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6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tables/table10.xml" ContentType="application/vnd.openxmlformats-officedocument.spreadsheetml.table+xml"/>
  <Override PartName="/xl/pivotTables/pivotTable7.xml" ContentType="application/vnd.openxmlformats-officedocument.spreadsheetml.pivot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AI Coding\WIMS\"/>
    </mc:Choice>
  </mc:AlternateContent>
  <xr:revisionPtr revIDLastSave="0" documentId="13_ncr:1_{331DFDC0-DB91-4829-ABF4-8564ABE5494C}" xr6:coauthVersionLast="47" xr6:coauthVersionMax="47" xr10:uidLastSave="{00000000-0000-0000-0000-000000000000}"/>
  <bookViews>
    <workbookView xWindow="50" yWindow="40" windowWidth="19150" windowHeight="10040" tabRatio="873" activeTab="13" xr2:uid="{F8BABFD5-CCDD-42D5-98FB-BADEA0E696E9}"/>
  </bookViews>
  <sheets>
    <sheet name="Guidance" sheetId="7" r:id="rId1"/>
    <sheet name="DV" sheetId="3" r:id="rId2"/>
    <sheet name="Sum_WH" sheetId="1" r:id="rId3"/>
    <sheet name="Sheet1" sheetId="16" state="hidden" r:id="rId4"/>
    <sheet name="Pivot_LO" sheetId="10" r:id="rId5"/>
    <sheet name="SUM_DN" sheetId="15" r:id="rId6"/>
    <sheet name="Sheet3" sheetId="22" r:id="rId7"/>
    <sheet name="DO_DB" sheetId="11" r:id="rId8"/>
    <sheet name="Site_DB" sheetId="12" r:id="rId9"/>
    <sheet name="Site_Opname" sheetId="13" state="hidden" r:id="rId10"/>
    <sheet name="Transaction_Form" sheetId="4" r:id="rId11"/>
    <sheet name="Deliver" sheetId="17" state="hidden" r:id="rId12"/>
    <sheet name="PIV_OUT" sheetId="21" r:id="rId13"/>
    <sheet name="Logfile" sheetId="2" r:id="rId14"/>
    <sheet name="HASBELCODE" sheetId="24" r:id="rId15"/>
    <sheet name="MANUAL" sheetId="28" r:id="rId16"/>
    <sheet name="LO_Logfile" sheetId="9" r:id="rId17"/>
    <sheet name="Text_Report" sheetId="14" r:id="rId18"/>
    <sheet name="Nota_Print" sheetId="8" r:id="rId19"/>
    <sheet name="Sheet2" sheetId="18" r:id="rId20"/>
    <sheet name="CABLECODE" sheetId="23" r:id="rId21"/>
    <sheet name="Sheet6" sheetId="27" r:id="rId22"/>
    <sheet name="TATA" sheetId="26" r:id="rId23"/>
  </sheets>
  <externalReferences>
    <externalReference r:id="rId24"/>
  </externalReferences>
  <definedNames>
    <definedName name="_xlnm._FilterDatabase" localSheetId="20" hidden="1">CABLECODE!$A$2:$L$32</definedName>
    <definedName name="_xlnm._FilterDatabase" localSheetId="7" hidden="1">DO_DB!$A$4:$K$2369</definedName>
    <definedName name="_xlnm._FilterDatabase" localSheetId="14" hidden="1">HASBELCODE!$A$2:$M$31</definedName>
    <definedName name="_xlnm._FilterDatabase" localSheetId="15" hidden="1">MANUAL!$A$1:$G$50</definedName>
    <definedName name="_xlnm._FilterDatabase" localSheetId="19" hidden="1">Sheet2!$A$1:$C$1</definedName>
    <definedName name="_xlnm._FilterDatabase" localSheetId="8" hidden="1">Site_DB!$A$4:$V$134</definedName>
    <definedName name="_xleta.CODE" hidden="1" xlm="1">#NAME?</definedName>
    <definedName name="_xleta.DATE" hidden="1" xlm="1">#NAME?</definedName>
    <definedName name="_xleta.FILTER" hidden="1" xlm="1">#NAME?</definedName>
    <definedName name="_xleta.ISNUMBER" hidden="1" xlm="1">#NAME?</definedName>
    <definedName name="_xleta.LOOKUP" hidden="1" xlm="1">#NAME?</definedName>
    <definedName name="_xleta.MAX" hidden="1" xlm="1">#NAME?</definedName>
    <definedName name="_xleta.TYPE" hidden="1" xlm="1">#NAME?</definedName>
    <definedName name="_xleta.XLOOKUP" hidden="1" xlm="1">#NAME?</definedName>
    <definedName name="_xlpm.colcount" hidden="1" xlm="1">#NAME?</definedName>
    <definedName name="_xlpm.data" hidden="1" xlm="1">#NAME?</definedName>
    <definedName name="_xlpm.header" hidden="1" xlm="1">#NAME?</definedName>
    <definedName name="_xlpm.idcols" hidden="1" xlm="1">#NAME?</definedName>
    <definedName name="_xlpm.lastNum" hidden="1" xlm="1">#NAME?</definedName>
    <definedName name="_xlpm.mat" hidden="1" xlm="1">#NAME?</definedName>
    <definedName name="_xlpm.matcols" hidden="1" xlm="1">#NAME?</definedName>
    <definedName name="_xlpm.matdata" hidden="1" xlm="1">#NAME?</definedName>
    <definedName name="_xlpm.prefix" hidden="1" xlm="1">#NAME?</definedName>
    <definedName name="_xlpm.qty" hidden="1" xlm="1">#NAME?</definedName>
    <definedName name="_xlpm.row" hidden="1" xlm="1">#NAME?</definedName>
    <definedName name="_xlpm.rowcount" hidden="1" xlm="1">#NAME?</definedName>
    <definedName name="_xlpm.seq" hidden="1" xlm="1">#NAME?</definedName>
    <definedName name="KOD">[1]Sheet2!$A$1:$B$6</definedName>
    <definedName name="Logfile_Nota_No" localSheetId="14">Logfile_S[Nota No.]</definedName>
    <definedName name="Logfile_Nota_No" localSheetId="22">Logfile_S12[Nota No.]</definedName>
    <definedName name="Logfile_Nota_No">Logfile_S[Nota No.]</definedName>
  </definedNames>
  <calcPr calcId="191029"/>
  <pivotCaches>
    <pivotCache cacheId="21" r:id="rId25"/>
    <pivotCache cacheId="32" r:id="rId26"/>
    <pivotCache cacheId="38" r:id="rId27"/>
    <pivotCache cacheId="46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633" i="2" l="1"/>
  <c r="L2634" i="2"/>
  <c r="L2635" i="2"/>
  <c r="L2636" i="2"/>
  <c r="L2637" i="2"/>
  <c r="L2638" i="2"/>
  <c r="L2639" i="2"/>
  <c r="L2640" i="2"/>
  <c r="L2641" i="2"/>
  <c r="L2642" i="2"/>
  <c r="L2643" i="2"/>
  <c r="L2496" i="2"/>
  <c r="L2497" i="2"/>
  <c r="L2498" i="2"/>
  <c r="L2499" i="2"/>
  <c r="L2500" i="2"/>
  <c r="L2504" i="2"/>
  <c r="L2505" i="2"/>
  <c r="L2482" i="2"/>
  <c r="L2506" i="2"/>
  <c r="L2501" i="2"/>
  <c r="L2487" i="2"/>
  <c r="L2488" i="2"/>
  <c r="L2489" i="2"/>
  <c r="L2644" i="2"/>
  <c r="L2645" i="2"/>
  <c r="L2646" i="2"/>
  <c r="L2647" i="2"/>
  <c r="L2648" i="2"/>
  <c r="L2649" i="2"/>
  <c r="L2650" i="2"/>
  <c r="L2502" i="2"/>
  <c r="L2503" i="2"/>
  <c r="L2490" i="2"/>
  <c r="L2491" i="2"/>
  <c r="L2492" i="2"/>
  <c r="L2493" i="2"/>
  <c r="L2494" i="2"/>
  <c r="L2483" i="2"/>
  <c r="L2484" i="2"/>
  <c r="L2485" i="2"/>
  <c r="L2486" i="2"/>
  <c r="L2651" i="2"/>
  <c r="L2213" i="2"/>
  <c r="L2495" i="2"/>
  <c r="A2651" i="2"/>
  <c r="A2213" i="2"/>
  <c r="A2495" i="2"/>
  <c r="Z2651" i="2"/>
  <c r="Z2213" i="2"/>
  <c r="Z2495" i="2"/>
  <c r="AA2651" i="2"/>
  <c r="AB2651" i="2" s="1"/>
  <c r="AA2213" i="2"/>
  <c r="AB2213" i="2" s="1"/>
  <c r="AA2495" i="2"/>
  <c r="AB2495" i="2" s="1"/>
  <c r="AC2651" i="2"/>
  <c r="AC2213" i="2"/>
  <c r="AC2495" i="2"/>
  <c r="A2497" i="2"/>
  <c r="A2498" i="2"/>
  <c r="A2499" i="2"/>
  <c r="A2500" i="2"/>
  <c r="A2504" i="2"/>
  <c r="A2505" i="2"/>
  <c r="A2482" i="2"/>
  <c r="A2506" i="2"/>
  <c r="A2501" i="2"/>
  <c r="A2487" i="2"/>
  <c r="A2488" i="2"/>
  <c r="A2489" i="2"/>
  <c r="A2644" i="2"/>
  <c r="A2645" i="2"/>
  <c r="A2646" i="2"/>
  <c r="A2647" i="2"/>
  <c r="A2648" i="2"/>
  <c r="A2649" i="2"/>
  <c r="A2650" i="2"/>
  <c r="A2502" i="2"/>
  <c r="A2503" i="2"/>
  <c r="A2490" i="2"/>
  <c r="A2491" i="2"/>
  <c r="A2492" i="2"/>
  <c r="A2493" i="2"/>
  <c r="A2494" i="2"/>
  <c r="A2483" i="2"/>
  <c r="A2484" i="2"/>
  <c r="A2485" i="2"/>
  <c r="A2486" i="2"/>
  <c r="Z2497" i="2"/>
  <c r="Z2498" i="2"/>
  <c r="Z2499" i="2"/>
  <c r="Z2500" i="2"/>
  <c r="Z2504" i="2"/>
  <c r="Z2505" i="2"/>
  <c r="Z2482" i="2"/>
  <c r="Z2506" i="2"/>
  <c r="Z2501" i="2"/>
  <c r="Z2487" i="2"/>
  <c r="Z2488" i="2"/>
  <c r="Z2489" i="2"/>
  <c r="Z2644" i="2"/>
  <c r="Z2645" i="2"/>
  <c r="Z2646" i="2"/>
  <c r="Z2647" i="2"/>
  <c r="Z2648" i="2"/>
  <c r="Z2649" i="2"/>
  <c r="Z2650" i="2"/>
  <c r="Z2502" i="2"/>
  <c r="Z2503" i="2"/>
  <c r="Z2490" i="2"/>
  <c r="Z2491" i="2"/>
  <c r="Z2492" i="2"/>
  <c r="Z2493" i="2"/>
  <c r="Z2494" i="2"/>
  <c r="Z2483" i="2"/>
  <c r="Z2484" i="2"/>
  <c r="Z2485" i="2"/>
  <c r="Z2486" i="2"/>
  <c r="AA2497" i="2"/>
  <c r="AB2497" i="2" s="1"/>
  <c r="AA2498" i="2"/>
  <c r="AB2498" i="2" s="1"/>
  <c r="AA2499" i="2"/>
  <c r="AA2500" i="2"/>
  <c r="AB2500" i="2" s="1"/>
  <c r="AA2504" i="2"/>
  <c r="AB2504" i="2" s="1"/>
  <c r="AA2505" i="2"/>
  <c r="AA2482" i="2"/>
  <c r="AB2482" i="2" s="1"/>
  <c r="AA2506" i="2"/>
  <c r="AA2501" i="2"/>
  <c r="AB2501" i="2" s="1"/>
  <c r="AA2487" i="2"/>
  <c r="AB2487" i="2" s="1"/>
  <c r="AA2488" i="2"/>
  <c r="AA2489" i="2"/>
  <c r="AB2489" i="2" s="1"/>
  <c r="AA2644" i="2"/>
  <c r="AB2644" i="2" s="1"/>
  <c r="AA2645" i="2"/>
  <c r="AA2646" i="2"/>
  <c r="AB2646" i="2" s="1"/>
  <c r="AA2647" i="2"/>
  <c r="AB2647" i="2" s="1"/>
  <c r="AA2648" i="2"/>
  <c r="AB2648" i="2" s="1"/>
  <c r="AA2649" i="2"/>
  <c r="AB2649" i="2" s="1"/>
  <c r="AA2650" i="2"/>
  <c r="AB2650" i="2" s="1"/>
  <c r="AA2502" i="2"/>
  <c r="AB2502" i="2" s="1"/>
  <c r="AA2503" i="2"/>
  <c r="AB2503" i="2" s="1"/>
  <c r="AA2490" i="2"/>
  <c r="AA2491" i="2"/>
  <c r="AB2491" i="2" s="1"/>
  <c r="AA2492" i="2"/>
  <c r="AB2492" i="2" s="1"/>
  <c r="AA2493" i="2"/>
  <c r="AB2493" i="2" s="1"/>
  <c r="AA2494" i="2"/>
  <c r="AB2494" i="2" s="1"/>
  <c r="AA2483" i="2"/>
  <c r="AA2484" i="2"/>
  <c r="AB2484" i="2" s="1"/>
  <c r="AA2485" i="2"/>
  <c r="AB2485" i="2" s="1"/>
  <c r="AA2486" i="2"/>
  <c r="AB2499" i="2"/>
  <c r="AB2505" i="2"/>
  <c r="AB2506" i="2"/>
  <c r="AB2488" i="2"/>
  <c r="AB2645" i="2"/>
  <c r="AB2490" i="2"/>
  <c r="AB2483" i="2"/>
  <c r="AB2486" i="2"/>
  <c r="AC2497" i="2"/>
  <c r="AC2498" i="2"/>
  <c r="AC2499" i="2"/>
  <c r="AC2500" i="2"/>
  <c r="AC2504" i="2"/>
  <c r="AC2505" i="2"/>
  <c r="AC2482" i="2"/>
  <c r="AC2506" i="2"/>
  <c r="AC2501" i="2"/>
  <c r="AC2487" i="2"/>
  <c r="AC2488" i="2"/>
  <c r="AC2489" i="2"/>
  <c r="AC2644" i="2"/>
  <c r="AC2645" i="2"/>
  <c r="AC2646" i="2"/>
  <c r="AC2647" i="2"/>
  <c r="AC2648" i="2"/>
  <c r="AC2649" i="2"/>
  <c r="AC2650" i="2"/>
  <c r="AC2502" i="2"/>
  <c r="AC2503" i="2"/>
  <c r="AC2490" i="2"/>
  <c r="AC2491" i="2"/>
  <c r="AC2492" i="2"/>
  <c r="AC2493" i="2"/>
  <c r="AC2494" i="2"/>
  <c r="AC2483" i="2"/>
  <c r="AC2484" i="2"/>
  <c r="AC2485" i="2"/>
  <c r="AC2486" i="2"/>
  <c r="A2496" i="2"/>
  <c r="Z2496" i="2"/>
  <c r="AA2496" i="2"/>
  <c r="AB2496" i="2" s="1"/>
  <c r="AC2496" i="2"/>
  <c r="A2643" i="2"/>
  <c r="Z2643" i="2"/>
  <c r="AA2643" i="2"/>
  <c r="AB2643" i="2" s="1"/>
  <c r="AC2643" i="2"/>
  <c r="A2642" i="2"/>
  <c r="Z2642" i="2"/>
  <c r="AA2642" i="2"/>
  <c r="AB2642" i="2" s="1"/>
  <c r="AC2642" i="2"/>
  <c r="A2641" i="2"/>
  <c r="Z2641" i="2"/>
  <c r="AA2641" i="2"/>
  <c r="AB2641" i="2" s="1"/>
  <c r="AC2641" i="2"/>
  <c r="A2640" i="2"/>
  <c r="Z2640" i="2"/>
  <c r="AA2640" i="2"/>
  <c r="AB2640" i="2" s="1"/>
  <c r="AC2640" i="2"/>
  <c r="A2639" i="2"/>
  <c r="Z2639" i="2"/>
  <c r="AA2639" i="2"/>
  <c r="AB2639" i="2" s="1"/>
  <c r="AC2639" i="2"/>
  <c r="A2638" i="2"/>
  <c r="Z2638" i="2"/>
  <c r="AA2638" i="2"/>
  <c r="AB2638" i="2" s="1"/>
  <c r="AC2638" i="2"/>
  <c r="A2637" i="2"/>
  <c r="Z2637" i="2"/>
  <c r="AA2637" i="2"/>
  <c r="AB2637" i="2" s="1"/>
  <c r="AC2637" i="2"/>
  <c r="A2636" i="2"/>
  <c r="Z2636" i="2"/>
  <c r="AA2636" i="2"/>
  <c r="AB2636" i="2" s="1"/>
  <c r="AC2636" i="2"/>
  <c r="A2635" i="2"/>
  <c r="Z2635" i="2"/>
  <c r="AA2635" i="2"/>
  <c r="AB2635" i="2" s="1"/>
  <c r="AC2635" i="2"/>
  <c r="A2634" i="2"/>
  <c r="Z2634" i="2"/>
  <c r="AA2634" i="2"/>
  <c r="AB2634" i="2" s="1"/>
  <c r="AC2634" i="2"/>
  <c r="A2633" i="2"/>
  <c r="Z2633" i="2"/>
  <c r="AA2633" i="2"/>
  <c r="AB2633" i="2" s="1"/>
  <c r="AC2633" i="2"/>
  <c r="A134" i="12"/>
  <c r="I134" i="12"/>
  <c r="J134" i="12"/>
  <c r="X134" i="12"/>
  <c r="Y134" i="12"/>
  <c r="Z134" i="12"/>
  <c r="AA134" i="12"/>
  <c r="A130" i="12"/>
  <c r="A131" i="12"/>
  <c r="A132" i="12"/>
  <c r="A133" i="12"/>
  <c r="I130" i="12"/>
  <c r="I131" i="12"/>
  <c r="I132" i="12"/>
  <c r="I133" i="12"/>
  <c r="J130" i="12"/>
  <c r="J131" i="12"/>
  <c r="J132" i="12"/>
  <c r="J133" i="12"/>
  <c r="X130" i="12"/>
  <c r="X131" i="12"/>
  <c r="X132" i="12"/>
  <c r="X133" i="12"/>
  <c r="Y130" i="12"/>
  <c r="Y131" i="12"/>
  <c r="Y132" i="12"/>
  <c r="Y133" i="12"/>
  <c r="Z130" i="12"/>
  <c r="Z131" i="12"/>
  <c r="Z132" i="12"/>
  <c r="Z133" i="12"/>
  <c r="AA130" i="12"/>
  <c r="AA131" i="12"/>
  <c r="AA132" i="12"/>
  <c r="AA133" i="12"/>
  <c r="Y1" i="2"/>
  <c r="F142" i="24"/>
  <c r="J30" i="24"/>
  <c r="M145" i="9"/>
  <c r="A145" i="9"/>
  <c r="AB145" i="9"/>
  <c r="AC145" i="9"/>
  <c r="AD145" i="9"/>
  <c r="AE145" i="9" s="1"/>
  <c r="AF145" i="9"/>
  <c r="A36" i="9"/>
  <c r="AB36" i="9"/>
  <c r="AF36" i="9" s="1"/>
  <c r="AC36" i="9"/>
  <c r="AD36" i="9"/>
  <c r="AE36" i="9" s="1"/>
  <c r="M36" i="9"/>
  <c r="A125" i="9" l="1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AB125" i="9"/>
  <c r="AF125" i="9" s="1"/>
  <c r="AB126" i="9"/>
  <c r="AF126" i="9" s="1"/>
  <c r="AB127" i="9"/>
  <c r="AF127" i="9" s="1"/>
  <c r="AB128" i="9"/>
  <c r="AF128" i="9" s="1"/>
  <c r="AB129" i="9"/>
  <c r="AB130" i="9"/>
  <c r="AF130" i="9" s="1"/>
  <c r="AB131" i="9"/>
  <c r="AF131" i="9" s="1"/>
  <c r="AB132" i="9"/>
  <c r="AB133" i="9"/>
  <c r="AF133" i="9" s="1"/>
  <c r="AB134" i="9"/>
  <c r="AF134" i="9" s="1"/>
  <c r="AB135" i="9"/>
  <c r="AF135" i="9" s="1"/>
  <c r="AB136" i="9"/>
  <c r="AF136" i="9" s="1"/>
  <c r="AB137" i="9"/>
  <c r="AF137" i="9" s="1"/>
  <c r="AB138" i="9"/>
  <c r="AF138" i="9" s="1"/>
  <c r="AB139" i="9"/>
  <c r="AF139" i="9" s="1"/>
  <c r="AB140" i="9"/>
  <c r="AB141" i="9"/>
  <c r="AB142" i="9"/>
  <c r="AF142" i="9" s="1"/>
  <c r="AB143" i="9"/>
  <c r="AF143" i="9" s="1"/>
  <c r="AC125" i="9"/>
  <c r="AC126" i="9"/>
  <c r="AC127" i="9"/>
  <c r="AC128" i="9"/>
  <c r="AC129" i="9"/>
  <c r="AC130" i="9"/>
  <c r="AC131" i="9"/>
  <c r="AC132" i="9"/>
  <c r="AC133" i="9"/>
  <c r="AC134" i="9"/>
  <c r="AC135" i="9"/>
  <c r="AC136" i="9"/>
  <c r="AC137" i="9"/>
  <c r="AC138" i="9"/>
  <c r="AC139" i="9"/>
  <c r="AC140" i="9"/>
  <c r="AC141" i="9"/>
  <c r="AC142" i="9"/>
  <c r="AC143" i="9"/>
  <c r="AD125" i="9"/>
  <c r="AE125" i="9" s="1"/>
  <c r="AD126" i="9"/>
  <c r="AE126" i="9" s="1"/>
  <c r="AD127" i="9"/>
  <c r="AD128" i="9"/>
  <c r="AE128" i="9" s="1"/>
  <c r="AD129" i="9"/>
  <c r="AE129" i="9" s="1"/>
  <c r="AD130" i="9"/>
  <c r="AE130" i="9" s="1"/>
  <c r="AD131" i="9"/>
  <c r="AE131" i="9" s="1"/>
  <c r="AD132" i="9"/>
  <c r="AE132" i="9" s="1"/>
  <c r="AD133" i="9"/>
  <c r="AE133" i="9" s="1"/>
  <c r="AD134" i="9"/>
  <c r="AE134" i="9" s="1"/>
  <c r="AD135" i="9"/>
  <c r="AD136" i="9"/>
  <c r="AE136" i="9" s="1"/>
  <c r="AD137" i="9"/>
  <c r="AE137" i="9" s="1"/>
  <c r="AD138" i="9"/>
  <c r="AE138" i="9" s="1"/>
  <c r="AD139" i="9"/>
  <c r="AE139" i="9" s="1"/>
  <c r="AD140" i="9"/>
  <c r="AE140" i="9" s="1"/>
  <c r="AD141" i="9"/>
  <c r="AE141" i="9" s="1"/>
  <c r="AD142" i="9"/>
  <c r="AE142" i="9" s="1"/>
  <c r="AD143" i="9"/>
  <c r="AE127" i="9"/>
  <c r="AE135" i="9"/>
  <c r="AE143" i="9"/>
  <c r="AF132" i="9"/>
  <c r="AF140" i="9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" i="28"/>
  <c r="F8" i="28"/>
  <c r="E50" i="28"/>
  <c r="F50" i="28" s="1"/>
  <c r="E15" i="28"/>
  <c r="F15" i="28" s="1"/>
  <c r="E8" i="28"/>
  <c r="E44" i="28"/>
  <c r="F44" i="28" s="1"/>
  <c r="E40" i="28"/>
  <c r="F40" i="28" s="1"/>
  <c r="E47" i="28"/>
  <c r="F47" i="28" s="1"/>
  <c r="E49" i="28"/>
  <c r="F49" i="28" s="1"/>
  <c r="E48" i="28"/>
  <c r="F48" i="28" s="1"/>
  <c r="E20" i="28"/>
  <c r="F20" i="28" s="1"/>
  <c r="E43" i="28"/>
  <c r="F43" i="28" s="1"/>
  <c r="E31" i="28"/>
  <c r="F31" i="28" s="1"/>
  <c r="E37" i="28"/>
  <c r="F37" i="28" s="1"/>
  <c r="E12" i="28"/>
  <c r="F12" i="28" s="1"/>
  <c r="E35" i="28"/>
  <c r="F35" i="28" s="1"/>
  <c r="E41" i="28"/>
  <c r="F41" i="28" s="1"/>
  <c r="E36" i="28"/>
  <c r="F36" i="28" s="1"/>
  <c r="E38" i="28"/>
  <c r="F38" i="28" s="1"/>
  <c r="E45" i="28"/>
  <c r="F45" i="28" s="1"/>
  <c r="E10" i="28"/>
  <c r="F10" i="28" s="1"/>
  <c r="E32" i="28"/>
  <c r="F32" i="28" s="1"/>
  <c r="E33" i="28"/>
  <c r="F33" i="28" s="1"/>
  <c r="E34" i="28"/>
  <c r="F34" i="28" s="1"/>
  <c r="E9" i="28"/>
  <c r="F9" i="28" s="1"/>
  <c r="E13" i="28"/>
  <c r="F13" i="28" s="1"/>
  <c r="E46" i="28"/>
  <c r="F46" i="28" s="1"/>
  <c r="E19" i="28"/>
  <c r="F19" i="28" s="1"/>
  <c r="E42" i="28"/>
  <c r="F42" i="28" s="1"/>
  <c r="E39" i="28"/>
  <c r="F39" i="28" s="1"/>
  <c r="E2" i="28"/>
  <c r="F2" i="28" s="1"/>
  <c r="E30" i="28"/>
  <c r="F30" i="28" s="1"/>
  <c r="E29" i="28"/>
  <c r="F29" i="28" s="1"/>
  <c r="E28" i="28"/>
  <c r="F28" i="28" s="1"/>
  <c r="E11" i="28"/>
  <c r="F11" i="28" s="1"/>
  <c r="E6" i="28"/>
  <c r="F6" i="28" s="1"/>
  <c r="E4" i="28"/>
  <c r="F4" i="28" s="1"/>
  <c r="E5" i="28"/>
  <c r="F5" i="28" s="1"/>
  <c r="E27" i="28"/>
  <c r="F27" i="28" s="1"/>
  <c r="E26" i="28"/>
  <c r="F26" i="28" s="1"/>
  <c r="E17" i="28"/>
  <c r="F17" i="28" s="1"/>
  <c r="E3" i="28"/>
  <c r="F3" i="28" s="1"/>
  <c r="E22" i="28"/>
  <c r="F22" i="28" s="1"/>
  <c r="E25" i="28"/>
  <c r="F25" i="28" s="1"/>
  <c r="E14" i="28"/>
  <c r="F14" i="28" s="1"/>
  <c r="E24" i="28"/>
  <c r="F24" i="28" s="1"/>
  <c r="E7" i="28"/>
  <c r="F7" i="28" s="1"/>
  <c r="E16" i="28"/>
  <c r="F16" i="28" s="1"/>
  <c r="E23" i="28"/>
  <c r="F23" i="28" s="1"/>
  <c r="E21" i="28"/>
  <c r="F21" i="28" s="1"/>
  <c r="E18" i="28"/>
  <c r="F18" i="28" s="1"/>
  <c r="AD6" i="9"/>
  <c r="AD5" i="9"/>
  <c r="AD7" i="9"/>
  <c r="AD15" i="9"/>
  <c r="AD11" i="9"/>
  <c r="AD10" i="9"/>
  <c r="AD13" i="9"/>
  <c r="AD14" i="9"/>
  <c r="AD16" i="9"/>
  <c r="AD12" i="9"/>
  <c r="AD8" i="9"/>
  <c r="AD9" i="9"/>
  <c r="AD17" i="9"/>
  <c r="AD18" i="9"/>
  <c r="AD19" i="9"/>
  <c r="AD22" i="9"/>
  <c r="AD21" i="9"/>
  <c r="AD20" i="9"/>
  <c r="AD23" i="9"/>
  <c r="AD24" i="9"/>
  <c r="AD25" i="9"/>
  <c r="AD27" i="9"/>
  <c r="AD26" i="9"/>
  <c r="AD28" i="9"/>
  <c r="AD30" i="9"/>
  <c r="AD29" i="9"/>
  <c r="AD31" i="9"/>
  <c r="AD32" i="9"/>
  <c r="AD33" i="9"/>
  <c r="AD34" i="9"/>
  <c r="AD35" i="9"/>
  <c r="AD37" i="9"/>
  <c r="AD144" i="9"/>
  <c r="AD38" i="9"/>
  <c r="AD39" i="9"/>
  <c r="AD40" i="9"/>
  <c r="AD41" i="9"/>
  <c r="AD42" i="9"/>
  <c r="AD43" i="9"/>
  <c r="AD44" i="9"/>
  <c r="AD45" i="9"/>
  <c r="AD46" i="9"/>
  <c r="AD47" i="9"/>
  <c r="AD48" i="9"/>
  <c r="AD50" i="9"/>
  <c r="AD51" i="9"/>
  <c r="AD49" i="9"/>
  <c r="AD53" i="9"/>
  <c r="AD52" i="9"/>
  <c r="AD55" i="9"/>
  <c r="AD54" i="9"/>
  <c r="AD56" i="9"/>
  <c r="AD58" i="9"/>
  <c r="AD57" i="9"/>
  <c r="AD60" i="9"/>
  <c r="AD61" i="9"/>
  <c r="AD59" i="9"/>
  <c r="AD62" i="9"/>
  <c r="AD63" i="9"/>
  <c r="AD64" i="9"/>
  <c r="AD65" i="9"/>
  <c r="AD66" i="9"/>
  <c r="AD67" i="9"/>
  <c r="AD68" i="9"/>
  <c r="AD69" i="9"/>
  <c r="AD70" i="9"/>
  <c r="AD72" i="9"/>
  <c r="AD71" i="9"/>
  <c r="AD74" i="9"/>
  <c r="AD73" i="9"/>
  <c r="AD76" i="9"/>
  <c r="AD75" i="9"/>
  <c r="AD77" i="9"/>
  <c r="AD78" i="9"/>
  <c r="AD79" i="9"/>
  <c r="AD81" i="9"/>
  <c r="AD80" i="9"/>
  <c r="AD82" i="9"/>
  <c r="AD84" i="9"/>
  <c r="AD83" i="9"/>
  <c r="AD87" i="9"/>
  <c r="AD88" i="9"/>
  <c r="AD85" i="9"/>
  <c r="AD86" i="9"/>
  <c r="AD89" i="9"/>
  <c r="AD90" i="9"/>
  <c r="AD91" i="9"/>
  <c r="AD94" i="9"/>
  <c r="AD95" i="9"/>
  <c r="AD92" i="9"/>
  <c r="AD93" i="9"/>
  <c r="AD97" i="9"/>
  <c r="AD96" i="9"/>
  <c r="AD98" i="9"/>
  <c r="AD99" i="9"/>
  <c r="AD100" i="9"/>
  <c r="AD101" i="9"/>
  <c r="AD102" i="9"/>
  <c r="AD103" i="9"/>
  <c r="AD104" i="9"/>
  <c r="AD105" i="9"/>
  <c r="AD112" i="9"/>
  <c r="AD111" i="9"/>
  <c r="AD108" i="9"/>
  <c r="AD107" i="9"/>
  <c r="AD106" i="9"/>
  <c r="AD110" i="9"/>
  <c r="AD109" i="9"/>
  <c r="AD113" i="9"/>
  <c r="AD114" i="9"/>
  <c r="AD115" i="9"/>
  <c r="AD118" i="9"/>
  <c r="AD117" i="9"/>
  <c r="AD116" i="9"/>
  <c r="AD119" i="9"/>
  <c r="AD120" i="9"/>
  <c r="AD121" i="9"/>
  <c r="AD122" i="9"/>
  <c r="AD123" i="9"/>
  <c r="AD124" i="9"/>
  <c r="A124" i="9"/>
  <c r="AB124" i="9"/>
  <c r="AC124" i="9"/>
  <c r="M124" i="9"/>
  <c r="A140" i="24"/>
  <c r="J140" i="24"/>
  <c r="N140" i="24" s="1"/>
  <c r="Y140" i="24"/>
  <c r="L2049" i="2"/>
  <c r="L2050" i="2"/>
  <c r="L2051" i="2"/>
  <c r="L2052" i="2"/>
  <c r="L2048" i="2"/>
  <c r="L2054" i="2"/>
  <c r="L2055" i="2"/>
  <c r="L2053" i="2"/>
  <c r="L2057" i="2"/>
  <c r="L2056" i="2"/>
  <c r="A2057" i="2"/>
  <c r="A2056" i="2"/>
  <c r="AC2057" i="2"/>
  <c r="AC2056" i="2"/>
  <c r="Z2057" i="2"/>
  <c r="Z2056" i="2"/>
  <c r="AA2057" i="2"/>
  <c r="AB2057" i="2" s="1"/>
  <c r="AA2056" i="2"/>
  <c r="AB2056" i="2" s="1"/>
  <c r="A2053" i="2"/>
  <c r="AC2053" i="2"/>
  <c r="Z2053" i="2"/>
  <c r="AA2053" i="2"/>
  <c r="AB2053" i="2" s="1"/>
  <c r="A2055" i="2"/>
  <c r="AC2055" i="2"/>
  <c r="Z2055" i="2"/>
  <c r="AA2055" i="2"/>
  <c r="AB2055" i="2" s="1"/>
  <c r="A2054" i="2"/>
  <c r="AC2054" i="2"/>
  <c r="Z2054" i="2"/>
  <c r="AA2054" i="2"/>
  <c r="AB2054" i="2" s="1"/>
  <c r="A2048" i="2"/>
  <c r="Y2048" i="2"/>
  <c r="AC2048" i="2" s="1"/>
  <c r="Z2048" i="2"/>
  <c r="AA2048" i="2"/>
  <c r="AB2048" i="2" s="1"/>
  <c r="A2052" i="2"/>
  <c r="AC2052" i="2"/>
  <c r="Z2052" i="2"/>
  <c r="AA2052" i="2"/>
  <c r="AB2052" i="2" s="1"/>
  <c r="A2051" i="2"/>
  <c r="AC2051" i="2"/>
  <c r="Z2051" i="2"/>
  <c r="AA2051" i="2"/>
  <c r="AB2051" i="2" s="1"/>
  <c r="A2050" i="2"/>
  <c r="AC2050" i="2"/>
  <c r="Z2050" i="2"/>
  <c r="AA2050" i="2"/>
  <c r="AB2050" i="2" s="1"/>
  <c r="A2049" i="2"/>
  <c r="AC2049" i="2"/>
  <c r="Z2049" i="2"/>
  <c r="AA2049" i="2"/>
  <c r="AB2049" i="2" s="1"/>
  <c r="I128" i="12"/>
  <c r="R2364" i="11"/>
  <c r="Q2364" i="11"/>
  <c r="P2364" i="11"/>
  <c r="O2364" i="11"/>
  <c r="N2364" i="11"/>
  <c r="R2363" i="11"/>
  <c r="Q2363" i="11"/>
  <c r="P2363" i="11"/>
  <c r="O2363" i="11"/>
  <c r="N2363" i="11"/>
  <c r="R2362" i="11"/>
  <c r="Q2362" i="11"/>
  <c r="P2362" i="11"/>
  <c r="O2362" i="11"/>
  <c r="N2362" i="11"/>
  <c r="R2361" i="11"/>
  <c r="Q2361" i="11"/>
  <c r="P2361" i="11"/>
  <c r="O2361" i="11"/>
  <c r="N2361" i="11"/>
  <c r="R2360" i="11"/>
  <c r="Q2360" i="11"/>
  <c r="P2360" i="11"/>
  <c r="O2360" i="11"/>
  <c r="N2360" i="11"/>
  <c r="M2362" i="11"/>
  <c r="A128" i="12"/>
  <c r="A129" i="12"/>
  <c r="I129" i="12"/>
  <c r="J128" i="12"/>
  <c r="J129" i="12"/>
  <c r="X128" i="12"/>
  <c r="X129" i="12"/>
  <c r="Y128" i="12"/>
  <c r="Y129" i="12"/>
  <c r="Z128" i="12"/>
  <c r="Z129" i="12"/>
  <c r="AA128" i="12"/>
  <c r="AA129" i="12"/>
  <c r="A115" i="9"/>
  <c r="AB115" i="9"/>
  <c r="AC115" i="9"/>
  <c r="M119" i="9"/>
  <c r="A119" i="9"/>
  <c r="AB119" i="9"/>
  <c r="AC119" i="9"/>
  <c r="O25" i="9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118" i="12"/>
  <c r="I119" i="12"/>
  <c r="I120" i="12"/>
  <c r="I121" i="12"/>
  <c r="I122" i="12"/>
  <c r="I123" i="12"/>
  <c r="I124" i="12"/>
  <c r="I125" i="12"/>
  <c r="I126" i="12"/>
  <c r="I127" i="12"/>
  <c r="A35" i="9"/>
  <c r="AB35" i="9"/>
  <c r="AC35" i="9"/>
  <c r="M35" i="9"/>
  <c r="A81" i="24"/>
  <c r="F81" i="24" s="1"/>
  <c r="A82" i="24"/>
  <c r="F82" i="24" s="1"/>
  <c r="A83" i="24"/>
  <c r="F83" i="24" s="1"/>
  <c r="A13" i="24"/>
  <c r="F13" i="24" s="1"/>
  <c r="A14" i="24"/>
  <c r="F14" i="24" s="1"/>
  <c r="A15" i="24"/>
  <c r="F15" i="24" s="1"/>
  <c r="A18" i="24"/>
  <c r="F18" i="24" s="1"/>
  <c r="A21" i="24"/>
  <c r="F21" i="24" s="1"/>
  <c r="A24" i="24"/>
  <c r="F24" i="24" s="1"/>
  <c r="A22" i="24"/>
  <c r="F22" i="24" s="1"/>
  <c r="A23" i="24"/>
  <c r="F23" i="24" s="1"/>
  <c r="A3" i="24"/>
  <c r="A8" i="24"/>
  <c r="F8" i="24" s="1"/>
  <c r="A9" i="24"/>
  <c r="F9" i="24" s="1"/>
  <c r="A10" i="24"/>
  <c r="F10" i="24" s="1"/>
  <c r="A26" i="24"/>
  <c r="F26" i="24" s="1"/>
  <c r="A27" i="24"/>
  <c r="F27" i="24" s="1"/>
  <c r="A29" i="24"/>
  <c r="A88" i="24"/>
  <c r="F88" i="24" s="1"/>
  <c r="A89" i="24"/>
  <c r="F89" i="24" s="1"/>
  <c r="A90" i="24"/>
  <c r="F90" i="24" s="1"/>
  <c r="A84" i="24"/>
  <c r="F84" i="24" s="1"/>
  <c r="A85" i="24"/>
  <c r="F85" i="24" s="1"/>
  <c r="A93" i="24"/>
  <c r="F93" i="24" s="1"/>
  <c r="A94" i="24"/>
  <c r="F94" i="24" s="1"/>
  <c r="A31" i="24"/>
  <c r="F31" i="24" s="1"/>
  <c r="A38" i="24"/>
  <c r="F38" i="24" s="1"/>
  <c r="A39" i="24"/>
  <c r="F39" i="24" s="1"/>
  <c r="A43" i="24"/>
  <c r="F43" i="24" s="1"/>
  <c r="A44" i="24"/>
  <c r="F44" i="24" s="1"/>
  <c r="A45" i="24"/>
  <c r="F45" i="24" s="1"/>
  <c r="A46" i="24"/>
  <c r="A48" i="24"/>
  <c r="F48" i="24" s="1"/>
  <c r="A47" i="24"/>
  <c r="F47" i="24" s="1"/>
  <c r="A49" i="24"/>
  <c r="F49" i="24" s="1"/>
  <c r="A50" i="24"/>
  <c r="F50" i="24" s="1"/>
  <c r="A57" i="24"/>
  <c r="A59" i="24"/>
  <c r="F59" i="24" s="1"/>
  <c r="A55" i="24"/>
  <c r="F55" i="24" s="1"/>
  <c r="A56" i="24"/>
  <c r="F56" i="24" s="1"/>
  <c r="A65" i="24"/>
  <c r="F65" i="24" s="1"/>
  <c r="A66" i="24"/>
  <c r="F66" i="24" s="1"/>
  <c r="A63" i="24"/>
  <c r="F63" i="24" s="1"/>
  <c r="A68" i="24"/>
  <c r="F68" i="24" s="1"/>
  <c r="A69" i="24"/>
  <c r="F69" i="24" s="1"/>
  <c r="A70" i="24"/>
  <c r="F70" i="24" s="1"/>
  <c r="A73" i="24"/>
  <c r="F73" i="24" s="1"/>
  <c r="A74" i="24"/>
  <c r="F74" i="24" s="1"/>
  <c r="A78" i="24"/>
  <c r="F78" i="24" s="1"/>
  <c r="A114" i="24"/>
  <c r="F114" i="24" s="1"/>
  <c r="A115" i="24"/>
  <c r="F115" i="24" s="1"/>
  <c r="A118" i="24"/>
  <c r="A119" i="24"/>
  <c r="F119" i="24" s="1"/>
  <c r="A129" i="24"/>
  <c r="A120" i="24"/>
  <c r="F120" i="24" s="1"/>
  <c r="A121" i="24"/>
  <c r="F121" i="24" s="1"/>
  <c r="A122" i="24"/>
  <c r="F122" i="24" s="1"/>
  <c r="A130" i="24"/>
  <c r="A131" i="24"/>
  <c r="A96" i="24"/>
  <c r="A95" i="24"/>
  <c r="F95" i="24" s="1"/>
  <c r="A98" i="24"/>
  <c r="A99" i="24"/>
  <c r="A100" i="24"/>
  <c r="A112" i="24"/>
  <c r="A113" i="24"/>
  <c r="A109" i="24"/>
  <c r="F109" i="24" s="1"/>
  <c r="A110" i="24"/>
  <c r="F110" i="24" s="1"/>
  <c r="A135" i="24"/>
  <c r="A137" i="24"/>
  <c r="F137" i="24" s="1"/>
  <c r="A136" i="24"/>
  <c r="F136" i="24" s="1"/>
  <c r="A138" i="24"/>
  <c r="F138" i="24" s="1"/>
  <c r="A139" i="24"/>
  <c r="F139" i="24" s="1"/>
  <c r="A116" i="24"/>
  <c r="F116" i="24" s="1"/>
  <c r="A123" i="24"/>
  <c r="F123" i="24" s="1"/>
  <c r="A124" i="24"/>
  <c r="F124" i="24" s="1"/>
  <c r="A125" i="24"/>
  <c r="F125" i="24" s="1"/>
  <c r="A126" i="24"/>
  <c r="F126" i="24" s="1"/>
  <c r="A127" i="24"/>
  <c r="F127" i="24" s="1"/>
  <c r="A128" i="24"/>
  <c r="F128" i="24" s="1"/>
  <c r="A132" i="24"/>
  <c r="A133" i="24"/>
  <c r="A134" i="24"/>
  <c r="A16" i="24"/>
  <c r="F16" i="24" s="1"/>
  <c r="A17" i="24"/>
  <c r="F17" i="24" s="1"/>
  <c r="A19" i="24"/>
  <c r="F19" i="24" s="1"/>
  <c r="A20" i="24"/>
  <c r="A4" i="24"/>
  <c r="F4" i="24" s="1"/>
  <c r="A5" i="24"/>
  <c r="F5" i="24" s="1"/>
  <c r="A6" i="24"/>
  <c r="A7" i="24"/>
  <c r="F7" i="24" s="1"/>
  <c r="A11" i="24"/>
  <c r="F11" i="24" s="1"/>
  <c r="A12" i="24"/>
  <c r="F12" i="24" s="1"/>
  <c r="A28" i="24"/>
  <c r="F28" i="24" s="1"/>
  <c r="A25" i="24"/>
  <c r="F25" i="24" s="1"/>
  <c r="A30" i="24"/>
  <c r="A91" i="24"/>
  <c r="F91" i="24" s="1"/>
  <c r="A92" i="24"/>
  <c r="F92" i="24" s="1"/>
  <c r="A86" i="24"/>
  <c r="F86" i="24" s="1"/>
  <c r="A87" i="24"/>
  <c r="F87" i="24" s="1"/>
  <c r="A32" i="24"/>
  <c r="F32" i="24" s="1"/>
  <c r="A33" i="24"/>
  <c r="F33" i="24" s="1"/>
  <c r="A35" i="24"/>
  <c r="F35" i="24" s="1"/>
  <c r="A34" i="24"/>
  <c r="F34" i="24" s="1"/>
  <c r="A36" i="24"/>
  <c r="F36" i="24" s="1"/>
  <c r="A37" i="24"/>
  <c r="F37" i="24" s="1"/>
  <c r="A40" i="24"/>
  <c r="F40" i="24" s="1"/>
  <c r="A41" i="24"/>
  <c r="F41" i="24" s="1"/>
  <c r="A42" i="24"/>
  <c r="F42" i="24" s="1"/>
  <c r="A51" i="24"/>
  <c r="F51" i="24" s="1"/>
  <c r="A52" i="24"/>
  <c r="F52" i="24" s="1"/>
  <c r="A53" i="24"/>
  <c r="F53" i="24" s="1"/>
  <c r="A54" i="24"/>
  <c r="F54" i="24" s="1"/>
  <c r="A58" i="24"/>
  <c r="F58" i="24" s="1"/>
  <c r="A60" i="24"/>
  <c r="F60" i="24" s="1"/>
  <c r="A61" i="24"/>
  <c r="F61" i="24" s="1"/>
  <c r="A62" i="24"/>
  <c r="F62" i="24" s="1"/>
  <c r="A67" i="24"/>
  <c r="F67" i="24" s="1"/>
  <c r="A64" i="24"/>
  <c r="F64" i="24" s="1"/>
  <c r="A71" i="24"/>
  <c r="F71" i="24" s="1"/>
  <c r="A72" i="24"/>
  <c r="F72" i="24" s="1"/>
  <c r="A75" i="24"/>
  <c r="F75" i="24" s="1"/>
  <c r="A76" i="24"/>
  <c r="F76" i="24" s="1"/>
  <c r="A77" i="24"/>
  <c r="F77" i="24" s="1"/>
  <c r="A79" i="24"/>
  <c r="F79" i="24" s="1"/>
  <c r="A80" i="24"/>
  <c r="F80" i="24" s="1"/>
  <c r="A117" i="24"/>
  <c r="F117" i="24" s="1"/>
  <c r="A97" i="24"/>
  <c r="A101" i="24"/>
  <c r="A102" i="24"/>
  <c r="A103" i="24"/>
  <c r="A104" i="24"/>
  <c r="A105" i="24"/>
  <c r="A106" i="24"/>
  <c r="F106" i="24" s="1"/>
  <c r="A107" i="24"/>
  <c r="F107" i="24" s="1"/>
  <c r="A108" i="24"/>
  <c r="F108" i="24" s="1"/>
  <c r="A111" i="24"/>
  <c r="F111" i="24" s="1"/>
  <c r="J122" i="24"/>
  <c r="N122" i="24" s="1"/>
  <c r="R122" i="24" s="1"/>
  <c r="V122" i="24" s="1"/>
  <c r="X122" i="24" s="1"/>
  <c r="J130" i="24"/>
  <c r="N130" i="24" s="1"/>
  <c r="J131" i="24"/>
  <c r="N131" i="24" s="1"/>
  <c r="J129" i="24"/>
  <c r="N129" i="24" s="1"/>
  <c r="R129" i="24" s="1"/>
  <c r="V129" i="24" s="1"/>
  <c r="X129" i="24" s="1"/>
  <c r="Y122" i="24"/>
  <c r="Y130" i="24"/>
  <c r="Y131" i="24"/>
  <c r="Y129" i="24"/>
  <c r="J127" i="24"/>
  <c r="N127" i="24" s="1"/>
  <c r="W127" i="24" s="1"/>
  <c r="J128" i="24"/>
  <c r="N128" i="24" s="1"/>
  <c r="Y127" i="24"/>
  <c r="Y128" i="24"/>
  <c r="J102" i="24"/>
  <c r="N102" i="24" s="1"/>
  <c r="J120" i="24"/>
  <c r="N120" i="24" s="1"/>
  <c r="R120" i="24" s="1"/>
  <c r="V120" i="24" s="1"/>
  <c r="X120" i="24" s="1"/>
  <c r="J125" i="24"/>
  <c r="N125" i="24" s="1"/>
  <c r="J126" i="24"/>
  <c r="N126" i="24" s="1"/>
  <c r="R126" i="24" s="1"/>
  <c r="V126" i="24" s="1"/>
  <c r="X126" i="24" s="1"/>
  <c r="Y102" i="24"/>
  <c r="Y120" i="24"/>
  <c r="Y125" i="24"/>
  <c r="Y126" i="24"/>
  <c r="J95" i="24"/>
  <c r="N95" i="24" s="1"/>
  <c r="R95" i="24" s="1"/>
  <c r="V95" i="24" s="1"/>
  <c r="X95" i="24" s="1"/>
  <c r="J96" i="24"/>
  <c r="N96" i="24" s="1"/>
  <c r="W96" i="24" s="1"/>
  <c r="J97" i="24"/>
  <c r="N97" i="24" s="1"/>
  <c r="J98" i="24"/>
  <c r="N98" i="24" s="1"/>
  <c r="W98" i="24" s="1"/>
  <c r="J99" i="24"/>
  <c r="N99" i="24" s="1"/>
  <c r="J100" i="24"/>
  <c r="N100" i="24" s="1"/>
  <c r="J103" i="24"/>
  <c r="N103" i="24" s="1"/>
  <c r="J101" i="24"/>
  <c r="N101" i="24" s="1"/>
  <c r="R101" i="24" s="1"/>
  <c r="V101" i="24" s="1"/>
  <c r="X101" i="24" s="1"/>
  <c r="J104" i="24"/>
  <c r="N104" i="24" s="1"/>
  <c r="R104" i="24" s="1"/>
  <c r="V104" i="24" s="1"/>
  <c r="X104" i="24" s="1"/>
  <c r="J105" i="24"/>
  <c r="N105" i="24" s="1"/>
  <c r="W105" i="24" s="1"/>
  <c r="J106" i="24"/>
  <c r="N106" i="24" s="1"/>
  <c r="J107" i="24"/>
  <c r="N107" i="24" s="1"/>
  <c r="W107" i="24" s="1"/>
  <c r="J108" i="24"/>
  <c r="N108" i="24" s="1"/>
  <c r="J109" i="24"/>
  <c r="N109" i="24" s="1"/>
  <c r="J110" i="24"/>
  <c r="N110" i="24" s="1"/>
  <c r="J111" i="24"/>
  <c r="N111" i="24" s="1"/>
  <c r="R111" i="24" s="1"/>
  <c r="V111" i="24" s="1"/>
  <c r="X111" i="24" s="1"/>
  <c r="J112" i="24"/>
  <c r="N112" i="24" s="1"/>
  <c r="W112" i="24" s="1"/>
  <c r="J113" i="24"/>
  <c r="N113" i="24" s="1"/>
  <c r="W113" i="24" s="1"/>
  <c r="J115" i="24"/>
  <c r="N115" i="24" s="1"/>
  <c r="J114" i="24"/>
  <c r="N114" i="24" s="1"/>
  <c r="W114" i="24" s="1"/>
  <c r="J116" i="24"/>
  <c r="N116" i="24" s="1"/>
  <c r="J117" i="24"/>
  <c r="N117" i="24" s="1"/>
  <c r="J118" i="24"/>
  <c r="N118" i="24" s="1"/>
  <c r="J119" i="24"/>
  <c r="N119" i="24" s="1"/>
  <c r="R119" i="24" s="1"/>
  <c r="V119" i="24" s="1"/>
  <c r="X119" i="24" s="1"/>
  <c r="J121" i="24"/>
  <c r="N121" i="24" s="1"/>
  <c r="R121" i="24" s="1"/>
  <c r="V121" i="24" s="1"/>
  <c r="X121" i="24" s="1"/>
  <c r="J123" i="24"/>
  <c r="N123" i="24" s="1"/>
  <c r="W123" i="24" s="1"/>
  <c r="J124" i="24"/>
  <c r="N124" i="24" s="1"/>
  <c r="J132" i="24"/>
  <c r="J133" i="24"/>
  <c r="N133" i="24" s="1"/>
  <c r="J134" i="24"/>
  <c r="N134" i="24" s="1"/>
  <c r="J135" i="24"/>
  <c r="N135" i="24" s="1"/>
  <c r="J136" i="24"/>
  <c r="N136" i="24" s="1"/>
  <c r="R136" i="24" s="1"/>
  <c r="V136" i="24" s="1"/>
  <c r="X136" i="24" s="1"/>
  <c r="J137" i="24"/>
  <c r="N137" i="24" s="1"/>
  <c r="R137" i="24" s="1"/>
  <c r="V137" i="24" s="1"/>
  <c r="X137" i="24" s="1"/>
  <c r="J138" i="24"/>
  <c r="N138" i="24" s="1"/>
  <c r="W138" i="24" s="1"/>
  <c r="J139" i="24"/>
  <c r="N139" i="24" s="1"/>
  <c r="N132" i="24"/>
  <c r="W132" i="24" s="1"/>
  <c r="Y95" i="24"/>
  <c r="Y96" i="24"/>
  <c r="Y97" i="24"/>
  <c r="Y98" i="24"/>
  <c r="Y99" i="24"/>
  <c r="Y100" i="24"/>
  <c r="Y103" i="24"/>
  <c r="Y101" i="24"/>
  <c r="Y104" i="24"/>
  <c r="Y105" i="24"/>
  <c r="Y106" i="24"/>
  <c r="Y107" i="24"/>
  <c r="Y108" i="24"/>
  <c r="Y109" i="24"/>
  <c r="Y110" i="24"/>
  <c r="Y111" i="24"/>
  <c r="Y112" i="24"/>
  <c r="Y113" i="24"/>
  <c r="Y115" i="24"/>
  <c r="Y114" i="24"/>
  <c r="Y116" i="24"/>
  <c r="Y117" i="24"/>
  <c r="Y118" i="24"/>
  <c r="Y119" i="24"/>
  <c r="Y121" i="24"/>
  <c r="Y123" i="24"/>
  <c r="Y124" i="24"/>
  <c r="Y132" i="24"/>
  <c r="Y133" i="24"/>
  <c r="Y134" i="24"/>
  <c r="Y135" i="24"/>
  <c r="Y136" i="24"/>
  <c r="Y137" i="24"/>
  <c r="Y138" i="24"/>
  <c r="Y139" i="24"/>
  <c r="M79" i="9"/>
  <c r="A79" i="9"/>
  <c r="AB79" i="9"/>
  <c r="AC79" i="9"/>
  <c r="J82" i="24"/>
  <c r="N82" i="24" s="1"/>
  <c r="Y82" i="24"/>
  <c r="J87" i="24"/>
  <c r="N87" i="24" s="1"/>
  <c r="R87" i="24" s="1"/>
  <c r="V87" i="24" s="1"/>
  <c r="X87" i="24" s="1"/>
  <c r="Y87" i="24"/>
  <c r="J81" i="24"/>
  <c r="N81" i="24" s="1"/>
  <c r="R81" i="24" s="1"/>
  <c r="V81" i="24" s="1"/>
  <c r="X81" i="24" s="1"/>
  <c r="J83" i="24"/>
  <c r="N83" i="24" s="1"/>
  <c r="J84" i="24"/>
  <c r="N84" i="24" s="1"/>
  <c r="J85" i="24"/>
  <c r="N85" i="24" s="1"/>
  <c r="J86" i="24"/>
  <c r="N86" i="24" s="1"/>
  <c r="J88" i="24"/>
  <c r="N88" i="24" s="1"/>
  <c r="J89" i="24"/>
  <c r="N89" i="24" s="1"/>
  <c r="J90" i="24"/>
  <c r="N90" i="24" s="1"/>
  <c r="R90" i="24" s="1"/>
  <c r="V90" i="24" s="1"/>
  <c r="X90" i="24" s="1"/>
  <c r="J91" i="24"/>
  <c r="N91" i="24" s="1"/>
  <c r="R91" i="24" s="1"/>
  <c r="V91" i="24" s="1"/>
  <c r="X91" i="24" s="1"/>
  <c r="J92" i="24"/>
  <c r="N92" i="24" s="1"/>
  <c r="R92" i="24" s="1"/>
  <c r="V92" i="24" s="1"/>
  <c r="X92" i="24" s="1"/>
  <c r="J93" i="24"/>
  <c r="N93" i="24" s="1"/>
  <c r="R93" i="24" s="1"/>
  <c r="V93" i="24" s="1"/>
  <c r="X93" i="24" s="1"/>
  <c r="J94" i="24"/>
  <c r="N94" i="24" s="1"/>
  <c r="Y81" i="24"/>
  <c r="Y83" i="24"/>
  <c r="Y84" i="24"/>
  <c r="Y85" i="24"/>
  <c r="Y86" i="24"/>
  <c r="Y88" i="24"/>
  <c r="Y89" i="24"/>
  <c r="Y90" i="24"/>
  <c r="Y91" i="24"/>
  <c r="Y92" i="24"/>
  <c r="Y93" i="24"/>
  <c r="Y94" i="24"/>
  <c r="F140" i="24" l="1"/>
  <c r="AF141" i="9"/>
  <c r="AF129" i="9"/>
  <c r="AF124" i="9"/>
  <c r="AF79" i="9"/>
  <c r="AF115" i="9"/>
  <c r="AF119" i="9"/>
  <c r="AF35" i="9"/>
  <c r="G25" i="28"/>
  <c r="G6" i="28"/>
  <c r="G19" i="28"/>
  <c r="G45" i="28"/>
  <c r="G43" i="28"/>
  <c r="G39" i="28"/>
  <c r="G18" i="28"/>
  <c r="G22" i="28"/>
  <c r="G11" i="28"/>
  <c r="G46" i="28"/>
  <c r="G38" i="28"/>
  <c r="G20" i="28"/>
  <c r="G13" i="28"/>
  <c r="G8" i="28"/>
  <c r="G32" i="28"/>
  <c r="G23" i="28"/>
  <c r="G17" i="28"/>
  <c r="G29" i="28"/>
  <c r="G9" i="28"/>
  <c r="G41" i="28"/>
  <c r="G49" i="28"/>
  <c r="G21" i="28"/>
  <c r="G36" i="28"/>
  <c r="G16" i="28"/>
  <c r="G26" i="28"/>
  <c r="G30" i="28"/>
  <c r="G34" i="28"/>
  <c r="G35" i="28"/>
  <c r="G47" i="28"/>
  <c r="G24" i="28"/>
  <c r="G37" i="28"/>
  <c r="G7" i="28"/>
  <c r="G27" i="28"/>
  <c r="G2" i="28"/>
  <c r="G33" i="28"/>
  <c r="G12" i="28"/>
  <c r="G40" i="28"/>
  <c r="G3" i="28"/>
  <c r="G48" i="28"/>
  <c r="G5" i="28"/>
  <c r="G44" i="28"/>
  <c r="G14" i="28"/>
  <c r="G4" i="28"/>
  <c r="G42" i="28"/>
  <c r="G10" i="28"/>
  <c r="G31" i="28"/>
  <c r="G28" i="28"/>
  <c r="G50" i="28"/>
  <c r="G15" i="28"/>
  <c r="AE8" i="9"/>
  <c r="AE79" i="9"/>
  <c r="AE47" i="9"/>
  <c r="AE110" i="9"/>
  <c r="AE95" i="9"/>
  <c r="AE59" i="9"/>
  <c r="AE21" i="9"/>
  <c r="AE122" i="9"/>
  <c r="AE114" i="9"/>
  <c r="AE112" i="9"/>
  <c r="AE98" i="9"/>
  <c r="AE90" i="9"/>
  <c r="AE82" i="9"/>
  <c r="AE73" i="9"/>
  <c r="AE66" i="9"/>
  <c r="AE57" i="9"/>
  <c r="AE51" i="9"/>
  <c r="AE42" i="9"/>
  <c r="AE34" i="9"/>
  <c r="AE27" i="9"/>
  <c r="AE18" i="9"/>
  <c r="AE10" i="9"/>
  <c r="AE119" i="9"/>
  <c r="AE54" i="9"/>
  <c r="AE121" i="9"/>
  <c r="AE80" i="9"/>
  <c r="AE50" i="9"/>
  <c r="AE41" i="9"/>
  <c r="AE33" i="9"/>
  <c r="AE113" i="9"/>
  <c r="AE89" i="9"/>
  <c r="AE65" i="9"/>
  <c r="AE11" i="9"/>
  <c r="AE120" i="9"/>
  <c r="AE109" i="9"/>
  <c r="AE104" i="9"/>
  <c r="AE97" i="9"/>
  <c r="AE86" i="9"/>
  <c r="AE81" i="9"/>
  <c r="AE71" i="9"/>
  <c r="AE64" i="9"/>
  <c r="AE56" i="9"/>
  <c r="AE48" i="9"/>
  <c r="AE40" i="9"/>
  <c r="AE32" i="9"/>
  <c r="AE24" i="9"/>
  <c r="AE9" i="9"/>
  <c r="AE15" i="9"/>
  <c r="AE103" i="9"/>
  <c r="AE39" i="9"/>
  <c r="AE105" i="9"/>
  <c r="AE74" i="9"/>
  <c r="AE17" i="9"/>
  <c r="AE93" i="9"/>
  <c r="AE31" i="9"/>
  <c r="AE96" i="9"/>
  <c r="AE58" i="9"/>
  <c r="AE25" i="9"/>
  <c r="AE116" i="9"/>
  <c r="AE106" i="9"/>
  <c r="AE102" i="9"/>
  <c r="AE92" i="9"/>
  <c r="AE88" i="9"/>
  <c r="AE78" i="9"/>
  <c r="AE70" i="9"/>
  <c r="AE62" i="9"/>
  <c r="AE55" i="9"/>
  <c r="AE46" i="9"/>
  <c r="AE38" i="9"/>
  <c r="AE29" i="9"/>
  <c r="AE20" i="9"/>
  <c r="AE12" i="9"/>
  <c r="AE5" i="9"/>
  <c r="AE85" i="9"/>
  <c r="AE23" i="9"/>
  <c r="AE107" i="9"/>
  <c r="AE77" i="9"/>
  <c r="AE45" i="9"/>
  <c r="AE144" i="9"/>
  <c r="AE6" i="9"/>
  <c r="AE101" i="9"/>
  <c r="AE69" i="9"/>
  <c r="AE16" i="9"/>
  <c r="AE124" i="9"/>
  <c r="AE118" i="9"/>
  <c r="AE108" i="9"/>
  <c r="AE100" i="9"/>
  <c r="AE94" i="9"/>
  <c r="AE83" i="9"/>
  <c r="AE75" i="9"/>
  <c r="AE68" i="9"/>
  <c r="AE61" i="9"/>
  <c r="AE53" i="9"/>
  <c r="AE44" i="9"/>
  <c r="AE37" i="9"/>
  <c r="AE28" i="9"/>
  <c r="AE22" i="9"/>
  <c r="AE14" i="9"/>
  <c r="AE72" i="9"/>
  <c r="AE7" i="9"/>
  <c r="AE117" i="9"/>
  <c r="AE87" i="9"/>
  <c r="AE52" i="9"/>
  <c r="AE30" i="9"/>
  <c r="AE123" i="9"/>
  <c r="AE115" i="9"/>
  <c r="AE111" i="9"/>
  <c r="AE99" i="9"/>
  <c r="AE91" i="9"/>
  <c r="AE84" i="9"/>
  <c r="AE76" i="9"/>
  <c r="AE67" i="9"/>
  <c r="AE60" i="9"/>
  <c r="AE49" i="9"/>
  <c r="AE43" i="9"/>
  <c r="AE35" i="9"/>
  <c r="AE26" i="9"/>
  <c r="AE19" i="9"/>
  <c r="AE13" i="9"/>
  <c r="AE63" i="9"/>
  <c r="R140" i="24"/>
  <c r="V140" i="24" s="1"/>
  <c r="X140" i="24" s="1"/>
  <c r="W140" i="24"/>
  <c r="R112" i="24"/>
  <c r="V112" i="24" s="1"/>
  <c r="X112" i="24" s="1"/>
  <c r="W95" i="24"/>
  <c r="W137" i="24"/>
  <c r="W128" i="24"/>
  <c r="R128" i="24"/>
  <c r="V128" i="24" s="1"/>
  <c r="X128" i="24" s="1"/>
  <c r="W121" i="24"/>
  <c r="R131" i="24"/>
  <c r="V131" i="24" s="1"/>
  <c r="X131" i="24" s="1"/>
  <c r="W131" i="24"/>
  <c r="R130" i="24"/>
  <c r="V130" i="24" s="1"/>
  <c r="X130" i="24" s="1"/>
  <c r="W130" i="24"/>
  <c r="W129" i="24"/>
  <c r="W122" i="24"/>
  <c r="R127" i="24"/>
  <c r="V127" i="24" s="1"/>
  <c r="X127" i="24" s="1"/>
  <c r="R125" i="24"/>
  <c r="V125" i="24" s="1"/>
  <c r="X125" i="24" s="1"/>
  <c r="W125" i="24"/>
  <c r="R102" i="24"/>
  <c r="V102" i="24" s="1"/>
  <c r="X102" i="24" s="1"/>
  <c r="W102" i="24"/>
  <c r="W126" i="24"/>
  <c r="W120" i="24"/>
  <c r="R134" i="24"/>
  <c r="V134" i="24" s="1"/>
  <c r="X134" i="24" s="1"/>
  <c r="W134" i="24"/>
  <c r="W104" i="24"/>
  <c r="R117" i="24"/>
  <c r="V117" i="24" s="1"/>
  <c r="X117" i="24" s="1"/>
  <c r="W117" i="24"/>
  <c r="W109" i="24"/>
  <c r="R109" i="24"/>
  <c r="V109" i="24" s="1"/>
  <c r="X109" i="24" s="1"/>
  <c r="W100" i="24"/>
  <c r="R100" i="24"/>
  <c r="V100" i="24" s="1"/>
  <c r="X100" i="24" s="1"/>
  <c r="R118" i="24"/>
  <c r="V118" i="24" s="1"/>
  <c r="X118" i="24" s="1"/>
  <c r="W118" i="24"/>
  <c r="W103" i="24"/>
  <c r="R103" i="24"/>
  <c r="V103" i="24" s="1"/>
  <c r="X103" i="24" s="1"/>
  <c r="W133" i="24"/>
  <c r="R133" i="24"/>
  <c r="V133" i="24" s="1"/>
  <c r="X133" i="24" s="1"/>
  <c r="W116" i="24"/>
  <c r="R116" i="24"/>
  <c r="V116" i="24" s="1"/>
  <c r="X116" i="24" s="1"/>
  <c r="W108" i="24"/>
  <c r="R108" i="24"/>
  <c r="V108" i="24" s="1"/>
  <c r="X108" i="24" s="1"/>
  <c r="W99" i="24"/>
  <c r="R99" i="24"/>
  <c r="V99" i="24" s="1"/>
  <c r="X99" i="24" s="1"/>
  <c r="W135" i="24"/>
  <c r="R135" i="24"/>
  <c r="V135" i="24" s="1"/>
  <c r="X135" i="24" s="1"/>
  <c r="W110" i="24"/>
  <c r="R110" i="24"/>
  <c r="V110" i="24" s="1"/>
  <c r="X110" i="24" s="1"/>
  <c r="W124" i="24"/>
  <c r="R124" i="24"/>
  <c r="V124" i="24" s="1"/>
  <c r="X124" i="24" s="1"/>
  <c r="W106" i="24"/>
  <c r="R106" i="24"/>
  <c r="V106" i="24" s="1"/>
  <c r="X106" i="24" s="1"/>
  <c r="W139" i="24"/>
  <c r="R139" i="24"/>
  <c r="V139" i="24" s="1"/>
  <c r="X139" i="24" s="1"/>
  <c r="W115" i="24"/>
  <c r="R115" i="24"/>
  <c r="V115" i="24" s="1"/>
  <c r="X115" i="24" s="1"/>
  <c r="W97" i="24"/>
  <c r="R97" i="24"/>
  <c r="V97" i="24" s="1"/>
  <c r="X97" i="24" s="1"/>
  <c r="W136" i="24"/>
  <c r="W119" i="24"/>
  <c r="W111" i="24"/>
  <c r="W101" i="24"/>
  <c r="R132" i="24"/>
  <c r="V132" i="24" s="1"/>
  <c r="X132" i="24" s="1"/>
  <c r="R114" i="24"/>
  <c r="V114" i="24" s="1"/>
  <c r="X114" i="24" s="1"/>
  <c r="R107" i="24"/>
  <c r="V107" i="24" s="1"/>
  <c r="X107" i="24" s="1"/>
  <c r="R98" i="24"/>
  <c r="V98" i="24" s="1"/>
  <c r="X98" i="24" s="1"/>
  <c r="R138" i="24"/>
  <c r="V138" i="24" s="1"/>
  <c r="X138" i="24" s="1"/>
  <c r="R123" i="24"/>
  <c r="V123" i="24" s="1"/>
  <c r="X123" i="24" s="1"/>
  <c r="R113" i="24"/>
  <c r="V113" i="24" s="1"/>
  <c r="X113" i="24" s="1"/>
  <c r="R105" i="24"/>
  <c r="V105" i="24" s="1"/>
  <c r="X105" i="24" s="1"/>
  <c r="R96" i="24"/>
  <c r="V96" i="24" s="1"/>
  <c r="X96" i="24" s="1"/>
  <c r="R82" i="24"/>
  <c r="V82" i="24" s="1"/>
  <c r="X82" i="24" s="1"/>
  <c r="W82" i="24"/>
  <c r="W87" i="24"/>
  <c r="W89" i="24"/>
  <c r="R89" i="24"/>
  <c r="V89" i="24" s="1"/>
  <c r="X89" i="24" s="1"/>
  <c r="R83" i="24"/>
  <c r="V83" i="24" s="1"/>
  <c r="X83" i="24" s="1"/>
  <c r="W83" i="24"/>
  <c r="W92" i="24"/>
  <c r="R84" i="24"/>
  <c r="V84" i="24" s="1"/>
  <c r="X84" i="24" s="1"/>
  <c r="W84" i="24"/>
  <c r="R94" i="24"/>
  <c r="V94" i="24" s="1"/>
  <c r="X94" i="24" s="1"/>
  <c r="W94" i="24"/>
  <c r="R85" i="24"/>
  <c r="V85" i="24" s="1"/>
  <c r="X85" i="24" s="1"/>
  <c r="W85" i="24"/>
  <c r="R88" i="24"/>
  <c r="V88" i="24" s="1"/>
  <c r="X88" i="24" s="1"/>
  <c r="W88" i="24"/>
  <c r="R86" i="24"/>
  <c r="V86" i="24" s="1"/>
  <c r="X86" i="24" s="1"/>
  <c r="W86" i="24"/>
  <c r="W93" i="24"/>
  <c r="W91" i="24"/>
  <c r="W81" i="24"/>
  <c r="W90" i="24"/>
  <c r="K3" i="11" l="1"/>
  <c r="L3" i="11" s="1"/>
  <c r="K2" i="11"/>
  <c r="L2" i="11" s="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199" i="11"/>
  <c r="M200" i="11"/>
  <c r="M201" i="11"/>
  <c r="M202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286" i="11"/>
  <c r="M287" i="1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M300" i="11"/>
  <c r="M301" i="11"/>
  <c r="M302" i="11"/>
  <c r="M303" i="11"/>
  <c r="M304" i="11"/>
  <c r="M305" i="11"/>
  <c r="M306" i="11"/>
  <c r="M307" i="11"/>
  <c r="M308" i="11"/>
  <c r="M309" i="11"/>
  <c r="M310" i="11"/>
  <c r="M311" i="11"/>
  <c r="M312" i="11"/>
  <c r="M313" i="11"/>
  <c r="M314" i="11"/>
  <c r="M315" i="11"/>
  <c r="M316" i="11"/>
  <c r="M317" i="11"/>
  <c r="M318" i="11"/>
  <c r="M319" i="11"/>
  <c r="M320" i="11"/>
  <c r="M321" i="11"/>
  <c r="M322" i="11"/>
  <c r="M323" i="11"/>
  <c r="M324" i="11"/>
  <c r="M325" i="11"/>
  <c r="M326" i="11"/>
  <c r="M327" i="11"/>
  <c r="M328" i="11"/>
  <c r="M329" i="11"/>
  <c r="M330" i="11"/>
  <c r="M331" i="11"/>
  <c r="M332" i="11"/>
  <c r="M333" i="11"/>
  <c r="M334" i="11"/>
  <c r="M335" i="11"/>
  <c r="M336" i="11"/>
  <c r="M337" i="11"/>
  <c r="M338" i="11"/>
  <c r="M339" i="11"/>
  <c r="M340" i="11"/>
  <c r="M341" i="11"/>
  <c r="M342" i="11"/>
  <c r="M343" i="11"/>
  <c r="M344" i="11"/>
  <c r="M345" i="11"/>
  <c r="M346" i="11"/>
  <c r="M347" i="11"/>
  <c r="M348" i="11"/>
  <c r="M349" i="11"/>
  <c r="M350" i="11"/>
  <c r="M351" i="11"/>
  <c r="M352" i="11"/>
  <c r="M353" i="11"/>
  <c r="M354" i="11"/>
  <c r="M355" i="11"/>
  <c r="M356" i="11"/>
  <c r="M357" i="11"/>
  <c r="M358" i="11"/>
  <c r="M359" i="11"/>
  <c r="M360" i="11"/>
  <c r="M361" i="11"/>
  <c r="M362" i="11"/>
  <c r="M363" i="11"/>
  <c r="M364" i="11"/>
  <c r="M365" i="11"/>
  <c r="M366" i="11"/>
  <c r="M367" i="11"/>
  <c r="M368" i="11"/>
  <c r="M369" i="11"/>
  <c r="M370" i="11"/>
  <c r="M371" i="11"/>
  <c r="M372" i="11"/>
  <c r="M373" i="11"/>
  <c r="M374" i="11"/>
  <c r="M375" i="11"/>
  <c r="M376" i="11"/>
  <c r="M377" i="11"/>
  <c r="M378" i="11"/>
  <c r="M379" i="11"/>
  <c r="M380" i="11"/>
  <c r="M381" i="11"/>
  <c r="M382" i="11"/>
  <c r="M383" i="11"/>
  <c r="M384" i="11"/>
  <c r="M385" i="11"/>
  <c r="M386" i="11"/>
  <c r="M387" i="11"/>
  <c r="M388" i="11"/>
  <c r="M389" i="11"/>
  <c r="M390" i="11"/>
  <c r="M391" i="11"/>
  <c r="M392" i="11"/>
  <c r="M393" i="11"/>
  <c r="M394" i="11"/>
  <c r="M395" i="11"/>
  <c r="M396" i="11"/>
  <c r="M397" i="11"/>
  <c r="M398" i="11"/>
  <c r="M399" i="11"/>
  <c r="M400" i="11"/>
  <c r="M401" i="11"/>
  <c r="M402" i="11"/>
  <c r="M403" i="11"/>
  <c r="M404" i="11"/>
  <c r="M405" i="11"/>
  <c r="M406" i="11"/>
  <c r="M407" i="11"/>
  <c r="M408" i="11"/>
  <c r="M409" i="11"/>
  <c r="M410" i="11"/>
  <c r="M411" i="11"/>
  <c r="M412" i="11"/>
  <c r="M413" i="11"/>
  <c r="M414" i="11"/>
  <c r="M415" i="11"/>
  <c r="M416" i="11"/>
  <c r="M417" i="11"/>
  <c r="M418" i="11"/>
  <c r="M419" i="11"/>
  <c r="M420" i="11"/>
  <c r="M421" i="11"/>
  <c r="M422" i="11"/>
  <c r="M423" i="11"/>
  <c r="M424" i="11"/>
  <c r="M425" i="11"/>
  <c r="M426" i="11"/>
  <c r="M427" i="11"/>
  <c r="M428" i="11"/>
  <c r="M429" i="11"/>
  <c r="M430" i="11"/>
  <c r="M431" i="11"/>
  <c r="M432" i="11"/>
  <c r="M433" i="11"/>
  <c r="M434" i="11"/>
  <c r="M435" i="11"/>
  <c r="M436" i="11"/>
  <c r="M437" i="11"/>
  <c r="M438" i="11"/>
  <c r="M439" i="11"/>
  <c r="M440" i="11"/>
  <c r="M441" i="11"/>
  <c r="M442" i="11"/>
  <c r="M443" i="11"/>
  <c r="M444" i="11"/>
  <c r="M445" i="11"/>
  <c r="M446" i="11"/>
  <c r="M447" i="11"/>
  <c r="M448" i="11"/>
  <c r="M449" i="11"/>
  <c r="M450" i="11"/>
  <c r="M451" i="11"/>
  <c r="M452" i="11"/>
  <c r="M453" i="11"/>
  <c r="M454" i="11"/>
  <c r="M455" i="11"/>
  <c r="M456" i="11"/>
  <c r="M457" i="11"/>
  <c r="M458" i="11"/>
  <c r="M459" i="11"/>
  <c r="M460" i="11"/>
  <c r="M461" i="11"/>
  <c r="M462" i="11"/>
  <c r="M463" i="11"/>
  <c r="M464" i="11"/>
  <c r="M465" i="11"/>
  <c r="M466" i="11"/>
  <c r="M467" i="11"/>
  <c r="M468" i="11"/>
  <c r="M469" i="11"/>
  <c r="M470" i="11"/>
  <c r="M471" i="11"/>
  <c r="M472" i="11"/>
  <c r="M473" i="11"/>
  <c r="M474" i="11"/>
  <c r="M475" i="11"/>
  <c r="M476" i="11"/>
  <c r="M477" i="11"/>
  <c r="M478" i="11"/>
  <c r="M479" i="11"/>
  <c r="M480" i="11"/>
  <c r="M481" i="11"/>
  <c r="M482" i="11"/>
  <c r="M483" i="11"/>
  <c r="M484" i="11"/>
  <c r="M485" i="11"/>
  <c r="M486" i="11"/>
  <c r="M487" i="11"/>
  <c r="M488" i="11"/>
  <c r="M489" i="11"/>
  <c r="M490" i="11"/>
  <c r="M491" i="11"/>
  <c r="M492" i="11"/>
  <c r="M493" i="11"/>
  <c r="M494" i="11"/>
  <c r="M495" i="11"/>
  <c r="M496" i="11"/>
  <c r="M497" i="11"/>
  <c r="M498" i="11"/>
  <c r="M499" i="11"/>
  <c r="M500" i="11"/>
  <c r="M501" i="11"/>
  <c r="M502" i="11"/>
  <c r="M503" i="11"/>
  <c r="M504" i="11"/>
  <c r="M505" i="11"/>
  <c r="M506" i="11"/>
  <c r="M507" i="11"/>
  <c r="M508" i="11"/>
  <c r="M509" i="11"/>
  <c r="M510" i="11"/>
  <c r="M511" i="11"/>
  <c r="M512" i="11"/>
  <c r="M513" i="11"/>
  <c r="M514" i="11"/>
  <c r="M515" i="11"/>
  <c r="M516" i="11"/>
  <c r="M517" i="11"/>
  <c r="M518" i="11"/>
  <c r="M519" i="11"/>
  <c r="M520" i="11"/>
  <c r="M521" i="11"/>
  <c r="M522" i="11"/>
  <c r="M523" i="11"/>
  <c r="M524" i="11"/>
  <c r="M525" i="11"/>
  <c r="M526" i="11"/>
  <c r="M527" i="11"/>
  <c r="M528" i="11"/>
  <c r="M529" i="11"/>
  <c r="M530" i="11"/>
  <c r="M531" i="11"/>
  <c r="M532" i="11"/>
  <c r="M533" i="11"/>
  <c r="M534" i="11"/>
  <c r="M535" i="11"/>
  <c r="M536" i="11"/>
  <c r="M537" i="11"/>
  <c r="M538" i="11"/>
  <c r="M539" i="11"/>
  <c r="M540" i="11"/>
  <c r="M541" i="11"/>
  <c r="M542" i="11"/>
  <c r="M543" i="11"/>
  <c r="M544" i="11"/>
  <c r="M545" i="11"/>
  <c r="M546" i="11"/>
  <c r="M547" i="11"/>
  <c r="M548" i="11"/>
  <c r="M549" i="11"/>
  <c r="M550" i="11"/>
  <c r="M551" i="11"/>
  <c r="M552" i="11"/>
  <c r="M553" i="11"/>
  <c r="M554" i="11"/>
  <c r="M555" i="11"/>
  <c r="M556" i="11"/>
  <c r="M557" i="11"/>
  <c r="M558" i="11"/>
  <c r="M559" i="11"/>
  <c r="M560" i="11"/>
  <c r="M561" i="11"/>
  <c r="M562" i="11"/>
  <c r="M563" i="11"/>
  <c r="M564" i="11"/>
  <c r="M565" i="11"/>
  <c r="M566" i="11"/>
  <c r="M567" i="11"/>
  <c r="M568" i="11"/>
  <c r="M569" i="11"/>
  <c r="M570" i="11"/>
  <c r="M571" i="11"/>
  <c r="M572" i="11"/>
  <c r="M573" i="11"/>
  <c r="M574" i="11"/>
  <c r="M575" i="11"/>
  <c r="M576" i="11"/>
  <c r="M577" i="11"/>
  <c r="M578" i="11"/>
  <c r="M579" i="11"/>
  <c r="M580" i="11"/>
  <c r="M581" i="11"/>
  <c r="M582" i="11"/>
  <c r="M583" i="11"/>
  <c r="M584" i="11"/>
  <c r="M585" i="11"/>
  <c r="M586" i="11"/>
  <c r="M587" i="11"/>
  <c r="M588" i="11"/>
  <c r="M589" i="11"/>
  <c r="M590" i="11"/>
  <c r="M591" i="11"/>
  <c r="M592" i="11"/>
  <c r="M593" i="11"/>
  <c r="M594" i="11"/>
  <c r="M595" i="11"/>
  <c r="M596" i="11"/>
  <c r="M597" i="11"/>
  <c r="M598" i="11"/>
  <c r="M599" i="11"/>
  <c r="M600" i="11"/>
  <c r="M601" i="11"/>
  <c r="M602" i="11"/>
  <c r="M603" i="11"/>
  <c r="M604" i="11"/>
  <c r="M605" i="11"/>
  <c r="M606" i="11"/>
  <c r="M607" i="11"/>
  <c r="M608" i="11"/>
  <c r="M609" i="11"/>
  <c r="M610" i="11"/>
  <c r="M611" i="11"/>
  <c r="M612" i="11"/>
  <c r="M613" i="11"/>
  <c r="M614" i="11"/>
  <c r="M615" i="11"/>
  <c r="M616" i="11"/>
  <c r="M617" i="11"/>
  <c r="M618" i="11"/>
  <c r="M619" i="11"/>
  <c r="M620" i="11"/>
  <c r="M621" i="11"/>
  <c r="M622" i="11"/>
  <c r="M623" i="11"/>
  <c r="M624" i="11"/>
  <c r="M625" i="11"/>
  <c r="M626" i="11"/>
  <c r="M627" i="11"/>
  <c r="M628" i="11"/>
  <c r="M629" i="11"/>
  <c r="M630" i="11"/>
  <c r="M631" i="11"/>
  <c r="M632" i="11"/>
  <c r="M633" i="11"/>
  <c r="M634" i="11"/>
  <c r="M635" i="11"/>
  <c r="M636" i="11"/>
  <c r="M637" i="11"/>
  <c r="M638" i="11"/>
  <c r="M639" i="11"/>
  <c r="M640" i="11"/>
  <c r="M641" i="11"/>
  <c r="M642" i="11"/>
  <c r="M643" i="11"/>
  <c r="M644" i="11"/>
  <c r="M645" i="11"/>
  <c r="M646" i="11"/>
  <c r="M647" i="11"/>
  <c r="M648" i="11"/>
  <c r="M649" i="11"/>
  <c r="M650" i="11"/>
  <c r="M651" i="11"/>
  <c r="M652" i="11"/>
  <c r="M653" i="11"/>
  <c r="M654" i="11"/>
  <c r="M655" i="11"/>
  <c r="M656" i="11"/>
  <c r="M657" i="11"/>
  <c r="M658" i="11"/>
  <c r="M659" i="11"/>
  <c r="M660" i="11"/>
  <c r="M661" i="11"/>
  <c r="M662" i="11"/>
  <c r="M663" i="11"/>
  <c r="M664" i="11"/>
  <c r="M665" i="11"/>
  <c r="M666" i="11"/>
  <c r="M667" i="11"/>
  <c r="M668" i="11"/>
  <c r="M669" i="11"/>
  <c r="M670" i="11"/>
  <c r="M671" i="11"/>
  <c r="M672" i="11"/>
  <c r="M673" i="11"/>
  <c r="M674" i="11"/>
  <c r="M675" i="11"/>
  <c r="M676" i="11"/>
  <c r="M677" i="11"/>
  <c r="M678" i="11"/>
  <c r="M679" i="11"/>
  <c r="M680" i="11"/>
  <c r="M681" i="11"/>
  <c r="M682" i="11"/>
  <c r="M683" i="11"/>
  <c r="M684" i="11"/>
  <c r="M685" i="11"/>
  <c r="M686" i="11"/>
  <c r="M687" i="11"/>
  <c r="M688" i="11"/>
  <c r="M689" i="11"/>
  <c r="M690" i="11"/>
  <c r="M691" i="11"/>
  <c r="M692" i="11"/>
  <c r="M693" i="11"/>
  <c r="M694" i="11"/>
  <c r="M695" i="11"/>
  <c r="M696" i="11"/>
  <c r="M697" i="11"/>
  <c r="M698" i="11"/>
  <c r="M699" i="11"/>
  <c r="M700" i="11"/>
  <c r="M701" i="11"/>
  <c r="M702" i="11"/>
  <c r="M703" i="11"/>
  <c r="M704" i="11"/>
  <c r="M705" i="11"/>
  <c r="M706" i="11"/>
  <c r="M707" i="11"/>
  <c r="M708" i="11"/>
  <c r="M709" i="11"/>
  <c r="M710" i="11"/>
  <c r="M711" i="11"/>
  <c r="M712" i="11"/>
  <c r="M713" i="11"/>
  <c r="M714" i="11"/>
  <c r="M715" i="11"/>
  <c r="M716" i="11"/>
  <c r="M717" i="11"/>
  <c r="M718" i="11"/>
  <c r="M719" i="11"/>
  <c r="M720" i="11"/>
  <c r="M721" i="11"/>
  <c r="M722" i="11"/>
  <c r="M723" i="11"/>
  <c r="M724" i="11"/>
  <c r="M725" i="11"/>
  <c r="M726" i="11"/>
  <c r="M727" i="11"/>
  <c r="M728" i="11"/>
  <c r="M729" i="11"/>
  <c r="M730" i="11"/>
  <c r="M731" i="11"/>
  <c r="M732" i="11"/>
  <c r="M733" i="11"/>
  <c r="M734" i="11"/>
  <c r="M735" i="11"/>
  <c r="M736" i="11"/>
  <c r="M737" i="11"/>
  <c r="M738" i="11"/>
  <c r="M739" i="11"/>
  <c r="M740" i="11"/>
  <c r="M741" i="11"/>
  <c r="M742" i="11"/>
  <c r="M743" i="11"/>
  <c r="M744" i="11"/>
  <c r="M745" i="11"/>
  <c r="M746" i="11"/>
  <c r="M747" i="11"/>
  <c r="M748" i="11"/>
  <c r="M749" i="11"/>
  <c r="M750" i="11"/>
  <c r="M751" i="11"/>
  <c r="M752" i="11"/>
  <c r="M753" i="11"/>
  <c r="M754" i="11"/>
  <c r="M755" i="11"/>
  <c r="M756" i="11"/>
  <c r="M757" i="11"/>
  <c r="M758" i="11"/>
  <c r="M759" i="11"/>
  <c r="M760" i="11"/>
  <c r="M761" i="11"/>
  <c r="M762" i="11"/>
  <c r="M763" i="11"/>
  <c r="M764" i="11"/>
  <c r="M765" i="11"/>
  <c r="M766" i="11"/>
  <c r="M767" i="11"/>
  <c r="M768" i="11"/>
  <c r="M769" i="11"/>
  <c r="M770" i="11"/>
  <c r="M771" i="11"/>
  <c r="M772" i="11"/>
  <c r="M773" i="11"/>
  <c r="M774" i="11"/>
  <c r="M775" i="11"/>
  <c r="M776" i="11"/>
  <c r="M777" i="11"/>
  <c r="M778" i="11"/>
  <c r="M779" i="11"/>
  <c r="M780" i="11"/>
  <c r="M781" i="11"/>
  <c r="M782" i="11"/>
  <c r="M783" i="11"/>
  <c r="M784" i="11"/>
  <c r="M785" i="11"/>
  <c r="M786" i="11"/>
  <c r="M787" i="11"/>
  <c r="M788" i="11"/>
  <c r="M789" i="11"/>
  <c r="M790" i="11"/>
  <c r="M791" i="11"/>
  <c r="M792" i="11"/>
  <c r="M793" i="11"/>
  <c r="M794" i="11"/>
  <c r="M795" i="11"/>
  <c r="M796" i="11"/>
  <c r="M797" i="11"/>
  <c r="M798" i="11"/>
  <c r="M799" i="11"/>
  <c r="M800" i="11"/>
  <c r="M801" i="11"/>
  <c r="M802" i="11"/>
  <c r="M803" i="11"/>
  <c r="M804" i="11"/>
  <c r="M805" i="11"/>
  <c r="M806" i="11"/>
  <c r="M807" i="11"/>
  <c r="M808" i="11"/>
  <c r="M809" i="11"/>
  <c r="M810" i="11"/>
  <c r="M811" i="11"/>
  <c r="M812" i="11"/>
  <c r="M813" i="11"/>
  <c r="M814" i="11"/>
  <c r="M815" i="11"/>
  <c r="M816" i="11"/>
  <c r="M817" i="11"/>
  <c r="M818" i="11"/>
  <c r="M819" i="11"/>
  <c r="M820" i="11"/>
  <c r="M821" i="11"/>
  <c r="M822" i="11"/>
  <c r="M823" i="11"/>
  <c r="M824" i="11"/>
  <c r="M825" i="11"/>
  <c r="M826" i="11"/>
  <c r="M827" i="11"/>
  <c r="M828" i="11"/>
  <c r="M829" i="11"/>
  <c r="M830" i="11"/>
  <c r="M831" i="11"/>
  <c r="M832" i="11"/>
  <c r="M833" i="11"/>
  <c r="M834" i="11"/>
  <c r="M835" i="11"/>
  <c r="M836" i="11"/>
  <c r="M837" i="11"/>
  <c r="M838" i="11"/>
  <c r="M839" i="11"/>
  <c r="M840" i="11"/>
  <c r="M841" i="11"/>
  <c r="M842" i="11"/>
  <c r="M843" i="11"/>
  <c r="M844" i="11"/>
  <c r="M845" i="11"/>
  <c r="M846" i="11"/>
  <c r="M847" i="11"/>
  <c r="M848" i="11"/>
  <c r="M849" i="11"/>
  <c r="M850" i="11"/>
  <c r="M851" i="11"/>
  <c r="M852" i="11"/>
  <c r="M853" i="11"/>
  <c r="M854" i="11"/>
  <c r="M855" i="11"/>
  <c r="M856" i="11"/>
  <c r="M857" i="11"/>
  <c r="M858" i="11"/>
  <c r="M859" i="11"/>
  <c r="M860" i="11"/>
  <c r="M861" i="11"/>
  <c r="M862" i="11"/>
  <c r="M863" i="11"/>
  <c r="M864" i="11"/>
  <c r="M865" i="11"/>
  <c r="M866" i="11"/>
  <c r="M867" i="11"/>
  <c r="M868" i="11"/>
  <c r="M869" i="11"/>
  <c r="M870" i="11"/>
  <c r="M871" i="11"/>
  <c r="M872" i="11"/>
  <c r="M873" i="11"/>
  <c r="M874" i="11"/>
  <c r="M875" i="11"/>
  <c r="M876" i="11"/>
  <c r="M877" i="11"/>
  <c r="M878" i="11"/>
  <c r="M879" i="11"/>
  <c r="M880" i="11"/>
  <c r="M881" i="11"/>
  <c r="M882" i="11"/>
  <c r="M883" i="11"/>
  <c r="M884" i="11"/>
  <c r="M885" i="11"/>
  <c r="M886" i="11"/>
  <c r="M887" i="11"/>
  <c r="M888" i="11"/>
  <c r="M889" i="11"/>
  <c r="M890" i="11"/>
  <c r="M891" i="11"/>
  <c r="M892" i="11"/>
  <c r="M893" i="11"/>
  <c r="M894" i="11"/>
  <c r="M895" i="11"/>
  <c r="M896" i="11"/>
  <c r="M897" i="11"/>
  <c r="M898" i="11"/>
  <c r="M899" i="11"/>
  <c r="M900" i="11"/>
  <c r="M901" i="11"/>
  <c r="M902" i="11"/>
  <c r="M903" i="11"/>
  <c r="M904" i="11"/>
  <c r="M905" i="11"/>
  <c r="M906" i="11"/>
  <c r="M907" i="11"/>
  <c r="M908" i="11"/>
  <c r="M909" i="11"/>
  <c r="M910" i="11"/>
  <c r="M911" i="11"/>
  <c r="M912" i="11"/>
  <c r="M913" i="11"/>
  <c r="M914" i="11"/>
  <c r="M915" i="11"/>
  <c r="M916" i="11"/>
  <c r="M917" i="11"/>
  <c r="M918" i="11"/>
  <c r="M919" i="11"/>
  <c r="M920" i="11"/>
  <c r="M921" i="11"/>
  <c r="M922" i="11"/>
  <c r="M923" i="11"/>
  <c r="M924" i="11"/>
  <c r="M925" i="11"/>
  <c r="M926" i="11"/>
  <c r="M927" i="11"/>
  <c r="M928" i="11"/>
  <c r="M929" i="11"/>
  <c r="M930" i="11"/>
  <c r="M931" i="11"/>
  <c r="M932" i="11"/>
  <c r="M933" i="11"/>
  <c r="M934" i="11"/>
  <c r="M935" i="11"/>
  <c r="M936" i="11"/>
  <c r="M937" i="11"/>
  <c r="M938" i="11"/>
  <c r="M939" i="11"/>
  <c r="M940" i="11"/>
  <c r="M941" i="11"/>
  <c r="M942" i="11"/>
  <c r="M943" i="11"/>
  <c r="M944" i="11"/>
  <c r="M945" i="11"/>
  <c r="M946" i="11"/>
  <c r="M947" i="11"/>
  <c r="M948" i="11"/>
  <c r="M949" i="11"/>
  <c r="M950" i="11"/>
  <c r="M951" i="11"/>
  <c r="M952" i="11"/>
  <c r="M953" i="11"/>
  <c r="M954" i="11"/>
  <c r="M955" i="11"/>
  <c r="M956" i="11"/>
  <c r="M957" i="11"/>
  <c r="M958" i="11"/>
  <c r="M959" i="11"/>
  <c r="M960" i="11"/>
  <c r="M961" i="11"/>
  <c r="M962" i="11"/>
  <c r="M963" i="11"/>
  <c r="M964" i="11"/>
  <c r="M965" i="11"/>
  <c r="M966" i="11"/>
  <c r="M967" i="11"/>
  <c r="M968" i="11"/>
  <c r="M969" i="11"/>
  <c r="M970" i="11"/>
  <c r="M971" i="11"/>
  <c r="M972" i="11"/>
  <c r="M973" i="11"/>
  <c r="M974" i="11"/>
  <c r="M975" i="11"/>
  <c r="M976" i="11"/>
  <c r="M977" i="11"/>
  <c r="M978" i="11"/>
  <c r="M979" i="11"/>
  <c r="M980" i="11"/>
  <c r="M981" i="11"/>
  <c r="M982" i="11"/>
  <c r="M983" i="11"/>
  <c r="M984" i="11"/>
  <c r="M985" i="11"/>
  <c r="M986" i="11"/>
  <c r="M987" i="11"/>
  <c r="M988" i="11"/>
  <c r="M989" i="11"/>
  <c r="M990" i="11"/>
  <c r="M991" i="11"/>
  <c r="M992" i="11"/>
  <c r="M993" i="11"/>
  <c r="M994" i="11"/>
  <c r="M995" i="11"/>
  <c r="M996" i="11"/>
  <c r="M997" i="11"/>
  <c r="M998" i="11"/>
  <c r="M999" i="11"/>
  <c r="M1000" i="11"/>
  <c r="M1001" i="11"/>
  <c r="M1002" i="11"/>
  <c r="M1003" i="11"/>
  <c r="M1004" i="11"/>
  <c r="M1005" i="11"/>
  <c r="M1006" i="11"/>
  <c r="M1007" i="11"/>
  <c r="M1008" i="11"/>
  <c r="M1009" i="11"/>
  <c r="M1010" i="11"/>
  <c r="M1011" i="11"/>
  <c r="M1012" i="11"/>
  <c r="M1013" i="11"/>
  <c r="M1014" i="11"/>
  <c r="M1015" i="11"/>
  <c r="M1016" i="11"/>
  <c r="M1017" i="11"/>
  <c r="M1018" i="11"/>
  <c r="M1019" i="11"/>
  <c r="M1020" i="11"/>
  <c r="M1021" i="11"/>
  <c r="M1022" i="11"/>
  <c r="M1023" i="11"/>
  <c r="M1024" i="11"/>
  <c r="M1025" i="11"/>
  <c r="M1026" i="11"/>
  <c r="M1027" i="11"/>
  <c r="M1028" i="11"/>
  <c r="M1029" i="11"/>
  <c r="M1030" i="11"/>
  <c r="M1031" i="11"/>
  <c r="M1032" i="11"/>
  <c r="M1033" i="11"/>
  <c r="M1034" i="11"/>
  <c r="M1035" i="11"/>
  <c r="M1036" i="11"/>
  <c r="M1037" i="11"/>
  <c r="M1038" i="11"/>
  <c r="M1039" i="11"/>
  <c r="M1040" i="11"/>
  <c r="M1041" i="11"/>
  <c r="M1042" i="11"/>
  <c r="M1043" i="11"/>
  <c r="M1044" i="11"/>
  <c r="M1045" i="11"/>
  <c r="M1046" i="11"/>
  <c r="M1047" i="11"/>
  <c r="M1048" i="11"/>
  <c r="M1049" i="11"/>
  <c r="M1050" i="11"/>
  <c r="M1051" i="11"/>
  <c r="M1052" i="11"/>
  <c r="M1053" i="11"/>
  <c r="M1054" i="11"/>
  <c r="M1055" i="11"/>
  <c r="M1056" i="11"/>
  <c r="M1057" i="11"/>
  <c r="M1058" i="11"/>
  <c r="M1059" i="11"/>
  <c r="M1060" i="11"/>
  <c r="M1061" i="11"/>
  <c r="M1062" i="11"/>
  <c r="M1063" i="11"/>
  <c r="M1064" i="11"/>
  <c r="M1065" i="11"/>
  <c r="M1066" i="11"/>
  <c r="M1067" i="11"/>
  <c r="M1068" i="11"/>
  <c r="M1069" i="11"/>
  <c r="M1070" i="11"/>
  <c r="M1071" i="11"/>
  <c r="M1072" i="11"/>
  <c r="M1073" i="11"/>
  <c r="M1074" i="11"/>
  <c r="M1075" i="11"/>
  <c r="M1076" i="11"/>
  <c r="M1077" i="11"/>
  <c r="M1078" i="11"/>
  <c r="M1079" i="11"/>
  <c r="M1080" i="11"/>
  <c r="M1081" i="11"/>
  <c r="M1082" i="11"/>
  <c r="M1083" i="11"/>
  <c r="M1084" i="11"/>
  <c r="M1085" i="11"/>
  <c r="M1086" i="11"/>
  <c r="M1087" i="11"/>
  <c r="M1088" i="11"/>
  <c r="M1089" i="11"/>
  <c r="M1090" i="11"/>
  <c r="M1091" i="11"/>
  <c r="M1092" i="11"/>
  <c r="M1093" i="11"/>
  <c r="M1094" i="11"/>
  <c r="M1095" i="11"/>
  <c r="M1096" i="11"/>
  <c r="M1097" i="11"/>
  <c r="M1098" i="11"/>
  <c r="M1099" i="11"/>
  <c r="M1100" i="11"/>
  <c r="M1101" i="11"/>
  <c r="M1102" i="11"/>
  <c r="M1103" i="11"/>
  <c r="M1104" i="11"/>
  <c r="M1105" i="11"/>
  <c r="M1106" i="11"/>
  <c r="M1107" i="11"/>
  <c r="M1108" i="11"/>
  <c r="M1109" i="11"/>
  <c r="M1110" i="11"/>
  <c r="M1111" i="11"/>
  <c r="M1112" i="11"/>
  <c r="M1113" i="11"/>
  <c r="M1114" i="11"/>
  <c r="M1115" i="11"/>
  <c r="M1116" i="11"/>
  <c r="M1117" i="11"/>
  <c r="M1118" i="11"/>
  <c r="M1119" i="11"/>
  <c r="M1120" i="11"/>
  <c r="M1121" i="11"/>
  <c r="M1122" i="11"/>
  <c r="M1123" i="11"/>
  <c r="M1124" i="11"/>
  <c r="M1125" i="11"/>
  <c r="M1126" i="11"/>
  <c r="M1127" i="11"/>
  <c r="M1128" i="11"/>
  <c r="M1129" i="11"/>
  <c r="M1130" i="11"/>
  <c r="M1131" i="11"/>
  <c r="M1132" i="11"/>
  <c r="M1133" i="11"/>
  <c r="M1134" i="11"/>
  <c r="M1135" i="11"/>
  <c r="M1136" i="11"/>
  <c r="M1137" i="11"/>
  <c r="M1138" i="11"/>
  <c r="M1139" i="11"/>
  <c r="M1140" i="11"/>
  <c r="M1141" i="11"/>
  <c r="M1142" i="11"/>
  <c r="M1143" i="11"/>
  <c r="M1144" i="11"/>
  <c r="M1145" i="11"/>
  <c r="M1146" i="11"/>
  <c r="M1147" i="11"/>
  <c r="M1148" i="11"/>
  <c r="M1149" i="11"/>
  <c r="M1150" i="11"/>
  <c r="M1151" i="11"/>
  <c r="M1152" i="11"/>
  <c r="M1153" i="11"/>
  <c r="M1154" i="11"/>
  <c r="M1155" i="11"/>
  <c r="M1156" i="11"/>
  <c r="M1157" i="11"/>
  <c r="M1158" i="11"/>
  <c r="M1159" i="11"/>
  <c r="M1160" i="11"/>
  <c r="M1161" i="11"/>
  <c r="M1162" i="11"/>
  <c r="M1163" i="11"/>
  <c r="M1164" i="11"/>
  <c r="M1165" i="11"/>
  <c r="M1166" i="11"/>
  <c r="M1167" i="11"/>
  <c r="M1168" i="11"/>
  <c r="M1169" i="11"/>
  <c r="M1170" i="11"/>
  <c r="M1171" i="11"/>
  <c r="M1172" i="11"/>
  <c r="M1173" i="11"/>
  <c r="M1174" i="11"/>
  <c r="M1175" i="11"/>
  <c r="M1176" i="11"/>
  <c r="M1177" i="11"/>
  <c r="M1178" i="11"/>
  <c r="M1179" i="11"/>
  <c r="M1180" i="11"/>
  <c r="M1181" i="11"/>
  <c r="M1182" i="11"/>
  <c r="M1183" i="11"/>
  <c r="M1184" i="11"/>
  <c r="M1185" i="11"/>
  <c r="M1186" i="11"/>
  <c r="M1187" i="11"/>
  <c r="M1188" i="11"/>
  <c r="M1189" i="11"/>
  <c r="M1190" i="11"/>
  <c r="M1191" i="11"/>
  <c r="M1192" i="11"/>
  <c r="M1193" i="11"/>
  <c r="M1194" i="11"/>
  <c r="M1195" i="11"/>
  <c r="M1196" i="11"/>
  <c r="M1197" i="11"/>
  <c r="M1198" i="11"/>
  <c r="M1199" i="11"/>
  <c r="M1200" i="11"/>
  <c r="M1201" i="11"/>
  <c r="M1202" i="11"/>
  <c r="M1203" i="11"/>
  <c r="M1204" i="11"/>
  <c r="M1205" i="11"/>
  <c r="M1206" i="11"/>
  <c r="M1207" i="11"/>
  <c r="M1208" i="11"/>
  <c r="M1209" i="11"/>
  <c r="M1210" i="11"/>
  <c r="M1211" i="11"/>
  <c r="M1212" i="11"/>
  <c r="M1213" i="11"/>
  <c r="M1214" i="11"/>
  <c r="M1215" i="11"/>
  <c r="M1216" i="11"/>
  <c r="M1217" i="11"/>
  <c r="M1218" i="11"/>
  <c r="M1219" i="11"/>
  <c r="M1220" i="11"/>
  <c r="M1221" i="11"/>
  <c r="M1222" i="11"/>
  <c r="M1223" i="11"/>
  <c r="M1224" i="11"/>
  <c r="M1225" i="11"/>
  <c r="M1226" i="11"/>
  <c r="M1227" i="11"/>
  <c r="M1228" i="11"/>
  <c r="M1229" i="11"/>
  <c r="M1230" i="11"/>
  <c r="M1231" i="11"/>
  <c r="M1232" i="11"/>
  <c r="M1233" i="11"/>
  <c r="M1234" i="11"/>
  <c r="M1235" i="11"/>
  <c r="M1236" i="11"/>
  <c r="M1237" i="11"/>
  <c r="M1238" i="11"/>
  <c r="M1239" i="11"/>
  <c r="M1240" i="11"/>
  <c r="M1241" i="11"/>
  <c r="M1242" i="11"/>
  <c r="M1243" i="11"/>
  <c r="M1244" i="11"/>
  <c r="M1245" i="11"/>
  <c r="M1246" i="11"/>
  <c r="M1247" i="11"/>
  <c r="M1248" i="11"/>
  <c r="M1249" i="11"/>
  <c r="M1250" i="11"/>
  <c r="M1251" i="11"/>
  <c r="M1252" i="11"/>
  <c r="M1253" i="11"/>
  <c r="M1254" i="11"/>
  <c r="M1255" i="11"/>
  <c r="M1256" i="11"/>
  <c r="M1257" i="11"/>
  <c r="M1258" i="11"/>
  <c r="M1259" i="11"/>
  <c r="M1260" i="11"/>
  <c r="M1261" i="11"/>
  <c r="M1262" i="11"/>
  <c r="M1263" i="11"/>
  <c r="M1264" i="11"/>
  <c r="M1265" i="11"/>
  <c r="M1266" i="11"/>
  <c r="M1267" i="11"/>
  <c r="M1268" i="11"/>
  <c r="M1269" i="11"/>
  <c r="M1270" i="11"/>
  <c r="M1271" i="11"/>
  <c r="M1272" i="11"/>
  <c r="M1273" i="11"/>
  <c r="M1274" i="11"/>
  <c r="M1275" i="11"/>
  <c r="M1276" i="11"/>
  <c r="M1277" i="11"/>
  <c r="M1278" i="11"/>
  <c r="M1279" i="11"/>
  <c r="M1280" i="11"/>
  <c r="M1281" i="11"/>
  <c r="M1282" i="11"/>
  <c r="M1283" i="11"/>
  <c r="M1284" i="11"/>
  <c r="M1285" i="11"/>
  <c r="M1286" i="11"/>
  <c r="M1287" i="11"/>
  <c r="M1288" i="11"/>
  <c r="M1289" i="11"/>
  <c r="M1290" i="11"/>
  <c r="M1291" i="11"/>
  <c r="M1292" i="11"/>
  <c r="M1293" i="11"/>
  <c r="M1294" i="11"/>
  <c r="M1295" i="11"/>
  <c r="M1296" i="11"/>
  <c r="M1297" i="11"/>
  <c r="M1298" i="11"/>
  <c r="M1299" i="11"/>
  <c r="M1300" i="11"/>
  <c r="M1301" i="11"/>
  <c r="M1302" i="11"/>
  <c r="M1303" i="11"/>
  <c r="M1304" i="11"/>
  <c r="M1305" i="11"/>
  <c r="M1306" i="11"/>
  <c r="M1307" i="11"/>
  <c r="M1308" i="11"/>
  <c r="M1309" i="11"/>
  <c r="M1310" i="11"/>
  <c r="M1311" i="11"/>
  <c r="M1312" i="11"/>
  <c r="M1313" i="11"/>
  <c r="M1314" i="11"/>
  <c r="M1315" i="11"/>
  <c r="M1316" i="11"/>
  <c r="M1317" i="11"/>
  <c r="M1318" i="11"/>
  <c r="M1319" i="11"/>
  <c r="M1320" i="11"/>
  <c r="M1321" i="11"/>
  <c r="M1322" i="11"/>
  <c r="M1323" i="11"/>
  <c r="M1324" i="11"/>
  <c r="M1325" i="11"/>
  <c r="M1326" i="11"/>
  <c r="M1327" i="11"/>
  <c r="M1328" i="11"/>
  <c r="M1329" i="11"/>
  <c r="M1330" i="11"/>
  <c r="M1331" i="11"/>
  <c r="M1332" i="11"/>
  <c r="M1333" i="11"/>
  <c r="M1334" i="11"/>
  <c r="M1335" i="11"/>
  <c r="M1336" i="11"/>
  <c r="M1337" i="11"/>
  <c r="M1338" i="11"/>
  <c r="M1339" i="11"/>
  <c r="M1340" i="11"/>
  <c r="M1341" i="11"/>
  <c r="M1342" i="11"/>
  <c r="M1343" i="11"/>
  <c r="M1344" i="11"/>
  <c r="M1345" i="11"/>
  <c r="M1346" i="11"/>
  <c r="M1347" i="11"/>
  <c r="M1348" i="11"/>
  <c r="M1349" i="11"/>
  <c r="M1350" i="11"/>
  <c r="M1351" i="11"/>
  <c r="M1352" i="11"/>
  <c r="M1353" i="11"/>
  <c r="M1354" i="11"/>
  <c r="M1355" i="11"/>
  <c r="M1356" i="11"/>
  <c r="M1357" i="11"/>
  <c r="M1358" i="11"/>
  <c r="M1359" i="11"/>
  <c r="M1360" i="11"/>
  <c r="M1361" i="11"/>
  <c r="M1362" i="11"/>
  <c r="M1363" i="11"/>
  <c r="M1364" i="11"/>
  <c r="M1365" i="11"/>
  <c r="M1366" i="11"/>
  <c r="M1367" i="11"/>
  <c r="M1368" i="11"/>
  <c r="M1369" i="11"/>
  <c r="M1370" i="11"/>
  <c r="M1371" i="11"/>
  <c r="M1372" i="11"/>
  <c r="M1373" i="11"/>
  <c r="M1374" i="11"/>
  <c r="M1375" i="11"/>
  <c r="M1376" i="11"/>
  <c r="M1377" i="11"/>
  <c r="M1378" i="11"/>
  <c r="M1379" i="11"/>
  <c r="M1380" i="11"/>
  <c r="M1381" i="11"/>
  <c r="M1382" i="11"/>
  <c r="M1383" i="11"/>
  <c r="M1384" i="11"/>
  <c r="M1385" i="11"/>
  <c r="M1386" i="11"/>
  <c r="M1387" i="11"/>
  <c r="M1388" i="11"/>
  <c r="M1389" i="11"/>
  <c r="M1390" i="11"/>
  <c r="M1391" i="11"/>
  <c r="M1392" i="11"/>
  <c r="M1393" i="11"/>
  <c r="M1394" i="11"/>
  <c r="M1395" i="11"/>
  <c r="M1396" i="11"/>
  <c r="M1397" i="11"/>
  <c r="M1398" i="11"/>
  <c r="M1399" i="11"/>
  <c r="M1400" i="11"/>
  <c r="M1401" i="11"/>
  <c r="M1402" i="11"/>
  <c r="M1403" i="11"/>
  <c r="M1404" i="11"/>
  <c r="M1405" i="11"/>
  <c r="M1406" i="11"/>
  <c r="M1407" i="11"/>
  <c r="M1408" i="11"/>
  <c r="M1409" i="11"/>
  <c r="M1410" i="11"/>
  <c r="M1411" i="11"/>
  <c r="M1412" i="11"/>
  <c r="M1413" i="11"/>
  <c r="M1414" i="11"/>
  <c r="M1415" i="11"/>
  <c r="M1416" i="11"/>
  <c r="M1417" i="11"/>
  <c r="M1418" i="11"/>
  <c r="M1419" i="11"/>
  <c r="M1420" i="11"/>
  <c r="M1421" i="11"/>
  <c r="M1422" i="11"/>
  <c r="M1423" i="11"/>
  <c r="M1424" i="11"/>
  <c r="M1425" i="11"/>
  <c r="M1426" i="11"/>
  <c r="M1427" i="11"/>
  <c r="M1428" i="11"/>
  <c r="M1429" i="11"/>
  <c r="M1430" i="11"/>
  <c r="M1431" i="11"/>
  <c r="M1432" i="11"/>
  <c r="M1433" i="11"/>
  <c r="M1434" i="11"/>
  <c r="M1435" i="11"/>
  <c r="M1436" i="11"/>
  <c r="M1437" i="11"/>
  <c r="M1438" i="11"/>
  <c r="M1439" i="11"/>
  <c r="M1440" i="11"/>
  <c r="M1441" i="11"/>
  <c r="M1442" i="11"/>
  <c r="M1443" i="11"/>
  <c r="M1444" i="11"/>
  <c r="M1445" i="11"/>
  <c r="M1446" i="11"/>
  <c r="M1447" i="11"/>
  <c r="M1448" i="11"/>
  <c r="M1449" i="11"/>
  <c r="M1450" i="11"/>
  <c r="M1451" i="11"/>
  <c r="M1452" i="11"/>
  <c r="M1453" i="11"/>
  <c r="M1454" i="11"/>
  <c r="M1455" i="11"/>
  <c r="M1456" i="11"/>
  <c r="M1457" i="11"/>
  <c r="M1458" i="11"/>
  <c r="M1459" i="11"/>
  <c r="M1460" i="11"/>
  <c r="M1461" i="11"/>
  <c r="M1462" i="11"/>
  <c r="M1463" i="11"/>
  <c r="M1464" i="11"/>
  <c r="M1465" i="11"/>
  <c r="M1466" i="11"/>
  <c r="M1467" i="11"/>
  <c r="M1468" i="11"/>
  <c r="M1469" i="11"/>
  <c r="M1470" i="11"/>
  <c r="M1471" i="11"/>
  <c r="M1472" i="11"/>
  <c r="M1473" i="11"/>
  <c r="M1474" i="11"/>
  <c r="M1475" i="11"/>
  <c r="M1476" i="11"/>
  <c r="M1477" i="11"/>
  <c r="M1478" i="11"/>
  <c r="M1479" i="11"/>
  <c r="M1480" i="11"/>
  <c r="M1481" i="11"/>
  <c r="M1482" i="11"/>
  <c r="M1483" i="11"/>
  <c r="M1484" i="11"/>
  <c r="M1485" i="11"/>
  <c r="M1486" i="11"/>
  <c r="M1487" i="11"/>
  <c r="M1488" i="11"/>
  <c r="M1489" i="11"/>
  <c r="M1490" i="11"/>
  <c r="M1491" i="11"/>
  <c r="M1492" i="11"/>
  <c r="M1493" i="11"/>
  <c r="M1494" i="11"/>
  <c r="M1495" i="11"/>
  <c r="M1496" i="11"/>
  <c r="M1497" i="11"/>
  <c r="M1498" i="11"/>
  <c r="M1499" i="11"/>
  <c r="M1500" i="11"/>
  <c r="M1501" i="11"/>
  <c r="M1502" i="11"/>
  <c r="M1503" i="11"/>
  <c r="M1504" i="11"/>
  <c r="M1505" i="11"/>
  <c r="M1506" i="11"/>
  <c r="M1507" i="11"/>
  <c r="M1508" i="11"/>
  <c r="M1509" i="11"/>
  <c r="M1510" i="11"/>
  <c r="M1511" i="11"/>
  <c r="M1512" i="11"/>
  <c r="M1513" i="11"/>
  <c r="M1514" i="11"/>
  <c r="M1515" i="11"/>
  <c r="M1516" i="11"/>
  <c r="M1517" i="11"/>
  <c r="M1518" i="11"/>
  <c r="M1519" i="11"/>
  <c r="M1520" i="11"/>
  <c r="M1521" i="11"/>
  <c r="M1522" i="11"/>
  <c r="M1523" i="11"/>
  <c r="M1524" i="11"/>
  <c r="M1525" i="11"/>
  <c r="M1526" i="11"/>
  <c r="M1527" i="11"/>
  <c r="M1528" i="11"/>
  <c r="M1529" i="11"/>
  <c r="M1530" i="11"/>
  <c r="M1531" i="11"/>
  <c r="M1532" i="11"/>
  <c r="M1533" i="11"/>
  <c r="M1534" i="11"/>
  <c r="M1535" i="11"/>
  <c r="M1536" i="11"/>
  <c r="M1537" i="11"/>
  <c r="M1538" i="11"/>
  <c r="M1539" i="11"/>
  <c r="M1540" i="11"/>
  <c r="M1541" i="11"/>
  <c r="M1542" i="11"/>
  <c r="M1543" i="11"/>
  <c r="M1544" i="11"/>
  <c r="M1545" i="11"/>
  <c r="M1546" i="11"/>
  <c r="M1547" i="11"/>
  <c r="M1548" i="11"/>
  <c r="M1549" i="11"/>
  <c r="M1550" i="11"/>
  <c r="M1551" i="11"/>
  <c r="M1552" i="11"/>
  <c r="M1553" i="11"/>
  <c r="M1554" i="11"/>
  <c r="M1555" i="11"/>
  <c r="M1556" i="11"/>
  <c r="M1557" i="11"/>
  <c r="M1558" i="11"/>
  <c r="M1559" i="11"/>
  <c r="M1560" i="11"/>
  <c r="M1561" i="11"/>
  <c r="M1562" i="11"/>
  <c r="M1563" i="11"/>
  <c r="M1564" i="11"/>
  <c r="M1565" i="11"/>
  <c r="M1566" i="11"/>
  <c r="M1567" i="11"/>
  <c r="M1568" i="11"/>
  <c r="M1569" i="11"/>
  <c r="M1570" i="11"/>
  <c r="M1571" i="11"/>
  <c r="M1572" i="11"/>
  <c r="M1573" i="11"/>
  <c r="M1574" i="11"/>
  <c r="M1575" i="11"/>
  <c r="M1576" i="11"/>
  <c r="M1577" i="11"/>
  <c r="M1578" i="11"/>
  <c r="M1579" i="11"/>
  <c r="M1580" i="11"/>
  <c r="M1581" i="11"/>
  <c r="M1582" i="11"/>
  <c r="M1583" i="11"/>
  <c r="M1584" i="11"/>
  <c r="M1585" i="11"/>
  <c r="M1586" i="11"/>
  <c r="M1587" i="11"/>
  <c r="M1588" i="11"/>
  <c r="M1589" i="11"/>
  <c r="M1590" i="11"/>
  <c r="M1591" i="11"/>
  <c r="M1592" i="11"/>
  <c r="M1593" i="11"/>
  <c r="M1594" i="11"/>
  <c r="M1595" i="11"/>
  <c r="M1596" i="11"/>
  <c r="M1597" i="11"/>
  <c r="M1598" i="11"/>
  <c r="M1599" i="11"/>
  <c r="M1600" i="11"/>
  <c r="M1601" i="11"/>
  <c r="M1602" i="11"/>
  <c r="M1603" i="11"/>
  <c r="M1604" i="11"/>
  <c r="M1605" i="11"/>
  <c r="M1606" i="11"/>
  <c r="M1607" i="11"/>
  <c r="M1608" i="11"/>
  <c r="M1609" i="11"/>
  <c r="M1610" i="11"/>
  <c r="M1611" i="11"/>
  <c r="M1612" i="11"/>
  <c r="M1613" i="11"/>
  <c r="M1614" i="11"/>
  <c r="M1615" i="11"/>
  <c r="M1616" i="11"/>
  <c r="M1617" i="11"/>
  <c r="M1618" i="11"/>
  <c r="M1619" i="11"/>
  <c r="M1620" i="11"/>
  <c r="M1621" i="11"/>
  <c r="M1622" i="11"/>
  <c r="M1623" i="11"/>
  <c r="M1624" i="11"/>
  <c r="M1625" i="11"/>
  <c r="M1626" i="11"/>
  <c r="M1627" i="11"/>
  <c r="M1628" i="11"/>
  <c r="M1629" i="11"/>
  <c r="M1630" i="11"/>
  <c r="M1631" i="11"/>
  <c r="M1632" i="11"/>
  <c r="M1633" i="11"/>
  <c r="M1634" i="11"/>
  <c r="M1635" i="11"/>
  <c r="M1636" i="11"/>
  <c r="M1637" i="11"/>
  <c r="M1638" i="11"/>
  <c r="M1639" i="11"/>
  <c r="M1640" i="11"/>
  <c r="M1641" i="11"/>
  <c r="M1642" i="11"/>
  <c r="M1643" i="11"/>
  <c r="M1644" i="11"/>
  <c r="M1645" i="11"/>
  <c r="M1646" i="11"/>
  <c r="M1647" i="11"/>
  <c r="M1648" i="11"/>
  <c r="M1649" i="11"/>
  <c r="M1650" i="11"/>
  <c r="M1651" i="11"/>
  <c r="M1652" i="11"/>
  <c r="M1653" i="11"/>
  <c r="M1654" i="11"/>
  <c r="M1655" i="11"/>
  <c r="M1656" i="11"/>
  <c r="M1657" i="11"/>
  <c r="M1658" i="11"/>
  <c r="M1659" i="11"/>
  <c r="M1660" i="11"/>
  <c r="M1661" i="11"/>
  <c r="M1662" i="11"/>
  <c r="M1663" i="11"/>
  <c r="M1664" i="11"/>
  <c r="M1665" i="11"/>
  <c r="M1666" i="11"/>
  <c r="M1667" i="11"/>
  <c r="M1668" i="11"/>
  <c r="M1669" i="11"/>
  <c r="M1670" i="11"/>
  <c r="M1671" i="11"/>
  <c r="M1672" i="11"/>
  <c r="M1673" i="11"/>
  <c r="M1674" i="11"/>
  <c r="M1675" i="11"/>
  <c r="M1676" i="11"/>
  <c r="M1677" i="11"/>
  <c r="M1678" i="11"/>
  <c r="M1679" i="11"/>
  <c r="M1680" i="11"/>
  <c r="M1681" i="11"/>
  <c r="M1682" i="11"/>
  <c r="M1683" i="11"/>
  <c r="M1684" i="11"/>
  <c r="M1685" i="11"/>
  <c r="M1686" i="11"/>
  <c r="M1687" i="11"/>
  <c r="M1688" i="11"/>
  <c r="M1689" i="11"/>
  <c r="M1690" i="11"/>
  <c r="M1691" i="11"/>
  <c r="M1692" i="11"/>
  <c r="M1693" i="11"/>
  <c r="M1694" i="11"/>
  <c r="M1695" i="11"/>
  <c r="M1696" i="11"/>
  <c r="M1697" i="11"/>
  <c r="M1698" i="11"/>
  <c r="M1699" i="11"/>
  <c r="M1700" i="11"/>
  <c r="M1701" i="11"/>
  <c r="M1702" i="11"/>
  <c r="M1703" i="11"/>
  <c r="M1704" i="11"/>
  <c r="M1705" i="11"/>
  <c r="M1706" i="11"/>
  <c r="M1707" i="11"/>
  <c r="M1708" i="11"/>
  <c r="M1709" i="11"/>
  <c r="M1710" i="11"/>
  <c r="M1711" i="11"/>
  <c r="M1712" i="11"/>
  <c r="M1713" i="11"/>
  <c r="M1714" i="11"/>
  <c r="M1715" i="11"/>
  <c r="M1716" i="11"/>
  <c r="M1717" i="11"/>
  <c r="M1718" i="11"/>
  <c r="M1719" i="11"/>
  <c r="M1720" i="11"/>
  <c r="M1721" i="11"/>
  <c r="M1722" i="11"/>
  <c r="M1723" i="11"/>
  <c r="M1724" i="11"/>
  <c r="M1725" i="11"/>
  <c r="M1726" i="11"/>
  <c r="M1727" i="11"/>
  <c r="M1728" i="11"/>
  <c r="M1729" i="11"/>
  <c r="M1730" i="11"/>
  <c r="M1731" i="11"/>
  <c r="M1732" i="11"/>
  <c r="M1733" i="11"/>
  <c r="M1734" i="11"/>
  <c r="M1735" i="11"/>
  <c r="M1736" i="11"/>
  <c r="M1737" i="11"/>
  <c r="M1738" i="11"/>
  <c r="M1739" i="11"/>
  <c r="M1740" i="11"/>
  <c r="M1741" i="11"/>
  <c r="M1742" i="11"/>
  <c r="M1743" i="11"/>
  <c r="M1744" i="11"/>
  <c r="M1745" i="11"/>
  <c r="M1746" i="11"/>
  <c r="M1747" i="11"/>
  <c r="M1748" i="11"/>
  <c r="M1749" i="11"/>
  <c r="M1750" i="11"/>
  <c r="M1751" i="11"/>
  <c r="M1752" i="11"/>
  <c r="M1753" i="11"/>
  <c r="M1754" i="11"/>
  <c r="M1755" i="11"/>
  <c r="M1756" i="11"/>
  <c r="M1757" i="11"/>
  <c r="M1758" i="11"/>
  <c r="M1759" i="11"/>
  <c r="M1760" i="11"/>
  <c r="M1761" i="11"/>
  <c r="M1762" i="11"/>
  <c r="M1763" i="11"/>
  <c r="M1764" i="11"/>
  <c r="M1765" i="11"/>
  <c r="M1766" i="11"/>
  <c r="M1767" i="11"/>
  <c r="M1768" i="11"/>
  <c r="M1769" i="11"/>
  <c r="M1770" i="11"/>
  <c r="M1771" i="11"/>
  <c r="M1772" i="11"/>
  <c r="M1773" i="11"/>
  <c r="M1774" i="11"/>
  <c r="M1775" i="11"/>
  <c r="M1776" i="11"/>
  <c r="M1777" i="11"/>
  <c r="M1778" i="11"/>
  <c r="M1779" i="11"/>
  <c r="M1780" i="11"/>
  <c r="M1781" i="11"/>
  <c r="M1782" i="11"/>
  <c r="M1783" i="11"/>
  <c r="M1784" i="11"/>
  <c r="M1785" i="11"/>
  <c r="M1786" i="11"/>
  <c r="M1787" i="11"/>
  <c r="M1788" i="11"/>
  <c r="M1789" i="11"/>
  <c r="M1790" i="11"/>
  <c r="M1791" i="11"/>
  <c r="M1792" i="11"/>
  <c r="M1793" i="11"/>
  <c r="M1794" i="11"/>
  <c r="M1795" i="11"/>
  <c r="M1796" i="11"/>
  <c r="M1797" i="11"/>
  <c r="M1798" i="11"/>
  <c r="M1799" i="11"/>
  <c r="M1800" i="11"/>
  <c r="M1801" i="11"/>
  <c r="M1802" i="11"/>
  <c r="M1803" i="11"/>
  <c r="M1804" i="11"/>
  <c r="M1805" i="11"/>
  <c r="M1806" i="11"/>
  <c r="M1807" i="11"/>
  <c r="M1808" i="11"/>
  <c r="M1809" i="11"/>
  <c r="M1810" i="11"/>
  <c r="M1811" i="11"/>
  <c r="M1812" i="11"/>
  <c r="M1813" i="11"/>
  <c r="M1814" i="11"/>
  <c r="M1815" i="11"/>
  <c r="M1816" i="11"/>
  <c r="M1817" i="11"/>
  <c r="M1818" i="11"/>
  <c r="M1819" i="11"/>
  <c r="M1820" i="11"/>
  <c r="M1821" i="11"/>
  <c r="M1822" i="11"/>
  <c r="M1823" i="11"/>
  <c r="M1824" i="11"/>
  <c r="M1825" i="11"/>
  <c r="M1826" i="11"/>
  <c r="M1827" i="11"/>
  <c r="M1828" i="11"/>
  <c r="M1829" i="11"/>
  <c r="M1830" i="11"/>
  <c r="M1831" i="11"/>
  <c r="M1832" i="11"/>
  <c r="M1833" i="11"/>
  <c r="M1834" i="11"/>
  <c r="M1835" i="11"/>
  <c r="M1836" i="11"/>
  <c r="M1837" i="11"/>
  <c r="M1838" i="11"/>
  <c r="M1839" i="11"/>
  <c r="M1840" i="11"/>
  <c r="M1841" i="11"/>
  <c r="M1842" i="11"/>
  <c r="M1843" i="11"/>
  <c r="M1844" i="11"/>
  <c r="M1845" i="11"/>
  <c r="M1846" i="11"/>
  <c r="M1847" i="11"/>
  <c r="M1848" i="11"/>
  <c r="M1849" i="11"/>
  <c r="M1850" i="11"/>
  <c r="M1851" i="11"/>
  <c r="M1852" i="11"/>
  <c r="M1853" i="11"/>
  <c r="M1854" i="11"/>
  <c r="M1855" i="11"/>
  <c r="M1856" i="11"/>
  <c r="M1857" i="11"/>
  <c r="M1858" i="11"/>
  <c r="M1859" i="11"/>
  <c r="M1860" i="11"/>
  <c r="M1861" i="11"/>
  <c r="M1862" i="11"/>
  <c r="M1863" i="11"/>
  <c r="M1864" i="11"/>
  <c r="M1865" i="11"/>
  <c r="M1866" i="11"/>
  <c r="M1867" i="11"/>
  <c r="M1868" i="11"/>
  <c r="M1869" i="11"/>
  <c r="M1870" i="11"/>
  <c r="M1871" i="11"/>
  <c r="M1872" i="11"/>
  <c r="M1873" i="11"/>
  <c r="M1874" i="11"/>
  <c r="M1875" i="11"/>
  <c r="M1876" i="11"/>
  <c r="M1877" i="11"/>
  <c r="M1878" i="11"/>
  <c r="M1879" i="11"/>
  <c r="M1880" i="11"/>
  <c r="M1881" i="11"/>
  <c r="M1882" i="11"/>
  <c r="M1883" i="11"/>
  <c r="M1884" i="11"/>
  <c r="M1885" i="11"/>
  <c r="M1886" i="11"/>
  <c r="M1887" i="11"/>
  <c r="M1888" i="11"/>
  <c r="M1889" i="11"/>
  <c r="M1890" i="11"/>
  <c r="M1891" i="11"/>
  <c r="M1892" i="11"/>
  <c r="M1893" i="11"/>
  <c r="M1894" i="11"/>
  <c r="M1895" i="11"/>
  <c r="M1896" i="11"/>
  <c r="M1897" i="11"/>
  <c r="M1898" i="11"/>
  <c r="M1899" i="11"/>
  <c r="M1900" i="11"/>
  <c r="M1901" i="11"/>
  <c r="M1902" i="11"/>
  <c r="M1903" i="11"/>
  <c r="M1904" i="11"/>
  <c r="M1905" i="11"/>
  <c r="M1906" i="11"/>
  <c r="M1907" i="11"/>
  <c r="M1908" i="11"/>
  <c r="M1909" i="11"/>
  <c r="M1910" i="11"/>
  <c r="M1911" i="11"/>
  <c r="M1912" i="11"/>
  <c r="M1913" i="11"/>
  <c r="M1914" i="11"/>
  <c r="M1915" i="11"/>
  <c r="M1916" i="11"/>
  <c r="M1917" i="11"/>
  <c r="M1918" i="11"/>
  <c r="M1919" i="11"/>
  <c r="M1920" i="11"/>
  <c r="M1921" i="11"/>
  <c r="M1922" i="11"/>
  <c r="M1923" i="11"/>
  <c r="M1924" i="11"/>
  <c r="M1925" i="11"/>
  <c r="M1926" i="11"/>
  <c r="M1927" i="11"/>
  <c r="M1928" i="11"/>
  <c r="M1929" i="11"/>
  <c r="M1930" i="11"/>
  <c r="M1931" i="11"/>
  <c r="M1932" i="11"/>
  <c r="M1933" i="11"/>
  <c r="M1934" i="11"/>
  <c r="M1935" i="11"/>
  <c r="M1936" i="11"/>
  <c r="M1937" i="11"/>
  <c r="M1938" i="11"/>
  <c r="M1939" i="11"/>
  <c r="M1940" i="11"/>
  <c r="M1941" i="11"/>
  <c r="M1942" i="11"/>
  <c r="M1943" i="11"/>
  <c r="M1944" i="11"/>
  <c r="M1945" i="11"/>
  <c r="M1946" i="11"/>
  <c r="M1947" i="11"/>
  <c r="M1948" i="11"/>
  <c r="M1949" i="11"/>
  <c r="M1950" i="11"/>
  <c r="M1951" i="11"/>
  <c r="M1952" i="11"/>
  <c r="M1953" i="11"/>
  <c r="M1954" i="11"/>
  <c r="M1955" i="11"/>
  <c r="M1956" i="11"/>
  <c r="M1957" i="11"/>
  <c r="M1958" i="11"/>
  <c r="M1959" i="11"/>
  <c r="M1960" i="11"/>
  <c r="M1961" i="11"/>
  <c r="M1962" i="11"/>
  <c r="M1963" i="11"/>
  <c r="M1964" i="11"/>
  <c r="M1965" i="11"/>
  <c r="M1966" i="11"/>
  <c r="M1967" i="11"/>
  <c r="M1968" i="11"/>
  <c r="M1969" i="11"/>
  <c r="M1970" i="11"/>
  <c r="M1971" i="11"/>
  <c r="M1972" i="11"/>
  <c r="M1973" i="11"/>
  <c r="M1974" i="11"/>
  <c r="M1975" i="11"/>
  <c r="M1976" i="11"/>
  <c r="M1977" i="11"/>
  <c r="M1978" i="11"/>
  <c r="M1979" i="11"/>
  <c r="M1980" i="11"/>
  <c r="M1981" i="11"/>
  <c r="M1982" i="11"/>
  <c r="M1983" i="11"/>
  <c r="M1984" i="11"/>
  <c r="M1985" i="11"/>
  <c r="M1986" i="11"/>
  <c r="M1987" i="11"/>
  <c r="M1988" i="11"/>
  <c r="M1989" i="11"/>
  <c r="M1990" i="11"/>
  <c r="M1991" i="11"/>
  <c r="M1992" i="11"/>
  <c r="M1993" i="11"/>
  <c r="M1994" i="11"/>
  <c r="M1995" i="11"/>
  <c r="M1996" i="11"/>
  <c r="M1997" i="11"/>
  <c r="M1998" i="11"/>
  <c r="M1999" i="11"/>
  <c r="M2000" i="11"/>
  <c r="M2001" i="11"/>
  <c r="M2002" i="11"/>
  <c r="M2003" i="11"/>
  <c r="M2004" i="11"/>
  <c r="M2005" i="11"/>
  <c r="M2006" i="11"/>
  <c r="M2007" i="11"/>
  <c r="M2008" i="11"/>
  <c r="M2009" i="11"/>
  <c r="M2010" i="11"/>
  <c r="M2011" i="11"/>
  <c r="M2012" i="11"/>
  <c r="M2013" i="11"/>
  <c r="M2014" i="11"/>
  <c r="M2015" i="11"/>
  <c r="M2016" i="11"/>
  <c r="M2017" i="11"/>
  <c r="M2018" i="11"/>
  <c r="M2019" i="11"/>
  <c r="M2020" i="11"/>
  <c r="M2021" i="11"/>
  <c r="M2022" i="11"/>
  <c r="M2023" i="11"/>
  <c r="M2024" i="11"/>
  <c r="M2025" i="11"/>
  <c r="M2026" i="11"/>
  <c r="M2027" i="11"/>
  <c r="M2028" i="11"/>
  <c r="M2029" i="11"/>
  <c r="M2030" i="11"/>
  <c r="M2031" i="11"/>
  <c r="M2032" i="11"/>
  <c r="M2033" i="11"/>
  <c r="M2034" i="11"/>
  <c r="M2035" i="11"/>
  <c r="M2036" i="11"/>
  <c r="M2037" i="11"/>
  <c r="M2038" i="11"/>
  <c r="M2039" i="11"/>
  <c r="M2040" i="11"/>
  <c r="M2041" i="11"/>
  <c r="M2042" i="11"/>
  <c r="M2043" i="11"/>
  <c r="M2044" i="11"/>
  <c r="M2045" i="11"/>
  <c r="M2046" i="11"/>
  <c r="M2047" i="11"/>
  <c r="M2048" i="11"/>
  <c r="M2049" i="11"/>
  <c r="M2050" i="11"/>
  <c r="M2051" i="11"/>
  <c r="M2052" i="11"/>
  <c r="M2053" i="11"/>
  <c r="M2054" i="11"/>
  <c r="M2055" i="11"/>
  <c r="M2056" i="11"/>
  <c r="M2057" i="11"/>
  <c r="M2058" i="11"/>
  <c r="M2059" i="11"/>
  <c r="M2060" i="11"/>
  <c r="M2061" i="11"/>
  <c r="M2062" i="11"/>
  <c r="M2063" i="11"/>
  <c r="M2064" i="11"/>
  <c r="M2065" i="11"/>
  <c r="M2066" i="11"/>
  <c r="M2067" i="11"/>
  <c r="M2068" i="11"/>
  <c r="M2069" i="11"/>
  <c r="M2070" i="11"/>
  <c r="M2071" i="11"/>
  <c r="M2072" i="11"/>
  <c r="M2073" i="11"/>
  <c r="M2074" i="11"/>
  <c r="M2075" i="11"/>
  <c r="M2076" i="11"/>
  <c r="M2077" i="11"/>
  <c r="M2078" i="11"/>
  <c r="M2079" i="11"/>
  <c r="M2080" i="11"/>
  <c r="M2081" i="11"/>
  <c r="M2082" i="11"/>
  <c r="M2083" i="11"/>
  <c r="M2084" i="11"/>
  <c r="M2085" i="11"/>
  <c r="M2086" i="11"/>
  <c r="M2087" i="11"/>
  <c r="M2088" i="11"/>
  <c r="M2089" i="11"/>
  <c r="M2090" i="11"/>
  <c r="M2091" i="11"/>
  <c r="M2092" i="11"/>
  <c r="M2093" i="11"/>
  <c r="M2094" i="11"/>
  <c r="M2095" i="11"/>
  <c r="M2096" i="11"/>
  <c r="M2097" i="11"/>
  <c r="M2098" i="11"/>
  <c r="M2099" i="11"/>
  <c r="M2100" i="11"/>
  <c r="M2101" i="11"/>
  <c r="M2102" i="11"/>
  <c r="M2103" i="11"/>
  <c r="M2104" i="11"/>
  <c r="M2105" i="11"/>
  <c r="M2106" i="11"/>
  <c r="M2107" i="11"/>
  <c r="M2108" i="11"/>
  <c r="M2109" i="11"/>
  <c r="M2110" i="11"/>
  <c r="M2111" i="11"/>
  <c r="M2112" i="11"/>
  <c r="M2113" i="11"/>
  <c r="M2114" i="11"/>
  <c r="M2115" i="11"/>
  <c r="M2116" i="11"/>
  <c r="M2117" i="11"/>
  <c r="M2118" i="11"/>
  <c r="M2119" i="11"/>
  <c r="M2120" i="11"/>
  <c r="M2121" i="11"/>
  <c r="M2122" i="11"/>
  <c r="M2123" i="11"/>
  <c r="M2124" i="11"/>
  <c r="M2125" i="11"/>
  <c r="M2126" i="11"/>
  <c r="M2127" i="11"/>
  <c r="M2128" i="11"/>
  <c r="M2129" i="11"/>
  <c r="M2130" i="11"/>
  <c r="M2131" i="11"/>
  <c r="M2132" i="11"/>
  <c r="M2133" i="11"/>
  <c r="M2134" i="11"/>
  <c r="M2135" i="11"/>
  <c r="M2136" i="11"/>
  <c r="M2137" i="11"/>
  <c r="M2138" i="11"/>
  <c r="M2139" i="11"/>
  <c r="M2140" i="11"/>
  <c r="M2141" i="11"/>
  <c r="M2142" i="11"/>
  <c r="M2143" i="11"/>
  <c r="M2144" i="11"/>
  <c r="M2145" i="11"/>
  <c r="M2146" i="11"/>
  <c r="M2147" i="11"/>
  <c r="M2148" i="11"/>
  <c r="M2149" i="11"/>
  <c r="M2150" i="11"/>
  <c r="M2151" i="11"/>
  <c r="M2152" i="11"/>
  <c r="M2153" i="11"/>
  <c r="M2154" i="11"/>
  <c r="M2155" i="11"/>
  <c r="M2156" i="11"/>
  <c r="M2157" i="11"/>
  <c r="M2158" i="11"/>
  <c r="M2159" i="11"/>
  <c r="M2160" i="11"/>
  <c r="M2161" i="11"/>
  <c r="M2162" i="11"/>
  <c r="M2163" i="11"/>
  <c r="M2164" i="11"/>
  <c r="M2165" i="11"/>
  <c r="M2166" i="11"/>
  <c r="M2167" i="11"/>
  <c r="M2168" i="11"/>
  <c r="M2169" i="11"/>
  <c r="M2170" i="11"/>
  <c r="M2171" i="11"/>
  <c r="M2172" i="11"/>
  <c r="M2173" i="11"/>
  <c r="M2174" i="11"/>
  <c r="M2175" i="11"/>
  <c r="M2176" i="11"/>
  <c r="M2177" i="11"/>
  <c r="M2178" i="11"/>
  <c r="M2179" i="11"/>
  <c r="M2180" i="11"/>
  <c r="M2181" i="11"/>
  <c r="M2182" i="11"/>
  <c r="M2183" i="11"/>
  <c r="M2184" i="11"/>
  <c r="M2185" i="11"/>
  <c r="M2186" i="11"/>
  <c r="M2187" i="11"/>
  <c r="M2188" i="11"/>
  <c r="M2189" i="11"/>
  <c r="M2190" i="11"/>
  <c r="M2191" i="11"/>
  <c r="M2192" i="11"/>
  <c r="M2193" i="11"/>
  <c r="M2194" i="11"/>
  <c r="M2195" i="11"/>
  <c r="M2196" i="11"/>
  <c r="M2197" i="11"/>
  <c r="M2198" i="11"/>
  <c r="M2199" i="11"/>
  <c r="M2200" i="11"/>
  <c r="M2201" i="11"/>
  <c r="M2202" i="11"/>
  <c r="M2203" i="11"/>
  <c r="M2204" i="11"/>
  <c r="M2205" i="11"/>
  <c r="M2206" i="11"/>
  <c r="M2207" i="11"/>
  <c r="M2208" i="11"/>
  <c r="M2209" i="11"/>
  <c r="M2210" i="11"/>
  <c r="M2211" i="11"/>
  <c r="M2212" i="11"/>
  <c r="M2213" i="11"/>
  <c r="M2214" i="11"/>
  <c r="M2215" i="11"/>
  <c r="M2216" i="11"/>
  <c r="M2217" i="11"/>
  <c r="M2218" i="11"/>
  <c r="M2219" i="11"/>
  <c r="M2220" i="11"/>
  <c r="M2221" i="11"/>
  <c r="M2222" i="11"/>
  <c r="M2223" i="11"/>
  <c r="M2224" i="11"/>
  <c r="M2225" i="11"/>
  <c r="M2226" i="11"/>
  <c r="M2227" i="11"/>
  <c r="M2228" i="11"/>
  <c r="M2229" i="11"/>
  <c r="M2230" i="11"/>
  <c r="M2231" i="11"/>
  <c r="M2232" i="11"/>
  <c r="M2233" i="11"/>
  <c r="M2234" i="11"/>
  <c r="M2235" i="11"/>
  <c r="M2236" i="11"/>
  <c r="M2237" i="11"/>
  <c r="M2238" i="11"/>
  <c r="M2239" i="11"/>
  <c r="M2240" i="11"/>
  <c r="M2241" i="11"/>
  <c r="M2242" i="11"/>
  <c r="M2243" i="11"/>
  <c r="M2244" i="11"/>
  <c r="M2245" i="11"/>
  <c r="M2246" i="11"/>
  <c r="M2247" i="11"/>
  <c r="M2248" i="11"/>
  <c r="M2249" i="11"/>
  <c r="M2250" i="11"/>
  <c r="M2251" i="11"/>
  <c r="M2252" i="11"/>
  <c r="M2253" i="11"/>
  <c r="M2254" i="11"/>
  <c r="M2255" i="11"/>
  <c r="M2256" i="11"/>
  <c r="M2257" i="11"/>
  <c r="M2258" i="11"/>
  <c r="M2259" i="11"/>
  <c r="M2260" i="11"/>
  <c r="M2261" i="11"/>
  <c r="M2262" i="11"/>
  <c r="M2263" i="11"/>
  <c r="M2264" i="11"/>
  <c r="M2265" i="11"/>
  <c r="M2266" i="11"/>
  <c r="M2267" i="11"/>
  <c r="M2268" i="11"/>
  <c r="M2269" i="11"/>
  <c r="M2270" i="11"/>
  <c r="M2271" i="11"/>
  <c r="M2272" i="11"/>
  <c r="M2273" i="11"/>
  <c r="M2274" i="11"/>
  <c r="M2275" i="11"/>
  <c r="M2276" i="11"/>
  <c r="M2277" i="11"/>
  <c r="M2278" i="11"/>
  <c r="M2279" i="11"/>
  <c r="M2280" i="11"/>
  <c r="M2281" i="11"/>
  <c r="M2282" i="11"/>
  <c r="M2283" i="11"/>
  <c r="M2284" i="11"/>
  <c r="M2285" i="11"/>
  <c r="M2286" i="11"/>
  <c r="M2287" i="11"/>
  <c r="M2288" i="11"/>
  <c r="M2289" i="11"/>
  <c r="M2290" i="11"/>
  <c r="M2291" i="11"/>
  <c r="M2292" i="11"/>
  <c r="M2293" i="11"/>
  <c r="M2294" i="11"/>
  <c r="M2295" i="11"/>
  <c r="M2296" i="11"/>
  <c r="M2297" i="11"/>
  <c r="M2298" i="11"/>
  <c r="M2299" i="11"/>
  <c r="M2300" i="11"/>
  <c r="M2301" i="11"/>
  <c r="M2302" i="11"/>
  <c r="M2303" i="11"/>
  <c r="M2304" i="11"/>
  <c r="M2305" i="11"/>
  <c r="M2306" i="11"/>
  <c r="M2307" i="11"/>
  <c r="M2308" i="11"/>
  <c r="M2309" i="11"/>
  <c r="M2310" i="11"/>
  <c r="M2311" i="11"/>
  <c r="M2312" i="11"/>
  <c r="M2313" i="11"/>
  <c r="M2314" i="11"/>
  <c r="M2315" i="11"/>
  <c r="M2316" i="11"/>
  <c r="M2317" i="11"/>
  <c r="M2318" i="11"/>
  <c r="M2319" i="11"/>
  <c r="M2320" i="11"/>
  <c r="M2321" i="11"/>
  <c r="M2322" i="11"/>
  <c r="M2323" i="11"/>
  <c r="M2324" i="11"/>
  <c r="M2325" i="11"/>
  <c r="M2326" i="11"/>
  <c r="M2327" i="11"/>
  <c r="M2328" i="11"/>
  <c r="M2329" i="11"/>
  <c r="M2330" i="11"/>
  <c r="M2331" i="11"/>
  <c r="M2332" i="11"/>
  <c r="M2333" i="11"/>
  <c r="M2334" i="11"/>
  <c r="M2335" i="11"/>
  <c r="M2336" i="11"/>
  <c r="M2337" i="11"/>
  <c r="M2338" i="11"/>
  <c r="M2339" i="11"/>
  <c r="M2340" i="11"/>
  <c r="M2341" i="11"/>
  <c r="M2342" i="11"/>
  <c r="M2343" i="11"/>
  <c r="M2344" i="11"/>
  <c r="M2345" i="11"/>
  <c r="M2346" i="11"/>
  <c r="M2347" i="11"/>
  <c r="M2348" i="11"/>
  <c r="M2349" i="11"/>
  <c r="M2350" i="11"/>
  <c r="M2351" i="11"/>
  <c r="M2352" i="11"/>
  <c r="M2353" i="11"/>
  <c r="M2354" i="11"/>
  <c r="M2355" i="11"/>
  <c r="M2356" i="11"/>
  <c r="M2357" i="11"/>
  <c r="M2358" i="11"/>
  <c r="M2359" i="11"/>
  <c r="M5" i="11"/>
  <c r="E11" i="27"/>
  <c r="C11" i="27"/>
  <c r="P3" i="26"/>
  <c r="AA352" i="26"/>
  <c r="AA356" i="26"/>
  <c r="AA357" i="26"/>
  <c r="AA303" i="26"/>
  <c r="AA172" i="26"/>
  <c r="AA434" i="26"/>
  <c r="AA212" i="26"/>
  <c r="AA227" i="26"/>
  <c r="AA96" i="26"/>
  <c r="AA97" i="26"/>
  <c r="AA92" i="26"/>
  <c r="AA93" i="26"/>
  <c r="AA94" i="26"/>
  <c r="AB94" i="26" s="1"/>
  <c r="AA108" i="26"/>
  <c r="AA195" i="26"/>
  <c r="AA196" i="26"/>
  <c r="AB196" i="26" s="1"/>
  <c r="AA58" i="26"/>
  <c r="AA59" i="26"/>
  <c r="AA60" i="26"/>
  <c r="AA52" i="26"/>
  <c r="AA73" i="26"/>
  <c r="AB73" i="26" s="1"/>
  <c r="AA82" i="26"/>
  <c r="AA83" i="26"/>
  <c r="AA84" i="26"/>
  <c r="AB84" i="26" s="1"/>
  <c r="AA164" i="26"/>
  <c r="AA194" i="26"/>
  <c r="AA249" i="26"/>
  <c r="AA459" i="26"/>
  <c r="AA463" i="26"/>
  <c r="AA462" i="26"/>
  <c r="AA66" i="26"/>
  <c r="AA68" i="26"/>
  <c r="AB68" i="26" s="1"/>
  <c r="AA70" i="26"/>
  <c r="AA75" i="26"/>
  <c r="AA79" i="26"/>
  <c r="AA80" i="26"/>
  <c r="AA81" i="26"/>
  <c r="AA209" i="26"/>
  <c r="AA90" i="26"/>
  <c r="AA131" i="26"/>
  <c r="AA460" i="26"/>
  <c r="AA129" i="26"/>
  <c r="AA381" i="26"/>
  <c r="AA9" i="26"/>
  <c r="AA49" i="26"/>
  <c r="AA8" i="26"/>
  <c r="AA13" i="26"/>
  <c r="AA14" i="26"/>
  <c r="AA15" i="26"/>
  <c r="AA16" i="26"/>
  <c r="AA19" i="26"/>
  <c r="AA21" i="26"/>
  <c r="AA22" i="26"/>
  <c r="AA23" i="26"/>
  <c r="AA25" i="26"/>
  <c r="AA26" i="26"/>
  <c r="AA46" i="26"/>
  <c r="AA47" i="26"/>
  <c r="AA48" i="26"/>
  <c r="AA11" i="26"/>
  <c r="AA12" i="26"/>
  <c r="AA18" i="26"/>
  <c r="AA20" i="26"/>
  <c r="AA27" i="26"/>
  <c r="AA28" i="26"/>
  <c r="AA34" i="26"/>
  <c r="AA35" i="26"/>
  <c r="AA37" i="26"/>
  <c r="AA42" i="26"/>
  <c r="AA10" i="26"/>
  <c r="AA17" i="26"/>
  <c r="AA24" i="26"/>
  <c r="AA29" i="26"/>
  <c r="AA30" i="26"/>
  <c r="AA31" i="26"/>
  <c r="AA32" i="26"/>
  <c r="AA33" i="26"/>
  <c r="AA36" i="26"/>
  <c r="AA38" i="26"/>
  <c r="AA39" i="26"/>
  <c r="AA40" i="26"/>
  <c r="AA41" i="26"/>
  <c r="AA43" i="26"/>
  <c r="AA44" i="26"/>
  <c r="AA45" i="26"/>
  <c r="AA53" i="26"/>
  <c r="AA69" i="26"/>
  <c r="AA86" i="26"/>
  <c r="AB86" i="26" s="1"/>
  <c r="AA74" i="26"/>
  <c r="AA106" i="26"/>
  <c r="AA76" i="26"/>
  <c r="AA104" i="26"/>
  <c r="AA107" i="26"/>
  <c r="AA85" i="26"/>
  <c r="AA100" i="26"/>
  <c r="AA95" i="26"/>
  <c r="AB95" i="26" s="1"/>
  <c r="AA98" i="26"/>
  <c r="AA99" i="26"/>
  <c r="AA56" i="26"/>
  <c r="AA103" i="26"/>
  <c r="AA65" i="26"/>
  <c r="AB65" i="26" s="1"/>
  <c r="AA109" i="26"/>
  <c r="AA110" i="26"/>
  <c r="AA111" i="26"/>
  <c r="AA112" i="26"/>
  <c r="AA113" i="26"/>
  <c r="AA114" i="26"/>
  <c r="AA115" i="26"/>
  <c r="AA116" i="26"/>
  <c r="AA123" i="26"/>
  <c r="AA124" i="26"/>
  <c r="AB124" i="26" s="1"/>
  <c r="AA125" i="26"/>
  <c r="AB125" i="26" s="1"/>
  <c r="AA127" i="26"/>
  <c r="AA128" i="26"/>
  <c r="AA130" i="26"/>
  <c r="AA132" i="26"/>
  <c r="AA136" i="26"/>
  <c r="AA138" i="26"/>
  <c r="AA139" i="26"/>
  <c r="AA140" i="26"/>
  <c r="AB140" i="26" s="1"/>
  <c r="AA141" i="26"/>
  <c r="AB141" i="26" s="1"/>
  <c r="AA142" i="26"/>
  <c r="AB142" i="26" s="1"/>
  <c r="AA143" i="26"/>
  <c r="AB143" i="26" s="1"/>
  <c r="AA149" i="26"/>
  <c r="AB149" i="26" s="1"/>
  <c r="AA150" i="26"/>
  <c r="AB150" i="26" s="1"/>
  <c r="AA151" i="26"/>
  <c r="AB151" i="26" s="1"/>
  <c r="AA152" i="26"/>
  <c r="AB152" i="26" s="1"/>
  <c r="AA153" i="26"/>
  <c r="AB153" i="26" s="1"/>
  <c r="AA154" i="26"/>
  <c r="AB154" i="26" s="1"/>
  <c r="AA155" i="26"/>
  <c r="AB155" i="26" s="1"/>
  <c r="AA157" i="26"/>
  <c r="AB157" i="26" s="1"/>
  <c r="AA158" i="26"/>
  <c r="AB158" i="26" s="1"/>
  <c r="AA159" i="26"/>
  <c r="AB159" i="26" s="1"/>
  <c r="AA162" i="26"/>
  <c r="AB162" i="26" s="1"/>
  <c r="AA163" i="26"/>
  <c r="AB163" i="26" s="1"/>
  <c r="AA165" i="26"/>
  <c r="AB165" i="26" s="1"/>
  <c r="AA166" i="26"/>
  <c r="AB166" i="26" s="1"/>
  <c r="AA167" i="26"/>
  <c r="AB167" i="26" s="1"/>
  <c r="AA168" i="26"/>
  <c r="AB168" i="26" s="1"/>
  <c r="AA169" i="26"/>
  <c r="AB169" i="26" s="1"/>
  <c r="AA170" i="26"/>
  <c r="AB170" i="26" s="1"/>
  <c r="AA171" i="26"/>
  <c r="AB171" i="26" s="1"/>
  <c r="AA173" i="26"/>
  <c r="AB173" i="26" s="1"/>
  <c r="AA174" i="26"/>
  <c r="AB174" i="26" s="1"/>
  <c r="AA177" i="26"/>
  <c r="AA178" i="26"/>
  <c r="AB178" i="26" s="1"/>
  <c r="AA179" i="26"/>
  <c r="AB179" i="26" s="1"/>
  <c r="AA180" i="26"/>
  <c r="AB180" i="26" s="1"/>
  <c r="AA181" i="26"/>
  <c r="AB181" i="26" s="1"/>
  <c r="AA182" i="26"/>
  <c r="AB182" i="26" s="1"/>
  <c r="AA183" i="26"/>
  <c r="AB183" i="26" s="1"/>
  <c r="AA184" i="26"/>
  <c r="AB184" i="26" s="1"/>
  <c r="AA187" i="26"/>
  <c r="AB187" i="26" s="1"/>
  <c r="AA192" i="26"/>
  <c r="AB192" i="26" s="1"/>
  <c r="AA193" i="26"/>
  <c r="AB193" i="26" s="1"/>
  <c r="AA188" i="26"/>
  <c r="AA189" i="26"/>
  <c r="AB189" i="26" s="1"/>
  <c r="AA190" i="26"/>
  <c r="AB190" i="26" s="1"/>
  <c r="AA191" i="26"/>
  <c r="AB191" i="26" s="1"/>
  <c r="AA197" i="26"/>
  <c r="AB197" i="26" s="1"/>
  <c r="AA199" i="26"/>
  <c r="AB199" i="26" s="1"/>
  <c r="AA200" i="26"/>
  <c r="AB200" i="26" s="1"/>
  <c r="AA201" i="26"/>
  <c r="AB201" i="26" s="1"/>
  <c r="AA202" i="26"/>
  <c r="AB202" i="26" s="1"/>
  <c r="AA204" i="26"/>
  <c r="AB204" i="26" s="1"/>
  <c r="AA205" i="26"/>
  <c r="AB205" i="26" s="1"/>
  <c r="AA206" i="26"/>
  <c r="AB206" i="26" s="1"/>
  <c r="AA208" i="26"/>
  <c r="AB208" i="26" s="1"/>
  <c r="AA210" i="26"/>
  <c r="AB210" i="26" s="1"/>
  <c r="AA211" i="26"/>
  <c r="AB211" i="26" s="1"/>
  <c r="AA215" i="26"/>
  <c r="AB215" i="26" s="1"/>
  <c r="AA216" i="26"/>
  <c r="AB216" i="26" s="1"/>
  <c r="AA213" i="26"/>
  <c r="AB213" i="26" s="1"/>
  <c r="AA214" i="26"/>
  <c r="AB214" i="26" s="1"/>
  <c r="AA218" i="26"/>
  <c r="AB218" i="26" s="1"/>
  <c r="AA219" i="26"/>
  <c r="AB219" i="26" s="1"/>
  <c r="AA220" i="26"/>
  <c r="AB220" i="26" s="1"/>
  <c r="AA221" i="26"/>
  <c r="AB221" i="26" s="1"/>
  <c r="AA222" i="26"/>
  <c r="AB222" i="26" s="1"/>
  <c r="AA223" i="26"/>
  <c r="AB223" i="26" s="1"/>
  <c r="AA224" i="26"/>
  <c r="AB224" i="26" s="1"/>
  <c r="AA225" i="26"/>
  <c r="AB225" i="26" s="1"/>
  <c r="AA226" i="26"/>
  <c r="AB226" i="26" s="1"/>
  <c r="AA228" i="26"/>
  <c r="AB228" i="26" s="1"/>
  <c r="AA229" i="26"/>
  <c r="AB229" i="26" s="1"/>
  <c r="AA230" i="26"/>
  <c r="AB230" i="26" s="1"/>
  <c r="AA231" i="26"/>
  <c r="AB231" i="26" s="1"/>
  <c r="AA234" i="26"/>
  <c r="AB234" i="26" s="1"/>
  <c r="AA235" i="26"/>
  <c r="AB235" i="26" s="1"/>
  <c r="AA236" i="26"/>
  <c r="AB236" i="26" s="1"/>
  <c r="AA237" i="26"/>
  <c r="AB237" i="26" s="1"/>
  <c r="AA238" i="26"/>
  <c r="AB238" i="26" s="1"/>
  <c r="AA239" i="26"/>
  <c r="AB239" i="26" s="1"/>
  <c r="AA240" i="26"/>
  <c r="AB240" i="26" s="1"/>
  <c r="AA244" i="26"/>
  <c r="AB244" i="26" s="1"/>
  <c r="AA245" i="26"/>
  <c r="AB245" i="26" s="1"/>
  <c r="AA246" i="26"/>
  <c r="AB246" i="26" s="1"/>
  <c r="AA247" i="26"/>
  <c r="AB247" i="26" s="1"/>
  <c r="AA248" i="26"/>
  <c r="AB248" i="26" s="1"/>
  <c r="AA250" i="26"/>
  <c r="AB250" i="26" s="1"/>
  <c r="AA251" i="26"/>
  <c r="AB251" i="26" s="1"/>
  <c r="AA252" i="26"/>
  <c r="AB252" i="26" s="1"/>
  <c r="AA253" i="26"/>
  <c r="AB253" i="26" s="1"/>
  <c r="AA254" i="26"/>
  <c r="AB254" i="26" s="1"/>
  <c r="AA255" i="26"/>
  <c r="AB255" i="26" s="1"/>
  <c r="AA259" i="26"/>
  <c r="AB259" i="26" s="1"/>
  <c r="AA260" i="26"/>
  <c r="AB260" i="26" s="1"/>
  <c r="AA261" i="26"/>
  <c r="AB261" i="26" s="1"/>
  <c r="AA264" i="26"/>
  <c r="AB264" i="26" s="1"/>
  <c r="AA265" i="26"/>
  <c r="AB265" i="26" s="1"/>
  <c r="AA266" i="26"/>
  <c r="AB266" i="26" s="1"/>
  <c r="AA267" i="26"/>
  <c r="AB267" i="26" s="1"/>
  <c r="AA268" i="26"/>
  <c r="AB268" i="26" s="1"/>
  <c r="AA271" i="26"/>
  <c r="AB271" i="26" s="1"/>
  <c r="AA272" i="26"/>
  <c r="AB272" i="26" s="1"/>
  <c r="AA278" i="26"/>
  <c r="AB278" i="26" s="1"/>
  <c r="AA279" i="26"/>
  <c r="AB279" i="26" s="1"/>
  <c r="AA281" i="26"/>
  <c r="AB281" i="26" s="1"/>
  <c r="AA283" i="26"/>
  <c r="AB283" i="26" s="1"/>
  <c r="AA287" i="26"/>
  <c r="AB287" i="26" s="1"/>
  <c r="AA290" i="26"/>
  <c r="AB290" i="26" s="1"/>
  <c r="AA291" i="26"/>
  <c r="AB291" i="26" s="1"/>
  <c r="AA292" i="26"/>
  <c r="AB292" i="26" s="1"/>
  <c r="AA293" i="26"/>
  <c r="AB293" i="26" s="1"/>
  <c r="AA294" i="26"/>
  <c r="AB294" i="26" s="1"/>
  <c r="AA295" i="26"/>
  <c r="AB295" i="26" s="1"/>
  <c r="AA296" i="26"/>
  <c r="AB296" i="26" s="1"/>
  <c r="AA297" i="26"/>
  <c r="AB297" i="26" s="1"/>
  <c r="AA300" i="26"/>
  <c r="AB300" i="26" s="1"/>
  <c r="AA301" i="26"/>
  <c r="AB301" i="26" s="1"/>
  <c r="AA302" i="26"/>
  <c r="AB302" i="26" s="1"/>
  <c r="AA304" i="26"/>
  <c r="AB304" i="26" s="1"/>
  <c r="AA306" i="26"/>
  <c r="AB306" i="26" s="1"/>
  <c r="AA307" i="26"/>
  <c r="AB307" i="26" s="1"/>
  <c r="AA311" i="26"/>
  <c r="AB311" i="26" s="1"/>
  <c r="AA312" i="26"/>
  <c r="AB312" i="26" s="1"/>
  <c r="AA313" i="26"/>
  <c r="AB313" i="26" s="1"/>
  <c r="AA314" i="26"/>
  <c r="AB314" i="26" s="1"/>
  <c r="AA315" i="26"/>
  <c r="AB315" i="26" s="1"/>
  <c r="AA316" i="26"/>
  <c r="AB316" i="26" s="1"/>
  <c r="AA317" i="26"/>
  <c r="AB317" i="26" s="1"/>
  <c r="AA320" i="26"/>
  <c r="AB320" i="26" s="1"/>
  <c r="AA321" i="26"/>
  <c r="AB321" i="26" s="1"/>
  <c r="AA322" i="26"/>
  <c r="AB322" i="26" s="1"/>
  <c r="AA323" i="26"/>
  <c r="AB323" i="26" s="1"/>
  <c r="AA324" i="26"/>
  <c r="AB324" i="26" s="1"/>
  <c r="AA325" i="26"/>
  <c r="AB325" i="26" s="1"/>
  <c r="AA326" i="26"/>
  <c r="AB326" i="26" s="1"/>
  <c r="AA328" i="26"/>
  <c r="AB328" i="26" s="1"/>
  <c r="AA332" i="26"/>
  <c r="AB332" i="26" s="1"/>
  <c r="AA342" i="26"/>
  <c r="AB342" i="26" s="1"/>
  <c r="AA343" i="26"/>
  <c r="AB343" i="26" s="1"/>
  <c r="AA347" i="26"/>
  <c r="AB347" i="26" s="1"/>
  <c r="AA349" i="26"/>
  <c r="AB349" i="26" s="1"/>
  <c r="AA350" i="26"/>
  <c r="AB350" i="26" s="1"/>
  <c r="AA351" i="26"/>
  <c r="AB351" i="26" s="1"/>
  <c r="AA355" i="26"/>
  <c r="AB355" i="26" s="1"/>
  <c r="AA362" i="26"/>
  <c r="AB362" i="26" s="1"/>
  <c r="AA363" i="26"/>
  <c r="AB363" i="26" s="1"/>
  <c r="AA364" i="26"/>
  <c r="AB364" i="26" s="1"/>
  <c r="AA365" i="26"/>
  <c r="AB365" i="26" s="1"/>
  <c r="AA370" i="26"/>
  <c r="AB370" i="26" s="1"/>
  <c r="AA371" i="26"/>
  <c r="AB371" i="26" s="1"/>
  <c r="AA366" i="26"/>
  <c r="AB366" i="26" s="1"/>
  <c r="AA367" i="26"/>
  <c r="AA372" i="26"/>
  <c r="AB372" i="26" s="1"/>
  <c r="AA373" i="26"/>
  <c r="AB373" i="26" s="1"/>
  <c r="AA382" i="26"/>
  <c r="AB382" i="26" s="1"/>
  <c r="AA383" i="26"/>
  <c r="AB383" i="26" s="1"/>
  <c r="AA384" i="26"/>
  <c r="AB384" i="26" s="1"/>
  <c r="AA385" i="26"/>
  <c r="AB385" i="26" s="1"/>
  <c r="AA386" i="26"/>
  <c r="AB386" i="26" s="1"/>
  <c r="AA387" i="26"/>
  <c r="AB387" i="26" s="1"/>
  <c r="AA388" i="26"/>
  <c r="AB388" i="26" s="1"/>
  <c r="AA389" i="26"/>
  <c r="AB389" i="26" s="1"/>
  <c r="AA390" i="26"/>
  <c r="AA391" i="26"/>
  <c r="AB391" i="26" s="1"/>
  <c r="AA392" i="26"/>
  <c r="AB392" i="26" s="1"/>
  <c r="AA393" i="26"/>
  <c r="AB393" i="26" s="1"/>
  <c r="AA394" i="26"/>
  <c r="AB394" i="26" s="1"/>
  <c r="AA395" i="26"/>
  <c r="AB395" i="26" s="1"/>
  <c r="AA397" i="26"/>
  <c r="AB397" i="26" s="1"/>
  <c r="AA399" i="26"/>
  <c r="AB399" i="26" s="1"/>
  <c r="AA400" i="26"/>
  <c r="AB400" i="26" s="1"/>
  <c r="AA405" i="26"/>
  <c r="AB405" i="26" s="1"/>
  <c r="AA406" i="26"/>
  <c r="AB406" i="26" s="1"/>
  <c r="AA409" i="26"/>
  <c r="AB409" i="26" s="1"/>
  <c r="AA410" i="26"/>
  <c r="AB410" i="26" s="1"/>
  <c r="AA411" i="26"/>
  <c r="AB411" i="26" s="1"/>
  <c r="AA413" i="26"/>
  <c r="AB413" i="26" s="1"/>
  <c r="AA414" i="26"/>
  <c r="AB414" i="26" s="1"/>
  <c r="AA415" i="26"/>
  <c r="AB415" i="26" s="1"/>
  <c r="AA418" i="26"/>
  <c r="AB418" i="26" s="1"/>
  <c r="AA419" i="26"/>
  <c r="AB419" i="26" s="1"/>
  <c r="AA422" i="26"/>
  <c r="AB422" i="26" s="1"/>
  <c r="AA423" i="26"/>
  <c r="AB423" i="26" s="1"/>
  <c r="AA426" i="26"/>
  <c r="AB426" i="26" s="1"/>
  <c r="AA427" i="26"/>
  <c r="AB427" i="26" s="1"/>
  <c r="AA428" i="26"/>
  <c r="AB428" i="26" s="1"/>
  <c r="AA438" i="26"/>
  <c r="AB438" i="26" s="1"/>
  <c r="AA452" i="26"/>
  <c r="AB452" i="26" s="1"/>
  <c r="AA457" i="26"/>
  <c r="AB457" i="26" s="1"/>
  <c r="AA458" i="26"/>
  <c r="AB458" i="26" s="1"/>
  <c r="AA464" i="26"/>
  <c r="AB464" i="26" s="1"/>
  <c r="AA465" i="26"/>
  <c r="AB465" i="26" s="1"/>
  <c r="AA467" i="26"/>
  <c r="AB467" i="26" s="1"/>
  <c r="AA469" i="26"/>
  <c r="AB469" i="26" s="1"/>
  <c r="AA472" i="26"/>
  <c r="AB472" i="26" s="1"/>
  <c r="AA473" i="26"/>
  <c r="AB473" i="26" s="1"/>
  <c r="AA474" i="26"/>
  <c r="AB474" i="26" s="1"/>
  <c r="AA475" i="26"/>
  <c r="AB475" i="26" s="1"/>
  <c r="AA476" i="26"/>
  <c r="AB476" i="26" s="1"/>
  <c r="AA477" i="26"/>
  <c r="AB477" i="26" s="1"/>
  <c r="AA484" i="26"/>
  <c r="AB484" i="26" s="1"/>
  <c r="AA466" i="26"/>
  <c r="AB466" i="26" s="1"/>
  <c r="AA468" i="26"/>
  <c r="AB468" i="26" s="1"/>
  <c r="AA470" i="26"/>
  <c r="AB470" i="26" s="1"/>
  <c r="AA478" i="26"/>
  <c r="AB478" i="26" s="1"/>
  <c r="AA479" i="26"/>
  <c r="AB479" i="26" s="1"/>
  <c r="AA480" i="26"/>
  <c r="AB480" i="26" s="1"/>
  <c r="AA481" i="26"/>
  <c r="AB481" i="26" s="1"/>
  <c r="AA482" i="26"/>
  <c r="AB482" i="26" s="1"/>
  <c r="AA483" i="26"/>
  <c r="AB483" i="26" s="1"/>
  <c r="AA485" i="26"/>
  <c r="AB485" i="26" s="1"/>
  <c r="AA471" i="26"/>
  <c r="AB471" i="26" s="1"/>
  <c r="AA486" i="26"/>
  <c r="AB486" i="26" s="1"/>
  <c r="AA488" i="26"/>
  <c r="AB488" i="26" s="1"/>
  <c r="AA490" i="26"/>
  <c r="AB490" i="26" s="1"/>
  <c r="AA492" i="26"/>
  <c r="AB492" i="26" s="1"/>
  <c r="AA493" i="26"/>
  <c r="AB493" i="26" s="1"/>
  <c r="AA487" i="26"/>
  <c r="AB487" i="26" s="1"/>
  <c r="AA489" i="26"/>
  <c r="AB489" i="26" s="1"/>
  <c r="AA491" i="26"/>
  <c r="AB491" i="26" s="1"/>
  <c r="AA494" i="26"/>
  <c r="AB494" i="26" s="1"/>
  <c r="AA495" i="26"/>
  <c r="AB495" i="26" s="1"/>
  <c r="AA497" i="26"/>
  <c r="AB497" i="26" s="1"/>
  <c r="AA499" i="26"/>
  <c r="AB499" i="26" s="1"/>
  <c r="AA500" i="26"/>
  <c r="AB500" i="26" s="1"/>
  <c r="AA505" i="26"/>
  <c r="AB505" i="26" s="1"/>
  <c r="AA510" i="26"/>
  <c r="AB510" i="26" s="1"/>
  <c r="AA514" i="26"/>
  <c r="AB514" i="26" s="1"/>
  <c r="AA516" i="26"/>
  <c r="AB516" i="26" s="1"/>
  <c r="AA518" i="26"/>
  <c r="AB518" i="26" s="1"/>
  <c r="AA521" i="26"/>
  <c r="AB521" i="26" s="1"/>
  <c r="AA523" i="26"/>
  <c r="AB523" i="26" s="1"/>
  <c r="AA527" i="26"/>
  <c r="AB527" i="26" s="1"/>
  <c r="AA532" i="26"/>
  <c r="AB532" i="26" s="1"/>
  <c r="AA535" i="26"/>
  <c r="AB535" i="26" s="1"/>
  <c r="AA537" i="26"/>
  <c r="AB537" i="26" s="1"/>
  <c r="AA541" i="26"/>
  <c r="AB541" i="26" s="1"/>
  <c r="AA542" i="26"/>
  <c r="AB542" i="26" s="1"/>
  <c r="AA546" i="26"/>
  <c r="AB546" i="26" s="1"/>
  <c r="AA551" i="26"/>
  <c r="AB551" i="26" s="1"/>
  <c r="AA559" i="26"/>
  <c r="AB559" i="26" s="1"/>
  <c r="AA562" i="26"/>
  <c r="AB562" i="26" s="1"/>
  <c r="AA569" i="26"/>
  <c r="AB569" i="26" s="1"/>
  <c r="AA572" i="26"/>
  <c r="AB572" i="26" s="1"/>
  <c r="AA574" i="26"/>
  <c r="AB574" i="26" s="1"/>
  <c r="AA579" i="26"/>
  <c r="AB579" i="26" s="1"/>
  <c r="AA581" i="26"/>
  <c r="AB581" i="26" s="1"/>
  <c r="AA582" i="26"/>
  <c r="AB582" i="26" s="1"/>
  <c r="AA496" i="26"/>
  <c r="AB496" i="26" s="1"/>
  <c r="AA498" i="26"/>
  <c r="AB498" i="26" s="1"/>
  <c r="AA501" i="26"/>
  <c r="AB501" i="26" s="1"/>
  <c r="AA503" i="26"/>
  <c r="AB503" i="26" s="1"/>
  <c r="AA504" i="26"/>
  <c r="AB504" i="26" s="1"/>
  <c r="AA506" i="26"/>
  <c r="AB506" i="26" s="1"/>
  <c r="AA507" i="26"/>
  <c r="AB507" i="26" s="1"/>
  <c r="AA508" i="26"/>
  <c r="AB508" i="26" s="1"/>
  <c r="AA509" i="26"/>
  <c r="AB509" i="26" s="1"/>
  <c r="AA511" i="26"/>
  <c r="AB511" i="26" s="1"/>
  <c r="AA513" i="26"/>
  <c r="AB513" i="26" s="1"/>
  <c r="AA515" i="26"/>
  <c r="AB515" i="26" s="1"/>
  <c r="AA517" i="26"/>
  <c r="AB517" i="26" s="1"/>
  <c r="AA519" i="26"/>
  <c r="AB519" i="26" s="1"/>
  <c r="AA520" i="26"/>
  <c r="AB520" i="26" s="1"/>
  <c r="AA522" i="26"/>
  <c r="AB522" i="26" s="1"/>
  <c r="AA524" i="26"/>
  <c r="AB524" i="26" s="1"/>
  <c r="AA525" i="26"/>
  <c r="AB525" i="26" s="1"/>
  <c r="AA526" i="26"/>
  <c r="AB526" i="26" s="1"/>
  <c r="AA529" i="26"/>
  <c r="AB529" i="26" s="1"/>
  <c r="AA530" i="26"/>
  <c r="AB530" i="26" s="1"/>
  <c r="AA533" i="26"/>
  <c r="AB533" i="26" s="1"/>
  <c r="AA534" i="26"/>
  <c r="AB534" i="26" s="1"/>
  <c r="AA536" i="26"/>
  <c r="AB536" i="26" s="1"/>
  <c r="AA538" i="26"/>
  <c r="AB538" i="26" s="1"/>
  <c r="AA539" i="26"/>
  <c r="AB539" i="26" s="1"/>
  <c r="AA540" i="26"/>
  <c r="AB540" i="26" s="1"/>
  <c r="AA543" i="26"/>
  <c r="AB543" i="26" s="1"/>
  <c r="AA544" i="26"/>
  <c r="AB544" i="26" s="1"/>
  <c r="AA545" i="26"/>
  <c r="AB545" i="26" s="1"/>
  <c r="AA547" i="26"/>
  <c r="AB547" i="26" s="1"/>
  <c r="AA548" i="26"/>
  <c r="AB548" i="26" s="1"/>
  <c r="AA549" i="26"/>
  <c r="AB549" i="26" s="1"/>
  <c r="AA550" i="26"/>
  <c r="AB550" i="26" s="1"/>
  <c r="AA552" i="26"/>
  <c r="AB552" i="26" s="1"/>
  <c r="AA553" i="26"/>
  <c r="AB553" i="26" s="1"/>
  <c r="AA554" i="26"/>
  <c r="AB554" i="26" s="1"/>
  <c r="AA555" i="26"/>
  <c r="AB555" i="26" s="1"/>
  <c r="AA556" i="26"/>
  <c r="AB556" i="26" s="1"/>
  <c r="AA557" i="26"/>
  <c r="AB557" i="26" s="1"/>
  <c r="AA558" i="26"/>
  <c r="AB558" i="26" s="1"/>
  <c r="AA560" i="26"/>
  <c r="AB560" i="26" s="1"/>
  <c r="AA561" i="26"/>
  <c r="AB561" i="26" s="1"/>
  <c r="AA563" i="26"/>
  <c r="AB563" i="26" s="1"/>
  <c r="AA564" i="26"/>
  <c r="AB564" i="26" s="1"/>
  <c r="AA565" i="26"/>
  <c r="AB565" i="26" s="1"/>
  <c r="AA566" i="26"/>
  <c r="AB566" i="26" s="1"/>
  <c r="AA567" i="26"/>
  <c r="AB567" i="26" s="1"/>
  <c r="AA568" i="26"/>
  <c r="AB568" i="26" s="1"/>
  <c r="AA570" i="26"/>
  <c r="AB570" i="26" s="1"/>
  <c r="AA571" i="26"/>
  <c r="AB571" i="26" s="1"/>
  <c r="AA573" i="26"/>
  <c r="AB573" i="26" s="1"/>
  <c r="AA575" i="26"/>
  <c r="AB575" i="26" s="1"/>
  <c r="AA576" i="26"/>
  <c r="AB576" i="26" s="1"/>
  <c r="AA578" i="26"/>
  <c r="AB578" i="26" s="1"/>
  <c r="AA580" i="26"/>
  <c r="AB580" i="26" s="1"/>
  <c r="AA583" i="26"/>
  <c r="AB583" i="26" s="1"/>
  <c r="AA502" i="26"/>
  <c r="AB502" i="26" s="1"/>
  <c r="AA512" i="26"/>
  <c r="AB512" i="26" s="1"/>
  <c r="AA531" i="26"/>
  <c r="AB531" i="26" s="1"/>
  <c r="AA528" i="26"/>
  <c r="AB528" i="26" s="1"/>
  <c r="AA584" i="26"/>
  <c r="AB584" i="26" s="1"/>
  <c r="AA586" i="26"/>
  <c r="AB586" i="26" s="1"/>
  <c r="AA587" i="26"/>
  <c r="AB587" i="26" s="1"/>
  <c r="AA588" i="26"/>
  <c r="AB588" i="26" s="1"/>
  <c r="AA594" i="26"/>
  <c r="AB594" i="26" s="1"/>
  <c r="AA598" i="26"/>
  <c r="AB598" i="26" s="1"/>
  <c r="AA602" i="26"/>
  <c r="AB602" i="26" s="1"/>
  <c r="AA608" i="26"/>
  <c r="AB608" i="26" s="1"/>
  <c r="AA613" i="26"/>
  <c r="AB613" i="26" s="1"/>
  <c r="AA614" i="26"/>
  <c r="AB614" i="26" s="1"/>
  <c r="AA616" i="26"/>
  <c r="AB616" i="26" s="1"/>
  <c r="AA621" i="26"/>
  <c r="AB621" i="26" s="1"/>
  <c r="AA623" i="26"/>
  <c r="AB623" i="26" s="1"/>
  <c r="AA625" i="26"/>
  <c r="AB625" i="26" s="1"/>
  <c r="AA630" i="26"/>
  <c r="AB630" i="26" s="1"/>
  <c r="AA634" i="26"/>
  <c r="AB634" i="26" s="1"/>
  <c r="AA636" i="26"/>
  <c r="AB636" i="26" s="1"/>
  <c r="AA645" i="26"/>
  <c r="AB645" i="26" s="1"/>
  <c r="AA651" i="26"/>
  <c r="AB651" i="26" s="1"/>
  <c r="AA654" i="26"/>
  <c r="AB654" i="26" s="1"/>
  <c r="AA658" i="26"/>
  <c r="AB658" i="26" s="1"/>
  <c r="AA666" i="26"/>
  <c r="AB666" i="26" s="1"/>
  <c r="AA679" i="26"/>
  <c r="AB679" i="26" s="1"/>
  <c r="AA684" i="26"/>
  <c r="AB684" i="26" s="1"/>
  <c r="AA689" i="26"/>
  <c r="AB689" i="26" s="1"/>
  <c r="AA691" i="26"/>
  <c r="AB691" i="26" s="1"/>
  <c r="AA692" i="26"/>
  <c r="AB692" i="26" s="1"/>
  <c r="AA697" i="26"/>
  <c r="AB697" i="26" s="1"/>
  <c r="AA705" i="26"/>
  <c r="AB705" i="26" s="1"/>
  <c r="AA719" i="26"/>
  <c r="AB719" i="26" s="1"/>
  <c r="AA722" i="26"/>
  <c r="AB722" i="26" s="1"/>
  <c r="AA724" i="26"/>
  <c r="AB724" i="26" s="1"/>
  <c r="AA726" i="26"/>
  <c r="AB726" i="26" s="1"/>
  <c r="AA736" i="26"/>
  <c r="AB736" i="26" s="1"/>
  <c r="AA737" i="26"/>
  <c r="AB737" i="26" s="1"/>
  <c r="AA738" i="26"/>
  <c r="AB738" i="26" s="1"/>
  <c r="AA740" i="26"/>
  <c r="AB740" i="26" s="1"/>
  <c r="AA743" i="26"/>
  <c r="AB743" i="26" s="1"/>
  <c r="AA585" i="26"/>
  <c r="AB585" i="26" s="1"/>
  <c r="AA589" i="26"/>
  <c r="AB589" i="26" s="1"/>
  <c r="AA590" i="26"/>
  <c r="AB590" i="26" s="1"/>
  <c r="AA591" i="26"/>
  <c r="AB591" i="26" s="1"/>
  <c r="AA592" i="26"/>
  <c r="AB592" i="26" s="1"/>
  <c r="AA593" i="26"/>
  <c r="AB593" i="26" s="1"/>
  <c r="AA596" i="26"/>
  <c r="AB596" i="26" s="1"/>
  <c r="AA597" i="26"/>
  <c r="AB597" i="26" s="1"/>
  <c r="AA599" i="26"/>
  <c r="AB599" i="26" s="1"/>
  <c r="AA600" i="26"/>
  <c r="AB600" i="26" s="1"/>
  <c r="AA601" i="26"/>
  <c r="AB601" i="26" s="1"/>
  <c r="AA603" i="26"/>
  <c r="AB603" i="26" s="1"/>
  <c r="AA604" i="26"/>
  <c r="AB604" i="26" s="1"/>
  <c r="AA605" i="26"/>
  <c r="AB605" i="26" s="1"/>
  <c r="AA606" i="26"/>
  <c r="AB606" i="26" s="1"/>
  <c r="AA607" i="26"/>
  <c r="AB607" i="26" s="1"/>
  <c r="AA609" i="26"/>
  <c r="AB609" i="26" s="1"/>
  <c r="AA610" i="26"/>
  <c r="AB610" i="26" s="1"/>
  <c r="AA611" i="26"/>
  <c r="AB611" i="26" s="1"/>
  <c r="AA612" i="26"/>
  <c r="AB612" i="26" s="1"/>
  <c r="AA615" i="26"/>
  <c r="AB615" i="26" s="1"/>
  <c r="AA617" i="26"/>
  <c r="AB617" i="26" s="1"/>
  <c r="AA618" i="26"/>
  <c r="AB618" i="26" s="1"/>
  <c r="AA619" i="26"/>
  <c r="AB619" i="26" s="1"/>
  <c r="AA620" i="26"/>
  <c r="AB620" i="26" s="1"/>
  <c r="AA622" i="26"/>
  <c r="AB622" i="26" s="1"/>
  <c r="AA624" i="26"/>
  <c r="AB624" i="26" s="1"/>
  <c r="AA626" i="26"/>
  <c r="AB626" i="26" s="1"/>
  <c r="AA627" i="26"/>
  <c r="AB627" i="26" s="1"/>
  <c r="AA628" i="26"/>
  <c r="AB628" i="26" s="1"/>
  <c r="AA629" i="26"/>
  <c r="AB629" i="26" s="1"/>
  <c r="AA631" i="26"/>
  <c r="AB631" i="26" s="1"/>
  <c r="AA632" i="26"/>
  <c r="AB632" i="26" s="1"/>
  <c r="AA633" i="26"/>
  <c r="AB633" i="26" s="1"/>
  <c r="AA635" i="26"/>
  <c r="AB635" i="26" s="1"/>
  <c r="AA637" i="26"/>
  <c r="AB637" i="26" s="1"/>
  <c r="AA638" i="26"/>
  <c r="AB638" i="26" s="1"/>
  <c r="AA639" i="26"/>
  <c r="AB639" i="26" s="1"/>
  <c r="AA640" i="26"/>
  <c r="AB640" i="26" s="1"/>
  <c r="AA641" i="26"/>
  <c r="AB641" i="26" s="1"/>
  <c r="AA642" i="26"/>
  <c r="AB642" i="26" s="1"/>
  <c r="AA644" i="26"/>
  <c r="AB644" i="26" s="1"/>
  <c r="AA646" i="26"/>
  <c r="AB646" i="26" s="1"/>
  <c r="AA647" i="26"/>
  <c r="AB647" i="26" s="1"/>
  <c r="AA648" i="26"/>
  <c r="AB648" i="26" s="1"/>
  <c r="AA649" i="26"/>
  <c r="AB649" i="26" s="1"/>
  <c r="AA650" i="26"/>
  <c r="AB650" i="26" s="1"/>
  <c r="AA652" i="26"/>
  <c r="AB652" i="26" s="1"/>
  <c r="AA653" i="26"/>
  <c r="AB653" i="26" s="1"/>
  <c r="AA655" i="26"/>
  <c r="AB655" i="26" s="1"/>
  <c r="AA656" i="26"/>
  <c r="AB656" i="26" s="1"/>
  <c r="AA657" i="26"/>
  <c r="AB657" i="26" s="1"/>
  <c r="AA659" i="26"/>
  <c r="AB659" i="26" s="1"/>
  <c r="AA660" i="26"/>
  <c r="AB660" i="26" s="1"/>
  <c r="AA661" i="26"/>
  <c r="AB661" i="26" s="1"/>
  <c r="AA662" i="26"/>
  <c r="AB662" i="26" s="1"/>
  <c r="AA663" i="26"/>
  <c r="AB663" i="26" s="1"/>
  <c r="AA664" i="26"/>
  <c r="AB664" i="26" s="1"/>
  <c r="AA665" i="26"/>
  <c r="AB665" i="26" s="1"/>
  <c r="AA667" i="26"/>
  <c r="AB667" i="26" s="1"/>
  <c r="AA668" i="26"/>
  <c r="AB668" i="26" s="1"/>
  <c r="AA669" i="26"/>
  <c r="AB669" i="26" s="1"/>
  <c r="AA670" i="26"/>
  <c r="AB670" i="26" s="1"/>
  <c r="AA671" i="26"/>
  <c r="AB671" i="26" s="1"/>
  <c r="AA672" i="26"/>
  <c r="AB672" i="26" s="1"/>
  <c r="AA673" i="26"/>
  <c r="AB673" i="26" s="1"/>
  <c r="AA674" i="26"/>
  <c r="AB674" i="26" s="1"/>
  <c r="AA675" i="26"/>
  <c r="AB675" i="26" s="1"/>
  <c r="AA676" i="26"/>
  <c r="AB676" i="26" s="1"/>
  <c r="AA677" i="26"/>
  <c r="AB677" i="26" s="1"/>
  <c r="AA678" i="26"/>
  <c r="AB678" i="26" s="1"/>
  <c r="AA680" i="26"/>
  <c r="AB680" i="26" s="1"/>
  <c r="AA681" i="26"/>
  <c r="AB681" i="26" s="1"/>
  <c r="AA682" i="26"/>
  <c r="AB682" i="26" s="1"/>
  <c r="AA683" i="26"/>
  <c r="AB683" i="26" s="1"/>
  <c r="AA686" i="26"/>
  <c r="AB686" i="26" s="1"/>
  <c r="AA687" i="26"/>
  <c r="AB687" i="26" s="1"/>
  <c r="AA688" i="26"/>
  <c r="AB688" i="26" s="1"/>
  <c r="AA690" i="26"/>
  <c r="AB690" i="26" s="1"/>
  <c r="AA693" i="26"/>
  <c r="AB693" i="26" s="1"/>
  <c r="AA694" i="26"/>
  <c r="AB694" i="26" s="1"/>
  <c r="AA695" i="26"/>
  <c r="AB695" i="26" s="1"/>
  <c r="AA696" i="26"/>
  <c r="AB696" i="26" s="1"/>
  <c r="AA698" i="26"/>
  <c r="AB698" i="26" s="1"/>
  <c r="AA701" i="26"/>
  <c r="AB701" i="26" s="1"/>
  <c r="AA702" i="26"/>
  <c r="AB702" i="26" s="1"/>
  <c r="AA703" i="26"/>
  <c r="AB703" i="26" s="1"/>
  <c r="AA704" i="26"/>
  <c r="AA706" i="26"/>
  <c r="AB706" i="26" s="1"/>
  <c r="AA707" i="26"/>
  <c r="AB707" i="26" s="1"/>
  <c r="AA708" i="26"/>
  <c r="AB708" i="26" s="1"/>
  <c r="AA709" i="26"/>
  <c r="AB709" i="26" s="1"/>
  <c r="AA710" i="26"/>
  <c r="AB710" i="26" s="1"/>
  <c r="AA711" i="26"/>
  <c r="AB711" i="26" s="1"/>
  <c r="AA712" i="26"/>
  <c r="AB712" i="26" s="1"/>
  <c r="AA713" i="26"/>
  <c r="AB713" i="26" s="1"/>
  <c r="AA714" i="26"/>
  <c r="AB714" i="26" s="1"/>
  <c r="AA715" i="26"/>
  <c r="AB715" i="26" s="1"/>
  <c r="AA716" i="26"/>
  <c r="AB716" i="26" s="1"/>
  <c r="AA718" i="26"/>
  <c r="AB718" i="26" s="1"/>
  <c r="AA720" i="26"/>
  <c r="AB720" i="26" s="1"/>
  <c r="AA721" i="26"/>
  <c r="AB721" i="26" s="1"/>
  <c r="AA723" i="26"/>
  <c r="AB723" i="26" s="1"/>
  <c r="AA725" i="26"/>
  <c r="AB725" i="26" s="1"/>
  <c r="AA727" i="26"/>
  <c r="AB727" i="26" s="1"/>
  <c r="AA729" i="26"/>
  <c r="AB729" i="26" s="1"/>
  <c r="AA734" i="26"/>
  <c r="AB734" i="26" s="1"/>
  <c r="AA735" i="26"/>
  <c r="AB735" i="26" s="1"/>
  <c r="AA739" i="26"/>
  <c r="AB739" i="26" s="1"/>
  <c r="AA741" i="26"/>
  <c r="AB741" i="26" s="1"/>
  <c r="AA742" i="26"/>
  <c r="AB742" i="26" s="1"/>
  <c r="AA744" i="26"/>
  <c r="AB744" i="26" s="1"/>
  <c r="AA643" i="26"/>
  <c r="AB643" i="26" s="1"/>
  <c r="AA685" i="26"/>
  <c r="AB685" i="26" s="1"/>
  <c r="AA699" i="26"/>
  <c r="AB699" i="26" s="1"/>
  <c r="AA700" i="26"/>
  <c r="AB700" i="26" s="1"/>
  <c r="AA717" i="26"/>
  <c r="AB717" i="26" s="1"/>
  <c r="AA595" i="26"/>
  <c r="AB595" i="26" s="1"/>
  <c r="AA745" i="26"/>
  <c r="AB745" i="26" s="1"/>
  <c r="AA747" i="26"/>
  <c r="AB747" i="26" s="1"/>
  <c r="AA749" i="26"/>
  <c r="AB749" i="26" s="1"/>
  <c r="AA751" i="26"/>
  <c r="AB751" i="26" s="1"/>
  <c r="AA752" i="26"/>
  <c r="AB752" i="26" s="1"/>
  <c r="AA755" i="26"/>
  <c r="AB755" i="26" s="1"/>
  <c r="AA757" i="26"/>
  <c r="AB757" i="26" s="1"/>
  <c r="AA764" i="26"/>
  <c r="AB764" i="26" s="1"/>
  <c r="AA770" i="26"/>
  <c r="AB770" i="26" s="1"/>
  <c r="AA779" i="26"/>
  <c r="AB779" i="26" s="1"/>
  <c r="AA785" i="26"/>
  <c r="AB785" i="26" s="1"/>
  <c r="AA789" i="26"/>
  <c r="AB789" i="26" s="1"/>
  <c r="AA795" i="26"/>
  <c r="AB795" i="26" s="1"/>
  <c r="AA798" i="26"/>
  <c r="AB798" i="26" s="1"/>
  <c r="AA803" i="26"/>
  <c r="AB803" i="26" s="1"/>
  <c r="AA805" i="26"/>
  <c r="AB805" i="26" s="1"/>
  <c r="AA807" i="26"/>
  <c r="AB807" i="26" s="1"/>
  <c r="AA816" i="26"/>
  <c r="AB816" i="26" s="1"/>
  <c r="AA824" i="26"/>
  <c r="AB824" i="26" s="1"/>
  <c r="AA826" i="26"/>
  <c r="AB826" i="26" s="1"/>
  <c r="AA831" i="26"/>
  <c r="AB831" i="26" s="1"/>
  <c r="AA838" i="26"/>
  <c r="AB838" i="26" s="1"/>
  <c r="AA840" i="26"/>
  <c r="AB840" i="26" s="1"/>
  <c r="AA844" i="26"/>
  <c r="AB844" i="26" s="1"/>
  <c r="AA849" i="26"/>
  <c r="AB849" i="26" s="1"/>
  <c r="AA855" i="26"/>
  <c r="AB855" i="26" s="1"/>
  <c r="AA856" i="26"/>
  <c r="AB856" i="26" s="1"/>
  <c r="AA869" i="26"/>
  <c r="AB869" i="26" s="1"/>
  <c r="AA885" i="26"/>
  <c r="AB885" i="26" s="1"/>
  <c r="AA887" i="26"/>
  <c r="AB887" i="26" s="1"/>
  <c r="AA892" i="26"/>
  <c r="AB892" i="26" s="1"/>
  <c r="AA894" i="26"/>
  <c r="AB894" i="26" s="1"/>
  <c r="AA881" i="26"/>
  <c r="AB881" i="26" s="1"/>
  <c r="AA746" i="26"/>
  <c r="AB746" i="26" s="1"/>
  <c r="AA748" i="26"/>
  <c r="AB748" i="26" s="1"/>
  <c r="AA750" i="26"/>
  <c r="AB750" i="26" s="1"/>
  <c r="AA753" i="26"/>
  <c r="AB753" i="26" s="1"/>
  <c r="AA754" i="26"/>
  <c r="AB754" i="26" s="1"/>
  <c r="AA756" i="26"/>
  <c r="AB756" i="26" s="1"/>
  <c r="AA758" i="26"/>
  <c r="AB758" i="26" s="1"/>
  <c r="AA759" i="26"/>
  <c r="AB759" i="26" s="1"/>
  <c r="AA760" i="26"/>
  <c r="AB760" i="26" s="1"/>
  <c r="AA761" i="26"/>
  <c r="AB761" i="26" s="1"/>
  <c r="AA762" i="26"/>
  <c r="AB762" i="26" s="1"/>
  <c r="AA763" i="26"/>
  <c r="AB763" i="26" s="1"/>
  <c r="AA765" i="26"/>
  <c r="AB765" i="26" s="1"/>
  <c r="AA766" i="26"/>
  <c r="AB766" i="26" s="1"/>
  <c r="AA767" i="26"/>
  <c r="AB767" i="26" s="1"/>
  <c r="AA768" i="26"/>
  <c r="AB768" i="26" s="1"/>
  <c r="AA769" i="26"/>
  <c r="AB769" i="26" s="1"/>
  <c r="AA771" i="26"/>
  <c r="AB771" i="26" s="1"/>
  <c r="AA772" i="26"/>
  <c r="AB772" i="26" s="1"/>
  <c r="AA773" i="26"/>
  <c r="AB773" i="26" s="1"/>
  <c r="AA774" i="26"/>
  <c r="AB774" i="26" s="1"/>
  <c r="AA775" i="26"/>
  <c r="AB775" i="26" s="1"/>
  <c r="AA776" i="26"/>
  <c r="AB776" i="26" s="1"/>
  <c r="AA777" i="26"/>
  <c r="AB777" i="26" s="1"/>
  <c r="AA778" i="26"/>
  <c r="AB778" i="26" s="1"/>
  <c r="AA780" i="26"/>
  <c r="AB780" i="26" s="1"/>
  <c r="AA782" i="26"/>
  <c r="AB782" i="26" s="1"/>
  <c r="AA784" i="26"/>
  <c r="AB784" i="26" s="1"/>
  <c r="AA786" i="26"/>
  <c r="AB786" i="26" s="1"/>
  <c r="AA787" i="26"/>
  <c r="AB787" i="26" s="1"/>
  <c r="AA788" i="26"/>
  <c r="AB788" i="26" s="1"/>
  <c r="AA790" i="26"/>
  <c r="AB790" i="26" s="1"/>
  <c r="AA791" i="26"/>
  <c r="AB791" i="26" s="1"/>
  <c r="AA792" i="26"/>
  <c r="AB792" i="26" s="1"/>
  <c r="AA793" i="26"/>
  <c r="AB793" i="26" s="1"/>
  <c r="AA794" i="26"/>
  <c r="AB794" i="26" s="1"/>
  <c r="AA796" i="26"/>
  <c r="AB796" i="26" s="1"/>
  <c r="AA797" i="26"/>
  <c r="AB797" i="26" s="1"/>
  <c r="AA799" i="26"/>
  <c r="AB799" i="26" s="1"/>
  <c r="AA800" i="26"/>
  <c r="AB800" i="26" s="1"/>
  <c r="AA801" i="26"/>
  <c r="AA802" i="26"/>
  <c r="AB802" i="26" s="1"/>
  <c r="AA804" i="26"/>
  <c r="AB804" i="26" s="1"/>
  <c r="AA806" i="26"/>
  <c r="AB806" i="26" s="1"/>
  <c r="AA808" i="26"/>
  <c r="AB808" i="26" s="1"/>
  <c r="AA809" i="26"/>
  <c r="AB809" i="26" s="1"/>
  <c r="AA810" i="26"/>
  <c r="AB810" i="26" s="1"/>
  <c r="AA811" i="26"/>
  <c r="AB811" i="26" s="1"/>
  <c r="AA812" i="26"/>
  <c r="AB812" i="26" s="1"/>
  <c r="AA813" i="26"/>
  <c r="AB813" i="26" s="1"/>
  <c r="AA814" i="26"/>
  <c r="AB814" i="26" s="1"/>
  <c r="AA815" i="26"/>
  <c r="AB815" i="26" s="1"/>
  <c r="AA817" i="26"/>
  <c r="AB817" i="26" s="1"/>
  <c r="AA818" i="26"/>
  <c r="AB818" i="26" s="1"/>
  <c r="AA819" i="26"/>
  <c r="AB819" i="26" s="1"/>
  <c r="AA820" i="26"/>
  <c r="AB820" i="26" s="1"/>
  <c r="AA822" i="26"/>
  <c r="AB822" i="26" s="1"/>
  <c r="AA823" i="26"/>
  <c r="AB823" i="26" s="1"/>
  <c r="AA825" i="26"/>
  <c r="AB825" i="26" s="1"/>
  <c r="AA827" i="26"/>
  <c r="AB827" i="26" s="1"/>
  <c r="AA828" i="26"/>
  <c r="AB828" i="26" s="1"/>
  <c r="AA829" i="26"/>
  <c r="AB829" i="26" s="1"/>
  <c r="AA830" i="26"/>
  <c r="AB830" i="26" s="1"/>
  <c r="AA832" i="26"/>
  <c r="AB832" i="26" s="1"/>
  <c r="AA833" i="26"/>
  <c r="AB833" i="26" s="1"/>
  <c r="AA834" i="26"/>
  <c r="AB834" i="26" s="1"/>
  <c r="AA835" i="26"/>
  <c r="AB835" i="26" s="1"/>
  <c r="AA836" i="26"/>
  <c r="AB836" i="26" s="1"/>
  <c r="AA837" i="26"/>
  <c r="AB837" i="26" s="1"/>
  <c r="AA839" i="26"/>
  <c r="AB839" i="26" s="1"/>
  <c r="AA841" i="26"/>
  <c r="AB841" i="26" s="1"/>
  <c r="AA842" i="26"/>
  <c r="AB842" i="26" s="1"/>
  <c r="AA843" i="26"/>
  <c r="AB843" i="26" s="1"/>
  <c r="AA845" i="26"/>
  <c r="AB845" i="26" s="1"/>
  <c r="AA846" i="26"/>
  <c r="AB846" i="26" s="1"/>
  <c r="AA847" i="26"/>
  <c r="AB847" i="26" s="1"/>
  <c r="AA848" i="26"/>
  <c r="AB848" i="26" s="1"/>
  <c r="AA850" i="26"/>
  <c r="AB850" i="26" s="1"/>
  <c r="AA851" i="26"/>
  <c r="AB851" i="26" s="1"/>
  <c r="AA852" i="26"/>
  <c r="AB852" i="26" s="1"/>
  <c r="AA854" i="26"/>
  <c r="AB854" i="26" s="1"/>
  <c r="AA857" i="26"/>
  <c r="AB857" i="26" s="1"/>
  <c r="AA858" i="26"/>
  <c r="AB858" i="26" s="1"/>
  <c r="AA859" i="26"/>
  <c r="AB859" i="26" s="1"/>
  <c r="AA860" i="26"/>
  <c r="AB860" i="26" s="1"/>
  <c r="AA861" i="26"/>
  <c r="AB861" i="26" s="1"/>
  <c r="AA862" i="26"/>
  <c r="AB862" i="26" s="1"/>
  <c r="AA863" i="26"/>
  <c r="AB863" i="26" s="1"/>
  <c r="AA864" i="26"/>
  <c r="AB864" i="26" s="1"/>
  <c r="AA865" i="26"/>
  <c r="AB865" i="26" s="1"/>
  <c r="AA866" i="26"/>
  <c r="AB866" i="26" s="1"/>
  <c r="AA867" i="26"/>
  <c r="AB867" i="26" s="1"/>
  <c r="AA868" i="26"/>
  <c r="AB868" i="26" s="1"/>
  <c r="AA870" i="26"/>
  <c r="AB870" i="26" s="1"/>
  <c r="AA871" i="26"/>
  <c r="AB871" i="26" s="1"/>
  <c r="AA872" i="26"/>
  <c r="AB872" i="26" s="1"/>
  <c r="AA873" i="26"/>
  <c r="AB873" i="26" s="1"/>
  <c r="AA874" i="26"/>
  <c r="AB874" i="26" s="1"/>
  <c r="AA875" i="26"/>
  <c r="AB875" i="26" s="1"/>
  <c r="AA876" i="26"/>
  <c r="AB876" i="26" s="1"/>
  <c r="AA877" i="26"/>
  <c r="AB877" i="26" s="1"/>
  <c r="AA878" i="26"/>
  <c r="AB878" i="26" s="1"/>
  <c r="AA879" i="26"/>
  <c r="AB879" i="26" s="1"/>
  <c r="AA880" i="26"/>
  <c r="AB880" i="26" s="1"/>
  <c r="AA882" i="26"/>
  <c r="AB882" i="26" s="1"/>
  <c r="AA884" i="26"/>
  <c r="AB884" i="26" s="1"/>
  <c r="AA886" i="26"/>
  <c r="AB886" i="26" s="1"/>
  <c r="AA888" i="26"/>
  <c r="AB888" i="26" s="1"/>
  <c r="AA889" i="26"/>
  <c r="AB889" i="26" s="1"/>
  <c r="AA891" i="26"/>
  <c r="AB891" i="26" s="1"/>
  <c r="AA893" i="26"/>
  <c r="AB893" i="26" s="1"/>
  <c r="AA895" i="26"/>
  <c r="AB895" i="26" s="1"/>
  <c r="AA783" i="26"/>
  <c r="AB783" i="26" s="1"/>
  <c r="AA821" i="26"/>
  <c r="AB821" i="26" s="1"/>
  <c r="AA853" i="26"/>
  <c r="AB853" i="26" s="1"/>
  <c r="AA883" i="26"/>
  <c r="AB883" i="26" s="1"/>
  <c r="AA781" i="26"/>
  <c r="AB781" i="26" s="1"/>
  <c r="AA896" i="26"/>
  <c r="AB896" i="26" s="1"/>
  <c r="AA897" i="26"/>
  <c r="AB897" i="26" s="1"/>
  <c r="AA899" i="26"/>
  <c r="AB899" i="26" s="1"/>
  <c r="AA898" i="26"/>
  <c r="AB898" i="26" s="1"/>
  <c r="AA900" i="26"/>
  <c r="AB900" i="26" s="1"/>
  <c r="AA901" i="26"/>
  <c r="AB901" i="26" s="1"/>
  <c r="AA902" i="26"/>
  <c r="AB902" i="26" s="1"/>
  <c r="AA903" i="26"/>
  <c r="AB903" i="26" s="1"/>
  <c r="AA905" i="26"/>
  <c r="AB905" i="26" s="1"/>
  <c r="AA904" i="26"/>
  <c r="AB904" i="26" s="1"/>
  <c r="AA906" i="26"/>
  <c r="AB906" i="26" s="1"/>
  <c r="AA940" i="26"/>
  <c r="AB940" i="26" s="1"/>
  <c r="AA963" i="26"/>
  <c r="AB963" i="26" s="1"/>
  <c r="AA944" i="26"/>
  <c r="AB944" i="26" s="1"/>
  <c r="AA957" i="26"/>
  <c r="AB957" i="26" s="1"/>
  <c r="AA967" i="26"/>
  <c r="AB967" i="26" s="1"/>
  <c r="AA972" i="26"/>
  <c r="AB972" i="26" s="1"/>
  <c r="AA978" i="26"/>
  <c r="AB978" i="26" s="1"/>
  <c r="AA989" i="26"/>
  <c r="AB989" i="26" s="1"/>
  <c r="AA992" i="26"/>
  <c r="AB992" i="26" s="1"/>
  <c r="AA998" i="26"/>
  <c r="AB998" i="26" s="1"/>
  <c r="AA1004" i="26"/>
  <c r="AB1004" i="26" s="1"/>
  <c r="AA1005" i="26"/>
  <c r="AB1005" i="26" s="1"/>
  <c r="AA1013" i="26"/>
  <c r="AB1013" i="26" s="1"/>
  <c r="AA1027" i="26"/>
  <c r="AB1027" i="26" s="1"/>
  <c r="AA1036" i="26"/>
  <c r="AB1036" i="26" s="1"/>
  <c r="AA1038" i="26"/>
  <c r="AB1038" i="26" s="1"/>
  <c r="AA1040" i="26"/>
  <c r="AB1040" i="26" s="1"/>
  <c r="AA1045" i="26"/>
  <c r="AB1045" i="26" s="1"/>
  <c r="AA1049" i="26"/>
  <c r="AB1049" i="26" s="1"/>
  <c r="AA1053" i="26"/>
  <c r="AB1053" i="26" s="1"/>
  <c r="AA1063" i="26"/>
  <c r="AB1063" i="26" s="1"/>
  <c r="AA1064" i="26"/>
  <c r="AB1064" i="26" s="1"/>
  <c r="AA1070" i="26"/>
  <c r="AB1070" i="26" s="1"/>
  <c r="AA1071" i="26"/>
  <c r="AB1071" i="26" s="1"/>
  <c r="AA1078" i="26"/>
  <c r="AB1078" i="26" s="1"/>
  <c r="AA1082" i="26"/>
  <c r="AB1082" i="26" s="1"/>
  <c r="AA1094" i="26"/>
  <c r="AB1094" i="26" s="1"/>
  <c r="AA1095" i="26"/>
  <c r="AB1095" i="26" s="1"/>
  <c r="AA908" i="26"/>
  <c r="AB908" i="26" s="1"/>
  <c r="AA910" i="26"/>
  <c r="AB910" i="26" s="1"/>
  <c r="AA911" i="26"/>
  <c r="AB911" i="26" s="1"/>
  <c r="AA918" i="26"/>
  <c r="AB918" i="26" s="1"/>
  <c r="AA920" i="26"/>
  <c r="AB920" i="26" s="1"/>
  <c r="AA921" i="26"/>
  <c r="AB921" i="26" s="1"/>
  <c r="AA922" i="26"/>
  <c r="AB922" i="26" s="1"/>
  <c r="AA924" i="26"/>
  <c r="AB924" i="26" s="1"/>
  <c r="AA925" i="26"/>
  <c r="AB925" i="26" s="1"/>
  <c r="AA933" i="26"/>
  <c r="AB933" i="26" s="1"/>
  <c r="AA934" i="26"/>
  <c r="AB934" i="26" s="1"/>
  <c r="AA936" i="26"/>
  <c r="AB936" i="26" s="1"/>
  <c r="AA937" i="26"/>
  <c r="AB937" i="26" s="1"/>
  <c r="AA938" i="26"/>
  <c r="AB938" i="26" s="1"/>
  <c r="AA941" i="26"/>
  <c r="AB941" i="26" s="1"/>
  <c r="AA942" i="26"/>
  <c r="AB942" i="26" s="1"/>
  <c r="AA947" i="26"/>
  <c r="AB947" i="26" s="1"/>
  <c r="AA953" i="26"/>
  <c r="AB953" i="26" s="1"/>
  <c r="AA954" i="26"/>
  <c r="AB954" i="26" s="1"/>
  <c r="AA955" i="26"/>
  <c r="AB955" i="26" s="1"/>
  <c r="AA956" i="26"/>
  <c r="AB956" i="26" s="1"/>
  <c r="AA959" i="26"/>
  <c r="AB959" i="26" s="1"/>
  <c r="AA960" i="26"/>
  <c r="AB960" i="26" s="1"/>
  <c r="AA962" i="26"/>
  <c r="AB962" i="26" s="1"/>
  <c r="AA964" i="26"/>
  <c r="AB964" i="26" s="1"/>
  <c r="AA965" i="26"/>
  <c r="AB965" i="26" s="1"/>
  <c r="AA968" i="26"/>
  <c r="AB968" i="26" s="1"/>
  <c r="AA969" i="26"/>
  <c r="AB969" i="26" s="1"/>
  <c r="AA970" i="26"/>
  <c r="AB970" i="26" s="1"/>
  <c r="AA971" i="26"/>
  <c r="AB971" i="26" s="1"/>
  <c r="AA973" i="26"/>
  <c r="AB973" i="26" s="1"/>
  <c r="AA974" i="26"/>
  <c r="AB974" i="26" s="1"/>
  <c r="AA975" i="26"/>
  <c r="AB975" i="26" s="1"/>
  <c r="AA979" i="26"/>
  <c r="AB979" i="26" s="1"/>
  <c r="AA980" i="26"/>
  <c r="AB980" i="26" s="1"/>
  <c r="AA981" i="26"/>
  <c r="AB981" i="26" s="1"/>
  <c r="AA982" i="26"/>
  <c r="AB982" i="26" s="1"/>
  <c r="AA983" i="26"/>
  <c r="AB983" i="26" s="1"/>
  <c r="AA985" i="26"/>
  <c r="AB985" i="26" s="1"/>
  <c r="AA986" i="26"/>
  <c r="AB986" i="26" s="1"/>
  <c r="AA987" i="26"/>
  <c r="AB987" i="26" s="1"/>
  <c r="AA990" i="26"/>
  <c r="AB990" i="26" s="1"/>
  <c r="AA991" i="26"/>
  <c r="AB991" i="26" s="1"/>
  <c r="AA993" i="26"/>
  <c r="AB993" i="26" s="1"/>
  <c r="AA994" i="26"/>
  <c r="AB994" i="26" s="1"/>
  <c r="AA995" i="26"/>
  <c r="AB995" i="26" s="1"/>
  <c r="AA996" i="26"/>
  <c r="AB996" i="26" s="1"/>
  <c r="AA997" i="26"/>
  <c r="AB997" i="26" s="1"/>
  <c r="AA999" i="26"/>
  <c r="AB999" i="26" s="1"/>
  <c r="AA1000" i="26"/>
  <c r="AB1000" i="26" s="1"/>
  <c r="AA1001" i="26"/>
  <c r="AB1001" i="26" s="1"/>
  <c r="AA1003" i="26"/>
  <c r="AB1003" i="26" s="1"/>
  <c r="AA1006" i="26"/>
  <c r="AB1006" i="26" s="1"/>
  <c r="AA1007" i="26"/>
  <c r="AB1007" i="26" s="1"/>
  <c r="AA1008" i="26"/>
  <c r="AB1008" i="26" s="1"/>
  <c r="AA1009" i="26"/>
  <c r="AB1009" i="26" s="1"/>
  <c r="AA1010" i="26"/>
  <c r="AB1010" i="26" s="1"/>
  <c r="AA1011" i="26"/>
  <c r="AB1011" i="26" s="1"/>
  <c r="AA1014" i="26"/>
  <c r="AB1014" i="26" s="1"/>
  <c r="AA1015" i="26"/>
  <c r="AB1015" i="26" s="1"/>
  <c r="AA1016" i="26"/>
  <c r="AB1016" i="26" s="1"/>
  <c r="AA1019" i="26"/>
  <c r="AB1019" i="26" s="1"/>
  <c r="AA1020" i="26"/>
  <c r="AB1020" i="26" s="1"/>
  <c r="AA1021" i="26"/>
  <c r="AB1021" i="26" s="1"/>
  <c r="AA1026" i="26"/>
  <c r="AB1026" i="26" s="1"/>
  <c r="AA1028" i="26"/>
  <c r="AB1028" i="26" s="1"/>
  <c r="AA1029" i="26"/>
  <c r="AB1029" i="26" s="1"/>
  <c r="AA1030" i="26"/>
  <c r="AB1030" i="26" s="1"/>
  <c r="AA1031" i="26"/>
  <c r="AB1031" i="26" s="1"/>
  <c r="AA1032" i="26"/>
  <c r="AB1032" i="26" s="1"/>
  <c r="AA1033" i="26"/>
  <c r="AB1033" i="26" s="1"/>
  <c r="AA1034" i="26"/>
  <c r="AB1034" i="26" s="1"/>
  <c r="AA1035" i="26"/>
  <c r="AB1035" i="26" s="1"/>
  <c r="AA1037" i="26"/>
  <c r="AB1037" i="26" s="1"/>
  <c r="AA1039" i="26"/>
  <c r="AB1039" i="26" s="1"/>
  <c r="AA1042" i="26"/>
  <c r="AB1042" i="26" s="1"/>
  <c r="AA1043" i="26"/>
  <c r="AB1043" i="26" s="1"/>
  <c r="AA1044" i="26"/>
  <c r="AB1044" i="26" s="1"/>
  <c r="AA1046" i="26"/>
  <c r="AB1046" i="26" s="1"/>
  <c r="AA1047" i="26"/>
  <c r="AB1047" i="26" s="1"/>
  <c r="AA1048" i="26"/>
  <c r="AB1048" i="26" s="1"/>
  <c r="AA1050" i="26"/>
  <c r="AB1050" i="26" s="1"/>
  <c r="AA1051" i="26"/>
  <c r="AB1051" i="26" s="1"/>
  <c r="AA1052" i="26"/>
  <c r="AB1052" i="26" s="1"/>
  <c r="AA1054" i="26"/>
  <c r="AB1054" i="26" s="1"/>
  <c r="AA1055" i="26"/>
  <c r="AB1055" i="26" s="1"/>
  <c r="AA1056" i="26"/>
  <c r="AB1056" i="26" s="1"/>
  <c r="AA1057" i="26"/>
  <c r="AB1057" i="26" s="1"/>
  <c r="AA1058" i="26"/>
  <c r="AB1058" i="26" s="1"/>
  <c r="AA1059" i="26"/>
  <c r="AB1059" i="26" s="1"/>
  <c r="AA1060" i="26"/>
  <c r="AB1060" i="26" s="1"/>
  <c r="AA1068" i="26"/>
  <c r="AB1068" i="26" s="1"/>
  <c r="AA1069" i="26"/>
  <c r="AB1069" i="26" s="1"/>
  <c r="AA1072" i="26"/>
  <c r="AB1072" i="26" s="1"/>
  <c r="AA1079" i="26"/>
  <c r="AB1079" i="26" s="1"/>
  <c r="AA1081" i="26"/>
  <c r="AB1081" i="26" s="1"/>
  <c r="AA1083" i="26"/>
  <c r="AB1083" i="26" s="1"/>
  <c r="AA1084" i="26"/>
  <c r="AB1084" i="26" s="1"/>
  <c r="AA1085" i="26"/>
  <c r="AB1085" i="26" s="1"/>
  <c r="AA1086" i="26"/>
  <c r="AB1086" i="26" s="1"/>
  <c r="AA1087" i="26"/>
  <c r="AB1087" i="26" s="1"/>
  <c r="AA1092" i="26"/>
  <c r="AB1092" i="26" s="1"/>
  <c r="AA1093" i="26"/>
  <c r="AB1093" i="26" s="1"/>
  <c r="AA1096" i="26"/>
  <c r="AB1096" i="26" s="1"/>
  <c r="AA1097" i="26"/>
  <c r="AB1097" i="26" s="1"/>
  <c r="AA1099" i="26"/>
  <c r="AB1099" i="26" s="1"/>
  <c r="AA1101" i="26"/>
  <c r="AB1101" i="26" s="1"/>
  <c r="AA1103" i="26"/>
  <c r="AB1103" i="26" s="1"/>
  <c r="AA1104" i="26"/>
  <c r="AB1104" i="26" s="1"/>
  <c r="AA1106" i="26"/>
  <c r="AB1106" i="26" s="1"/>
  <c r="AA912" i="26"/>
  <c r="AB912" i="26" s="1"/>
  <c r="AA923" i="26"/>
  <c r="AB923" i="26" s="1"/>
  <c r="AA931" i="26"/>
  <c r="AB931" i="26" s="1"/>
  <c r="AA939" i="26"/>
  <c r="AB939" i="26" s="1"/>
  <c r="AA946" i="26"/>
  <c r="AB946" i="26" s="1"/>
  <c r="AA950" i="26"/>
  <c r="AB950" i="26" s="1"/>
  <c r="AA951" i="26"/>
  <c r="AB951" i="26" s="1"/>
  <c r="AA952" i="26"/>
  <c r="AB952" i="26" s="1"/>
  <c r="AA958" i="26"/>
  <c r="AB958" i="26" s="1"/>
  <c r="AA961" i="26"/>
  <c r="AB961" i="26" s="1"/>
  <c r="AA966" i="26"/>
  <c r="AB966" i="26" s="1"/>
  <c r="AA984" i="26"/>
  <c r="AB984" i="26" s="1"/>
  <c r="AA988" i="26"/>
  <c r="AB988" i="26" s="1"/>
  <c r="AA1002" i="26"/>
  <c r="AB1002" i="26" s="1"/>
  <c r="AA1012" i="26"/>
  <c r="AB1012" i="26" s="1"/>
  <c r="AA1073" i="26"/>
  <c r="AB1073" i="26" s="1"/>
  <c r="AA1080" i="26"/>
  <c r="AB1080" i="26" s="1"/>
  <c r="AA932" i="26"/>
  <c r="AB932" i="26" s="1"/>
  <c r="AA935" i="26"/>
  <c r="AB935" i="26" s="1"/>
  <c r="AA943" i="26"/>
  <c r="AB943" i="26" s="1"/>
  <c r="AA945" i="26"/>
  <c r="AB945" i="26" s="1"/>
  <c r="AA976" i="26"/>
  <c r="AB976" i="26" s="1"/>
  <c r="AA977" i="26"/>
  <c r="AB977" i="26" s="1"/>
  <c r="AA1041" i="26"/>
  <c r="AB1041" i="26" s="1"/>
  <c r="AA1062" i="26"/>
  <c r="AB1062" i="26" s="1"/>
  <c r="AA1107" i="26"/>
  <c r="AB1107" i="26" s="1"/>
  <c r="AA1108" i="26"/>
  <c r="AB1108" i="26" s="1"/>
  <c r="AA1109" i="26"/>
  <c r="AB1109" i="26" s="1"/>
  <c r="AA1110" i="26"/>
  <c r="AB1110" i="26" s="1"/>
  <c r="AA1111" i="26"/>
  <c r="AB1111" i="26" s="1"/>
  <c r="AA1112" i="26"/>
  <c r="AB1112" i="26" s="1"/>
  <c r="AA1147" i="26"/>
  <c r="AB1147" i="26" s="1"/>
  <c r="AA1182" i="26"/>
  <c r="AB1182" i="26" s="1"/>
  <c r="AA1143" i="26"/>
  <c r="AB1143" i="26" s="1"/>
  <c r="AA1170" i="26"/>
  <c r="AB1170" i="26" s="1"/>
  <c r="AA1152" i="26"/>
  <c r="AB1152" i="26" s="1"/>
  <c r="AA1154" i="26"/>
  <c r="AB1154" i="26" s="1"/>
  <c r="AA1162" i="26"/>
  <c r="AB1162" i="26" s="1"/>
  <c r="AA1171" i="26"/>
  <c r="AB1171" i="26" s="1"/>
  <c r="AA1174" i="26"/>
  <c r="AB1174" i="26" s="1"/>
  <c r="AA1180" i="26"/>
  <c r="AB1180" i="26" s="1"/>
  <c r="AA1183" i="26"/>
  <c r="AB1183" i="26" s="1"/>
  <c r="AA1185" i="26"/>
  <c r="AB1185" i="26" s="1"/>
  <c r="AA1198" i="26"/>
  <c r="AB1198" i="26" s="1"/>
  <c r="AA1202" i="26"/>
  <c r="AB1202" i="26" s="1"/>
  <c r="AA1204" i="26"/>
  <c r="AB1204" i="26" s="1"/>
  <c r="AA1206" i="26"/>
  <c r="AB1206" i="26" s="1"/>
  <c r="AA1212" i="26"/>
  <c r="AB1212" i="26" s="1"/>
  <c r="AA1214" i="26"/>
  <c r="AB1214" i="26" s="1"/>
  <c r="AA1216" i="26"/>
  <c r="AB1216" i="26" s="1"/>
  <c r="AA1221" i="26"/>
  <c r="AB1221" i="26" s="1"/>
  <c r="AA1226" i="26"/>
  <c r="AB1226" i="26" s="1"/>
  <c r="AA1114" i="26"/>
  <c r="AB1114" i="26" s="1"/>
  <c r="AA1116" i="26"/>
  <c r="AB1116" i="26" s="1"/>
  <c r="AA1120" i="26"/>
  <c r="AB1120" i="26" s="1"/>
  <c r="AA1122" i="26"/>
  <c r="AB1122" i="26" s="1"/>
  <c r="AA1123" i="26"/>
  <c r="AB1123" i="26" s="1"/>
  <c r="AA1125" i="26"/>
  <c r="AB1125" i="26" s="1"/>
  <c r="AA1129" i="26"/>
  <c r="AB1129" i="26" s="1"/>
  <c r="AA1130" i="26"/>
  <c r="AB1130" i="26" s="1"/>
  <c r="AA1131" i="26"/>
  <c r="AB1131" i="26" s="1"/>
  <c r="AA1133" i="26"/>
  <c r="AB1133" i="26" s="1"/>
  <c r="AA1135" i="26"/>
  <c r="AB1135" i="26" s="1"/>
  <c r="AA1140" i="26"/>
  <c r="AB1140" i="26" s="1"/>
  <c r="AA1141" i="26"/>
  <c r="AB1141" i="26" s="1"/>
  <c r="AA1142" i="26"/>
  <c r="AB1142" i="26" s="1"/>
  <c r="AA1146" i="26"/>
  <c r="AB1146" i="26" s="1"/>
  <c r="AA1148" i="26"/>
  <c r="AB1148" i="26" s="1"/>
  <c r="AA1149" i="26"/>
  <c r="AB1149" i="26" s="1"/>
  <c r="AA1151" i="26"/>
  <c r="AB1151" i="26" s="1"/>
  <c r="AA1155" i="26"/>
  <c r="AB1155" i="26" s="1"/>
  <c r="AA1156" i="26"/>
  <c r="AB1156" i="26" s="1"/>
  <c r="AA1159" i="26"/>
  <c r="AB1159" i="26" s="1"/>
  <c r="AA1161" i="26"/>
  <c r="AB1161" i="26" s="1"/>
  <c r="AA1163" i="26"/>
  <c r="AB1163" i="26" s="1"/>
  <c r="AA1164" i="26"/>
  <c r="AB1164" i="26" s="1"/>
  <c r="AA1165" i="26"/>
  <c r="AB1165" i="26" s="1"/>
  <c r="AA1166" i="26"/>
  <c r="AB1166" i="26" s="1"/>
  <c r="AA1168" i="26"/>
  <c r="AB1168" i="26" s="1"/>
  <c r="AA1169" i="26"/>
  <c r="AB1169" i="26" s="1"/>
  <c r="AA1172" i="26"/>
  <c r="AB1172" i="26" s="1"/>
  <c r="AA1173" i="26"/>
  <c r="AB1173" i="26" s="1"/>
  <c r="AA1175" i="26"/>
  <c r="AB1175" i="26" s="1"/>
  <c r="AA1176" i="26"/>
  <c r="AB1176" i="26" s="1"/>
  <c r="AA1177" i="26"/>
  <c r="AB1177" i="26" s="1"/>
  <c r="AA1178" i="26"/>
  <c r="AB1178" i="26" s="1"/>
  <c r="AA1179" i="26"/>
  <c r="AB1179" i="26" s="1"/>
  <c r="AA1181" i="26"/>
  <c r="AB1181" i="26" s="1"/>
  <c r="AA1184" i="26"/>
  <c r="AB1184" i="26" s="1"/>
  <c r="AA1186" i="26"/>
  <c r="AB1186" i="26" s="1"/>
  <c r="AA1187" i="26"/>
  <c r="AB1187" i="26" s="1"/>
  <c r="AA1188" i="26"/>
  <c r="AB1188" i="26" s="1"/>
  <c r="AA1190" i="26"/>
  <c r="AB1190" i="26" s="1"/>
  <c r="AA1191" i="26"/>
  <c r="AB1191" i="26" s="1"/>
  <c r="AA1192" i="26"/>
  <c r="AB1192" i="26" s="1"/>
  <c r="AA1197" i="26"/>
  <c r="AB1197" i="26" s="1"/>
  <c r="AA1199" i="26"/>
  <c r="AB1199" i="26" s="1"/>
  <c r="AA1200" i="26"/>
  <c r="AB1200" i="26" s="1"/>
  <c r="AA1201" i="26"/>
  <c r="AB1201" i="26" s="1"/>
  <c r="AA1203" i="26"/>
  <c r="AB1203" i="26" s="1"/>
  <c r="AA1205" i="26"/>
  <c r="AB1205" i="26" s="1"/>
  <c r="AA1207" i="26"/>
  <c r="AB1207" i="26" s="1"/>
  <c r="AA1209" i="26"/>
  <c r="AB1209" i="26" s="1"/>
  <c r="AA1211" i="26"/>
  <c r="AB1211" i="26" s="1"/>
  <c r="AA1213" i="26"/>
  <c r="AB1213" i="26" s="1"/>
  <c r="AA1215" i="26"/>
  <c r="AB1215" i="26" s="1"/>
  <c r="AA1217" i="26"/>
  <c r="AB1217" i="26" s="1"/>
  <c r="AA1218" i="26"/>
  <c r="AB1218" i="26" s="1"/>
  <c r="AA1219" i="26"/>
  <c r="AB1219" i="26" s="1"/>
  <c r="AA1225" i="26"/>
  <c r="AB1225" i="26" s="1"/>
  <c r="AA1229" i="26"/>
  <c r="AB1229" i="26" s="1"/>
  <c r="AA1230" i="26"/>
  <c r="AB1230" i="26" s="1"/>
  <c r="AA1231" i="26"/>
  <c r="AB1231" i="26" s="1"/>
  <c r="AA1234" i="26"/>
  <c r="AB1234" i="26" s="1"/>
  <c r="AA1236" i="26"/>
  <c r="AB1236" i="26" s="1"/>
  <c r="AA1124" i="26"/>
  <c r="AB1124" i="26" s="1"/>
  <c r="AA1134" i="26"/>
  <c r="AB1134" i="26" s="1"/>
  <c r="AA1157" i="26"/>
  <c r="AB1157" i="26" s="1"/>
  <c r="AA1158" i="26"/>
  <c r="AB1158" i="26" s="1"/>
  <c r="AA1160" i="26"/>
  <c r="AB1160" i="26" s="1"/>
  <c r="AA1210" i="26"/>
  <c r="AB1210" i="26" s="1"/>
  <c r="AA1137" i="26"/>
  <c r="AB1137" i="26" s="1"/>
  <c r="AA1153" i="26"/>
  <c r="AB1153" i="26" s="1"/>
  <c r="AA1189" i="26"/>
  <c r="AB1189" i="26" s="1"/>
  <c r="AA1238" i="26"/>
  <c r="AB1238" i="26" s="1"/>
  <c r="AA1240" i="26"/>
  <c r="AB1240" i="26" s="1"/>
  <c r="AA1242" i="26"/>
  <c r="AB1242" i="26" s="1"/>
  <c r="AA1246" i="26"/>
  <c r="AB1246" i="26" s="1"/>
  <c r="AA1248" i="26"/>
  <c r="AB1248" i="26" s="1"/>
  <c r="AA1250" i="26"/>
  <c r="AB1250" i="26" s="1"/>
  <c r="AA1253" i="26"/>
  <c r="AB1253" i="26" s="1"/>
  <c r="AA1241" i="26"/>
  <c r="AB1241" i="26" s="1"/>
  <c r="AA1243" i="26"/>
  <c r="AB1243" i="26" s="1"/>
  <c r="AA1245" i="26"/>
  <c r="AB1245" i="26" s="1"/>
  <c r="AA1247" i="26"/>
  <c r="AB1247" i="26" s="1"/>
  <c r="AA1249" i="26"/>
  <c r="AB1249" i="26" s="1"/>
  <c r="AA1251" i="26"/>
  <c r="AB1251" i="26" s="1"/>
  <c r="AA1252" i="26"/>
  <c r="AB1252" i="26" s="1"/>
  <c r="AA1254" i="26"/>
  <c r="AB1254" i="26" s="1"/>
  <c r="AA1257" i="26"/>
  <c r="AB1257" i="26" s="1"/>
  <c r="AA1260" i="26"/>
  <c r="AB1260" i="26" s="1"/>
  <c r="AA1261" i="26"/>
  <c r="AB1261" i="26" s="1"/>
  <c r="AA1262" i="26"/>
  <c r="AB1262" i="26" s="1"/>
  <c r="AA1266" i="26"/>
  <c r="AB1266" i="26" s="1"/>
  <c r="AA1268" i="26"/>
  <c r="AB1268" i="26" s="1"/>
  <c r="AA1239" i="26"/>
  <c r="AB1239" i="26" s="1"/>
  <c r="AA1269" i="26"/>
  <c r="AB1269" i="26" s="1"/>
  <c r="AA1274" i="26"/>
  <c r="AB1274" i="26" s="1"/>
  <c r="AA1277" i="26"/>
  <c r="AB1277" i="26" s="1"/>
  <c r="AA1278" i="26"/>
  <c r="AB1278" i="26" s="1"/>
  <c r="AA1279" i="26"/>
  <c r="AB1279" i="26" s="1"/>
  <c r="AA1276" i="26"/>
  <c r="AB1276" i="26" s="1"/>
  <c r="AA1270" i="26"/>
  <c r="AB1270" i="26" s="1"/>
  <c r="AA1271" i="26"/>
  <c r="AB1271" i="26" s="1"/>
  <c r="AA1272" i="26"/>
  <c r="AB1272" i="26" s="1"/>
  <c r="AA1273" i="26"/>
  <c r="AB1273" i="26" s="1"/>
  <c r="AA1275" i="26"/>
  <c r="AB1275" i="26" s="1"/>
  <c r="AA1280" i="26"/>
  <c r="AB1280" i="26" s="1"/>
  <c r="AA1281" i="26"/>
  <c r="AB1281" i="26" s="1"/>
  <c r="AA1283" i="26"/>
  <c r="AB1283" i="26" s="1"/>
  <c r="AA1285" i="26"/>
  <c r="AB1285" i="26" s="1"/>
  <c r="AA1286" i="26"/>
  <c r="AB1286" i="26" s="1"/>
  <c r="AA1289" i="26"/>
  <c r="AB1289" i="26" s="1"/>
  <c r="AA1292" i="26"/>
  <c r="AB1292" i="26" s="1"/>
  <c r="AA1293" i="26"/>
  <c r="AB1293" i="26" s="1"/>
  <c r="AA1295" i="26"/>
  <c r="AB1295" i="26" s="1"/>
  <c r="AA1300" i="26"/>
  <c r="AB1300" i="26" s="1"/>
  <c r="AA1302" i="26"/>
  <c r="AB1302" i="26" s="1"/>
  <c r="AA1282" i="26"/>
  <c r="AB1282" i="26" s="1"/>
  <c r="AA1284" i="26"/>
  <c r="AB1284" i="26" s="1"/>
  <c r="AA1287" i="26"/>
  <c r="AB1287" i="26" s="1"/>
  <c r="AA1288" i="26"/>
  <c r="AB1288" i="26" s="1"/>
  <c r="AA1290" i="26"/>
  <c r="AB1290" i="26" s="1"/>
  <c r="AA1294" i="26"/>
  <c r="AB1294" i="26" s="1"/>
  <c r="AA1296" i="26"/>
  <c r="AB1296" i="26" s="1"/>
  <c r="AA1297" i="26"/>
  <c r="AB1297" i="26" s="1"/>
  <c r="AA1298" i="26"/>
  <c r="AB1298" i="26" s="1"/>
  <c r="AA1299" i="26"/>
  <c r="AB1299" i="26" s="1"/>
  <c r="AA1301" i="26"/>
  <c r="AB1301" i="26" s="1"/>
  <c r="AA1303" i="26"/>
  <c r="AB1303" i="26" s="1"/>
  <c r="AA1308" i="26"/>
  <c r="AB1308" i="26" s="1"/>
  <c r="AA1291" i="26"/>
  <c r="AB1291" i="26" s="1"/>
  <c r="AA1304" i="26"/>
  <c r="AB1304" i="26" s="1"/>
  <c r="AA1307" i="26"/>
  <c r="AB1307" i="26" s="1"/>
  <c r="AA1345" i="26"/>
  <c r="AB1345" i="26" s="1"/>
  <c r="AA1367" i="26"/>
  <c r="AB1367" i="26" s="1"/>
  <c r="AA1370" i="26"/>
  <c r="AB1370" i="26" s="1"/>
  <c r="AA1376" i="26"/>
  <c r="AB1376" i="26" s="1"/>
  <c r="AA1327" i="26"/>
  <c r="AB1327" i="26" s="1"/>
  <c r="AA1366" i="26"/>
  <c r="AB1366" i="26" s="1"/>
  <c r="AA1374" i="26"/>
  <c r="AA1320" i="26"/>
  <c r="AB1320" i="26" s="1"/>
  <c r="AA1321" i="26"/>
  <c r="AB1321" i="26" s="1"/>
  <c r="AA1322" i="26"/>
  <c r="AB1322" i="26" s="1"/>
  <c r="AA1323" i="26"/>
  <c r="AB1323" i="26" s="1"/>
  <c r="AA1339" i="26"/>
  <c r="AB1339" i="26" s="1"/>
  <c r="AA1343" i="26"/>
  <c r="AB1343" i="26" s="1"/>
  <c r="AA1346" i="26"/>
  <c r="AB1346" i="26" s="1"/>
  <c r="AA1351" i="26"/>
  <c r="AB1351" i="26" s="1"/>
  <c r="AA1352" i="26"/>
  <c r="AB1352" i="26" s="1"/>
  <c r="AA1354" i="26"/>
  <c r="AB1354" i="26" s="1"/>
  <c r="AA1360" i="26"/>
  <c r="AB1360" i="26" s="1"/>
  <c r="AA1363" i="26"/>
  <c r="AB1363" i="26" s="1"/>
  <c r="AA1371" i="26"/>
  <c r="AB1371" i="26" s="1"/>
  <c r="AA1380" i="26"/>
  <c r="AB1380" i="26" s="1"/>
  <c r="AA1382" i="26"/>
  <c r="AB1382" i="26" s="1"/>
  <c r="AA1383" i="26"/>
  <c r="AB1383" i="26" s="1"/>
  <c r="AA1388" i="26"/>
  <c r="AB1388" i="26" s="1"/>
  <c r="AA1390" i="26"/>
  <c r="AB1390" i="26" s="1"/>
  <c r="AA1392" i="26"/>
  <c r="AB1392" i="26" s="1"/>
  <c r="AA1394" i="26"/>
  <c r="AB1394" i="26" s="1"/>
  <c r="AA1311" i="26"/>
  <c r="AB1311" i="26" s="1"/>
  <c r="AA1314" i="26"/>
  <c r="AB1314" i="26" s="1"/>
  <c r="AA1317" i="26"/>
  <c r="AB1317" i="26" s="1"/>
  <c r="AA1319" i="26"/>
  <c r="AB1319" i="26" s="1"/>
  <c r="AA1324" i="26"/>
  <c r="AB1324" i="26" s="1"/>
  <c r="AA1325" i="26"/>
  <c r="AB1325" i="26" s="1"/>
  <c r="AA1326" i="26"/>
  <c r="AB1326" i="26" s="1"/>
  <c r="AA1329" i="26"/>
  <c r="AB1329" i="26" s="1"/>
  <c r="AA1330" i="26"/>
  <c r="AB1330" i="26" s="1"/>
  <c r="AA1332" i="26"/>
  <c r="AB1332" i="26" s="1"/>
  <c r="AA1334" i="26"/>
  <c r="AB1334" i="26" s="1"/>
  <c r="AA1336" i="26"/>
  <c r="AB1336" i="26" s="1"/>
  <c r="AA1337" i="26"/>
  <c r="AB1337" i="26" s="1"/>
  <c r="AA1340" i="26"/>
  <c r="AB1340" i="26" s="1"/>
  <c r="AA1341" i="26"/>
  <c r="AB1341" i="26" s="1"/>
  <c r="AA1342" i="26"/>
  <c r="AB1342" i="26" s="1"/>
  <c r="AA1344" i="26"/>
  <c r="AB1344" i="26" s="1"/>
  <c r="AA1347" i="26"/>
  <c r="AB1347" i="26" s="1"/>
  <c r="AA1348" i="26"/>
  <c r="AB1348" i="26" s="1"/>
  <c r="AA1349" i="26"/>
  <c r="AB1349" i="26" s="1"/>
  <c r="AA1350" i="26"/>
  <c r="AB1350" i="26" s="1"/>
  <c r="AA1353" i="26"/>
  <c r="AB1353" i="26" s="1"/>
  <c r="AA1355" i="26"/>
  <c r="AB1355" i="26" s="1"/>
  <c r="AA1356" i="26"/>
  <c r="AB1356" i="26" s="1"/>
  <c r="AA1357" i="26"/>
  <c r="AB1357" i="26" s="1"/>
  <c r="AA1358" i="26"/>
  <c r="AB1358" i="26" s="1"/>
  <c r="AA1361" i="26"/>
  <c r="AB1361" i="26" s="1"/>
  <c r="AA1362" i="26"/>
  <c r="AB1362" i="26" s="1"/>
  <c r="AA1364" i="26"/>
  <c r="AB1364" i="26" s="1"/>
  <c r="AA1369" i="26"/>
  <c r="AB1369" i="26" s="1"/>
  <c r="AA1372" i="26"/>
  <c r="AB1372" i="26" s="1"/>
  <c r="AA1373" i="26"/>
  <c r="AB1373" i="26" s="1"/>
  <c r="AA1375" i="26"/>
  <c r="AB1375" i="26" s="1"/>
  <c r="AA1377" i="26"/>
  <c r="AB1377" i="26" s="1"/>
  <c r="AA1378" i="26"/>
  <c r="AB1378" i="26" s="1"/>
  <c r="AA1379" i="26"/>
  <c r="AB1379" i="26" s="1"/>
  <c r="AA1381" i="26"/>
  <c r="AB1381" i="26" s="1"/>
  <c r="AA1385" i="26"/>
  <c r="AB1385" i="26" s="1"/>
  <c r="AA1389" i="26"/>
  <c r="AB1389" i="26" s="1"/>
  <c r="AA1391" i="26"/>
  <c r="AB1391" i="26" s="1"/>
  <c r="AA1393" i="26"/>
  <c r="AB1393" i="26" s="1"/>
  <c r="AA1395" i="26"/>
  <c r="AB1395" i="26" s="1"/>
  <c r="AA1312" i="26"/>
  <c r="AB1312" i="26" s="1"/>
  <c r="AA1318" i="26"/>
  <c r="AB1318" i="26" s="1"/>
  <c r="AA1328" i="26"/>
  <c r="AB1328" i="26" s="1"/>
  <c r="AA1331" i="26"/>
  <c r="AB1331" i="26" s="1"/>
  <c r="AA1333" i="26"/>
  <c r="AB1333" i="26" s="1"/>
  <c r="AA1335" i="26"/>
  <c r="AB1335" i="26" s="1"/>
  <c r="AA1338" i="26"/>
  <c r="AB1338" i="26" s="1"/>
  <c r="AA1359" i="26"/>
  <c r="AB1359" i="26" s="1"/>
  <c r="AA1315" i="26"/>
  <c r="AB1315" i="26" s="1"/>
  <c r="AA1396" i="26"/>
  <c r="AB1396" i="26" s="1"/>
  <c r="AA1397" i="26"/>
  <c r="AB1397" i="26" s="1"/>
  <c r="AA1398" i="26"/>
  <c r="AB1398" i="26" s="1"/>
  <c r="AA1400" i="26"/>
  <c r="AB1400" i="26" s="1"/>
  <c r="AA1399" i="26"/>
  <c r="AB1399" i="26" s="1"/>
  <c r="AA1401" i="26"/>
  <c r="AB1401" i="26" s="1"/>
  <c r="AA1402" i="26"/>
  <c r="AB1402" i="26" s="1"/>
  <c r="AA1403" i="26"/>
  <c r="AB1403" i="26" s="1"/>
  <c r="AA1404" i="26"/>
  <c r="AB1404" i="26" s="1"/>
  <c r="AA1405" i="26"/>
  <c r="AB1405" i="26" s="1"/>
  <c r="AA1406" i="26"/>
  <c r="AB1406" i="26" s="1"/>
  <c r="AA1408" i="26"/>
  <c r="AB1408" i="26" s="1"/>
  <c r="AA1410" i="26"/>
  <c r="AB1410" i="26" s="1"/>
  <c r="AA1414" i="26"/>
  <c r="AB1414" i="26" s="1"/>
  <c r="AA1416" i="26"/>
  <c r="AB1416" i="26" s="1"/>
  <c r="AA1423" i="26"/>
  <c r="AB1423" i="26" s="1"/>
  <c r="AA1427" i="26"/>
  <c r="AB1427" i="26" s="1"/>
  <c r="AA1428" i="26"/>
  <c r="AB1428" i="26" s="1"/>
  <c r="AA1432" i="26"/>
  <c r="AB1432" i="26" s="1"/>
  <c r="AA1434" i="26"/>
  <c r="AB1434" i="26" s="1"/>
  <c r="AA1438" i="26"/>
  <c r="AB1438" i="26" s="1"/>
  <c r="AA1443" i="26"/>
  <c r="AB1443" i="26" s="1"/>
  <c r="AA1444" i="26"/>
  <c r="AB1444" i="26" s="1"/>
  <c r="AA1449" i="26"/>
  <c r="AB1449" i="26" s="1"/>
  <c r="AA1452" i="26"/>
  <c r="AB1452" i="26" s="1"/>
  <c r="AA1454" i="26"/>
  <c r="AB1454" i="26" s="1"/>
  <c r="AA1455" i="26"/>
  <c r="AB1455" i="26" s="1"/>
  <c r="AA1463" i="26"/>
  <c r="AB1463" i="26" s="1"/>
  <c r="AA1472" i="26"/>
  <c r="AB1472" i="26" s="1"/>
  <c r="AA1488" i="26"/>
  <c r="AB1488" i="26" s="1"/>
  <c r="AA1490" i="26"/>
  <c r="AB1490" i="26" s="1"/>
  <c r="AA1497" i="26"/>
  <c r="AB1497" i="26" s="1"/>
  <c r="AA1407" i="26"/>
  <c r="AB1407" i="26" s="1"/>
  <c r="AA1409" i="26"/>
  <c r="AB1409" i="26" s="1"/>
  <c r="AA1411" i="26"/>
  <c r="AB1411" i="26" s="1"/>
  <c r="AA1412" i="26"/>
  <c r="AB1412" i="26" s="1"/>
  <c r="AA1413" i="26"/>
  <c r="AB1413" i="26" s="1"/>
  <c r="AA1415" i="26"/>
  <c r="AB1415" i="26" s="1"/>
  <c r="AA1417" i="26"/>
  <c r="AB1417" i="26" s="1"/>
  <c r="AA1418" i="26"/>
  <c r="AB1418" i="26" s="1"/>
  <c r="AA1419" i="26"/>
  <c r="AB1419" i="26" s="1"/>
  <c r="AA1420" i="26"/>
  <c r="AB1420" i="26" s="1"/>
  <c r="AA1421" i="26"/>
  <c r="AB1421" i="26" s="1"/>
  <c r="AA1422" i="26"/>
  <c r="AB1422" i="26" s="1"/>
  <c r="AA1424" i="26"/>
  <c r="AB1424" i="26" s="1"/>
  <c r="AA1425" i="26"/>
  <c r="AB1425" i="26" s="1"/>
  <c r="AA1426" i="26"/>
  <c r="AB1426" i="26" s="1"/>
  <c r="AA1429" i="26"/>
  <c r="AB1429" i="26" s="1"/>
  <c r="AA1430" i="26"/>
  <c r="AB1430" i="26" s="1"/>
  <c r="AA1431" i="26"/>
  <c r="AB1431" i="26" s="1"/>
  <c r="AA1433" i="26"/>
  <c r="AB1433" i="26" s="1"/>
  <c r="AA1435" i="26"/>
  <c r="AB1435" i="26" s="1"/>
  <c r="AA1436" i="26"/>
  <c r="AB1436" i="26" s="1"/>
  <c r="AA1437" i="26"/>
  <c r="AB1437" i="26" s="1"/>
  <c r="AA1439" i="26"/>
  <c r="AB1439" i="26" s="1"/>
  <c r="AA1440" i="26"/>
  <c r="AB1440" i="26" s="1"/>
  <c r="AA1441" i="26"/>
  <c r="AB1441" i="26" s="1"/>
  <c r="AA1445" i="26"/>
  <c r="AB1445" i="26" s="1"/>
  <c r="AA1446" i="26"/>
  <c r="AB1446" i="26" s="1"/>
  <c r="AA1447" i="26"/>
  <c r="AB1447" i="26" s="1"/>
  <c r="AA1448" i="26"/>
  <c r="AB1448" i="26" s="1"/>
  <c r="AA1450" i="26"/>
  <c r="AB1450" i="26" s="1"/>
  <c r="AA1451" i="26"/>
  <c r="AB1451" i="26" s="1"/>
  <c r="AA1453" i="26"/>
  <c r="AB1453" i="26" s="1"/>
  <c r="AA1456" i="26"/>
  <c r="AB1456" i="26" s="1"/>
  <c r="AA1457" i="26"/>
  <c r="AB1457" i="26" s="1"/>
  <c r="AA1458" i="26"/>
  <c r="AB1458" i="26" s="1"/>
  <c r="AA1459" i="26"/>
  <c r="AB1459" i="26" s="1"/>
  <c r="AA1460" i="26"/>
  <c r="AB1460" i="26" s="1"/>
  <c r="AA1461" i="26"/>
  <c r="AB1461" i="26" s="1"/>
  <c r="AA1462" i="26"/>
  <c r="AB1462" i="26" s="1"/>
  <c r="AA1464" i="26"/>
  <c r="AB1464" i="26" s="1"/>
  <c r="AA1465" i="26"/>
  <c r="AB1465" i="26" s="1"/>
  <c r="AA1466" i="26"/>
  <c r="AB1466" i="26" s="1"/>
  <c r="AA1467" i="26"/>
  <c r="AB1467" i="26" s="1"/>
  <c r="AA1469" i="26"/>
  <c r="AB1469" i="26" s="1"/>
  <c r="AA1470" i="26"/>
  <c r="AB1470" i="26" s="1"/>
  <c r="AA1471" i="26"/>
  <c r="AB1471" i="26" s="1"/>
  <c r="AA1473" i="26"/>
  <c r="AB1473" i="26" s="1"/>
  <c r="AA1474" i="26"/>
  <c r="AB1474" i="26" s="1"/>
  <c r="AA1475" i="26"/>
  <c r="AB1475" i="26" s="1"/>
  <c r="AA1476" i="26"/>
  <c r="AB1476" i="26" s="1"/>
  <c r="AA1477" i="26"/>
  <c r="AB1477" i="26" s="1"/>
  <c r="AA1478" i="26"/>
  <c r="AB1478" i="26" s="1"/>
  <c r="AA1479" i="26"/>
  <c r="AB1479" i="26" s="1"/>
  <c r="AA1480" i="26"/>
  <c r="AB1480" i="26" s="1"/>
  <c r="AA1481" i="26"/>
  <c r="AB1481" i="26" s="1"/>
  <c r="AA1482" i="26"/>
  <c r="AB1482" i="26" s="1"/>
  <c r="AA1483" i="26"/>
  <c r="AB1483" i="26" s="1"/>
  <c r="AA1484" i="26"/>
  <c r="AB1484" i="26" s="1"/>
  <c r="AA1486" i="26"/>
  <c r="AB1486" i="26" s="1"/>
  <c r="AA1487" i="26"/>
  <c r="AB1487" i="26" s="1"/>
  <c r="AA1489" i="26"/>
  <c r="AB1489" i="26" s="1"/>
  <c r="AA1491" i="26"/>
  <c r="AB1491" i="26" s="1"/>
  <c r="AA1492" i="26"/>
  <c r="AB1492" i="26" s="1"/>
  <c r="AA1493" i="26"/>
  <c r="AB1493" i="26" s="1"/>
  <c r="AA1494" i="26"/>
  <c r="AB1494" i="26" s="1"/>
  <c r="AA1495" i="26"/>
  <c r="AB1495" i="26" s="1"/>
  <c r="AA1496" i="26"/>
  <c r="AB1496" i="26" s="1"/>
  <c r="AA1498" i="26"/>
  <c r="AB1498" i="26" s="1"/>
  <c r="AA1442" i="26"/>
  <c r="AB1442" i="26" s="1"/>
  <c r="AA1468" i="26"/>
  <c r="AB1468" i="26" s="1"/>
  <c r="AA1485" i="26"/>
  <c r="AB1485" i="26" s="1"/>
  <c r="AA1516" i="26"/>
  <c r="AB1516" i="26" s="1"/>
  <c r="AA1523" i="26"/>
  <c r="AB1523" i="26" s="1"/>
  <c r="AA1525" i="26"/>
  <c r="AB1525" i="26" s="1"/>
  <c r="AA1500" i="26"/>
  <c r="AB1500" i="26" s="1"/>
  <c r="AA1501" i="26"/>
  <c r="AB1501" i="26" s="1"/>
  <c r="AA1502" i="26"/>
  <c r="AB1502" i="26" s="1"/>
  <c r="AA1503" i="26"/>
  <c r="AB1503" i="26" s="1"/>
  <c r="AA1505" i="26"/>
  <c r="AB1505" i="26" s="1"/>
  <c r="AA1506" i="26"/>
  <c r="AB1506" i="26" s="1"/>
  <c r="AA1507" i="26"/>
  <c r="AB1507" i="26" s="1"/>
  <c r="AA1508" i="26"/>
  <c r="AB1508" i="26" s="1"/>
  <c r="AA1509" i="26"/>
  <c r="AB1509" i="26" s="1"/>
  <c r="AA1510" i="26"/>
  <c r="AB1510" i="26" s="1"/>
  <c r="AA1511" i="26"/>
  <c r="AB1511" i="26" s="1"/>
  <c r="AA1518" i="26"/>
  <c r="AB1518" i="26" s="1"/>
  <c r="AA1519" i="26"/>
  <c r="AB1519" i="26" s="1"/>
  <c r="AA1521" i="26"/>
  <c r="AB1521" i="26" s="1"/>
  <c r="AA1522" i="26"/>
  <c r="AB1522" i="26" s="1"/>
  <c r="AA1524" i="26"/>
  <c r="AB1524" i="26" s="1"/>
  <c r="AA1527" i="26"/>
  <c r="AB1527" i="26" s="1"/>
  <c r="AA1529" i="26"/>
  <c r="AB1529" i="26" s="1"/>
  <c r="AA1531" i="26"/>
  <c r="AB1531" i="26" s="1"/>
  <c r="AA1532" i="26"/>
  <c r="AB1532" i="26" s="1"/>
  <c r="AA1533" i="26"/>
  <c r="AB1533" i="26" s="1"/>
  <c r="AA1534" i="26"/>
  <c r="AB1534" i="26" s="1"/>
  <c r="AA1536" i="26"/>
  <c r="AB1536" i="26" s="1"/>
  <c r="AA1537" i="26"/>
  <c r="AB1537" i="26" s="1"/>
  <c r="AA1539" i="26"/>
  <c r="AB1539" i="26" s="1"/>
  <c r="AA1540" i="26"/>
  <c r="AB1540" i="26" s="1"/>
  <c r="AA1604" i="26"/>
  <c r="AB1604" i="26" s="1"/>
  <c r="AA1670" i="26"/>
  <c r="AB1670" i="26" s="1"/>
  <c r="AA1675" i="26"/>
  <c r="AB1675" i="26" s="1"/>
  <c r="AA1590" i="26"/>
  <c r="AB1590" i="26" s="1"/>
  <c r="AA1667" i="26"/>
  <c r="AB1667" i="26" s="1"/>
  <c r="AA1674" i="26"/>
  <c r="AB1674" i="26" s="1"/>
  <c r="AA1547" i="26"/>
  <c r="AB1547" i="26" s="1"/>
  <c r="AA1555" i="26"/>
  <c r="AB1555" i="26" s="1"/>
  <c r="AA1594" i="26"/>
  <c r="AB1594" i="26" s="1"/>
  <c r="AA1600" i="26"/>
  <c r="AB1600" i="26" s="1"/>
  <c r="AA1605" i="26"/>
  <c r="AB1605" i="26" s="1"/>
  <c r="AA1615" i="26"/>
  <c r="AB1615" i="26" s="1"/>
  <c r="AA1623" i="26"/>
  <c r="AB1623" i="26" s="1"/>
  <c r="AA1632" i="26"/>
  <c r="AB1632" i="26" s="1"/>
  <c r="AA1634" i="26"/>
  <c r="AB1634" i="26" s="1"/>
  <c r="AA1641" i="26"/>
  <c r="AB1641" i="26" s="1"/>
  <c r="AA1658" i="26"/>
  <c r="AB1658" i="26" s="1"/>
  <c r="AA1678" i="26"/>
  <c r="AB1678" i="26" s="1"/>
  <c r="AA1680" i="26"/>
  <c r="AB1680" i="26" s="1"/>
  <c r="AA1703" i="26"/>
  <c r="AB1703" i="26" s="1"/>
  <c r="AA1704" i="26"/>
  <c r="AB1704" i="26" s="1"/>
  <c r="AA1721" i="26"/>
  <c r="AB1721" i="26" s="1"/>
  <c r="AA1724" i="26"/>
  <c r="AB1724" i="26" s="1"/>
  <c r="AA1542" i="26"/>
  <c r="AB1542" i="26" s="1"/>
  <c r="AA1543" i="26"/>
  <c r="AB1543" i="26" s="1"/>
  <c r="AA1544" i="26"/>
  <c r="AB1544" i="26" s="1"/>
  <c r="AA1546" i="26"/>
  <c r="AB1546" i="26" s="1"/>
  <c r="AA1548" i="26"/>
  <c r="AB1548" i="26" s="1"/>
  <c r="AA1549" i="26"/>
  <c r="AB1549" i="26" s="1"/>
  <c r="AA1554" i="26"/>
  <c r="AB1554" i="26" s="1"/>
  <c r="AA1556" i="26"/>
  <c r="AB1556" i="26" s="1"/>
  <c r="AA1557" i="26"/>
  <c r="AB1557" i="26" s="1"/>
  <c r="AA1558" i="26"/>
  <c r="AB1558" i="26" s="1"/>
  <c r="AA1559" i="26"/>
  <c r="AB1559" i="26" s="1"/>
  <c r="AA1560" i="26"/>
  <c r="AB1560" i="26" s="1"/>
  <c r="AA1565" i="26"/>
  <c r="AB1565" i="26" s="1"/>
  <c r="AA1566" i="26"/>
  <c r="AB1566" i="26" s="1"/>
  <c r="AA1567" i="26"/>
  <c r="AB1567" i="26" s="1"/>
  <c r="AA1569" i="26"/>
  <c r="AB1569" i="26" s="1"/>
  <c r="AA1570" i="26"/>
  <c r="AB1570" i="26" s="1"/>
  <c r="AA1572" i="26"/>
  <c r="AB1572" i="26" s="1"/>
  <c r="AA1573" i="26"/>
  <c r="AB1573" i="26" s="1"/>
  <c r="AA1574" i="26"/>
  <c r="AB1574" i="26" s="1"/>
  <c r="AA1575" i="26"/>
  <c r="AB1575" i="26" s="1"/>
  <c r="AA1577" i="26"/>
  <c r="AB1577" i="26" s="1"/>
  <c r="AA1578" i="26"/>
  <c r="AB1578" i="26" s="1"/>
  <c r="AA1581" i="26"/>
  <c r="AB1581" i="26" s="1"/>
  <c r="AA1582" i="26"/>
  <c r="AB1582" i="26" s="1"/>
  <c r="AA1583" i="26"/>
  <c r="AB1583" i="26" s="1"/>
  <c r="AA1585" i="26"/>
  <c r="AB1585" i="26" s="1"/>
  <c r="AA1586" i="26"/>
  <c r="AB1586" i="26" s="1"/>
  <c r="AA1587" i="26"/>
  <c r="AB1587" i="26" s="1"/>
  <c r="AA1589" i="26"/>
  <c r="AB1589" i="26" s="1"/>
  <c r="AA1593" i="26"/>
  <c r="AB1593" i="26" s="1"/>
  <c r="AA1595" i="26"/>
  <c r="AB1595" i="26" s="1"/>
  <c r="AA1596" i="26"/>
  <c r="AB1596" i="26" s="1"/>
  <c r="AA1597" i="26"/>
  <c r="AB1597" i="26" s="1"/>
  <c r="AA1598" i="26"/>
  <c r="AB1598" i="26" s="1"/>
  <c r="AA1602" i="26"/>
  <c r="AB1602" i="26" s="1"/>
  <c r="AA1603" i="26"/>
  <c r="AB1603" i="26" s="1"/>
  <c r="AA1606" i="26"/>
  <c r="AB1606" i="26" s="1"/>
  <c r="AA1607" i="26"/>
  <c r="AB1607" i="26" s="1"/>
  <c r="AA1609" i="26"/>
  <c r="AB1609" i="26" s="1"/>
  <c r="AA1610" i="26"/>
  <c r="AB1610" i="26" s="1"/>
  <c r="AA1611" i="26"/>
  <c r="AB1611" i="26" s="1"/>
  <c r="AA1612" i="26"/>
  <c r="AB1612" i="26" s="1"/>
  <c r="AA1613" i="26"/>
  <c r="AB1613" i="26" s="1"/>
  <c r="AA1614" i="26"/>
  <c r="AB1614" i="26" s="1"/>
  <c r="AA1616" i="26"/>
  <c r="AB1616" i="26" s="1"/>
  <c r="AA1617" i="26"/>
  <c r="AB1617" i="26" s="1"/>
  <c r="AA1618" i="26"/>
  <c r="AB1618" i="26" s="1"/>
  <c r="AA1619" i="26"/>
  <c r="AB1619" i="26" s="1"/>
  <c r="AA1620" i="26"/>
  <c r="AB1620" i="26" s="1"/>
  <c r="AA1621" i="26"/>
  <c r="AB1621" i="26" s="1"/>
  <c r="AA1622" i="26"/>
  <c r="AB1622" i="26" s="1"/>
  <c r="AA1624" i="26"/>
  <c r="AB1624" i="26" s="1"/>
  <c r="AA1625" i="26"/>
  <c r="AB1625" i="26" s="1"/>
  <c r="AA1626" i="26"/>
  <c r="AB1626" i="26" s="1"/>
  <c r="AA1627" i="26"/>
  <c r="AB1627" i="26" s="1"/>
  <c r="AA1628" i="26"/>
  <c r="AB1628" i="26" s="1"/>
  <c r="AA1629" i="26"/>
  <c r="AB1629" i="26" s="1"/>
  <c r="AA1630" i="26"/>
  <c r="AB1630" i="26" s="1"/>
  <c r="AA1631" i="26"/>
  <c r="AB1631" i="26" s="1"/>
  <c r="AA1633" i="26"/>
  <c r="AB1633" i="26" s="1"/>
  <c r="AA1635" i="26"/>
  <c r="AB1635" i="26" s="1"/>
  <c r="AA1636" i="26"/>
  <c r="AB1636" i="26" s="1"/>
  <c r="AA1637" i="26"/>
  <c r="AB1637" i="26" s="1"/>
  <c r="AA1638" i="26"/>
  <c r="AB1638" i="26" s="1"/>
  <c r="AA1639" i="26"/>
  <c r="AB1639" i="26" s="1"/>
  <c r="AA1642" i="26"/>
  <c r="AB1642" i="26" s="1"/>
  <c r="AA1643" i="26"/>
  <c r="AB1643" i="26" s="1"/>
  <c r="AA1644" i="26"/>
  <c r="AB1644" i="26" s="1"/>
  <c r="AA1648" i="26"/>
  <c r="AB1648" i="26" s="1"/>
  <c r="AA1649" i="26"/>
  <c r="AB1649" i="26" s="1"/>
  <c r="AA1650" i="26"/>
  <c r="AB1650" i="26" s="1"/>
  <c r="AA1654" i="26"/>
  <c r="AB1654" i="26" s="1"/>
  <c r="AA1655" i="26"/>
  <c r="AB1655" i="26" s="1"/>
  <c r="AA1656" i="26"/>
  <c r="AB1656" i="26" s="1"/>
  <c r="AA1657" i="26"/>
  <c r="AB1657" i="26" s="1"/>
  <c r="AA1659" i="26"/>
  <c r="AB1659" i="26" s="1"/>
  <c r="AA1660" i="26"/>
  <c r="AB1660" i="26" s="1"/>
  <c r="AA1661" i="26"/>
  <c r="AB1661" i="26" s="1"/>
  <c r="AA1662" i="26"/>
  <c r="AB1662" i="26" s="1"/>
  <c r="AA1663" i="26"/>
  <c r="AB1663" i="26" s="1"/>
  <c r="AA1665" i="26"/>
  <c r="AB1665" i="26" s="1"/>
  <c r="AA1666" i="26"/>
  <c r="AB1666" i="26" s="1"/>
  <c r="AA1668" i="26"/>
  <c r="AB1668" i="26" s="1"/>
  <c r="AA1669" i="26"/>
  <c r="AB1669" i="26" s="1"/>
  <c r="AA1671" i="26"/>
  <c r="AB1671" i="26" s="1"/>
  <c r="AA1672" i="26"/>
  <c r="AB1672" i="26" s="1"/>
  <c r="AA1673" i="26"/>
  <c r="AB1673" i="26" s="1"/>
  <c r="AA1676" i="26"/>
  <c r="AB1676" i="26" s="1"/>
  <c r="AA1677" i="26"/>
  <c r="AB1677" i="26" s="1"/>
  <c r="AA1679" i="26"/>
  <c r="AB1679" i="26" s="1"/>
  <c r="AA1681" i="26"/>
  <c r="AB1681" i="26" s="1"/>
  <c r="AA1682" i="26"/>
  <c r="AB1682" i="26" s="1"/>
  <c r="AA1683" i="26"/>
  <c r="AB1683" i="26" s="1"/>
  <c r="AA1684" i="26"/>
  <c r="AB1684" i="26" s="1"/>
  <c r="AA1686" i="26"/>
  <c r="AB1686" i="26" s="1"/>
  <c r="AA1687" i="26"/>
  <c r="AB1687" i="26" s="1"/>
  <c r="AA1688" i="26"/>
  <c r="AB1688" i="26" s="1"/>
  <c r="AA1690" i="26"/>
  <c r="AB1690" i="26" s="1"/>
  <c r="AA1691" i="26"/>
  <c r="AB1691" i="26" s="1"/>
  <c r="AA1695" i="26"/>
  <c r="AB1695" i="26" s="1"/>
  <c r="AA1698" i="26"/>
  <c r="AB1698" i="26" s="1"/>
  <c r="AA1700" i="26"/>
  <c r="AB1700" i="26" s="1"/>
  <c r="AA1701" i="26"/>
  <c r="AB1701" i="26" s="1"/>
  <c r="AA1702" i="26"/>
  <c r="AB1702" i="26" s="1"/>
  <c r="AA1705" i="26"/>
  <c r="AB1705" i="26" s="1"/>
  <c r="AA1706" i="26"/>
  <c r="AB1706" i="26" s="1"/>
  <c r="AA1707" i="26"/>
  <c r="AB1707" i="26" s="1"/>
  <c r="AA1708" i="26"/>
  <c r="AB1708" i="26" s="1"/>
  <c r="AA1709" i="26"/>
  <c r="AB1709" i="26" s="1"/>
  <c r="AA1710" i="26"/>
  <c r="AB1710" i="26" s="1"/>
  <c r="AA1711" i="26"/>
  <c r="AB1711" i="26" s="1"/>
  <c r="AA1712" i="26"/>
  <c r="AB1712" i="26" s="1"/>
  <c r="AA1713" i="26"/>
  <c r="AB1713" i="26" s="1"/>
  <c r="AA1714" i="26"/>
  <c r="AB1714" i="26" s="1"/>
  <c r="AA1715" i="26"/>
  <c r="AB1715" i="26" s="1"/>
  <c r="AA1722" i="26"/>
  <c r="AB1722" i="26" s="1"/>
  <c r="AA1723" i="26"/>
  <c r="AB1723" i="26" s="1"/>
  <c r="AA1725" i="26"/>
  <c r="AB1725" i="26" s="1"/>
  <c r="AA1726" i="26"/>
  <c r="AB1726" i="26" s="1"/>
  <c r="AA1727" i="26"/>
  <c r="AB1727" i="26" s="1"/>
  <c r="AA1728" i="26"/>
  <c r="AB1728" i="26" s="1"/>
  <c r="AA1730" i="26"/>
  <c r="AB1730" i="26" s="1"/>
  <c r="AA1732" i="26"/>
  <c r="AB1732" i="26" s="1"/>
  <c r="AA1733" i="26"/>
  <c r="AB1733" i="26" s="1"/>
  <c r="AA1734" i="26"/>
  <c r="AB1734" i="26" s="1"/>
  <c r="AA1735" i="26"/>
  <c r="AB1735" i="26" s="1"/>
  <c r="AA1737" i="26"/>
  <c r="AB1737" i="26" s="1"/>
  <c r="AA1738" i="26"/>
  <c r="AB1738" i="26" s="1"/>
  <c r="AA1640" i="26"/>
  <c r="AB1640" i="26" s="1"/>
  <c r="AA1800" i="26"/>
  <c r="AB1800" i="26" s="1"/>
  <c r="AA1814" i="26"/>
  <c r="AB1814" i="26" s="1"/>
  <c r="AA1858" i="26"/>
  <c r="AB1858" i="26" s="1"/>
  <c r="AA2007" i="26"/>
  <c r="AB2007" i="26" s="1"/>
  <c r="AA2016" i="26"/>
  <c r="AB2016" i="26" s="1"/>
  <c r="AA2021" i="26"/>
  <c r="AB2021" i="26" s="1"/>
  <c r="AA2026" i="26"/>
  <c r="AB2026" i="26" s="1"/>
  <c r="AA1803" i="26"/>
  <c r="AB1803" i="26" s="1"/>
  <c r="AA1820" i="26"/>
  <c r="AB1820" i="26" s="1"/>
  <c r="AA1823" i="26"/>
  <c r="AB1823" i="26" s="1"/>
  <c r="AA1829" i="26"/>
  <c r="AB1829" i="26" s="1"/>
  <c r="AA1833" i="26"/>
  <c r="AB1833" i="26" s="1"/>
  <c r="AA1834" i="26"/>
  <c r="AB1834" i="26" s="1"/>
  <c r="AA1994" i="26"/>
  <c r="AB1994" i="26" s="1"/>
  <c r="AA2006" i="26"/>
  <c r="AB2006" i="26" s="1"/>
  <c r="AA2012" i="26"/>
  <c r="AB2012" i="26" s="1"/>
  <c r="AA2013" i="26"/>
  <c r="AB2013" i="26" s="1"/>
  <c r="AA1775" i="26"/>
  <c r="AB1775" i="26" s="1"/>
  <c r="AA1807" i="26"/>
  <c r="AB1807" i="26" s="1"/>
  <c r="AA1854" i="26"/>
  <c r="AB1854" i="26" s="1"/>
  <c r="AA1860" i="26"/>
  <c r="AB1860" i="26" s="1"/>
  <c r="AA1881" i="26"/>
  <c r="AB1881" i="26" s="1"/>
  <c r="AA1883" i="26"/>
  <c r="AB1883" i="26" s="1"/>
  <c r="AA1902" i="26"/>
  <c r="AB1902" i="26" s="1"/>
  <c r="AA1909" i="26"/>
  <c r="AB1909" i="26" s="1"/>
  <c r="AA1929" i="26"/>
  <c r="AB1929" i="26" s="1"/>
  <c r="AA1934" i="26"/>
  <c r="AB1934" i="26" s="1"/>
  <c r="AA1952" i="26"/>
  <c r="AB1952" i="26" s="1"/>
  <c r="AA1981" i="26"/>
  <c r="AB1981" i="26" s="1"/>
  <c r="AA1992" i="26"/>
  <c r="AB1992" i="26" s="1"/>
  <c r="AA2010" i="26"/>
  <c r="AB2010" i="26" s="1"/>
  <c r="AA2028" i="26"/>
  <c r="AB2028" i="26" s="1"/>
  <c r="AA2029" i="26"/>
  <c r="AB2029" i="26" s="1"/>
  <c r="AA2040" i="26"/>
  <c r="AB2040" i="26" s="1"/>
  <c r="AA1740" i="26"/>
  <c r="AB1740" i="26" s="1"/>
  <c r="AA1741" i="26"/>
  <c r="AB1741" i="26" s="1"/>
  <c r="AA1742" i="26"/>
  <c r="AB1742" i="26" s="1"/>
  <c r="AA1743" i="26"/>
  <c r="AB1743" i="26" s="1"/>
  <c r="AA1745" i="26"/>
  <c r="AB1745" i="26" s="1"/>
  <c r="AA1746" i="26"/>
  <c r="AB1746" i="26" s="1"/>
  <c r="AA1747" i="26"/>
  <c r="AB1747" i="26" s="1"/>
  <c r="AA1752" i="26"/>
  <c r="AB1752" i="26" s="1"/>
  <c r="AA1753" i="26"/>
  <c r="AB1753" i="26" s="1"/>
  <c r="AA1754" i="26"/>
  <c r="AB1754" i="26" s="1"/>
  <c r="AA1755" i="26"/>
  <c r="AB1755" i="26" s="1"/>
  <c r="AA1756" i="26"/>
  <c r="AB1756" i="26" s="1"/>
  <c r="AA1757" i="26"/>
  <c r="AB1757" i="26" s="1"/>
  <c r="AA1758" i="26"/>
  <c r="AB1758" i="26" s="1"/>
  <c r="AA1759" i="26"/>
  <c r="AB1759" i="26" s="1"/>
  <c r="AA1760" i="26"/>
  <c r="AB1760" i="26" s="1"/>
  <c r="AA1761" i="26"/>
  <c r="AB1761" i="26" s="1"/>
  <c r="AA1762" i="26"/>
  <c r="AB1762" i="26" s="1"/>
  <c r="AA1763" i="26"/>
  <c r="AB1763" i="26" s="1"/>
  <c r="AA1764" i="26"/>
  <c r="AB1764" i="26" s="1"/>
  <c r="AA1765" i="26"/>
  <c r="AB1765" i="26" s="1"/>
  <c r="AA1766" i="26"/>
  <c r="AB1766" i="26" s="1"/>
  <c r="AA1767" i="26"/>
  <c r="AB1767" i="26" s="1"/>
  <c r="AA1768" i="26"/>
  <c r="AB1768" i="26" s="1"/>
  <c r="AA1777" i="26"/>
  <c r="AB1777" i="26" s="1"/>
  <c r="AA1778" i="26"/>
  <c r="AB1778" i="26" s="1"/>
  <c r="AA1779" i="26"/>
  <c r="AB1779" i="26" s="1"/>
  <c r="AA1780" i="26"/>
  <c r="AB1780" i="26" s="1"/>
  <c r="AA1781" i="26"/>
  <c r="AB1781" i="26" s="1"/>
  <c r="AA1782" i="26"/>
  <c r="AB1782" i="26" s="1"/>
  <c r="AA1783" i="26"/>
  <c r="AB1783" i="26" s="1"/>
  <c r="AA1784" i="26"/>
  <c r="AB1784" i="26" s="1"/>
  <c r="AA1785" i="26"/>
  <c r="AB1785" i="26" s="1"/>
  <c r="AA1786" i="26"/>
  <c r="AB1786" i="26" s="1"/>
  <c r="AA1787" i="26"/>
  <c r="AB1787" i="26" s="1"/>
  <c r="AA1788" i="26"/>
  <c r="AB1788" i="26" s="1"/>
  <c r="AA1792" i="26"/>
  <c r="AB1792" i="26" s="1"/>
  <c r="AA1793" i="26"/>
  <c r="AB1793" i="26" s="1"/>
  <c r="AA1794" i="26"/>
  <c r="AB1794" i="26" s="1"/>
  <c r="AA1795" i="26"/>
  <c r="AB1795" i="26" s="1"/>
  <c r="AA1796" i="26"/>
  <c r="AB1796" i="26" s="1"/>
  <c r="AA1798" i="26"/>
  <c r="AB1798" i="26" s="1"/>
  <c r="AA1799" i="26"/>
  <c r="AB1799" i="26" s="1"/>
  <c r="AA1801" i="26"/>
  <c r="AB1801" i="26" s="1"/>
  <c r="AA1804" i="26"/>
  <c r="AB1804" i="26" s="1"/>
  <c r="AA1805" i="26"/>
  <c r="AB1805" i="26" s="1"/>
  <c r="AA1806" i="26"/>
  <c r="AB1806" i="26" s="1"/>
  <c r="AA1808" i="26"/>
  <c r="AB1808" i="26" s="1"/>
  <c r="AA1809" i="26"/>
  <c r="AB1809" i="26" s="1"/>
  <c r="AA1810" i="26"/>
  <c r="AB1810" i="26" s="1"/>
  <c r="AA1815" i="26"/>
  <c r="AB1815" i="26" s="1"/>
  <c r="AA1816" i="26"/>
  <c r="AB1816" i="26" s="1"/>
  <c r="AA1818" i="26"/>
  <c r="AB1818" i="26" s="1"/>
  <c r="AA1819" i="26"/>
  <c r="AB1819" i="26" s="1"/>
  <c r="AA1821" i="26"/>
  <c r="AB1821" i="26" s="1"/>
  <c r="AA1822" i="26"/>
  <c r="AB1822" i="26" s="1"/>
  <c r="AA1824" i="26"/>
  <c r="AB1824" i="26" s="1"/>
  <c r="AA1826" i="26"/>
  <c r="AB1826" i="26" s="1"/>
  <c r="AA1830" i="26"/>
  <c r="AB1830" i="26" s="1"/>
  <c r="AA1831" i="26"/>
  <c r="AB1831" i="26" s="1"/>
  <c r="AA1832" i="26"/>
  <c r="AB1832" i="26" s="1"/>
  <c r="AA1835" i="26"/>
  <c r="AB1835" i="26" s="1"/>
  <c r="AA1836" i="26"/>
  <c r="AB1836" i="26" s="1"/>
  <c r="AA1837" i="26"/>
  <c r="AB1837" i="26" s="1"/>
  <c r="AA1838" i="26"/>
  <c r="AB1838" i="26" s="1"/>
  <c r="AA1840" i="26"/>
  <c r="AB1840" i="26" s="1"/>
  <c r="AA1842" i="26"/>
  <c r="AB1842" i="26" s="1"/>
  <c r="AA1843" i="26"/>
  <c r="AB1843" i="26" s="1"/>
  <c r="AA1844" i="26"/>
  <c r="AB1844" i="26" s="1"/>
  <c r="AA1845" i="26"/>
  <c r="AB1845" i="26" s="1"/>
  <c r="AA1846" i="26"/>
  <c r="AB1846" i="26" s="1"/>
  <c r="AA1847" i="26"/>
  <c r="AB1847" i="26" s="1"/>
  <c r="AA1848" i="26"/>
  <c r="AB1848" i="26" s="1"/>
  <c r="AA1849" i="26"/>
  <c r="AB1849" i="26" s="1"/>
  <c r="AA1850" i="26"/>
  <c r="AB1850" i="26" s="1"/>
  <c r="AA1851" i="26"/>
  <c r="AB1851" i="26" s="1"/>
  <c r="AA1852" i="26"/>
  <c r="AB1852" i="26" s="1"/>
  <c r="AA1855" i="26"/>
  <c r="AB1855" i="26" s="1"/>
  <c r="AA1857" i="26"/>
  <c r="AB1857" i="26" s="1"/>
  <c r="AA1859" i="26"/>
  <c r="AB1859" i="26" s="1"/>
  <c r="AA1861" i="26"/>
  <c r="AB1861" i="26" s="1"/>
  <c r="AA1862" i="26"/>
  <c r="AB1862" i="26" s="1"/>
  <c r="AA1863" i="26"/>
  <c r="AB1863" i="26" s="1"/>
  <c r="AA1864" i="26"/>
  <c r="AB1864" i="26" s="1"/>
  <c r="AA1865" i="26"/>
  <c r="AB1865" i="26" s="1"/>
  <c r="AA1867" i="26"/>
  <c r="AB1867" i="26" s="1"/>
  <c r="AA1868" i="26"/>
  <c r="AB1868" i="26" s="1"/>
  <c r="AA1869" i="26"/>
  <c r="AB1869" i="26" s="1"/>
  <c r="AA1871" i="26"/>
  <c r="AB1871" i="26" s="1"/>
  <c r="AA1872" i="26"/>
  <c r="AB1872" i="26" s="1"/>
  <c r="AA1873" i="26"/>
  <c r="AB1873" i="26" s="1"/>
  <c r="AA1874" i="26"/>
  <c r="AB1874" i="26" s="1"/>
  <c r="AA1875" i="26"/>
  <c r="AB1875" i="26" s="1"/>
  <c r="AA1876" i="26"/>
  <c r="AB1876" i="26" s="1"/>
  <c r="AA1877" i="26"/>
  <c r="AB1877" i="26" s="1"/>
  <c r="AA1880" i="26"/>
  <c r="AB1880" i="26" s="1"/>
  <c r="AA1882" i="26"/>
  <c r="AB1882" i="26" s="1"/>
  <c r="AA1884" i="26"/>
  <c r="AB1884" i="26" s="1"/>
  <c r="AA1885" i="26"/>
  <c r="AB1885" i="26" s="1"/>
  <c r="AA1886" i="26"/>
  <c r="AB1886" i="26" s="1"/>
  <c r="AA1887" i="26"/>
  <c r="AB1887" i="26" s="1"/>
  <c r="AA1888" i="26"/>
  <c r="AB1888" i="26" s="1"/>
  <c r="AA1891" i="26"/>
  <c r="AB1891" i="26" s="1"/>
  <c r="AA1892" i="26"/>
  <c r="AB1892" i="26" s="1"/>
  <c r="AA1893" i="26"/>
  <c r="AB1893" i="26" s="1"/>
  <c r="AA1894" i="26"/>
  <c r="AB1894" i="26" s="1"/>
  <c r="AA1895" i="26"/>
  <c r="AB1895" i="26" s="1"/>
  <c r="AA1896" i="26"/>
  <c r="AB1896" i="26" s="1"/>
  <c r="AA1897" i="26"/>
  <c r="AB1897" i="26" s="1"/>
  <c r="AA1899" i="26"/>
  <c r="AB1899" i="26" s="1"/>
  <c r="AA1900" i="26"/>
  <c r="AB1900" i="26" s="1"/>
  <c r="AA1901" i="26"/>
  <c r="AB1901" i="26" s="1"/>
  <c r="AA1904" i="26"/>
  <c r="AB1904" i="26" s="1"/>
  <c r="AA1905" i="26"/>
  <c r="AB1905" i="26" s="1"/>
  <c r="AA1906" i="26"/>
  <c r="AB1906" i="26" s="1"/>
  <c r="AA1907" i="26"/>
  <c r="AB1907" i="26" s="1"/>
  <c r="AA1908" i="26"/>
  <c r="AB1908" i="26" s="1"/>
  <c r="AA1910" i="26"/>
  <c r="AB1910" i="26" s="1"/>
  <c r="AA1911" i="26"/>
  <c r="AB1911" i="26" s="1"/>
  <c r="AA1912" i="26"/>
  <c r="AB1912" i="26" s="1"/>
  <c r="AA1913" i="26"/>
  <c r="AB1913" i="26" s="1"/>
  <c r="AA1914" i="26"/>
  <c r="AB1914" i="26" s="1"/>
  <c r="AA1915" i="26"/>
  <c r="AB1915" i="26" s="1"/>
  <c r="AA1917" i="26"/>
  <c r="AB1917" i="26" s="1"/>
  <c r="AA1918" i="26"/>
  <c r="AB1918" i="26" s="1"/>
  <c r="AA1919" i="26"/>
  <c r="AB1919" i="26" s="1"/>
  <c r="AA1920" i="26"/>
  <c r="AB1920" i="26" s="1"/>
  <c r="AA1921" i="26"/>
  <c r="AB1921" i="26" s="1"/>
  <c r="AA1922" i="26"/>
  <c r="AB1922" i="26" s="1"/>
  <c r="AA1923" i="26"/>
  <c r="AB1923" i="26" s="1"/>
  <c r="AA1925" i="26"/>
  <c r="AB1925" i="26" s="1"/>
  <c r="AA1926" i="26"/>
  <c r="AB1926" i="26" s="1"/>
  <c r="AA1927" i="26"/>
  <c r="AB1927" i="26" s="1"/>
  <c r="AA1928" i="26"/>
  <c r="AB1928" i="26" s="1"/>
  <c r="AA1930" i="26"/>
  <c r="AB1930" i="26" s="1"/>
  <c r="AA1931" i="26"/>
  <c r="AB1931" i="26" s="1"/>
  <c r="AA1932" i="26"/>
  <c r="AB1932" i="26" s="1"/>
  <c r="AA1933" i="26"/>
  <c r="AB1933" i="26" s="1"/>
  <c r="AA1935" i="26"/>
  <c r="AB1935" i="26" s="1"/>
  <c r="AA1936" i="26"/>
  <c r="AB1936" i="26" s="1"/>
  <c r="AA1937" i="26"/>
  <c r="AB1937" i="26" s="1"/>
  <c r="AA1938" i="26"/>
  <c r="AB1938" i="26" s="1"/>
  <c r="AA1939" i="26"/>
  <c r="AB1939" i="26" s="1"/>
  <c r="AA1940" i="26"/>
  <c r="AB1940" i="26" s="1"/>
  <c r="AA1941" i="26"/>
  <c r="AB1941" i="26" s="1"/>
  <c r="AA1942" i="26"/>
  <c r="AB1942" i="26" s="1"/>
  <c r="AA1943" i="26"/>
  <c r="AB1943" i="26" s="1"/>
  <c r="AA1944" i="26"/>
  <c r="AB1944" i="26" s="1"/>
  <c r="AA1945" i="26"/>
  <c r="AB1945" i="26" s="1"/>
  <c r="AA1946" i="26"/>
  <c r="AB1946" i="26" s="1"/>
  <c r="AA1947" i="26"/>
  <c r="AB1947" i="26" s="1"/>
  <c r="AA1948" i="26"/>
  <c r="AB1948" i="26" s="1"/>
  <c r="AA1949" i="26"/>
  <c r="AB1949" i="26" s="1"/>
  <c r="AA1950" i="26"/>
  <c r="AB1950" i="26" s="1"/>
  <c r="AA1953" i="26"/>
  <c r="AB1953" i="26" s="1"/>
  <c r="AA1954" i="26"/>
  <c r="AB1954" i="26" s="1"/>
  <c r="AA1955" i="26"/>
  <c r="AB1955" i="26" s="1"/>
  <c r="AA1956" i="26"/>
  <c r="AB1956" i="26" s="1"/>
  <c r="AA1958" i="26"/>
  <c r="AB1958" i="26" s="1"/>
  <c r="AA1959" i="26"/>
  <c r="AB1959" i="26" s="1"/>
  <c r="AA1960" i="26"/>
  <c r="AB1960" i="26" s="1"/>
  <c r="AA1961" i="26"/>
  <c r="AB1961" i="26" s="1"/>
  <c r="AA1962" i="26"/>
  <c r="AB1962" i="26" s="1"/>
  <c r="AA1966" i="26"/>
  <c r="AB1966" i="26" s="1"/>
  <c r="AA1967" i="26"/>
  <c r="AB1967" i="26" s="1"/>
  <c r="AA1968" i="26"/>
  <c r="AB1968" i="26" s="1"/>
  <c r="AA1969" i="26"/>
  <c r="AB1969" i="26" s="1"/>
  <c r="AA1970" i="26"/>
  <c r="AB1970" i="26" s="1"/>
  <c r="AA1976" i="26"/>
  <c r="AB1976" i="26" s="1"/>
  <c r="AA1977" i="26"/>
  <c r="AB1977" i="26" s="1"/>
  <c r="AA1978" i="26"/>
  <c r="AB1978" i="26" s="1"/>
  <c r="AA1979" i="26"/>
  <c r="AB1979" i="26" s="1"/>
  <c r="AA1980" i="26"/>
  <c r="AB1980" i="26" s="1"/>
  <c r="AA1982" i="26"/>
  <c r="AB1982" i="26" s="1"/>
  <c r="AA1983" i="26"/>
  <c r="AB1983" i="26" s="1"/>
  <c r="AA1984" i="26"/>
  <c r="AB1984" i="26" s="1"/>
  <c r="AA1985" i="26"/>
  <c r="AB1985" i="26" s="1"/>
  <c r="AA1986" i="26"/>
  <c r="AB1986" i="26" s="1"/>
  <c r="AA1987" i="26"/>
  <c r="AB1987" i="26" s="1"/>
  <c r="AA1988" i="26"/>
  <c r="AB1988" i="26" s="1"/>
  <c r="AA1989" i="26"/>
  <c r="AB1989" i="26" s="1"/>
  <c r="AA1990" i="26"/>
  <c r="AB1990" i="26" s="1"/>
  <c r="AA1991" i="26"/>
  <c r="AB1991" i="26" s="1"/>
  <c r="AA1993" i="26"/>
  <c r="AB1993" i="26" s="1"/>
  <c r="AA1995" i="26"/>
  <c r="AB1995" i="26" s="1"/>
  <c r="AA1996" i="26"/>
  <c r="AB1996" i="26" s="1"/>
  <c r="AA1997" i="26"/>
  <c r="AB1997" i="26" s="1"/>
  <c r="AA1998" i="26"/>
  <c r="AB1998" i="26" s="1"/>
  <c r="AA1999" i="26"/>
  <c r="AB1999" i="26" s="1"/>
  <c r="AA2000" i="26"/>
  <c r="AB2000" i="26" s="1"/>
  <c r="AA2001" i="26"/>
  <c r="AB2001" i="26" s="1"/>
  <c r="AA2003" i="26"/>
  <c r="AB2003" i="26" s="1"/>
  <c r="AA2004" i="26"/>
  <c r="AB2004" i="26" s="1"/>
  <c r="AA2005" i="26"/>
  <c r="AB2005" i="26" s="1"/>
  <c r="AA2009" i="26"/>
  <c r="AB2009" i="26" s="1"/>
  <c r="AA2017" i="26"/>
  <c r="AB2017" i="26" s="1"/>
  <c r="AA2018" i="26"/>
  <c r="AB2018" i="26" s="1"/>
  <c r="AA2020" i="26"/>
  <c r="AB2020" i="26" s="1"/>
  <c r="AA2022" i="26"/>
  <c r="AB2022" i="26" s="1"/>
  <c r="AA2023" i="26"/>
  <c r="AB2023" i="26" s="1"/>
  <c r="AA2030" i="26"/>
  <c r="AB2030" i="26" s="1"/>
  <c r="AA2031" i="26"/>
  <c r="AB2031" i="26" s="1"/>
  <c r="AA2032" i="26"/>
  <c r="AB2032" i="26" s="1"/>
  <c r="AA2033" i="26"/>
  <c r="AB2033" i="26" s="1"/>
  <c r="AA2034" i="26"/>
  <c r="AB2034" i="26" s="1"/>
  <c r="AA2041" i="26"/>
  <c r="AB2041" i="26" s="1"/>
  <c r="AA2043" i="26"/>
  <c r="AB2043" i="26" s="1"/>
  <c r="AA2044" i="26"/>
  <c r="AB2044" i="26" s="1"/>
  <c r="AA2046" i="26"/>
  <c r="AB2046" i="26" s="1"/>
  <c r="AA2048" i="26"/>
  <c r="AB2048" i="26" s="1"/>
  <c r="AA2050" i="26"/>
  <c r="AB2050" i="26" s="1"/>
  <c r="AA2051" i="26"/>
  <c r="AB2051" i="26" s="1"/>
  <c r="AA2054" i="26"/>
  <c r="AB2054" i="26" s="1"/>
  <c r="AA2055" i="26"/>
  <c r="AB2055" i="26" s="1"/>
  <c r="AA1776" i="26"/>
  <c r="AB1776" i="26" s="1"/>
  <c r="AA1790" i="26"/>
  <c r="AB1790" i="26" s="1"/>
  <c r="AA1791" i="26"/>
  <c r="AB1791" i="26" s="1"/>
  <c r="AA1817" i="26"/>
  <c r="AB1817" i="26" s="1"/>
  <c r="AA1825" i="26"/>
  <c r="AB1825" i="26" s="1"/>
  <c r="AA1827" i="26"/>
  <c r="AB1827" i="26" s="1"/>
  <c r="AA1828" i="26"/>
  <c r="AB1828" i="26" s="1"/>
  <c r="AA1841" i="26"/>
  <c r="AB1841" i="26" s="1"/>
  <c r="AA1856" i="26"/>
  <c r="AB1856" i="26" s="1"/>
  <c r="AA1866" i="26"/>
  <c r="AB1866" i="26" s="1"/>
  <c r="AA1870" i="26"/>
  <c r="AB1870" i="26" s="1"/>
  <c r="AA1878" i="26"/>
  <c r="AB1878" i="26" s="1"/>
  <c r="AA1879" i="26"/>
  <c r="AB1879" i="26" s="1"/>
  <c r="AA1903" i="26"/>
  <c r="AB1903" i="26" s="1"/>
  <c r="AA1916" i="26"/>
  <c r="AB1916" i="26" s="1"/>
  <c r="AA1924" i="26"/>
  <c r="AB1924" i="26" s="1"/>
  <c r="AA1951" i="26"/>
  <c r="AB1951" i="26" s="1"/>
  <c r="AA1957" i="26"/>
  <c r="AB1957" i="26" s="1"/>
  <c r="AA2035" i="26"/>
  <c r="AB2035" i="26" s="1"/>
  <c r="AA1898" i="26"/>
  <c r="AB1898" i="26" s="1"/>
  <c r="AA1975" i="26"/>
  <c r="AB1975" i="26" s="1"/>
  <c r="AA2124" i="26"/>
  <c r="AB2124" i="26" s="1"/>
  <c r="AA2121" i="26"/>
  <c r="AB2121" i="26" s="1"/>
  <c r="AA2063" i="26"/>
  <c r="AB2063" i="26" s="1"/>
  <c r="AA2098" i="26"/>
  <c r="AB2098" i="26" s="1"/>
  <c r="AA2099" i="26"/>
  <c r="AB2099" i="26" s="1"/>
  <c r="AA2105" i="26"/>
  <c r="AB2105" i="26" s="1"/>
  <c r="AA2110" i="26"/>
  <c r="AB2110" i="26" s="1"/>
  <c r="AA2112" i="26"/>
  <c r="AB2112" i="26" s="1"/>
  <c r="AA2119" i="26"/>
  <c r="AB2119" i="26" s="1"/>
  <c r="AA2125" i="26"/>
  <c r="AB2125" i="26" s="1"/>
  <c r="AA2130" i="26"/>
  <c r="AB2130" i="26" s="1"/>
  <c r="AA2131" i="26"/>
  <c r="AB2131" i="26" s="1"/>
  <c r="AA2135" i="26"/>
  <c r="AB2135" i="26" s="1"/>
  <c r="AA2145" i="26"/>
  <c r="AB2145" i="26" s="1"/>
  <c r="AA2149" i="26"/>
  <c r="AB2149" i="26" s="1"/>
  <c r="AA2150" i="26"/>
  <c r="AB2150" i="26" s="1"/>
  <c r="AA2058" i="26"/>
  <c r="AB2058" i="26" s="1"/>
  <c r="AA2064" i="26"/>
  <c r="AB2064" i="26" s="1"/>
  <c r="AA2065" i="26"/>
  <c r="AB2065" i="26" s="1"/>
  <c r="AA2066" i="26"/>
  <c r="AB2066" i="26" s="1"/>
  <c r="AA2067" i="26"/>
  <c r="AB2067" i="26" s="1"/>
  <c r="AA2071" i="26"/>
  <c r="AB2071" i="26" s="1"/>
  <c r="AA2072" i="26"/>
  <c r="AB2072" i="26" s="1"/>
  <c r="AA2073" i="26"/>
  <c r="AB2073" i="26" s="1"/>
  <c r="AA2074" i="26"/>
  <c r="AB2074" i="26" s="1"/>
  <c r="AA2076" i="26"/>
  <c r="AB2076" i="26" s="1"/>
  <c r="AA2077" i="26"/>
  <c r="AB2077" i="26" s="1"/>
  <c r="AA2078" i="26"/>
  <c r="AB2078" i="26" s="1"/>
  <c r="AA2080" i="26"/>
  <c r="AB2080" i="26" s="1"/>
  <c r="AA2081" i="26"/>
  <c r="AB2081" i="26" s="1"/>
  <c r="AA2084" i="26"/>
  <c r="AB2084" i="26" s="1"/>
  <c r="AA2088" i="26"/>
  <c r="AB2088" i="26" s="1"/>
  <c r="AA2089" i="26"/>
  <c r="AB2089" i="26" s="1"/>
  <c r="AA2090" i="26"/>
  <c r="AB2090" i="26" s="1"/>
  <c r="AA2092" i="26"/>
  <c r="AB2092" i="26" s="1"/>
  <c r="AA2093" i="26"/>
  <c r="AB2093" i="26" s="1"/>
  <c r="AA2094" i="26"/>
  <c r="AB2094" i="26" s="1"/>
  <c r="AA2095" i="26"/>
  <c r="AB2095" i="26" s="1"/>
  <c r="AA2096" i="26"/>
  <c r="AB2096" i="26" s="1"/>
  <c r="AA2097" i="26"/>
  <c r="AB2097" i="26" s="1"/>
  <c r="AA2100" i="26"/>
  <c r="AB2100" i="26" s="1"/>
  <c r="AA2101" i="26"/>
  <c r="AB2101" i="26" s="1"/>
  <c r="AA2102" i="26"/>
  <c r="AB2102" i="26" s="1"/>
  <c r="AA2103" i="26"/>
  <c r="AB2103" i="26" s="1"/>
  <c r="AA2104" i="26"/>
  <c r="AB2104" i="26" s="1"/>
  <c r="AA2106" i="26"/>
  <c r="AB2106" i="26" s="1"/>
  <c r="AA2107" i="26"/>
  <c r="AB2107" i="26" s="1"/>
  <c r="AA2108" i="26"/>
  <c r="AB2108" i="26" s="1"/>
  <c r="AA2111" i="26"/>
  <c r="AB2111" i="26" s="1"/>
  <c r="AA2113" i="26"/>
  <c r="AB2113" i="26" s="1"/>
  <c r="AA2114" i="26"/>
  <c r="AB2114" i="26" s="1"/>
  <c r="AA2115" i="26"/>
  <c r="AB2115" i="26" s="1"/>
  <c r="AA2116" i="26"/>
  <c r="AB2116" i="26" s="1"/>
  <c r="AA2117" i="26"/>
  <c r="AB2117" i="26" s="1"/>
  <c r="AA2118" i="26"/>
  <c r="AB2118" i="26" s="1"/>
  <c r="AA2120" i="26"/>
  <c r="AB2120" i="26" s="1"/>
  <c r="AA2126" i="26"/>
  <c r="AB2126" i="26" s="1"/>
  <c r="AA2127" i="26"/>
  <c r="AB2127" i="26" s="1"/>
  <c r="AA2128" i="26"/>
  <c r="AB2128" i="26" s="1"/>
  <c r="AA2129" i="26"/>
  <c r="AB2129" i="26" s="1"/>
  <c r="AA2132" i="26"/>
  <c r="AB2132" i="26" s="1"/>
  <c r="AA2133" i="26"/>
  <c r="AB2133" i="26" s="1"/>
  <c r="AA2134" i="26"/>
  <c r="AB2134" i="26" s="1"/>
  <c r="AA2136" i="26"/>
  <c r="AB2136" i="26" s="1"/>
  <c r="AA2137" i="26"/>
  <c r="AB2137" i="26" s="1"/>
  <c r="AA2138" i="26"/>
  <c r="AB2138" i="26" s="1"/>
  <c r="AA2139" i="26"/>
  <c r="AB2139" i="26" s="1"/>
  <c r="AA2140" i="26"/>
  <c r="AB2140" i="26" s="1"/>
  <c r="AA2141" i="26"/>
  <c r="AB2141" i="26" s="1"/>
  <c r="AA2142" i="26"/>
  <c r="AB2142" i="26" s="1"/>
  <c r="AA2144" i="26"/>
  <c r="AB2144" i="26" s="1"/>
  <c r="AA2146" i="26"/>
  <c r="AB2146" i="26" s="1"/>
  <c r="AA2151" i="26"/>
  <c r="AB2151" i="26" s="1"/>
  <c r="AA2153" i="26"/>
  <c r="AB2153" i="26" s="1"/>
  <c r="AA2154" i="26"/>
  <c r="AB2154" i="26" s="1"/>
  <c r="AA2156" i="26"/>
  <c r="AB2156" i="26" s="1"/>
  <c r="AA2079" i="26"/>
  <c r="AB2079" i="26" s="1"/>
  <c r="AA2109" i="26"/>
  <c r="AB2109" i="26" s="1"/>
  <c r="AA2152" i="26"/>
  <c r="AB2152" i="26" s="1"/>
  <c r="AA2075" i="26"/>
  <c r="AB2075" i="26" s="1"/>
  <c r="AA2301" i="26"/>
  <c r="AB2301" i="26" s="1"/>
  <c r="AA2296" i="26"/>
  <c r="AB2296" i="26" s="1"/>
  <c r="AA2157" i="26"/>
  <c r="AB2157" i="26" s="1"/>
  <c r="AA2159" i="26"/>
  <c r="AB2159" i="26" s="1"/>
  <c r="AA2161" i="26"/>
  <c r="AB2161" i="26" s="1"/>
  <c r="AA2162" i="26"/>
  <c r="AB2162" i="26" s="1"/>
  <c r="AA2165" i="26"/>
  <c r="AB2165" i="26" s="1"/>
  <c r="AA2167" i="26"/>
  <c r="AB2167" i="26" s="1"/>
  <c r="AA2174" i="26"/>
  <c r="AB2174" i="26" s="1"/>
  <c r="AA2180" i="26"/>
  <c r="AB2180" i="26" s="1"/>
  <c r="AA2187" i="26"/>
  <c r="AB2187" i="26" s="1"/>
  <c r="AA2189" i="26"/>
  <c r="AB2189" i="26" s="1"/>
  <c r="AA2190" i="26"/>
  <c r="AB2190" i="26" s="1"/>
  <c r="AA2197" i="26"/>
  <c r="AB2197" i="26" s="1"/>
  <c r="AA2200" i="26"/>
  <c r="AB2200" i="26" s="1"/>
  <c r="AA2201" i="26"/>
  <c r="AB2201" i="26" s="1"/>
  <c r="AA2208" i="26"/>
  <c r="AB2208" i="26" s="1"/>
  <c r="AA2211" i="26"/>
  <c r="AB2211" i="26" s="1"/>
  <c r="AA2219" i="26"/>
  <c r="AB2219" i="26" s="1"/>
  <c r="AA2221" i="26"/>
  <c r="AB2221" i="26" s="1"/>
  <c r="AA2229" i="26"/>
  <c r="AB2229" i="26" s="1"/>
  <c r="AA2232" i="26"/>
  <c r="AB2232" i="26" s="1"/>
  <c r="AA2236" i="26"/>
  <c r="AB2236" i="26" s="1"/>
  <c r="AA2238" i="26"/>
  <c r="AB2238" i="26" s="1"/>
  <c r="AA2241" i="26"/>
  <c r="AB2241" i="26" s="1"/>
  <c r="AA2243" i="26"/>
  <c r="AB2243" i="26" s="1"/>
  <c r="AA2244" i="26"/>
  <c r="AB2244" i="26" s="1"/>
  <c r="AA2251" i="26"/>
  <c r="AB2251" i="26" s="1"/>
  <c r="AA2257" i="26"/>
  <c r="AB2257" i="26" s="1"/>
  <c r="AA2259" i="26"/>
  <c r="AB2259" i="26" s="1"/>
  <c r="AA2267" i="26"/>
  <c r="AB2267" i="26" s="1"/>
  <c r="AA2271" i="26"/>
  <c r="AB2271" i="26" s="1"/>
  <c r="AA2275" i="26"/>
  <c r="AB2275" i="26" s="1"/>
  <c r="AA2280" i="26"/>
  <c r="AB2280" i="26" s="1"/>
  <c r="AA2283" i="26"/>
  <c r="AB2283" i="26" s="1"/>
  <c r="AA2285" i="26"/>
  <c r="AB2285" i="26" s="1"/>
  <c r="AA2287" i="26"/>
  <c r="AB2287" i="26" s="1"/>
  <c r="AA2290" i="26"/>
  <c r="AB2290" i="26" s="1"/>
  <c r="AA2291" i="26"/>
  <c r="AB2291" i="26" s="1"/>
  <c r="AA2294" i="26"/>
  <c r="AB2294" i="26" s="1"/>
  <c r="AA2302" i="26"/>
  <c r="AB2302" i="26" s="1"/>
  <c r="AA2311" i="26"/>
  <c r="AB2311" i="26" s="1"/>
  <c r="AA2328" i="26"/>
  <c r="AB2328" i="26" s="1"/>
  <c r="AA2331" i="26"/>
  <c r="AB2331" i="26" s="1"/>
  <c r="AA2333" i="26"/>
  <c r="AB2333" i="26" s="1"/>
  <c r="AA2335" i="26"/>
  <c r="AB2335" i="26" s="1"/>
  <c r="AA2340" i="26"/>
  <c r="AB2340" i="26" s="1"/>
  <c r="AA2342" i="26"/>
  <c r="AB2342" i="26" s="1"/>
  <c r="AA2158" i="26"/>
  <c r="AB2158" i="26" s="1"/>
  <c r="AA2160" i="26"/>
  <c r="AB2160" i="26" s="1"/>
  <c r="AA2163" i="26"/>
  <c r="AB2163" i="26" s="1"/>
  <c r="AA2164" i="26"/>
  <c r="AB2164" i="26" s="1"/>
  <c r="AA2166" i="26"/>
  <c r="AB2166" i="26" s="1"/>
  <c r="AA2168" i="26"/>
  <c r="AB2168" i="26" s="1"/>
  <c r="AA2169" i="26"/>
  <c r="AB2169" i="26" s="1"/>
  <c r="AA2170" i="26"/>
  <c r="AB2170" i="26" s="1"/>
  <c r="AA2171" i="26"/>
  <c r="AB2171" i="26" s="1"/>
  <c r="AA2172" i="26"/>
  <c r="AB2172" i="26" s="1"/>
  <c r="AA2173" i="26"/>
  <c r="AB2173" i="26" s="1"/>
  <c r="AA2175" i="26"/>
  <c r="AB2175" i="26" s="1"/>
  <c r="AA2176" i="26"/>
  <c r="AB2176" i="26" s="1"/>
  <c r="AA2177" i="26"/>
  <c r="AB2177" i="26" s="1"/>
  <c r="AA2178" i="26"/>
  <c r="AB2178" i="26" s="1"/>
  <c r="AA2181" i="26"/>
  <c r="AB2181" i="26" s="1"/>
  <c r="AA2182" i="26"/>
  <c r="AB2182" i="26" s="1"/>
  <c r="AA2183" i="26"/>
  <c r="AB2183" i="26" s="1"/>
  <c r="AA2184" i="26"/>
  <c r="AB2184" i="26" s="1"/>
  <c r="AA2185" i="26"/>
  <c r="AB2185" i="26" s="1"/>
  <c r="AA2186" i="26"/>
  <c r="AB2186" i="26" s="1"/>
  <c r="AA2188" i="26"/>
  <c r="AB2188" i="26" s="1"/>
  <c r="AA2191" i="26"/>
  <c r="AB2191" i="26" s="1"/>
  <c r="AA2193" i="26"/>
  <c r="AB2193" i="26" s="1"/>
  <c r="AA2194" i="26"/>
  <c r="AB2194" i="26" s="1"/>
  <c r="AA2196" i="26"/>
  <c r="AB2196" i="26" s="1"/>
  <c r="AA2198" i="26"/>
  <c r="AB2198" i="26" s="1"/>
  <c r="AA2199" i="26"/>
  <c r="AB2199" i="26" s="1"/>
  <c r="AA2202" i="26"/>
  <c r="AB2202" i="26" s="1"/>
  <c r="AA2203" i="26"/>
  <c r="AB2203" i="26" s="1"/>
  <c r="AA2204" i="26"/>
  <c r="AB2204" i="26" s="1"/>
  <c r="AA2205" i="26"/>
  <c r="AB2205" i="26" s="1"/>
  <c r="AA2206" i="26"/>
  <c r="AB2206" i="26" s="1"/>
  <c r="AA2207" i="26"/>
  <c r="AB2207" i="26" s="1"/>
  <c r="AA2209" i="26"/>
  <c r="AB2209" i="26" s="1"/>
  <c r="AA2210" i="26"/>
  <c r="AB2210" i="26" s="1"/>
  <c r="AA2213" i="26"/>
  <c r="AB2213" i="26" s="1"/>
  <c r="AA2214" i="26"/>
  <c r="AB2214" i="26" s="1"/>
  <c r="AA2215" i="26"/>
  <c r="AB2215" i="26" s="1"/>
  <c r="AA2216" i="26"/>
  <c r="AB2216" i="26" s="1"/>
  <c r="AA2217" i="26"/>
  <c r="AB2217" i="26" s="1"/>
  <c r="AA2218" i="26"/>
  <c r="AB2218" i="26" s="1"/>
  <c r="AA2220" i="26"/>
  <c r="AB2220" i="26" s="1"/>
  <c r="AA2222" i="26"/>
  <c r="AB2222" i="26" s="1"/>
  <c r="AA2223" i="26"/>
  <c r="AB2223" i="26" s="1"/>
  <c r="AA2224" i="26"/>
  <c r="AB2224" i="26" s="1"/>
  <c r="AA2225" i="26"/>
  <c r="AB2225" i="26" s="1"/>
  <c r="AA2226" i="26"/>
  <c r="AB2226" i="26" s="1"/>
  <c r="AA2227" i="26"/>
  <c r="AB2227" i="26" s="1"/>
  <c r="AA2228" i="26"/>
  <c r="AB2228" i="26" s="1"/>
  <c r="AA2230" i="26"/>
  <c r="AB2230" i="26" s="1"/>
  <c r="AA2231" i="26"/>
  <c r="AB2231" i="26" s="1"/>
  <c r="AA2233" i="26"/>
  <c r="AB2233" i="26" s="1"/>
  <c r="AA2234" i="26"/>
  <c r="AB2234" i="26" s="1"/>
  <c r="AA2235" i="26"/>
  <c r="AB2235" i="26" s="1"/>
  <c r="AA2237" i="26"/>
  <c r="AB2237" i="26" s="1"/>
  <c r="AA2239" i="26"/>
  <c r="AB2239" i="26" s="1"/>
  <c r="AA2240" i="26"/>
  <c r="AB2240" i="26" s="1"/>
  <c r="AA2242" i="26"/>
  <c r="AB2242" i="26" s="1"/>
  <c r="AA2245" i="26"/>
  <c r="AB2245" i="26" s="1"/>
  <c r="AA2246" i="26"/>
  <c r="AB2246" i="26" s="1"/>
  <c r="AA2247" i="26"/>
  <c r="AB2247" i="26" s="1"/>
  <c r="AA2248" i="26"/>
  <c r="AB2248" i="26" s="1"/>
  <c r="AA2249" i="26"/>
  <c r="AB2249" i="26" s="1"/>
  <c r="AA2250" i="26"/>
  <c r="AB2250" i="26" s="1"/>
  <c r="AA2252" i="26"/>
  <c r="AB2252" i="26" s="1"/>
  <c r="AA2253" i="26"/>
  <c r="AB2253" i="26" s="1"/>
  <c r="AA2254" i="26"/>
  <c r="AB2254" i="26" s="1"/>
  <c r="AA2255" i="26"/>
  <c r="AB2255" i="26" s="1"/>
  <c r="AA2256" i="26"/>
  <c r="AB2256" i="26" s="1"/>
  <c r="AA2258" i="26"/>
  <c r="AB2258" i="26" s="1"/>
  <c r="AA2260" i="26"/>
  <c r="AB2260" i="26" s="1"/>
  <c r="AA2261" i="26"/>
  <c r="AB2261" i="26" s="1"/>
  <c r="AA2262" i="26"/>
  <c r="AB2262" i="26" s="1"/>
  <c r="AA2263" i="26"/>
  <c r="AB2263" i="26" s="1"/>
  <c r="AA2264" i="26"/>
  <c r="AB2264" i="26" s="1"/>
  <c r="AA2265" i="26"/>
  <c r="AB2265" i="26" s="1"/>
  <c r="AA2266" i="26"/>
  <c r="AB2266" i="26" s="1"/>
  <c r="AA2268" i="26"/>
  <c r="AB2268" i="26" s="1"/>
  <c r="AA2269" i="26"/>
  <c r="AB2269" i="26" s="1"/>
  <c r="AA2270" i="26"/>
  <c r="AB2270" i="26" s="1"/>
  <c r="AA2272" i="26"/>
  <c r="AB2272" i="26" s="1"/>
  <c r="AA2273" i="26"/>
  <c r="AB2273" i="26" s="1"/>
  <c r="AA2274" i="26"/>
  <c r="AB2274" i="26" s="1"/>
  <c r="AA2276" i="26"/>
  <c r="AB2276" i="26" s="1"/>
  <c r="AA2277" i="26"/>
  <c r="AB2277" i="26" s="1"/>
  <c r="AA2278" i="26"/>
  <c r="AB2278" i="26" s="1"/>
  <c r="AA2279" i="26"/>
  <c r="AB2279" i="26" s="1"/>
  <c r="AA2282" i="26"/>
  <c r="AB2282" i="26" s="1"/>
  <c r="AA2284" i="26"/>
  <c r="AB2284" i="26" s="1"/>
  <c r="AA2286" i="26"/>
  <c r="AB2286" i="26" s="1"/>
  <c r="AA2288" i="26"/>
  <c r="AB2288" i="26" s="1"/>
  <c r="AA2289" i="26"/>
  <c r="AB2289" i="26" s="1"/>
  <c r="AA2292" i="26"/>
  <c r="AB2292" i="26" s="1"/>
  <c r="AA2293" i="26"/>
  <c r="AB2293" i="26" s="1"/>
  <c r="AA2295" i="26"/>
  <c r="AB2295" i="26" s="1"/>
  <c r="AA2297" i="26"/>
  <c r="AB2297" i="26" s="1"/>
  <c r="AA2298" i="26"/>
  <c r="AB2298" i="26" s="1"/>
  <c r="AA2299" i="26"/>
  <c r="AB2299" i="26" s="1"/>
  <c r="AA2300" i="26"/>
  <c r="AB2300" i="26" s="1"/>
  <c r="AA2303" i="26"/>
  <c r="AB2303" i="26" s="1"/>
  <c r="AA2306" i="26"/>
  <c r="AB2306" i="26" s="1"/>
  <c r="AA2307" i="26"/>
  <c r="AB2307" i="26" s="1"/>
  <c r="AA2308" i="26"/>
  <c r="AB2308" i="26" s="1"/>
  <c r="AA2309" i="26"/>
  <c r="AB2309" i="26" s="1"/>
  <c r="AA2310" i="26"/>
  <c r="AB2310" i="26" s="1"/>
  <c r="AA2312" i="26"/>
  <c r="AB2312" i="26" s="1"/>
  <c r="AA2313" i="26"/>
  <c r="AB2313" i="26" s="1"/>
  <c r="AA2314" i="26"/>
  <c r="AB2314" i="26" s="1"/>
  <c r="AA2315" i="26"/>
  <c r="AB2315" i="26" s="1"/>
  <c r="AA2316" i="26"/>
  <c r="AB2316" i="26" s="1"/>
  <c r="AA2317" i="26"/>
  <c r="AB2317" i="26" s="1"/>
  <c r="AA2318" i="26"/>
  <c r="AB2318" i="26" s="1"/>
  <c r="AA2319" i="26"/>
  <c r="AB2319" i="26" s="1"/>
  <c r="AA2320" i="26"/>
  <c r="AB2320" i="26" s="1"/>
  <c r="AA2321" i="26"/>
  <c r="AB2321" i="26" s="1"/>
  <c r="AA2322" i="26"/>
  <c r="AB2322" i="26" s="1"/>
  <c r="AA2323" i="26"/>
  <c r="AB2323" i="26" s="1"/>
  <c r="AA2324" i="26"/>
  <c r="AB2324" i="26" s="1"/>
  <c r="AA2325" i="26"/>
  <c r="AB2325" i="26" s="1"/>
  <c r="AA2326" i="26"/>
  <c r="AB2326" i="26" s="1"/>
  <c r="AA2329" i="26"/>
  <c r="AB2329" i="26" s="1"/>
  <c r="AA2330" i="26"/>
  <c r="AB2330" i="26" s="1"/>
  <c r="AA2332" i="26"/>
  <c r="AB2332" i="26" s="1"/>
  <c r="AA2334" i="26"/>
  <c r="AB2334" i="26" s="1"/>
  <c r="AA2336" i="26"/>
  <c r="AB2336" i="26" s="1"/>
  <c r="AA2337" i="26"/>
  <c r="AB2337" i="26" s="1"/>
  <c r="AA2339" i="26"/>
  <c r="AB2339" i="26" s="1"/>
  <c r="AA2341" i="26"/>
  <c r="AB2341" i="26" s="1"/>
  <c r="AA2343" i="26"/>
  <c r="AB2343" i="26" s="1"/>
  <c r="AA2179" i="26"/>
  <c r="AB2179" i="26" s="1"/>
  <c r="AA2195" i="26"/>
  <c r="AB2195" i="26" s="1"/>
  <c r="AA2212" i="26"/>
  <c r="AB2212" i="26" s="1"/>
  <c r="AA2281" i="26"/>
  <c r="AB2281" i="26" s="1"/>
  <c r="AA2304" i="26"/>
  <c r="AB2304" i="26" s="1"/>
  <c r="AA2305" i="26"/>
  <c r="AB2305" i="26" s="1"/>
  <c r="AA2327" i="26"/>
  <c r="AB2327" i="26" s="1"/>
  <c r="AA2192" i="26"/>
  <c r="AB2192" i="26" s="1"/>
  <c r="AA2344" i="26"/>
  <c r="AB2344" i="26" s="1"/>
  <c r="AA2345" i="26"/>
  <c r="AB2345" i="26" s="1"/>
  <c r="AA2346" i="26"/>
  <c r="AB2346" i="26" s="1"/>
  <c r="AA2347" i="26"/>
  <c r="AB2347" i="26" s="1"/>
  <c r="AA2348" i="26"/>
  <c r="AB2348" i="26" s="1"/>
  <c r="AA2349" i="26"/>
  <c r="AB2349" i="26" s="1"/>
  <c r="AA2351" i="26"/>
  <c r="AB2351" i="26" s="1"/>
  <c r="AA2354" i="26"/>
  <c r="AB2354" i="26" s="1"/>
  <c r="AA2358" i="26"/>
  <c r="AB2358" i="26" s="1"/>
  <c r="AA2360" i="26"/>
  <c r="AB2360" i="26" s="1"/>
  <c r="AA2362" i="26"/>
  <c r="AB2362" i="26" s="1"/>
  <c r="AA2366" i="26"/>
  <c r="AB2366" i="26" s="1"/>
  <c r="AA2368" i="26"/>
  <c r="AB2368" i="26" s="1"/>
  <c r="AA2370" i="26"/>
  <c r="AB2370" i="26" s="1"/>
  <c r="AA2372" i="26"/>
  <c r="AB2372" i="26" s="1"/>
  <c r="AA2374" i="26"/>
  <c r="AB2374" i="26" s="1"/>
  <c r="AA2375" i="26"/>
  <c r="AB2375" i="26" s="1"/>
  <c r="AA2378" i="26"/>
  <c r="AB2378" i="26" s="1"/>
  <c r="AA2384" i="26"/>
  <c r="AB2384" i="26" s="1"/>
  <c r="AA2386" i="26"/>
  <c r="AB2386" i="26" s="1"/>
  <c r="AA2388" i="26"/>
  <c r="AB2388" i="26" s="1"/>
  <c r="AA2391" i="26"/>
  <c r="AB2391" i="26" s="1"/>
  <c r="AA2397" i="26"/>
  <c r="AB2397" i="26" s="1"/>
  <c r="AA2399" i="26"/>
  <c r="AB2399" i="26" s="1"/>
  <c r="AA2350" i="26"/>
  <c r="AB2350" i="26" s="1"/>
  <c r="AA2352" i="26"/>
  <c r="AB2352" i="26" s="1"/>
  <c r="AA2353" i="26"/>
  <c r="AB2353" i="26" s="1"/>
  <c r="AA2355" i="26"/>
  <c r="AB2355" i="26" s="1"/>
  <c r="AA2356" i="26"/>
  <c r="AB2356" i="26" s="1"/>
  <c r="AA2357" i="26"/>
  <c r="AB2357" i="26" s="1"/>
  <c r="AA2359" i="26"/>
  <c r="AB2359" i="26" s="1"/>
  <c r="AA2361" i="26"/>
  <c r="AB2361" i="26" s="1"/>
  <c r="AA2363" i="26"/>
  <c r="AB2363" i="26" s="1"/>
  <c r="AA2365" i="26"/>
  <c r="AB2365" i="26" s="1"/>
  <c r="AA2367" i="26"/>
  <c r="AB2367" i="26" s="1"/>
  <c r="AA2369" i="26"/>
  <c r="AB2369" i="26" s="1"/>
  <c r="AA2371" i="26"/>
  <c r="AB2371" i="26" s="1"/>
  <c r="AA2373" i="26"/>
  <c r="AB2373" i="26" s="1"/>
  <c r="AA2376" i="26"/>
  <c r="AB2376" i="26" s="1"/>
  <c r="AA2377" i="26"/>
  <c r="AB2377" i="26" s="1"/>
  <c r="AA2379" i="26"/>
  <c r="AB2379" i="26" s="1"/>
  <c r="AA2380" i="26"/>
  <c r="AB2380" i="26" s="1"/>
  <c r="AA2382" i="26"/>
  <c r="AB2382" i="26" s="1"/>
  <c r="AA2383" i="26"/>
  <c r="AB2383" i="26" s="1"/>
  <c r="AA2385" i="26"/>
  <c r="AB2385" i="26" s="1"/>
  <c r="AA2387" i="26"/>
  <c r="AB2387" i="26" s="1"/>
  <c r="AA2389" i="26"/>
  <c r="AB2389" i="26" s="1"/>
  <c r="AA2390" i="26"/>
  <c r="AB2390" i="26" s="1"/>
  <c r="AA2392" i="26"/>
  <c r="AB2392" i="26" s="1"/>
  <c r="AA2394" i="26"/>
  <c r="AB2394" i="26" s="1"/>
  <c r="AA2398" i="26"/>
  <c r="AB2398" i="26" s="1"/>
  <c r="AA2400" i="26"/>
  <c r="AB2400" i="26" s="1"/>
  <c r="AA2364" i="26"/>
  <c r="AB2364" i="26" s="1"/>
  <c r="AA2381" i="26"/>
  <c r="AB2381" i="26" s="1"/>
  <c r="AA2401" i="26"/>
  <c r="AB2401" i="26" s="1"/>
  <c r="AA2403" i="26"/>
  <c r="AB2403" i="26" s="1"/>
  <c r="AA2404" i="26"/>
  <c r="AB2404" i="26" s="1"/>
  <c r="AA2406" i="26"/>
  <c r="AB2406" i="26" s="1"/>
  <c r="AA2402" i="26"/>
  <c r="AB2402" i="26" s="1"/>
  <c r="AA2405" i="26"/>
  <c r="AB2405" i="26" s="1"/>
  <c r="AA2407" i="26"/>
  <c r="AB2407" i="26" s="1"/>
  <c r="AA2408" i="26"/>
  <c r="AB2408" i="26" s="1"/>
  <c r="AA2409" i="26"/>
  <c r="AB2409" i="26" s="1"/>
  <c r="AA2410" i="26"/>
  <c r="AB2410" i="26" s="1"/>
  <c r="AA2412" i="26"/>
  <c r="AB2412" i="26" s="1"/>
  <c r="AA2413" i="26"/>
  <c r="AB2413" i="26" s="1"/>
  <c r="AA2415" i="26"/>
  <c r="AB2415" i="26" s="1"/>
  <c r="AA2417" i="26"/>
  <c r="AB2417" i="26" s="1"/>
  <c r="AA2425" i="26"/>
  <c r="AB2425" i="26" s="1"/>
  <c r="AA2411" i="26"/>
  <c r="AB2411" i="26" s="1"/>
  <c r="AA2414" i="26"/>
  <c r="AB2414" i="26" s="1"/>
  <c r="AA2416" i="26"/>
  <c r="AB2416" i="26" s="1"/>
  <c r="AA2418" i="26"/>
  <c r="AB2418" i="26" s="1"/>
  <c r="AA2419" i="26"/>
  <c r="AB2419" i="26" s="1"/>
  <c r="AA2420" i="26"/>
  <c r="AB2420" i="26" s="1"/>
  <c r="AA2421" i="26"/>
  <c r="AB2421" i="26" s="1"/>
  <c r="AA2422" i="26"/>
  <c r="AB2422" i="26" s="1"/>
  <c r="AA2423" i="26"/>
  <c r="AB2423" i="26" s="1"/>
  <c r="AA2424" i="26"/>
  <c r="AB2424" i="26" s="1"/>
  <c r="AA2426" i="26"/>
  <c r="AB2426" i="26" s="1"/>
  <c r="AA2427" i="26"/>
  <c r="AB2427" i="26" s="1"/>
  <c r="AA2428" i="26"/>
  <c r="AB2428" i="26" s="1"/>
  <c r="AA2429" i="26"/>
  <c r="AB2429" i="26" s="1"/>
  <c r="AA2430" i="26"/>
  <c r="AB2430" i="26" s="1"/>
  <c r="AA2431" i="26"/>
  <c r="AB2431" i="26" s="1"/>
  <c r="AA2432" i="26"/>
  <c r="AB2432" i="26" s="1"/>
  <c r="AA2433" i="26"/>
  <c r="AB2433" i="26" s="1"/>
  <c r="AA2435" i="26"/>
  <c r="AB2435" i="26" s="1"/>
  <c r="AA2437" i="26"/>
  <c r="AB2437" i="26" s="1"/>
  <c r="AA2440" i="26"/>
  <c r="AB2440" i="26" s="1"/>
  <c r="AA2442" i="26"/>
  <c r="AB2442" i="26" s="1"/>
  <c r="AA2449" i="26"/>
  <c r="AB2449" i="26" s="1"/>
  <c r="AA2451" i="26"/>
  <c r="AB2451" i="26" s="1"/>
  <c r="AA2452" i="26"/>
  <c r="AB2452" i="26" s="1"/>
  <c r="AA2458" i="26"/>
  <c r="AB2458" i="26" s="1"/>
  <c r="AA2460" i="26"/>
  <c r="AB2460" i="26" s="1"/>
  <c r="AA2461" i="26"/>
  <c r="AB2461" i="26" s="1"/>
  <c r="AA2464" i="26"/>
  <c r="AB2464" i="26" s="1"/>
  <c r="AA2466" i="26"/>
  <c r="AB2466" i="26" s="1"/>
  <c r="AA2471" i="26"/>
  <c r="AB2471" i="26" s="1"/>
  <c r="AA2476" i="26"/>
  <c r="AB2476" i="26" s="1"/>
  <c r="AA2478" i="26"/>
  <c r="AB2478" i="26" s="1"/>
  <c r="AA2479" i="26"/>
  <c r="AB2479" i="26" s="1"/>
  <c r="AA2480" i="26"/>
  <c r="AB2480" i="26" s="1"/>
  <c r="AA2484" i="26"/>
  <c r="AB2484" i="26" s="1"/>
  <c r="AA2486" i="26"/>
  <c r="AB2486" i="26" s="1"/>
  <c r="AA2488" i="26"/>
  <c r="AB2488" i="26" s="1"/>
  <c r="AA2490" i="26"/>
  <c r="AB2490" i="26" s="1"/>
  <c r="AA2493" i="26"/>
  <c r="AB2493" i="26" s="1"/>
  <c r="AA2497" i="26"/>
  <c r="AB2497" i="26" s="1"/>
  <c r="AA2503" i="26"/>
  <c r="AB2503" i="26" s="1"/>
  <c r="AA2509" i="26"/>
  <c r="AB2509" i="26" s="1"/>
  <c r="AA2510" i="26"/>
  <c r="AB2510" i="26" s="1"/>
  <c r="AA2512" i="26"/>
  <c r="AB2512" i="26" s="1"/>
  <c r="AA2515" i="26"/>
  <c r="AB2515" i="26" s="1"/>
  <c r="AA2517" i="26"/>
  <c r="AB2517" i="26" s="1"/>
  <c r="AA2520" i="26"/>
  <c r="AB2520" i="26" s="1"/>
  <c r="AA2524" i="26"/>
  <c r="AB2524" i="26" s="1"/>
  <c r="AA2526" i="26"/>
  <c r="AB2526" i="26" s="1"/>
  <c r="AA2538" i="26"/>
  <c r="AB2538" i="26" s="1"/>
  <c r="AA2541" i="26"/>
  <c r="AB2541" i="26" s="1"/>
  <c r="AA2544" i="26"/>
  <c r="AB2544" i="26" s="1"/>
  <c r="AA2546" i="26"/>
  <c r="AB2546" i="26" s="1"/>
  <c r="AA2548" i="26"/>
  <c r="AB2548" i="26" s="1"/>
  <c r="AA2553" i="26"/>
  <c r="AB2553" i="26" s="1"/>
  <c r="AA2555" i="26"/>
  <c r="AB2555" i="26" s="1"/>
  <c r="AA2556" i="26"/>
  <c r="AB2556" i="26" s="1"/>
  <c r="AA2434" i="26"/>
  <c r="AB2434" i="26" s="1"/>
  <c r="AA2436" i="26"/>
  <c r="AB2436" i="26" s="1"/>
  <c r="AA2438" i="26"/>
  <c r="AB2438" i="26" s="1"/>
  <c r="AA2439" i="26"/>
  <c r="AB2439" i="26" s="1"/>
  <c r="AA2441" i="26"/>
  <c r="AB2441" i="26" s="1"/>
  <c r="AA2443" i="26"/>
  <c r="AB2443" i="26" s="1"/>
  <c r="AA2444" i="26"/>
  <c r="AB2444" i="26" s="1"/>
  <c r="AA2445" i="26"/>
  <c r="AB2445" i="26" s="1"/>
  <c r="AA2446" i="26"/>
  <c r="AB2446" i="26" s="1"/>
  <c r="AA2447" i="26"/>
  <c r="AB2447" i="26" s="1"/>
  <c r="AA2448" i="26"/>
  <c r="AB2448" i="26" s="1"/>
  <c r="AA2450" i="26"/>
  <c r="AB2450" i="26" s="1"/>
  <c r="AA2453" i="26"/>
  <c r="AB2453" i="26" s="1"/>
  <c r="AA2454" i="26"/>
  <c r="AB2454" i="26" s="1"/>
  <c r="AA2455" i="26"/>
  <c r="AB2455" i="26" s="1"/>
  <c r="AA2456" i="26"/>
  <c r="AB2456" i="26" s="1"/>
  <c r="AA2457" i="26"/>
  <c r="AB2457" i="26" s="1"/>
  <c r="AA2459" i="26"/>
  <c r="AB2459" i="26" s="1"/>
  <c r="AA2462" i="26"/>
  <c r="AB2462" i="26" s="1"/>
  <c r="AA2463" i="26"/>
  <c r="AB2463" i="26" s="1"/>
  <c r="AA2465" i="26"/>
  <c r="AB2465" i="26" s="1"/>
  <c r="AA2467" i="26"/>
  <c r="AB2467" i="26" s="1"/>
  <c r="AA2468" i="26"/>
  <c r="AB2468" i="26" s="1"/>
  <c r="AA2469" i="26"/>
  <c r="AB2469" i="26" s="1"/>
  <c r="AA2470" i="26"/>
  <c r="AB2470" i="26" s="1"/>
  <c r="AA2472" i="26"/>
  <c r="AB2472" i="26" s="1"/>
  <c r="AA2473" i="26"/>
  <c r="AB2473" i="26" s="1"/>
  <c r="AA2474" i="26"/>
  <c r="AB2474" i="26" s="1"/>
  <c r="AA2475" i="26"/>
  <c r="AB2475" i="26" s="1"/>
  <c r="AA2477" i="26"/>
  <c r="AB2477" i="26" s="1"/>
  <c r="AA2481" i="26"/>
  <c r="AB2481" i="26" s="1"/>
  <c r="AA2482" i="26"/>
  <c r="AB2482" i="26" s="1"/>
  <c r="AA2483" i="26"/>
  <c r="AB2483" i="26" s="1"/>
  <c r="AA2485" i="26"/>
  <c r="AB2485" i="26" s="1"/>
  <c r="AA2487" i="26"/>
  <c r="AB2487" i="26" s="1"/>
  <c r="AA2489" i="26"/>
  <c r="AB2489" i="26" s="1"/>
  <c r="AA2491" i="26"/>
  <c r="AB2491" i="26" s="1"/>
  <c r="AA2492" i="26"/>
  <c r="AB2492" i="26" s="1"/>
  <c r="AA2494" i="26"/>
  <c r="AB2494" i="26" s="1"/>
  <c r="AA2495" i="26"/>
  <c r="AB2495" i="26" s="1"/>
  <c r="AA2496" i="26"/>
  <c r="AB2496" i="26" s="1"/>
  <c r="AA2498" i="26"/>
  <c r="AB2498" i="26" s="1"/>
  <c r="AA2499" i="26"/>
  <c r="AB2499" i="26" s="1"/>
  <c r="AA2500" i="26"/>
  <c r="AB2500" i="26" s="1"/>
  <c r="AA2501" i="26"/>
  <c r="AB2501" i="26" s="1"/>
  <c r="AA2502" i="26"/>
  <c r="AB2502" i="26" s="1"/>
  <c r="AA2504" i="26"/>
  <c r="AB2504" i="26" s="1"/>
  <c r="AA2505" i="26"/>
  <c r="AB2505" i="26" s="1"/>
  <c r="AA2506" i="26"/>
  <c r="AB2506" i="26" s="1"/>
  <c r="AA2507" i="26"/>
  <c r="AB2507" i="26" s="1"/>
  <c r="AA2508" i="26"/>
  <c r="AB2508" i="26" s="1"/>
  <c r="AA2511" i="26"/>
  <c r="AB2511" i="26" s="1"/>
  <c r="AA2513" i="26"/>
  <c r="AB2513" i="26" s="1"/>
  <c r="AA2514" i="26"/>
  <c r="AB2514" i="26" s="1"/>
  <c r="AA2516" i="26"/>
  <c r="AB2516" i="26" s="1"/>
  <c r="AA2518" i="26"/>
  <c r="AB2518" i="26" s="1"/>
  <c r="AA2519" i="26"/>
  <c r="AB2519" i="26" s="1"/>
  <c r="AA2521" i="26"/>
  <c r="AB2521" i="26" s="1"/>
  <c r="AA2522" i="26"/>
  <c r="AB2522" i="26" s="1"/>
  <c r="AA2523" i="26"/>
  <c r="AB2523" i="26" s="1"/>
  <c r="AA2525" i="26"/>
  <c r="AB2525" i="26" s="1"/>
  <c r="AA2527" i="26"/>
  <c r="AB2527" i="26" s="1"/>
  <c r="AA2528" i="26"/>
  <c r="AB2528" i="26" s="1"/>
  <c r="AA2529" i="26"/>
  <c r="AB2529" i="26" s="1"/>
  <c r="AA2530" i="26"/>
  <c r="AB2530" i="26" s="1"/>
  <c r="AA2531" i="26"/>
  <c r="AB2531" i="26" s="1"/>
  <c r="AA2532" i="26"/>
  <c r="AB2532" i="26" s="1"/>
  <c r="AA2533" i="26"/>
  <c r="AB2533" i="26" s="1"/>
  <c r="AA2534" i="26"/>
  <c r="AB2534" i="26" s="1"/>
  <c r="AA2535" i="26"/>
  <c r="AB2535" i="26" s="1"/>
  <c r="AA2537" i="26"/>
  <c r="AB2537" i="26" s="1"/>
  <c r="AA2539" i="26"/>
  <c r="AB2539" i="26" s="1"/>
  <c r="AA2540" i="26"/>
  <c r="AB2540" i="26" s="1"/>
  <c r="AA2542" i="26"/>
  <c r="AB2542" i="26" s="1"/>
  <c r="AA2543" i="26"/>
  <c r="AB2543" i="26" s="1"/>
  <c r="AA2545" i="26"/>
  <c r="AB2545" i="26" s="1"/>
  <c r="AA2547" i="26"/>
  <c r="AB2547" i="26" s="1"/>
  <c r="AA2549" i="26"/>
  <c r="AB2549" i="26" s="1"/>
  <c r="AA2550" i="26"/>
  <c r="AB2550" i="26" s="1"/>
  <c r="AA2552" i="26"/>
  <c r="AB2552" i="26" s="1"/>
  <c r="AA2554" i="26"/>
  <c r="AB2554" i="26" s="1"/>
  <c r="AA2557" i="26"/>
  <c r="AB2557" i="26" s="1"/>
  <c r="AA2536" i="26"/>
  <c r="AB2536" i="26" s="1"/>
  <c r="AA2558" i="26"/>
  <c r="AB2558" i="26" s="1"/>
  <c r="AA2560" i="26"/>
  <c r="AB2560" i="26" s="1"/>
  <c r="AA2561" i="26"/>
  <c r="AB2561" i="26" s="1"/>
  <c r="AA2563" i="26"/>
  <c r="AB2563" i="26" s="1"/>
  <c r="AA2564" i="26"/>
  <c r="AB2564" i="26" s="1"/>
  <c r="AA2565" i="26"/>
  <c r="AB2565" i="26" s="1"/>
  <c r="AA2572" i="26"/>
  <c r="AB2572" i="26" s="1"/>
  <c r="AA2574" i="26"/>
  <c r="AB2574" i="26" s="1"/>
  <c r="AA2582" i="26"/>
  <c r="AB2582" i="26" s="1"/>
  <c r="AA2583" i="26"/>
  <c r="AB2583" i="26" s="1"/>
  <c r="AA2585" i="26"/>
  <c r="AB2585" i="26" s="1"/>
  <c r="AA2587" i="26"/>
  <c r="AB2587" i="26" s="1"/>
  <c r="AA2592" i="26"/>
  <c r="AB2592" i="26" s="1"/>
  <c r="AA2593" i="26"/>
  <c r="AB2593" i="26" s="1"/>
  <c r="AA2594" i="26"/>
  <c r="AB2594" i="26" s="1"/>
  <c r="AA2597" i="26"/>
  <c r="AB2597" i="26" s="1"/>
  <c r="AA2600" i="26"/>
  <c r="AB2600" i="26" s="1"/>
  <c r="AA2607" i="26"/>
  <c r="AB2607" i="26" s="1"/>
  <c r="AA2609" i="26"/>
  <c r="AB2609" i="26" s="1"/>
  <c r="AA2614" i="26"/>
  <c r="AB2614" i="26" s="1"/>
  <c r="AA2621" i="26"/>
  <c r="AB2621" i="26" s="1"/>
  <c r="AA2624" i="26"/>
  <c r="AB2624" i="26" s="1"/>
  <c r="AA2625" i="26"/>
  <c r="AB2625" i="26" s="1"/>
  <c r="AA2626" i="26"/>
  <c r="AB2626" i="26" s="1"/>
  <c r="AA2631" i="26"/>
  <c r="AB2631" i="26" s="1"/>
  <c r="AA2633" i="26"/>
  <c r="AB2633" i="26" s="1"/>
  <c r="AA2635" i="26"/>
  <c r="AB2635" i="26" s="1"/>
  <c r="AA2639" i="26"/>
  <c r="AB2639" i="26" s="1"/>
  <c r="AA2642" i="26"/>
  <c r="AB2642" i="26" s="1"/>
  <c r="AA2645" i="26"/>
  <c r="AB2645" i="26" s="1"/>
  <c r="AA2649" i="26"/>
  <c r="AB2649" i="26" s="1"/>
  <c r="AA2657" i="26"/>
  <c r="AB2657" i="26" s="1"/>
  <c r="AA2661" i="26"/>
  <c r="AB2661" i="26" s="1"/>
  <c r="AA2664" i="26"/>
  <c r="AB2664" i="26" s="1"/>
  <c r="AA2666" i="26"/>
  <c r="AB2666" i="26" s="1"/>
  <c r="AA2668" i="26"/>
  <c r="AB2668" i="26" s="1"/>
  <c r="AA2671" i="26"/>
  <c r="AB2671" i="26" s="1"/>
  <c r="AA2672" i="26"/>
  <c r="AB2672" i="26" s="1"/>
  <c r="AA2675" i="26"/>
  <c r="AB2675" i="26" s="1"/>
  <c r="AA2680" i="26"/>
  <c r="AB2680" i="26" s="1"/>
  <c r="AA2685" i="26"/>
  <c r="AB2685" i="26" s="1"/>
  <c r="AA2698" i="26"/>
  <c r="AB2698" i="26" s="1"/>
  <c r="AA2700" i="26"/>
  <c r="AB2700" i="26" s="1"/>
  <c r="AA2702" i="26"/>
  <c r="AB2702" i="26" s="1"/>
  <c r="AA2704" i="26"/>
  <c r="AB2704" i="26" s="1"/>
  <c r="AA2707" i="26"/>
  <c r="AB2707" i="26" s="1"/>
  <c r="AA2708" i="26"/>
  <c r="AB2708" i="26" s="1"/>
  <c r="AA2710" i="26"/>
  <c r="AB2710" i="26" s="1"/>
  <c r="AA2559" i="26"/>
  <c r="AB2559" i="26" s="1"/>
  <c r="AA2562" i="26"/>
  <c r="AB2562" i="26" s="1"/>
  <c r="AA2566" i="26"/>
  <c r="AB2566" i="26" s="1"/>
  <c r="AA2567" i="26"/>
  <c r="AB2567" i="26" s="1"/>
  <c r="AA2568" i="26"/>
  <c r="AB2568" i="26" s="1"/>
  <c r="AA2569" i="26"/>
  <c r="AB2569" i="26" s="1"/>
  <c r="AA2570" i="26"/>
  <c r="AB2570" i="26" s="1"/>
  <c r="AA2571" i="26"/>
  <c r="AB2571" i="26" s="1"/>
  <c r="AA2573" i="26"/>
  <c r="AB2573" i="26" s="1"/>
  <c r="AA2575" i="26"/>
  <c r="AB2575" i="26" s="1"/>
  <c r="AA2576" i="26"/>
  <c r="AB2576" i="26" s="1"/>
  <c r="AA2577" i="26"/>
  <c r="AB2577" i="26" s="1"/>
  <c r="AA2578" i="26"/>
  <c r="AB2578" i="26" s="1"/>
  <c r="AA2579" i="26"/>
  <c r="AB2579" i="26" s="1"/>
  <c r="AA2580" i="26"/>
  <c r="AB2580" i="26" s="1"/>
  <c r="AA2581" i="26"/>
  <c r="AB2581" i="26" s="1"/>
  <c r="AA2584" i="26"/>
  <c r="AB2584" i="26" s="1"/>
  <c r="AA2586" i="26"/>
  <c r="AB2586" i="26" s="1"/>
  <c r="AA2588" i="26"/>
  <c r="AB2588" i="26" s="1"/>
  <c r="AA2590" i="26"/>
  <c r="AB2590" i="26" s="1"/>
  <c r="AA2591" i="26"/>
  <c r="AB2591" i="26" s="1"/>
  <c r="AA2595" i="26"/>
  <c r="AB2595" i="26" s="1"/>
  <c r="AA2596" i="26"/>
  <c r="AB2596" i="26" s="1"/>
  <c r="AA2598" i="26"/>
  <c r="AB2598" i="26" s="1"/>
  <c r="AA2599" i="26"/>
  <c r="AB2599" i="26" s="1"/>
  <c r="AA2602" i="26"/>
  <c r="AB2602" i="26" s="1"/>
  <c r="AA2603" i="26"/>
  <c r="AB2603" i="26" s="1"/>
  <c r="AA2604" i="26"/>
  <c r="AB2604" i="26" s="1"/>
  <c r="AA2605" i="26"/>
  <c r="AB2605" i="26" s="1"/>
  <c r="AA2606" i="26"/>
  <c r="AB2606" i="26" s="1"/>
  <c r="AA2608" i="26"/>
  <c r="AB2608" i="26" s="1"/>
  <c r="AA2610" i="26"/>
  <c r="AB2610" i="26" s="1"/>
  <c r="AA2611" i="26"/>
  <c r="AB2611" i="26" s="1"/>
  <c r="AA2612" i="26"/>
  <c r="AB2612" i="26" s="1"/>
  <c r="AA2613" i="26"/>
  <c r="AB2613" i="26" s="1"/>
  <c r="AA2615" i="26"/>
  <c r="AB2615" i="26" s="1"/>
  <c r="AA2618" i="26"/>
  <c r="AB2618" i="26" s="1"/>
  <c r="AA2619" i="26"/>
  <c r="AB2619" i="26" s="1"/>
  <c r="AA2622" i="26"/>
  <c r="AB2622" i="26" s="1"/>
  <c r="AA2623" i="26"/>
  <c r="AB2623" i="26" s="1"/>
  <c r="AA2627" i="26"/>
  <c r="AB2627" i="26" s="1"/>
  <c r="AA2628" i="26"/>
  <c r="AB2628" i="26" s="1"/>
  <c r="AA2629" i="26"/>
  <c r="AB2629" i="26" s="1"/>
  <c r="AA2630" i="26"/>
  <c r="AB2630" i="26" s="1"/>
  <c r="AA2632" i="26"/>
  <c r="AB2632" i="26" s="1"/>
  <c r="AA2634" i="26"/>
  <c r="AB2634" i="26" s="1"/>
  <c r="AA2636" i="26"/>
  <c r="AB2636" i="26" s="1"/>
  <c r="AA2637" i="26"/>
  <c r="AB2637" i="26" s="1"/>
  <c r="AA2638" i="26"/>
  <c r="AB2638" i="26" s="1"/>
  <c r="AA2640" i="26"/>
  <c r="AB2640" i="26" s="1"/>
  <c r="AA2641" i="26"/>
  <c r="AB2641" i="26" s="1"/>
  <c r="AA2643" i="26"/>
  <c r="AB2643" i="26" s="1"/>
  <c r="AA2644" i="26"/>
  <c r="AB2644" i="26" s="1"/>
  <c r="AA2646" i="26"/>
  <c r="AB2646" i="26" s="1"/>
  <c r="AA2647" i="26"/>
  <c r="AB2647" i="26" s="1"/>
  <c r="AA2648" i="26"/>
  <c r="AB2648" i="26" s="1"/>
  <c r="AA2650" i="26"/>
  <c r="AB2650" i="26" s="1"/>
  <c r="AA2651" i="26"/>
  <c r="AB2651" i="26" s="1"/>
  <c r="AA2652" i="26"/>
  <c r="AB2652" i="26" s="1"/>
  <c r="AA2653" i="26"/>
  <c r="AB2653" i="26" s="1"/>
  <c r="AA2654" i="26"/>
  <c r="AB2654" i="26" s="1"/>
  <c r="AA2656" i="26"/>
  <c r="AB2656" i="26" s="1"/>
  <c r="AA2658" i="26"/>
  <c r="AB2658" i="26" s="1"/>
  <c r="AA2659" i="26"/>
  <c r="AB2659" i="26" s="1"/>
  <c r="AA2660" i="26"/>
  <c r="AB2660" i="26" s="1"/>
  <c r="AA2663" i="26"/>
  <c r="AB2663" i="26" s="1"/>
  <c r="AA2665" i="26"/>
  <c r="AB2665" i="26" s="1"/>
  <c r="AA2667" i="26"/>
  <c r="AB2667" i="26" s="1"/>
  <c r="AA2669" i="26"/>
  <c r="AB2669" i="26" s="1"/>
  <c r="AA2670" i="26"/>
  <c r="AB2670" i="26" s="1"/>
  <c r="AA2673" i="26"/>
  <c r="AB2673" i="26" s="1"/>
  <c r="AA2674" i="26"/>
  <c r="AB2674" i="26" s="1"/>
  <c r="AA2676" i="26"/>
  <c r="AB2676" i="26" s="1"/>
  <c r="AA2677" i="26"/>
  <c r="AB2677" i="26" s="1"/>
  <c r="AA2678" i="26"/>
  <c r="AB2678" i="26" s="1"/>
  <c r="AA2679" i="26"/>
  <c r="AB2679" i="26" s="1"/>
  <c r="AA2681" i="26"/>
  <c r="AB2681" i="26" s="1"/>
  <c r="AA2683" i="26"/>
  <c r="AB2683" i="26" s="1"/>
  <c r="AA2684" i="26"/>
  <c r="AB2684" i="26" s="1"/>
  <c r="AA2686" i="26"/>
  <c r="AB2686" i="26" s="1"/>
  <c r="AA2687" i="26"/>
  <c r="AB2687" i="26" s="1"/>
  <c r="AA2688" i="26"/>
  <c r="AB2688" i="26" s="1"/>
  <c r="AA2689" i="26"/>
  <c r="AB2689" i="26" s="1"/>
  <c r="AA2690" i="26"/>
  <c r="AB2690" i="26" s="1"/>
  <c r="AA2691" i="26"/>
  <c r="AB2691" i="26" s="1"/>
  <c r="AA2692" i="26"/>
  <c r="AB2692" i="26" s="1"/>
  <c r="AA2693" i="26"/>
  <c r="AB2693" i="26" s="1"/>
  <c r="AA2694" i="26"/>
  <c r="AB2694" i="26" s="1"/>
  <c r="AA2695" i="26"/>
  <c r="AB2695" i="26" s="1"/>
  <c r="AA2697" i="26"/>
  <c r="AB2697" i="26" s="1"/>
  <c r="AA2699" i="26"/>
  <c r="AB2699" i="26" s="1"/>
  <c r="AA2701" i="26"/>
  <c r="AB2701" i="26" s="1"/>
  <c r="AA2703" i="26"/>
  <c r="AB2703" i="26" s="1"/>
  <c r="AA2705" i="26"/>
  <c r="AB2705" i="26" s="1"/>
  <c r="AA2706" i="26"/>
  <c r="AB2706" i="26" s="1"/>
  <c r="AA2709" i="26"/>
  <c r="AB2709" i="26" s="1"/>
  <c r="AA2711" i="26"/>
  <c r="AB2711" i="26" s="1"/>
  <c r="AA2601" i="26"/>
  <c r="AB2601" i="26" s="1"/>
  <c r="AA2617" i="26"/>
  <c r="AB2617" i="26" s="1"/>
  <c r="AA2620" i="26"/>
  <c r="AB2620" i="26" s="1"/>
  <c r="AA2655" i="26"/>
  <c r="AB2655" i="26" s="1"/>
  <c r="AA2662" i="26"/>
  <c r="AB2662" i="26" s="1"/>
  <c r="AA2682" i="26"/>
  <c r="AB2682" i="26" s="1"/>
  <c r="AA2696" i="26"/>
  <c r="AB2696" i="26" s="1"/>
  <c r="AA2589" i="26"/>
  <c r="AB2589" i="26" s="1"/>
  <c r="AA2616" i="26"/>
  <c r="AB2616" i="26" s="1"/>
  <c r="AA333" i="26"/>
  <c r="AB333" i="26" s="1"/>
  <c r="AA144" i="26"/>
  <c r="AB144" i="26" s="1"/>
  <c r="AA429" i="26"/>
  <c r="AB429" i="26" s="1"/>
  <c r="AA398" i="26"/>
  <c r="AB398" i="26" s="1"/>
  <c r="AA396" i="26"/>
  <c r="AB396" i="26" s="1"/>
  <c r="AA401" i="26"/>
  <c r="AB401" i="26" s="1"/>
  <c r="AA402" i="26"/>
  <c r="AB402" i="26" s="1"/>
  <c r="AA420" i="26"/>
  <c r="AB420" i="26" s="1"/>
  <c r="AA407" i="26"/>
  <c r="AB407" i="26" s="1"/>
  <c r="AA416" i="26"/>
  <c r="AB416" i="26" s="1"/>
  <c r="AA421" i="26"/>
  <c r="AB421" i="26" s="1"/>
  <c r="AA424" i="26"/>
  <c r="AB424" i="26" s="1"/>
  <c r="AA412" i="26"/>
  <c r="AB412" i="26" s="1"/>
  <c r="AA256" i="26"/>
  <c r="AB256" i="26" s="1"/>
  <c r="AA257" i="26"/>
  <c r="AB257" i="26" s="1"/>
  <c r="AA258" i="26"/>
  <c r="AB258" i="26" s="1"/>
  <c r="AA435" i="26"/>
  <c r="AB435" i="26" s="1"/>
  <c r="AA436" i="26"/>
  <c r="AB436" i="26" s="1"/>
  <c r="AA368" i="26"/>
  <c r="AB368" i="26" s="1"/>
  <c r="AA379" i="26"/>
  <c r="AB379" i="26" s="1"/>
  <c r="AA203" i="26"/>
  <c r="AB203" i="26" s="1"/>
  <c r="AA369" i="26"/>
  <c r="AB369" i="26" s="1"/>
  <c r="AA61" i="26"/>
  <c r="AB61" i="26" s="1"/>
  <c r="AA62" i="26"/>
  <c r="AB62" i="26" s="1"/>
  <c r="AA63" i="26"/>
  <c r="AB63" i="26" s="1"/>
  <c r="AA377" i="26"/>
  <c r="AB377" i="26" s="1"/>
  <c r="AA380" i="26"/>
  <c r="AB380" i="26" s="1"/>
  <c r="AA374" i="26"/>
  <c r="AB374" i="26" s="1"/>
  <c r="AA344" i="26"/>
  <c r="AB344" i="26" s="1"/>
  <c r="AA358" i="26"/>
  <c r="AB358" i="26" s="1"/>
  <c r="AA360" i="26"/>
  <c r="AB360" i="26" s="1"/>
  <c r="AA359" i="26"/>
  <c r="AB359" i="26" s="1"/>
  <c r="AA361" i="26"/>
  <c r="AB361" i="26" s="1"/>
  <c r="AA282" i="26"/>
  <c r="AB282" i="26" s="1"/>
  <c r="AA126" i="26"/>
  <c r="AB126" i="26" s="1"/>
  <c r="AA51" i="26"/>
  <c r="AB51" i="26" s="1"/>
  <c r="AA54" i="26"/>
  <c r="AB54" i="26" s="1"/>
  <c r="AA453" i="26"/>
  <c r="AB453" i="26" s="1"/>
  <c r="AA454" i="26"/>
  <c r="AB454" i="26" s="1"/>
  <c r="AA455" i="26"/>
  <c r="AB455" i="26" s="1"/>
  <c r="AA441" i="26"/>
  <c r="AB441" i="26" s="1"/>
  <c r="AA448" i="26"/>
  <c r="AB448" i="26" s="1"/>
  <c r="AA449" i="26"/>
  <c r="AB449" i="26" s="1"/>
  <c r="AA440" i="26"/>
  <c r="AB440" i="26" s="1"/>
  <c r="AA439" i="26"/>
  <c r="AB439" i="26" s="1"/>
  <c r="AA417" i="26"/>
  <c r="AB417" i="26" s="1"/>
  <c r="AA425" i="26"/>
  <c r="AB425" i="26" s="1"/>
  <c r="AA403" i="26"/>
  <c r="AB403" i="26" s="1"/>
  <c r="AA408" i="26"/>
  <c r="AB408" i="26" s="1"/>
  <c r="AA137" i="26"/>
  <c r="AB137" i="26" s="1"/>
  <c r="AA280" i="26"/>
  <c r="AB280" i="26" s="1"/>
  <c r="AA305" i="26"/>
  <c r="AB305" i="26" s="1"/>
  <c r="AA334" i="26"/>
  <c r="AB334" i="26" s="1"/>
  <c r="AA335" i="26"/>
  <c r="AB335" i="26" s="1"/>
  <c r="AA336" i="26"/>
  <c r="AB336" i="26" s="1"/>
  <c r="AA337" i="26"/>
  <c r="AB337" i="26" s="1"/>
  <c r="AA338" i="26"/>
  <c r="AB338" i="26" s="1"/>
  <c r="AA339" i="26"/>
  <c r="AB339" i="26" s="1"/>
  <c r="AA345" i="26"/>
  <c r="AB345" i="26" s="1"/>
  <c r="AA346" i="26"/>
  <c r="AB346" i="26" s="1"/>
  <c r="AA404" i="26"/>
  <c r="AB404" i="26" s="1"/>
  <c r="AA442" i="26"/>
  <c r="AB442" i="26" s="1"/>
  <c r="AA443" i="26"/>
  <c r="AB443" i="26" s="1"/>
  <c r="AA444" i="26"/>
  <c r="AB444" i="26" s="1"/>
  <c r="AA445" i="26"/>
  <c r="AB445" i="26" s="1"/>
  <c r="AA446" i="26"/>
  <c r="AB446" i="26" s="1"/>
  <c r="AA1889" i="26"/>
  <c r="AB1889" i="26" s="1"/>
  <c r="AA2002" i="26"/>
  <c r="AB2002" i="26" s="1"/>
  <c r="AA2045" i="26"/>
  <c r="AB2045" i="26" s="1"/>
  <c r="AA2143" i="26"/>
  <c r="AB2143" i="26" s="1"/>
  <c r="AA447" i="26"/>
  <c r="AB447" i="26" s="1"/>
  <c r="L333" i="26"/>
  <c r="L144" i="26"/>
  <c r="L429" i="26"/>
  <c r="L398" i="26"/>
  <c r="L396" i="26"/>
  <c r="L401" i="26"/>
  <c r="L402" i="26"/>
  <c r="L420" i="26"/>
  <c r="L407" i="26"/>
  <c r="L416" i="26"/>
  <c r="L421" i="26"/>
  <c r="L424" i="26"/>
  <c r="L412" i="26"/>
  <c r="L256" i="26"/>
  <c r="L257" i="26"/>
  <c r="L258" i="26"/>
  <c r="L129" i="26"/>
  <c r="L172" i="26"/>
  <c r="L212" i="26"/>
  <c r="L227" i="26"/>
  <c r="L92" i="26"/>
  <c r="L93" i="26"/>
  <c r="L94" i="26"/>
  <c r="L459" i="26"/>
  <c r="L460" i="26"/>
  <c r="L433" i="26"/>
  <c r="L195" i="26"/>
  <c r="L196" i="26"/>
  <c r="L462" i="26"/>
  <c r="L463" i="26"/>
  <c r="L435" i="26"/>
  <c r="L436" i="26"/>
  <c r="L368" i="26"/>
  <c r="L379" i="26"/>
  <c r="L203" i="26"/>
  <c r="L369" i="26"/>
  <c r="L352" i="26"/>
  <c r="L356" i="26"/>
  <c r="L357" i="26"/>
  <c r="L434" i="26"/>
  <c r="L303" i="26"/>
  <c r="L61" i="26"/>
  <c r="L62" i="26"/>
  <c r="L63" i="26"/>
  <c r="L58" i="26"/>
  <c r="L59" i="26"/>
  <c r="L60" i="26"/>
  <c r="L79" i="26"/>
  <c r="L80" i="26"/>
  <c r="L81" i="26"/>
  <c r="L73" i="26"/>
  <c r="L377" i="26"/>
  <c r="L380" i="26"/>
  <c r="L374" i="26"/>
  <c r="L344" i="26"/>
  <c r="L358" i="26"/>
  <c r="L360" i="26"/>
  <c r="L359" i="26"/>
  <c r="L361" i="26"/>
  <c r="L52" i="26"/>
  <c r="L68" i="26"/>
  <c r="L70" i="26"/>
  <c r="L209" i="26"/>
  <c r="L282" i="26"/>
  <c r="L126" i="26"/>
  <c r="L82" i="26"/>
  <c r="L84" i="26"/>
  <c r="L83" i="26"/>
  <c r="L51" i="26"/>
  <c r="L54" i="26"/>
  <c r="L453" i="26"/>
  <c r="L454" i="26"/>
  <c r="L455" i="26"/>
  <c r="L441" i="26"/>
  <c r="L448" i="26"/>
  <c r="L449" i="26"/>
  <c r="L440" i="26"/>
  <c r="L439" i="26"/>
  <c r="L249" i="26"/>
  <c r="L417" i="26"/>
  <c r="L425" i="26"/>
  <c r="L96" i="26"/>
  <c r="L97" i="26"/>
  <c r="L403" i="26"/>
  <c r="L408" i="26"/>
  <c r="L194" i="26"/>
  <c r="L108" i="26"/>
  <c r="L90" i="26"/>
  <c r="L75" i="26"/>
  <c r="L66" i="26"/>
  <c r="L131" i="26"/>
  <c r="L137" i="26"/>
  <c r="L164" i="26"/>
  <c r="L280" i="26"/>
  <c r="L305" i="26"/>
  <c r="L334" i="26"/>
  <c r="L335" i="26"/>
  <c r="L336" i="26"/>
  <c r="L337" i="26"/>
  <c r="L338" i="26"/>
  <c r="L339" i="26"/>
  <c r="L345" i="26"/>
  <c r="L346" i="26"/>
  <c r="L381" i="26"/>
  <c r="L404" i="26"/>
  <c r="L442" i="26"/>
  <c r="L443" i="26"/>
  <c r="L444" i="26"/>
  <c r="L445" i="26"/>
  <c r="L446" i="26"/>
  <c r="L1889" i="26"/>
  <c r="L2002" i="26"/>
  <c r="L2045" i="26"/>
  <c r="L2143" i="26"/>
  <c r="L447" i="26"/>
  <c r="A333" i="26"/>
  <c r="A144" i="26"/>
  <c r="A429" i="26"/>
  <c r="A398" i="26"/>
  <c r="A396" i="26"/>
  <c r="A401" i="26"/>
  <c r="A402" i="26"/>
  <c r="A420" i="26"/>
  <c r="A407" i="26"/>
  <c r="A416" i="26"/>
  <c r="A421" i="26"/>
  <c r="A424" i="26"/>
  <c r="A412" i="26"/>
  <c r="A256" i="26"/>
  <c r="A257" i="26"/>
  <c r="A258" i="26"/>
  <c r="A129" i="26"/>
  <c r="A172" i="26"/>
  <c r="A212" i="26"/>
  <c r="A227" i="26"/>
  <c r="A92" i="26"/>
  <c r="A93" i="26"/>
  <c r="A94" i="26"/>
  <c r="A459" i="26"/>
  <c r="A460" i="26"/>
  <c r="A433" i="26"/>
  <c r="A195" i="26"/>
  <c r="A196" i="26"/>
  <c r="A462" i="26"/>
  <c r="A463" i="26"/>
  <c r="A435" i="26"/>
  <c r="A436" i="26"/>
  <c r="A368" i="26"/>
  <c r="A379" i="26"/>
  <c r="A203" i="26"/>
  <c r="A369" i="26"/>
  <c r="A352" i="26"/>
  <c r="A356" i="26"/>
  <c r="A357" i="26"/>
  <c r="A434" i="26"/>
  <c r="A303" i="26"/>
  <c r="A61" i="26"/>
  <c r="A62" i="26"/>
  <c r="A63" i="26"/>
  <c r="A58" i="26"/>
  <c r="A59" i="26"/>
  <c r="A60" i="26"/>
  <c r="A79" i="26"/>
  <c r="A80" i="26"/>
  <c r="A81" i="26"/>
  <c r="A73" i="26"/>
  <c r="A377" i="26"/>
  <c r="A380" i="26"/>
  <c r="A374" i="26"/>
  <c r="A344" i="26"/>
  <c r="A358" i="26"/>
  <c r="A360" i="26"/>
  <c r="A359" i="26"/>
  <c r="A361" i="26"/>
  <c r="A52" i="26"/>
  <c r="A68" i="26"/>
  <c r="A70" i="26"/>
  <c r="A209" i="26"/>
  <c r="A282" i="26"/>
  <c r="A126" i="26"/>
  <c r="A82" i="26"/>
  <c r="A84" i="26"/>
  <c r="A83" i="26"/>
  <c r="A51" i="26"/>
  <c r="A54" i="26"/>
  <c r="A453" i="26"/>
  <c r="A454" i="26"/>
  <c r="A455" i="26"/>
  <c r="A441" i="26"/>
  <c r="A448" i="26"/>
  <c r="A449" i="26"/>
  <c r="A440" i="26"/>
  <c r="A439" i="26"/>
  <c r="A249" i="26"/>
  <c r="A417" i="26"/>
  <c r="A425" i="26"/>
  <c r="A96" i="26"/>
  <c r="A97" i="26"/>
  <c r="A403" i="26"/>
  <c r="A408" i="26"/>
  <c r="A194" i="26"/>
  <c r="A108" i="26"/>
  <c r="A90" i="26"/>
  <c r="A75" i="26"/>
  <c r="A66" i="26"/>
  <c r="A131" i="26"/>
  <c r="A137" i="26"/>
  <c r="A164" i="26"/>
  <c r="A280" i="26"/>
  <c r="A305" i="26"/>
  <c r="A334" i="26"/>
  <c r="A335" i="26"/>
  <c r="A336" i="26"/>
  <c r="A337" i="26"/>
  <c r="A338" i="26"/>
  <c r="A339" i="26"/>
  <c r="A345" i="26"/>
  <c r="A346" i="26"/>
  <c r="A381" i="26"/>
  <c r="A404" i="26"/>
  <c r="A442" i="26"/>
  <c r="A443" i="26"/>
  <c r="A444" i="26"/>
  <c r="A445" i="26"/>
  <c r="A446" i="26"/>
  <c r="A1889" i="26"/>
  <c r="A2002" i="26"/>
  <c r="A2045" i="26"/>
  <c r="A2143" i="26"/>
  <c r="A447" i="26"/>
  <c r="Z398" i="26"/>
  <c r="Z396" i="26"/>
  <c r="Z401" i="26"/>
  <c r="Z402" i="26"/>
  <c r="Z407" i="26"/>
  <c r="Z416" i="26"/>
  <c r="Z421" i="26"/>
  <c r="Z424" i="26"/>
  <c r="Z412" i="26"/>
  <c r="Z172" i="26"/>
  <c r="Z212" i="26"/>
  <c r="Z227" i="26"/>
  <c r="Z92" i="26"/>
  <c r="Z93" i="26"/>
  <c r="Z94" i="26"/>
  <c r="Z460" i="26"/>
  <c r="Z195" i="26"/>
  <c r="Z196" i="26"/>
  <c r="Z462" i="26"/>
  <c r="Z463" i="26"/>
  <c r="Z435" i="26"/>
  <c r="Z436" i="26"/>
  <c r="Z368" i="26"/>
  <c r="Z379" i="26"/>
  <c r="Z369" i="26"/>
  <c r="Z352" i="26"/>
  <c r="Z356" i="26"/>
  <c r="Z357" i="26"/>
  <c r="Z434" i="26"/>
  <c r="Z62" i="26"/>
  <c r="Z59" i="26"/>
  <c r="Z60" i="26"/>
  <c r="Z79" i="26"/>
  <c r="Z80" i="26"/>
  <c r="Z81" i="26"/>
  <c r="Z73" i="26"/>
  <c r="Z377" i="26"/>
  <c r="Z380" i="26"/>
  <c r="Z374" i="26"/>
  <c r="Z358" i="26"/>
  <c r="Z360" i="26"/>
  <c r="Z359" i="26"/>
  <c r="Z361" i="26"/>
  <c r="Z52" i="26"/>
  <c r="Z68" i="26"/>
  <c r="Z70" i="26"/>
  <c r="Z209" i="26"/>
  <c r="Z126" i="26"/>
  <c r="Z84" i="26"/>
  <c r="Z453" i="26"/>
  <c r="Z454" i="26"/>
  <c r="Z455" i="26"/>
  <c r="Z441" i="26"/>
  <c r="Z448" i="26"/>
  <c r="Z449" i="26"/>
  <c r="Z440" i="26"/>
  <c r="Z439" i="26"/>
  <c r="Z417" i="26"/>
  <c r="Z425" i="26"/>
  <c r="Z96" i="26"/>
  <c r="Z97" i="26"/>
  <c r="Z403" i="26"/>
  <c r="Z408" i="26"/>
  <c r="Z194" i="26"/>
  <c r="Z108" i="26"/>
  <c r="Z90" i="26"/>
  <c r="Z75" i="26"/>
  <c r="Z66" i="26"/>
  <c r="Z131" i="26"/>
  <c r="Z164" i="26"/>
  <c r="Z404" i="26"/>
  <c r="Z1889" i="26"/>
  <c r="Z2002" i="26"/>
  <c r="Z2045" i="26"/>
  <c r="Z2143" i="26"/>
  <c r="AA433" i="26"/>
  <c r="AB433" i="26" s="1"/>
  <c r="AB129" i="26"/>
  <c r="AB172" i="26"/>
  <c r="AB212" i="26"/>
  <c r="AB227" i="26"/>
  <c r="AB92" i="26"/>
  <c r="AB93" i="26"/>
  <c r="AB459" i="26"/>
  <c r="AB460" i="26"/>
  <c r="AB195" i="26"/>
  <c r="AB462" i="26"/>
  <c r="AB463" i="26"/>
  <c r="AB352" i="26"/>
  <c r="AB356" i="26"/>
  <c r="AB357" i="26"/>
  <c r="AB434" i="26"/>
  <c r="AB303" i="26"/>
  <c r="AB58" i="26"/>
  <c r="AB59" i="26"/>
  <c r="AB60" i="26"/>
  <c r="AB79" i="26"/>
  <c r="AB80" i="26"/>
  <c r="AB81" i="26"/>
  <c r="AB52" i="26"/>
  <c r="AB70" i="26"/>
  <c r="AB209" i="26"/>
  <c r="AB82" i="26"/>
  <c r="AB83" i="26"/>
  <c r="AB249" i="26"/>
  <c r="AB96" i="26"/>
  <c r="AB97" i="26"/>
  <c r="AB194" i="26"/>
  <c r="AB108" i="26"/>
  <c r="AB90" i="26"/>
  <c r="AB75" i="26"/>
  <c r="AB66" i="26"/>
  <c r="AB131" i="26"/>
  <c r="AB164" i="26"/>
  <c r="AB381" i="26"/>
  <c r="AC333" i="26"/>
  <c r="AC144" i="26"/>
  <c r="AC429" i="26"/>
  <c r="AC398" i="26"/>
  <c r="AC396" i="26"/>
  <c r="AC401" i="26"/>
  <c r="AC402" i="26"/>
  <c r="AC420" i="26"/>
  <c r="AC407" i="26"/>
  <c r="AC416" i="26"/>
  <c r="AC421" i="26"/>
  <c r="AC424" i="26"/>
  <c r="AC412" i="26"/>
  <c r="AC256" i="26"/>
  <c r="AC257" i="26"/>
  <c r="AC258" i="26"/>
  <c r="AC129" i="26"/>
  <c r="AC172" i="26"/>
  <c r="AC212" i="26"/>
  <c r="AC227" i="26"/>
  <c r="AC92" i="26"/>
  <c r="AC93" i="26"/>
  <c r="AC94" i="26"/>
  <c r="AC459" i="26"/>
  <c r="AC460" i="26"/>
  <c r="AC433" i="26"/>
  <c r="AC195" i="26"/>
  <c r="AC196" i="26"/>
  <c r="AC462" i="26"/>
  <c r="AC463" i="26"/>
  <c r="AC435" i="26"/>
  <c r="AC436" i="26"/>
  <c r="AC368" i="26"/>
  <c r="AC379" i="26"/>
  <c r="AC203" i="26"/>
  <c r="AC369" i="26"/>
  <c r="AC352" i="26"/>
  <c r="AC356" i="26"/>
  <c r="AC357" i="26"/>
  <c r="AC434" i="26"/>
  <c r="AC303" i="26"/>
  <c r="AC61" i="26"/>
  <c r="AC62" i="26"/>
  <c r="AC63" i="26"/>
  <c r="AC58" i="26"/>
  <c r="AC59" i="26"/>
  <c r="AC60" i="26"/>
  <c r="AC79" i="26"/>
  <c r="AC80" i="26"/>
  <c r="AC81" i="26"/>
  <c r="AC73" i="26"/>
  <c r="AC377" i="26"/>
  <c r="AC380" i="26"/>
  <c r="AC374" i="26"/>
  <c r="AC344" i="26"/>
  <c r="AC358" i="26"/>
  <c r="AC360" i="26"/>
  <c r="AC359" i="26"/>
  <c r="AC361" i="26"/>
  <c r="AC52" i="26"/>
  <c r="AC68" i="26"/>
  <c r="AC70" i="26"/>
  <c r="AC209" i="26"/>
  <c r="AC282" i="26"/>
  <c r="AC126" i="26"/>
  <c r="AC82" i="26"/>
  <c r="AC84" i="26"/>
  <c r="AC83" i="26"/>
  <c r="AC51" i="26"/>
  <c r="AC54" i="26"/>
  <c r="AC453" i="26"/>
  <c r="AC454" i="26"/>
  <c r="AC455" i="26"/>
  <c r="AC441" i="26"/>
  <c r="AC448" i="26"/>
  <c r="AC449" i="26"/>
  <c r="AC440" i="26"/>
  <c r="AC439" i="26"/>
  <c r="AC249" i="26"/>
  <c r="AC417" i="26"/>
  <c r="AC425" i="26"/>
  <c r="AC96" i="26"/>
  <c r="AC97" i="26"/>
  <c r="AC403" i="26"/>
  <c r="AC408" i="26"/>
  <c r="AC194" i="26"/>
  <c r="AC108" i="26"/>
  <c r="AC90" i="26"/>
  <c r="AC75" i="26"/>
  <c r="AC66" i="26"/>
  <c r="AC131" i="26"/>
  <c r="AC137" i="26"/>
  <c r="AC164" i="26"/>
  <c r="AC280" i="26"/>
  <c r="AC305" i="26"/>
  <c r="AC334" i="26"/>
  <c r="AC335" i="26"/>
  <c r="AC336" i="26"/>
  <c r="AC337" i="26"/>
  <c r="AC338" i="26"/>
  <c r="AC339" i="26"/>
  <c r="AC345" i="26"/>
  <c r="AC346" i="26"/>
  <c r="AC381" i="26"/>
  <c r="AC404" i="26"/>
  <c r="AC442" i="26"/>
  <c r="AC443" i="26"/>
  <c r="AC444" i="26"/>
  <c r="AC445" i="26"/>
  <c r="AC446" i="26"/>
  <c r="AC1889" i="26"/>
  <c r="AC2002" i="26"/>
  <c r="AC2045" i="26"/>
  <c r="AC2143" i="26"/>
  <c r="AC447" i="26"/>
  <c r="AC2616" i="26"/>
  <c r="Z2616" i="26"/>
  <c r="M2616" i="26"/>
  <c r="L2616" i="26"/>
  <c r="A2616" i="26"/>
  <c r="AC2589" i="26"/>
  <c r="Z2589" i="26"/>
  <c r="M2589" i="26"/>
  <c r="L2589" i="26"/>
  <c r="A2589" i="26"/>
  <c r="AC2696" i="26"/>
  <c r="Z2696" i="26"/>
  <c r="M2696" i="26"/>
  <c r="L2696" i="26"/>
  <c r="A2696" i="26"/>
  <c r="AC2682" i="26"/>
  <c r="Z2682" i="26"/>
  <c r="M2682" i="26"/>
  <c r="L2682" i="26"/>
  <c r="A2682" i="26"/>
  <c r="AC2662" i="26"/>
  <c r="Z2662" i="26"/>
  <c r="M2662" i="26"/>
  <c r="L2662" i="26"/>
  <c r="A2662" i="26"/>
  <c r="AC2655" i="26"/>
  <c r="Z2655" i="26"/>
  <c r="M2655" i="26"/>
  <c r="L2655" i="26"/>
  <c r="A2655" i="26"/>
  <c r="AC2620" i="26"/>
  <c r="Z2620" i="26"/>
  <c r="M2620" i="26"/>
  <c r="L2620" i="26"/>
  <c r="A2620" i="26"/>
  <c r="AC2617" i="26"/>
  <c r="Z2617" i="26"/>
  <c r="M2617" i="26"/>
  <c r="L2617" i="26"/>
  <c r="A2617" i="26"/>
  <c r="AC2601" i="26"/>
  <c r="Z2601" i="26"/>
  <c r="M2601" i="26"/>
  <c r="L2601" i="26"/>
  <c r="A2601" i="26"/>
  <c r="AC2711" i="26"/>
  <c r="Z2711" i="26"/>
  <c r="L2711" i="26"/>
  <c r="A2711" i="26"/>
  <c r="AC2709" i="26"/>
  <c r="Z2709" i="26"/>
  <c r="L2709" i="26"/>
  <c r="A2709" i="26"/>
  <c r="AC2706" i="26"/>
  <c r="Z2706" i="26"/>
  <c r="L2706" i="26"/>
  <c r="A2706" i="26"/>
  <c r="AC2705" i="26"/>
  <c r="Z2705" i="26"/>
  <c r="M2705" i="26"/>
  <c r="L2705" i="26"/>
  <c r="A2705" i="26"/>
  <c r="AC2703" i="26"/>
  <c r="Z2703" i="26"/>
  <c r="M2703" i="26"/>
  <c r="L2703" i="26"/>
  <c r="A2703" i="26"/>
  <c r="AC2701" i="26"/>
  <c r="Z2701" i="26"/>
  <c r="M2701" i="26"/>
  <c r="L2701" i="26"/>
  <c r="A2701" i="26"/>
  <c r="AC2699" i="26"/>
  <c r="Z2699" i="26"/>
  <c r="M2699" i="26"/>
  <c r="L2699" i="26"/>
  <c r="A2699" i="26"/>
  <c r="AC2697" i="26"/>
  <c r="Z2697" i="26"/>
  <c r="M2697" i="26"/>
  <c r="L2697" i="26"/>
  <c r="A2697" i="26"/>
  <c r="AC2695" i="26"/>
  <c r="Z2695" i="26"/>
  <c r="M2695" i="26"/>
  <c r="L2695" i="26"/>
  <c r="A2695" i="26"/>
  <c r="AC2694" i="26"/>
  <c r="Z2694" i="26"/>
  <c r="M2694" i="26"/>
  <c r="L2694" i="26"/>
  <c r="A2694" i="26"/>
  <c r="AC2693" i="26"/>
  <c r="Z2693" i="26"/>
  <c r="M2693" i="26"/>
  <c r="L2693" i="26"/>
  <c r="A2693" i="26"/>
  <c r="AC2692" i="26"/>
  <c r="Z2692" i="26"/>
  <c r="M2692" i="26"/>
  <c r="L2692" i="26"/>
  <c r="A2692" i="26"/>
  <c r="AC2691" i="26"/>
  <c r="Z2691" i="26"/>
  <c r="M2691" i="26"/>
  <c r="L2691" i="26"/>
  <c r="A2691" i="26"/>
  <c r="AC2690" i="26"/>
  <c r="Z2690" i="26"/>
  <c r="M2690" i="26"/>
  <c r="L2690" i="26"/>
  <c r="A2690" i="26"/>
  <c r="AC2689" i="26"/>
  <c r="Z2689" i="26"/>
  <c r="M2689" i="26"/>
  <c r="L2689" i="26"/>
  <c r="A2689" i="26"/>
  <c r="AC2688" i="26"/>
  <c r="Z2688" i="26"/>
  <c r="M2688" i="26"/>
  <c r="L2688" i="26"/>
  <c r="A2688" i="26"/>
  <c r="AC2687" i="26"/>
  <c r="Z2687" i="26"/>
  <c r="M2687" i="26"/>
  <c r="L2687" i="26"/>
  <c r="A2687" i="26"/>
  <c r="AC2686" i="26"/>
  <c r="Z2686" i="26"/>
  <c r="M2686" i="26"/>
  <c r="L2686" i="26"/>
  <c r="A2686" i="26"/>
  <c r="AC2684" i="26"/>
  <c r="Z2684" i="26"/>
  <c r="M2684" i="26"/>
  <c r="L2684" i="26"/>
  <c r="A2684" i="26"/>
  <c r="AC2683" i="26"/>
  <c r="Z2683" i="26"/>
  <c r="M2683" i="26"/>
  <c r="L2683" i="26"/>
  <c r="A2683" i="26"/>
  <c r="AC2681" i="26"/>
  <c r="Z2681" i="26"/>
  <c r="M2681" i="26"/>
  <c r="L2681" i="26"/>
  <c r="A2681" i="26"/>
  <c r="AC2679" i="26"/>
  <c r="Z2679" i="26"/>
  <c r="M2679" i="26"/>
  <c r="L2679" i="26"/>
  <c r="A2679" i="26"/>
  <c r="AC2678" i="26"/>
  <c r="Z2678" i="26"/>
  <c r="M2678" i="26"/>
  <c r="L2678" i="26"/>
  <c r="A2678" i="26"/>
  <c r="AC2677" i="26"/>
  <c r="Z2677" i="26"/>
  <c r="M2677" i="26"/>
  <c r="L2677" i="26"/>
  <c r="A2677" i="26"/>
  <c r="AC2676" i="26"/>
  <c r="Z2676" i="26"/>
  <c r="M2676" i="26"/>
  <c r="L2676" i="26"/>
  <c r="A2676" i="26"/>
  <c r="AC2674" i="26"/>
  <c r="Z2674" i="26"/>
  <c r="M2674" i="26"/>
  <c r="L2674" i="26"/>
  <c r="A2674" i="26"/>
  <c r="AC2673" i="26"/>
  <c r="Z2673" i="26"/>
  <c r="M2673" i="26"/>
  <c r="L2673" i="26"/>
  <c r="A2673" i="26"/>
  <c r="AC2670" i="26"/>
  <c r="Z2670" i="26"/>
  <c r="M2670" i="26"/>
  <c r="L2670" i="26"/>
  <c r="A2670" i="26"/>
  <c r="AC2669" i="26"/>
  <c r="Z2669" i="26"/>
  <c r="M2669" i="26"/>
  <c r="L2669" i="26"/>
  <c r="A2669" i="26"/>
  <c r="AC2667" i="26"/>
  <c r="Z2667" i="26"/>
  <c r="M2667" i="26"/>
  <c r="L2667" i="26"/>
  <c r="A2667" i="26"/>
  <c r="AC2665" i="26"/>
  <c r="Z2665" i="26"/>
  <c r="M2665" i="26"/>
  <c r="L2665" i="26"/>
  <c r="A2665" i="26"/>
  <c r="AC2663" i="26"/>
  <c r="Z2663" i="26"/>
  <c r="M2663" i="26"/>
  <c r="L2663" i="26"/>
  <c r="A2663" i="26"/>
  <c r="AC2660" i="26"/>
  <c r="Z2660" i="26"/>
  <c r="M2660" i="26"/>
  <c r="L2660" i="26"/>
  <c r="A2660" i="26"/>
  <c r="AC2659" i="26"/>
  <c r="Z2659" i="26"/>
  <c r="M2659" i="26"/>
  <c r="L2659" i="26"/>
  <c r="A2659" i="26"/>
  <c r="AC2658" i="26"/>
  <c r="Z2658" i="26"/>
  <c r="M2658" i="26"/>
  <c r="L2658" i="26"/>
  <c r="A2658" i="26"/>
  <c r="AC2656" i="26"/>
  <c r="Z2656" i="26"/>
  <c r="M2656" i="26"/>
  <c r="L2656" i="26"/>
  <c r="A2656" i="26"/>
  <c r="AC2654" i="26"/>
  <c r="Z2654" i="26"/>
  <c r="M2654" i="26"/>
  <c r="L2654" i="26"/>
  <c r="A2654" i="26"/>
  <c r="AC2653" i="26"/>
  <c r="Z2653" i="26"/>
  <c r="M2653" i="26"/>
  <c r="L2653" i="26"/>
  <c r="A2653" i="26"/>
  <c r="AC2652" i="26"/>
  <c r="Z2652" i="26"/>
  <c r="M2652" i="26"/>
  <c r="L2652" i="26"/>
  <c r="A2652" i="26"/>
  <c r="AC2651" i="26"/>
  <c r="Z2651" i="26"/>
  <c r="M2651" i="26"/>
  <c r="L2651" i="26"/>
  <c r="A2651" i="26"/>
  <c r="AC2650" i="26"/>
  <c r="Z2650" i="26"/>
  <c r="M2650" i="26"/>
  <c r="L2650" i="26"/>
  <c r="A2650" i="26"/>
  <c r="AC2648" i="26"/>
  <c r="Z2648" i="26"/>
  <c r="M2648" i="26"/>
  <c r="L2648" i="26"/>
  <c r="A2648" i="26"/>
  <c r="AC2647" i="26"/>
  <c r="Z2647" i="26"/>
  <c r="M2647" i="26"/>
  <c r="L2647" i="26"/>
  <c r="A2647" i="26"/>
  <c r="AC2646" i="26"/>
  <c r="Z2646" i="26"/>
  <c r="M2646" i="26"/>
  <c r="L2646" i="26"/>
  <c r="A2646" i="26"/>
  <c r="AC2644" i="26"/>
  <c r="Z2644" i="26"/>
  <c r="M2644" i="26"/>
  <c r="L2644" i="26"/>
  <c r="A2644" i="26"/>
  <c r="AC2643" i="26"/>
  <c r="Z2643" i="26"/>
  <c r="M2643" i="26"/>
  <c r="L2643" i="26"/>
  <c r="A2643" i="26"/>
  <c r="AC2641" i="26"/>
  <c r="Z2641" i="26"/>
  <c r="M2641" i="26"/>
  <c r="L2641" i="26"/>
  <c r="A2641" i="26"/>
  <c r="AC2640" i="26"/>
  <c r="Z2640" i="26"/>
  <c r="M2640" i="26"/>
  <c r="L2640" i="26"/>
  <c r="A2640" i="26"/>
  <c r="AC2638" i="26"/>
  <c r="Z2638" i="26"/>
  <c r="M2638" i="26"/>
  <c r="L2638" i="26"/>
  <c r="A2638" i="26"/>
  <c r="AC2637" i="26"/>
  <c r="Z2637" i="26"/>
  <c r="M2637" i="26"/>
  <c r="L2637" i="26"/>
  <c r="A2637" i="26"/>
  <c r="AC2636" i="26"/>
  <c r="Z2636" i="26"/>
  <c r="M2636" i="26"/>
  <c r="L2636" i="26"/>
  <c r="A2636" i="26"/>
  <c r="AC2634" i="26"/>
  <c r="Z2634" i="26"/>
  <c r="M2634" i="26"/>
  <c r="L2634" i="26"/>
  <c r="A2634" i="26"/>
  <c r="AC2632" i="26"/>
  <c r="Z2632" i="26"/>
  <c r="M2632" i="26"/>
  <c r="L2632" i="26"/>
  <c r="A2632" i="26"/>
  <c r="AC2630" i="26"/>
  <c r="Z2630" i="26"/>
  <c r="M2630" i="26"/>
  <c r="L2630" i="26"/>
  <c r="A2630" i="26"/>
  <c r="AC2629" i="26"/>
  <c r="Z2629" i="26"/>
  <c r="M2629" i="26"/>
  <c r="L2629" i="26"/>
  <c r="A2629" i="26"/>
  <c r="AC2628" i="26"/>
  <c r="Z2628" i="26"/>
  <c r="M2628" i="26"/>
  <c r="L2628" i="26"/>
  <c r="A2628" i="26"/>
  <c r="AC2627" i="26"/>
  <c r="Z2627" i="26"/>
  <c r="M2627" i="26"/>
  <c r="L2627" i="26"/>
  <c r="A2627" i="26"/>
  <c r="AC2623" i="26"/>
  <c r="Z2623" i="26"/>
  <c r="M2623" i="26"/>
  <c r="L2623" i="26"/>
  <c r="A2623" i="26"/>
  <c r="AC2622" i="26"/>
  <c r="Z2622" i="26"/>
  <c r="M2622" i="26"/>
  <c r="L2622" i="26"/>
  <c r="A2622" i="26"/>
  <c r="AC2619" i="26"/>
  <c r="Z2619" i="26"/>
  <c r="M2619" i="26"/>
  <c r="L2619" i="26"/>
  <c r="A2619" i="26"/>
  <c r="AC2618" i="26"/>
  <c r="Z2618" i="26"/>
  <c r="M2618" i="26"/>
  <c r="L2618" i="26"/>
  <c r="A2618" i="26"/>
  <c r="AC2615" i="26"/>
  <c r="Z2615" i="26"/>
  <c r="M2615" i="26"/>
  <c r="L2615" i="26"/>
  <c r="A2615" i="26"/>
  <c r="AC2613" i="26"/>
  <c r="Z2613" i="26"/>
  <c r="M2613" i="26"/>
  <c r="L2613" i="26"/>
  <c r="A2613" i="26"/>
  <c r="AC2612" i="26"/>
  <c r="Z2612" i="26"/>
  <c r="M2612" i="26"/>
  <c r="L2612" i="26"/>
  <c r="A2612" i="26"/>
  <c r="AC2611" i="26"/>
  <c r="Z2611" i="26"/>
  <c r="M2611" i="26"/>
  <c r="L2611" i="26"/>
  <c r="A2611" i="26"/>
  <c r="AC2610" i="26"/>
  <c r="Z2610" i="26"/>
  <c r="M2610" i="26"/>
  <c r="L2610" i="26"/>
  <c r="A2610" i="26"/>
  <c r="AC2608" i="26"/>
  <c r="Z2608" i="26"/>
  <c r="M2608" i="26"/>
  <c r="L2608" i="26"/>
  <c r="A2608" i="26"/>
  <c r="AC2606" i="26"/>
  <c r="Z2606" i="26"/>
  <c r="M2606" i="26"/>
  <c r="L2606" i="26"/>
  <c r="A2606" i="26"/>
  <c r="AC2605" i="26"/>
  <c r="Z2605" i="26"/>
  <c r="M2605" i="26"/>
  <c r="L2605" i="26"/>
  <c r="A2605" i="26"/>
  <c r="AC2604" i="26"/>
  <c r="Z2604" i="26"/>
  <c r="M2604" i="26"/>
  <c r="L2604" i="26"/>
  <c r="A2604" i="26"/>
  <c r="AC2603" i="26"/>
  <c r="Z2603" i="26"/>
  <c r="M2603" i="26"/>
  <c r="L2603" i="26"/>
  <c r="A2603" i="26"/>
  <c r="AC2602" i="26"/>
  <c r="Z2602" i="26"/>
  <c r="M2602" i="26"/>
  <c r="L2602" i="26"/>
  <c r="A2602" i="26"/>
  <c r="AC2599" i="26"/>
  <c r="Z2599" i="26"/>
  <c r="M2599" i="26"/>
  <c r="L2599" i="26"/>
  <c r="A2599" i="26"/>
  <c r="AC2598" i="26"/>
  <c r="Z2598" i="26"/>
  <c r="M2598" i="26"/>
  <c r="L2598" i="26"/>
  <c r="A2598" i="26"/>
  <c r="AC2596" i="26"/>
  <c r="Z2596" i="26"/>
  <c r="M2596" i="26"/>
  <c r="L2596" i="26"/>
  <c r="A2596" i="26"/>
  <c r="AC2595" i="26"/>
  <c r="Z2595" i="26"/>
  <c r="M2595" i="26"/>
  <c r="L2595" i="26"/>
  <c r="A2595" i="26"/>
  <c r="AC2591" i="26"/>
  <c r="Z2591" i="26"/>
  <c r="M2591" i="26"/>
  <c r="L2591" i="26"/>
  <c r="A2591" i="26"/>
  <c r="AC2590" i="26"/>
  <c r="Z2590" i="26"/>
  <c r="M2590" i="26"/>
  <c r="L2590" i="26"/>
  <c r="A2590" i="26"/>
  <c r="AC2588" i="26"/>
  <c r="Z2588" i="26"/>
  <c r="M2588" i="26"/>
  <c r="L2588" i="26"/>
  <c r="A2588" i="26"/>
  <c r="AC2586" i="26"/>
  <c r="Z2586" i="26"/>
  <c r="M2586" i="26"/>
  <c r="L2586" i="26"/>
  <c r="A2586" i="26"/>
  <c r="AC2584" i="26"/>
  <c r="Z2584" i="26"/>
  <c r="M2584" i="26"/>
  <c r="L2584" i="26"/>
  <c r="A2584" i="26"/>
  <c r="AC2581" i="26"/>
  <c r="Z2581" i="26"/>
  <c r="M2581" i="26"/>
  <c r="L2581" i="26"/>
  <c r="A2581" i="26"/>
  <c r="AC2580" i="26"/>
  <c r="Z2580" i="26"/>
  <c r="M2580" i="26"/>
  <c r="L2580" i="26"/>
  <c r="A2580" i="26"/>
  <c r="AC2579" i="26"/>
  <c r="Z2579" i="26"/>
  <c r="M2579" i="26"/>
  <c r="L2579" i="26"/>
  <c r="A2579" i="26"/>
  <c r="AC2578" i="26"/>
  <c r="Z2578" i="26"/>
  <c r="M2578" i="26"/>
  <c r="L2578" i="26"/>
  <c r="A2578" i="26"/>
  <c r="AC2577" i="26"/>
  <c r="Z2577" i="26"/>
  <c r="M2577" i="26"/>
  <c r="L2577" i="26"/>
  <c r="A2577" i="26"/>
  <c r="AC2576" i="26"/>
  <c r="Z2576" i="26"/>
  <c r="M2576" i="26"/>
  <c r="L2576" i="26"/>
  <c r="A2576" i="26"/>
  <c r="AC2575" i="26"/>
  <c r="Z2575" i="26"/>
  <c r="M2575" i="26"/>
  <c r="L2575" i="26"/>
  <c r="A2575" i="26"/>
  <c r="AC2573" i="26"/>
  <c r="Z2573" i="26"/>
  <c r="M2573" i="26"/>
  <c r="L2573" i="26"/>
  <c r="A2573" i="26"/>
  <c r="AC2571" i="26"/>
  <c r="Z2571" i="26"/>
  <c r="M2571" i="26"/>
  <c r="L2571" i="26"/>
  <c r="A2571" i="26"/>
  <c r="AC2570" i="26"/>
  <c r="Z2570" i="26"/>
  <c r="M2570" i="26"/>
  <c r="L2570" i="26"/>
  <c r="A2570" i="26"/>
  <c r="AC2569" i="26"/>
  <c r="Z2569" i="26"/>
  <c r="M2569" i="26"/>
  <c r="L2569" i="26"/>
  <c r="A2569" i="26"/>
  <c r="AC2568" i="26"/>
  <c r="Z2568" i="26"/>
  <c r="M2568" i="26"/>
  <c r="L2568" i="26"/>
  <c r="A2568" i="26"/>
  <c r="AC2567" i="26"/>
  <c r="Z2567" i="26"/>
  <c r="M2567" i="26"/>
  <c r="L2567" i="26"/>
  <c r="A2567" i="26"/>
  <c r="AC2566" i="26"/>
  <c r="Z2566" i="26"/>
  <c r="M2566" i="26"/>
  <c r="L2566" i="26"/>
  <c r="A2566" i="26"/>
  <c r="AC2562" i="26"/>
  <c r="Z2562" i="26"/>
  <c r="M2562" i="26"/>
  <c r="L2562" i="26"/>
  <c r="A2562" i="26"/>
  <c r="AC2559" i="26"/>
  <c r="Z2559" i="26"/>
  <c r="M2559" i="26"/>
  <c r="L2559" i="26"/>
  <c r="A2559" i="26"/>
  <c r="AC2710" i="26"/>
  <c r="Z2710" i="26"/>
  <c r="L2710" i="26"/>
  <c r="A2710" i="26"/>
  <c r="AC2708" i="26"/>
  <c r="Z2708" i="26"/>
  <c r="L2708" i="26"/>
  <c r="A2708" i="26"/>
  <c r="AC2707" i="26"/>
  <c r="Z2707" i="26"/>
  <c r="L2707" i="26"/>
  <c r="A2707" i="26"/>
  <c r="AC2704" i="26"/>
  <c r="Z2704" i="26"/>
  <c r="M2704" i="26"/>
  <c r="L2704" i="26"/>
  <c r="A2704" i="26"/>
  <c r="AC2702" i="26"/>
  <c r="Z2702" i="26"/>
  <c r="M2702" i="26"/>
  <c r="L2702" i="26"/>
  <c r="A2702" i="26"/>
  <c r="AC2700" i="26"/>
  <c r="Z2700" i="26"/>
  <c r="M2700" i="26"/>
  <c r="L2700" i="26"/>
  <c r="A2700" i="26"/>
  <c r="AC2698" i="26"/>
  <c r="Z2698" i="26"/>
  <c r="M2698" i="26"/>
  <c r="L2698" i="26"/>
  <c r="A2698" i="26"/>
  <c r="AC2685" i="26"/>
  <c r="Z2685" i="26"/>
  <c r="M2685" i="26"/>
  <c r="L2685" i="26"/>
  <c r="A2685" i="26"/>
  <c r="AC2680" i="26"/>
  <c r="Z2680" i="26"/>
  <c r="M2680" i="26"/>
  <c r="L2680" i="26"/>
  <c r="A2680" i="26"/>
  <c r="AC2675" i="26"/>
  <c r="Z2675" i="26"/>
  <c r="M2675" i="26"/>
  <c r="L2675" i="26"/>
  <c r="A2675" i="26"/>
  <c r="AC2672" i="26"/>
  <c r="Z2672" i="26"/>
  <c r="M2672" i="26"/>
  <c r="L2672" i="26"/>
  <c r="A2672" i="26"/>
  <c r="AC2671" i="26"/>
  <c r="Z2671" i="26"/>
  <c r="M2671" i="26"/>
  <c r="L2671" i="26"/>
  <c r="A2671" i="26"/>
  <c r="AC2668" i="26"/>
  <c r="Z2668" i="26"/>
  <c r="M2668" i="26"/>
  <c r="L2668" i="26"/>
  <c r="A2668" i="26"/>
  <c r="AC2666" i="26"/>
  <c r="Z2666" i="26"/>
  <c r="M2666" i="26"/>
  <c r="L2666" i="26"/>
  <c r="A2666" i="26"/>
  <c r="AC2664" i="26"/>
  <c r="Z2664" i="26"/>
  <c r="M2664" i="26"/>
  <c r="L2664" i="26"/>
  <c r="A2664" i="26"/>
  <c r="AC2661" i="26"/>
  <c r="Z2661" i="26"/>
  <c r="M2661" i="26"/>
  <c r="L2661" i="26"/>
  <c r="A2661" i="26"/>
  <c r="AC2657" i="26"/>
  <c r="Z2657" i="26"/>
  <c r="M2657" i="26"/>
  <c r="L2657" i="26"/>
  <c r="A2657" i="26"/>
  <c r="AC2649" i="26"/>
  <c r="Z2649" i="26"/>
  <c r="M2649" i="26"/>
  <c r="L2649" i="26"/>
  <c r="A2649" i="26"/>
  <c r="AC2645" i="26"/>
  <c r="Z2645" i="26"/>
  <c r="M2645" i="26"/>
  <c r="L2645" i="26"/>
  <c r="A2645" i="26"/>
  <c r="AC2642" i="26"/>
  <c r="Z2642" i="26"/>
  <c r="M2642" i="26"/>
  <c r="L2642" i="26"/>
  <c r="A2642" i="26"/>
  <c r="AC2639" i="26"/>
  <c r="Z2639" i="26"/>
  <c r="M2639" i="26"/>
  <c r="L2639" i="26"/>
  <c r="A2639" i="26"/>
  <c r="AC2635" i="26"/>
  <c r="Z2635" i="26"/>
  <c r="M2635" i="26"/>
  <c r="L2635" i="26"/>
  <c r="A2635" i="26"/>
  <c r="AC2633" i="26"/>
  <c r="Z2633" i="26"/>
  <c r="M2633" i="26"/>
  <c r="L2633" i="26"/>
  <c r="A2633" i="26"/>
  <c r="AC2631" i="26"/>
  <c r="Z2631" i="26"/>
  <c r="M2631" i="26"/>
  <c r="L2631" i="26"/>
  <c r="A2631" i="26"/>
  <c r="AC2626" i="26"/>
  <c r="Z2626" i="26"/>
  <c r="M2626" i="26"/>
  <c r="L2626" i="26"/>
  <c r="A2626" i="26"/>
  <c r="AC2625" i="26"/>
  <c r="Z2625" i="26"/>
  <c r="M2625" i="26"/>
  <c r="L2625" i="26"/>
  <c r="A2625" i="26"/>
  <c r="AC2624" i="26"/>
  <c r="Z2624" i="26"/>
  <c r="M2624" i="26"/>
  <c r="L2624" i="26"/>
  <c r="A2624" i="26"/>
  <c r="AC2621" i="26"/>
  <c r="Z2621" i="26"/>
  <c r="M2621" i="26"/>
  <c r="L2621" i="26"/>
  <c r="A2621" i="26"/>
  <c r="AC2614" i="26"/>
  <c r="Z2614" i="26"/>
  <c r="M2614" i="26"/>
  <c r="L2614" i="26"/>
  <c r="A2614" i="26"/>
  <c r="AC2609" i="26"/>
  <c r="Z2609" i="26"/>
  <c r="M2609" i="26"/>
  <c r="L2609" i="26"/>
  <c r="A2609" i="26"/>
  <c r="AC2607" i="26"/>
  <c r="Z2607" i="26"/>
  <c r="M2607" i="26"/>
  <c r="L2607" i="26"/>
  <c r="A2607" i="26"/>
  <c r="AC2600" i="26"/>
  <c r="Z2600" i="26"/>
  <c r="M2600" i="26"/>
  <c r="L2600" i="26"/>
  <c r="A2600" i="26"/>
  <c r="AC2597" i="26"/>
  <c r="Z2597" i="26"/>
  <c r="M2597" i="26"/>
  <c r="L2597" i="26"/>
  <c r="A2597" i="26"/>
  <c r="AC2594" i="26"/>
  <c r="Z2594" i="26"/>
  <c r="M2594" i="26"/>
  <c r="L2594" i="26"/>
  <c r="A2594" i="26"/>
  <c r="AC2593" i="26"/>
  <c r="Z2593" i="26"/>
  <c r="M2593" i="26"/>
  <c r="L2593" i="26"/>
  <c r="A2593" i="26"/>
  <c r="AC2592" i="26"/>
  <c r="Z2592" i="26"/>
  <c r="M2592" i="26"/>
  <c r="L2592" i="26"/>
  <c r="A2592" i="26"/>
  <c r="AC2587" i="26"/>
  <c r="Z2587" i="26"/>
  <c r="M2587" i="26"/>
  <c r="L2587" i="26"/>
  <c r="A2587" i="26"/>
  <c r="AC2585" i="26"/>
  <c r="Z2585" i="26"/>
  <c r="M2585" i="26"/>
  <c r="L2585" i="26"/>
  <c r="A2585" i="26"/>
  <c r="AC2583" i="26"/>
  <c r="Z2583" i="26"/>
  <c r="M2583" i="26"/>
  <c r="L2583" i="26"/>
  <c r="A2583" i="26"/>
  <c r="AC2582" i="26"/>
  <c r="Z2582" i="26"/>
  <c r="M2582" i="26"/>
  <c r="L2582" i="26"/>
  <c r="A2582" i="26"/>
  <c r="AC2574" i="26"/>
  <c r="Z2574" i="26"/>
  <c r="M2574" i="26"/>
  <c r="L2574" i="26"/>
  <c r="A2574" i="26"/>
  <c r="AC2572" i="26"/>
  <c r="Z2572" i="26"/>
  <c r="M2572" i="26"/>
  <c r="L2572" i="26"/>
  <c r="A2572" i="26"/>
  <c r="AC2565" i="26"/>
  <c r="Z2565" i="26"/>
  <c r="M2565" i="26"/>
  <c r="L2565" i="26"/>
  <c r="A2565" i="26"/>
  <c r="AC2564" i="26"/>
  <c r="Z2564" i="26"/>
  <c r="M2564" i="26"/>
  <c r="L2564" i="26"/>
  <c r="A2564" i="26"/>
  <c r="AC2563" i="26"/>
  <c r="Z2563" i="26"/>
  <c r="M2563" i="26"/>
  <c r="L2563" i="26"/>
  <c r="A2563" i="26"/>
  <c r="AC2561" i="26"/>
  <c r="Z2561" i="26"/>
  <c r="M2561" i="26"/>
  <c r="L2561" i="26"/>
  <c r="A2561" i="26"/>
  <c r="AC2560" i="26"/>
  <c r="Z2560" i="26"/>
  <c r="M2560" i="26"/>
  <c r="L2560" i="26"/>
  <c r="A2560" i="26"/>
  <c r="AC2558" i="26"/>
  <c r="Z2558" i="26"/>
  <c r="M2558" i="26"/>
  <c r="L2558" i="26"/>
  <c r="A2558" i="26"/>
  <c r="AC2536" i="26"/>
  <c r="Z2536" i="26"/>
  <c r="M2536" i="26"/>
  <c r="L2536" i="26"/>
  <c r="A2536" i="26"/>
  <c r="AC2557" i="26"/>
  <c r="Z2557" i="26"/>
  <c r="L2557" i="26"/>
  <c r="A2557" i="26"/>
  <c r="AC2554" i="26"/>
  <c r="Z2554" i="26"/>
  <c r="L2554" i="26"/>
  <c r="A2554" i="26"/>
  <c r="AC2552" i="26"/>
  <c r="Z2552" i="26"/>
  <c r="M2552" i="26"/>
  <c r="L2552" i="26"/>
  <c r="A2552" i="26"/>
  <c r="AC2550" i="26"/>
  <c r="Z2550" i="26"/>
  <c r="M2550" i="26"/>
  <c r="L2550" i="26"/>
  <c r="A2550" i="26"/>
  <c r="AC2549" i="26"/>
  <c r="Z2549" i="26"/>
  <c r="M2549" i="26"/>
  <c r="L2549" i="26"/>
  <c r="A2549" i="26"/>
  <c r="AC2547" i="26"/>
  <c r="Z2547" i="26"/>
  <c r="M2547" i="26"/>
  <c r="L2547" i="26"/>
  <c r="A2547" i="26"/>
  <c r="AC2545" i="26"/>
  <c r="Z2545" i="26"/>
  <c r="M2545" i="26"/>
  <c r="L2545" i="26"/>
  <c r="A2545" i="26"/>
  <c r="AC2543" i="26"/>
  <c r="Z2543" i="26"/>
  <c r="M2543" i="26"/>
  <c r="L2543" i="26"/>
  <c r="A2543" i="26"/>
  <c r="AC2542" i="26"/>
  <c r="Z2542" i="26"/>
  <c r="M2542" i="26"/>
  <c r="L2542" i="26"/>
  <c r="A2542" i="26"/>
  <c r="AC2540" i="26"/>
  <c r="Z2540" i="26"/>
  <c r="M2540" i="26"/>
  <c r="L2540" i="26"/>
  <c r="A2540" i="26"/>
  <c r="AC2539" i="26"/>
  <c r="Z2539" i="26"/>
  <c r="M2539" i="26"/>
  <c r="L2539" i="26"/>
  <c r="A2539" i="26"/>
  <c r="AC2537" i="26"/>
  <c r="Z2537" i="26"/>
  <c r="M2537" i="26"/>
  <c r="L2537" i="26"/>
  <c r="A2537" i="26"/>
  <c r="AC2535" i="26"/>
  <c r="Z2535" i="26"/>
  <c r="M2535" i="26"/>
  <c r="L2535" i="26"/>
  <c r="A2535" i="26"/>
  <c r="AC2534" i="26"/>
  <c r="Z2534" i="26"/>
  <c r="M2534" i="26"/>
  <c r="L2534" i="26"/>
  <c r="A2534" i="26"/>
  <c r="AC2533" i="26"/>
  <c r="Z2533" i="26"/>
  <c r="M2533" i="26"/>
  <c r="L2533" i="26"/>
  <c r="A2533" i="26"/>
  <c r="AC2532" i="26"/>
  <c r="Z2532" i="26"/>
  <c r="M2532" i="26"/>
  <c r="L2532" i="26"/>
  <c r="A2532" i="26"/>
  <c r="AC2531" i="26"/>
  <c r="Z2531" i="26"/>
  <c r="M2531" i="26"/>
  <c r="L2531" i="26"/>
  <c r="A2531" i="26"/>
  <c r="AC2530" i="26"/>
  <c r="Z2530" i="26"/>
  <c r="M2530" i="26"/>
  <c r="L2530" i="26"/>
  <c r="A2530" i="26"/>
  <c r="AC2529" i="26"/>
  <c r="Z2529" i="26"/>
  <c r="M2529" i="26"/>
  <c r="L2529" i="26"/>
  <c r="A2529" i="26"/>
  <c r="AC2528" i="26"/>
  <c r="Z2528" i="26"/>
  <c r="M2528" i="26"/>
  <c r="L2528" i="26"/>
  <c r="A2528" i="26"/>
  <c r="AC2527" i="26"/>
  <c r="Z2527" i="26"/>
  <c r="M2527" i="26"/>
  <c r="L2527" i="26"/>
  <c r="A2527" i="26"/>
  <c r="AC2525" i="26"/>
  <c r="Z2525" i="26"/>
  <c r="M2525" i="26"/>
  <c r="L2525" i="26"/>
  <c r="A2525" i="26"/>
  <c r="AC2523" i="26"/>
  <c r="Z2523" i="26"/>
  <c r="M2523" i="26"/>
  <c r="L2523" i="26"/>
  <c r="A2523" i="26"/>
  <c r="AC2522" i="26"/>
  <c r="Z2522" i="26"/>
  <c r="M2522" i="26"/>
  <c r="L2522" i="26"/>
  <c r="A2522" i="26"/>
  <c r="AC2521" i="26"/>
  <c r="Z2521" i="26"/>
  <c r="M2521" i="26"/>
  <c r="L2521" i="26"/>
  <c r="A2521" i="26"/>
  <c r="AC2519" i="26"/>
  <c r="Z2519" i="26"/>
  <c r="M2519" i="26"/>
  <c r="L2519" i="26"/>
  <c r="A2519" i="26"/>
  <c r="AC2518" i="26"/>
  <c r="Z2518" i="26"/>
  <c r="M2518" i="26"/>
  <c r="L2518" i="26"/>
  <c r="A2518" i="26"/>
  <c r="AC2516" i="26"/>
  <c r="Z2516" i="26"/>
  <c r="M2516" i="26"/>
  <c r="L2516" i="26"/>
  <c r="A2516" i="26"/>
  <c r="AC2514" i="26"/>
  <c r="Z2514" i="26"/>
  <c r="M2514" i="26"/>
  <c r="L2514" i="26"/>
  <c r="A2514" i="26"/>
  <c r="AC2513" i="26"/>
  <c r="Z2513" i="26"/>
  <c r="M2513" i="26"/>
  <c r="L2513" i="26"/>
  <c r="A2513" i="26"/>
  <c r="AC2511" i="26"/>
  <c r="Z2511" i="26"/>
  <c r="M2511" i="26"/>
  <c r="L2511" i="26"/>
  <c r="A2511" i="26"/>
  <c r="AC2508" i="26"/>
  <c r="Z2508" i="26"/>
  <c r="M2508" i="26"/>
  <c r="L2508" i="26"/>
  <c r="A2508" i="26"/>
  <c r="AC2507" i="26"/>
  <c r="Z2507" i="26"/>
  <c r="M2507" i="26"/>
  <c r="L2507" i="26"/>
  <c r="A2507" i="26"/>
  <c r="AC2506" i="26"/>
  <c r="Z2506" i="26"/>
  <c r="M2506" i="26"/>
  <c r="L2506" i="26"/>
  <c r="A2506" i="26"/>
  <c r="AC2505" i="26"/>
  <c r="Z2505" i="26"/>
  <c r="M2505" i="26"/>
  <c r="L2505" i="26"/>
  <c r="A2505" i="26"/>
  <c r="AC2504" i="26"/>
  <c r="Z2504" i="26"/>
  <c r="M2504" i="26"/>
  <c r="L2504" i="26"/>
  <c r="A2504" i="26"/>
  <c r="AC2502" i="26"/>
  <c r="Z2502" i="26"/>
  <c r="M2502" i="26"/>
  <c r="L2502" i="26"/>
  <c r="A2502" i="26"/>
  <c r="AC2501" i="26"/>
  <c r="Z2501" i="26"/>
  <c r="M2501" i="26"/>
  <c r="L2501" i="26"/>
  <c r="A2501" i="26"/>
  <c r="AC2500" i="26"/>
  <c r="Z2500" i="26"/>
  <c r="M2500" i="26"/>
  <c r="L2500" i="26"/>
  <c r="A2500" i="26"/>
  <c r="AC2499" i="26"/>
  <c r="Z2499" i="26"/>
  <c r="M2499" i="26"/>
  <c r="L2499" i="26"/>
  <c r="A2499" i="26"/>
  <c r="AC2498" i="26"/>
  <c r="Z2498" i="26"/>
  <c r="M2498" i="26"/>
  <c r="L2498" i="26"/>
  <c r="A2498" i="26"/>
  <c r="AC2496" i="26"/>
  <c r="Z2496" i="26"/>
  <c r="M2496" i="26"/>
  <c r="L2496" i="26"/>
  <c r="A2496" i="26"/>
  <c r="AC2495" i="26"/>
  <c r="Z2495" i="26"/>
  <c r="M2495" i="26"/>
  <c r="L2495" i="26"/>
  <c r="A2495" i="26"/>
  <c r="AC2494" i="26"/>
  <c r="Z2494" i="26"/>
  <c r="M2494" i="26"/>
  <c r="L2494" i="26"/>
  <c r="A2494" i="26"/>
  <c r="AC2492" i="26"/>
  <c r="Z2492" i="26"/>
  <c r="M2492" i="26"/>
  <c r="L2492" i="26"/>
  <c r="A2492" i="26"/>
  <c r="AC2491" i="26"/>
  <c r="Z2491" i="26"/>
  <c r="M2491" i="26"/>
  <c r="L2491" i="26"/>
  <c r="A2491" i="26"/>
  <c r="AC2489" i="26"/>
  <c r="Z2489" i="26"/>
  <c r="M2489" i="26"/>
  <c r="L2489" i="26"/>
  <c r="A2489" i="26"/>
  <c r="AC2487" i="26"/>
  <c r="Z2487" i="26"/>
  <c r="M2487" i="26"/>
  <c r="L2487" i="26"/>
  <c r="A2487" i="26"/>
  <c r="AC2485" i="26"/>
  <c r="Z2485" i="26"/>
  <c r="M2485" i="26"/>
  <c r="L2485" i="26"/>
  <c r="A2485" i="26"/>
  <c r="AC2483" i="26"/>
  <c r="Z2483" i="26"/>
  <c r="M2483" i="26"/>
  <c r="L2483" i="26"/>
  <c r="A2483" i="26"/>
  <c r="AC2482" i="26"/>
  <c r="Z2482" i="26"/>
  <c r="M2482" i="26"/>
  <c r="L2482" i="26"/>
  <c r="A2482" i="26"/>
  <c r="AC2481" i="26"/>
  <c r="Z2481" i="26"/>
  <c r="M2481" i="26"/>
  <c r="L2481" i="26"/>
  <c r="A2481" i="26"/>
  <c r="AC2477" i="26"/>
  <c r="Z2477" i="26"/>
  <c r="M2477" i="26"/>
  <c r="L2477" i="26"/>
  <c r="A2477" i="26"/>
  <c r="AC2475" i="26"/>
  <c r="Z2475" i="26"/>
  <c r="M2475" i="26"/>
  <c r="L2475" i="26"/>
  <c r="A2475" i="26"/>
  <c r="AC2474" i="26"/>
  <c r="Z2474" i="26"/>
  <c r="M2474" i="26"/>
  <c r="L2474" i="26"/>
  <c r="A2474" i="26"/>
  <c r="AC2473" i="26"/>
  <c r="Z2473" i="26"/>
  <c r="M2473" i="26"/>
  <c r="L2473" i="26"/>
  <c r="A2473" i="26"/>
  <c r="AC2472" i="26"/>
  <c r="Z2472" i="26"/>
  <c r="M2472" i="26"/>
  <c r="L2472" i="26"/>
  <c r="A2472" i="26"/>
  <c r="AC2470" i="26"/>
  <c r="Z2470" i="26"/>
  <c r="M2470" i="26"/>
  <c r="L2470" i="26"/>
  <c r="A2470" i="26"/>
  <c r="AC2469" i="26"/>
  <c r="Z2469" i="26"/>
  <c r="M2469" i="26"/>
  <c r="L2469" i="26"/>
  <c r="A2469" i="26"/>
  <c r="AC2468" i="26"/>
  <c r="Z2468" i="26"/>
  <c r="M2468" i="26"/>
  <c r="L2468" i="26"/>
  <c r="A2468" i="26"/>
  <c r="AC2467" i="26"/>
  <c r="Z2467" i="26"/>
  <c r="M2467" i="26"/>
  <c r="L2467" i="26"/>
  <c r="A2467" i="26"/>
  <c r="AC2465" i="26"/>
  <c r="Z2465" i="26"/>
  <c r="M2465" i="26"/>
  <c r="L2465" i="26"/>
  <c r="A2465" i="26"/>
  <c r="AC2463" i="26"/>
  <c r="Z2463" i="26"/>
  <c r="M2463" i="26"/>
  <c r="L2463" i="26"/>
  <c r="A2463" i="26"/>
  <c r="AC2462" i="26"/>
  <c r="Z2462" i="26"/>
  <c r="M2462" i="26"/>
  <c r="L2462" i="26"/>
  <c r="A2462" i="26"/>
  <c r="AC2459" i="26"/>
  <c r="Z2459" i="26"/>
  <c r="M2459" i="26"/>
  <c r="L2459" i="26"/>
  <c r="A2459" i="26"/>
  <c r="AC2457" i="26"/>
  <c r="Z2457" i="26"/>
  <c r="M2457" i="26"/>
  <c r="L2457" i="26"/>
  <c r="A2457" i="26"/>
  <c r="AC2456" i="26"/>
  <c r="Z2456" i="26"/>
  <c r="M2456" i="26"/>
  <c r="L2456" i="26"/>
  <c r="A2456" i="26"/>
  <c r="AC2455" i="26"/>
  <c r="Z2455" i="26"/>
  <c r="M2455" i="26"/>
  <c r="L2455" i="26"/>
  <c r="A2455" i="26"/>
  <c r="AC2454" i="26"/>
  <c r="Z2454" i="26"/>
  <c r="M2454" i="26"/>
  <c r="L2454" i="26"/>
  <c r="A2454" i="26"/>
  <c r="AC2453" i="26"/>
  <c r="Z2453" i="26"/>
  <c r="M2453" i="26"/>
  <c r="L2453" i="26"/>
  <c r="A2453" i="26"/>
  <c r="AC2450" i="26"/>
  <c r="Z2450" i="26"/>
  <c r="M2450" i="26"/>
  <c r="L2450" i="26"/>
  <c r="A2450" i="26"/>
  <c r="AC2448" i="26"/>
  <c r="Z2448" i="26"/>
  <c r="M2448" i="26"/>
  <c r="L2448" i="26"/>
  <c r="A2448" i="26"/>
  <c r="AC2447" i="26"/>
  <c r="Z2447" i="26"/>
  <c r="M2447" i="26"/>
  <c r="L2447" i="26"/>
  <c r="A2447" i="26"/>
  <c r="AC2446" i="26"/>
  <c r="Z2446" i="26"/>
  <c r="M2446" i="26"/>
  <c r="L2446" i="26"/>
  <c r="A2446" i="26"/>
  <c r="AC2445" i="26"/>
  <c r="Z2445" i="26"/>
  <c r="M2445" i="26"/>
  <c r="L2445" i="26"/>
  <c r="A2445" i="26"/>
  <c r="AC2444" i="26"/>
  <c r="Z2444" i="26"/>
  <c r="M2444" i="26"/>
  <c r="L2444" i="26"/>
  <c r="A2444" i="26"/>
  <c r="AC2443" i="26"/>
  <c r="Z2443" i="26"/>
  <c r="M2443" i="26"/>
  <c r="L2443" i="26"/>
  <c r="A2443" i="26"/>
  <c r="AC2441" i="26"/>
  <c r="Z2441" i="26"/>
  <c r="M2441" i="26"/>
  <c r="L2441" i="26"/>
  <c r="A2441" i="26"/>
  <c r="AC2439" i="26"/>
  <c r="Z2439" i="26"/>
  <c r="M2439" i="26"/>
  <c r="L2439" i="26"/>
  <c r="A2439" i="26"/>
  <c r="AC2438" i="26"/>
  <c r="Z2438" i="26"/>
  <c r="M2438" i="26"/>
  <c r="L2438" i="26"/>
  <c r="A2438" i="26"/>
  <c r="AC2436" i="26"/>
  <c r="Z2436" i="26"/>
  <c r="M2436" i="26"/>
  <c r="L2436" i="26"/>
  <c r="A2436" i="26"/>
  <c r="AC2434" i="26"/>
  <c r="Z2434" i="26"/>
  <c r="M2434" i="26"/>
  <c r="L2434" i="26"/>
  <c r="A2434" i="26"/>
  <c r="AC2556" i="26"/>
  <c r="Z2556" i="26"/>
  <c r="L2556" i="26"/>
  <c r="A2556" i="26"/>
  <c r="AC2555" i="26"/>
  <c r="Z2555" i="26"/>
  <c r="L2555" i="26"/>
  <c r="A2555" i="26"/>
  <c r="AC2553" i="26"/>
  <c r="Z2553" i="26"/>
  <c r="L2553" i="26"/>
  <c r="A2553" i="26"/>
  <c r="AC2551" i="26"/>
  <c r="AA2551" i="26"/>
  <c r="AB2551" i="26" s="1"/>
  <c r="Z2551" i="26"/>
  <c r="M2551" i="26"/>
  <c r="L2551" i="26"/>
  <c r="A2551" i="26"/>
  <c r="AC2548" i="26"/>
  <c r="Z2548" i="26"/>
  <c r="M2548" i="26"/>
  <c r="L2548" i="26"/>
  <c r="A2548" i="26"/>
  <c r="AC2546" i="26"/>
  <c r="Z2546" i="26"/>
  <c r="M2546" i="26"/>
  <c r="L2546" i="26"/>
  <c r="A2546" i="26"/>
  <c r="AC2544" i="26"/>
  <c r="Z2544" i="26"/>
  <c r="M2544" i="26"/>
  <c r="L2544" i="26"/>
  <c r="A2544" i="26"/>
  <c r="AC2541" i="26"/>
  <c r="Z2541" i="26"/>
  <c r="M2541" i="26"/>
  <c r="L2541" i="26"/>
  <c r="A2541" i="26"/>
  <c r="AC2538" i="26"/>
  <c r="Z2538" i="26"/>
  <c r="M2538" i="26"/>
  <c r="L2538" i="26"/>
  <c r="A2538" i="26"/>
  <c r="AC2526" i="26"/>
  <c r="Z2526" i="26"/>
  <c r="M2526" i="26"/>
  <c r="L2526" i="26"/>
  <c r="A2526" i="26"/>
  <c r="AC2524" i="26"/>
  <c r="Z2524" i="26"/>
  <c r="M2524" i="26"/>
  <c r="L2524" i="26"/>
  <c r="A2524" i="26"/>
  <c r="AC2520" i="26"/>
  <c r="Z2520" i="26"/>
  <c r="M2520" i="26"/>
  <c r="L2520" i="26"/>
  <c r="A2520" i="26"/>
  <c r="AC2517" i="26"/>
  <c r="Z2517" i="26"/>
  <c r="M2517" i="26"/>
  <c r="L2517" i="26"/>
  <c r="A2517" i="26"/>
  <c r="AC2515" i="26"/>
  <c r="Z2515" i="26"/>
  <c r="M2515" i="26"/>
  <c r="L2515" i="26"/>
  <c r="A2515" i="26"/>
  <c r="AC2512" i="26"/>
  <c r="Z2512" i="26"/>
  <c r="M2512" i="26"/>
  <c r="L2512" i="26"/>
  <c r="A2512" i="26"/>
  <c r="AC2510" i="26"/>
  <c r="Z2510" i="26"/>
  <c r="M2510" i="26"/>
  <c r="L2510" i="26"/>
  <c r="A2510" i="26"/>
  <c r="AC2509" i="26"/>
  <c r="Z2509" i="26"/>
  <c r="M2509" i="26"/>
  <c r="L2509" i="26"/>
  <c r="A2509" i="26"/>
  <c r="AC2503" i="26"/>
  <c r="Z2503" i="26"/>
  <c r="M2503" i="26"/>
  <c r="L2503" i="26"/>
  <c r="A2503" i="26"/>
  <c r="AC2497" i="26"/>
  <c r="Z2497" i="26"/>
  <c r="M2497" i="26"/>
  <c r="L2497" i="26"/>
  <c r="A2497" i="26"/>
  <c r="AC2493" i="26"/>
  <c r="Z2493" i="26"/>
  <c r="M2493" i="26"/>
  <c r="L2493" i="26"/>
  <c r="A2493" i="26"/>
  <c r="AC2490" i="26"/>
  <c r="Z2490" i="26"/>
  <c r="M2490" i="26"/>
  <c r="L2490" i="26"/>
  <c r="A2490" i="26"/>
  <c r="AC2488" i="26"/>
  <c r="Z2488" i="26"/>
  <c r="M2488" i="26"/>
  <c r="L2488" i="26"/>
  <c r="A2488" i="26"/>
  <c r="AC2486" i="26"/>
  <c r="Z2486" i="26"/>
  <c r="M2486" i="26"/>
  <c r="L2486" i="26"/>
  <c r="A2486" i="26"/>
  <c r="AC2484" i="26"/>
  <c r="Z2484" i="26"/>
  <c r="M2484" i="26"/>
  <c r="L2484" i="26"/>
  <c r="A2484" i="26"/>
  <c r="AC2480" i="26"/>
  <c r="Z2480" i="26"/>
  <c r="M2480" i="26"/>
  <c r="L2480" i="26"/>
  <c r="A2480" i="26"/>
  <c r="AC2479" i="26"/>
  <c r="Z2479" i="26"/>
  <c r="M2479" i="26"/>
  <c r="L2479" i="26"/>
  <c r="A2479" i="26"/>
  <c r="AC2478" i="26"/>
  <c r="Z2478" i="26"/>
  <c r="M2478" i="26"/>
  <c r="L2478" i="26"/>
  <c r="A2478" i="26"/>
  <c r="AC2476" i="26"/>
  <c r="Z2476" i="26"/>
  <c r="M2476" i="26"/>
  <c r="L2476" i="26"/>
  <c r="A2476" i="26"/>
  <c r="AC2471" i="26"/>
  <c r="Z2471" i="26"/>
  <c r="M2471" i="26"/>
  <c r="L2471" i="26"/>
  <c r="A2471" i="26"/>
  <c r="AC2466" i="26"/>
  <c r="Z2466" i="26"/>
  <c r="M2466" i="26"/>
  <c r="L2466" i="26"/>
  <c r="A2466" i="26"/>
  <c r="AC2464" i="26"/>
  <c r="Z2464" i="26"/>
  <c r="M2464" i="26"/>
  <c r="L2464" i="26"/>
  <c r="A2464" i="26"/>
  <c r="AC2461" i="26"/>
  <c r="Z2461" i="26"/>
  <c r="M2461" i="26"/>
  <c r="L2461" i="26"/>
  <c r="A2461" i="26"/>
  <c r="AC2460" i="26"/>
  <c r="Z2460" i="26"/>
  <c r="M2460" i="26"/>
  <c r="L2460" i="26"/>
  <c r="A2460" i="26"/>
  <c r="AC2458" i="26"/>
  <c r="Z2458" i="26"/>
  <c r="M2458" i="26"/>
  <c r="L2458" i="26"/>
  <c r="A2458" i="26"/>
  <c r="AC2452" i="26"/>
  <c r="Z2452" i="26"/>
  <c r="M2452" i="26"/>
  <c r="L2452" i="26"/>
  <c r="A2452" i="26"/>
  <c r="AC2451" i="26"/>
  <c r="Z2451" i="26"/>
  <c r="M2451" i="26"/>
  <c r="L2451" i="26"/>
  <c r="A2451" i="26"/>
  <c r="AC2449" i="26"/>
  <c r="Z2449" i="26"/>
  <c r="M2449" i="26"/>
  <c r="L2449" i="26"/>
  <c r="A2449" i="26"/>
  <c r="AC2442" i="26"/>
  <c r="Z2442" i="26"/>
  <c r="M2442" i="26"/>
  <c r="L2442" i="26"/>
  <c r="A2442" i="26"/>
  <c r="AC2440" i="26"/>
  <c r="Z2440" i="26"/>
  <c r="M2440" i="26"/>
  <c r="L2440" i="26"/>
  <c r="A2440" i="26"/>
  <c r="AC2437" i="26"/>
  <c r="Z2437" i="26"/>
  <c r="M2437" i="26"/>
  <c r="L2437" i="26"/>
  <c r="A2437" i="26"/>
  <c r="AC2435" i="26"/>
  <c r="Z2435" i="26"/>
  <c r="M2435" i="26"/>
  <c r="L2435" i="26"/>
  <c r="A2435" i="26"/>
  <c r="AC2433" i="26"/>
  <c r="Z2433" i="26"/>
  <c r="M2433" i="26"/>
  <c r="L2433" i="26"/>
  <c r="A2433" i="26"/>
  <c r="AC2432" i="26"/>
  <c r="Z2432" i="26"/>
  <c r="M2432" i="26"/>
  <c r="L2432" i="26"/>
  <c r="A2432" i="26"/>
  <c r="AC2431" i="26"/>
  <c r="Z2431" i="26"/>
  <c r="M2431" i="26"/>
  <c r="L2431" i="26"/>
  <c r="A2431" i="26"/>
  <c r="AC2430" i="26"/>
  <c r="Z2430" i="26"/>
  <c r="M2430" i="26"/>
  <c r="L2430" i="26"/>
  <c r="A2430" i="26"/>
  <c r="AC2429" i="26"/>
  <c r="Z2429" i="26"/>
  <c r="M2429" i="26"/>
  <c r="L2429" i="26"/>
  <c r="A2429" i="26"/>
  <c r="AC2428" i="26"/>
  <c r="Z2428" i="26"/>
  <c r="M2428" i="26"/>
  <c r="L2428" i="26"/>
  <c r="A2428" i="26"/>
  <c r="AC2427" i="26"/>
  <c r="Z2427" i="26"/>
  <c r="M2427" i="26"/>
  <c r="L2427" i="26"/>
  <c r="A2427" i="26"/>
  <c r="AC2426" i="26"/>
  <c r="Z2426" i="26"/>
  <c r="M2426" i="26"/>
  <c r="L2426" i="26"/>
  <c r="A2426" i="26"/>
  <c r="AC2424" i="26"/>
  <c r="Z2424" i="26"/>
  <c r="M2424" i="26"/>
  <c r="L2424" i="26"/>
  <c r="A2424" i="26"/>
  <c r="AC2423" i="26"/>
  <c r="Z2423" i="26"/>
  <c r="M2423" i="26"/>
  <c r="L2423" i="26"/>
  <c r="A2423" i="26"/>
  <c r="AC2422" i="26"/>
  <c r="Z2422" i="26"/>
  <c r="M2422" i="26"/>
  <c r="L2422" i="26"/>
  <c r="A2422" i="26"/>
  <c r="AC2421" i="26"/>
  <c r="Z2421" i="26"/>
  <c r="M2421" i="26"/>
  <c r="L2421" i="26"/>
  <c r="A2421" i="26"/>
  <c r="AC2420" i="26"/>
  <c r="Z2420" i="26"/>
  <c r="M2420" i="26"/>
  <c r="L2420" i="26"/>
  <c r="A2420" i="26"/>
  <c r="AC2419" i="26"/>
  <c r="Z2419" i="26"/>
  <c r="M2419" i="26"/>
  <c r="L2419" i="26"/>
  <c r="A2419" i="26"/>
  <c r="AC2418" i="26"/>
  <c r="Z2418" i="26"/>
  <c r="M2418" i="26"/>
  <c r="L2418" i="26"/>
  <c r="A2418" i="26"/>
  <c r="AC2416" i="26"/>
  <c r="Z2416" i="26"/>
  <c r="M2416" i="26"/>
  <c r="L2416" i="26"/>
  <c r="A2416" i="26"/>
  <c r="AC2414" i="26"/>
  <c r="Z2414" i="26"/>
  <c r="M2414" i="26"/>
  <c r="L2414" i="26"/>
  <c r="A2414" i="26"/>
  <c r="AC2411" i="26"/>
  <c r="Z2411" i="26"/>
  <c r="M2411" i="26"/>
  <c r="L2411" i="26"/>
  <c r="A2411" i="26"/>
  <c r="AC2425" i="26"/>
  <c r="Z2425" i="26"/>
  <c r="M2425" i="26"/>
  <c r="L2425" i="26"/>
  <c r="A2425" i="26"/>
  <c r="AC2417" i="26"/>
  <c r="Z2417" i="26"/>
  <c r="M2417" i="26"/>
  <c r="L2417" i="26"/>
  <c r="A2417" i="26"/>
  <c r="AC2415" i="26"/>
  <c r="Z2415" i="26"/>
  <c r="M2415" i="26"/>
  <c r="L2415" i="26"/>
  <c r="A2415" i="26"/>
  <c r="AC2413" i="26"/>
  <c r="Z2413" i="26"/>
  <c r="M2413" i="26"/>
  <c r="L2413" i="26"/>
  <c r="A2413" i="26"/>
  <c r="AC2412" i="26"/>
  <c r="Z2412" i="26"/>
  <c r="M2412" i="26"/>
  <c r="L2412" i="26"/>
  <c r="A2412" i="26"/>
  <c r="AC2410" i="26"/>
  <c r="Z2410" i="26"/>
  <c r="M2410" i="26"/>
  <c r="L2410" i="26"/>
  <c r="A2410" i="26"/>
  <c r="AC2409" i="26"/>
  <c r="Z2409" i="26"/>
  <c r="M2409" i="26"/>
  <c r="L2409" i="26"/>
  <c r="A2409" i="26"/>
  <c r="AC2408" i="26"/>
  <c r="Z2408" i="26"/>
  <c r="M2408" i="26"/>
  <c r="L2408" i="26"/>
  <c r="A2408" i="26"/>
  <c r="AC2407" i="26"/>
  <c r="Z2407" i="26"/>
  <c r="M2407" i="26"/>
  <c r="L2407" i="26"/>
  <c r="A2407" i="26"/>
  <c r="AC2405" i="26"/>
  <c r="Z2405" i="26"/>
  <c r="M2405" i="26"/>
  <c r="L2405" i="26"/>
  <c r="A2405" i="26"/>
  <c r="AC2402" i="26"/>
  <c r="Z2402" i="26"/>
  <c r="M2402" i="26"/>
  <c r="L2402" i="26"/>
  <c r="A2402" i="26"/>
  <c r="AC2406" i="26"/>
  <c r="Z2406" i="26"/>
  <c r="M2406" i="26"/>
  <c r="L2406" i="26"/>
  <c r="A2406" i="26"/>
  <c r="AC2404" i="26"/>
  <c r="Z2404" i="26"/>
  <c r="M2404" i="26"/>
  <c r="L2404" i="26"/>
  <c r="A2404" i="26"/>
  <c r="AC2403" i="26"/>
  <c r="Z2403" i="26"/>
  <c r="M2403" i="26"/>
  <c r="L2403" i="26"/>
  <c r="A2403" i="26"/>
  <c r="AC2401" i="26"/>
  <c r="Z2401" i="26"/>
  <c r="M2401" i="26"/>
  <c r="L2401" i="26"/>
  <c r="A2401" i="26"/>
  <c r="AC2395" i="26"/>
  <c r="AA2395" i="26"/>
  <c r="AB2395" i="26" s="1"/>
  <c r="Z2395" i="26"/>
  <c r="L2395" i="26"/>
  <c r="A2395" i="26"/>
  <c r="AC2381" i="26"/>
  <c r="Z2381" i="26"/>
  <c r="M2381" i="26"/>
  <c r="L2381" i="26"/>
  <c r="A2381" i="26"/>
  <c r="AC2364" i="26"/>
  <c r="Z2364" i="26"/>
  <c r="M2364" i="26"/>
  <c r="L2364" i="26"/>
  <c r="A2364" i="26"/>
  <c r="AC2400" i="26"/>
  <c r="Z2400" i="26"/>
  <c r="L2400" i="26"/>
  <c r="A2400" i="26"/>
  <c r="AC2398" i="26"/>
  <c r="Z2398" i="26"/>
  <c r="L2398" i="26"/>
  <c r="A2398" i="26"/>
  <c r="AC2396" i="26"/>
  <c r="AA2396" i="26"/>
  <c r="AB2396" i="26" s="1"/>
  <c r="Z2396" i="26"/>
  <c r="L2396" i="26"/>
  <c r="A2396" i="26"/>
  <c r="AC2394" i="26"/>
  <c r="Z2394" i="26"/>
  <c r="M2394" i="26"/>
  <c r="L2394" i="26"/>
  <c r="A2394" i="26"/>
  <c r="AC2392" i="26"/>
  <c r="Z2392" i="26"/>
  <c r="M2392" i="26"/>
  <c r="L2392" i="26"/>
  <c r="A2392" i="26"/>
  <c r="AC2390" i="26"/>
  <c r="Z2390" i="26"/>
  <c r="M2390" i="26"/>
  <c r="L2390" i="26"/>
  <c r="A2390" i="26"/>
  <c r="AC2389" i="26"/>
  <c r="Z2389" i="26"/>
  <c r="M2389" i="26"/>
  <c r="L2389" i="26"/>
  <c r="A2389" i="26"/>
  <c r="AC2387" i="26"/>
  <c r="Z2387" i="26"/>
  <c r="M2387" i="26"/>
  <c r="L2387" i="26"/>
  <c r="A2387" i="26"/>
  <c r="AC2385" i="26"/>
  <c r="Z2385" i="26"/>
  <c r="M2385" i="26"/>
  <c r="L2385" i="26"/>
  <c r="A2385" i="26"/>
  <c r="AC2383" i="26"/>
  <c r="Z2383" i="26"/>
  <c r="M2383" i="26"/>
  <c r="L2383" i="26"/>
  <c r="A2383" i="26"/>
  <c r="AC2382" i="26"/>
  <c r="Z2382" i="26"/>
  <c r="M2382" i="26"/>
  <c r="L2382" i="26"/>
  <c r="A2382" i="26"/>
  <c r="AC2380" i="26"/>
  <c r="Z2380" i="26"/>
  <c r="M2380" i="26"/>
  <c r="L2380" i="26"/>
  <c r="A2380" i="26"/>
  <c r="AC2379" i="26"/>
  <c r="Z2379" i="26"/>
  <c r="M2379" i="26"/>
  <c r="L2379" i="26"/>
  <c r="A2379" i="26"/>
  <c r="AC2377" i="26"/>
  <c r="Z2377" i="26"/>
  <c r="M2377" i="26"/>
  <c r="L2377" i="26"/>
  <c r="A2377" i="26"/>
  <c r="AC2376" i="26"/>
  <c r="Z2376" i="26"/>
  <c r="M2376" i="26"/>
  <c r="L2376" i="26"/>
  <c r="A2376" i="26"/>
  <c r="AC2373" i="26"/>
  <c r="Z2373" i="26"/>
  <c r="M2373" i="26"/>
  <c r="L2373" i="26"/>
  <c r="A2373" i="26"/>
  <c r="AC2371" i="26"/>
  <c r="Z2371" i="26"/>
  <c r="M2371" i="26"/>
  <c r="L2371" i="26"/>
  <c r="A2371" i="26"/>
  <c r="AC2369" i="26"/>
  <c r="Z2369" i="26"/>
  <c r="M2369" i="26"/>
  <c r="L2369" i="26"/>
  <c r="A2369" i="26"/>
  <c r="AC2367" i="26"/>
  <c r="Z2367" i="26"/>
  <c r="M2367" i="26"/>
  <c r="L2367" i="26"/>
  <c r="A2367" i="26"/>
  <c r="AC2365" i="26"/>
  <c r="Z2365" i="26"/>
  <c r="M2365" i="26"/>
  <c r="L2365" i="26"/>
  <c r="A2365" i="26"/>
  <c r="AC2363" i="26"/>
  <c r="Z2363" i="26"/>
  <c r="M2363" i="26"/>
  <c r="L2363" i="26"/>
  <c r="A2363" i="26"/>
  <c r="AC2361" i="26"/>
  <c r="Z2361" i="26"/>
  <c r="M2361" i="26"/>
  <c r="L2361" i="26"/>
  <c r="A2361" i="26"/>
  <c r="AC2359" i="26"/>
  <c r="Z2359" i="26"/>
  <c r="M2359" i="26"/>
  <c r="L2359" i="26"/>
  <c r="A2359" i="26"/>
  <c r="AC2357" i="26"/>
  <c r="Z2357" i="26"/>
  <c r="M2357" i="26"/>
  <c r="L2357" i="26"/>
  <c r="A2357" i="26"/>
  <c r="AC2356" i="26"/>
  <c r="Z2356" i="26"/>
  <c r="M2356" i="26"/>
  <c r="L2356" i="26"/>
  <c r="A2356" i="26"/>
  <c r="AC2355" i="26"/>
  <c r="Z2355" i="26"/>
  <c r="M2355" i="26"/>
  <c r="L2355" i="26"/>
  <c r="A2355" i="26"/>
  <c r="AC2353" i="26"/>
  <c r="Z2353" i="26"/>
  <c r="M2353" i="26"/>
  <c r="L2353" i="26"/>
  <c r="A2353" i="26"/>
  <c r="AC2352" i="26"/>
  <c r="Z2352" i="26"/>
  <c r="M2352" i="26"/>
  <c r="L2352" i="26"/>
  <c r="A2352" i="26"/>
  <c r="AC2350" i="26"/>
  <c r="Z2350" i="26"/>
  <c r="M2350" i="26"/>
  <c r="L2350" i="26"/>
  <c r="A2350" i="26"/>
  <c r="AC2399" i="26"/>
  <c r="Z2399" i="26"/>
  <c r="L2399" i="26"/>
  <c r="A2399" i="26"/>
  <c r="AC2397" i="26"/>
  <c r="Z2397" i="26"/>
  <c r="L2397" i="26"/>
  <c r="A2397" i="26"/>
  <c r="AC2393" i="26"/>
  <c r="AA2393" i="26"/>
  <c r="AB2393" i="26" s="1"/>
  <c r="Z2393" i="26"/>
  <c r="M2393" i="26"/>
  <c r="L2393" i="26"/>
  <c r="A2393" i="26"/>
  <c r="AC2391" i="26"/>
  <c r="Z2391" i="26"/>
  <c r="M2391" i="26"/>
  <c r="L2391" i="26"/>
  <c r="A2391" i="26"/>
  <c r="AC2388" i="26"/>
  <c r="Z2388" i="26"/>
  <c r="M2388" i="26"/>
  <c r="L2388" i="26"/>
  <c r="A2388" i="26"/>
  <c r="AC2386" i="26"/>
  <c r="Z2386" i="26"/>
  <c r="M2386" i="26"/>
  <c r="L2386" i="26"/>
  <c r="A2386" i="26"/>
  <c r="AC2384" i="26"/>
  <c r="Z2384" i="26"/>
  <c r="M2384" i="26"/>
  <c r="L2384" i="26"/>
  <c r="A2384" i="26"/>
  <c r="AC2378" i="26"/>
  <c r="Z2378" i="26"/>
  <c r="M2378" i="26"/>
  <c r="L2378" i="26"/>
  <c r="A2378" i="26"/>
  <c r="AC2375" i="26"/>
  <c r="Z2375" i="26"/>
  <c r="M2375" i="26"/>
  <c r="L2375" i="26"/>
  <c r="A2375" i="26"/>
  <c r="AC2374" i="26"/>
  <c r="Z2374" i="26"/>
  <c r="M2374" i="26"/>
  <c r="L2374" i="26"/>
  <c r="A2374" i="26"/>
  <c r="AC2372" i="26"/>
  <c r="Z2372" i="26"/>
  <c r="M2372" i="26"/>
  <c r="L2372" i="26"/>
  <c r="A2372" i="26"/>
  <c r="AC2370" i="26"/>
  <c r="Z2370" i="26"/>
  <c r="M2370" i="26"/>
  <c r="L2370" i="26"/>
  <c r="A2370" i="26"/>
  <c r="AC2368" i="26"/>
  <c r="Z2368" i="26"/>
  <c r="M2368" i="26"/>
  <c r="L2368" i="26"/>
  <c r="A2368" i="26"/>
  <c r="AC2366" i="26"/>
  <c r="Z2366" i="26"/>
  <c r="M2366" i="26"/>
  <c r="L2366" i="26"/>
  <c r="A2366" i="26"/>
  <c r="AC2362" i="26"/>
  <c r="Z2362" i="26"/>
  <c r="M2362" i="26"/>
  <c r="L2362" i="26"/>
  <c r="A2362" i="26"/>
  <c r="AC2360" i="26"/>
  <c r="Z2360" i="26"/>
  <c r="M2360" i="26"/>
  <c r="L2360" i="26"/>
  <c r="A2360" i="26"/>
  <c r="AC2358" i="26"/>
  <c r="Z2358" i="26"/>
  <c r="M2358" i="26"/>
  <c r="L2358" i="26"/>
  <c r="A2358" i="26"/>
  <c r="AC2354" i="26"/>
  <c r="Z2354" i="26"/>
  <c r="M2354" i="26"/>
  <c r="L2354" i="26"/>
  <c r="A2354" i="26"/>
  <c r="AC2351" i="26"/>
  <c r="Z2351" i="26"/>
  <c r="M2351" i="26"/>
  <c r="L2351" i="26"/>
  <c r="A2351" i="26"/>
  <c r="AC2349" i="26"/>
  <c r="Z2349" i="26"/>
  <c r="M2349" i="26"/>
  <c r="L2349" i="26"/>
  <c r="A2349" i="26"/>
  <c r="AC2348" i="26"/>
  <c r="Z2348" i="26"/>
  <c r="M2348" i="26"/>
  <c r="L2348" i="26"/>
  <c r="A2348" i="26"/>
  <c r="AC2347" i="26"/>
  <c r="Z2347" i="26"/>
  <c r="M2347" i="26"/>
  <c r="L2347" i="26"/>
  <c r="A2347" i="26"/>
  <c r="AC2346" i="26"/>
  <c r="Z2346" i="26"/>
  <c r="M2346" i="26"/>
  <c r="L2346" i="26"/>
  <c r="A2346" i="26"/>
  <c r="AC2345" i="26"/>
  <c r="Z2345" i="26"/>
  <c r="M2345" i="26"/>
  <c r="L2345" i="26"/>
  <c r="A2345" i="26"/>
  <c r="AC2344" i="26"/>
  <c r="Z2344" i="26"/>
  <c r="M2344" i="26"/>
  <c r="L2344" i="26"/>
  <c r="A2344" i="26"/>
  <c r="AC2192" i="26"/>
  <c r="Z2192" i="26"/>
  <c r="M2192" i="26"/>
  <c r="L2192" i="26"/>
  <c r="A2192" i="26"/>
  <c r="AC2327" i="26"/>
  <c r="Z2327" i="26"/>
  <c r="M2327" i="26"/>
  <c r="L2327" i="26"/>
  <c r="A2327" i="26"/>
  <c r="AC2305" i="26"/>
  <c r="Z2305" i="26"/>
  <c r="M2305" i="26"/>
  <c r="L2305" i="26"/>
  <c r="A2305" i="26"/>
  <c r="AC2304" i="26"/>
  <c r="Z2304" i="26"/>
  <c r="M2304" i="26"/>
  <c r="L2304" i="26"/>
  <c r="A2304" i="26"/>
  <c r="AC2281" i="26"/>
  <c r="Z2281" i="26"/>
  <c r="M2281" i="26"/>
  <c r="L2281" i="26"/>
  <c r="A2281" i="26"/>
  <c r="AC2212" i="26"/>
  <c r="Z2212" i="26"/>
  <c r="M2212" i="26"/>
  <c r="L2212" i="26"/>
  <c r="A2212" i="26"/>
  <c r="AC2195" i="26"/>
  <c r="Z2195" i="26"/>
  <c r="M2195" i="26"/>
  <c r="L2195" i="26"/>
  <c r="A2195" i="26"/>
  <c r="AC2179" i="26"/>
  <c r="Z2179" i="26"/>
  <c r="M2179" i="26"/>
  <c r="L2179" i="26"/>
  <c r="A2179" i="26"/>
  <c r="AC2343" i="26"/>
  <c r="Z2343" i="26"/>
  <c r="L2343" i="26"/>
  <c r="A2343" i="26"/>
  <c r="AC2341" i="26"/>
  <c r="Z2341" i="26"/>
  <c r="L2341" i="26"/>
  <c r="A2341" i="26"/>
  <c r="AC2339" i="26"/>
  <c r="Z2339" i="26"/>
  <c r="M2339" i="26"/>
  <c r="L2339" i="26"/>
  <c r="A2339" i="26"/>
  <c r="AC2337" i="26"/>
  <c r="Z2337" i="26"/>
  <c r="M2337" i="26"/>
  <c r="L2337" i="26"/>
  <c r="A2337" i="26"/>
  <c r="AC2336" i="26"/>
  <c r="Z2336" i="26"/>
  <c r="M2336" i="26"/>
  <c r="L2336" i="26"/>
  <c r="A2336" i="26"/>
  <c r="AC2334" i="26"/>
  <c r="Z2334" i="26"/>
  <c r="M2334" i="26"/>
  <c r="L2334" i="26"/>
  <c r="A2334" i="26"/>
  <c r="AC2332" i="26"/>
  <c r="Z2332" i="26"/>
  <c r="M2332" i="26"/>
  <c r="L2332" i="26"/>
  <c r="A2332" i="26"/>
  <c r="AC2330" i="26"/>
  <c r="Z2330" i="26"/>
  <c r="M2330" i="26"/>
  <c r="L2330" i="26"/>
  <c r="A2330" i="26"/>
  <c r="AC2329" i="26"/>
  <c r="Z2329" i="26"/>
  <c r="M2329" i="26"/>
  <c r="L2329" i="26"/>
  <c r="A2329" i="26"/>
  <c r="AC2326" i="26"/>
  <c r="Z2326" i="26"/>
  <c r="M2326" i="26"/>
  <c r="L2326" i="26"/>
  <c r="A2326" i="26"/>
  <c r="AC2325" i="26"/>
  <c r="Z2325" i="26"/>
  <c r="M2325" i="26"/>
  <c r="L2325" i="26"/>
  <c r="A2325" i="26"/>
  <c r="AC2324" i="26"/>
  <c r="Z2324" i="26"/>
  <c r="M2324" i="26"/>
  <c r="L2324" i="26"/>
  <c r="A2324" i="26"/>
  <c r="AC2323" i="26"/>
  <c r="Z2323" i="26"/>
  <c r="M2323" i="26"/>
  <c r="L2323" i="26"/>
  <c r="A2323" i="26"/>
  <c r="AC2322" i="26"/>
  <c r="Z2322" i="26"/>
  <c r="M2322" i="26"/>
  <c r="L2322" i="26"/>
  <c r="A2322" i="26"/>
  <c r="AC2321" i="26"/>
  <c r="Z2321" i="26"/>
  <c r="M2321" i="26"/>
  <c r="L2321" i="26"/>
  <c r="A2321" i="26"/>
  <c r="AC2320" i="26"/>
  <c r="Z2320" i="26"/>
  <c r="M2320" i="26"/>
  <c r="L2320" i="26"/>
  <c r="A2320" i="26"/>
  <c r="AC2319" i="26"/>
  <c r="Z2319" i="26"/>
  <c r="M2319" i="26"/>
  <c r="L2319" i="26"/>
  <c r="A2319" i="26"/>
  <c r="AC2318" i="26"/>
  <c r="Z2318" i="26"/>
  <c r="M2318" i="26"/>
  <c r="L2318" i="26"/>
  <c r="A2318" i="26"/>
  <c r="AC2317" i="26"/>
  <c r="Z2317" i="26"/>
  <c r="M2317" i="26"/>
  <c r="L2317" i="26"/>
  <c r="A2317" i="26"/>
  <c r="AC2316" i="26"/>
  <c r="Z2316" i="26"/>
  <c r="M2316" i="26"/>
  <c r="L2316" i="26"/>
  <c r="A2316" i="26"/>
  <c r="AC2315" i="26"/>
  <c r="Z2315" i="26"/>
  <c r="M2315" i="26"/>
  <c r="L2315" i="26"/>
  <c r="A2315" i="26"/>
  <c r="AC2314" i="26"/>
  <c r="Z2314" i="26"/>
  <c r="M2314" i="26"/>
  <c r="L2314" i="26"/>
  <c r="A2314" i="26"/>
  <c r="AC2313" i="26"/>
  <c r="Z2313" i="26"/>
  <c r="M2313" i="26"/>
  <c r="L2313" i="26"/>
  <c r="A2313" i="26"/>
  <c r="AC2312" i="26"/>
  <c r="Z2312" i="26"/>
  <c r="M2312" i="26"/>
  <c r="L2312" i="26"/>
  <c r="A2312" i="26"/>
  <c r="AC2310" i="26"/>
  <c r="Z2310" i="26"/>
  <c r="M2310" i="26"/>
  <c r="L2310" i="26"/>
  <c r="A2310" i="26"/>
  <c r="AC2309" i="26"/>
  <c r="Z2309" i="26"/>
  <c r="M2309" i="26"/>
  <c r="L2309" i="26"/>
  <c r="A2309" i="26"/>
  <c r="AC2308" i="26"/>
  <c r="Z2308" i="26"/>
  <c r="M2308" i="26"/>
  <c r="L2308" i="26"/>
  <c r="A2308" i="26"/>
  <c r="AC2307" i="26"/>
  <c r="Z2307" i="26"/>
  <c r="M2307" i="26"/>
  <c r="L2307" i="26"/>
  <c r="A2307" i="26"/>
  <c r="AC2306" i="26"/>
  <c r="Z2306" i="26"/>
  <c r="M2306" i="26"/>
  <c r="L2306" i="26"/>
  <c r="A2306" i="26"/>
  <c r="AC2303" i="26"/>
  <c r="Z2303" i="26"/>
  <c r="M2303" i="26"/>
  <c r="L2303" i="26"/>
  <c r="A2303" i="26"/>
  <c r="AC2300" i="26"/>
  <c r="Z2300" i="26"/>
  <c r="M2300" i="26"/>
  <c r="L2300" i="26"/>
  <c r="A2300" i="26"/>
  <c r="AC2299" i="26"/>
  <c r="Z2299" i="26"/>
  <c r="M2299" i="26"/>
  <c r="L2299" i="26"/>
  <c r="A2299" i="26"/>
  <c r="AC2298" i="26"/>
  <c r="Z2298" i="26"/>
  <c r="M2298" i="26"/>
  <c r="L2298" i="26"/>
  <c r="A2298" i="26"/>
  <c r="AC2297" i="26"/>
  <c r="Z2297" i="26"/>
  <c r="M2297" i="26"/>
  <c r="L2297" i="26"/>
  <c r="A2297" i="26"/>
  <c r="AC2295" i="26"/>
  <c r="Z2295" i="26"/>
  <c r="M2295" i="26"/>
  <c r="L2295" i="26"/>
  <c r="A2295" i="26"/>
  <c r="AC2293" i="26"/>
  <c r="Z2293" i="26"/>
  <c r="M2293" i="26"/>
  <c r="L2293" i="26"/>
  <c r="A2293" i="26"/>
  <c r="AC2292" i="26"/>
  <c r="Z2292" i="26"/>
  <c r="M2292" i="26"/>
  <c r="L2292" i="26"/>
  <c r="A2292" i="26"/>
  <c r="AC2289" i="26"/>
  <c r="Z2289" i="26"/>
  <c r="M2289" i="26"/>
  <c r="L2289" i="26"/>
  <c r="A2289" i="26"/>
  <c r="AC2288" i="26"/>
  <c r="Z2288" i="26"/>
  <c r="M2288" i="26"/>
  <c r="L2288" i="26"/>
  <c r="A2288" i="26"/>
  <c r="AC2286" i="26"/>
  <c r="Z2286" i="26"/>
  <c r="M2286" i="26"/>
  <c r="L2286" i="26"/>
  <c r="A2286" i="26"/>
  <c r="AC2284" i="26"/>
  <c r="Z2284" i="26"/>
  <c r="M2284" i="26"/>
  <c r="L2284" i="26"/>
  <c r="A2284" i="26"/>
  <c r="AC2282" i="26"/>
  <c r="Z2282" i="26"/>
  <c r="M2282" i="26"/>
  <c r="L2282" i="26"/>
  <c r="A2282" i="26"/>
  <c r="AC2279" i="26"/>
  <c r="Z2279" i="26"/>
  <c r="M2279" i="26"/>
  <c r="L2279" i="26"/>
  <c r="A2279" i="26"/>
  <c r="AC2278" i="26"/>
  <c r="Z2278" i="26"/>
  <c r="M2278" i="26"/>
  <c r="L2278" i="26"/>
  <c r="A2278" i="26"/>
  <c r="AC2277" i="26"/>
  <c r="Z2277" i="26"/>
  <c r="M2277" i="26"/>
  <c r="L2277" i="26"/>
  <c r="A2277" i="26"/>
  <c r="AC2276" i="26"/>
  <c r="Z2276" i="26"/>
  <c r="M2276" i="26"/>
  <c r="L2276" i="26"/>
  <c r="A2276" i="26"/>
  <c r="AC2274" i="26"/>
  <c r="Z2274" i="26"/>
  <c r="M2274" i="26"/>
  <c r="L2274" i="26"/>
  <c r="A2274" i="26"/>
  <c r="AC2273" i="26"/>
  <c r="Z2273" i="26"/>
  <c r="M2273" i="26"/>
  <c r="L2273" i="26"/>
  <c r="A2273" i="26"/>
  <c r="AC2272" i="26"/>
  <c r="Z2272" i="26"/>
  <c r="M2272" i="26"/>
  <c r="L2272" i="26"/>
  <c r="A2272" i="26"/>
  <c r="AC2270" i="26"/>
  <c r="Z2270" i="26"/>
  <c r="M2270" i="26"/>
  <c r="L2270" i="26"/>
  <c r="A2270" i="26"/>
  <c r="AC2269" i="26"/>
  <c r="Z2269" i="26"/>
  <c r="M2269" i="26"/>
  <c r="L2269" i="26"/>
  <c r="A2269" i="26"/>
  <c r="AC2268" i="26"/>
  <c r="Z2268" i="26"/>
  <c r="M2268" i="26"/>
  <c r="L2268" i="26"/>
  <c r="A2268" i="26"/>
  <c r="AC2266" i="26"/>
  <c r="Z2266" i="26"/>
  <c r="M2266" i="26"/>
  <c r="L2266" i="26"/>
  <c r="A2266" i="26"/>
  <c r="AC2265" i="26"/>
  <c r="Z2265" i="26"/>
  <c r="M2265" i="26"/>
  <c r="L2265" i="26"/>
  <c r="A2265" i="26"/>
  <c r="AC2264" i="26"/>
  <c r="Z2264" i="26"/>
  <c r="M2264" i="26"/>
  <c r="L2264" i="26"/>
  <c r="A2264" i="26"/>
  <c r="AC2263" i="26"/>
  <c r="Z2263" i="26"/>
  <c r="M2263" i="26"/>
  <c r="L2263" i="26"/>
  <c r="A2263" i="26"/>
  <c r="AC2262" i="26"/>
  <c r="Z2262" i="26"/>
  <c r="M2262" i="26"/>
  <c r="L2262" i="26"/>
  <c r="A2262" i="26"/>
  <c r="AC2261" i="26"/>
  <c r="Z2261" i="26"/>
  <c r="M2261" i="26"/>
  <c r="L2261" i="26"/>
  <c r="A2261" i="26"/>
  <c r="AC2260" i="26"/>
  <c r="Z2260" i="26"/>
  <c r="M2260" i="26"/>
  <c r="L2260" i="26"/>
  <c r="A2260" i="26"/>
  <c r="AC2258" i="26"/>
  <c r="Z2258" i="26"/>
  <c r="M2258" i="26"/>
  <c r="L2258" i="26"/>
  <c r="A2258" i="26"/>
  <c r="AC2256" i="26"/>
  <c r="Z2256" i="26"/>
  <c r="M2256" i="26"/>
  <c r="L2256" i="26"/>
  <c r="A2256" i="26"/>
  <c r="AC2255" i="26"/>
  <c r="Z2255" i="26"/>
  <c r="M2255" i="26"/>
  <c r="L2255" i="26"/>
  <c r="A2255" i="26"/>
  <c r="AC2254" i="26"/>
  <c r="Z2254" i="26"/>
  <c r="M2254" i="26"/>
  <c r="L2254" i="26"/>
  <c r="A2254" i="26"/>
  <c r="AC2253" i="26"/>
  <c r="Z2253" i="26"/>
  <c r="M2253" i="26"/>
  <c r="L2253" i="26"/>
  <c r="A2253" i="26"/>
  <c r="AC2252" i="26"/>
  <c r="Z2252" i="26"/>
  <c r="M2252" i="26"/>
  <c r="L2252" i="26"/>
  <c r="A2252" i="26"/>
  <c r="AC2250" i="26"/>
  <c r="Z2250" i="26"/>
  <c r="M2250" i="26"/>
  <c r="L2250" i="26"/>
  <c r="A2250" i="26"/>
  <c r="AC2249" i="26"/>
  <c r="Z2249" i="26"/>
  <c r="M2249" i="26"/>
  <c r="L2249" i="26"/>
  <c r="A2249" i="26"/>
  <c r="AC2248" i="26"/>
  <c r="Z2248" i="26"/>
  <c r="M2248" i="26"/>
  <c r="L2248" i="26"/>
  <c r="A2248" i="26"/>
  <c r="AC2247" i="26"/>
  <c r="Z2247" i="26"/>
  <c r="M2247" i="26"/>
  <c r="L2247" i="26"/>
  <c r="A2247" i="26"/>
  <c r="AC2246" i="26"/>
  <c r="Z2246" i="26"/>
  <c r="M2246" i="26"/>
  <c r="L2246" i="26"/>
  <c r="A2246" i="26"/>
  <c r="AC2245" i="26"/>
  <c r="Z2245" i="26"/>
  <c r="M2245" i="26"/>
  <c r="L2245" i="26"/>
  <c r="A2245" i="26"/>
  <c r="AC2242" i="26"/>
  <c r="Z2242" i="26"/>
  <c r="M2242" i="26"/>
  <c r="L2242" i="26"/>
  <c r="A2242" i="26"/>
  <c r="AC2240" i="26"/>
  <c r="Z2240" i="26"/>
  <c r="M2240" i="26"/>
  <c r="L2240" i="26"/>
  <c r="A2240" i="26"/>
  <c r="AC2239" i="26"/>
  <c r="Z2239" i="26"/>
  <c r="M2239" i="26"/>
  <c r="L2239" i="26"/>
  <c r="A2239" i="26"/>
  <c r="AC2237" i="26"/>
  <c r="Z2237" i="26"/>
  <c r="M2237" i="26"/>
  <c r="L2237" i="26"/>
  <c r="A2237" i="26"/>
  <c r="AC2235" i="26"/>
  <c r="Z2235" i="26"/>
  <c r="M2235" i="26"/>
  <c r="L2235" i="26"/>
  <c r="A2235" i="26"/>
  <c r="AC2234" i="26"/>
  <c r="Z2234" i="26"/>
  <c r="M2234" i="26"/>
  <c r="L2234" i="26"/>
  <c r="A2234" i="26"/>
  <c r="AC2233" i="26"/>
  <c r="Z2233" i="26"/>
  <c r="M2233" i="26"/>
  <c r="L2233" i="26"/>
  <c r="A2233" i="26"/>
  <c r="AC2231" i="26"/>
  <c r="Z2231" i="26"/>
  <c r="M2231" i="26"/>
  <c r="L2231" i="26"/>
  <c r="A2231" i="26"/>
  <c r="AC2230" i="26"/>
  <c r="Z2230" i="26"/>
  <c r="M2230" i="26"/>
  <c r="L2230" i="26"/>
  <c r="A2230" i="26"/>
  <c r="AC2228" i="26"/>
  <c r="Z2228" i="26"/>
  <c r="M2228" i="26"/>
  <c r="L2228" i="26"/>
  <c r="A2228" i="26"/>
  <c r="AC2227" i="26"/>
  <c r="Z2227" i="26"/>
  <c r="M2227" i="26"/>
  <c r="L2227" i="26"/>
  <c r="A2227" i="26"/>
  <c r="AC2226" i="26"/>
  <c r="Z2226" i="26"/>
  <c r="M2226" i="26"/>
  <c r="L2226" i="26"/>
  <c r="A2226" i="26"/>
  <c r="AC2225" i="26"/>
  <c r="Z2225" i="26"/>
  <c r="M2225" i="26"/>
  <c r="L2225" i="26"/>
  <c r="A2225" i="26"/>
  <c r="AC2224" i="26"/>
  <c r="Z2224" i="26"/>
  <c r="M2224" i="26"/>
  <c r="L2224" i="26"/>
  <c r="A2224" i="26"/>
  <c r="AC2223" i="26"/>
  <c r="Z2223" i="26"/>
  <c r="M2223" i="26"/>
  <c r="L2223" i="26"/>
  <c r="A2223" i="26"/>
  <c r="AC2222" i="26"/>
  <c r="Z2222" i="26"/>
  <c r="M2222" i="26"/>
  <c r="L2222" i="26"/>
  <c r="A2222" i="26"/>
  <c r="AC2220" i="26"/>
  <c r="Z2220" i="26"/>
  <c r="M2220" i="26"/>
  <c r="L2220" i="26"/>
  <c r="A2220" i="26"/>
  <c r="AC2218" i="26"/>
  <c r="Z2218" i="26"/>
  <c r="M2218" i="26"/>
  <c r="L2218" i="26"/>
  <c r="A2218" i="26"/>
  <c r="AC2217" i="26"/>
  <c r="Z2217" i="26"/>
  <c r="M2217" i="26"/>
  <c r="L2217" i="26"/>
  <c r="A2217" i="26"/>
  <c r="AC2216" i="26"/>
  <c r="Z2216" i="26"/>
  <c r="M2216" i="26"/>
  <c r="L2216" i="26"/>
  <c r="A2216" i="26"/>
  <c r="AC2215" i="26"/>
  <c r="Z2215" i="26"/>
  <c r="M2215" i="26"/>
  <c r="L2215" i="26"/>
  <c r="A2215" i="26"/>
  <c r="AC2214" i="26"/>
  <c r="Z2214" i="26"/>
  <c r="M2214" i="26"/>
  <c r="L2214" i="26"/>
  <c r="A2214" i="26"/>
  <c r="AC2213" i="26"/>
  <c r="Z2213" i="26"/>
  <c r="M2213" i="26"/>
  <c r="L2213" i="26"/>
  <c r="A2213" i="26"/>
  <c r="AC2210" i="26"/>
  <c r="Z2210" i="26"/>
  <c r="M2210" i="26"/>
  <c r="L2210" i="26"/>
  <c r="A2210" i="26"/>
  <c r="AC2209" i="26"/>
  <c r="Z2209" i="26"/>
  <c r="M2209" i="26"/>
  <c r="L2209" i="26"/>
  <c r="A2209" i="26"/>
  <c r="AC2207" i="26"/>
  <c r="Z2207" i="26"/>
  <c r="M2207" i="26"/>
  <c r="L2207" i="26"/>
  <c r="A2207" i="26"/>
  <c r="AC2206" i="26"/>
  <c r="Z2206" i="26"/>
  <c r="M2206" i="26"/>
  <c r="L2206" i="26"/>
  <c r="A2206" i="26"/>
  <c r="AC2205" i="26"/>
  <c r="Z2205" i="26"/>
  <c r="M2205" i="26"/>
  <c r="L2205" i="26"/>
  <c r="A2205" i="26"/>
  <c r="AC2204" i="26"/>
  <c r="Z2204" i="26"/>
  <c r="M2204" i="26"/>
  <c r="L2204" i="26"/>
  <c r="A2204" i="26"/>
  <c r="AC2203" i="26"/>
  <c r="Z2203" i="26"/>
  <c r="M2203" i="26"/>
  <c r="L2203" i="26"/>
  <c r="A2203" i="26"/>
  <c r="AC2202" i="26"/>
  <c r="Z2202" i="26"/>
  <c r="M2202" i="26"/>
  <c r="L2202" i="26"/>
  <c r="A2202" i="26"/>
  <c r="AC2199" i="26"/>
  <c r="Z2199" i="26"/>
  <c r="M2199" i="26"/>
  <c r="L2199" i="26"/>
  <c r="A2199" i="26"/>
  <c r="AC2198" i="26"/>
  <c r="Z2198" i="26"/>
  <c r="M2198" i="26"/>
  <c r="L2198" i="26"/>
  <c r="A2198" i="26"/>
  <c r="AC2196" i="26"/>
  <c r="Z2196" i="26"/>
  <c r="M2196" i="26"/>
  <c r="L2196" i="26"/>
  <c r="A2196" i="26"/>
  <c r="AC2194" i="26"/>
  <c r="Z2194" i="26"/>
  <c r="M2194" i="26"/>
  <c r="L2194" i="26"/>
  <c r="A2194" i="26"/>
  <c r="AC2193" i="26"/>
  <c r="Z2193" i="26"/>
  <c r="M2193" i="26"/>
  <c r="L2193" i="26"/>
  <c r="A2193" i="26"/>
  <c r="AC2191" i="26"/>
  <c r="Z2191" i="26"/>
  <c r="M2191" i="26"/>
  <c r="L2191" i="26"/>
  <c r="A2191" i="26"/>
  <c r="AC2188" i="26"/>
  <c r="Z2188" i="26"/>
  <c r="M2188" i="26"/>
  <c r="L2188" i="26"/>
  <c r="A2188" i="26"/>
  <c r="AC2186" i="26"/>
  <c r="Z2186" i="26"/>
  <c r="M2186" i="26"/>
  <c r="L2186" i="26"/>
  <c r="A2186" i="26"/>
  <c r="AC2185" i="26"/>
  <c r="Z2185" i="26"/>
  <c r="M2185" i="26"/>
  <c r="L2185" i="26"/>
  <c r="A2185" i="26"/>
  <c r="AC2184" i="26"/>
  <c r="Z2184" i="26"/>
  <c r="M2184" i="26"/>
  <c r="L2184" i="26"/>
  <c r="A2184" i="26"/>
  <c r="AC2183" i="26"/>
  <c r="Z2183" i="26"/>
  <c r="M2183" i="26"/>
  <c r="L2183" i="26"/>
  <c r="A2183" i="26"/>
  <c r="AC2182" i="26"/>
  <c r="Z2182" i="26"/>
  <c r="M2182" i="26"/>
  <c r="L2182" i="26"/>
  <c r="A2182" i="26"/>
  <c r="AC2181" i="26"/>
  <c r="Z2181" i="26"/>
  <c r="M2181" i="26"/>
  <c r="L2181" i="26"/>
  <c r="A2181" i="26"/>
  <c r="AC2178" i="26"/>
  <c r="Z2178" i="26"/>
  <c r="M2178" i="26"/>
  <c r="L2178" i="26"/>
  <c r="A2178" i="26"/>
  <c r="AC2177" i="26"/>
  <c r="Z2177" i="26"/>
  <c r="M2177" i="26"/>
  <c r="L2177" i="26"/>
  <c r="A2177" i="26"/>
  <c r="AC2176" i="26"/>
  <c r="Z2176" i="26"/>
  <c r="M2176" i="26"/>
  <c r="L2176" i="26"/>
  <c r="A2176" i="26"/>
  <c r="AC2175" i="26"/>
  <c r="Z2175" i="26"/>
  <c r="M2175" i="26"/>
  <c r="L2175" i="26"/>
  <c r="A2175" i="26"/>
  <c r="AC2173" i="26"/>
  <c r="Z2173" i="26"/>
  <c r="M2173" i="26"/>
  <c r="L2173" i="26"/>
  <c r="A2173" i="26"/>
  <c r="AC2172" i="26"/>
  <c r="Z2172" i="26"/>
  <c r="M2172" i="26"/>
  <c r="L2172" i="26"/>
  <c r="A2172" i="26"/>
  <c r="AC2171" i="26"/>
  <c r="Z2171" i="26"/>
  <c r="M2171" i="26"/>
  <c r="L2171" i="26"/>
  <c r="A2171" i="26"/>
  <c r="AC2170" i="26"/>
  <c r="Z2170" i="26"/>
  <c r="M2170" i="26"/>
  <c r="L2170" i="26"/>
  <c r="A2170" i="26"/>
  <c r="AC2169" i="26"/>
  <c r="Z2169" i="26"/>
  <c r="M2169" i="26"/>
  <c r="L2169" i="26"/>
  <c r="A2169" i="26"/>
  <c r="AC2168" i="26"/>
  <c r="Z2168" i="26"/>
  <c r="M2168" i="26"/>
  <c r="L2168" i="26"/>
  <c r="A2168" i="26"/>
  <c r="AC2166" i="26"/>
  <c r="Z2166" i="26"/>
  <c r="M2166" i="26"/>
  <c r="L2166" i="26"/>
  <c r="A2166" i="26"/>
  <c r="AC2164" i="26"/>
  <c r="Z2164" i="26"/>
  <c r="M2164" i="26"/>
  <c r="L2164" i="26"/>
  <c r="A2164" i="26"/>
  <c r="AC2163" i="26"/>
  <c r="Z2163" i="26"/>
  <c r="M2163" i="26"/>
  <c r="L2163" i="26"/>
  <c r="A2163" i="26"/>
  <c r="AC2160" i="26"/>
  <c r="Z2160" i="26"/>
  <c r="M2160" i="26"/>
  <c r="L2160" i="26"/>
  <c r="A2160" i="26"/>
  <c r="AC2158" i="26"/>
  <c r="Z2158" i="26"/>
  <c r="M2158" i="26"/>
  <c r="L2158" i="26"/>
  <c r="A2158" i="26"/>
  <c r="AC2342" i="26"/>
  <c r="Z2342" i="26"/>
  <c r="L2342" i="26"/>
  <c r="A2342" i="26"/>
  <c r="AC2340" i="26"/>
  <c r="Z2340" i="26"/>
  <c r="L2340" i="26"/>
  <c r="A2340" i="26"/>
  <c r="AC2338" i="26"/>
  <c r="AA2338" i="26"/>
  <c r="AB2338" i="26" s="1"/>
  <c r="Z2338" i="26"/>
  <c r="M2338" i="26"/>
  <c r="L2338" i="26"/>
  <c r="A2338" i="26"/>
  <c r="AC2335" i="26"/>
  <c r="Z2335" i="26"/>
  <c r="M2335" i="26"/>
  <c r="L2335" i="26"/>
  <c r="A2335" i="26"/>
  <c r="AC2333" i="26"/>
  <c r="Z2333" i="26"/>
  <c r="M2333" i="26"/>
  <c r="L2333" i="26"/>
  <c r="A2333" i="26"/>
  <c r="AC2331" i="26"/>
  <c r="Z2331" i="26"/>
  <c r="M2331" i="26"/>
  <c r="L2331" i="26"/>
  <c r="A2331" i="26"/>
  <c r="AC2328" i="26"/>
  <c r="Z2328" i="26"/>
  <c r="M2328" i="26"/>
  <c r="L2328" i="26"/>
  <c r="A2328" i="26"/>
  <c r="AC2311" i="26"/>
  <c r="Z2311" i="26"/>
  <c r="M2311" i="26"/>
  <c r="L2311" i="26"/>
  <c r="A2311" i="26"/>
  <c r="AC2302" i="26"/>
  <c r="Z2302" i="26"/>
  <c r="M2302" i="26"/>
  <c r="L2302" i="26"/>
  <c r="A2302" i="26"/>
  <c r="AC2294" i="26"/>
  <c r="Z2294" i="26"/>
  <c r="M2294" i="26"/>
  <c r="L2294" i="26"/>
  <c r="A2294" i="26"/>
  <c r="AC2291" i="26"/>
  <c r="Z2291" i="26"/>
  <c r="M2291" i="26"/>
  <c r="L2291" i="26"/>
  <c r="A2291" i="26"/>
  <c r="AC2290" i="26"/>
  <c r="Z2290" i="26"/>
  <c r="M2290" i="26"/>
  <c r="L2290" i="26"/>
  <c r="A2290" i="26"/>
  <c r="AC2287" i="26"/>
  <c r="Z2287" i="26"/>
  <c r="M2287" i="26"/>
  <c r="L2287" i="26"/>
  <c r="A2287" i="26"/>
  <c r="AC2285" i="26"/>
  <c r="Z2285" i="26"/>
  <c r="M2285" i="26"/>
  <c r="L2285" i="26"/>
  <c r="A2285" i="26"/>
  <c r="AC2283" i="26"/>
  <c r="Z2283" i="26"/>
  <c r="M2283" i="26"/>
  <c r="L2283" i="26"/>
  <c r="A2283" i="26"/>
  <c r="AC2280" i="26"/>
  <c r="Z2280" i="26"/>
  <c r="M2280" i="26"/>
  <c r="L2280" i="26"/>
  <c r="A2280" i="26"/>
  <c r="AC2275" i="26"/>
  <c r="Z2275" i="26"/>
  <c r="M2275" i="26"/>
  <c r="L2275" i="26"/>
  <c r="A2275" i="26"/>
  <c r="AC2271" i="26"/>
  <c r="Z2271" i="26"/>
  <c r="M2271" i="26"/>
  <c r="L2271" i="26"/>
  <c r="A2271" i="26"/>
  <c r="AC2267" i="26"/>
  <c r="Z2267" i="26"/>
  <c r="M2267" i="26"/>
  <c r="L2267" i="26"/>
  <c r="A2267" i="26"/>
  <c r="AC2259" i="26"/>
  <c r="Z2259" i="26"/>
  <c r="M2259" i="26"/>
  <c r="L2259" i="26"/>
  <c r="A2259" i="26"/>
  <c r="AC2257" i="26"/>
  <c r="Z2257" i="26"/>
  <c r="M2257" i="26"/>
  <c r="L2257" i="26"/>
  <c r="A2257" i="26"/>
  <c r="AC2251" i="26"/>
  <c r="Z2251" i="26"/>
  <c r="M2251" i="26"/>
  <c r="L2251" i="26"/>
  <c r="A2251" i="26"/>
  <c r="AC2244" i="26"/>
  <c r="Z2244" i="26"/>
  <c r="M2244" i="26"/>
  <c r="L2244" i="26"/>
  <c r="A2244" i="26"/>
  <c r="AC2243" i="26"/>
  <c r="Z2243" i="26"/>
  <c r="M2243" i="26"/>
  <c r="L2243" i="26"/>
  <c r="A2243" i="26"/>
  <c r="AC2241" i="26"/>
  <c r="Z2241" i="26"/>
  <c r="M2241" i="26"/>
  <c r="L2241" i="26"/>
  <c r="A2241" i="26"/>
  <c r="AC2238" i="26"/>
  <c r="Z2238" i="26"/>
  <c r="M2238" i="26"/>
  <c r="L2238" i="26"/>
  <c r="A2238" i="26"/>
  <c r="AC2236" i="26"/>
  <c r="Z2236" i="26"/>
  <c r="M2236" i="26"/>
  <c r="L2236" i="26"/>
  <c r="A2236" i="26"/>
  <c r="AC2232" i="26"/>
  <c r="Z2232" i="26"/>
  <c r="M2232" i="26"/>
  <c r="L2232" i="26"/>
  <c r="A2232" i="26"/>
  <c r="AC2229" i="26"/>
  <c r="Z2229" i="26"/>
  <c r="M2229" i="26"/>
  <c r="L2229" i="26"/>
  <c r="A2229" i="26"/>
  <c r="AC2221" i="26"/>
  <c r="Z2221" i="26"/>
  <c r="M2221" i="26"/>
  <c r="L2221" i="26"/>
  <c r="A2221" i="26"/>
  <c r="AC2219" i="26"/>
  <c r="Z2219" i="26"/>
  <c r="M2219" i="26"/>
  <c r="L2219" i="26"/>
  <c r="A2219" i="26"/>
  <c r="AC2211" i="26"/>
  <c r="Z2211" i="26"/>
  <c r="M2211" i="26"/>
  <c r="L2211" i="26"/>
  <c r="A2211" i="26"/>
  <c r="AC2208" i="26"/>
  <c r="Z2208" i="26"/>
  <c r="M2208" i="26"/>
  <c r="L2208" i="26"/>
  <c r="A2208" i="26"/>
  <c r="AC2201" i="26"/>
  <c r="Z2201" i="26"/>
  <c r="M2201" i="26"/>
  <c r="L2201" i="26"/>
  <c r="A2201" i="26"/>
  <c r="AC2200" i="26"/>
  <c r="Z2200" i="26"/>
  <c r="M2200" i="26"/>
  <c r="L2200" i="26"/>
  <c r="A2200" i="26"/>
  <c r="AC2197" i="26"/>
  <c r="Z2197" i="26"/>
  <c r="M2197" i="26"/>
  <c r="L2197" i="26"/>
  <c r="A2197" i="26"/>
  <c r="AC2190" i="26"/>
  <c r="Z2190" i="26"/>
  <c r="M2190" i="26"/>
  <c r="L2190" i="26"/>
  <c r="A2190" i="26"/>
  <c r="AC2189" i="26"/>
  <c r="Z2189" i="26"/>
  <c r="M2189" i="26"/>
  <c r="L2189" i="26"/>
  <c r="A2189" i="26"/>
  <c r="AC2187" i="26"/>
  <c r="Z2187" i="26"/>
  <c r="M2187" i="26"/>
  <c r="L2187" i="26"/>
  <c r="A2187" i="26"/>
  <c r="AC2180" i="26"/>
  <c r="Z2180" i="26"/>
  <c r="M2180" i="26"/>
  <c r="L2180" i="26"/>
  <c r="A2180" i="26"/>
  <c r="AC2174" i="26"/>
  <c r="Z2174" i="26"/>
  <c r="M2174" i="26"/>
  <c r="L2174" i="26"/>
  <c r="A2174" i="26"/>
  <c r="AC2167" i="26"/>
  <c r="Z2167" i="26"/>
  <c r="M2167" i="26"/>
  <c r="L2167" i="26"/>
  <c r="A2167" i="26"/>
  <c r="AC2165" i="26"/>
  <c r="Z2165" i="26"/>
  <c r="M2165" i="26"/>
  <c r="L2165" i="26"/>
  <c r="A2165" i="26"/>
  <c r="AC2162" i="26"/>
  <c r="Z2162" i="26"/>
  <c r="M2162" i="26"/>
  <c r="L2162" i="26"/>
  <c r="A2162" i="26"/>
  <c r="AC2161" i="26"/>
  <c r="Z2161" i="26"/>
  <c r="M2161" i="26"/>
  <c r="L2161" i="26"/>
  <c r="A2161" i="26"/>
  <c r="AC2159" i="26"/>
  <c r="Z2159" i="26"/>
  <c r="M2159" i="26"/>
  <c r="L2159" i="26"/>
  <c r="A2159" i="26"/>
  <c r="AC2157" i="26"/>
  <c r="Z2157" i="26"/>
  <c r="M2157" i="26"/>
  <c r="L2157" i="26"/>
  <c r="A2157" i="26"/>
  <c r="AC2296" i="26"/>
  <c r="Z2296" i="26"/>
  <c r="M2296" i="26"/>
  <c r="L2296" i="26"/>
  <c r="A2296" i="26"/>
  <c r="AC2301" i="26"/>
  <c r="Z2301" i="26"/>
  <c r="M2301" i="26"/>
  <c r="L2301" i="26"/>
  <c r="A2301" i="26"/>
  <c r="AC2075" i="26"/>
  <c r="Z2075" i="26"/>
  <c r="M2075" i="26"/>
  <c r="L2075" i="26"/>
  <c r="A2075" i="26"/>
  <c r="AC2152" i="26"/>
  <c r="Z2152" i="26"/>
  <c r="L2152" i="26"/>
  <c r="A2152" i="26"/>
  <c r="AC2109" i="26"/>
  <c r="Z2109" i="26"/>
  <c r="M2109" i="26"/>
  <c r="L2109" i="26"/>
  <c r="A2109" i="26"/>
  <c r="AC2079" i="26"/>
  <c r="Z2079" i="26"/>
  <c r="M2079" i="26"/>
  <c r="L2079" i="26"/>
  <c r="A2079" i="26"/>
  <c r="AC2156" i="26"/>
  <c r="Z2156" i="26"/>
  <c r="L2156" i="26"/>
  <c r="A2156" i="26"/>
  <c r="AC2154" i="26"/>
  <c r="Z2154" i="26"/>
  <c r="L2154" i="26"/>
  <c r="A2154" i="26"/>
  <c r="AC2153" i="26"/>
  <c r="Z2153" i="26"/>
  <c r="L2153" i="26"/>
  <c r="A2153" i="26"/>
  <c r="AC2151" i="26"/>
  <c r="Z2151" i="26"/>
  <c r="L2151" i="26"/>
  <c r="A2151" i="26"/>
  <c r="AC2148" i="26"/>
  <c r="AA2148" i="26"/>
  <c r="AB2148" i="26" s="1"/>
  <c r="Z2148" i="26"/>
  <c r="L2148" i="26"/>
  <c r="A2148" i="26"/>
  <c r="AC2146" i="26"/>
  <c r="Z2146" i="26"/>
  <c r="L2146" i="26"/>
  <c r="A2146" i="26"/>
  <c r="AC2144" i="26"/>
  <c r="Z2144" i="26"/>
  <c r="M2144" i="26"/>
  <c r="L2144" i="26"/>
  <c r="A2144" i="26"/>
  <c r="AC2142" i="26"/>
  <c r="Z2142" i="26"/>
  <c r="M2142" i="26"/>
  <c r="L2142" i="26"/>
  <c r="A2142" i="26"/>
  <c r="AC2141" i="26"/>
  <c r="Z2141" i="26"/>
  <c r="M2141" i="26"/>
  <c r="L2141" i="26"/>
  <c r="A2141" i="26"/>
  <c r="AC2140" i="26"/>
  <c r="Z2140" i="26"/>
  <c r="M2140" i="26"/>
  <c r="L2140" i="26"/>
  <c r="A2140" i="26"/>
  <c r="AC2139" i="26"/>
  <c r="Z2139" i="26"/>
  <c r="M2139" i="26"/>
  <c r="L2139" i="26"/>
  <c r="A2139" i="26"/>
  <c r="AC2138" i="26"/>
  <c r="Z2138" i="26"/>
  <c r="M2138" i="26"/>
  <c r="L2138" i="26"/>
  <c r="A2138" i="26"/>
  <c r="AC2137" i="26"/>
  <c r="Z2137" i="26"/>
  <c r="M2137" i="26"/>
  <c r="L2137" i="26"/>
  <c r="A2137" i="26"/>
  <c r="AC2136" i="26"/>
  <c r="Z2136" i="26"/>
  <c r="M2136" i="26"/>
  <c r="L2136" i="26"/>
  <c r="A2136" i="26"/>
  <c r="AC2134" i="26"/>
  <c r="Z2134" i="26"/>
  <c r="M2134" i="26"/>
  <c r="L2134" i="26"/>
  <c r="A2134" i="26"/>
  <c r="AC2133" i="26"/>
  <c r="Z2133" i="26"/>
  <c r="M2133" i="26"/>
  <c r="L2133" i="26"/>
  <c r="A2133" i="26"/>
  <c r="AC2132" i="26"/>
  <c r="Z2132" i="26"/>
  <c r="M2132" i="26"/>
  <c r="L2132" i="26"/>
  <c r="A2132" i="26"/>
  <c r="AC2129" i="26"/>
  <c r="Z2129" i="26"/>
  <c r="M2129" i="26"/>
  <c r="L2129" i="26"/>
  <c r="A2129" i="26"/>
  <c r="AC2128" i="26"/>
  <c r="Z2128" i="26"/>
  <c r="M2128" i="26"/>
  <c r="L2128" i="26"/>
  <c r="A2128" i="26"/>
  <c r="AC2127" i="26"/>
  <c r="Z2127" i="26"/>
  <c r="M2127" i="26"/>
  <c r="L2127" i="26"/>
  <c r="A2127" i="26"/>
  <c r="AC2126" i="26"/>
  <c r="Z2126" i="26"/>
  <c r="M2126" i="26"/>
  <c r="L2126" i="26"/>
  <c r="A2126" i="26"/>
  <c r="AC2120" i="26"/>
  <c r="Z2120" i="26"/>
  <c r="M2120" i="26"/>
  <c r="L2120" i="26"/>
  <c r="A2120" i="26"/>
  <c r="AC2118" i="26"/>
  <c r="Z2118" i="26"/>
  <c r="M2118" i="26"/>
  <c r="L2118" i="26"/>
  <c r="A2118" i="26"/>
  <c r="AC2117" i="26"/>
  <c r="Z2117" i="26"/>
  <c r="M2117" i="26"/>
  <c r="L2117" i="26"/>
  <c r="A2117" i="26"/>
  <c r="AC2116" i="26"/>
  <c r="Z2116" i="26"/>
  <c r="M2116" i="26"/>
  <c r="L2116" i="26"/>
  <c r="A2116" i="26"/>
  <c r="AC2115" i="26"/>
  <c r="Z2115" i="26"/>
  <c r="M2115" i="26"/>
  <c r="L2115" i="26"/>
  <c r="A2115" i="26"/>
  <c r="AC2114" i="26"/>
  <c r="Z2114" i="26"/>
  <c r="M2114" i="26"/>
  <c r="L2114" i="26"/>
  <c r="A2114" i="26"/>
  <c r="AC2113" i="26"/>
  <c r="Z2113" i="26"/>
  <c r="M2113" i="26"/>
  <c r="L2113" i="26"/>
  <c r="A2113" i="26"/>
  <c r="AC2111" i="26"/>
  <c r="Z2111" i="26"/>
  <c r="M2111" i="26"/>
  <c r="L2111" i="26"/>
  <c r="A2111" i="26"/>
  <c r="AC2108" i="26"/>
  <c r="Z2108" i="26"/>
  <c r="M2108" i="26"/>
  <c r="L2108" i="26"/>
  <c r="A2108" i="26"/>
  <c r="AC2107" i="26"/>
  <c r="Z2107" i="26"/>
  <c r="M2107" i="26"/>
  <c r="L2107" i="26"/>
  <c r="A2107" i="26"/>
  <c r="AC2106" i="26"/>
  <c r="Z2106" i="26"/>
  <c r="M2106" i="26"/>
  <c r="L2106" i="26"/>
  <c r="A2106" i="26"/>
  <c r="AC2104" i="26"/>
  <c r="Z2104" i="26"/>
  <c r="M2104" i="26"/>
  <c r="L2104" i="26"/>
  <c r="A2104" i="26"/>
  <c r="AC2103" i="26"/>
  <c r="Z2103" i="26"/>
  <c r="M2103" i="26"/>
  <c r="L2103" i="26"/>
  <c r="A2103" i="26"/>
  <c r="AC2102" i="26"/>
  <c r="Z2102" i="26"/>
  <c r="M2102" i="26"/>
  <c r="L2102" i="26"/>
  <c r="A2102" i="26"/>
  <c r="AC2101" i="26"/>
  <c r="Z2101" i="26"/>
  <c r="M2101" i="26"/>
  <c r="L2101" i="26"/>
  <c r="A2101" i="26"/>
  <c r="AC2100" i="26"/>
  <c r="Z2100" i="26"/>
  <c r="M2100" i="26"/>
  <c r="L2100" i="26"/>
  <c r="A2100" i="26"/>
  <c r="AC2097" i="26"/>
  <c r="Z2097" i="26"/>
  <c r="M2097" i="26"/>
  <c r="L2097" i="26"/>
  <c r="A2097" i="26"/>
  <c r="AC2096" i="26"/>
  <c r="Z2096" i="26"/>
  <c r="M2096" i="26"/>
  <c r="L2096" i="26"/>
  <c r="A2096" i="26"/>
  <c r="AC2095" i="26"/>
  <c r="Z2095" i="26"/>
  <c r="M2095" i="26"/>
  <c r="L2095" i="26"/>
  <c r="A2095" i="26"/>
  <c r="AC2094" i="26"/>
  <c r="Z2094" i="26"/>
  <c r="M2094" i="26"/>
  <c r="L2094" i="26"/>
  <c r="A2094" i="26"/>
  <c r="AC2093" i="26"/>
  <c r="Z2093" i="26"/>
  <c r="M2093" i="26"/>
  <c r="L2093" i="26"/>
  <c r="A2093" i="26"/>
  <c r="AC2092" i="26"/>
  <c r="Z2092" i="26"/>
  <c r="M2092" i="26"/>
  <c r="L2092" i="26"/>
  <c r="A2092" i="26"/>
  <c r="AC2090" i="26"/>
  <c r="Z2090" i="26"/>
  <c r="M2090" i="26"/>
  <c r="L2090" i="26"/>
  <c r="A2090" i="26"/>
  <c r="AC2089" i="26"/>
  <c r="Z2089" i="26"/>
  <c r="M2089" i="26"/>
  <c r="L2089" i="26"/>
  <c r="A2089" i="26"/>
  <c r="AC2088" i="26"/>
  <c r="Z2088" i="26"/>
  <c r="M2088" i="26"/>
  <c r="L2088" i="26"/>
  <c r="A2088" i="26"/>
  <c r="AC2084" i="26"/>
  <c r="Z2084" i="26"/>
  <c r="M2084" i="26"/>
  <c r="L2084" i="26"/>
  <c r="A2084" i="26"/>
  <c r="AC2081" i="26"/>
  <c r="Z2081" i="26"/>
  <c r="M2081" i="26"/>
  <c r="L2081" i="26"/>
  <c r="A2081" i="26"/>
  <c r="AC2080" i="26"/>
  <c r="Z2080" i="26"/>
  <c r="M2080" i="26"/>
  <c r="L2080" i="26"/>
  <c r="A2080" i="26"/>
  <c r="AC2078" i="26"/>
  <c r="Z2078" i="26"/>
  <c r="M2078" i="26"/>
  <c r="L2078" i="26"/>
  <c r="A2078" i="26"/>
  <c r="AC2077" i="26"/>
  <c r="Z2077" i="26"/>
  <c r="M2077" i="26"/>
  <c r="L2077" i="26"/>
  <c r="A2077" i="26"/>
  <c r="AC2076" i="26"/>
  <c r="Z2076" i="26"/>
  <c r="M2076" i="26"/>
  <c r="L2076" i="26"/>
  <c r="A2076" i="26"/>
  <c r="AC2074" i="26"/>
  <c r="Z2074" i="26"/>
  <c r="M2074" i="26"/>
  <c r="L2074" i="26"/>
  <c r="A2074" i="26"/>
  <c r="AC2073" i="26"/>
  <c r="Z2073" i="26"/>
  <c r="M2073" i="26"/>
  <c r="L2073" i="26"/>
  <c r="A2073" i="26"/>
  <c r="AC2072" i="26"/>
  <c r="Z2072" i="26"/>
  <c r="M2072" i="26"/>
  <c r="L2072" i="26"/>
  <c r="A2072" i="26"/>
  <c r="AC2071" i="26"/>
  <c r="Z2071" i="26"/>
  <c r="M2071" i="26"/>
  <c r="L2071" i="26"/>
  <c r="A2071" i="26"/>
  <c r="AC2067" i="26"/>
  <c r="Z2067" i="26"/>
  <c r="M2067" i="26"/>
  <c r="L2067" i="26"/>
  <c r="A2067" i="26"/>
  <c r="AC2066" i="26"/>
  <c r="Z2066" i="26"/>
  <c r="M2066" i="26"/>
  <c r="L2066" i="26"/>
  <c r="A2066" i="26"/>
  <c r="AC2065" i="26"/>
  <c r="Z2065" i="26"/>
  <c r="M2065" i="26"/>
  <c r="L2065" i="26"/>
  <c r="A2065" i="26"/>
  <c r="AC2064" i="26"/>
  <c r="Z2064" i="26"/>
  <c r="M2064" i="26"/>
  <c r="L2064" i="26"/>
  <c r="A2064" i="26"/>
  <c r="AC2058" i="26"/>
  <c r="Z2058" i="26"/>
  <c r="M2058" i="26"/>
  <c r="L2058" i="26"/>
  <c r="A2058" i="26"/>
  <c r="AC2155" i="26"/>
  <c r="AA2155" i="26"/>
  <c r="AB2155" i="26" s="1"/>
  <c r="Z2155" i="26"/>
  <c r="L2155" i="26"/>
  <c r="A2155" i="26"/>
  <c r="AC2150" i="26"/>
  <c r="Z2150" i="26"/>
  <c r="L2150" i="26"/>
  <c r="A2150" i="26"/>
  <c r="AC2149" i="26"/>
  <c r="Z2149" i="26"/>
  <c r="L2149" i="26"/>
  <c r="A2149" i="26"/>
  <c r="AC2147" i="26"/>
  <c r="AA2147" i="26"/>
  <c r="AB2147" i="26" s="1"/>
  <c r="Z2147" i="26"/>
  <c r="L2147" i="26"/>
  <c r="A2147" i="26"/>
  <c r="AC2145" i="26"/>
  <c r="Z2145" i="26"/>
  <c r="L2145" i="26"/>
  <c r="A2145" i="26"/>
  <c r="AC2135" i="26"/>
  <c r="Z2135" i="26"/>
  <c r="M2135" i="26"/>
  <c r="L2135" i="26"/>
  <c r="A2135" i="26"/>
  <c r="AC2131" i="26"/>
  <c r="Z2131" i="26"/>
  <c r="M2131" i="26"/>
  <c r="L2131" i="26"/>
  <c r="A2131" i="26"/>
  <c r="AC2130" i="26"/>
  <c r="Z2130" i="26"/>
  <c r="M2130" i="26"/>
  <c r="L2130" i="26"/>
  <c r="A2130" i="26"/>
  <c r="AC2125" i="26"/>
  <c r="Z2125" i="26"/>
  <c r="M2125" i="26"/>
  <c r="L2125" i="26"/>
  <c r="A2125" i="26"/>
  <c r="AC2123" i="26"/>
  <c r="AA2123" i="26"/>
  <c r="AB2123" i="26" s="1"/>
  <c r="Z2123" i="26"/>
  <c r="M2123" i="26"/>
  <c r="L2123" i="26"/>
  <c r="A2123" i="26"/>
  <c r="AC2122" i="26"/>
  <c r="AA2122" i="26"/>
  <c r="AB2122" i="26" s="1"/>
  <c r="Z2122" i="26"/>
  <c r="M2122" i="26"/>
  <c r="L2122" i="26"/>
  <c r="A2122" i="26"/>
  <c r="AC2119" i="26"/>
  <c r="Z2119" i="26"/>
  <c r="M2119" i="26"/>
  <c r="L2119" i="26"/>
  <c r="A2119" i="26"/>
  <c r="AC2112" i="26"/>
  <c r="Z2112" i="26"/>
  <c r="M2112" i="26"/>
  <c r="L2112" i="26"/>
  <c r="A2112" i="26"/>
  <c r="AC2110" i="26"/>
  <c r="Z2110" i="26"/>
  <c r="M2110" i="26"/>
  <c r="L2110" i="26"/>
  <c r="A2110" i="26"/>
  <c r="AC2105" i="26"/>
  <c r="Z2105" i="26"/>
  <c r="M2105" i="26"/>
  <c r="L2105" i="26"/>
  <c r="A2105" i="26"/>
  <c r="AC2099" i="26"/>
  <c r="Z2099" i="26"/>
  <c r="M2099" i="26"/>
  <c r="L2099" i="26"/>
  <c r="A2099" i="26"/>
  <c r="AC2098" i="26"/>
  <c r="Z2098" i="26"/>
  <c r="M2098" i="26"/>
  <c r="L2098" i="26"/>
  <c r="A2098" i="26"/>
  <c r="AC2091" i="26"/>
  <c r="AA2091" i="26"/>
  <c r="AB2091" i="26" s="1"/>
  <c r="Z2091" i="26"/>
  <c r="M2091" i="26"/>
  <c r="L2091" i="26"/>
  <c r="A2091" i="26"/>
  <c r="AC2087" i="26"/>
  <c r="AA2087" i="26"/>
  <c r="AB2087" i="26" s="1"/>
  <c r="Z2087" i="26"/>
  <c r="M2087" i="26"/>
  <c r="L2087" i="26"/>
  <c r="A2087" i="26"/>
  <c r="AC2086" i="26"/>
  <c r="AA2086" i="26"/>
  <c r="AB2086" i="26" s="1"/>
  <c r="Z2086" i="26"/>
  <c r="M2086" i="26"/>
  <c r="L2086" i="26"/>
  <c r="A2086" i="26"/>
  <c r="AC2085" i="26"/>
  <c r="AA2085" i="26"/>
  <c r="AB2085" i="26" s="1"/>
  <c r="Z2085" i="26"/>
  <c r="M2085" i="26"/>
  <c r="L2085" i="26"/>
  <c r="A2085" i="26"/>
  <c r="AC2083" i="26"/>
  <c r="AA2083" i="26"/>
  <c r="AB2083" i="26" s="1"/>
  <c r="Z2083" i="26"/>
  <c r="M2083" i="26"/>
  <c r="L2083" i="26"/>
  <c r="A2083" i="26"/>
  <c r="AC2082" i="26"/>
  <c r="AA2082" i="26"/>
  <c r="AB2082" i="26" s="1"/>
  <c r="Z2082" i="26"/>
  <c r="M2082" i="26"/>
  <c r="L2082" i="26"/>
  <c r="A2082" i="26"/>
  <c r="AC2070" i="26"/>
  <c r="AA2070" i="26"/>
  <c r="AB2070" i="26" s="1"/>
  <c r="Z2070" i="26"/>
  <c r="M2070" i="26"/>
  <c r="L2070" i="26"/>
  <c r="A2070" i="26"/>
  <c r="AC2069" i="26"/>
  <c r="AA2069" i="26"/>
  <c r="AB2069" i="26" s="1"/>
  <c r="Z2069" i="26"/>
  <c r="M2069" i="26"/>
  <c r="L2069" i="26"/>
  <c r="A2069" i="26"/>
  <c r="AC2068" i="26"/>
  <c r="AA2068" i="26"/>
  <c r="AB2068" i="26" s="1"/>
  <c r="Z2068" i="26"/>
  <c r="M2068" i="26"/>
  <c r="L2068" i="26"/>
  <c r="A2068" i="26"/>
  <c r="AC2063" i="26"/>
  <c r="Z2063" i="26"/>
  <c r="M2063" i="26"/>
  <c r="L2063" i="26"/>
  <c r="A2063" i="26"/>
  <c r="AC2062" i="26"/>
  <c r="AA2062" i="26"/>
  <c r="AB2062" i="26" s="1"/>
  <c r="Z2062" i="26"/>
  <c r="M2062" i="26"/>
  <c r="L2062" i="26"/>
  <c r="A2062" i="26"/>
  <c r="AC2061" i="26"/>
  <c r="AA2061" i="26"/>
  <c r="AB2061" i="26" s="1"/>
  <c r="Z2061" i="26"/>
  <c r="M2061" i="26"/>
  <c r="L2061" i="26"/>
  <c r="A2061" i="26"/>
  <c r="AC2060" i="26"/>
  <c r="AA2060" i="26"/>
  <c r="AB2060" i="26" s="1"/>
  <c r="Z2060" i="26"/>
  <c r="M2060" i="26"/>
  <c r="L2060" i="26"/>
  <c r="A2060" i="26"/>
  <c r="AC2059" i="26"/>
  <c r="AA2059" i="26"/>
  <c r="AB2059" i="26" s="1"/>
  <c r="Z2059" i="26"/>
  <c r="M2059" i="26"/>
  <c r="L2059" i="26"/>
  <c r="A2059" i="26"/>
  <c r="AC2057" i="26"/>
  <c r="AA2057" i="26"/>
  <c r="AB2057" i="26" s="1"/>
  <c r="Z2057" i="26"/>
  <c r="M2057" i="26"/>
  <c r="L2057" i="26"/>
  <c r="A2057" i="26"/>
  <c r="AC2121" i="26"/>
  <c r="Z2121" i="26"/>
  <c r="M2121" i="26"/>
  <c r="L2121" i="26"/>
  <c r="A2121" i="26"/>
  <c r="AC2124" i="26"/>
  <c r="Z2124" i="26"/>
  <c r="M2124" i="26"/>
  <c r="L2124" i="26"/>
  <c r="A2124" i="26"/>
  <c r="AC1975" i="26"/>
  <c r="Z1975" i="26"/>
  <c r="M1975" i="26"/>
  <c r="L1975" i="26"/>
  <c r="A1975" i="26"/>
  <c r="AC1898" i="26"/>
  <c r="Z1898" i="26"/>
  <c r="M1898" i="26"/>
  <c r="L1898" i="26"/>
  <c r="A1898" i="26"/>
  <c r="AC2039" i="26"/>
  <c r="AA2039" i="26"/>
  <c r="AB2039" i="26" s="1"/>
  <c r="Z2039" i="26"/>
  <c r="L2039" i="26"/>
  <c r="A2039" i="26"/>
  <c r="AC2035" i="26"/>
  <c r="Z2035" i="26"/>
  <c r="L2035" i="26"/>
  <c r="A2035" i="26"/>
  <c r="AC1957" i="26"/>
  <c r="Z1957" i="26"/>
  <c r="M1957" i="26"/>
  <c r="L1957" i="26"/>
  <c r="A1957" i="26"/>
  <c r="AC1951" i="26"/>
  <c r="Z1951" i="26"/>
  <c r="M1951" i="26"/>
  <c r="L1951" i="26"/>
  <c r="A1951" i="26"/>
  <c r="AC1924" i="26"/>
  <c r="Z1924" i="26"/>
  <c r="M1924" i="26"/>
  <c r="L1924" i="26"/>
  <c r="A1924" i="26"/>
  <c r="AC1916" i="26"/>
  <c r="Z1916" i="26"/>
  <c r="M1916" i="26"/>
  <c r="L1916" i="26"/>
  <c r="A1916" i="26"/>
  <c r="AC1903" i="26"/>
  <c r="Z1903" i="26"/>
  <c r="M1903" i="26"/>
  <c r="L1903" i="26"/>
  <c r="A1903" i="26"/>
  <c r="AC1879" i="26"/>
  <c r="Z1879" i="26"/>
  <c r="M1879" i="26"/>
  <c r="L1879" i="26"/>
  <c r="A1879" i="26"/>
  <c r="AC1878" i="26"/>
  <c r="Z1878" i="26"/>
  <c r="M1878" i="26"/>
  <c r="L1878" i="26"/>
  <c r="A1878" i="26"/>
  <c r="AC1870" i="26"/>
  <c r="Z1870" i="26"/>
  <c r="M1870" i="26"/>
  <c r="L1870" i="26"/>
  <c r="A1870" i="26"/>
  <c r="AC1866" i="26"/>
  <c r="Z1866" i="26"/>
  <c r="M1866" i="26"/>
  <c r="L1866" i="26"/>
  <c r="A1866" i="26"/>
  <c r="AC1856" i="26"/>
  <c r="Z1856" i="26"/>
  <c r="M1856" i="26"/>
  <c r="L1856" i="26"/>
  <c r="A1856" i="26"/>
  <c r="AC1841" i="26"/>
  <c r="Z1841" i="26"/>
  <c r="M1841" i="26"/>
  <c r="L1841" i="26"/>
  <c r="A1841" i="26"/>
  <c r="AC1828" i="26"/>
  <c r="Z1828" i="26"/>
  <c r="M1828" i="26"/>
  <c r="L1828" i="26"/>
  <c r="A1828" i="26"/>
  <c r="AC1827" i="26"/>
  <c r="Z1827" i="26"/>
  <c r="M1827" i="26"/>
  <c r="L1827" i="26"/>
  <c r="A1827" i="26"/>
  <c r="AC1825" i="26"/>
  <c r="Z1825" i="26"/>
  <c r="M1825" i="26"/>
  <c r="L1825" i="26"/>
  <c r="A1825" i="26"/>
  <c r="AC1817" i="26"/>
  <c r="Z1817" i="26"/>
  <c r="M1817" i="26"/>
  <c r="L1817" i="26"/>
  <c r="A1817" i="26"/>
  <c r="AC1791" i="26"/>
  <c r="Z1791" i="26"/>
  <c r="M1791" i="26"/>
  <c r="L1791" i="26"/>
  <c r="A1791" i="26"/>
  <c r="AC1790" i="26"/>
  <c r="Z1790" i="26"/>
  <c r="M1790" i="26"/>
  <c r="L1790" i="26"/>
  <c r="A1790" i="26"/>
  <c r="AC1776" i="26"/>
  <c r="Z1776" i="26"/>
  <c r="M1776" i="26"/>
  <c r="L1776" i="26"/>
  <c r="A1776" i="26"/>
  <c r="AC2055" i="26"/>
  <c r="Z2055" i="26"/>
  <c r="L2055" i="26"/>
  <c r="A2055" i="26"/>
  <c r="AC2054" i="26"/>
  <c r="Z2054" i="26"/>
  <c r="L2054" i="26"/>
  <c r="A2054" i="26"/>
  <c r="AC2051" i="26"/>
  <c r="Z2051" i="26"/>
  <c r="L2051" i="26"/>
  <c r="A2051" i="26"/>
  <c r="AC2050" i="26"/>
  <c r="Z2050" i="26"/>
  <c r="L2050" i="26"/>
  <c r="A2050" i="26"/>
  <c r="AC2048" i="26"/>
  <c r="Z2048" i="26"/>
  <c r="L2048" i="26"/>
  <c r="A2048" i="26"/>
  <c r="AC2046" i="26"/>
  <c r="Z2046" i="26"/>
  <c r="L2046" i="26"/>
  <c r="A2046" i="26"/>
  <c r="AC2044" i="26"/>
  <c r="Z2044" i="26"/>
  <c r="L2044" i="26"/>
  <c r="A2044" i="26"/>
  <c r="AC2043" i="26"/>
  <c r="Z2043" i="26"/>
  <c r="L2043" i="26"/>
  <c r="A2043" i="26"/>
  <c r="AC2041" i="26"/>
  <c r="Z2041" i="26"/>
  <c r="L2041" i="26"/>
  <c r="A2041" i="26"/>
  <c r="AC2038" i="26"/>
  <c r="AA2038" i="26"/>
  <c r="AB2038" i="26" s="1"/>
  <c r="Z2038" i="26"/>
  <c r="L2038" i="26"/>
  <c r="A2038" i="26"/>
  <c r="AC2037" i="26"/>
  <c r="AA2037" i="26"/>
  <c r="AB2037" i="26" s="1"/>
  <c r="Z2037" i="26"/>
  <c r="L2037" i="26"/>
  <c r="A2037" i="26"/>
  <c r="AC2034" i="26"/>
  <c r="Z2034" i="26"/>
  <c r="L2034" i="26"/>
  <c r="A2034" i="26"/>
  <c r="AC2033" i="26"/>
  <c r="Z2033" i="26"/>
  <c r="L2033" i="26"/>
  <c r="A2033" i="26"/>
  <c r="AC2032" i="26"/>
  <c r="Z2032" i="26"/>
  <c r="L2032" i="26"/>
  <c r="A2032" i="26"/>
  <c r="AC2031" i="26"/>
  <c r="Z2031" i="26"/>
  <c r="L2031" i="26"/>
  <c r="A2031" i="26"/>
  <c r="AC2030" i="26"/>
  <c r="Z2030" i="26"/>
  <c r="L2030" i="26"/>
  <c r="A2030" i="26"/>
  <c r="AC2027" i="26"/>
  <c r="AA2027" i="26"/>
  <c r="AB2027" i="26" s="1"/>
  <c r="Z2027" i="26"/>
  <c r="L2027" i="26"/>
  <c r="A2027" i="26"/>
  <c r="AC2025" i="26"/>
  <c r="AA2025" i="26"/>
  <c r="AB2025" i="26" s="1"/>
  <c r="Z2025" i="26"/>
  <c r="L2025" i="26"/>
  <c r="A2025" i="26"/>
  <c r="AC2023" i="26"/>
  <c r="Z2023" i="26"/>
  <c r="L2023" i="26"/>
  <c r="A2023" i="26"/>
  <c r="AC2022" i="26"/>
  <c r="Z2022" i="26"/>
  <c r="L2022" i="26"/>
  <c r="A2022" i="26"/>
  <c r="AC2020" i="26"/>
  <c r="Z2020" i="26"/>
  <c r="L2020" i="26"/>
  <c r="A2020" i="26"/>
  <c r="AC2018" i="26"/>
  <c r="Z2018" i="26"/>
  <c r="L2018" i="26"/>
  <c r="A2018" i="26"/>
  <c r="AC2017" i="26"/>
  <c r="Z2017" i="26"/>
  <c r="L2017" i="26"/>
  <c r="A2017" i="26"/>
  <c r="AC2011" i="26"/>
  <c r="AA2011" i="26"/>
  <c r="AB2011" i="26" s="1"/>
  <c r="Z2011" i="26"/>
  <c r="M2011" i="26"/>
  <c r="L2011" i="26"/>
  <c r="A2011" i="26"/>
  <c r="AC2009" i="26"/>
  <c r="Z2009" i="26"/>
  <c r="M2009" i="26"/>
  <c r="L2009" i="26"/>
  <c r="A2009" i="26"/>
  <c r="AC2005" i="26"/>
  <c r="Z2005" i="26"/>
  <c r="M2005" i="26"/>
  <c r="L2005" i="26"/>
  <c r="A2005" i="26"/>
  <c r="AC2004" i="26"/>
  <c r="Z2004" i="26"/>
  <c r="M2004" i="26"/>
  <c r="L2004" i="26"/>
  <c r="A2004" i="26"/>
  <c r="AC2003" i="26"/>
  <c r="Z2003" i="26"/>
  <c r="M2003" i="26"/>
  <c r="L2003" i="26"/>
  <c r="A2003" i="26"/>
  <c r="AC2001" i="26"/>
  <c r="Z2001" i="26"/>
  <c r="M2001" i="26"/>
  <c r="L2001" i="26"/>
  <c r="A2001" i="26"/>
  <c r="AC2000" i="26"/>
  <c r="Z2000" i="26"/>
  <c r="M2000" i="26"/>
  <c r="L2000" i="26"/>
  <c r="A2000" i="26"/>
  <c r="AC1999" i="26"/>
  <c r="Z1999" i="26"/>
  <c r="M1999" i="26"/>
  <c r="L1999" i="26"/>
  <c r="A1999" i="26"/>
  <c r="AC1998" i="26"/>
  <c r="Z1998" i="26"/>
  <c r="M1998" i="26"/>
  <c r="L1998" i="26"/>
  <c r="A1998" i="26"/>
  <c r="AC1997" i="26"/>
  <c r="Z1997" i="26"/>
  <c r="M1997" i="26"/>
  <c r="L1997" i="26"/>
  <c r="A1997" i="26"/>
  <c r="AC1996" i="26"/>
  <c r="Z1996" i="26"/>
  <c r="M1996" i="26"/>
  <c r="L1996" i="26"/>
  <c r="A1996" i="26"/>
  <c r="AC1995" i="26"/>
  <c r="Z1995" i="26"/>
  <c r="M1995" i="26"/>
  <c r="L1995" i="26"/>
  <c r="A1995" i="26"/>
  <c r="AC1993" i="26"/>
  <c r="Z1993" i="26"/>
  <c r="M1993" i="26"/>
  <c r="L1993" i="26"/>
  <c r="A1993" i="26"/>
  <c r="AC1991" i="26"/>
  <c r="Z1991" i="26"/>
  <c r="M1991" i="26"/>
  <c r="L1991" i="26"/>
  <c r="A1991" i="26"/>
  <c r="AC1990" i="26"/>
  <c r="Z1990" i="26"/>
  <c r="M1990" i="26"/>
  <c r="L1990" i="26"/>
  <c r="A1990" i="26"/>
  <c r="AC1989" i="26"/>
  <c r="Z1989" i="26"/>
  <c r="M1989" i="26"/>
  <c r="L1989" i="26"/>
  <c r="A1989" i="26"/>
  <c r="AC1988" i="26"/>
  <c r="Z1988" i="26"/>
  <c r="M1988" i="26"/>
  <c r="L1988" i="26"/>
  <c r="A1988" i="26"/>
  <c r="AC1987" i="26"/>
  <c r="Z1987" i="26"/>
  <c r="M1987" i="26"/>
  <c r="L1987" i="26"/>
  <c r="A1987" i="26"/>
  <c r="AC1986" i="26"/>
  <c r="Z1986" i="26"/>
  <c r="M1986" i="26"/>
  <c r="L1986" i="26"/>
  <c r="A1986" i="26"/>
  <c r="AC1985" i="26"/>
  <c r="Z1985" i="26"/>
  <c r="M1985" i="26"/>
  <c r="L1985" i="26"/>
  <c r="A1985" i="26"/>
  <c r="AC1984" i="26"/>
  <c r="Z1984" i="26"/>
  <c r="M1984" i="26"/>
  <c r="L1984" i="26"/>
  <c r="A1984" i="26"/>
  <c r="AC1983" i="26"/>
  <c r="Z1983" i="26"/>
  <c r="M1983" i="26"/>
  <c r="L1983" i="26"/>
  <c r="A1983" i="26"/>
  <c r="AC1982" i="26"/>
  <c r="Z1982" i="26"/>
  <c r="M1982" i="26"/>
  <c r="L1982" i="26"/>
  <c r="A1982" i="26"/>
  <c r="AC1980" i="26"/>
  <c r="Z1980" i="26"/>
  <c r="M1980" i="26"/>
  <c r="L1980" i="26"/>
  <c r="A1980" i="26"/>
  <c r="AC1979" i="26"/>
  <c r="Z1979" i="26"/>
  <c r="M1979" i="26"/>
  <c r="L1979" i="26"/>
  <c r="A1979" i="26"/>
  <c r="AC1978" i="26"/>
  <c r="Z1978" i="26"/>
  <c r="M1978" i="26"/>
  <c r="L1978" i="26"/>
  <c r="A1978" i="26"/>
  <c r="AC1977" i="26"/>
  <c r="Z1977" i="26"/>
  <c r="M1977" i="26"/>
  <c r="L1977" i="26"/>
  <c r="A1977" i="26"/>
  <c r="AC1976" i="26"/>
  <c r="Z1976" i="26"/>
  <c r="M1976" i="26"/>
  <c r="L1976" i="26"/>
  <c r="A1976" i="26"/>
  <c r="AC1970" i="26"/>
  <c r="Z1970" i="26"/>
  <c r="M1970" i="26"/>
  <c r="L1970" i="26"/>
  <c r="A1970" i="26"/>
  <c r="AC1969" i="26"/>
  <c r="Z1969" i="26"/>
  <c r="M1969" i="26"/>
  <c r="L1969" i="26"/>
  <c r="A1969" i="26"/>
  <c r="AC1968" i="26"/>
  <c r="Z1968" i="26"/>
  <c r="M1968" i="26"/>
  <c r="L1968" i="26"/>
  <c r="A1968" i="26"/>
  <c r="AC1967" i="26"/>
  <c r="Z1967" i="26"/>
  <c r="M1967" i="26"/>
  <c r="L1967" i="26"/>
  <c r="A1967" i="26"/>
  <c r="AC1966" i="26"/>
  <c r="Z1966" i="26"/>
  <c r="M1966" i="26"/>
  <c r="L1966" i="26"/>
  <c r="A1966" i="26"/>
  <c r="AC1962" i="26"/>
  <c r="Z1962" i="26"/>
  <c r="M1962" i="26"/>
  <c r="L1962" i="26"/>
  <c r="A1962" i="26"/>
  <c r="AC1961" i="26"/>
  <c r="Z1961" i="26"/>
  <c r="M1961" i="26"/>
  <c r="L1961" i="26"/>
  <c r="A1961" i="26"/>
  <c r="AC1960" i="26"/>
  <c r="Z1960" i="26"/>
  <c r="M1960" i="26"/>
  <c r="L1960" i="26"/>
  <c r="A1960" i="26"/>
  <c r="AC1959" i="26"/>
  <c r="Z1959" i="26"/>
  <c r="M1959" i="26"/>
  <c r="L1959" i="26"/>
  <c r="A1959" i="26"/>
  <c r="AC1958" i="26"/>
  <c r="Z1958" i="26"/>
  <c r="M1958" i="26"/>
  <c r="L1958" i="26"/>
  <c r="A1958" i="26"/>
  <c r="AC1956" i="26"/>
  <c r="Z1956" i="26"/>
  <c r="M1956" i="26"/>
  <c r="L1956" i="26"/>
  <c r="A1956" i="26"/>
  <c r="AC1955" i="26"/>
  <c r="Z1955" i="26"/>
  <c r="M1955" i="26"/>
  <c r="L1955" i="26"/>
  <c r="A1955" i="26"/>
  <c r="AC1954" i="26"/>
  <c r="Z1954" i="26"/>
  <c r="M1954" i="26"/>
  <c r="L1954" i="26"/>
  <c r="A1954" i="26"/>
  <c r="AC1953" i="26"/>
  <c r="Z1953" i="26"/>
  <c r="M1953" i="26"/>
  <c r="L1953" i="26"/>
  <c r="A1953" i="26"/>
  <c r="AC1950" i="26"/>
  <c r="Z1950" i="26"/>
  <c r="M1950" i="26"/>
  <c r="L1950" i="26"/>
  <c r="A1950" i="26"/>
  <c r="AC1949" i="26"/>
  <c r="Z1949" i="26"/>
  <c r="M1949" i="26"/>
  <c r="L1949" i="26"/>
  <c r="A1949" i="26"/>
  <c r="AC1948" i="26"/>
  <c r="Z1948" i="26"/>
  <c r="M1948" i="26"/>
  <c r="L1948" i="26"/>
  <c r="A1948" i="26"/>
  <c r="AC1947" i="26"/>
  <c r="Z1947" i="26"/>
  <c r="M1947" i="26"/>
  <c r="L1947" i="26"/>
  <c r="A1947" i="26"/>
  <c r="AC1946" i="26"/>
  <c r="Z1946" i="26"/>
  <c r="M1946" i="26"/>
  <c r="L1946" i="26"/>
  <c r="A1946" i="26"/>
  <c r="AC1945" i="26"/>
  <c r="Z1945" i="26"/>
  <c r="M1945" i="26"/>
  <c r="L1945" i="26"/>
  <c r="A1945" i="26"/>
  <c r="AC1944" i="26"/>
  <c r="Z1944" i="26"/>
  <c r="M1944" i="26"/>
  <c r="L1944" i="26"/>
  <c r="A1944" i="26"/>
  <c r="AC1943" i="26"/>
  <c r="Z1943" i="26"/>
  <c r="M1943" i="26"/>
  <c r="L1943" i="26"/>
  <c r="A1943" i="26"/>
  <c r="AC1942" i="26"/>
  <c r="Z1942" i="26"/>
  <c r="M1942" i="26"/>
  <c r="L1942" i="26"/>
  <c r="A1942" i="26"/>
  <c r="AC1941" i="26"/>
  <c r="Z1941" i="26"/>
  <c r="M1941" i="26"/>
  <c r="L1941" i="26"/>
  <c r="A1941" i="26"/>
  <c r="AC1940" i="26"/>
  <c r="Z1940" i="26"/>
  <c r="M1940" i="26"/>
  <c r="L1940" i="26"/>
  <c r="A1940" i="26"/>
  <c r="AC1939" i="26"/>
  <c r="Z1939" i="26"/>
  <c r="M1939" i="26"/>
  <c r="L1939" i="26"/>
  <c r="A1939" i="26"/>
  <c r="AC1938" i="26"/>
  <c r="Z1938" i="26"/>
  <c r="M1938" i="26"/>
  <c r="L1938" i="26"/>
  <c r="A1938" i="26"/>
  <c r="AC1937" i="26"/>
  <c r="Z1937" i="26"/>
  <c r="M1937" i="26"/>
  <c r="L1937" i="26"/>
  <c r="A1937" i="26"/>
  <c r="AC1936" i="26"/>
  <c r="Z1936" i="26"/>
  <c r="M1936" i="26"/>
  <c r="L1936" i="26"/>
  <c r="A1936" i="26"/>
  <c r="AC1935" i="26"/>
  <c r="Z1935" i="26"/>
  <c r="M1935" i="26"/>
  <c r="L1935" i="26"/>
  <c r="A1935" i="26"/>
  <c r="AC1933" i="26"/>
  <c r="Z1933" i="26"/>
  <c r="M1933" i="26"/>
  <c r="L1933" i="26"/>
  <c r="A1933" i="26"/>
  <c r="AC1932" i="26"/>
  <c r="Z1932" i="26"/>
  <c r="M1932" i="26"/>
  <c r="L1932" i="26"/>
  <c r="A1932" i="26"/>
  <c r="AC1931" i="26"/>
  <c r="Z1931" i="26"/>
  <c r="M1931" i="26"/>
  <c r="L1931" i="26"/>
  <c r="A1931" i="26"/>
  <c r="AC1930" i="26"/>
  <c r="Z1930" i="26"/>
  <c r="M1930" i="26"/>
  <c r="L1930" i="26"/>
  <c r="A1930" i="26"/>
  <c r="AC1928" i="26"/>
  <c r="Z1928" i="26"/>
  <c r="M1928" i="26"/>
  <c r="L1928" i="26"/>
  <c r="A1928" i="26"/>
  <c r="AC1927" i="26"/>
  <c r="Z1927" i="26"/>
  <c r="M1927" i="26"/>
  <c r="L1927" i="26"/>
  <c r="A1927" i="26"/>
  <c r="AC1926" i="26"/>
  <c r="Z1926" i="26"/>
  <c r="M1926" i="26"/>
  <c r="L1926" i="26"/>
  <c r="A1926" i="26"/>
  <c r="AC1925" i="26"/>
  <c r="Z1925" i="26"/>
  <c r="M1925" i="26"/>
  <c r="L1925" i="26"/>
  <c r="A1925" i="26"/>
  <c r="AC1923" i="26"/>
  <c r="Z1923" i="26"/>
  <c r="M1923" i="26"/>
  <c r="L1923" i="26"/>
  <c r="A1923" i="26"/>
  <c r="AC1922" i="26"/>
  <c r="Z1922" i="26"/>
  <c r="M1922" i="26"/>
  <c r="L1922" i="26"/>
  <c r="A1922" i="26"/>
  <c r="AC1921" i="26"/>
  <c r="Z1921" i="26"/>
  <c r="M1921" i="26"/>
  <c r="L1921" i="26"/>
  <c r="A1921" i="26"/>
  <c r="AC1920" i="26"/>
  <c r="Z1920" i="26"/>
  <c r="M1920" i="26"/>
  <c r="L1920" i="26"/>
  <c r="A1920" i="26"/>
  <c r="AC1919" i="26"/>
  <c r="Z1919" i="26"/>
  <c r="M1919" i="26"/>
  <c r="L1919" i="26"/>
  <c r="A1919" i="26"/>
  <c r="AC1918" i="26"/>
  <c r="Z1918" i="26"/>
  <c r="M1918" i="26"/>
  <c r="L1918" i="26"/>
  <c r="A1918" i="26"/>
  <c r="AC1917" i="26"/>
  <c r="Z1917" i="26"/>
  <c r="M1917" i="26"/>
  <c r="L1917" i="26"/>
  <c r="A1917" i="26"/>
  <c r="AC1915" i="26"/>
  <c r="Z1915" i="26"/>
  <c r="M1915" i="26"/>
  <c r="L1915" i="26"/>
  <c r="A1915" i="26"/>
  <c r="AC1914" i="26"/>
  <c r="Z1914" i="26"/>
  <c r="M1914" i="26"/>
  <c r="L1914" i="26"/>
  <c r="A1914" i="26"/>
  <c r="AC1913" i="26"/>
  <c r="Z1913" i="26"/>
  <c r="M1913" i="26"/>
  <c r="L1913" i="26"/>
  <c r="A1913" i="26"/>
  <c r="AC1912" i="26"/>
  <c r="Z1912" i="26"/>
  <c r="M1912" i="26"/>
  <c r="L1912" i="26"/>
  <c r="A1912" i="26"/>
  <c r="AC1911" i="26"/>
  <c r="Z1911" i="26"/>
  <c r="M1911" i="26"/>
  <c r="L1911" i="26"/>
  <c r="A1911" i="26"/>
  <c r="AC1910" i="26"/>
  <c r="Z1910" i="26"/>
  <c r="M1910" i="26"/>
  <c r="L1910" i="26"/>
  <c r="A1910" i="26"/>
  <c r="AC1908" i="26"/>
  <c r="Z1908" i="26"/>
  <c r="M1908" i="26"/>
  <c r="L1908" i="26"/>
  <c r="A1908" i="26"/>
  <c r="AC1907" i="26"/>
  <c r="Z1907" i="26"/>
  <c r="M1907" i="26"/>
  <c r="L1907" i="26"/>
  <c r="A1907" i="26"/>
  <c r="AC1906" i="26"/>
  <c r="Z1906" i="26"/>
  <c r="M1906" i="26"/>
  <c r="L1906" i="26"/>
  <c r="A1906" i="26"/>
  <c r="AC1905" i="26"/>
  <c r="Z1905" i="26"/>
  <c r="M1905" i="26"/>
  <c r="L1905" i="26"/>
  <c r="A1905" i="26"/>
  <c r="AC1904" i="26"/>
  <c r="Z1904" i="26"/>
  <c r="M1904" i="26"/>
  <c r="L1904" i="26"/>
  <c r="A1904" i="26"/>
  <c r="AC1901" i="26"/>
  <c r="Z1901" i="26"/>
  <c r="M1901" i="26"/>
  <c r="L1901" i="26"/>
  <c r="A1901" i="26"/>
  <c r="AC1900" i="26"/>
  <c r="Z1900" i="26"/>
  <c r="M1900" i="26"/>
  <c r="L1900" i="26"/>
  <c r="A1900" i="26"/>
  <c r="AC1899" i="26"/>
  <c r="Z1899" i="26"/>
  <c r="M1899" i="26"/>
  <c r="L1899" i="26"/>
  <c r="A1899" i="26"/>
  <c r="AC1897" i="26"/>
  <c r="Z1897" i="26"/>
  <c r="M1897" i="26"/>
  <c r="L1897" i="26"/>
  <c r="A1897" i="26"/>
  <c r="AC1896" i="26"/>
  <c r="Z1896" i="26"/>
  <c r="M1896" i="26"/>
  <c r="L1896" i="26"/>
  <c r="A1896" i="26"/>
  <c r="AC1895" i="26"/>
  <c r="Z1895" i="26"/>
  <c r="M1895" i="26"/>
  <c r="L1895" i="26"/>
  <c r="A1895" i="26"/>
  <c r="AC1894" i="26"/>
  <c r="Z1894" i="26"/>
  <c r="M1894" i="26"/>
  <c r="L1894" i="26"/>
  <c r="A1894" i="26"/>
  <c r="AC1893" i="26"/>
  <c r="Z1893" i="26"/>
  <c r="M1893" i="26"/>
  <c r="L1893" i="26"/>
  <c r="A1893" i="26"/>
  <c r="AC1892" i="26"/>
  <c r="Z1892" i="26"/>
  <c r="M1892" i="26"/>
  <c r="L1892" i="26"/>
  <c r="A1892" i="26"/>
  <c r="AC1891" i="26"/>
  <c r="Z1891" i="26"/>
  <c r="M1891" i="26"/>
  <c r="L1891" i="26"/>
  <c r="A1891" i="26"/>
  <c r="AC1888" i="26"/>
  <c r="Z1888" i="26"/>
  <c r="M1888" i="26"/>
  <c r="L1888" i="26"/>
  <c r="A1888" i="26"/>
  <c r="AC1887" i="26"/>
  <c r="Z1887" i="26"/>
  <c r="M1887" i="26"/>
  <c r="L1887" i="26"/>
  <c r="A1887" i="26"/>
  <c r="AC1886" i="26"/>
  <c r="Z1886" i="26"/>
  <c r="M1886" i="26"/>
  <c r="L1886" i="26"/>
  <c r="A1886" i="26"/>
  <c r="AC1885" i="26"/>
  <c r="Z1885" i="26"/>
  <c r="M1885" i="26"/>
  <c r="L1885" i="26"/>
  <c r="A1885" i="26"/>
  <c r="AC1884" i="26"/>
  <c r="Z1884" i="26"/>
  <c r="M1884" i="26"/>
  <c r="L1884" i="26"/>
  <c r="A1884" i="26"/>
  <c r="AC1882" i="26"/>
  <c r="Z1882" i="26"/>
  <c r="M1882" i="26"/>
  <c r="L1882" i="26"/>
  <c r="A1882" i="26"/>
  <c r="AC1880" i="26"/>
  <c r="Z1880" i="26"/>
  <c r="M1880" i="26"/>
  <c r="L1880" i="26"/>
  <c r="A1880" i="26"/>
  <c r="AC1877" i="26"/>
  <c r="Z1877" i="26"/>
  <c r="M1877" i="26"/>
  <c r="L1877" i="26"/>
  <c r="A1877" i="26"/>
  <c r="AC1876" i="26"/>
  <c r="Z1876" i="26"/>
  <c r="M1876" i="26"/>
  <c r="L1876" i="26"/>
  <c r="A1876" i="26"/>
  <c r="AC1875" i="26"/>
  <c r="Z1875" i="26"/>
  <c r="M1875" i="26"/>
  <c r="L1875" i="26"/>
  <c r="A1875" i="26"/>
  <c r="AC1874" i="26"/>
  <c r="Z1874" i="26"/>
  <c r="M1874" i="26"/>
  <c r="L1874" i="26"/>
  <c r="A1874" i="26"/>
  <c r="AC1873" i="26"/>
  <c r="Z1873" i="26"/>
  <c r="M1873" i="26"/>
  <c r="L1873" i="26"/>
  <c r="A1873" i="26"/>
  <c r="AC1872" i="26"/>
  <c r="Z1872" i="26"/>
  <c r="M1872" i="26"/>
  <c r="L1872" i="26"/>
  <c r="A1872" i="26"/>
  <c r="AC1871" i="26"/>
  <c r="Z1871" i="26"/>
  <c r="M1871" i="26"/>
  <c r="L1871" i="26"/>
  <c r="A1871" i="26"/>
  <c r="AC1869" i="26"/>
  <c r="Z1869" i="26"/>
  <c r="M1869" i="26"/>
  <c r="L1869" i="26"/>
  <c r="A1869" i="26"/>
  <c r="AC1868" i="26"/>
  <c r="Z1868" i="26"/>
  <c r="M1868" i="26"/>
  <c r="L1868" i="26"/>
  <c r="A1868" i="26"/>
  <c r="AC1867" i="26"/>
  <c r="Z1867" i="26"/>
  <c r="M1867" i="26"/>
  <c r="L1867" i="26"/>
  <c r="A1867" i="26"/>
  <c r="AC1865" i="26"/>
  <c r="Z1865" i="26"/>
  <c r="M1865" i="26"/>
  <c r="L1865" i="26"/>
  <c r="A1865" i="26"/>
  <c r="AC1864" i="26"/>
  <c r="Z1864" i="26"/>
  <c r="M1864" i="26"/>
  <c r="L1864" i="26"/>
  <c r="A1864" i="26"/>
  <c r="AC1863" i="26"/>
  <c r="Z1863" i="26"/>
  <c r="M1863" i="26"/>
  <c r="L1863" i="26"/>
  <c r="A1863" i="26"/>
  <c r="AC1862" i="26"/>
  <c r="Z1862" i="26"/>
  <c r="M1862" i="26"/>
  <c r="L1862" i="26"/>
  <c r="A1862" i="26"/>
  <c r="AC1861" i="26"/>
  <c r="Z1861" i="26"/>
  <c r="M1861" i="26"/>
  <c r="L1861" i="26"/>
  <c r="A1861" i="26"/>
  <c r="AC1859" i="26"/>
  <c r="Z1859" i="26"/>
  <c r="M1859" i="26"/>
  <c r="L1859" i="26"/>
  <c r="A1859" i="26"/>
  <c r="AC1857" i="26"/>
  <c r="Z1857" i="26"/>
  <c r="M1857" i="26"/>
  <c r="L1857" i="26"/>
  <c r="A1857" i="26"/>
  <c r="AC1855" i="26"/>
  <c r="Z1855" i="26"/>
  <c r="M1855" i="26"/>
  <c r="L1855" i="26"/>
  <c r="A1855" i="26"/>
  <c r="AC1852" i="26"/>
  <c r="Z1852" i="26"/>
  <c r="M1852" i="26"/>
  <c r="L1852" i="26"/>
  <c r="A1852" i="26"/>
  <c r="AC1851" i="26"/>
  <c r="Z1851" i="26"/>
  <c r="M1851" i="26"/>
  <c r="L1851" i="26"/>
  <c r="A1851" i="26"/>
  <c r="AC1850" i="26"/>
  <c r="Z1850" i="26"/>
  <c r="M1850" i="26"/>
  <c r="L1850" i="26"/>
  <c r="A1850" i="26"/>
  <c r="AC1849" i="26"/>
  <c r="Z1849" i="26"/>
  <c r="M1849" i="26"/>
  <c r="L1849" i="26"/>
  <c r="A1849" i="26"/>
  <c r="AC1848" i="26"/>
  <c r="Z1848" i="26"/>
  <c r="M1848" i="26"/>
  <c r="L1848" i="26"/>
  <c r="A1848" i="26"/>
  <c r="AC1847" i="26"/>
  <c r="Z1847" i="26"/>
  <c r="M1847" i="26"/>
  <c r="L1847" i="26"/>
  <c r="A1847" i="26"/>
  <c r="AC1846" i="26"/>
  <c r="Z1846" i="26"/>
  <c r="M1846" i="26"/>
  <c r="L1846" i="26"/>
  <c r="A1846" i="26"/>
  <c r="AC1845" i="26"/>
  <c r="Z1845" i="26"/>
  <c r="M1845" i="26"/>
  <c r="L1845" i="26"/>
  <c r="A1845" i="26"/>
  <c r="AC1844" i="26"/>
  <c r="Z1844" i="26"/>
  <c r="M1844" i="26"/>
  <c r="L1844" i="26"/>
  <c r="A1844" i="26"/>
  <c r="AC1843" i="26"/>
  <c r="Z1843" i="26"/>
  <c r="M1843" i="26"/>
  <c r="L1843" i="26"/>
  <c r="A1843" i="26"/>
  <c r="AC1842" i="26"/>
  <c r="Z1842" i="26"/>
  <c r="M1842" i="26"/>
  <c r="L1842" i="26"/>
  <c r="A1842" i="26"/>
  <c r="AC1840" i="26"/>
  <c r="Z1840" i="26"/>
  <c r="M1840" i="26"/>
  <c r="L1840" i="26"/>
  <c r="A1840" i="26"/>
  <c r="AC1838" i="26"/>
  <c r="Z1838" i="26"/>
  <c r="M1838" i="26"/>
  <c r="L1838" i="26"/>
  <c r="A1838" i="26"/>
  <c r="AC1837" i="26"/>
  <c r="Z1837" i="26"/>
  <c r="M1837" i="26"/>
  <c r="L1837" i="26"/>
  <c r="A1837" i="26"/>
  <c r="AC1836" i="26"/>
  <c r="Z1836" i="26"/>
  <c r="M1836" i="26"/>
  <c r="L1836" i="26"/>
  <c r="A1836" i="26"/>
  <c r="AC1835" i="26"/>
  <c r="Z1835" i="26"/>
  <c r="M1835" i="26"/>
  <c r="L1835" i="26"/>
  <c r="A1835" i="26"/>
  <c r="AC1832" i="26"/>
  <c r="Z1832" i="26"/>
  <c r="M1832" i="26"/>
  <c r="L1832" i="26"/>
  <c r="A1832" i="26"/>
  <c r="AC1831" i="26"/>
  <c r="Z1831" i="26"/>
  <c r="M1831" i="26"/>
  <c r="L1831" i="26"/>
  <c r="A1831" i="26"/>
  <c r="AC1830" i="26"/>
  <c r="Z1830" i="26"/>
  <c r="M1830" i="26"/>
  <c r="L1830" i="26"/>
  <c r="A1830" i="26"/>
  <c r="AC1826" i="26"/>
  <c r="Z1826" i="26"/>
  <c r="M1826" i="26"/>
  <c r="L1826" i="26"/>
  <c r="A1826" i="26"/>
  <c r="AC1824" i="26"/>
  <c r="Z1824" i="26"/>
  <c r="M1824" i="26"/>
  <c r="L1824" i="26"/>
  <c r="A1824" i="26"/>
  <c r="AC1822" i="26"/>
  <c r="Z1822" i="26"/>
  <c r="M1822" i="26"/>
  <c r="L1822" i="26"/>
  <c r="A1822" i="26"/>
  <c r="AC1821" i="26"/>
  <c r="Z1821" i="26"/>
  <c r="M1821" i="26"/>
  <c r="L1821" i="26"/>
  <c r="A1821" i="26"/>
  <c r="AC1819" i="26"/>
  <c r="Z1819" i="26"/>
  <c r="M1819" i="26"/>
  <c r="L1819" i="26"/>
  <c r="A1819" i="26"/>
  <c r="AC1818" i="26"/>
  <c r="Z1818" i="26"/>
  <c r="M1818" i="26"/>
  <c r="L1818" i="26"/>
  <c r="A1818" i="26"/>
  <c r="AC1816" i="26"/>
  <c r="Z1816" i="26"/>
  <c r="M1816" i="26"/>
  <c r="L1816" i="26"/>
  <c r="A1816" i="26"/>
  <c r="AC1815" i="26"/>
  <c r="Z1815" i="26"/>
  <c r="M1815" i="26"/>
  <c r="L1815" i="26"/>
  <c r="A1815" i="26"/>
  <c r="AC1810" i="26"/>
  <c r="Z1810" i="26"/>
  <c r="M1810" i="26"/>
  <c r="L1810" i="26"/>
  <c r="A1810" i="26"/>
  <c r="AC1809" i="26"/>
  <c r="Z1809" i="26"/>
  <c r="M1809" i="26"/>
  <c r="L1809" i="26"/>
  <c r="A1809" i="26"/>
  <c r="AC1808" i="26"/>
  <c r="Z1808" i="26"/>
  <c r="M1808" i="26"/>
  <c r="L1808" i="26"/>
  <c r="A1808" i="26"/>
  <c r="AC1806" i="26"/>
  <c r="Z1806" i="26"/>
  <c r="M1806" i="26"/>
  <c r="L1806" i="26"/>
  <c r="A1806" i="26"/>
  <c r="AC1805" i="26"/>
  <c r="Z1805" i="26"/>
  <c r="M1805" i="26"/>
  <c r="L1805" i="26"/>
  <c r="A1805" i="26"/>
  <c r="AC1804" i="26"/>
  <c r="Z1804" i="26"/>
  <c r="M1804" i="26"/>
  <c r="L1804" i="26"/>
  <c r="A1804" i="26"/>
  <c r="AC1801" i="26"/>
  <c r="Z1801" i="26"/>
  <c r="M1801" i="26"/>
  <c r="L1801" i="26"/>
  <c r="A1801" i="26"/>
  <c r="AC1799" i="26"/>
  <c r="Z1799" i="26"/>
  <c r="M1799" i="26"/>
  <c r="L1799" i="26"/>
  <c r="A1799" i="26"/>
  <c r="AC1798" i="26"/>
  <c r="Z1798" i="26"/>
  <c r="M1798" i="26"/>
  <c r="L1798" i="26"/>
  <c r="A1798" i="26"/>
  <c r="AC1796" i="26"/>
  <c r="Z1796" i="26"/>
  <c r="M1796" i="26"/>
  <c r="L1796" i="26"/>
  <c r="A1796" i="26"/>
  <c r="AC1795" i="26"/>
  <c r="Z1795" i="26"/>
  <c r="M1795" i="26"/>
  <c r="L1795" i="26"/>
  <c r="A1795" i="26"/>
  <c r="AC1794" i="26"/>
  <c r="Z1794" i="26"/>
  <c r="M1794" i="26"/>
  <c r="L1794" i="26"/>
  <c r="A1794" i="26"/>
  <c r="AC1793" i="26"/>
  <c r="Z1793" i="26"/>
  <c r="M1793" i="26"/>
  <c r="L1793" i="26"/>
  <c r="A1793" i="26"/>
  <c r="AC1792" i="26"/>
  <c r="Z1792" i="26"/>
  <c r="M1792" i="26"/>
  <c r="L1792" i="26"/>
  <c r="A1792" i="26"/>
  <c r="AC1788" i="26"/>
  <c r="Z1788" i="26"/>
  <c r="M1788" i="26"/>
  <c r="L1788" i="26"/>
  <c r="A1788" i="26"/>
  <c r="AC1787" i="26"/>
  <c r="Z1787" i="26"/>
  <c r="M1787" i="26"/>
  <c r="L1787" i="26"/>
  <c r="A1787" i="26"/>
  <c r="AC1786" i="26"/>
  <c r="Z1786" i="26"/>
  <c r="M1786" i="26"/>
  <c r="L1786" i="26"/>
  <c r="A1786" i="26"/>
  <c r="AC1785" i="26"/>
  <c r="Z1785" i="26"/>
  <c r="M1785" i="26"/>
  <c r="L1785" i="26"/>
  <c r="A1785" i="26"/>
  <c r="AC1784" i="26"/>
  <c r="Z1784" i="26"/>
  <c r="M1784" i="26"/>
  <c r="L1784" i="26"/>
  <c r="A1784" i="26"/>
  <c r="AC1783" i="26"/>
  <c r="Z1783" i="26"/>
  <c r="M1783" i="26"/>
  <c r="L1783" i="26"/>
  <c r="A1783" i="26"/>
  <c r="AC1782" i="26"/>
  <c r="Z1782" i="26"/>
  <c r="M1782" i="26"/>
  <c r="L1782" i="26"/>
  <c r="A1782" i="26"/>
  <c r="AC1781" i="26"/>
  <c r="Z1781" i="26"/>
  <c r="M1781" i="26"/>
  <c r="L1781" i="26"/>
  <c r="A1781" i="26"/>
  <c r="AC1780" i="26"/>
  <c r="Z1780" i="26"/>
  <c r="M1780" i="26"/>
  <c r="L1780" i="26"/>
  <c r="A1780" i="26"/>
  <c r="AC1779" i="26"/>
  <c r="Z1779" i="26"/>
  <c r="M1779" i="26"/>
  <c r="L1779" i="26"/>
  <c r="A1779" i="26"/>
  <c r="AC1778" i="26"/>
  <c r="Z1778" i="26"/>
  <c r="M1778" i="26"/>
  <c r="L1778" i="26"/>
  <c r="A1778" i="26"/>
  <c r="AC1777" i="26"/>
  <c r="Z1777" i="26"/>
  <c r="M1777" i="26"/>
  <c r="L1777" i="26"/>
  <c r="A1777" i="26"/>
  <c r="AC1768" i="26"/>
  <c r="Z1768" i="26"/>
  <c r="M1768" i="26"/>
  <c r="L1768" i="26"/>
  <c r="A1768" i="26"/>
  <c r="AC1767" i="26"/>
  <c r="Z1767" i="26"/>
  <c r="M1767" i="26"/>
  <c r="L1767" i="26"/>
  <c r="A1767" i="26"/>
  <c r="AC1766" i="26"/>
  <c r="Z1766" i="26"/>
  <c r="M1766" i="26"/>
  <c r="L1766" i="26"/>
  <c r="A1766" i="26"/>
  <c r="AC1765" i="26"/>
  <c r="Z1765" i="26"/>
  <c r="M1765" i="26"/>
  <c r="L1765" i="26"/>
  <c r="A1765" i="26"/>
  <c r="AC1764" i="26"/>
  <c r="Z1764" i="26"/>
  <c r="M1764" i="26"/>
  <c r="L1764" i="26"/>
  <c r="A1764" i="26"/>
  <c r="AC1763" i="26"/>
  <c r="Z1763" i="26"/>
  <c r="M1763" i="26"/>
  <c r="L1763" i="26"/>
  <c r="A1763" i="26"/>
  <c r="AC1762" i="26"/>
  <c r="Z1762" i="26"/>
  <c r="M1762" i="26"/>
  <c r="L1762" i="26"/>
  <c r="A1762" i="26"/>
  <c r="AC1761" i="26"/>
  <c r="Z1761" i="26"/>
  <c r="M1761" i="26"/>
  <c r="L1761" i="26"/>
  <c r="A1761" i="26"/>
  <c r="AC1760" i="26"/>
  <c r="Z1760" i="26"/>
  <c r="M1760" i="26"/>
  <c r="L1760" i="26"/>
  <c r="A1760" i="26"/>
  <c r="AC1759" i="26"/>
  <c r="Z1759" i="26"/>
  <c r="M1759" i="26"/>
  <c r="L1759" i="26"/>
  <c r="A1759" i="26"/>
  <c r="AC1758" i="26"/>
  <c r="Z1758" i="26"/>
  <c r="M1758" i="26"/>
  <c r="L1758" i="26"/>
  <c r="A1758" i="26"/>
  <c r="AC1757" i="26"/>
  <c r="Z1757" i="26"/>
  <c r="M1757" i="26"/>
  <c r="L1757" i="26"/>
  <c r="A1757" i="26"/>
  <c r="AC1756" i="26"/>
  <c r="Z1756" i="26"/>
  <c r="M1756" i="26"/>
  <c r="L1756" i="26"/>
  <c r="A1756" i="26"/>
  <c r="AC1755" i="26"/>
  <c r="Z1755" i="26"/>
  <c r="M1755" i="26"/>
  <c r="L1755" i="26"/>
  <c r="A1755" i="26"/>
  <c r="AC1754" i="26"/>
  <c r="Z1754" i="26"/>
  <c r="M1754" i="26"/>
  <c r="L1754" i="26"/>
  <c r="A1754" i="26"/>
  <c r="AC1753" i="26"/>
  <c r="Z1753" i="26"/>
  <c r="M1753" i="26"/>
  <c r="L1753" i="26"/>
  <c r="A1753" i="26"/>
  <c r="AC1752" i="26"/>
  <c r="Z1752" i="26"/>
  <c r="M1752" i="26"/>
  <c r="L1752" i="26"/>
  <c r="A1752" i="26"/>
  <c r="AC1747" i="26"/>
  <c r="Z1747" i="26"/>
  <c r="M1747" i="26"/>
  <c r="L1747" i="26"/>
  <c r="A1747" i="26"/>
  <c r="AC1746" i="26"/>
  <c r="Z1746" i="26"/>
  <c r="M1746" i="26"/>
  <c r="L1746" i="26"/>
  <c r="A1746" i="26"/>
  <c r="AC1745" i="26"/>
  <c r="Z1745" i="26"/>
  <c r="M1745" i="26"/>
  <c r="L1745" i="26"/>
  <c r="A1745" i="26"/>
  <c r="AC1743" i="26"/>
  <c r="Z1743" i="26"/>
  <c r="M1743" i="26"/>
  <c r="L1743" i="26"/>
  <c r="A1743" i="26"/>
  <c r="AC1742" i="26"/>
  <c r="Z1742" i="26"/>
  <c r="M1742" i="26"/>
  <c r="L1742" i="26"/>
  <c r="A1742" i="26"/>
  <c r="AC1741" i="26"/>
  <c r="Z1741" i="26"/>
  <c r="M1741" i="26"/>
  <c r="L1741" i="26"/>
  <c r="A1741" i="26"/>
  <c r="AC1740" i="26"/>
  <c r="Z1740" i="26"/>
  <c r="M1740" i="26"/>
  <c r="L1740" i="26"/>
  <c r="A1740" i="26"/>
  <c r="AC2056" i="26"/>
  <c r="AA2056" i="26"/>
  <c r="AB2056" i="26" s="1"/>
  <c r="Z2056" i="26"/>
  <c r="L2056" i="26"/>
  <c r="A2056" i="26"/>
  <c r="AC2053" i="26"/>
  <c r="AA2053" i="26"/>
  <c r="AB2053" i="26" s="1"/>
  <c r="Z2053" i="26"/>
  <c r="L2053" i="26"/>
  <c r="A2053" i="26"/>
  <c r="AC2052" i="26"/>
  <c r="AA2052" i="26"/>
  <c r="AB2052" i="26" s="1"/>
  <c r="Z2052" i="26"/>
  <c r="L2052" i="26"/>
  <c r="A2052" i="26"/>
  <c r="AC2049" i="26"/>
  <c r="AA2049" i="26"/>
  <c r="AB2049" i="26" s="1"/>
  <c r="Z2049" i="26"/>
  <c r="L2049" i="26"/>
  <c r="A2049" i="26"/>
  <c r="AC2047" i="26"/>
  <c r="AA2047" i="26"/>
  <c r="AB2047" i="26" s="1"/>
  <c r="Z2047" i="26"/>
  <c r="L2047" i="26"/>
  <c r="A2047" i="26"/>
  <c r="AC2042" i="26"/>
  <c r="AA2042" i="26"/>
  <c r="AB2042" i="26" s="1"/>
  <c r="Z2042" i="26"/>
  <c r="L2042" i="26"/>
  <c r="A2042" i="26"/>
  <c r="AC2040" i="26"/>
  <c r="Z2040" i="26"/>
  <c r="L2040" i="26"/>
  <c r="A2040" i="26"/>
  <c r="AC2036" i="26"/>
  <c r="AA2036" i="26"/>
  <c r="AB2036" i="26" s="1"/>
  <c r="Z2036" i="26"/>
  <c r="L2036" i="26"/>
  <c r="A2036" i="26"/>
  <c r="AC2029" i="26"/>
  <c r="Z2029" i="26"/>
  <c r="L2029" i="26"/>
  <c r="A2029" i="26"/>
  <c r="AC2028" i="26"/>
  <c r="Z2028" i="26"/>
  <c r="L2028" i="26"/>
  <c r="A2028" i="26"/>
  <c r="AC2024" i="26"/>
  <c r="AA2024" i="26"/>
  <c r="AB2024" i="26" s="1"/>
  <c r="Z2024" i="26"/>
  <c r="L2024" i="26"/>
  <c r="A2024" i="26"/>
  <c r="AC2019" i="26"/>
  <c r="AA2019" i="26"/>
  <c r="AB2019" i="26" s="1"/>
  <c r="Z2019" i="26"/>
  <c r="L2019" i="26"/>
  <c r="A2019" i="26"/>
  <c r="AC2015" i="26"/>
  <c r="AA2015" i="26"/>
  <c r="AB2015" i="26" s="1"/>
  <c r="Z2015" i="26"/>
  <c r="L2015" i="26"/>
  <c r="A2015" i="26"/>
  <c r="AC2014" i="26"/>
  <c r="AA2014" i="26"/>
  <c r="AB2014" i="26" s="1"/>
  <c r="Z2014" i="26"/>
  <c r="L2014" i="26"/>
  <c r="A2014" i="26"/>
  <c r="AC2010" i="26"/>
  <c r="Z2010" i="26"/>
  <c r="M2010" i="26"/>
  <c r="L2010" i="26"/>
  <c r="A2010" i="26"/>
  <c r="AC2008" i="26"/>
  <c r="AA2008" i="26"/>
  <c r="AB2008" i="26" s="1"/>
  <c r="Z2008" i="26"/>
  <c r="M2008" i="26"/>
  <c r="L2008" i="26"/>
  <c r="A2008" i="26"/>
  <c r="AC1992" i="26"/>
  <c r="Z1992" i="26"/>
  <c r="M1992" i="26"/>
  <c r="L1992" i="26"/>
  <c r="A1992" i="26"/>
  <c r="AC1981" i="26"/>
  <c r="Z1981" i="26"/>
  <c r="M1981" i="26"/>
  <c r="L1981" i="26"/>
  <c r="A1981" i="26"/>
  <c r="AC1974" i="26"/>
  <c r="AA1974" i="26"/>
  <c r="AB1974" i="26" s="1"/>
  <c r="Z1974" i="26"/>
  <c r="M1974" i="26"/>
  <c r="L1974" i="26"/>
  <c r="A1974" i="26"/>
  <c r="AC1973" i="26"/>
  <c r="AA1973" i="26"/>
  <c r="AB1973" i="26" s="1"/>
  <c r="Z1973" i="26"/>
  <c r="M1973" i="26"/>
  <c r="L1973" i="26"/>
  <c r="A1973" i="26"/>
  <c r="AC1972" i="26"/>
  <c r="AA1972" i="26"/>
  <c r="AB1972" i="26" s="1"/>
  <c r="Z1972" i="26"/>
  <c r="M1972" i="26"/>
  <c r="L1972" i="26"/>
  <c r="A1972" i="26"/>
  <c r="AC1971" i="26"/>
  <c r="AA1971" i="26"/>
  <c r="AB1971" i="26" s="1"/>
  <c r="Z1971" i="26"/>
  <c r="M1971" i="26"/>
  <c r="L1971" i="26"/>
  <c r="A1971" i="26"/>
  <c r="AC1965" i="26"/>
  <c r="AA1965" i="26"/>
  <c r="AB1965" i="26" s="1"/>
  <c r="Z1965" i="26"/>
  <c r="M1965" i="26"/>
  <c r="L1965" i="26"/>
  <c r="A1965" i="26"/>
  <c r="AC1964" i="26"/>
  <c r="AA1964" i="26"/>
  <c r="AB1964" i="26" s="1"/>
  <c r="Z1964" i="26"/>
  <c r="M1964" i="26"/>
  <c r="L1964" i="26"/>
  <c r="A1964" i="26"/>
  <c r="AC1963" i="26"/>
  <c r="AA1963" i="26"/>
  <c r="AB1963" i="26" s="1"/>
  <c r="Z1963" i="26"/>
  <c r="M1963" i="26"/>
  <c r="L1963" i="26"/>
  <c r="A1963" i="26"/>
  <c r="AC1952" i="26"/>
  <c r="Z1952" i="26"/>
  <c r="M1952" i="26"/>
  <c r="L1952" i="26"/>
  <c r="A1952" i="26"/>
  <c r="AC1934" i="26"/>
  <c r="Z1934" i="26"/>
  <c r="M1934" i="26"/>
  <c r="L1934" i="26"/>
  <c r="A1934" i="26"/>
  <c r="AC1929" i="26"/>
  <c r="Z1929" i="26"/>
  <c r="M1929" i="26"/>
  <c r="L1929" i="26"/>
  <c r="A1929" i="26"/>
  <c r="AC1909" i="26"/>
  <c r="Z1909" i="26"/>
  <c r="M1909" i="26"/>
  <c r="L1909" i="26"/>
  <c r="A1909" i="26"/>
  <c r="AC1902" i="26"/>
  <c r="Z1902" i="26"/>
  <c r="M1902" i="26"/>
  <c r="L1902" i="26"/>
  <c r="A1902" i="26"/>
  <c r="AC1890" i="26"/>
  <c r="AA1890" i="26"/>
  <c r="AB1890" i="26" s="1"/>
  <c r="Z1890" i="26"/>
  <c r="M1890" i="26"/>
  <c r="L1890" i="26"/>
  <c r="A1890" i="26"/>
  <c r="AC1883" i="26"/>
  <c r="Z1883" i="26"/>
  <c r="M1883" i="26"/>
  <c r="L1883" i="26"/>
  <c r="A1883" i="26"/>
  <c r="AC1881" i="26"/>
  <c r="Z1881" i="26"/>
  <c r="M1881" i="26"/>
  <c r="L1881" i="26"/>
  <c r="A1881" i="26"/>
  <c r="AC1860" i="26"/>
  <c r="Z1860" i="26"/>
  <c r="M1860" i="26"/>
  <c r="L1860" i="26"/>
  <c r="A1860" i="26"/>
  <c r="AC1854" i="26"/>
  <c r="Z1854" i="26"/>
  <c r="M1854" i="26"/>
  <c r="L1854" i="26"/>
  <c r="A1854" i="26"/>
  <c r="AC1853" i="26"/>
  <c r="AA1853" i="26"/>
  <c r="AB1853" i="26" s="1"/>
  <c r="Z1853" i="26"/>
  <c r="M1853" i="26"/>
  <c r="L1853" i="26"/>
  <c r="A1853" i="26"/>
  <c r="AC1839" i="26"/>
  <c r="AA1839" i="26"/>
  <c r="AB1839" i="26" s="1"/>
  <c r="Z1839" i="26"/>
  <c r="M1839" i="26"/>
  <c r="L1839" i="26"/>
  <c r="A1839" i="26"/>
  <c r="AC1813" i="26"/>
  <c r="AA1813" i="26"/>
  <c r="AB1813" i="26" s="1"/>
  <c r="Z1813" i="26"/>
  <c r="M1813" i="26"/>
  <c r="L1813" i="26"/>
  <c r="A1813" i="26"/>
  <c r="AC1812" i="26"/>
  <c r="AA1812" i="26"/>
  <c r="AB1812" i="26" s="1"/>
  <c r="Z1812" i="26"/>
  <c r="M1812" i="26"/>
  <c r="L1812" i="26"/>
  <c r="A1812" i="26"/>
  <c r="AC1811" i="26"/>
  <c r="AA1811" i="26"/>
  <c r="AB1811" i="26" s="1"/>
  <c r="Z1811" i="26"/>
  <c r="M1811" i="26"/>
  <c r="L1811" i="26"/>
  <c r="A1811" i="26"/>
  <c r="AC1807" i="26"/>
  <c r="Z1807" i="26"/>
  <c r="M1807" i="26"/>
  <c r="L1807" i="26"/>
  <c r="A1807" i="26"/>
  <c r="AC1802" i="26"/>
  <c r="AA1802" i="26"/>
  <c r="AB1802" i="26" s="1"/>
  <c r="Z1802" i="26"/>
  <c r="M1802" i="26"/>
  <c r="L1802" i="26"/>
  <c r="A1802" i="26"/>
  <c r="AC1797" i="26"/>
  <c r="AA1797" i="26"/>
  <c r="AB1797" i="26" s="1"/>
  <c r="Z1797" i="26"/>
  <c r="M1797" i="26"/>
  <c r="L1797" i="26"/>
  <c r="A1797" i="26"/>
  <c r="AC1789" i="26"/>
  <c r="AA1789" i="26"/>
  <c r="AB1789" i="26" s="1"/>
  <c r="Z1789" i="26"/>
  <c r="M1789" i="26"/>
  <c r="L1789" i="26"/>
  <c r="A1789" i="26"/>
  <c r="AC1775" i="26"/>
  <c r="Z1775" i="26"/>
  <c r="M1775" i="26"/>
  <c r="L1775" i="26"/>
  <c r="A1775" i="26"/>
  <c r="AC1774" i="26"/>
  <c r="AA1774" i="26"/>
  <c r="AB1774" i="26" s="1"/>
  <c r="Z1774" i="26"/>
  <c r="M1774" i="26"/>
  <c r="L1774" i="26"/>
  <c r="A1774" i="26"/>
  <c r="AC1773" i="26"/>
  <c r="AA1773" i="26"/>
  <c r="AB1773" i="26" s="1"/>
  <c r="Z1773" i="26"/>
  <c r="M1773" i="26"/>
  <c r="L1773" i="26"/>
  <c r="A1773" i="26"/>
  <c r="AC1772" i="26"/>
  <c r="AA1772" i="26"/>
  <c r="AB1772" i="26" s="1"/>
  <c r="Z1772" i="26"/>
  <c r="M1772" i="26"/>
  <c r="L1772" i="26"/>
  <c r="A1772" i="26"/>
  <c r="AC1771" i="26"/>
  <c r="AA1771" i="26"/>
  <c r="AB1771" i="26" s="1"/>
  <c r="Z1771" i="26"/>
  <c r="M1771" i="26"/>
  <c r="L1771" i="26"/>
  <c r="A1771" i="26"/>
  <c r="AC1770" i="26"/>
  <c r="AA1770" i="26"/>
  <c r="AB1770" i="26" s="1"/>
  <c r="Z1770" i="26"/>
  <c r="M1770" i="26"/>
  <c r="L1770" i="26"/>
  <c r="A1770" i="26"/>
  <c r="AC1769" i="26"/>
  <c r="AA1769" i="26"/>
  <c r="AB1769" i="26" s="1"/>
  <c r="Z1769" i="26"/>
  <c r="M1769" i="26"/>
  <c r="L1769" i="26"/>
  <c r="A1769" i="26"/>
  <c r="AC1751" i="26"/>
  <c r="AA1751" i="26"/>
  <c r="AB1751" i="26" s="1"/>
  <c r="Z1751" i="26"/>
  <c r="M1751" i="26"/>
  <c r="L1751" i="26"/>
  <c r="A1751" i="26"/>
  <c r="AC1750" i="26"/>
  <c r="AA1750" i="26"/>
  <c r="AB1750" i="26" s="1"/>
  <c r="Z1750" i="26"/>
  <c r="M1750" i="26"/>
  <c r="L1750" i="26"/>
  <c r="A1750" i="26"/>
  <c r="AC1749" i="26"/>
  <c r="AA1749" i="26"/>
  <c r="AB1749" i="26" s="1"/>
  <c r="Z1749" i="26"/>
  <c r="M1749" i="26"/>
  <c r="L1749" i="26"/>
  <c r="A1749" i="26"/>
  <c r="AC1748" i="26"/>
  <c r="AA1748" i="26"/>
  <c r="AB1748" i="26" s="1"/>
  <c r="Z1748" i="26"/>
  <c r="M1748" i="26"/>
  <c r="L1748" i="26"/>
  <c r="A1748" i="26"/>
  <c r="AC1744" i="26"/>
  <c r="AA1744" i="26"/>
  <c r="AB1744" i="26" s="1"/>
  <c r="Z1744" i="26"/>
  <c r="M1744" i="26"/>
  <c r="L1744" i="26"/>
  <c r="A1744" i="26"/>
  <c r="AC1739" i="26"/>
  <c r="AA1739" i="26"/>
  <c r="AB1739" i="26" s="1"/>
  <c r="Z1739" i="26"/>
  <c r="M1739" i="26"/>
  <c r="L1739" i="26"/>
  <c r="A1739" i="26"/>
  <c r="AC2013" i="26"/>
  <c r="Z2013" i="26"/>
  <c r="M2013" i="26"/>
  <c r="L2013" i="26"/>
  <c r="A2013" i="26"/>
  <c r="AC2012" i="26"/>
  <c r="Z2012" i="26"/>
  <c r="M2012" i="26"/>
  <c r="L2012" i="26"/>
  <c r="A2012" i="26"/>
  <c r="AC2006" i="26"/>
  <c r="Z2006" i="26"/>
  <c r="M2006" i="26"/>
  <c r="L2006" i="26"/>
  <c r="A2006" i="26"/>
  <c r="AC1994" i="26"/>
  <c r="Z1994" i="26"/>
  <c r="M1994" i="26"/>
  <c r="L1994" i="26"/>
  <c r="A1994" i="26"/>
  <c r="AC1834" i="26"/>
  <c r="Z1834" i="26"/>
  <c r="M1834" i="26"/>
  <c r="L1834" i="26"/>
  <c r="A1834" i="26"/>
  <c r="AC1833" i="26"/>
  <c r="Z1833" i="26"/>
  <c r="M1833" i="26"/>
  <c r="L1833" i="26"/>
  <c r="A1833" i="26"/>
  <c r="AC1829" i="26"/>
  <c r="Z1829" i="26"/>
  <c r="M1829" i="26"/>
  <c r="L1829" i="26"/>
  <c r="A1829" i="26"/>
  <c r="AC1823" i="26"/>
  <c r="Z1823" i="26"/>
  <c r="M1823" i="26"/>
  <c r="L1823" i="26"/>
  <c r="A1823" i="26"/>
  <c r="AC1820" i="26"/>
  <c r="Z1820" i="26"/>
  <c r="M1820" i="26"/>
  <c r="L1820" i="26"/>
  <c r="A1820" i="26"/>
  <c r="AC1803" i="26"/>
  <c r="Z1803" i="26"/>
  <c r="M1803" i="26"/>
  <c r="L1803" i="26"/>
  <c r="A1803" i="26"/>
  <c r="AC2026" i="26"/>
  <c r="Z2026" i="26"/>
  <c r="L2026" i="26"/>
  <c r="A2026" i="26"/>
  <c r="AC2021" i="26"/>
  <c r="Z2021" i="26"/>
  <c r="L2021" i="26"/>
  <c r="A2021" i="26"/>
  <c r="AC2016" i="26"/>
  <c r="Z2016" i="26"/>
  <c r="L2016" i="26"/>
  <c r="A2016" i="26"/>
  <c r="AC2007" i="26"/>
  <c r="Z2007" i="26"/>
  <c r="M2007" i="26"/>
  <c r="L2007" i="26"/>
  <c r="A2007" i="26"/>
  <c r="AC1858" i="26"/>
  <c r="Z1858" i="26"/>
  <c r="M1858" i="26"/>
  <c r="L1858" i="26"/>
  <c r="A1858" i="26"/>
  <c r="AC1814" i="26"/>
  <c r="Z1814" i="26"/>
  <c r="M1814" i="26"/>
  <c r="L1814" i="26"/>
  <c r="A1814" i="26"/>
  <c r="AC1800" i="26"/>
  <c r="Z1800" i="26"/>
  <c r="M1800" i="26"/>
  <c r="L1800" i="26"/>
  <c r="A1800" i="26"/>
  <c r="AC1640" i="26"/>
  <c r="Z1640" i="26"/>
  <c r="M1640" i="26"/>
  <c r="L1640" i="26"/>
  <c r="A1640" i="26"/>
  <c r="AC1738" i="26"/>
  <c r="Z1738" i="26"/>
  <c r="L1738" i="26"/>
  <c r="A1738" i="26"/>
  <c r="AC1737" i="26"/>
  <c r="Z1737" i="26"/>
  <c r="L1737" i="26"/>
  <c r="A1737" i="26"/>
  <c r="AC1735" i="26"/>
  <c r="Z1735" i="26"/>
  <c r="L1735" i="26"/>
  <c r="A1735" i="26"/>
  <c r="AC1734" i="26"/>
  <c r="Z1734" i="26"/>
  <c r="L1734" i="26"/>
  <c r="A1734" i="26"/>
  <c r="AC1733" i="26"/>
  <c r="Z1733" i="26"/>
  <c r="L1733" i="26"/>
  <c r="A1733" i="26"/>
  <c r="AC1732" i="26"/>
  <c r="Z1732" i="26"/>
  <c r="L1732" i="26"/>
  <c r="A1732" i="26"/>
  <c r="AC1730" i="26"/>
  <c r="Z1730" i="26"/>
  <c r="L1730" i="26"/>
  <c r="A1730" i="26"/>
  <c r="AC1728" i="26"/>
  <c r="Z1728" i="26"/>
  <c r="L1728" i="26"/>
  <c r="A1728" i="26"/>
  <c r="AC1727" i="26"/>
  <c r="Z1727" i="26"/>
  <c r="L1727" i="26"/>
  <c r="A1727" i="26"/>
  <c r="AC1726" i="26"/>
  <c r="Z1726" i="26"/>
  <c r="L1726" i="26"/>
  <c r="A1726" i="26"/>
  <c r="AC1725" i="26"/>
  <c r="Z1725" i="26"/>
  <c r="L1725" i="26"/>
  <c r="A1725" i="26"/>
  <c r="AC1723" i="26"/>
  <c r="Z1723" i="26"/>
  <c r="L1723" i="26"/>
  <c r="A1723" i="26"/>
  <c r="AC1722" i="26"/>
  <c r="Z1722" i="26"/>
  <c r="L1722" i="26"/>
  <c r="A1722" i="26"/>
  <c r="AC1720" i="26"/>
  <c r="AA1720" i="26"/>
  <c r="AB1720" i="26" s="1"/>
  <c r="Z1720" i="26"/>
  <c r="L1720" i="26"/>
  <c r="A1720" i="26"/>
  <c r="AC1719" i="26"/>
  <c r="AA1719" i="26"/>
  <c r="AB1719" i="26" s="1"/>
  <c r="Z1719" i="26"/>
  <c r="L1719" i="26"/>
  <c r="A1719" i="26"/>
  <c r="AC1716" i="26"/>
  <c r="AA1716" i="26"/>
  <c r="AB1716" i="26" s="1"/>
  <c r="Z1716" i="26"/>
  <c r="L1716" i="26"/>
  <c r="A1716" i="26"/>
  <c r="AC1715" i="26"/>
  <c r="Z1715" i="26"/>
  <c r="L1715" i="26"/>
  <c r="A1715" i="26"/>
  <c r="AC1714" i="26"/>
  <c r="Z1714" i="26"/>
  <c r="L1714" i="26"/>
  <c r="A1714" i="26"/>
  <c r="AC1713" i="26"/>
  <c r="Z1713" i="26"/>
  <c r="L1713" i="26"/>
  <c r="A1713" i="26"/>
  <c r="AC1712" i="26"/>
  <c r="Z1712" i="26"/>
  <c r="L1712" i="26"/>
  <c r="A1712" i="26"/>
  <c r="AC1711" i="26"/>
  <c r="Z1711" i="26"/>
  <c r="L1711" i="26"/>
  <c r="A1711" i="26"/>
  <c r="AC1710" i="26"/>
  <c r="Z1710" i="26"/>
  <c r="L1710" i="26"/>
  <c r="A1710" i="26"/>
  <c r="AC1709" i="26"/>
  <c r="Z1709" i="26"/>
  <c r="L1709" i="26"/>
  <c r="A1709" i="26"/>
  <c r="AC1708" i="26"/>
  <c r="Z1708" i="26"/>
  <c r="L1708" i="26"/>
  <c r="A1708" i="26"/>
  <c r="AC1707" i="26"/>
  <c r="Z1707" i="26"/>
  <c r="L1707" i="26"/>
  <c r="A1707" i="26"/>
  <c r="AC1706" i="26"/>
  <c r="Z1706" i="26"/>
  <c r="L1706" i="26"/>
  <c r="A1706" i="26"/>
  <c r="AC1705" i="26"/>
  <c r="Z1705" i="26"/>
  <c r="L1705" i="26"/>
  <c r="A1705" i="26"/>
  <c r="AC1702" i="26"/>
  <c r="Z1702" i="26"/>
  <c r="L1702" i="26"/>
  <c r="A1702" i="26"/>
  <c r="AC1701" i="26"/>
  <c r="Z1701" i="26"/>
  <c r="L1701" i="26"/>
  <c r="A1701" i="26"/>
  <c r="AC1700" i="26"/>
  <c r="Z1700" i="26"/>
  <c r="L1700" i="26"/>
  <c r="A1700" i="26"/>
  <c r="AC1698" i="26"/>
  <c r="Z1698" i="26"/>
  <c r="L1698" i="26"/>
  <c r="A1698" i="26"/>
  <c r="AC1695" i="26"/>
  <c r="Z1695" i="26"/>
  <c r="M1695" i="26"/>
  <c r="L1695" i="26"/>
  <c r="A1695" i="26"/>
  <c r="AC1694" i="26"/>
  <c r="AA1694" i="26"/>
  <c r="AB1694" i="26" s="1"/>
  <c r="Z1694" i="26"/>
  <c r="M1694" i="26"/>
  <c r="L1694" i="26"/>
  <c r="A1694" i="26"/>
  <c r="AC1693" i="26"/>
  <c r="AA1693" i="26"/>
  <c r="AB1693" i="26" s="1"/>
  <c r="Z1693" i="26"/>
  <c r="M1693" i="26"/>
  <c r="L1693" i="26"/>
  <c r="A1693" i="26"/>
  <c r="AC1691" i="26"/>
  <c r="Z1691" i="26"/>
  <c r="M1691" i="26"/>
  <c r="L1691" i="26"/>
  <c r="A1691" i="26"/>
  <c r="AC1690" i="26"/>
  <c r="Z1690" i="26"/>
  <c r="M1690" i="26"/>
  <c r="L1690" i="26"/>
  <c r="A1690" i="26"/>
  <c r="AC1688" i="26"/>
  <c r="Z1688" i="26"/>
  <c r="M1688" i="26"/>
  <c r="L1688" i="26"/>
  <c r="A1688" i="26"/>
  <c r="AC1687" i="26"/>
  <c r="Z1687" i="26"/>
  <c r="M1687" i="26"/>
  <c r="L1687" i="26"/>
  <c r="A1687" i="26"/>
  <c r="AC1686" i="26"/>
  <c r="Z1686" i="26"/>
  <c r="M1686" i="26"/>
  <c r="L1686" i="26"/>
  <c r="A1686" i="26"/>
  <c r="AC1684" i="26"/>
  <c r="Z1684" i="26"/>
  <c r="M1684" i="26"/>
  <c r="L1684" i="26"/>
  <c r="A1684" i="26"/>
  <c r="AC1683" i="26"/>
  <c r="Z1683" i="26"/>
  <c r="M1683" i="26"/>
  <c r="L1683" i="26"/>
  <c r="A1683" i="26"/>
  <c r="AC1682" i="26"/>
  <c r="Z1682" i="26"/>
  <c r="M1682" i="26"/>
  <c r="L1682" i="26"/>
  <c r="A1682" i="26"/>
  <c r="AC1681" i="26"/>
  <c r="Z1681" i="26"/>
  <c r="M1681" i="26"/>
  <c r="L1681" i="26"/>
  <c r="A1681" i="26"/>
  <c r="AC1679" i="26"/>
  <c r="Z1679" i="26"/>
  <c r="M1679" i="26"/>
  <c r="L1679" i="26"/>
  <c r="A1679" i="26"/>
  <c r="AC1677" i="26"/>
  <c r="Z1677" i="26"/>
  <c r="M1677" i="26"/>
  <c r="L1677" i="26"/>
  <c r="A1677" i="26"/>
  <c r="AC1676" i="26"/>
  <c r="Z1676" i="26"/>
  <c r="M1676" i="26"/>
  <c r="L1676" i="26"/>
  <c r="A1676" i="26"/>
  <c r="AC1673" i="26"/>
  <c r="Z1673" i="26"/>
  <c r="M1673" i="26"/>
  <c r="L1673" i="26"/>
  <c r="A1673" i="26"/>
  <c r="AC1672" i="26"/>
  <c r="Z1672" i="26"/>
  <c r="M1672" i="26"/>
  <c r="L1672" i="26"/>
  <c r="A1672" i="26"/>
  <c r="AC1671" i="26"/>
  <c r="Z1671" i="26"/>
  <c r="M1671" i="26"/>
  <c r="L1671" i="26"/>
  <c r="A1671" i="26"/>
  <c r="AC1669" i="26"/>
  <c r="Z1669" i="26"/>
  <c r="M1669" i="26"/>
  <c r="L1669" i="26"/>
  <c r="A1669" i="26"/>
  <c r="AC1668" i="26"/>
  <c r="Z1668" i="26"/>
  <c r="M1668" i="26"/>
  <c r="L1668" i="26"/>
  <c r="A1668" i="26"/>
  <c r="AC1666" i="26"/>
  <c r="Z1666" i="26"/>
  <c r="M1666" i="26"/>
  <c r="L1666" i="26"/>
  <c r="A1666" i="26"/>
  <c r="AC1665" i="26"/>
  <c r="Z1665" i="26"/>
  <c r="M1665" i="26"/>
  <c r="L1665" i="26"/>
  <c r="A1665" i="26"/>
  <c r="AC1663" i="26"/>
  <c r="Z1663" i="26"/>
  <c r="M1663" i="26"/>
  <c r="L1663" i="26"/>
  <c r="A1663" i="26"/>
  <c r="AC1662" i="26"/>
  <c r="Z1662" i="26"/>
  <c r="M1662" i="26"/>
  <c r="L1662" i="26"/>
  <c r="A1662" i="26"/>
  <c r="AC1661" i="26"/>
  <c r="Z1661" i="26"/>
  <c r="M1661" i="26"/>
  <c r="L1661" i="26"/>
  <c r="A1661" i="26"/>
  <c r="AC1660" i="26"/>
  <c r="Z1660" i="26"/>
  <c r="M1660" i="26"/>
  <c r="L1660" i="26"/>
  <c r="A1660" i="26"/>
  <c r="AC1659" i="26"/>
  <c r="Z1659" i="26"/>
  <c r="M1659" i="26"/>
  <c r="L1659" i="26"/>
  <c r="A1659" i="26"/>
  <c r="AC1657" i="26"/>
  <c r="Z1657" i="26"/>
  <c r="M1657" i="26"/>
  <c r="L1657" i="26"/>
  <c r="A1657" i="26"/>
  <c r="AC1656" i="26"/>
  <c r="Z1656" i="26"/>
  <c r="M1656" i="26"/>
  <c r="L1656" i="26"/>
  <c r="A1656" i="26"/>
  <c r="AC1655" i="26"/>
  <c r="Z1655" i="26"/>
  <c r="M1655" i="26"/>
  <c r="L1655" i="26"/>
  <c r="A1655" i="26"/>
  <c r="AC1654" i="26"/>
  <c r="Z1654" i="26"/>
  <c r="M1654" i="26"/>
  <c r="L1654" i="26"/>
  <c r="A1654" i="26"/>
  <c r="AC1650" i="26"/>
  <c r="Z1650" i="26"/>
  <c r="M1650" i="26"/>
  <c r="L1650" i="26"/>
  <c r="A1650" i="26"/>
  <c r="AC1649" i="26"/>
  <c r="Z1649" i="26"/>
  <c r="M1649" i="26"/>
  <c r="L1649" i="26"/>
  <c r="A1649" i="26"/>
  <c r="AC1648" i="26"/>
  <c r="Z1648" i="26"/>
  <c r="M1648" i="26"/>
  <c r="L1648" i="26"/>
  <c r="A1648" i="26"/>
  <c r="AC1644" i="26"/>
  <c r="Z1644" i="26"/>
  <c r="M1644" i="26"/>
  <c r="L1644" i="26"/>
  <c r="A1644" i="26"/>
  <c r="AC1643" i="26"/>
  <c r="Z1643" i="26"/>
  <c r="M1643" i="26"/>
  <c r="L1643" i="26"/>
  <c r="A1643" i="26"/>
  <c r="AC1642" i="26"/>
  <c r="Z1642" i="26"/>
  <c r="M1642" i="26"/>
  <c r="L1642" i="26"/>
  <c r="A1642" i="26"/>
  <c r="AC1639" i="26"/>
  <c r="Z1639" i="26"/>
  <c r="M1639" i="26"/>
  <c r="L1639" i="26"/>
  <c r="A1639" i="26"/>
  <c r="AC1638" i="26"/>
  <c r="Z1638" i="26"/>
  <c r="M1638" i="26"/>
  <c r="L1638" i="26"/>
  <c r="A1638" i="26"/>
  <c r="AC1637" i="26"/>
  <c r="Z1637" i="26"/>
  <c r="M1637" i="26"/>
  <c r="L1637" i="26"/>
  <c r="A1637" i="26"/>
  <c r="AC1636" i="26"/>
  <c r="Z1636" i="26"/>
  <c r="M1636" i="26"/>
  <c r="L1636" i="26"/>
  <c r="A1636" i="26"/>
  <c r="AC1635" i="26"/>
  <c r="Z1635" i="26"/>
  <c r="M1635" i="26"/>
  <c r="L1635" i="26"/>
  <c r="A1635" i="26"/>
  <c r="AC1633" i="26"/>
  <c r="Z1633" i="26"/>
  <c r="M1633" i="26"/>
  <c r="L1633" i="26"/>
  <c r="A1633" i="26"/>
  <c r="AC1631" i="26"/>
  <c r="Z1631" i="26"/>
  <c r="M1631" i="26"/>
  <c r="L1631" i="26"/>
  <c r="A1631" i="26"/>
  <c r="AC1630" i="26"/>
  <c r="Z1630" i="26"/>
  <c r="M1630" i="26"/>
  <c r="L1630" i="26"/>
  <c r="A1630" i="26"/>
  <c r="AC1629" i="26"/>
  <c r="Z1629" i="26"/>
  <c r="M1629" i="26"/>
  <c r="L1629" i="26"/>
  <c r="A1629" i="26"/>
  <c r="AC1628" i="26"/>
  <c r="Z1628" i="26"/>
  <c r="M1628" i="26"/>
  <c r="L1628" i="26"/>
  <c r="A1628" i="26"/>
  <c r="AC1627" i="26"/>
  <c r="Z1627" i="26"/>
  <c r="M1627" i="26"/>
  <c r="L1627" i="26"/>
  <c r="A1627" i="26"/>
  <c r="AC1626" i="26"/>
  <c r="Z1626" i="26"/>
  <c r="M1626" i="26"/>
  <c r="L1626" i="26"/>
  <c r="A1626" i="26"/>
  <c r="AC1625" i="26"/>
  <c r="Z1625" i="26"/>
  <c r="M1625" i="26"/>
  <c r="L1625" i="26"/>
  <c r="A1625" i="26"/>
  <c r="AC1624" i="26"/>
  <c r="Z1624" i="26"/>
  <c r="M1624" i="26"/>
  <c r="L1624" i="26"/>
  <c r="A1624" i="26"/>
  <c r="AC1622" i="26"/>
  <c r="Z1622" i="26"/>
  <c r="M1622" i="26"/>
  <c r="L1622" i="26"/>
  <c r="A1622" i="26"/>
  <c r="AC1621" i="26"/>
  <c r="Z1621" i="26"/>
  <c r="M1621" i="26"/>
  <c r="L1621" i="26"/>
  <c r="A1621" i="26"/>
  <c r="AC1620" i="26"/>
  <c r="Z1620" i="26"/>
  <c r="M1620" i="26"/>
  <c r="L1620" i="26"/>
  <c r="A1620" i="26"/>
  <c r="AC1619" i="26"/>
  <c r="Z1619" i="26"/>
  <c r="M1619" i="26"/>
  <c r="L1619" i="26"/>
  <c r="A1619" i="26"/>
  <c r="AC1618" i="26"/>
  <c r="Z1618" i="26"/>
  <c r="M1618" i="26"/>
  <c r="L1618" i="26"/>
  <c r="A1618" i="26"/>
  <c r="AC1617" i="26"/>
  <c r="Z1617" i="26"/>
  <c r="M1617" i="26"/>
  <c r="L1617" i="26"/>
  <c r="A1617" i="26"/>
  <c r="AC1616" i="26"/>
  <c r="Z1616" i="26"/>
  <c r="M1616" i="26"/>
  <c r="L1616" i="26"/>
  <c r="A1616" i="26"/>
  <c r="AC1614" i="26"/>
  <c r="Z1614" i="26"/>
  <c r="M1614" i="26"/>
  <c r="L1614" i="26"/>
  <c r="A1614" i="26"/>
  <c r="AC1613" i="26"/>
  <c r="Z1613" i="26"/>
  <c r="M1613" i="26"/>
  <c r="L1613" i="26"/>
  <c r="A1613" i="26"/>
  <c r="AC1612" i="26"/>
  <c r="Z1612" i="26"/>
  <c r="M1612" i="26"/>
  <c r="L1612" i="26"/>
  <c r="A1612" i="26"/>
  <c r="AC1611" i="26"/>
  <c r="Z1611" i="26"/>
  <c r="M1611" i="26"/>
  <c r="L1611" i="26"/>
  <c r="A1611" i="26"/>
  <c r="AC1610" i="26"/>
  <c r="Z1610" i="26"/>
  <c r="M1610" i="26"/>
  <c r="L1610" i="26"/>
  <c r="A1610" i="26"/>
  <c r="AC1609" i="26"/>
  <c r="Z1609" i="26"/>
  <c r="M1609" i="26"/>
  <c r="L1609" i="26"/>
  <c r="A1609" i="26"/>
  <c r="AC1607" i="26"/>
  <c r="Z1607" i="26"/>
  <c r="M1607" i="26"/>
  <c r="L1607" i="26"/>
  <c r="A1607" i="26"/>
  <c r="AC1606" i="26"/>
  <c r="Z1606" i="26"/>
  <c r="M1606" i="26"/>
  <c r="L1606" i="26"/>
  <c r="A1606" i="26"/>
  <c r="AC1603" i="26"/>
  <c r="Z1603" i="26"/>
  <c r="M1603" i="26"/>
  <c r="L1603" i="26"/>
  <c r="A1603" i="26"/>
  <c r="AC1602" i="26"/>
  <c r="Z1602" i="26"/>
  <c r="M1602" i="26"/>
  <c r="L1602" i="26"/>
  <c r="A1602" i="26"/>
  <c r="AC1598" i="26"/>
  <c r="Z1598" i="26"/>
  <c r="M1598" i="26"/>
  <c r="L1598" i="26"/>
  <c r="A1598" i="26"/>
  <c r="AC1597" i="26"/>
  <c r="Z1597" i="26"/>
  <c r="M1597" i="26"/>
  <c r="L1597" i="26"/>
  <c r="A1597" i="26"/>
  <c r="AC1596" i="26"/>
  <c r="Z1596" i="26"/>
  <c r="M1596" i="26"/>
  <c r="L1596" i="26"/>
  <c r="A1596" i="26"/>
  <c r="AC1595" i="26"/>
  <c r="Z1595" i="26"/>
  <c r="M1595" i="26"/>
  <c r="L1595" i="26"/>
  <c r="A1595" i="26"/>
  <c r="AC1593" i="26"/>
  <c r="Z1593" i="26"/>
  <c r="M1593" i="26"/>
  <c r="L1593" i="26"/>
  <c r="A1593" i="26"/>
  <c r="AC1589" i="26"/>
  <c r="Z1589" i="26"/>
  <c r="M1589" i="26"/>
  <c r="L1589" i="26"/>
  <c r="A1589" i="26"/>
  <c r="AC1587" i="26"/>
  <c r="Z1587" i="26"/>
  <c r="M1587" i="26"/>
  <c r="L1587" i="26"/>
  <c r="A1587" i="26"/>
  <c r="AC1586" i="26"/>
  <c r="Z1586" i="26"/>
  <c r="M1586" i="26"/>
  <c r="L1586" i="26"/>
  <c r="A1586" i="26"/>
  <c r="AC1585" i="26"/>
  <c r="Z1585" i="26"/>
  <c r="M1585" i="26"/>
  <c r="L1585" i="26"/>
  <c r="A1585" i="26"/>
  <c r="AC1583" i="26"/>
  <c r="Z1583" i="26"/>
  <c r="M1583" i="26"/>
  <c r="L1583" i="26"/>
  <c r="A1583" i="26"/>
  <c r="AC1582" i="26"/>
  <c r="Z1582" i="26"/>
  <c r="M1582" i="26"/>
  <c r="L1582" i="26"/>
  <c r="A1582" i="26"/>
  <c r="AC1581" i="26"/>
  <c r="Z1581" i="26"/>
  <c r="M1581" i="26"/>
  <c r="L1581" i="26"/>
  <c r="A1581" i="26"/>
  <c r="AC1578" i="26"/>
  <c r="Z1578" i="26"/>
  <c r="M1578" i="26"/>
  <c r="L1578" i="26"/>
  <c r="A1578" i="26"/>
  <c r="AC1577" i="26"/>
  <c r="Z1577" i="26"/>
  <c r="M1577" i="26"/>
  <c r="L1577" i="26"/>
  <c r="A1577" i="26"/>
  <c r="AC1575" i="26"/>
  <c r="Z1575" i="26"/>
  <c r="M1575" i="26"/>
  <c r="L1575" i="26"/>
  <c r="A1575" i="26"/>
  <c r="AC1574" i="26"/>
  <c r="Z1574" i="26"/>
  <c r="M1574" i="26"/>
  <c r="L1574" i="26"/>
  <c r="A1574" i="26"/>
  <c r="AC1573" i="26"/>
  <c r="Z1573" i="26"/>
  <c r="M1573" i="26"/>
  <c r="L1573" i="26"/>
  <c r="A1573" i="26"/>
  <c r="AC1572" i="26"/>
  <c r="Z1572" i="26"/>
  <c r="M1572" i="26"/>
  <c r="L1572" i="26"/>
  <c r="A1572" i="26"/>
  <c r="AC1570" i="26"/>
  <c r="Z1570" i="26"/>
  <c r="M1570" i="26"/>
  <c r="L1570" i="26"/>
  <c r="A1570" i="26"/>
  <c r="AC1569" i="26"/>
  <c r="Z1569" i="26"/>
  <c r="M1569" i="26"/>
  <c r="L1569" i="26"/>
  <c r="A1569" i="26"/>
  <c r="AC1567" i="26"/>
  <c r="Z1567" i="26"/>
  <c r="M1567" i="26"/>
  <c r="L1567" i="26"/>
  <c r="A1567" i="26"/>
  <c r="AC1566" i="26"/>
  <c r="Z1566" i="26"/>
  <c r="M1566" i="26"/>
  <c r="L1566" i="26"/>
  <c r="A1566" i="26"/>
  <c r="AC1565" i="26"/>
  <c r="Z1565" i="26"/>
  <c r="M1565" i="26"/>
  <c r="L1565" i="26"/>
  <c r="A1565" i="26"/>
  <c r="AC1560" i="26"/>
  <c r="Z1560" i="26"/>
  <c r="M1560" i="26"/>
  <c r="L1560" i="26"/>
  <c r="A1560" i="26"/>
  <c r="AC1559" i="26"/>
  <c r="Z1559" i="26"/>
  <c r="M1559" i="26"/>
  <c r="L1559" i="26"/>
  <c r="A1559" i="26"/>
  <c r="AC1558" i="26"/>
  <c r="Z1558" i="26"/>
  <c r="M1558" i="26"/>
  <c r="L1558" i="26"/>
  <c r="A1558" i="26"/>
  <c r="AC1557" i="26"/>
  <c r="Z1557" i="26"/>
  <c r="M1557" i="26"/>
  <c r="L1557" i="26"/>
  <c r="A1557" i="26"/>
  <c r="AC1556" i="26"/>
  <c r="Z1556" i="26"/>
  <c r="M1556" i="26"/>
  <c r="L1556" i="26"/>
  <c r="A1556" i="26"/>
  <c r="AC1554" i="26"/>
  <c r="Z1554" i="26"/>
  <c r="M1554" i="26"/>
  <c r="L1554" i="26"/>
  <c r="A1554" i="26"/>
  <c r="AC1549" i="26"/>
  <c r="Z1549" i="26"/>
  <c r="M1549" i="26"/>
  <c r="L1549" i="26"/>
  <c r="A1549" i="26"/>
  <c r="AC1548" i="26"/>
  <c r="Z1548" i="26"/>
  <c r="M1548" i="26"/>
  <c r="L1548" i="26"/>
  <c r="A1548" i="26"/>
  <c r="AC1546" i="26"/>
  <c r="Z1546" i="26"/>
  <c r="M1546" i="26"/>
  <c r="L1546" i="26"/>
  <c r="A1546" i="26"/>
  <c r="AC1544" i="26"/>
  <c r="Z1544" i="26"/>
  <c r="M1544" i="26"/>
  <c r="L1544" i="26"/>
  <c r="A1544" i="26"/>
  <c r="AC1543" i="26"/>
  <c r="Z1543" i="26"/>
  <c r="M1543" i="26"/>
  <c r="L1543" i="26"/>
  <c r="A1543" i="26"/>
  <c r="AC1542" i="26"/>
  <c r="Z1542" i="26"/>
  <c r="M1542" i="26"/>
  <c r="L1542" i="26"/>
  <c r="A1542" i="26"/>
  <c r="AC1736" i="26"/>
  <c r="AA1736" i="26"/>
  <c r="AB1736" i="26" s="1"/>
  <c r="Z1736" i="26"/>
  <c r="L1736" i="26"/>
  <c r="A1736" i="26"/>
  <c r="AC1731" i="26"/>
  <c r="AA1731" i="26"/>
  <c r="AB1731" i="26" s="1"/>
  <c r="Z1731" i="26"/>
  <c r="L1731" i="26"/>
  <c r="A1731" i="26"/>
  <c r="AC1729" i="26"/>
  <c r="AA1729" i="26"/>
  <c r="AB1729" i="26" s="1"/>
  <c r="Z1729" i="26"/>
  <c r="L1729" i="26"/>
  <c r="A1729" i="26"/>
  <c r="AC1724" i="26"/>
  <c r="Z1724" i="26"/>
  <c r="L1724" i="26"/>
  <c r="A1724" i="26"/>
  <c r="AC1721" i="26"/>
  <c r="Z1721" i="26"/>
  <c r="L1721" i="26"/>
  <c r="A1721" i="26"/>
  <c r="AC1718" i="26"/>
  <c r="AA1718" i="26"/>
  <c r="AB1718" i="26" s="1"/>
  <c r="Z1718" i="26"/>
  <c r="L1718" i="26"/>
  <c r="A1718" i="26"/>
  <c r="AC1717" i="26"/>
  <c r="AA1717" i="26"/>
  <c r="AB1717" i="26" s="1"/>
  <c r="Z1717" i="26"/>
  <c r="L1717" i="26"/>
  <c r="A1717" i="26"/>
  <c r="AC1704" i="26"/>
  <c r="Z1704" i="26"/>
  <c r="L1704" i="26"/>
  <c r="A1704" i="26"/>
  <c r="AC1703" i="26"/>
  <c r="Z1703" i="26"/>
  <c r="L1703" i="26"/>
  <c r="A1703" i="26"/>
  <c r="AC1699" i="26"/>
  <c r="AA1699" i="26"/>
  <c r="AB1699" i="26" s="1"/>
  <c r="Z1699" i="26"/>
  <c r="L1699" i="26"/>
  <c r="A1699" i="26"/>
  <c r="AC1697" i="26"/>
  <c r="AA1697" i="26"/>
  <c r="AB1697" i="26" s="1"/>
  <c r="Z1697" i="26"/>
  <c r="L1697" i="26"/>
  <c r="A1697" i="26"/>
  <c r="AC1696" i="26"/>
  <c r="AA1696" i="26"/>
  <c r="AB1696" i="26" s="1"/>
  <c r="Z1696" i="26"/>
  <c r="L1696" i="26"/>
  <c r="A1696" i="26"/>
  <c r="AC1692" i="26"/>
  <c r="AA1692" i="26"/>
  <c r="AB1692" i="26" s="1"/>
  <c r="Z1692" i="26"/>
  <c r="M1692" i="26"/>
  <c r="L1692" i="26"/>
  <c r="A1692" i="26"/>
  <c r="AC1689" i="26"/>
  <c r="AA1689" i="26"/>
  <c r="AB1689" i="26" s="1"/>
  <c r="Z1689" i="26"/>
  <c r="M1689" i="26"/>
  <c r="L1689" i="26"/>
  <c r="A1689" i="26"/>
  <c r="AC1685" i="26"/>
  <c r="AA1685" i="26"/>
  <c r="AB1685" i="26" s="1"/>
  <c r="Z1685" i="26"/>
  <c r="M1685" i="26"/>
  <c r="L1685" i="26"/>
  <c r="A1685" i="26"/>
  <c r="AC1680" i="26"/>
  <c r="Z1680" i="26"/>
  <c r="M1680" i="26"/>
  <c r="L1680" i="26"/>
  <c r="A1680" i="26"/>
  <c r="AC1678" i="26"/>
  <c r="Z1678" i="26"/>
  <c r="M1678" i="26"/>
  <c r="L1678" i="26"/>
  <c r="A1678" i="26"/>
  <c r="AC1664" i="26"/>
  <c r="AA1664" i="26"/>
  <c r="AB1664" i="26" s="1"/>
  <c r="Z1664" i="26"/>
  <c r="M1664" i="26"/>
  <c r="L1664" i="26"/>
  <c r="A1664" i="26"/>
  <c r="AC1658" i="26"/>
  <c r="Z1658" i="26"/>
  <c r="M1658" i="26"/>
  <c r="L1658" i="26"/>
  <c r="A1658" i="26"/>
  <c r="AC1653" i="26"/>
  <c r="AA1653" i="26"/>
  <c r="AB1653" i="26" s="1"/>
  <c r="Z1653" i="26"/>
  <c r="M1653" i="26"/>
  <c r="L1653" i="26"/>
  <c r="A1653" i="26"/>
  <c r="AC1652" i="26"/>
  <c r="AA1652" i="26"/>
  <c r="AB1652" i="26" s="1"/>
  <c r="Z1652" i="26"/>
  <c r="M1652" i="26"/>
  <c r="L1652" i="26"/>
  <c r="A1652" i="26"/>
  <c r="AC1651" i="26"/>
  <c r="AA1651" i="26"/>
  <c r="AB1651" i="26" s="1"/>
  <c r="Z1651" i="26"/>
  <c r="M1651" i="26"/>
  <c r="L1651" i="26"/>
  <c r="A1651" i="26"/>
  <c r="AC1647" i="26"/>
  <c r="AA1647" i="26"/>
  <c r="AB1647" i="26" s="1"/>
  <c r="Z1647" i="26"/>
  <c r="M1647" i="26"/>
  <c r="L1647" i="26"/>
  <c r="A1647" i="26"/>
  <c r="AC1646" i="26"/>
  <c r="AA1646" i="26"/>
  <c r="AB1646" i="26" s="1"/>
  <c r="Z1646" i="26"/>
  <c r="M1646" i="26"/>
  <c r="L1646" i="26"/>
  <c r="A1646" i="26"/>
  <c r="AC1645" i="26"/>
  <c r="AA1645" i="26"/>
  <c r="AB1645" i="26" s="1"/>
  <c r="Z1645" i="26"/>
  <c r="M1645" i="26"/>
  <c r="L1645" i="26"/>
  <c r="A1645" i="26"/>
  <c r="AC1641" i="26"/>
  <c r="Z1641" i="26"/>
  <c r="M1641" i="26"/>
  <c r="L1641" i="26"/>
  <c r="A1641" i="26"/>
  <c r="AC1634" i="26"/>
  <c r="Z1634" i="26"/>
  <c r="M1634" i="26"/>
  <c r="L1634" i="26"/>
  <c r="A1634" i="26"/>
  <c r="AC1632" i="26"/>
  <c r="Z1632" i="26"/>
  <c r="M1632" i="26"/>
  <c r="L1632" i="26"/>
  <c r="A1632" i="26"/>
  <c r="AC1623" i="26"/>
  <c r="Z1623" i="26"/>
  <c r="M1623" i="26"/>
  <c r="L1623" i="26"/>
  <c r="A1623" i="26"/>
  <c r="AC1615" i="26"/>
  <c r="Z1615" i="26"/>
  <c r="M1615" i="26"/>
  <c r="L1615" i="26"/>
  <c r="A1615" i="26"/>
  <c r="AC1608" i="26"/>
  <c r="AA1608" i="26"/>
  <c r="AB1608" i="26" s="1"/>
  <c r="Z1608" i="26"/>
  <c r="M1608" i="26"/>
  <c r="L1608" i="26"/>
  <c r="A1608" i="26"/>
  <c r="AC1605" i="26"/>
  <c r="Z1605" i="26"/>
  <c r="M1605" i="26"/>
  <c r="L1605" i="26"/>
  <c r="A1605" i="26"/>
  <c r="AC1601" i="26"/>
  <c r="AA1601" i="26"/>
  <c r="AB1601" i="26" s="1"/>
  <c r="Z1601" i="26"/>
  <c r="M1601" i="26"/>
  <c r="L1601" i="26"/>
  <c r="A1601" i="26"/>
  <c r="AC1600" i="26"/>
  <c r="Z1600" i="26"/>
  <c r="M1600" i="26"/>
  <c r="L1600" i="26"/>
  <c r="A1600" i="26"/>
  <c r="AC1599" i="26"/>
  <c r="AA1599" i="26"/>
  <c r="AB1599" i="26" s="1"/>
  <c r="Z1599" i="26"/>
  <c r="M1599" i="26"/>
  <c r="L1599" i="26"/>
  <c r="A1599" i="26"/>
  <c r="AC1594" i="26"/>
  <c r="Z1594" i="26"/>
  <c r="M1594" i="26"/>
  <c r="L1594" i="26"/>
  <c r="A1594" i="26"/>
  <c r="AC1592" i="26"/>
  <c r="AA1592" i="26"/>
  <c r="AB1592" i="26" s="1"/>
  <c r="Z1592" i="26"/>
  <c r="M1592" i="26"/>
  <c r="L1592" i="26"/>
  <c r="A1592" i="26"/>
  <c r="AC1591" i="26"/>
  <c r="AA1591" i="26"/>
  <c r="AB1591" i="26" s="1"/>
  <c r="Z1591" i="26"/>
  <c r="M1591" i="26"/>
  <c r="L1591" i="26"/>
  <c r="A1591" i="26"/>
  <c r="AC1588" i="26"/>
  <c r="AA1588" i="26"/>
  <c r="AB1588" i="26" s="1"/>
  <c r="Z1588" i="26"/>
  <c r="M1588" i="26"/>
  <c r="L1588" i="26"/>
  <c r="A1588" i="26"/>
  <c r="AC1584" i="26"/>
  <c r="AA1584" i="26"/>
  <c r="AB1584" i="26" s="1"/>
  <c r="Z1584" i="26"/>
  <c r="M1584" i="26"/>
  <c r="L1584" i="26"/>
  <c r="A1584" i="26"/>
  <c r="AC1580" i="26"/>
  <c r="AA1580" i="26"/>
  <c r="AB1580" i="26" s="1"/>
  <c r="Z1580" i="26"/>
  <c r="M1580" i="26"/>
  <c r="L1580" i="26"/>
  <c r="A1580" i="26"/>
  <c r="AC1579" i="26"/>
  <c r="AA1579" i="26"/>
  <c r="AB1579" i="26" s="1"/>
  <c r="Z1579" i="26"/>
  <c r="M1579" i="26"/>
  <c r="L1579" i="26"/>
  <c r="A1579" i="26"/>
  <c r="AC1576" i="26"/>
  <c r="AA1576" i="26"/>
  <c r="AB1576" i="26" s="1"/>
  <c r="Z1576" i="26"/>
  <c r="M1576" i="26"/>
  <c r="L1576" i="26"/>
  <c r="A1576" i="26"/>
  <c r="AC1571" i="26"/>
  <c r="AA1571" i="26"/>
  <c r="AB1571" i="26" s="1"/>
  <c r="Z1571" i="26"/>
  <c r="M1571" i="26"/>
  <c r="L1571" i="26"/>
  <c r="A1571" i="26"/>
  <c r="AC1568" i="26"/>
  <c r="AA1568" i="26"/>
  <c r="AB1568" i="26" s="1"/>
  <c r="Z1568" i="26"/>
  <c r="M1568" i="26"/>
  <c r="L1568" i="26"/>
  <c r="A1568" i="26"/>
  <c r="AC1564" i="26"/>
  <c r="AA1564" i="26"/>
  <c r="AB1564" i="26" s="1"/>
  <c r="Z1564" i="26"/>
  <c r="M1564" i="26"/>
  <c r="L1564" i="26"/>
  <c r="A1564" i="26"/>
  <c r="AC1563" i="26"/>
  <c r="AA1563" i="26"/>
  <c r="AB1563" i="26" s="1"/>
  <c r="Z1563" i="26"/>
  <c r="M1563" i="26"/>
  <c r="L1563" i="26"/>
  <c r="A1563" i="26"/>
  <c r="AC1562" i="26"/>
  <c r="AA1562" i="26"/>
  <c r="AB1562" i="26" s="1"/>
  <c r="Z1562" i="26"/>
  <c r="M1562" i="26"/>
  <c r="L1562" i="26"/>
  <c r="A1562" i="26"/>
  <c r="AC1561" i="26"/>
  <c r="AA1561" i="26"/>
  <c r="AB1561" i="26" s="1"/>
  <c r="Z1561" i="26"/>
  <c r="M1561" i="26"/>
  <c r="L1561" i="26"/>
  <c r="A1561" i="26"/>
  <c r="AC1555" i="26"/>
  <c r="Z1555" i="26"/>
  <c r="M1555" i="26"/>
  <c r="L1555" i="26"/>
  <c r="A1555" i="26"/>
  <c r="AC1553" i="26"/>
  <c r="AA1553" i="26"/>
  <c r="AB1553" i="26" s="1"/>
  <c r="Z1553" i="26"/>
  <c r="M1553" i="26"/>
  <c r="L1553" i="26"/>
  <c r="A1553" i="26"/>
  <c r="AC1552" i="26"/>
  <c r="AA1552" i="26"/>
  <c r="AB1552" i="26" s="1"/>
  <c r="Z1552" i="26"/>
  <c r="M1552" i="26"/>
  <c r="L1552" i="26"/>
  <c r="A1552" i="26"/>
  <c r="AC1551" i="26"/>
  <c r="AA1551" i="26"/>
  <c r="AB1551" i="26" s="1"/>
  <c r="Z1551" i="26"/>
  <c r="M1551" i="26"/>
  <c r="L1551" i="26"/>
  <c r="A1551" i="26"/>
  <c r="AC1550" i="26"/>
  <c r="AA1550" i="26"/>
  <c r="AB1550" i="26" s="1"/>
  <c r="Z1550" i="26"/>
  <c r="M1550" i="26"/>
  <c r="L1550" i="26"/>
  <c r="A1550" i="26"/>
  <c r="AC1547" i="26"/>
  <c r="Z1547" i="26"/>
  <c r="M1547" i="26"/>
  <c r="L1547" i="26"/>
  <c r="A1547" i="26"/>
  <c r="AC1545" i="26"/>
  <c r="AA1545" i="26"/>
  <c r="AB1545" i="26" s="1"/>
  <c r="Z1545" i="26"/>
  <c r="M1545" i="26"/>
  <c r="L1545" i="26"/>
  <c r="A1545" i="26"/>
  <c r="AC1541" i="26"/>
  <c r="AA1541" i="26"/>
  <c r="AB1541" i="26" s="1"/>
  <c r="Z1541" i="26"/>
  <c r="M1541" i="26"/>
  <c r="L1541" i="26"/>
  <c r="A1541" i="26"/>
  <c r="AC1674" i="26"/>
  <c r="Z1674" i="26"/>
  <c r="M1674" i="26"/>
  <c r="L1674" i="26"/>
  <c r="A1674" i="26"/>
  <c r="AC1667" i="26"/>
  <c r="Z1667" i="26"/>
  <c r="M1667" i="26"/>
  <c r="L1667" i="26"/>
  <c r="A1667" i="26"/>
  <c r="AC1590" i="26"/>
  <c r="Z1590" i="26"/>
  <c r="M1590" i="26"/>
  <c r="L1590" i="26"/>
  <c r="A1590" i="26"/>
  <c r="AC1675" i="26"/>
  <c r="Z1675" i="26"/>
  <c r="M1675" i="26"/>
  <c r="L1675" i="26"/>
  <c r="A1675" i="26"/>
  <c r="AC1670" i="26"/>
  <c r="Z1670" i="26"/>
  <c r="M1670" i="26"/>
  <c r="L1670" i="26"/>
  <c r="A1670" i="26"/>
  <c r="AC1604" i="26"/>
  <c r="Z1604" i="26"/>
  <c r="M1604" i="26"/>
  <c r="L1604" i="26"/>
  <c r="A1604" i="26"/>
  <c r="AC1540" i="26"/>
  <c r="Z1540" i="26"/>
  <c r="L1540" i="26"/>
  <c r="A1540" i="26"/>
  <c r="AC1539" i="26"/>
  <c r="Z1539" i="26"/>
  <c r="L1539" i="26"/>
  <c r="A1539" i="26"/>
  <c r="AC1537" i="26"/>
  <c r="Z1537" i="26"/>
  <c r="L1537" i="26"/>
  <c r="A1537" i="26"/>
  <c r="AC1536" i="26"/>
  <c r="Z1536" i="26"/>
  <c r="L1536" i="26"/>
  <c r="A1536" i="26"/>
  <c r="AC1534" i="26"/>
  <c r="Z1534" i="26"/>
  <c r="L1534" i="26"/>
  <c r="A1534" i="26"/>
  <c r="AC1533" i="26"/>
  <c r="Z1533" i="26"/>
  <c r="M1533" i="26"/>
  <c r="L1533" i="26"/>
  <c r="A1533" i="26"/>
  <c r="AC1532" i="26"/>
  <c r="Z1532" i="26"/>
  <c r="L1532" i="26"/>
  <c r="A1532" i="26"/>
  <c r="AC1531" i="26"/>
  <c r="Z1531" i="26"/>
  <c r="M1531" i="26"/>
  <c r="L1531" i="26"/>
  <c r="A1531" i="26"/>
  <c r="AC1529" i="26"/>
  <c r="Z1529" i="26"/>
  <c r="L1529" i="26"/>
  <c r="A1529" i="26"/>
  <c r="AC1527" i="26"/>
  <c r="Z1527" i="26"/>
  <c r="L1527" i="26"/>
  <c r="A1527" i="26"/>
  <c r="AC1524" i="26"/>
  <c r="Z1524" i="26"/>
  <c r="L1524" i="26"/>
  <c r="A1524" i="26"/>
  <c r="AC1522" i="26"/>
  <c r="Z1522" i="26"/>
  <c r="L1522" i="26"/>
  <c r="A1522" i="26"/>
  <c r="AC1521" i="26"/>
  <c r="Z1521" i="26"/>
  <c r="L1521" i="26"/>
  <c r="A1521" i="26"/>
  <c r="AC1519" i="26"/>
  <c r="Z1519" i="26"/>
  <c r="L1519" i="26"/>
  <c r="A1519" i="26"/>
  <c r="AC1518" i="26"/>
  <c r="Z1518" i="26"/>
  <c r="L1518" i="26"/>
  <c r="A1518" i="26"/>
  <c r="AC1515" i="26"/>
  <c r="AA1515" i="26"/>
  <c r="AB1515" i="26" s="1"/>
  <c r="Z1515" i="26"/>
  <c r="L1515" i="26"/>
  <c r="A1515" i="26"/>
  <c r="AC1514" i="26"/>
  <c r="AA1514" i="26"/>
  <c r="AB1514" i="26" s="1"/>
  <c r="Z1514" i="26"/>
  <c r="L1514" i="26"/>
  <c r="A1514" i="26"/>
  <c r="AC1511" i="26"/>
  <c r="Z1511" i="26"/>
  <c r="L1511" i="26"/>
  <c r="A1511" i="26"/>
  <c r="AC1510" i="26"/>
  <c r="Z1510" i="26"/>
  <c r="L1510" i="26"/>
  <c r="A1510" i="26"/>
  <c r="AC1509" i="26"/>
  <c r="Z1509" i="26"/>
  <c r="L1509" i="26"/>
  <c r="A1509" i="26"/>
  <c r="AC1508" i="26"/>
  <c r="Z1508" i="26"/>
  <c r="L1508" i="26"/>
  <c r="A1508" i="26"/>
  <c r="AC1507" i="26"/>
  <c r="Z1507" i="26"/>
  <c r="L1507" i="26"/>
  <c r="A1507" i="26"/>
  <c r="AC1506" i="26"/>
  <c r="Z1506" i="26"/>
  <c r="L1506" i="26"/>
  <c r="A1506" i="26"/>
  <c r="AC1505" i="26"/>
  <c r="Z1505" i="26"/>
  <c r="L1505" i="26"/>
  <c r="A1505" i="26"/>
  <c r="AC1503" i="26"/>
  <c r="Z1503" i="26"/>
  <c r="L1503" i="26"/>
  <c r="A1503" i="26"/>
  <c r="AC1502" i="26"/>
  <c r="Z1502" i="26"/>
  <c r="L1502" i="26"/>
  <c r="A1502" i="26"/>
  <c r="AC1501" i="26"/>
  <c r="Z1501" i="26"/>
  <c r="L1501" i="26"/>
  <c r="A1501" i="26"/>
  <c r="AC1500" i="26"/>
  <c r="Z1500" i="26"/>
  <c r="L1500" i="26"/>
  <c r="A1500" i="26"/>
  <c r="AC1538" i="26"/>
  <c r="AA1538" i="26"/>
  <c r="AB1538" i="26" s="1"/>
  <c r="Z1538" i="26"/>
  <c r="L1538" i="26"/>
  <c r="A1538" i="26"/>
  <c r="AC1535" i="26"/>
  <c r="AA1535" i="26"/>
  <c r="AB1535" i="26" s="1"/>
  <c r="Z1535" i="26"/>
  <c r="M1535" i="26"/>
  <c r="L1535" i="26"/>
  <c r="A1535" i="26"/>
  <c r="AC1530" i="26"/>
  <c r="AA1530" i="26"/>
  <c r="AB1530" i="26" s="1"/>
  <c r="Z1530" i="26"/>
  <c r="M1530" i="26"/>
  <c r="L1530" i="26"/>
  <c r="A1530" i="26"/>
  <c r="AC1528" i="26"/>
  <c r="AA1528" i="26"/>
  <c r="AB1528" i="26" s="1"/>
  <c r="Z1528" i="26"/>
  <c r="L1528" i="26"/>
  <c r="A1528" i="26"/>
  <c r="AC1526" i="26"/>
  <c r="AA1526" i="26"/>
  <c r="AB1526" i="26" s="1"/>
  <c r="Z1526" i="26"/>
  <c r="M1526" i="26"/>
  <c r="L1526" i="26"/>
  <c r="A1526" i="26"/>
  <c r="AC1525" i="26"/>
  <c r="Z1525" i="26"/>
  <c r="L1525" i="26"/>
  <c r="A1525" i="26"/>
  <c r="AC1523" i="26"/>
  <c r="Z1523" i="26"/>
  <c r="L1523" i="26"/>
  <c r="A1523" i="26"/>
  <c r="AC1520" i="26"/>
  <c r="AA1520" i="26"/>
  <c r="AB1520" i="26" s="1"/>
  <c r="Z1520" i="26"/>
  <c r="L1520" i="26"/>
  <c r="A1520" i="26"/>
  <c r="AC1517" i="26"/>
  <c r="AA1517" i="26"/>
  <c r="AB1517" i="26" s="1"/>
  <c r="Z1517" i="26"/>
  <c r="L1517" i="26"/>
  <c r="A1517" i="26"/>
  <c r="AC1516" i="26"/>
  <c r="Z1516" i="26"/>
  <c r="L1516" i="26"/>
  <c r="A1516" i="26"/>
  <c r="AC1513" i="26"/>
  <c r="AA1513" i="26"/>
  <c r="AB1513" i="26" s="1"/>
  <c r="Z1513" i="26"/>
  <c r="L1513" i="26"/>
  <c r="A1513" i="26"/>
  <c r="AC1512" i="26"/>
  <c r="AA1512" i="26"/>
  <c r="AB1512" i="26" s="1"/>
  <c r="Z1512" i="26"/>
  <c r="L1512" i="26"/>
  <c r="A1512" i="26"/>
  <c r="AC1504" i="26"/>
  <c r="AA1504" i="26"/>
  <c r="AB1504" i="26" s="1"/>
  <c r="Z1504" i="26"/>
  <c r="L1504" i="26"/>
  <c r="A1504" i="26"/>
  <c r="AC1499" i="26"/>
  <c r="AA1499" i="26"/>
  <c r="AB1499" i="26" s="1"/>
  <c r="Z1499" i="26"/>
  <c r="L1499" i="26"/>
  <c r="A1499" i="26"/>
  <c r="AC1485" i="26"/>
  <c r="Z1485" i="26"/>
  <c r="M1485" i="26"/>
  <c r="L1485" i="26"/>
  <c r="A1485" i="26"/>
  <c r="AC1468" i="26"/>
  <c r="Z1468" i="26"/>
  <c r="M1468" i="26"/>
  <c r="L1468" i="26"/>
  <c r="A1468" i="26"/>
  <c r="AC1442" i="26"/>
  <c r="Z1442" i="26"/>
  <c r="M1442" i="26"/>
  <c r="L1442" i="26"/>
  <c r="A1442" i="26"/>
  <c r="AC1498" i="26"/>
  <c r="Z1498" i="26"/>
  <c r="L1498" i="26"/>
  <c r="A1498" i="26"/>
  <c r="AC1496" i="26"/>
  <c r="Z1496" i="26"/>
  <c r="L1496" i="26"/>
  <c r="A1496" i="26"/>
  <c r="AC1495" i="26"/>
  <c r="Z1495" i="26"/>
  <c r="L1495" i="26"/>
  <c r="A1495" i="26"/>
  <c r="AC1494" i="26"/>
  <c r="Z1494" i="26"/>
  <c r="L1494" i="26"/>
  <c r="A1494" i="26"/>
  <c r="AC1493" i="26"/>
  <c r="Z1493" i="26"/>
  <c r="M1493" i="26"/>
  <c r="L1493" i="26"/>
  <c r="A1493" i="26"/>
  <c r="AC1492" i="26"/>
  <c r="Z1492" i="26"/>
  <c r="M1492" i="26"/>
  <c r="L1492" i="26"/>
  <c r="A1492" i="26"/>
  <c r="AC1491" i="26"/>
  <c r="Z1491" i="26"/>
  <c r="M1491" i="26"/>
  <c r="L1491" i="26"/>
  <c r="A1491" i="26"/>
  <c r="AC1489" i="26"/>
  <c r="Z1489" i="26"/>
  <c r="M1489" i="26"/>
  <c r="L1489" i="26"/>
  <c r="A1489" i="26"/>
  <c r="AC1487" i="26"/>
  <c r="Z1487" i="26"/>
  <c r="M1487" i="26"/>
  <c r="L1487" i="26"/>
  <c r="A1487" i="26"/>
  <c r="AC1486" i="26"/>
  <c r="Z1486" i="26"/>
  <c r="M1486" i="26"/>
  <c r="L1486" i="26"/>
  <c r="A1486" i="26"/>
  <c r="AC1484" i="26"/>
  <c r="Z1484" i="26"/>
  <c r="M1484" i="26"/>
  <c r="L1484" i="26"/>
  <c r="A1484" i="26"/>
  <c r="AC1483" i="26"/>
  <c r="Z1483" i="26"/>
  <c r="M1483" i="26"/>
  <c r="L1483" i="26"/>
  <c r="A1483" i="26"/>
  <c r="AC1482" i="26"/>
  <c r="Z1482" i="26"/>
  <c r="M1482" i="26"/>
  <c r="L1482" i="26"/>
  <c r="A1482" i="26"/>
  <c r="AC1481" i="26"/>
  <c r="Z1481" i="26"/>
  <c r="M1481" i="26"/>
  <c r="L1481" i="26"/>
  <c r="A1481" i="26"/>
  <c r="AC1480" i="26"/>
  <c r="Z1480" i="26"/>
  <c r="M1480" i="26"/>
  <c r="L1480" i="26"/>
  <c r="A1480" i="26"/>
  <c r="AC1479" i="26"/>
  <c r="Z1479" i="26"/>
  <c r="M1479" i="26"/>
  <c r="L1479" i="26"/>
  <c r="A1479" i="26"/>
  <c r="AC1478" i="26"/>
  <c r="Z1478" i="26"/>
  <c r="M1478" i="26"/>
  <c r="L1478" i="26"/>
  <c r="A1478" i="26"/>
  <c r="AC1477" i="26"/>
  <c r="Z1477" i="26"/>
  <c r="M1477" i="26"/>
  <c r="L1477" i="26"/>
  <c r="A1477" i="26"/>
  <c r="AC1476" i="26"/>
  <c r="Z1476" i="26"/>
  <c r="M1476" i="26"/>
  <c r="L1476" i="26"/>
  <c r="A1476" i="26"/>
  <c r="AC1475" i="26"/>
  <c r="Z1475" i="26"/>
  <c r="M1475" i="26"/>
  <c r="L1475" i="26"/>
  <c r="A1475" i="26"/>
  <c r="AC1474" i="26"/>
  <c r="Z1474" i="26"/>
  <c r="M1474" i="26"/>
  <c r="L1474" i="26"/>
  <c r="A1474" i="26"/>
  <c r="AC1473" i="26"/>
  <c r="Z1473" i="26"/>
  <c r="M1473" i="26"/>
  <c r="L1473" i="26"/>
  <c r="A1473" i="26"/>
  <c r="AC1471" i="26"/>
  <c r="Z1471" i="26"/>
  <c r="M1471" i="26"/>
  <c r="L1471" i="26"/>
  <c r="A1471" i="26"/>
  <c r="AC1470" i="26"/>
  <c r="Z1470" i="26"/>
  <c r="M1470" i="26"/>
  <c r="L1470" i="26"/>
  <c r="A1470" i="26"/>
  <c r="AC1469" i="26"/>
  <c r="Z1469" i="26"/>
  <c r="M1469" i="26"/>
  <c r="L1469" i="26"/>
  <c r="A1469" i="26"/>
  <c r="AC1467" i="26"/>
  <c r="Z1467" i="26"/>
  <c r="M1467" i="26"/>
  <c r="L1467" i="26"/>
  <c r="A1467" i="26"/>
  <c r="AC1466" i="26"/>
  <c r="Z1466" i="26"/>
  <c r="M1466" i="26"/>
  <c r="L1466" i="26"/>
  <c r="A1466" i="26"/>
  <c r="AC1465" i="26"/>
  <c r="Z1465" i="26"/>
  <c r="M1465" i="26"/>
  <c r="L1465" i="26"/>
  <c r="A1465" i="26"/>
  <c r="AC1464" i="26"/>
  <c r="Z1464" i="26"/>
  <c r="M1464" i="26"/>
  <c r="L1464" i="26"/>
  <c r="A1464" i="26"/>
  <c r="AC1462" i="26"/>
  <c r="Z1462" i="26"/>
  <c r="M1462" i="26"/>
  <c r="L1462" i="26"/>
  <c r="A1462" i="26"/>
  <c r="AC1461" i="26"/>
  <c r="Z1461" i="26"/>
  <c r="M1461" i="26"/>
  <c r="L1461" i="26"/>
  <c r="A1461" i="26"/>
  <c r="AC1460" i="26"/>
  <c r="Z1460" i="26"/>
  <c r="M1460" i="26"/>
  <c r="L1460" i="26"/>
  <c r="A1460" i="26"/>
  <c r="AC1459" i="26"/>
  <c r="Z1459" i="26"/>
  <c r="M1459" i="26"/>
  <c r="L1459" i="26"/>
  <c r="A1459" i="26"/>
  <c r="AC1458" i="26"/>
  <c r="Z1458" i="26"/>
  <c r="M1458" i="26"/>
  <c r="L1458" i="26"/>
  <c r="A1458" i="26"/>
  <c r="AC1457" i="26"/>
  <c r="Z1457" i="26"/>
  <c r="M1457" i="26"/>
  <c r="L1457" i="26"/>
  <c r="A1457" i="26"/>
  <c r="AC1456" i="26"/>
  <c r="Z1456" i="26"/>
  <c r="M1456" i="26"/>
  <c r="L1456" i="26"/>
  <c r="A1456" i="26"/>
  <c r="AC1453" i="26"/>
  <c r="Z1453" i="26"/>
  <c r="M1453" i="26"/>
  <c r="L1453" i="26"/>
  <c r="A1453" i="26"/>
  <c r="AC1451" i="26"/>
  <c r="Z1451" i="26"/>
  <c r="M1451" i="26"/>
  <c r="L1451" i="26"/>
  <c r="A1451" i="26"/>
  <c r="AC1450" i="26"/>
  <c r="Z1450" i="26"/>
  <c r="M1450" i="26"/>
  <c r="L1450" i="26"/>
  <c r="A1450" i="26"/>
  <c r="AC1448" i="26"/>
  <c r="Z1448" i="26"/>
  <c r="M1448" i="26"/>
  <c r="L1448" i="26"/>
  <c r="A1448" i="26"/>
  <c r="AC1447" i="26"/>
  <c r="Z1447" i="26"/>
  <c r="M1447" i="26"/>
  <c r="L1447" i="26"/>
  <c r="A1447" i="26"/>
  <c r="AC1446" i="26"/>
  <c r="Z1446" i="26"/>
  <c r="M1446" i="26"/>
  <c r="L1446" i="26"/>
  <c r="A1446" i="26"/>
  <c r="AC1445" i="26"/>
  <c r="Z1445" i="26"/>
  <c r="M1445" i="26"/>
  <c r="L1445" i="26"/>
  <c r="A1445" i="26"/>
  <c r="AC1441" i="26"/>
  <c r="Z1441" i="26"/>
  <c r="M1441" i="26"/>
  <c r="L1441" i="26"/>
  <c r="A1441" i="26"/>
  <c r="AC1440" i="26"/>
  <c r="Z1440" i="26"/>
  <c r="M1440" i="26"/>
  <c r="L1440" i="26"/>
  <c r="A1440" i="26"/>
  <c r="AC1439" i="26"/>
  <c r="Z1439" i="26"/>
  <c r="M1439" i="26"/>
  <c r="L1439" i="26"/>
  <c r="A1439" i="26"/>
  <c r="AC1437" i="26"/>
  <c r="Z1437" i="26"/>
  <c r="M1437" i="26"/>
  <c r="L1437" i="26"/>
  <c r="A1437" i="26"/>
  <c r="AC1436" i="26"/>
  <c r="Z1436" i="26"/>
  <c r="M1436" i="26"/>
  <c r="L1436" i="26"/>
  <c r="A1436" i="26"/>
  <c r="AC1435" i="26"/>
  <c r="Z1435" i="26"/>
  <c r="M1435" i="26"/>
  <c r="L1435" i="26"/>
  <c r="A1435" i="26"/>
  <c r="AC1433" i="26"/>
  <c r="Z1433" i="26"/>
  <c r="M1433" i="26"/>
  <c r="L1433" i="26"/>
  <c r="A1433" i="26"/>
  <c r="AC1431" i="26"/>
  <c r="Z1431" i="26"/>
  <c r="M1431" i="26"/>
  <c r="L1431" i="26"/>
  <c r="A1431" i="26"/>
  <c r="AC1430" i="26"/>
  <c r="Z1430" i="26"/>
  <c r="M1430" i="26"/>
  <c r="L1430" i="26"/>
  <c r="A1430" i="26"/>
  <c r="AC1429" i="26"/>
  <c r="Z1429" i="26"/>
  <c r="M1429" i="26"/>
  <c r="L1429" i="26"/>
  <c r="A1429" i="26"/>
  <c r="AC1426" i="26"/>
  <c r="Z1426" i="26"/>
  <c r="M1426" i="26"/>
  <c r="L1426" i="26"/>
  <c r="A1426" i="26"/>
  <c r="AC1425" i="26"/>
  <c r="Z1425" i="26"/>
  <c r="M1425" i="26"/>
  <c r="L1425" i="26"/>
  <c r="A1425" i="26"/>
  <c r="AC1424" i="26"/>
  <c r="Z1424" i="26"/>
  <c r="M1424" i="26"/>
  <c r="L1424" i="26"/>
  <c r="A1424" i="26"/>
  <c r="AC1422" i="26"/>
  <c r="Z1422" i="26"/>
  <c r="M1422" i="26"/>
  <c r="L1422" i="26"/>
  <c r="A1422" i="26"/>
  <c r="AC1421" i="26"/>
  <c r="Z1421" i="26"/>
  <c r="M1421" i="26"/>
  <c r="L1421" i="26"/>
  <c r="A1421" i="26"/>
  <c r="AC1420" i="26"/>
  <c r="Z1420" i="26"/>
  <c r="M1420" i="26"/>
  <c r="L1420" i="26"/>
  <c r="A1420" i="26"/>
  <c r="AC1419" i="26"/>
  <c r="Z1419" i="26"/>
  <c r="M1419" i="26"/>
  <c r="L1419" i="26"/>
  <c r="A1419" i="26"/>
  <c r="AC1418" i="26"/>
  <c r="Z1418" i="26"/>
  <c r="M1418" i="26"/>
  <c r="L1418" i="26"/>
  <c r="A1418" i="26"/>
  <c r="AC1417" i="26"/>
  <c r="Z1417" i="26"/>
  <c r="M1417" i="26"/>
  <c r="L1417" i="26"/>
  <c r="A1417" i="26"/>
  <c r="AC1415" i="26"/>
  <c r="Z1415" i="26"/>
  <c r="M1415" i="26"/>
  <c r="L1415" i="26"/>
  <c r="A1415" i="26"/>
  <c r="AC1413" i="26"/>
  <c r="Z1413" i="26"/>
  <c r="M1413" i="26"/>
  <c r="L1413" i="26"/>
  <c r="A1413" i="26"/>
  <c r="AC1412" i="26"/>
  <c r="Z1412" i="26"/>
  <c r="M1412" i="26"/>
  <c r="L1412" i="26"/>
  <c r="A1412" i="26"/>
  <c r="AC1411" i="26"/>
  <c r="Z1411" i="26"/>
  <c r="M1411" i="26"/>
  <c r="L1411" i="26"/>
  <c r="A1411" i="26"/>
  <c r="AC1409" i="26"/>
  <c r="Z1409" i="26"/>
  <c r="M1409" i="26"/>
  <c r="L1409" i="26"/>
  <c r="A1409" i="26"/>
  <c r="AC1407" i="26"/>
  <c r="Z1407" i="26"/>
  <c r="M1407" i="26"/>
  <c r="L1407" i="26"/>
  <c r="A1407" i="26"/>
  <c r="AC1497" i="26"/>
  <c r="Z1497" i="26"/>
  <c r="L1497" i="26"/>
  <c r="A1497" i="26"/>
  <c r="AC1490" i="26"/>
  <c r="Z1490" i="26"/>
  <c r="M1490" i="26"/>
  <c r="L1490" i="26"/>
  <c r="A1490" i="26"/>
  <c r="AC1488" i="26"/>
  <c r="Z1488" i="26"/>
  <c r="M1488" i="26"/>
  <c r="L1488" i="26"/>
  <c r="A1488" i="26"/>
  <c r="AC1472" i="26"/>
  <c r="Z1472" i="26"/>
  <c r="M1472" i="26"/>
  <c r="L1472" i="26"/>
  <c r="A1472" i="26"/>
  <c r="AC1463" i="26"/>
  <c r="Z1463" i="26"/>
  <c r="M1463" i="26"/>
  <c r="L1463" i="26"/>
  <c r="A1463" i="26"/>
  <c r="AC1455" i="26"/>
  <c r="Z1455" i="26"/>
  <c r="M1455" i="26"/>
  <c r="L1455" i="26"/>
  <c r="A1455" i="26"/>
  <c r="AC1454" i="26"/>
  <c r="Z1454" i="26"/>
  <c r="M1454" i="26"/>
  <c r="L1454" i="26"/>
  <c r="A1454" i="26"/>
  <c r="AC1452" i="26"/>
  <c r="Z1452" i="26"/>
  <c r="M1452" i="26"/>
  <c r="L1452" i="26"/>
  <c r="A1452" i="26"/>
  <c r="AC1449" i="26"/>
  <c r="Z1449" i="26"/>
  <c r="M1449" i="26"/>
  <c r="L1449" i="26"/>
  <c r="A1449" i="26"/>
  <c r="AC1444" i="26"/>
  <c r="Z1444" i="26"/>
  <c r="M1444" i="26"/>
  <c r="L1444" i="26"/>
  <c r="A1444" i="26"/>
  <c r="AC1443" i="26"/>
  <c r="Z1443" i="26"/>
  <c r="M1443" i="26"/>
  <c r="L1443" i="26"/>
  <c r="A1443" i="26"/>
  <c r="AC1438" i="26"/>
  <c r="Z1438" i="26"/>
  <c r="M1438" i="26"/>
  <c r="L1438" i="26"/>
  <c r="A1438" i="26"/>
  <c r="AC1434" i="26"/>
  <c r="Z1434" i="26"/>
  <c r="M1434" i="26"/>
  <c r="L1434" i="26"/>
  <c r="A1434" i="26"/>
  <c r="AC1432" i="26"/>
  <c r="Z1432" i="26"/>
  <c r="M1432" i="26"/>
  <c r="L1432" i="26"/>
  <c r="A1432" i="26"/>
  <c r="AC1428" i="26"/>
  <c r="Z1428" i="26"/>
  <c r="M1428" i="26"/>
  <c r="L1428" i="26"/>
  <c r="A1428" i="26"/>
  <c r="AC1427" i="26"/>
  <c r="Z1427" i="26"/>
  <c r="M1427" i="26"/>
  <c r="L1427" i="26"/>
  <c r="A1427" i="26"/>
  <c r="AC1423" i="26"/>
  <c r="Z1423" i="26"/>
  <c r="M1423" i="26"/>
  <c r="L1423" i="26"/>
  <c r="A1423" i="26"/>
  <c r="AC1416" i="26"/>
  <c r="Z1416" i="26"/>
  <c r="M1416" i="26"/>
  <c r="L1416" i="26"/>
  <c r="A1416" i="26"/>
  <c r="AC1414" i="26"/>
  <c r="Z1414" i="26"/>
  <c r="M1414" i="26"/>
  <c r="L1414" i="26"/>
  <c r="A1414" i="26"/>
  <c r="AC1410" i="26"/>
  <c r="Z1410" i="26"/>
  <c r="M1410" i="26"/>
  <c r="L1410" i="26"/>
  <c r="A1410" i="26"/>
  <c r="AC1408" i="26"/>
  <c r="Z1408" i="26"/>
  <c r="M1408" i="26"/>
  <c r="L1408" i="26"/>
  <c r="A1408" i="26"/>
  <c r="AC1406" i="26"/>
  <c r="Z1406" i="26"/>
  <c r="M1406" i="26"/>
  <c r="L1406" i="26"/>
  <c r="A1406" i="26"/>
  <c r="AC1405" i="26"/>
  <c r="Z1405" i="26"/>
  <c r="M1405" i="26"/>
  <c r="L1405" i="26"/>
  <c r="A1405" i="26"/>
  <c r="AC1404" i="26"/>
  <c r="Z1404" i="26"/>
  <c r="M1404" i="26"/>
  <c r="L1404" i="26"/>
  <c r="A1404" i="26"/>
  <c r="AC1403" i="26"/>
  <c r="Z1403" i="26"/>
  <c r="M1403" i="26"/>
  <c r="L1403" i="26"/>
  <c r="A1403" i="26"/>
  <c r="AC1402" i="26"/>
  <c r="Z1402" i="26"/>
  <c r="M1402" i="26"/>
  <c r="L1402" i="26"/>
  <c r="A1402" i="26"/>
  <c r="AC1401" i="26"/>
  <c r="Z1401" i="26"/>
  <c r="M1401" i="26"/>
  <c r="L1401" i="26"/>
  <c r="A1401" i="26"/>
  <c r="AC1399" i="26"/>
  <c r="Z1399" i="26"/>
  <c r="M1399" i="26"/>
  <c r="L1399" i="26"/>
  <c r="A1399" i="26"/>
  <c r="AC1400" i="26"/>
  <c r="Z1400" i="26"/>
  <c r="M1400" i="26"/>
  <c r="L1400" i="26"/>
  <c r="A1400" i="26"/>
  <c r="AC1398" i="26"/>
  <c r="Z1398" i="26"/>
  <c r="M1398" i="26"/>
  <c r="L1398" i="26"/>
  <c r="A1398" i="26"/>
  <c r="AC1397" i="26"/>
  <c r="Z1397" i="26"/>
  <c r="L1397" i="26"/>
  <c r="A1397" i="26"/>
  <c r="AC1396" i="26"/>
  <c r="Z1396" i="26"/>
  <c r="L1396" i="26"/>
  <c r="A1396" i="26"/>
  <c r="AC1315" i="26"/>
  <c r="Z1315" i="26"/>
  <c r="M1315" i="26"/>
  <c r="L1315" i="26"/>
  <c r="A1315" i="26"/>
  <c r="AC1359" i="26"/>
  <c r="Z1359" i="26"/>
  <c r="M1359" i="26"/>
  <c r="L1359" i="26"/>
  <c r="A1359" i="26"/>
  <c r="AC1338" i="26"/>
  <c r="Z1338" i="26"/>
  <c r="M1338" i="26"/>
  <c r="L1338" i="26"/>
  <c r="A1338" i="26"/>
  <c r="AC1335" i="26"/>
  <c r="Z1335" i="26"/>
  <c r="M1335" i="26"/>
  <c r="L1335" i="26"/>
  <c r="A1335" i="26"/>
  <c r="AC1333" i="26"/>
  <c r="Z1333" i="26"/>
  <c r="M1333" i="26"/>
  <c r="L1333" i="26"/>
  <c r="A1333" i="26"/>
  <c r="AC1331" i="26"/>
  <c r="Z1331" i="26"/>
  <c r="M1331" i="26"/>
  <c r="L1331" i="26"/>
  <c r="A1331" i="26"/>
  <c r="AC1328" i="26"/>
  <c r="Z1328" i="26"/>
  <c r="M1328" i="26"/>
  <c r="L1328" i="26"/>
  <c r="A1328" i="26"/>
  <c r="AC1318" i="26"/>
  <c r="Z1318" i="26"/>
  <c r="M1318" i="26"/>
  <c r="L1318" i="26"/>
  <c r="A1318" i="26"/>
  <c r="AC1312" i="26"/>
  <c r="Z1312" i="26"/>
  <c r="M1312" i="26"/>
  <c r="L1312" i="26"/>
  <c r="A1312" i="26"/>
  <c r="AC1395" i="26"/>
  <c r="Z1395" i="26"/>
  <c r="L1395" i="26"/>
  <c r="A1395" i="26"/>
  <c r="AC1393" i="26"/>
  <c r="Z1393" i="26"/>
  <c r="L1393" i="26"/>
  <c r="A1393" i="26"/>
  <c r="AC1391" i="26"/>
  <c r="Z1391" i="26"/>
  <c r="L1391" i="26"/>
  <c r="A1391" i="26"/>
  <c r="AC1389" i="26"/>
  <c r="Z1389" i="26"/>
  <c r="L1389" i="26"/>
  <c r="A1389" i="26"/>
  <c r="AC1387" i="26"/>
  <c r="AA1387" i="26"/>
  <c r="AB1387" i="26" s="1"/>
  <c r="Z1387" i="26"/>
  <c r="M1387" i="26"/>
  <c r="L1387" i="26"/>
  <c r="A1387" i="26"/>
  <c r="AC1386" i="26"/>
  <c r="AA1386" i="26"/>
  <c r="AB1386" i="26" s="1"/>
  <c r="Z1386" i="26"/>
  <c r="M1386" i="26"/>
  <c r="L1386" i="26"/>
  <c r="A1386" i="26"/>
  <c r="AC1385" i="26"/>
  <c r="Z1385" i="26"/>
  <c r="M1385" i="26"/>
  <c r="L1385" i="26"/>
  <c r="A1385" i="26"/>
  <c r="AC1384" i="26"/>
  <c r="AA1384" i="26"/>
  <c r="AB1384" i="26" s="1"/>
  <c r="Z1384" i="26"/>
  <c r="M1384" i="26"/>
  <c r="L1384" i="26"/>
  <c r="A1384" i="26"/>
  <c r="AC1381" i="26"/>
  <c r="Z1381" i="26"/>
  <c r="M1381" i="26"/>
  <c r="L1381" i="26"/>
  <c r="A1381" i="26"/>
  <c r="AC1379" i="26"/>
  <c r="Z1379" i="26"/>
  <c r="M1379" i="26"/>
  <c r="L1379" i="26"/>
  <c r="A1379" i="26"/>
  <c r="AC1378" i="26"/>
  <c r="Z1378" i="26"/>
  <c r="M1378" i="26"/>
  <c r="L1378" i="26"/>
  <c r="A1378" i="26"/>
  <c r="AC1377" i="26"/>
  <c r="Z1377" i="26"/>
  <c r="M1377" i="26"/>
  <c r="L1377" i="26"/>
  <c r="A1377" i="26"/>
  <c r="AC1375" i="26"/>
  <c r="Z1375" i="26"/>
  <c r="M1375" i="26"/>
  <c r="L1375" i="26"/>
  <c r="A1375" i="26"/>
  <c r="AC1373" i="26"/>
  <c r="Z1373" i="26"/>
  <c r="M1373" i="26"/>
  <c r="L1373" i="26"/>
  <c r="A1373" i="26"/>
  <c r="AC1372" i="26"/>
  <c r="Z1372" i="26"/>
  <c r="M1372" i="26"/>
  <c r="L1372" i="26"/>
  <c r="A1372" i="26"/>
  <c r="AC1369" i="26"/>
  <c r="Z1369" i="26"/>
  <c r="M1369" i="26"/>
  <c r="L1369" i="26"/>
  <c r="A1369" i="26"/>
  <c r="AC1364" i="26"/>
  <c r="Z1364" i="26"/>
  <c r="M1364" i="26"/>
  <c r="L1364" i="26"/>
  <c r="A1364" i="26"/>
  <c r="AC1362" i="26"/>
  <c r="Z1362" i="26"/>
  <c r="M1362" i="26"/>
  <c r="L1362" i="26"/>
  <c r="A1362" i="26"/>
  <c r="AC1361" i="26"/>
  <c r="Z1361" i="26"/>
  <c r="M1361" i="26"/>
  <c r="L1361" i="26"/>
  <c r="A1361" i="26"/>
  <c r="AC1358" i="26"/>
  <c r="Z1358" i="26"/>
  <c r="M1358" i="26"/>
  <c r="L1358" i="26"/>
  <c r="A1358" i="26"/>
  <c r="AC1357" i="26"/>
  <c r="Z1357" i="26"/>
  <c r="M1357" i="26"/>
  <c r="L1357" i="26"/>
  <c r="A1357" i="26"/>
  <c r="AC1356" i="26"/>
  <c r="Z1356" i="26"/>
  <c r="M1356" i="26"/>
  <c r="L1356" i="26"/>
  <c r="A1356" i="26"/>
  <c r="AC1355" i="26"/>
  <c r="Z1355" i="26"/>
  <c r="M1355" i="26"/>
  <c r="L1355" i="26"/>
  <c r="A1355" i="26"/>
  <c r="AC1353" i="26"/>
  <c r="Z1353" i="26"/>
  <c r="M1353" i="26"/>
  <c r="L1353" i="26"/>
  <c r="A1353" i="26"/>
  <c r="AC1350" i="26"/>
  <c r="Z1350" i="26"/>
  <c r="M1350" i="26"/>
  <c r="L1350" i="26"/>
  <c r="A1350" i="26"/>
  <c r="AC1349" i="26"/>
  <c r="Z1349" i="26"/>
  <c r="M1349" i="26"/>
  <c r="L1349" i="26"/>
  <c r="A1349" i="26"/>
  <c r="AC1348" i="26"/>
  <c r="Z1348" i="26"/>
  <c r="M1348" i="26"/>
  <c r="L1348" i="26"/>
  <c r="A1348" i="26"/>
  <c r="AC1347" i="26"/>
  <c r="Z1347" i="26"/>
  <c r="M1347" i="26"/>
  <c r="L1347" i="26"/>
  <c r="A1347" i="26"/>
  <c r="AC1344" i="26"/>
  <c r="Z1344" i="26"/>
  <c r="M1344" i="26"/>
  <c r="L1344" i="26"/>
  <c r="A1344" i="26"/>
  <c r="AC1342" i="26"/>
  <c r="Z1342" i="26"/>
  <c r="M1342" i="26"/>
  <c r="L1342" i="26"/>
  <c r="A1342" i="26"/>
  <c r="AC1341" i="26"/>
  <c r="Z1341" i="26"/>
  <c r="M1341" i="26"/>
  <c r="L1341" i="26"/>
  <c r="A1341" i="26"/>
  <c r="AC1340" i="26"/>
  <c r="Z1340" i="26"/>
  <c r="M1340" i="26"/>
  <c r="L1340" i="26"/>
  <c r="A1340" i="26"/>
  <c r="AC1337" i="26"/>
  <c r="Z1337" i="26"/>
  <c r="M1337" i="26"/>
  <c r="L1337" i="26"/>
  <c r="A1337" i="26"/>
  <c r="AC1336" i="26"/>
  <c r="Z1336" i="26"/>
  <c r="M1336" i="26"/>
  <c r="L1336" i="26"/>
  <c r="A1336" i="26"/>
  <c r="AC1334" i="26"/>
  <c r="Z1334" i="26"/>
  <c r="M1334" i="26"/>
  <c r="L1334" i="26"/>
  <c r="A1334" i="26"/>
  <c r="AC1332" i="26"/>
  <c r="Z1332" i="26"/>
  <c r="M1332" i="26"/>
  <c r="L1332" i="26"/>
  <c r="A1332" i="26"/>
  <c r="AC1330" i="26"/>
  <c r="Z1330" i="26"/>
  <c r="M1330" i="26"/>
  <c r="L1330" i="26"/>
  <c r="A1330" i="26"/>
  <c r="AC1329" i="26"/>
  <c r="Z1329" i="26"/>
  <c r="M1329" i="26"/>
  <c r="L1329" i="26"/>
  <c r="A1329" i="26"/>
  <c r="AC1326" i="26"/>
  <c r="Z1326" i="26"/>
  <c r="M1326" i="26"/>
  <c r="L1326" i="26"/>
  <c r="A1326" i="26"/>
  <c r="AC1325" i="26"/>
  <c r="Z1325" i="26"/>
  <c r="M1325" i="26"/>
  <c r="L1325" i="26"/>
  <c r="A1325" i="26"/>
  <c r="AC1324" i="26"/>
  <c r="Z1324" i="26"/>
  <c r="M1324" i="26"/>
  <c r="L1324" i="26"/>
  <c r="A1324" i="26"/>
  <c r="AC1319" i="26"/>
  <c r="Z1319" i="26"/>
  <c r="M1319" i="26"/>
  <c r="L1319" i="26"/>
  <c r="A1319" i="26"/>
  <c r="AC1317" i="26"/>
  <c r="Z1317" i="26"/>
  <c r="M1317" i="26"/>
  <c r="L1317" i="26"/>
  <c r="A1317" i="26"/>
  <c r="AC1314" i="26"/>
  <c r="Z1314" i="26"/>
  <c r="M1314" i="26"/>
  <c r="L1314" i="26"/>
  <c r="A1314" i="26"/>
  <c r="AC1311" i="26"/>
  <c r="Z1311" i="26"/>
  <c r="M1311" i="26"/>
  <c r="L1311" i="26"/>
  <c r="A1311" i="26"/>
  <c r="AC1394" i="26"/>
  <c r="Z1394" i="26"/>
  <c r="L1394" i="26"/>
  <c r="A1394" i="26"/>
  <c r="AC1392" i="26"/>
  <c r="Z1392" i="26"/>
  <c r="L1392" i="26"/>
  <c r="A1392" i="26"/>
  <c r="AC1390" i="26"/>
  <c r="Z1390" i="26"/>
  <c r="L1390" i="26"/>
  <c r="A1390" i="26"/>
  <c r="AC1388" i="26"/>
  <c r="Z1388" i="26"/>
  <c r="L1388" i="26"/>
  <c r="A1388" i="26"/>
  <c r="AC1383" i="26"/>
  <c r="Z1383" i="26"/>
  <c r="M1383" i="26"/>
  <c r="L1383" i="26"/>
  <c r="A1383" i="26"/>
  <c r="AC1382" i="26"/>
  <c r="Z1382" i="26"/>
  <c r="M1382" i="26"/>
  <c r="L1382" i="26"/>
  <c r="A1382" i="26"/>
  <c r="AC1380" i="26"/>
  <c r="Z1380" i="26"/>
  <c r="M1380" i="26"/>
  <c r="L1380" i="26"/>
  <c r="A1380" i="26"/>
  <c r="AC1371" i="26"/>
  <c r="Z1371" i="26"/>
  <c r="M1371" i="26"/>
  <c r="L1371" i="26"/>
  <c r="A1371" i="26"/>
  <c r="AC1368" i="26"/>
  <c r="AA1368" i="26"/>
  <c r="AB1368" i="26" s="1"/>
  <c r="Z1368" i="26"/>
  <c r="M1368" i="26"/>
  <c r="L1368" i="26"/>
  <c r="A1368" i="26"/>
  <c r="AC1365" i="26"/>
  <c r="AA1365" i="26"/>
  <c r="AB1365" i="26" s="1"/>
  <c r="Z1365" i="26"/>
  <c r="M1365" i="26"/>
  <c r="L1365" i="26"/>
  <c r="A1365" i="26"/>
  <c r="AC1363" i="26"/>
  <c r="Z1363" i="26"/>
  <c r="M1363" i="26"/>
  <c r="L1363" i="26"/>
  <c r="A1363" i="26"/>
  <c r="AC1360" i="26"/>
  <c r="Z1360" i="26"/>
  <c r="M1360" i="26"/>
  <c r="L1360" i="26"/>
  <c r="A1360" i="26"/>
  <c r="AC1354" i="26"/>
  <c r="Z1354" i="26"/>
  <c r="M1354" i="26"/>
  <c r="L1354" i="26"/>
  <c r="A1354" i="26"/>
  <c r="AC1352" i="26"/>
  <c r="Z1352" i="26"/>
  <c r="M1352" i="26"/>
  <c r="L1352" i="26"/>
  <c r="A1352" i="26"/>
  <c r="AC1351" i="26"/>
  <c r="Z1351" i="26"/>
  <c r="M1351" i="26"/>
  <c r="L1351" i="26"/>
  <c r="A1351" i="26"/>
  <c r="AC1346" i="26"/>
  <c r="Z1346" i="26"/>
  <c r="M1346" i="26"/>
  <c r="L1346" i="26"/>
  <c r="A1346" i="26"/>
  <c r="AC1343" i="26"/>
  <c r="Z1343" i="26"/>
  <c r="M1343" i="26"/>
  <c r="L1343" i="26"/>
  <c r="A1343" i="26"/>
  <c r="AC1339" i="26"/>
  <c r="Z1339" i="26"/>
  <c r="M1339" i="26"/>
  <c r="L1339" i="26"/>
  <c r="A1339" i="26"/>
  <c r="AC1323" i="26"/>
  <c r="Z1323" i="26"/>
  <c r="M1323" i="26"/>
  <c r="L1323" i="26"/>
  <c r="A1323" i="26"/>
  <c r="AC1322" i="26"/>
  <c r="Z1322" i="26"/>
  <c r="M1322" i="26"/>
  <c r="L1322" i="26"/>
  <c r="A1322" i="26"/>
  <c r="AC1321" i="26"/>
  <c r="Z1321" i="26"/>
  <c r="M1321" i="26"/>
  <c r="L1321" i="26"/>
  <c r="A1321" i="26"/>
  <c r="AC1320" i="26"/>
  <c r="Z1320" i="26"/>
  <c r="M1320" i="26"/>
  <c r="L1320" i="26"/>
  <c r="A1320" i="26"/>
  <c r="AC1316" i="26"/>
  <c r="AA1316" i="26"/>
  <c r="AB1316" i="26" s="1"/>
  <c r="Z1316" i="26"/>
  <c r="M1316" i="26"/>
  <c r="L1316" i="26"/>
  <c r="A1316" i="26"/>
  <c r="AC1313" i="26"/>
  <c r="AA1313" i="26"/>
  <c r="AB1313" i="26" s="1"/>
  <c r="Z1313" i="26"/>
  <c r="M1313" i="26"/>
  <c r="L1313" i="26"/>
  <c r="A1313" i="26"/>
  <c r="AC1310" i="26"/>
  <c r="AA1310" i="26"/>
  <c r="AB1310" i="26" s="1"/>
  <c r="Z1310" i="26"/>
  <c r="M1310" i="26"/>
  <c r="L1310" i="26"/>
  <c r="A1310" i="26"/>
  <c r="AC1309" i="26"/>
  <c r="AA1309" i="26"/>
  <c r="AB1309" i="26" s="1"/>
  <c r="Z1309" i="26"/>
  <c r="M1309" i="26"/>
  <c r="L1309" i="26"/>
  <c r="A1309" i="26"/>
  <c r="AC1374" i="26"/>
  <c r="AB1374" i="26"/>
  <c r="Z1374" i="26"/>
  <c r="M1374" i="26"/>
  <c r="L1374" i="26"/>
  <c r="A1374" i="26"/>
  <c r="AC1366" i="26"/>
  <c r="Z1366" i="26"/>
  <c r="M1366" i="26"/>
  <c r="L1366" i="26"/>
  <c r="A1366" i="26"/>
  <c r="AC1327" i="26"/>
  <c r="Z1327" i="26"/>
  <c r="M1327" i="26"/>
  <c r="L1327" i="26"/>
  <c r="A1327" i="26"/>
  <c r="AC1376" i="26"/>
  <c r="Z1376" i="26"/>
  <c r="M1376" i="26"/>
  <c r="L1376" i="26"/>
  <c r="A1376" i="26"/>
  <c r="AC1370" i="26"/>
  <c r="Z1370" i="26"/>
  <c r="M1370" i="26"/>
  <c r="L1370" i="26"/>
  <c r="A1370" i="26"/>
  <c r="AC1367" i="26"/>
  <c r="Z1367" i="26"/>
  <c r="M1367" i="26"/>
  <c r="L1367" i="26"/>
  <c r="A1367" i="26"/>
  <c r="AC1345" i="26"/>
  <c r="Z1345" i="26"/>
  <c r="M1345" i="26"/>
  <c r="L1345" i="26"/>
  <c r="A1345" i="26"/>
  <c r="AC1307" i="26"/>
  <c r="Z1307" i="26"/>
  <c r="M1307" i="26"/>
  <c r="L1307" i="26"/>
  <c r="A1307" i="26"/>
  <c r="AC1304" i="26"/>
  <c r="Z1304" i="26"/>
  <c r="M1304" i="26"/>
  <c r="L1304" i="26"/>
  <c r="A1304" i="26"/>
  <c r="AC1291" i="26"/>
  <c r="Z1291" i="26"/>
  <c r="M1291" i="26"/>
  <c r="L1291" i="26"/>
  <c r="A1291" i="26"/>
  <c r="AC1308" i="26"/>
  <c r="Z1308" i="26"/>
  <c r="M1308" i="26"/>
  <c r="L1308" i="26"/>
  <c r="A1308" i="26"/>
  <c r="AC1306" i="26"/>
  <c r="AA1306" i="26"/>
  <c r="AB1306" i="26" s="1"/>
  <c r="Z1306" i="26"/>
  <c r="M1306" i="26"/>
  <c r="L1306" i="26"/>
  <c r="A1306" i="26"/>
  <c r="AC1305" i="26"/>
  <c r="AA1305" i="26"/>
  <c r="AB1305" i="26" s="1"/>
  <c r="Z1305" i="26"/>
  <c r="M1305" i="26"/>
  <c r="L1305" i="26"/>
  <c r="A1305" i="26"/>
  <c r="AC1303" i="26"/>
  <c r="Z1303" i="26"/>
  <c r="M1303" i="26"/>
  <c r="L1303" i="26"/>
  <c r="A1303" i="26"/>
  <c r="AC1301" i="26"/>
  <c r="Z1301" i="26"/>
  <c r="M1301" i="26"/>
  <c r="L1301" i="26"/>
  <c r="A1301" i="26"/>
  <c r="AC1299" i="26"/>
  <c r="Z1299" i="26"/>
  <c r="M1299" i="26"/>
  <c r="L1299" i="26"/>
  <c r="A1299" i="26"/>
  <c r="AC1298" i="26"/>
  <c r="Z1298" i="26"/>
  <c r="M1298" i="26"/>
  <c r="L1298" i="26"/>
  <c r="A1298" i="26"/>
  <c r="AC1297" i="26"/>
  <c r="Z1297" i="26"/>
  <c r="M1297" i="26"/>
  <c r="L1297" i="26"/>
  <c r="A1297" i="26"/>
  <c r="AC1296" i="26"/>
  <c r="Z1296" i="26"/>
  <c r="M1296" i="26"/>
  <c r="L1296" i="26"/>
  <c r="A1296" i="26"/>
  <c r="AC1294" i="26"/>
  <c r="Z1294" i="26"/>
  <c r="M1294" i="26"/>
  <c r="L1294" i="26"/>
  <c r="A1294" i="26"/>
  <c r="AC1290" i="26"/>
  <c r="Z1290" i="26"/>
  <c r="M1290" i="26"/>
  <c r="L1290" i="26"/>
  <c r="A1290" i="26"/>
  <c r="AC1288" i="26"/>
  <c r="Z1288" i="26"/>
  <c r="M1288" i="26"/>
  <c r="L1288" i="26"/>
  <c r="A1288" i="26"/>
  <c r="AC1287" i="26"/>
  <c r="Z1287" i="26"/>
  <c r="M1287" i="26"/>
  <c r="L1287" i="26"/>
  <c r="A1287" i="26"/>
  <c r="AC1284" i="26"/>
  <c r="Z1284" i="26"/>
  <c r="M1284" i="26"/>
  <c r="L1284" i="26"/>
  <c r="A1284" i="26"/>
  <c r="AC1282" i="26"/>
  <c r="Z1282" i="26"/>
  <c r="M1282" i="26"/>
  <c r="L1282" i="26"/>
  <c r="A1282" i="26"/>
  <c r="AC1302" i="26"/>
  <c r="Z1302" i="26"/>
  <c r="M1302" i="26"/>
  <c r="L1302" i="26"/>
  <c r="A1302" i="26"/>
  <c r="AC1300" i="26"/>
  <c r="Z1300" i="26"/>
  <c r="M1300" i="26"/>
  <c r="L1300" i="26"/>
  <c r="A1300" i="26"/>
  <c r="AC1295" i="26"/>
  <c r="Z1295" i="26"/>
  <c r="M1295" i="26"/>
  <c r="L1295" i="26"/>
  <c r="A1295" i="26"/>
  <c r="AC1293" i="26"/>
  <c r="Z1293" i="26"/>
  <c r="M1293" i="26"/>
  <c r="L1293" i="26"/>
  <c r="A1293" i="26"/>
  <c r="AC1292" i="26"/>
  <c r="Z1292" i="26"/>
  <c r="M1292" i="26"/>
  <c r="L1292" i="26"/>
  <c r="A1292" i="26"/>
  <c r="AC1289" i="26"/>
  <c r="Z1289" i="26"/>
  <c r="M1289" i="26"/>
  <c r="L1289" i="26"/>
  <c r="A1289" i="26"/>
  <c r="AC1286" i="26"/>
  <c r="Z1286" i="26"/>
  <c r="M1286" i="26"/>
  <c r="L1286" i="26"/>
  <c r="A1286" i="26"/>
  <c r="AC1285" i="26"/>
  <c r="Z1285" i="26"/>
  <c r="M1285" i="26"/>
  <c r="L1285" i="26"/>
  <c r="A1285" i="26"/>
  <c r="AC1283" i="26"/>
  <c r="Z1283" i="26"/>
  <c r="M1283" i="26"/>
  <c r="L1283" i="26"/>
  <c r="A1283" i="26"/>
  <c r="AC1281" i="26"/>
  <c r="Z1281" i="26"/>
  <c r="M1281" i="26"/>
  <c r="L1281" i="26"/>
  <c r="A1281" i="26"/>
  <c r="AC1280" i="26"/>
  <c r="Z1280" i="26"/>
  <c r="M1280" i="26"/>
  <c r="L1280" i="26"/>
  <c r="A1280" i="26"/>
  <c r="AC1275" i="26"/>
  <c r="Z1275" i="26"/>
  <c r="M1275" i="26"/>
  <c r="L1275" i="26"/>
  <c r="A1275" i="26"/>
  <c r="AC1273" i="26"/>
  <c r="Z1273" i="26"/>
  <c r="M1273" i="26"/>
  <c r="L1273" i="26"/>
  <c r="A1273" i="26"/>
  <c r="AC1272" i="26"/>
  <c r="Z1272" i="26"/>
  <c r="M1272" i="26"/>
  <c r="L1272" i="26"/>
  <c r="A1272" i="26"/>
  <c r="AC1271" i="26"/>
  <c r="Z1271" i="26"/>
  <c r="M1271" i="26"/>
  <c r="L1271" i="26"/>
  <c r="A1271" i="26"/>
  <c r="AC1270" i="26"/>
  <c r="Z1270" i="26"/>
  <c r="M1270" i="26"/>
  <c r="L1270" i="26"/>
  <c r="A1270" i="26"/>
  <c r="AC1276" i="26"/>
  <c r="Z1276" i="26"/>
  <c r="M1276" i="26"/>
  <c r="L1276" i="26"/>
  <c r="A1276" i="26"/>
  <c r="AC1279" i="26"/>
  <c r="Z1279" i="26"/>
  <c r="M1279" i="26"/>
  <c r="L1279" i="26"/>
  <c r="A1279" i="26"/>
  <c r="AC1278" i="26"/>
  <c r="Z1278" i="26"/>
  <c r="M1278" i="26"/>
  <c r="L1278" i="26"/>
  <c r="A1278" i="26"/>
  <c r="AC1277" i="26"/>
  <c r="Z1277" i="26"/>
  <c r="M1277" i="26"/>
  <c r="L1277" i="26"/>
  <c r="A1277" i="26"/>
  <c r="AC1274" i="26"/>
  <c r="Z1274" i="26"/>
  <c r="M1274" i="26"/>
  <c r="L1274" i="26"/>
  <c r="A1274" i="26"/>
  <c r="AC1269" i="26"/>
  <c r="Z1269" i="26"/>
  <c r="M1269" i="26"/>
  <c r="L1269" i="26"/>
  <c r="A1269" i="26"/>
  <c r="AC1239" i="26"/>
  <c r="Z1239" i="26"/>
  <c r="M1239" i="26"/>
  <c r="L1239" i="26"/>
  <c r="A1239" i="26"/>
  <c r="AC1268" i="26"/>
  <c r="Z1268" i="26"/>
  <c r="M1268" i="26"/>
  <c r="L1268" i="26"/>
  <c r="A1268" i="26"/>
  <c r="AC1266" i="26"/>
  <c r="Z1266" i="26"/>
  <c r="L1266" i="26"/>
  <c r="A1266" i="26"/>
  <c r="AC1264" i="26"/>
  <c r="AA1264" i="26"/>
  <c r="AB1264" i="26" s="1"/>
  <c r="Z1264" i="26"/>
  <c r="L1264" i="26"/>
  <c r="A1264" i="26"/>
  <c r="AC1262" i="26"/>
  <c r="Z1262" i="26"/>
  <c r="L1262" i="26"/>
  <c r="A1262" i="26"/>
  <c r="AC1261" i="26"/>
  <c r="Z1261" i="26"/>
  <c r="L1261" i="26"/>
  <c r="A1261" i="26"/>
  <c r="AC1260" i="26"/>
  <c r="Z1260" i="26"/>
  <c r="L1260" i="26"/>
  <c r="A1260" i="26"/>
  <c r="AC1258" i="26"/>
  <c r="AA1258" i="26"/>
  <c r="AB1258" i="26" s="1"/>
  <c r="Z1258" i="26"/>
  <c r="L1258" i="26"/>
  <c r="A1258" i="26"/>
  <c r="AC1257" i="26"/>
  <c r="Z1257" i="26"/>
  <c r="L1257" i="26"/>
  <c r="A1257" i="26"/>
  <c r="AC1254" i="26"/>
  <c r="Z1254" i="26"/>
  <c r="M1254" i="26"/>
  <c r="L1254" i="26"/>
  <c r="A1254" i="26"/>
  <c r="AC1252" i="26"/>
  <c r="Z1252" i="26"/>
  <c r="M1252" i="26"/>
  <c r="L1252" i="26"/>
  <c r="A1252" i="26"/>
  <c r="AC1251" i="26"/>
  <c r="Z1251" i="26"/>
  <c r="M1251" i="26"/>
  <c r="L1251" i="26"/>
  <c r="A1251" i="26"/>
  <c r="AC1249" i="26"/>
  <c r="Z1249" i="26"/>
  <c r="M1249" i="26"/>
  <c r="L1249" i="26"/>
  <c r="A1249" i="26"/>
  <c r="AC1247" i="26"/>
  <c r="Z1247" i="26"/>
  <c r="M1247" i="26"/>
  <c r="L1247" i="26"/>
  <c r="A1247" i="26"/>
  <c r="AC1245" i="26"/>
  <c r="Z1245" i="26"/>
  <c r="M1245" i="26"/>
  <c r="L1245" i="26"/>
  <c r="A1245" i="26"/>
  <c r="AC1243" i="26"/>
  <c r="Z1243" i="26"/>
  <c r="M1243" i="26"/>
  <c r="L1243" i="26"/>
  <c r="A1243" i="26"/>
  <c r="AC1241" i="26"/>
  <c r="Z1241" i="26"/>
  <c r="M1241" i="26"/>
  <c r="L1241" i="26"/>
  <c r="A1241" i="26"/>
  <c r="AC1267" i="26"/>
  <c r="AA1267" i="26"/>
  <c r="AB1267" i="26" s="1"/>
  <c r="Z1267" i="26"/>
  <c r="L1267" i="26"/>
  <c r="A1267" i="26"/>
  <c r="AC1265" i="26"/>
  <c r="AA1265" i="26"/>
  <c r="AB1265" i="26" s="1"/>
  <c r="Z1265" i="26"/>
  <c r="L1265" i="26"/>
  <c r="A1265" i="26"/>
  <c r="AC1263" i="26"/>
  <c r="AA1263" i="26"/>
  <c r="AB1263" i="26" s="1"/>
  <c r="Z1263" i="26"/>
  <c r="L1263" i="26"/>
  <c r="A1263" i="26"/>
  <c r="AC1259" i="26"/>
  <c r="AA1259" i="26"/>
  <c r="AB1259" i="26" s="1"/>
  <c r="Z1259" i="26"/>
  <c r="L1259" i="26"/>
  <c r="A1259" i="26"/>
  <c r="AC1256" i="26"/>
  <c r="AA1256" i="26"/>
  <c r="AB1256" i="26" s="1"/>
  <c r="Z1256" i="26"/>
  <c r="L1256" i="26"/>
  <c r="A1256" i="26"/>
  <c r="AC1255" i="26"/>
  <c r="AA1255" i="26"/>
  <c r="AB1255" i="26" s="1"/>
  <c r="Z1255" i="26"/>
  <c r="L1255" i="26"/>
  <c r="A1255" i="26"/>
  <c r="AC1253" i="26"/>
  <c r="Z1253" i="26"/>
  <c r="M1253" i="26"/>
  <c r="L1253" i="26"/>
  <c r="A1253" i="26"/>
  <c r="AC1250" i="26"/>
  <c r="Z1250" i="26"/>
  <c r="M1250" i="26"/>
  <c r="L1250" i="26"/>
  <c r="A1250" i="26"/>
  <c r="AC1248" i="26"/>
  <c r="Z1248" i="26"/>
  <c r="M1248" i="26"/>
  <c r="L1248" i="26"/>
  <c r="A1248" i="26"/>
  <c r="AC1246" i="26"/>
  <c r="Z1246" i="26"/>
  <c r="M1246" i="26"/>
  <c r="L1246" i="26"/>
  <c r="A1246" i="26"/>
  <c r="AC1244" i="26"/>
  <c r="AA1244" i="26"/>
  <c r="AB1244" i="26" s="1"/>
  <c r="Z1244" i="26"/>
  <c r="M1244" i="26"/>
  <c r="L1244" i="26"/>
  <c r="A1244" i="26"/>
  <c r="AC1242" i="26"/>
  <c r="Z1242" i="26"/>
  <c r="M1242" i="26"/>
  <c r="L1242" i="26"/>
  <c r="A1242" i="26"/>
  <c r="AC1240" i="26"/>
  <c r="Z1240" i="26"/>
  <c r="M1240" i="26"/>
  <c r="L1240" i="26"/>
  <c r="A1240" i="26"/>
  <c r="AC1238" i="26"/>
  <c r="Z1238" i="26"/>
  <c r="M1238" i="26"/>
  <c r="L1238" i="26"/>
  <c r="A1238" i="26"/>
  <c r="AC1189" i="26"/>
  <c r="Z1189" i="26"/>
  <c r="M1189" i="26"/>
  <c r="L1189" i="26"/>
  <c r="A1189" i="26"/>
  <c r="AC1153" i="26"/>
  <c r="Z1153" i="26"/>
  <c r="M1153" i="26"/>
  <c r="L1153" i="26"/>
  <c r="A1153" i="26"/>
  <c r="AC1137" i="26"/>
  <c r="Z1137" i="26"/>
  <c r="M1137" i="26"/>
  <c r="L1137" i="26"/>
  <c r="A1137" i="26"/>
  <c r="AC1210" i="26"/>
  <c r="Z1210" i="26"/>
  <c r="M1210" i="26"/>
  <c r="L1210" i="26"/>
  <c r="A1210" i="26"/>
  <c r="AC1160" i="26"/>
  <c r="Z1160" i="26"/>
  <c r="M1160" i="26"/>
  <c r="L1160" i="26"/>
  <c r="A1160" i="26"/>
  <c r="AC1158" i="26"/>
  <c r="Z1158" i="26"/>
  <c r="M1158" i="26"/>
  <c r="L1158" i="26"/>
  <c r="A1158" i="26"/>
  <c r="AC1157" i="26"/>
  <c r="Z1157" i="26"/>
  <c r="M1157" i="26"/>
  <c r="L1157" i="26"/>
  <c r="A1157" i="26"/>
  <c r="AC1134" i="26"/>
  <c r="Z1134" i="26"/>
  <c r="M1134" i="26"/>
  <c r="L1134" i="26"/>
  <c r="A1134" i="26"/>
  <c r="AC1124" i="26"/>
  <c r="Z1124" i="26"/>
  <c r="M1124" i="26"/>
  <c r="L1124" i="26"/>
  <c r="A1124" i="26"/>
  <c r="AC1236" i="26"/>
  <c r="Z1236" i="26"/>
  <c r="L1236" i="26"/>
  <c r="A1236" i="26"/>
  <c r="AC1234" i="26"/>
  <c r="Z1234" i="26"/>
  <c r="L1234" i="26"/>
  <c r="A1234" i="26"/>
  <c r="AC1231" i="26"/>
  <c r="Z1231" i="26"/>
  <c r="L1231" i="26"/>
  <c r="A1231" i="26"/>
  <c r="AC1230" i="26"/>
  <c r="Z1230" i="26"/>
  <c r="L1230" i="26"/>
  <c r="A1230" i="26"/>
  <c r="AC1229" i="26"/>
  <c r="Z1229" i="26"/>
  <c r="L1229" i="26"/>
  <c r="A1229" i="26"/>
  <c r="AC1227" i="26"/>
  <c r="AA1227" i="26"/>
  <c r="AB1227" i="26" s="1"/>
  <c r="Z1227" i="26"/>
  <c r="L1227" i="26"/>
  <c r="A1227" i="26"/>
  <c r="AC1225" i="26"/>
  <c r="Z1225" i="26"/>
  <c r="L1225" i="26"/>
  <c r="A1225" i="26"/>
  <c r="AC1222" i="26"/>
  <c r="AA1222" i="26"/>
  <c r="AB1222" i="26" s="1"/>
  <c r="Z1222" i="26"/>
  <c r="M1222" i="26"/>
  <c r="L1222" i="26"/>
  <c r="A1222" i="26"/>
  <c r="AC1223" i="26"/>
  <c r="AA1223" i="26"/>
  <c r="AB1223" i="26" s="1"/>
  <c r="Z1223" i="26"/>
  <c r="M1223" i="26"/>
  <c r="L1223" i="26"/>
  <c r="A1223" i="26"/>
  <c r="AC1219" i="26"/>
  <c r="Z1219" i="26"/>
  <c r="M1219" i="26"/>
  <c r="L1219" i="26"/>
  <c r="A1219" i="26"/>
  <c r="AC1218" i="26"/>
  <c r="Z1218" i="26"/>
  <c r="M1218" i="26"/>
  <c r="L1218" i="26"/>
  <c r="A1218" i="26"/>
  <c r="AC1217" i="26"/>
  <c r="Z1217" i="26"/>
  <c r="M1217" i="26"/>
  <c r="L1217" i="26"/>
  <c r="A1217" i="26"/>
  <c r="AC1215" i="26"/>
  <c r="Z1215" i="26"/>
  <c r="M1215" i="26"/>
  <c r="L1215" i="26"/>
  <c r="A1215" i="26"/>
  <c r="AC1213" i="26"/>
  <c r="Z1213" i="26"/>
  <c r="M1213" i="26"/>
  <c r="L1213" i="26"/>
  <c r="A1213" i="26"/>
  <c r="AC1211" i="26"/>
  <c r="Z1211" i="26"/>
  <c r="M1211" i="26"/>
  <c r="L1211" i="26"/>
  <c r="A1211" i="26"/>
  <c r="AC1209" i="26"/>
  <c r="Z1209" i="26"/>
  <c r="M1209" i="26"/>
  <c r="L1209" i="26"/>
  <c r="A1209" i="26"/>
  <c r="AC1207" i="26"/>
  <c r="Z1207" i="26"/>
  <c r="M1207" i="26"/>
  <c r="L1207" i="26"/>
  <c r="A1207" i="26"/>
  <c r="AC1205" i="26"/>
  <c r="Z1205" i="26"/>
  <c r="M1205" i="26"/>
  <c r="L1205" i="26"/>
  <c r="A1205" i="26"/>
  <c r="AC1203" i="26"/>
  <c r="Z1203" i="26"/>
  <c r="M1203" i="26"/>
  <c r="L1203" i="26"/>
  <c r="A1203" i="26"/>
  <c r="AC1201" i="26"/>
  <c r="Z1201" i="26"/>
  <c r="M1201" i="26"/>
  <c r="L1201" i="26"/>
  <c r="A1201" i="26"/>
  <c r="AC1200" i="26"/>
  <c r="Z1200" i="26"/>
  <c r="M1200" i="26"/>
  <c r="L1200" i="26"/>
  <c r="A1200" i="26"/>
  <c r="AC1199" i="26"/>
  <c r="Z1199" i="26"/>
  <c r="M1199" i="26"/>
  <c r="L1199" i="26"/>
  <c r="A1199" i="26"/>
  <c r="AC1197" i="26"/>
  <c r="Z1197" i="26"/>
  <c r="M1197" i="26"/>
  <c r="L1197" i="26"/>
  <c r="A1197" i="26"/>
  <c r="AC1192" i="26"/>
  <c r="Z1192" i="26"/>
  <c r="M1192" i="26"/>
  <c r="L1192" i="26"/>
  <c r="A1192" i="26"/>
  <c r="AC1191" i="26"/>
  <c r="Z1191" i="26"/>
  <c r="M1191" i="26"/>
  <c r="L1191" i="26"/>
  <c r="A1191" i="26"/>
  <c r="AC1190" i="26"/>
  <c r="Z1190" i="26"/>
  <c r="M1190" i="26"/>
  <c r="L1190" i="26"/>
  <c r="A1190" i="26"/>
  <c r="AC1188" i="26"/>
  <c r="Z1188" i="26"/>
  <c r="M1188" i="26"/>
  <c r="L1188" i="26"/>
  <c r="A1188" i="26"/>
  <c r="AC1187" i="26"/>
  <c r="Z1187" i="26"/>
  <c r="M1187" i="26"/>
  <c r="L1187" i="26"/>
  <c r="A1187" i="26"/>
  <c r="AC1186" i="26"/>
  <c r="Z1186" i="26"/>
  <c r="M1186" i="26"/>
  <c r="L1186" i="26"/>
  <c r="A1186" i="26"/>
  <c r="AC1184" i="26"/>
  <c r="Z1184" i="26"/>
  <c r="M1184" i="26"/>
  <c r="L1184" i="26"/>
  <c r="A1184" i="26"/>
  <c r="AC1181" i="26"/>
  <c r="Z1181" i="26"/>
  <c r="M1181" i="26"/>
  <c r="L1181" i="26"/>
  <c r="A1181" i="26"/>
  <c r="AC1179" i="26"/>
  <c r="Z1179" i="26"/>
  <c r="M1179" i="26"/>
  <c r="L1179" i="26"/>
  <c r="A1179" i="26"/>
  <c r="AC1178" i="26"/>
  <c r="Z1178" i="26"/>
  <c r="M1178" i="26"/>
  <c r="L1178" i="26"/>
  <c r="A1178" i="26"/>
  <c r="AC1177" i="26"/>
  <c r="Z1177" i="26"/>
  <c r="M1177" i="26"/>
  <c r="L1177" i="26"/>
  <c r="A1177" i="26"/>
  <c r="AC1176" i="26"/>
  <c r="Z1176" i="26"/>
  <c r="M1176" i="26"/>
  <c r="L1176" i="26"/>
  <c r="A1176" i="26"/>
  <c r="AC1175" i="26"/>
  <c r="Z1175" i="26"/>
  <c r="M1175" i="26"/>
  <c r="L1175" i="26"/>
  <c r="A1175" i="26"/>
  <c r="AC1173" i="26"/>
  <c r="Z1173" i="26"/>
  <c r="M1173" i="26"/>
  <c r="L1173" i="26"/>
  <c r="A1173" i="26"/>
  <c r="AC1172" i="26"/>
  <c r="Z1172" i="26"/>
  <c r="M1172" i="26"/>
  <c r="L1172" i="26"/>
  <c r="A1172" i="26"/>
  <c r="AC1169" i="26"/>
  <c r="Z1169" i="26"/>
  <c r="M1169" i="26"/>
  <c r="L1169" i="26"/>
  <c r="A1169" i="26"/>
  <c r="AC1168" i="26"/>
  <c r="Z1168" i="26"/>
  <c r="M1168" i="26"/>
  <c r="L1168" i="26"/>
  <c r="A1168" i="26"/>
  <c r="AC1166" i="26"/>
  <c r="Z1166" i="26"/>
  <c r="M1166" i="26"/>
  <c r="L1166" i="26"/>
  <c r="A1166" i="26"/>
  <c r="AC1165" i="26"/>
  <c r="Z1165" i="26"/>
  <c r="M1165" i="26"/>
  <c r="L1165" i="26"/>
  <c r="A1165" i="26"/>
  <c r="AC1164" i="26"/>
  <c r="Z1164" i="26"/>
  <c r="M1164" i="26"/>
  <c r="L1164" i="26"/>
  <c r="A1164" i="26"/>
  <c r="AC1163" i="26"/>
  <c r="Z1163" i="26"/>
  <c r="M1163" i="26"/>
  <c r="L1163" i="26"/>
  <c r="A1163" i="26"/>
  <c r="AC1161" i="26"/>
  <c r="Z1161" i="26"/>
  <c r="M1161" i="26"/>
  <c r="L1161" i="26"/>
  <c r="A1161" i="26"/>
  <c r="AC1159" i="26"/>
  <c r="Z1159" i="26"/>
  <c r="M1159" i="26"/>
  <c r="L1159" i="26"/>
  <c r="A1159" i="26"/>
  <c r="AC1156" i="26"/>
  <c r="Z1156" i="26"/>
  <c r="M1156" i="26"/>
  <c r="L1156" i="26"/>
  <c r="A1156" i="26"/>
  <c r="AC1155" i="26"/>
  <c r="Z1155" i="26"/>
  <c r="M1155" i="26"/>
  <c r="L1155" i="26"/>
  <c r="A1155" i="26"/>
  <c r="AC1151" i="26"/>
  <c r="Z1151" i="26"/>
  <c r="M1151" i="26"/>
  <c r="L1151" i="26"/>
  <c r="A1151" i="26"/>
  <c r="AC1149" i="26"/>
  <c r="Z1149" i="26"/>
  <c r="M1149" i="26"/>
  <c r="L1149" i="26"/>
  <c r="A1149" i="26"/>
  <c r="AC1148" i="26"/>
  <c r="Z1148" i="26"/>
  <c r="M1148" i="26"/>
  <c r="L1148" i="26"/>
  <c r="A1148" i="26"/>
  <c r="AC1146" i="26"/>
  <c r="Z1146" i="26"/>
  <c r="M1146" i="26"/>
  <c r="L1146" i="26"/>
  <c r="A1146" i="26"/>
  <c r="AC1142" i="26"/>
  <c r="Z1142" i="26"/>
  <c r="M1142" i="26"/>
  <c r="L1142" i="26"/>
  <c r="A1142" i="26"/>
  <c r="AC1141" i="26"/>
  <c r="Z1141" i="26"/>
  <c r="M1141" i="26"/>
  <c r="L1141" i="26"/>
  <c r="A1141" i="26"/>
  <c r="AC1140" i="26"/>
  <c r="Z1140" i="26"/>
  <c r="M1140" i="26"/>
  <c r="L1140" i="26"/>
  <c r="A1140" i="26"/>
  <c r="AC1135" i="26"/>
  <c r="Z1135" i="26"/>
  <c r="M1135" i="26"/>
  <c r="L1135" i="26"/>
  <c r="A1135" i="26"/>
  <c r="AC1133" i="26"/>
  <c r="Z1133" i="26"/>
  <c r="M1133" i="26"/>
  <c r="L1133" i="26"/>
  <c r="A1133" i="26"/>
  <c r="AC1131" i="26"/>
  <c r="Z1131" i="26"/>
  <c r="M1131" i="26"/>
  <c r="L1131" i="26"/>
  <c r="A1131" i="26"/>
  <c r="AC1130" i="26"/>
  <c r="Z1130" i="26"/>
  <c r="M1130" i="26"/>
  <c r="L1130" i="26"/>
  <c r="A1130" i="26"/>
  <c r="AC1129" i="26"/>
  <c r="Z1129" i="26"/>
  <c r="M1129" i="26"/>
  <c r="L1129" i="26"/>
  <c r="A1129" i="26"/>
  <c r="AC1125" i="26"/>
  <c r="Z1125" i="26"/>
  <c r="M1125" i="26"/>
  <c r="L1125" i="26"/>
  <c r="A1125" i="26"/>
  <c r="AC1123" i="26"/>
  <c r="Z1123" i="26"/>
  <c r="M1123" i="26"/>
  <c r="L1123" i="26"/>
  <c r="A1123" i="26"/>
  <c r="AC1122" i="26"/>
  <c r="Z1122" i="26"/>
  <c r="M1122" i="26"/>
  <c r="L1122" i="26"/>
  <c r="A1122" i="26"/>
  <c r="AC1120" i="26"/>
  <c r="Z1120" i="26"/>
  <c r="M1120" i="26"/>
  <c r="L1120" i="26"/>
  <c r="A1120" i="26"/>
  <c r="AC1116" i="26"/>
  <c r="Z1116" i="26"/>
  <c r="M1116" i="26"/>
  <c r="L1116" i="26"/>
  <c r="A1116" i="26"/>
  <c r="AC1114" i="26"/>
  <c r="Z1114" i="26"/>
  <c r="M1114" i="26"/>
  <c r="L1114" i="26"/>
  <c r="A1114" i="26"/>
  <c r="AC1237" i="26"/>
  <c r="AA1237" i="26"/>
  <c r="AB1237" i="26" s="1"/>
  <c r="Z1237" i="26"/>
  <c r="L1237" i="26"/>
  <c r="A1237" i="26"/>
  <c r="AC1235" i="26"/>
  <c r="AA1235" i="26"/>
  <c r="AB1235" i="26" s="1"/>
  <c r="Z1235" i="26"/>
  <c r="L1235" i="26"/>
  <c r="A1235" i="26"/>
  <c r="AC1233" i="26"/>
  <c r="AA1233" i="26"/>
  <c r="AB1233" i="26" s="1"/>
  <c r="Z1233" i="26"/>
  <c r="L1233" i="26"/>
  <c r="A1233" i="26"/>
  <c r="AC1232" i="26"/>
  <c r="AA1232" i="26"/>
  <c r="AB1232" i="26" s="1"/>
  <c r="Z1232" i="26"/>
  <c r="L1232" i="26"/>
  <c r="A1232" i="26"/>
  <c r="AC1228" i="26"/>
  <c r="AA1228" i="26"/>
  <c r="AB1228" i="26" s="1"/>
  <c r="Z1228" i="26"/>
  <c r="L1228" i="26"/>
  <c r="A1228" i="26"/>
  <c r="AC1226" i="26"/>
  <c r="Z1226" i="26"/>
  <c r="L1226" i="26"/>
  <c r="A1226" i="26"/>
  <c r="AC1224" i="26"/>
  <c r="AA1224" i="26"/>
  <c r="AB1224" i="26" s="1"/>
  <c r="Z1224" i="26"/>
  <c r="L1224" i="26"/>
  <c r="A1224" i="26"/>
  <c r="AC1221" i="26"/>
  <c r="Z1221" i="26"/>
  <c r="M1221" i="26"/>
  <c r="L1221" i="26"/>
  <c r="A1221" i="26"/>
  <c r="AC1220" i="26"/>
  <c r="AA1220" i="26"/>
  <c r="AB1220" i="26" s="1"/>
  <c r="Z1220" i="26"/>
  <c r="M1220" i="26"/>
  <c r="L1220" i="26"/>
  <c r="A1220" i="26"/>
  <c r="AC1216" i="26"/>
  <c r="Z1216" i="26"/>
  <c r="M1216" i="26"/>
  <c r="L1216" i="26"/>
  <c r="A1216" i="26"/>
  <c r="AC1214" i="26"/>
  <c r="Z1214" i="26"/>
  <c r="M1214" i="26"/>
  <c r="L1214" i="26"/>
  <c r="A1214" i="26"/>
  <c r="AC1212" i="26"/>
  <c r="Z1212" i="26"/>
  <c r="M1212" i="26"/>
  <c r="L1212" i="26"/>
  <c r="A1212" i="26"/>
  <c r="AC1208" i="26"/>
  <c r="AA1208" i="26"/>
  <c r="AB1208" i="26" s="1"/>
  <c r="Z1208" i="26"/>
  <c r="M1208" i="26"/>
  <c r="L1208" i="26"/>
  <c r="A1208" i="26"/>
  <c r="AC1206" i="26"/>
  <c r="Z1206" i="26"/>
  <c r="M1206" i="26"/>
  <c r="L1206" i="26"/>
  <c r="A1206" i="26"/>
  <c r="AC1204" i="26"/>
  <c r="Z1204" i="26"/>
  <c r="M1204" i="26"/>
  <c r="L1204" i="26"/>
  <c r="A1204" i="26"/>
  <c r="AC1202" i="26"/>
  <c r="Z1202" i="26"/>
  <c r="M1202" i="26"/>
  <c r="L1202" i="26"/>
  <c r="A1202" i="26"/>
  <c r="AC1198" i="26"/>
  <c r="Z1198" i="26"/>
  <c r="M1198" i="26"/>
  <c r="L1198" i="26"/>
  <c r="A1198" i="26"/>
  <c r="AC1196" i="26"/>
  <c r="AA1196" i="26"/>
  <c r="AB1196" i="26" s="1"/>
  <c r="Z1196" i="26"/>
  <c r="M1196" i="26"/>
  <c r="L1196" i="26"/>
  <c r="A1196" i="26"/>
  <c r="AC1195" i="26"/>
  <c r="AA1195" i="26"/>
  <c r="AB1195" i="26" s="1"/>
  <c r="Z1195" i="26"/>
  <c r="M1195" i="26"/>
  <c r="L1195" i="26"/>
  <c r="A1195" i="26"/>
  <c r="AC1194" i="26"/>
  <c r="AA1194" i="26"/>
  <c r="AB1194" i="26" s="1"/>
  <c r="Z1194" i="26"/>
  <c r="M1194" i="26"/>
  <c r="L1194" i="26"/>
  <c r="A1194" i="26"/>
  <c r="AC1193" i="26"/>
  <c r="AA1193" i="26"/>
  <c r="AB1193" i="26" s="1"/>
  <c r="Z1193" i="26"/>
  <c r="M1193" i="26"/>
  <c r="L1193" i="26"/>
  <c r="A1193" i="26"/>
  <c r="AC1185" i="26"/>
  <c r="Z1185" i="26"/>
  <c r="M1185" i="26"/>
  <c r="L1185" i="26"/>
  <c r="A1185" i="26"/>
  <c r="AC1183" i="26"/>
  <c r="Z1183" i="26"/>
  <c r="M1183" i="26"/>
  <c r="L1183" i="26"/>
  <c r="A1183" i="26"/>
  <c r="AC1180" i="26"/>
  <c r="Z1180" i="26"/>
  <c r="M1180" i="26"/>
  <c r="L1180" i="26"/>
  <c r="A1180" i="26"/>
  <c r="AC1174" i="26"/>
  <c r="Z1174" i="26"/>
  <c r="M1174" i="26"/>
  <c r="L1174" i="26"/>
  <c r="A1174" i="26"/>
  <c r="AC1171" i="26"/>
  <c r="Z1171" i="26"/>
  <c r="M1171" i="26"/>
  <c r="L1171" i="26"/>
  <c r="A1171" i="26"/>
  <c r="AC1167" i="26"/>
  <c r="AA1167" i="26"/>
  <c r="AB1167" i="26" s="1"/>
  <c r="Z1167" i="26"/>
  <c r="M1167" i="26"/>
  <c r="L1167" i="26"/>
  <c r="A1167" i="26"/>
  <c r="AC1162" i="26"/>
  <c r="Z1162" i="26"/>
  <c r="M1162" i="26"/>
  <c r="L1162" i="26"/>
  <c r="A1162" i="26"/>
  <c r="AC1154" i="26"/>
  <c r="Z1154" i="26"/>
  <c r="M1154" i="26"/>
  <c r="L1154" i="26"/>
  <c r="A1154" i="26"/>
  <c r="AC1152" i="26"/>
  <c r="Z1152" i="26"/>
  <c r="M1152" i="26"/>
  <c r="L1152" i="26"/>
  <c r="A1152" i="26"/>
  <c r="AC1150" i="26"/>
  <c r="AA1150" i="26"/>
  <c r="AB1150" i="26" s="1"/>
  <c r="Z1150" i="26"/>
  <c r="M1150" i="26"/>
  <c r="L1150" i="26"/>
  <c r="A1150" i="26"/>
  <c r="AC1145" i="26"/>
  <c r="AA1145" i="26"/>
  <c r="AB1145" i="26" s="1"/>
  <c r="Z1145" i="26"/>
  <c r="M1145" i="26"/>
  <c r="L1145" i="26"/>
  <c r="A1145" i="26"/>
  <c r="AC1144" i="26"/>
  <c r="AA1144" i="26"/>
  <c r="AB1144" i="26" s="1"/>
  <c r="Z1144" i="26"/>
  <c r="M1144" i="26"/>
  <c r="L1144" i="26"/>
  <c r="A1144" i="26"/>
  <c r="AC1139" i="26"/>
  <c r="AA1139" i="26"/>
  <c r="AB1139" i="26" s="1"/>
  <c r="Z1139" i="26"/>
  <c r="M1139" i="26"/>
  <c r="L1139" i="26"/>
  <c r="A1139" i="26"/>
  <c r="AC1138" i="26"/>
  <c r="AA1138" i="26"/>
  <c r="AB1138" i="26" s="1"/>
  <c r="Z1138" i="26"/>
  <c r="M1138" i="26"/>
  <c r="L1138" i="26"/>
  <c r="A1138" i="26"/>
  <c r="AC1136" i="26"/>
  <c r="AA1136" i="26"/>
  <c r="AB1136" i="26" s="1"/>
  <c r="Z1136" i="26"/>
  <c r="M1136" i="26"/>
  <c r="L1136" i="26"/>
  <c r="A1136" i="26"/>
  <c r="AC1132" i="26"/>
  <c r="AA1132" i="26"/>
  <c r="AB1132" i="26" s="1"/>
  <c r="Z1132" i="26"/>
  <c r="M1132" i="26"/>
  <c r="L1132" i="26"/>
  <c r="A1132" i="26"/>
  <c r="AC1128" i="26"/>
  <c r="AA1128" i="26"/>
  <c r="AB1128" i="26" s="1"/>
  <c r="Z1128" i="26"/>
  <c r="M1128" i="26"/>
  <c r="L1128" i="26"/>
  <c r="A1128" i="26"/>
  <c r="AC1127" i="26"/>
  <c r="AA1127" i="26"/>
  <c r="AB1127" i="26" s="1"/>
  <c r="Z1127" i="26"/>
  <c r="M1127" i="26"/>
  <c r="L1127" i="26"/>
  <c r="A1127" i="26"/>
  <c r="AC1126" i="26"/>
  <c r="AA1126" i="26"/>
  <c r="AB1126" i="26" s="1"/>
  <c r="Z1126" i="26"/>
  <c r="M1126" i="26"/>
  <c r="L1126" i="26"/>
  <c r="A1126" i="26"/>
  <c r="AC1121" i="26"/>
  <c r="AA1121" i="26"/>
  <c r="AB1121" i="26" s="1"/>
  <c r="Z1121" i="26"/>
  <c r="M1121" i="26"/>
  <c r="L1121" i="26"/>
  <c r="A1121" i="26"/>
  <c r="AC1119" i="26"/>
  <c r="AA1119" i="26"/>
  <c r="AB1119" i="26" s="1"/>
  <c r="Z1119" i="26"/>
  <c r="M1119" i="26"/>
  <c r="L1119" i="26"/>
  <c r="A1119" i="26"/>
  <c r="AC1118" i="26"/>
  <c r="AA1118" i="26"/>
  <c r="AB1118" i="26" s="1"/>
  <c r="Z1118" i="26"/>
  <c r="M1118" i="26"/>
  <c r="L1118" i="26"/>
  <c r="A1118" i="26"/>
  <c r="AC1117" i="26"/>
  <c r="AA1117" i="26"/>
  <c r="AB1117" i="26" s="1"/>
  <c r="Z1117" i="26"/>
  <c r="M1117" i="26"/>
  <c r="L1117" i="26"/>
  <c r="A1117" i="26"/>
  <c r="AC1115" i="26"/>
  <c r="AA1115" i="26"/>
  <c r="AB1115" i="26" s="1"/>
  <c r="Z1115" i="26"/>
  <c r="M1115" i="26"/>
  <c r="L1115" i="26"/>
  <c r="A1115" i="26"/>
  <c r="AC1113" i="26"/>
  <c r="AA1113" i="26"/>
  <c r="AB1113" i="26" s="1"/>
  <c r="Z1113" i="26"/>
  <c r="M1113" i="26"/>
  <c r="L1113" i="26"/>
  <c r="A1113" i="26"/>
  <c r="AC1170" i="26"/>
  <c r="Z1170" i="26"/>
  <c r="M1170" i="26"/>
  <c r="L1170" i="26"/>
  <c r="A1170" i="26"/>
  <c r="AC1143" i="26"/>
  <c r="Z1143" i="26"/>
  <c r="M1143" i="26"/>
  <c r="L1143" i="26"/>
  <c r="A1143" i="26"/>
  <c r="AC1182" i="26"/>
  <c r="Z1182" i="26"/>
  <c r="M1182" i="26"/>
  <c r="L1182" i="26"/>
  <c r="A1182" i="26"/>
  <c r="AC1147" i="26"/>
  <c r="Z1147" i="26"/>
  <c r="M1147" i="26"/>
  <c r="L1147" i="26"/>
  <c r="A1147" i="26"/>
  <c r="AC1112" i="26"/>
  <c r="Z1112" i="26"/>
  <c r="M1112" i="26"/>
  <c r="L1112" i="26"/>
  <c r="A1112" i="26"/>
  <c r="AC1111" i="26"/>
  <c r="Z1111" i="26"/>
  <c r="M1111" i="26"/>
  <c r="L1111" i="26"/>
  <c r="A1111" i="26"/>
  <c r="AC1110" i="26"/>
  <c r="Z1110" i="26"/>
  <c r="M1110" i="26"/>
  <c r="L1110" i="26"/>
  <c r="A1110" i="26"/>
  <c r="AC1109" i="26"/>
  <c r="Z1109" i="26"/>
  <c r="M1109" i="26"/>
  <c r="L1109" i="26"/>
  <c r="A1109" i="26"/>
  <c r="AC1108" i="26"/>
  <c r="Z1108" i="26"/>
  <c r="M1108" i="26"/>
  <c r="L1108" i="26"/>
  <c r="A1108" i="26"/>
  <c r="AC1107" i="26"/>
  <c r="Z1107" i="26"/>
  <c r="M1107" i="26"/>
  <c r="L1107" i="26"/>
  <c r="A1107" i="26"/>
  <c r="AC1062" i="26"/>
  <c r="Z1062" i="26"/>
  <c r="M1062" i="26"/>
  <c r="L1062" i="26"/>
  <c r="A1062" i="26"/>
  <c r="AC1041" i="26"/>
  <c r="Z1041" i="26"/>
  <c r="M1041" i="26"/>
  <c r="L1041" i="26"/>
  <c r="A1041" i="26"/>
  <c r="AC977" i="26"/>
  <c r="Z977" i="26"/>
  <c r="M977" i="26"/>
  <c r="L977" i="26"/>
  <c r="A977" i="26"/>
  <c r="AC976" i="26"/>
  <c r="Z976" i="26"/>
  <c r="M976" i="26"/>
  <c r="L976" i="26"/>
  <c r="A976" i="26"/>
  <c r="AC945" i="26"/>
  <c r="Z945" i="26"/>
  <c r="M945" i="26"/>
  <c r="L945" i="26"/>
  <c r="A945" i="26"/>
  <c r="AC943" i="26"/>
  <c r="Z943" i="26"/>
  <c r="M943" i="26"/>
  <c r="L943" i="26"/>
  <c r="A943" i="26"/>
  <c r="AC935" i="26"/>
  <c r="Z935" i="26"/>
  <c r="M935" i="26"/>
  <c r="L935" i="26"/>
  <c r="A935" i="26"/>
  <c r="AC932" i="26"/>
  <c r="Z932" i="26"/>
  <c r="M932" i="26"/>
  <c r="L932" i="26"/>
  <c r="A932" i="26"/>
  <c r="AC1080" i="26"/>
  <c r="Z1080" i="26"/>
  <c r="L1080" i="26"/>
  <c r="A1080" i="26"/>
  <c r="AC1076" i="26"/>
  <c r="AA1076" i="26"/>
  <c r="AB1076" i="26" s="1"/>
  <c r="Z1076" i="26"/>
  <c r="L1076" i="26"/>
  <c r="A1076" i="26"/>
  <c r="AC1073" i="26"/>
  <c r="Z1073" i="26"/>
  <c r="L1073" i="26"/>
  <c r="A1073" i="26"/>
  <c r="AC1012" i="26"/>
  <c r="Z1012" i="26"/>
  <c r="M1012" i="26"/>
  <c r="L1012" i="26"/>
  <c r="A1012" i="26"/>
  <c r="AC1002" i="26"/>
  <c r="Z1002" i="26"/>
  <c r="M1002" i="26"/>
  <c r="L1002" i="26"/>
  <c r="A1002" i="26"/>
  <c r="AC988" i="26"/>
  <c r="Z988" i="26"/>
  <c r="M988" i="26"/>
  <c r="L988" i="26"/>
  <c r="A988" i="26"/>
  <c r="AC984" i="26"/>
  <c r="Z984" i="26"/>
  <c r="M984" i="26"/>
  <c r="L984" i="26"/>
  <c r="A984" i="26"/>
  <c r="AC966" i="26"/>
  <c r="Z966" i="26"/>
  <c r="M966" i="26"/>
  <c r="L966" i="26"/>
  <c r="A966" i="26"/>
  <c r="AC961" i="26"/>
  <c r="Z961" i="26"/>
  <c r="M961" i="26"/>
  <c r="L961" i="26"/>
  <c r="A961" i="26"/>
  <c r="AC958" i="26"/>
  <c r="Z958" i="26"/>
  <c r="M958" i="26"/>
  <c r="L958" i="26"/>
  <c r="A958" i="26"/>
  <c r="AC952" i="26"/>
  <c r="Z952" i="26"/>
  <c r="M952" i="26"/>
  <c r="L952" i="26"/>
  <c r="A952" i="26"/>
  <c r="AC951" i="26"/>
  <c r="Z951" i="26"/>
  <c r="M951" i="26"/>
  <c r="L951" i="26"/>
  <c r="A951" i="26"/>
  <c r="AC950" i="26"/>
  <c r="Z950" i="26"/>
  <c r="M950" i="26"/>
  <c r="L950" i="26"/>
  <c r="A950" i="26"/>
  <c r="AC946" i="26"/>
  <c r="Z946" i="26"/>
  <c r="M946" i="26"/>
  <c r="L946" i="26"/>
  <c r="A946" i="26"/>
  <c r="AC939" i="26"/>
  <c r="Z939" i="26"/>
  <c r="M939" i="26"/>
  <c r="L939" i="26"/>
  <c r="A939" i="26"/>
  <c r="AC931" i="26"/>
  <c r="Z931" i="26"/>
  <c r="M931" i="26"/>
  <c r="L931" i="26"/>
  <c r="A931" i="26"/>
  <c r="AC923" i="26"/>
  <c r="Z923" i="26"/>
  <c r="M923" i="26"/>
  <c r="L923" i="26"/>
  <c r="A923" i="26"/>
  <c r="AC912" i="26"/>
  <c r="Z912" i="26"/>
  <c r="M912" i="26"/>
  <c r="L912" i="26"/>
  <c r="A912" i="26"/>
  <c r="AC1106" i="26"/>
  <c r="Z1106" i="26"/>
  <c r="L1106" i="26"/>
  <c r="A1106" i="26"/>
  <c r="AC1104" i="26"/>
  <c r="Z1104" i="26"/>
  <c r="L1104" i="26"/>
  <c r="A1104" i="26"/>
  <c r="AC1103" i="26"/>
  <c r="Z1103" i="26"/>
  <c r="L1103" i="26"/>
  <c r="A1103" i="26"/>
  <c r="AC1101" i="26"/>
  <c r="Z1101" i="26"/>
  <c r="L1101" i="26"/>
  <c r="A1101" i="26"/>
  <c r="AC1099" i="26"/>
  <c r="Z1099" i="26"/>
  <c r="L1099" i="26"/>
  <c r="A1099" i="26"/>
  <c r="AC1097" i="26"/>
  <c r="Z1097" i="26"/>
  <c r="L1097" i="26"/>
  <c r="A1097" i="26"/>
  <c r="AC1096" i="26"/>
  <c r="Z1096" i="26"/>
  <c r="L1096" i="26"/>
  <c r="A1096" i="26"/>
  <c r="AC1093" i="26"/>
  <c r="Z1093" i="26"/>
  <c r="L1093" i="26"/>
  <c r="A1093" i="26"/>
  <c r="AC1092" i="26"/>
  <c r="Z1092" i="26"/>
  <c r="L1092" i="26"/>
  <c r="A1092" i="26"/>
  <c r="AC1090" i="26"/>
  <c r="AA1090" i="26"/>
  <c r="AB1090" i="26" s="1"/>
  <c r="Z1090" i="26"/>
  <c r="L1090" i="26"/>
  <c r="A1090" i="26"/>
  <c r="AC1087" i="26"/>
  <c r="Z1087" i="26"/>
  <c r="L1087" i="26"/>
  <c r="A1087" i="26"/>
  <c r="AC1086" i="26"/>
  <c r="Z1086" i="26"/>
  <c r="L1086" i="26"/>
  <c r="A1086" i="26"/>
  <c r="AC1085" i="26"/>
  <c r="Z1085" i="26"/>
  <c r="L1085" i="26"/>
  <c r="A1085" i="26"/>
  <c r="AC1084" i="26"/>
  <c r="Z1084" i="26"/>
  <c r="L1084" i="26"/>
  <c r="A1084" i="26"/>
  <c r="AC1083" i="26"/>
  <c r="Z1083" i="26"/>
  <c r="L1083" i="26"/>
  <c r="A1083" i="26"/>
  <c r="AC1081" i="26"/>
  <c r="Z1081" i="26"/>
  <c r="L1081" i="26"/>
  <c r="A1081" i="26"/>
  <c r="AC1079" i="26"/>
  <c r="Z1079" i="26"/>
  <c r="L1079" i="26"/>
  <c r="A1079" i="26"/>
  <c r="AC1077" i="26"/>
  <c r="AA1077" i="26"/>
  <c r="AB1077" i="26" s="1"/>
  <c r="Z1077" i="26"/>
  <c r="L1077" i="26"/>
  <c r="A1077" i="26"/>
  <c r="AC1075" i="26"/>
  <c r="AA1075" i="26"/>
  <c r="AB1075" i="26" s="1"/>
  <c r="Z1075" i="26"/>
  <c r="L1075" i="26"/>
  <c r="A1075" i="26"/>
  <c r="AC1074" i="26"/>
  <c r="AA1074" i="26"/>
  <c r="AB1074" i="26" s="1"/>
  <c r="Z1074" i="26"/>
  <c r="L1074" i="26"/>
  <c r="A1074" i="26"/>
  <c r="AC1072" i="26"/>
  <c r="Z1072" i="26"/>
  <c r="L1072" i="26"/>
  <c r="A1072" i="26"/>
  <c r="AC1069" i="26"/>
  <c r="Z1069" i="26"/>
  <c r="L1069" i="26"/>
  <c r="A1069" i="26"/>
  <c r="AC1068" i="26"/>
  <c r="Z1068" i="26"/>
  <c r="L1068" i="26"/>
  <c r="A1068" i="26"/>
  <c r="AC1065" i="26"/>
  <c r="AA1065" i="26"/>
  <c r="AB1065" i="26" s="1"/>
  <c r="Z1065" i="26"/>
  <c r="M1065" i="26"/>
  <c r="L1065" i="26"/>
  <c r="A1065" i="26"/>
  <c r="AC1067" i="26"/>
  <c r="AA1067" i="26"/>
  <c r="AB1067" i="26" s="1"/>
  <c r="Z1067" i="26"/>
  <c r="M1067" i="26"/>
  <c r="L1067" i="26"/>
  <c r="A1067" i="26"/>
  <c r="AC1066" i="26"/>
  <c r="AA1066" i="26"/>
  <c r="AB1066" i="26" s="1"/>
  <c r="Z1066" i="26"/>
  <c r="M1066" i="26"/>
  <c r="L1066" i="26"/>
  <c r="A1066" i="26"/>
  <c r="AC1060" i="26"/>
  <c r="Z1060" i="26"/>
  <c r="M1060" i="26"/>
  <c r="L1060" i="26"/>
  <c r="A1060" i="26"/>
  <c r="AC1059" i="26"/>
  <c r="Z1059" i="26"/>
  <c r="M1059" i="26"/>
  <c r="L1059" i="26"/>
  <c r="A1059" i="26"/>
  <c r="AC1058" i="26"/>
  <c r="Z1058" i="26"/>
  <c r="M1058" i="26"/>
  <c r="L1058" i="26"/>
  <c r="A1058" i="26"/>
  <c r="AC1057" i="26"/>
  <c r="Z1057" i="26"/>
  <c r="M1057" i="26"/>
  <c r="L1057" i="26"/>
  <c r="A1057" i="26"/>
  <c r="AC1056" i="26"/>
  <c r="Z1056" i="26"/>
  <c r="M1056" i="26"/>
  <c r="L1056" i="26"/>
  <c r="A1056" i="26"/>
  <c r="AC1055" i="26"/>
  <c r="Z1055" i="26"/>
  <c r="M1055" i="26"/>
  <c r="L1055" i="26"/>
  <c r="A1055" i="26"/>
  <c r="AC1054" i="26"/>
  <c r="Z1054" i="26"/>
  <c r="M1054" i="26"/>
  <c r="L1054" i="26"/>
  <c r="A1054" i="26"/>
  <c r="AC1052" i="26"/>
  <c r="Z1052" i="26"/>
  <c r="M1052" i="26"/>
  <c r="L1052" i="26"/>
  <c r="A1052" i="26"/>
  <c r="AC1051" i="26"/>
  <c r="Z1051" i="26"/>
  <c r="M1051" i="26"/>
  <c r="L1051" i="26"/>
  <c r="A1051" i="26"/>
  <c r="AC1050" i="26"/>
  <c r="Z1050" i="26"/>
  <c r="M1050" i="26"/>
  <c r="L1050" i="26"/>
  <c r="A1050" i="26"/>
  <c r="AC1048" i="26"/>
  <c r="Z1048" i="26"/>
  <c r="M1048" i="26"/>
  <c r="L1048" i="26"/>
  <c r="A1048" i="26"/>
  <c r="AC1047" i="26"/>
  <c r="Z1047" i="26"/>
  <c r="M1047" i="26"/>
  <c r="L1047" i="26"/>
  <c r="A1047" i="26"/>
  <c r="AC1046" i="26"/>
  <c r="Z1046" i="26"/>
  <c r="M1046" i="26"/>
  <c r="L1046" i="26"/>
  <c r="A1046" i="26"/>
  <c r="AC1044" i="26"/>
  <c r="Z1044" i="26"/>
  <c r="M1044" i="26"/>
  <c r="L1044" i="26"/>
  <c r="A1044" i="26"/>
  <c r="AC1043" i="26"/>
  <c r="Z1043" i="26"/>
  <c r="M1043" i="26"/>
  <c r="L1043" i="26"/>
  <c r="A1043" i="26"/>
  <c r="AC1042" i="26"/>
  <c r="Z1042" i="26"/>
  <c r="M1042" i="26"/>
  <c r="L1042" i="26"/>
  <c r="A1042" i="26"/>
  <c r="AC1039" i="26"/>
  <c r="Z1039" i="26"/>
  <c r="M1039" i="26"/>
  <c r="L1039" i="26"/>
  <c r="A1039" i="26"/>
  <c r="AC1037" i="26"/>
  <c r="Z1037" i="26"/>
  <c r="M1037" i="26"/>
  <c r="L1037" i="26"/>
  <c r="A1037" i="26"/>
  <c r="AC1035" i="26"/>
  <c r="Z1035" i="26"/>
  <c r="M1035" i="26"/>
  <c r="L1035" i="26"/>
  <c r="A1035" i="26"/>
  <c r="AC1034" i="26"/>
  <c r="Z1034" i="26"/>
  <c r="M1034" i="26"/>
  <c r="L1034" i="26"/>
  <c r="A1034" i="26"/>
  <c r="AC1033" i="26"/>
  <c r="Z1033" i="26"/>
  <c r="M1033" i="26"/>
  <c r="L1033" i="26"/>
  <c r="A1033" i="26"/>
  <c r="AC1032" i="26"/>
  <c r="Z1032" i="26"/>
  <c r="M1032" i="26"/>
  <c r="L1032" i="26"/>
  <c r="A1032" i="26"/>
  <c r="AC1031" i="26"/>
  <c r="Z1031" i="26"/>
  <c r="M1031" i="26"/>
  <c r="L1031" i="26"/>
  <c r="A1031" i="26"/>
  <c r="AC1030" i="26"/>
  <c r="Z1030" i="26"/>
  <c r="M1030" i="26"/>
  <c r="L1030" i="26"/>
  <c r="A1030" i="26"/>
  <c r="AC1029" i="26"/>
  <c r="Z1029" i="26"/>
  <c r="M1029" i="26"/>
  <c r="L1029" i="26"/>
  <c r="A1029" i="26"/>
  <c r="AC1028" i="26"/>
  <c r="Z1028" i="26"/>
  <c r="M1028" i="26"/>
  <c r="L1028" i="26"/>
  <c r="A1028" i="26"/>
  <c r="AC1026" i="26"/>
  <c r="Z1026" i="26"/>
  <c r="M1026" i="26"/>
  <c r="L1026" i="26"/>
  <c r="A1026" i="26"/>
  <c r="AC1021" i="26"/>
  <c r="Z1021" i="26"/>
  <c r="M1021" i="26"/>
  <c r="L1021" i="26"/>
  <c r="A1021" i="26"/>
  <c r="AC1020" i="26"/>
  <c r="Z1020" i="26"/>
  <c r="M1020" i="26"/>
  <c r="L1020" i="26"/>
  <c r="A1020" i="26"/>
  <c r="AC1019" i="26"/>
  <c r="Z1019" i="26"/>
  <c r="M1019" i="26"/>
  <c r="L1019" i="26"/>
  <c r="A1019" i="26"/>
  <c r="AC1016" i="26"/>
  <c r="Z1016" i="26"/>
  <c r="M1016" i="26"/>
  <c r="L1016" i="26"/>
  <c r="A1016" i="26"/>
  <c r="AC1015" i="26"/>
  <c r="Z1015" i="26"/>
  <c r="M1015" i="26"/>
  <c r="L1015" i="26"/>
  <c r="A1015" i="26"/>
  <c r="AC1014" i="26"/>
  <c r="Z1014" i="26"/>
  <c r="M1014" i="26"/>
  <c r="L1014" i="26"/>
  <c r="A1014" i="26"/>
  <c r="AC1011" i="26"/>
  <c r="Z1011" i="26"/>
  <c r="M1011" i="26"/>
  <c r="L1011" i="26"/>
  <c r="A1011" i="26"/>
  <c r="AC1010" i="26"/>
  <c r="Z1010" i="26"/>
  <c r="M1010" i="26"/>
  <c r="L1010" i="26"/>
  <c r="A1010" i="26"/>
  <c r="AC1009" i="26"/>
  <c r="Z1009" i="26"/>
  <c r="M1009" i="26"/>
  <c r="L1009" i="26"/>
  <c r="A1009" i="26"/>
  <c r="AC1008" i="26"/>
  <c r="Z1008" i="26"/>
  <c r="M1008" i="26"/>
  <c r="L1008" i="26"/>
  <c r="A1008" i="26"/>
  <c r="AC1007" i="26"/>
  <c r="Z1007" i="26"/>
  <c r="M1007" i="26"/>
  <c r="L1007" i="26"/>
  <c r="A1007" i="26"/>
  <c r="AC1006" i="26"/>
  <c r="Z1006" i="26"/>
  <c r="M1006" i="26"/>
  <c r="L1006" i="26"/>
  <c r="A1006" i="26"/>
  <c r="AC1003" i="26"/>
  <c r="Z1003" i="26"/>
  <c r="M1003" i="26"/>
  <c r="L1003" i="26"/>
  <c r="A1003" i="26"/>
  <c r="AC1001" i="26"/>
  <c r="Z1001" i="26"/>
  <c r="M1001" i="26"/>
  <c r="L1001" i="26"/>
  <c r="A1001" i="26"/>
  <c r="AC1000" i="26"/>
  <c r="Z1000" i="26"/>
  <c r="M1000" i="26"/>
  <c r="L1000" i="26"/>
  <c r="A1000" i="26"/>
  <c r="AC999" i="26"/>
  <c r="Z999" i="26"/>
  <c r="M999" i="26"/>
  <c r="L999" i="26"/>
  <c r="A999" i="26"/>
  <c r="AC997" i="26"/>
  <c r="Z997" i="26"/>
  <c r="M997" i="26"/>
  <c r="L997" i="26"/>
  <c r="A997" i="26"/>
  <c r="AC996" i="26"/>
  <c r="Z996" i="26"/>
  <c r="M996" i="26"/>
  <c r="L996" i="26"/>
  <c r="A996" i="26"/>
  <c r="AC995" i="26"/>
  <c r="Z995" i="26"/>
  <c r="M995" i="26"/>
  <c r="L995" i="26"/>
  <c r="A995" i="26"/>
  <c r="AC994" i="26"/>
  <c r="Z994" i="26"/>
  <c r="M994" i="26"/>
  <c r="L994" i="26"/>
  <c r="A994" i="26"/>
  <c r="AC993" i="26"/>
  <c r="Z993" i="26"/>
  <c r="M993" i="26"/>
  <c r="L993" i="26"/>
  <c r="A993" i="26"/>
  <c r="AC991" i="26"/>
  <c r="Z991" i="26"/>
  <c r="M991" i="26"/>
  <c r="L991" i="26"/>
  <c r="A991" i="26"/>
  <c r="AC990" i="26"/>
  <c r="Z990" i="26"/>
  <c r="M990" i="26"/>
  <c r="L990" i="26"/>
  <c r="A990" i="26"/>
  <c r="AC987" i="26"/>
  <c r="Z987" i="26"/>
  <c r="M987" i="26"/>
  <c r="L987" i="26"/>
  <c r="A987" i="26"/>
  <c r="AC986" i="26"/>
  <c r="Z986" i="26"/>
  <c r="M986" i="26"/>
  <c r="L986" i="26"/>
  <c r="A986" i="26"/>
  <c r="AC985" i="26"/>
  <c r="Z985" i="26"/>
  <c r="M985" i="26"/>
  <c r="L985" i="26"/>
  <c r="A985" i="26"/>
  <c r="AC983" i="26"/>
  <c r="Z983" i="26"/>
  <c r="M983" i="26"/>
  <c r="L983" i="26"/>
  <c r="A983" i="26"/>
  <c r="AC982" i="26"/>
  <c r="Z982" i="26"/>
  <c r="M982" i="26"/>
  <c r="L982" i="26"/>
  <c r="A982" i="26"/>
  <c r="AC981" i="26"/>
  <c r="Z981" i="26"/>
  <c r="M981" i="26"/>
  <c r="L981" i="26"/>
  <c r="A981" i="26"/>
  <c r="AC980" i="26"/>
  <c r="Z980" i="26"/>
  <c r="M980" i="26"/>
  <c r="L980" i="26"/>
  <c r="A980" i="26"/>
  <c r="AC979" i="26"/>
  <c r="Z979" i="26"/>
  <c r="M979" i="26"/>
  <c r="L979" i="26"/>
  <c r="A979" i="26"/>
  <c r="AC975" i="26"/>
  <c r="Z975" i="26"/>
  <c r="M975" i="26"/>
  <c r="L975" i="26"/>
  <c r="A975" i="26"/>
  <c r="AC974" i="26"/>
  <c r="Z974" i="26"/>
  <c r="M974" i="26"/>
  <c r="L974" i="26"/>
  <c r="A974" i="26"/>
  <c r="AC973" i="26"/>
  <c r="Z973" i="26"/>
  <c r="M973" i="26"/>
  <c r="L973" i="26"/>
  <c r="A973" i="26"/>
  <c r="AC971" i="26"/>
  <c r="Z971" i="26"/>
  <c r="M971" i="26"/>
  <c r="L971" i="26"/>
  <c r="A971" i="26"/>
  <c r="AC970" i="26"/>
  <c r="Z970" i="26"/>
  <c r="M970" i="26"/>
  <c r="L970" i="26"/>
  <c r="A970" i="26"/>
  <c r="AC969" i="26"/>
  <c r="Z969" i="26"/>
  <c r="M969" i="26"/>
  <c r="L969" i="26"/>
  <c r="A969" i="26"/>
  <c r="AC968" i="26"/>
  <c r="Z968" i="26"/>
  <c r="M968" i="26"/>
  <c r="L968" i="26"/>
  <c r="A968" i="26"/>
  <c r="AC965" i="26"/>
  <c r="Z965" i="26"/>
  <c r="M965" i="26"/>
  <c r="L965" i="26"/>
  <c r="A965" i="26"/>
  <c r="AC964" i="26"/>
  <c r="Z964" i="26"/>
  <c r="M964" i="26"/>
  <c r="L964" i="26"/>
  <c r="A964" i="26"/>
  <c r="AC962" i="26"/>
  <c r="Z962" i="26"/>
  <c r="M962" i="26"/>
  <c r="L962" i="26"/>
  <c r="A962" i="26"/>
  <c r="AC960" i="26"/>
  <c r="Z960" i="26"/>
  <c r="M960" i="26"/>
  <c r="L960" i="26"/>
  <c r="A960" i="26"/>
  <c r="AC959" i="26"/>
  <c r="Z959" i="26"/>
  <c r="M959" i="26"/>
  <c r="L959" i="26"/>
  <c r="A959" i="26"/>
  <c r="AC956" i="26"/>
  <c r="Z956" i="26"/>
  <c r="M956" i="26"/>
  <c r="L956" i="26"/>
  <c r="A956" i="26"/>
  <c r="AC955" i="26"/>
  <c r="Z955" i="26"/>
  <c r="M955" i="26"/>
  <c r="L955" i="26"/>
  <c r="A955" i="26"/>
  <c r="AC954" i="26"/>
  <c r="Z954" i="26"/>
  <c r="M954" i="26"/>
  <c r="L954" i="26"/>
  <c r="A954" i="26"/>
  <c r="AC953" i="26"/>
  <c r="Z953" i="26"/>
  <c r="M953" i="26"/>
  <c r="L953" i="26"/>
  <c r="A953" i="26"/>
  <c r="AC947" i="26"/>
  <c r="Z947" i="26"/>
  <c r="M947" i="26"/>
  <c r="L947" i="26"/>
  <c r="A947" i="26"/>
  <c r="AC942" i="26"/>
  <c r="Z942" i="26"/>
  <c r="M942" i="26"/>
  <c r="L942" i="26"/>
  <c r="A942" i="26"/>
  <c r="AC941" i="26"/>
  <c r="Z941" i="26"/>
  <c r="M941" i="26"/>
  <c r="L941" i="26"/>
  <c r="A941" i="26"/>
  <c r="AC938" i="26"/>
  <c r="Z938" i="26"/>
  <c r="M938" i="26"/>
  <c r="L938" i="26"/>
  <c r="A938" i="26"/>
  <c r="AC937" i="26"/>
  <c r="Z937" i="26"/>
  <c r="M937" i="26"/>
  <c r="L937" i="26"/>
  <c r="A937" i="26"/>
  <c r="AC936" i="26"/>
  <c r="Z936" i="26"/>
  <c r="M936" i="26"/>
  <c r="L936" i="26"/>
  <c r="A936" i="26"/>
  <c r="AC934" i="26"/>
  <c r="Z934" i="26"/>
  <c r="M934" i="26"/>
  <c r="L934" i="26"/>
  <c r="A934" i="26"/>
  <c r="AC933" i="26"/>
  <c r="Z933" i="26"/>
  <c r="M933" i="26"/>
  <c r="L933" i="26"/>
  <c r="A933" i="26"/>
  <c r="AC925" i="26"/>
  <c r="Z925" i="26"/>
  <c r="M925" i="26"/>
  <c r="L925" i="26"/>
  <c r="A925" i="26"/>
  <c r="AC924" i="26"/>
  <c r="Z924" i="26"/>
  <c r="M924" i="26"/>
  <c r="L924" i="26"/>
  <c r="A924" i="26"/>
  <c r="AC922" i="26"/>
  <c r="Z922" i="26"/>
  <c r="M922" i="26"/>
  <c r="L922" i="26"/>
  <c r="A922" i="26"/>
  <c r="AC921" i="26"/>
  <c r="Z921" i="26"/>
  <c r="M921" i="26"/>
  <c r="L921" i="26"/>
  <c r="A921" i="26"/>
  <c r="AC920" i="26"/>
  <c r="Z920" i="26"/>
  <c r="M920" i="26"/>
  <c r="L920" i="26"/>
  <c r="A920" i="26"/>
  <c r="AC918" i="26"/>
  <c r="Z918" i="26"/>
  <c r="M918" i="26"/>
  <c r="L918" i="26"/>
  <c r="A918" i="26"/>
  <c r="AC911" i="26"/>
  <c r="Z911" i="26"/>
  <c r="M911" i="26"/>
  <c r="L911" i="26"/>
  <c r="A911" i="26"/>
  <c r="AC910" i="26"/>
  <c r="Z910" i="26"/>
  <c r="M910" i="26"/>
  <c r="L910" i="26"/>
  <c r="A910" i="26"/>
  <c r="AC908" i="26"/>
  <c r="Z908" i="26"/>
  <c r="M908" i="26"/>
  <c r="L908" i="26"/>
  <c r="A908" i="26"/>
  <c r="AC1105" i="26"/>
  <c r="AA1105" i="26"/>
  <c r="AB1105" i="26" s="1"/>
  <c r="Z1105" i="26"/>
  <c r="L1105" i="26"/>
  <c r="A1105" i="26"/>
  <c r="AC1102" i="26"/>
  <c r="AA1102" i="26"/>
  <c r="AB1102" i="26" s="1"/>
  <c r="Z1102" i="26"/>
  <c r="L1102" i="26"/>
  <c r="A1102" i="26"/>
  <c r="AC1100" i="26"/>
  <c r="AA1100" i="26"/>
  <c r="AB1100" i="26" s="1"/>
  <c r="Z1100" i="26"/>
  <c r="L1100" i="26"/>
  <c r="A1100" i="26"/>
  <c r="AC1098" i="26"/>
  <c r="AA1098" i="26"/>
  <c r="AB1098" i="26" s="1"/>
  <c r="Z1098" i="26"/>
  <c r="L1098" i="26"/>
  <c r="A1098" i="26"/>
  <c r="AC1095" i="26"/>
  <c r="Z1095" i="26"/>
  <c r="M1095" i="26"/>
  <c r="L1095" i="26"/>
  <c r="A1095" i="26"/>
  <c r="AC1094" i="26"/>
  <c r="Z1094" i="26"/>
  <c r="L1094" i="26"/>
  <c r="A1094" i="26"/>
  <c r="AC1091" i="26"/>
  <c r="AA1091" i="26"/>
  <c r="AB1091" i="26" s="1"/>
  <c r="Z1091" i="26"/>
  <c r="L1091" i="26"/>
  <c r="A1091" i="26"/>
  <c r="AC1089" i="26"/>
  <c r="AA1089" i="26"/>
  <c r="AB1089" i="26" s="1"/>
  <c r="Z1089" i="26"/>
  <c r="L1089" i="26"/>
  <c r="A1089" i="26"/>
  <c r="AC1088" i="26"/>
  <c r="AA1088" i="26"/>
  <c r="AB1088" i="26" s="1"/>
  <c r="Z1088" i="26"/>
  <c r="L1088" i="26"/>
  <c r="A1088" i="26"/>
  <c r="AC1082" i="26"/>
  <c r="Z1082" i="26"/>
  <c r="L1082" i="26"/>
  <c r="A1082" i="26"/>
  <c r="AC1078" i="26"/>
  <c r="Z1078" i="26"/>
  <c r="L1078" i="26"/>
  <c r="A1078" i="26"/>
  <c r="AC1071" i="26"/>
  <c r="Z1071" i="26"/>
  <c r="L1071" i="26"/>
  <c r="A1071" i="26"/>
  <c r="AC1070" i="26"/>
  <c r="Z1070" i="26"/>
  <c r="L1070" i="26"/>
  <c r="A1070" i="26"/>
  <c r="AC1064" i="26"/>
  <c r="Z1064" i="26"/>
  <c r="M1064" i="26"/>
  <c r="L1064" i="26"/>
  <c r="A1064" i="26"/>
  <c r="AC1063" i="26"/>
  <c r="Z1063" i="26"/>
  <c r="M1063" i="26"/>
  <c r="L1063" i="26"/>
  <c r="A1063" i="26"/>
  <c r="AC1061" i="26"/>
  <c r="AA1061" i="26"/>
  <c r="AB1061" i="26" s="1"/>
  <c r="Z1061" i="26"/>
  <c r="M1061" i="26"/>
  <c r="L1061" i="26"/>
  <c r="A1061" i="26"/>
  <c r="AC1053" i="26"/>
  <c r="Z1053" i="26"/>
  <c r="M1053" i="26"/>
  <c r="L1053" i="26"/>
  <c r="A1053" i="26"/>
  <c r="AC1049" i="26"/>
  <c r="Z1049" i="26"/>
  <c r="M1049" i="26"/>
  <c r="L1049" i="26"/>
  <c r="A1049" i="26"/>
  <c r="AC1045" i="26"/>
  <c r="Z1045" i="26"/>
  <c r="M1045" i="26"/>
  <c r="L1045" i="26"/>
  <c r="A1045" i="26"/>
  <c r="AC1040" i="26"/>
  <c r="Z1040" i="26"/>
  <c r="M1040" i="26"/>
  <c r="L1040" i="26"/>
  <c r="A1040" i="26"/>
  <c r="AC1038" i="26"/>
  <c r="Z1038" i="26"/>
  <c r="M1038" i="26"/>
  <c r="L1038" i="26"/>
  <c r="A1038" i="26"/>
  <c r="AC1036" i="26"/>
  <c r="Z1036" i="26"/>
  <c r="M1036" i="26"/>
  <c r="L1036" i="26"/>
  <c r="A1036" i="26"/>
  <c r="AC1027" i="26"/>
  <c r="Z1027" i="26"/>
  <c r="M1027" i="26"/>
  <c r="L1027" i="26"/>
  <c r="A1027" i="26"/>
  <c r="AC1025" i="26"/>
  <c r="AA1025" i="26"/>
  <c r="AB1025" i="26" s="1"/>
  <c r="Z1025" i="26"/>
  <c r="M1025" i="26"/>
  <c r="L1025" i="26"/>
  <c r="A1025" i="26"/>
  <c r="AC1024" i="26"/>
  <c r="AA1024" i="26"/>
  <c r="AB1024" i="26" s="1"/>
  <c r="Z1024" i="26"/>
  <c r="M1024" i="26"/>
  <c r="L1024" i="26"/>
  <c r="A1024" i="26"/>
  <c r="AC1023" i="26"/>
  <c r="AA1023" i="26"/>
  <c r="AB1023" i="26" s="1"/>
  <c r="Z1023" i="26"/>
  <c r="M1023" i="26"/>
  <c r="L1023" i="26"/>
  <c r="A1023" i="26"/>
  <c r="AC1022" i="26"/>
  <c r="AA1022" i="26"/>
  <c r="AB1022" i="26" s="1"/>
  <c r="Z1022" i="26"/>
  <c r="M1022" i="26"/>
  <c r="L1022" i="26"/>
  <c r="A1022" i="26"/>
  <c r="AC1018" i="26"/>
  <c r="AA1018" i="26"/>
  <c r="AB1018" i="26" s="1"/>
  <c r="Z1018" i="26"/>
  <c r="M1018" i="26"/>
  <c r="L1018" i="26"/>
  <c r="A1018" i="26"/>
  <c r="AC1017" i="26"/>
  <c r="AA1017" i="26"/>
  <c r="AB1017" i="26" s="1"/>
  <c r="Z1017" i="26"/>
  <c r="M1017" i="26"/>
  <c r="L1017" i="26"/>
  <c r="A1017" i="26"/>
  <c r="AC1013" i="26"/>
  <c r="Z1013" i="26"/>
  <c r="M1013" i="26"/>
  <c r="L1013" i="26"/>
  <c r="A1013" i="26"/>
  <c r="AC1005" i="26"/>
  <c r="Z1005" i="26"/>
  <c r="M1005" i="26"/>
  <c r="L1005" i="26"/>
  <c r="A1005" i="26"/>
  <c r="AC1004" i="26"/>
  <c r="Z1004" i="26"/>
  <c r="M1004" i="26"/>
  <c r="L1004" i="26"/>
  <c r="A1004" i="26"/>
  <c r="AC998" i="26"/>
  <c r="Z998" i="26"/>
  <c r="M998" i="26"/>
  <c r="L998" i="26"/>
  <c r="A998" i="26"/>
  <c r="AC992" i="26"/>
  <c r="Z992" i="26"/>
  <c r="M992" i="26"/>
  <c r="L992" i="26"/>
  <c r="A992" i="26"/>
  <c r="AC989" i="26"/>
  <c r="Z989" i="26"/>
  <c r="M989" i="26"/>
  <c r="L989" i="26"/>
  <c r="A989" i="26"/>
  <c r="AC978" i="26"/>
  <c r="Z978" i="26"/>
  <c r="M978" i="26"/>
  <c r="L978" i="26"/>
  <c r="A978" i="26"/>
  <c r="AC972" i="26"/>
  <c r="Z972" i="26"/>
  <c r="M972" i="26"/>
  <c r="L972" i="26"/>
  <c r="A972" i="26"/>
  <c r="AC967" i="26"/>
  <c r="Z967" i="26"/>
  <c r="M967" i="26"/>
  <c r="L967" i="26"/>
  <c r="A967" i="26"/>
  <c r="AC949" i="26"/>
  <c r="AA949" i="26"/>
  <c r="AB949" i="26" s="1"/>
  <c r="Z949" i="26"/>
  <c r="M949" i="26"/>
  <c r="L949" i="26"/>
  <c r="A949" i="26"/>
  <c r="AC948" i="26"/>
  <c r="AA948" i="26"/>
  <c r="AB948" i="26" s="1"/>
  <c r="Z948" i="26"/>
  <c r="M948" i="26"/>
  <c r="L948" i="26"/>
  <c r="A948" i="26"/>
  <c r="AC930" i="26"/>
  <c r="AA930" i="26"/>
  <c r="AB930" i="26" s="1"/>
  <c r="Z930" i="26"/>
  <c r="M930" i="26"/>
  <c r="L930" i="26"/>
  <c r="A930" i="26"/>
  <c r="AC929" i="26"/>
  <c r="AA929" i="26"/>
  <c r="AB929" i="26" s="1"/>
  <c r="Z929" i="26"/>
  <c r="M929" i="26"/>
  <c r="L929" i="26"/>
  <c r="A929" i="26"/>
  <c r="AC928" i="26"/>
  <c r="AA928" i="26"/>
  <c r="AB928" i="26" s="1"/>
  <c r="Z928" i="26"/>
  <c r="M928" i="26"/>
  <c r="L928" i="26"/>
  <c r="A928" i="26"/>
  <c r="AC927" i="26"/>
  <c r="AA927" i="26"/>
  <c r="AB927" i="26" s="1"/>
  <c r="Z927" i="26"/>
  <c r="M927" i="26"/>
  <c r="L927" i="26"/>
  <c r="A927" i="26"/>
  <c r="AC926" i="26"/>
  <c r="AA926" i="26"/>
  <c r="AB926" i="26" s="1"/>
  <c r="Z926" i="26"/>
  <c r="M926" i="26"/>
  <c r="L926" i="26"/>
  <c r="A926" i="26"/>
  <c r="AC919" i="26"/>
  <c r="AA919" i="26"/>
  <c r="AB919" i="26" s="1"/>
  <c r="Z919" i="26"/>
  <c r="M919" i="26"/>
  <c r="L919" i="26"/>
  <c r="A919" i="26"/>
  <c r="AC917" i="26"/>
  <c r="AA917" i="26"/>
  <c r="AB917" i="26" s="1"/>
  <c r="Z917" i="26"/>
  <c r="M917" i="26"/>
  <c r="L917" i="26"/>
  <c r="A917" i="26"/>
  <c r="AC916" i="26"/>
  <c r="AA916" i="26"/>
  <c r="AB916" i="26" s="1"/>
  <c r="Z916" i="26"/>
  <c r="M916" i="26"/>
  <c r="L916" i="26"/>
  <c r="A916" i="26"/>
  <c r="AC915" i="26"/>
  <c r="AA915" i="26"/>
  <c r="AB915" i="26" s="1"/>
  <c r="Z915" i="26"/>
  <c r="M915" i="26"/>
  <c r="L915" i="26"/>
  <c r="A915" i="26"/>
  <c r="AC914" i="26"/>
  <c r="AA914" i="26"/>
  <c r="AB914" i="26" s="1"/>
  <c r="Z914" i="26"/>
  <c r="M914" i="26"/>
  <c r="L914" i="26"/>
  <c r="A914" i="26"/>
  <c r="AC913" i="26"/>
  <c r="AA913" i="26"/>
  <c r="AB913" i="26" s="1"/>
  <c r="Z913" i="26"/>
  <c r="M913" i="26"/>
  <c r="L913" i="26"/>
  <c r="A913" i="26"/>
  <c r="AC909" i="26"/>
  <c r="AA909" i="26"/>
  <c r="AB909" i="26" s="1"/>
  <c r="Z909" i="26"/>
  <c r="M909" i="26"/>
  <c r="L909" i="26"/>
  <c r="A909" i="26"/>
  <c r="AC907" i="26"/>
  <c r="AA907" i="26"/>
  <c r="AB907" i="26" s="1"/>
  <c r="Z907" i="26"/>
  <c r="M907" i="26"/>
  <c r="L907" i="26"/>
  <c r="A907" i="26"/>
  <c r="AC957" i="26"/>
  <c r="Z957" i="26"/>
  <c r="M957" i="26"/>
  <c r="L957" i="26"/>
  <c r="A957" i="26"/>
  <c r="AC944" i="26"/>
  <c r="Z944" i="26"/>
  <c r="M944" i="26"/>
  <c r="L944" i="26"/>
  <c r="A944" i="26"/>
  <c r="AC963" i="26"/>
  <c r="Z963" i="26"/>
  <c r="M963" i="26"/>
  <c r="L963" i="26"/>
  <c r="A963" i="26"/>
  <c r="AC940" i="26"/>
  <c r="Z940" i="26"/>
  <c r="M940" i="26"/>
  <c r="L940" i="26"/>
  <c r="A940" i="26"/>
  <c r="AC906" i="26"/>
  <c r="Z906" i="26"/>
  <c r="M906" i="26"/>
  <c r="L906" i="26"/>
  <c r="A906" i="26"/>
  <c r="AC904" i="26"/>
  <c r="Z904" i="26"/>
  <c r="M904" i="26"/>
  <c r="L904" i="26"/>
  <c r="A904" i="26"/>
  <c r="AC905" i="26"/>
  <c r="Z905" i="26"/>
  <c r="M905" i="26"/>
  <c r="L905" i="26"/>
  <c r="A905" i="26"/>
  <c r="AC903" i="26"/>
  <c r="Z903" i="26"/>
  <c r="M903" i="26"/>
  <c r="L903" i="26"/>
  <c r="A903" i="26"/>
  <c r="AC902" i="26"/>
  <c r="Z902" i="26"/>
  <c r="M902" i="26"/>
  <c r="L902" i="26"/>
  <c r="A902" i="26"/>
  <c r="AC901" i="26"/>
  <c r="Z901" i="26"/>
  <c r="M901" i="26"/>
  <c r="L901" i="26"/>
  <c r="A901" i="26"/>
  <c r="AC900" i="26"/>
  <c r="Z900" i="26"/>
  <c r="M900" i="26"/>
  <c r="L900" i="26"/>
  <c r="A900" i="26"/>
  <c r="AC898" i="26"/>
  <c r="Z898" i="26"/>
  <c r="M898" i="26"/>
  <c r="L898" i="26"/>
  <c r="A898" i="26"/>
  <c r="AC899" i="26"/>
  <c r="Z899" i="26"/>
  <c r="M899" i="26"/>
  <c r="L899" i="26"/>
  <c r="A899" i="26"/>
  <c r="AC897" i="26"/>
  <c r="Z897" i="26"/>
  <c r="M897" i="26"/>
  <c r="L897" i="26"/>
  <c r="A897" i="26"/>
  <c r="AC896" i="26"/>
  <c r="Z896" i="26"/>
  <c r="M896" i="26"/>
  <c r="L896" i="26"/>
  <c r="A896" i="26"/>
  <c r="AC781" i="26"/>
  <c r="Z781" i="26"/>
  <c r="M781" i="26"/>
  <c r="L781" i="26"/>
  <c r="A781" i="26"/>
  <c r="AC883" i="26"/>
  <c r="Z883" i="26"/>
  <c r="M883" i="26"/>
  <c r="L883" i="26"/>
  <c r="A883" i="26"/>
  <c r="AC853" i="26"/>
  <c r="Z853" i="26"/>
  <c r="M853" i="26"/>
  <c r="L853" i="26"/>
  <c r="A853" i="26"/>
  <c r="AC821" i="26"/>
  <c r="Z821" i="26"/>
  <c r="M821" i="26"/>
  <c r="L821" i="26"/>
  <c r="A821" i="26"/>
  <c r="AC783" i="26"/>
  <c r="Z783" i="26"/>
  <c r="M783" i="26"/>
  <c r="L783" i="26"/>
  <c r="A783" i="26"/>
  <c r="AC895" i="26"/>
  <c r="Z895" i="26"/>
  <c r="L895" i="26"/>
  <c r="A895" i="26"/>
  <c r="AC893" i="26"/>
  <c r="Z893" i="26"/>
  <c r="L893" i="26"/>
  <c r="A893" i="26"/>
  <c r="AC891" i="26"/>
  <c r="Z891" i="26"/>
  <c r="M891" i="26"/>
  <c r="L891" i="26"/>
  <c r="A891" i="26"/>
  <c r="AC889" i="26"/>
  <c r="Z889" i="26"/>
  <c r="M889" i="26"/>
  <c r="L889" i="26"/>
  <c r="A889" i="26"/>
  <c r="AC888" i="26"/>
  <c r="Z888" i="26"/>
  <c r="M888" i="26"/>
  <c r="L888" i="26"/>
  <c r="A888" i="26"/>
  <c r="AC886" i="26"/>
  <c r="Z886" i="26"/>
  <c r="M886" i="26"/>
  <c r="L886" i="26"/>
  <c r="A886" i="26"/>
  <c r="AC884" i="26"/>
  <c r="Z884" i="26"/>
  <c r="M884" i="26"/>
  <c r="L884" i="26"/>
  <c r="A884" i="26"/>
  <c r="AC882" i="26"/>
  <c r="Z882" i="26"/>
  <c r="M882" i="26"/>
  <c r="L882" i="26"/>
  <c r="A882" i="26"/>
  <c r="AC880" i="26"/>
  <c r="Z880" i="26"/>
  <c r="M880" i="26"/>
  <c r="L880" i="26"/>
  <c r="A880" i="26"/>
  <c r="AC879" i="26"/>
  <c r="Z879" i="26"/>
  <c r="M879" i="26"/>
  <c r="L879" i="26"/>
  <c r="A879" i="26"/>
  <c r="AC878" i="26"/>
  <c r="Z878" i="26"/>
  <c r="M878" i="26"/>
  <c r="L878" i="26"/>
  <c r="A878" i="26"/>
  <c r="AC877" i="26"/>
  <c r="Z877" i="26"/>
  <c r="M877" i="26"/>
  <c r="L877" i="26"/>
  <c r="A877" i="26"/>
  <c r="AC876" i="26"/>
  <c r="Z876" i="26"/>
  <c r="M876" i="26"/>
  <c r="L876" i="26"/>
  <c r="A876" i="26"/>
  <c r="AC875" i="26"/>
  <c r="Z875" i="26"/>
  <c r="M875" i="26"/>
  <c r="L875" i="26"/>
  <c r="A875" i="26"/>
  <c r="AC874" i="26"/>
  <c r="Z874" i="26"/>
  <c r="M874" i="26"/>
  <c r="L874" i="26"/>
  <c r="A874" i="26"/>
  <c r="AC873" i="26"/>
  <c r="Z873" i="26"/>
  <c r="M873" i="26"/>
  <c r="L873" i="26"/>
  <c r="A873" i="26"/>
  <c r="AC872" i="26"/>
  <c r="Z872" i="26"/>
  <c r="M872" i="26"/>
  <c r="L872" i="26"/>
  <c r="A872" i="26"/>
  <c r="AC871" i="26"/>
  <c r="Z871" i="26"/>
  <c r="M871" i="26"/>
  <c r="L871" i="26"/>
  <c r="A871" i="26"/>
  <c r="AC870" i="26"/>
  <c r="Z870" i="26"/>
  <c r="M870" i="26"/>
  <c r="L870" i="26"/>
  <c r="A870" i="26"/>
  <c r="AC868" i="26"/>
  <c r="Z868" i="26"/>
  <c r="M868" i="26"/>
  <c r="L868" i="26"/>
  <c r="A868" i="26"/>
  <c r="AC867" i="26"/>
  <c r="Z867" i="26"/>
  <c r="M867" i="26"/>
  <c r="L867" i="26"/>
  <c r="A867" i="26"/>
  <c r="AC866" i="26"/>
  <c r="Z866" i="26"/>
  <c r="M866" i="26"/>
  <c r="L866" i="26"/>
  <c r="A866" i="26"/>
  <c r="AC865" i="26"/>
  <c r="Z865" i="26"/>
  <c r="M865" i="26"/>
  <c r="L865" i="26"/>
  <c r="A865" i="26"/>
  <c r="AC864" i="26"/>
  <c r="Z864" i="26"/>
  <c r="M864" i="26"/>
  <c r="L864" i="26"/>
  <c r="A864" i="26"/>
  <c r="AC863" i="26"/>
  <c r="Z863" i="26"/>
  <c r="M863" i="26"/>
  <c r="L863" i="26"/>
  <c r="A863" i="26"/>
  <c r="AC862" i="26"/>
  <c r="Z862" i="26"/>
  <c r="M862" i="26"/>
  <c r="L862" i="26"/>
  <c r="A862" i="26"/>
  <c r="AC861" i="26"/>
  <c r="Z861" i="26"/>
  <c r="M861" i="26"/>
  <c r="L861" i="26"/>
  <c r="A861" i="26"/>
  <c r="AC860" i="26"/>
  <c r="Z860" i="26"/>
  <c r="M860" i="26"/>
  <c r="L860" i="26"/>
  <c r="A860" i="26"/>
  <c r="AC859" i="26"/>
  <c r="Z859" i="26"/>
  <c r="M859" i="26"/>
  <c r="L859" i="26"/>
  <c r="A859" i="26"/>
  <c r="AC858" i="26"/>
  <c r="Z858" i="26"/>
  <c r="M858" i="26"/>
  <c r="L858" i="26"/>
  <c r="A858" i="26"/>
  <c r="AC857" i="26"/>
  <c r="Z857" i="26"/>
  <c r="M857" i="26"/>
  <c r="L857" i="26"/>
  <c r="A857" i="26"/>
  <c r="AC854" i="26"/>
  <c r="Z854" i="26"/>
  <c r="M854" i="26"/>
  <c r="L854" i="26"/>
  <c r="A854" i="26"/>
  <c r="AC852" i="26"/>
  <c r="Z852" i="26"/>
  <c r="M852" i="26"/>
  <c r="L852" i="26"/>
  <c r="A852" i="26"/>
  <c r="AC851" i="26"/>
  <c r="Z851" i="26"/>
  <c r="M851" i="26"/>
  <c r="L851" i="26"/>
  <c r="A851" i="26"/>
  <c r="AC850" i="26"/>
  <c r="Z850" i="26"/>
  <c r="M850" i="26"/>
  <c r="L850" i="26"/>
  <c r="A850" i="26"/>
  <c r="AC848" i="26"/>
  <c r="Z848" i="26"/>
  <c r="M848" i="26"/>
  <c r="L848" i="26"/>
  <c r="A848" i="26"/>
  <c r="AC847" i="26"/>
  <c r="Z847" i="26"/>
  <c r="M847" i="26"/>
  <c r="L847" i="26"/>
  <c r="A847" i="26"/>
  <c r="AC846" i="26"/>
  <c r="Z846" i="26"/>
  <c r="M846" i="26"/>
  <c r="L846" i="26"/>
  <c r="A846" i="26"/>
  <c r="AC845" i="26"/>
  <c r="Z845" i="26"/>
  <c r="M845" i="26"/>
  <c r="L845" i="26"/>
  <c r="A845" i="26"/>
  <c r="AC843" i="26"/>
  <c r="Z843" i="26"/>
  <c r="M843" i="26"/>
  <c r="L843" i="26"/>
  <c r="A843" i="26"/>
  <c r="AC842" i="26"/>
  <c r="Z842" i="26"/>
  <c r="M842" i="26"/>
  <c r="L842" i="26"/>
  <c r="A842" i="26"/>
  <c r="AC841" i="26"/>
  <c r="Z841" i="26"/>
  <c r="M841" i="26"/>
  <c r="L841" i="26"/>
  <c r="A841" i="26"/>
  <c r="AC839" i="26"/>
  <c r="Z839" i="26"/>
  <c r="M839" i="26"/>
  <c r="L839" i="26"/>
  <c r="A839" i="26"/>
  <c r="AC837" i="26"/>
  <c r="Z837" i="26"/>
  <c r="M837" i="26"/>
  <c r="L837" i="26"/>
  <c r="A837" i="26"/>
  <c r="AC836" i="26"/>
  <c r="Z836" i="26"/>
  <c r="M836" i="26"/>
  <c r="L836" i="26"/>
  <c r="A836" i="26"/>
  <c r="AC835" i="26"/>
  <c r="Z835" i="26"/>
  <c r="M835" i="26"/>
  <c r="L835" i="26"/>
  <c r="A835" i="26"/>
  <c r="AC834" i="26"/>
  <c r="Z834" i="26"/>
  <c r="M834" i="26"/>
  <c r="L834" i="26"/>
  <c r="A834" i="26"/>
  <c r="AC833" i="26"/>
  <c r="Z833" i="26"/>
  <c r="M833" i="26"/>
  <c r="L833" i="26"/>
  <c r="A833" i="26"/>
  <c r="AC832" i="26"/>
  <c r="Z832" i="26"/>
  <c r="M832" i="26"/>
  <c r="L832" i="26"/>
  <c r="A832" i="26"/>
  <c r="AC830" i="26"/>
  <c r="Z830" i="26"/>
  <c r="M830" i="26"/>
  <c r="L830" i="26"/>
  <c r="A830" i="26"/>
  <c r="AC829" i="26"/>
  <c r="Z829" i="26"/>
  <c r="M829" i="26"/>
  <c r="L829" i="26"/>
  <c r="A829" i="26"/>
  <c r="AC828" i="26"/>
  <c r="Z828" i="26"/>
  <c r="M828" i="26"/>
  <c r="L828" i="26"/>
  <c r="A828" i="26"/>
  <c r="AC827" i="26"/>
  <c r="Z827" i="26"/>
  <c r="M827" i="26"/>
  <c r="L827" i="26"/>
  <c r="A827" i="26"/>
  <c r="AC825" i="26"/>
  <c r="Z825" i="26"/>
  <c r="M825" i="26"/>
  <c r="L825" i="26"/>
  <c r="A825" i="26"/>
  <c r="AC823" i="26"/>
  <c r="Z823" i="26"/>
  <c r="M823" i="26"/>
  <c r="L823" i="26"/>
  <c r="A823" i="26"/>
  <c r="AC822" i="26"/>
  <c r="Z822" i="26"/>
  <c r="M822" i="26"/>
  <c r="L822" i="26"/>
  <c r="A822" i="26"/>
  <c r="AC820" i="26"/>
  <c r="Z820" i="26"/>
  <c r="M820" i="26"/>
  <c r="L820" i="26"/>
  <c r="A820" i="26"/>
  <c r="AC819" i="26"/>
  <c r="Z819" i="26"/>
  <c r="M819" i="26"/>
  <c r="L819" i="26"/>
  <c r="A819" i="26"/>
  <c r="AC818" i="26"/>
  <c r="Z818" i="26"/>
  <c r="M818" i="26"/>
  <c r="L818" i="26"/>
  <c r="A818" i="26"/>
  <c r="AC817" i="26"/>
  <c r="Z817" i="26"/>
  <c r="M817" i="26"/>
  <c r="L817" i="26"/>
  <c r="A817" i="26"/>
  <c r="AC815" i="26"/>
  <c r="Z815" i="26"/>
  <c r="M815" i="26"/>
  <c r="L815" i="26"/>
  <c r="A815" i="26"/>
  <c r="AC814" i="26"/>
  <c r="Z814" i="26"/>
  <c r="M814" i="26"/>
  <c r="L814" i="26"/>
  <c r="A814" i="26"/>
  <c r="AC813" i="26"/>
  <c r="Z813" i="26"/>
  <c r="M813" i="26"/>
  <c r="L813" i="26"/>
  <c r="A813" i="26"/>
  <c r="AC812" i="26"/>
  <c r="Z812" i="26"/>
  <c r="M812" i="26"/>
  <c r="L812" i="26"/>
  <c r="A812" i="26"/>
  <c r="AC811" i="26"/>
  <c r="Z811" i="26"/>
  <c r="M811" i="26"/>
  <c r="L811" i="26"/>
  <c r="A811" i="26"/>
  <c r="AC810" i="26"/>
  <c r="Z810" i="26"/>
  <c r="M810" i="26"/>
  <c r="L810" i="26"/>
  <c r="A810" i="26"/>
  <c r="AC809" i="26"/>
  <c r="Z809" i="26"/>
  <c r="M809" i="26"/>
  <c r="L809" i="26"/>
  <c r="A809" i="26"/>
  <c r="AC808" i="26"/>
  <c r="Z808" i="26"/>
  <c r="M808" i="26"/>
  <c r="L808" i="26"/>
  <c r="A808" i="26"/>
  <c r="AC806" i="26"/>
  <c r="Z806" i="26"/>
  <c r="M806" i="26"/>
  <c r="L806" i="26"/>
  <c r="A806" i="26"/>
  <c r="AC804" i="26"/>
  <c r="Z804" i="26"/>
  <c r="M804" i="26"/>
  <c r="L804" i="26"/>
  <c r="A804" i="26"/>
  <c r="AC802" i="26"/>
  <c r="Z802" i="26"/>
  <c r="M802" i="26"/>
  <c r="L802" i="26"/>
  <c r="A802" i="26"/>
  <c r="AC801" i="26"/>
  <c r="AB801" i="26"/>
  <c r="Z801" i="26"/>
  <c r="M801" i="26"/>
  <c r="L801" i="26"/>
  <c r="A801" i="26"/>
  <c r="AC800" i="26"/>
  <c r="Z800" i="26"/>
  <c r="M800" i="26"/>
  <c r="L800" i="26"/>
  <c r="A800" i="26"/>
  <c r="AC799" i="26"/>
  <c r="Z799" i="26"/>
  <c r="M799" i="26"/>
  <c r="L799" i="26"/>
  <c r="A799" i="26"/>
  <c r="AC797" i="26"/>
  <c r="Z797" i="26"/>
  <c r="M797" i="26"/>
  <c r="L797" i="26"/>
  <c r="A797" i="26"/>
  <c r="AC796" i="26"/>
  <c r="Z796" i="26"/>
  <c r="M796" i="26"/>
  <c r="L796" i="26"/>
  <c r="A796" i="26"/>
  <c r="AC794" i="26"/>
  <c r="Z794" i="26"/>
  <c r="M794" i="26"/>
  <c r="L794" i="26"/>
  <c r="A794" i="26"/>
  <c r="AC793" i="26"/>
  <c r="Z793" i="26"/>
  <c r="M793" i="26"/>
  <c r="L793" i="26"/>
  <c r="A793" i="26"/>
  <c r="AC792" i="26"/>
  <c r="Z792" i="26"/>
  <c r="M792" i="26"/>
  <c r="L792" i="26"/>
  <c r="A792" i="26"/>
  <c r="AC791" i="26"/>
  <c r="Z791" i="26"/>
  <c r="M791" i="26"/>
  <c r="L791" i="26"/>
  <c r="A791" i="26"/>
  <c r="AC790" i="26"/>
  <c r="Z790" i="26"/>
  <c r="M790" i="26"/>
  <c r="L790" i="26"/>
  <c r="A790" i="26"/>
  <c r="AC788" i="26"/>
  <c r="Z788" i="26"/>
  <c r="M788" i="26"/>
  <c r="L788" i="26"/>
  <c r="A788" i="26"/>
  <c r="AC787" i="26"/>
  <c r="Z787" i="26"/>
  <c r="M787" i="26"/>
  <c r="L787" i="26"/>
  <c r="A787" i="26"/>
  <c r="AC786" i="26"/>
  <c r="Z786" i="26"/>
  <c r="M786" i="26"/>
  <c r="L786" i="26"/>
  <c r="A786" i="26"/>
  <c r="AC784" i="26"/>
  <c r="Z784" i="26"/>
  <c r="M784" i="26"/>
  <c r="L784" i="26"/>
  <c r="A784" i="26"/>
  <c r="AC782" i="26"/>
  <c r="Z782" i="26"/>
  <c r="M782" i="26"/>
  <c r="L782" i="26"/>
  <c r="A782" i="26"/>
  <c r="AC780" i="26"/>
  <c r="Z780" i="26"/>
  <c r="M780" i="26"/>
  <c r="L780" i="26"/>
  <c r="A780" i="26"/>
  <c r="AC778" i="26"/>
  <c r="Z778" i="26"/>
  <c r="M778" i="26"/>
  <c r="L778" i="26"/>
  <c r="A778" i="26"/>
  <c r="AC777" i="26"/>
  <c r="Z777" i="26"/>
  <c r="M777" i="26"/>
  <c r="L777" i="26"/>
  <c r="A777" i="26"/>
  <c r="AC776" i="26"/>
  <c r="Z776" i="26"/>
  <c r="M776" i="26"/>
  <c r="L776" i="26"/>
  <c r="A776" i="26"/>
  <c r="AC775" i="26"/>
  <c r="Z775" i="26"/>
  <c r="M775" i="26"/>
  <c r="L775" i="26"/>
  <c r="A775" i="26"/>
  <c r="AC774" i="26"/>
  <c r="Z774" i="26"/>
  <c r="M774" i="26"/>
  <c r="L774" i="26"/>
  <c r="A774" i="26"/>
  <c r="AC773" i="26"/>
  <c r="Z773" i="26"/>
  <c r="M773" i="26"/>
  <c r="L773" i="26"/>
  <c r="A773" i="26"/>
  <c r="AC772" i="26"/>
  <c r="Z772" i="26"/>
  <c r="M772" i="26"/>
  <c r="L772" i="26"/>
  <c r="A772" i="26"/>
  <c r="AC771" i="26"/>
  <c r="Z771" i="26"/>
  <c r="M771" i="26"/>
  <c r="L771" i="26"/>
  <c r="A771" i="26"/>
  <c r="AC769" i="26"/>
  <c r="Z769" i="26"/>
  <c r="M769" i="26"/>
  <c r="L769" i="26"/>
  <c r="A769" i="26"/>
  <c r="AC768" i="26"/>
  <c r="Z768" i="26"/>
  <c r="M768" i="26"/>
  <c r="L768" i="26"/>
  <c r="A768" i="26"/>
  <c r="AC767" i="26"/>
  <c r="Z767" i="26"/>
  <c r="M767" i="26"/>
  <c r="L767" i="26"/>
  <c r="A767" i="26"/>
  <c r="AC766" i="26"/>
  <c r="Z766" i="26"/>
  <c r="M766" i="26"/>
  <c r="L766" i="26"/>
  <c r="A766" i="26"/>
  <c r="AC765" i="26"/>
  <c r="Z765" i="26"/>
  <c r="M765" i="26"/>
  <c r="L765" i="26"/>
  <c r="A765" i="26"/>
  <c r="AC763" i="26"/>
  <c r="Z763" i="26"/>
  <c r="M763" i="26"/>
  <c r="L763" i="26"/>
  <c r="A763" i="26"/>
  <c r="AC762" i="26"/>
  <c r="Z762" i="26"/>
  <c r="M762" i="26"/>
  <c r="L762" i="26"/>
  <c r="A762" i="26"/>
  <c r="AC761" i="26"/>
  <c r="Z761" i="26"/>
  <c r="M761" i="26"/>
  <c r="L761" i="26"/>
  <c r="A761" i="26"/>
  <c r="AC760" i="26"/>
  <c r="Z760" i="26"/>
  <c r="M760" i="26"/>
  <c r="L760" i="26"/>
  <c r="A760" i="26"/>
  <c r="AC759" i="26"/>
  <c r="Z759" i="26"/>
  <c r="M759" i="26"/>
  <c r="L759" i="26"/>
  <c r="A759" i="26"/>
  <c r="AC758" i="26"/>
  <c r="Z758" i="26"/>
  <c r="M758" i="26"/>
  <c r="L758" i="26"/>
  <c r="A758" i="26"/>
  <c r="AC756" i="26"/>
  <c r="Z756" i="26"/>
  <c r="M756" i="26"/>
  <c r="L756" i="26"/>
  <c r="A756" i="26"/>
  <c r="AC754" i="26"/>
  <c r="Z754" i="26"/>
  <c r="M754" i="26"/>
  <c r="L754" i="26"/>
  <c r="A754" i="26"/>
  <c r="AC753" i="26"/>
  <c r="Z753" i="26"/>
  <c r="M753" i="26"/>
  <c r="L753" i="26"/>
  <c r="A753" i="26"/>
  <c r="AC750" i="26"/>
  <c r="Z750" i="26"/>
  <c r="M750" i="26"/>
  <c r="L750" i="26"/>
  <c r="A750" i="26"/>
  <c r="AC748" i="26"/>
  <c r="Z748" i="26"/>
  <c r="M748" i="26"/>
  <c r="L748" i="26"/>
  <c r="A748" i="26"/>
  <c r="AC746" i="26"/>
  <c r="Z746" i="26"/>
  <c r="M746" i="26"/>
  <c r="L746" i="26"/>
  <c r="A746" i="26"/>
  <c r="AC881" i="26"/>
  <c r="Z881" i="26"/>
  <c r="M881" i="26"/>
  <c r="L881" i="26"/>
  <c r="A881" i="26"/>
  <c r="AC894" i="26"/>
  <c r="Z894" i="26"/>
  <c r="L894" i="26"/>
  <c r="A894" i="26"/>
  <c r="AC892" i="26"/>
  <c r="Z892" i="26"/>
  <c r="L892" i="26"/>
  <c r="A892" i="26"/>
  <c r="AC890" i="26"/>
  <c r="AA890" i="26"/>
  <c r="AB890" i="26" s="1"/>
  <c r="Z890" i="26"/>
  <c r="M890" i="26"/>
  <c r="L890" i="26"/>
  <c r="A890" i="26"/>
  <c r="AC887" i="26"/>
  <c r="Z887" i="26"/>
  <c r="M887" i="26"/>
  <c r="L887" i="26"/>
  <c r="A887" i="26"/>
  <c r="AC885" i="26"/>
  <c r="Z885" i="26"/>
  <c r="M885" i="26"/>
  <c r="L885" i="26"/>
  <c r="A885" i="26"/>
  <c r="AC869" i="26"/>
  <c r="Z869" i="26"/>
  <c r="M869" i="26"/>
  <c r="L869" i="26"/>
  <c r="A869" i="26"/>
  <c r="AC856" i="26"/>
  <c r="Z856" i="26"/>
  <c r="M856" i="26"/>
  <c r="L856" i="26"/>
  <c r="A856" i="26"/>
  <c r="AC855" i="26"/>
  <c r="Z855" i="26"/>
  <c r="M855" i="26"/>
  <c r="L855" i="26"/>
  <c r="A855" i="26"/>
  <c r="AC849" i="26"/>
  <c r="Z849" i="26"/>
  <c r="M849" i="26"/>
  <c r="L849" i="26"/>
  <c r="A849" i="26"/>
  <c r="AC844" i="26"/>
  <c r="Z844" i="26"/>
  <c r="M844" i="26"/>
  <c r="L844" i="26"/>
  <c r="A844" i="26"/>
  <c r="AC840" i="26"/>
  <c r="Z840" i="26"/>
  <c r="M840" i="26"/>
  <c r="L840" i="26"/>
  <c r="A840" i="26"/>
  <c r="AC838" i="26"/>
  <c r="Z838" i="26"/>
  <c r="M838" i="26"/>
  <c r="L838" i="26"/>
  <c r="A838" i="26"/>
  <c r="AC831" i="26"/>
  <c r="Z831" i="26"/>
  <c r="M831" i="26"/>
  <c r="L831" i="26"/>
  <c r="A831" i="26"/>
  <c r="AC826" i="26"/>
  <c r="Z826" i="26"/>
  <c r="M826" i="26"/>
  <c r="L826" i="26"/>
  <c r="A826" i="26"/>
  <c r="AC824" i="26"/>
  <c r="Z824" i="26"/>
  <c r="M824" i="26"/>
  <c r="L824" i="26"/>
  <c r="A824" i="26"/>
  <c r="AC816" i="26"/>
  <c r="Z816" i="26"/>
  <c r="M816" i="26"/>
  <c r="L816" i="26"/>
  <c r="A816" i="26"/>
  <c r="AC807" i="26"/>
  <c r="Z807" i="26"/>
  <c r="M807" i="26"/>
  <c r="L807" i="26"/>
  <c r="A807" i="26"/>
  <c r="AC805" i="26"/>
  <c r="Z805" i="26"/>
  <c r="M805" i="26"/>
  <c r="L805" i="26"/>
  <c r="A805" i="26"/>
  <c r="AC803" i="26"/>
  <c r="Z803" i="26"/>
  <c r="M803" i="26"/>
  <c r="L803" i="26"/>
  <c r="A803" i="26"/>
  <c r="AC798" i="26"/>
  <c r="Z798" i="26"/>
  <c r="M798" i="26"/>
  <c r="L798" i="26"/>
  <c r="A798" i="26"/>
  <c r="AC795" i="26"/>
  <c r="Z795" i="26"/>
  <c r="M795" i="26"/>
  <c r="L795" i="26"/>
  <c r="A795" i="26"/>
  <c r="AC789" i="26"/>
  <c r="Z789" i="26"/>
  <c r="M789" i="26"/>
  <c r="L789" i="26"/>
  <c r="A789" i="26"/>
  <c r="AC785" i="26"/>
  <c r="Z785" i="26"/>
  <c r="M785" i="26"/>
  <c r="L785" i="26"/>
  <c r="A785" i="26"/>
  <c r="AC779" i="26"/>
  <c r="Z779" i="26"/>
  <c r="M779" i="26"/>
  <c r="L779" i="26"/>
  <c r="A779" i="26"/>
  <c r="AC770" i="26"/>
  <c r="Z770" i="26"/>
  <c r="M770" i="26"/>
  <c r="L770" i="26"/>
  <c r="A770" i="26"/>
  <c r="AC764" i="26"/>
  <c r="Z764" i="26"/>
  <c r="M764" i="26"/>
  <c r="L764" i="26"/>
  <c r="A764" i="26"/>
  <c r="AC757" i="26"/>
  <c r="Z757" i="26"/>
  <c r="M757" i="26"/>
  <c r="L757" i="26"/>
  <c r="A757" i="26"/>
  <c r="AC755" i="26"/>
  <c r="Z755" i="26"/>
  <c r="M755" i="26"/>
  <c r="L755" i="26"/>
  <c r="A755" i="26"/>
  <c r="AC752" i="26"/>
  <c r="Z752" i="26"/>
  <c r="M752" i="26"/>
  <c r="L752" i="26"/>
  <c r="A752" i="26"/>
  <c r="AC751" i="26"/>
  <c r="Z751" i="26"/>
  <c r="M751" i="26"/>
  <c r="L751" i="26"/>
  <c r="A751" i="26"/>
  <c r="AC749" i="26"/>
  <c r="Z749" i="26"/>
  <c r="M749" i="26"/>
  <c r="L749" i="26"/>
  <c r="A749" i="26"/>
  <c r="AC747" i="26"/>
  <c r="Z747" i="26"/>
  <c r="M747" i="26"/>
  <c r="L747" i="26"/>
  <c r="A747" i="26"/>
  <c r="AC745" i="26"/>
  <c r="Z745" i="26"/>
  <c r="M745" i="26"/>
  <c r="L745" i="26"/>
  <c r="A745" i="26"/>
  <c r="AC595" i="26"/>
  <c r="Z595" i="26"/>
  <c r="M595" i="26"/>
  <c r="L595" i="26"/>
  <c r="A595" i="26"/>
  <c r="AC717" i="26"/>
  <c r="Z717" i="26"/>
  <c r="M717" i="26"/>
  <c r="L717" i="26"/>
  <c r="A717" i="26"/>
  <c r="AC700" i="26"/>
  <c r="Z700" i="26"/>
  <c r="M700" i="26"/>
  <c r="L700" i="26"/>
  <c r="A700" i="26"/>
  <c r="AC699" i="26"/>
  <c r="Z699" i="26"/>
  <c r="M699" i="26"/>
  <c r="L699" i="26"/>
  <c r="A699" i="26"/>
  <c r="AC685" i="26"/>
  <c r="Z685" i="26"/>
  <c r="M685" i="26"/>
  <c r="L685" i="26"/>
  <c r="A685" i="26"/>
  <c r="AC643" i="26"/>
  <c r="Z643" i="26"/>
  <c r="M643" i="26"/>
  <c r="L643" i="26"/>
  <c r="A643" i="26"/>
  <c r="AC744" i="26"/>
  <c r="Z744" i="26"/>
  <c r="L744" i="26"/>
  <c r="A744" i="26"/>
  <c r="AC742" i="26"/>
  <c r="Z742" i="26"/>
  <c r="L742" i="26"/>
  <c r="A742" i="26"/>
  <c r="AC741" i="26"/>
  <c r="Z741" i="26"/>
  <c r="L741" i="26"/>
  <c r="A741" i="26"/>
  <c r="AC739" i="26"/>
  <c r="Z739" i="26"/>
  <c r="L739" i="26"/>
  <c r="A739" i="26"/>
  <c r="AC735" i="26"/>
  <c r="Z735" i="26"/>
  <c r="L735" i="26"/>
  <c r="A735" i="26"/>
  <c r="AC734" i="26"/>
  <c r="Z734" i="26"/>
  <c r="M734" i="26"/>
  <c r="L734" i="26"/>
  <c r="A734" i="26"/>
  <c r="AC732" i="26"/>
  <c r="AA732" i="26"/>
  <c r="AB732" i="26" s="1"/>
  <c r="Z732" i="26"/>
  <c r="M732" i="26"/>
  <c r="L732" i="26"/>
  <c r="A732" i="26"/>
  <c r="AC731" i="26"/>
  <c r="AA731" i="26"/>
  <c r="AB731" i="26" s="1"/>
  <c r="Z731" i="26"/>
  <c r="M731" i="26"/>
  <c r="L731" i="26"/>
  <c r="A731" i="26"/>
  <c r="AC730" i="26"/>
  <c r="AA730" i="26"/>
  <c r="AB730" i="26" s="1"/>
  <c r="Z730" i="26"/>
  <c r="M730" i="26"/>
  <c r="L730" i="26"/>
  <c r="A730" i="26"/>
  <c r="AC729" i="26"/>
  <c r="Z729" i="26"/>
  <c r="M729" i="26"/>
  <c r="L729" i="26"/>
  <c r="A729" i="26"/>
  <c r="AC728" i="26"/>
  <c r="AA728" i="26"/>
  <c r="AB728" i="26" s="1"/>
  <c r="Z728" i="26"/>
  <c r="M728" i="26"/>
  <c r="L728" i="26"/>
  <c r="A728" i="26"/>
  <c r="AC727" i="26"/>
  <c r="Z727" i="26"/>
  <c r="M727" i="26"/>
  <c r="L727" i="26"/>
  <c r="A727" i="26"/>
  <c r="AC725" i="26"/>
  <c r="Z725" i="26"/>
  <c r="M725" i="26"/>
  <c r="L725" i="26"/>
  <c r="A725" i="26"/>
  <c r="AC723" i="26"/>
  <c r="Z723" i="26"/>
  <c r="M723" i="26"/>
  <c r="L723" i="26"/>
  <c r="A723" i="26"/>
  <c r="AC721" i="26"/>
  <c r="Z721" i="26"/>
  <c r="M721" i="26"/>
  <c r="L721" i="26"/>
  <c r="A721" i="26"/>
  <c r="AC720" i="26"/>
  <c r="Z720" i="26"/>
  <c r="M720" i="26"/>
  <c r="L720" i="26"/>
  <c r="A720" i="26"/>
  <c r="AC718" i="26"/>
  <c r="Z718" i="26"/>
  <c r="M718" i="26"/>
  <c r="L718" i="26"/>
  <c r="A718" i="26"/>
  <c r="AC716" i="26"/>
  <c r="Z716" i="26"/>
  <c r="M716" i="26"/>
  <c r="L716" i="26"/>
  <c r="A716" i="26"/>
  <c r="AC715" i="26"/>
  <c r="Z715" i="26"/>
  <c r="M715" i="26"/>
  <c r="L715" i="26"/>
  <c r="A715" i="26"/>
  <c r="AC714" i="26"/>
  <c r="Z714" i="26"/>
  <c r="M714" i="26"/>
  <c r="L714" i="26"/>
  <c r="A714" i="26"/>
  <c r="AC713" i="26"/>
  <c r="Z713" i="26"/>
  <c r="M713" i="26"/>
  <c r="L713" i="26"/>
  <c r="A713" i="26"/>
  <c r="AC712" i="26"/>
  <c r="Z712" i="26"/>
  <c r="M712" i="26"/>
  <c r="L712" i="26"/>
  <c r="A712" i="26"/>
  <c r="AC711" i="26"/>
  <c r="Z711" i="26"/>
  <c r="M711" i="26"/>
  <c r="L711" i="26"/>
  <c r="A711" i="26"/>
  <c r="AC710" i="26"/>
  <c r="Z710" i="26"/>
  <c r="M710" i="26"/>
  <c r="L710" i="26"/>
  <c r="A710" i="26"/>
  <c r="AC709" i="26"/>
  <c r="Z709" i="26"/>
  <c r="M709" i="26"/>
  <c r="L709" i="26"/>
  <c r="A709" i="26"/>
  <c r="AC708" i="26"/>
  <c r="Z708" i="26"/>
  <c r="M708" i="26"/>
  <c r="L708" i="26"/>
  <c r="A708" i="26"/>
  <c r="AC707" i="26"/>
  <c r="Z707" i="26"/>
  <c r="M707" i="26"/>
  <c r="L707" i="26"/>
  <c r="A707" i="26"/>
  <c r="AC706" i="26"/>
  <c r="Z706" i="26"/>
  <c r="M706" i="26"/>
  <c r="L706" i="26"/>
  <c r="A706" i="26"/>
  <c r="AC704" i="26"/>
  <c r="AB704" i="26"/>
  <c r="Z704" i="26"/>
  <c r="M704" i="26"/>
  <c r="L704" i="26"/>
  <c r="A704" i="26"/>
  <c r="AC703" i="26"/>
  <c r="Z703" i="26"/>
  <c r="M703" i="26"/>
  <c r="L703" i="26"/>
  <c r="A703" i="26"/>
  <c r="AC702" i="26"/>
  <c r="Z702" i="26"/>
  <c r="M702" i="26"/>
  <c r="L702" i="26"/>
  <c r="A702" i="26"/>
  <c r="AC701" i="26"/>
  <c r="Z701" i="26"/>
  <c r="M701" i="26"/>
  <c r="L701" i="26"/>
  <c r="A701" i="26"/>
  <c r="AC698" i="26"/>
  <c r="Z698" i="26"/>
  <c r="M698" i="26"/>
  <c r="L698" i="26"/>
  <c r="A698" i="26"/>
  <c r="AC696" i="26"/>
  <c r="Z696" i="26"/>
  <c r="M696" i="26"/>
  <c r="L696" i="26"/>
  <c r="A696" i="26"/>
  <c r="AC695" i="26"/>
  <c r="Z695" i="26"/>
  <c r="M695" i="26"/>
  <c r="L695" i="26"/>
  <c r="A695" i="26"/>
  <c r="AC694" i="26"/>
  <c r="Z694" i="26"/>
  <c r="M694" i="26"/>
  <c r="L694" i="26"/>
  <c r="A694" i="26"/>
  <c r="AC693" i="26"/>
  <c r="Z693" i="26"/>
  <c r="M693" i="26"/>
  <c r="L693" i="26"/>
  <c r="A693" i="26"/>
  <c r="AC690" i="26"/>
  <c r="Z690" i="26"/>
  <c r="M690" i="26"/>
  <c r="L690" i="26"/>
  <c r="A690" i="26"/>
  <c r="AC688" i="26"/>
  <c r="Z688" i="26"/>
  <c r="M688" i="26"/>
  <c r="L688" i="26"/>
  <c r="A688" i="26"/>
  <c r="AC687" i="26"/>
  <c r="Z687" i="26"/>
  <c r="M687" i="26"/>
  <c r="L687" i="26"/>
  <c r="A687" i="26"/>
  <c r="AC686" i="26"/>
  <c r="Z686" i="26"/>
  <c r="M686" i="26"/>
  <c r="L686" i="26"/>
  <c r="A686" i="26"/>
  <c r="AC683" i="26"/>
  <c r="Z683" i="26"/>
  <c r="M683" i="26"/>
  <c r="L683" i="26"/>
  <c r="A683" i="26"/>
  <c r="AC682" i="26"/>
  <c r="Z682" i="26"/>
  <c r="M682" i="26"/>
  <c r="L682" i="26"/>
  <c r="A682" i="26"/>
  <c r="AC681" i="26"/>
  <c r="Z681" i="26"/>
  <c r="M681" i="26"/>
  <c r="L681" i="26"/>
  <c r="A681" i="26"/>
  <c r="AC680" i="26"/>
  <c r="Z680" i="26"/>
  <c r="M680" i="26"/>
  <c r="L680" i="26"/>
  <c r="A680" i="26"/>
  <c r="AC678" i="26"/>
  <c r="Z678" i="26"/>
  <c r="M678" i="26"/>
  <c r="L678" i="26"/>
  <c r="A678" i="26"/>
  <c r="AC677" i="26"/>
  <c r="Z677" i="26"/>
  <c r="M677" i="26"/>
  <c r="L677" i="26"/>
  <c r="A677" i="26"/>
  <c r="AC676" i="26"/>
  <c r="Z676" i="26"/>
  <c r="M676" i="26"/>
  <c r="L676" i="26"/>
  <c r="A676" i="26"/>
  <c r="AC675" i="26"/>
  <c r="Z675" i="26"/>
  <c r="M675" i="26"/>
  <c r="L675" i="26"/>
  <c r="A675" i="26"/>
  <c r="AC674" i="26"/>
  <c r="Z674" i="26"/>
  <c r="M674" i="26"/>
  <c r="L674" i="26"/>
  <c r="A674" i="26"/>
  <c r="AC673" i="26"/>
  <c r="Z673" i="26"/>
  <c r="M673" i="26"/>
  <c r="L673" i="26"/>
  <c r="A673" i="26"/>
  <c r="AC672" i="26"/>
  <c r="Z672" i="26"/>
  <c r="M672" i="26"/>
  <c r="L672" i="26"/>
  <c r="A672" i="26"/>
  <c r="AC671" i="26"/>
  <c r="Z671" i="26"/>
  <c r="M671" i="26"/>
  <c r="L671" i="26"/>
  <c r="A671" i="26"/>
  <c r="AC670" i="26"/>
  <c r="Z670" i="26"/>
  <c r="M670" i="26"/>
  <c r="L670" i="26"/>
  <c r="A670" i="26"/>
  <c r="AC669" i="26"/>
  <c r="Z669" i="26"/>
  <c r="M669" i="26"/>
  <c r="L669" i="26"/>
  <c r="A669" i="26"/>
  <c r="AC668" i="26"/>
  <c r="Z668" i="26"/>
  <c r="M668" i="26"/>
  <c r="L668" i="26"/>
  <c r="A668" i="26"/>
  <c r="AC667" i="26"/>
  <c r="Z667" i="26"/>
  <c r="M667" i="26"/>
  <c r="L667" i="26"/>
  <c r="A667" i="26"/>
  <c r="AC665" i="26"/>
  <c r="Z665" i="26"/>
  <c r="M665" i="26"/>
  <c r="L665" i="26"/>
  <c r="A665" i="26"/>
  <c r="AC664" i="26"/>
  <c r="Z664" i="26"/>
  <c r="M664" i="26"/>
  <c r="L664" i="26"/>
  <c r="A664" i="26"/>
  <c r="AC663" i="26"/>
  <c r="Z663" i="26"/>
  <c r="M663" i="26"/>
  <c r="L663" i="26"/>
  <c r="A663" i="26"/>
  <c r="AC662" i="26"/>
  <c r="Z662" i="26"/>
  <c r="M662" i="26"/>
  <c r="L662" i="26"/>
  <c r="A662" i="26"/>
  <c r="AC661" i="26"/>
  <c r="Z661" i="26"/>
  <c r="M661" i="26"/>
  <c r="L661" i="26"/>
  <c r="A661" i="26"/>
  <c r="AC660" i="26"/>
  <c r="Z660" i="26"/>
  <c r="M660" i="26"/>
  <c r="L660" i="26"/>
  <c r="A660" i="26"/>
  <c r="AC659" i="26"/>
  <c r="Z659" i="26"/>
  <c r="M659" i="26"/>
  <c r="L659" i="26"/>
  <c r="A659" i="26"/>
  <c r="AC657" i="26"/>
  <c r="Z657" i="26"/>
  <c r="M657" i="26"/>
  <c r="L657" i="26"/>
  <c r="A657" i="26"/>
  <c r="AC656" i="26"/>
  <c r="Z656" i="26"/>
  <c r="M656" i="26"/>
  <c r="L656" i="26"/>
  <c r="A656" i="26"/>
  <c r="AC655" i="26"/>
  <c r="Z655" i="26"/>
  <c r="M655" i="26"/>
  <c r="L655" i="26"/>
  <c r="A655" i="26"/>
  <c r="AC653" i="26"/>
  <c r="Z653" i="26"/>
  <c r="M653" i="26"/>
  <c r="L653" i="26"/>
  <c r="A653" i="26"/>
  <c r="AC652" i="26"/>
  <c r="Z652" i="26"/>
  <c r="M652" i="26"/>
  <c r="L652" i="26"/>
  <c r="A652" i="26"/>
  <c r="AC650" i="26"/>
  <c r="Z650" i="26"/>
  <c r="M650" i="26"/>
  <c r="L650" i="26"/>
  <c r="A650" i="26"/>
  <c r="AC649" i="26"/>
  <c r="Z649" i="26"/>
  <c r="M649" i="26"/>
  <c r="L649" i="26"/>
  <c r="A649" i="26"/>
  <c r="AC648" i="26"/>
  <c r="Z648" i="26"/>
  <c r="M648" i="26"/>
  <c r="L648" i="26"/>
  <c r="A648" i="26"/>
  <c r="AC647" i="26"/>
  <c r="Z647" i="26"/>
  <c r="M647" i="26"/>
  <c r="L647" i="26"/>
  <c r="A647" i="26"/>
  <c r="AC646" i="26"/>
  <c r="Z646" i="26"/>
  <c r="M646" i="26"/>
  <c r="L646" i="26"/>
  <c r="A646" i="26"/>
  <c r="AC644" i="26"/>
  <c r="Z644" i="26"/>
  <c r="M644" i="26"/>
  <c r="L644" i="26"/>
  <c r="A644" i="26"/>
  <c r="AC642" i="26"/>
  <c r="Z642" i="26"/>
  <c r="M642" i="26"/>
  <c r="L642" i="26"/>
  <c r="A642" i="26"/>
  <c r="AC641" i="26"/>
  <c r="Z641" i="26"/>
  <c r="M641" i="26"/>
  <c r="L641" i="26"/>
  <c r="A641" i="26"/>
  <c r="AC640" i="26"/>
  <c r="Z640" i="26"/>
  <c r="M640" i="26"/>
  <c r="L640" i="26"/>
  <c r="A640" i="26"/>
  <c r="AC639" i="26"/>
  <c r="Z639" i="26"/>
  <c r="M639" i="26"/>
  <c r="L639" i="26"/>
  <c r="A639" i="26"/>
  <c r="AC638" i="26"/>
  <c r="Z638" i="26"/>
  <c r="M638" i="26"/>
  <c r="L638" i="26"/>
  <c r="A638" i="26"/>
  <c r="AC637" i="26"/>
  <c r="Z637" i="26"/>
  <c r="M637" i="26"/>
  <c r="L637" i="26"/>
  <c r="A637" i="26"/>
  <c r="AC635" i="26"/>
  <c r="Z635" i="26"/>
  <c r="M635" i="26"/>
  <c r="L635" i="26"/>
  <c r="A635" i="26"/>
  <c r="AC633" i="26"/>
  <c r="Z633" i="26"/>
  <c r="M633" i="26"/>
  <c r="L633" i="26"/>
  <c r="A633" i="26"/>
  <c r="AC632" i="26"/>
  <c r="Z632" i="26"/>
  <c r="M632" i="26"/>
  <c r="L632" i="26"/>
  <c r="A632" i="26"/>
  <c r="AC631" i="26"/>
  <c r="Z631" i="26"/>
  <c r="M631" i="26"/>
  <c r="L631" i="26"/>
  <c r="A631" i="26"/>
  <c r="AC629" i="26"/>
  <c r="Z629" i="26"/>
  <c r="M629" i="26"/>
  <c r="L629" i="26"/>
  <c r="A629" i="26"/>
  <c r="AC628" i="26"/>
  <c r="Z628" i="26"/>
  <c r="M628" i="26"/>
  <c r="L628" i="26"/>
  <c r="A628" i="26"/>
  <c r="AC627" i="26"/>
  <c r="Z627" i="26"/>
  <c r="M627" i="26"/>
  <c r="L627" i="26"/>
  <c r="A627" i="26"/>
  <c r="AC626" i="26"/>
  <c r="Z626" i="26"/>
  <c r="M626" i="26"/>
  <c r="L626" i="26"/>
  <c r="A626" i="26"/>
  <c r="AC624" i="26"/>
  <c r="Z624" i="26"/>
  <c r="M624" i="26"/>
  <c r="L624" i="26"/>
  <c r="A624" i="26"/>
  <c r="AC622" i="26"/>
  <c r="Z622" i="26"/>
  <c r="M622" i="26"/>
  <c r="L622" i="26"/>
  <c r="A622" i="26"/>
  <c r="AC620" i="26"/>
  <c r="Z620" i="26"/>
  <c r="M620" i="26"/>
  <c r="L620" i="26"/>
  <c r="A620" i="26"/>
  <c r="AC619" i="26"/>
  <c r="Z619" i="26"/>
  <c r="M619" i="26"/>
  <c r="L619" i="26"/>
  <c r="A619" i="26"/>
  <c r="AC618" i="26"/>
  <c r="Z618" i="26"/>
  <c r="M618" i="26"/>
  <c r="L618" i="26"/>
  <c r="A618" i="26"/>
  <c r="AC617" i="26"/>
  <c r="Z617" i="26"/>
  <c r="M617" i="26"/>
  <c r="L617" i="26"/>
  <c r="A617" i="26"/>
  <c r="AC615" i="26"/>
  <c r="Z615" i="26"/>
  <c r="M615" i="26"/>
  <c r="L615" i="26"/>
  <c r="A615" i="26"/>
  <c r="AC612" i="26"/>
  <c r="Z612" i="26"/>
  <c r="M612" i="26"/>
  <c r="L612" i="26"/>
  <c r="A612" i="26"/>
  <c r="AC611" i="26"/>
  <c r="Z611" i="26"/>
  <c r="M611" i="26"/>
  <c r="L611" i="26"/>
  <c r="A611" i="26"/>
  <c r="AC610" i="26"/>
  <c r="Z610" i="26"/>
  <c r="M610" i="26"/>
  <c r="L610" i="26"/>
  <c r="A610" i="26"/>
  <c r="AC609" i="26"/>
  <c r="Z609" i="26"/>
  <c r="M609" i="26"/>
  <c r="L609" i="26"/>
  <c r="A609" i="26"/>
  <c r="AC607" i="26"/>
  <c r="Z607" i="26"/>
  <c r="M607" i="26"/>
  <c r="L607" i="26"/>
  <c r="A607" i="26"/>
  <c r="AC606" i="26"/>
  <c r="Z606" i="26"/>
  <c r="M606" i="26"/>
  <c r="L606" i="26"/>
  <c r="A606" i="26"/>
  <c r="AC605" i="26"/>
  <c r="Z605" i="26"/>
  <c r="M605" i="26"/>
  <c r="L605" i="26"/>
  <c r="A605" i="26"/>
  <c r="AC604" i="26"/>
  <c r="Z604" i="26"/>
  <c r="M604" i="26"/>
  <c r="L604" i="26"/>
  <c r="A604" i="26"/>
  <c r="AC603" i="26"/>
  <c r="Z603" i="26"/>
  <c r="M603" i="26"/>
  <c r="L603" i="26"/>
  <c r="A603" i="26"/>
  <c r="AC601" i="26"/>
  <c r="Z601" i="26"/>
  <c r="M601" i="26"/>
  <c r="L601" i="26"/>
  <c r="A601" i="26"/>
  <c r="AC600" i="26"/>
  <c r="Z600" i="26"/>
  <c r="M600" i="26"/>
  <c r="L600" i="26"/>
  <c r="A600" i="26"/>
  <c r="AC599" i="26"/>
  <c r="Z599" i="26"/>
  <c r="M599" i="26"/>
  <c r="L599" i="26"/>
  <c r="A599" i="26"/>
  <c r="AC597" i="26"/>
  <c r="Z597" i="26"/>
  <c r="M597" i="26"/>
  <c r="L597" i="26"/>
  <c r="A597" i="26"/>
  <c r="AC596" i="26"/>
  <c r="Z596" i="26"/>
  <c r="M596" i="26"/>
  <c r="L596" i="26"/>
  <c r="A596" i="26"/>
  <c r="AC593" i="26"/>
  <c r="Z593" i="26"/>
  <c r="M593" i="26"/>
  <c r="L593" i="26"/>
  <c r="A593" i="26"/>
  <c r="AC592" i="26"/>
  <c r="Z592" i="26"/>
  <c r="M592" i="26"/>
  <c r="L592" i="26"/>
  <c r="A592" i="26"/>
  <c r="AC591" i="26"/>
  <c r="Z591" i="26"/>
  <c r="M591" i="26"/>
  <c r="L591" i="26"/>
  <c r="A591" i="26"/>
  <c r="AC590" i="26"/>
  <c r="Z590" i="26"/>
  <c r="M590" i="26"/>
  <c r="L590" i="26"/>
  <c r="A590" i="26"/>
  <c r="AC589" i="26"/>
  <c r="Z589" i="26"/>
  <c r="M589" i="26"/>
  <c r="L589" i="26"/>
  <c r="A589" i="26"/>
  <c r="AC585" i="26"/>
  <c r="Z585" i="26"/>
  <c r="M585" i="26"/>
  <c r="L585" i="26"/>
  <c r="A585" i="26"/>
  <c r="AC743" i="26"/>
  <c r="Z743" i="26"/>
  <c r="L743" i="26"/>
  <c r="A743" i="26"/>
  <c r="AC740" i="26"/>
  <c r="Z740" i="26"/>
  <c r="L740" i="26"/>
  <c r="A740" i="26"/>
  <c r="AC738" i="26"/>
  <c r="Z738" i="26"/>
  <c r="L738" i="26"/>
  <c r="A738" i="26"/>
  <c r="AC737" i="26"/>
  <c r="Z737" i="26"/>
  <c r="L737" i="26"/>
  <c r="A737" i="26"/>
  <c r="AC736" i="26"/>
  <c r="Z736" i="26"/>
  <c r="L736" i="26"/>
  <c r="A736" i="26"/>
  <c r="AC733" i="26"/>
  <c r="AA733" i="26"/>
  <c r="AB733" i="26" s="1"/>
  <c r="Z733" i="26"/>
  <c r="M733" i="26"/>
  <c r="L733" i="26"/>
  <c r="A733" i="26"/>
  <c r="AC726" i="26"/>
  <c r="Z726" i="26"/>
  <c r="M726" i="26"/>
  <c r="L726" i="26"/>
  <c r="A726" i="26"/>
  <c r="AC724" i="26"/>
  <c r="Z724" i="26"/>
  <c r="M724" i="26"/>
  <c r="L724" i="26"/>
  <c r="A724" i="26"/>
  <c r="AC722" i="26"/>
  <c r="Z722" i="26"/>
  <c r="M722" i="26"/>
  <c r="L722" i="26"/>
  <c r="A722" i="26"/>
  <c r="AC719" i="26"/>
  <c r="Z719" i="26"/>
  <c r="M719" i="26"/>
  <c r="L719" i="26"/>
  <c r="A719" i="26"/>
  <c r="AC705" i="26"/>
  <c r="Z705" i="26"/>
  <c r="M705" i="26"/>
  <c r="L705" i="26"/>
  <c r="A705" i="26"/>
  <c r="AC697" i="26"/>
  <c r="Z697" i="26"/>
  <c r="M697" i="26"/>
  <c r="L697" i="26"/>
  <c r="A697" i="26"/>
  <c r="AC692" i="26"/>
  <c r="Z692" i="26"/>
  <c r="M692" i="26"/>
  <c r="L692" i="26"/>
  <c r="A692" i="26"/>
  <c r="AC691" i="26"/>
  <c r="Z691" i="26"/>
  <c r="M691" i="26"/>
  <c r="L691" i="26"/>
  <c r="A691" i="26"/>
  <c r="AC689" i="26"/>
  <c r="Z689" i="26"/>
  <c r="M689" i="26"/>
  <c r="L689" i="26"/>
  <c r="A689" i="26"/>
  <c r="AC684" i="26"/>
  <c r="Z684" i="26"/>
  <c r="M684" i="26"/>
  <c r="L684" i="26"/>
  <c r="A684" i="26"/>
  <c r="AC679" i="26"/>
  <c r="Z679" i="26"/>
  <c r="M679" i="26"/>
  <c r="L679" i="26"/>
  <c r="A679" i="26"/>
  <c r="AC666" i="26"/>
  <c r="Z666" i="26"/>
  <c r="M666" i="26"/>
  <c r="L666" i="26"/>
  <c r="A666" i="26"/>
  <c r="AC658" i="26"/>
  <c r="Z658" i="26"/>
  <c r="M658" i="26"/>
  <c r="L658" i="26"/>
  <c r="A658" i="26"/>
  <c r="AC654" i="26"/>
  <c r="Z654" i="26"/>
  <c r="M654" i="26"/>
  <c r="L654" i="26"/>
  <c r="A654" i="26"/>
  <c r="AC651" i="26"/>
  <c r="Z651" i="26"/>
  <c r="M651" i="26"/>
  <c r="L651" i="26"/>
  <c r="A651" i="26"/>
  <c r="AC645" i="26"/>
  <c r="Z645" i="26"/>
  <c r="M645" i="26"/>
  <c r="L645" i="26"/>
  <c r="A645" i="26"/>
  <c r="AC636" i="26"/>
  <c r="Z636" i="26"/>
  <c r="M636" i="26"/>
  <c r="L636" i="26"/>
  <c r="A636" i="26"/>
  <c r="AC634" i="26"/>
  <c r="Z634" i="26"/>
  <c r="M634" i="26"/>
  <c r="L634" i="26"/>
  <c r="A634" i="26"/>
  <c r="AC630" i="26"/>
  <c r="Z630" i="26"/>
  <c r="M630" i="26"/>
  <c r="L630" i="26"/>
  <c r="A630" i="26"/>
  <c r="AC625" i="26"/>
  <c r="Z625" i="26"/>
  <c r="M625" i="26"/>
  <c r="L625" i="26"/>
  <c r="A625" i="26"/>
  <c r="AC623" i="26"/>
  <c r="Z623" i="26"/>
  <c r="M623" i="26"/>
  <c r="L623" i="26"/>
  <c r="A623" i="26"/>
  <c r="AC621" i="26"/>
  <c r="Z621" i="26"/>
  <c r="M621" i="26"/>
  <c r="L621" i="26"/>
  <c r="A621" i="26"/>
  <c r="AC616" i="26"/>
  <c r="Z616" i="26"/>
  <c r="M616" i="26"/>
  <c r="L616" i="26"/>
  <c r="A616" i="26"/>
  <c r="AC614" i="26"/>
  <c r="Z614" i="26"/>
  <c r="M614" i="26"/>
  <c r="L614" i="26"/>
  <c r="A614" i="26"/>
  <c r="AC613" i="26"/>
  <c r="Z613" i="26"/>
  <c r="M613" i="26"/>
  <c r="L613" i="26"/>
  <c r="A613" i="26"/>
  <c r="AC608" i="26"/>
  <c r="Z608" i="26"/>
  <c r="M608" i="26"/>
  <c r="L608" i="26"/>
  <c r="A608" i="26"/>
  <c r="AC602" i="26"/>
  <c r="Z602" i="26"/>
  <c r="M602" i="26"/>
  <c r="L602" i="26"/>
  <c r="A602" i="26"/>
  <c r="AC598" i="26"/>
  <c r="Z598" i="26"/>
  <c r="M598" i="26"/>
  <c r="L598" i="26"/>
  <c r="A598" i="26"/>
  <c r="AC594" i="26"/>
  <c r="Z594" i="26"/>
  <c r="M594" i="26"/>
  <c r="L594" i="26"/>
  <c r="A594" i="26"/>
  <c r="AC588" i="26"/>
  <c r="Z588" i="26"/>
  <c r="M588" i="26"/>
  <c r="L588" i="26"/>
  <c r="A588" i="26"/>
  <c r="AC587" i="26"/>
  <c r="Z587" i="26"/>
  <c r="M587" i="26"/>
  <c r="L587" i="26"/>
  <c r="A587" i="26"/>
  <c r="AC586" i="26"/>
  <c r="Z586" i="26"/>
  <c r="M586" i="26"/>
  <c r="L586" i="26"/>
  <c r="A586" i="26"/>
  <c r="AC584" i="26"/>
  <c r="Z584" i="26"/>
  <c r="M584" i="26"/>
  <c r="L584" i="26"/>
  <c r="A584" i="26"/>
  <c r="AC528" i="26"/>
  <c r="Z528" i="26"/>
  <c r="M528" i="26"/>
  <c r="L528" i="26"/>
  <c r="A528" i="26"/>
  <c r="AC531" i="26"/>
  <c r="Z531" i="26"/>
  <c r="M531" i="26"/>
  <c r="L531" i="26"/>
  <c r="A531" i="26"/>
  <c r="AC512" i="26"/>
  <c r="Z512" i="26"/>
  <c r="M512" i="26"/>
  <c r="L512" i="26"/>
  <c r="A512" i="26"/>
  <c r="AC502" i="26"/>
  <c r="Z502" i="26"/>
  <c r="M502" i="26"/>
  <c r="L502" i="26"/>
  <c r="A502" i="26"/>
  <c r="AC583" i="26"/>
  <c r="Z583" i="26"/>
  <c r="L583" i="26"/>
  <c r="A583" i="26"/>
  <c r="AC580" i="26"/>
  <c r="Z580" i="26"/>
  <c r="L580" i="26"/>
  <c r="A580" i="26"/>
  <c r="AC578" i="26"/>
  <c r="Z578" i="26"/>
  <c r="M578" i="26"/>
  <c r="L578" i="26"/>
  <c r="A578" i="26"/>
  <c r="AC576" i="26"/>
  <c r="Z576" i="26"/>
  <c r="M576" i="26"/>
  <c r="L576" i="26"/>
  <c r="A576" i="26"/>
  <c r="AC575" i="26"/>
  <c r="Z575" i="26"/>
  <c r="M575" i="26"/>
  <c r="L575" i="26"/>
  <c r="A575" i="26"/>
  <c r="AC573" i="26"/>
  <c r="Z573" i="26"/>
  <c r="M573" i="26"/>
  <c r="L573" i="26"/>
  <c r="A573" i="26"/>
  <c r="AC571" i="26"/>
  <c r="Z571" i="26"/>
  <c r="M571" i="26"/>
  <c r="L571" i="26"/>
  <c r="A571" i="26"/>
  <c r="AC570" i="26"/>
  <c r="Z570" i="26"/>
  <c r="M570" i="26"/>
  <c r="L570" i="26"/>
  <c r="A570" i="26"/>
  <c r="AC568" i="26"/>
  <c r="Z568" i="26"/>
  <c r="M568" i="26"/>
  <c r="L568" i="26"/>
  <c r="A568" i="26"/>
  <c r="AC567" i="26"/>
  <c r="Z567" i="26"/>
  <c r="M567" i="26"/>
  <c r="L567" i="26"/>
  <c r="A567" i="26"/>
  <c r="AC566" i="26"/>
  <c r="Z566" i="26"/>
  <c r="M566" i="26"/>
  <c r="L566" i="26"/>
  <c r="A566" i="26"/>
  <c r="AC565" i="26"/>
  <c r="Z565" i="26"/>
  <c r="M565" i="26"/>
  <c r="L565" i="26"/>
  <c r="A565" i="26"/>
  <c r="AC564" i="26"/>
  <c r="Z564" i="26"/>
  <c r="M564" i="26"/>
  <c r="L564" i="26"/>
  <c r="A564" i="26"/>
  <c r="AC563" i="26"/>
  <c r="Z563" i="26"/>
  <c r="M563" i="26"/>
  <c r="L563" i="26"/>
  <c r="A563" i="26"/>
  <c r="AC561" i="26"/>
  <c r="Z561" i="26"/>
  <c r="M561" i="26"/>
  <c r="L561" i="26"/>
  <c r="A561" i="26"/>
  <c r="AC560" i="26"/>
  <c r="Z560" i="26"/>
  <c r="M560" i="26"/>
  <c r="L560" i="26"/>
  <c r="A560" i="26"/>
  <c r="AC558" i="26"/>
  <c r="Z558" i="26"/>
  <c r="M558" i="26"/>
  <c r="L558" i="26"/>
  <c r="A558" i="26"/>
  <c r="AC557" i="26"/>
  <c r="Z557" i="26"/>
  <c r="M557" i="26"/>
  <c r="L557" i="26"/>
  <c r="A557" i="26"/>
  <c r="AC556" i="26"/>
  <c r="Z556" i="26"/>
  <c r="M556" i="26"/>
  <c r="L556" i="26"/>
  <c r="A556" i="26"/>
  <c r="AC555" i="26"/>
  <c r="Z555" i="26"/>
  <c r="M555" i="26"/>
  <c r="L555" i="26"/>
  <c r="A555" i="26"/>
  <c r="AC554" i="26"/>
  <c r="Z554" i="26"/>
  <c r="M554" i="26"/>
  <c r="L554" i="26"/>
  <c r="A554" i="26"/>
  <c r="AC553" i="26"/>
  <c r="Z553" i="26"/>
  <c r="M553" i="26"/>
  <c r="L553" i="26"/>
  <c r="A553" i="26"/>
  <c r="AC552" i="26"/>
  <c r="Z552" i="26"/>
  <c r="M552" i="26"/>
  <c r="L552" i="26"/>
  <c r="A552" i="26"/>
  <c r="AC550" i="26"/>
  <c r="Z550" i="26"/>
  <c r="M550" i="26"/>
  <c r="L550" i="26"/>
  <c r="A550" i="26"/>
  <c r="AC549" i="26"/>
  <c r="Z549" i="26"/>
  <c r="M549" i="26"/>
  <c r="L549" i="26"/>
  <c r="A549" i="26"/>
  <c r="AC548" i="26"/>
  <c r="Z548" i="26"/>
  <c r="M548" i="26"/>
  <c r="L548" i="26"/>
  <c r="A548" i="26"/>
  <c r="AC547" i="26"/>
  <c r="Z547" i="26"/>
  <c r="M547" i="26"/>
  <c r="L547" i="26"/>
  <c r="A547" i="26"/>
  <c r="AC545" i="26"/>
  <c r="Z545" i="26"/>
  <c r="M545" i="26"/>
  <c r="L545" i="26"/>
  <c r="A545" i="26"/>
  <c r="AC544" i="26"/>
  <c r="Z544" i="26"/>
  <c r="M544" i="26"/>
  <c r="L544" i="26"/>
  <c r="A544" i="26"/>
  <c r="AC543" i="26"/>
  <c r="Z543" i="26"/>
  <c r="M543" i="26"/>
  <c r="L543" i="26"/>
  <c r="A543" i="26"/>
  <c r="AC540" i="26"/>
  <c r="Z540" i="26"/>
  <c r="M540" i="26"/>
  <c r="L540" i="26"/>
  <c r="A540" i="26"/>
  <c r="AC539" i="26"/>
  <c r="Z539" i="26"/>
  <c r="M539" i="26"/>
  <c r="L539" i="26"/>
  <c r="A539" i="26"/>
  <c r="AC538" i="26"/>
  <c r="Z538" i="26"/>
  <c r="M538" i="26"/>
  <c r="L538" i="26"/>
  <c r="A538" i="26"/>
  <c r="AC536" i="26"/>
  <c r="Z536" i="26"/>
  <c r="M536" i="26"/>
  <c r="L536" i="26"/>
  <c r="A536" i="26"/>
  <c r="AC534" i="26"/>
  <c r="Z534" i="26"/>
  <c r="M534" i="26"/>
  <c r="L534" i="26"/>
  <c r="A534" i="26"/>
  <c r="AC533" i="26"/>
  <c r="Z533" i="26"/>
  <c r="M533" i="26"/>
  <c r="L533" i="26"/>
  <c r="A533" i="26"/>
  <c r="AC530" i="26"/>
  <c r="Z530" i="26"/>
  <c r="M530" i="26"/>
  <c r="L530" i="26"/>
  <c r="A530" i="26"/>
  <c r="AC529" i="26"/>
  <c r="Z529" i="26"/>
  <c r="M529" i="26"/>
  <c r="L529" i="26"/>
  <c r="A529" i="26"/>
  <c r="AC526" i="26"/>
  <c r="Z526" i="26"/>
  <c r="M526" i="26"/>
  <c r="L526" i="26"/>
  <c r="A526" i="26"/>
  <c r="AC525" i="26"/>
  <c r="Z525" i="26"/>
  <c r="M525" i="26"/>
  <c r="L525" i="26"/>
  <c r="A525" i="26"/>
  <c r="AC524" i="26"/>
  <c r="Z524" i="26"/>
  <c r="M524" i="26"/>
  <c r="L524" i="26"/>
  <c r="A524" i="26"/>
  <c r="AC522" i="26"/>
  <c r="Z522" i="26"/>
  <c r="M522" i="26"/>
  <c r="L522" i="26"/>
  <c r="A522" i="26"/>
  <c r="AC520" i="26"/>
  <c r="Z520" i="26"/>
  <c r="M520" i="26"/>
  <c r="L520" i="26"/>
  <c r="A520" i="26"/>
  <c r="AC519" i="26"/>
  <c r="Z519" i="26"/>
  <c r="M519" i="26"/>
  <c r="L519" i="26"/>
  <c r="A519" i="26"/>
  <c r="AC517" i="26"/>
  <c r="Z517" i="26"/>
  <c r="M517" i="26"/>
  <c r="L517" i="26"/>
  <c r="A517" i="26"/>
  <c r="AC515" i="26"/>
  <c r="Z515" i="26"/>
  <c r="M515" i="26"/>
  <c r="L515" i="26"/>
  <c r="A515" i="26"/>
  <c r="AC513" i="26"/>
  <c r="Z513" i="26"/>
  <c r="M513" i="26"/>
  <c r="L513" i="26"/>
  <c r="A513" i="26"/>
  <c r="AC511" i="26"/>
  <c r="Z511" i="26"/>
  <c r="M511" i="26"/>
  <c r="L511" i="26"/>
  <c r="A511" i="26"/>
  <c r="AC509" i="26"/>
  <c r="Z509" i="26"/>
  <c r="M509" i="26"/>
  <c r="L509" i="26"/>
  <c r="A509" i="26"/>
  <c r="AC508" i="26"/>
  <c r="Z508" i="26"/>
  <c r="M508" i="26"/>
  <c r="L508" i="26"/>
  <c r="A508" i="26"/>
  <c r="AC507" i="26"/>
  <c r="Z507" i="26"/>
  <c r="M507" i="26"/>
  <c r="L507" i="26"/>
  <c r="A507" i="26"/>
  <c r="AC506" i="26"/>
  <c r="Z506" i="26"/>
  <c r="M506" i="26"/>
  <c r="L506" i="26"/>
  <c r="A506" i="26"/>
  <c r="AC504" i="26"/>
  <c r="Z504" i="26"/>
  <c r="M504" i="26"/>
  <c r="L504" i="26"/>
  <c r="A504" i="26"/>
  <c r="AC503" i="26"/>
  <c r="Z503" i="26"/>
  <c r="M503" i="26"/>
  <c r="L503" i="26"/>
  <c r="A503" i="26"/>
  <c r="AC501" i="26"/>
  <c r="Z501" i="26"/>
  <c r="M501" i="26"/>
  <c r="L501" i="26"/>
  <c r="A501" i="26"/>
  <c r="AC498" i="26"/>
  <c r="Z498" i="26"/>
  <c r="M498" i="26"/>
  <c r="L498" i="26"/>
  <c r="A498" i="26"/>
  <c r="AC496" i="26"/>
  <c r="Z496" i="26"/>
  <c r="M496" i="26"/>
  <c r="L496" i="26"/>
  <c r="A496" i="26"/>
  <c r="AC582" i="26"/>
  <c r="Z582" i="26"/>
  <c r="L582" i="26"/>
  <c r="A582" i="26"/>
  <c r="AC581" i="26"/>
  <c r="Z581" i="26"/>
  <c r="L581" i="26"/>
  <c r="A581" i="26"/>
  <c r="AC579" i="26"/>
  <c r="Z579" i="26"/>
  <c r="L579" i="26"/>
  <c r="A579" i="26"/>
  <c r="AC577" i="26"/>
  <c r="AA577" i="26"/>
  <c r="AB577" i="26" s="1"/>
  <c r="Z577" i="26"/>
  <c r="M577" i="26"/>
  <c r="L577" i="26"/>
  <c r="A577" i="26"/>
  <c r="AC574" i="26"/>
  <c r="Z574" i="26"/>
  <c r="M574" i="26"/>
  <c r="L574" i="26"/>
  <c r="A574" i="26"/>
  <c r="AC572" i="26"/>
  <c r="Z572" i="26"/>
  <c r="M572" i="26"/>
  <c r="L572" i="26"/>
  <c r="A572" i="26"/>
  <c r="AC569" i="26"/>
  <c r="Z569" i="26"/>
  <c r="M569" i="26"/>
  <c r="L569" i="26"/>
  <c r="A569" i="26"/>
  <c r="AC562" i="26"/>
  <c r="Z562" i="26"/>
  <c r="M562" i="26"/>
  <c r="L562" i="26"/>
  <c r="A562" i="26"/>
  <c r="AC559" i="26"/>
  <c r="Z559" i="26"/>
  <c r="M559" i="26"/>
  <c r="L559" i="26"/>
  <c r="A559" i="26"/>
  <c r="AC551" i="26"/>
  <c r="Z551" i="26"/>
  <c r="M551" i="26"/>
  <c r="L551" i="26"/>
  <c r="A551" i="26"/>
  <c r="AC546" i="26"/>
  <c r="Z546" i="26"/>
  <c r="M546" i="26"/>
  <c r="L546" i="26"/>
  <c r="A546" i="26"/>
  <c r="AC542" i="26"/>
  <c r="Z542" i="26"/>
  <c r="M542" i="26"/>
  <c r="L542" i="26"/>
  <c r="A542" i="26"/>
  <c r="AC541" i="26"/>
  <c r="Z541" i="26"/>
  <c r="M541" i="26"/>
  <c r="L541" i="26"/>
  <c r="A541" i="26"/>
  <c r="AC537" i="26"/>
  <c r="Z537" i="26"/>
  <c r="M537" i="26"/>
  <c r="L537" i="26"/>
  <c r="A537" i="26"/>
  <c r="AC535" i="26"/>
  <c r="Z535" i="26"/>
  <c r="M535" i="26"/>
  <c r="L535" i="26"/>
  <c r="A535" i="26"/>
  <c r="AC532" i="26"/>
  <c r="Z532" i="26"/>
  <c r="M532" i="26"/>
  <c r="L532" i="26"/>
  <c r="A532" i="26"/>
  <c r="AC527" i="26"/>
  <c r="Z527" i="26"/>
  <c r="M527" i="26"/>
  <c r="L527" i="26"/>
  <c r="A527" i="26"/>
  <c r="AC523" i="26"/>
  <c r="Z523" i="26"/>
  <c r="M523" i="26"/>
  <c r="L523" i="26"/>
  <c r="A523" i="26"/>
  <c r="AC521" i="26"/>
  <c r="Z521" i="26"/>
  <c r="M521" i="26"/>
  <c r="L521" i="26"/>
  <c r="A521" i="26"/>
  <c r="AC518" i="26"/>
  <c r="Z518" i="26"/>
  <c r="M518" i="26"/>
  <c r="L518" i="26"/>
  <c r="A518" i="26"/>
  <c r="AC516" i="26"/>
  <c r="Z516" i="26"/>
  <c r="M516" i="26"/>
  <c r="L516" i="26"/>
  <c r="A516" i="26"/>
  <c r="AC514" i="26"/>
  <c r="Z514" i="26"/>
  <c r="M514" i="26"/>
  <c r="L514" i="26"/>
  <c r="A514" i="26"/>
  <c r="AC510" i="26"/>
  <c r="Z510" i="26"/>
  <c r="M510" i="26"/>
  <c r="L510" i="26"/>
  <c r="A510" i="26"/>
  <c r="AC505" i="26"/>
  <c r="Z505" i="26"/>
  <c r="M505" i="26"/>
  <c r="L505" i="26"/>
  <c r="A505" i="26"/>
  <c r="AC500" i="26"/>
  <c r="Z500" i="26"/>
  <c r="M500" i="26"/>
  <c r="L500" i="26"/>
  <c r="A500" i="26"/>
  <c r="AC499" i="26"/>
  <c r="Z499" i="26"/>
  <c r="M499" i="26"/>
  <c r="L499" i="26"/>
  <c r="A499" i="26"/>
  <c r="AC497" i="26"/>
  <c r="Z497" i="26"/>
  <c r="M497" i="26"/>
  <c r="L497" i="26"/>
  <c r="A497" i="26"/>
  <c r="AC495" i="26"/>
  <c r="Z495" i="26"/>
  <c r="M495" i="26"/>
  <c r="L495" i="26"/>
  <c r="A495" i="26"/>
  <c r="AC494" i="26"/>
  <c r="Z494" i="26"/>
  <c r="M494" i="26"/>
  <c r="L494" i="26"/>
  <c r="A494" i="26"/>
  <c r="AC491" i="26"/>
  <c r="Z491" i="26"/>
  <c r="M491" i="26"/>
  <c r="L491" i="26"/>
  <c r="A491" i="26"/>
  <c r="AC489" i="26"/>
  <c r="Z489" i="26"/>
  <c r="M489" i="26"/>
  <c r="L489" i="26"/>
  <c r="A489" i="26"/>
  <c r="AC487" i="26"/>
  <c r="Z487" i="26"/>
  <c r="M487" i="26"/>
  <c r="L487" i="26"/>
  <c r="A487" i="26"/>
  <c r="AC493" i="26"/>
  <c r="Z493" i="26"/>
  <c r="M493" i="26"/>
  <c r="L493" i="26"/>
  <c r="A493" i="26"/>
  <c r="AC492" i="26"/>
  <c r="Z492" i="26"/>
  <c r="M492" i="26"/>
  <c r="L492" i="26"/>
  <c r="A492" i="26"/>
  <c r="AC490" i="26"/>
  <c r="Z490" i="26"/>
  <c r="M490" i="26"/>
  <c r="L490" i="26"/>
  <c r="A490" i="26"/>
  <c r="AC488" i="26"/>
  <c r="Z488" i="26"/>
  <c r="M488" i="26"/>
  <c r="L488" i="26"/>
  <c r="A488" i="26"/>
  <c r="AC486" i="26"/>
  <c r="Z486" i="26"/>
  <c r="M486" i="26"/>
  <c r="L486" i="26"/>
  <c r="A486" i="26"/>
  <c r="AC471" i="26"/>
  <c r="Z471" i="26"/>
  <c r="M471" i="26"/>
  <c r="L471" i="26"/>
  <c r="A471" i="26"/>
  <c r="AC485" i="26"/>
  <c r="Z485" i="26"/>
  <c r="M485" i="26"/>
  <c r="L485" i="26"/>
  <c r="A485" i="26"/>
  <c r="AC483" i="26"/>
  <c r="Z483" i="26"/>
  <c r="M483" i="26"/>
  <c r="L483" i="26"/>
  <c r="A483" i="26"/>
  <c r="AC482" i="26"/>
  <c r="Z482" i="26"/>
  <c r="M482" i="26"/>
  <c r="L482" i="26"/>
  <c r="A482" i="26"/>
  <c r="AC481" i="26"/>
  <c r="Z481" i="26"/>
  <c r="M481" i="26"/>
  <c r="L481" i="26"/>
  <c r="A481" i="26"/>
  <c r="AC480" i="26"/>
  <c r="Z480" i="26"/>
  <c r="M480" i="26"/>
  <c r="L480" i="26"/>
  <c r="A480" i="26"/>
  <c r="AC479" i="26"/>
  <c r="Z479" i="26"/>
  <c r="M479" i="26"/>
  <c r="L479" i="26"/>
  <c r="A479" i="26"/>
  <c r="AC478" i="26"/>
  <c r="Z478" i="26"/>
  <c r="M478" i="26"/>
  <c r="L478" i="26"/>
  <c r="A478" i="26"/>
  <c r="AC470" i="26"/>
  <c r="Z470" i="26"/>
  <c r="M470" i="26"/>
  <c r="L470" i="26"/>
  <c r="A470" i="26"/>
  <c r="AC468" i="26"/>
  <c r="Z468" i="26"/>
  <c r="M468" i="26"/>
  <c r="L468" i="26"/>
  <c r="A468" i="26"/>
  <c r="AC466" i="26"/>
  <c r="Z466" i="26"/>
  <c r="M466" i="26"/>
  <c r="L466" i="26"/>
  <c r="A466" i="26"/>
  <c r="AC484" i="26"/>
  <c r="Z484" i="26"/>
  <c r="M484" i="26"/>
  <c r="L484" i="26"/>
  <c r="A484" i="26"/>
  <c r="AC477" i="26"/>
  <c r="Z477" i="26"/>
  <c r="M477" i="26"/>
  <c r="L477" i="26"/>
  <c r="A477" i="26"/>
  <c r="AC476" i="26"/>
  <c r="Z476" i="26"/>
  <c r="M476" i="26"/>
  <c r="L476" i="26"/>
  <c r="A476" i="26"/>
  <c r="AC475" i="26"/>
  <c r="Z475" i="26"/>
  <c r="M475" i="26"/>
  <c r="L475" i="26"/>
  <c r="A475" i="26"/>
  <c r="AC474" i="26"/>
  <c r="Z474" i="26"/>
  <c r="M474" i="26"/>
  <c r="L474" i="26"/>
  <c r="A474" i="26"/>
  <c r="AC473" i="26"/>
  <c r="Z473" i="26"/>
  <c r="M473" i="26"/>
  <c r="L473" i="26"/>
  <c r="A473" i="26"/>
  <c r="AC472" i="26"/>
  <c r="Z472" i="26"/>
  <c r="M472" i="26"/>
  <c r="L472" i="26"/>
  <c r="A472" i="26"/>
  <c r="AC469" i="26"/>
  <c r="Z469" i="26"/>
  <c r="M469" i="26"/>
  <c r="L469" i="26"/>
  <c r="A469" i="26"/>
  <c r="AC467" i="26"/>
  <c r="Z467" i="26"/>
  <c r="M467" i="26"/>
  <c r="L467" i="26"/>
  <c r="A467" i="26"/>
  <c r="AC465" i="26"/>
  <c r="Z465" i="26"/>
  <c r="M465" i="26"/>
  <c r="L465" i="26"/>
  <c r="A465" i="26"/>
  <c r="AC464" i="26"/>
  <c r="Z464" i="26"/>
  <c r="L464" i="26"/>
  <c r="A464" i="26"/>
  <c r="AC461" i="26"/>
  <c r="AA461" i="26"/>
  <c r="AB461" i="26" s="1"/>
  <c r="Z461" i="26"/>
  <c r="L461" i="26"/>
  <c r="A461" i="26"/>
  <c r="AC458" i="26"/>
  <c r="Z458" i="26"/>
  <c r="L458" i="26"/>
  <c r="A458" i="26"/>
  <c r="AC457" i="26"/>
  <c r="Z457" i="26"/>
  <c r="L457" i="26"/>
  <c r="A457" i="26"/>
  <c r="AC456" i="26"/>
  <c r="AA456" i="26"/>
  <c r="AB456" i="26" s="1"/>
  <c r="Z456" i="26"/>
  <c r="L456" i="26"/>
  <c r="A456" i="26"/>
  <c r="AC452" i="26"/>
  <c r="Z452" i="26"/>
  <c r="L452" i="26"/>
  <c r="A452" i="26"/>
  <c r="AC451" i="26"/>
  <c r="AA451" i="26"/>
  <c r="AB451" i="26" s="1"/>
  <c r="Z451" i="26"/>
  <c r="L451" i="26"/>
  <c r="A451" i="26"/>
  <c r="AC450" i="26"/>
  <c r="AA450" i="26"/>
  <c r="AB450" i="26" s="1"/>
  <c r="Z450" i="26"/>
  <c r="L450" i="26"/>
  <c r="A450" i="26"/>
  <c r="AC438" i="26"/>
  <c r="Z438" i="26"/>
  <c r="L438" i="26"/>
  <c r="A438" i="26"/>
  <c r="AC437" i="26"/>
  <c r="AA437" i="26"/>
  <c r="AB437" i="26" s="1"/>
  <c r="Z437" i="26"/>
  <c r="L437" i="26"/>
  <c r="A437" i="26"/>
  <c r="AC432" i="26"/>
  <c r="AA432" i="26"/>
  <c r="AB432" i="26" s="1"/>
  <c r="Z432" i="26"/>
  <c r="L432" i="26"/>
  <c r="A432" i="26"/>
  <c r="AC431" i="26"/>
  <c r="AA431" i="26"/>
  <c r="AB431" i="26" s="1"/>
  <c r="Z431" i="26"/>
  <c r="L431" i="26"/>
  <c r="A431" i="26"/>
  <c r="AC430" i="26"/>
  <c r="AA430" i="26"/>
  <c r="AB430" i="26" s="1"/>
  <c r="Z430" i="26"/>
  <c r="L430" i="26"/>
  <c r="A430" i="26"/>
  <c r="AC428" i="26"/>
  <c r="Z428" i="26"/>
  <c r="L428" i="26"/>
  <c r="A428" i="26"/>
  <c r="AC427" i="26"/>
  <c r="Z427" i="26"/>
  <c r="L427" i="26"/>
  <c r="A427" i="26"/>
  <c r="AC426" i="26"/>
  <c r="Z426" i="26"/>
  <c r="L426" i="26"/>
  <c r="A426" i="26"/>
  <c r="AC423" i="26"/>
  <c r="Z423" i="26"/>
  <c r="L423" i="26"/>
  <c r="A423" i="26"/>
  <c r="AC422" i="26"/>
  <c r="Z422" i="26"/>
  <c r="L422" i="26"/>
  <c r="A422" i="26"/>
  <c r="AC419" i="26"/>
  <c r="Z419" i="26"/>
  <c r="L419" i="26"/>
  <c r="A419" i="26"/>
  <c r="AC418" i="26"/>
  <c r="Z418" i="26"/>
  <c r="L418" i="26"/>
  <c r="A418" i="26"/>
  <c r="AC415" i="26"/>
  <c r="Z415" i="26"/>
  <c r="L415" i="26"/>
  <c r="A415" i="26"/>
  <c r="AC414" i="26"/>
  <c r="Z414" i="26"/>
  <c r="L414" i="26"/>
  <c r="A414" i="26"/>
  <c r="AC413" i="26"/>
  <c r="Z413" i="26"/>
  <c r="L413" i="26"/>
  <c r="A413" i="26"/>
  <c r="AC411" i="26"/>
  <c r="Z411" i="26"/>
  <c r="L411" i="26"/>
  <c r="A411" i="26"/>
  <c r="AC410" i="26"/>
  <c r="Z410" i="26"/>
  <c r="L410" i="26"/>
  <c r="A410" i="26"/>
  <c r="AC409" i="26"/>
  <c r="Z409" i="26"/>
  <c r="L409" i="26"/>
  <c r="A409" i="26"/>
  <c r="AC406" i="26"/>
  <c r="Z406" i="26"/>
  <c r="L406" i="26"/>
  <c r="A406" i="26"/>
  <c r="AC405" i="26"/>
  <c r="Z405" i="26"/>
  <c r="L405" i="26"/>
  <c r="A405" i="26"/>
  <c r="AC400" i="26"/>
  <c r="Z400" i="26"/>
  <c r="L400" i="26"/>
  <c r="A400" i="26"/>
  <c r="AC399" i="26"/>
  <c r="Z399" i="26"/>
  <c r="L399" i="26"/>
  <c r="A399" i="26"/>
  <c r="AC397" i="26"/>
  <c r="Z397" i="26"/>
  <c r="L397" i="26"/>
  <c r="A397" i="26"/>
  <c r="AC395" i="26"/>
  <c r="Z395" i="26"/>
  <c r="L395" i="26"/>
  <c r="A395" i="26"/>
  <c r="AC394" i="26"/>
  <c r="Z394" i="26"/>
  <c r="L394" i="26"/>
  <c r="A394" i="26"/>
  <c r="AC393" i="26"/>
  <c r="Z393" i="26"/>
  <c r="L393" i="26"/>
  <c r="A393" i="26"/>
  <c r="AC392" i="26"/>
  <c r="Z392" i="26"/>
  <c r="L392" i="26"/>
  <c r="A392" i="26"/>
  <c r="AC391" i="26"/>
  <c r="Z391" i="26"/>
  <c r="L391" i="26"/>
  <c r="A391" i="26"/>
  <c r="AC390" i="26"/>
  <c r="AB390" i="26"/>
  <c r="Z390" i="26"/>
  <c r="L390" i="26"/>
  <c r="A390" i="26"/>
  <c r="AC389" i="26"/>
  <c r="Z389" i="26"/>
  <c r="L389" i="26"/>
  <c r="A389" i="26"/>
  <c r="AC388" i="26"/>
  <c r="Z388" i="26"/>
  <c r="L388" i="26"/>
  <c r="A388" i="26"/>
  <c r="AC387" i="26"/>
  <c r="Z387" i="26"/>
  <c r="L387" i="26"/>
  <c r="A387" i="26"/>
  <c r="AC386" i="26"/>
  <c r="Z386" i="26"/>
  <c r="L386" i="26"/>
  <c r="A386" i="26"/>
  <c r="AC385" i="26"/>
  <c r="Z385" i="26"/>
  <c r="L385" i="26"/>
  <c r="A385" i="26"/>
  <c r="AC384" i="26"/>
  <c r="Z384" i="26"/>
  <c r="L384" i="26"/>
  <c r="A384" i="26"/>
  <c r="AC383" i="26"/>
  <c r="Z383" i="26"/>
  <c r="L383" i="26"/>
  <c r="A383" i="26"/>
  <c r="AC382" i="26"/>
  <c r="Z382" i="26"/>
  <c r="L382" i="26"/>
  <c r="A382" i="26"/>
  <c r="AC378" i="26"/>
  <c r="AA378" i="26"/>
  <c r="AB378" i="26" s="1"/>
  <c r="Z378" i="26"/>
  <c r="L378" i="26"/>
  <c r="A378" i="26"/>
  <c r="AC376" i="26"/>
  <c r="AA376" i="26"/>
  <c r="AB376" i="26" s="1"/>
  <c r="Z376" i="26"/>
  <c r="L376" i="26"/>
  <c r="A376" i="26"/>
  <c r="AC375" i="26"/>
  <c r="AA375" i="26"/>
  <c r="AB375" i="26" s="1"/>
  <c r="Z375" i="26"/>
  <c r="L375" i="26"/>
  <c r="A375" i="26"/>
  <c r="AC373" i="26"/>
  <c r="Z373" i="26"/>
  <c r="L373" i="26"/>
  <c r="A373" i="26"/>
  <c r="AC372" i="26"/>
  <c r="Z372" i="26"/>
  <c r="L372" i="26"/>
  <c r="A372" i="26"/>
  <c r="AC367" i="26"/>
  <c r="AB367" i="26"/>
  <c r="Z367" i="26"/>
  <c r="L367" i="26"/>
  <c r="A367" i="26"/>
  <c r="AC366" i="26"/>
  <c r="Z366" i="26"/>
  <c r="L366" i="26"/>
  <c r="A366" i="26"/>
  <c r="AC371" i="26"/>
  <c r="Z371" i="26"/>
  <c r="L371" i="26"/>
  <c r="A371" i="26"/>
  <c r="AC370" i="26"/>
  <c r="Z370" i="26"/>
  <c r="L370" i="26"/>
  <c r="A370" i="26"/>
  <c r="AC365" i="26"/>
  <c r="Z365" i="26"/>
  <c r="L365" i="26"/>
  <c r="A365" i="26"/>
  <c r="AC364" i="26"/>
  <c r="Z364" i="26"/>
  <c r="L364" i="26"/>
  <c r="A364" i="26"/>
  <c r="AC363" i="26"/>
  <c r="Z363" i="26"/>
  <c r="L363" i="26"/>
  <c r="A363" i="26"/>
  <c r="AC362" i="26"/>
  <c r="Z362" i="26"/>
  <c r="L362" i="26"/>
  <c r="A362" i="26"/>
  <c r="AC355" i="26"/>
  <c r="Z355" i="26"/>
  <c r="M355" i="26"/>
  <c r="L355" i="26"/>
  <c r="A355" i="26"/>
  <c r="AC354" i="26"/>
  <c r="AA354" i="26"/>
  <c r="AB354" i="26" s="1"/>
  <c r="Z354" i="26"/>
  <c r="M354" i="26"/>
  <c r="L354" i="26"/>
  <c r="A354" i="26"/>
  <c r="AC353" i="26"/>
  <c r="AA353" i="26"/>
  <c r="AB353" i="26" s="1"/>
  <c r="Z353" i="26"/>
  <c r="M353" i="26"/>
  <c r="L353" i="26"/>
  <c r="A353" i="26"/>
  <c r="AC351" i="26"/>
  <c r="Z351" i="26"/>
  <c r="L351" i="26"/>
  <c r="A351" i="26"/>
  <c r="AC350" i="26"/>
  <c r="Z350" i="26"/>
  <c r="M350" i="26"/>
  <c r="L350" i="26"/>
  <c r="A350" i="26"/>
  <c r="AC349" i="26"/>
  <c r="Z349" i="26"/>
  <c r="M349" i="26"/>
  <c r="L349" i="26"/>
  <c r="A349" i="26"/>
  <c r="AC348" i="26"/>
  <c r="AA348" i="26"/>
  <c r="AB348" i="26" s="1"/>
  <c r="Z348" i="26"/>
  <c r="M348" i="26"/>
  <c r="L348" i="26"/>
  <c r="A348" i="26"/>
  <c r="AC347" i="26"/>
  <c r="Z347" i="26"/>
  <c r="M347" i="26"/>
  <c r="L347" i="26"/>
  <c r="A347" i="26"/>
  <c r="AC343" i="26"/>
  <c r="Z343" i="26"/>
  <c r="M343" i="26"/>
  <c r="L343" i="26"/>
  <c r="A343" i="26"/>
  <c r="AC342" i="26"/>
  <c r="Z342" i="26"/>
  <c r="M342" i="26"/>
  <c r="L342" i="26"/>
  <c r="A342" i="26"/>
  <c r="AC341" i="26"/>
  <c r="AA341" i="26"/>
  <c r="AB341" i="26" s="1"/>
  <c r="Z341" i="26"/>
  <c r="M341" i="26"/>
  <c r="L341" i="26"/>
  <c r="A341" i="26"/>
  <c r="AC340" i="26"/>
  <c r="AA340" i="26"/>
  <c r="AB340" i="26" s="1"/>
  <c r="Z340" i="26"/>
  <c r="M340" i="26"/>
  <c r="L340" i="26"/>
  <c r="A340" i="26"/>
  <c r="AC332" i="26"/>
  <c r="Z332" i="26"/>
  <c r="M332" i="26"/>
  <c r="L332" i="26"/>
  <c r="A332" i="26"/>
  <c r="AC331" i="26"/>
  <c r="AA331" i="26"/>
  <c r="AB331" i="26" s="1"/>
  <c r="Z331" i="26"/>
  <c r="M331" i="26"/>
  <c r="L331" i="26"/>
  <c r="A331" i="26"/>
  <c r="AC330" i="26"/>
  <c r="AA330" i="26"/>
  <c r="AB330" i="26" s="1"/>
  <c r="Z330" i="26"/>
  <c r="M330" i="26"/>
  <c r="L330" i="26"/>
  <c r="A330" i="26"/>
  <c r="AC329" i="26"/>
  <c r="AA329" i="26"/>
  <c r="AB329" i="26" s="1"/>
  <c r="Z329" i="26"/>
  <c r="M329" i="26"/>
  <c r="L329" i="26"/>
  <c r="A329" i="26"/>
  <c r="AC328" i="26"/>
  <c r="Z328" i="26"/>
  <c r="M328" i="26"/>
  <c r="L328" i="26"/>
  <c r="A328" i="26"/>
  <c r="AC327" i="26"/>
  <c r="AA327" i="26"/>
  <c r="AB327" i="26" s="1"/>
  <c r="Z327" i="26"/>
  <c r="M327" i="26"/>
  <c r="L327" i="26"/>
  <c r="A327" i="26"/>
  <c r="AC326" i="26"/>
  <c r="Z326" i="26"/>
  <c r="M326" i="26"/>
  <c r="L326" i="26"/>
  <c r="A326" i="26"/>
  <c r="AC325" i="26"/>
  <c r="Z325" i="26"/>
  <c r="M325" i="26"/>
  <c r="L325" i="26"/>
  <c r="A325" i="26"/>
  <c r="AC324" i="26"/>
  <c r="Z324" i="26"/>
  <c r="M324" i="26"/>
  <c r="L324" i="26"/>
  <c r="A324" i="26"/>
  <c r="AC323" i="26"/>
  <c r="Z323" i="26"/>
  <c r="M323" i="26"/>
  <c r="L323" i="26"/>
  <c r="A323" i="26"/>
  <c r="AC322" i="26"/>
  <c r="Z322" i="26"/>
  <c r="M322" i="26"/>
  <c r="L322" i="26"/>
  <c r="A322" i="26"/>
  <c r="AC321" i="26"/>
  <c r="Z321" i="26"/>
  <c r="M321" i="26"/>
  <c r="L321" i="26"/>
  <c r="A321" i="26"/>
  <c r="AC320" i="26"/>
  <c r="Z320" i="26"/>
  <c r="M320" i="26"/>
  <c r="L320" i="26"/>
  <c r="A320" i="26"/>
  <c r="AC319" i="26"/>
  <c r="AA319" i="26"/>
  <c r="AB319" i="26" s="1"/>
  <c r="Z319" i="26"/>
  <c r="M319" i="26"/>
  <c r="L319" i="26"/>
  <c r="A319" i="26"/>
  <c r="AC318" i="26"/>
  <c r="AA318" i="26"/>
  <c r="AB318" i="26" s="1"/>
  <c r="Z318" i="26"/>
  <c r="M318" i="26"/>
  <c r="L318" i="26"/>
  <c r="A318" i="26"/>
  <c r="AC317" i="26"/>
  <c r="Z317" i="26"/>
  <c r="M317" i="26"/>
  <c r="L317" i="26"/>
  <c r="A317" i="26"/>
  <c r="AC316" i="26"/>
  <c r="Z316" i="26"/>
  <c r="M316" i="26"/>
  <c r="L316" i="26"/>
  <c r="A316" i="26"/>
  <c r="AC315" i="26"/>
  <c r="Z315" i="26"/>
  <c r="M315" i="26"/>
  <c r="L315" i="26"/>
  <c r="A315" i="26"/>
  <c r="AC314" i="26"/>
  <c r="Z314" i="26"/>
  <c r="M314" i="26"/>
  <c r="L314" i="26"/>
  <c r="A314" i="26"/>
  <c r="AC313" i="26"/>
  <c r="Z313" i="26"/>
  <c r="M313" i="26"/>
  <c r="L313" i="26"/>
  <c r="A313" i="26"/>
  <c r="AC312" i="26"/>
  <c r="Z312" i="26"/>
  <c r="M312" i="26"/>
  <c r="L312" i="26"/>
  <c r="A312" i="26"/>
  <c r="AC311" i="26"/>
  <c r="Z311" i="26"/>
  <c r="M311" i="26"/>
  <c r="L311" i="26"/>
  <c r="A311" i="26"/>
  <c r="AC310" i="26"/>
  <c r="AA310" i="26"/>
  <c r="AB310" i="26" s="1"/>
  <c r="Z310" i="26"/>
  <c r="M310" i="26"/>
  <c r="L310" i="26"/>
  <c r="A310" i="26"/>
  <c r="AC309" i="26"/>
  <c r="AA309" i="26"/>
  <c r="AB309" i="26" s="1"/>
  <c r="Z309" i="26"/>
  <c r="M309" i="26"/>
  <c r="L309" i="26"/>
  <c r="A309" i="26"/>
  <c r="AC308" i="26"/>
  <c r="AA308" i="26"/>
  <c r="AB308" i="26" s="1"/>
  <c r="Z308" i="26"/>
  <c r="M308" i="26"/>
  <c r="L308" i="26"/>
  <c r="A308" i="26"/>
  <c r="AC307" i="26"/>
  <c r="Z307" i="26"/>
  <c r="M307" i="26"/>
  <c r="L307" i="26"/>
  <c r="A307" i="26"/>
  <c r="AC306" i="26"/>
  <c r="Z306" i="26"/>
  <c r="M306" i="26"/>
  <c r="L306" i="26"/>
  <c r="A306" i="26"/>
  <c r="AC304" i="26"/>
  <c r="Z304" i="26"/>
  <c r="M304" i="26"/>
  <c r="L304" i="26"/>
  <c r="A304" i="26"/>
  <c r="AC302" i="26"/>
  <c r="Z302" i="26"/>
  <c r="M302" i="26"/>
  <c r="L302" i="26"/>
  <c r="A302" i="26"/>
  <c r="AC301" i="26"/>
  <c r="Z301" i="26"/>
  <c r="M301" i="26"/>
  <c r="L301" i="26"/>
  <c r="A301" i="26"/>
  <c r="AC300" i="26"/>
  <c r="Z300" i="26"/>
  <c r="M300" i="26"/>
  <c r="L300" i="26"/>
  <c r="A300" i="26"/>
  <c r="AC299" i="26"/>
  <c r="AA299" i="26"/>
  <c r="AB299" i="26" s="1"/>
  <c r="Z299" i="26"/>
  <c r="M299" i="26"/>
  <c r="L299" i="26"/>
  <c r="A299" i="26"/>
  <c r="AC298" i="26"/>
  <c r="AA298" i="26"/>
  <c r="AB298" i="26" s="1"/>
  <c r="Z298" i="26"/>
  <c r="M298" i="26"/>
  <c r="L298" i="26"/>
  <c r="A298" i="26"/>
  <c r="AC297" i="26"/>
  <c r="Z297" i="26"/>
  <c r="M297" i="26"/>
  <c r="L297" i="26"/>
  <c r="A297" i="26"/>
  <c r="AC296" i="26"/>
  <c r="Z296" i="26"/>
  <c r="M296" i="26"/>
  <c r="L296" i="26"/>
  <c r="A296" i="26"/>
  <c r="AC295" i="26"/>
  <c r="Z295" i="26"/>
  <c r="M295" i="26"/>
  <c r="L295" i="26"/>
  <c r="A295" i="26"/>
  <c r="AC294" i="26"/>
  <c r="Z294" i="26"/>
  <c r="L294" i="26"/>
  <c r="A294" i="26"/>
  <c r="AC293" i="26"/>
  <c r="Z293" i="26"/>
  <c r="M293" i="26"/>
  <c r="L293" i="26"/>
  <c r="A293" i="26"/>
  <c r="AC292" i="26"/>
  <c r="Z292" i="26"/>
  <c r="M292" i="26"/>
  <c r="L292" i="26"/>
  <c r="A292" i="26"/>
  <c r="AC291" i="26"/>
  <c r="Z291" i="26"/>
  <c r="M291" i="26"/>
  <c r="L291" i="26"/>
  <c r="A291" i="26"/>
  <c r="AC290" i="26"/>
  <c r="Z290" i="26"/>
  <c r="M290" i="26"/>
  <c r="L290" i="26"/>
  <c r="A290" i="26"/>
  <c r="AC287" i="26"/>
  <c r="Z287" i="26"/>
  <c r="M287" i="26"/>
  <c r="L287" i="26"/>
  <c r="A287" i="26"/>
  <c r="AC289" i="26"/>
  <c r="AA289" i="26"/>
  <c r="AB289" i="26" s="1"/>
  <c r="Z289" i="26"/>
  <c r="M289" i="26"/>
  <c r="L289" i="26"/>
  <c r="A289" i="26"/>
  <c r="AC288" i="26"/>
  <c r="AA288" i="26"/>
  <c r="AB288" i="26" s="1"/>
  <c r="Z288" i="26"/>
  <c r="M288" i="26"/>
  <c r="L288" i="26"/>
  <c r="A288" i="26"/>
  <c r="AC286" i="26"/>
  <c r="AA286" i="26"/>
  <c r="AB286" i="26" s="1"/>
  <c r="Z286" i="26"/>
  <c r="M286" i="26"/>
  <c r="L286" i="26"/>
  <c r="A286" i="26"/>
  <c r="AC285" i="26"/>
  <c r="AA285" i="26"/>
  <c r="AB285" i="26" s="1"/>
  <c r="Z285" i="26"/>
  <c r="M285" i="26"/>
  <c r="L285" i="26"/>
  <c r="A285" i="26"/>
  <c r="AC284" i="26"/>
  <c r="AA284" i="26"/>
  <c r="AB284" i="26" s="1"/>
  <c r="Z284" i="26"/>
  <c r="M284" i="26"/>
  <c r="L284" i="26"/>
  <c r="A284" i="26"/>
  <c r="AC283" i="26"/>
  <c r="Z283" i="26"/>
  <c r="M283" i="26"/>
  <c r="L283" i="26"/>
  <c r="A283" i="26"/>
  <c r="AC281" i="26"/>
  <c r="Z281" i="26"/>
  <c r="M281" i="26"/>
  <c r="L281" i="26"/>
  <c r="A281" i="26"/>
  <c r="AC279" i="26"/>
  <c r="Z279" i="26"/>
  <c r="M279" i="26"/>
  <c r="L279" i="26"/>
  <c r="A279" i="26"/>
  <c r="AC278" i="26"/>
  <c r="Z278" i="26"/>
  <c r="M278" i="26"/>
  <c r="L278" i="26"/>
  <c r="A278" i="26"/>
  <c r="AC277" i="26"/>
  <c r="AA277" i="26"/>
  <c r="AB277" i="26" s="1"/>
  <c r="Z277" i="26"/>
  <c r="M277" i="26"/>
  <c r="L277" i="26"/>
  <c r="A277" i="26"/>
  <c r="AC276" i="26"/>
  <c r="AA276" i="26"/>
  <c r="AB276" i="26" s="1"/>
  <c r="Z276" i="26"/>
  <c r="M276" i="26"/>
  <c r="L276" i="26"/>
  <c r="A276" i="26"/>
  <c r="AC275" i="26"/>
  <c r="AA275" i="26"/>
  <c r="AB275" i="26" s="1"/>
  <c r="Z275" i="26"/>
  <c r="M275" i="26"/>
  <c r="L275" i="26"/>
  <c r="A275" i="26"/>
  <c r="AC274" i="26"/>
  <c r="AA274" i="26"/>
  <c r="AB274" i="26" s="1"/>
  <c r="Z274" i="26"/>
  <c r="M274" i="26"/>
  <c r="L274" i="26"/>
  <c r="A274" i="26"/>
  <c r="AC273" i="26"/>
  <c r="AA273" i="26"/>
  <c r="AB273" i="26" s="1"/>
  <c r="Z273" i="26"/>
  <c r="M273" i="26"/>
  <c r="L273" i="26"/>
  <c r="A273" i="26"/>
  <c r="AC272" i="26"/>
  <c r="Z272" i="26"/>
  <c r="M272" i="26"/>
  <c r="L272" i="26"/>
  <c r="A272" i="26"/>
  <c r="AC271" i="26"/>
  <c r="Z271" i="26"/>
  <c r="M271" i="26"/>
  <c r="L271" i="26"/>
  <c r="A271" i="26"/>
  <c r="AC270" i="26"/>
  <c r="AA270" i="26"/>
  <c r="AB270" i="26" s="1"/>
  <c r="Z270" i="26"/>
  <c r="M270" i="26"/>
  <c r="L270" i="26"/>
  <c r="A270" i="26"/>
  <c r="AC269" i="26"/>
  <c r="AA269" i="26"/>
  <c r="AB269" i="26" s="1"/>
  <c r="Z269" i="26"/>
  <c r="M269" i="26"/>
  <c r="L269" i="26"/>
  <c r="A269" i="26"/>
  <c r="AC268" i="26"/>
  <c r="Z268" i="26"/>
  <c r="M268" i="26"/>
  <c r="L268" i="26"/>
  <c r="A268" i="26"/>
  <c r="AC267" i="26"/>
  <c r="Z267" i="26"/>
  <c r="M267" i="26"/>
  <c r="L267" i="26"/>
  <c r="A267" i="26"/>
  <c r="AC266" i="26"/>
  <c r="Z266" i="26"/>
  <c r="M266" i="26"/>
  <c r="L266" i="26"/>
  <c r="A266" i="26"/>
  <c r="AC265" i="26"/>
  <c r="Z265" i="26"/>
  <c r="M265" i="26"/>
  <c r="L265" i="26"/>
  <c r="A265" i="26"/>
  <c r="AC264" i="26"/>
  <c r="Z264" i="26"/>
  <c r="M264" i="26"/>
  <c r="L264" i="26"/>
  <c r="A264" i="26"/>
  <c r="AC263" i="26"/>
  <c r="AA263" i="26"/>
  <c r="AB263" i="26" s="1"/>
  <c r="Z263" i="26"/>
  <c r="M263" i="26"/>
  <c r="L263" i="26"/>
  <c r="A263" i="26"/>
  <c r="AC262" i="26"/>
  <c r="AA262" i="26"/>
  <c r="AB262" i="26" s="1"/>
  <c r="Z262" i="26"/>
  <c r="M262" i="26"/>
  <c r="L262" i="26"/>
  <c r="A262" i="26"/>
  <c r="AC261" i="26"/>
  <c r="Z261" i="26"/>
  <c r="M261" i="26"/>
  <c r="L261" i="26"/>
  <c r="A261" i="26"/>
  <c r="AC260" i="26"/>
  <c r="Z260" i="26"/>
  <c r="M260" i="26"/>
  <c r="L260" i="26"/>
  <c r="A260" i="26"/>
  <c r="AC259" i="26"/>
  <c r="Z259" i="26"/>
  <c r="M259" i="26"/>
  <c r="L259" i="26"/>
  <c r="A259" i="26"/>
  <c r="AC255" i="26"/>
  <c r="Z255" i="26"/>
  <c r="M255" i="26"/>
  <c r="L255" i="26"/>
  <c r="A255" i="26"/>
  <c r="AC254" i="26"/>
  <c r="Z254" i="26"/>
  <c r="M254" i="26"/>
  <c r="L254" i="26"/>
  <c r="A254" i="26"/>
  <c r="AC253" i="26"/>
  <c r="Z253" i="26"/>
  <c r="M253" i="26"/>
  <c r="L253" i="26"/>
  <c r="A253" i="26"/>
  <c r="AC252" i="26"/>
  <c r="Z252" i="26"/>
  <c r="M252" i="26"/>
  <c r="L252" i="26"/>
  <c r="A252" i="26"/>
  <c r="AC251" i="26"/>
  <c r="Z251" i="26"/>
  <c r="M251" i="26"/>
  <c r="L251" i="26"/>
  <c r="A251" i="26"/>
  <c r="AC250" i="26"/>
  <c r="Z250" i="26"/>
  <c r="M250" i="26"/>
  <c r="L250" i="26"/>
  <c r="A250" i="26"/>
  <c r="AC248" i="26"/>
  <c r="Z248" i="26"/>
  <c r="M248" i="26"/>
  <c r="L248" i="26"/>
  <c r="A248" i="26"/>
  <c r="AC247" i="26"/>
  <c r="Z247" i="26"/>
  <c r="M247" i="26"/>
  <c r="L247" i="26"/>
  <c r="A247" i="26"/>
  <c r="AC246" i="26"/>
  <c r="Z246" i="26"/>
  <c r="M246" i="26"/>
  <c r="L246" i="26"/>
  <c r="A246" i="26"/>
  <c r="AC245" i="26"/>
  <c r="Z245" i="26"/>
  <c r="M245" i="26"/>
  <c r="L245" i="26"/>
  <c r="A245" i="26"/>
  <c r="AC244" i="26"/>
  <c r="Z244" i="26"/>
  <c r="M244" i="26"/>
  <c r="L244" i="26"/>
  <c r="A244" i="26"/>
  <c r="AC243" i="26"/>
  <c r="AA243" i="26"/>
  <c r="AB243" i="26" s="1"/>
  <c r="Z243" i="26"/>
  <c r="M243" i="26"/>
  <c r="L243" i="26"/>
  <c r="A243" i="26"/>
  <c r="AC242" i="26"/>
  <c r="AA242" i="26"/>
  <c r="AB242" i="26" s="1"/>
  <c r="Z242" i="26"/>
  <c r="M242" i="26"/>
  <c r="L242" i="26"/>
  <c r="A242" i="26"/>
  <c r="AC241" i="26"/>
  <c r="AA241" i="26"/>
  <c r="AB241" i="26" s="1"/>
  <c r="Z241" i="26"/>
  <c r="M241" i="26"/>
  <c r="L241" i="26"/>
  <c r="A241" i="26"/>
  <c r="AC240" i="26"/>
  <c r="Z240" i="26"/>
  <c r="L240" i="26"/>
  <c r="A240" i="26"/>
  <c r="AC239" i="26"/>
  <c r="Z239" i="26"/>
  <c r="M239" i="26"/>
  <c r="L239" i="26"/>
  <c r="A239" i="26"/>
  <c r="AC238" i="26"/>
  <c r="Z238" i="26"/>
  <c r="M238" i="26"/>
  <c r="L238" i="26"/>
  <c r="A238" i="26"/>
  <c r="AC237" i="26"/>
  <c r="Z237" i="26"/>
  <c r="M237" i="26"/>
  <c r="L237" i="26"/>
  <c r="A237" i="26"/>
  <c r="AC236" i="26"/>
  <c r="Z236" i="26"/>
  <c r="M236" i="26"/>
  <c r="L236" i="26"/>
  <c r="A236" i="26"/>
  <c r="AC235" i="26"/>
  <c r="Z235" i="26"/>
  <c r="M235" i="26"/>
  <c r="L235" i="26"/>
  <c r="A235" i="26"/>
  <c r="AC234" i="26"/>
  <c r="Z234" i="26"/>
  <c r="M234" i="26"/>
  <c r="L234" i="26"/>
  <c r="A234" i="26"/>
  <c r="AC233" i="26"/>
  <c r="AA233" i="26"/>
  <c r="AB233" i="26" s="1"/>
  <c r="Z233" i="26"/>
  <c r="M233" i="26"/>
  <c r="L233" i="26"/>
  <c r="A233" i="26"/>
  <c r="AC232" i="26"/>
  <c r="AA232" i="26"/>
  <c r="AB232" i="26" s="1"/>
  <c r="Z232" i="26"/>
  <c r="M232" i="26"/>
  <c r="L232" i="26"/>
  <c r="A232" i="26"/>
  <c r="AC231" i="26"/>
  <c r="Z231" i="26"/>
  <c r="M231" i="26"/>
  <c r="L231" i="26"/>
  <c r="A231" i="26"/>
  <c r="AC230" i="26"/>
  <c r="Z230" i="26"/>
  <c r="M230" i="26"/>
  <c r="L230" i="26"/>
  <c r="A230" i="26"/>
  <c r="AC229" i="26"/>
  <c r="Z229" i="26"/>
  <c r="M229" i="26"/>
  <c r="L229" i="26"/>
  <c r="A229" i="26"/>
  <c r="AC228" i="26"/>
  <c r="Z228" i="26"/>
  <c r="M228" i="26"/>
  <c r="L228" i="26"/>
  <c r="A228" i="26"/>
  <c r="AC226" i="26"/>
  <c r="Z226" i="26"/>
  <c r="M226" i="26"/>
  <c r="L226" i="26"/>
  <c r="A226" i="26"/>
  <c r="AC225" i="26"/>
  <c r="Z225" i="26"/>
  <c r="M225" i="26"/>
  <c r="L225" i="26"/>
  <c r="A225" i="26"/>
  <c r="AC224" i="26"/>
  <c r="Z224" i="26"/>
  <c r="M224" i="26"/>
  <c r="L224" i="26"/>
  <c r="A224" i="26"/>
  <c r="AC223" i="26"/>
  <c r="Z223" i="26"/>
  <c r="M223" i="26"/>
  <c r="L223" i="26"/>
  <c r="A223" i="26"/>
  <c r="AC222" i="26"/>
  <c r="Z222" i="26"/>
  <c r="M222" i="26"/>
  <c r="L222" i="26"/>
  <c r="A222" i="26"/>
  <c r="AC221" i="26"/>
  <c r="Z221" i="26"/>
  <c r="M221" i="26"/>
  <c r="L221" i="26"/>
  <c r="A221" i="26"/>
  <c r="AC220" i="26"/>
  <c r="Z220" i="26"/>
  <c r="M220" i="26"/>
  <c r="L220" i="26"/>
  <c r="A220" i="26"/>
  <c r="AC219" i="26"/>
  <c r="Z219" i="26"/>
  <c r="M219" i="26"/>
  <c r="L219" i="26"/>
  <c r="A219" i="26"/>
  <c r="AC218" i="26"/>
  <c r="Z218" i="26"/>
  <c r="M218" i="26"/>
  <c r="L218" i="26"/>
  <c r="A218" i="26"/>
  <c r="AC214" i="26"/>
  <c r="Z214" i="26"/>
  <c r="M214" i="26"/>
  <c r="L214" i="26"/>
  <c r="A214" i="26"/>
  <c r="AC213" i="26"/>
  <c r="Z213" i="26"/>
  <c r="M213" i="26"/>
  <c r="L213" i="26"/>
  <c r="A213" i="26"/>
  <c r="AC217" i="26"/>
  <c r="AA217" i="26"/>
  <c r="AB217" i="26" s="1"/>
  <c r="Z217" i="26"/>
  <c r="M217" i="26"/>
  <c r="L217" i="26"/>
  <c r="A217" i="26"/>
  <c r="AC216" i="26"/>
  <c r="Z216" i="26"/>
  <c r="M216" i="26"/>
  <c r="L216" i="26"/>
  <c r="A216" i="26"/>
  <c r="AC215" i="26"/>
  <c r="Z215" i="26"/>
  <c r="L215" i="26"/>
  <c r="A215" i="26"/>
  <c r="AC211" i="26"/>
  <c r="Z211" i="26"/>
  <c r="L211" i="26"/>
  <c r="A211" i="26"/>
  <c r="AC210" i="26"/>
  <c r="Z210" i="26"/>
  <c r="M210" i="26"/>
  <c r="L210" i="26"/>
  <c r="A210" i="26"/>
  <c r="AC208" i="26"/>
  <c r="Z208" i="26"/>
  <c r="M208" i="26"/>
  <c r="L208" i="26"/>
  <c r="A208" i="26"/>
  <c r="AC207" i="26"/>
  <c r="AA207" i="26"/>
  <c r="AB207" i="26" s="1"/>
  <c r="Z207" i="26"/>
  <c r="M207" i="26"/>
  <c r="L207" i="26"/>
  <c r="A207" i="26"/>
  <c r="AC206" i="26"/>
  <c r="Z206" i="26"/>
  <c r="M206" i="26"/>
  <c r="L206" i="26"/>
  <c r="A206" i="26"/>
  <c r="AC205" i="26"/>
  <c r="Z205" i="26"/>
  <c r="M205" i="26"/>
  <c r="L205" i="26"/>
  <c r="A205" i="26"/>
  <c r="AC204" i="26"/>
  <c r="Z204" i="26"/>
  <c r="M204" i="26"/>
  <c r="L204" i="26"/>
  <c r="A204" i="26"/>
  <c r="AC202" i="26"/>
  <c r="Z202" i="26"/>
  <c r="M202" i="26"/>
  <c r="L202" i="26"/>
  <c r="A202" i="26"/>
  <c r="AC201" i="26"/>
  <c r="Z201" i="26"/>
  <c r="M201" i="26"/>
  <c r="L201" i="26"/>
  <c r="A201" i="26"/>
  <c r="AC200" i="26"/>
  <c r="Z200" i="26"/>
  <c r="M200" i="26"/>
  <c r="L200" i="26"/>
  <c r="A200" i="26"/>
  <c r="AC199" i="26"/>
  <c r="Z199" i="26"/>
  <c r="M199" i="26"/>
  <c r="L199" i="26"/>
  <c r="A199" i="26"/>
  <c r="AC198" i="26"/>
  <c r="AA198" i="26"/>
  <c r="AB198" i="26" s="1"/>
  <c r="Z198" i="26"/>
  <c r="M198" i="26"/>
  <c r="L198" i="26"/>
  <c r="A198" i="26"/>
  <c r="AC197" i="26"/>
  <c r="Z197" i="26"/>
  <c r="M197" i="26"/>
  <c r="L197" i="26"/>
  <c r="A197" i="26"/>
  <c r="AC191" i="26"/>
  <c r="Z191" i="26"/>
  <c r="M191" i="26"/>
  <c r="L191" i="26"/>
  <c r="A191" i="26"/>
  <c r="AC190" i="26"/>
  <c r="Z190" i="26"/>
  <c r="M190" i="26"/>
  <c r="L190" i="26"/>
  <c r="A190" i="26"/>
  <c r="AC189" i="26"/>
  <c r="Z189" i="26"/>
  <c r="L189" i="26"/>
  <c r="A189" i="26"/>
  <c r="AC188" i="26"/>
  <c r="AB188" i="26"/>
  <c r="Z188" i="26"/>
  <c r="M188" i="26"/>
  <c r="L188" i="26"/>
  <c r="A188" i="26"/>
  <c r="AC193" i="26"/>
  <c r="Z193" i="26"/>
  <c r="M193" i="26"/>
  <c r="L193" i="26"/>
  <c r="A193" i="26"/>
  <c r="AC192" i="26"/>
  <c r="Z192" i="26"/>
  <c r="M192" i="26"/>
  <c r="L192" i="26"/>
  <c r="A192" i="26"/>
  <c r="AC187" i="26"/>
  <c r="Z187" i="26"/>
  <c r="M187" i="26"/>
  <c r="L187" i="26"/>
  <c r="A187" i="26"/>
  <c r="AC186" i="26"/>
  <c r="AA186" i="26"/>
  <c r="AB186" i="26" s="1"/>
  <c r="Z186" i="26"/>
  <c r="M186" i="26"/>
  <c r="L186" i="26"/>
  <c r="A186" i="26"/>
  <c r="AC185" i="26"/>
  <c r="AA185" i="26"/>
  <c r="AB185" i="26" s="1"/>
  <c r="Z185" i="26"/>
  <c r="M185" i="26"/>
  <c r="L185" i="26"/>
  <c r="A185" i="26"/>
  <c r="AC184" i="26"/>
  <c r="Z184" i="26"/>
  <c r="M184" i="26"/>
  <c r="L184" i="26"/>
  <c r="A184" i="26"/>
  <c r="AC183" i="26"/>
  <c r="Z183" i="26"/>
  <c r="M183" i="26"/>
  <c r="L183" i="26"/>
  <c r="A183" i="26"/>
  <c r="AC182" i="26"/>
  <c r="Z182" i="26"/>
  <c r="M182" i="26"/>
  <c r="L182" i="26"/>
  <c r="A182" i="26"/>
  <c r="AC181" i="26"/>
  <c r="Z181" i="26"/>
  <c r="M181" i="26"/>
  <c r="L181" i="26"/>
  <c r="A181" i="26"/>
  <c r="AC180" i="26"/>
  <c r="Z180" i="26"/>
  <c r="M180" i="26"/>
  <c r="L180" i="26"/>
  <c r="A180" i="26"/>
  <c r="AC179" i="26"/>
  <c r="Z179" i="26"/>
  <c r="M179" i="26"/>
  <c r="L179" i="26"/>
  <c r="A179" i="26"/>
  <c r="AC178" i="26"/>
  <c r="Z178" i="26"/>
  <c r="M178" i="26"/>
  <c r="L178" i="26"/>
  <c r="A178" i="26"/>
  <c r="AC177" i="26"/>
  <c r="AB177" i="26"/>
  <c r="Z177" i="26"/>
  <c r="M177" i="26"/>
  <c r="L177" i="26"/>
  <c r="A177" i="26"/>
  <c r="AC176" i="26"/>
  <c r="AA176" i="26"/>
  <c r="AB176" i="26" s="1"/>
  <c r="Z176" i="26"/>
  <c r="M176" i="26"/>
  <c r="L176" i="26"/>
  <c r="A176" i="26"/>
  <c r="AC175" i="26"/>
  <c r="AA175" i="26"/>
  <c r="AB175" i="26" s="1"/>
  <c r="Z175" i="26"/>
  <c r="M175" i="26"/>
  <c r="L175" i="26"/>
  <c r="A175" i="26"/>
  <c r="AC174" i="26"/>
  <c r="Z174" i="26"/>
  <c r="M174" i="26"/>
  <c r="L174" i="26"/>
  <c r="A174" i="26"/>
  <c r="AC173" i="26"/>
  <c r="Z173" i="26"/>
  <c r="M173" i="26"/>
  <c r="L173" i="26"/>
  <c r="A173" i="26"/>
  <c r="AC171" i="26"/>
  <c r="Z171" i="26"/>
  <c r="M171" i="26"/>
  <c r="L171" i="26"/>
  <c r="A171" i="26"/>
  <c r="AC170" i="26"/>
  <c r="Z170" i="26"/>
  <c r="M170" i="26"/>
  <c r="L170" i="26"/>
  <c r="A170" i="26"/>
  <c r="AC169" i="26"/>
  <c r="Z169" i="26"/>
  <c r="M169" i="26"/>
  <c r="L169" i="26"/>
  <c r="A169" i="26"/>
  <c r="AC168" i="26"/>
  <c r="Z168" i="26"/>
  <c r="M168" i="26"/>
  <c r="L168" i="26"/>
  <c r="A168" i="26"/>
  <c r="AC167" i="26"/>
  <c r="Z167" i="26"/>
  <c r="M167" i="26"/>
  <c r="L167" i="26"/>
  <c r="A167" i="26"/>
  <c r="AC166" i="26"/>
  <c r="Z166" i="26"/>
  <c r="L166" i="26"/>
  <c r="A166" i="26"/>
  <c r="AC165" i="26"/>
  <c r="Z165" i="26"/>
  <c r="M165" i="26"/>
  <c r="L165" i="26"/>
  <c r="A165" i="26"/>
  <c r="AC163" i="26"/>
  <c r="Z163" i="26"/>
  <c r="M163" i="26"/>
  <c r="L163" i="26"/>
  <c r="A163" i="26"/>
  <c r="AC162" i="26"/>
  <c r="Z162" i="26"/>
  <c r="M162" i="26"/>
  <c r="L162" i="26"/>
  <c r="A162" i="26"/>
  <c r="AC161" i="26"/>
  <c r="AA161" i="26"/>
  <c r="AB161" i="26" s="1"/>
  <c r="Z161" i="26"/>
  <c r="M161" i="26"/>
  <c r="L161" i="26"/>
  <c r="A161" i="26"/>
  <c r="AC160" i="26"/>
  <c r="AA160" i="26"/>
  <c r="AB160" i="26" s="1"/>
  <c r="Z160" i="26"/>
  <c r="M160" i="26"/>
  <c r="L160" i="26"/>
  <c r="A160" i="26"/>
  <c r="AC159" i="26"/>
  <c r="Z159" i="26"/>
  <c r="M159" i="26"/>
  <c r="L159" i="26"/>
  <c r="A159" i="26"/>
  <c r="AC158" i="26"/>
  <c r="Z158" i="26"/>
  <c r="M158" i="26"/>
  <c r="L158" i="26"/>
  <c r="A158" i="26"/>
  <c r="AC157" i="26"/>
  <c r="Z157" i="26"/>
  <c r="M157" i="26"/>
  <c r="L157" i="26"/>
  <c r="A157" i="26"/>
  <c r="AC156" i="26"/>
  <c r="AA156" i="26"/>
  <c r="AB156" i="26" s="1"/>
  <c r="Z156" i="26"/>
  <c r="M156" i="26"/>
  <c r="L156" i="26"/>
  <c r="A156" i="26"/>
  <c r="AC155" i="26"/>
  <c r="Z155" i="26"/>
  <c r="M155" i="26"/>
  <c r="L155" i="26"/>
  <c r="A155" i="26"/>
  <c r="AC154" i="26"/>
  <c r="Z154" i="26"/>
  <c r="M154" i="26"/>
  <c r="L154" i="26"/>
  <c r="A154" i="26"/>
  <c r="AC153" i="26"/>
  <c r="Z153" i="26"/>
  <c r="M153" i="26"/>
  <c r="L153" i="26"/>
  <c r="A153" i="26"/>
  <c r="AC152" i="26"/>
  <c r="Z152" i="26"/>
  <c r="M152" i="26"/>
  <c r="L152" i="26"/>
  <c r="A152" i="26"/>
  <c r="AC151" i="26"/>
  <c r="Z151" i="26"/>
  <c r="M151" i="26"/>
  <c r="L151" i="26"/>
  <c r="A151" i="26"/>
  <c r="AC150" i="26"/>
  <c r="Z150" i="26"/>
  <c r="M150" i="26"/>
  <c r="L150" i="26"/>
  <c r="A150" i="26"/>
  <c r="AC149" i="26"/>
  <c r="Z149" i="26"/>
  <c r="M149" i="26"/>
  <c r="L149" i="26"/>
  <c r="A149" i="26"/>
  <c r="AC148" i="26"/>
  <c r="AA148" i="26"/>
  <c r="AB148" i="26" s="1"/>
  <c r="Z148" i="26"/>
  <c r="L148" i="26"/>
  <c r="A148" i="26"/>
  <c r="AC147" i="26"/>
  <c r="AA147" i="26"/>
  <c r="AB147" i="26" s="1"/>
  <c r="Z147" i="26"/>
  <c r="M147" i="26"/>
  <c r="L147" i="26"/>
  <c r="A147" i="26"/>
  <c r="AC146" i="26"/>
  <c r="AA146" i="26"/>
  <c r="AB146" i="26" s="1"/>
  <c r="Z146" i="26"/>
  <c r="M146" i="26"/>
  <c r="L146" i="26"/>
  <c r="A146" i="26"/>
  <c r="AC145" i="26"/>
  <c r="AA145" i="26"/>
  <c r="AB145" i="26" s="1"/>
  <c r="Z145" i="26"/>
  <c r="M145" i="26"/>
  <c r="L145" i="26"/>
  <c r="A145" i="26"/>
  <c r="AC143" i="26"/>
  <c r="Z143" i="26"/>
  <c r="M143" i="26"/>
  <c r="L143" i="26"/>
  <c r="A143" i="26"/>
  <c r="AC142" i="26"/>
  <c r="Z142" i="26"/>
  <c r="M142" i="26"/>
  <c r="L142" i="26"/>
  <c r="A142" i="26"/>
  <c r="AC141" i="26"/>
  <c r="Z141" i="26"/>
  <c r="M141" i="26"/>
  <c r="L141" i="26"/>
  <c r="A141" i="26"/>
  <c r="AC140" i="26"/>
  <c r="Z140" i="26"/>
  <c r="L140" i="26"/>
  <c r="A140" i="26"/>
  <c r="AC139" i="26"/>
  <c r="AB139" i="26"/>
  <c r="Z139" i="26"/>
  <c r="M139" i="26"/>
  <c r="L139" i="26"/>
  <c r="A139" i="26"/>
  <c r="AC138" i="26"/>
  <c r="AB138" i="26"/>
  <c r="Z138" i="26"/>
  <c r="M138" i="26"/>
  <c r="L138" i="26"/>
  <c r="A138" i="26"/>
  <c r="AC136" i="26"/>
  <c r="AB136" i="26"/>
  <c r="Z136" i="26"/>
  <c r="M136" i="26"/>
  <c r="L136" i="26"/>
  <c r="A136" i="26"/>
  <c r="AC135" i="26"/>
  <c r="AA135" i="26"/>
  <c r="AB135" i="26" s="1"/>
  <c r="Z135" i="26"/>
  <c r="M135" i="26"/>
  <c r="L135" i="26"/>
  <c r="A135" i="26"/>
  <c r="AC134" i="26"/>
  <c r="AA134" i="26"/>
  <c r="AB134" i="26" s="1"/>
  <c r="Z134" i="26"/>
  <c r="M134" i="26"/>
  <c r="L134" i="26"/>
  <c r="A134" i="26"/>
  <c r="AC133" i="26"/>
  <c r="AA133" i="26"/>
  <c r="AB133" i="26" s="1"/>
  <c r="Z133" i="26"/>
  <c r="M133" i="26"/>
  <c r="L133" i="26"/>
  <c r="A133" i="26"/>
  <c r="AC132" i="26"/>
  <c r="AB132" i="26"/>
  <c r="Z132" i="26"/>
  <c r="M132" i="26"/>
  <c r="L132" i="26"/>
  <c r="A132" i="26"/>
  <c r="AC130" i="26"/>
  <c r="AB130" i="26"/>
  <c r="Z130" i="26"/>
  <c r="M130" i="26"/>
  <c r="L130" i="26"/>
  <c r="A130" i="26"/>
  <c r="AC128" i="26"/>
  <c r="AB128" i="26"/>
  <c r="Z128" i="26"/>
  <c r="M128" i="26"/>
  <c r="L128" i="26"/>
  <c r="A128" i="26"/>
  <c r="AC127" i="26"/>
  <c r="AB127" i="26"/>
  <c r="Z127" i="26"/>
  <c r="M127" i="26"/>
  <c r="L127" i="26"/>
  <c r="A127" i="26"/>
  <c r="AC125" i="26"/>
  <c r="Z125" i="26"/>
  <c r="M125" i="26"/>
  <c r="L125" i="26"/>
  <c r="A125" i="26"/>
  <c r="AC124" i="26"/>
  <c r="Z124" i="26"/>
  <c r="M124" i="26"/>
  <c r="L124" i="26"/>
  <c r="A124" i="26"/>
  <c r="AC123" i="26"/>
  <c r="AB123" i="26"/>
  <c r="Z123" i="26"/>
  <c r="M123" i="26"/>
  <c r="L123" i="26"/>
  <c r="A123" i="26"/>
  <c r="AC122" i="26"/>
  <c r="AA122" i="26"/>
  <c r="AB122" i="26" s="1"/>
  <c r="Z122" i="26"/>
  <c r="M122" i="26"/>
  <c r="L122" i="26"/>
  <c r="A122" i="26"/>
  <c r="AC121" i="26"/>
  <c r="AA121" i="26"/>
  <c r="AB121" i="26" s="1"/>
  <c r="Z121" i="26"/>
  <c r="M121" i="26"/>
  <c r="L121" i="26"/>
  <c r="A121" i="26"/>
  <c r="AC120" i="26"/>
  <c r="AA120" i="26"/>
  <c r="AB120" i="26" s="1"/>
  <c r="Z120" i="26"/>
  <c r="M120" i="26"/>
  <c r="L120" i="26"/>
  <c r="A120" i="26"/>
  <c r="AC119" i="26"/>
  <c r="AA119" i="26"/>
  <c r="AB119" i="26" s="1"/>
  <c r="Z119" i="26"/>
  <c r="M119" i="26"/>
  <c r="L119" i="26"/>
  <c r="A119" i="26"/>
  <c r="AC118" i="26"/>
  <c r="AA118" i="26"/>
  <c r="AB118" i="26" s="1"/>
  <c r="Z118" i="26"/>
  <c r="L118" i="26"/>
  <c r="A118" i="26"/>
  <c r="AC117" i="26"/>
  <c r="AA117" i="26"/>
  <c r="AB117" i="26" s="1"/>
  <c r="Z117" i="26"/>
  <c r="M117" i="26"/>
  <c r="L117" i="26"/>
  <c r="A117" i="26"/>
  <c r="AC116" i="26"/>
  <c r="AB116" i="26"/>
  <c r="Z116" i="26"/>
  <c r="M116" i="26"/>
  <c r="L116" i="26"/>
  <c r="A116" i="26"/>
  <c r="AC115" i="26"/>
  <c r="AB115" i="26"/>
  <c r="Z115" i="26"/>
  <c r="M115" i="26"/>
  <c r="L115" i="26"/>
  <c r="A115" i="26"/>
  <c r="AC114" i="26"/>
  <c r="AB114" i="26"/>
  <c r="Z114" i="26"/>
  <c r="M114" i="26"/>
  <c r="L114" i="26"/>
  <c r="A114" i="26"/>
  <c r="AC113" i="26"/>
  <c r="AB113" i="26"/>
  <c r="Z113" i="26"/>
  <c r="M113" i="26"/>
  <c r="L113" i="26"/>
  <c r="A113" i="26"/>
  <c r="AC112" i="26"/>
  <c r="AB112" i="26"/>
  <c r="Z112" i="26"/>
  <c r="M112" i="26"/>
  <c r="L112" i="26"/>
  <c r="A112" i="26"/>
  <c r="AC111" i="26"/>
  <c r="AB111" i="26"/>
  <c r="Z111" i="26"/>
  <c r="M111" i="26"/>
  <c r="L111" i="26"/>
  <c r="A111" i="26"/>
  <c r="AC110" i="26"/>
  <c r="AB110" i="26"/>
  <c r="Z110" i="26"/>
  <c r="M110" i="26"/>
  <c r="L110" i="26"/>
  <c r="A110" i="26"/>
  <c r="AC109" i="26"/>
  <c r="AB109" i="26"/>
  <c r="Z109" i="26"/>
  <c r="M109" i="26"/>
  <c r="L109" i="26"/>
  <c r="A109" i="26"/>
  <c r="AC65" i="26"/>
  <c r="Z65" i="26"/>
  <c r="M65" i="26"/>
  <c r="L65" i="26"/>
  <c r="A65" i="26"/>
  <c r="AC103" i="26"/>
  <c r="AB103" i="26"/>
  <c r="Z103" i="26"/>
  <c r="M103" i="26"/>
  <c r="L103" i="26"/>
  <c r="A103" i="26"/>
  <c r="AC64" i="26"/>
  <c r="AA64" i="26"/>
  <c r="AB64" i="26" s="1"/>
  <c r="Z64" i="26"/>
  <c r="M64" i="26"/>
  <c r="L64" i="26"/>
  <c r="A64" i="26"/>
  <c r="AC101" i="26"/>
  <c r="AA101" i="26"/>
  <c r="AB101" i="26" s="1"/>
  <c r="Z101" i="26"/>
  <c r="M101" i="26"/>
  <c r="L101" i="26"/>
  <c r="A101" i="26"/>
  <c r="AC56" i="26"/>
  <c r="AB56" i="26"/>
  <c r="Z56" i="26"/>
  <c r="M56" i="26"/>
  <c r="L56" i="26"/>
  <c r="A56" i="26"/>
  <c r="AC99" i="26"/>
  <c r="AB99" i="26"/>
  <c r="Z99" i="26"/>
  <c r="M99" i="26"/>
  <c r="L99" i="26"/>
  <c r="A99" i="26"/>
  <c r="AC98" i="26"/>
  <c r="AB98" i="26"/>
  <c r="Z98" i="26"/>
  <c r="M98" i="26"/>
  <c r="L98" i="26"/>
  <c r="A98" i="26"/>
  <c r="AC95" i="26"/>
  <c r="Z95" i="26"/>
  <c r="M95" i="26"/>
  <c r="L95" i="26"/>
  <c r="A95" i="26"/>
  <c r="AC57" i="26"/>
  <c r="AA57" i="26"/>
  <c r="AB57" i="26" s="1"/>
  <c r="Z57" i="26"/>
  <c r="M57" i="26"/>
  <c r="L57" i="26"/>
  <c r="A57" i="26"/>
  <c r="AC55" i="26"/>
  <c r="AA55" i="26"/>
  <c r="AB55" i="26" s="1"/>
  <c r="Z55" i="26"/>
  <c r="M55" i="26"/>
  <c r="L55" i="26"/>
  <c r="A55" i="26"/>
  <c r="AC89" i="26"/>
  <c r="AA89" i="26"/>
  <c r="AB89" i="26" s="1"/>
  <c r="Z89" i="26"/>
  <c r="M89" i="26"/>
  <c r="L89" i="26"/>
  <c r="A89" i="26"/>
  <c r="AC88" i="26"/>
  <c r="AA88" i="26"/>
  <c r="AB88" i="26" s="1"/>
  <c r="Z88" i="26"/>
  <c r="M88" i="26"/>
  <c r="L88" i="26"/>
  <c r="A88" i="26"/>
  <c r="AC87" i="26"/>
  <c r="AA87" i="26"/>
  <c r="AB87" i="26" s="1"/>
  <c r="Z87" i="26"/>
  <c r="M87" i="26"/>
  <c r="L87" i="26"/>
  <c r="A87" i="26"/>
  <c r="AC100" i="26"/>
  <c r="AB100" i="26"/>
  <c r="Z100" i="26"/>
  <c r="M100" i="26"/>
  <c r="L100" i="26"/>
  <c r="A100" i="26"/>
  <c r="AC85" i="26"/>
  <c r="AB85" i="26"/>
  <c r="Z85" i="26"/>
  <c r="M85" i="26"/>
  <c r="L85" i="26"/>
  <c r="A85" i="26"/>
  <c r="AC107" i="26"/>
  <c r="AB107" i="26"/>
  <c r="Z107" i="26"/>
  <c r="M107" i="26"/>
  <c r="L107" i="26"/>
  <c r="A107" i="26"/>
  <c r="AC104" i="26"/>
  <c r="AB104" i="26"/>
  <c r="Z104" i="26"/>
  <c r="M104" i="26"/>
  <c r="L104" i="26"/>
  <c r="A104" i="26"/>
  <c r="AC105" i="26"/>
  <c r="AA105" i="26"/>
  <c r="AB105" i="26" s="1"/>
  <c r="Z105" i="26"/>
  <c r="M105" i="26"/>
  <c r="L105" i="26"/>
  <c r="A105" i="26"/>
  <c r="AC102" i="26"/>
  <c r="AA102" i="26"/>
  <c r="AB102" i="26" s="1"/>
  <c r="Z102" i="26"/>
  <c r="M102" i="26"/>
  <c r="L102" i="26"/>
  <c r="A102" i="26"/>
  <c r="AC77" i="26"/>
  <c r="AA77" i="26"/>
  <c r="AB77" i="26" s="1"/>
  <c r="Z77" i="26"/>
  <c r="M77" i="26"/>
  <c r="L77" i="26"/>
  <c r="A77" i="26"/>
  <c r="AC76" i="26"/>
  <c r="AB76" i="26"/>
  <c r="Z76" i="26"/>
  <c r="M76" i="26"/>
  <c r="L76" i="26"/>
  <c r="A76" i="26"/>
  <c r="AC106" i="26"/>
  <c r="AB106" i="26"/>
  <c r="Z106" i="26"/>
  <c r="M106" i="26"/>
  <c r="L106" i="26"/>
  <c r="A106" i="26"/>
  <c r="AC74" i="26"/>
  <c r="AB74" i="26"/>
  <c r="Z74" i="26"/>
  <c r="M74" i="26"/>
  <c r="L74" i="26"/>
  <c r="A74" i="26"/>
  <c r="AC72" i="26"/>
  <c r="AA72" i="26"/>
  <c r="AB72" i="26" s="1"/>
  <c r="Z72" i="26"/>
  <c r="M72" i="26"/>
  <c r="L72" i="26"/>
  <c r="A72" i="26"/>
  <c r="AC71" i="26"/>
  <c r="AA71" i="26"/>
  <c r="AB71" i="26" s="1"/>
  <c r="Z71" i="26"/>
  <c r="M71" i="26"/>
  <c r="L71" i="26"/>
  <c r="A71" i="26"/>
  <c r="AC91" i="26"/>
  <c r="AA91" i="26"/>
  <c r="AB91" i="26" s="1"/>
  <c r="Z91" i="26"/>
  <c r="M91" i="26"/>
  <c r="L91" i="26"/>
  <c r="A91" i="26"/>
  <c r="AC86" i="26"/>
  <c r="Z86" i="26"/>
  <c r="M86" i="26"/>
  <c r="L86" i="26"/>
  <c r="A86" i="26"/>
  <c r="AC78" i="26"/>
  <c r="AA78" i="26"/>
  <c r="AB78" i="26" s="1"/>
  <c r="Z78" i="26"/>
  <c r="M78" i="26"/>
  <c r="L78" i="26"/>
  <c r="A78" i="26"/>
  <c r="AC69" i="26"/>
  <c r="AB69" i="26"/>
  <c r="Z69" i="26"/>
  <c r="M69" i="26"/>
  <c r="L69" i="26"/>
  <c r="A69" i="26"/>
  <c r="AC53" i="26"/>
  <c r="AB53" i="26"/>
  <c r="Z53" i="26"/>
  <c r="M53" i="26"/>
  <c r="L53" i="26"/>
  <c r="A53" i="26"/>
  <c r="AC67" i="26"/>
  <c r="AA67" i="26"/>
  <c r="AB67" i="26" s="1"/>
  <c r="Z67" i="26"/>
  <c r="M67" i="26"/>
  <c r="L67" i="26"/>
  <c r="A67" i="26"/>
  <c r="AC50" i="26"/>
  <c r="AA50" i="26"/>
  <c r="AB50" i="26" s="1"/>
  <c r="Z50" i="26"/>
  <c r="M50" i="26"/>
  <c r="L50" i="26"/>
  <c r="A50" i="26"/>
  <c r="AC45" i="26"/>
  <c r="AB45" i="26"/>
  <c r="Z45" i="26"/>
  <c r="M45" i="26"/>
  <c r="L45" i="26"/>
  <c r="A45" i="26"/>
  <c r="AC44" i="26"/>
  <c r="AB44" i="26"/>
  <c r="Z44" i="26"/>
  <c r="M44" i="26"/>
  <c r="L44" i="26"/>
  <c r="A44" i="26"/>
  <c r="AC43" i="26"/>
  <c r="AB43" i="26"/>
  <c r="Z43" i="26"/>
  <c r="M43" i="26"/>
  <c r="L43" i="26"/>
  <c r="A43" i="26"/>
  <c r="AC41" i="26"/>
  <c r="AB41" i="26"/>
  <c r="Z41" i="26"/>
  <c r="M41" i="26"/>
  <c r="L41" i="26"/>
  <c r="A41" i="26"/>
  <c r="AC40" i="26"/>
  <c r="AB40" i="26"/>
  <c r="Z40" i="26"/>
  <c r="M40" i="26"/>
  <c r="L40" i="26"/>
  <c r="A40" i="26"/>
  <c r="AC39" i="26"/>
  <c r="AB39" i="26"/>
  <c r="Z39" i="26"/>
  <c r="M39" i="26"/>
  <c r="L39" i="26"/>
  <c r="A39" i="26"/>
  <c r="AC38" i="26"/>
  <c r="AB38" i="26"/>
  <c r="Z38" i="26"/>
  <c r="M38" i="26"/>
  <c r="L38" i="26"/>
  <c r="A38" i="26"/>
  <c r="AC36" i="26"/>
  <c r="AB36" i="26"/>
  <c r="Z36" i="26"/>
  <c r="M36" i="26"/>
  <c r="L36" i="26"/>
  <c r="A36" i="26"/>
  <c r="AC33" i="26"/>
  <c r="AB33" i="26"/>
  <c r="Z33" i="26"/>
  <c r="M33" i="26"/>
  <c r="L33" i="26"/>
  <c r="A33" i="26"/>
  <c r="AC32" i="26"/>
  <c r="AB32" i="26"/>
  <c r="Z32" i="26"/>
  <c r="M32" i="26"/>
  <c r="L32" i="26"/>
  <c r="A32" i="26"/>
  <c r="AC31" i="26"/>
  <c r="AB31" i="26"/>
  <c r="Z31" i="26"/>
  <c r="M31" i="26"/>
  <c r="L31" i="26"/>
  <c r="A31" i="26"/>
  <c r="AC30" i="26"/>
  <c r="AB30" i="26"/>
  <c r="Z30" i="26"/>
  <c r="M30" i="26"/>
  <c r="L30" i="26"/>
  <c r="A30" i="26"/>
  <c r="AC29" i="26"/>
  <c r="AB29" i="26"/>
  <c r="Z29" i="26"/>
  <c r="M29" i="26"/>
  <c r="L29" i="26"/>
  <c r="A29" i="26"/>
  <c r="AC24" i="26"/>
  <c r="AB24" i="26"/>
  <c r="Z24" i="26"/>
  <c r="M24" i="26"/>
  <c r="L24" i="26"/>
  <c r="A24" i="26"/>
  <c r="AC17" i="26"/>
  <c r="AB17" i="26"/>
  <c r="Z17" i="26"/>
  <c r="M17" i="26"/>
  <c r="L17" i="26"/>
  <c r="A17" i="26"/>
  <c r="AC10" i="26"/>
  <c r="AB10" i="26"/>
  <c r="Z10" i="26"/>
  <c r="M10" i="26"/>
  <c r="L10" i="26"/>
  <c r="A10" i="26"/>
  <c r="AC42" i="26"/>
  <c r="AB42" i="26"/>
  <c r="Z42" i="26"/>
  <c r="M42" i="26"/>
  <c r="L42" i="26"/>
  <c r="A42" i="26"/>
  <c r="AC37" i="26"/>
  <c r="AB37" i="26"/>
  <c r="Z37" i="26"/>
  <c r="M37" i="26"/>
  <c r="L37" i="26"/>
  <c r="A37" i="26"/>
  <c r="AC35" i="26"/>
  <c r="AB35" i="26"/>
  <c r="Z35" i="26"/>
  <c r="M35" i="26"/>
  <c r="L35" i="26"/>
  <c r="A35" i="26"/>
  <c r="AC34" i="26"/>
  <c r="AB34" i="26"/>
  <c r="Z34" i="26"/>
  <c r="M34" i="26"/>
  <c r="L34" i="26"/>
  <c r="A34" i="26"/>
  <c r="AC28" i="26"/>
  <c r="AB28" i="26"/>
  <c r="Z28" i="26"/>
  <c r="M28" i="26"/>
  <c r="L28" i="26"/>
  <c r="A28" i="26"/>
  <c r="AC27" i="26"/>
  <c r="AB27" i="26"/>
  <c r="Z27" i="26"/>
  <c r="M27" i="26"/>
  <c r="L27" i="26"/>
  <c r="A27" i="26"/>
  <c r="AC20" i="26"/>
  <c r="AB20" i="26"/>
  <c r="Z20" i="26"/>
  <c r="M20" i="26"/>
  <c r="L20" i="26"/>
  <c r="A20" i="26"/>
  <c r="AC18" i="26"/>
  <c r="AB18" i="26"/>
  <c r="Z18" i="26"/>
  <c r="M18" i="26"/>
  <c r="L18" i="26"/>
  <c r="A18" i="26"/>
  <c r="AC12" i="26"/>
  <c r="AB12" i="26"/>
  <c r="Z12" i="26"/>
  <c r="M12" i="26"/>
  <c r="L12" i="26"/>
  <c r="A12" i="26"/>
  <c r="AC11" i="26"/>
  <c r="AB11" i="26"/>
  <c r="Z11" i="26"/>
  <c r="M11" i="26"/>
  <c r="L11" i="26"/>
  <c r="A11" i="26"/>
  <c r="AC48" i="26"/>
  <c r="AB48" i="26"/>
  <c r="Z48" i="26"/>
  <c r="M48" i="26"/>
  <c r="L48" i="26"/>
  <c r="A48" i="26"/>
  <c r="AC47" i="26"/>
  <c r="AB47" i="26"/>
  <c r="Z47" i="26"/>
  <c r="M47" i="26"/>
  <c r="L47" i="26"/>
  <c r="A47" i="26"/>
  <c r="AC46" i="26"/>
  <c r="AB46" i="26"/>
  <c r="Z46" i="26"/>
  <c r="M46" i="26"/>
  <c r="L46" i="26"/>
  <c r="A46" i="26"/>
  <c r="AC26" i="26"/>
  <c r="AB26" i="26"/>
  <c r="Z26" i="26"/>
  <c r="M26" i="26"/>
  <c r="L26" i="26"/>
  <c r="A26" i="26"/>
  <c r="AC25" i="26"/>
  <c r="AB25" i="26"/>
  <c r="Z25" i="26"/>
  <c r="M25" i="26"/>
  <c r="L25" i="26"/>
  <c r="A25" i="26"/>
  <c r="AC23" i="26"/>
  <c r="AB23" i="26"/>
  <c r="Z23" i="26"/>
  <c r="M23" i="26"/>
  <c r="L23" i="26"/>
  <c r="A23" i="26"/>
  <c r="AC22" i="26"/>
  <c r="AB22" i="26"/>
  <c r="Z22" i="26"/>
  <c r="M22" i="26"/>
  <c r="L22" i="26"/>
  <c r="A22" i="26"/>
  <c r="AC21" i="26"/>
  <c r="AB21" i="26"/>
  <c r="Z21" i="26"/>
  <c r="M21" i="26"/>
  <c r="L21" i="26"/>
  <c r="A21" i="26"/>
  <c r="AC19" i="26"/>
  <c r="AB19" i="26"/>
  <c r="Z19" i="26"/>
  <c r="M19" i="26"/>
  <c r="L19" i="26"/>
  <c r="A19" i="26"/>
  <c r="AC16" i="26"/>
  <c r="AB16" i="26"/>
  <c r="Z16" i="26"/>
  <c r="M16" i="26"/>
  <c r="L16" i="26"/>
  <c r="A16" i="26"/>
  <c r="AC15" i="26"/>
  <c r="AB15" i="26"/>
  <c r="Z15" i="26"/>
  <c r="M15" i="26"/>
  <c r="L15" i="26"/>
  <c r="A15" i="26"/>
  <c r="AC14" i="26"/>
  <c r="AB14" i="26"/>
  <c r="Z14" i="26"/>
  <c r="M14" i="26"/>
  <c r="L14" i="26"/>
  <c r="A14" i="26"/>
  <c r="AC13" i="26"/>
  <c r="AB13" i="26"/>
  <c r="Z13" i="26"/>
  <c r="M13" i="26"/>
  <c r="L13" i="26"/>
  <c r="A13" i="26"/>
  <c r="AC8" i="26"/>
  <c r="AB8" i="26"/>
  <c r="Z8" i="26"/>
  <c r="M8" i="26"/>
  <c r="L8" i="26"/>
  <c r="A8" i="26"/>
  <c r="AC49" i="26"/>
  <c r="AB49" i="26"/>
  <c r="Z49" i="26"/>
  <c r="L49" i="26"/>
  <c r="A49" i="26"/>
  <c r="AC9" i="26"/>
  <c r="AB9" i="26"/>
  <c r="Z9" i="26"/>
  <c r="M9" i="26"/>
  <c r="L9" i="26"/>
  <c r="A9" i="26"/>
  <c r="AC7" i="26"/>
  <c r="AA7" i="26"/>
  <c r="AB7" i="26" s="1"/>
  <c r="Z7" i="26"/>
  <c r="M7" i="26"/>
  <c r="L7" i="26"/>
  <c r="A7" i="26"/>
  <c r="AC6" i="26"/>
  <c r="AA6" i="26"/>
  <c r="AB6" i="26" s="1"/>
  <c r="Z6" i="26"/>
  <c r="M6" i="26"/>
  <c r="L6" i="26"/>
  <c r="A6" i="26"/>
  <c r="AC5" i="26"/>
  <c r="AA5" i="26"/>
  <c r="AB5" i="26" s="1"/>
  <c r="Z5" i="26"/>
  <c r="M5" i="26"/>
  <c r="L5" i="26"/>
  <c r="A5" i="26"/>
  <c r="Y3" i="26"/>
  <c r="X3" i="26"/>
  <c r="A45" i="9"/>
  <c r="AB45" i="9"/>
  <c r="AC45" i="9"/>
  <c r="A16" i="9"/>
  <c r="M16" i="9"/>
  <c r="AB16" i="9"/>
  <c r="AC16" i="9"/>
  <c r="A14" i="9"/>
  <c r="AB14" i="9"/>
  <c r="M14" i="9"/>
  <c r="O2" i="9"/>
  <c r="AF45" i="9" l="1"/>
  <c r="AF14" i="9"/>
  <c r="AF16" i="9"/>
  <c r="AC14" i="9"/>
  <c r="M17" i="9" l="1"/>
  <c r="A17" i="9"/>
  <c r="AB17" i="9"/>
  <c r="AC17" i="9"/>
  <c r="AC28" i="9"/>
  <c r="AC34" i="9"/>
  <c r="AC38" i="9"/>
  <c r="AC41" i="9"/>
  <c r="AC18" i="9"/>
  <c r="A28" i="9"/>
  <c r="A34" i="9"/>
  <c r="A38" i="9"/>
  <c r="A41" i="9"/>
  <c r="A18" i="9"/>
  <c r="M28" i="9"/>
  <c r="M34" i="9"/>
  <c r="M38" i="9"/>
  <c r="M41" i="9"/>
  <c r="M18" i="9"/>
  <c r="AB28" i="9"/>
  <c r="AB34" i="9"/>
  <c r="AB38" i="9"/>
  <c r="AB41" i="9"/>
  <c r="AB18" i="9"/>
  <c r="M29" i="9"/>
  <c r="M31" i="9"/>
  <c r="M32" i="9"/>
  <c r="M33" i="9"/>
  <c r="M37" i="9"/>
  <c r="M144" i="9"/>
  <c r="M39" i="9"/>
  <c r="M40" i="9"/>
  <c r="M42" i="9"/>
  <c r="M43" i="9"/>
  <c r="M44" i="9"/>
  <c r="M46" i="9"/>
  <c r="M47" i="9"/>
  <c r="M48" i="9"/>
  <c r="M49" i="9"/>
  <c r="M50" i="9"/>
  <c r="M51" i="9"/>
  <c r="M53" i="9"/>
  <c r="M52" i="9"/>
  <c r="M55" i="9"/>
  <c r="M54" i="9"/>
  <c r="M56" i="9"/>
  <c r="M59" i="9"/>
  <c r="M57" i="9"/>
  <c r="M58" i="9"/>
  <c r="M60" i="9"/>
  <c r="M61" i="9"/>
  <c r="M62" i="9"/>
  <c r="M63" i="9"/>
  <c r="M64" i="9"/>
  <c r="M65" i="9"/>
  <c r="M66" i="9"/>
  <c r="M67" i="9"/>
  <c r="M68" i="9"/>
  <c r="M70" i="9"/>
  <c r="M69" i="9"/>
  <c r="M71" i="9"/>
  <c r="M73" i="9"/>
  <c r="M72" i="9"/>
  <c r="M74" i="9"/>
  <c r="M75" i="9"/>
  <c r="M76" i="9"/>
  <c r="M77" i="9"/>
  <c r="M78" i="9"/>
  <c r="M80" i="9"/>
  <c r="M81" i="9"/>
  <c r="M82" i="9"/>
  <c r="M84" i="9"/>
  <c r="M83" i="9"/>
  <c r="M87" i="9"/>
  <c r="M88" i="9"/>
  <c r="M86" i="9"/>
  <c r="M85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9" i="9"/>
  <c r="M110" i="9"/>
  <c r="M106" i="9"/>
  <c r="M107" i="9"/>
  <c r="M108" i="9"/>
  <c r="M111" i="9"/>
  <c r="M112" i="9"/>
  <c r="M114" i="9"/>
  <c r="M113" i="9"/>
  <c r="M116" i="9"/>
  <c r="M118" i="9"/>
  <c r="M117" i="9"/>
  <c r="M120" i="9"/>
  <c r="M121" i="9"/>
  <c r="M122" i="9"/>
  <c r="M123" i="9"/>
  <c r="L286" i="2"/>
  <c r="L291" i="2"/>
  <c r="L260" i="2"/>
  <c r="L2089" i="2"/>
  <c r="L2090" i="2"/>
  <c r="L280" i="2"/>
  <c r="L281" i="2"/>
  <c r="L255" i="2"/>
  <c r="L287" i="2"/>
  <c r="L288" i="2"/>
  <c r="L261" i="2"/>
  <c r="L282" i="2"/>
  <c r="L283" i="2"/>
  <c r="L249" i="2"/>
  <c r="L2152" i="2"/>
  <c r="L2153" i="2"/>
  <c r="L2154" i="2"/>
  <c r="L2137" i="2"/>
  <c r="L2138" i="2"/>
  <c r="L2200" i="2"/>
  <c r="L2201" i="2"/>
  <c r="L2219" i="2"/>
  <c r="L2220" i="2"/>
  <c r="L2244" i="2"/>
  <c r="L801" i="2"/>
  <c r="L924" i="2"/>
  <c r="L436" i="2"/>
  <c r="L982" i="2"/>
  <c r="L1135" i="2"/>
  <c r="L1090" i="2"/>
  <c r="L1042" i="2"/>
  <c r="L1158" i="2"/>
  <c r="L1186" i="2"/>
  <c r="L1187" i="2"/>
  <c r="L1188" i="2"/>
  <c r="L299" i="2"/>
  <c r="L300" i="2"/>
  <c r="L1406" i="2"/>
  <c r="L1392" i="2"/>
  <c r="L1393" i="2"/>
  <c r="L1234" i="2"/>
  <c r="L1394" i="2"/>
  <c r="L1405" i="2"/>
  <c r="L1490" i="2"/>
  <c r="L1512" i="2"/>
  <c r="L666" i="2"/>
  <c r="L667" i="2"/>
  <c r="L2528" i="2"/>
  <c r="L2530" i="2"/>
  <c r="L2531" i="2"/>
  <c r="L2532" i="2"/>
  <c r="L2538" i="2"/>
  <c r="L2539" i="2"/>
  <c r="L2540" i="2"/>
  <c r="L2547" i="2"/>
  <c r="L2548" i="2"/>
  <c r="L2557" i="2"/>
  <c r="L418" i="2"/>
  <c r="L1699" i="2"/>
  <c r="L746" i="2"/>
  <c r="L779" i="2"/>
  <c r="L781" i="2"/>
  <c r="L2565" i="2"/>
  <c r="L2566" i="2"/>
  <c r="L1283" i="2"/>
  <c r="L676" i="2"/>
  <c r="L2576" i="2"/>
  <c r="L2577" i="2"/>
  <c r="L2578" i="2"/>
  <c r="L1790" i="2"/>
  <c r="L1815" i="2"/>
  <c r="L1812" i="2"/>
  <c r="L2591" i="2"/>
  <c r="L2592" i="2"/>
  <c r="L1852" i="2"/>
  <c r="L1862" i="2"/>
  <c r="L1863" i="2"/>
  <c r="L1906" i="2"/>
  <c r="L1955" i="2"/>
  <c r="L1956" i="2"/>
  <c r="L1957" i="2"/>
  <c r="L1958" i="2"/>
  <c r="L1959" i="2"/>
  <c r="L1960" i="2"/>
  <c r="L1961" i="2"/>
  <c r="L2481" i="2"/>
  <c r="L1998" i="2"/>
  <c r="L2028" i="2"/>
  <c r="L2036" i="2"/>
  <c r="L2074" i="2"/>
  <c r="L2058" i="2"/>
  <c r="L1864" i="2"/>
  <c r="L1921" i="2"/>
  <c r="L1922" i="2"/>
  <c r="L1923" i="2"/>
  <c r="L1924" i="2"/>
  <c r="L1925" i="2"/>
  <c r="L1926" i="2"/>
  <c r="L2605" i="2"/>
  <c r="L2606" i="2"/>
  <c r="L1770" i="2"/>
  <c r="L802" i="2"/>
  <c r="L877" i="2"/>
  <c r="L1012" i="2"/>
  <c r="L463" i="2"/>
  <c r="L464" i="2"/>
  <c r="L1043" i="2"/>
  <c r="L1107" i="2"/>
  <c r="L1159" i="2"/>
  <c r="L301" i="2"/>
  <c r="L1331" i="2"/>
  <c r="L1407" i="2"/>
  <c r="L1408" i="2"/>
  <c r="L1448" i="2"/>
  <c r="L1459" i="2"/>
  <c r="L513" i="2"/>
  <c r="L514" i="2"/>
  <c r="L1257" i="2"/>
  <c r="L1327" i="2"/>
  <c r="L573" i="2"/>
  <c r="L636" i="2"/>
  <c r="L727" i="2"/>
  <c r="L1652" i="2"/>
  <c r="L1653" i="2"/>
  <c r="L1654" i="2"/>
  <c r="L612" i="2"/>
  <c r="L613" i="2"/>
  <c r="L419" i="2"/>
  <c r="L420" i="2"/>
  <c r="L774" i="2"/>
  <c r="L1743" i="2"/>
  <c r="L677" i="2"/>
  <c r="L1786" i="2"/>
  <c r="L1607" i="2"/>
  <c r="L1608" i="2"/>
  <c r="L1787" i="2"/>
  <c r="L1795" i="2"/>
  <c r="L1626" i="2"/>
  <c r="L1632" i="2"/>
  <c r="L1643" i="2"/>
  <c r="L1888" i="2"/>
  <c r="L1865" i="2"/>
  <c r="L2093" i="2"/>
  <c r="L2094" i="2"/>
  <c r="L2128" i="2"/>
  <c r="L2129" i="2"/>
  <c r="L2139" i="2"/>
  <c r="L2140" i="2"/>
  <c r="L2160" i="2"/>
  <c r="L2182" i="2"/>
  <c r="L2183" i="2"/>
  <c r="L2184" i="2"/>
  <c r="L2192" i="2"/>
  <c r="L2214" i="2"/>
  <c r="L2237" i="2"/>
  <c r="L2221" i="2"/>
  <c r="L2230" i="2"/>
  <c r="L824" i="2"/>
  <c r="L936" i="2"/>
  <c r="L457" i="2"/>
  <c r="L484" i="2"/>
  <c r="L1146" i="2"/>
  <c r="L1074" i="2"/>
  <c r="L1061" i="2"/>
  <c r="L1165" i="2"/>
  <c r="L367" i="2"/>
  <c r="L316" i="2"/>
  <c r="L317" i="2"/>
  <c r="L407" i="2"/>
  <c r="L1365" i="2"/>
  <c r="L1382" i="2"/>
  <c r="L1383" i="2"/>
  <c r="L1242" i="2"/>
  <c r="L977" i="2"/>
  <c r="L1517" i="2"/>
  <c r="L1602" i="2"/>
  <c r="L1575" i="2"/>
  <c r="L1597" i="2"/>
  <c r="L522" i="2"/>
  <c r="L1564" i="2"/>
  <c r="L557" i="2"/>
  <c r="L581" i="2"/>
  <c r="L590" i="2"/>
  <c r="L728" i="2"/>
  <c r="L1659" i="2"/>
  <c r="L1679" i="2"/>
  <c r="L1687" i="2"/>
  <c r="L1680" i="2"/>
  <c r="L617" i="2"/>
  <c r="L1697" i="2"/>
  <c r="L430" i="2"/>
  <c r="L747" i="2"/>
  <c r="L780" i="2"/>
  <c r="L787" i="2"/>
  <c r="L712" i="2"/>
  <c r="L1303" i="2"/>
  <c r="L1706" i="2"/>
  <c r="L687" i="2"/>
  <c r="L1766" i="2"/>
  <c r="L1609" i="2"/>
  <c r="L1808" i="2"/>
  <c r="L1809" i="2"/>
  <c r="L1788" i="2"/>
  <c r="L1799" i="2"/>
  <c r="L1637" i="2"/>
  <c r="L1816" i="2"/>
  <c r="L1813" i="2"/>
  <c r="L1827" i="2"/>
  <c r="L1621" i="2"/>
  <c r="L1853" i="2"/>
  <c r="L1866" i="2"/>
  <c r="L1850" i="2"/>
  <c r="L1915" i="2"/>
  <c r="L2603" i="2"/>
  <c r="L2608" i="2"/>
  <c r="L2609" i="2"/>
  <c r="L2610" i="2"/>
  <c r="L2613" i="2"/>
  <c r="L2623" i="2"/>
  <c r="L2624" i="2"/>
  <c r="L381" i="2"/>
  <c r="L2002" i="2"/>
  <c r="L2042" i="2"/>
  <c r="L2075" i="2"/>
  <c r="L2067" i="2"/>
  <c r="L1898" i="2"/>
  <c r="L207" i="2"/>
  <c r="L2600" i="2"/>
  <c r="L2601" i="2"/>
  <c r="L2604" i="2"/>
  <c r="L2611" i="2"/>
  <c r="L2612" i="2"/>
  <c r="L2614" i="2"/>
  <c r="L382" i="2"/>
  <c r="L825" i="2"/>
  <c r="L886" i="2"/>
  <c r="L937" i="2"/>
  <c r="L476" i="2"/>
  <c r="L983" i="2"/>
  <c r="L1028" i="2"/>
  <c r="L1063" i="2"/>
  <c r="L1166" i="2"/>
  <c r="L315" i="2"/>
  <c r="L318" i="2"/>
  <c r="L1345" i="2"/>
  <c r="L1428" i="2"/>
  <c r="L1429" i="2"/>
  <c r="L1430" i="2"/>
  <c r="L1467" i="2"/>
  <c r="L1373" i="2"/>
  <c r="L953" i="2"/>
  <c r="L1596" i="2"/>
  <c r="L1576" i="2"/>
  <c r="L512" i="2"/>
  <c r="L1252" i="2"/>
  <c r="L1305" i="2"/>
  <c r="L1319" i="2"/>
  <c r="L582" i="2"/>
  <c r="L591" i="2"/>
  <c r="L641" i="2"/>
  <c r="L1656" i="2"/>
  <c r="L1661" i="2"/>
  <c r="L1685" i="2"/>
  <c r="L618" i="2"/>
  <c r="L1273" i="2"/>
  <c r="L1730" i="2"/>
  <c r="L1746" i="2"/>
  <c r="L1610" i="2"/>
  <c r="L1611" i="2"/>
  <c r="L1612" i="2"/>
  <c r="L1797" i="2"/>
  <c r="L1791" i="2"/>
  <c r="L1629" i="2"/>
  <c r="L1889" i="2"/>
  <c r="L1899" i="2"/>
  <c r="L1920" i="2"/>
  <c r="L208" i="2"/>
  <c r="L2076" i="2"/>
  <c r="L2098" i="2"/>
  <c r="L2107" i="2"/>
  <c r="L2353" i="2"/>
  <c r="L2354" i="2"/>
  <c r="L2403" i="2"/>
  <c r="L2409" i="2"/>
  <c r="L2410" i="2"/>
  <c r="L2345" i="2"/>
  <c r="L2346" i="2"/>
  <c r="L2347" i="2"/>
  <c r="L2349" i="2"/>
  <c r="L2364" i="2"/>
  <c r="L516" i="2"/>
  <c r="L2368" i="2"/>
  <c r="L2369" i="2"/>
  <c r="L2370" i="2"/>
  <c r="L2475" i="2"/>
  <c r="L2476" i="2"/>
  <c r="L2473" i="2"/>
  <c r="L2474" i="2"/>
  <c r="L175" i="2"/>
  <c r="L176" i="2"/>
  <c r="L1511" i="2"/>
  <c r="L2327" i="2"/>
  <c r="L2328" i="2"/>
  <c r="Y80" i="24"/>
  <c r="J80" i="24"/>
  <c r="N80" i="24" s="1"/>
  <c r="Y79" i="24"/>
  <c r="J79" i="24"/>
  <c r="N79" i="24" s="1"/>
  <c r="Y78" i="24"/>
  <c r="J78" i="24"/>
  <c r="N78" i="24" s="1"/>
  <c r="Y77" i="24"/>
  <c r="J77" i="24"/>
  <c r="N77" i="24" s="1"/>
  <c r="Y76" i="24"/>
  <c r="J76" i="24"/>
  <c r="N76" i="24" s="1"/>
  <c r="Y75" i="24"/>
  <c r="J75" i="24"/>
  <c r="N75" i="24" s="1"/>
  <c r="Y73" i="24"/>
  <c r="J73" i="24"/>
  <c r="N73" i="24" s="1"/>
  <c r="Y74" i="24"/>
  <c r="J74" i="24"/>
  <c r="N74" i="24" s="1"/>
  <c r="Y72" i="24"/>
  <c r="J72" i="24"/>
  <c r="N72" i="24" s="1"/>
  <c r="Y71" i="24"/>
  <c r="J71" i="24"/>
  <c r="N71" i="24" s="1"/>
  <c r="Y70" i="24"/>
  <c r="J70" i="24"/>
  <c r="N70" i="24" s="1"/>
  <c r="Y69" i="24"/>
  <c r="J69" i="24"/>
  <c r="N69" i="24" s="1"/>
  <c r="Y68" i="24"/>
  <c r="J68" i="24"/>
  <c r="N68" i="24" s="1"/>
  <c r="Y67" i="24"/>
  <c r="J67" i="24"/>
  <c r="N67" i="24" s="1"/>
  <c r="Y66" i="24"/>
  <c r="J66" i="24"/>
  <c r="N66" i="24" s="1"/>
  <c r="Y65" i="24"/>
  <c r="J65" i="24"/>
  <c r="N65" i="24" s="1"/>
  <c r="Y64" i="24"/>
  <c r="J64" i="24"/>
  <c r="N64" i="24" s="1"/>
  <c r="Y63" i="24"/>
  <c r="J63" i="24"/>
  <c r="N63" i="24" s="1"/>
  <c r="Y62" i="24"/>
  <c r="J62" i="24"/>
  <c r="N62" i="24" s="1"/>
  <c r="Y60" i="24"/>
  <c r="J60" i="24"/>
  <c r="N60" i="24" s="1"/>
  <c r="Y61" i="24"/>
  <c r="J61" i="24"/>
  <c r="N61" i="24" s="1"/>
  <c r="Y59" i="24"/>
  <c r="J59" i="24"/>
  <c r="N59" i="24" s="1"/>
  <c r="Y58" i="24"/>
  <c r="J58" i="24"/>
  <c r="N58" i="24" s="1"/>
  <c r="Y57" i="24"/>
  <c r="J57" i="24"/>
  <c r="N57" i="24" s="1"/>
  <c r="Y55" i="24"/>
  <c r="J55" i="24"/>
  <c r="N55" i="24" s="1"/>
  <c r="Y56" i="24"/>
  <c r="J56" i="24"/>
  <c r="N56" i="24" s="1"/>
  <c r="Y53" i="24"/>
  <c r="J53" i="24"/>
  <c r="N53" i="24" s="1"/>
  <c r="Y52" i="24"/>
  <c r="J52" i="24"/>
  <c r="N52" i="24" s="1"/>
  <c r="Y54" i="24"/>
  <c r="J54" i="24"/>
  <c r="N54" i="24" s="1"/>
  <c r="Y51" i="24"/>
  <c r="J51" i="24"/>
  <c r="N51" i="24" s="1"/>
  <c r="Y50" i="24"/>
  <c r="J50" i="24"/>
  <c r="N50" i="24" s="1"/>
  <c r="Y49" i="24"/>
  <c r="J49" i="24"/>
  <c r="N49" i="24" s="1"/>
  <c r="Y48" i="24"/>
  <c r="J48" i="24"/>
  <c r="N48" i="24" s="1"/>
  <c r="Y47" i="24"/>
  <c r="J47" i="24"/>
  <c r="N47" i="24" s="1"/>
  <c r="Y46" i="24"/>
  <c r="J46" i="24"/>
  <c r="N46" i="24" s="1"/>
  <c r="Y45" i="24"/>
  <c r="J45" i="24"/>
  <c r="N45" i="24" s="1"/>
  <c r="Y44" i="24"/>
  <c r="J44" i="24"/>
  <c r="N44" i="24" s="1"/>
  <c r="Y43" i="24"/>
  <c r="J43" i="24"/>
  <c r="N43" i="24" s="1"/>
  <c r="Y41" i="24"/>
  <c r="J41" i="24"/>
  <c r="N41" i="24" s="1"/>
  <c r="W41" i="24" s="1"/>
  <c r="Y42" i="24"/>
  <c r="J42" i="24"/>
  <c r="N42" i="24" s="1"/>
  <c r="Y40" i="24"/>
  <c r="J40" i="24"/>
  <c r="N40" i="24" s="1"/>
  <c r="Y39" i="24"/>
  <c r="J39" i="24"/>
  <c r="N39" i="24" s="1"/>
  <c r="Y38" i="24"/>
  <c r="J38" i="24"/>
  <c r="N38" i="24" s="1"/>
  <c r="Y37" i="24"/>
  <c r="J37" i="24"/>
  <c r="N37" i="24" s="1"/>
  <c r="Y36" i="24"/>
  <c r="J36" i="24"/>
  <c r="N36" i="24" s="1"/>
  <c r="Y34" i="24"/>
  <c r="J34" i="24"/>
  <c r="N34" i="24" s="1"/>
  <c r="Y35" i="24"/>
  <c r="J35" i="24"/>
  <c r="N35" i="24" s="1"/>
  <c r="Y33" i="24"/>
  <c r="J33" i="24"/>
  <c r="N33" i="24" s="1"/>
  <c r="Y32" i="24"/>
  <c r="J32" i="24"/>
  <c r="N32" i="24" s="1"/>
  <c r="Y31" i="24"/>
  <c r="J31" i="24"/>
  <c r="N31" i="24" s="1"/>
  <c r="Y30" i="24"/>
  <c r="N30" i="24"/>
  <c r="Y29" i="24"/>
  <c r="J29" i="24"/>
  <c r="N29" i="24" s="1"/>
  <c r="Y28" i="24"/>
  <c r="J28" i="24"/>
  <c r="N28" i="24" s="1"/>
  <c r="Y25" i="24"/>
  <c r="J25" i="24"/>
  <c r="N25" i="24" s="1"/>
  <c r="Y27" i="24"/>
  <c r="J27" i="24"/>
  <c r="N27" i="24" s="1"/>
  <c r="Y26" i="24"/>
  <c r="J26" i="24"/>
  <c r="N26" i="24" s="1"/>
  <c r="Y23" i="24"/>
  <c r="J23" i="24"/>
  <c r="N23" i="24" s="1"/>
  <c r="Y22" i="24"/>
  <c r="J22" i="24"/>
  <c r="N22" i="24" s="1"/>
  <c r="Y24" i="24"/>
  <c r="J24" i="24"/>
  <c r="N24" i="24" s="1"/>
  <c r="Y21" i="24"/>
  <c r="J21" i="24"/>
  <c r="N21" i="24" s="1"/>
  <c r="Y20" i="24"/>
  <c r="J20" i="24"/>
  <c r="N20" i="24" s="1"/>
  <c r="Y19" i="24"/>
  <c r="J19" i="24"/>
  <c r="N19" i="24" s="1"/>
  <c r="Y18" i="24"/>
  <c r="J18" i="24"/>
  <c r="N18" i="24" s="1"/>
  <c r="Y16" i="24"/>
  <c r="J16" i="24"/>
  <c r="N16" i="24" s="1"/>
  <c r="Y17" i="24"/>
  <c r="J17" i="24"/>
  <c r="N17" i="24" s="1"/>
  <c r="Y15" i="24"/>
  <c r="J15" i="24"/>
  <c r="N15" i="24" s="1"/>
  <c r="Y13" i="24"/>
  <c r="J13" i="24"/>
  <c r="N13" i="24" s="1"/>
  <c r="Y14" i="24"/>
  <c r="J14" i="24"/>
  <c r="N14" i="24" s="1"/>
  <c r="Y12" i="24"/>
  <c r="N12" i="24"/>
  <c r="R12" i="24" s="1"/>
  <c r="V12" i="24" s="1"/>
  <c r="X12" i="24" s="1"/>
  <c r="Y11" i="24"/>
  <c r="J11" i="24"/>
  <c r="N11" i="24" s="1"/>
  <c r="Y10" i="24"/>
  <c r="J10" i="24"/>
  <c r="N10" i="24" s="1"/>
  <c r="Y9" i="24"/>
  <c r="J9" i="24"/>
  <c r="Y8" i="24"/>
  <c r="J8" i="24"/>
  <c r="N8" i="24" s="1"/>
  <c r="W8" i="24" s="1"/>
  <c r="Y7" i="24"/>
  <c r="J7" i="24"/>
  <c r="N7" i="24" s="1"/>
  <c r="Y6" i="24"/>
  <c r="J6" i="24"/>
  <c r="N6" i="24" s="1"/>
  <c r="R6" i="24" s="1"/>
  <c r="V6" i="24" s="1"/>
  <c r="X6" i="24" s="1"/>
  <c r="AD5" i="24"/>
  <c r="AD6" i="24" s="1"/>
  <c r="AD7" i="24" s="1"/>
  <c r="AB5" i="24"/>
  <c r="AB6" i="24" s="1"/>
  <c r="AB8" i="24" s="1"/>
  <c r="AB10" i="24" s="1"/>
  <c r="AB12" i="24" s="1"/>
  <c r="Y5" i="24"/>
  <c r="J5" i="24"/>
  <c r="N5" i="24" s="1"/>
  <c r="R5" i="24" s="1"/>
  <c r="Y4" i="24"/>
  <c r="J4" i="24"/>
  <c r="N4" i="24" s="1"/>
  <c r="W4" i="24" s="1"/>
  <c r="Y3" i="24"/>
  <c r="J3" i="24"/>
  <c r="N3" i="24" s="1"/>
  <c r="E1" i="24"/>
  <c r="X81" i="23"/>
  <c r="I81" i="23"/>
  <c r="M81" i="23" s="1"/>
  <c r="A81" i="23"/>
  <c r="X80" i="23"/>
  <c r="I80" i="23"/>
  <c r="M80" i="23" s="1"/>
  <c r="A80" i="23"/>
  <c r="X63" i="23"/>
  <c r="I63" i="23"/>
  <c r="M63" i="23" s="1"/>
  <c r="A63" i="23"/>
  <c r="X59" i="23"/>
  <c r="I59" i="23"/>
  <c r="M59" i="23" s="1"/>
  <c r="A59" i="23"/>
  <c r="X7" i="23"/>
  <c r="I7" i="23"/>
  <c r="M7" i="23" s="1"/>
  <c r="A7" i="23"/>
  <c r="X78" i="23"/>
  <c r="I78" i="23"/>
  <c r="M78" i="23" s="1"/>
  <c r="A78" i="23"/>
  <c r="X77" i="23"/>
  <c r="I77" i="23"/>
  <c r="M77" i="23" s="1"/>
  <c r="A77" i="23"/>
  <c r="X76" i="23"/>
  <c r="I76" i="23"/>
  <c r="M76" i="23" s="1"/>
  <c r="A76" i="23"/>
  <c r="X73" i="23"/>
  <c r="I73" i="23"/>
  <c r="M73" i="23" s="1"/>
  <c r="A73" i="23"/>
  <c r="X72" i="23"/>
  <c r="I72" i="23"/>
  <c r="M72" i="23" s="1"/>
  <c r="A72" i="23"/>
  <c r="X68" i="23"/>
  <c r="I68" i="23"/>
  <c r="M68" i="23" s="1"/>
  <c r="A68" i="23"/>
  <c r="X65" i="23"/>
  <c r="I65" i="23"/>
  <c r="M65" i="23" s="1"/>
  <c r="A65" i="23"/>
  <c r="X6" i="23"/>
  <c r="I6" i="23"/>
  <c r="M6" i="23" s="1"/>
  <c r="A6" i="23"/>
  <c r="X62" i="23"/>
  <c r="I62" i="23"/>
  <c r="M62" i="23" s="1"/>
  <c r="A62" i="23"/>
  <c r="X61" i="23"/>
  <c r="I61" i="23"/>
  <c r="M61" i="23" s="1"/>
  <c r="A61" i="23"/>
  <c r="X55" i="23"/>
  <c r="I55" i="23"/>
  <c r="M55" i="23" s="1"/>
  <c r="A55" i="23"/>
  <c r="X54" i="23"/>
  <c r="I54" i="23"/>
  <c r="M54" i="23" s="1"/>
  <c r="A54" i="23"/>
  <c r="X53" i="23"/>
  <c r="I53" i="23"/>
  <c r="M53" i="23" s="1"/>
  <c r="A53" i="23"/>
  <c r="X52" i="23"/>
  <c r="I52" i="23"/>
  <c r="M52" i="23" s="1"/>
  <c r="A52" i="23"/>
  <c r="X43" i="23"/>
  <c r="I43" i="23"/>
  <c r="M43" i="23" s="1"/>
  <c r="A43" i="23"/>
  <c r="X42" i="23"/>
  <c r="I42" i="23"/>
  <c r="M42" i="23" s="1"/>
  <c r="A42" i="23"/>
  <c r="X38" i="23"/>
  <c r="I38" i="23"/>
  <c r="M38" i="23" s="1"/>
  <c r="A38" i="23"/>
  <c r="X37" i="23"/>
  <c r="I37" i="23"/>
  <c r="M37" i="23" s="1"/>
  <c r="A37" i="23"/>
  <c r="X41" i="23"/>
  <c r="I41" i="23"/>
  <c r="M41" i="23" s="1"/>
  <c r="A41" i="23"/>
  <c r="X36" i="23"/>
  <c r="I36" i="23"/>
  <c r="M36" i="23" s="1"/>
  <c r="A36" i="23"/>
  <c r="X35" i="23"/>
  <c r="I35" i="23"/>
  <c r="M35" i="23" s="1"/>
  <c r="A35" i="23"/>
  <c r="X34" i="23"/>
  <c r="I34" i="23"/>
  <c r="M34" i="23" s="1"/>
  <c r="A34" i="23"/>
  <c r="X33" i="23"/>
  <c r="I33" i="23"/>
  <c r="M33" i="23" s="1"/>
  <c r="A33" i="23"/>
  <c r="X31" i="23"/>
  <c r="I31" i="23"/>
  <c r="M31" i="23" s="1"/>
  <c r="A31" i="23"/>
  <c r="X29" i="23"/>
  <c r="I29" i="23"/>
  <c r="M29" i="23" s="1"/>
  <c r="A29" i="23"/>
  <c r="X28" i="23"/>
  <c r="I28" i="23"/>
  <c r="M28" i="23" s="1"/>
  <c r="A28" i="23"/>
  <c r="X21" i="23"/>
  <c r="I21" i="23"/>
  <c r="M21" i="23" s="1"/>
  <c r="A21" i="23"/>
  <c r="X20" i="23"/>
  <c r="I20" i="23"/>
  <c r="M20" i="23" s="1"/>
  <c r="A20" i="23"/>
  <c r="X18" i="23"/>
  <c r="I18" i="23"/>
  <c r="M18" i="23" s="1"/>
  <c r="A18" i="23"/>
  <c r="X17" i="23"/>
  <c r="I17" i="23"/>
  <c r="M17" i="23" s="1"/>
  <c r="A17" i="23"/>
  <c r="X13" i="23"/>
  <c r="V13" i="23"/>
  <c r="M13" i="23"/>
  <c r="Q13" i="23" s="1"/>
  <c r="U13" i="23" s="1"/>
  <c r="W13" i="23" s="1"/>
  <c r="A13" i="23"/>
  <c r="X12" i="23"/>
  <c r="I12" i="23"/>
  <c r="M12" i="23" s="1"/>
  <c r="A12" i="23"/>
  <c r="X8" i="23"/>
  <c r="I8" i="23"/>
  <c r="M8" i="23" s="1"/>
  <c r="A8" i="23"/>
  <c r="X5" i="23"/>
  <c r="G5" i="23"/>
  <c r="I5" i="23" s="1"/>
  <c r="M5" i="23" s="1"/>
  <c r="A5" i="23"/>
  <c r="X4" i="23"/>
  <c r="I4" i="23"/>
  <c r="M4" i="23" s="1"/>
  <c r="A4" i="23"/>
  <c r="X79" i="23"/>
  <c r="I79" i="23"/>
  <c r="M79" i="23" s="1"/>
  <c r="A79" i="23"/>
  <c r="X75" i="23"/>
  <c r="I75" i="23"/>
  <c r="M75" i="23" s="1"/>
  <c r="A75" i="23"/>
  <c r="X74" i="23"/>
  <c r="I74" i="23"/>
  <c r="M74" i="23" s="1"/>
  <c r="A74" i="23"/>
  <c r="X71" i="23"/>
  <c r="I71" i="23"/>
  <c r="M71" i="23" s="1"/>
  <c r="A71" i="23"/>
  <c r="X70" i="23"/>
  <c r="I70" i="23"/>
  <c r="M70" i="23" s="1"/>
  <c r="A70" i="23"/>
  <c r="X69" i="23"/>
  <c r="I69" i="23"/>
  <c r="M69" i="23" s="1"/>
  <c r="A69" i="23"/>
  <c r="X67" i="23"/>
  <c r="I67" i="23"/>
  <c r="M67" i="23" s="1"/>
  <c r="A67" i="23"/>
  <c r="X66" i="23"/>
  <c r="I66" i="23"/>
  <c r="M66" i="23" s="1"/>
  <c r="A66" i="23"/>
  <c r="X64" i="23"/>
  <c r="I64" i="23"/>
  <c r="M64" i="23" s="1"/>
  <c r="A64" i="23"/>
  <c r="X60" i="23"/>
  <c r="I60" i="23"/>
  <c r="M60" i="23" s="1"/>
  <c r="A60" i="23"/>
  <c r="X58" i="23"/>
  <c r="I58" i="23"/>
  <c r="M58" i="23" s="1"/>
  <c r="A58" i="23"/>
  <c r="X57" i="23"/>
  <c r="I57" i="23"/>
  <c r="M57" i="23" s="1"/>
  <c r="A57" i="23"/>
  <c r="X56" i="23"/>
  <c r="I56" i="23"/>
  <c r="M56" i="23" s="1"/>
  <c r="A56" i="23"/>
  <c r="X51" i="23"/>
  <c r="I51" i="23"/>
  <c r="M51" i="23" s="1"/>
  <c r="A51" i="23"/>
  <c r="X50" i="23"/>
  <c r="I50" i="23"/>
  <c r="M50" i="23" s="1"/>
  <c r="A50" i="23"/>
  <c r="X49" i="23"/>
  <c r="I49" i="23"/>
  <c r="M49" i="23" s="1"/>
  <c r="A49" i="23"/>
  <c r="X48" i="23"/>
  <c r="I48" i="23"/>
  <c r="M48" i="23" s="1"/>
  <c r="A48" i="23"/>
  <c r="X47" i="23"/>
  <c r="I47" i="23"/>
  <c r="M47" i="23" s="1"/>
  <c r="A47" i="23"/>
  <c r="X46" i="23"/>
  <c r="I46" i="23"/>
  <c r="M46" i="23" s="1"/>
  <c r="A46" i="23"/>
  <c r="X45" i="23"/>
  <c r="I45" i="23"/>
  <c r="M45" i="23" s="1"/>
  <c r="A45" i="23"/>
  <c r="X44" i="23"/>
  <c r="I44" i="23"/>
  <c r="M44" i="23" s="1"/>
  <c r="A44" i="23"/>
  <c r="X40" i="23"/>
  <c r="I40" i="23"/>
  <c r="M40" i="23" s="1"/>
  <c r="A40" i="23"/>
  <c r="X39" i="23"/>
  <c r="I39" i="23"/>
  <c r="M39" i="23" s="1"/>
  <c r="A39" i="23"/>
  <c r="X32" i="23"/>
  <c r="I32" i="23"/>
  <c r="M32" i="23" s="1"/>
  <c r="A32" i="23"/>
  <c r="X30" i="23"/>
  <c r="I30" i="23"/>
  <c r="M30" i="23" s="1"/>
  <c r="A30" i="23"/>
  <c r="X27" i="23"/>
  <c r="I27" i="23"/>
  <c r="M27" i="23" s="1"/>
  <c r="A27" i="23"/>
  <c r="X26" i="23"/>
  <c r="I26" i="23"/>
  <c r="M26" i="23" s="1"/>
  <c r="A26" i="23"/>
  <c r="X25" i="23"/>
  <c r="I25" i="23"/>
  <c r="M25" i="23" s="1"/>
  <c r="A25" i="23"/>
  <c r="X24" i="23"/>
  <c r="I24" i="23"/>
  <c r="M24" i="23" s="1"/>
  <c r="A24" i="23"/>
  <c r="X23" i="23"/>
  <c r="I23" i="23"/>
  <c r="M23" i="23" s="1"/>
  <c r="A23" i="23"/>
  <c r="X22" i="23"/>
  <c r="M22" i="23"/>
  <c r="Q22" i="23" s="1"/>
  <c r="U22" i="23" s="1"/>
  <c r="W22" i="23" s="1"/>
  <c r="I22" i="23"/>
  <c r="A22" i="23"/>
  <c r="X19" i="23"/>
  <c r="I19" i="23"/>
  <c r="M19" i="23" s="1"/>
  <c r="Q19" i="23" s="1"/>
  <c r="U19" i="23" s="1"/>
  <c r="W19" i="23" s="1"/>
  <c r="A19" i="23"/>
  <c r="X16" i="23"/>
  <c r="I16" i="23"/>
  <c r="M16" i="23" s="1"/>
  <c r="A16" i="23"/>
  <c r="X15" i="23"/>
  <c r="I15" i="23"/>
  <c r="M15" i="23" s="1"/>
  <c r="V15" i="23" s="1"/>
  <c r="A15" i="23"/>
  <c r="X14" i="23"/>
  <c r="M14" i="23"/>
  <c r="V14" i="23" s="1"/>
  <c r="I14" i="23"/>
  <c r="A14" i="23"/>
  <c r="X11" i="23"/>
  <c r="M11" i="23"/>
  <c r="V11" i="23" s="1"/>
  <c r="I11" i="23"/>
  <c r="A11" i="23"/>
  <c r="AC5" i="23"/>
  <c r="AC7" i="23" s="1"/>
  <c r="AC8" i="23" s="1"/>
  <c r="AA5" i="23"/>
  <c r="AA7" i="23" s="1"/>
  <c r="AA9" i="23" s="1"/>
  <c r="AA11" i="23" s="1"/>
  <c r="AA13" i="23" s="1"/>
  <c r="X10" i="23"/>
  <c r="I10" i="23"/>
  <c r="M10" i="23" s="1"/>
  <c r="A10" i="23"/>
  <c r="X9" i="23"/>
  <c r="I9" i="23"/>
  <c r="M9" i="23" s="1"/>
  <c r="A9" i="23"/>
  <c r="X3" i="23"/>
  <c r="I3" i="23"/>
  <c r="A3" i="23"/>
  <c r="E1" i="23"/>
  <c r="M26" i="9"/>
  <c r="A26" i="9"/>
  <c r="AB26" i="9"/>
  <c r="AC26" i="9"/>
  <c r="M27" i="9"/>
  <c r="M24" i="9"/>
  <c r="M23" i="9"/>
  <c r="A27" i="9"/>
  <c r="AB27" i="9"/>
  <c r="AC27" i="9"/>
  <c r="AC1355" i="2"/>
  <c r="AC1409" i="2"/>
  <c r="AC1460" i="2"/>
  <c r="AC1461" i="2"/>
  <c r="AC2508" i="2"/>
  <c r="AC2451" i="2"/>
  <c r="AC2350" i="2"/>
  <c r="AC2351" i="2"/>
  <c r="AC1402" i="2"/>
  <c r="AC1221" i="2"/>
  <c r="AC1397" i="2"/>
  <c r="AC1185" i="2"/>
  <c r="AC2456" i="2"/>
  <c r="AC2358" i="2"/>
  <c r="AC964" i="2"/>
  <c r="AC2365" i="2"/>
  <c r="AC1522" i="2"/>
  <c r="AC1603" i="2"/>
  <c r="AC1577" i="2"/>
  <c r="AC2458" i="2"/>
  <c r="AC519" i="2"/>
  <c r="AC531" i="2"/>
  <c r="AC2366" i="2"/>
  <c r="AC2371" i="2"/>
  <c r="AC2459" i="2"/>
  <c r="AC2460" i="2"/>
  <c r="AC2461" i="2"/>
  <c r="AC2462" i="2"/>
  <c r="AC2463" i="2"/>
  <c r="AC2373" i="2"/>
  <c r="AC2378" i="2"/>
  <c r="AC2464" i="2"/>
  <c r="AC2379" i="2"/>
  <c r="AC2465" i="2"/>
  <c r="AC2466" i="2"/>
  <c r="AC2467" i="2"/>
  <c r="AC2468" i="2"/>
  <c r="AC2380" i="2"/>
  <c r="AC2469" i="2"/>
  <c r="AC2470" i="2"/>
  <c r="AC2471" i="2"/>
  <c r="AC1560" i="2"/>
  <c r="AC1735" i="2"/>
  <c r="AC1738" i="2"/>
  <c r="AC234" i="2"/>
  <c r="AC2353" i="2"/>
  <c r="AC2354" i="2"/>
  <c r="AC2128" i="2"/>
  <c r="AC2129" i="2"/>
  <c r="AC285" i="2"/>
  <c r="AC286" i="2"/>
  <c r="AC2139" i="2"/>
  <c r="AC2140" i="2"/>
  <c r="AC2152" i="2"/>
  <c r="AC2153" i="2"/>
  <c r="AC2154" i="2"/>
  <c r="AC287" i="2"/>
  <c r="AC288" i="2"/>
  <c r="AC2160" i="2"/>
  <c r="AC291" i="2"/>
  <c r="AC2137" i="2"/>
  <c r="AC2138" i="2"/>
  <c r="AC2182" i="2"/>
  <c r="AC2183" i="2"/>
  <c r="AC2184" i="2"/>
  <c r="AC2200" i="2"/>
  <c r="AC2201" i="2"/>
  <c r="AC2192" i="2"/>
  <c r="AC2214" i="2"/>
  <c r="AC2219" i="2"/>
  <c r="AC2220" i="2"/>
  <c r="AC2237" i="2"/>
  <c r="AC2221" i="2"/>
  <c r="AC2244" i="2"/>
  <c r="AC2230" i="2"/>
  <c r="AC801" i="2"/>
  <c r="AC824" i="2"/>
  <c r="AC924" i="2"/>
  <c r="AC436" i="2"/>
  <c r="AC936" i="2"/>
  <c r="AC457" i="2"/>
  <c r="AC982" i="2"/>
  <c r="AC484" i="2"/>
  <c r="AC1135" i="2"/>
  <c r="AC1090" i="2"/>
  <c r="AC1042" i="2"/>
  <c r="AC1146" i="2"/>
  <c r="AC1074" i="2"/>
  <c r="AC1061" i="2"/>
  <c r="AC1158" i="2"/>
  <c r="AC1165" i="2"/>
  <c r="AC260" i="2"/>
  <c r="AC367" i="2"/>
  <c r="AC1186" i="2"/>
  <c r="AC1187" i="2"/>
  <c r="AC1188" i="2"/>
  <c r="AC261" i="2"/>
  <c r="AC2475" i="2"/>
  <c r="AC2476" i="2"/>
  <c r="AC299" i="2"/>
  <c r="AC300" i="2"/>
  <c r="AC316" i="2"/>
  <c r="AC317" i="2"/>
  <c r="AC407" i="2"/>
  <c r="AC1406" i="2"/>
  <c r="AC1365" i="2"/>
  <c r="AC1392" i="2"/>
  <c r="AC1393" i="2"/>
  <c r="AC2473" i="2"/>
  <c r="AC2474" i="2"/>
  <c r="AC1234" i="2"/>
  <c r="AC1394" i="2"/>
  <c r="AC1405" i="2"/>
  <c r="AC1382" i="2"/>
  <c r="AC1383" i="2"/>
  <c r="AC1242" i="2"/>
  <c r="AC2089" i="2"/>
  <c r="AC2090" i="2"/>
  <c r="AC977" i="2"/>
  <c r="AC1490" i="2"/>
  <c r="AC1512" i="2"/>
  <c r="AC1517" i="2"/>
  <c r="AC1602" i="2"/>
  <c r="AC1575" i="2"/>
  <c r="AC1597" i="2"/>
  <c r="AC666" i="2"/>
  <c r="AC667" i="2"/>
  <c r="AC522" i="2"/>
  <c r="AC1564" i="2"/>
  <c r="AC2528" i="2"/>
  <c r="AC2530" i="2"/>
  <c r="AC557" i="2"/>
  <c r="AC2531" i="2"/>
  <c r="AC2532" i="2"/>
  <c r="AC581" i="2"/>
  <c r="AC590" i="2"/>
  <c r="AC2538" i="2"/>
  <c r="AC2539" i="2"/>
  <c r="AC2540" i="2"/>
  <c r="AC728" i="2"/>
  <c r="AC2547" i="2"/>
  <c r="AC2548" i="2"/>
  <c r="AC1659" i="2"/>
  <c r="AC1679" i="2"/>
  <c r="AC1687" i="2"/>
  <c r="AC1680" i="2"/>
  <c r="AC2557" i="2"/>
  <c r="AC617" i="2"/>
  <c r="AC1697" i="2"/>
  <c r="AC418" i="2"/>
  <c r="AC1699" i="2"/>
  <c r="AC430" i="2"/>
  <c r="AC746" i="2"/>
  <c r="AC779" i="2"/>
  <c r="AC781" i="2"/>
  <c r="AC747" i="2"/>
  <c r="AC780" i="2"/>
  <c r="AC787" i="2"/>
  <c r="AC712" i="2"/>
  <c r="AC2565" i="2"/>
  <c r="AC2566" i="2"/>
  <c r="AC1303" i="2"/>
  <c r="AC1706" i="2"/>
  <c r="AC1283" i="2"/>
  <c r="AC676" i="2"/>
  <c r="AC687" i="2"/>
  <c r="AC1766" i="2"/>
  <c r="AC2403" i="2"/>
  <c r="AC2576" i="2"/>
  <c r="AC2577" i="2"/>
  <c r="AC2578" i="2"/>
  <c r="AC1609" i="2"/>
  <c r="AC1808" i="2"/>
  <c r="AC1809" i="2"/>
  <c r="AC1788" i="2"/>
  <c r="AC1799" i="2"/>
  <c r="AC2409" i="2"/>
  <c r="AC2410" i="2"/>
  <c r="AC1790" i="2"/>
  <c r="AC1637" i="2"/>
  <c r="AC1815" i="2"/>
  <c r="AC1812" i="2"/>
  <c r="AC1816" i="2"/>
  <c r="AC1813" i="2"/>
  <c r="AC2591" i="2"/>
  <c r="AC2592" i="2"/>
  <c r="AC1827" i="2"/>
  <c r="AC1621" i="2"/>
  <c r="AC1852" i="2"/>
  <c r="AC1853" i="2"/>
  <c r="AC1862" i="2"/>
  <c r="AC1863" i="2"/>
  <c r="AC1866" i="2"/>
  <c r="AC1850" i="2"/>
  <c r="AC1906" i="2"/>
  <c r="AC1915" i="2"/>
  <c r="AC1955" i="2"/>
  <c r="AC1956" i="2"/>
  <c r="AC1957" i="2"/>
  <c r="AC1958" i="2"/>
  <c r="AC1959" i="2"/>
  <c r="AC1960" i="2"/>
  <c r="AC1961" i="2"/>
  <c r="AC2603" i="2"/>
  <c r="AC2608" i="2"/>
  <c r="AC2481" i="2"/>
  <c r="AC2609" i="2"/>
  <c r="AC2610" i="2"/>
  <c r="AC2613" i="2"/>
  <c r="AC2623" i="2"/>
  <c r="AC2624" i="2"/>
  <c r="AC381" i="2"/>
  <c r="AC1998" i="2"/>
  <c r="AC2002" i="2"/>
  <c r="AC2028" i="2"/>
  <c r="AC2036" i="2"/>
  <c r="AC2042" i="2"/>
  <c r="AC2074" i="2"/>
  <c r="AC2075" i="2"/>
  <c r="AC2058" i="2"/>
  <c r="AC2067" i="2"/>
  <c r="AC1864" i="2"/>
  <c r="AC1898" i="2"/>
  <c r="AC1921" i="2"/>
  <c r="AC1922" i="2"/>
  <c r="AC1923" i="2"/>
  <c r="AC1924" i="2"/>
  <c r="AC1925" i="2"/>
  <c r="AC1926" i="2"/>
  <c r="AC207" i="2"/>
  <c r="AC2600" i="2"/>
  <c r="AC2601" i="2"/>
  <c r="AC2604" i="2"/>
  <c r="AC2605" i="2"/>
  <c r="AC2606" i="2"/>
  <c r="AC2611" i="2"/>
  <c r="AC2612" i="2"/>
  <c r="AC2614" i="2"/>
  <c r="AC1770" i="2"/>
  <c r="AC382" i="2"/>
  <c r="AC802" i="2"/>
  <c r="AC825" i="2"/>
  <c r="AC877" i="2"/>
  <c r="AC886" i="2"/>
  <c r="AC1012" i="2"/>
  <c r="AC937" i="2"/>
  <c r="AC463" i="2"/>
  <c r="AC464" i="2"/>
  <c r="AC476" i="2"/>
  <c r="AC983" i="2"/>
  <c r="AC1028" i="2"/>
  <c r="AC1043" i="2"/>
  <c r="AC1107" i="2"/>
  <c r="AC1063" i="2"/>
  <c r="AC1159" i="2"/>
  <c r="AC1166" i="2"/>
  <c r="AC301" i="2"/>
  <c r="AC1331" i="2"/>
  <c r="AC315" i="2"/>
  <c r="AC318" i="2"/>
  <c r="AC1407" i="2"/>
  <c r="AC1408" i="2"/>
  <c r="AC1345" i="2"/>
  <c r="AC280" i="2"/>
  <c r="AC281" i="2"/>
  <c r="AC1428" i="2"/>
  <c r="AC1429" i="2"/>
  <c r="AC1430" i="2"/>
  <c r="AC1448" i="2"/>
  <c r="AC1459" i="2"/>
  <c r="AC1467" i="2"/>
  <c r="AC2345" i="2"/>
  <c r="AC2346" i="2"/>
  <c r="AC2347" i="2"/>
  <c r="AC1373" i="2"/>
  <c r="AC2349" i="2"/>
  <c r="AC175" i="2"/>
  <c r="AC176" i="2"/>
  <c r="AC953" i="2"/>
  <c r="AC2364" i="2"/>
  <c r="AC1596" i="2"/>
  <c r="AC1576" i="2"/>
  <c r="AC512" i="2"/>
  <c r="AC513" i="2"/>
  <c r="AC514" i="2"/>
  <c r="AC516" i="2"/>
  <c r="AC282" i="2"/>
  <c r="AC283" i="2"/>
  <c r="AC1252" i="2"/>
  <c r="AC1257" i="2"/>
  <c r="AC2368" i="2"/>
  <c r="AC2369" i="2"/>
  <c r="AC2370" i="2"/>
  <c r="AC1305" i="2"/>
  <c r="AC1319" i="2"/>
  <c r="AC1327" i="2"/>
  <c r="AC573" i="2"/>
  <c r="AC582" i="2"/>
  <c r="AC591" i="2"/>
  <c r="AC636" i="2"/>
  <c r="AC727" i="2"/>
  <c r="AC1511" i="2"/>
  <c r="AC1652" i="2"/>
  <c r="AC1653" i="2"/>
  <c r="AC1654" i="2"/>
  <c r="AC641" i="2"/>
  <c r="AC1656" i="2"/>
  <c r="AC1661" i="2"/>
  <c r="AC1685" i="2"/>
  <c r="AC612" i="2"/>
  <c r="AC613" i="2"/>
  <c r="AC618" i="2"/>
  <c r="AC419" i="2"/>
  <c r="AC420" i="2"/>
  <c r="AC2327" i="2"/>
  <c r="AC1273" i="2"/>
  <c r="AC1730" i="2"/>
  <c r="AC774" i="2"/>
  <c r="AC1743" i="2"/>
  <c r="AC677" i="2"/>
  <c r="AC1746" i="2"/>
  <c r="AC249" i="2"/>
  <c r="AC1786" i="2"/>
  <c r="AC1607" i="2"/>
  <c r="AC1608" i="2"/>
  <c r="AC1610" i="2"/>
  <c r="AC1611" i="2"/>
  <c r="AC1612" i="2"/>
  <c r="AC1787" i="2"/>
  <c r="AC1795" i="2"/>
  <c r="AC1797" i="2"/>
  <c r="AC1791" i="2"/>
  <c r="AC1626" i="2"/>
  <c r="AC1632" i="2"/>
  <c r="AC1643" i="2"/>
  <c r="AC1629" i="2"/>
  <c r="AC1888" i="2"/>
  <c r="AC1889" i="2"/>
  <c r="AC255" i="2"/>
  <c r="AC1865" i="2"/>
  <c r="AC1899" i="2"/>
  <c r="AC1920" i="2"/>
  <c r="AC208" i="2"/>
  <c r="AC2328" i="2"/>
  <c r="AC2076" i="2"/>
  <c r="AC2093" i="2"/>
  <c r="AC2094" i="2"/>
  <c r="AC2098" i="2"/>
  <c r="AC2107" i="2"/>
  <c r="AC843" i="2"/>
  <c r="AC844" i="2"/>
  <c r="AC898" i="2"/>
  <c r="AC899" i="2"/>
  <c r="AC904" i="2"/>
  <c r="AC905" i="2"/>
  <c r="AC2421" i="2"/>
  <c r="AC465" i="2"/>
  <c r="AC863" i="2"/>
  <c r="AC1026" i="2"/>
  <c r="AC952" i="2"/>
  <c r="AC992" i="2"/>
  <c r="AC493" i="2"/>
  <c r="AC495" i="2"/>
  <c r="AC496" i="2"/>
  <c r="AC1029" i="2"/>
  <c r="AC997" i="2"/>
  <c r="AC865" i="2"/>
  <c r="AC6" i="2"/>
  <c r="AC2120" i="2"/>
  <c r="AC2122" i="2"/>
  <c r="AC812" i="2"/>
  <c r="AC827" i="2"/>
  <c r="AC840" i="2"/>
  <c r="AC845" i="2"/>
  <c r="AC848" i="2"/>
  <c r="AC851" i="2"/>
  <c r="AC867" i="2"/>
  <c r="AC854" i="2"/>
  <c r="AC7" i="2"/>
  <c r="AC813" i="2"/>
  <c r="AC828" i="2"/>
  <c r="AC868" i="2"/>
  <c r="AC900" i="2"/>
  <c r="AC445" i="2"/>
  <c r="AC2249" i="2"/>
  <c r="AC1017" i="2"/>
  <c r="AC2423" i="2"/>
  <c r="AC506" i="2"/>
  <c r="AC509" i="2"/>
  <c r="AC2256" i="2"/>
  <c r="AC1115" i="2"/>
  <c r="AC1147" i="2"/>
  <c r="AC1054" i="2"/>
  <c r="AC1095" i="2"/>
  <c r="AC2267" i="2"/>
  <c r="AC1070" i="2"/>
  <c r="AC2427" i="2"/>
  <c r="AC368" i="2"/>
  <c r="AC2273" i="2"/>
  <c r="AC373" i="2"/>
  <c r="AC2281" i="2"/>
  <c r="AC331" i="2"/>
  <c r="AC338" i="2"/>
  <c r="AC1211" i="2"/>
  <c r="AC1356" i="2"/>
  <c r="AC1420" i="2"/>
  <c r="AC1354" i="2"/>
  <c r="AC192" i="2"/>
  <c r="AC1443" i="2"/>
  <c r="AC1475" i="2"/>
  <c r="AC1374" i="2"/>
  <c r="AC187" i="2"/>
  <c r="AC2454" i="2"/>
  <c r="AC1389" i="2"/>
  <c r="AC1235" i="2"/>
  <c r="AC2419" i="2"/>
  <c r="AC19" i="2"/>
  <c r="AC969" i="2"/>
  <c r="AC1534" i="2"/>
  <c r="AC25" i="2"/>
  <c r="AC1548" i="2"/>
  <c r="AC43" i="2"/>
  <c r="AC1588" i="2"/>
  <c r="AC561" i="2"/>
  <c r="AC1253" i="2"/>
  <c r="AC48" i="2"/>
  <c r="AC148" i="2"/>
  <c r="AC1307" i="2"/>
  <c r="AC540" i="2"/>
  <c r="AC548" i="2"/>
  <c r="AC61" i="2"/>
  <c r="AC603" i="2"/>
  <c r="AC1492" i="2"/>
  <c r="AC729" i="2"/>
  <c r="AC642" i="2"/>
  <c r="AC66" i="2"/>
  <c r="AC1689" i="2"/>
  <c r="AC1672" i="2"/>
  <c r="AC698" i="2"/>
  <c r="AC619" i="2"/>
  <c r="AC708" i="2"/>
  <c r="AC1552" i="2"/>
  <c r="AC748" i="2"/>
  <c r="AC89" i="2"/>
  <c r="AC761" i="2"/>
  <c r="AC721" i="2"/>
  <c r="AC95" i="2"/>
  <c r="AC793" i="2"/>
  <c r="AC1714" i="2"/>
  <c r="AC668" i="2"/>
  <c r="AC678" i="2"/>
  <c r="AC1763" i="2"/>
  <c r="AC1775" i="2"/>
  <c r="AC102" i="2"/>
  <c r="AC164" i="2"/>
  <c r="AC133" i="2"/>
  <c r="AC143" i="2"/>
  <c r="AC1818" i="2"/>
  <c r="AC117" i="2"/>
  <c r="AC136" i="2"/>
  <c r="AC217" i="2"/>
  <c r="AC1883" i="2"/>
  <c r="AC1834" i="2"/>
  <c r="AC201" i="2"/>
  <c r="AC210" i="2"/>
  <c r="AC232" i="2"/>
  <c r="AC2615" i="2"/>
  <c r="AC2625" i="2"/>
  <c r="AC814" i="2"/>
  <c r="AC829" i="2"/>
  <c r="AC869" i="2"/>
  <c r="AC855" i="2"/>
  <c r="AC446" i="2"/>
  <c r="AC938" i="2"/>
  <c r="AC458" i="2"/>
  <c r="AC466" i="2"/>
  <c r="AC985" i="2"/>
  <c r="AC485" i="2"/>
  <c r="AC2250" i="2"/>
  <c r="AC2440" i="2"/>
  <c r="AC1018" i="2"/>
  <c r="AC998" i="2"/>
  <c r="AC2257" i="2"/>
  <c r="AC8" i="2"/>
  <c r="AC1148" i="2"/>
  <c r="AC1116" i="2"/>
  <c r="AC1096" i="2"/>
  <c r="AC1055" i="2"/>
  <c r="AC1080" i="2"/>
  <c r="AC1097" i="2"/>
  <c r="AC1125" i="2"/>
  <c r="AC1129" i="2"/>
  <c r="AC2271" i="2"/>
  <c r="AC1175" i="2"/>
  <c r="AC1176" i="2"/>
  <c r="AC1179" i="2"/>
  <c r="AC354" i="2"/>
  <c r="AC2274" i="2"/>
  <c r="AC2282" i="2"/>
  <c r="AC2099" i="2"/>
  <c r="AC2105" i="2"/>
  <c r="AC2111" i="2"/>
  <c r="AC1196" i="2"/>
  <c r="AC321" i="2"/>
  <c r="AC332" i="2"/>
  <c r="AC1205" i="2"/>
  <c r="AC408" i="2"/>
  <c r="AC339" i="2"/>
  <c r="AC1215" i="2"/>
  <c r="AC1184" i="2"/>
  <c r="AC1480" i="2"/>
  <c r="AC1357" i="2"/>
  <c r="AC2123" i="2"/>
  <c r="AC1336" i="2"/>
  <c r="AC1421" i="2"/>
  <c r="AC1346" i="2"/>
  <c r="AC1370" i="2"/>
  <c r="AC1436" i="2"/>
  <c r="AC193" i="2"/>
  <c r="AC1449" i="2"/>
  <c r="AC172" i="2"/>
  <c r="AC1390" i="2"/>
  <c r="AC1225" i="2"/>
  <c r="AC1243" i="2"/>
  <c r="AC1540" i="2"/>
  <c r="AC1528" i="2"/>
  <c r="AC958" i="2"/>
  <c r="AC2436" i="2"/>
  <c r="AC1535" i="2"/>
  <c r="AC31" i="2"/>
  <c r="AC2130" i="2"/>
  <c r="AC1518" i="2"/>
  <c r="AC1543" i="2"/>
  <c r="AC1581" i="2"/>
  <c r="AC1582" i="2"/>
  <c r="AC39" i="2"/>
  <c r="AC1589" i="2"/>
  <c r="AC532" i="2"/>
  <c r="AC2313" i="2"/>
  <c r="AC562" i="2"/>
  <c r="AC1246" i="2"/>
  <c r="AC1254" i="2"/>
  <c r="AC54" i="2"/>
  <c r="AC1308" i="2"/>
  <c r="AC541" i="2"/>
  <c r="AC549" i="2"/>
  <c r="AC574" i="2"/>
  <c r="AC579" i="2"/>
  <c r="AC586" i="2"/>
  <c r="AC598" i="2"/>
  <c r="AC62" i="2"/>
  <c r="AC604" i="2"/>
  <c r="AC2162" i="2"/>
  <c r="AC2142" i="2"/>
  <c r="AC2172" i="2"/>
  <c r="AC1493" i="2"/>
  <c r="AC730" i="2"/>
  <c r="AC2177" i="2"/>
  <c r="AC648" i="2"/>
  <c r="AC650" i="2"/>
  <c r="AC2186" i="2"/>
  <c r="AC654" i="2"/>
  <c r="AC1667" i="2"/>
  <c r="AC67" i="2"/>
  <c r="AC1690" i="2"/>
  <c r="AC1673" i="2"/>
  <c r="AC742" i="2"/>
  <c r="AC699" i="2"/>
  <c r="AC2298" i="2"/>
  <c r="AC2386" i="2"/>
  <c r="AC704" i="2"/>
  <c r="AC2193" i="2"/>
  <c r="AC620" i="2"/>
  <c r="AC2303" i="2"/>
  <c r="AC1504" i="2"/>
  <c r="AC79" i="2"/>
  <c r="AC80" i="2"/>
  <c r="AC2222" i="2"/>
  <c r="AC2243" i="2"/>
  <c r="AC1553" i="2"/>
  <c r="AC1563" i="2"/>
  <c r="AC90" i="2"/>
  <c r="AC762" i="2"/>
  <c r="AC2432" i="2"/>
  <c r="AC2428" i="2"/>
  <c r="AC433" i="2"/>
  <c r="AC714" i="2"/>
  <c r="AC1277" i="2"/>
  <c r="AC1281" i="2"/>
  <c r="AC96" i="2"/>
  <c r="AC794" i="2"/>
  <c r="AC1707" i="2"/>
  <c r="AC1715" i="2"/>
  <c r="AC669" i="2"/>
  <c r="AC1287" i="2"/>
  <c r="AC1294" i="2"/>
  <c r="AC675" i="2"/>
  <c r="AC552" i="2"/>
  <c r="AC689" i="2"/>
  <c r="AC695" i="2"/>
  <c r="AC1764" i="2"/>
  <c r="AC2406" i="2"/>
  <c r="AC152" i="2"/>
  <c r="AC103" i="2"/>
  <c r="AC165" i="2"/>
  <c r="AC124" i="2"/>
  <c r="AC111" i="2"/>
  <c r="AC157" i="2"/>
  <c r="AC144" i="2"/>
  <c r="AC1819" i="2"/>
  <c r="AC118" i="2"/>
  <c r="AC137" i="2"/>
  <c r="AC2202" i="2"/>
  <c r="AC218" i="2"/>
  <c r="AC1623" i="2"/>
  <c r="AC1832" i="2"/>
  <c r="AC2205" i="2"/>
  <c r="AC1884" i="2"/>
  <c r="AC1835" i="2"/>
  <c r="AC1867" i="2"/>
  <c r="AC227" i="2"/>
  <c r="AC230" i="2"/>
  <c r="AC231" i="2"/>
  <c r="AC198" i="2"/>
  <c r="AC202" i="2"/>
  <c r="AC1878" i="2"/>
  <c r="AC211" i="2"/>
  <c r="AC2616" i="2"/>
  <c r="AC2626" i="2"/>
  <c r="AC162" i="2"/>
  <c r="AC815" i="2"/>
  <c r="AC830" i="2"/>
  <c r="AC841" i="2"/>
  <c r="AC846" i="2"/>
  <c r="AC849" i="2"/>
  <c r="AC852" i="2"/>
  <c r="AC870" i="2"/>
  <c r="AC856" i="2"/>
  <c r="AC887" i="2"/>
  <c r="AC901" i="2"/>
  <c r="AC906" i="2"/>
  <c r="AC907" i="2"/>
  <c r="AC447" i="2"/>
  <c r="AC939" i="2"/>
  <c r="AC946" i="2"/>
  <c r="AC459" i="2"/>
  <c r="AC467" i="2"/>
  <c r="AC986" i="2"/>
  <c r="AC486" i="2"/>
  <c r="AC2251" i="2"/>
  <c r="AC1019" i="2"/>
  <c r="AC497" i="2"/>
  <c r="AC503" i="2"/>
  <c r="AC507" i="2"/>
  <c r="AC999" i="2"/>
  <c r="AC2258" i="2"/>
  <c r="AC1149" i="2"/>
  <c r="AC1117" i="2"/>
  <c r="AC9" i="2"/>
  <c r="AC1098" i="2"/>
  <c r="AC1056" i="2"/>
  <c r="AC1081" i="2"/>
  <c r="AC920" i="2"/>
  <c r="AC1126" i="2"/>
  <c r="AC2272" i="2"/>
  <c r="AC1003" i="2"/>
  <c r="AC2447" i="2"/>
  <c r="AC1071" i="2"/>
  <c r="AC2425" i="2"/>
  <c r="AC1105" i="2"/>
  <c r="AC2311" i="2"/>
  <c r="AC355" i="2"/>
  <c r="AC363" i="2"/>
  <c r="AC369" i="2"/>
  <c r="AC2283" i="2"/>
  <c r="AC2100" i="2"/>
  <c r="AC1197" i="2"/>
  <c r="AC322" i="2"/>
  <c r="AC1203" i="2"/>
  <c r="AC333" i="2"/>
  <c r="AC1206" i="2"/>
  <c r="AC403" i="2"/>
  <c r="AC409" i="2"/>
  <c r="AC340" i="2"/>
  <c r="AC414" i="2"/>
  <c r="AC346" i="2"/>
  <c r="AC1481" i="2"/>
  <c r="AC1358" i="2"/>
  <c r="AC1367" i="2"/>
  <c r="AC1337" i="2"/>
  <c r="AC1422" i="2"/>
  <c r="AC1347" i="2"/>
  <c r="AC194" i="2"/>
  <c r="AC1454" i="2"/>
  <c r="AC1444" i="2"/>
  <c r="AC1468" i="2"/>
  <c r="AC1469" i="2"/>
  <c r="AC1473" i="2"/>
  <c r="AC1476" i="2"/>
  <c r="AC350" i="2"/>
  <c r="AC1375" i="2"/>
  <c r="AC173" i="2"/>
  <c r="AC1391" i="2"/>
  <c r="AC1226" i="2"/>
  <c r="AC1236" i="2"/>
  <c r="AC1529" i="2"/>
  <c r="AC2437" i="2"/>
  <c r="AC970" i="2"/>
  <c r="AC1536" i="2"/>
  <c r="AC26" i="2"/>
  <c r="AC1400" i="2"/>
  <c r="AC2291" i="2"/>
  <c r="AC1513" i="2"/>
  <c r="AC1544" i="2"/>
  <c r="AC1566" i="2"/>
  <c r="AC1583" i="2"/>
  <c r="AC40" i="2"/>
  <c r="AC1590" i="2"/>
  <c r="AC528" i="2"/>
  <c r="AC536" i="2"/>
  <c r="AC558" i="2"/>
  <c r="AC563" i="2"/>
  <c r="AC1247" i="2"/>
  <c r="AC49" i="2"/>
  <c r="AC1259" i="2"/>
  <c r="AC55" i="2"/>
  <c r="AC1309" i="2"/>
  <c r="AC542" i="2"/>
  <c r="AC1316" i="2"/>
  <c r="AC57" i="2"/>
  <c r="AC575" i="2"/>
  <c r="AC592" i="2"/>
  <c r="AC1494" i="2"/>
  <c r="AC731" i="2"/>
  <c r="AC68" i="2"/>
  <c r="AC1691" i="2"/>
  <c r="AC1674" i="2"/>
  <c r="AC610" i="2"/>
  <c r="AC2387" i="2"/>
  <c r="AC621" i="2"/>
  <c r="AC2325" i="2"/>
  <c r="AC2304" i="2"/>
  <c r="AC1505" i="2"/>
  <c r="AC709" i="2"/>
  <c r="AC1554" i="2"/>
  <c r="AC425" i="2"/>
  <c r="AC1274" i="2"/>
  <c r="AC1731" i="2"/>
  <c r="AC749" i="2"/>
  <c r="AC763" i="2"/>
  <c r="AC771" i="2"/>
  <c r="AC715" i="2"/>
  <c r="AC1296" i="2"/>
  <c r="AC1278" i="2"/>
  <c r="AC97" i="2"/>
  <c r="AC795" i="2"/>
  <c r="AC1708" i="2"/>
  <c r="AC1288" i="2"/>
  <c r="AC660" i="2"/>
  <c r="AC679" i="2"/>
  <c r="AC553" i="2"/>
  <c r="AC663" i="2"/>
  <c r="AC696" i="2"/>
  <c r="AC1748" i="2"/>
  <c r="AC1756" i="2"/>
  <c r="AC153" i="2"/>
  <c r="AC169" i="2"/>
  <c r="AC2430" i="2"/>
  <c r="AC125" i="2"/>
  <c r="AC110" i="2"/>
  <c r="AC134" i="2"/>
  <c r="AC119" i="2"/>
  <c r="AC138" i="2"/>
  <c r="AC219" i="2"/>
  <c r="AC1885" i="2"/>
  <c r="AC1836" i="2"/>
  <c r="AC203" i="2"/>
  <c r="AC212" i="2"/>
  <c r="AC2617" i="2"/>
  <c r="AC2627" i="2"/>
  <c r="AC182" i="2"/>
  <c r="AC2280" i="2"/>
  <c r="AC2110" i="2"/>
  <c r="AC2115" i="2"/>
  <c r="AC2121" i="2"/>
  <c r="AC2385" i="2"/>
  <c r="AC181" i="2"/>
  <c r="AC2265" i="2"/>
  <c r="AC1068" i="2"/>
  <c r="AC1069" i="2"/>
  <c r="AC220" i="2"/>
  <c r="AC803" i="2"/>
  <c r="AC838" i="2"/>
  <c r="AC878" i="2"/>
  <c r="AC917" i="2"/>
  <c r="AC919" i="2"/>
  <c r="AC2422" i="2"/>
  <c r="AC1038" i="2"/>
  <c r="AC1040" i="2"/>
  <c r="AC925" i="2"/>
  <c r="AC1009" i="2"/>
  <c r="AC437" i="2"/>
  <c r="AC947" i="2"/>
  <c r="AC468" i="2"/>
  <c r="AC477" i="2"/>
  <c r="AC492" i="2"/>
  <c r="AC993" i="2"/>
  <c r="AC2424" i="2"/>
  <c r="AC996" i="2"/>
  <c r="AC1027" i="2"/>
  <c r="AC510" i="2"/>
  <c r="AC1108" i="2"/>
  <c r="AC1091" i="2"/>
  <c r="AC1044" i="2"/>
  <c r="AC1136" i="2"/>
  <c r="AC2329" i="2"/>
  <c r="AC2442" i="2"/>
  <c r="AC1122" i="2"/>
  <c r="AC1156" i="2"/>
  <c r="AC2444" i="2"/>
  <c r="AC1103" i="2"/>
  <c r="AC1064" i="2"/>
  <c r="AC1087" i="2"/>
  <c r="AC2412" i="2"/>
  <c r="AC278" i="2"/>
  <c r="AC1168" i="2"/>
  <c r="AC1169" i="2"/>
  <c r="AC2445" i="2"/>
  <c r="AC279" i="2"/>
  <c r="AC2446" i="2"/>
  <c r="AC2413" i="2"/>
  <c r="AC370" i="2"/>
  <c r="AC1192" i="2"/>
  <c r="AC302" i="2"/>
  <c r="AC2333" i="2"/>
  <c r="AC2334" i="2"/>
  <c r="AC2335" i="2"/>
  <c r="AC323" i="2"/>
  <c r="AC335" i="2"/>
  <c r="AC404" i="2"/>
  <c r="AC1207" i="2"/>
  <c r="AC268" i="2"/>
  <c r="AC2340" i="2"/>
  <c r="AC1488" i="2"/>
  <c r="AC1486" i="2"/>
  <c r="AC2341" i="2"/>
  <c r="AC1368" i="2"/>
  <c r="AC273" i="2"/>
  <c r="AC1432" i="2"/>
  <c r="AC1351" i="2"/>
  <c r="AC2399" i="2"/>
  <c r="AC2514" i="2"/>
  <c r="AC1403" i="2"/>
  <c r="AC1222" i="2"/>
  <c r="AC1398" i="2"/>
  <c r="AC1542" i="2"/>
  <c r="AC2519" i="2"/>
  <c r="AC967" i="2"/>
  <c r="AC968" i="2"/>
  <c r="AC975" i="2"/>
  <c r="AC177" i="2"/>
  <c r="AC178" i="2"/>
  <c r="AC2520" i="2"/>
  <c r="AC1523" i="2"/>
  <c r="AC1604" i="2"/>
  <c r="AC1578" i="2"/>
  <c r="AC665" i="2"/>
  <c r="AC1598" i="2"/>
  <c r="AC523" i="2"/>
  <c r="AC1565" i="2"/>
  <c r="AC533" i="2"/>
  <c r="AC520" i="2"/>
  <c r="AC2367" i="2"/>
  <c r="AC570" i="2"/>
  <c r="AC571" i="2"/>
  <c r="AC1258" i="2"/>
  <c r="AC1311" i="2"/>
  <c r="AC1312" i="2"/>
  <c r="AC1328" i="2"/>
  <c r="AC1314" i="2"/>
  <c r="AC1269" i="2"/>
  <c r="AC546" i="2"/>
  <c r="AC2533" i="2"/>
  <c r="AC593" i="2"/>
  <c r="AC597" i="2"/>
  <c r="AC1271" i="2"/>
  <c r="AC2377" i="2"/>
  <c r="AC1502" i="2"/>
  <c r="AC2541" i="2"/>
  <c r="AC2550" i="2"/>
  <c r="AC740" i="2"/>
  <c r="AC651" i="2"/>
  <c r="AC1668" i="2"/>
  <c r="AC1683" i="2"/>
  <c r="AC1686" i="2"/>
  <c r="AC1696" i="2"/>
  <c r="AC2388" i="2"/>
  <c r="AC2558" i="2"/>
  <c r="AC1698" i="2"/>
  <c r="AC632" i="2"/>
  <c r="AC706" i="2"/>
  <c r="AC421" i="2"/>
  <c r="AC1700" i="2"/>
  <c r="AC1561" i="2"/>
  <c r="AC1736" i="2"/>
  <c r="AC1739" i="2"/>
  <c r="AC1744" i="2"/>
  <c r="AC775" i="2"/>
  <c r="AC750" i="2"/>
  <c r="AC782" i="2"/>
  <c r="AC758" i="2"/>
  <c r="AC2567" i="2"/>
  <c r="AC1299" i="2"/>
  <c r="AC722" i="2"/>
  <c r="AC1302" i="2"/>
  <c r="AC789" i="2"/>
  <c r="AC792" i="2"/>
  <c r="AC796" i="2"/>
  <c r="AC1720" i="2"/>
  <c r="AC670" i="2"/>
  <c r="AC1284" i="2"/>
  <c r="AC1289" i="2"/>
  <c r="AC2572" i="2"/>
  <c r="AC690" i="2"/>
  <c r="AC1747" i="2"/>
  <c r="AC2472" i="2"/>
  <c r="AC1754" i="2"/>
  <c r="AC1776" i="2"/>
  <c r="AC1783" i="2"/>
  <c r="AC2579" i="2"/>
  <c r="AC1794" i="2"/>
  <c r="AC1624" i="2"/>
  <c r="AC1615" i="2"/>
  <c r="AC2584" i="2"/>
  <c r="AC1804" i="2"/>
  <c r="AC1800" i="2"/>
  <c r="AC1792" i="2"/>
  <c r="AC1627" i="2"/>
  <c r="AC1650" i="2"/>
  <c r="AC1640" i="2"/>
  <c r="AC1645" i="2"/>
  <c r="AC1848" i="2"/>
  <c r="AC1814" i="2"/>
  <c r="AC1825" i="2"/>
  <c r="AC1631" i="2"/>
  <c r="AC1890" i="2"/>
  <c r="AC183" i="2"/>
  <c r="AC2478" i="2"/>
  <c r="AC221" i="2"/>
  <c r="AC1830" i="2"/>
  <c r="AC1622" i="2"/>
  <c r="AC1879" i="2"/>
  <c r="AC1842" i="2"/>
  <c r="AC1851" i="2"/>
  <c r="AC228" i="2"/>
  <c r="AC1876" i="2"/>
  <c r="AC1877" i="2"/>
  <c r="AC2477" i="2"/>
  <c r="AC1913" i="2"/>
  <c r="AC1904" i="2"/>
  <c r="AC1908" i="2"/>
  <c r="AC1917" i="2"/>
  <c r="AC1927" i="2"/>
  <c r="AC1967" i="2"/>
  <c r="AC2602" i="2"/>
  <c r="AC1972" i="2"/>
  <c r="AC2607" i="2"/>
  <c r="AC1974" i="2"/>
  <c r="AC1939" i="2"/>
  <c r="AC1944" i="2"/>
  <c r="AC1946" i="2"/>
  <c r="AC1950" i="2"/>
  <c r="AC377" i="2"/>
  <c r="AC1771" i="2"/>
  <c r="AC389" i="2"/>
  <c r="AC1980" i="2"/>
  <c r="AC1985" i="2"/>
  <c r="AC2006" i="2"/>
  <c r="AC2011" i="2"/>
  <c r="AC235" i="2"/>
  <c r="AC1994" i="2"/>
  <c r="AC2032" i="2"/>
  <c r="AC2037" i="2"/>
  <c r="AC2043" i="2"/>
  <c r="AC2014" i="2"/>
  <c r="AC2020" i="2"/>
  <c r="AC2077" i="2"/>
  <c r="AC2086" i="2"/>
  <c r="AC2088" i="2"/>
  <c r="AC2059" i="2"/>
  <c r="AC2071" i="2"/>
  <c r="AC1489" i="2"/>
  <c r="AC1487" i="2"/>
  <c r="AC1410" i="2"/>
  <c r="AC1433" i="2"/>
  <c r="AC1462" i="2"/>
  <c r="AC2457" i="2"/>
  <c r="AC804" i="2"/>
  <c r="AC839" i="2"/>
  <c r="AC879" i="2"/>
  <c r="AC918" i="2"/>
  <c r="AC926" i="2"/>
  <c r="AC1041" i="2"/>
  <c r="AC438" i="2"/>
  <c r="AC948" i="2"/>
  <c r="AC469" i="2"/>
  <c r="AC478" i="2"/>
  <c r="AC994" i="2"/>
  <c r="AC2395" i="2"/>
  <c r="AC1030" i="2"/>
  <c r="AC1045" i="2"/>
  <c r="AC1089" i="2"/>
  <c r="AC1109" i="2"/>
  <c r="AC10" i="2"/>
  <c r="AC1123" i="2"/>
  <c r="AC1065" i="2"/>
  <c r="AC1160" i="2"/>
  <c r="AC1170" i="2"/>
  <c r="AC2414" i="2"/>
  <c r="AC371" i="2"/>
  <c r="AC392" i="2"/>
  <c r="AC2450" i="2"/>
  <c r="AC1332" i="2"/>
  <c r="AC303" i="2"/>
  <c r="AC401" i="2"/>
  <c r="AC1198" i="2"/>
  <c r="AC324" i="2"/>
  <c r="AC269" i="2"/>
  <c r="AC1359" i="2"/>
  <c r="AC1411" i="2"/>
  <c r="AC1369" i="2"/>
  <c r="AC274" i="2"/>
  <c r="AC1352" i="2"/>
  <c r="AC1434" i="2"/>
  <c r="AC1463" i="2"/>
  <c r="AC1464" i="2"/>
  <c r="AC2509" i="2"/>
  <c r="AC2452" i="2"/>
  <c r="AC2515" i="2"/>
  <c r="AC1404" i="2"/>
  <c r="AC1223" i="2"/>
  <c r="AC2355" i="2"/>
  <c r="AC2356" i="2"/>
  <c r="AC1399" i="2"/>
  <c r="AC2359" i="2"/>
  <c r="AC965" i="2"/>
  <c r="AC2521" i="2"/>
  <c r="AC1524" i="2"/>
  <c r="AC1605" i="2"/>
  <c r="AC1579" i="2"/>
  <c r="AC1599" i="2"/>
  <c r="AC517" i="2"/>
  <c r="AC521" i="2"/>
  <c r="AC534" i="2"/>
  <c r="AC284" i="2"/>
  <c r="AC2529" i="2"/>
  <c r="AC572" i="2"/>
  <c r="AC1260" i="2"/>
  <c r="AC1266" i="2"/>
  <c r="AC1313" i="2"/>
  <c r="AC1329" i="2"/>
  <c r="AC1315" i="2"/>
  <c r="AC1270" i="2"/>
  <c r="AC547" i="2"/>
  <c r="AC2534" i="2"/>
  <c r="AC594" i="2"/>
  <c r="AC2542" i="2"/>
  <c r="AC289" i="2"/>
  <c r="AC1503" i="2"/>
  <c r="AC2551" i="2"/>
  <c r="AC741" i="2"/>
  <c r="AC652" i="2"/>
  <c r="AC1681" i="2"/>
  <c r="AC180" i="2"/>
  <c r="AC707" i="2"/>
  <c r="AC1562" i="2"/>
  <c r="AC1737" i="2"/>
  <c r="AC751" i="2"/>
  <c r="AC776" i="2"/>
  <c r="AC783" i="2"/>
  <c r="AC1745" i="2"/>
  <c r="AC759" i="2"/>
  <c r="AC2568" i="2"/>
  <c r="AC713" i="2"/>
  <c r="AC1300" i="2"/>
  <c r="AC790" i="2"/>
  <c r="AC1285" i="2"/>
  <c r="AC1290" i="2"/>
  <c r="AC2573" i="2"/>
  <c r="AC691" i="2"/>
  <c r="AC2574" i="2"/>
  <c r="AC1767" i="2"/>
  <c r="AC1768" i="2"/>
  <c r="AC1777" i="2"/>
  <c r="AC2404" i="2"/>
  <c r="AC1784" i="2"/>
  <c r="AC2580" i="2"/>
  <c r="AC1625" i="2"/>
  <c r="AC2585" i="2"/>
  <c r="AC1801" i="2"/>
  <c r="AC1633" i="2"/>
  <c r="AC1641" i="2"/>
  <c r="AC1849" i="2"/>
  <c r="AC1826" i="2"/>
  <c r="AC1891" i="2"/>
  <c r="AC2479" i="2"/>
  <c r="AC1831" i="2"/>
  <c r="AC1880" i="2"/>
  <c r="AC1843" i="2"/>
  <c r="AC1844" i="2"/>
  <c r="AC1868" i="2"/>
  <c r="AC1905" i="2"/>
  <c r="AC1928" i="2"/>
  <c r="AC1947" i="2"/>
  <c r="AC2007" i="2"/>
  <c r="AC1995" i="2"/>
  <c r="AC2029" i="2"/>
  <c r="AC2038" i="2"/>
  <c r="AC2044" i="2"/>
  <c r="AC2078" i="2"/>
  <c r="AC2087" i="2"/>
  <c r="AC2060" i="2"/>
  <c r="AC2510" i="2"/>
  <c r="AC2453" i="2"/>
  <c r="AC2552" i="2"/>
  <c r="AC1662" i="2"/>
  <c r="AC2559" i="2"/>
  <c r="AC622" i="2"/>
  <c r="AC1701" i="2"/>
  <c r="AC1721" i="2"/>
  <c r="AC2575" i="2"/>
  <c r="AC1755" i="2"/>
  <c r="AC2581" i="2"/>
  <c r="AC1616" i="2"/>
  <c r="AC2586" i="2"/>
  <c r="AC1805" i="2"/>
  <c r="AC1793" i="2"/>
  <c r="AC1644" i="2"/>
  <c r="AC1646" i="2"/>
  <c r="AC1854" i="2"/>
  <c r="AC1869" i="2"/>
  <c r="AC1870" i="2"/>
  <c r="AC1914" i="2"/>
  <c r="AC1954" i="2"/>
  <c r="AC1973" i="2"/>
  <c r="AC1948" i="2"/>
  <c r="AC1949" i="2"/>
  <c r="AC1772" i="2"/>
  <c r="AC390" i="2"/>
  <c r="AC1981" i="2"/>
  <c r="AC1997" i="2"/>
  <c r="AC2015" i="2"/>
  <c r="AC2021" i="2"/>
  <c r="AC2108" i="2"/>
  <c r="AC2109" i="2"/>
  <c r="AC1431" i="2"/>
  <c r="AC1441" i="2"/>
  <c r="AC1453" i="2"/>
  <c r="AC292" i="2"/>
  <c r="AC2185" i="2"/>
  <c r="AC75" i="2"/>
  <c r="AC2435" i="2"/>
  <c r="AC293" i="2"/>
  <c r="AC290" i="2"/>
  <c r="AC1286" i="2"/>
  <c r="AC32" i="2"/>
  <c r="AC2131" i="2"/>
  <c r="AC2293" i="2"/>
  <c r="AC537" i="2"/>
  <c r="AC2314" i="2"/>
  <c r="AC58" i="2"/>
  <c r="AC2163" i="2"/>
  <c r="AC2143" i="2"/>
  <c r="AC2317" i="2"/>
  <c r="AC2178" i="2"/>
  <c r="AC2401" i="2"/>
  <c r="AC2321" i="2"/>
  <c r="AC69" i="2"/>
  <c r="AC611" i="2"/>
  <c r="AC2299" i="2"/>
  <c r="AC2194" i="2"/>
  <c r="AC2176" i="2"/>
  <c r="AC2215" i="2"/>
  <c r="AC2238" i="2"/>
  <c r="AC81" i="2"/>
  <c r="AC2223" i="2"/>
  <c r="AC2295" i="2"/>
  <c r="AC2231" i="2"/>
  <c r="AC184" i="2"/>
  <c r="AC2203" i="2"/>
  <c r="AC2206" i="2"/>
  <c r="AC185" i="2"/>
  <c r="AC2208" i="2"/>
  <c r="AC1008" i="2"/>
  <c r="AC1039" i="2"/>
  <c r="AC481" i="2"/>
  <c r="AC2396" i="2"/>
  <c r="AC511" i="2"/>
  <c r="AC1010" i="2"/>
  <c r="AC2441" i="2"/>
  <c r="AC1046" i="2"/>
  <c r="AC1066" i="2"/>
  <c r="AC2415" i="2"/>
  <c r="AC372" i="2"/>
  <c r="AC393" i="2"/>
  <c r="AC304" i="2"/>
  <c r="AC1333" i="2"/>
  <c r="AC2095" i="2"/>
  <c r="AC325" i="2"/>
  <c r="AC417" i="2"/>
  <c r="AC2112" i="2"/>
  <c r="AC266" i="2"/>
  <c r="AC2343" i="2"/>
  <c r="AC1353" i="2"/>
  <c r="AC1435" i="2"/>
  <c r="AC2344" i="2"/>
  <c r="AC1479" i="2"/>
  <c r="AC2398" i="2"/>
  <c r="AC1224" i="2"/>
  <c r="AC2360" i="2"/>
  <c r="AC966" i="2"/>
  <c r="AC2132" i="2"/>
  <c r="AC2363" i="2"/>
  <c r="AC2522" i="2"/>
  <c r="AC1525" i="2"/>
  <c r="AC1606" i="2"/>
  <c r="AC1580" i="2"/>
  <c r="AC518" i="2"/>
  <c r="AC1261" i="2"/>
  <c r="AC2535" i="2"/>
  <c r="AC277" i="2"/>
  <c r="AC551" i="2"/>
  <c r="AC2156" i="2"/>
  <c r="AC595" i="2"/>
  <c r="AC2151" i="2"/>
  <c r="AC2543" i="2"/>
  <c r="AC2549" i="2"/>
  <c r="AC739" i="2"/>
  <c r="AC2553" i="2"/>
  <c r="AC653" i="2"/>
  <c r="AC2187" i="2"/>
  <c r="AC1663" i="2"/>
  <c r="AC1682" i="2"/>
  <c r="AC2389" i="2"/>
  <c r="AC2560" i="2"/>
  <c r="AC633" i="2"/>
  <c r="AC2199" i="2"/>
  <c r="AC2563" i="2"/>
  <c r="AC2229" i="2"/>
  <c r="AC2245" i="2"/>
  <c r="AC239" i="2"/>
  <c r="AC241" i="2"/>
  <c r="AC1740" i="2"/>
  <c r="AC760" i="2"/>
  <c r="AC243" i="2"/>
  <c r="AC2569" i="2"/>
  <c r="AC1301" i="2"/>
  <c r="AC1722" i="2"/>
  <c r="AC245" i="2"/>
  <c r="AC1295" i="2"/>
  <c r="AC246" i="2"/>
  <c r="AC2232" i="2"/>
  <c r="AC1785" i="2"/>
  <c r="AC1617" i="2"/>
  <c r="AC2587" i="2"/>
  <c r="AC1798" i="2"/>
  <c r="AC2590" i="2"/>
  <c r="AC1892" i="2"/>
  <c r="AC2204" i="2"/>
  <c r="AC226" i="2"/>
  <c r="AC1881" i="2"/>
  <c r="AC2207" i="2"/>
  <c r="AC2209" i="2"/>
  <c r="AC2210" i="2"/>
  <c r="AC1982" i="2"/>
  <c r="AC1986" i="2"/>
  <c r="AC2001" i="2"/>
  <c r="AC2003" i="2"/>
  <c r="AC2211" i="2"/>
  <c r="AC2212" i="2"/>
  <c r="AC2289" i="2"/>
  <c r="AC2593" i="2"/>
  <c r="AC842" i="2"/>
  <c r="AC847" i="2"/>
  <c r="AC908" i="2"/>
  <c r="AC909" i="2"/>
  <c r="AC2264" i="2"/>
  <c r="AC1171" i="2"/>
  <c r="AC222" i="2"/>
  <c r="AC2288" i="2"/>
  <c r="AC816" i="2"/>
  <c r="AC831" i="2"/>
  <c r="AC871" i="2"/>
  <c r="AC888" i="2"/>
  <c r="AC448" i="2"/>
  <c r="AC940" i="2"/>
  <c r="AC455" i="2"/>
  <c r="AC987" i="2"/>
  <c r="AC2252" i="2"/>
  <c r="AC1020" i="2"/>
  <c r="AC2259" i="2"/>
  <c r="AC1150" i="2"/>
  <c r="AC1118" i="2"/>
  <c r="AC1057" i="2"/>
  <c r="AC1099" i="2"/>
  <c r="AC1082" i="2"/>
  <c r="AC1127" i="2"/>
  <c r="AC1132" i="2"/>
  <c r="AC1177" i="2"/>
  <c r="AC356" i="2"/>
  <c r="AC357" i="2"/>
  <c r="AC2275" i="2"/>
  <c r="AC2284" i="2"/>
  <c r="AC1199" i="2"/>
  <c r="AC326" i="2"/>
  <c r="AC410" i="2"/>
  <c r="AC341" i="2"/>
  <c r="AC1482" i="2"/>
  <c r="AC1423" i="2"/>
  <c r="AC1437" i="2"/>
  <c r="AC1477" i="2"/>
  <c r="AC1384" i="2"/>
  <c r="AC174" i="2"/>
  <c r="AC1227" i="2"/>
  <c r="AC1237" i="2"/>
  <c r="AC959" i="2"/>
  <c r="AC2438" i="2"/>
  <c r="AC27" i="2"/>
  <c r="AC33" i="2"/>
  <c r="AC2133" i="2"/>
  <c r="AC1514" i="2"/>
  <c r="AC1567" i="2"/>
  <c r="AC1600" i="2"/>
  <c r="AC41" i="2"/>
  <c r="AC1591" i="2"/>
  <c r="AC564" i="2"/>
  <c r="AC50" i="2"/>
  <c r="AC1320" i="2"/>
  <c r="AC56" i="2"/>
  <c r="AC59" i="2"/>
  <c r="AC587" i="2"/>
  <c r="AC2164" i="2"/>
  <c r="AC2144" i="2"/>
  <c r="AC2173" i="2"/>
  <c r="AC732" i="2"/>
  <c r="AC2179" i="2"/>
  <c r="AC655" i="2"/>
  <c r="AC70" i="2"/>
  <c r="AC1692" i="2"/>
  <c r="AC1675" i="2"/>
  <c r="AC743" i="2"/>
  <c r="AC2188" i="2"/>
  <c r="AC2390" i="2"/>
  <c r="AC2195" i="2"/>
  <c r="AC623" i="2"/>
  <c r="AC1506" i="2"/>
  <c r="AC82" i="2"/>
  <c r="AC2224" i="2"/>
  <c r="AC1555" i="2"/>
  <c r="AC752" i="2"/>
  <c r="AC764" i="2"/>
  <c r="AC434" i="2"/>
  <c r="AC797" i="2"/>
  <c r="AC1716" i="2"/>
  <c r="AC680" i="2"/>
  <c r="AC2233" i="2"/>
  <c r="AC1749" i="2"/>
  <c r="AC154" i="2"/>
  <c r="AC170" i="2"/>
  <c r="AC2431" i="2"/>
  <c r="AC171" i="2"/>
  <c r="AC128" i="2"/>
  <c r="AC112" i="2"/>
  <c r="AC158" i="2"/>
  <c r="AC145" i="2"/>
  <c r="AC1820" i="2"/>
  <c r="AC139" i="2"/>
  <c r="AC1837" i="2"/>
  <c r="AC1855" i="2"/>
  <c r="AC199" i="2"/>
  <c r="AC213" i="2"/>
  <c r="AC2618" i="2"/>
  <c r="AC2628" i="2"/>
  <c r="AC1929" i="2"/>
  <c r="AC1930" i="2"/>
  <c r="AC1964" i="2"/>
  <c r="AC1966" i="2"/>
  <c r="AC1968" i="2"/>
  <c r="AC1971" i="2"/>
  <c r="AC1975" i="2"/>
  <c r="AC1977" i="2"/>
  <c r="AC1978" i="2"/>
  <c r="AC1937" i="2"/>
  <c r="AC1940" i="2"/>
  <c r="AC1942" i="2"/>
  <c r="AC1945" i="2"/>
  <c r="AC1773" i="2"/>
  <c r="AC378" i="2"/>
  <c r="AC375" i="2"/>
  <c r="AC384" i="2"/>
  <c r="AC383" i="2"/>
  <c r="AC1983" i="2"/>
  <c r="AC1987" i="2"/>
  <c r="AC1990" i="2"/>
  <c r="AC1999" i="2"/>
  <c r="AC2012" i="2"/>
  <c r="AC2004" i="2"/>
  <c r="AC2008" i="2"/>
  <c r="AC1992" i="2"/>
  <c r="AC236" i="2"/>
  <c r="AC2030" i="2"/>
  <c r="AC2033" i="2"/>
  <c r="AC2039" i="2"/>
  <c r="AC2045" i="2"/>
  <c r="AC2016" i="2"/>
  <c r="AC2018" i="2"/>
  <c r="AC2022" i="2"/>
  <c r="AC2023" i="2"/>
  <c r="AC2072" i="2"/>
  <c r="AC2079" i="2"/>
  <c r="AC2082" i="2"/>
  <c r="AC2085" i="2"/>
  <c r="AC2061" i="2"/>
  <c r="AC2065" i="2"/>
  <c r="AC2068" i="2"/>
  <c r="AC805" i="2"/>
  <c r="AC807" i="2"/>
  <c r="AC817" i="2"/>
  <c r="AC832" i="2"/>
  <c r="AC880" i="2"/>
  <c r="AC884" i="2"/>
  <c r="AC889" i="2"/>
  <c r="AC890" i="2"/>
  <c r="AC902" i="2"/>
  <c r="AC978" i="2"/>
  <c r="AC1013" i="2"/>
  <c r="AC927" i="2"/>
  <c r="AC439" i="2"/>
  <c r="AC981" i="2"/>
  <c r="AC930" i="2"/>
  <c r="AC931" i="2"/>
  <c r="AC470" i="2"/>
  <c r="AC1021" i="2"/>
  <c r="AC494" i="2"/>
  <c r="AC498" i="2"/>
  <c r="AC1075" i="2"/>
  <c r="AC1110" i="2"/>
  <c r="AC1137" i="2"/>
  <c r="AC1092" i="2"/>
  <c r="AC1141" i="2"/>
  <c r="AC1151" i="2"/>
  <c r="AC1086" i="2"/>
  <c r="AC1161" i="2"/>
  <c r="AC1163" i="2"/>
  <c r="AC1031" i="2"/>
  <c r="AC1032" i="2"/>
  <c r="AC1180" i="2"/>
  <c r="AC1035" i="2"/>
  <c r="AC1104" i="2"/>
  <c r="AC358" i="2"/>
  <c r="AC1036" i="2"/>
  <c r="AC395" i="2"/>
  <c r="AC297" i="2"/>
  <c r="AC1334" i="2"/>
  <c r="AC305" i="2"/>
  <c r="AC306" i="2"/>
  <c r="AC397" i="2"/>
  <c r="AC1193" i="2"/>
  <c r="AC399" i="2"/>
  <c r="AC311" i="2"/>
  <c r="AC312" i="2"/>
  <c r="AC319" i="2"/>
  <c r="AC402" i="2"/>
  <c r="AC1213" i="2"/>
  <c r="AC270" i="2"/>
  <c r="AC1360" i="2"/>
  <c r="AC1412" i="2"/>
  <c r="AC1361" i="2"/>
  <c r="AC1366" i="2"/>
  <c r="AC1414" i="2"/>
  <c r="AC1338" i="2"/>
  <c r="AC1438" i="2"/>
  <c r="AC1455" i="2"/>
  <c r="AC1465" i="2"/>
  <c r="AC2511" i="2"/>
  <c r="AC1450" i="2"/>
  <c r="AC1478" i="2"/>
  <c r="AC1371" i="2"/>
  <c r="AC275" i="2"/>
  <c r="AC2516" i="2"/>
  <c r="AC1217" i="2"/>
  <c r="AC1219" i="2"/>
  <c r="AC1228" i="2"/>
  <c r="AC1238" i="2"/>
  <c r="AC976" i="2"/>
  <c r="AC955" i="2"/>
  <c r="AC1530" i="2"/>
  <c r="AC960" i="2"/>
  <c r="AC1233" i="2"/>
  <c r="AC2523" i="2"/>
  <c r="AC1519" i="2"/>
  <c r="AC1568" i="2"/>
  <c r="AC1549" i="2"/>
  <c r="AC535" i="2"/>
  <c r="AC565" i="2"/>
  <c r="AC1248" i="2"/>
  <c r="AC1255" i="2"/>
  <c r="AC2526" i="2"/>
  <c r="AC1324" i="2"/>
  <c r="AC543" i="2"/>
  <c r="AC550" i="2"/>
  <c r="AC600" i="2"/>
  <c r="AC605" i="2"/>
  <c r="AC2145" i="2"/>
  <c r="AC1651" i="2"/>
  <c r="AC1495" i="2"/>
  <c r="AC2544" i="2"/>
  <c r="AC733" i="2"/>
  <c r="AC2554" i="2"/>
  <c r="AC640" i="2"/>
  <c r="AC643" i="2"/>
  <c r="AC656" i="2"/>
  <c r="AC725" i="2"/>
  <c r="AC700" i="2"/>
  <c r="AC2391" i="2"/>
  <c r="AC2561" i="2"/>
  <c r="AC614" i="2"/>
  <c r="AC624" i="2"/>
  <c r="AC634" i="2"/>
  <c r="AC422" i="2"/>
  <c r="AC2246" i="2"/>
  <c r="AC1702" i="2"/>
  <c r="AC1556" i="2"/>
  <c r="AC426" i="2"/>
  <c r="AC431" i="2"/>
  <c r="AC1741" i="2"/>
  <c r="AC753" i="2"/>
  <c r="AC784" i="2"/>
  <c r="AC754" i="2"/>
  <c r="AC765" i="2"/>
  <c r="AC716" i="2"/>
  <c r="AC1297" i="2"/>
  <c r="AC2570" i="2"/>
  <c r="AC1304" i="2"/>
  <c r="AC1712" i="2"/>
  <c r="AC1717" i="2"/>
  <c r="AC671" i="2"/>
  <c r="AC1291" i="2"/>
  <c r="AC681" i="2"/>
  <c r="AC682" i="2"/>
  <c r="AC688" i="2"/>
  <c r="AC294" i="2"/>
  <c r="AC692" i="2"/>
  <c r="AC1769" i="2"/>
  <c r="AC295" i="2"/>
  <c r="AC1750" i="2"/>
  <c r="AC1757" i="2"/>
  <c r="AC1758" i="2"/>
  <c r="AC247" i="2"/>
  <c r="AC248" i="2"/>
  <c r="AC1778" i="2"/>
  <c r="AC1780" i="2"/>
  <c r="AC2582" i="2"/>
  <c r="AC1613" i="2"/>
  <c r="AC2588" i="2"/>
  <c r="AC1796" i="2"/>
  <c r="AC1806" i="2"/>
  <c r="AC1811" i="2"/>
  <c r="AC1810" i="2"/>
  <c r="AC1634" i="2"/>
  <c r="AC1635" i="2"/>
  <c r="AC1817" i="2"/>
  <c r="AC1821" i="2"/>
  <c r="AC1893" i="2"/>
  <c r="AC1894" i="2"/>
  <c r="AC1897" i="2"/>
  <c r="AC1619" i="2"/>
  <c r="AC1620" i="2"/>
  <c r="AC1828" i="2"/>
  <c r="AC1838" i="2"/>
  <c r="AC1845" i="2"/>
  <c r="AC1856" i="2"/>
  <c r="AC1857" i="2"/>
  <c r="AC1871" i="2"/>
  <c r="AC1872" i="2"/>
  <c r="AC1912" i="2"/>
  <c r="AC1900" i="2"/>
  <c r="AC2594" i="2"/>
  <c r="AC2595" i="2"/>
  <c r="AC1962" i="2"/>
  <c r="AC1965" i="2"/>
  <c r="AC1931" i="2"/>
  <c r="AC1969" i="2"/>
  <c r="AC1976" i="2"/>
  <c r="AC1933" i="2"/>
  <c r="AC1934" i="2"/>
  <c r="AC1938" i="2"/>
  <c r="AC1941" i="2"/>
  <c r="AC1943" i="2"/>
  <c r="AC1979" i="2"/>
  <c r="AC1953" i="2"/>
  <c r="AC379" i="2"/>
  <c r="AC1774" i="2"/>
  <c r="AC386" i="2"/>
  <c r="AC376" i="2"/>
  <c r="AC385" i="2"/>
  <c r="AC1988" i="2"/>
  <c r="AC1991" i="2"/>
  <c r="AC2009" i="2"/>
  <c r="AC2010" i="2"/>
  <c r="AC1993" i="2"/>
  <c r="AC237" i="2"/>
  <c r="AC2034" i="2"/>
  <c r="AC2040" i="2"/>
  <c r="AC2046" i="2"/>
  <c r="AC2017" i="2"/>
  <c r="AC2019" i="2"/>
  <c r="AC2024" i="2"/>
  <c r="AC2073" i="2"/>
  <c r="AC2083" i="2"/>
  <c r="AC2062" i="2"/>
  <c r="AC2066" i="2"/>
  <c r="AC2069" i="2"/>
  <c r="AC806" i="2"/>
  <c r="AC808" i="2"/>
  <c r="AC809" i="2"/>
  <c r="AC810" i="2"/>
  <c r="AC818" i="2"/>
  <c r="AC881" i="2"/>
  <c r="AC883" i="2"/>
  <c r="AC885" i="2"/>
  <c r="AC891" i="2"/>
  <c r="AC979" i="2"/>
  <c r="AC1014" i="2"/>
  <c r="AC928" i="2"/>
  <c r="AC440" i="2"/>
  <c r="AC442" i="2"/>
  <c r="AC443" i="2"/>
  <c r="AC980" i="2"/>
  <c r="AC1016" i="2"/>
  <c r="AC932" i="2"/>
  <c r="AC453" i="2"/>
  <c r="AC933" i="2"/>
  <c r="AC454" i="2"/>
  <c r="AC941" i="2"/>
  <c r="AC471" i="2"/>
  <c r="AC479" i="2"/>
  <c r="AC482" i="2"/>
  <c r="AC483" i="2"/>
  <c r="AC487" i="2"/>
  <c r="AC1022" i="2"/>
  <c r="AC499" i="2"/>
  <c r="AC864" i="2"/>
  <c r="AC1138" i="2"/>
  <c r="AC1139" i="2"/>
  <c r="AC1047" i="2"/>
  <c r="AC1048" i="2"/>
  <c r="AC1111" i="2"/>
  <c r="AC1076" i="2"/>
  <c r="AC1093" i="2"/>
  <c r="AC2330" i="2"/>
  <c r="AC1142" i="2"/>
  <c r="AC1050" i="2"/>
  <c r="AC1051" i="2"/>
  <c r="AC1143" i="2"/>
  <c r="AC1144" i="2"/>
  <c r="AC1113" i="2"/>
  <c r="AC1094" i="2"/>
  <c r="AC1052" i="2"/>
  <c r="AC1077" i="2"/>
  <c r="AC1053" i="2"/>
  <c r="AC1152" i="2"/>
  <c r="AC1078" i="2"/>
  <c r="AC1162" i="2"/>
  <c r="AC2331" i="2"/>
  <c r="AC2332" i="2"/>
  <c r="AC1164" i="2"/>
  <c r="AC1128" i="2"/>
  <c r="AC1173" i="2"/>
  <c r="AC1178" i="2"/>
  <c r="AC1004" i="2"/>
  <c r="AC1033" i="2"/>
  <c r="AC1181" i="2"/>
  <c r="AC359" i="2"/>
  <c r="AC259" i="2"/>
  <c r="AC364" i="2"/>
  <c r="AC394" i="2"/>
  <c r="AC262" i="2"/>
  <c r="AC396" i="2"/>
  <c r="AC1189" i="2"/>
  <c r="AC1190" i="2"/>
  <c r="AC2507" i="2"/>
  <c r="AC1191" i="2"/>
  <c r="AC296" i="2"/>
  <c r="AC298" i="2"/>
  <c r="AC1335" i="2"/>
  <c r="AC2096" i="2"/>
  <c r="AC307" i="2"/>
  <c r="AC263" i="2"/>
  <c r="AC308" i="2"/>
  <c r="AC398" i="2"/>
  <c r="AC2336" i="2"/>
  <c r="AC309" i="2"/>
  <c r="AC310" i="2"/>
  <c r="AC264" i="2"/>
  <c r="AC313" i="2"/>
  <c r="AC314" i="2"/>
  <c r="AC265" i="2"/>
  <c r="AC2101" i="2"/>
  <c r="AC2337" i="2"/>
  <c r="AC320" i="2"/>
  <c r="AC2338" i="2"/>
  <c r="AC2339" i="2"/>
  <c r="AC267" i="2"/>
  <c r="AC336" i="2"/>
  <c r="AC337" i="2"/>
  <c r="AC1214" i="2"/>
  <c r="AC271" i="2"/>
  <c r="AC272" i="2"/>
  <c r="AC2116" i="2"/>
  <c r="AC2117" i="2"/>
  <c r="AC345" i="2"/>
  <c r="AC347" i="2"/>
  <c r="AC1413" i="2"/>
  <c r="AC1362" i="2"/>
  <c r="AC2342" i="2"/>
  <c r="AC1415" i="2"/>
  <c r="AC2127" i="2"/>
  <c r="AC1416" i="2"/>
  <c r="AC1339" i="2"/>
  <c r="AC1340" i="2"/>
  <c r="AC1418" i="2"/>
  <c r="AC1348" i="2"/>
  <c r="AC1424" i="2"/>
  <c r="AC1439" i="2"/>
  <c r="AC1452" i="2"/>
  <c r="AC1456" i="2"/>
  <c r="AC1466" i="2"/>
  <c r="AC2512" i="2"/>
  <c r="AC1451" i="2"/>
  <c r="AC2348" i="2"/>
  <c r="AC1372" i="2"/>
  <c r="AC276" i="2"/>
  <c r="AC1376" i="2"/>
  <c r="AC2517" i="2"/>
  <c r="AC1218" i="2"/>
  <c r="AC1380" i="2"/>
  <c r="AC1220" i="2"/>
  <c r="AC1229" i="2"/>
  <c r="AC1230" i="2"/>
  <c r="AC2352" i="2"/>
  <c r="AC1395" i="2"/>
  <c r="AC1239" i="2"/>
  <c r="AC1541" i="2"/>
  <c r="AC2357" i="2"/>
  <c r="AC954" i="2"/>
  <c r="AC1526" i="2"/>
  <c r="AC956" i="2"/>
  <c r="AC1527" i="2"/>
  <c r="AC957" i="2"/>
  <c r="AC961" i="2"/>
  <c r="AC1531" i="2"/>
  <c r="AC2361" i="2"/>
  <c r="AC2362" i="2"/>
  <c r="AC1515" i="2"/>
  <c r="AC2524" i="2"/>
  <c r="AC1520" i="2"/>
  <c r="AC2525" i="2"/>
  <c r="AC1545" i="2"/>
  <c r="AC1601" i="2"/>
  <c r="AC1569" i="2"/>
  <c r="AC1570" i="2"/>
  <c r="AC1571" i="2"/>
  <c r="AC515" i="2"/>
  <c r="AC1551" i="2"/>
  <c r="AC524" i="2"/>
  <c r="AC525" i="2"/>
  <c r="AC526" i="2"/>
  <c r="AC527" i="2"/>
  <c r="AC1592" i="2"/>
  <c r="AC559" i="2"/>
  <c r="AC179" i="2"/>
  <c r="AC566" i="2"/>
  <c r="AC1249" i="2"/>
  <c r="AC1256" i="2"/>
  <c r="AC2527" i="2"/>
  <c r="AC2372" i="2"/>
  <c r="AC1321" i="2"/>
  <c r="AC1325" i="2"/>
  <c r="AC1267" i="2"/>
  <c r="AC544" i="2"/>
  <c r="AC1317" i="2"/>
  <c r="AC2536" i="2"/>
  <c r="AC576" i="2"/>
  <c r="AC580" i="2"/>
  <c r="AC583" i="2"/>
  <c r="AC588" i="2"/>
  <c r="AC599" i="2"/>
  <c r="AC601" i="2"/>
  <c r="AC2374" i="2"/>
  <c r="AC606" i="2"/>
  <c r="AC2157" i="2"/>
  <c r="AC2158" i="2"/>
  <c r="AC2141" i="2"/>
  <c r="AC2161" i="2"/>
  <c r="AC2165" i="2"/>
  <c r="AC2146" i="2"/>
  <c r="AC2375" i="2"/>
  <c r="AC608" i="2"/>
  <c r="AC1496" i="2"/>
  <c r="AC1497" i="2"/>
  <c r="AC1498" i="2"/>
  <c r="AC2545" i="2"/>
  <c r="AC637" i="2"/>
  <c r="AC638" i="2"/>
  <c r="AC734" i="2"/>
  <c r="AC639" i="2"/>
  <c r="AC2555" i="2"/>
  <c r="AC723" i="2"/>
  <c r="AC1655" i="2"/>
  <c r="AC1657" i="2"/>
  <c r="AC724" i="2"/>
  <c r="AC649" i="2"/>
  <c r="AC1660" i="2"/>
  <c r="AC1664" i="2"/>
  <c r="AC657" i="2"/>
  <c r="AC1665" i="2"/>
  <c r="AC1666" i="2"/>
  <c r="AC1669" i="2"/>
  <c r="AC1688" i="2"/>
  <c r="AC1671" i="2"/>
  <c r="AC1330" i="2"/>
  <c r="AC745" i="2"/>
  <c r="AC701" i="2"/>
  <c r="AC2392" i="2"/>
  <c r="AC2562" i="2"/>
  <c r="AC705" i="2"/>
  <c r="AC615" i="2"/>
  <c r="AC616" i="2"/>
  <c r="AC625" i="2"/>
  <c r="AC2381" i="2"/>
  <c r="AC630" i="2"/>
  <c r="AC635" i="2"/>
  <c r="AC1507" i="2"/>
  <c r="AC2228" i="2"/>
  <c r="AC2242" i="2"/>
  <c r="AC423" i="2"/>
  <c r="AC2247" i="2"/>
  <c r="AC1703" i="2"/>
  <c r="AC1704" i="2"/>
  <c r="AC427" i="2"/>
  <c r="AC1705" i="2"/>
  <c r="AC432" i="2"/>
  <c r="AC1732" i="2"/>
  <c r="AC777" i="2"/>
  <c r="AC755" i="2"/>
  <c r="AC1742" i="2"/>
  <c r="AC785" i="2"/>
  <c r="AC2326" i="2"/>
  <c r="AC766" i="2"/>
  <c r="AC717" i="2"/>
  <c r="AC1298" i="2"/>
  <c r="AC1279" i="2"/>
  <c r="AC1282" i="2"/>
  <c r="AC2571" i="2"/>
  <c r="AC1709" i="2"/>
  <c r="AC1713" i="2"/>
  <c r="AC1723" i="2"/>
  <c r="AC672" i="2"/>
  <c r="AC1727" i="2"/>
  <c r="AC1728" i="2"/>
  <c r="AC1292" i="2"/>
  <c r="AC661" i="2"/>
  <c r="AC683" i="2"/>
  <c r="AC693" i="2"/>
  <c r="AC2290" i="2"/>
  <c r="AC1759" i="2"/>
  <c r="AC250" i="2"/>
  <c r="AC1779" i="2"/>
  <c r="AC1781" i="2"/>
  <c r="AC1614" i="2"/>
  <c r="AC1802" i="2"/>
  <c r="AC1803" i="2"/>
  <c r="AC2155" i="2"/>
  <c r="AC1636" i="2"/>
  <c r="AC1638" i="2"/>
  <c r="AC1647" i="2"/>
  <c r="AC1822" i="2"/>
  <c r="AC254" i="2"/>
  <c r="AC251" i="2"/>
  <c r="AC1895" i="2"/>
  <c r="AC1896" i="2"/>
  <c r="AC2480" i="2"/>
  <c r="AC1829" i="2"/>
  <c r="AC252" i="2"/>
  <c r="AC256" i="2"/>
  <c r="AC1846" i="2"/>
  <c r="AC1858" i="2"/>
  <c r="AC253" i="2"/>
  <c r="AC1860" i="2"/>
  <c r="AC1861" i="2"/>
  <c r="AC1873" i="2"/>
  <c r="AC1874" i="2"/>
  <c r="AC257" i="2"/>
  <c r="AC1901" i="2"/>
  <c r="AC1903" i="2"/>
  <c r="AC1909" i="2"/>
  <c r="AC1910" i="2"/>
  <c r="AC258" i="2"/>
  <c r="AC1918" i="2"/>
  <c r="AC2596" i="2"/>
  <c r="AC2597" i="2"/>
  <c r="AC1963" i="2"/>
  <c r="AC1932" i="2"/>
  <c r="AC1935" i="2"/>
  <c r="AC1936" i="2"/>
  <c r="AC1951" i="2"/>
  <c r="AC2091" i="2"/>
  <c r="AC380" i="2"/>
  <c r="AC387" i="2"/>
  <c r="AC388" i="2"/>
  <c r="AC391" i="2"/>
  <c r="AC1984" i="2"/>
  <c r="AC1989" i="2"/>
  <c r="AC2000" i="2"/>
  <c r="AC2005" i="2"/>
  <c r="AC2013" i="2"/>
  <c r="AC1996" i="2"/>
  <c r="AC2031" i="2"/>
  <c r="AC2035" i="2"/>
  <c r="AC2041" i="2"/>
  <c r="AC2047" i="2"/>
  <c r="AC2025" i="2"/>
  <c r="AC2026" i="2"/>
  <c r="AC2080" i="2"/>
  <c r="AC2081" i="2"/>
  <c r="AC2027" i="2"/>
  <c r="AC2063" i="2"/>
  <c r="AC882" i="2"/>
  <c r="AC892" i="2"/>
  <c r="AC861" i="2"/>
  <c r="AC1015" i="2"/>
  <c r="AC929" i="2"/>
  <c r="AC441" i="2"/>
  <c r="AC934" i="2"/>
  <c r="AC935" i="2"/>
  <c r="AC472" i="2"/>
  <c r="AC480" i="2"/>
  <c r="AC488" i="2"/>
  <c r="AC1049" i="2"/>
  <c r="AC1112" i="2"/>
  <c r="AC1140" i="2"/>
  <c r="AC866" i="2"/>
  <c r="AC1145" i="2"/>
  <c r="AC1114" i="2"/>
  <c r="AC1079" i="2"/>
  <c r="AC2443" i="2"/>
  <c r="AC1062" i="2"/>
  <c r="AC921" i="2"/>
  <c r="AC1124" i="2"/>
  <c r="AC2411" i="2"/>
  <c r="AC1002" i="2"/>
  <c r="AC1167" i="2"/>
  <c r="AC1011" i="2"/>
  <c r="AC1034" i="2"/>
  <c r="AC1072" i="2"/>
  <c r="AC1037" i="2"/>
  <c r="AC2097" i="2"/>
  <c r="AC1194" i="2"/>
  <c r="AC400" i="2"/>
  <c r="AC1195" i="2"/>
  <c r="AC2102" i="2"/>
  <c r="AC2106" i="2"/>
  <c r="AC2118" i="2"/>
  <c r="AC2119" i="2"/>
  <c r="AC2124" i="2"/>
  <c r="AC1417" i="2"/>
  <c r="AC1341" i="2"/>
  <c r="AC1419" i="2"/>
  <c r="AC2513" i="2"/>
  <c r="AC2518" i="2"/>
  <c r="AC1381" i="2"/>
  <c r="AC1244" i="2"/>
  <c r="AC1245" i="2"/>
  <c r="AC1521" i="2"/>
  <c r="AC1265" i="2"/>
  <c r="AC2537" i="2"/>
  <c r="AC2159" i="2"/>
  <c r="AC2147" i="2"/>
  <c r="AC2166" i="2"/>
  <c r="AC2376" i="2"/>
  <c r="AC2546" i="2"/>
  <c r="AC735" i="2"/>
  <c r="AC2556" i="2"/>
  <c r="AC644" i="2"/>
  <c r="AC1658" i="2"/>
  <c r="AC1670" i="2"/>
  <c r="AC1684" i="2"/>
  <c r="AC726" i="2"/>
  <c r="AC702" i="2"/>
  <c r="AC1272" i="2"/>
  <c r="AC626" i="2"/>
  <c r="AC238" i="2"/>
  <c r="AC778" i="2"/>
  <c r="AC786" i="2"/>
  <c r="AC242" i="2"/>
  <c r="AC2564" i="2"/>
  <c r="AC767" i="2"/>
  <c r="AC694" i="2"/>
  <c r="AC1760" i="2"/>
  <c r="AC1782" i="2"/>
  <c r="AC2583" i="2"/>
  <c r="AC2589" i="2"/>
  <c r="AC1807" i="2"/>
  <c r="AC1618" i="2"/>
  <c r="AC1789" i="2"/>
  <c r="AC1628" i="2"/>
  <c r="AC1639" i="2"/>
  <c r="AC1642" i="2"/>
  <c r="AC1847" i="2"/>
  <c r="AC1648" i="2"/>
  <c r="AC1823" i="2"/>
  <c r="AC1630" i="2"/>
  <c r="AC1649" i="2"/>
  <c r="AC1839" i="2"/>
  <c r="AC1875" i="2"/>
  <c r="AC1902" i="2"/>
  <c r="AC1911" i="2"/>
  <c r="AC1919" i="2"/>
  <c r="AC2598" i="2"/>
  <c r="AC2599" i="2"/>
  <c r="AC1970" i="2"/>
  <c r="AC2092" i="2"/>
  <c r="AC1952" i="2"/>
  <c r="AC2084" i="2"/>
  <c r="AC2064" i="2"/>
  <c r="AC2070" i="2"/>
  <c r="AC819" i="2"/>
  <c r="AC833" i="2"/>
  <c r="AC850" i="2"/>
  <c r="AC853" i="2"/>
  <c r="AC872" i="2"/>
  <c r="AC857" i="2"/>
  <c r="AC893" i="2"/>
  <c r="AC903" i="2"/>
  <c r="AC910" i="2"/>
  <c r="AC911" i="2"/>
  <c r="AC449" i="2"/>
  <c r="AC942" i="2"/>
  <c r="AC949" i="2"/>
  <c r="AC460" i="2"/>
  <c r="AC473" i="2"/>
  <c r="AC988" i="2"/>
  <c r="AC489" i="2"/>
  <c r="AC2253" i="2"/>
  <c r="AC1023" i="2"/>
  <c r="AC500" i="2"/>
  <c r="AC504" i="2"/>
  <c r="AC995" i="2"/>
  <c r="AC2397" i="2"/>
  <c r="AC2260" i="2"/>
  <c r="AC1119" i="2"/>
  <c r="AC1153" i="2"/>
  <c r="AC11" i="2"/>
  <c r="AC1058" i="2"/>
  <c r="AC1100" i="2"/>
  <c r="AC1083" i="2"/>
  <c r="AC2268" i="2"/>
  <c r="AC1130" i="2"/>
  <c r="AC1133" i="2"/>
  <c r="AC2308" i="2"/>
  <c r="AC1005" i="2"/>
  <c r="AC2448" i="2"/>
  <c r="AC1182" i="2"/>
  <c r="AC1073" i="2"/>
  <c r="AC2426" i="2"/>
  <c r="AC1106" i="2"/>
  <c r="AC2312" i="2"/>
  <c r="AC360" i="2"/>
  <c r="AC365" i="2"/>
  <c r="AC2276" i="2"/>
  <c r="AC2285" i="2"/>
  <c r="AC2103" i="2"/>
  <c r="AC2113" i="2"/>
  <c r="AC1200" i="2"/>
  <c r="AC327" i="2"/>
  <c r="AC1204" i="2"/>
  <c r="AC334" i="2"/>
  <c r="AC1208" i="2"/>
  <c r="AC405" i="2"/>
  <c r="AC411" i="2"/>
  <c r="AC342" i="2"/>
  <c r="AC2417" i="2"/>
  <c r="AC1212" i="2"/>
  <c r="AC415" i="2"/>
  <c r="AC1483" i="2"/>
  <c r="AC348" i="2"/>
  <c r="AC2125" i="2"/>
  <c r="AC1342" i="2"/>
  <c r="AC1425" i="2"/>
  <c r="AC1349" i="2"/>
  <c r="AC195" i="2"/>
  <c r="AC1457" i="2"/>
  <c r="AC1445" i="2"/>
  <c r="AC1470" i="2"/>
  <c r="AC1471" i="2"/>
  <c r="AC1474" i="2"/>
  <c r="AC351" i="2"/>
  <c r="AC1377" i="2"/>
  <c r="AC188" i="2"/>
  <c r="AC1385" i="2"/>
  <c r="AC1231" i="2"/>
  <c r="AC18" i="2"/>
  <c r="AC1396" i="2"/>
  <c r="AC1240" i="2"/>
  <c r="AC1532" i="2"/>
  <c r="AC20" i="2"/>
  <c r="AC971" i="2"/>
  <c r="AC24" i="2"/>
  <c r="AC974" i="2"/>
  <c r="AC1537" i="2"/>
  <c r="AC28" i="2"/>
  <c r="AC1401" i="2"/>
  <c r="AC2292" i="2"/>
  <c r="AC34" i="2"/>
  <c r="AC2134" i="2"/>
  <c r="AC1516" i="2"/>
  <c r="AC1546" i="2"/>
  <c r="AC1572" i="2"/>
  <c r="AC1584" i="2"/>
  <c r="AC1550" i="2"/>
  <c r="AC44" i="2"/>
  <c r="AC1593" i="2"/>
  <c r="AC529" i="2"/>
  <c r="AC538" i="2"/>
  <c r="AC567" i="2"/>
  <c r="AC1250" i="2"/>
  <c r="AC51" i="2"/>
  <c r="AC1262" i="2"/>
  <c r="AC149" i="2"/>
  <c r="AC1268" i="2"/>
  <c r="AC1310" i="2"/>
  <c r="AC1326" i="2"/>
  <c r="AC545" i="2"/>
  <c r="AC1318" i="2"/>
  <c r="AC577" i="2"/>
  <c r="AC584" i="2"/>
  <c r="AC63" i="2"/>
  <c r="AC607" i="2"/>
  <c r="AC2167" i="2"/>
  <c r="AC2148" i="2"/>
  <c r="AC2318" i="2"/>
  <c r="AC1499" i="2"/>
  <c r="AC736" i="2"/>
  <c r="AC645" i="2"/>
  <c r="AC71" i="2"/>
  <c r="AC1693" i="2"/>
  <c r="AC659" i="2"/>
  <c r="AC1676" i="2"/>
  <c r="AC2189" i="2"/>
  <c r="AC2300" i="2"/>
  <c r="AC2393" i="2"/>
  <c r="AC2196" i="2"/>
  <c r="AC2322" i="2"/>
  <c r="AC627" i="2"/>
  <c r="AC2305" i="2"/>
  <c r="AC1508" i="2"/>
  <c r="AC76" i="2"/>
  <c r="AC2216" i="2"/>
  <c r="AC2239" i="2"/>
  <c r="AC83" i="2"/>
  <c r="AC84" i="2"/>
  <c r="AC710" i="2"/>
  <c r="AC2225" i="2"/>
  <c r="AC2296" i="2"/>
  <c r="AC1557" i="2"/>
  <c r="AC240" i="2"/>
  <c r="AC428" i="2"/>
  <c r="AC1275" i="2"/>
  <c r="AC1733" i="2"/>
  <c r="AC756" i="2"/>
  <c r="AC91" i="2"/>
  <c r="AC244" i="2"/>
  <c r="AC768" i="2"/>
  <c r="AC2429" i="2"/>
  <c r="AC2433" i="2"/>
  <c r="AC772" i="2"/>
  <c r="AC435" i="2"/>
  <c r="AC718" i="2"/>
  <c r="AC1280" i="2"/>
  <c r="AC791" i="2"/>
  <c r="AC98" i="2"/>
  <c r="AC798" i="2"/>
  <c r="AC1710" i="2"/>
  <c r="AC1718" i="2"/>
  <c r="AC1724" i="2"/>
  <c r="AC673" i="2"/>
  <c r="AC1729" i="2"/>
  <c r="AC1293" i="2"/>
  <c r="AC684" i="2"/>
  <c r="AC554" i="2"/>
  <c r="AC664" i="2"/>
  <c r="AC697" i="2"/>
  <c r="AC2382" i="2"/>
  <c r="AC2234" i="2"/>
  <c r="AC1751" i="2"/>
  <c r="AC1761" i="2"/>
  <c r="AC2407" i="2"/>
  <c r="AC104" i="2"/>
  <c r="AC166" i="2"/>
  <c r="AC126" i="2"/>
  <c r="AC107" i="2"/>
  <c r="AC129" i="2"/>
  <c r="AC113" i="2"/>
  <c r="AC159" i="2"/>
  <c r="AC120" i="2"/>
  <c r="AC140" i="2"/>
  <c r="AC223" i="2"/>
  <c r="AC1886" i="2"/>
  <c r="AC1840" i="2"/>
  <c r="AC204" i="2"/>
  <c r="AC214" i="2"/>
  <c r="AC2619" i="2"/>
  <c r="AC2629" i="2"/>
  <c r="AC16" i="2"/>
  <c r="AC1006" i="2"/>
  <c r="AC1263" i="2"/>
  <c r="AC788" i="2"/>
  <c r="AC224" i="2"/>
  <c r="AC811" i="2"/>
  <c r="AC826" i="2"/>
  <c r="AC444" i="2"/>
  <c r="AC984" i="2"/>
  <c r="AC5" i="2"/>
  <c r="AC2263" i="2"/>
  <c r="AC1157" i="2"/>
  <c r="AC1067" i="2"/>
  <c r="AC1088" i="2"/>
  <c r="AC2266" i="2"/>
  <c r="AC1174" i="2"/>
  <c r="AC2310" i="2"/>
  <c r="AC1183" i="2"/>
  <c r="AC2279" i="2"/>
  <c r="AC330" i="2"/>
  <c r="AC2416" i="2"/>
  <c r="AC1210" i="2"/>
  <c r="AC191" i="2"/>
  <c r="AC1442" i="2"/>
  <c r="AC186" i="2"/>
  <c r="AC1388" i="2"/>
  <c r="AC23" i="2"/>
  <c r="AC973" i="2"/>
  <c r="AC42" i="2"/>
  <c r="AC1587" i="2"/>
  <c r="AC47" i="2"/>
  <c r="AC147" i="2"/>
  <c r="AC1306" i="2"/>
  <c r="AC539" i="2"/>
  <c r="AC60" i="2"/>
  <c r="AC602" i="2"/>
  <c r="AC1491" i="2"/>
  <c r="AC2400" i="2"/>
  <c r="AC609" i="2"/>
  <c r="AC424" i="2"/>
  <c r="AC88" i="2"/>
  <c r="AC720" i="2"/>
  <c r="AC94" i="2"/>
  <c r="AC1762" i="2"/>
  <c r="AC101" i="2"/>
  <c r="AC123" i="2"/>
  <c r="AC163" i="2"/>
  <c r="AC116" i="2"/>
  <c r="AC135" i="2"/>
  <c r="AC1882" i="2"/>
  <c r="AC1833" i="2"/>
  <c r="AC1907" i="2"/>
  <c r="AC1916" i="2"/>
  <c r="AC200" i="2"/>
  <c r="AC209" i="2"/>
  <c r="AC2620" i="2"/>
  <c r="AC2630" i="2"/>
  <c r="AC820" i="2"/>
  <c r="AC834" i="2"/>
  <c r="AC873" i="2"/>
  <c r="AC858" i="2"/>
  <c r="AC894" i="2"/>
  <c r="AC912" i="2"/>
  <c r="AC913" i="2"/>
  <c r="AC1000" i="2"/>
  <c r="AC12" i="2"/>
  <c r="AC821" i="2"/>
  <c r="AC835" i="2"/>
  <c r="AC874" i="2"/>
  <c r="AC859" i="2"/>
  <c r="AC895" i="2"/>
  <c r="AC914" i="2"/>
  <c r="AC915" i="2"/>
  <c r="AC450" i="2"/>
  <c r="AC943" i="2"/>
  <c r="AC950" i="2"/>
  <c r="AC461" i="2"/>
  <c r="AC862" i="2"/>
  <c r="AC474" i="2"/>
  <c r="AC989" i="2"/>
  <c r="AC490" i="2"/>
  <c r="AC991" i="2"/>
  <c r="AC1024" i="2"/>
  <c r="AC501" i="2"/>
  <c r="AC505" i="2"/>
  <c r="AC508" i="2"/>
  <c r="AC1001" i="2"/>
  <c r="AC13" i="2"/>
  <c r="AC922" i="2"/>
  <c r="AC822" i="2"/>
  <c r="AC836" i="2"/>
  <c r="AC875" i="2"/>
  <c r="AC896" i="2"/>
  <c r="AC451" i="2"/>
  <c r="AC456" i="2"/>
  <c r="AC944" i="2"/>
  <c r="AC2254" i="2"/>
  <c r="AC1025" i="2"/>
  <c r="AC2261" i="2"/>
  <c r="AC14" i="2"/>
  <c r="AC1120" i="2"/>
  <c r="AC1154" i="2"/>
  <c r="AC1059" i="2"/>
  <c r="AC1101" i="2"/>
  <c r="AC1084" i="2"/>
  <c r="AC2269" i="2"/>
  <c r="AC361" i="2"/>
  <c r="AC2277" i="2"/>
  <c r="AC2286" i="2"/>
  <c r="AC2104" i="2"/>
  <c r="AC2114" i="2"/>
  <c r="AC1201" i="2"/>
  <c r="AC328" i="2"/>
  <c r="AC412" i="2"/>
  <c r="AC343" i="2"/>
  <c r="AC1484" i="2"/>
  <c r="AC416" i="2"/>
  <c r="AC1216" i="2"/>
  <c r="AC1363" i="2"/>
  <c r="AC1343" i="2"/>
  <c r="AC1426" i="2"/>
  <c r="AC1440" i="2"/>
  <c r="AC196" i="2"/>
  <c r="AC1446" i="2"/>
  <c r="AC1472" i="2"/>
  <c r="AC352" i="2"/>
  <c r="AC1378" i="2"/>
  <c r="AC189" i="2"/>
  <c r="AC1386" i="2"/>
  <c r="AC1232" i="2"/>
  <c r="AC1241" i="2"/>
  <c r="AC962" i="2"/>
  <c r="AC21" i="2"/>
  <c r="AC1538" i="2"/>
  <c r="AC29" i="2"/>
  <c r="AC35" i="2"/>
  <c r="AC36" i="2"/>
  <c r="AC2135" i="2"/>
  <c r="AC1573" i="2"/>
  <c r="AC1585" i="2"/>
  <c r="AC45" i="2"/>
  <c r="AC1594" i="2"/>
  <c r="AC2315" i="2"/>
  <c r="AC568" i="2"/>
  <c r="AC52" i="2"/>
  <c r="AC1322" i="2"/>
  <c r="AC150" i="2"/>
  <c r="AC578" i="2"/>
  <c r="AC589" i="2"/>
  <c r="AC64" i="2"/>
  <c r="AC2168" i="2"/>
  <c r="AC2149" i="2"/>
  <c r="AC2170" i="2"/>
  <c r="AC2319" i="2"/>
  <c r="AC2174" i="2"/>
  <c r="AC1500" i="2"/>
  <c r="AC737" i="2"/>
  <c r="AC2180" i="2"/>
  <c r="AC646" i="2"/>
  <c r="AC72" i="2"/>
  <c r="AC1694" i="2"/>
  <c r="AC1677" i="2"/>
  <c r="AC744" i="2"/>
  <c r="AC2190" i="2"/>
  <c r="AC703" i="2"/>
  <c r="AC2301" i="2"/>
  <c r="AC74" i="2"/>
  <c r="AC2197" i="2"/>
  <c r="AC2323" i="2"/>
  <c r="AC628" i="2"/>
  <c r="AC631" i="2"/>
  <c r="AC2306" i="2"/>
  <c r="AC1509" i="2"/>
  <c r="AC77" i="2"/>
  <c r="AC2217" i="2"/>
  <c r="AC2240" i="2"/>
  <c r="AC85" i="2"/>
  <c r="AC2226" i="2"/>
  <c r="AC1558" i="2"/>
  <c r="AC757" i="2"/>
  <c r="AC92" i="2"/>
  <c r="AC769" i="2"/>
  <c r="AC99" i="2"/>
  <c r="AC799" i="2"/>
  <c r="AC1719" i="2"/>
  <c r="AC1725" i="2"/>
  <c r="AC685" i="2"/>
  <c r="AC555" i="2"/>
  <c r="AC2383" i="2"/>
  <c r="AC2235" i="2"/>
  <c r="AC1752" i="2"/>
  <c r="AC1765" i="2"/>
  <c r="AC2408" i="2"/>
  <c r="AC155" i="2"/>
  <c r="AC105" i="2"/>
  <c r="AC167" i="2"/>
  <c r="AC127" i="2"/>
  <c r="AC108" i="2"/>
  <c r="AC130" i="2"/>
  <c r="AC131" i="2"/>
  <c r="AC114" i="2"/>
  <c r="AC160" i="2"/>
  <c r="AC146" i="2"/>
  <c r="AC1824" i="2"/>
  <c r="AC121" i="2"/>
  <c r="AC141" i="2"/>
  <c r="AC225" i="2"/>
  <c r="AC1887" i="2"/>
  <c r="AC1841" i="2"/>
  <c r="AC205" i="2"/>
  <c r="AC215" i="2"/>
  <c r="AC233" i="2"/>
  <c r="AC2621" i="2"/>
  <c r="AC2631" i="2"/>
  <c r="AC823" i="2"/>
  <c r="AC837" i="2"/>
  <c r="AC876" i="2"/>
  <c r="AC860" i="2"/>
  <c r="AC897" i="2"/>
  <c r="AC916" i="2"/>
  <c r="AC2248" i="2"/>
  <c r="AC452" i="2"/>
  <c r="AC945" i="2"/>
  <c r="AC951" i="2"/>
  <c r="AC462" i="2"/>
  <c r="AC475" i="2"/>
  <c r="AC990" i="2"/>
  <c r="AC491" i="2"/>
  <c r="AC2255" i="2"/>
  <c r="AC502" i="2"/>
  <c r="AC2262" i="2"/>
  <c r="AC15" i="2"/>
  <c r="AC1155" i="2"/>
  <c r="AC1121" i="2"/>
  <c r="AC1102" i="2"/>
  <c r="AC1060" i="2"/>
  <c r="AC1085" i="2"/>
  <c r="AC923" i="2"/>
  <c r="AC17" i="2"/>
  <c r="AC2270" i="2"/>
  <c r="AC1131" i="2"/>
  <c r="AC1134" i="2"/>
  <c r="AC1172" i="2"/>
  <c r="AC2309" i="2"/>
  <c r="AC1007" i="2"/>
  <c r="AC2449" i="2"/>
  <c r="AC362" i="2"/>
  <c r="AC366" i="2"/>
  <c r="AC2278" i="2"/>
  <c r="AC374" i="2"/>
  <c r="AC2287" i="2"/>
  <c r="AC1202" i="2"/>
  <c r="AC329" i="2"/>
  <c r="AC1209" i="2"/>
  <c r="AC406" i="2"/>
  <c r="AC413" i="2"/>
  <c r="AC344" i="2"/>
  <c r="AC2418" i="2"/>
  <c r="AC1485" i="2"/>
  <c r="AC349" i="2"/>
  <c r="AC1364" i="2"/>
  <c r="AC2126" i="2"/>
  <c r="AC1344" i="2"/>
  <c r="AC1427" i="2"/>
  <c r="AC1350" i="2"/>
  <c r="AC197" i="2"/>
  <c r="AC1458" i="2"/>
  <c r="AC1447" i="2"/>
  <c r="AC353" i="2"/>
  <c r="AC1379" i="2"/>
  <c r="AC190" i="2"/>
  <c r="AC1387" i="2"/>
  <c r="AC2455" i="2"/>
  <c r="AC2420" i="2"/>
  <c r="AC1533" i="2"/>
  <c r="AC963" i="2"/>
  <c r="AC2439" i="2"/>
  <c r="AC22" i="2"/>
  <c r="AC972" i="2"/>
  <c r="AC1539" i="2"/>
  <c r="AC30" i="2"/>
  <c r="AC37" i="2"/>
  <c r="AC38" i="2"/>
  <c r="AC2136" i="2"/>
  <c r="AC1547" i="2"/>
  <c r="AC1574" i="2"/>
  <c r="AC1586" i="2"/>
  <c r="AC46" i="2"/>
  <c r="AC1595" i="2"/>
  <c r="AC2294" i="2"/>
  <c r="AC530" i="2"/>
  <c r="AC2316" i="2"/>
  <c r="AC560" i="2"/>
  <c r="AC569" i="2"/>
  <c r="AC1251" i="2"/>
  <c r="AC53" i="2"/>
  <c r="AC1264" i="2"/>
  <c r="AC1323" i="2"/>
  <c r="AC151" i="2"/>
  <c r="AC585" i="2"/>
  <c r="AC596" i="2"/>
  <c r="AC65" i="2"/>
  <c r="AC2169" i="2"/>
  <c r="AC2150" i="2"/>
  <c r="AC2171" i="2"/>
  <c r="AC2320" i="2"/>
  <c r="AC2175" i="2"/>
  <c r="AC1501" i="2"/>
  <c r="AC738" i="2"/>
  <c r="AC2181" i="2"/>
  <c r="AC647" i="2"/>
  <c r="AC2402" i="2"/>
  <c r="AC658" i="2"/>
  <c r="AC73" i="2"/>
  <c r="AC1695" i="2"/>
  <c r="AC1678" i="2"/>
  <c r="AC2191" i="2"/>
  <c r="AC2302" i="2"/>
  <c r="AC2394" i="2"/>
  <c r="AC2198" i="2"/>
  <c r="AC2324" i="2"/>
  <c r="AC629" i="2"/>
  <c r="AC2307" i="2"/>
  <c r="AC1510" i="2"/>
  <c r="AC78" i="2"/>
  <c r="AC2218" i="2"/>
  <c r="AC2241" i="2"/>
  <c r="AC86" i="2"/>
  <c r="AC87" i="2"/>
  <c r="AC711" i="2"/>
  <c r="AC2227" i="2"/>
  <c r="AC2297" i="2"/>
  <c r="AC1559" i="2"/>
  <c r="AC429" i="2"/>
  <c r="AC1276" i="2"/>
  <c r="AC1734" i="2"/>
  <c r="AC93" i="2"/>
  <c r="AC770" i="2"/>
  <c r="AC2434" i="2"/>
  <c r="AC773" i="2"/>
  <c r="AC719" i="2"/>
  <c r="AC100" i="2"/>
  <c r="AC800" i="2"/>
  <c r="AC1711" i="2"/>
  <c r="AC1726" i="2"/>
  <c r="AC674" i="2"/>
  <c r="AC662" i="2"/>
  <c r="AC686" i="2"/>
  <c r="AC556" i="2"/>
  <c r="AC2384" i="2"/>
  <c r="AC2236" i="2"/>
  <c r="AC1753" i="2"/>
  <c r="AC2405" i="2"/>
  <c r="AC156" i="2"/>
  <c r="AC106" i="2"/>
  <c r="AC168" i="2"/>
  <c r="AC109" i="2"/>
  <c r="AC132" i="2"/>
  <c r="AC115" i="2"/>
  <c r="AC161" i="2"/>
  <c r="AC122" i="2"/>
  <c r="AC142" i="2"/>
  <c r="AC1859" i="2"/>
  <c r="AC229" i="2"/>
  <c r="AC206" i="2"/>
  <c r="AC216" i="2"/>
  <c r="AC2622" i="2"/>
  <c r="AC2632" i="2"/>
  <c r="A24" i="9"/>
  <c r="AB24" i="9"/>
  <c r="AC24" i="9"/>
  <c r="A23" i="9"/>
  <c r="AB23" i="9"/>
  <c r="AC23" i="9"/>
  <c r="A43" i="9"/>
  <c r="AB43" i="9"/>
  <c r="AC43" i="9"/>
  <c r="A42" i="9"/>
  <c r="AB42" i="9"/>
  <c r="AC42" i="9"/>
  <c r="AC15" i="9"/>
  <c r="AC11" i="9"/>
  <c r="M11" i="9"/>
  <c r="M15" i="9"/>
  <c r="A15" i="9"/>
  <c r="A11" i="9"/>
  <c r="AB15" i="9"/>
  <c r="AB11" i="9"/>
  <c r="AF23" i="9" l="1"/>
  <c r="AF41" i="9"/>
  <c r="AF11" i="9"/>
  <c r="AF38" i="9"/>
  <c r="AF34" i="9"/>
  <c r="AF42" i="9"/>
  <c r="AF24" i="9"/>
  <c r="AF28" i="9"/>
  <c r="AF15" i="9"/>
  <c r="AF26" i="9"/>
  <c r="AF17" i="9"/>
  <c r="AF43" i="9"/>
  <c r="AF18" i="9"/>
  <c r="AF27" i="9"/>
  <c r="W42" i="24"/>
  <c r="R42" i="24"/>
  <c r="V42" i="24" s="1"/>
  <c r="X42" i="24" s="1"/>
  <c r="W3" i="24"/>
  <c r="R3" i="24"/>
  <c r="V3" i="24" s="1"/>
  <c r="X3" i="24" s="1"/>
  <c r="W40" i="24"/>
  <c r="R40" i="24"/>
  <c r="V40" i="24" s="1"/>
  <c r="X40" i="24" s="1"/>
  <c r="W6" i="24"/>
  <c r="J1" i="24"/>
  <c r="W5" i="24"/>
  <c r="R4" i="24"/>
  <c r="V4" i="24" s="1"/>
  <c r="R41" i="24"/>
  <c r="V41" i="24" s="1"/>
  <c r="X41" i="24" s="1"/>
  <c r="W12" i="24"/>
  <c r="W38" i="24"/>
  <c r="R38" i="24"/>
  <c r="V38" i="24" s="1"/>
  <c r="X38" i="24" s="1"/>
  <c r="W16" i="24"/>
  <c r="R16" i="24"/>
  <c r="V16" i="24" s="1"/>
  <c r="X16" i="24" s="1"/>
  <c r="W26" i="24"/>
  <c r="R26" i="24"/>
  <c r="V26" i="24" s="1"/>
  <c r="X26" i="24" s="1"/>
  <c r="W33" i="24"/>
  <c r="R33" i="24"/>
  <c r="V33" i="24" s="1"/>
  <c r="X33" i="24" s="1"/>
  <c r="W46" i="24"/>
  <c r="R46" i="24"/>
  <c r="V46" i="24" s="1"/>
  <c r="X46" i="24" s="1"/>
  <c r="W53" i="24"/>
  <c r="R53" i="24"/>
  <c r="V53" i="24" s="1"/>
  <c r="X53" i="24" s="1"/>
  <c r="W62" i="24"/>
  <c r="R62" i="24"/>
  <c r="V62" i="24" s="1"/>
  <c r="X62" i="24" s="1"/>
  <c r="W70" i="24"/>
  <c r="R70" i="24"/>
  <c r="V70" i="24" s="1"/>
  <c r="X70" i="24" s="1"/>
  <c r="W78" i="24"/>
  <c r="R78" i="24"/>
  <c r="V78" i="24" s="1"/>
  <c r="X78" i="24" s="1"/>
  <c r="W20" i="24"/>
  <c r="R20" i="24"/>
  <c r="V20" i="24" s="1"/>
  <c r="X20" i="24" s="1"/>
  <c r="W28" i="24"/>
  <c r="R28" i="24"/>
  <c r="V28" i="24" s="1"/>
  <c r="X28" i="24" s="1"/>
  <c r="W36" i="24"/>
  <c r="R36" i="24"/>
  <c r="V36" i="24" s="1"/>
  <c r="X36" i="24" s="1"/>
  <c r="W49" i="24"/>
  <c r="R49" i="24"/>
  <c r="V49" i="24" s="1"/>
  <c r="X49" i="24" s="1"/>
  <c r="W57" i="24"/>
  <c r="R57" i="24"/>
  <c r="V57" i="24" s="1"/>
  <c r="X57" i="24" s="1"/>
  <c r="W65" i="24"/>
  <c r="R65" i="24"/>
  <c r="V65" i="24" s="1"/>
  <c r="X65" i="24" s="1"/>
  <c r="W74" i="24"/>
  <c r="R74" i="24"/>
  <c r="V74" i="24" s="1"/>
  <c r="X74" i="24" s="1"/>
  <c r="V5" i="24"/>
  <c r="X5" i="24" s="1"/>
  <c r="W10" i="24"/>
  <c r="R10" i="24"/>
  <c r="V10" i="24" s="1"/>
  <c r="X10" i="24" s="1"/>
  <c r="W15" i="24"/>
  <c r="R15" i="24"/>
  <c r="V15" i="24" s="1"/>
  <c r="X15" i="24" s="1"/>
  <c r="W22" i="24"/>
  <c r="R22" i="24"/>
  <c r="V22" i="24" s="1"/>
  <c r="X22" i="24" s="1"/>
  <c r="W31" i="24"/>
  <c r="R31" i="24"/>
  <c r="V31" i="24" s="1"/>
  <c r="X31" i="24" s="1"/>
  <c r="W39" i="24"/>
  <c r="R39" i="24"/>
  <c r="V39" i="24" s="1"/>
  <c r="X39" i="24" s="1"/>
  <c r="W44" i="24"/>
  <c r="R44" i="24"/>
  <c r="V44" i="24" s="1"/>
  <c r="X44" i="24" s="1"/>
  <c r="W54" i="24"/>
  <c r="R54" i="24"/>
  <c r="V54" i="24" s="1"/>
  <c r="X54" i="24" s="1"/>
  <c r="W61" i="24"/>
  <c r="R61" i="24"/>
  <c r="V61" i="24" s="1"/>
  <c r="X61" i="24" s="1"/>
  <c r="W68" i="24"/>
  <c r="R68" i="24"/>
  <c r="V68" i="24" s="1"/>
  <c r="X68" i="24" s="1"/>
  <c r="W76" i="24"/>
  <c r="R76" i="24"/>
  <c r="V76" i="24" s="1"/>
  <c r="X76" i="24" s="1"/>
  <c r="W18" i="24"/>
  <c r="R18" i="24"/>
  <c r="V18" i="24" s="1"/>
  <c r="X18" i="24" s="1"/>
  <c r="W27" i="24"/>
  <c r="R27" i="24"/>
  <c r="V27" i="24" s="1"/>
  <c r="X27" i="24" s="1"/>
  <c r="W35" i="24"/>
  <c r="R35" i="24"/>
  <c r="V35" i="24" s="1"/>
  <c r="X35" i="24" s="1"/>
  <c r="W47" i="24"/>
  <c r="R47" i="24"/>
  <c r="V47" i="24" s="1"/>
  <c r="X47" i="24" s="1"/>
  <c r="W56" i="24"/>
  <c r="R56" i="24"/>
  <c r="V56" i="24" s="1"/>
  <c r="X56" i="24" s="1"/>
  <c r="W63" i="24"/>
  <c r="R63" i="24"/>
  <c r="V63" i="24" s="1"/>
  <c r="X63" i="24" s="1"/>
  <c r="W71" i="24"/>
  <c r="R71" i="24"/>
  <c r="V71" i="24" s="1"/>
  <c r="X71" i="24" s="1"/>
  <c r="W79" i="24"/>
  <c r="R79" i="24"/>
  <c r="V79" i="24" s="1"/>
  <c r="X79" i="24" s="1"/>
  <c r="W14" i="24"/>
  <c r="R14" i="24"/>
  <c r="V14" i="24" s="1"/>
  <c r="X14" i="24" s="1"/>
  <c r="W21" i="24"/>
  <c r="R21" i="24"/>
  <c r="V21" i="24" s="1"/>
  <c r="X21" i="24" s="1"/>
  <c r="W29" i="24"/>
  <c r="R29" i="24"/>
  <c r="V29" i="24" s="1"/>
  <c r="X29" i="24" s="1"/>
  <c r="W37" i="24"/>
  <c r="R37" i="24"/>
  <c r="V37" i="24" s="1"/>
  <c r="X37" i="24" s="1"/>
  <c r="W50" i="24"/>
  <c r="R50" i="24"/>
  <c r="V50" i="24" s="1"/>
  <c r="X50" i="24" s="1"/>
  <c r="W58" i="24"/>
  <c r="R58" i="24"/>
  <c r="V58" i="24" s="1"/>
  <c r="X58" i="24" s="1"/>
  <c r="W66" i="24"/>
  <c r="R66" i="24"/>
  <c r="V66" i="24" s="1"/>
  <c r="X66" i="24" s="1"/>
  <c r="W73" i="24"/>
  <c r="R73" i="24"/>
  <c r="V73" i="24" s="1"/>
  <c r="X73" i="24" s="1"/>
  <c r="W11" i="24"/>
  <c r="R11" i="24"/>
  <c r="V11" i="24" s="1"/>
  <c r="X11" i="24" s="1"/>
  <c r="W17" i="24"/>
  <c r="R17" i="24"/>
  <c r="V17" i="24" s="1"/>
  <c r="X17" i="24" s="1"/>
  <c r="W23" i="24"/>
  <c r="R23" i="24"/>
  <c r="V23" i="24" s="1"/>
  <c r="X23" i="24" s="1"/>
  <c r="W32" i="24"/>
  <c r="R32" i="24"/>
  <c r="V32" i="24" s="1"/>
  <c r="X32" i="24" s="1"/>
  <c r="W45" i="24"/>
  <c r="R45" i="24"/>
  <c r="V45" i="24" s="1"/>
  <c r="X45" i="24" s="1"/>
  <c r="W52" i="24"/>
  <c r="R52" i="24"/>
  <c r="V52" i="24" s="1"/>
  <c r="X52" i="24" s="1"/>
  <c r="W60" i="24"/>
  <c r="R60" i="24"/>
  <c r="V60" i="24" s="1"/>
  <c r="X60" i="24" s="1"/>
  <c r="W69" i="24"/>
  <c r="R69" i="24"/>
  <c r="V69" i="24" s="1"/>
  <c r="X69" i="24" s="1"/>
  <c r="W77" i="24"/>
  <c r="R77" i="24"/>
  <c r="V77" i="24" s="1"/>
  <c r="X77" i="24" s="1"/>
  <c r="W7" i="24"/>
  <c r="R7" i="24"/>
  <c r="V7" i="24" s="1"/>
  <c r="X7" i="24" s="1"/>
  <c r="W19" i="24"/>
  <c r="R19" i="24"/>
  <c r="V19" i="24" s="1"/>
  <c r="X19" i="24" s="1"/>
  <c r="W25" i="24"/>
  <c r="R25" i="24"/>
  <c r="V25" i="24" s="1"/>
  <c r="X25" i="24" s="1"/>
  <c r="W34" i="24"/>
  <c r="R34" i="24"/>
  <c r="V34" i="24" s="1"/>
  <c r="X34" i="24" s="1"/>
  <c r="W48" i="24"/>
  <c r="R48" i="24"/>
  <c r="V48" i="24" s="1"/>
  <c r="X48" i="24" s="1"/>
  <c r="W55" i="24"/>
  <c r="R55" i="24"/>
  <c r="V55" i="24" s="1"/>
  <c r="X55" i="24" s="1"/>
  <c r="W64" i="24"/>
  <c r="R64" i="24"/>
  <c r="V64" i="24" s="1"/>
  <c r="X64" i="24" s="1"/>
  <c r="W72" i="24"/>
  <c r="R72" i="24"/>
  <c r="V72" i="24" s="1"/>
  <c r="X72" i="24" s="1"/>
  <c r="W80" i="24"/>
  <c r="R80" i="24"/>
  <c r="V80" i="24" s="1"/>
  <c r="X80" i="24" s="1"/>
  <c r="W13" i="24"/>
  <c r="R13" i="24"/>
  <c r="V13" i="24" s="1"/>
  <c r="X13" i="24" s="1"/>
  <c r="W24" i="24"/>
  <c r="R24" i="24"/>
  <c r="V24" i="24" s="1"/>
  <c r="X24" i="24" s="1"/>
  <c r="W30" i="24"/>
  <c r="R30" i="24"/>
  <c r="V30" i="24" s="1"/>
  <c r="X30" i="24" s="1"/>
  <c r="W43" i="24"/>
  <c r="R43" i="24"/>
  <c r="V43" i="24" s="1"/>
  <c r="X43" i="24" s="1"/>
  <c r="W51" i="24"/>
  <c r="R51" i="24"/>
  <c r="V51" i="24" s="1"/>
  <c r="X51" i="24" s="1"/>
  <c r="W59" i="24"/>
  <c r="R59" i="24"/>
  <c r="V59" i="24" s="1"/>
  <c r="X59" i="24" s="1"/>
  <c r="W67" i="24"/>
  <c r="R67" i="24"/>
  <c r="V67" i="24" s="1"/>
  <c r="X67" i="24" s="1"/>
  <c r="W75" i="24"/>
  <c r="R75" i="24"/>
  <c r="V75" i="24" s="1"/>
  <c r="X75" i="24" s="1"/>
  <c r="R8" i="24"/>
  <c r="V8" i="24" s="1"/>
  <c r="X8" i="24" s="1"/>
  <c r="N9" i="24"/>
  <c r="N1" i="24" s="1"/>
  <c r="V16" i="23"/>
  <c r="Q16" i="23"/>
  <c r="U16" i="23" s="1"/>
  <c r="W16" i="23" s="1"/>
  <c r="Q11" i="23"/>
  <c r="U11" i="23" s="1"/>
  <c r="W11" i="23" s="1"/>
  <c r="Q14" i="23"/>
  <c r="U14" i="23" s="1"/>
  <c r="W14" i="23" s="1"/>
  <c r="Q15" i="23"/>
  <c r="U15" i="23" s="1"/>
  <c r="W15" i="23" s="1"/>
  <c r="I1" i="23"/>
  <c r="V49" i="23"/>
  <c r="Q49" i="23"/>
  <c r="U49" i="23" s="1"/>
  <c r="W49" i="23" s="1"/>
  <c r="V4" i="23"/>
  <c r="Q4" i="23"/>
  <c r="U4" i="23" s="1"/>
  <c r="W4" i="23" s="1"/>
  <c r="V34" i="23"/>
  <c r="Q34" i="23"/>
  <c r="U34" i="23" s="1"/>
  <c r="W34" i="23" s="1"/>
  <c r="V63" i="23"/>
  <c r="Q63" i="23"/>
  <c r="U63" i="23" s="1"/>
  <c r="W63" i="23" s="1"/>
  <c r="V24" i="23"/>
  <c r="Q24" i="23"/>
  <c r="U24" i="23" s="1"/>
  <c r="W24" i="23" s="1"/>
  <c r="V44" i="23"/>
  <c r="Q44" i="23"/>
  <c r="U44" i="23" s="1"/>
  <c r="W44" i="23" s="1"/>
  <c r="V56" i="23"/>
  <c r="Q56" i="23"/>
  <c r="U56" i="23" s="1"/>
  <c r="W56" i="23" s="1"/>
  <c r="V70" i="23"/>
  <c r="Q70" i="23"/>
  <c r="U70" i="23" s="1"/>
  <c r="W70" i="23" s="1"/>
  <c r="V12" i="23"/>
  <c r="Q12" i="23"/>
  <c r="U12" i="23" s="1"/>
  <c r="W12" i="23" s="1"/>
  <c r="V21" i="23"/>
  <c r="Q21" i="23"/>
  <c r="U21" i="23" s="1"/>
  <c r="W21" i="23" s="1"/>
  <c r="V41" i="23"/>
  <c r="Q41" i="23"/>
  <c r="U41" i="23" s="1"/>
  <c r="W41" i="23" s="1"/>
  <c r="V55" i="23"/>
  <c r="Q55" i="23"/>
  <c r="U55" i="23" s="1"/>
  <c r="W55" i="23" s="1"/>
  <c r="V76" i="23"/>
  <c r="Q76" i="23"/>
  <c r="U76" i="23" s="1"/>
  <c r="W76" i="23" s="1"/>
  <c r="V32" i="23"/>
  <c r="Q32" i="23"/>
  <c r="U32" i="23" s="1"/>
  <c r="W32" i="23" s="1"/>
  <c r="V66" i="23"/>
  <c r="Q66" i="23"/>
  <c r="U66" i="23" s="1"/>
  <c r="W66" i="23" s="1"/>
  <c r="V17" i="23"/>
  <c r="Q17" i="23"/>
  <c r="U17" i="23" s="1"/>
  <c r="W17" i="23" s="1"/>
  <c r="V52" i="23"/>
  <c r="Q52" i="23"/>
  <c r="U52" i="23" s="1"/>
  <c r="W52" i="23" s="1"/>
  <c r="V68" i="23"/>
  <c r="Q68" i="23"/>
  <c r="U68" i="23" s="1"/>
  <c r="W68" i="23" s="1"/>
  <c r="V9" i="23"/>
  <c r="Q9" i="23"/>
  <c r="U9" i="23" s="1"/>
  <c r="W9" i="23" s="1"/>
  <c r="V27" i="23"/>
  <c r="Q27" i="23"/>
  <c r="U27" i="23" s="1"/>
  <c r="W27" i="23" s="1"/>
  <c r="V47" i="23"/>
  <c r="Q47" i="23"/>
  <c r="U47" i="23" s="1"/>
  <c r="W47" i="23" s="1"/>
  <c r="V60" i="23"/>
  <c r="Q60" i="23"/>
  <c r="U60" i="23" s="1"/>
  <c r="W60" i="23" s="1"/>
  <c r="V75" i="23"/>
  <c r="Q75" i="23"/>
  <c r="U75" i="23" s="1"/>
  <c r="W75" i="23" s="1"/>
  <c r="V31" i="23"/>
  <c r="Q31" i="23"/>
  <c r="U31" i="23" s="1"/>
  <c r="W31" i="23" s="1"/>
  <c r="V42" i="23"/>
  <c r="Q42" i="23"/>
  <c r="U42" i="23" s="1"/>
  <c r="W42" i="23" s="1"/>
  <c r="V6" i="23"/>
  <c r="Q6" i="23"/>
  <c r="U6" i="23" s="1"/>
  <c r="W6" i="23" s="1"/>
  <c r="V7" i="23"/>
  <c r="Q7" i="23"/>
  <c r="U7" i="23" s="1"/>
  <c r="W7" i="23" s="1"/>
  <c r="V81" i="23"/>
  <c r="Q81" i="23"/>
  <c r="U81" i="23" s="1"/>
  <c r="W81" i="23" s="1"/>
  <c r="V39" i="23"/>
  <c r="Q39" i="23"/>
  <c r="U39" i="23" s="1"/>
  <c r="W39" i="23" s="1"/>
  <c r="V50" i="23"/>
  <c r="Q50" i="23"/>
  <c r="U50" i="23" s="1"/>
  <c r="W50" i="23" s="1"/>
  <c r="V67" i="23"/>
  <c r="Q67" i="23"/>
  <c r="U67" i="23" s="1"/>
  <c r="W67" i="23" s="1"/>
  <c r="V5" i="23"/>
  <c r="Q5" i="23"/>
  <c r="U5" i="23" s="1"/>
  <c r="W5" i="23" s="1"/>
  <c r="V18" i="23"/>
  <c r="Q18" i="23"/>
  <c r="U18" i="23" s="1"/>
  <c r="W18" i="23" s="1"/>
  <c r="V35" i="23"/>
  <c r="Q35" i="23"/>
  <c r="U35" i="23" s="1"/>
  <c r="W35" i="23" s="1"/>
  <c r="V53" i="23"/>
  <c r="Q53" i="23"/>
  <c r="U53" i="23" s="1"/>
  <c r="W53" i="23" s="1"/>
  <c r="V72" i="23"/>
  <c r="Q72" i="23"/>
  <c r="U72" i="23" s="1"/>
  <c r="W72" i="23" s="1"/>
  <c r="V73" i="23"/>
  <c r="Q73" i="23"/>
  <c r="U73" i="23" s="1"/>
  <c r="W73" i="23" s="1"/>
  <c r="V80" i="23"/>
  <c r="Q80" i="23"/>
  <c r="U80" i="23" s="1"/>
  <c r="W80" i="23" s="1"/>
  <c r="V25" i="23"/>
  <c r="Q25" i="23"/>
  <c r="U25" i="23" s="1"/>
  <c r="W25" i="23" s="1"/>
  <c r="V45" i="23"/>
  <c r="Q45" i="23"/>
  <c r="U45" i="23" s="1"/>
  <c r="W45" i="23" s="1"/>
  <c r="V57" i="23"/>
  <c r="Q57" i="23"/>
  <c r="U57" i="23" s="1"/>
  <c r="W57" i="23" s="1"/>
  <c r="V71" i="23"/>
  <c r="Q71" i="23"/>
  <c r="U71" i="23" s="1"/>
  <c r="W71" i="23" s="1"/>
  <c r="V28" i="23"/>
  <c r="Q28" i="23"/>
  <c r="U28" i="23" s="1"/>
  <c r="W28" i="23" s="1"/>
  <c r="V37" i="23"/>
  <c r="Q37" i="23"/>
  <c r="U37" i="23" s="1"/>
  <c r="W37" i="23" s="1"/>
  <c r="V61" i="23"/>
  <c r="Q61" i="23"/>
  <c r="U61" i="23" s="1"/>
  <c r="W61" i="23" s="1"/>
  <c r="V77" i="23"/>
  <c r="Q77" i="23"/>
  <c r="U77" i="23" s="1"/>
  <c r="W77" i="23" s="1"/>
  <c r="V10" i="23"/>
  <c r="Q10" i="23"/>
  <c r="U10" i="23" s="1"/>
  <c r="W10" i="23" s="1"/>
  <c r="V30" i="23"/>
  <c r="Q30" i="23"/>
  <c r="U30" i="23" s="1"/>
  <c r="W30" i="23" s="1"/>
  <c r="V48" i="23"/>
  <c r="Q48" i="23"/>
  <c r="U48" i="23" s="1"/>
  <c r="W48" i="23" s="1"/>
  <c r="V64" i="23"/>
  <c r="Q64" i="23"/>
  <c r="U64" i="23" s="1"/>
  <c r="W64" i="23" s="1"/>
  <c r="V79" i="23"/>
  <c r="Q79" i="23"/>
  <c r="U79" i="23" s="1"/>
  <c r="W79" i="23" s="1"/>
  <c r="V33" i="23"/>
  <c r="Q33" i="23"/>
  <c r="U33" i="23" s="1"/>
  <c r="W33" i="23" s="1"/>
  <c r="V43" i="23"/>
  <c r="Q43" i="23"/>
  <c r="U43" i="23" s="1"/>
  <c r="W43" i="23" s="1"/>
  <c r="V65" i="23"/>
  <c r="Q65" i="23"/>
  <c r="U65" i="23" s="1"/>
  <c r="W65" i="23" s="1"/>
  <c r="V59" i="23"/>
  <c r="Q59" i="23"/>
  <c r="U59" i="23" s="1"/>
  <c r="W59" i="23" s="1"/>
  <c r="V23" i="23"/>
  <c r="Q23" i="23"/>
  <c r="U23" i="23" s="1"/>
  <c r="W23" i="23" s="1"/>
  <c r="V40" i="23"/>
  <c r="Q40" i="23"/>
  <c r="U40" i="23" s="1"/>
  <c r="W40" i="23" s="1"/>
  <c r="V51" i="23"/>
  <c r="Q51" i="23"/>
  <c r="U51" i="23" s="1"/>
  <c r="W51" i="23" s="1"/>
  <c r="V69" i="23"/>
  <c r="Q69" i="23"/>
  <c r="U69" i="23" s="1"/>
  <c r="W69" i="23" s="1"/>
  <c r="V8" i="23"/>
  <c r="Q8" i="23"/>
  <c r="U8" i="23" s="1"/>
  <c r="W8" i="23" s="1"/>
  <c r="V20" i="23"/>
  <c r="Q20" i="23"/>
  <c r="U20" i="23" s="1"/>
  <c r="W20" i="23" s="1"/>
  <c r="V36" i="23"/>
  <c r="Q36" i="23"/>
  <c r="U36" i="23" s="1"/>
  <c r="W36" i="23" s="1"/>
  <c r="V54" i="23"/>
  <c r="Q54" i="23"/>
  <c r="U54" i="23" s="1"/>
  <c r="W54" i="23" s="1"/>
  <c r="V26" i="23"/>
  <c r="Q26" i="23"/>
  <c r="U26" i="23" s="1"/>
  <c r="W26" i="23" s="1"/>
  <c r="V46" i="23"/>
  <c r="Q46" i="23"/>
  <c r="U46" i="23" s="1"/>
  <c r="W46" i="23" s="1"/>
  <c r="V58" i="23"/>
  <c r="Q58" i="23"/>
  <c r="U58" i="23" s="1"/>
  <c r="W58" i="23" s="1"/>
  <c r="V74" i="23"/>
  <c r="Q74" i="23"/>
  <c r="U74" i="23" s="1"/>
  <c r="W74" i="23" s="1"/>
  <c r="V29" i="23"/>
  <c r="Q29" i="23"/>
  <c r="U29" i="23" s="1"/>
  <c r="W29" i="23" s="1"/>
  <c r="V38" i="23"/>
  <c r="Q38" i="23"/>
  <c r="U38" i="23" s="1"/>
  <c r="W38" i="23" s="1"/>
  <c r="V62" i="23"/>
  <c r="Q62" i="23"/>
  <c r="U62" i="23" s="1"/>
  <c r="W62" i="23" s="1"/>
  <c r="V78" i="23"/>
  <c r="Q78" i="23"/>
  <c r="U78" i="23" s="1"/>
  <c r="W78" i="23" s="1"/>
  <c r="M3" i="23"/>
  <c r="V19" i="23"/>
  <c r="V22" i="23"/>
  <c r="X4" i="24" l="1"/>
  <c r="W9" i="24"/>
  <c r="R9" i="24"/>
  <c r="V9" i="24" s="1"/>
  <c r="X9" i="24" s="1"/>
  <c r="M1" i="23"/>
  <c r="V3" i="23"/>
  <c r="Q3" i="23"/>
  <c r="V1" i="24" l="1"/>
  <c r="R1" i="24"/>
  <c r="Q1" i="23"/>
  <c r="U3" i="23"/>
  <c r="W3" i="23" s="1"/>
  <c r="Z140" i="24" l="1"/>
  <c r="M20" i="9"/>
  <c r="A20" i="9"/>
  <c r="AB20" i="9"/>
  <c r="AC20" i="9"/>
  <c r="A123" i="9"/>
  <c r="AB123" i="9"/>
  <c r="AC123" i="9"/>
  <c r="C22" i="21"/>
  <c r="A2071" i="2"/>
  <c r="Z2071" i="2"/>
  <c r="AA2071" i="2"/>
  <c r="AB2071" i="2" s="1"/>
  <c r="A122" i="9"/>
  <c r="AB122" i="9"/>
  <c r="AC122" i="9"/>
  <c r="A2070" i="2"/>
  <c r="A2067" i="2"/>
  <c r="Z2070" i="2"/>
  <c r="Z2067" i="2"/>
  <c r="AA2070" i="2"/>
  <c r="AB2070" i="2" s="1"/>
  <c r="AA2067" i="2"/>
  <c r="AB2067" i="2" s="1"/>
  <c r="A2068" i="2"/>
  <c r="A2069" i="2"/>
  <c r="Z2068" i="2"/>
  <c r="Z2069" i="2"/>
  <c r="AA2068" i="2"/>
  <c r="AB2068" i="2" s="1"/>
  <c r="AA2069" i="2"/>
  <c r="AB2069" i="2" s="1"/>
  <c r="A2066" i="2"/>
  <c r="Z2066" i="2"/>
  <c r="AA2066" i="2"/>
  <c r="AB2066" i="2" s="1"/>
  <c r="A2065" i="2"/>
  <c r="Z2065" i="2"/>
  <c r="AA2065" i="2"/>
  <c r="AB2065" i="2" s="1"/>
  <c r="A2058" i="2"/>
  <c r="A2062" i="2"/>
  <c r="A2064" i="2"/>
  <c r="A2063" i="2"/>
  <c r="A2061" i="2"/>
  <c r="A2060" i="2"/>
  <c r="A2059" i="2"/>
  <c r="Z2058" i="2"/>
  <c r="Z2062" i="2"/>
  <c r="Z2064" i="2"/>
  <c r="Z2063" i="2"/>
  <c r="Z2061" i="2"/>
  <c r="Z2060" i="2"/>
  <c r="Z2059" i="2"/>
  <c r="AA2058" i="2"/>
  <c r="AB2058" i="2" s="1"/>
  <c r="AA2062" i="2"/>
  <c r="AB2062" i="2" s="1"/>
  <c r="AA2064" i="2"/>
  <c r="AB2064" i="2" s="1"/>
  <c r="AA2063" i="2"/>
  <c r="AB2063" i="2" s="1"/>
  <c r="AA2061" i="2"/>
  <c r="AB2061" i="2" s="1"/>
  <c r="AA2060" i="2"/>
  <c r="AB2060" i="2" s="1"/>
  <c r="AA2059" i="2"/>
  <c r="AB2059" i="2" s="1"/>
  <c r="R2359" i="11"/>
  <c r="Q2359" i="11"/>
  <c r="P2359" i="11"/>
  <c r="O2359" i="11"/>
  <c r="N2359" i="11"/>
  <c r="R2358" i="11"/>
  <c r="Q2358" i="11"/>
  <c r="P2358" i="11"/>
  <c r="O2358" i="11"/>
  <c r="N2358" i="11"/>
  <c r="R2357" i="11"/>
  <c r="Q2357" i="11"/>
  <c r="P2357" i="11"/>
  <c r="O2357" i="11"/>
  <c r="N2357" i="11"/>
  <c r="R2356" i="11"/>
  <c r="Q2356" i="11"/>
  <c r="P2356" i="11"/>
  <c r="O2356" i="11"/>
  <c r="N2356" i="11"/>
  <c r="R2355" i="11"/>
  <c r="Q2355" i="11"/>
  <c r="P2355" i="11"/>
  <c r="O2355" i="11"/>
  <c r="N2355" i="11"/>
  <c r="R2354" i="11"/>
  <c r="Q2354" i="11"/>
  <c r="P2354" i="11"/>
  <c r="O2354" i="11"/>
  <c r="N2354" i="11"/>
  <c r="R2353" i="11"/>
  <c r="Q2353" i="11"/>
  <c r="P2353" i="11"/>
  <c r="O2353" i="11"/>
  <c r="N2353" i="11"/>
  <c r="A2088" i="2"/>
  <c r="Z2088" i="2"/>
  <c r="AA2088" i="2"/>
  <c r="AB2088" i="2" s="1"/>
  <c r="A48" i="9"/>
  <c r="AB48" i="9"/>
  <c r="AC48" i="9"/>
  <c r="AA260" i="2"/>
  <c r="AB260" i="2" s="1"/>
  <c r="AA802" i="2"/>
  <c r="AB802" i="2" s="1"/>
  <c r="AA803" i="2"/>
  <c r="AB803" i="2" s="1"/>
  <c r="AA804" i="2"/>
  <c r="AB804" i="2" s="1"/>
  <c r="AA805" i="2"/>
  <c r="AB805" i="2" s="1"/>
  <c r="AA806" i="2"/>
  <c r="AB806" i="2" s="1"/>
  <c r="AA807" i="2"/>
  <c r="AB807" i="2" s="1"/>
  <c r="AA808" i="2"/>
  <c r="AB808" i="2" s="1"/>
  <c r="AA809" i="2"/>
  <c r="AB809" i="2" s="1"/>
  <c r="AA810" i="2"/>
  <c r="AB810" i="2" s="1"/>
  <c r="AA812" i="2"/>
  <c r="AB812" i="2" s="1"/>
  <c r="AA813" i="2"/>
  <c r="AB813" i="2" s="1"/>
  <c r="AA814" i="2"/>
  <c r="AB814" i="2" s="1"/>
  <c r="AA815" i="2"/>
  <c r="AB815" i="2" s="1"/>
  <c r="AA816" i="2"/>
  <c r="AB816" i="2" s="1"/>
  <c r="AA819" i="2"/>
  <c r="AB819" i="2" s="1"/>
  <c r="AA811" i="2"/>
  <c r="AB811" i="2" s="1"/>
  <c r="AA820" i="2"/>
  <c r="AB820" i="2" s="1"/>
  <c r="AA821" i="2"/>
  <c r="AB821" i="2" s="1"/>
  <c r="AA822" i="2"/>
  <c r="AB822" i="2" s="1"/>
  <c r="AA823" i="2"/>
  <c r="AB823" i="2" s="1"/>
  <c r="AA817" i="2"/>
  <c r="AB817" i="2" s="1"/>
  <c r="AA818" i="2"/>
  <c r="AB818" i="2" s="1"/>
  <c r="AA2089" i="2"/>
  <c r="AB2089" i="2" s="1"/>
  <c r="AA825" i="2"/>
  <c r="AB825" i="2" s="1"/>
  <c r="AA827" i="2"/>
  <c r="AB827" i="2" s="1"/>
  <c r="AA828" i="2"/>
  <c r="AB828" i="2" s="1"/>
  <c r="AA829" i="2"/>
  <c r="AB829" i="2" s="1"/>
  <c r="AA830" i="2"/>
  <c r="AB830" i="2" s="1"/>
  <c r="AA831" i="2"/>
  <c r="AB831" i="2" s="1"/>
  <c r="AA832" i="2"/>
  <c r="AB832" i="2" s="1"/>
  <c r="AA833" i="2"/>
  <c r="AB833" i="2" s="1"/>
  <c r="AA826" i="2"/>
  <c r="AB826" i="2" s="1"/>
  <c r="AA834" i="2"/>
  <c r="AB834" i="2" s="1"/>
  <c r="AA835" i="2"/>
  <c r="AB835" i="2" s="1"/>
  <c r="AA836" i="2"/>
  <c r="AB836" i="2" s="1"/>
  <c r="AA837" i="2"/>
  <c r="AB837" i="2" s="1"/>
  <c r="AA838" i="2"/>
  <c r="AB838" i="2" s="1"/>
  <c r="AA839" i="2"/>
  <c r="AB839" i="2" s="1"/>
  <c r="AA840" i="2"/>
  <c r="AB840" i="2" s="1"/>
  <c r="AA841" i="2"/>
  <c r="AB841" i="2" s="1"/>
  <c r="AA842" i="2"/>
  <c r="AB842" i="2" s="1"/>
  <c r="AA843" i="2"/>
  <c r="AB843" i="2" s="1"/>
  <c r="AA844" i="2"/>
  <c r="AB844" i="2" s="1"/>
  <c r="AA845" i="2"/>
  <c r="AB845" i="2" s="1"/>
  <c r="AA846" i="2"/>
  <c r="AB846" i="2" s="1"/>
  <c r="AA847" i="2"/>
  <c r="AB847" i="2" s="1"/>
  <c r="AA848" i="2"/>
  <c r="AB848" i="2" s="1"/>
  <c r="AA849" i="2"/>
  <c r="AB849" i="2" s="1"/>
  <c r="AA850" i="2"/>
  <c r="AB850" i="2" s="1"/>
  <c r="AA851" i="2"/>
  <c r="AB851" i="2" s="1"/>
  <c r="AA852" i="2"/>
  <c r="AB852" i="2" s="1"/>
  <c r="AA853" i="2"/>
  <c r="AB853" i="2" s="1"/>
  <c r="AA867" i="2"/>
  <c r="AB867" i="2" s="1"/>
  <c r="AA868" i="2"/>
  <c r="AB868" i="2" s="1"/>
  <c r="AA869" i="2"/>
  <c r="AB869" i="2" s="1"/>
  <c r="AA870" i="2"/>
  <c r="AB870" i="2" s="1"/>
  <c r="AA871" i="2"/>
  <c r="AB871" i="2" s="1"/>
  <c r="AA872" i="2"/>
  <c r="AB872" i="2" s="1"/>
  <c r="AA873" i="2"/>
  <c r="AB873" i="2" s="1"/>
  <c r="AA874" i="2"/>
  <c r="AB874" i="2" s="1"/>
  <c r="AA875" i="2"/>
  <c r="AB875" i="2" s="1"/>
  <c r="AA876" i="2"/>
  <c r="AB876" i="2" s="1"/>
  <c r="AA877" i="2"/>
  <c r="AB877" i="2" s="1"/>
  <c r="AA878" i="2"/>
  <c r="AB878" i="2" s="1"/>
  <c r="AA879" i="2"/>
  <c r="AB879" i="2" s="1"/>
  <c r="AA880" i="2"/>
  <c r="AB880" i="2" s="1"/>
  <c r="AA881" i="2"/>
  <c r="AB881" i="2" s="1"/>
  <c r="AA882" i="2"/>
  <c r="AB882" i="2" s="1"/>
  <c r="AA883" i="2"/>
  <c r="AB883" i="2" s="1"/>
  <c r="AA884" i="2"/>
  <c r="AB884" i="2" s="1"/>
  <c r="AA885" i="2"/>
  <c r="AB885" i="2" s="1"/>
  <c r="AA854" i="2"/>
  <c r="AB854" i="2" s="1"/>
  <c r="AA855" i="2"/>
  <c r="AB855" i="2" s="1"/>
  <c r="AA856" i="2"/>
  <c r="AB856" i="2" s="1"/>
  <c r="AA889" i="2"/>
  <c r="AB889" i="2" s="1"/>
  <c r="AA857" i="2"/>
  <c r="AB857" i="2" s="1"/>
  <c r="AA858" i="2"/>
  <c r="AB858" i="2" s="1"/>
  <c r="AA859" i="2"/>
  <c r="AB859" i="2" s="1"/>
  <c r="AA860" i="2"/>
  <c r="AB860" i="2" s="1"/>
  <c r="AA886" i="2"/>
  <c r="AB886" i="2" s="1"/>
  <c r="AA887" i="2"/>
  <c r="AB887" i="2" s="1"/>
  <c r="AA888" i="2"/>
  <c r="AB888" i="2" s="1"/>
  <c r="AA890" i="2"/>
  <c r="AB890" i="2" s="1"/>
  <c r="AA891" i="2"/>
  <c r="AB891" i="2" s="1"/>
  <c r="AA892" i="2"/>
  <c r="AB892" i="2" s="1"/>
  <c r="AA893" i="2"/>
  <c r="AB893" i="2" s="1"/>
  <c r="AA894" i="2"/>
  <c r="AB894" i="2" s="1"/>
  <c r="AA895" i="2"/>
  <c r="AB895" i="2" s="1"/>
  <c r="AA896" i="2"/>
  <c r="AB896" i="2" s="1"/>
  <c r="AA897" i="2"/>
  <c r="AB897" i="2" s="1"/>
  <c r="AA898" i="2"/>
  <c r="AB898" i="2" s="1"/>
  <c r="AA899" i="2"/>
  <c r="AB899" i="2" s="1"/>
  <c r="AA900" i="2"/>
  <c r="AB900" i="2" s="1"/>
  <c r="AA901" i="2"/>
  <c r="AB901" i="2" s="1"/>
  <c r="AA902" i="2"/>
  <c r="AB902" i="2" s="1"/>
  <c r="AA903" i="2"/>
  <c r="AB903" i="2" s="1"/>
  <c r="AA904" i="2"/>
  <c r="AB904" i="2" s="1"/>
  <c r="AA906" i="2"/>
  <c r="AB906" i="2" s="1"/>
  <c r="AA908" i="2"/>
  <c r="AB908" i="2" s="1"/>
  <c r="AA910" i="2"/>
  <c r="AB910" i="2" s="1"/>
  <c r="AA912" i="2"/>
  <c r="AB912" i="2" s="1"/>
  <c r="AA914" i="2"/>
  <c r="AB914" i="2" s="1"/>
  <c r="AA916" i="2"/>
  <c r="AB916" i="2" s="1"/>
  <c r="AA905" i="2"/>
  <c r="AB905" i="2" s="1"/>
  <c r="AA907" i="2"/>
  <c r="AB907" i="2" s="1"/>
  <c r="AA909" i="2"/>
  <c r="AB909" i="2" s="1"/>
  <c r="AA911" i="2"/>
  <c r="AB911" i="2" s="1"/>
  <c r="AA913" i="2"/>
  <c r="AB913" i="2" s="1"/>
  <c r="AA915" i="2"/>
  <c r="AB915" i="2" s="1"/>
  <c r="AA917" i="2"/>
  <c r="AB917" i="2" s="1"/>
  <c r="AA918" i="2"/>
  <c r="AB918" i="2" s="1"/>
  <c r="AA919" i="2"/>
  <c r="AB919" i="2" s="1"/>
  <c r="AA2421" i="2"/>
  <c r="AB2421" i="2" s="1"/>
  <c r="AA2422" i="2"/>
  <c r="AB2422" i="2" s="1"/>
  <c r="AA1012" i="2"/>
  <c r="AB1012" i="2" s="1"/>
  <c r="AA1038" i="2"/>
  <c r="AB1038" i="2" s="1"/>
  <c r="AA1008" i="2"/>
  <c r="AB1008" i="2" s="1"/>
  <c r="AA1039" i="2"/>
  <c r="AB1039" i="2" s="1"/>
  <c r="AA978" i="2"/>
  <c r="AB978" i="2" s="1"/>
  <c r="AA1013" i="2"/>
  <c r="AB1013" i="2" s="1"/>
  <c r="AA979" i="2"/>
  <c r="AB979" i="2" s="1"/>
  <c r="AA1014" i="2"/>
  <c r="AB1014" i="2" s="1"/>
  <c r="AA861" i="2"/>
  <c r="AB861" i="2" s="1"/>
  <c r="AA1015" i="2"/>
  <c r="AB1015" i="2" s="1"/>
  <c r="AA2090" i="2"/>
  <c r="AB2090" i="2" s="1"/>
  <c r="AA1040" i="2"/>
  <c r="AB1040" i="2" s="1"/>
  <c r="AA925" i="2"/>
  <c r="AB925" i="2" s="1"/>
  <c r="AA1009" i="2"/>
  <c r="AB1009" i="2" s="1"/>
  <c r="AA926" i="2"/>
  <c r="AB926" i="2" s="1"/>
  <c r="AA1041" i="2"/>
  <c r="AB1041" i="2" s="1"/>
  <c r="AA927" i="2"/>
  <c r="AB927" i="2" s="1"/>
  <c r="AA928" i="2"/>
  <c r="AB928" i="2" s="1"/>
  <c r="AA929" i="2"/>
  <c r="AB929" i="2" s="1"/>
  <c r="AA2248" i="2"/>
  <c r="AB2248" i="2" s="1"/>
  <c r="AA261" i="2"/>
  <c r="AB261" i="2" s="1"/>
  <c r="AA437" i="2"/>
  <c r="AB437" i="2" s="1"/>
  <c r="AA438" i="2"/>
  <c r="AB438" i="2" s="1"/>
  <c r="AA439" i="2"/>
  <c r="AB439" i="2" s="1"/>
  <c r="AA440" i="2"/>
  <c r="AB440" i="2" s="1"/>
  <c r="AA441" i="2"/>
  <c r="AB441" i="2" s="1"/>
  <c r="AA442" i="2"/>
  <c r="AB442" i="2" s="1"/>
  <c r="AA443" i="2"/>
  <c r="AB443" i="2" s="1"/>
  <c r="AA980" i="2"/>
  <c r="AB980" i="2" s="1"/>
  <c r="AA445" i="2"/>
  <c r="AB445" i="2" s="1"/>
  <c r="AA446" i="2"/>
  <c r="AB446" i="2" s="1"/>
  <c r="AA447" i="2"/>
  <c r="AB447" i="2" s="1"/>
  <c r="AA448" i="2"/>
  <c r="AB448" i="2" s="1"/>
  <c r="AA449" i="2"/>
  <c r="AB449" i="2" s="1"/>
  <c r="AA444" i="2"/>
  <c r="AB444" i="2" s="1"/>
  <c r="AA450" i="2"/>
  <c r="AB450" i="2" s="1"/>
  <c r="AA451" i="2"/>
  <c r="AB451" i="2" s="1"/>
  <c r="AA452" i="2"/>
  <c r="AB452" i="2" s="1"/>
  <c r="AA981" i="2"/>
  <c r="AB981" i="2" s="1"/>
  <c r="AA1016" i="2"/>
  <c r="AB1016" i="2" s="1"/>
  <c r="AA930" i="2"/>
  <c r="AB930" i="2" s="1"/>
  <c r="AA934" i="2"/>
  <c r="AB934" i="2" s="1"/>
  <c r="AA931" i="2"/>
  <c r="AB931" i="2" s="1"/>
  <c r="AA932" i="2"/>
  <c r="AB932" i="2" s="1"/>
  <c r="AA453" i="2"/>
  <c r="AB453" i="2" s="1"/>
  <c r="AA933" i="2"/>
  <c r="AB933" i="2" s="1"/>
  <c r="AA454" i="2"/>
  <c r="AB454" i="2" s="1"/>
  <c r="AA935" i="2"/>
  <c r="AB935" i="2" s="1"/>
  <c r="AA801" i="2"/>
  <c r="AB801" i="2" s="1"/>
  <c r="AA937" i="2"/>
  <c r="AB937" i="2" s="1"/>
  <c r="AA938" i="2"/>
  <c r="AB938" i="2" s="1"/>
  <c r="AA939" i="2"/>
  <c r="AB939" i="2" s="1"/>
  <c r="AA940" i="2"/>
  <c r="AB940" i="2" s="1"/>
  <c r="AA455" i="2"/>
  <c r="AB455" i="2" s="1"/>
  <c r="AA941" i="2"/>
  <c r="AB941" i="2" s="1"/>
  <c r="AA942" i="2"/>
  <c r="AB942" i="2" s="1"/>
  <c r="AA943" i="2"/>
  <c r="AB943" i="2" s="1"/>
  <c r="AA456" i="2"/>
  <c r="AB456" i="2" s="1"/>
  <c r="AA944" i="2"/>
  <c r="AB944" i="2" s="1"/>
  <c r="AA945" i="2"/>
  <c r="AB945" i="2" s="1"/>
  <c r="AA924" i="2"/>
  <c r="AB924" i="2" s="1"/>
  <c r="AA458" i="2"/>
  <c r="AB458" i="2" s="1"/>
  <c r="AA946" i="2"/>
  <c r="AB946" i="2" s="1"/>
  <c r="AA459" i="2"/>
  <c r="AB459" i="2" s="1"/>
  <c r="AA947" i="2"/>
  <c r="AB947" i="2" s="1"/>
  <c r="AA948" i="2"/>
  <c r="AB948" i="2" s="1"/>
  <c r="AA949" i="2"/>
  <c r="AB949" i="2" s="1"/>
  <c r="AA460" i="2"/>
  <c r="AB460" i="2" s="1"/>
  <c r="AA950" i="2"/>
  <c r="AB950" i="2" s="1"/>
  <c r="AA461" i="2"/>
  <c r="AB461" i="2" s="1"/>
  <c r="AA951" i="2"/>
  <c r="AB951" i="2" s="1"/>
  <c r="AA462" i="2"/>
  <c r="AB462" i="2" s="1"/>
  <c r="AA436" i="2"/>
  <c r="AB436" i="2" s="1"/>
  <c r="AA463" i="2"/>
  <c r="AB463" i="2" s="1"/>
  <c r="AA464" i="2"/>
  <c r="AB464" i="2" s="1"/>
  <c r="AA465" i="2"/>
  <c r="AB465" i="2" s="1"/>
  <c r="AA468" i="2"/>
  <c r="AB468" i="2" s="1"/>
  <c r="AA469" i="2"/>
  <c r="AB469" i="2" s="1"/>
  <c r="AA466" i="2"/>
  <c r="AB466" i="2" s="1"/>
  <c r="AA467" i="2"/>
  <c r="AB467" i="2" s="1"/>
  <c r="AA470" i="2"/>
  <c r="AB470" i="2" s="1"/>
  <c r="AA471" i="2"/>
  <c r="AB471" i="2" s="1"/>
  <c r="AA472" i="2"/>
  <c r="AB472" i="2" s="1"/>
  <c r="AA473" i="2"/>
  <c r="AB473" i="2" s="1"/>
  <c r="AA862" i="2"/>
  <c r="AB862" i="2" s="1"/>
  <c r="AA474" i="2"/>
  <c r="AB474" i="2" s="1"/>
  <c r="AA475" i="2"/>
  <c r="AB475" i="2" s="1"/>
  <c r="AA476" i="2"/>
  <c r="AB476" i="2" s="1"/>
  <c r="AA983" i="2"/>
  <c r="AB983" i="2" s="1"/>
  <c r="AA985" i="2"/>
  <c r="AB985" i="2" s="1"/>
  <c r="AA986" i="2"/>
  <c r="AB986" i="2" s="1"/>
  <c r="AA477" i="2"/>
  <c r="AB477" i="2" s="1"/>
  <c r="AA478" i="2"/>
  <c r="AB478" i="2" s="1"/>
  <c r="AA987" i="2"/>
  <c r="AB987" i="2" s="1"/>
  <c r="AA479" i="2"/>
  <c r="AB479" i="2" s="1"/>
  <c r="AA480" i="2"/>
  <c r="AB480" i="2" s="1"/>
  <c r="AA988" i="2"/>
  <c r="AB988" i="2" s="1"/>
  <c r="AA984" i="2"/>
  <c r="AB984" i="2" s="1"/>
  <c r="AA989" i="2"/>
  <c r="AB989" i="2" s="1"/>
  <c r="AA990" i="2"/>
  <c r="AB990" i="2" s="1"/>
  <c r="AA481" i="2"/>
  <c r="AB481" i="2" s="1"/>
  <c r="AA482" i="2"/>
  <c r="AB482" i="2" s="1"/>
  <c r="AA483" i="2"/>
  <c r="AB483" i="2" s="1"/>
  <c r="AA982" i="2"/>
  <c r="AB982" i="2" s="1"/>
  <c r="AA485" i="2"/>
  <c r="AB485" i="2" s="1"/>
  <c r="AA486" i="2"/>
  <c r="AB486" i="2" s="1"/>
  <c r="AA487" i="2"/>
  <c r="AB487" i="2" s="1"/>
  <c r="AA488" i="2"/>
  <c r="AB488" i="2" s="1"/>
  <c r="AA489" i="2"/>
  <c r="AB489" i="2" s="1"/>
  <c r="AA490" i="2"/>
  <c r="AB490" i="2" s="1"/>
  <c r="AA491" i="2"/>
  <c r="AB491" i="2" s="1"/>
  <c r="AA2249" i="2"/>
  <c r="AB2249" i="2" s="1"/>
  <c r="AA2250" i="2"/>
  <c r="AB2250" i="2" s="1"/>
  <c r="AA2251" i="2"/>
  <c r="AB2251" i="2" s="1"/>
  <c r="AA2252" i="2"/>
  <c r="AB2252" i="2" s="1"/>
  <c r="AA2253" i="2"/>
  <c r="AB2253" i="2" s="1"/>
  <c r="AA991" i="2"/>
  <c r="AB991" i="2" s="1"/>
  <c r="AA2254" i="2"/>
  <c r="AB2254" i="2" s="1"/>
  <c r="AA2255" i="2"/>
  <c r="AB2255" i="2" s="1"/>
  <c r="AA492" i="2"/>
  <c r="AB492" i="2" s="1"/>
  <c r="AA2440" i="2"/>
  <c r="AB2440" i="2" s="1"/>
  <c r="AA1017" i="2"/>
  <c r="AB1017" i="2" s="1"/>
  <c r="AA1018" i="2"/>
  <c r="AB1018" i="2" s="1"/>
  <c r="AA1019" i="2"/>
  <c r="AB1019" i="2" s="1"/>
  <c r="AA1020" i="2"/>
  <c r="AB1020" i="2" s="1"/>
  <c r="AA1021" i="2"/>
  <c r="AB1021" i="2" s="1"/>
  <c r="AA1022" i="2"/>
  <c r="AB1022" i="2" s="1"/>
  <c r="AA1023" i="2"/>
  <c r="AB1023" i="2" s="1"/>
  <c r="AA1024" i="2"/>
  <c r="AB1024" i="2" s="1"/>
  <c r="AA1025" i="2"/>
  <c r="AB1025" i="2" s="1"/>
  <c r="AA863" i="2"/>
  <c r="AB863" i="2" s="1"/>
  <c r="AA1026" i="2"/>
  <c r="AB1026" i="2" s="1"/>
  <c r="AA952" i="2"/>
  <c r="AB952" i="2" s="1"/>
  <c r="AA992" i="2"/>
  <c r="AB992" i="2" s="1"/>
  <c r="AA493" i="2"/>
  <c r="AB493" i="2" s="1"/>
  <c r="AA494" i="2"/>
  <c r="AB494" i="2" s="1"/>
  <c r="AA495" i="2"/>
  <c r="AB495" i="2" s="1"/>
  <c r="AA496" i="2"/>
  <c r="AB496" i="2" s="1"/>
  <c r="AA497" i="2"/>
  <c r="AB497" i="2" s="1"/>
  <c r="AA498" i="2"/>
  <c r="AB498" i="2" s="1"/>
  <c r="AA499" i="2"/>
  <c r="AB499" i="2" s="1"/>
  <c r="AA500" i="2"/>
  <c r="AB500" i="2" s="1"/>
  <c r="AA501" i="2"/>
  <c r="AB501" i="2" s="1"/>
  <c r="AA502" i="2"/>
  <c r="AB502" i="2" s="1"/>
  <c r="AA503" i="2"/>
  <c r="AB503" i="2" s="1"/>
  <c r="AA504" i="2"/>
  <c r="AB504" i="2" s="1"/>
  <c r="AA505" i="2"/>
  <c r="AB505" i="2" s="1"/>
  <c r="AA993" i="2"/>
  <c r="AB993" i="2" s="1"/>
  <c r="AA994" i="2"/>
  <c r="AB994" i="2" s="1"/>
  <c r="AA995" i="2"/>
  <c r="AB995" i="2" s="1"/>
  <c r="AA2423" i="2"/>
  <c r="AB2423" i="2" s="1"/>
  <c r="AA2424" i="2"/>
  <c r="AB2424" i="2" s="1"/>
  <c r="AA506" i="2"/>
  <c r="AB506" i="2" s="1"/>
  <c r="AA507" i="2"/>
  <c r="AB507" i="2" s="1"/>
  <c r="AA996" i="2"/>
  <c r="AB996" i="2" s="1"/>
  <c r="AA1027" i="2"/>
  <c r="AB1027" i="2" s="1"/>
  <c r="AA864" i="2"/>
  <c r="AB864" i="2" s="1"/>
  <c r="AA508" i="2"/>
  <c r="AB508" i="2" s="1"/>
  <c r="AA2395" i="2"/>
  <c r="AB2395" i="2" s="1"/>
  <c r="AA2396" i="2"/>
  <c r="AB2396" i="2" s="1"/>
  <c r="AA510" i="2"/>
  <c r="AB510" i="2" s="1"/>
  <c r="AA511" i="2"/>
  <c r="AB511" i="2" s="1"/>
  <c r="AA1028" i="2"/>
  <c r="AB1028" i="2" s="1"/>
  <c r="AA1029" i="2"/>
  <c r="AB1029" i="2" s="1"/>
  <c r="AA997" i="2"/>
  <c r="AB997" i="2" s="1"/>
  <c r="AA509" i="2"/>
  <c r="AB509" i="2" s="1"/>
  <c r="AA1030" i="2"/>
  <c r="AB1030" i="2" s="1"/>
  <c r="AA1010" i="2"/>
  <c r="AB1010" i="2" s="1"/>
  <c r="AA2441" i="2"/>
  <c r="AB2441" i="2" s="1"/>
  <c r="AA1135" i="2"/>
  <c r="AB1135" i="2" s="1"/>
  <c r="AA1090" i="2"/>
  <c r="AB1090" i="2" s="1"/>
  <c r="AA1043" i="2"/>
  <c r="AB1043" i="2" s="1"/>
  <c r="AA1107" i="2"/>
  <c r="AB1107" i="2" s="1"/>
  <c r="AA1042" i="2"/>
  <c r="AB1042" i="2" s="1"/>
  <c r="AA1108" i="2"/>
  <c r="AB1108" i="2" s="1"/>
  <c r="AA1091" i="2"/>
  <c r="AB1091" i="2" s="1"/>
  <c r="AA1044" i="2"/>
  <c r="AB1044" i="2" s="1"/>
  <c r="AA1136" i="2"/>
  <c r="AB1136" i="2" s="1"/>
  <c r="AA1045" i="2"/>
  <c r="AB1045" i="2" s="1"/>
  <c r="AA1089" i="2"/>
  <c r="AB1089" i="2" s="1"/>
  <c r="AA1109" i="2"/>
  <c r="AB1109" i="2" s="1"/>
  <c r="AA1046" i="2"/>
  <c r="AB1046" i="2" s="1"/>
  <c r="AA1075" i="2"/>
  <c r="AB1075" i="2" s="1"/>
  <c r="AA1110" i="2"/>
  <c r="AB1110" i="2" s="1"/>
  <c r="AA1137" i="2"/>
  <c r="AB1137" i="2" s="1"/>
  <c r="AA1092" i="2"/>
  <c r="AB1092" i="2" s="1"/>
  <c r="AA1093" i="2"/>
  <c r="AB1093" i="2" s="1"/>
  <c r="AA1138" i="2"/>
  <c r="AB1138" i="2" s="1"/>
  <c r="AA1139" i="2"/>
  <c r="AB1139" i="2" s="1"/>
  <c r="AA1047" i="2"/>
  <c r="AB1047" i="2" s="1"/>
  <c r="AA1048" i="2"/>
  <c r="AB1048" i="2" s="1"/>
  <c r="AA1111" i="2"/>
  <c r="AB1111" i="2" s="1"/>
  <c r="AA1076" i="2"/>
  <c r="AB1076" i="2" s="1"/>
  <c r="AA1049" i="2"/>
  <c r="AB1049" i="2" s="1"/>
  <c r="AA1112" i="2"/>
  <c r="AB1112" i="2" s="1"/>
  <c r="AA1140" i="2"/>
  <c r="AB1140" i="2" s="1"/>
  <c r="AA2329" i="2"/>
  <c r="AB2329" i="2" s="1"/>
  <c r="AA2330" i="2"/>
  <c r="AB2330" i="2" s="1"/>
  <c r="AA1141" i="2"/>
  <c r="AB1141" i="2" s="1"/>
  <c r="AA1142" i="2"/>
  <c r="AB1142" i="2" s="1"/>
  <c r="AA1050" i="2"/>
  <c r="AB1050" i="2" s="1"/>
  <c r="AA865" i="2"/>
  <c r="AB865" i="2" s="1"/>
  <c r="AA1051" i="2"/>
  <c r="AB1051" i="2" s="1"/>
  <c r="AA1143" i="2"/>
  <c r="AB1143" i="2" s="1"/>
  <c r="AA866" i="2"/>
  <c r="AB866" i="2" s="1"/>
  <c r="AA998" i="2"/>
  <c r="AB998" i="2" s="1"/>
  <c r="AA999" i="2"/>
  <c r="AB999" i="2" s="1"/>
  <c r="AA1144" i="2"/>
  <c r="AB1144" i="2" s="1"/>
  <c r="AA1113" i="2"/>
  <c r="AB1113" i="2" s="1"/>
  <c r="AA1094" i="2"/>
  <c r="AB1094" i="2" s="1"/>
  <c r="AA1145" i="2"/>
  <c r="AB1145" i="2" s="1"/>
  <c r="AA1114" i="2"/>
  <c r="AB1114" i="2" s="1"/>
  <c r="AA1000" i="2"/>
  <c r="AB1000" i="2" s="1"/>
  <c r="AA1001" i="2"/>
  <c r="AB1001" i="2" s="1"/>
  <c r="AA2397" i="2"/>
  <c r="AB2397" i="2" s="1"/>
  <c r="AA1158" i="2"/>
  <c r="AB1158" i="2" s="1"/>
  <c r="AA1052" i="2"/>
  <c r="AB1052" i="2" s="1"/>
  <c r="AA1077" i="2"/>
  <c r="AB1077" i="2" s="1"/>
  <c r="AA2256" i="2"/>
  <c r="AB2256" i="2" s="1"/>
  <c r="AA2257" i="2"/>
  <c r="AB2257" i="2" s="1"/>
  <c r="AA2258" i="2"/>
  <c r="AB2258" i="2" s="1"/>
  <c r="AA2259" i="2"/>
  <c r="AB2259" i="2" s="1"/>
  <c r="AA2260" i="2"/>
  <c r="AB2260" i="2" s="1"/>
  <c r="AA2261" i="2"/>
  <c r="AB2261" i="2" s="1"/>
  <c r="AA2262" i="2"/>
  <c r="AB2262" i="2" s="1"/>
  <c r="AA6" i="2"/>
  <c r="AB6" i="2" s="1"/>
  <c r="AA7" i="2"/>
  <c r="AB7" i="2" s="1"/>
  <c r="AA1115" i="2"/>
  <c r="AB1115" i="2" s="1"/>
  <c r="AA1147" i="2"/>
  <c r="AB1147" i="2" s="1"/>
  <c r="AA8" i="2"/>
  <c r="AB8" i="2" s="1"/>
  <c r="AA1148" i="2"/>
  <c r="AB1148" i="2" s="1"/>
  <c r="AA1116" i="2"/>
  <c r="AB1116" i="2" s="1"/>
  <c r="AA1149" i="2"/>
  <c r="AB1149" i="2" s="1"/>
  <c r="AA1117" i="2"/>
  <c r="AB1117" i="2" s="1"/>
  <c r="AA9" i="2"/>
  <c r="AB9" i="2" s="1"/>
  <c r="AA10" i="2"/>
  <c r="AB10" i="2" s="1"/>
  <c r="AA1150" i="2"/>
  <c r="AB1150" i="2" s="1"/>
  <c r="AA1118" i="2"/>
  <c r="AB1118" i="2" s="1"/>
  <c r="AA1151" i="2"/>
  <c r="AB1151" i="2" s="1"/>
  <c r="AA1053" i="2"/>
  <c r="AB1053" i="2" s="1"/>
  <c r="AA1152" i="2"/>
  <c r="AB1152" i="2" s="1"/>
  <c r="AA1078" i="2"/>
  <c r="AB1078" i="2" s="1"/>
  <c r="AA1079" i="2"/>
  <c r="AB1079" i="2" s="1"/>
  <c r="AA1119" i="2"/>
  <c r="AB1119" i="2" s="1"/>
  <c r="AA1153" i="2"/>
  <c r="AB1153" i="2" s="1"/>
  <c r="AA11" i="2"/>
  <c r="AB11" i="2" s="1"/>
  <c r="AA5" i="2"/>
  <c r="AB5" i="2" s="1"/>
  <c r="AA12" i="2"/>
  <c r="AB12" i="2" s="1"/>
  <c r="AA13" i="2"/>
  <c r="AB13" i="2" s="1"/>
  <c r="AA14" i="2"/>
  <c r="AB14" i="2" s="1"/>
  <c r="AA1120" i="2"/>
  <c r="AB1120" i="2" s="1"/>
  <c r="AA1154" i="2"/>
  <c r="AB1154" i="2" s="1"/>
  <c r="AA15" i="2"/>
  <c r="AB15" i="2" s="1"/>
  <c r="AA1155" i="2"/>
  <c r="AB1155" i="2" s="1"/>
  <c r="AA1121" i="2"/>
  <c r="AB1121" i="2" s="1"/>
  <c r="AA2442" i="2"/>
  <c r="AB2442" i="2" s="1"/>
  <c r="AA2443" i="2"/>
  <c r="AB2443" i="2" s="1"/>
  <c r="AA1096" i="2"/>
  <c r="AB1096" i="2" s="1"/>
  <c r="AA1054" i="2"/>
  <c r="AB1054" i="2" s="1"/>
  <c r="AA1095" i="2"/>
  <c r="AB1095" i="2" s="1"/>
  <c r="AA1055" i="2"/>
  <c r="AB1055" i="2" s="1"/>
  <c r="AA1080" i="2"/>
  <c r="AB1080" i="2" s="1"/>
  <c r="AA1097" i="2"/>
  <c r="AB1097" i="2" s="1"/>
  <c r="AA1098" i="2"/>
  <c r="AB1098" i="2" s="1"/>
  <c r="AA1056" i="2"/>
  <c r="AB1056" i="2" s="1"/>
  <c r="AA1081" i="2"/>
  <c r="AB1081" i="2" s="1"/>
  <c r="AA1057" i="2"/>
  <c r="AB1057" i="2" s="1"/>
  <c r="AA1099" i="2"/>
  <c r="AB1099" i="2" s="1"/>
  <c r="AA1082" i="2"/>
  <c r="AB1082" i="2" s="1"/>
  <c r="AA1058" i="2"/>
  <c r="AB1058" i="2" s="1"/>
  <c r="AA1100" i="2"/>
  <c r="AB1100" i="2" s="1"/>
  <c r="AA1083" i="2"/>
  <c r="AB1083" i="2" s="1"/>
  <c r="AA1059" i="2"/>
  <c r="AB1059" i="2" s="1"/>
  <c r="AA1101" i="2"/>
  <c r="AB1101" i="2" s="1"/>
  <c r="AA1084" i="2"/>
  <c r="AB1084" i="2" s="1"/>
  <c r="AA1102" i="2"/>
  <c r="AB1102" i="2" s="1"/>
  <c r="AA1060" i="2"/>
  <c r="AB1060" i="2" s="1"/>
  <c r="AA1085" i="2"/>
  <c r="AB1085" i="2" s="1"/>
  <c r="AA1186" i="2"/>
  <c r="AB1186" i="2" s="1"/>
  <c r="AA1187" i="2"/>
  <c r="AB1187" i="2" s="1"/>
  <c r="AA1086" i="2"/>
  <c r="AB1086" i="2" s="1"/>
  <c r="AA1062" i="2"/>
  <c r="AB1062" i="2" s="1"/>
  <c r="AA920" i="2"/>
  <c r="AB920" i="2" s="1"/>
  <c r="AA1122" i="2"/>
  <c r="AB1122" i="2" s="1"/>
  <c r="AA1156" i="2"/>
  <c r="AB1156" i="2" s="1"/>
  <c r="AA1123" i="2"/>
  <c r="AB1123" i="2" s="1"/>
  <c r="AA921" i="2"/>
  <c r="AB921" i="2" s="1"/>
  <c r="AA1124" i="2"/>
  <c r="AB1124" i="2" s="1"/>
  <c r="AA922" i="2"/>
  <c r="AB922" i="2" s="1"/>
  <c r="AA923" i="2"/>
  <c r="AB923" i="2" s="1"/>
  <c r="AA2263" i="2"/>
  <c r="AB2263" i="2" s="1"/>
  <c r="AA1063" i="2"/>
  <c r="AB1063" i="2" s="1"/>
  <c r="AA2444" i="2"/>
  <c r="AB2444" i="2" s="1"/>
  <c r="AA2264" i="2"/>
  <c r="AB2264" i="2" s="1"/>
  <c r="AA1103" i="2"/>
  <c r="AB1103" i="2" s="1"/>
  <c r="AA1064" i="2"/>
  <c r="AB1064" i="2" s="1"/>
  <c r="AA1087" i="2"/>
  <c r="AB1087" i="2" s="1"/>
  <c r="AA1065" i="2"/>
  <c r="AB1065" i="2" s="1"/>
  <c r="AA1066" i="2"/>
  <c r="AB1066" i="2" s="1"/>
  <c r="AA16" i="2"/>
  <c r="AB16" i="2" s="1"/>
  <c r="AA17" i="2"/>
  <c r="AB17" i="2" s="1"/>
  <c r="AA1157" i="2"/>
  <c r="AB1157" i="2" s="1"/>
  <c r="AA2265" i="2"/>
  <c r="AB2265" i="2" s="1"/>
  <c r="AA1067" i="2"/>
  <c r="AB1067" i="2" s="1"/>
  <c r="AA1088" i="2"/>
  <c r="AB1088" i="2" s="1"/>
  <c r="AA1159" i="2"/>
  <c r="AB1159" i="2" s="1"/>
  <c r="AA1188" i="2"/>
  <c r="AB1188" i="2" s="1"/>
  <c r="AA1160" i="2"/>
  <c r="AB1160" i="2" s="1"/>
  <c r="AA1161" i="2"/>
  <c r="AB1161" i="2" s="1"/>
  <c r="AA1162" i="2"/>
  <c r="AB1162" i="2" s="1"/>
  <c r="AA2331" i="2"/>
  <c r="AB2331" i="2" s="1"/>
  <c r="AA2332" i="2"/>
  <c r="AB2332" i="2" s="1"/>
  <c r="AA1068" i="2"/>
  <c r="AB1068" i="2" s="1"/>
  <c r="AA2411" i="2"/>
  <c r="AB2411" i="2" s="1"/>
  <c r="AA1163" i="2"/>
  <c r="AB1163" i="2" s="1"/>
  <c r="AA1164" i="2"/>
  <c r="AB1164" i="2" s="1"/>
  <c r="AA1002" i="2"/>
  <c r="AB1002" i="2" s="1"/>
  <c r="AA1125" i="2"/>
  <c r="AB1125" i="2" s="1"/>
  <c r="AA1126" i="2"/>
  <c r="AB1126" i="2" s="1"/>
  <c r="AA299" i="2"/>
  <c r="AB299" i="2" s="1"/>
  <c r="AA1166" i="2"/>
  <c r="AB1166" i="2" s="1"/>
  <c r="AA1127" i="2"/>
  <c r="AB1127" i="2" s="1"/>
  <c r="AA1128" i="2"/>
  <c r="AB1128" i="2" s="1"/>
  <c r="AA1167" i="2"/>
  <c r="AB1167" i="2" s="1"/>
  <c r="AA2267" i="2"/>
  <c r="AB2267" i="2" s="1"/>
  <c r="AA2268" i="2"/>
  <c r="AB2268" i="2" s="1"/>
  <c r="AA2266" i="2"/>
  <c r="AB2266" i="2" s="1"/>
  <c r="AA2269" i="2"/>
  <c r="AB2269" i="2" s="1"/>
  <c r="AA2270" i="2"/>
  <c r="AB2270" i="2" s="1"/>
  <c r="AA1129" i="2"/>
  <c r="AB1129" i="2" s="1"/>
  <c r="AA1130" i="2"/>
  <c r="AB1130" i="2" s="1"/>
  <c r="AA1131" i="2"/>
  <c r="AB1131" i="2" s="1"/>
  <c r="AA2412" i="2"/>
  <c r="AB2412" i="2" s="1"/>
  <c r="AA278" i="2"/>
  <c r="AB278" i="2" s="1"/>
  <c r="AA1132" i="2"/>
  <c r="AB1132" i="2" s="1"/>
  <c r="AA1133" i="2"/>
  <c r="AB1133" i="2" s="1"/>
  <c r="AA1134" i="2"/>
  <c r="AB1134" i="2" s="1"/>
  <c r="AA1168" i="2"/>
  <c r="AB1168" i="2" s="1"/>
  <c r="AA1169" i="2"/>
  <c r="AB1169" i="2" s="1"/>
  <c r="AA2445" i="2"/>
  <c r="AB2445" i="2" s="1"/>
  <c r="AA2271" i="2"/>
  <c r="AB2271" i="2" s="1"/>
  <c r="AA2272" i="2"/>
  <c r="AB2272" i="2" s="1"/>
  <c r="AA1170" i="2"/>
  <c r="AB1170" i="2" s="1"/>
  <c r="AA1171" i="2"/>
  <c r="AB1171" i="2" s="1"/>
  <c r="AA1172" i="2"/>
  <c r="AB1172" i="2" s="1"/>
  <c r="AA1069" i="2"/>
  <c r="AB1069" i="2" s="1"/>
  <c r="AA2308" i="2"/>
  <c r="AB2308" i="2" s="1"/>
  <c r="AA2309" i="2"/>
  <c r="AB2309" i="2" s="1"/>
  <c r="AA279" i="2"/>
  <c r="AB279" i="2" s="1"/>
  <c r="AA1173" i="2"/>
  <c r="AB1173" i="2" s="1"/>
  <c r="AA2446" i="2"/>
  <c r="AB2446" i="2" s="1"/>
  <c r="AA1011" i="2"/>
  <c r="AB1011" i="2" s="1"/>
  <c r="AA1175" i="2"/>
  <c r="AB1175" i="2" s="1"/>
  <c r="AA1176" i="2"/>
  <c r="AB1176" i="2" s="1"/>
  <c r="AA1177" i="2"/>
  <c r="AB1177" i="2" s="1"/>
  <c r="AA1178" i="2"/>
  <c r="AB1178" i="2" s="1"/>
  <c r="AA1174" i="2"/>
  <c r="AB1174" i="2" s="1"/>
  <c r="AA1003" i="2"/>
  <c r="AB1003" i="2" s="1"/>
  <c r="AA1031" i="2"/>
  <c r="AB1031" i="2" s="1"/>
  <c r="AA1004" i="2"/>
  <c r="AB1004" i="2" s="1"/>
  <c r="AA1005" i="2"/>
  <c r="AB1005" i="2" s="1"/>
  <c r="AA1006" i="2"/>
  <c r="AB1006" i="2" s="1"/>
  <c r="AA1007" i="2"/>
  <c r="AB1007" i="2" s="1"/>
  <c r="AA1032" i="2"/>
  <c r="AB1032" i="2" s="1"/>
  <c r="AA1033" i="2"/>
  <c r="AB1033" i="2" s="1"/>
  <c r="AA1034" i="2"/>
  <c r="AB1034" i="2" s="1"/>
  <c r="AA2447" i="2"/>
  <c r="AB2447" i="2" s="1"/>
  <c r="AA2448" i="2"/>
  <c r="AB2448" i="2" s="1"/>
  <c r="AA2449" i="2"/>
  <c r="AB2449" i="2" s="1"/>
  <c r="AA1179" i="2"/>
  <c r="AB1179" i="2" s="1"/>
  <c r="AA1180" i="2"/>
  <c r="AB1180" i="2" s="1"/>
  <c r="AA1181" i="2"/>
  <c r="AB1181" i="2" s="1"/>
  <c r="AA1182" i="2"/>
  <c r="AB1182" i="2" s="1"/>
  <c r="AA1070" i="2"/>
  <c r="AB1070" i="2" s="1"/>
  <c r="AA1071" i="2"/>
  <c r="AB1071" i="2" s="1"/>
  <c r="AA1035" i="2"/>
  <c r="AB1035" i="2" s="1"/>
  <c r="AA1104" i="2"/>
  <c r="AB1104" i="2" s="1"/>
  <c r="AA1072" i="2"/>
  <c r="AB1072" i="2" s="1"/>
  <c r="AA1073" i="2"/>
  <c r="AB1073" i="2" s="1"/>
  <c r="AA2425" i="2"/>
  <c r="AB2425" i="2" s="1"/>
  <c r="AA2426" i="2"/>
  <c r="AB2426" i="2" s="1"/>
  <c r="AA1105" i="2"/>
  <c r="AB1105" i="2" s="1"/>
  <c r="AA1106" i="2"/>
  <c r="AB1106" i="2" s="1"/>
  <c r="AA2311" i="2"/>
  <c r="AB2311" i="2" s="1"/>
  <c r="AA2312" i="2"/>
  <c r="AB2312" i="2" s="1"/>
  <c r="AA2310" i="2"/>
  <c r="AB2310" i="2" s="1"/>
  <c r="AA354" i="2"/>
  <c r="AB354" i="2" s="1"/>
  <c r="AA355" i="2"/>
  <c r="AB355" i="2" s="1"/>
  <c r="AA356" i="2"/>
  <c r="AB356" i="2" s="1"/>
  <c r="AA357" i="2"/>
  <c r="AB357" i="2" s="1"/>
  <c r="AA358" i="2"/>
  <c r="AB358" i="2" s="1"/>
  <c r="AA359" i="2"/>
  <c r="AB359" i="2" s="1"/>
  <c r="AA360" i="2"/>
  <c r="AB360" i="2" s="1"/>
  <c r="AA361" i="2"/>
  <c r="AB361" i="2" s="1"/>
  <c r="AA362" i="2"/>
  <c r="AB362" i="2" s="1"/>
  <c r="AA1183" i="2"/>
  <c r="AB1183" i="2" s="1"/>
  <c r="AA259" i="2"/>
  <c r="AB259" i="2" s="1"/>
  <c r="AA363" i="2"/>
  <c r="AB363" i="2" s="1"/>
  <c r="AA364" i="2"/>
  <c r="AB364" i="2" s="1"/>
  <c r="AA365" i="2"/>
  <c r="AB365" i="2" s="1"/>
  <c r="AA366" i="2"/>
  <c r="AB366" i="2" s="1"/>
  <c r="AA2427" i="2"/>
  <c r="AB2427" i="2" s="1"/>
  <c r="AA2413" i="2"/>
  <c r="AB2413" i="2" s="1"/>
  <c r="AA2414" i="2"/>
  <c r="AB2414" i="2" s="1"/>
  <c r="AA2415" i="2"/>
  <c r="AB2415" i="2" s="1"/>
  <c r="AA300" i="2"/>
  <c r="AB300" i="2" s="1"/>
  <c r="AA1406" i="2"/>
  <c r="AB1406" i="2" s="1"/>
  <c r="AA368" i="2"/>
  <c r="AB368" i="2" s="1"/>
  <c r="AA369" i="2"/>
  <c r="AB369" i="2" s="1"/>
  <c r="AA370" i="2"/>
  <c r="AB370" i="2" s="1"/>
  <c r="AA371" i="2"/>
  <c r="AB371" i="2" s="1"/>
  <c r="AA372" i="2"/>
  <c r="AB372" i="2" s="1"/>
  <c r="AA1392" i="2"/>
  <c r="AB1392" i="2" s="1"/>
  <c r="AA262" i="2"/>
  <c r="AB262" i="2" s="1"/>
  <c r="AA1393" i="2"/>
  <c r="AB1393" i="2" s="1"/>
  <c r="AA1234" i="2"/>
  <c r="AB1234" i="2" s="1"/>
  <c r="AA1394" i="2"/>
  <c r="AB1394" i="2" s="1"/>
  <c r="AA392" i="2"/>
  <c r="AB392" i="2" s="1"/>
  <c r="AA393" i="2"/>
  <c r="AB393" i="2" s="1"/>
  <c r="AA1036" i="2"/>
  <c r="AB1036" i="2" s="1"/>
  <c r="AA394" i="2"/>
  <c r="AB394" i="2" s="1"/>
  <c r="AA1037" i="2"/>
  <c r="AB1037" i="2" s="1"/>
  <c r="AA395" i="2"/>
  <c r="AB395" i="2" s="1"/>
  <c r="AA396" i="2"/>
  <c r="AB396" i="2" s="1"/>
  <c r="AA1405" i="2"/>
  <c r="AB1405" i="2" s="1"/>
  <c r="AA1490" i="2"/>
  <c r="AB1490" i="2" s="1"/>
  <c r="AA2273" i="2"/>
  <c r="AB2273" i="2" s="1"/>
  <c r="AA2274" i="2"/>
  <c r="AB2274" i="2" s="1"/>
  <c r="AA2275" i="2"/>
  <c r="AB2275" i="2" s="1"/>
  <c r="AA2276" i="2"/>
  <c r="AB2276" i="2" s="1"/>
  <c r="AA2277" i="2"/>
  <c r="AB2277" i="2" s="1"/>
  <c r="AA2278" i="2"/>
  <c r="AB2278" i="2" s="1"/>
  <c r="AA1189" i="2"/>
  <c r="AB1189" i="2" s="1"/>
  <c r="AA1190" i="2"/>
  <c r="AB1190" i="2" s="1"/>
  <c r="AA2507" i="2"/>
  <c r="AB2507" i="2" s="1"/>
  <c r="AA1191" i="2"/>
  <c r="AB1191" i="2" s="1"/>
  <c r="AA2450" i="2"/>
  <c r="AB2450" i="2" s="1"/>
  <c r="AA296" i="2"/>
  <c r="AB296" i="2" s="1"/>
  <c r="AA297" i="2"/>
  <c r="AB297" i="2" s="1"/>
  <c r="AA298" i="2"/>
  <c r="AB298" i="2" s="1"/>
  <c r="AA263" i="2"/>
  <c r="AB263" i="2" s="1"/>
  <c r="AA301" i="2"/>
  <c r="AB301" i="2" s="1"/>
  <c r="AA1331" i="2"/>
  <c r="AB1331" i="2" s="1"/>
  <c r="AA2093" i="2"/>
  <c r="AB2093" i="2" s="1"/>
  <c r="AA2094" i="2"/>
  <c r="AB2094" i="2" s="1"/>
  <c r="AA1512" i="2"/>
  <c r="AB1512" i="2" s="1"/>
  <c r="AA666" i="2"/>
  <c r="AB666" i="2" s="1"/>
  <c r="AA1192" i="2"/>
  <c r="AB1192" i="2" s="1"/>
  <c r="AA302" i="2"/>
  <c r="AB302" i="2" s="1"/>
  <c r="AA1332" i="2"/>
  <c r="AB1332" i="2" s="1"/>
  <c r="AA303" i="2"/>
  <c r="AB303" i="2" s="1"/>
  <c r="AA304" i="2"/>
  <c r="AB304" i="2" s="1"/>
  <c r="AA1333" i="2"/>
  <c r="AB1333" i="2" s="1"/>
  <c r="AA2095" i="2"/>
  <c r="AB2095" i="2" s="1"/>
  <c r="AA1334" i="2"/>
  <c r="AB1334" i="2" s="1"/>
  <c r="AA305" i="2"/>
  <c r="AB305" i="2" s="1"/>
  <c r="AA1335" i="2"/>
  <c r="AB1335" i="2" s="1"/>
  <c r="AA2096" i="2"/>
  <c r="AB2096" i="2" s="1"/>
  <c r="AA307" i="2"/>
  <c r="AB307" i="2" s="1"/>
  <c r="AA2097" i="2"/>
  <c r="AB2097" i="2" s="1"/>
  <c r="AA1194" i="2"/>
  <c r="AB1194" i="2" s="1"/>
  <c r="AA2279" i="2"/>
  <c r="AB2279" i="2" s="1"/>
  <c r="AA374" i="2"/>
  <c r="AB374" i="2" s="1"/>
  <c r="AA373" i="2"/>
  <c r="AB373" i="2" s="1"/>
  <c r="AA306" i="2"/>
  <c r="AB306" i="2" s="1"/>
  <c r="AA397" i="2"/>
  <c r="AB397" i="2" s="1"/>
  <c r="AA1193" i="2"/>
  <c r="AB1193" i="2" s="1"/>
  <c r="AA308" i="2"/>
  <c r="AB308" i="2" s="1"/>
  <c r="AA398" i="2"/>
  <c r="AB398" i="2" s="1"/>
  <c r="AA2333" i="2"/>
  <c r="AB2333" i="2" s="1"/>
  <c r="AA2334" i="2"/>
  <c r="AB2334" i="2" s="1"/>
  <c r="AA2335" i="2"/>
  <c r="AB2335" i="2" s="1"/>
  <c r="AA2336" i="2"/>
  <c r="AB2336" i="2" s="1"/>
  <c r="AA399" i="2"/>
  <c r="AB399" i="2" s="1"/>
  <c r="AA309" i="2"/>
  <c r="AB309" i="2" s="1"/>
  <c r="AA310" i="2"/>
  <c r="AB310" i="2" s="1"/>
  <c r="AA400" i="2"/>
  <c r="AB400" i="2" s="1"/>
  <c r="AA1195" i="2"/>
  <c r="AB1195" i="2" s="1"/>
  <c r="AA264" i="2"/>
  <c r="AB264" i="2" s="1"/>
  <c r="AA2281" i="2"/>
  <c r="AB2281" i="2" s="1"/>
  <c r="AA2282" i="2"/>
  <c r="AB2282" i="2" s="1"/>
  <c r="AA2283" i="2"/>
  <c r="AB2283" i="2" s="1"/>
  <c r="AA2280" i="2"/>
  <c r="AB2280" i="2" s="1"/>
  <c r="AA2284" i="2"/>
  <c r="AB2284" i="2" s="1"/>
  <c r="AA2285" i="2"/>
  <c r="AB2285" i="2" s="1"/>
  <c r="AA2286" i="2"/>
  <c r="AB2286" i="2" s="1"/>
  <c r="AA2287" i="2"/>
  <c r="AB2287" i="2" s="1"/>
  <c r="AA311" i="2"/>
  <c r="AB311" i="2" s="1"/>
  <c r="AA312" i="2"/>
  <c r="AB312" i="2" s="1"/>
  <c r="AA313" i="2"/>
  <c r="AB313" i="2" s="1"/>
  <c r="AA314" i="2"/>
  <c r="AB314" i="2" s="1"/>
  <c r="AA265" i="2"/>
  <c r="AB265" i="2" s="1"/>
  <c r="AA315" i="2"/>
  <c r="AB315" i="2" s="1"/>
  <c r="AA2098" i="2"/>
  <c r="AB2098" i="2" s="1"/>
  <c r="AA2099" i="2"/>
  <c r="AB2099" i="2" s="1"/>
  <c r="AA2100" i="2"/>
  <c r="AB2100" i="2" s="1"/>
  <c r="AA2101" i="2"/>
  <c r="AB2101" i="2" s="1"/>
  <c r="AA2102" i="2"/>
  <c r="AB2102" i="2" s="1"/>
  <c r="AA2103" i="2"/>
  <c r="AB2103" i="2" s="1"/>
  <c r="AA2104" i="2"/>
  <c r="AB2104" i="2" s="1"/>
  <c r="AA667" i="2"/>
  <c r="AB667" i="2" s="1"/>
  <c r="AA2105" i="2"/>
  <c r="AB2105" i="2" s="1"/>
  <c r="AA2106" i="2"/>
  <c r="AB2106" i="2" s="1"/>
  <c r="AA2337" i="2"/>
  <c r="AB2337" i="2" s="1"/>
  <c r="AA2528" i="2"/>
  <c r="AB2528" i="2" s="1"/>
  <c r="AA318" i="2"/>
  <c r="AB318" i="2" s="1"/>
  <c r="AA319" i="2"/>
  <c r="AB319" i="2" s="1"/>
  <c r="AA320" i="2"/>
  <c r="AB320" i="2" s="1"/>
  <c r="AA2108" i="2"/>
  <c r="AB2108" i="2" s="1"/>
  <c r="AA2288" i="2"/>
  <c r="AB2288" i="2" s="1"/>
  <c r="AA402" i="2"/>
  <c r="AB402" i="2" s="1"/>
  <c r="AA2107" i="2"/>
  <c r="AB2107" i="2" s="1"/>
  <c r="AA2111" i="2"/>
  <c r="AB2111" i="2" s="1"/>
  <c r="AA1196" i="2"/>
  <c r="AB1196" i="2" s="1"/>
  <c r="AA321" i="2"/>
  <c r="AB321" i="2" s="1"/>
  <c r="AA1197" i="2"/>
  <c r="AB1197" i="2" s="1"/>
  <c r="AA322" i="2"/>
  <c r="AB322" i="2" s="1"/>
  <c r="AA2110" i="2"/>
  <c r="AB2110" i="2" s="1"/>
  <c r="AA323" i="2"/>
  <c r="AB323" i="2" s="1"/>
  <c r="AA401" i="2"/>
  <c r="AB401" i="2" s="1"/>
  <c r="AA1198" i="2"/>
  <c r="AB1198" i="2" s="1"/>
  <c r="AA324" i="2"/>
  <c r="AB324" i="2" s="1"/>
  <c r="AA2109" i="2"/>
  <c r="AB2109" i="2" s="1"/>
  <c r="AA325" i="2"/>
  <c r="AB325" i="2" s="1"/>
  <c r="AA417" i="2"/>
  <c r="AB417" i="2" s="1"/>
  <c r="AA2112" i="2"/>
  <c r="AB2112" i="2" s="1"/>
  <c r="AA1199" i="2"/>
  <c r="AB1199" i="2" s="1"/>
  <c r="AA326" i="2"/>
  <c r="AB326" i="2" s="1"/>
  <c r="AA2113" i="2"/>
  <c r="AB2113" i="2" s="1"/>
  <c r="AA1200" i="2"/>
  <c r="AB1200" i="2" s="1"/>
  <c r="AA327" i="2"/>
  <c r="AB327" i="2" s="1"/>
  <c r="AA2114" i="2"/>
  <c r="AB2114" i="2" s="1"/>
  <c r="AA1201" i="2"/>
  <c r="AB1201" i="2" s="1"/>
  <c r="AA328" i="2"/>
  <c r="AB328" i="2" s="1"/>
  <c r="AA1202" i="2"/>
  <c r="AB1202" i="2" s="1"/>
  <c r="AA329" i="2"/>
  <c r="AB329" i="2" s="1"/>
  <c r="AA2338" i="2"/>
  <c r="AB2338" i="2" s="1"/>
  <c r="AA2339" i="2"/>
  <c r="AB2339" i="2" s="1"/>
  <c r="AA331" i="2"/>
  <c r="AB331" i="2" s="1"/>
  <c r="AA332" i="2"/>
  <c r="AB332" i="2" s="1"/>
  <c r="AA1203" i="2"/>
  <c r="AB1203" i="2" s="1"/>
  <c r="AA333" i="2"/>
  <c r="AB333" i="2" s="1"/>
  <c r="AA1204" i="2"/>
  <c r="AB1204" i="2" s="1"/>
  <c r="AA334" i="2"/>
  <c r="AB334" i="2" s="1"/>
  <c r="AA330" i="2"/>
  <c r="AB330" i="2" s="1"/>
  <c r="AA266" i="2"/>
  <c r="AB266" i="2" s="1"/>
  <c r="AA267" i="2"/>
  <c r="AB267" i="2" s="1"/>
  <c r="AA1205" i="2"/>
  <c r="AB1205" i="2" s="1"/>
  <c r="AA1206" i="2"/>
  <c r="AB1206" i="2" s="1"/>
  <c r="AA2115" i="2"/>
  <c r="AB2115" i="2" s="1"/>
  <c r="AA1208" i="2"/>
  <c r="AB1208" i="2" s="1"/>
  <c r="AA1209" i="2"/>
  <c r="AB1209" i="2" s="1"/>
  <c r="AA403" i="2"/>
  <c r="AB403" i="2" s="1"/>
  <c r="AA335" i="2"/>
  <c r="AB335" i="2" s="1"/>
  <c r="AA404" i="2"/>
  <c r="AB404" i="2" s="1"/>
  <c r="AA1207" i="2"/>
  <c r="AB1207" i="2" s="1"/>
  <c r="AA336" i="2"/>
  <c r="AB336" i="2" s="1"/>
  <c r="AA405" i="2"/>
  <c r="AB405" i="2" s="1"/>
  <c r="AA406" i="2"/>
  <c r="AB406" i="2" s="1"/>
  <c r="AA268" i="2"/>
  <c r="AB268" i="2" s="1"/>
  <c r="AA269" i="2"/>
  <c r="AB269" i="2" s="1"/>
  <c r="AA2530" i="2"/>
  <c r="AB2530" i="2" s="1"/>
  <c r="AA408" i="2"/>
  <c r="AB408" i="2" s="1"/>
  <c r="AA409" i="2"/>
  <c r="AB409" i="2" s="1"/>
  <c r="AA410" i="2"/>
  <c r="AB410" i="2" s="1"/>
  <c r="AA337" i="2"/>
  <c r="AB337" i="2" s="1"/>
  <c r="AA411" i="2"/>
  <c r="AB411" i="2" s="1"/>
  <c r="AA412" i="2"/>
  <c r="AB412" i="2" s="1"/>
  <c r="AA413" i="2"/>
  <c r="AB413" i="2" s="1"/>
  <c r="AA338" i="2"/>
  <c r="AB338" i="2" s="1"/>
  <c r="AA339" i="2"/>
  <c r="AB339" i="2" s="1"/>
  <c r="AA340" i="2"/>
  <c r="AB340" i="2" s="1"/>
  <c r="AA341" i="2"/>
  <c r="AB341" i="2" s="1"/>
  <c r="AA342" i="2"/>
  <c r="AB342" i="2" s="1"/>
  <c r="AA343" i="2"/>
  <c r="AB343" i="2" s="1"/>
  <c r="AA344" i="2"/>
  <c r="AB344" i="2" s="1"/>
  <c r="AA2417" i="2"/>
  <c r="AB2417" i="2" s="1"/>
  <c r="AA2416" i="2"/>
  <c r="AB2416" i="2" s="1"/>
  <c r="AA2418" i="2"/>
  <c r="AB2418" i="2" s="1"/>
  <c r="AA1211" i="2"/>
  <c r="AB1211" i="2" s="1"/>
  <c r="AA1212" i="2"/>
  <c r="AB1212" i="2" s="1"/>
  <c r="AA1210" i="2"/>
  <c r="AB1210" i="2" s="1"/>
  <c r="AA1213" i="2"/>
  <c r="AB1213" i="2" s="1"/>
  <c r="AA1214" i="2"/>
  <c r="AB1214" i="2" s="1"/>
  <c r="AA270" i="2"/>
  <c r="AB270" i="2" s="1"/>
  <c r="AA271" i="2"/>
  <c r="AB271" i="2" s="1"/>
  <c r="AA272" i="2"/>
  <c r="AB272" i="2" s="1"/>
  <c r="AA1215" i="2"/>
  <c r="AB1215" i="2" s="1"/>
  <c r="AA414" i="2"/>
  <c r="AB414" i="2" s="1"/>
  <c r="AA415" i="2"/>
  <c r="AB415" i="2" s="1"/>
  <c r="AA1184" i="2"/>
  <c r="AB1184" i="2" s="1"/>
  <c r="AA2116" i="2"/>
  <c r="AB2116" i="2" s="1"/>
  <c r="AA2117" i="2"/>
  <c r="AB2117" i="2" s="1"/>
  <c r="AA2118" i="2"/>
  <c r="AB2118" i="2" s="1"/>
  <c r="AA2119" i="2"/>
  <c r="AB2119" i="2" s="1"/>
  <c r="AA2340" i="2"/>
  <c r="AB2340" i="2" s="1"/>
  <c r="AA345" i="2"/>
  <c r="AB345" i="2" s="1"/>
  <c r="AA2120" i="2"/>
  <c r="AB2120" i="2" s="1"/>
  <c r="AA1480" i="2"/>
  <c r="AB1480" i="2" s="1"/>
  <c r="AA346" i="2"/>
  <c r="AB346" i="2" s="1"/>
  <c r="AA1481" i="2"/>
  <c r="AB1481" i="2" s="1"/>
  <c r="AA1482" i="2"/>
  <c r="AB1482" i="2" s="1"/>
  <c r="AA347" i="2"/>
  <c r="AB347" i="2" s="1"/>
  <c r="AA1483" i="2"/>
  <c r="AB1483" i="2" s="1"/>
  <c r="AA348" i="2"/>
  <c r="AB348" i="2" s="1"/>
  <c r="AA1484" i="2"/>
  <c r="AB1484" i="2" s="1"/>
  <c r="AA1485" i="2"/>
  <c r="AB1485" i="2" s="1"/>
  <c r="AA349" i="2"/>
  <c r="AB349" i="2" s="1"/>
  <c r="AA1488" i="2"/>
  <c r="AB1488" i="2" s="1"/>
  <c r="AA1486" i="2"/>
  <c r="AB1486" i="2" s="1"/>
  <c r="AA1355" i="2"/>
  <c r="AB1355" i="2" s="1"/>
  <c r="AA1409" i="2"/>
  <c r="AB1409" i="2" s="1"/>
  <c r="AA1407" i="2"/>
  <c r="AB1407" i="2" s="1"/>
  <c r="AA1408" i="2"/>
  <c r="AB1408" i="2" s="1"/>
  <c r="AA2531" i="2"/>
  <c r="AB2531" i="2" s="1"/>
  <c r="AA1489" i="2"/>
  <c r="AB1489" i="2" s="1"/>
  <c r="AA1487" i="2"/>
  <c r="AB1487" i="2" s="1"/>
  <c r="AA1410" i="2"/>
  <c r="AB1410" i="2" s="1"/>
  <c r="AA1359" i="2"/>
  <c r="AB1359" i="2" s="1"/>
  <c r="AA1411" i="2"/>
  <c r="AB1411" i="2" s="1"/>
  <c r="AA1360" i="2"/>
  <c r="AB1360" i="2" s="1"/>
  <c r="AA1412" i="2"/>
  <c r="AB1412" i="2" s="1"/>
  <c r="AA1413" i="2"/>
  <c r="AB1413" i="2" s="1"/>
  <c r="AA416" i="2"/>
  <c r="AB416" i="2" s="1"/>
  <c r="AA1216" i="2"/>
  <c r="AB1216" i="2" s="1"/>
  <c r="AA1356" i="2"/>
  <c r="AB1356" i="2" s="1"/>
  <c r="AA1357" i="2"/>
  <c r="AB1357" i="2" s="1"/>
  <c r="AA1358" i="2"/>
  <c r="AB1358" i="2" s="1"/>
  <c r="AA1361" i="2"/>
  <c r="AB1361" i="2" s="1"/>
  <c r="AA1362" i="2"/>
  <c r="AB1362" i="2" s="1"/>
  <c r="AA1363" i="2"/>
  <c r="AB1363" i="2" s="1"/>
  <c r="AA1364" i="2"/>
  <c r="AB1364" i="2" s="1"/>
  <c r="AA2341" i="2"/>
  <c r="AB2341" i="2" s="1"/>
  <c r="AA2342" i="2"/>
  <c r="AB2342" i="2" s="1"/>
  <c r="AA2532" i="2"/>
  <c r="AB2532" i="2" s="1"/>
  <c r="AA1366" i="2"/>
  <c r="AB1366" i="2" s="1"/>
  <c r="AA1367" i="2"/>
  <c r="AB1367" i="2" s="1"/>
  <c r="AA2122" i="2"/>
  <c r="AB2122" i="2" s="1"/>
  <c r="AA2123" i="2"/>
  <c r="AB2123" i="2" s="1"/>
  <c r="AA2121" i="2"/>
  <c r="AB2121" i="2" s="1"/>
  <c r="AA1368" i="2"/>
  <c r="AB1368" i="2" s="1"/>
  <c r="AA1369" i="2"/>
  <c r="AB1369" i="2" s="1"/>
  <c r="AA2124" i="2"/>
  <c r="AB2124" i="2" s="1"/>
  <c r="AA2125" i="2"/>
  <c r="AB2125" i="2" s="1"/>
  <c r="AA2126" i="2"/>
  <c r="AB2126" i="2" s="1"/>
  <c r="AA1414" i="2"/>
  <c r="AB1414" i="2" s="1"/>
  <c r="AA1415" i="2"/>
  <c r="AB1415" i="2" s="1"/>
  <c r="AA2127" i="2"/>
  <c r="AB2127" i="2" s="1"/>
  <c r="AA1416" i="2"/>
  <c r="AB1416" i="2" s="1"/>
  <c r="AA1417" i="2"/>
  <c r="AB1417" i="2" s="1"/>
  <c r="AA1336" i="2"/>
  <c r="AB1336" i="2" s="1"/>
  <c r="AA1337" i="2"/>
  <c r="AB1337" i="2" s="1"/>
  <c r="AA1338" i="2"/>
  <c r="AB1338" i="2" s="1"/>
  <c r="AA1339" i="2"/>
  <c r="AB1339" i="2" s="1"/>
  <c r="AA1340" i="2"/>
  <c r="AB1340" i="2" s="1"/>
  <c r="AA1418" i="2"/>
  <c r="AB1418" i="2" s="1"/>
  <c r="AA1341" i="2"/>
  <c r="AB1341" i="2" s="1"/>
  <c r="AA1419" i="2"/>
  <c r="AB1419" i="2" s="1"/>
  <c r="AA1342" i="2"/>
  <c r="AB1342" i="2" s="1"/>
  <c r="AA1343" i="2"/>
  <c r="AB1343" i="2" s="1"/>
  <c r="AA1344" i="2"/>
  <c r="AB1344" i="2" s="1"/>
  <c r="AA273" i="2"/>
  <c r="AB273" i="2" s="1"/>
  <c r="AA274" i="2"/>
  <c r="AB274" i="2" s="1"/>
  <c r="AA1420" i="2"/>
  <c r="AB1420" i="2" s="1"/>
  <c r="AA1421" i="2"/>
  <c r="AB1421" i="2" s="1"/>
  <c r="AA1422" i="2"/>
  <c r="AB1422" i="2" s="1"/>
  <c r="AA1423" i="2"/>
  <c r="AB1423" i="2" s="1"/>
  <c r="AA1425" i="2"/>
  <c r="AB1425" i="2" s="1"/>
  <c r="AA1426" i="2"/>
  <c r="AB1426" i="2" s="1"/>
  <c r="AA1427" i="2"/>
  <c r="AB1427" i="2" s="1"/>
  <c r="AA1345" i="2"/>
  <c r="AB1345" i="2" s="1"/>
  <c r="AA1346" i="2"/>
  <c r="AB1346" i="2" s="1"/>
  <c r="AA1347" i="2"/>
  <c r="AB1347" i="2" s="1"/>
  <c r="AA1348" i="2"/>
  <c r="AB1348" i="2" s="1"/>
  <c r="AA1424" i="2"/>
  <c r="AB1424" i="2" s="1"/>
  <c r="AA1349" i="2"/>
  <c r="AB1349" i="2" s="1"/>
  <c r="AA1350" i="2"/>
  <c r="AB1350" i="2" s="1"/>
  <c r="AA2343" i="2"/>
  <c r="AB2343" i="2" s="1"/>
  <c r="AA280" i="2"/>
  <c r="AB280" i="2" s="1"/>
  <c r="AA281" i="2"/>
  <c r="AB281" i="2" s="1"/>
  <c r="AA1428" i="2"/>
  <c r="AB1428" i="2" s="1"/>
  <c r="AA1429" i="2"/>
  <c r="AB1429" i="2" s="1"/>
  <c r="AA1430" i="2"/>
  <c r="AB1430" i="2" s="1"/>
  <c r="AA1432" i="2"/>
  <c r="AB1432" i="2" s="1"/>
  <c r="AA1351" i="2"/>
  <c r="AB1351" i="2" s="1"/>
  <c r="AA1433" i="2"/>
  <c r="AB1433" i="2" s="1"/>
  <c r="AA1352" i="2"/>
  <c r="AB1352" i="2" s="1"/>
  <c r="AA1434" i="2"/>
  <c r="AB1434" i="2" s="1"/>
  <c r="AA1431" i="2"/>
  <c r="AB1431" i="2" s="1"/>
  <c r="AA1353" i="2"/>
  <c r="AB1353" i="2" s="1"/>
  <c r="AA1435" i="2"/>
  <c r="AB1435" i="2" s="1"/>
  <c r="AA1354" i="2"/>
  <c r="AB1354" i="2" s="1"/>
  <c r="AA1370" i="2"/>
  <c r="AB1370" i="2" s="1"/>
  <c r="AA1436" i="2"/>
  <c r="AB1436" i="2" s="1"/>
  <c r="AA1437" i="2"/>
  <c r="AB1437" i="2" s="1"/>
  <c r="AA1438" i="2"/>
  <c r="AB1438" i="2" s="1"/>
  <c r="AA1439" i="2"/>
  <c r="AB1439" i="2" s="1"/>
  <c r="AA1440" i="2"/>
  <c r="AB1440" i="2" s="1"/>
  <c r="AA2344" i="2"/>
  <c r="AB2344" i="2" s="1"/>
  <c r="AA192" i="2"/>
  <c r="AB192" i="2" s="1"/>
  <c r="AA193" i="2"/>
  <c r="AB193" i="2" s="1"/>
  <c r="AA194" i="2"/>
  <c r="AB194" i="2" s="1"/>
  <c r="AA195" i="2"/>
  <c r="AB195" i="2" s="1"/>
  <c r="AA191" i="2"/>
  <c r="AB191" i="2" s="1"/>
  <c r="AA196" i="2"/>
  <c r="AB196" i="2" s="1"/>
  <c r="AA197" i="2"/>
  <c r="AB197" i="2" s="1"/>
  <c r="AA1452" i="2"/>
  <c r="AB1452" i="2" s="1"/>
  <c r="AA1443" i="2"/>
  <c r="AB1443" i="2" s="1"/>
  <c r="AA1454" i="2"/>
  <c r="AB1454" i="2" s="1"/>
  <c r="AA1444" i="2"/>
  <c r="AB1444" i="2" s="1"/>
  <c r="AA1441" i="2"/>
  <c r="AB1441" i="2" s="1"/>
  <c r="AA1453" i="2"/>
  <c r="AB1453" i="2" s="1"/>
  <c r="AA1455" i="2"/>
  <c r="AB1455" i="2" s="1"/>
  <c r="AA1456" i="2"/>
  <c r="AB1456" i="2" s="1"/>
  <c r="AA1457" i="2"/>
  <c r="AB1457" i="2" s="1"/>
  <c r="AA1445" i="2"/>
  <c r="AB1445" i="2" s="1"/>
  <c r="AA1442" i="2"/>
  <c r="AB1442" i="2" s="1"/>
  <c r="AA1446" i="2"/>
  <c r="AB1446" i="2" s="1"/>
  <c r="AA1458" i="2"/>
  <c r="AB1458" i="2" s="1"/>
  <c r="AA1447" i="2"/>
  <c r="AB1447" i="2" s="1"/>
  <c r="AA1460" i="2"/>
  <c r="AB1460" i="2" s="1"/>
  <c r="AA1448" i="2"/>
  <c r="AB1448" i="2" s="1"/>
  <c r="AA1459" i="2"/>
  <c r="AB1459" i="2" s="1"/>
  <c r="AA1463" i="2"/>
  <c r="AB1463" i="2" s="1"/>
  <c r="AA1465" i="2"/>
  <c r="AB1465" i="2" s="1"/>
  <c r="AA1466" i="2"/>
  <c r="AB1466" i="2" s="1"/>
  <c r="AA1461" i="2"/>
  <c r="AB1461" i="2" s="1"/>
  <c r="AA1462" i="2"/>
  <c r="AB1462" i="2" s="1"/>
  <c r="AA1464" i="2"/>
  <c r="AB1464" i="2" s="1"/>
  <c r="AA2508" i="2"/>
  <c r="AB2508" i="2" s="1"/>
  <c r="AA2538" i="2"/>
  <c r="AB2538" i="2" s="1"/>
  <c r="AA2539" i="2"/>
  <c r="AB2539" i="2" s="1"/>
  <c r="AA2509" i="2"/>
  <c r="AB2509" i="2" s="1"/>
  <c r="AA2510" i="2"/>
  <c r="AB2510" i="2" s="1"/>
  <c r="AA2511" i="2"/>
  <c r="AB2511" i="2" s="1"/>
  <c r="AA2512" i="2"/>
  <c r="AB2512" i="2" s="1"/>
  <c r="AA2513" i="2"/>
  <c r="AB2513" i="2" s="1"/>
  <c r="AA1467" i="2"/>
  <c r="AB1467" i="2" s="1"/>
  <c r="AA1449" i="2"/>
  <c r="AB1449" i="2" s="1"/>
  <c r="AA1468" i="2"/>
  <c r="AB1468" i="2" s="1"/>
  <c r="AA1469" i="2"/>
  <c r="AB1469" i="2" s="1"/>
  <c r="AA1470" i="2"/>
  <c r="AB1470" i="2" s="1"/>
  <c r="AA1471" i="2"/>
  <c r="AB1471" i="2" s="1"/>
  <c r="AA1472" i="2"/>
  <c r="AB1472" i="2" s="1"/>
  <c r="AA2345" i="2"/>
  <c r="AB2345" i="2" s="1"/>
  <c r="AA2346" i="2"/>
  <c r="AB2346" i="2" s="1"/>
  <c r="AA2347" i="2"/>
  <c r="AB2347" i="2" s="1"/>
  <c r="AA1450" i="2"/>
  <c r="AB1450" i="2" s="1"/>
  <c r="AA1473" i="2"/>
  <c r="AB1473" i="2" s="1"/>
  <c r="AA1451" i="2"/>
  <c r="AB1451" i="2" s="1"/>
  <c r="AA1474" i="2"/>
  <c r="AB1474" i="2" s="1"/>
  <c r="AA1475" i="2"/>
  <c r="AB1475" i="2" s="1"/>
  <c r="AA1476" i="2"/>
  <c r="AB1476" i="2" s="1"/>
  <c r="AA1477" i="2"/>
  <c r="AB1477" i="2" s="1"/>
  <c r="AA1478" i="2"/>
  <c r="AB1478" i="2" s="1"/>
  <c r="AA2348" i="2"/>
  <c r="AB2348" i="2" s="1"/>
  <c r="AA350" i="2"/>
  <c r="AB350" i="2" s="1"/>
  <c r="AA1479" i="2"/>
  <c r="AB1479" i="2" s="1"/>
  <c r="AA351" i="2"/>
  <c r="AB351" i="2" s="1"/>
  <c r="AA352" i="2"/>
  <c r="AB352" i="2" s="1"/>
  <c r="AA353" i="2"/>
  <c r="AB353" i="2" s="1"/>
  <c r="AA2398" i="2"/>
  <c r="AB2398" i="2" s="1"/>
  <c r="AA2399" i="2"/>
  <c r="AB2399" i="2" s="1"/>
  <c r="AA2540" i="2"/>
  <c r="AB2540" i="2" s="1"/>
  <c r="AA2547" i="2"/>
  <c r="AB2547" i="2" s="1"/>
  <c r="AA2451" i="2"/>
  <c r="AB2451" i="2" s="1"/>
  <c r="AA2452" i="2"/>
  <c r="AB2452" i="2" s="1"/>
  <c r="AA2453" i="2"/>
  <c r="AB2453" i="2" s="1"/>
  <c r="AA1371" i="2"/>
  <c r="AB1371" i="2" s="1"/>
  <c r="AA1372" i="2"/>
  <c r="AB1372" i="2" s="1"/>
  <c r="AA275" i="2"/>
  <c r="AB275" i="2" s="1"/>
  <c r="AA276" i="2"/>
  <c r="AB276" i="2" s="1"/>
  <c r="AA1373" i="2"/>
  <c r="AB1373" i="2" s="1"/>
  <c r="AA1374" i="2"/>
  <c r="AB1374" i="2" s="1"/>
  <c r="AA1375" i="2"/>
  <c r="AB1375" i="2" s="1"/>
  <c r="AA1376" i="2"/>
  <c r="AB1376" i="2" s="1"/>
  <c r="AA1377" i="2"/>
  <c r="AB1377" i="2" s="1"/>
  <c r="AA1378" i="2"/>
  <c r="AB1378" i="2" s="1"/>
  <c r="AA1379" i="2"/>
  <c r="AB1379" i="2" s="1"/>
  <c r="AA2548" i="2"/>
  <c r="AB2548" i="2" s="1"/>
  <c r="AA2514" i="2"/>
  <c r="AB2514" i="2" s="1"/>
  <c r="AA2515" i="2"/>
  <c r="AB2515" i="2" s="1"/>
  <c r="AA2516" i="2"/>
  <c r="AB2516" i="2" s="1"/>
  <c r="AA2517" i="2"/>
  <c r="AB2517" i="2" s="1"/>
  <c r="AA2518" i="2"/>
  <c r="AB2518" i="2" s="1"/>
  <c r="AA2350" i="2"/>
  <c r="AB2350" i="2" s="1"/>
  <c r="AA2351" i="2"/>
  <c r="AB2351" i="2" s="1"/>
  <c r="AA2349" i="2"/>
  <c r="AB2349" i="2" s="1"/>
  <c r="AA1217" i="2"/>
  <c r="AB1217" i="2" s="1"/>
  <c r="AA1218" i="2"/>
  <c r="AB1218" i="2" s="1"/>
  <c r="AA1380" i="2"/>
  <c r="AB1380" i="2" s="1"/>
  <c r="AA1381" i="2"/>
  <c r="AB1381" i="2" s="1"/>
  <c r="AA175" i="2"/>
  <c r="AB175" i="2" s="1"/>
  <c r="AA176" i="2"/>
  <c r="AB176" i="2" s="1"/>
  <c r="AA187" i="2"/>
  <c r="AB187" i="2" s="1"/>
  <c r="AA188" i="2"/>
  <c r="AB188" i="2" s="1"/>
  <c r="AA186" i="2"/>
  <c r="AB186" i="2" s="1"/>
  <c r="AA189" i="2"/>
  <c r="AB189" i="2" s="1"/>
  <c r="AA190" i="2"/>
  <c r="AB190" i="2" s="1"/>
  <c r="AA2557" i="2"/>
  <c r="AB2557" i="2" s="1"/>
  <c r="AA418" i="2"/>
  <c r="AB418" i="2" s="1"/>
  <c r="AA1699" i="2"/>
  <c r="AB1699" i="2" s="1"/>
  <c r="AA746" i="2"/>
  <c r="AB746" i="2" s="1"/>
  <c r="AA1384" i="2"/>
  <c r="AB1384" i="2" s="1"/>
  <c r="AA1219" i="2"/>
  <c r="AB1219" i="2" s="1"/>
  <c r="AA1220" i="2"/>
  <c r="AB1220" i="2" s="1"/>
  <c r="AA1385" i="2"/>
  <c r="AB1385" i="2" s="1"/>
  <c r="AA1386" i="2"/>
  <c r="AB1386" i="2" s="1"/>
  <c r="AA1387" i="2"/>
  <c r="AB1387" i="2" s="1"/>
  <c r="AA172" i="2"/>
  <c r="AB172" i="2" s="1"/>
  <c r="AA173" i="2"/>
  <c r="AB173" i="2" s="1"/>
  <c r="AA174" i="2"/>
  <c r="AB174" i="2" s="1"/>
  <c r="AA1402" i="2"/>
  <c r="AB1402" i="2" s="1"/>
  <c r="AA1221" i="2"/>
  <c r="AB1221" i="2" s="1"/>
  <c r="AA1403" i="2"/>
  <c r="AB1403" i="2" s="1"/>
  <c r="AA1222" i="2"/>
  <c r="AB1222" i="2" s="1"/>
  <c r="AA1404" i="2"/>
  <c r="AB1404" i="2" s="1"/>
  <c r="AA1223" i="2"/>
  <c r="AB1223" i="2" s="1"/>
  <c r="AA1224" i="2"/>
  <c r="AB1224" i="2" s="1"/>
  <c r="AA2454" i="2"/>
  <c r="AB2454" i="2" s="1"/>
  <c r="AA2455" i="2"/>
  <c r="AB2455" i="2" s="1"/>
  <c r="AA1389" i="2"/>
  <c r="AB1389" i="2" s="1"/>
  <c r="AA1390" i="2"/>
  <c r="AB1390" i="2" s="1"/>
  <c r="AA1391" i="2"/>
  <c r="AB1391" i="2" s="1"/>
  <c r="AA1388" i="2"/>
  <c r="AB1388" i="2" s="1"/>
  <c r="AA1228" i="2"/>
  <c r="AB1228" i="2" s="1"/>
  <c r="AA1225" i="2"/>
  <c r="AB1225" i="2" s="1"/>
  <c r="AA1226" i="2"/>
  <c r="AB1226" i="2" s="1"/>
  <c r="AA1227" i="2"/>
  <c r="AB1227" i="2" s="1"/>
  <c r="AA1229" i="2"/>
  <c r="AB1229" i="2" s="1"/>
  <c r="AA1230" i="2"/>
  <c r="AB1230" i="2" s="1"/>
  <c r="AA1231" i="2"/>
  <c r="AB1231" i="2" s="1"/>
  <c r="AA1232" i="2"/>
  <c r="AB1232" i="2" s="1"/>
  <c r="AA2352" i="2"/>
  <c r="AB2352" i="2" s="1"/>
  <c r="AA18" i="2"/>
  <c r="AB18" i="2" s="1"/>
  <c r="AA1235" i="2"/>
  <c r="AB1235" i="2" s="1"/>
  <c r="AA1236" i="2"/>
  <c r="AB1236" i="2" s="1"/>
  <c r="AA1237" i="2"/>
  <c r="AB1237" i="2" s="1"/>
  <c r="AA1238" i="2"/>
  <c r="AB1238" i="2" s="1"/>
  <c r="AA1395" i="2"/>
  <c r="AB1395" i="2" s="1"/>
  <c r="AA1239" i="2"/>
  <c r="AB1239" i="2" s="1"/>
  <c r="AA1396" i="2"/>
  <c r="AB1396" i="2" s="1"/>
  <c r="AA1240" i="2"/>
  <c r="AB1240" i="2" s="1"/>
  <c r="AA1241" i="2"/>
  <c r="AB1241" i="2" s="1"/>
  <c r="AA2419" i="2"/>
  <c r="AB2419" i="2" s="1"/>
  <c r="AA2420" i="2"/>
  <c r="AB2420" i="2" s="1"/>
  <c r="AA2353" i="2"/>
  <c r="AB2353" i="2" s="1"/>
  <c r="AA2354" i="2"/>
  <c r="AB2354" i="2" s="1"/>
  <c r="AA779" i="2"/>
  <c r="AB779" i="2" s="1"/>
  <c r="AA1243" i="2"/>
  <c r="AB1243" i="2" s="1"/>
  <c r="AA2355" i="2"/>
  <c r="AB2355" i="2" s="1"/>
  <c r="AA2356" i="2"/>
  <c r="AB2356" i="2" s="1"/>
  <c r="AA1397" i="2"/>
  <c r="AB1397" i="2" s="1"/>
  <c r="AA1398" i="2"/>
  <c r="AB1398" i="2" s="1"/>
  <c r="AA1399" i="2"/>
  <c r="AB1399" i="2" s="1"/>
  <c r="AA1540" i="2"/>
  <c r="AB1540" i="2" s="1"/>
  <c r="AA1541" i="2"/>
  <c r="AB1541" i="2" s="1"/>
  <c r="AA1244" i="2"/>
  <c r="AB1244" i="2" s="1"/>
  <c r="AA2357" i="2"/>
  <c r="AB2357" i="2" s="1"/>
  <c r="AA781" i="2"/>
  <c r="AB781" i="2" s="1"/>
  <c r="AA2565" i="2"/>
  <c r="AB2565" i="2" s="1"/>
  <c r="AA1185" i="2"/>
  <c r="AB1185" i="2" s="1"/>
  <c r="AA1542" i="2"/>
  <c r="AB1542" i="2" s="1"/>
  <c r="AA976" i="2"/>
  <c r="AB976" i="2" s="1"/>
  <c r="AA954" i="2"/>
  <c r="AB954" i="2" s="1"/>
  <c r="AA2456" i="2"/>
  <c r="AB2456" i="2" s="1"/>
  <c r="AA1526" i="2"/>
  <c r="AB1526" i="2" s="1"/>
  <c r="AA2519" i="2"/>
  <c r="AB2519" i="2" s="1"/>
  <c r="AA953" i="2"/>
  <c r="AB953" i="2" s="1"/>
  <c r="AA955" i="2"/>
  <c r="AB955" i="2" s="1"/>
  <c r="AA956" i="2"/>
  <c r="AB956" i="2" s="1"/>
  <c r="AA1527" i="2"/>
  <c r="AB1527" i="2" s="1"/>
  <c r="AA957" i="2"/>
  <c r="AB957" i="2" s="1"/>
  <c r="AA2358" i="2"/>
  <c r="AB2358" i="2" s="1"/>
  <c r="AA2359" i="2"/>
  <c r="AB2359" i="2" s="1"/>
  <c r="AA2360" i="2"/>
  <c r="AB2360" i="2" s="1"/>
  <c r="AA2566" i="2"/>
  <c r="AB2566" i="2" s="1"/>
  <c r="AA1528" i="2"/>
  <c r="AB1528" i="2" s="1"/>
  <c r="AA958" i="2"/>
  <c r="AB958" i="2" s="1"/>
  <c r="AA1529" i="2"/>
  <c r="AB1529" i="2" s="1"/>
  <c r="AA959" i="2"/>
  <c r="AB959" i="2" s="1"/>
  <c r="AA1530" i="2"/>
  <c r="AB1530" i="2" s="1"/>
  <c r="AA960" i="2"/>
  <c r="AB960" i="2" s="1"/>
  <c r="AA961" i="2"/>
  <c r="AB961" i="2" s="1"/>
  <c r="AA1531" i="2"/>
  <c r="AB1531" i="2" s="1"/>
  <c r="AA1532" i="2"/>
  <c r="AB1532" i="2" s="1"/>
  <c r="AA962" i="2"/>
  <c r="AB962" i="2" s="1"/>
  <c r="AA1533" i="2"/>
  <c r="AB1533" i="2" s="1"/>
  <c r="AA963" i="2"/>
  <c r="AB963" i="2" s="1"/>
  <c r="AA2436" i="2"/>
  <c r="AB2436" i="2" s="1"/>
  <c r="AA2437" i="2"/>
  <c r="AB2437" i="2" s="1"/>
  <c r="AA2438" i="2"/>
  <c r="AB2438" i="2" s="1"/>
  <c r="AA2439" i="2"/>
  <c r="AB2439" i="2" s="1"/>
  <c r="AA964" i="2"/>
  <c r="AB964" i="2" s="1"/>
  <c r="AA965" i="2"/>
  <c r="AB965" i="2" s="1"/>
  <c r="AA966" i="2"/>
  <c r="AB966" i="2" s="1"/>
  <c r="AA2457" i="2"/>
  <c r="AB2457" i="2" s="1"/>
  <c r="AA19" i="2"/>
  <c r="AB19" i="2" s="1"/>
  <c r="AA20" i="2"/>
  <c r="AB20" i="2" s="1"/>
  <c r="AA21" i="2"/>
  <c r="AB21" i="2" s="1"/>
  <c r="AA22" i="2"/>
  <c r="AB22" i="2" s="1"/>
  <c r="AA967" i="2"/>
  <c r="AB967" i="2" s="1"/>
  <c r="AA968" i="2"/>
  <c r="AB968" i="2" s="1"/>
  <c r="AA969" i="2"/>
  <c r="AB969" i="2" s="1"/>
  <c r="AA970" i="2"/>
  <c r="AB970" i="2" s="1"/>
  <c r="AA971" i="2"/>
  <c r="AB971" i="2" s="1"/>
  <c r="AA972" i="2"/>
  <c r="AB972" i="2" s="1"/>
  <c r="AA24" i="2"/>
  <c r="AB24" i="2" s="1"/>
  <c r="AA23" i="2"/>
  <c r="AB23" i="2" s="1"/>
  <c r="AA1534" i="2"/>
  <c r="AB1534" i="2" s="1"/>
  <c r="AA1535" i="2"/>
  <c r="AB1535" i="2" s="1"/>
  <c r="AA1536" i="2"/>
  <c r="AB1536" i="2" s="1"/>
  <c r="AA974" i="2"/>
  <c r="AB974" i="2" s="1"/>
  <c r="AA1537" i="2"/>
  <c r="AB1537" i="2" s="1"/>
  <c r="AA973" i="2"/>
  <c r="AB973" i="2" s="1"/>
  <c r="AA1538" i="2"/>
  <c r="AB1538" i="2" s="1"/>
  <c r="AA1539" i="2"/>
  <c r="AB1539" i="2" s="1"/>
  <c r="AA2361" i="2"/>
  <c r="AB2361" i="2" s="1"/>
  <c r="AA975" i="2"/>
  <c r="AB975" i="2" s="1"/>
  <c r="AA1233" i="2"/>
  <c r="AB1233" i="2" s="1"/>
  <c r="AA25" i="2"/>
  <c r="AB25" i="2" s="1"/>
  <c r="AA26" i="2"/>
  <c r="AB26" i="2" s="1"/>
  <c r="AA27" i="2"/>
  <c r="AB27" i="2" s="1"/>
  <c r="AA28" i="2"/>
  <c r="AB28" i="2" s="1"/>
  <c r="AA29" i="2"/>
  <c r="AB29" i="2" s="1"/>
  <c r="AA30" i="2"/>
  <c r="AB30" i="2" s="1"/>
  <c r="AA1245" i="2"/>
  <c r="AB1245" i="2" s="1"/>
  <c r="AA2362" i="2"/>
  <c r="AB2362" i="2" s="1"/>
  <c r="AA2128" i="2"/>
  <c r="AB2128" i="2" s="1"/>
  <c r="AA2129" i="2"/>
  <c r="AB2129" i="2" s="1"/>
  <c r="AA1400" i="2"/>
  <c r="AB1400" i="2" s="1"/>
  <c r="AA1401" i="2"/>
  <c r="AB1401" i="2" s="1"/>
  <c r="AA31" i="2"/>
  <c r="AB31" i="2" s="1"/>
  <c r="AA2291" i="2"/>
  <c r="AB2291" i="2" s="1"/>
  <c r="AA32" i="2"/>
  <c r="AB32" i="2" s="1"/>
  <c r="AA33" i="2"/>
  <c r="AB33" i="2" s="1"/>
  <c r="AA2292" i="2"/>
  <c r="AB2292" i="2" s="1"/>
  <c r="AA34" i="2"/>
  <c r="AB34" i="2" s="1"/>
  <c r="AA35" i="2"/>
  <c r="AB35" i="2" s="1"/>
  <c r="AA36" i="2"/>
  <c r="AB36" i="2" s="1"/>
  <c r="AA37" i="2"/>
  <c r="AB37" i="2" s="1"/>
  <c r="AA38" i="2"/>
  <c r="AB38" i="2" s="1"/>
  <c r="AA2130" i="2"/>
  <c r="AB2130" i="2" s="1"/>
  <c r="AA2131" i="2"/>
  <c r="AB2131" i="2" s="1"/>
  <c r="AA2132" i="2"/>
  <c r="AB2132" i="2" s="1"/>
  <c r="AA2133" i="2"/>
  <c r="AB2133" i="2" s="1"/>
  <c r="AA2134" i="2"/>
  <c r="AB2134" i="2" s="1"/>
  <c r="AA2135" i="2"/>
  <c r="AB2135" i="2" s="1"/>
  <c r="AA2136" i="2"/>
  <c r="AB2136" i="2" s="1"/>
  <c r="AA2363" i="2"/>
  <c r="AB2363" i="2" s="1"/>
  <c r="AA177" i="2"/>
  <c r="AB177" i="2" s="1"/>
  <c r="AA1283" i="2"/>
  <c r="AB1283" i="2" s="1"/>
  <c r="AA676" i="2"/>
  <c r="AB676" i="2" s="1"/>
  <c r="AA1513" i="2"/>
  <c r="AB1513" i="2" s="1"/>
  <c r="AA1514" i="2"/>
  <c r="AB1514" i="2" s="1"/>
  <c r="AA1515" i="2"/>
  <c r="AB1515" i="2" s="1"/>
  <c r="AA1516" i="2"/>
  <c r="AB1516" i="2" s="1"/>
  <c r="AA178" i="2"/>
  <c r="AB178" i="2" s="1"/>
  <c r="AA2576" i="2"/>
  <c r="AB2576" i="2" s="1"/>
  <c r="AA2520" i="2"/>
  <c r="AB2520" i="2" s="1"/>
  <c r="AA2521" i="2"/>
  <c r="AB2521" i="2" s="1"/>
  <c r="AA2522" i="2"/>
  <c r="AB2522" i="2" s="1"/>
  <c r="AA2523" i="2"/>
  <c r="AB2523" i="2" s="1"/>
  <c r="AA2524" i="2"/>
  <c r="AB2524" i="2" s="1"/>
  <c r="AA1518" i="2"/>
  <c r="AB1518" i="2" s="1"/>
  <c r="AA1519" i="2"/>
  <c r="AB1519" i="2" s="1"/>
  <c r="AA1520" i="2"/>
  <c r="AB1520" i="2" s="1"/>
  <c r="AA1521" i="2"/>
  <c r="AB1521" i="2" s="1"/>
  <c r="AA2365" i="2"/>
  <c r="AB2365" i="2" s="1"/>
  <c r="AA2364" i="2"/>
  <c r="AB2364" i="2" s="1"/>
  <c r="AA2525" i="2"/>
  <c r="AB2525" i="2" s="1"/>
  <c r="AA1543" i="2"/>
  <c r="AB1543" i="2" s="1"/>
  <c r="AA1544" i="2"/>
  <c r="AB1544" i="2" s="1"/>
  <c r="AA1545" i="2"/>
  <c r="AB1545" i="2" s="1"/>
  <c r="AA1546" i="2"/>
  <c r="AB1546" i="2" s="1"/>
  <c r="AA1547" i="2"/>
  <c r="AB1547" i="2" s="1"/>
  <c r="AA1522" i="2"/>
  <c r="AB1522" i="2" s="1"/>
  <c r="AA1523" i="2"/>
  <c r="AB1523" i="2" s="1"/>
  <c r="AA1524" i="2"/>
  <c r="AB1524" i="2" s="1"/>
  <c r="AA1525" i="2"/>
  <c r="AB1525" i="2" s="1"/>
  <c r="AA1601" i="2"/>
  <c r="AB1601" i="2" s="1"/>
  <c r="AA2577" i="2"/>
  <c r="AB2577" i="2" s="1"/>
  <c r="AA1603" i="2"/>
  <c r="AB1603" i="2" s="1"/>
  <c r="AA1566" i="2"/>
  <c r="AB1566" i="2" s="1"/>
  <c r="AA1604" i="2"/>
  <c r="AB1604" i="2" s="1"/>
  <c r="AA1605" i="2"/>
  <c r="AB1605" i="2" s="1"/>
  <c r="AA1606" i="2"/>
  <c r="AB1606" i="2" s="1"/>
  <c r="AA1567" i="2"/>
  <c r="AB1567" i="2" s="1"/>
  <c r="AA1568" i="2"/>
  <c r="AB1568" i="2" s="1"/>
  <c r="AA1569" i="2"/>
  <c r="AB1569" i="2" s="1"/>
  <c r="AA1570" i="2"/>
  <c r="AB1570" i="2" s="1"/>
  <c r="AA1571" i="2"/>
  <c r="AB1571" i="2" s="1"/>
  <c r="AA1572" i="2"/>
  <c r="AB1572" i="2" s="1"/>
  <c r="AA1573" i="2"/>
  <c r="AB1573" i="2" s="1"/>
  <c r="AA1574" i="2"/>
  <c r="AB1574" i="2" s="1"/>
  <c r="AA2578" i="2"/>
  <c r="AB2578" i="2" s="1"/>
  <c r="AA1596" i="2"/>
  <c r="AB1596" i="2" s="1"/>
  <c r="AA1576" i="2"/>
  <c r="AB1576" i="2" s="1"/>
  <c r="AA1577" i="2"/>
  <c r="AB1577" i="2" s="1"/>
  <c r="AA1578" i="2"/>
  <c r="AB1578" i="2" s="1"/>
  <c r="AA1579" i="2"/>
  <c r="AB1579" i="2" s="1"/>
  <c r="AA1580" i="2"/>
  <c r="AB1580" i="2" s="1"/>
  <c r="AA1581" i="2"/>
  <c r="AB1581" i="2" s="1"/>
  <c r="AA1790" i="2"/>
  <c r="AB1790" i="2" s="1"/>
  <c r="AA512" i="2"/>
  <c r="AB512" i="2" s="1"/>
  <c r="AA1582" i="2"/>
  <c r="AB1582" i="2" s="1"/>
  <c r="AA1583" i="2"/>
  <c r="AB1583" i="2" s="1"/>
  <c r="AA665" i="2"/>
  <c r="AB665" i="2" s="1"/>
  <c r="AA1598" i="2"/>
  <c r="AB1598" i="2" s="1"/>
  <c r="AA1599" i="2"/>
  <c r="AB1599" i="2" s="1"/>
  <c r="AA1600" i="2"/>
  <c r="AB1600" i="2" s="1"/>
  <c r="AA1584" i="2"/>
  <c r="AB1584" i="2" s="1"/>
  <c r="AA1585" i="2"/>
  <c r="AB1585" i="2" s="1"/>
  <c r="AA1586" i="2"/>
  <c r="AB1586" i="2" s="1"/>
  <c r="AA2458" i="2"/>
  <c r="AB2458" i="2" s="1"/>
  <c r="AA513" i="2"/>
  <c r="AB513" i="2" s="1"/>
  <c r="AA514" i="2"/>
  <c r="AB514" i="2" s="1"/>
  <c r="AA515" i="2"/>
  <c r="AB515" i="2" s="1"/>
  <c r="AA516" i="2"/>
  <c r="AB516" i="2" s="1"/>
  <c r="AA1548" i="2"/>
  <c r="AB1548" i="2" s="1"/>
  <c r="AA1549" i="2"/>
  <c r="AB1549" i="2" s="1"/>
  <c r="AA1550" i="2"/>
  <c r="AB1550" i="2" s="1"/>
  <c r="AA39" i="2"/>
  <c r="AB39" i="2" s="1"/>
  <c r="AA40" i="2"/>
  <c r="AB40" i="2" s="1"/>
  <c r="AA41" i="2"/>
  <c r="AB41" i="2" s="1"/>
  <c r="AA282" i="2"/>
  <c r="AB282" i="2" s="1"/>
  <c r="AA283" i="2"/>
  <c r="AB283" i="2" s="1"/>
  <c r="AA1815" i="2"/>
  <c r="AB1815" i="2" s="1"/>
  <c r="AA1812" i="2"/>
  <c r="AB1812" i="2" s="1"/>
  <c r="AA2591" i="2"/>
  <c r="AB2591" i="2" s="1"/>
  <c r="AA2592" i="2"/>
  <c r="AB2592" i="2" s="1"/>
  <c r="AA517" i="2"/>
  <c r="AB517" i="2" s="1"/>
  <c r="AA518" i="2"/>
  <c r="AB518" i="2" s="1"/>
  <c r="AA1551" i="2"/>
  <c r="AB1551" i="2" s="1"/>
  <c r="AA524" i="2"/>
  <c r="AB524" i="2" s="1"/>
  <c r="AA525" i="2"/>
  <c r="AB525" i="2" s="1"/>
  <c r="AA526" i="2"/>
  <c r="AB526" i="2" s="1"/>
  <c r="AA523" i="2"/>
  <c r="AB523" i="2" s="1"/>
  <c r="AA43" i="2"/>
  <c r="AB43" i="2" s="1"/>
  <c r="AA44" i="2"/>
  <c r="AB44" i="2" s="1"/>
  <c r="AA42" i="2"/>
  <c r="AB42" i="2" s="1"/>
  <c r="AA45" i="2"/>
  <c r="AB45" i="2" s="1"/>
  <c r="AA46" i="2"/>
  <c r="AB46" i="2" s="1"/>
  <c r="AA527" i="2"/>
  <c r="AB527" i="2" s="1"/>
  <c r="AA1588" i="2"/>
  <c r="AB1588" i="2" s="1"/>
  <c r="AA1589" i="2"/>
  <c r="AB1589" i="2" s="1"/>
  <c r="AA1590" i="2"/>
  <c r="AB1590" i="2" s="1"/>
  <c r="AA1591" i="2"/>
  <c r="AB1591" i="2" s="1"/>
  <c r="AA1592" i="2"/>
  <c r="AB1592" i="2" s="1"/>
  <c r="AA1593" i="2"/>
  <c r="AB1593" i="2" s="1"/>
  <c r="AA1587" i="2"/>
  <c r="AB1587" i="2" s="1"/>
  <c r="AA1594" i="2"/>
  <c r="AB1594" i="2" s="1"/>
  <c r="AA1595" i="2"/>
  <c r="AB1595" i="2" s="1"/>
  <c r="AA2293" i="2"/>
  <c r="AB2293" i="2" s="1"/>
  <c r="AA2294" i="2"/>
  <c r="AB2294" i="2" s="1"/>
  <c r="AA528" i="2"/>
  <c r="AB528" i="2" s="1"/>
  <c r="AA529" i="2"/>
  <c r="AB529" i="2" s="1"/>
  <c r="AA530" i="2"/>
  <c r="AB530" i="2" s="1"/>
  <c r="AA519" i="2"/>
  <c r="AB519" i="2" s="1"/>
  <c r="AA531" i="2"/>
  <c r="AB531" i="2" s="1"/>
  <c r="AA532" i="2"/>
  <c r="AB532" i="2" s="1"/>
  <c r="AA1565" i="2"/>
  <c r="AB1565" i="2" s="1"/>
  <c r="AA533" i="2"/>
  <c r="AB533" i="2" s="1"/>
  <c r="AA520" i="2"/>
  <c r="AB520" i="2" s="1"/>
  <c r="AA521" i="2"/>
  <c r="AB521" i="2" s="1"/>
  <c r="AA534" i="2"/>
  <c r="AB534" i="2" s="1"/>
  <c r="AA535" i="2"/>
  <c r="AB535" i="2" s="1"/>
  <c r="AA536" i="2"/>
  <c r="AB536" i="2" s="1"/>
  <c r="AA537" i="2"/>
  <c r="AB537" i="2" s="1"/>
  <c r="AA538" i="2"/>
  <c r="AB538" i="2" s="1"/>
  <c r="AA284" i="2"/>
  <c r="AB284" i="2" s="1"/>
  <c r="AA2313" i="2"/>
  <c r="AB2313" i="2" s="1"/>
  <c r="AA2314" i="2"/>
  <c r="AB2314" i="2" s="1"/>
  <c r="AA2315" i="2"/>
  <c r="AB2315" i="2" s="1"/>
  <c r="AA2316" i="2"/>
  <c r="AB2316" i="2" s="1"/>
  <c r="AA558" i="2"/>
  <c r="AB558" i="2" s="1"/>
  <c r="AA559" i="2"/>
  <c r="AB559" i="2" s="1"/>
  <c r="AA560" i="2"/>
  <c r="AB560" i="2" s="1"/>
  <c r="AA179" i="2"/>
  <c r="AB179" i="2" s="1"/>
  <c r="AA561" i="2"/>
  <c r="AB561" i="2" s="1"/>
  <c r="AA562" i="2"/>
  <c r="AB562" i="2" s="1"/>
  <c r="AA563" i="2"/>
  <c r="AB563" i="2" s="1"/>
  <c r="AA564" i="2"/>
  <c r="AB564" i="2" s="1"/>
  <c r="AA565" i="2"/>
  <c r="AB565" i="2" s="1"/>
  <c r="AA566" i="2"/>
  <c r="AB566" i="2" s="1"/>
  <c r="AA567" i="2"/>
  <c r="AB567" i="2" s="1"/>
  <c r="AA568" i="2"/>
  <c r="AB568" i="2" s="1"/>
  <c r="AA569" i="2"/>
  <c r="AB569" i="2" s="1"/>
  <c r="AA2366" i="2"/>
  <c r="AB2366" i="2" s="1"/>
  <c r="AA2367" i="2"/>
  <c r="AB2367" i="2" s="1"/>
  <c r="AA1246" i="2"/>
  <c r="AB1246" i="2" s="1"/>
  <c r="AA1247" i="2"/>
  <c r="AB1247" i="2" s="1"/>
  <c r="AA1248" i="2"/>
  <c r="AB1248" i="2" s="1"/>
  <c r="AA1249" i="2"/>
  <c r="AB1249" i="2" s="1"/>
  <c r="AA1250" i="2"/>
  <c r="AB1250" i="2" s="1"/>
  <c r="AA1251" i="2"/>
  <c r="AB1251" i="2" s="1"/>
  <c r="AA1252" i="2"/>
  <c r="AB1252" i="2" s="1"/>
  <c r="AA1253" i="2"/>
  <c r="AB1253" i="2" s="1"/>
  <c r="AA1254" i="2"/>
  <c r="AB1254" i="2" s="1"/>
  <c r="AA1255" i="2"/>
  <c r="AB1255" i="2" s="1"/>
  <c r="AA1256" i="2"/>
  <c r="AB1256" i="2" s="1"/>
  <c r="AA1257" i="2"/>
  <c r="AB1257" i="2" s="1"/>
  <c r="AA570" i="2"/>
  <c r="AB570" i="2" s="1"/>
  <c r="AA2526" i="2"/>
  <c r="AB2526" i="2" s="1"/>
  <c r="AA2527" i="2"/>
  <c r="AB2527" i="2" s="1"/>
  <c r="AA1852" i="2"/>
  <c r="AB1852" i="2" s="1"/>
  <c r="AA48" i="2"/>
  <c r="AB48" i="2" s="1"/>
  <c r="AA49" i="2"/>
  <c r="AB49" i="2" s="1"/>
  <c r="AA2529" i="2"/>
  <c r="AB2529" i="2" s="1"/>
  <c r="AA50" i="2"/>
  <c r="AB50" i="2" s="1"/>
  <c r="AA51" i="2"/>
  <c r="AB51" i="2" s="1"/>
  <c r="AA47" i="2"/>
  <c r="AB47" i="2" s="1"/>
  <c r="AA52" i="2"/>
  <c r="AB52" i="2" s="1"/>
  <c r="AA53" i="2"/>
  <c r="AB53" i="2" s="1"/>
  <c r="AA571" i="2"/>
  <c r="AB571" i="2" s="1"/>
  <c r="AA1258" i="2"/>
  <c r="AB1258" i="2" s="1"/>
  <c r="AA572" i="2"/>
  <c r="AB572" i="2" s="1"/>
  <c r="AA2371" i="2"/>
  <c r="AB2371" i="2" s="1"/>
  <c r="AA2368" i="2"/>
  <c r="AB2368" i="2" s="1"/>
  <c r="AA2369" i="2"/>
  <c r="AB2369" i="2" s="1"/>
  <c r="AA2370" i="2"/>
  <c r="AB2370" i="2" s="1"/>
  <c r="AA2372" i="2"/>
  <c r="AB2372" i="2" s="1"/>
  <c r="AA2459" i="2"/>
  <c r="AB2459" i="2" s="1"/>
  <c r="AA1259" i="2"/>
  <c r="AB1259" i="2" s="1"/>
  <c r="AA1260" i="2"/>
  <c r="AB1260" i="2" s="1"/>
  <c r="AA1261" i="2"/>
  <c r="AB1261" i="2" s="1"/>
  <c r="AA1262" i="2"/>
  <c r="AB1262" i="2" s="1"/>
  <c r="AA1263" i="2"/>
  <c r="AB1263" i="2" s="1"/>
  <c r="AA1264" i="2"/>
  <c r="AB1264" i="2" s="1"/>
  <c r="AA2460" i="2"/>
  <c r="AB2460" i="2" s="1"/>
  <c r="AA1305" i="2"/>
  <c r="AB1305" i="2" s="1"/>
  <c r="AA1319" i="2"/>
  <c r="AB1319" i="2" s="1"/>
  <c r="AA1320" i="2"/>
  <c r="AB1320" i="2" s="1"/>
  <c r="AA1321" i="2"/>
  <c r="AB1321" i="2" s="1"/>
  <c r="AA1265" i="2"/>
  <c r="AB1265" i="2" s="1"/>
  <c r="AA1322" i="2"/>
  <c r="AB1322" i="2" s="1"/>
  <c r="AA1323" i="2"/>
  <c r="AB1323" i="2" s="1"/>
  <c r="AA148" i="2"/>
  <c r="AB148" i="2" s="1"/>
  <c r="AA149" i="2"/>
  <c r="AB149" i="2" s="1"/>
  <c r="AA147" i="2"/>
  <c r="AB147" i="2" s="1"/>
  <c r="AA150" i="2"/>
  <c r="AB150" i="2" s="1"/>
  <c r="AA151" i="2"/>
  <c r="AB151" i="2" s="1"/>
  <c r="AA1324" i="2"/>
  <c r="AB1324" i="2" s="1"/>
  <c r="AA1325" i="2"/>
  <c r="AB1325" i="2" s="1"/>
  <c r="AA1267" i="2"/>
  <c r="AB1267" i="2" s="1"/>
  <c r="AA1268" i="2"/>
  <c r="AB1268" i="2" s="1"/>
  <c r="AA54" i="2"/>
  <c r="AB54" i="2" s="1"/>
  <c r="AA55" i="2"/>
  <c r="AB55" i="2" s="1"/>
  <c r="AA56" i="2"/>
  <c r="AB56" i="2" s="1"/>
  <c r="AA1307" i="2"/>
  <c r="AB1307" i="2" s="1"/>
  <c r="AA1308" i="2"/>
  <c r="AB1308" i="2" s="1"/>
  <c r="AA1309" i="2"/>
  <c r="AB1309" i="2" s="1"/>
  <c r="AA1310" i="2"/>
  <c r="AB1310" i="2" s="1"/>
  <c r="AA1326" i="2"/>
  <c r="AB1326" i="2" s="1"/>
  <c r="AA1306" i="2"/>
  <c r="AB1306" i="2" s="1"/>
  <c r="AA1327" i="2"/>
  <c r="AB1327" i="2" s="1"/>
  <c r="AA1862" i="2"/>
  <c r="AB1862" i="2" s="1"/>
  <c r="AA1311" i="2"/>
  <c r="AB1311" i="2" s="1"/>
  <c r="AA1266" i="2"/>
  <c r="AB1266" i="2" s="1"/>
  <c r="AA1312" i="2"/>
  <c r="AB1312" i="2" s="1"/>
  <c r="AA1328" i="2"/>
  <c r="AB1328" i="2" s="1"/>
  <c r="AA1313" i="2"/>
  <c r="AB1313" i="2" s="1"/>
  <c r="AA1329" i="2"/>
  <c r="AB1329" i="2" s="1"/>
  <c r="AA2461" i="2"/>
  <c r="AB2461" i="2" s="1"/>
  <c r="AA2462" i="2"/>
  <c r="AB2462" i="2" s="1"/>
  <c r="AA1314" i="2"/>
  <c r="AB1314" i="2" s="1"/>
  <c r="AA1315" i="2"/>
  <c r="AB1315" i="2" s="1"/>
  <c r="AA1863" i="2"/>
  <c r="AB1863" i="2" s="1"/>
  <c r="AA540" i="2"/>
  <c r="AB540" i="2" s="1"/>
  <c r="AA541" i="2"/>
  <c r="AB541" i="2" s="1"/>
  <c r="AA542" i="2"/>
  <c r="AB542" i="2" s="1"/>
  <c r="AA543" i="2"/>
  <c r="AB543" i="2" s="1"/>
  <c r="AA544" i="2"/>
  <c r="AB544" i="2" s="1"/>
  <c r="AA545" i="2"/>
  <c r="AB545" i="2" s="1"/>
  <c r="AA539" i="2"/>
  <c r="AB539" i="2" s="1"/>
  <c r="AA1316" i="2"/>
  <c r="AB1316" i="2" s="1"/>
  <c r="AA1269" i="2"/>
  <c r="AB1269" i="2" s="1"/>
  <c r="AA546" i="2"/>
  <c r="AB546" i="2" s="1"/>
  <c r="AA1270" i="2"/>
  <c r="AB1270" i="2" s="1"/>
  <c r="AA547" i="2"/>
  <c r="AB547" i="2" s="1"/>
  <c r="AA1317" i="2"/>
  <c r="AB1317" i="2" s="1"/>
  <c r="AA1318" i="2"/>
  <c r="AB1318" i="2" s="1"/>
  <c r="AA2463" i="2"/>
  <c r="AB2463" i="2" s="1"/>
  <c r="AA548" i="2"/>
  <c r="AB548" i="2" s="1"/>
  <c r="AA549" i="2"/>
  <c r="AB549" i="2" s="1"/>
  <c r="AA550" i="2"/>
  <c r="AB550" i="2" s="1"/>
  <c r="AA285" i="2"/>
  <c r="AB285" i="2" s="1"/>
  <c r="AA286" i="2"/>
  <c r="AB286" i="2" s="1"/>
  <c r="AA277" i="2"/>
  <c r="AB277" i="2" s="1"/>
  <c r="AA573" i="2"/>
  <c r="AB573" i="2" s="1"/>
  <c r="AA1906" i="2"/>
  <c r="AB1906" i="2" s="1"/>
  <c r="AA1955" i="2"/>
  <c r="AB1955" i="2" s="1"/>
  <c r="AA57" i="2"/>
  <c r="AB57" i="2" s="1"/>
  <c r="AA2533" i="2"/>
  <c r="AB2533" i="2" s="1"/>
  <c r="AA2534" i="2"/>
  <c r="AB2534" i="2" s="1"/>
  <c r="AA58" i="2"/>
  <c r="AB58" i="2" s="1"/>
  <c r="AA2535" i="2"/>
  <c r="AB2535" i="2" s="1"/>
  <c r="AA59" i="2"/>
  <c r="AB59" i="2" s="1"/>
  <c r="AA2536" i="2"/>
  <c r="AB2536" i="2" s="1"/>
  <c r="AA2537" i="2"/>
  <c r="AB2537" i="2" s="1"/>
  <c r="AA2139" i="2"/>
  <c r="AB2139" i="2" s="1"/>
  <c r="AA2140" i="2"/>
  <c r="AB2140" i="2" s="1"/>
  <c r="AA551" i="2"/>
  <c r="AB551" i="2" s="1"/>
  <c r="AA2373" i="2"/>
  <c r="AB2373" i="2" s="1"/>
  <c r="AA574" i="2"/>
  <c r="AB574" i="2" s="1"/>
  <c r="AA575" i="2"/>
  <c r="AB575" i="2" s="1"/>
  <c r="AA576" i="2"/>
  <c r="AB576" i="2" s="1"/>
  <c r="AA577" i="2"/>
  <c r="AB577" i="2" s="1"/>
  <c r="AA578" i="2"/>
  <c r="AB578" i="2" s="1"/>
  <c r="AA2156" i="2"/>
  <c r="AB2156" i="2" s="1"/>
  <c r="AA579" i="2"/>
  <c r="AB579" i="2" s="1"/>
  <c r="AA580" i="2"/>
  <c r="AB580" i="2" s="1"/>
  <c r="AA1956" i="2"/>
  <c r="AB1956" i="2" s="1"/>
  <c r="AA582" i="2"/>
  <c r="AB582" i="2" s="1"/>
  <c r="AA583" i="2"/>
  <c r="AB583" i="2" s="1"/>
  <c r="AA584" i="2"/>
  <c r="AB584" i="2" s="1"/>
  <c r="AA585" i="2"/>
  <c r="AB585" i="2" s="1"/>
  <c r="AA586" i="2"/>
  <c r="AB586" i="2" s="1"/>
  <c r="AA587" i="2"/>
  <c r="AB587" i="2" s="1"/>
  <c r="AA588" i="2"/>
  <c r="AB588" i="2" s="1"/>
  <c r="AA589" i="2"/>
  <c r="AB589" i="2" s="1"/>
  <c r="AA287" i="2"/>
  <c r="AB287" i="2" s="1"/>
  <c r="AA288" i="2"/>
  <c r="AB288" i="2" s="1"/>
  <c r="AA2152" i="2"/>
  <c r="AB2152" i="2" s="1"/>
  <c r="AA2153" i="2"/>
  <c r="AB2153" i="2" s="1"/>
  <c r="AA2154" i="2"/>
  <c r="AB2154" i="2" s="1"/>
  <c r="AA1957" i="2"/>
  <c r="AB1957" i="2" s="1"/>
  <c r="AA591" i="2"/>
  <c r="AB591" i="2" s="1"/>
  <c r="AA592" i="2"/>
  <c r="AB592" i="2" s="1"/>
  <c r="AA593" i="2"/>
  <c r="AB593" i="2" s="1"/>
  <c r="AA594" i="2"/>
  <c r="AB594" i="2" s="1"/>
  <c r="AA595" i="2"/>
  <c r="AB595" i="2" s="1"/>
  <c r="AA596" i="2"/>
  <c r="AB596" i="2" s="1"/>
  <c r="AA597" i="2"/>
  <c r="AB597" i="2" s="1"/>
  <c r="AA598" i="2"/>
  <c r="AB598" i="2" s="1"/>
  <c r="AA599" i="2"/>
  <c r="AB599" i="2" s="1"/>
  <c r="AA61" i="2"/>
  <c r="AB61" i="2" s="1"/>
  <c r="AA62" i="2"/>
  <c r="AB62" i="2" s="1"/>
  <c r="AA63" i="2"/>
  <c r="AB63" i="2" s="1"/>
  <c r="AA60" i="2"/>
  <c r="AB60" i="2" s="1"/>
  <c r="AA64" i="2"/>
  <c r="AB64" i="2" s="1"/>
  <c r="AA65" i="2"/>
  <c r="AB65" i="2" s="1"/>
  <c r="AA600" i="2"/>
  <c r="AB600" i="2" s="1"/>
  <c r="AA601" i="2"/>
  <c r="AB601" i="2" s="1"/>
  <c r="AA2374" i="2"/>
  <c r="AB2374" i="2" s="1"/>
  <c r="AA603" i="2"/>
  <c r="AB603" i="2" s="1"/>
  <c r="AA604" i="2"/>
  <c r="AB604" i="2" s="1"/>
  <c r="AA605" i="2"/>
  <c r="AB605" i="2" s="1"/>
  <c r="AA606" i="2"/>
  <c r="AB606" i="2" s="1"/>
  <c r="AA2157" i="2"/>
  <c r="AB2157" i="2" s="1"/>
  <c r="AA2158" i="2"/>
  <c r="AB2158" i="2" s="1"/>
  <c r="AA2141" i="2"/>
  <c r="AB2141" i="2" s="1"/>
  <c r="AA2159" i="2"/>
  <c r="AB2159" i="2" s="1"/>
  <c r="AA607" i="2"/>
  <c r="AB607" i="2" s="1"/>
  <c r="AA602" i="2"/>
  <c r="AB602" i="2" s="1"/>
  <c r="AA2160" i="2"/>
  <c r="AB2160" i="2" s="1"/>
  <c r="AA2161" i="2"/>
  <c r="AB2161" i="2" s="1"/>
  <c r="AA2162" i="2"/>
  <c r="AB2162" i="2" s="1"/>
  <c r="AA2142" i="2"/>
  <c r="AB2142" i="2" s="1"/>
  <c r="AA2163" i="2"/>
  <c r="AB2163" i="2" s="1"/>
  <c r="AA2143" i="2"/>
  <c r="AB2143" i="2" s="1"/>
  <c r="AA2164" i="2"/>
  <c r="AB2164" i="2" s="1"/>
  <c r="AA2144" i="2"/>
  <c r="AB2144" i="2" s="1"/>
  <c r="AA2145" i="2"/>
  <c r="AB2145" i="2" s="1"/>
  <c r="AA2165" i="2"/>
  <c r="AB2165" i="2" s="1"/>
  <c r="AA2146" i="2"/>
  <c r="AB2146" i="2" s="1"/>
  <c r="AA2147" i="2"/>
  <c r="AB2147" i="2" s="1"/>
  <c r="AA2166" i="2"/>
  <c r="AB2166" i="2" s="1"/>
  <c r="AA2167" i="2"/>
  <c r="AB2167" i="2" s="1"/>
  <c r="AA2148" i="2"/>
  <c r="AB2148" i="2" s="1"/>
  <c r="AA2168" i="2"/>
  <c r="AB2168" i="2" s="1"/>
  <c r="AA2149" i="2"/>
  <c r="AB2149" i="2" s="1"/>
  <c r="AA2169" i="2"/>
  <c r="AB2169" i="2" s="1"/>
  <c r="AA2150" i="2"/>
  <c r="AB2150" i="2" s="1"/>
  <c r="AA2170" i="2"/>
  <c r="AB2170" i="2" s="1"/>
  <c r="AA2171" i="2"/>
  <c r="AB2171" i="2" s="1"/>
  <c r="AA2375" i="2"/>
  <c r="AB2375" i="2" s="1"/>
  <c r="AA2376" i="2"/>
  <c r="AB2376" i="2" s="1"/>
  <c r="AA1651" i="2"/>
  <c r="AB1651" i="2" s="1"/>
  <c r="AA2317" i="2"/>
  <c r="AB2317" i="2" s="1"/>
  <c r="AA2318" i="2"/>
  <c r="AB2318" i="2" s="1"/>
  <c r="AA2319" i="2"/>
  <c r="AB2319" i="2" s="1"/>
  <c r="AA2320" i="2"/>
  <c r="AB2320" i="2" s="1"/>
  <c r="AA2172" i="2"/>
  <c r="AB2172" i="2" s="1"/>
  <c r="AA2151" i="2"/>
  <c r="AB2151" i="2" s="1"/>
  <c r="AA2173" i="2"/>
  <c r="AB2173" i="2" s="1"/>
  <c r="AA608" i="2"/>
  <c r="AB608" i="2" s="1"/>
  <c r="AA2174" i="2"/>
  <c r="AB2174" i="2" s="1"/>
  <c r="AA2175" i="2"/>
  <c r="AB2175" i="2" s="1"/>
  <c r="AA1271" i="2"/>
  <c r="AB1271" i="2" s="1"/>
  <c r="AA2377" i="2"/>
  <c r="AB2377" i="2" s="1"/>
  <c r="AA1492" i="2"/>
  <c r="AB1492" i="2" s="1"/>
  <c r="AA1493" i="2"/>
  <c r="AB1493" i="2" s="1"/>
  <c r="AA1494" i="2"/>
  <c r="AB1494" i="2" s="1"/>
  <c r="AA1495" i="2"/>
  <c r="AB1495" i="2" s="1"/>
  <c r="AA1496" i="2"/>
  <c r="AB1496" i="2" s="1"/>
  <c r="AA1497" i="2"/>
  <c r="AB1497" i="2" s="1"/>
  <c r="AA1498" i="2"/>
  <c r="AB1498" i="2" s="1"/>
  <c r="AA1499" i="2"/>
  <c r="AB1499" i="2" s="1"/>
  <c r="AA1491" i="2"/>
  <c r="AB1491" i="2" s="1"/>
  <c r="AA1500" i="2"/>
  <c r="AB1500" i="2" s="1"/>
  <c r="AA1501" i="2"/>
  <c r="AB1501" i="2" s="1"/>
  <c r="AA1502" i="2"/>
  <c r="AB1502" i="2" s="1"/>
  <c r="AA289" i="2"/>
  <c r="AB289" i="2" s="1"/>
  <c r="AA636" i="2"/>
  <c r="AB636" i="2" s="1"/>
  <c r="AA727" i="2"/>
  <c r="AB727" i="2" s="1"/>
  <c r="AA1958" i="2"/>
  <c r="AB1958" i="2" s="1"/>
  <c r="AA1959" i="2"/>
  <c r="AB1959" i="2" s="1"/>
  <c r="AA1960" i="2"/>
  <c r="AB1960" i="2" s="1"/>
  <c r="AA2541" i="2"/>
  <c r="AB2541" i="2" s="1"/>
  <c r="AA2542" i="2"/>
  <c r="AB2542" i="2" s="1"/>
  <c r="AA2543" i="2"/>
  <c r="AB2543" i="2" s="1"/>
  <c r="AA2544" i="2"/>
  <c r="AB2544" i="2" s="1"/>
  <c r="AA2545" i="2"/>
  <c r="AB2545" i="2" s="1"/>
  <c r="AA2546" i="2"/>
  <c r="AB2546" i="2" s="1"/>
  <c r="AA1503" i="2"/>
  <c r="AB1503" i="2" s="1"/>
  <c r="AA637" i="2"/>
  <c r="AB637" i="2" s="1"/>
  <c r="AA2378" i="2"/>
  <c r="AB2378" i="2" s="1"/>
  <c r="AA1961" i="2"/>
  <c r="AB1961" i="2" s="1"/>
  <c r="AA729" i="2"/>
  <c r="AB729" i="2" s="1"/>
  <c r="AA730" i="2"/>
  <c r="AB730" i="2" s="1"/>
  <c r="AA731" i="2"/>
  <c r="AB731" i="2" s="1"/>
  <c r="AA732" i="2"/>
  <c r="AB732" i="2" s="1"/>
  <c r="AA733" i="2"/>
  <c r="AB733" i="2" s="1"/>
  <c r="AA638" i="2"/>
  <c r="AB638" i="2" s="1"/>
  <c r="AA734" i="2"/>
  <c r="AB734" i="2" s="1"/>
  <c r="AA735" i="2"/>
  <c r="AB735" i="2" s="1"/>
  <c r="AA736" i="2"/>
  <c r="AB736" i="2" s="1"/>
  <c r="AA737" i="2"/>
  <c r="AB737" i="2" s="1"/>
  <c r="AA738" i="2"/>
  <c r="AB738" i="2" s="1"/>
  <c r="AA1511" i="2"/>
  <c r="AB1511" i="2" s="1"/>
  <c r="AA291" i="2"/>
  <c r="AB291" i="2" s="1"/>
  <c r="AA292" i="2"/>
  <c r="AB292" i="2" s="1"/>
  <c r="AA2137" i="2"/>
  <c r="AB2137" i="2" s="1"/>
  <c r="AA2138" i="2"/>
  <c r="AB2138" i="2" s="1"/>
  <c r="AA2481" i="2"/>
  <c r="AB2481" i="2" s="1"/>
  <c r="AA1998" i="2"/>
  <c r="AB1998" i="2" s="1"/>
  <c r="AA2549" i="2"/>
  <c r="AB2549" i="2" s="1"/>
  <c r="AA2177" i="2"/>
  <c r="AB2177" i="2" s="1"/>
  <c r="AA2178" i="2"/>
  <c r="AB2178" i="2" s="1"/>
  <c r="AA739" i="2"/>
  <c r="AB739" i="2" s="1"/>
  <c r="AA2179" i="2"/>
  <c r="AB2179" i="2" s="1"/>
  <c r="AA639" i="2"/>
  <c r="AB639" i="2" s="1"/>
  <c r="AA2180" i="2"/>
  <c r="AB2180" i="2" s="1"/>
  <c r="AA2181" i="2"/>
  <c r="AB2181" i="2" s="1"/>
  <c r="AA2464" i="2"/>
  <c r="AB2464" i="2" s="1"/>
  <c r="AA1652" i="2"/>
  <c r="AB1652" i="2" s="1"/>
  <c r="AA1653" i="2"/>
  <c r="AB1653" i="2" s="1"/>
  <c r="AA1654" i="2"/>
  <c r="AB1654" i="2" s="1"/>
  <c r="AA2550" i="2"/>
  <c r="AB2550" i="2" s="1"/>
  <c r="AA2551" i="2"/>
  <c r="AB2551" i="2" s="1"/>
  <c r="AA2552" i="2"/>
  <c r="AB2552" i="2" s="1"/>
  <c r="AA2553" i="2"/>
  <c r="AB2553" i="2" s="1"/>
  <c r="AA2554" i="2"/>
  <c r="AB2554" i="2" s="1"/>
  <c r="AA2555" i="2"/>
  <c r="AB2555" i="2" s="1"/>
  <c r="AA2556" i="2"/>
  <c r="AB2556" i="2" s="1"/>
  <c r="AA740" i="2"/>
  <c r="AB740" i="2" s="1"/>
  <c r="AA741" i="2"/>
  <c r="AB741" i="2" s="1"/>
  <c r="AA640" i="2"/>
  <c r="AB640" i="2" s="1"/>
  <c r="AA2379" i="2"/>
  <c r="AB2379" i="2" s="1"/>
  <c r="AA2465" i="2"/>
  <c r="AB2465" i="2" s="1"/>
  <c r="AA641" i="2"/>
  <c r="AB641" i="2" s="1"/>
  <c r="AA642" i="2"/>
  <c r="AB642" i="2" s="1"/>
  <c r="AA643" i="2"/>
  <c r="AB643" i="2" s="1"/>
  <c r="AA723" i="2"/>
  <c r="AB723" i="2" s="1"/>
  <c r="AA1655" i="2"/>
  <c r="AB1655" i="2" s="1"/>
  <c r="AA644" i="2"/>
  <c r="AB644" i="2" s="1"/>
  <c r="AA645" i="2"/>
  <c r="AB645" i="2" s="1"/>
  <c r="AA646" i="2"/>
  <c r="AB646" i="2" s="1"/>
  <c r="AA647" i="2"/>
  <c r="AB647" i="2" s="1"/>
  <c r="AA2182" i="2"/>
  <c r="AB2182" i="2" s="1"/>
  <c r="AA2183" i="2"/>
  <c r="AB2183" i="2" s="1"/>
  <c r="AA1656" i="2"/>
  <c r="AB1656" i="2" s="1"/>
  <c r="AA648" i="2"/>
  <c r="AB648" i="2" s="1"/>
  <c r="AA1657" i="2"/>
  <c r="AB1657" i="2" s="1"/>
  <c r="AA724" i="2"/>
  <c r="AB724" i="2" s="1"/>
  <c r="AA649" i="2"/>
  <c r="AB649" i="2" s="1"/>
  <c r="AA1658" i="2"/>
  <c r="AB1658" i="2" s="1"/>
  <c r="AA2401" i="2"/>
  <c r="AB2401" i="2" s="1"/>
  <c r="AA2400" i="2"/>
  <c r="AB2400" i="2" s="1"/>
  <c r="AA2402" i="2"/>
  <c r="AB2402" i="2" s="1"/>
  <c r="AA2028" i="2"/>
  <c r="AB2028" i="2" s="1"/>
  <c r="AA2184" i="2"/>
  <c r="AB2184" i="2" s="1"/>
  <c r="AA650" i="2"/>
  <c r="AB650" i="2" s="1"/>
  <c r="AA2186" i="2"/>
  <c r="AB2186" i="2" s="1"/>
  <c r="AA651" i="2"/>
  <c r="AB651" i="2" s="1"/>
  <c r="AA652" i="2"/>
  <c r="AB652" i="2" s="1"/>
  <c r="AA2185" i="2"/>
  <c r="AB2185" i="2" s="1"/>
  <c r="AA653" i="2"/>
  <c r="AB653" i="2" s="1"/>
  <c r="AA2187" i="2"/>
  <c r="AB2187" i="2" s="1"/>
  <c r="AA1660" i="2"/>
  <c r="AB1660" i="2" s="1"/>
  <c r="AA2466" i="2"/>
  <c r="AB2466" i="2" s="1"/>
  <c r="AA1661" i="2"/>
  <c r="AB1661" i="2" s="1"/>
  <c r="AA1662" i="2"/>
  <c r="AB1662" i="2" s="1"/>
  <c r="AA1663" i="2"/>
  <c r="AB1663" i="2" s="1"/>
  <c r="AA1664" i="2"/>
  <c r="AB1664" i="2" s="1"/>
  <c r="AA2467" i="2"/>
  <c r="AB2467" i="2" s="1"/>
  <c r="AA654" i="2"/>
  <c r="AB654" i="2" s="1"/>
  <c r="AA655" i="2"/>
  <c r="AB655" i="2" s="1"/>
  <c r="AA656" i="2"/>
  <c r="AB656" i="2" s="1"/>
  <c r="AA657" i="2"/>
  <c r="AB657" i="2" s="1"/>
  <c r="AA1665" i="2"/>
  <c r="AB1665" i="2" s="1"/>
  <c r="AA658" i="2"/>
  <c r="AB658" i="2" s="1"/>
  <c r="AA2036" i="2"/>
  <c r="AB2036" i="2" s="1"/>
  <c r="AA1666" i="2"/>
  <c r="AB1666" i="2" s="1"/>
  <c r="AA2321" i="2"/>
  <c r="AB2321" i="2" s="1"/>
  <c r="AA1667" i="2"/>
  <c r="AB1667" i="2" s="1"/>
  <c r="AA1668" i="2"/>
  <c r="AB1668" i="2" s="1"/>
  <c r="AA1669" i="2"/>
  <c r="AB1669" i="2" s="1"/>
  <c r="AA1670" i="2"/>
  <c r="AB1670" i="2" s="1"/>
  <c r="AA2074" i="2"/>
  <c r="AB2074" i="2" s="1"/>
  <c r="AA824" i="2"/>
  <c r="AB824" i="2" s="1"/>
  <c r="AA1681" i="2"/>
  <c r="AB1681" i="2" s="1"/>
  <c r="AA1682" i="2"/>
  <c r="AB1682" i="2" s="1"/>
  <c r="AA1688" i="2"/>
  <c r="AB1688" i="2" s="1"/>
  <c r="AA2468" i="2"/>
  <c r="AB2468" i="2" s="1"/>
  <c r="AA66" i="2"/>
  <c r="AB66" i="2" s="1"/>
  <c r="AA67" i="2"/>
  <c r="AB67" i="2" s="1"/>
  <c r="AA68" i="2"/>
  <c r="AB68" i="2" s="1"/>
  <c r="AA69" i="2"/>
  <c r="AB69" i="2" s="1"/>
  <c r="AA70" i="2"/>
  <c r="AB70" i="2" s="1"/>
  <c r="AA71" i="2"/>
  <c r="AB71" i="2" s="1"/>
  <c r="AA72" i="2"/>
  <c r="AB72" i="2" s="1"/>
  <c r="AA73" i="2"/>
  <c r="AB73" i="2" s="1"/>
  <c r="AA1689" i="2"/>
  <c r="AB1689" i="2" s="1"/>
  <c r="AA1690" i="2"/>
  <c r="AB1690" i="2" s="1"/>
  <c r="AA1691" i="2"/>
  <c r="AB1691" i="2" s="1"/>
  <c r="AA1683" i="2"/>
  <c r="AB1683" i="2" s="1"/>
  <c r="AA1692" i="2"/>
  <c r="AB1692" i="2" s="1"/>
  <c r="AA1671" i="2"/>
  <c r="AB1671" i="2" s="1"/>
  <c r="AA1693" i="2"/>
  <c r="AB1693" i="2" s="1"/>
  <c r="AA659" i="2"/>
  <c r="AB659" i="2" s="1"/>
  <c r="AA1694" i="2"/>
  <c r="AB1694" i="2" s="1"/>
  <c r="AA1695" i="2"/>
  <c r="AB1695" i="2" s="1"/>
  <c r="AA1685" i="2"/>
  <c r="AB1685" i="2" s="1"/>
  <c r="AA1672" i="2"/>
  <c r="AB1672" i="2" s="1"/>
  <c r="AA1673" i="2"/>
  <c r="AB1673" i="2" s="1"/>
  <c r="AA1674" i="2"/>
  <c r="AB1674" i="2" s="1"/>
  <c r="AA1686" i="2"/>
  <c r="AB1686" i="2" s="1"/>
  <c r="AA1675" i="2"/>
  <c r="AB1675" i="2" s="1"/>
  <c r="AA1676" i="2"/>
  <c r="AB1676" i="2" s="1"/>
  <c r="AA1677" i="2"/>
  <c r="AB1677" i="2" s="1"/>
  <c r="AA1678" i="2"/>
  <c r="AB1678" i="2" s="1"/>
  <c r="AA1696" i="2"/>
  <c r="AB1696" i="2" s="1"/>
  <c r="AA742" i="2"/>
  <c r="AB742" i="2" s="1"/>
  <c r="AA743" i="2"/>
  <c r="AB743" i="2" s="1"/>
  <c r="AA2188" i="2"/>
  <c r="AB2188" i="2" s="1"/>
  <c r="AA2189" i="2"/>
  <c r="AB2189" i="2" s="1"/>
  <c r="AA744" i="2"/>
  <c r="AB744" i="2" s="1"/>
  <c r="AA2190" i="2"/>
  <c r="AB2190" i="2" s="1"/>
  <c r="AA2191" i="2"/>
  <c r="AB2191" i="2" s="1"/>
  <c r="AA610" i="2"/>
  <c r="AB610" i="2" s="1"/>
  <c r="AA611" i="2"/>
  <c r="AB611" i="2" s="1"/>
  <c r="AA609" i="2"/>
  <c r="AB609" i="2" s="1"/>
  <c r="AA725" i="2"/>
  <c r="AB725" i="2" s="1"/>
  <c r="AA1330" i="2"/>
  <c r="AB1330" i="2" s="1"/>
  <c r="AA745" i="2"/>
  <c r="AB745" i="2" s="1"/>
  <c r="AA1684" i="2"/>
  <c r="AB1684" i="2" s="1"/>
  <c r="AA726" i="2"/>
  <c r="AB726" i="2" s="1"/>
  <c r="AA698" i="2"/>
  <c r="AB698" i="2" s="1"/>
  <c r="AA699" i="2"/>
  <c r="AB699" i="2" s="1"/>
  <c r="AA700" i="2"/>
  <c r="AB700" i="2" s="1"/>
  <c r="AA701" i="2"/>
  <c r="AB701" i="2" s="1"/>
  <c r="AA702" i="2"/>
  <c r="AB702" i="2" s="1"/>
  <c r="AA703" i="2"/>
  <c r="AB703" i="2" s="1"/>
  <c r="AA2298" i="2"/>
  <c r="AB2298" i="2" s="1"/>
  <c r="AA2299" i="2"/>
  <c r="AB2299" i="2" s="1"/>
  <c r="AA2300" i="2"/>
  <c r="AB2300" i="2" s="1"/>
  <c r="AA2301" i="2"/>
  <c r="AB2301" i="2" s="1"/>
  <c r="AA74" i="2"/>
  <c r="AB74" i="2" s="1"/>
  <c r="AA2302" i="2"/>
  <c r="AB2302" i="2" s="1"/>
  <c r="AA2386" i="2"/>
  <c r="AB2386" i="2" s="1"/>
  <c r="AA2387" i="2"/>
  <c r="AB2387" i="2" s="1"/>
  <c r="AA2385" i="2"/>
  <c r="AB2385" i="2" s="1"/>
  <c r="AA2388" i="2"/>
  <c r="AB2388" i="2" s="1"/>
  <c r="AA2389" i="2"/>
  <c r="AB2389" i="2" s="1"/>
  <c r="AA2390" i="2"/>
  <c r="AB2390" i="2" s="1"/>
  <c r="AA2391" i="2"/>
  <c r="AB2391" i="2" s="1"/>
  <c r="AA2392" i="2"/>
  <c r="AB2392" i="2" s="1"/>
  <c r="AA2393" i="2"/>
  <c r="AB2393" i="2" s="1"/>
  <c r="AA2394" i="2"/>
  <c r="AB2394" i="2" s="1"/>
  <c r="AA2200" i="2"/>
  <c r="AB2200" i="2" s="1"/>
  <c r="AA2201" i="2"/>
  <c r="AB2201" i="2" s="1"/>
  <c r="AA612" i="2"/>
  <c r="AB612" i="2" s="1"/>
  <c r="AA613" i="2"/>
  <c r="AB613" i="2" s="1"/>
  <c r="AA936" i="2"/>
  <c r="AB936" i="2" s="1"/>
  <c r="AA2558" i="2"/>
  <c r="AB2558" i="2" s="1"/>
  <c r="AA2559" i="2"/>
  <c r="AB2559" i="2" s="1"/>
  <c r="AA75" i="2"/>
  <c r="AB75" i="2" s="1"/>
  <c r="AA2560" i="2"/>
  <c r="AB2560" i="2" s="1"/>
  <c r="AA2561" i="2"/>
  <c r="AB2561" i="2" s="1"/>
  <c r="AA2562" i="2"/>
  <c r="AB2562" i="2" s="1"/>
  <c r="AA1272" i="2"/>
  <c r="AB1272" i="2" s="1"/>
  <c r="AA704" i="2"/>
  <c r="AB704" i="2" s="1"/>
  <c r="AA705" i="2"/>
  <c r="AB705" i="2" s="1"/>
  <c r="AA2380" i="2"/>
  <c r="AB2380" i="2" s="1"/>
  <c r="AA2192" i="2"/>
  <c r="AB2192" i="2" s="1"/>
  <c r="AA2193" i="2"/>
  <c r="AB2193" i="2" s="1"/>
  <c r="AA2194" i="2"/>
  <c r="AB2194" i="2" s="1"/>
  <c r="AA2195" i="2"/>
  <c r="AB2195" i="2" s="1"/>
  <c r="AA2196" i="2"/>
  <c r="AB2196" i="2" s="1"/>
  <c r="AA2197" i="2"/>
  <c r="AB2197" i="2" s="1"/>
  <c r="AA2198" i="2"/>
  <c r="AB2198" i="2" s="1"/>
  <c r="AA614" i="2"/>
  <c r="AB614" i="2" s="1"/>
  <c r="AA615" i="2"/>
  <c r="AB615" i="2" s="1"/>
  <c r="AA616" i="2"/>
  <c r="AB616" i="2" s="1"/>
  <c r="AA457" i="2"/>
  <c r="AB457" i="2" s="1"/>
  <c r="AA484" i="2"/>
  <c r="AB484" i="2" s="1"/>
  <c r="AA2322" i="2"/>
  <c r="AB2322" i="2" s="1"/>
  <c r="AA2323" i="2"/>
  <c r="AB2323" i="2" s="1"/>
  <c r="AA2324" i="2"/>
  <c r="AB2324" i="2" s="1"/>
  <c r="AA618" i="2"/>
  <c r="AB618" i="2" s="1"/>
  <c r="AA619" i="2"/>
  <c r="AB619" i="2" s="1"/>
  <c r="AA620" i="2"/>
  <c r="AB620" i="2" s="1"/>
  <c r="AA621" i="2"/>
  <c r="AB621" i="2" s="1"/>
  <c r="AA1698" i="2"/>
  <c r="AB1698" i="2" s="1"/>
  <c r="AA622" i="2"/>
  <c r="AB622" i="2" s="1"/>
  <c r="AA623" i="2"/>
  <c r="AB623" i="2" s="1"/>
  <c r="AA624" i="2"/>
  <c r="AB624" i="2" s="1"/>
  <c r="AA625" i="2"/>
  <c r="AB625" i="2" s="1"/>
  <c r="AA626" i="2"/>
  <c r="AB626" i="2" s="1"/>
  <c r="AA627" i="2"/>
  <c r="AB627" i="2" s="1"/>
  <c r="AA628" i="2"/>
  <c r="AB628" i="2" s="1"/>
  <c r="AA629" i="2"/>
  <c r="AB629" i="2" s="1"/>
  <c r="AA2381" i="2"/>
  <c r="AB2381" i="2" s="1"/>
  <c r="AA2469" i="2"/>
  <c r="AB2469" i="2" s="1"/>
  <c r="AA2325" i="2"/>
  <c r="AB2325" i="2" s="1"/>
  <c r="AA630" i="2"/>
  <c r="AB630" i="2" s="1"/>
  <c r="AA631" i="2"/>
  <c r="AB631" i="2" s="1"/>
  <c r="AA632" i="2"/>
  <c r="AB632" i="2" s="1"/>
  <c r="AA633" i="2"/>
  <c r="AB633" i="2" s="1"/>
  <c r="AA634" i="2"/>
  <c r="AB634" i="2" s="1"/>
  <c r="AA635" i="2"/>
  <c r="AB635" i="2" s="1"/>
  <c r="AA2470" i="2"/>
  <c r="AB2470" i="2" s="1"/>
  <c r="AA180" i="2"/>
  <c r="AB180" i="2" s="1"/>
  <c r="AA2303" i="2"/>
  <c r="AB2303" i="2" s="1"/>
  <c r="AA2304" i="2"/>
  <c r="AB2304" i="2" s="1"/>
  <c r="AA2305" i="2"/>
  <c r="AB2305" i="2" s="1"/>
  <c r="AA2306" i="2"/>
  <c r="AB2306" i="2" s="1"/>
  <c r="AA2307" i="2"/>
  <c r="AB2307" i="2" s="1"/>
  <c r="AA706" i="2"/>
  <c r="AB706" i="2" s="1"/>
  <c r="AA707" i="2"/>
  <c r="AB707" i="2" s="1"/>
  <c r="AA2471" i="2"/>
  <c r="AB2471" i="2" s="1"/>
  <c r="AA2199" i="2"/>
  <c r="AB2199" i="2" s="1"/>
  <c r="AA1504" i="2"/>
  <c r="AB1504" i="2" s="1"/>
  <c r="AA1505" i="2"/>
  <c r="AB1505" i="2" s="1"/>
  <c r="AA2176" i="2"/>
  <c r="AB2176" i="2" s="1"/>
  <c r="AA1506" i="2"/>
  <c r="AB1506" i="2" s="1"/>
  <c r="AA1507" i="2"/>
  <c r="AB1507" i="2" s="1"/>
  <c r="AA1508" i="2"/>
  <c r="AB1508" i="2" s="1"/>
  <c r="AA1509" i="2"/>
  <c r="AB1509" i="2" s="1"/>
  <c r="AA1510" i="2"/>
  <c r="AB1510" i="2" s="1"/>
  <c r="AA76" i="2"/>
  <c r="AB76" i="2" s="1"/>
  <c r="AA77" i="2"/>
  <c r="AB77" i="2" s="1"/>
  <c r="AA78" i="2"/>
  <c r="AB78" i="2" s="1"/>
  <c r="AA2214" i="2"/>
  <c r="AB2214" i="2" s="1"/>
  <c r="AA2215" i="2"/>
  <c r="AB2215" i="2" s="1"/>
  <c r="AA2216" i="2"/>
  <c r="AB2216" i="2" s="1"/>
  <c r="AA2217" i="2"/>
  <c r="AB2217" i="2" s="1"/>
  <c r="AA2218" i="2"/>
  <c r="AB2218" i="2" s="1"/>
  <c r="AA2435" i="2"/>
  <c r="AB2435" i="2" s="1"/>
  <c r="AA293" i="2"/>
  <c r="AB293" i="2" s="1"/>
  <c r="AA238" i="2"/>
  <c r="AB238" i="2" s="1"/>
  <c r="AA2219" i="2"/>
  <c r="AB2219" i="2" s="1"/>
  <c r="AA2220" i="2"/>
  <c r="AB2220" i="2" s="1"/>
  <c r="AA2563" i="2"/>
  <c r="AB2563" i="2" s="1"/>
  <c r="AA2237" i="2"/>
  <c r="AB2237" i="2" s="1"/>
  <c r="AA2238" i="2"/>
  <c r="AB2238" i="2" s="1"/>
  <c r="AA2239" i="2"/>
  <c r="AB2239" i="2" s="1"/>
  <c r="AA2240" i="2"/>
  <c r="AB2240" i="2" s="1"/>
  <c r="AA2241" i="2"/>
  <c r="AB2241" i="2" s="1"/>
  <c r="AA2221" i="2"/>
  <c r="AB2221" i="2" s="1"/>
  <c r="AA79" i="2"/>
  <c r="AB79" i="2" s="1"/>
  <c r="AA80" i="2"/>
  <c r="AB80" i="2" s="1"/>
  <c r="AA81" i="2"/>
  <c r="AB81" i="2" s="1"/>
  <c r="AA82" i="2"/>
  <c r="AB82" i="2" s="1"/>
  <c r="AA83" i="2"/>
  <c r="AB83" i="2" s="1"/>
  <c r="AA84" i="2"/>
  <c r="AB84" i="2" s="1"/>
  <c r="AA85" i="2"/>
  <c r="AB85" i="2" s="1"/>
  <c r="AA86" i="2"/>
  <c r="AB86" i="2" s="1"/>
  <c r="AA87" i="2"/>
  <c r="AB87" i="2" s="1"/>
  <c r="AA708" i="2"/>
  <c r="AB708" i="2" s="1"/>
  <c r="AA2222" i="2"/>
  <c r="AB2222" i="2" s="1"/>
  <c r="AA709" i="2"/>
  <c r="AB709" i="2" s="1"/>
  <c r="AA2223" i="2"/>
  <c r="AB2223" i="2" s="1"/>
  <c r="AA2224" i="2"/>
  <c r="AB2224" i="2" s="1"/>
  <c r="AA710" i="2"/>
  <c r="AB710" i="2" s="1"/>
  <c r="AA2225" i="2"/>
  <c r="AB2225" i="2" s="1"/>
  <c r="AA2226" i="2"/>
  <c r="AB2226" i="2" s="1"/>
  <c r="AA711" i="2"/>
  <c r="AB711" i="2" s="1"/>
  <c r="AA2227" i="2"/>
  <c r="AB2227" i="2" s="1"/>
  <c r="AA2295" i="2"/>
  <c r="AB2295" i="2" s="1"/>
  <c r="AA2296" i="2"/>
  <c r="AB2296" i="2" s="1"/>
  <c r="AA2297" i="2"/>
  <c r="AB2297" i="2" s="1"/>
  <c r="AA2228" i="2"/>
  <c r="AB2228" i="2" s="1"/>
  <c r="AA2242" i="2"/>
  <c r="AB2242" i="2" s="1"/>
  <c r="AA2243" i="2"/>
  <c r="AB2243" i="2" s="1"/>
  <c r="AA2229" i="2"/>
  <c r="AB2229" i="2" s="1"/>
  <c r="AA1552" i="2"/>
  <c r="AB1552" i="2" s="1"/>
  <c r="AA1553" i="2"/>
  <c r="AB1553" i="2" s="1"/>
  <c r="AA1554" i="2"/>
  <c r="AB1554" i="2" s="1"/>
  <c r="AA1555" i="2"/>
  <c r="AB1555" i="2" s="1"/>
  <c r="AA1556" i="2"/>
  <c r="AB1556" i="2" s="1"/>
  <c r="AA1704" i="2"/>
  <c r="AB1704" i="2" s="1"/>
  <c r="AA1557" i="2"/>
  <c r="AB1557" i="2" s="1"/>
  <c r="AA1558" i="2"/>
  <c r="AB1558" i="2" s="1"/>
  <c r="AA1559" i="2"/>
  <c r="AB1559" i="2" s="1"/>
  <c r="AA2244" i="2"/>
  <c r="AB2244" i="2" s="1"/>
  <c r="AA419" i="2"/>
  <c r="AB419" i="2" s="1"/>
  <c r="AA420" i="2"/>
  <c r="AB420" i="2" s="1"/>
  <c r="AA421" i="2"/>
  <c r="AB421" i="2" s="1"/>
  <c r="AA1700" i="2"/>
  <c r="AB1700" i="2" s="1"/>
  <c r="AA1701" i="2"/>
  <c r="AB1701" i="2" s="1"/>
  <c r="AA2245" i="2"/>
  <c r="AB2245" i="2" s="1"/>
  <c r="AA422" i="2"/>
  <c r="AB422" i="2" s="1"/>
  <c r="AA2246" i="2"/>
  <c r="AB2246" i="2" s="1"/>
  <c r="AA1702" i="2"/>
  <c r="AB1702" i="2" s="1"/>
  <c r="AA423" i="2"/>
  <c r="AB423" i="2" s="1"/>
  <c r="AA2247" i="2"/>
  <c r="AB2247" i="2" s="1"/>
  <c r="AA1703" i="2"/>
  <c r="AB1703" i="2" s="1"/>
  <c r="AA1146" i="2"/>
  <c r="AB1146" i="2" s="1"/>
  <c r="AA1074" i="2"/>
  <c r="AB1074" i="2" s="1"/>
  <c r="AA1560" i="2"/>
  <c r="AB1560" i="2" s="1"/>
  <c r="AA1561" i="2"/>
  <c r="AB1561" i="2" s="1"/>
  <c r="AA1562" i="2"/>
  <c r="AB1562" i="2" s="1"/>
  <c r="AA1563" i="2"/>
  <c r="AB1563" i="2" s="1"/>
  <c r="AA290" i="2"/>
  <c r="AB290" i="2" s="1"/>
  <c r="AA239" i="2"/>
  <c r="AB239" i="2" s="1"/>
  <c r="AA240" i="2"/>
  <c r="AB240" i="2" s="1"/>
  <c r="AA425" i="2"/>
  <c r="AB425" i="2" s="1"/>
  <c r="AA426" i="2"/>
  <c r="AB426" i="2" s="1"/>
  <c r="AA427" i="2"/>
  <c r="AB427" i="2" s="1"/>
  <c r="AA1705" i="2"/>
  <c r="AB1705" i="2" s="1"/>
  <c r="AA428" i="2"/>
  <c r="AB428" i="2" s="1"/>
  <c r="AA424" i="2"/>
  <c r="AB424" i="2" s="1"/>
  <c r="AA429" i="2"/>
  <c r="AB429" i="2" s="1"/>
  <c r="AA2327" i="2"/>
  <c r="AB2327" i="2" s="1"/>
  <c r="AA1061" i="2"/>
  <c r="AB1061" i="2" s="1"/>
  <c r="AA1273" i="2"/>
  <c r="AB1273" i="2" s="1"/>
  <c r="AA1274" i="2"/>
  <c r="AB1274" i="2" s="1"/>
  <c r="AA431" i="2"/>
  <c r="AB431" i="2" s="1"/>
  <c r="AA432" i="2"/>
  <c r="AB432" i="2" s="1"/>
  <c r="AA1275" i="2"/>
  <c r="AB1275" i="2" s="1"/>
  <c r="AA1276" i="2"/>
  <c r="AB1276" i="2" s="1"/>
  <c r="AA1730" i="2"/>
  <c r="AB1730" i="2" s="1"/>
  <c r="AA1731" i="2"/>
  <c r="AB1731" i="2" s="1"/>
  <c r="AA1732" i="2"/>
  <c r="AB1732" i="2" s="1"/>
  <c r="AA1733" i="2"/>
  <c r="AB1733" i="2" s="1"/>
  <c r="AA1734" i="2"/>
  <c r="AB1734" i="2" s="1"/>
  <c r="AA1735" i="2"/>
  <c r="AB1735" i="2" s="1"/>
  <c r="AA1736" i="2"/>
  <c r="AB1736" i="2" s="1"/>
  <c r="AA1737" i="2"/>
  <c r="AB1737" i="2" s="1"/>
  <c r="AA241" i="2"/>
  <c r="AB241" i="2" s="1"/>
  <c r="AA1738" i="2"/>
  <c r="AB1738" i="2" s="1"/>
  <c r="AA1739" i="2"/>
  <c r="AB1739" i="2" s="1"/>
  <c r="AA242" i="2"/>
  <c r="AB242" i="2" s="1"/>
  <c r="AA774" i="2"/>
  <c r="AB774" i="2" s="1"/>
  <c r="AA1743" i="2"/>
  <c r="AB1743" i="2" s="1"/>
  <c r="AA775" i="2"/>
  <c r="AB775" i="2" s="1"/>
  <c r="AA750" i="2"/>
  <c r="AB750" i="2" s="1"/>
  <c r="AA782" i="2"/>
  <c r="AB782" i="2" s="1"/>
  <c r="AA751" i="2"/>
  <c r="AB751" i="2" s="1"/>
  <c r="AA776" i="2"/>
  <c r="AB776" i="2" s="1"/>
  <c r="AA783" i="2"/>
  <c r="AB783" i="2" s="1"/>
  <c r="AA1745" i="2"/>
  <c r="AB1745" i="2" s="1"/>
  <c r="AA1740" i="2"/>
  <c r="AB1740" i="2" s="1"/>
  <c r="AA1741" i="2"/>
  <c r="AB1741" i="2" s="1"/>
  <c r="AA753" i="2"/>
  <c r="AB753" i="2" s="1"/>
  <c r="AA784" i="2"/>
  <c r="AB784" i="2" s="1"/>
  <c r="AA777" i="2"/>
  <c r="AB777" i="2" s="1"/>
  <c r="AA755" i="2"/>
  <c r="AB755" i="2" s="1"/>
  <c r="AA1742" i="2"/>
  <c r="AB1742" i="2" s="1"/>
  <c r="AA785" i="2"/>
  <c r="AB785" i="2" s="1"/>
  <c r="AA778" i="2"/>
  <c r="AB778" i="2" s="1"/>
  <c r="AA786" i="2"/>
  <c r="AB786" i="2" s="1"/>
  <c r="AA1165" i="2"/>
  <c r="AB1165" i="2" s="1"/>
  <c r="AA367" i="2"/>
  <c r="AB367" i="2" s="1"/>
  <c r="AA316" i="2"/>
  <c r="AB316" i="2" s="1"/>
  <c r="AA317" i="2"/>
  <c r="AB317" i="2" s="1"/>
  <c r="AA748" i="2"/>
  <c r="AB748" i="2" s="1"/>
  <c r="AA749" i="2"/>
  <c r="AB749" i="2" s="1"/>
  <c r="AA752" i="2"/>
  <c r="AB752" i="2" s="1"/>
  <c r="AA754" i="2"/>
  <c r="AB754" i="2" s="1"/>
  <c r="AA756" i="2"/>
  <c r="AB756" i="2" s="1"/>
  <c r="AA757" i="2"/>
  <c r="AB757" i="2" s="1"/>
  <c r="AA1744" i="2"/>
  <c r="AB1744" i="2" s="1"/>
  <c r="AA2564" i="2"/>
  <c r="AB2564" i="2" s="1"/>
  <c r="AA2326" i="2"/>
  <c r="AB2326" i="2" s="1"/>
  <c r="AA758" i="2"/>
  <c r="AB758" i="2" s="1"/>
  <c r="AA759" i="2"/>
  <c r="AB759" i="2" s="1"/>
  <c r="AA760" i="2"/>
  <c r="AB760" i="2" s="1"/>
  <c r="AA243" i="2"/>
  <c r="AB243" i="2" s="1"/>
  <c r="AA244" i="2"/>
  <c r="AB244" i="2" s="1"/>
  <c r="AA89" i="2"/>
  <c r="AB89" i="2" s="1"/>
  <c r="AA90" i="2"/>
  <c r="AB90" i="2" s="1"/>
  <c r="AA91" i="2"/>
  <c r="AB91" i="2" s="1"/>
  <c r="AA88" i="2"/>
  <c r="AB88" i="2" s="1"/>
  <c r="AA92" i="2"/>
  <c r="AB92" i="2" s="1"/>
  <c r="AA93" i="2"/>
  <c r="AB93" i="2" s="1"/>
  <c r="AA407" i="2"/>
  <c r="AB407" i="2" s="1"/>
  <c r="AA1365" i="2"/>
  <c r="AB1365" i="2" s="1"/>
  <c r="AA761" i="2"/>
  <c r="AB761" i="2" s="1"/>
  <c r="AA762" i="2"/>
  <c r="AB762" i="2" s="1"/>
  <c r="AA763" i="2"/>
  <c r="AB763" i="2" s="1"/>
  <c r="AA764" i="2"/>
  <c r="AB764" i="2" s="1"/>
  <c r="AA765" i="2"/>
  <c r="AB765" i="2" s="1"/>
  <c r="AA766" i="2"/>
  <c r="AB766" i="2" s="1"/>
  <c r="AA767" i="2"/>
  <c r="AB767" i="2" s="1"/>
  <c r="AA768" i="2"/>
  <c r="AB768" i="2" s="1"/>
  <c r="AA769" i="2"/>
  <c r="AB769" i="2" s="1"/>
  <c r="AA770" i="2"/>
  <c r="AB770" i="2" s="1"/>
  <c r="AA2432" i="2"/>
  <c r="AB2432" i="2" s="1"/>
  <c r="AA2428" i="2"/>
  <c r="AB2428" i="2" s="1"/>
  <c r="AA2429" i="2"/>
  <c r="AB2429" i="2" s="1"/>
  <c r="AA2433" i="2"/>
  <c r="AB2433" i="2" s="1"/>
  <c r="AA2434" i="2"/>
  <c r="AB2434" i="2" s="1"/>
  <c r="AA771" i="2"/>
  <c r="AB771" i="2" s="1"/>
  <c r="AA772" i="2"/>
  <c r="AB772" i="2" s="1"/>
  <c r="AA773" i="2"/>
  <c r="AB773" i="2" s="1"/>
  <c r="AA433" i="2"/>
  <c r="AB433" i="2" s="1"/>
  <c r="AA434" i="2"/>
  <c r="AB434" i="2" s="1"/>
  <c r="AA435" i="2"/>
  <c r="AB435" i="2" s="1"/>
  <c r="AA1382" i="2"/>
  <c r="AB1382" i="2" s="1"/>
  <c r="AA714" i="2"/>
  <c r="AB714" i="2" s="1"/>
  <c r="AA715" i="2"/>
  <c r="AB715" i="2" s="1"/>
  <c r="AA1296" i="2"/>
  <c r="AB1296" i="2" s="1"/>
  <c r="AA716" i="2"/>
  <c r="AB716" i="2" s="1"/>
  <c r="AA1297" i="2"/>
  <c r="AB1297" i="2" s="1"/>
  <c r="AA717" i="2"/>
  <c r="AB717" i="2" s="1"/>
  <c r="AA1298" i="2"/>
  <c r="AB1298" i="2" s="1"/>
  <c r="AA718" i="2"/>
  <c r="AB718" i="2" s="1"/>
  <c r="AA719" i="2"/>
  <c r="AB719" i="2" s="1"/>
  <c r="AA1277" i="2"/>
  <c r="AB1277" i="2" s="1"/>
  <c r="AA1278" i="2"/>
  <c r="AB1278" i="2" s="1"/>
  <c r="AA1279" i="2"/>
  <c r="AB1279" i="2" s="1"/>
  <c r="AA1280" i="2"/>
  <c r="AB1280" i="2" s="1"/>
  <c r="AA721" i="2"/>
  <c r="AB721" i="2" s="1"/>
  <c r="AA1281" i="2"/>
  <c r="AB1281" i="2" s="1"/>
  <c r="AA1282" i="2"/>
  <c r="AB1282" i="2" s="1"/>
  <c r="AA720" i="2"/>
  <c r="AB720" i="2" s="1"/>
  <c r="AA2567" i="2"/>
  <c r="AB2567" i="2" s="1"/>
  <c r="AA2568" i="2"/>
  <c r="AB2568" i="2" s="1"/>
  <c r="AA2569" i="2"/>
  <c r="AB2569" i="2" s="1"/>
  <c r="AA2570" i="2"/>
  <c r="AB2570" i="2" s="1"/>
  <c r="AA2571" i="2"/>
  <c r="AB2571" i="2" s="1"/>
  <c r="AA1383" i="2"/>
  <c r="AB1383" i="2" s="1"/>
  <c r="AA1242" i="2"/>
  <c r="AB1242" i="2" s="1"/>
  <c r="AA1299" i="2"/>
  <c r="AB1299" i="2" s="1"/>
  <c r="AA722" i="2"/>
  <c r="AB722" i="2" s="1"/>
  <c r="AA713" i="2"/>
  <c r="AB713" i="2" s="1"/>
  <c r="AA1300" i="2"/>
  <c r="AB1300" i="2" s="1"/>
  <c r="AA1301" i="2"/>
  <c r="AB1301" i="2" s="1"/>
  <c r="AA977" i="2"/>
  <c r="AB977" i="2" s="1"/>
  <c r="AA1302" i="2"/>
  <c r="AB1302" i="2" s="1"/>
  <c r="AA788" i="2"/>
  <c r="AB788" i="2" s="1"/>
  <c r="AA789" i="2"/>
  <c r="AB789" i="2" s="1"/>
  <c r="AA790" i="2"/>
  <c r="AB790" i="2" s="1"/>
  <c r="AA791" i="2"/>
  <c r="AB791" i="2" s="1"/>
  <c r="AA1304" i="2"/>
  <c r="AB1304" i="2" s="1"/>
  <c r="AA181" i="2"/>
  <c r="AB181" i="2" s="1"/>
  <c r="AA792" i="2"/>
  <c r="AB792" i="2" s="1"/>
  <c r="AA95" i="2"/>
  <c r="AB95" i="2" s="1"/>
  <c r="AA96" i="2"/>
  <c r="AB96" i="2" s="1"/>
  <c r="AA97" i="2"/>
  <c r="AB97" i="2" s="1"/>
  <c r="AA98" i="2"/>
  <c r="AB98" i="2" s="1"/>
  <c r="AA94" i="2"/>
  <c r="AB94" i="2" s="1"/>
  <c r="AA99" i="2"/>
  <c r="AB99" i="2" s="1"/>
  <c r="AA100" i="2"/>
  <c r="AB100" i="2" s="1"/>
  <c r="AA793" i="2"/>
  <c r="AB793" i="2" s="1"/>
  <c r="AA794" i="2"/>
  <c r="AB794" i="2" s="1"/>
  <c r="AA795" i="2"/>
  <c r="AB795" i="2" s="1"/>
  <c r="AA796" i="2"/>
  <c r="AB796" i="2" s="1"/>
  <c r="AA797" i="2"/>
  <c r="AB797" i="2" s="1"/>
  <c r="AA798" i="2"/>
  <c r="AB798" i="2" s="1"/>
  <c r="AA799" i="2"/>
  <c r="AB799" i="2" s="1"/>
  <c r="AA800" i="2"/>
  <c r="AB800" i="2" s="1"/>
  <c r="AA1517" i="2"/>
  <c r="AB1517" i="2" s="1"/>
  <c r="AA1707" i="2"/>
  <c r="AB1707" i="2" s="1"/>
  <c r="AA1708" i="2"/>
  <c r="AB1708" i="2" s="1"/>
  <c r="AA1709" i="2"/>
  <c r="AB1709" i="2" s="1"/>
  <c r="AA1710" i="2"/>
  <c r="AB1710" i="2" s="1"/>
  <c r="AA1711" i="2"/>
  <c r="AB1711" i="2" s="1"/>
  <c r="AA1712" i="2"/>
  <c r="AB1712" i="2" s="1"/>
  <c r="AA1713" i="2"/>
  <c r="AB1713" i="2" s="1"/>
  <c r="AA1714" i="2"/>
  <c r="AB1714" i="2" s="1"/>
  <c r="AA1715" i="2"/>
  <c r="AB1715" i="2" s="1"/>
  <c r="AA1716" i="2"/>
  <c r="AB1716" i="2" s="1"/>
  <c r="AA1717" i="2"/>
  <c r="AB1717" i="2" s="1"/>
  <c r="AA1718" i="2"/>
  <c r="AB1718" i="2" s="1"/>
  <c r="AA1719" i="2"/>
  <c r="AB1719" i="2" s="1"/>
  <c r="AA1720" i="2"/>
  <c r="AB1720" i="2" s="1"/>
  <c r="AA1721" i="2"/>
  <c r="AB1721" i="2" s="1"/>
  <c r="AA1722" i="2"/>
  <c r="AB1722" i="2" s="1"/>
  <c r="AA1723" i="2"/>
  <c r="AB1723" i="2" s="1"/>
  <c r="AA1724" i="2"/>
  <c r="AB1724" i="2" s="1"/>
  <c r="AA1725" i="2"/>
  <c r="AB1725" i="2" s="1"/>
  <c r="AA1726" i="2"/>
  <c r="AB1726" i="2" s="1"/>
  <c r="AA668" i="2"/>
  <c r="AB668" i="2" s="1"/>
  <c r="AA669" i="2"/>
  <c r="AB669" i="2" s="1"/>
  <c r="AA670" i="2"/>
  <c r="AB670" i="2" s="1"/>
  <c r="AA671" i="2"/>
  <c r="AB671" i="2" s="1"/>
  <c r="AA672" i="2"/>
  <c r="AB672" i="2" s="1"/>
  <c r="AA673" i="2"/>
  <c r="AB673" i="2" s="1"/>
  <c r="AA674" i="2"/>
  <c r="AB674" i="2" s="1"/>
  <c r="AA245" i="2"/>
  <c r="AB245" i="2" s="1"/>
  <c r="AA1727" i="2"/>
  <c r="AB1727" i="2" s="1"/>
  <c r="AA1728" i="2"/>
  <c r="AB1728" i="2" s="1"/>
  <c r="AA1729" i="2"/>
  <c r="AB1729" i="2" s="1"/>
  <c r="AA1284" i="2"/>
  <c r="AB1284" i="2" s="1"/>
  <c r="AA1285" i="2"/>
  <c r="AB1285" i="2" s="1"/>
  <c r="AA1602" i="2"/>
  <c r="AB1602" i="2" s="1"/>
  <c r="AA1287" i="2"/>
  <c r="AB1287" i="2" s="1"/>
  <c r="AA1288" i="2"/>
  <c r="AB1288" i="2" s="1"/>
  <c r="AA1289" i="2"/>
  <c r="AB1289" i="2" s="1"/>
  <c r="AA1290" i="2"/>
  <c r="AB1290" i="2" s="1"/>
  <c r="AA1286" i="2"/>
  <c r="AB1286" i="2" s="1"/>
  <c r="AA1291" i="2"/>
  <c r="AB1291" i="2" s="1"/>
  <c r="AA1292" i="2"/>
  <c r="AB1292" i="2" s="1"/>
  <c r="AA1293" i="2"/>
  <c r="AB1293" i="2" s="1"/>
  <c r="AA1294" i="2"/>
  <c r="AB1294" i="2" s="1"/>
  <c r="AA1295" i="2"/>
  <c r="AB1295" i="2" s="1"/>
  <c r="AA660" i="2"/>
  <c r="AB660" i="2" s="1"/>
  <c r="AA661" i="2"/>
  <c r="AB661" i="2" s="1"/>
  <c r="AA662" i="2"/>
  <c r="AB662" i="2" s="1"/>
  <c r="AA678" i="2"/>
  <c r="AB678" i="2" s="1"/>
  <c r="AA675" i="2"/>
  <c r="AB675" i="2" s="1"/>
  <c r="AA679" i="2"/>
  <c r="AB679" i="2" s="1"/>
  <c r="AA680" i="2"/>
  <c r="AB680" i="2" s="1"/>
  <c r="AA682" i="2"/>
  <c r="AB682" i="2" s="1"/>
  <c r="AA683" i="2"/>
  <c r="AB683" i="2" s="1"/>
  <c r="AA684" i="2"/>
  <c r="AB684" i="2" s="1"/>
  <c r="AA685" i="2"/>
  <c r="AB685" i="2" s="1"/>
  <c r="AA686" i="2"/>
  <c r="AB686" i="2" s="1"/>
  <c r="AA677" i="2"/>
  <c r="AB677" i="2" s="1"/>
  <c r="AA2572" i="2"/>
  <c r="AB2572" i="2" s="1"/>
  <c r="AA2573" i="2"/>
  <c r="AB2573" i="2" s="1"/>
  <c r="AA681" i="2"/>
  <c r="AB681" i="2" s="1"/>
  <c r="AA1575" i="2"/>
  <c r="AB1575" i="2" s="1"/>
  <c r="AA1597" i="2"/>
  <c r="AB1597" i="2" s="1"/>
  <c r="AA688" i="2"/>
  <c r="AB688" i="2" s="1"/>
  <c r="AA294" i="2"/>
  <c r="AB294" i="2" s="1"/>
  <c r="AA552" i="2"/>
  <c r="AB552" i="2" s="1"/>
  <c r="AA689" i="2"/>
  <c r="AB689" i="2" s="1"/>
  <c r="AA553" i="2"/>
  <c r="AB553" i="2" s="1"/>
  <c r="AA690" i="2"/>
  <c r="AB690" i="2" s="1"/>
  <c r="AA691" i="2"/>
  <c r="AB691" i="2" s="1"/>
  <c r="AA692" i="2"/>
  <c r="AB692" i="2" s="1"/>
  <c r="AA693" i="2"/>
  <c r="AB693" i="2" s="1"/>
  <c r="AA694" i="2"/>
  <c r="AB694" i="2" s="1"/>
  <c r="AA554" i="2"/>
  <c r="AB554" i="2" s="1"/>
  <c r="AA555" i="2"/>
  <c r="AB555" i="2" s="1"/>
  <c r="AA556" i="2"/>
  <c r="AB556" i="2" s="1"/>
  <c r="AA663" i="2"/>
  <c r="AB663" i="2" s="1"/>
  <c r="AA664" i="2"/>
  <c r="AB664" i="2" s="1"/>
  <c r="AA695" i="2"/>
  <c r="AB695" i="2" s="1"/>
  <c r="AA696" i="2"/>
  <c r="AB696" i="2" s="1"/>
  <c r="AA697" i="2"/>
  <c r="AB697" i="2" s="1"/>
  <c r="AA2290" i="2"/>
  <c r="AB2290" i="2" s="1"/>
  <c r="AA1769" i="2"/>
  <c r="AB1769" i="2" s="1"/>
  <c r="AA2382" i="2"/>
  <c r="AB2382" i="2" s="1"/>
  <c r="AA2383" i="2"/>
  <c r="AB2383" i="2" s="1"/>
  <c r="AA2384" i="2"/>
  <c r="AB2384" i="2" s="1"/>
  <c r="AA295" i="2"/>
  <c r="AB295" i="2" s="1"/>
  <c r="AA182" i="2"/>
  <c r="AB182" i="2" s="1"/>
  <c r="AA522" i="2"/>
  <c r="AB522" i="2" s="1"/>
  <c r="AA1746" i="2"/>
  <c r="AB1746" i="2" s="1"/>
  <c r="AA1747" i="2"/>
  <c r="AB1747" i="2" s="1"/>
  <c r="AA2574" i="2"/>
  <c r="AB2574" i="2" s="1"/>
  <c r="AA2575" i="2"/>
  <c r="AB2575" i="2" s="1"/>
  <c r="AA2472" i="2"/>
  <c r="AB2472" i="2" s="1"/>
  <c r="AA246" i="2"/>
  <c r="AB246" i="2" s="1"/>
  <c r="AA2230" i="2"/>
  <c r="AB2230" i="2" s="1"/>
  <c r="AA2231" i="2"/>
  <c r="AB2231" i="2" s="1"/>
  <c r="AA2232" i="2"/>
  <c r="AB2232" i="2" s="1"/>
  <c r="AA2233" i="2"/>
  <c r="AB2233" i="2" s="1"/>
  <c r="AA2234" i="2"/>
  <c r="AB2234" i="2" s="1"/>
  <c r="AA2235" i="2"/>
  <c r="AB2235" i="2" s="1"/>
  <c r="AA2236" i="2"/>
  <c r="AB2236" i="2" s="1"/>
  <c r="AA1748" i="2"/>
  <c r="AB1748" i="2" s="1"/>
  <c r="AA1749" i="2"/>
  <c r="AB1749" i="2" s="1"/>
  <c r="AA1750" i="2"/>
  <c r="AB1750" i="2" s="1"/>
  <c r="AA1751" i="2"/>
  <c r="AB1751" i="2" s="1"/>
  <c r="AA1752" i="2"/>
  <c r="AB1752" i="2" s="1"/>
  <c r="AA1753" i="2"/>
  <c r="AB1753" i="2" s="1"/>
  <c r="AA1754" i="2"/>
  <c r="AB1754" i="2" s="1"/>
  <c r="AA1767" i="2"/>
  <c r="AB1767" i="2" s="1"/>
  <c r="AA1768" i="2"/>
  <c r="AB1768" i="2" s="1"/>
  <c r="AA1755" i="2"/>
  <c r="AB1755" i="2" s="1"/>
  <c r="AA1756" i="2"/>
  <c r="AB1756" i="2" s="1"/>
  <c r="AA1757" i="2"/>
  <c r="AB1757" i="2" s="1"/>
  <c r="AA1758" i="2"/>
  <c r="AB1758" i="2" s="1"/>
  <c r="AA1759" i="2"/>
  <c r="AB1759" i="2" s="1"/>
  <c r="AA1760" i="2"/>
  <c r="AB1760" i="2" s="1"/>
  <c r="AA1761" i="2"/>
  <c r="AB1761" i="2" s="1"/>
  <c r="AA1763" i="2"/>
  <c r="AB1763" i="2" s="1"/>
  <c r="AA1764" i="2"/>
  <c r="AB1764" i="2" s="1"/>
  <c r="AA1762" i="2"/>
  <c r="AB1762" i="2" s="1"/>
  <c r="AA1765" i="2"/>
  <c r="AB1765" i="2" s="1"/>
  <c r="AA247" i="2"/>
  <c r="AB247" i="2" s="1"/>
  <c r="AA248" i="2"/>
  <c r="AB248" i="2" s="1"/>
  <c r="AA249" i="2"/>
  <c r="AB249" i="2" s="1"/>
  <c r="AA250" i="2"/>
  <c r="AB250" i="2" s="1"/>
  <c r="AA1775" i="2"/>
  <c r="AB1775" i="2" s="1"/>
  <c r="AA1776" i="2"/>
  <c r="AB1776" i="2" s="1"/>
  <c r="AA1777" i="2"/>
  <c r="AB1777" i="2" s="1"/>
  <c r="AA1778" i="2"/>
  <c r="AB1778" i="2" s="1"/>
  <c r="AA1779" i="2"/>
  <c r="AB1779" i="2" s="1"/>
  <c r="AA1564" i="2"/>
  <c r="AB1564" i="2" s="1"/>
  <c r="AA2404" i="2"/>
  <c r="AB2404" i="2" s="1"/>
  <c r="AA2405" i="2"/>
  <c r="AB2405" i="2" s="1"/>
  <c r="AA1780" i="2"/>
  <c r="AB1780" i="2" s="1"/>
  <c r="AA1781" i="2"/>
  <c r="AB1781" i="2" s="1"/>
  <c r="AA1782" i="2"/>
  <c r="AB1782" i="2" s="1"/>
  <c r="AA1783" i="2"/>
  <c r="AB1783" i="2" s="1"/>
  <c r="AA1784" i="2"/>
  <c r="AB1784" i="2" s="1"/>
  <c r="AA1785" i="2"/>
  <c r="AB1785" i="2" s="1"/>
  <c r="AA2406" i="2"/>
  <c r="AB2406" i="2" s="1"/>
  <c r="AA2407" i="2"/>
  <c r="AB2407" i="2" s="1"/>
  <c r="AA2408" i="2"/>
  <c r="AB2408" i="2" s="1"/>
  <c r="AA1786" i="2"/>
  <c r="AB1786" i="2" s="1"/>
  <c r="AA1607" i="2"/>
  <c r="AB1607" i="2" s="1"/>
  <c r="AA1608" i="2"/>
  <c r="AB1608" i="2" s="1"/>
  <c r="AA2579" i="2"/>
  <c r="AB2579" i="2" s="1"/>
  <c r="AA2580" i="2"/>
  <c r="AB2580" i="2" s="1"/>
  <c r="AA2581" i="2"/>
  <c r="AB2581" i="2" s="1"/>
  <c r="AA2582" i="2"/>
  <c r="AB2582" i="2" s="1"/>
  <c r="AA2583" i="2"/>
  <c r="AB2583" i="2" s="1"/>
  <c r="AA557" i="2"/>
  <c r="AB557" i="2" s="1"/>
  <c r="AA581" i="2"/>
  <c r="AB581" i="2" s="1"/>
  <c r="AA590" i="2"/>
  <c r="AB590" i="2" s="1"/>
  <c r="AA728" i="2"/>
  <c r="AB728" i="2" s="1"/>
  <c r="AA1610" i="2"/>
  <c r="AB1610" i="2" s="1"/>
  <c r="AA1611" i="2"/>
  <c r="AB1611" i="2" s="1"/>
  <c r="AA1612" i="2"/>
  <c r="AB1612" i="2" s="1"/>
  <c r="AA152" i="2"/>
  <c r="AB152" i="2" s="1"/>
  <c r="AA153" i="2"/>
  <c r="AB153" i="2" s="1"/>
  <c r="AA154" i="2"/>
  <c r="AB154" i="2" s="1"/>
  <c r="AA1613" i="2"/>
  <c r="AB1613" i="2" s="1"/>
  <c r="AA1614" i="2"/>
  <c r="AB1614" i="2" s="1"/>
  <c r="AA155" i="2"/>
  <c r="AB155" i="2" s="1"/>
  <c r="AA156" i="2"/>
  <c r="AB156" i="2" s="1"/>
  <c r="AA1794" i="2"/>
  <c r="AB1794" i="2" s="1"/>
  <c r="AA1624" i="2"/>
  <c r="AB1624" i="2" s="1"/>
  <c r="AA1615" i="2"/>
  <c r="AB1615" i="2" s="1"/>
  <c r="AA1625" i="2"/>
  <c r="AB1625" i="2" s="1"/>
  <c r="AA1616" i="2"/>
  <c r="AB1616" i="2" s="1"/>
  <c r="AA1617" i="2"/>
  <c r="AB1617" i="2" s="1"/>
  <c r="AA1787" i="2"/>
  <c r="AB1787" i="2" s="1"/>
  <c r="AA1795" i="2"/>
  <c r="AB1795" i="2" s="1"/>
  <c r="AA2584" i="2"/>
  <c r="AB2584" i="2" s="1"/>
  <c r="AA2585" i="2"/>
  <c r="AB2585" i="2" s="1"/>
  <c r="AA2586" i="2"/>
  <c r="AB2586" i="2" s="1"/>
  <c r="AA2587" i="2"/>
  <c r="AB2587" i="2" s="1"/>
  <c r="AA2588" i="2"/>
  <c r="AB2588" i="2" s="1"/>
  <c r="AA2589" i="2"/>
  <c r="AB2589" i="2" s="1"/>
  <c r="AA162" i="2"/>
  <c r="AB162" i="2" s="1"/>
  <c r="AA1804" i="2"/>
  <c r="AB1804" i="2" s="1"/>
  <c r="AA1805" i="2"/>
  <c r="AB1805" i="2" s="1"/>
  <c r="AA1796" i="2"/>
  <c r="AB1796" i="2" s="1"/>
  <c r="AA1806" i="2"/>
  <c r="AB1806" i="2" s="1"/>
  <c r="AA1807" i="2"/>
  <c r="AB1807" i="2" s="1"/>
  <c r="AA1659" i="2"/>
  <c r="AB1659" i="2" s="1"/>
  <c r="AA1679" i="2"/>
  <c r="AB1679" i="2" s="1"/>
  <c r="AA1797" i="2"/>
  <c r="AB1797" i="2" s="1"/>
  <c r="AA1798" i="2"/>
  <c r="AB1798" i="2" s="1"/>
  <c r="AA102" i="2"/>
  <c r="AB102" i="2" s="1"/>
  <c r="AA103" i="2"/>
  <c r="AB103" i="2" s="1"/>
  <c r="AA104" i="2"/>
  <c r="AB104" i="2" s="1"/>
  <c r="AA101" i="2"/>
  <c r="AB101" i="2" s="1"/>
  <c r="AA105" i="2"/>
  <c r="AB105" i="2" s="1"/>
  <c r="AA106" i="2"/>
  <c r="AB106" i="2" s="1"/>
  <c r="AA164" i="2"/>
  <c r="AB164" i="2" s="1"/>
  <c r="AA165" i="2"/>
  <c r="AB165" i="2" s="1"/>
  <c r="AA1618" i="2"/>
  <c r="AB1618" i="2" s="1"/>
  <c r="AA166" i="2"/>
  <c r="AB166" i="2" s="1"/>
  <c r="AA123" i="2"/>
  <c r="AB123" i="2" s="1"/>
  <c r="AA163" i="2"/>
  <c r="AB163" i="2" s="1"/>
  <c r="AA167" i="2"/>
  <c r="AB167" i="2" s="1"/>
  <c r="AA168" i="2"/>
  <c r="AB168" i="2" s="1"/>
  <c r="AA1687" i="2"/>
  <c r="AB1687" i="2" s="1"/>
  <c r="AA1680" i="2"/>
  <c r="AB1680" i="2" s="1"/>
  <c r="AA617" i="2"/>
  <c r="AB617" i="2" s="1"/>
  <c r="AA1697" i="2"/>
  <c r="AB1697" i="2" s="1"/>
  <c r="AA169" i="2"/>
  <c r="AB169" i="2" s="1"/>
  <c r="AA170" i="2"/>
  <c r="AB170" i="2" s="1"/>
  <c r="AA2430" i="2"/>
  <c r="AB2430" i="2" s="1"/>
  <c r="AA2431" i="2"/>
  <c r="AB2431" i="2" s="1"/>
  <c r="AA1800" i="2"/>
  <c r="AB1800" i="2" s="1"/>
  <c r="AA1801" i="2"/>
  <c r="AB1801" i="2" s="1"/>
  <c r="AA1811" i="2"/>
  <c r="AB1811" i="2" s="1"/>
  <c r="AA1802" i="2"/>
  <c r="AB1802" i="2" s="1"/>
  <c r="AA1789" i="2"/>
  <c r="AB1789" i="2" s="1"/>
  <c r="AA430" i="2"/>
  <c r="AB430" i="2" s="1"/>
  <c r="AA1791" i="2"/>
  <c r="AB1791" i="2" s="1"/>
  <c r="AA124" i="2"/>
  <c r="AB124" i="2" s="1"/>
  <c r="AA125" i="2"/>
  <c r="AB125" i="2" s="1"/>
  <c r="AA171" i="2"/>
  <c r="AB171" i="2" s="1"/>
  <c r="AA126" i="2"/>
  <c r="AB126" i="2" s="1"/>
  <c r="AA127" i="2"/>
  <c r="AB127" i="2" s="1"/>
  <c r="AA1810" i="2"/>
  <c r="AB1810" i="2" s="1"/>
  <c r="AA1803" i="2"/>
  <c r="AB1803" i="2" s="1"/>
  <c r="AA107" i="2"/>
  <c r="AB107" i="2" s="1"/>
  <c r="AA108" i="2"/>
  <c r="AB108" i="2" s="1"/>
  <c r="AA109" i="2"/>
  <c r="AB109" i="2" s="1"/>
  <c r="AA1792" i="2"/>
  <c r="AB1792" i="2" s="1"/>
  <c r="AA1793" i="2"/>
  <c r="AB1793" i="2" s="1"/>
  <c r="AA128" i="2"/>
  <c r="AB128" i="2" s="1"/>
  <c r="AA129" i="2"/>
  <c r="AB129" i="2" s="1"/>
  <c r="AA130" i="2"/>
  <c r="AB130" i="2" s="1"/>
  <c r="AA131" i="2"/>
  <c r="AB131" i="2" s="1"/>
  <c r="AA132" i="2"/>
  <c r="AB132" i="2" s="1"/>
  <c r="AA1626" i="2"/>
  <c r="AB1626" i="2" s="1"/>
  <c r="AA1632" i="2"/>
  <c r="AB1632" i="2" s="1"/>
  <c r="AA1643" i="2"/>
  <c r="AB1643" i="2" s="1"/>
  <c r="AA1627" i="2"/>
  <c r="AB1627" i="2" s="1"/>
  <c r="AA1633" i="2"/>
  <c r="AB1633" i="2" s="1"/>
  <c r="AA1644" i="2"/>
  <c r="AB1644" i="2" s="1"/>
  <c r="AA2590" i="2"/>
  <c r="AB2590" i="2" s="1"/>
  <c r="AA1634" i="2"/>
  <c r="AB1634" i="2" s="1"/>
  <c r="AA1628" i="2"/>
  <c r="AB1628" i="2" s="1"/>
  <c r="AA1635" i="2"/>
  <c r="AB1635" i="2" s="1"/>
  <c r="AA2155" i="2"/>
  <c r="AB2155" i="2" s="1"/>
  <c r="AA1636" i="2"/>
  <c r="AB1636" i="2" s="1"/>
  <c r="AA747" i="2"/>
  <c r="AB747" i="2" s="1"/>
  <c r="AA1638" i="2"/>
  <c r="AB1638" i="2" s="1"/>
  <c r="AA1639" i="2"/>
  <c r="AB1639" i="2" s="1"/>
  <c r="AA1650" i="2"/>
  <c r="AB1650" i="2" s="1"/>
  <c r="AA1640" i="2"/>
  <c r="AB1640" i="2" s="1"/>
  <c r="AA1641" i="2"/>
  <c r="AB1641" i="2" s="1"/>
  <c r="AA133" i="2"/>
  <c r="AB133" i="2" s="1"/>
  <c r="AA1645" i="2"/>
  <c r="AB1645" i="2" s="1"/>
  <c r="AA1646" i="2"/>
  <c r="AB1646" i="2" s="1"/>
  <c r="AA1647" i="2"/>
  <c r="AB1647" i="2" s="1"/>
  <c r="AA1642" i="2"/>
  <c r="AB1642" i="2" s="1"/>
  <c r="AA110" i="2"/>
  <c r="AB110" i="2" s="1"/>
  <c r="AA134" i="2"/>
  <c r="AB134" i="2" s="1"/>
  <c r="AA1847" i="2"/>
  <c r="AB1847" i="2" s="1"/>
  <c r="AA1848" i="2"/>
  <c r="AB1848" i="2" s="1"/>
  <c r="AA1849" i="2"/>
  <c r="AB1849" i="2" s="1"/>
  <c r="AA111" i="2"/>
  <c r="AB111" i="2" s="1"/>
  <c r="AA112" i="2"/>
  <c r="AB112" i="2" s="1"/>
  <c r="AA113" i="2"/>
  <c r="AB113" i="2" s="1"/>
  <c r="AA114" i="2"/>
  <c r="AB114" i="2" s="1"/>
  <c r="AA115" i="2"/>
  <c r="AB115" i="2" s="1"/>
  <c r="AA157" i="2"/>
  <c r="AB157" i="2" s="1"/>
  <c r="AA158" i="2"/>
  <c r="AB158" i="2" s="1"/>
  <c r="AA1648" i="2"/>
  <c r="AB1648" i="2" s="1"/>
  <c r="AA159" i="2"/>
  <c r="AB159" i="2" s="1"/>
  <c r="AA160" i="2"/>
  <c r="AB160" i="2" s="1"/>
  <c r="AA161" i="2"/>
  <c r="AB161" i="2" s="1"/>
  <c r="AA143" i="2"/>
  <c r="AB143" i="2" s="1"/>
  <c r="AA144" i="2"/>
  <c r="AB144" i="2" s="1"/>
  <c r="AA145" i="2"/>
  <c r="AB145" i="2" s="1"/>
  <c r="AA146" i="2"/>
  <c r="AB146" i="2" s="1"/>
  <c r="AA780" i="2"/>
  <c r="AB780" i="2" s="1"/>
  <c r="AA787" i="2"/>
  <c r="AB787" i="2" s="1"/>
  <c r="AA712" i="2"/>
  <c r="AB712" i="2" s="1"/>
  <c r="AA1303" i="2"/>
  <c r="AB1303" i="2" s="1"/>
  <c r="AA1817" i="2"/>
  <c r="AB1817" i="2" s="1"/>
  <c r="AA1818" i="2"/>
  <c r="AB1818" i="2" s="1"/>
  <c r="AA1819" i="2"/>
  <c r="AB1819" i="2" s="1"/>
  <c r="AA1820" i="2"/>
  <c r="AB1820" i="2" s="1"/>
  <c r="AA1821" i="2"/>
  <c r="AB1821" i="2" s="1"/>
  <c r="AA1822" i="2"/>
  <c r="AB1822" i="2" s="1"/>
  <c r="AA1823" i="2"/>
  <c r="AB1823" i="2" s="1"/>
  <c r="AA1824" i="2"/>
  <c r="AB1824" i="2" s="1"/>
  <c r="AA254" i="2"/>
  <c r="AB254" i="2" s="1"/>
  <c r="AA1814" i="2"/>
  <c r="AB1814" i="2" s="1"/>
  <c r="AA1825" i="2"/>
  <c r="AB1825" i="2" s="1"/>
  <c r="AA1826" i="2"/>
  <c r="AB1826" i="2" s="1"/>
  <c r="AA251" i="2"/>
  <c r="AB251" i="2" s="1"/>
  <c r="AA1629" i="2"/>
  <c r="AB1629" i="2" s="1"/>
  <c r="AA1630" i="2"/>
  <c r="AB1630" i="2" s="1"/>
  <c r="AA1631" i="2"/>
  <c r="AB1631" i="2" s="1"/>
  <c r="AA1888" i="2"/>
  <c r="AB1888" i="2" s="1"/>
  <c r="AA1890" i="2"/>
  <c r="AB1890" i="2" s="1"/>
  <c r="AA1891" i="2"/>
  <c r="AB1891" i="2" s="1"/>
  <c r="AA1892" i="2"/>
  <c r="AB1892" i="2" s="1"/>
  <c r="AA1893" i="2"/>
  <c r="AB1893" i="2" s="1"/>
  <c r="AA1895" i="2"/>
  <c r="AB1895" i="2" s="1"/>
  <c r="AA1889" i="2"/>
  <c r="AB1889" i="2" s="1"/>
  <c r="AA1894" i="2"/>
  <c r="AB1894" i="2" s="1"/>
  <c r="AA1896" i="2"/>
  <c r="AB1896" i="2" s="1"/>
  <c r="AA1897" i="2"/>
  <c r="AB1897" i="2" s="1"/>
  <c r="AA1649" i="2"/>
  <c r="AB1649" i="2" s="1"/>
  <c r="AA117" i="2"/>
  <c r="AB117" i="2" s="1"/>
  <c r="AA118" i="2"/>
  <c r="AB118" i="2" s="1"/>
  <c r="AA119" i="2"/>
  <c r="AB119" i="2" s="1"/>
  <c r="AA120" i="2"/>
  <c r="AB120" i="2" s="1"/>
  <c r="AA116" i="2"/>
  <c r="AB116" i="2" s="1"/>
  <c r="AA121" i="2"/>
  <c r="AB121" i="2" s="1"/>
  <c r="AA122" i="2"/>
  <c r="AB122" i="2" s="1"/>
  <c r="AA183" i="2"/>
  <c r="AB183" i="2" s="1"/>
  <c r="AA184" i="2"/>
  <c r="AB184" i="2" s="1"/>
  <c r="AA136" i="2"/>
  <c r="AB136" i="2" s="1"/>
  <c r="AA137" i="2"/>
  <c r="AB137" i="2" s="1"/>
  <c r="AA138" i="2"/>
  <c r="AB138" i="2" s="1"/>
  <c r="AA139" i="2"/>
  <c r="AB139" i="2" s="1"/>
  <c r="AA140" i="2"/>
  <c r="AB140" i="2" s="1"/>
  <c r="AA135" i="2"/>
  <c r="AB135" i="2" s="1"/>
  <c r="AA141" i="2"/>
  <c r="AB141" i="2" s="1"/>
  <c r="AA142" i="2"/>
  <c r="AB142" i="2" s="1"/>
  <c r="AA2478" i="2"/>
  <c r="AB2478" i="2" s="1"/>
  <c r="AA2479" i="2"/>
  <c r="AB2479" i="2" s="1"/>
  <c r="AA1619" i="2"/>
  <c r="AB1619" i="2" s="1"/>
  <c r="AA2480" i="2"/>
  <c r="AB2480" i="2" s="1"/>
  <c r="AA1706" i="2"/>
  <c r="AB1706" i="2" s="1"/>
  <c r="AA687" i="2"/>
  <c r="AB687" i="2" s="1"/>
  <c r="AA2202" i="2"/>
  <c r="AB2202" i="2" s="1"/>
  <c r="AA2203" i="2"/>
  <c r="AB2203" i="2" s="1"/>
  <c r="AA2204" i="2"/>
  <c r="AB2204" i="2" s="1"/>
  <c r="AA221" i="2"/>
  <c r="AB221" i="2" s="1"/>
  <c r="AA217" i="2"/>
  <c r="AB217" i="2" s="1"/>
  <c r="AA218" i="2"/>
  <c r="AB218" i="2" s="1"/>
  <c r="AA219" i="2"/>
  <c r="AB219" i="2" s="1"/>
  <c r="AA220" i="2"/>
  <c r="AB220" i="2" s="1"/>
  <c r="AA222" i="2"/>
  <c r="AB222" i="2" s="1"/>
  <c r="AA223" i="2"/>
  <c r="AB223" i="2" s="1"/>
  <c r="AA224" i="2"/>
  <c r="AB224" i="2" s="1"/>
  <c r="AA225" i="2"/>
  <c r="AB225" i="2" s="1"/>
  <c r="AA226" i="2"/>
  <c r="AB226" i="2" s="1"/>
  <c r="AA1620" i="2"/>
  <c r="AB1620" i="2" s="1"/>
  <c r="AA1766" i="2"/>
  <c r="AB1766" i="2" s="1"/>
  <c r="AA1828" i="2"/>
  <c r="AB1828" i="2" s="1"/>
  <c r="AA1829" i="2"/>
  <c r="AB1829" i="2" s="1"/>
  <c r="AA1609" i="2"/>
  <c r="AB1609" i="2" s="1"/>
  <c r="AA255" i="2"/>
  <c r="AB255" i="2" s="1"/>
  <c r="AA252" i="2"/>
  <c r="AB252" i="2" s="1"/>
  <c r="AA256" i="2"/>
  <c r="AB256" i="2" s="1"/>
  <c r="AA1830" i="2"/>
  <c r="AB1830" i="2" s="1"/>
  <c r="AA1622" i="2"/>
  <c r="AB1622" i="2" s="1"/>
  <c r="AA1879" i="2"/>
  <c r="AB1879" i="2" s="1"/>
  <c r="AA1831" i="2"/>
  <c r="AB1831" i="2" s="1"/>
  <c r="AA1880" i="2"/>
  <c r="AB1880" i="2" s="1"/>
  <c r="AA1881" i="2"/>
  <c r="AB1881" i="2" s="1"/>
  <c r="AA1623" i="2"/>
  <c r="AB1623" i="2" s="1"/>
  <c r="AA1832" i="2"/>
  <c r="AB1832" i="2" s="1"/>
  <c r="AA2205" i="2"/>
  <c r="AB2205" i="2" s="1"/>
  <c r="AA2206" i="2"/>
  <c r="AB2206" i="2" s="1"/>
  <c r="AA2207" i="2"/>
  <c r="AB2207" i="2" s="1"/>
  <c r="AA185" i="2"/>
  <c r="AB185" i="2" s="1"/>
  <c r="AA1883" i="2"/>
  <c r="AB1883" i="2" s="1"/>
  <c r="AA1884" i="2"/>
  <c r="AB1884" i="2" s="1"/>
  <c r="AA1885" i="2"/>
  <c r="AB1885" i="2" s="1"/>
  <c r="AA1886" i="2"/>
  <c r="AB1886" i="2" s="1"/>
  <c r="AA1882" i="2"/>
  <c r="AB1882" i="2" s="1"/>
  <c r="AA1887" i="2"/>
  <c r="AB1887" i="2" s="1"/>
  <c r="AA1834" i="2"/>
  <c r="AB1834" i="2" s="1"/>
  <c r="AA1835" i="2"/>
  <c r="AB1835" i="2" s="1"/>
  <c r="AA1836" i="2"/>
  <c r="AB1836" i="2" s="1"/>
  <c r="AA2208" i="2"/>
  <c r="AB2208" i="2" s="1"/>
  <c r="AA1837" i="2"/>
  <c r="AB1837" i="2" s="1"/>
  <c r="AA1838" i="2"/>
  <c r="AB1838" i="2" s="1"/>
  <c r="AA1839" i="2"/>
  <c r="AB1839" i="2" s="1"/>
  <c r="AA1840" i="2"/>
  <c r="AB1840" i="2" s="1"/>
  <c r="AA1833" i="2"/>
  <c r="AB1833" i="2" s="1"/>
  <c r="AA1841" i="2"/>
  <c r="AB1841" i="2" s="1"/>
  <c r="AA1843" i="2"/>
  <c r="AB1843" i="2" s="1"/>
  <c r="AA1854" i="2"/>
  <c r="AB1854" i="2" s="1"/>
  <c r="AA1845" i="2"/>
  <c r="AB1845" i="2" s="1"/>
  <c r="AA1856" i="2"/>
  <c r="AB1856" i="2" s="1"/>
  <c r="AA1846" i="2"/>
  <c r="AB1846" i="2" s="1"/>
  <c r="AA1858" i="2"/>
  <c r="AB1858" i="2" s="1"/>
  <c r="AA1808" i="2"/>
  <c r="AB1808" i="2" s="1"/>
  <c r="AA1809" i="2"/>
  <c r="AB1809" i="2" s="1"/>
  <c r="AA1842" i="2"/>
  <c r="AB1842" i="2" s="1"/>
  <c r="AA1844" i="2"/>
  <c r="AB1844" i="2" s="1"/>
  <c r="AA1855" i="2"/>
  <c r="AB1855" i="2" s="1"/>
  <c r="AA1857" i="2"/>
  <c r="AB1857" i="2" s="1"/>
  <c r="AA1859" i="2"/>
  <c r="AB1859" i="2" s="1"/>
  <c r="AA253" i="2"/>
  <c r="AB253" i="2" s="1"/>
  <c r="AA1860" i="2"/>
  <c r="AB1860" i="2" s="1"/>
  <c r="AA1861" i="2"/>
  <c r="AB1861" i="2" s="1"/>
  <c r="AA1864" i="2"/>
  <c r="AB1864" i="2" s="1"/>
  <c r="AA1865" i="2"/>
  <c r="AB1865" i="2" s="1"/>
  <c r="AA1868" i="2"/>
  <c r="AB1868" i="2" s="1"/>
  <c r="AA1869" i="2"/>
  <c r="AB1869" i="2" s="1"/>
  <c r="AA1871" i="2"/>
  <c r="AB1871" i="2" s="1"/>
  <c r="AA1873" i="2"/>
  <c r="AB1873" i="2" s="1"/>
  <c r="AA1875" i="2"/>
  <c r="AB1875" i="2" s="1"/>
  <c r="AA1788" i="2"/>
  <c r="AB1788" i="2" s="1"/>
  <c r="AA1799" i="2"/>
  <c r="AB1799" i="2" s="1"/>
  <c r="AA1637" i="2"/>
  <c r="AB1637" i="2" s="1"/>
  <c r="AA1816" i="2"/>
  <c r="AB1816" i="2" s="1"/>
  <c r="AA1867" i="2"/>
  <c r="AB1867" i="2" s="1"/>
  <c r="AA1851" i="2"/>
  <c r="AB1851" i="2" s="1"/>
  <c r="AA1870" i="2"/>
  <c r="AB1870" i="2" s="1"/>
  <c r="AA1872" i="2"/>
  <c r="AB1872" i="2" s="1"/>
  <c r="AA1874" i="2"/>
  <c r="AB1874" i="2" s="1"/>
  <c r="AA227" i="2"/>
  <c r="AB227" i="2" s="1"/>
  <c r="AA228" i="2"/>
  <c r="AB228" i="2" s="1"/>
  <c r="AA229" i="2"/>
  <c r="AB229" i="2" s="1"/>
  <c r="AA1876" i="2"/>
  <c r="AB1876" i="2" s="1"/>
  <c r="AA1877" i="2"/>
  <c r="AB1877" i="2" s="1"/>
  <c r="AA2477" i="2"/>
  <c r="AB2477" i="2" s="1"/>
  <c r="AA257" i="2"/>
  <c r="AB257" i="2" s="1"/>
  <c r="AA230" i="2"/>
  <c r="AB230" i="2" s="1"/>
  <c r="AA231" i="2"/>
  <c r="AB231" i="2" s="1"/>
  <c r="AA1898" i="2"/>
  <c r="AB1898" i="2" s="1"/>
  <c r="AA1899" i="2"/>
  <c r="AB1899" i="2" s="1"/>
  <c r="AA1912" i="2"/>
  <c r="AB1912" i="2" s="1"/>
  <c r="AA1900" i="2"/>
  <c r="AB1900" i="2" s="1"/>
  <c r="AA1901" i="2"/>
  <c r="AB1901" i="2" s="1"/>
  <c r="AA1902" i="2"/>
  <c r="AB1902" i="2" s="1"/>
  <c r="AA198" i="2"/>
  <c r="AB198" i="2" s="1"/>
  <c r="AA199" i="2"/>
  <c r="AB199" i="2" s="1"/>
  <c r="AA1903" i="2"/>
  <c r="AB1903" i="2" s="1"/>
  <c r="AA1913" i="2"/>
  <c r="AB1913" i="2" s="1"/>
  <c r="AA1904" i="2"/>
  <c r="AB1904" i="2" s="1"/>
  <c r="AA1905" i="2"/>
  <c r="AB1905" i="2" s="1"/>
  <c r="AA1914" i="2"/>
  <c r="AB1914" i="2" s="1"/>
  <c r="AA258" i="2"/>
  <c r="AB258" i="2" s="1"/>
  <c r="AA1909" i="2"/>
  <c r="AB1909" i="2" s="1"/>
  <c r="AA1911" i="2"/>
  <c r="AB1911" i="2" s="1"/>
  <c r="AA1813" i="2"/>
  <c r="AB1813" i="2" s="1"/>
  <c r="AA1910" i="2"/>
  <c r="AB1910" i="2" s="1"/>
  <c r="AA1908" i="2"/>
  <c r="AB1908" i="2" s="1"/>
  <c r="AA1907" i="2"/>
  <c r="AB1907" i="2" s="1"/>
  <c r="AA2289" i="2"/>
  <c r="AB2289" i="2" s="1"/>
  <c r="AA1827" i="2"/>
  <c r="AB1827" i="2" s="1"/>
  <c r="AA1917" i="2"/>
  <c r="AB1917" i="2" s="1"/>
  <c r="AA1918" i="2"/>
  <c r="AB1918" i="2" s="1"/>
  <c r="AA1919" i="2"/>
  <c r="AB1919" i="2" s="1"/>
  <c r="AA1916" i="2"/>
  <c r="AB1916" i="2" s="1"/>
  <c r="AA1920" i="2"/>
  <c r="AB1920" i="2" s="1"/>
  <c r="AA2593" i="2"/>
  <c r="AB2593" i="2" s="1"/>
  <c r="AA201" i="2"/>
  <c r="AB201" i="2" s="1"/>
  <c r="AA202" i="2"/>
  <c r="AB202" i="2" s="1"/>
  <c r="AA203" i="2"/>
  <c r="AB203" i="2" s="1"/>
  <c r="AA204" i="2"/>
  <c r="AB204" i="2" s="1"/>
  <c r="AA200" i="2"/>
  <c r="AB200" i="2" s="1"/>
  <c r="AA205" i="2"/>
  <c r="AB205" i="2" s="1"/>
  <c r="AA206" i="2"/>
  <c r="AB206" i="2" s="1"/>
  <c r="AA1878" i="2"/>
  <c r="AB1878" i="2" s="1"/>
  <c r="AA1921" i="2"/>
  <c r="AB1921" i="2" s="1"/>
  <c r="AA1922" i="2"/>
  <c r="AB1922" i="2" s="1"/>
  <c r="AA1923" i="2"/>
  <c r="AB1923" i="2" s="1"/>
  <c r="AA1924" i="2"/>
  <c r="AB1924" i="2" s="1"/>
  <c r="AA1925" i="2"/>
  <c r="AB1925" i="2" s="1"/>
  <c r="AA1926" i="2"/>
  <c r="AB1926" i="2" s="1"/>
  <c r="AA1927" i="2"/>
  <c r="AB1927" i="2" s="1"/>
  <c r="AA1928" i="2"/>
  <c r="AB1928" i="2" s="1"/>
  <c r="AA1954" i="2"/>
  <c r="AB1954" i="2" s="1"/>
  <c r="AA1971" i="2"/>
  <c r="AB1971" i="2" s="1"/>
  <c r="AA2594" i="2"/>
  <c r="AB2594" i="2" s="1"/>
  <c r="AA2595" i="2"/>
  <c r="AB2595" i="2" s="1"/>
  <c r="AA2596" i="2"/>
  <c r="AB2596" i="2" s="1"/>
  <c r="AA2597" i="2"/>
  <c r="AB2597" i="2" s="1"/>
  <c r="AA2598" i="2"/>
  <c r="AB2598" i="2" s="1"/>
  <c r="AA2599" i="2"/>
  <c r="AB2599" i="2" s="1"/>
  <c r="AA1621" i="2"/>
  <c r="AB1621" i="2" s="1"/>
  <c r="AA1853" i="2"/>
  <c r="AB1853" i="2" s="1"/>
  <c r="AA1866" i="2"/>
  <c r="AB1866" i="2" s="1"/>
  <c r="AA1850" i="2"/>
  <c r="AB1850" i="2" s="1"/>
  <c r="AA1915" i="2"/>
  <c r="AB1915" i="2" s="1"/>
  <c r="AA2603" i="2"/>
  <c r="AB2603" i="2" s="1"/>
  <c r="AA2608" i="2"/>
  <c r="AB2608" i="2" s="1"/>
  <c r="AA1962" i="2"/>
  <c r="AB1962" i="2" s="1"/>
  <c r="AA1963" i="2"/>
  <c r="AB1963" i="2" s="1"/>
  <c r="AA1930" i="2"/>
  <c r="AB1930" i="2" s="1"/>
  <c r="AA1964" i="2"/>
  <c r="AB1964" i="2" s="1"/>
  <c r="AA1965" i="2"/>
  <c r="AB1965" i="2" s="1"/>
  <c r="AA1966" i="2"/>
  <c r="AB1966" i="2" s="1"/>
  <c r="AA1931" i="2"/>
  <c r="AB1931" i="2" s="1"/>
  <c r="AA207" i="2"/>
  <c r="AB207" i="2" s="1"/>
  <c r="AA208" i="2"/>
  <c r="AB208" i="2" s="1"/>
  <c r="AA210" i="2"/>
  <c r="AB210" i="2" s="1"/>
  <c r="AA211" i="2"/>
  <c r="AB211" i="2" s="1"/>
  <c r="AA212" i="2"/>
  <c r="AB212" i="2" s="1"/>
  <c r="AA1967" i="2"/>
  <c r="AB1967" i="2" s="1"/>
  <c r="AA213" i="2"/>
  <c r="AB213" i="2" s="1"/>
  <c r="AA1968" i="2"/>
  <c r="AB1968" i="2" s="1"/>
  <c r="AA1969" i="2"/>
  <c r="AB1969" i="2" s="1"/>
  <c r="AA1932" i="2"/>
  <c r="AB1932" i="2" s="1"/>
  <c r="AA1970" i="2"/>
  <c r="AB1970" i="2" s="1"/>
  <c r="AA214" i="2"/>
  <c r="AB214" i="2" s="1"/>
  <c r="AA209" i="2"/>
  <c r="AB209" i="2" s="1"/>
  <c r="AA215" i="2"/>
  <c r="AB215" i="2" s="1"/>
  <c r="AA216" i="2"/>
  <c r="AB216" i="2" s="1"/>
  <c r="AA2600" i="2"/>
  <c r="AB2600" i="2" s="1"/>
  <c r="AA2601" i="2"/>
  <c r="AB2601" i="2" s="1"/>
  <c r="AA2602" i="2"/>
  <c r="AB2602" i="2" s="1"/>
  <c r="AA2609" i="2"/>
  <c r="AB2609" i="2" s="1"/>
  <c r="AA2604" i="2"/>
  <c r="AB2604" i="2" s="1"/>
  <c r="AA1972" i="2"/>
  <c r="AB1972" i="2" s="1"/>
  <c r="AA1973" i="2"/>
  <c r="AB1973" i="2" s="1"/>
  <c r="AA2605" i="2"/>
  <c r="AB2605" i="2" s="1"/>
  <c r="AA2606" i="2"/>
  <c r="AB2606" i="2" s="1"/>
  <c r="AA2607" i="2"/>
  <c r="AB2607" i="2" s="1"/>
  <c r="AA1929" i="2"/>
  <c r="AB1929" i="2" s="1"/>
  <c r="AA1974" i="2"/>
  <c r="AB1974" i="2" s="1"/>
  <c r="AA1975" i="2"/>
  <c r="AB1975" i="2" s="1"/>
  <c r="AA1976" i="2"/>
  <c r="AB1976" i="2" s="1"/>
  <c r="AA1977" i="2"/>
  <c r="AB1977" i="2" s="1"/>
  <c r="AA1978" i="2"/>
  <c r="AB1978" i="2" s="1"/>
  <c r="AA1933" i="2"/>
  <c r="AB1933" i="2" s="1"/>
  <c r="AA1934" i="2"/>
  <c r="AB1934" i="2" s="1"/>
  <c r="AA1935" i="2"/>
  <c r="AB1935" i="2" s="1"/>
  <c r="AA1936" i="2"/>
  <c r="AB1936" i="2" s="1"/>
  <c r="AA2610" i="2"/>
  <c r="AB2610" i="2" s="1"/>
  <c r="AA1937" i="2"/>
  <c r="AB1937" i="2" s="1"/>
  <c r="AA1938" i="2"/>
  <c r="AB1938" i="2" s="1"/>
  <c r="AA2613" i="2"/>
  <c r="AB2613" i="2" s="1"/>
  <c r="AA2623" i="2"/>
  <c r="AB2623" i="2" s="1"/>
  <c r="AA2624" i="2"/>
  <c r="AB2624" i="2" s="1"/>
  <c r="AA2611" i="2"/>
  <c r="AB2611" i="2" s="1"/>
  <c r="AA2612" i="2"/>
  <c r="AB2612" i="2" s="1"/>
  <c r="AA1939" i="2"/>
  <c r="AB1939" i="2" s="1"/>
  <c r="AA1940" i="2"/>
  <c r="AB1940" i="2" s="1"/>
  <c r="AA1941" i="2"/>
  <c r="AB1941" i="2" s="1"/>
  <c r="AA232" i="2"/>
  <c r="AB232" i="2" s="1"/>
  <c r="AA233" i="2"/>
  <c r="AB233" i="2" s="1"/>
  <c r="AA381" i="2"/>
  <c r="AB381" i="2" s="1"/>
  <c r="AA2614" i="2"/>
  <c r="AB2614" i="2" s="1"/>
  <c r="AA1942" i="2"/>
  <c r="AB1942" i="2" s="1"/>
  <c r="AA1943" i="2"/>
  <c r="AB1943" i="2" s="1"/>
  <c r="AA2615" i="2"/>
  <c r="AB2615" i="2" s="1"/>
  <c r="AA2616" i="2"/>
  <c r="AB2616" i="2" s="1"/>
  <c r="AA2617" i="2"/>
  <c r="AB2617" i="2" s="1"/>
  <c r="AA2618" i="2"/>
  <c r="AB2618" i="2" s="1"/>
  <c r="AA2619" i="2"/>
  <c r="AB2619" i="2" s="1"/>
  <c r="AA2620" i="2"/>
  <c r="AB2620" i="2" s="1"/>
  <c r="AA2621" i="2"/>
  <c r="AB2621" i="2" s="1"/>
  <c r="AA2622" i="2"/>
  <c r="AB2622" i="2" s="1"/>
  <c r="AA1944" i="2"/>
  <c r="AB1944" i="2" s="1"/>
  <c r="AA1945" i="2"/>
  <c r="AB1945" i="2" s="1"/>
  <c r="AA1979" i="2"/>
  <c r="AB1979" i="2" s="1"/>
  <c r="AA1946" i="2"/>
  <c r="AB1946" i="2" s="1"/>
  <c r="AA1947" i="2"/>
  <c r="AB1947" i="2" s="1"/>
  <c r="AA1948" i="2"/>
  <c r="AB1948" i="2" s="1"/>
  <c r="AA1949" i="2"/>
  <c r="AB1949" i="2" s="1"/>
  <c r="AA2002" i="2"/>
  <c r="AB2002" i="2" s="1"/>
  <c r="AA2042" i="2"/>
  <c r="AB2042" i="2" s="1"/>
  <c r="AA2625" i="2"/>
  <c r="AB2625" i="2" s="1"/>
  <c r="AA2626" i="2"/>
  <c r="AB2626" i="2" s="1"/>
  <c r="AA2627" i="2"/>
  <c r="AB2627" i="2" s="1"/>
  <c r="AA1950" i="2"/>
  <c r="AB1950" i="2" s="1"/>
  <c r="AA2628" i="2"/>
  <c r="AB2628" i="2" s="1"/>
  <c r="AA1951" i="2"/>
  <c r="AB1951" i="2" s="1"/>
  <c r="AA2629" i="2"/>
  <c r="AB2629" i="2" s="1"/>
  <c r="AA2630" i="2"/>
  <c r="AB2630" i="2" s="1"/>
  <c r="AA2631" i="2"/>
  <c r="AB2631" i="2" s="1"/>
  <c r="AA2632" i="2"/>
  <c r="AB2632" i="2" s="1"/>
  <c r="AA2091" i="2"/>
  <c r="AB2091" i="2" s="1"/>
  <c r="AA2092" i="2"/>
  <c r="AB2092" i="2" s="1"/>
  <c r="AA2328" i="2"/>
  <c r="AB2328" i="2" s="1"/>
  <c r="AA1952" i="2"/>
  <c r="AB1952" i="2" s="1"/>
  <c r="AA1953" i="2"/>
  <c r="AB1953" i="2" s="1"/>
  <c r="AA1770" i="2"/>
  <c r="AB1770" i="2" s="1"/>
  <c r="AA377" i="2"/>
  <c r="AB377" i="2" s="1"/>
  <c r="AA1771" i="2"/>
  <c r="AB1771" i="2" s="1"/>
  <c r="AA1772" i="2"/>
  <c r="AB1772" i="2" s="1"/>
  <c r="AA1773" i="2"/>
  <c r="AB1773" i="2" s="1"/>
  <c r="AA383" i="2"/>
  <c r="AB383" i="2" s="1"/>
  <c r="AA378" i="2"/>
  <c r="AB378" i="2" s="1"/>
  <c r="AA385" i="2"/>
  <c r="AB385" i="2" s="1"/>
  <c r="AA379" i="2"/>
  <c r="AB379" i="2" s="1"/>
  <c r="AA1774" i="2"/>
  <c r="AB1774" i="2" s="1"/>
  <c r="AA380" i="2"/>
  <c r="AB380" i="2" s="1"/>
  <c r="AA2075" i="2"/>
  <c r="AB2075" i="2" s="1"/>
  <c r="AA382" i="2"/>
  <c r="AB382" i="2" s="1"/>
  <c r="AA375" i="2"/>
  <c r="AB375" i="2" s="1"/>
  <c r="AA384" i="2"/>
  <c r="AB384" i="2" s="1"/>
  <c r="AA386" i="2"/>
  <c r="AB386" i="2" s="1"/>
  <c r="AA376" i="2"/>
  <c r="AB376" i="2" s="1"/>
  <c r="AA387" i="2"/>
  <c r="AB387" i="2" s="1"/>
  <c r="AA388" i="2"/>
  <c r="AB388" i="2" s="1"/>
  <c r="AA389" i="2"/>
  <c r="AB389" i="2" s="1"/>
  <c r="AA390" i="2"/>
  <c r="AB390" i="2" s="1"/>
  <c r="AA391" i="2"/>
  <c r="AB391" i="2" s="1"/>
  <c r="AA2209" i="2"/>
  <c r="AB2209" i="2" s="1"/>
  <c r="AA2210" i="2"/>
  <c r="AB2210" i="2" s="1"/>
  <c r="AA1980" i="2"/>
  <c r="AB1980" i="2" s="1"/>
  <c r="AA1981" i="2"/>
  <c r="AB1981" i="2" s="1"/>
  <c r="AA1982" i="2"/>
  <c r="AB1982" i="2" s="1"/>
  <c r="AA1983" i="2"/>
  <c r="AB1983" i="2" s="1"/>
  <c r="AA1984" i="2"/>
  <c r="AB1984" i="2" s="1"/>
  <c r="AA1985" i="2"/>
  <c r="AB1985" i="2" s="1"/>
  <c r="AA1997" i="2"/>
  <c r="AB1997" i="2" s="1"/>
  <c r="AA1986" i="2"/>
  <c r="AB1986" i="2" s="1"/>
  <c r="AA1987" i="2"/>
  <c r="AB1987" i="2" s="1"/>
  <c r="AA1988" i="2"/>
  <c r="AB1988" i="2" s="1"/>
  <c r="AA1989" i="2"/>
  <c r="AB1989" i="2" s="1"/>
  <c r="AA1990" i="2"/>
  <c r="AB1990" i="2" s="1"/>
  <c r="AA1991" i="2"/>
  <c r="AB1991" i="2" s="1"/>
  <c r="AA2001" i="2"/>
  <c r="AB2001" i="2" s="1"/>
  <c r="AA1999" i="2"/>
  <c r="AB1999" i="2" s="1"/>
  <c r="AA2000" i="2"/>
  <c r="AB2000" i="2" s="1"/>
  <c r="AA2403" i="2"/>
  <c r="AB2403" i="2" s="1"/>
  <c r="AA2409" i="2"/>
  <c r="AB2409" i="2" s="1"/>
  <c r="AA2003" i="2"/>
  <c r="AB2003" i="2" s="1"/>
  <c r="AA2012" i="2"/>
  <c r="AB2012" i="2" s="1"/>
  <c r="AA2004" i="2"/>
  <c r="AB2004" i="2" s="1"/>
  <c r="AA2005" i="2"/>
  <c r="AB2005" i="2" s="1"/>
  <c r="AA2013" i="2"/>
  <c r="AB2013" i="2" s="1"/>
  <c r="AA2008" i="2"/>
  <c r="AB2008" i="2" s="1"/>
  <c r="AA2009" i="2"/>
  <c r="AB2009" i="2" s="1"/>
  <c r="AA2006" i="2"/>
  <c r="AB2006" i="2" s="1"/>
  <c r="AA2007" i="2"/>
  <c r="AB2007" i="2" s="1"/>
  <c r="AA2010" i="2"/>
  <c r="AB2010" i="2" s="1"/>
  <c r="AA2011" i="2"/>
  <c r="AB2011" i="2" s="1"/>
  <c r="AA1992" i="2"/>
  <c r="AB1992" i="2" s="1"/>
  <c r="AA1993" i="2"/>
  <c r="AB1993" i="2" s="1"/>
  <c r="AA234" i="2"/>
  <c r="AB234" i="2" s="1"/>
  <c r="AA235" i="2"/>
  <c r="AB235" i="2" s="1"/>
  <c r="AA2211" i="2"/>
  <c r="AB2211" i="2" s="1"/>
  <c r="AA236" i="2"/>
  <c r="AB236" i="2" s="1"/>
  <c r="AA1994" i="2"/>
  <c r="AB1994" i="2" s="1"/>
  <c r="AA1995" i="2"/>
  <c r="AB1995" i="2" s="1"/>
  <c r="AA2212" i="2"/>
  <c r="AB2212" i="2" s="1"/>
  <c r="AA237" i="2"/>
  <c r="AB237" i="2" s="1"/>
  <c r="AA1996" i="2"/>
  <c r="AB1996" i="2" s="1"/>
  <c r="AA2029" i="2"/>
  <c r="AB2029" i="2" s="1"/>
  <c r="AA2030" i="2"/>
  <c r="AB2030" i="2" s="1"/>
  <c r="AA2031" i="2"/>
  <c r="AB2031" i="2" s="1"/>
  <c r="AA2410" i="2"/>
  <c r="AB2410" i="2" s="1"/>
  <c r="AA2032" i="2"/>
  <c r="AB2032" i="2" s="1"/>
  <c r="AA2033" i="2"/>
  <c r="AB2033" i="2" s="1"/>
  <c r="AA2034" i="2"/>
  <c r="AB2034" i="2" s="1"/>
  <c r="AA2035" i="2"/>
  <c r="AB2035" i="2" s="1"/>
  <c r="AA2037" i="2"/>
  <c r="AB2037" i="2" s="1"/>
  <c r="AA2038" i="2"/>
  <c r="AB2038" i="2" s="1"/>
  <c r="AA2039" i="2"/>
  <c r="AB2039" i="2" s="1"/>
  <c r="AA2040" i="2"/>
  <c r="AB2040" i="2" s="1"/>
  <c r="AA2041" i="2"/>
  <c r="AB2041" i="2" s="1"/>
  <c r="AA2475" i="2"/>
  <c r="AB2475" i="2" s="1"/>
  <c r="AA2043" i="2"/>
  <c r="AB2043" i="2" s="1"/>
  <c r="AA2044" i="2"/>
  <c r="AB2044" i="2" s="1"/>
  <c r="AA2045" i="2"/>
  <c r="AB2045" i="2" s="1"/>
  <c r="AA2046" i="2"/>
  <c r="AB2046" i="2" s="1"/>
  <c r="AA2047" i="2"/>
  <c r="AB2047" i="2" s="1"/>
  <c r="AA2014" i="2"/>
  <c r="AB2014" i="2" s="1"/>
  <c r="AA2015" i="2"/>
  <c r="AB2015" i="2" s="1"/>
  <c r="AA2016" i="2"/>
  <c r="AB2016" i="2" s="1"/>
  <c r="AA2017" i="2"/>
  <c r="AB2017" i="2" s="1"/>
  <c r="AA2476" i="2"/>
  <c r="AB2476" i="2" s="1"/>
  <c r="AA2018" i="2"/>
  <c r="AB2018" i="2" s="1"/>
  <c r="AA2019" i="2"/>
  <c r="AB2019" i="2" s="1"/>
  <c r="AA2020" i="2"/>
  <c r="AB2020" i="2" s="1"/>
  <c r="AA2021" i="2"/>
  <c r="AB2021" i="2" s="1"/>
  <c r="AA2022" i="2"/>
  <c r="AB2022" i="2" s="1"/>
  <c r="AA2023" i="2"/>
  <c r="AB2023" i="2" s="1"/>
  <c r="AA2024" i="2"/>
  <c r="AB2024" i="2" s="1"/>
  <c r="AA2025" i="2"/>
  <c r="AB2025" i="2" s="1"/>
  <c r="AA2072" i="2"/>
  <c r="AB2072" i="2" s="1"/>
  <c r="AA2073" i="2"/>
  <c r="AB2073" i="2" s="1"/>
  <c r="AA2076" i="2"/>
  <c r="AB2076" i="2" s="1"/>
  <c r="AA2081" i="2"/>
  <c r="AB2081" i="2" s="1"/>
  <c r="AA2473" i="2"/>
  <c r="AB2473" i="2" s="1"/>
  <c r="AA2026" i="2"/>
  <c r="AB2026" i="2" s="1"/>
  <c r="AA2082" i="2"/>
  <c r="AB2082" i="2" s="1"/>
  <c r="AA2083" i="2"/>
  <c r="AB2083" i="2" s="1"/>
  <c r="AA2027" i="2"/>
  <c r="AB2027" i="2" s="1"/>
  <c r="AA2084" i="2"/>
  <c r="AB2084" i="2" s="1"/>
  <c r="AA2085" i="2"/>
  <c r="AB2085" i="2" s="1"/>
  <c r="AA2086" i="2"/>
  <c r="AB2086" i="2" s="1"/>
  <c r="AA2087" i="2"/>
  <c r="AB2087" i="2" s="1"/>
  <c r="AA2077" i="2"/>
  <c r="AB2077" i="2" s="1"/>
  <c r="AA2078" i="2"/>
  <c r="AB2078" i="2" s="1"/>
  <c r="AA2079" i="2"/>
  <c r="AB2079" i="2" s="1"/>
  <c r="AA2080" i="2"/>
  <c r="AB2080" i="2" s="1"/>
  <c r="AA2474" i="2"/>
  <c r="AB2474" i="2" s="1"/>
  <c r="AF123" i="9" l="1"/>
  <c r="AF48" i="9"/>
  <c r="AF122" i="9"/>
  <c r="AF20" i="9"/>
  <c r="F96" i="24"/>
  <c r="F129" i="24"/>
  <c r="F97" i="24"/>
  <c r="F57" i="24"/>
  <c r="F104" i="24"/>
  <c r="F105" i="24"/>
  <c r="F112" i="24"/>
  <c r="F113" i="24"/>
  <c r="F102" i="24"/>
  <c r="F6" i="24"/>
  <c r="F99" i="24"/>
  <c r="F98" i="24"/>
  <c r="F133" i="24"/>
  <c r="F135" i="24"/>
  <c r="F130" i="24"/>
  <c r="F118" i="24"/>
  <c r="F29" i="24"/>
  <c r="F3" i="24"/>
  <c r="F101" i="24"/>
  <c r="F100" i="24"/>
  <c r="F103" i="24"/>
  <c r="F132" i="24"/>
  <c r="F20" i="24"/>
  <c r="F134" i="24"/>
  <c r="F30" i="24"/>
  <c r="F131" i="24"/>
  <c r="F46" i="24"/>
  <c r="Z131" i="24"/>
  <c r="Z109" i="24"/>
  <c r="Z135" i="24"/>
  <c r="Z99" i="24"/>
  <c r="Z136" i="24"/>
  <c r="Z112" i="24"/>
  <c r="Z123" i="24"/>
  <c r="Z137" i="24"/>
  <c r="Z110" i="24"/>
  <c r="Z98" i="24"/>
  <c r="Z125" i="24"/>
  <c r="Z114" i="24"/>
  <c r="Z138" i="24"/>
  <c r="Z104" i="24"/>
  <c r="Z117" i="24"/>
  <c r="Z113" i="24"/>
  <c r="Z95" i="24"/>
  <c r="Z118" i="24"/>
  <c r="Z116" i="24"/>
  <c r="Z102" i="24"/>
  <c r="Z120" i="24"/>
  <c r="Z106" i="24"/>
  <c r="Z133" i="24"/>
  <c r="Z127" i="24"/>
  <c r="Z126" i="24"/>
  <c r="Z124" i="24"/>
  <c r="Z130" i="24"/>
  <c r="Z107" i="24"/>
  <c r="Z134" i="24"/>
  <c r="Z129" i="24"/>
  <c r="Z115" i="24"/>
  <c r="Z119" i="24"/>
  <c r="Z96" i="24"/>
  <c r="Z105" i="24"/>
  <c r="Z97" i="24"/>
  <c r="Z139" i="24"/>
  <c r="Z128" i="24"/>
  <c r="Z122" i="24"/>
  <c r="Z100" i="24"/>
  <c r="Z103" i="24"/>
  <c r="Z111" i="24"/>
  <c r="Z101" i="24"/>
  <c r="Z108" i="24"/>
  <c r="Z132" i="24"/>
  <c r="Z121" i="24"/>
  <c r="Z89" i="24"/>
  <c r="Z91" i="24"/>
  <c r="Z85" i="24"/>
  <c r="Z81" i="24"/>
  <c r="Z93" i="24"/>
  <c r="Z94" i="24"/>
  <c r="Z90" i="24"/>
  <c r="Z84" i="24"/>
  <c r="Z88" i="24"/>
  <c r="Z82" i="24"/>
  <c r="Z87" i="24"/>
  <c r="Z92" i="24"/>
  <c r="Z86" i="24"/>
  <c r="Z83" i="24"/>
  <c r="Z41" i="24"/>
  <c r="Z68" i="24"/>
  <c r="Z4" i="24"/>
  <c r="Z19" i="24"/>
  <c r="Z35" i="24"/>
  <c r="Z42" i="24"/>
  <c r="Z55" i="24"/>
  <c r="Z71" i="24"/>
  <c r="Z7" i="24"/>
  <c r="Z24" i="24"/>
  <c r="Z37" i="24"/>
  <c r="Z73" i="24"/>
  <c r="Z47" i="24"/>
  <c r="Z77" i="24"/>
  <c r="Z61" i="24"/>
  <c r="Z75" i="24"/>
  <c r="Z11" i="24"/>
  <c r="Z27" i="24"/>
  <c r="Z33" i="24"/>
  <c r="Z48" i="24"/>
  <c r="Z63" i="24"/>
  <c r="Z78" i="24"/>
  <c r="Z13" i="24"/>
  <c r="Z29" i="24"/>
  <c r="Z44" i="24"/>
  <c r="Z16" i="24"/>
  <c r="Z62" i="24"/>
  <c r="Z54" i="24"/>
  <c r="Z67" i="24"/>
  <c r="Z3" i="24"/>
  <c r="Z18" i="24"/>
  <c r="Z26" i="24"/>
  <c r="Z40" i="24"/>
  <c r="Z56" i="24"/>
  <c r="Z70" i="24"/>
  <c r="Z6" i="24"/>
  <c r="Z21" i="24"/>
  <c r="Z59" i="24"/>
  <c r="Z32" i="24"/>
  <c r="Z14" i="24"/>
  <c r="Z10" i="24"/>
  <c r="Z36" i="24"/>
  <c r="Z51" i="24"/>
  <c r="Z66" i="24"/>
  <c r="Z74" i="24"/>
  <c r="Z9" i="24"/>
  <c r="Z23" i="24"/>
  <c r="Z39" i="24"/>
  <c r="Z53" i="24"/>
  <c r="Z69" i="24"/>
  <c r="Z5" i="24"/>
  <c r="Z25" i="24"/>
  <c r="Z64" i="24"/>
  <c r="Z30" i="24"/>
  <c r="Z28" i="24"/>
  <c r="Z43" i="24"/>
  <c r="Z58" i="24"/>
  <c r="Z65" i="24"/>
  <c r="Z80" i="24"/>
  <c r="Z17" i="24"/>
  <c r="Z31" i="24"/>
  <c r="Z46" i="24"/>
  <c r="Z60" i="24"/>
  <c r="Z12" i="24"/>
  <c r="Z49" i="24"/>
  <c r="Z15" i="24"/>
  <c r="Z20" i="24"/>
  <c r="Z34" i="24"/>
  <c r="Z50" i="24"/>
  <c r="Z57" i="24"/>
  <c r="Z72" i="24"/>
  <c r="Z8" i="24"/>
  <c r="Z22" i="24"/>
  <c r="Z38" i="24"/>
  <c r="Z52" i="24"/>
  <c r="Z76" i="24"/>
  <c r="Z79" i="24"/>
  <c r="Z45" i="24"/>
  <c r="A25" i="9"/>
  <c r="AB25" i="9"/>
  <c r="AC25" i="9"/>
  <c r="AF25" i="9" l="1"/>
  <c r="A22" i="9"/>
  <c r="AB22" i="9"/>
  <c r="AC22" i="9"/>
  <c r="A19" i="9"/>
  <c r="AB19" i="9"/>
  <c r="AC19" i="9"/>
  <c r="Z260" i="2"/>
  <c r="Z280" i="2"/>
  <c r="Z281" i="2"/>
  <c r="Z2089" i="2"/>
  <c r="Z2090" i="2"/>
  <c r="Z285" i="2"/>
  <c r="Z286" i="2"/>
  <c r="Z291" i="2"/>
  <c r="Z255" i="2"/>
  <c r="Z278" i="2"/>
  <c r="Z273" i="2"/>
  <c r="Z274" i="2"/>
  <c r="Z289" i="2"/>
  <c r="Z2108" i="2"/>
  <c r="Z292" i="2"/>
  <c r="Z277" i="2"/>
  <c r="Z241" i="2"/>
  <c r="Z243" i="2"/>
  <c r="Z246" i="2"/>
  <c r="Z275" i="2"/>
  <c r="Z295" i="2"/>
  <c r="Z248" i="2"/>
  <c r="Z259" i="2"/>
  <c r="Z263" i="2"/>
  <c r="Z276" i="2"/>
  <c r="Z251" i="2"/>
  <c r="Z253" i="2"/>
  <c r="Z257" i="2"/>
  <c r="Z258" i="2"/>
  <c r="Z242" i="2"/>
  <c r="Z244" i="2"/>
  <c r="Z261" i="2"/>
  <c r="Z282" i="2"/>
  <c r="Z283" i="2"/>
  <c r="Z287" i="2"/>
  <c r="Z288" i="2"/>
  <c r="Z249" i="2"/>
  <c r="Z279" i="2"/>
  <c r="Z268" i="2"/>
  <c r="Z269" i="2"/>
  <c r="Z284" i="2"/>
  <c r="Z2435" i="2"/>
  <c r="Z293" i="2"/>
  <c r="Z290" i="2"/>
  <c r="Z266" i="2"/>
  <c r="Z239" i="2"/>
  <c r="Z245" i="2"/>
  <c r="Z270" i="2"/>
  <c r="Z294" i="2"/>
  <c r="Z247" i="2"/>
  <c r="Z262" i="2"/>
  <c r="Z264" i="2"/>
  <c r="Z265" i="2"/>
  <c r="Z267" i="2"/>
  <c r="Z271" i="2"/>
  <c r="Z272" i="2"/>
  <c r="Z250" i="2"/>
  <c r="Z254" i="2"/>
  <c r="Z252" i="2"/>
  <c r="Z256" i="2"/>
  <c r="Z238" i="2"/>
  <c r="Z240" i="2"/>
  <c r="Z1355" i="2"/>
  <c r="Z1409" i="2"/>
  <c r="Z1460" i="2"/>
  <c r="Z2508" i="2"/>
  <c r="Z234" i="2"/>
  <c r="Z801" i="2"/>
  <c r="Z802" i="2"/>
  <c r="Z877" i="2"/>
  <c r="Z1012" i="2"/>
  <c r="Z824" i="2"/>
  <c r="Z924" i="2"/>
  <c r="Z436" i="2"/>
  <c r="Z463" i="2"/>
  <c r="Z464" i="2"/>
  <c r="Z936" i="2"/>
  <c r="Z457" i="2"/>
  <c r="Z982" i="2"/>
  <c r="Z1043" i="2"/>
  <c r="Z1107" i="2"/>
  <c r="Z484" i="2"/>
  <c r="Z1159" i="2"/>
  <c r="Z1135" i="2"/>
  <c r="Z1090" i="2"/>
  <c r="Z1042" i="2"/>
  <c r="Z1146" i="2"/>
  <c r="Z1074" i="2"/>
  <c r="Z301" i="2"/>
  <c r="Z1331" i="2"/>
  <c r="Z2093" i="2"/>
  <c r="Z2094" i="2"/>
  <c r="Z1061" i="2"/>
  <c r="Z1407" i="2"/>
  <c r="Z1408" i="2"/>
  <c r="Z1448" i="2"/>
  <c r="Z1459" i="2"/>
  <c r="Z1158" i="2"/>
  <c r="Z1165" i="2"/>
  <c r="Z367" i="2"/>
  <c r="Z1186" i="2"/>
  <c r="Z1187" i="2"/>
  <c r="Z1188" i="2"/>
  <c r="Z299" i="2"/>
  <c r="Z513" i="2"/>
  <c r="Z514" i="2"/>
  <c r="Z300" i="2"/>
  <c r="Z316" i="2"/>
  <c r="Z1257" i="2"/>
  <c r="Z317" i="2"/>
  <c r="Z407" i="2"/>
  <c r="Z1327" i="2"/>
  <c r="Z1406" i="2"/>
  <c r="Z1365" i="2"/>
  <c r="Z573" i="2"/>
  <c r="Z2152" i="2"/>
  <c r="Z2153" i="2"/>
  <c r="Z2154" i="2"/>
  <c r="Z1392" i="2"/>
  <c r="Z1393" i="2"/>
  <c r="Z1234" i="2"/>
  <c r="Z636" i="2"/>
  <c r="Z727" i="2"/>
  <c r="Z2137" i="2"/>
  <c r="Z2138" i="2"/>
  <c r="Z1394" i="2"/>
  <c r="Z1405" i="2"/>
  <c r="Z1652" i="2"/>
  <c r="Z1653" i="2"/>
  <c r="Z1654" i="2"/>
  <c r="Z2200" i="2"/>
  <c r="Z2201" i="2"/>
  <c r="Z1382" i="2"/>
  <c r="Z612" i="2"/>
  <c r="Z613" i="2"/>
  <c r="Z2219" i="2"/>
  <c r="Z2220" i="2"/>
  <c r="Z2244" i="2"/>
  <c r="Z1383" i="2"/>
  <c r="Z1242" i="2"/>
  <c r="Z419" i="2"/>
  <c r="Z420" i="2"/>
  <c r="Z977" i="2"/>
  <c r="Z1490" i="2"/>
  <c r="Z1512" i="2"/>
  <c r="Z774" i="2"/>
  <c r="Z1743" i="2"/>
  <c r="Z1517" i="2"/>
  <c r="Z1602" i="2"/>
  <c r="Z1575" i="2"/>
  <c r="Z1597" i="2"/>
  <c r="Z677" i="2"/>
  <c r="Z666" i="2"/>
  <c r="Z667" i="2"/>
  <c r="Z522" i="2"/>
  <c r="Z1786" i="2"/>
  <c r="Z1607" i="2"/>
  <c r="Z1608" i="2"/>
  <c r="Z1787" i="2"/>
  <c r="Z1795" i="2"/>
  <c r="Z1564" i="2"/>
  <c r="Z1626" i="2"/>
  <c r="Z1632" i="2"/>
  <c r="Z1643" i="2"/>
  <c r="Z2528" i="2"/>
  <c r="Z2530" i="2"/>
  <c r="Z1888" i="2"/>
  <c r="Z557" i="2"/>
  <c r="Z2531" i="2"/>
  <c r="Z2532" i="2"/>
  <c r="Z581" i="2"/>
  <c r="Z590" i="2"/>
  <c r="Z1864" i="2"/>
  <c r="Z1865" i="2"/>
  <c r="Z2538" i="2"/>
  <c r="Z2539" i="2"/>
  <c r="Z2540" i="2"/>
  <c r="Z728" i="2"/>
  <c r="Z2547" i="2"/>
  <c r="Z2548" i="2"/>
  <c r="Z1659" i="2"/>
  <c r="Z1679" i="2"/>
  <c r="Z1921" i="2"/>
  <c r="Z1922" i="2"/>
  <c r="Z1923" i="2"/>
  <c r="Z1924" i="2"/>
  <c r="Z1925" i="2"/>
  <c r="Z1926" i="2"/>
  <c r="Z2605" i="2"/>
  <c r="Z2606" i="2"/>
  <c r="Z1687" i="2"/>
  <c r="Z1770" i="2"/>
  <c r="Z1680" i="2"/>
  <c r="Z2557" i="2"/>
  <c r="Z617" i="2"/>
  <c r="Z1697" i="2"/>
  <c r="Z843" i="2"/>
  <c r="Z898" i="2"/>
  <c r="Z904" i="2"/>
  <c r="Z465" i="2"/>
  <c r="Z863" i="2"/>
  <c r="Z1026" i="2"/>
  <c r="Z952" i="2"/>
  <c r="Z992" i="2"/>
  <c r="Z493" i="2"/>
  <c r="Z2120" i="2"/>
  <c r="Z812" i="2"/>
  <c r="Z840" i="2"/>
  <c r="Z848" i="2"/>
  <c r="Z867" i="2"/>
  <c r="Z854" i="2"/>
  <c r="Z813" i="2"/>
  <c r="Z868" i="2"/>
  <c r="Z445" i="2"/>
  <c r="Z2249" i="2"/>
  <c r="Z2256" i="2"/>
  <c r="Z2267" i="2"/>
  <c r="Z2273" i="2"/>
  <c r="Z2281" i="2"/>
  <c r="Z338" i="2"/>
  <c r="Z1420" i="2"/>
  <c r="Z192" i="2"/>
  <c r="Z187" i="2"/>
  <c r="Z19" i="2"/>
  <c r="Z25" i="2"/>
  <c r="Z43" i="2"/>
  <c r="Z48" i="2"/>
  <c r="Z148" i="2"/>
  <c r="Z61" i="2"/>
  <c r="Z66" i="2"/>
  <c r="Z89" i="2"/>
  <c r="Z95" i="2"/>
  <c r="Z102" i="2"/>
  <c r="Z143" i="2"/>
  <c r="Z117" i="2"/>
  <c r="Z1883" i="2"/>
  <c r="Z201" i="2"/>
  <c r="Z232" i="2"/>
  <c r="Z2615" i="2"/>
  <c r="Z814" i="2"/>
  <c r="Z869" i="2"/>
  <c r="Z855" i="2"/>
  <c r="Z446" i="2"/>
  <c r="Z2250" i="2"/>
  <c r="Z2257" i="2"/>
  <c r="Z1096" i="2"/>
  <c r="Z2271" i="2"/>
  <c r="Z2274" i="2"/>
  <c r="Z2282" i="2"/>
  <c r="Z2105" i="2"/>
  <c r="Z1205" i="2"/>
  <c r="Z339" i="2"/>
  <c r="Z1184" i="2"/>
  <c r="Z1421" i="2"/>
  <c r="Z193" i="2"/>
  <c r="Z172" i="2"/>
  <c r="Z31" i="2"/>
  <c r="Z39" i="2"/>
  <c r="Z2313" i="2"/>
  <c r="Z54" i="2"/>
  <c r="Z62" i="2"/>
  <c r="Z67" i="2"/>
  <c r="Z2298" i="2"/>
  <c r="Z2303" i="2"/>
  <c r="Z79" i="2"/>
  <c r="Z80" i="2"/>
  <c r="Z90" i="2"/>
  <c r="Z96" i="2"/>
  <c r="Z103" i="2"/>
  <c r="Z111" i="2"/>
  <c r="Z144" i="2"/>
  <c r="Z118" i="2"/>
  <c r="Z1884" i="2"/>
  <c r="Z227" i="2"/>
  <c r="Z230" i="2"/>
  <c r="Z231" i="2"/>
  <c r="Z202" i="2"/>
  <c r="Z2616" i="2"/>
  <c r="Z815" i="2"/>
  <c r="Z841" i="2"/>
  <c r="Z849" i="2"/>
  <c r="Z870" i="2"/>
  <c r="Z856" i="2"/>
  <c r="Z906" i="2"/>
  <c r="Z447" i="2"/>
  <c r="Z2251" i="2"/>
  <c r="Z2258" i="2"/>
  <c r="Z2272" i="2"/>
  <c r="Z2311" i="2"/>
  <c r="Z2283" i="2"/>
  <c r="Z1206" i="2"/>
  <c r="Z340" i="2"/>
  <c r="Z1367" i="2"/>
  <c r="Z1422" i="2"/>
  <c r="Z194" i="2"/>
  <c r="Z173" i="2"/>
  <c r="Z26" i="2"/>
  <c r="Z2291" i="2"/>
  <c r="Z40" i="2"/>
  <c r="Z49" i="2"/>
  <c r="Z55" i="2"/>
  <c r="Z57" i="2"/>
  <c r="Z68" i="2"/>
  <c r="Z2325" i="2"/>
  <c r="Z2304" i="2"/>
  <c r="Z97" i="2"/>
  <c r="Z110" i="2"/>
  <c r="Z119" i="2"/>
  <c r="Z1885" i="2"/>
  <c r="Z203" i="2"/>
  <c r="Z2617" i="2"/>
  <c r="Z2280" i="2"/>
  <c r="Z2115" i="2"/>
  <c r="Z2265" i="2"/>
  <c r="Z1069" i="2"/>
  <c r="Z803" i="2"/>
  <c r="Z878" i="2"/>
  <c r="Z1038" i="2"/>
  <c r="Z1040" i="2"/>
  <c r="Z925" i="2"/>
  <c r="Z1009" i="2"/>
  <c r="Z437" i="2"/>
  <c r="Z468" i="2"/>
  <c r="Z510" i="2"/>
  <c r="Z1108" i="2"/>
  <c r="Z1091" i="2"/>
  <c r="Z1044" i="2"/>
  <c r="Z1136" i="2"/>
  <c r="Z1192" i="2"/>
  <c r="Z302" i="2"/>
  <c r="Z2514" i="2"/>
  <c r="Z2519" i="2"/>
  <c r="Z2520" i="2"/>
  <c r="Z570" i="2"/>
  <c r="Z1311" i="2"/>
  <c r="Z2533" i="2"/>
  <c r="Z2541" i="2"/>
  <c r="Z2550" i="2"/>
  <c r="Z2558" i="2"/>
  <c r="Z421" i="2"/>
  <c r="Z1700" i="2"/>
  <c r="Z775" i="2"/>
  <c r="Z750" i="2"/>
  <c r="Z782" i="2"/>
  <c r="Z1744" i="2"/>
  <c r="Z2567" i="2"/>
  <c r="Z1284" i="2"/>
  <c r="Z2572" i="2"/>
  <c r="Z1747" i="2"/>
  <c r="Z2579" i="2"/>
  <c r="Z2584" i="2"/>
  <c r="Z1627" i="2"/>
  <c r="Z1890" i="2"/>
  <c r="Z2478" i="2"/>
  <c r="Z221" i="2"/>
  <c r="Z228" i="2"/>
  <c r="Z1876" i="2"/>
  <c r="Z1927" i="2"/>
  <c r="Z2607" i="2"/>
  <c r="Z377" i="2"/>
  <c r="Z1771" i="2"/>
  <c r="Z1980" i="2"/>
  <c r="Z2011" i="2"/>
  <c r="Z235" i="2"/>
  <c r="Z2037" i="2"/>
  <c r="Z2014" i="2"/>
  <c r="Z2077" i="2"/>
  <c r="Z1489" i="2"/>
  <c r="Z1487" i="2"/>
  <c r="Z1410" i="2"/>
  <c r="Z804" i="2"/>
  <c r="Z879" i="2"/>
  <c r="Z926" i="2"/>
  <c r="Z1041" i="2"/>
  <c r="Z438" i="2"/>
  <c r="Z469" i="2"/>
  <c r="Z1045" i="2"/>
  <c r="Z1089" i="2"/>
  <c r="Z1109" i="2"/>
  <c r="Z1160" i="2"/>
  <c r="Z392" i="2"/>
  <c r="Z1332" i="2"/>
  <c r="Z303" i="2"/>
  <c r="Z1359" i="2"/>
  <c r="Z1411" i="2"/>
  <c r="Z1463" i="2"/>
  <c r="Z2509" i="2"/>
  <c r="Z2515" i="2"/>
  <c r="Z2521" i="2"/>
  <c r="Z517" i="2"/>
  <c r="Z2529" i="2"/>
  <c r="Z1266" i="2"/>
  <c r="Z2534" i="2"/>
  <c r="Z2542" i="2"/>
  <c r="Z2551" i="2"/>
  <c r="Z751" i="2"/>
  <c r="Z776" i="2"/>
  <c r="Z783" i="2"/>
  <c r="Z1745" i="2"/>
  <c r="Z2568" i="2"/>
  <c r="Z1285" i="2"/>
  <c r="Z2573" i="2"/>
  <c r="Z2574" i="2"/>
  <c r="Z1768" i="2"/>
  <c r="Z2580" i="2"/>
  <c r="Z2585" i="2"/>
  <c r="Z1633" i="2"/>
  <c r="Z1891" i="2"/>
  <c r="Z2479" i="2"/>
  <c r="Z1843" i="2"/>
  <c r="Z1868" i="2"/>
  <c r="Z1928" i="2"/>
  <c r="Z2029" i="2"/>
  <c r="Z2038" i="2"/>
  <c r="Z2078" i="2"/>
  <c r="Z2510" i="2"/>
  <c r="Z2552" i="2"/>
  <c r="Z2559" i="2"/>
  <c r="Z1701" i="2"/>
  <c r="Z2575" i="2"/>
  <c r="Z2581" i="2"/>
  <c r="Z2586" i="2"/>
  <c r="Z1644" i="2"/>
  <c r="Z1854" i="2"/>
  <c r="Z1869" i="2"/>
  <c r="Z1954" i="2"/>
  <c r="Z1772" i="2"/>
  <c r="Z1981" i="2"/>
  <c r="Z2015" i="2"/>
  <c r="Z75" i="2"/>
  <c r="Z32" i="2"/>
  <c r="Z2293" i="2"/>
  <c r="Z2314" i="2"/>
  <c r="Z58" i="2"/>
  <c r="Z2317" i="2"/>
  <c r="Z2321" i="2"/>
  <c r="Z69" i="2"/>
  <c r="Z2299" i="2"/>
  <c r="Z81" i="2"/>
  <c r="Z2295" i="2"/>
  <c r="Z1008" i="2"/>
  <c r="Z1039" i="2"/>
  <c r="Z511" i="2"/>
  <c r="Z1046" i="2"/>
  <c r="Z393" i="2"/>
  <c r="Z304" i="2"/>
  <c r="Z1333" i="2"/>
  <c r="Z2095" i="2"/>
  <c r="Z2522" i="2"/>
  <c r="Z518" i="2"/>
  <c r="Z2535" i="2"/>
  <c r="Z2543" i="2"/>
  <c r="Z2549" i="2"/>
  <c r="Z2553" i="2"/>
  <c r="Z2560" i="2"/>
  <c r="Z2563" i="2"/>
  <c r="Z2245" i="2"/>
  <c r="Z1740" i="2"/>
  <c r="Z2569" i="2"/>
  <c r="Z2587" i="2"/>
  <c r="Z2590" i="2"/>
  <c r="Z1892" i="2"/>
  <c r="Z2209" i="2"/>
  <c r="Z1982" i="2"/>
  <c r="Z2001" i="2"/>
  <c r="Z2211" i="2"/>
  <c r="Z2289" i="2"/>
  <c r="Z842" i="2"/>
  <c r="Z908" i="2"/>
  <c r="Z2264" i="2"/>
  <c r="Z2288" i="2"/>
  <c r="Z816" i="2"/>
  <c r="Z871" i="2"/>
  <c r="Z448" i="2"/>
  <c r="Z2252" i="2"/>
  <c r="Z2259" i="2"/>
  <c r="Z1132" i="2"/>
  <c r="Z2275" i="2"/>
  <c r="Z2284" i="2"/>
  <c r="Z341" i="2"/>
  <c r="Z1423" i="2"/>
  <c r="Z174" i="2"/>
  <c r="Z27" i="2"/>
  <c r="Z33" i="2"/>
  <c r="Z41" i="2"/>
  <c r="Z50" i="2"/>
  <c r="Z56" i="2"/>
  <c r="Z59" i="2"/>
  <c r="Z70" i="2"/>
  <c r="Z82" i="2"/>
  <c r="Z112" i="2"/>
  <c r="Z145" i="2"/>
  <c r="Z2618" i="2"/>
  <c r="Z1971" i="2"/>
  <c r="Z1929" i="2"/>
  <c r="Z1773" i="2"/>
  <c r="Z383" i="2"/>
  <c r="Z378" i="2"/>
  <c r="Z1983" i="2"/>
  <c r="Z1999" i="2"/>
  <c r="Z2008" i="2"/>
  <c r="Z236" i="2"/>
  <c r="Z2030" i="2"/>
  <c r="Z2039" i="2"/>
  <c r="Z2016" i="2"/>
  <c r="Z2079" i="2"/>
  <c r="Z805" i="2"/>
  <c r="Z880" i="2"/>
  <c r="Z889" i="2"/>
  <c r="Z978" i="2"/>
  <c r="Z1013" i="2"/>
  <c r="Z927" i="2"/>
  <c r="Z439" i="2"/>
  <c r="Z930" i="2"/>
  <c r="Z1075" i="2"/>
  <c r="Z1110" i="2"/>
  <c r="Z1137" i="2"/>
  <c r="Z1092" i="2"/>
  <c r="Z1161" i="2"/>
  <c r="Z1032" i="2"/>
  <c r="Z1036" i="2"/>
  <c r="Z1334" i="2"/>
  <c r="Z305" i="2"/>
  <c r="Z399" i="2"/>
  <c r="Z402" i="2"/>
  <c r="Z1360" i="2"/>
  <c r="Z1412" i="2"/>
  <c r="Z1366" i="2"/>
  <c r="Z1465" i="2"/>
  <c r="Z2511" i="2"/>
  <c r="Z1450" i="2"/>
  <c r="Z2516" i="2"/>
  <c r="Z1228" i="2"/>
  <c r="Z2523" i="2"/>
  <c r="Z2526" i="2"/>
  <c r="Z2544" i="2"/>
  <c r="Z2554" i="2"/>
  <c r="Z2561" i="2"/>
  <c r="Z422" i="2"/>
  <c r="Z2246" i="2"/>
  <c r="Z1702" i="2"/>
  <c r="Z1741" i="2"/>
  <c r="Z753" i="2"/>
  <c r="Z784" i="2"/>
  <c r="Z2570" i="2"/>
  <c r="Z681" i="2"/>
  <c r="Z2582" i="2"/>
  <c r="Z2588" i="2"/>
  <c r="Z1634" i="2"/>
  <c r="Z1893" i="2"/>
  <c r="Z1619" i="2"/>
  <c r="Z1845" i="2"/>
  <c r="Z1856" i="2"/>
  <c r="Z1871" i="2"/>
  <c r="Z2594" i="2"/>
  <c r="Z2595" i="2"/>
  <c r="Z385" i="2"/>
  <c r="Z379" i="2"/>
  <c r="Z1774" i="2"/>
  <c r="Z2009" i="2"/>
  <c r="Z2040" i="2"/>
  <c r="Z2017" i="2"/>
  <c r="Z806" i="2"/>
  <c r="Z881" i="2"/>
  <c r="Z979" i="2"/>
  <c r="Z1014" i="2"/>
  <c r="Z928" i="2"/>
  <c r="Z440" i="2"/>
  <c r="Z1093" i="2"/>
  <c r="Z1138" i="2"/>
  <c r="Z1139" i="2"/>
  <c r="Z1047" i="2"/>
  <c r="Z1048" i="2"/>
  <c r="Z1111" i="2"/>
  <c r="Z1076" i="2"/>
  <c r="Z1162" i="2"/>
  <c r="Z1033" i="2"/>
  <c r="Z394" i="2"/>
  <c r="Z2507" i="2"/>
  <c r="Z1335" i="2"/>
  <c r="Z2096" i="2"/>
  <c r="Z307" i="2"/>
  <c r="Z1413" i="2"/>
  <c r="Z1466" i="2"/>
  <c r="Z2512" i="2"/>
  <c r="Z2517" i="2"/>
  <c r="Z2524" i="2"/>
  <c r="Z2525" i="2"/>
  <c r="Z515" i="2"/>
  <c r="Z2527" i="2"/>
  <c r="Z2536" i="2"/>
  <c r="Z2545" i="2"/>
  <c r="Z2555" i="2"/>
  <c r="Z2562" i="2"/>
  <c r="Z423" i="2"/>
  <c r="Z2247" i="2"/>
  <c r="Z1703" i="2"/>
  <c r="Z777" i="2"/>
  <c r="Z755" i="2"/>
  <c r="Z1742" i="2"/>
  <c r="Z785" i="2"/>
  <c r="Z2571" i="2"/>
  <c r="Z2290" i="2"/>
  <c r="Z1895" i="2"/>
  <c r="Z2480" i="2"/>
  <c r="Z1846" i="2"/>
  <c r="Z1858" i="2"/>
  <c r="Z1873" i="2"/>
  <c r="Z1909" i="2"/>
  <c r="Z2596" i="2"/>
  <c r="Z2597" i="2"/>
  <c r="Z380" i="2"/>
  <c r="Z1984" i="2"/>
  <c r="Z2000" i="2"/>
  <c r="Z2031" i="2"/>
  <c r="Z2041" i="2"/>
  <c r="Z2026" i="2"/>
  <c r="Z2080" i="2"/>
  <c r="Z882" i="2"/>
  <c r="Z861" i="2"/>
  <c r="Z1015" i="2"/>
  <c r="Z929" i="2"/>
  <c r="Z441" i="2"/>
  <c r="Z934" i="2"/>
  <c r="Z1049" i="2"/>
  <c r="Z1112" i="2"/>
  <c r="Z1140" i="2"/>
  <c r="Z1011" i="2"/>
  <c r="Z1034" i="2"/>
  <c r="Z1037" i="2"/>
  <c r="Z2097" i="2"/>
  <c r="Z1194" i="2"/>
  <c r="Z2106" i="2"/>
  <c r="Z2513" i="2"/>
  <c r="Z2518" i="2"/>
  <c r="Z2537" i="2"/>
  <c r="Z2546" i="2"/>
  <c r="Z2556" i="2"/>
  <c r="Z1272" i="2"/>
  <c r="Z778" i="2"/>
  <c r="Z786" i="2"/>
  <c r="Z2564" i="2"/>
  <c r="Z2583" i="2"/>
  <c r="Z2589" i="2"/>
  <c r="Z1628" i="2"/>
  <c r="Z1875" i="2"/>
  <c r="Z1911" i="2"/>
  <c r="Z2598" i="2"/>
  <c r="Z2599" i="2"/>
  <c r="Z819" i="2"/>
  <c r="Z850" i="2"/>
  <c r="Z872" i="2"/>
  <c r="Z857" i="2"/>
  <c r="Z910" i="2"/>
  <c r="Z449" i="2"/>
  <c r="Z2253" i="2"/>
  <c r="Z2260" i="2"/>
  <c r="Z2268" i="2"/>
  <c r="Z1133" i="2"/>
  <c r="Z2308" i="2"/>
  <c r="Z2312" i="2"/>
  <c r="Z2276" i="2"/>
  <c r="Z2285" i="2"/>
  <c r="Z1208" i="2"/>
  <c r="Z342" i="2"/>
  <c r="Z1425" i="2"/>
  <c r="Z195" i="2"/>
  <c r="Z188" i="2"/>
  <c r="Z18" i="2"/>
  <c r="Z20" i="2"/>
  <c r="Z24" i="2"/>
  <c r="Z28" i="2"/>
  <c r="Z2292" i="2"/>
  <c r="Z34" i="2"/>
  <c r="Z44" i="2"/>
  <c r="Z51" i="2"/>
  <c r="Z149" i="2"/>
  <c r="Z63" i="2"/>
  <c r="Z2318" i="2"/>
  <c r="Z71" i="2"/>
  <c r="Z2300" i="2"/>
  <c r="Z2322" i="2"/>
  <c r="Z2305" i="2"/>
  <c r="Z76" i="2"/>
  <c r="Z83" i="2"/>
  <c r="Z84" i="2"/>
  <c r="Z2296" i="2"/>
  <c r="Z91" i="2"/>
  <c r="Z98" i="2"/>
  <c r="Z104" i="2"/>
  <c r="Z107" i="2"/>
  <c r="Z113" i="2"/>
  <c r="Z120" i="2"/>
  <c r="Z1886" i="2"/>
  <c r="Z204" i="2"/>
  <c r="Z2619" i="2"/>
  <c r="Z16" i="2"/>
  <c r="Z811" i="2"/>
  <c r="Z444" i="2"/>
  <c r="Z2263" i="2"/>
  <c r="Z2266" i="2"/>
  <c r="Z2310" i="2"/>
  <c r="Z2279" i="2"/>
  <c r="Z191" i="2"/>
  <c r="Z186" i="2"/>
  <c r="Z23" i="2"/>
  <c r="Z42" i="2"/>
  <c r="Z47" i="2"/>
  <c r="Z147" i="2"/>
  <c r="Z60" i="2"/>
  <c r="Z88" i="2"/>
  <c r="Z94" i="2"/>
  <c r="Z101" i="2"/>
  <c r="Z116" i="2"/>
  <c r="Z1882" i="2"/>
  <c r="Z200" i="2"/>
  <c r="Z2620" i="2"/>
  <c r="Z820" i="2"/>
  <c r="Z873" i="2"/>
  <c r="Z858" i="2"/>
  <c r="Z912" i="2"/>
  <c r="Z821" i="2"/>
  <c r="Z874" i="2"/>
  <c r="Z859" i="2"/>
  <c r="Z914" i="2"/>
  <c r="Z450" i="2"/>
  <c r="Z991" i="2"/>
  <c r="Z822" i="2"/>
  <c r="Z875" i="2"/>
  <c r="Z451" i="2"/>
  <c r="Z2254" i="2"/>
  <c r="Z2261" i="2"/>
  <c r="Z2269" i="2"/>
  <c r="Z2277" i="2"/>
  <c r="Z2286" i="2"/>
  <c r="Z343" i="2"/>
  <c r="Z416" i="2"/>
  <c r="Z1216" i="2"/>
  <c r="Z1426" i="2"/>
  <c r="Z196" i="2"/>
  <c r="Z189" i="2"/>
  <c r="Z21" i="2"/>
  <c r="Z29" i="2"/>
  <c r="Z35" i="2"/>
  <c r="Z36" i="2"/>
  <c r="Z45" i="2"/>
  <c r="Z2315" i="2"/>
  <c r="Z52" i="2"/>
  <c r="Z150" i="2"/>
  <c r="Z64" i="2"/>
  <c r="Z2319" i="2"/>
  <c r="Z72" i="2"/>
  <c r="Z2301" i="2"/>
  <c r="Z74" i="2"/>
  <c r="Z2323" i="2"/>
  <c r="Z2306" i="2"/>
  <c r="Z77" i="2"/>
  <c r="Z85" i="2"/>
  <c r="Z92" i="2"/>
  <c r="Z99" i="2"/>
  <c r="Z105" i="2"/>
  <c r="Z108" i="2"/>
  <c r="Z114" i="2"/>
  <c r="Z146" i="2"/>
  <c r="Z121" i="2"/>
  <c r="Z1887" i="2"/>
  <c r="Z205" i="2"/>
  <c r="Z233" i="2"/>
  <c r="Z2621" i="2"/>
  <c r="Z823" i="2"/>
  <c r="Z876" i="2"/>
  <c r="Z860" i="2"/>
  <c r="Z916" i="2"/>
  <c r="Z2248" i="2"/>
  <c r="Z452" i="2"/>
  <c r="Z2255" i="2"/>
  <c r="Z2262" i="2"/>
  <c r="Z17" i="2"/>
  <c r="Z2270" i="2"/>
  <c r="Z1134" i="2"/>
  <c r="Z2309" i="2"/>
  <c r="Z2278" i="2"/>
  <c r="Z374" i="2"/>
  <c r="Z2287" i="2"/>
  <c r="Z1209" i="2"/>
  <c r="Z344" i="2"/>
  <c r="Z1427" i="2"/>
  <c r="Z197" i="2"/>
  <c r="Z190" i="2"/>
  <c r="Z22" i="2"/>
  <c r="Z30" i="2"/>
  <c r="Z37" i="2"/>
  <c r="Z38" i="2"/>
  <c r="Z46" i="2"/>
  <c r="Z2294" i="2"/>
  <c r="Z2316" i="2"/>
  <c r="Z53" i="2"/>
  <c r="Z151" i="2"/>
  <c r="Z65" i="2"/>
  <c r="Z2320" i="2"/>
  <c r="Z73" i="2"/>
  <c r="Z2302" i="2"/>
  <c r="Z2324" i="2"/>
  <c r="Z2307" i="2"/>
  <c r="Z78" i="2"/>
  <c r="Z86" i="2"/>
  <c r="Z87" i="2"/>
  <c r="Z2297" i="2"/>
  <c r="Z93" i="2"/>
  <c r="Z100" i="2"/>
  <c r="Z106" i="2"/>
  <c r="Z109" i="2"/>
  <c r="Z115" i="2"/>
  <c r="Z122" i="2"/>
  <c r="Z229" i="2"/>
  <c r="Z206" i="2"/>
  <c r="Z2622" i="2"/>
  <c r="Z1461" i="2"/>
  <c r="Z1402" i="2"/>
  <c r="Z1221" i="2"/>
  <c r="Z1397" i="2"/>
  <c r="Z1185" i="2"/>
  <c r="Z964" i="2"/>
  <c r="Z1522" i="2"/>
  <c r="Z1603" i="2"/>
  <c r="Z1577" i="2"/>
  <c r="Z519" i="2"/>
  <c r="Z531" i="2"/>
  <c r="Z1560" i="2"/>
  <c r="Z1735" i="2"/>
  <c r="Z1738" i="2"/>
  <c r="Z2128" i="2"/>
  <c r="Z2129" i="2"/>
  <c r="Z2139" i="2"/>
  <c r="Z2140" i="2"/>
  <c r="Z2160" i="2"/>
  <c r="Z2182" i="2"/>
  <c r="Z2183" i="2"/>
  <c r="Z2184" i="2"/>
  <c r="Z2192" i="2"/>
  <c r="Z2214" i="2"/>
  <c r="Z2237" i="2"/>
  <c r="Z2221" i="2"/>
  <c r="Z2230" i="2"/>
  <c r="Z418" i="2"/>
  <c r="Z1699" i="2"/>
  <c r="Z430" i="2"/>
  <c r="Z746" i="2"/>
  <c r="Z779" i="2"/>
  <c r="Z781" i="2"/>
  <c r="Z747" i="2"/>
  <c r="Z780" i="2"/>
  <c r="Z787" i="2"/>
  <c r="Z712" i="2"/>
  <c r="Z2565" i="2"/>
  <c r="Z2566" i="2"/>
  <c r="Z1303" i="2"/>
  <c r="Z1706" i="2"/>
  <c r="Z1283" i="2"/>
  <c r="Z676" i="2"/>
  <c r="Z687" i="2"/>
  <c r="Z1766" i="2"/>
  <c r="Z2576" i="2"/>
  <c r="Z2577" i="2"/>
  <c r="Z2578" i="2"/>
  <c r="Z1609" i="2"/>
  <c r="Z1808" i="2"/>
  <c r="Z1809" i="2"/>
  <c r="Z1788" i="2"/>
  <c r="Z1799" i="2"/>
  <c r="Z1790" i="2"/>
  <c r="Z1637" i="2"/>
  <c r="Z1815" i="2"/>
  <c r="Z1812" i="2"/>
  <c r="Z1816" i="2"/>
  <c r="Z1813" i="2"/>
  <c r="Z2591" i="2"/>
  <c r="Z2592" i="2"/>
  <c r="Z1827" i="2"/>
  <c r="Z1621" i="2"/>
  <c r="Z1852" i="2"/>
  <c r="Z1853" i="2"/>
  <c r="Z1862" i="2"/>
  <c r="Z1863" i="2"/>
  <c r="Z1866" i="2"/>
  <c r="Z1850" i="2"/>
  <c r="Z1906" i="2"/>
  <c r="Z1915" i="2"/>
  <c r="Z1955" i="2"/>
  <c r="Z1956" i="2"/>
  <c r="Z1957" i="2"/>
  <c r="Z1958" i="2"/>
  <c r="Z1959" i="2"/>
  <c r="Z1960" i="2"/>
  <c r="Z1961" i="2"/>
  <c r="Z2603" i="2"/>
  <c r="Z2608" i="2"/>
  <c r="Z2481" i="2"/>
  <c r="Z2609" i="2"/>
  <c r="Z2610" i="2"/>
  <c r="Z2613" i="2"/>
  <c r="Z2623" i="2"/>
  <c r="Z2624" i="2"/>
  <c r="Z381" i="2"/>
  <c r="Z1998" i="2"/>
  <c r="Z2002" i="2"/>
  <c r="Z2028" i="2"/>
  <c r="Z2036" i="2"/>
  <c r="Z2042" i="2"/>
  <c r="Z2074" i="2"/>
  <c r="Z2075" i="2"/>
  <c r="Z1898" i="2"/>
  <c r="Z207" i="2"/>
  <c r="Z2600" i="2"/>
  <c r="Z2601" i="2"/>
  <c r="Z2604" i="2"/>
  <c r="Z2611" i="2"/>
  <c r="Z2612" i="2"/>
  <c r="Z2614" i="2"/>
  <c r="Z382" i="2"/>
  <c r="Z825" i="2"/>
  <c r="Z886" i="2"/>
  <c r="Z937" i="2"/>
  <c r="Z476" i="2"/>
  <c r="Z983" i="2"/>
  <c r="Z1028" i="2"/>
  <c r="Z1063" i="2"/>
  <c r="Z1166" i="2"/>
  <c r="Z315" i="2"/>
  <c r="Z318" i="2"/>
  <c r="Z1345" i="2"/>
  <c r="Z1428" i="2"/>
  <c r="Z1429" i="2"/>
  <c r="Z1430" i="2"/>
  <c r="Z1467" i="2"/>
  <c r="Z1373" i="2"/>
  <c r="Z953" i="2"/>
  <c r="Z1596" i="2"/>
  <c r="Z1576" i="2"/>
  <c r="Z512" i="2"/>
  <c r="Z1252" i="2"/>
  <c r="Z1305" i="2"/>
  <c r="Z1319" i="2"/>
  <c r="Z582" i="2"/>
  <c r="Z591" i="2"/>
  <c r="Z641" i="2"/>
  <c r="Z1656" i="2"/>
  <c r="Z1661" i="2"/>
  <c r="Z1685" i="2"/>
  <c r="Z618" i="2"/>
  <c r="Z1273" i="2"/>
  <c r="Z1730" i="2"/>
  <c r="Z1746" i="2"/>
  <c r="Z1610" i="2"/>
  <c r="Z1611" i="2"/>
  <c r="Z1612" i="2"/>
  <c r="Z1797" i="2"/>
  <c r="Z1791" i="2"/>
  <c r="Z1629" i="2"/>
  <c r="Z1889" i="2"/>
  <c r="Z1899" i="2"/>
  <c r="Z1920" i="2"/>
  <c r="Z208" i="2"/>
  <c r="Z2076" i="2"/>
  <c r="Z2098" i="2"/>
  <c r="Z2107" i="2"/>
  <c r="Z844" i="2"/>
  <c r="Z899" i="2"/>
  <c r="Z905" i="2"/>
  <c r="Z495" i="2"/>
  <c r="Z496" i="2"/>
  <c r="Z1029" i="2"/>
  <c r="Z997" i="2"/>
  <c r="Z865" i="2"/>
  <c r="Z6" i="2"/>
  <c r="Z2122" i="2"/>
  <c r="Z827" i="2"/>
  <c r="Z845" i="2"/>
  <c r="Z851" i="2"/>
  <c r="Z7" i="2"/>
  <c r="Z828" i="2"/>
  <c r="Z900" i="2"/>
  <c r="Z1017" i="2"/>
  <c r="Z506" i="2"/>
  <c r="Z509" i="2"/>
  <c r="Z1115" i="2"/>
  <c r="Z1147" i="2"/>
  <c r="Z1054" i="2"/>
  <c r="Z1095" i="2"/>
  <c r="Z1070" i="2"/>
  <c r="Z368" i="2"/>
  <c r="Z373" i="2"/>
  <c r="Z331" i="2"/>
  <c r="Z1211" i="2"/>
  <c r="Z1356" i="2"/>
  <c r="Z1354" i="2"/>
  <c r="Z1443" i="2"/>
  <c r="Z1475" i="2"/>
  <c r="Z1374" i="2"/>
  <c r="Z1389" i="2"/>
  <c r="Z1235" i="2"/>
  <c r="Z969" i="2"/>
  <c r="Z1534" i="2"/>
  <c r="Z1548" i="2"/>
  <c r="Z1588" i="2"/>
  <c r="Z561" i="2"/>
  <c r="Z1253" i="2"/>
  <c r="Z1307" i="2"/>
  <c r="Z540" i="2"/>
  <c r="Z548" i="2"/>
  <c r="Z603" i="2"/>
  <c r="Z1492" i="2"/>
  <c r="Z729" i="2"/>
  <c r="Z642" i="2"/>
  <c r="Z1689" i="2"/>
  <c r="Z1672" i="2"/>
  <c r="Z698" i="2"/>
  <c r="Z619" i="2"/>
  <c r="Z708" i="2"/>
  <c r="Z1552" i="2"/>
  <c r="Z748" i="2"/>
  <c r="Z761" i="2"/>
  <c r="Z721" i="2"/>
  <c r="Z793" i="2"/>
  <c r="Z1714" i="2"/>
  <c r="Z668" i="2"/>
  <c r="Z678" i="2"/>
  <c r="Z1763" i="2"/>
  <c r="Z1775" i="2"/>
  <c r="Z164" i="2"/>
  <c r="Z133" i="2"/>
  <c r="Z1818" i="2"/>
  <c r="Z136" i="2"/>
  <c r="Z217" i="2"/>
  <c r="Z1834" i="2"/>
  <c r="Z210" i="2"/>
  <c r="Z2625" i="2"/>
  <c r="Z829" i="2"/>
  <c r="Z938" i="2"/>
  <c r="Z458" i="2"/>
  <c r="Z466" i="2"/>
  <c r="Z985" i="2"/>
  <c r="Z485" i="2"/>
  <c r="Z1018" i="2"/>
  <c r="Z998" i="2"/>
  <c r="Z8" i="2"/>
  <c r="Z1148" i="2"/>
  <c r="Z1116" i="2"/>
  <c r="Z1055" i="2"/>
  <c r="Z1080" i="2"/>
  <c r="Z1097" i="2"/>
  <c r="Z1125" i="2"/>
  <c r="Z1129" i="2"/>
  <c r="Z1175" i="2"/>
  <c r="Z1176" i="2"/>
  <c r="Z1179" i="2"/>
  <c r="Z354" i="2"/>
  <c r="Z2099" i="2"/>
  <c r="Z2111" i="2"/>
  <c r="Z1196" i="2"/>
  <c r="Z321" i="2"/>
  <c r="Z332" i="2"/>
  <c r="Z408" i="2"/>
  <c r="Z1215" i="2"/>
  <c r="Z1480" i="2"/>
  <c r="Z1357" i="2"/>
  <c r="Z2123" i="2"/>
  <c r="Z1336" i="2"/>
  <c r="Z1346" i="2"/>
  <c r="Z1370" i="2"/>
  <c r="Z1436" i="2"/>
  <c r="Z1449" i="2"/>
  <c r="Z1390" i="2"/>
  <c r="Z1225" i="2"/>
  <c r="Z1243" i="2"/>
  <c r="Z1540" i="2"/>
  <c r="Z1528" i="2"/>
  <c r="Z958" i="2"/>
  <c r="Z1535" i="2"/>
  <c r="Z2130" i="2"/>
  <c r="Z1518" i="2"/>
  <c r="Z1543" i="2"/>
  <c r="Z1581" i="2"/>
  <c r="Z1582" i="2"/>
  <c r="Z1589" i="2"/>
  <c r="Z532" i="2"/>
  <c r="Z562" i="2"/>
  <c r="Z1246" i="2"/>
  <c r="Z1254" i="2"/>
  <c r="Z1308" i="2"/>
  <c r="Z541" i="2"/>
  <c r="Z549" i="2"/>
  <c r="Z574" i="2"/>
  <c r="Z579" i="2"/>
  <c r="Z586" i="2"/>
  <c r="Z598" i="2"/>
  <c r="Z604" i="2"/>
  <c r="Z2162" i="2"/>
  <c r="Z2142" i="2"/>
  <c r="Z2172" i="2"/>
  <c r="Z1493" i="2"/>
  <c r="Z730" i="2"/>
  <c r="Z2177" i="2"/>
  <c r="Z648" i="2"/>
  <c r="Z650" i="2"/>
  <c r="Z2186" i="2"/>
  <c r="Z654" i="2"/>
  <c r="Z1667" i="2"/>
  <c r="Z1690" i="2"/>
  <c r="Z1673" i="2"/>
  <c r="Z742" i="2"/>
  <c r="Z699" i="2"/>
  <c r="Z704" i="2"/>
  <c r="Z2193" i="2"/>
  <c r="Z620" i="2"/>
  <c r="Z1504" i="2"/>
  <c r="Z2222" i="2"/>
  <c r="Z2243" i="2"/>
  <c r="Z1553" i="2"/>
  <c r="Z1563" i="2"/>
  <c r="Z762" i="2"/>
  <c r="Z433" i="2"/>
  <c r="Z714" i="2"/>
  <c r="Z1277" i="2"/>
  <c r="Z1281" i="2"/>
  <c r="Z794" i="2"/>
  <c r="Z1707" i="2"/>
  <c r="Z1715" i="2"/>
  <c r="Z669" i="2"/>
  <c r="Z1287" i="2"/>
  <c r="Z1294" i="2"/>
  <c r="Z675" i="2"/>
  <c r="Z552" i="2"/>
  <c r="Z689" i="2"/>
  <c r="Z695" i="2"/>
  <c r="Z1764" i="2"/>
  <c r="Z152" i="2"/>
  <c r="Z165" i="2"/>
  <c r="Z124" i="2"/>
  <c r="Z157" i="2"/>
  <c r="Z1819" i="2"/>
  <c r="Z137" i="2"/>
  <c r="Z2202" i="2"/>
  <c r="Z218" i="2"/>
  <c r="Z1623" i="2"/>
  <c r="Z1832" i="2"/>
  <c r="Z2205" i="2"/>
  <c r="Z1835" i="2"/>
  <c r="Z1867" i="2"/>
  <c r="Z198" i="2"/>
  <c r="Z1878" i="2"/>
  <c r="Z211" i="2"/>
  <c r="Z2626" i="2"/>
  <c r="Z830" i="2"/>
  <c r="Z846" i="2"/>
  <c r="Z852" i="2"/>
  <c r="Z887" i="2"/>
  <c r="Z901" i="2"/>
  <c r="Z907" i="2"/>
  <c r="Z939" i="2"/>
  <c r="Z946" i="2"/>
  <c r="Z459" i="2"/>
  <c r="Z467" i="2"/>
  <c r="Z986" i="2"/>
  <c r="Z486" i="2"/>
  <c r="Z1019" i="2"/>
  <c r="Z497" i="2"/>
  <c r="Z503" i="2"/>
  <c r="Z507" i="2"/>
  <c r="Z999" i="2"/>
  <c r="Z1149" i="2"/>
  <c r="Z1117" i="2"/>
  <c r="Z9" i="2"/>
  <c r="Z1098" i="2"/>
  <c r="Z1056" i="2"/>
  <c r="Z1081" i="2"/>
  <c r="Z920" i="2"/>
  <c r="Z1126" i="2"/>
  <c r="Z1003" i="2"/>
  <c r="Z1071" i="2"/>
  <c r="Z1105" i="2"/>
  <c r="Z355" i="2"/>
  <c r="Z363" i="2"/>
  <c r="Z369" i="2"/>
  <c r="Z2100" i="2"/>
  <c r="Z1197" i="2"/>
  <c r="Z322" i="2"/>
  <c r="Z1203" i="2"/>
  <c r="Z333" i="2"/>
  <c r="Z403" i="2"/>
  <c r="Z409" i="2"/>
  <c r="Z414" i="2"/>
  <c r="Z346" i="2"/>
  <c r="Z1481" i="2"/>
  <c r="Z1358" i="2"/>
  <c r="Z1337" i="2"/>
  <c r="Z1347" i="2"/>
  <c r="Z1454" i="2"/>
  <c r="Z1444" i="2"/>
  <c r="Z1468" i="2"/>
  <c r="Z1469" i="2"/>
  <c r="Z1473" i="2"/>
  <c r="Z1476" i="2"/>
  <c r="Z350" i="2"/>
  <c r="Z1375" i="2"/>
  <c r="Z1391" i="2"/>
  <c r="Z1226" i="2"/>
  <c r="Z1236" i="2"/>
  <c r="Z1529" i="2"/>
  <c r="Z970" i="2"/>
  <c r="Z1536" i="2"/>
  <c r="Z1400" i="2"/>
  <c r="Z1513" i="2"/>
  <c r="Z1544" i="2"/>
  <c r="Z1566" i="2"/>
  <c r="Z1583" i="2"/>
  <c r="Z1590" i="2"/>
  <c r="Z528" i="2"/>
  <c r="Z536" i="2"/>
  <c r="Z558" i="2"/>
  <c r="Z563" i="2"/>
  <c r="Z1247" i="2"/>
  <c r="Z1259" i="2"/>
  <c r="Z1309" i="2"/>
  <c r="Z542" i="2"/>
  <c r="Z1316" i="2"/>
  <c r="Z575" i="2"/>
  <c r="Z592" i="2"/>
  <c r="Z1494" i="2"/>
  <c r="Z731" i="2"/>
  <c r="Z1691" i="2"/>
  <c r="Z1674" i="2"/>
  <c r="Z610" i="2"/>
  <c r="Z621" i="2"/>
  <c r="Z1505" i="2"/>
  <c r="Z709" i="2"/>
  <c r="Z1554" i="2"/>
  <c r="Z425" i="2"/>
  <c r="Z1274" i="2"/>
  <c r="Z1731" i="2"/>
  <c r="Z749" i="2"/>
  <c r="Z763" i="2"/>
  <c r="Z771" i="2"/>
  <c r="Z715" i="2"/>
  <c r="Z1296" i="2"/>
  <c r="Z1278" i="2"/>
  <c r="Z795" i="2"/>
  <c r="Z1708" i="2"/>
  <c r="Z1288" i="2"/>
  <c r="Z660" i="2"/>
  <c r="Z679" i="2"/>
  <c r="Z553" i="2"/>
  <c r="Z663" i="2"/>
  <c r="Z696" i="2"/>
  <c r="Z1748" i="2"/>
  <c r="Z1756" i="2"/>
  <c r="Z153" i="2"/>
  <c r="Z162" i="2"/>
  <c r="Z169" i="2"/>
  <c r="Z125" i="2"/>
  <c r="Z134" i="2"/>
  <c r="Z138" i="2"/>
  <c r="Z219" i="2"/>
  <c r="Z1836" i="2"/>
  <c r="Z212" i="2"/>
  <c r="Z2627" i="2"/>
  <c r="Z2110" i="2"/>
  <c r="Z2121" i="2"/>
  <c r="Z1068" i="2"/>
  <c r="Z220" i="2"/>
  <c r="Z838" i="2"/>
  <c r="Z917" i="2"/>
  <c r="Z919" i="2"/>
  <c r="Z947" i="2"/>
  <c r="Z477" i="2"/>
  <c r="Z492" i="2"/>
  <c r="Z993" i="2"/>
  <c r="Z996" i="2"/>
  <c r="Z1027" i="2"/>
  <c r="Z1122" i="2"/>
  <c r="Z1156" i="2"/>
  <c r="Z1103" i="2"/>
  <c r="Z1064" i="2"/>
  <c r="Z1087" i="2"/>
  <c r="Z1168" i="2"/>
  <c r="Z1169" i="2"/>
  <c r="Z370" i="2"/>
  <c r="Z323" i="2"/>
  <c r="Z335" i="2"/>
  <c r="Z404" i="2"/>
  <c r="Z1207" i="2"/>
  <c r="Z1488" i="2"/>
  <c r="Z1486" i="2"/>
  <c r="Z1368" i="2"/>
  <c r="Z1432" i="2"/>
  <c r="Z1351" i="2"/>
  <c r="Z1403" i="2"/>
  <c r="Z1222" i="2"/>
  <c r="Z1398" i="2"/>
  <c r="Z1542" i="2"/>
  <c r="Z967" i="2"/>
  <c r="Z968" i="2"/>
  <c r="Z975" i="2"/>
  <c r="Z1523" i="2"/>
  <c r="Z1604" i="2"/>
  <c r="Z1578" i="2"/>
  <c r="Z665" i="2"/>
  <c r="Z1598" i="2"/>
  <c r="Z1565" i="2"/>
  <c r="Z533" i="2"/>
  <c r="Z520" i="2"/>
  <c r="Z571" i="2"/>
  <c r="Z1258" i="2"/>
  <c r="Z1312" i="2"/>
  <c r="Z1328" i="2"/>
  <c r="Z1314" i="2"/>
  <c r="Z1269" i="2"/>
  <c r="Z546" i="2"/>
  <c r="Z593" i="2"/>
  <c r="Z597" i="2"/>
  <c r="Z1271" i="2"/>
  <c r="Z1502" i="2"/>
  <c r="Z740" i="2"/>
  <c r="Z651" i="2"/>
  <c r="Z1668" i="2"/>
  <c r="Z1683" i="2"/>
  <c r="Z1686" i="2"/>
  <c r="Z1696" i="2"/>
  <c r="Z1698" i="2"/>
  <c r="Z632" i="2"/>
  <c r="Z706" i="2"/>
  <c r="Z1561" i="2"/>
  <c r="Z1736" i="2"/>
  <c r="Z1739" i="2"/>
  <c r="Z758" i="2"/>
  <c r="Z1299" i="2"/>
  <c r="Z722" i="2"/>
  <c r="Z1302" i="2"/>
  <c r="Z789" i="2"/>
  <c r="Z792" i="2"/>
  <c r="Z796" i="2"/>
  <c r="Z1720" i="2"/>
  <c r="Z670" i="2"/>
  <c r="Z1289" i="2"/>
  <c r="Z690" i="2"/>
  <c r="Z1754" i="2"/>
  <c r="Z1776" i="2"/>
  <c r="Z1783" i="2"/>
  <c r="Z1794" i="2"/>
  <c r="Z1624" i="2"/>
  <c r="Z1615" i="2"/>
  <c r="Z1804" i="2"/>
  <c r="Z1800" i="2"/>
  <c r="Z1792" i="2"/>
  <c r="Z1650" i="2"/>
  <c r="Z1640" i="2"/>
  <c r="Z1645" i="2"/>
  <c r="Z1848" i="2"/>
  <c r="Z1814" i="2"/>
  <c r="Z1825" i="2"/>
  <c r="Z1631" i="2"/>
  <c r="Z1830" i="2"/>
  <c r="Z1622" i="2"/>
  <c r="Z1879" i="2"/>
  <c r="Z1842" i="2"/>
  <c r="Z1851" i="2"/>
  <c r="Z1877" i="2"/>
  <c r="Z1913" i="2"/>
  <c r="Z1904" i="2"/>
  <c r="Z1917" i="2"/>
  <c r="Z1967" i="2"/>
  <c r="Z1972" i="2"/>
  <c r="Z1974" i="2"/>
  <c r="Z1939" i="2"/>
  <c r="Z1944" i="2"/>
  <c r="Z1946" i="2"/>
  <c r="Z1950" i="2"/>
  <c r="Z389" i="2"/>
  <c r="Z1985" i="2"/>
  <c r="Z2006" i="2"/>
  <c r="Z1994" i="2"/>
  <c r="Z2032" i="2"/>
  <c r="Z2043" i="2"/>
  <c r="Z2020" i="2"/>
  <c r="Z2086" i="2"/>
  <c r="Z1433" i="2"/>
  <c r="Z1462" i="2"/>
  <c r="Z839" i="2"/>
  <c r="Z918" i="2"/>
  <c r="Z948" i="2"/>
  <c r="Z478" i="2"/>
  <c r="Z994" i="2"/>
  <c r="Z1030" i="2"/>
  <c r="Z10" i="2"/>
  <c r="Z1123" i="2"/>
  <c r="Z1065" i="2"/>
  <c r="Z1170" i="2"/>
  <c r="Z371" i="2"/>
  <c r="Z401" i="2"/>
  <c r="Z1198" i="2"/>
  <c r="Z324" i="2"/>
  <c r="Z1369" i="2"/>
  <c r="Z1352" i="2"/>
  <c r="Z1434" i="2"/>
  <c r="Z1464" i="2"/>
  <c r="Z1404" i="2"/>
  <c r="Z1223" i="2"/>
  <c r="Z1399" i="2"/>
  <c r="Z965" i="2"/>
  <c r="Z1524" i="2"/>
  <c r="Z1605" i="2"/>
  <c r="Z1579" i="2"/>
  <c r="Z1599" i="2"/>
  <c r="Z521" i="2"/>
  <c r="Z534" i="2"/>
  <c r="Z572" i="2"/>
  <c r="Z1260" i="2"/>
  <c r="Z1313" i="2"/>
  <c r="Z1329" i="2"/>
  <c r="Z1315" i="2"/>
  <c r="Z1270" i="2"/>
  <c r="Z547" i="2"/>
  <c r="Z594" i="2"/>
  <c r="Z1503" i="2"/>
  <c r="Z741" i="2"/>
  <c r="Z652" i="2"/>
  <c r="Z1681" i="2"/>
  <c r="Z707" i="2"/>
  <c r="Z1562" i="2"/>
  <c r="Z1737" i="2"/>
  <c r="Z759" i="2"/>
  <c r="Z713" i="2"/>
  <c r="Z1300" i="2"/>
  <c r="Z790" i="2"/>
  <c r="Z1290" i="2"/>
  <c r="Z691" i="2"/>
  <c r="Z1767" i="2"/>
  <c r="Z1777" i="2"/>
  <c r="Z1784" i="2"/>
  <c r="Z1625" i="2"/>
  <c r="Z1801" i="2"/>
  <c r="Z1641" i="2"/>
  <c r="Z1849" i="2"/>
  <c r="Z1826" i="2"/>
  <c r="Z1831" i="2"/>
  <c r="Z1880" i="2"/>
  <c r="Z1844" i="2"/>
  <c r="Z1905" i="2"/>
  <c r="Z1947" i="2"/>
  <c r="Z2007" i="2"/>
  <c r="Z1995" i="2"/>
  <c r="Z2044" i="2"/>
  <c r="Z2087" i="2"/>
  <c r="Z1662" i="2"/>
  <c r="Z622" i="2"/>
  <c r="Z1721" i="2"/>
  <c r="Z1755" i="2"/>
  <c r="Z1616" i="2"/>
  <c r="Z1805" i="2"/>
  <c r="Z1793" i="2"/>
  <c r="Z1646" i="2"/>
  <c r="Z1870" i="2"/>
  <c r="Z1914" i="2"/>
  <c r="Z1973" i="2"/>
  <c r="Z1948" i="2"/>
  <c r="Z1949" i="2"/>
  <c r="Z390" i="2"/>
  <c r="Z1997" i="2"/>
  <c r="Z2021" i="2"/>
  <c r="Z2109" i="2"/>
  <c r="Z1431" i="2"/>
  <c r="Z1441" i="2"/>
  <c r="Z1453" i="2"/>
  <c r="Z2185" i="2"/>
  <c r="Z1286" i="2"/>
  <c r="Z2131" i="2"/>
  <c r="Z537" i="2"/>
  <c r="Z2163" i="2"/>
  <c r="Z2143" i="2"/>
  <c r="Z2178" i="2"/>
  <c r="Z611" i="2"/>
  <c r="Z2194" i="2"/>
  <c r="Z2176" i="2"/>
  <c r="Z2215" i="2"/>
  <c r="Z2238" i="2"/>
  <c r="Z2223" i="2"/>
  <c r="Z2231" i="2"/>
  <c r="Z2203" i="2"/>
  <c r="Z2206" i="2"/>
  <c r="Z2208" i="2"/>
  <c r="Z481" i="2"/>
  <c r="Z1010" i="2"/>
  <c r="Z1066" i="2"/>
  <c r="Z372" i="2"/>
  <c r="Z325" i="2"/>
  <c r="Z417" i="2"/>
  <c r="Z2112" i="2"/>
  <c r="Z1353" i="2"/>
  <c r="Z1435" i="2"/>
  <c r="Z1479" i="2"/>
  <c r="Z1224" i="2"/>
  <c r="Z966" i="2"/>
  <c r="Z2132" i="2"/>
  <c r="Z1525" i="2"/>
  <c r="Z1606" i="2"/>
  <c r="Z1580" i="2"/>
  <c r="Z1261" i="2"/>
  <c r="Z551" i="2"/>
  <c r="Z2156" i="2"/>
  <c r="Z595" i="2"/>
  <c r="Z2151" i="2"/>
  <c r="Z739" i="2"/>
  <c r="Z653" i="2"/>
  <c r="Z2187" i="2"/>
  <c r="Z1663" i="2"/>
  <c r="Z1682" i="2"/>
  <c r="Z633" i="2"/>
  <c r="Z2199" i="2"/>
  <c r="Z2229" i="2"/>
  <c r="Z760" i="2"/>
  <c r="Z1301" i="2"/>
  <c r="Z1722" i="2"/>
  <c r="Z1295" i="2"/>
  <c r="Z2232" i="2"/>
  <c r="Z1785" i="2"/>
  <c r="Z1617" i="2"/>
  <c r="Z1798" i="2"/>
  <c r="Z2204" i="2"/>
  <c r="Z226" i="2"/>
  <c r="Z1881" i="2"/>
  <c r="Z2207" i="2"/>
  <c r="Z2210" i="2"/>
  <c r="Z1986" i="2"/>
  <c r="Z2003" i="2"/>
  <c r="Z2212" i="2"/>
  <c r="Z2593" i="2"/>
  <c r="Z847" i="2"/>
  <c r="Z909" i="2"/>
  <c r="Z1171" i="2"/>
  <c r="Z222" i="2"/>
  <c r="Z831" i="2"/>
  <c r="Z888" i="2"/>
  <c r="Z940" i="2"/>
  <c r="Z455" i="2"/>
  <c r="Z987" i="2"/>
  <c r="Z1020" i="2"/>
  <c r="Z1150" i="2"/>
  <c r="Z1118" i="2"/>
  <c r="Z1057" i="2"/>
  <c r="Z1099" i="2"/>
  <c r="Z1082" i="2"/>
  <c r="Z1127" i="2"/>
  <c r="Z1177" i="2"/>
  <c r="Z356" i="2"/>
  <c r="Z357" i="2"/>
  <c r="Z1199" i="2"/>
  <c r="Z326" i="2"/>
  <c r="Z410" i="2"/>
  <c r="Z1482" i="2"/>
  <c r="Z1437" i="2"/>
  <c r="Z1477" i="2"/>
  <c r="Z1384" i="2"/>
  <c r="Z1227" i="2"/>
  <c r="Z1237" i="2"/>
  <c r="Z959" i="2"/>
  <c r="Z2133" i="2"/>
  <c r="Z1514" i="2"/>
  <c r="Z1567" i="2"/>
  <c r="Z1600" i="2"/>
  <c r="Z1591" i="2"/>
  <c r="Z564" i="2"/>
  <c r="Z1320" i="2"/>
  <c r="Z587" i="2"/>
  <c r="Z2164" i="2"/>
  <c r="Z2144" i="2"/>
  <c r="Z2173" i="2"/>
  <c r="Z732" i="2"/>
  <c r="Z2179" i="2"/>
  <c r="Z655" i="2"/>
  <c r="Z1692" i="2"/>
  <c r="Z1675" i="2"/>
  <c r="Z743" i="2"/>
  <c r="Z2188" i="2"/>
  <c r="Z2195" i="2"/>
  <c r="Z623" i="2"/>
  <c r="Z1506" i="2"/>
  <c r="Z2224" i="2"/>
  <c r="Z1555" i="2"/>
  <c r="Z752" i="2"/>
  <c r="Z764" i="2"/>
  <c r="Z434" i="2"/>
  <c r="Z797" i="2"/>
  <c r="Z1716" i="2"/>
  <c r="Z680" i="2"/>
  <c r="Z2233" i="2"/>
  <c r="Z1749" i="2"/>
  <c r="Z154" i="2"/>
  <c r="Z170" i="2"/>
  <c r="Z171" i="2"/>
  <c r="Z128" i="2"/>
  <c r="Z158" i="2"/>
  <c r="Z1820" i="2"/>
  <c r="Z139" i="2"/>
  <c r="Z1837" i="2"/>
  <c r="Z1855" i="2"/>
  <c r="Z199" i="2"/>
  <c r="Z213" i="2"/>
  <c r="Z2628" i="2"/>
  <c r="Z1930" i="2"/>
  <c r="Z1964" i="2"/>
  <c r="Z1966" i="2"/>
  <c r="Z1968" i="2"/>
  <c r="Z1975" i="2"/>
  <c r="Z1977" i="2"/>
  <c r="Z1978" i="2"/>
  <c r="Z1937" i="2"/>
  <c r="Z1940" i="2"/>
  <c r="Z1942" i="2"/>
  <c r="Z1945" i="2"/>
  <c r="Z375" i="2"/>
  <c r="Z384" i="2"/>
  <c r="Z1987" i="2"/>
  <c r="Z1990" i="2"/>
  <c r="Z2012" i="2"/>
  <c r="Z2004" i="2"/>
  <c r="Z1992" i="2"/>
  <c r="Z2033" i="2"/>
  <c r="Z2045" i="2"/>
  <c r="Z2018" i="2"/>
  <c r="Z2022" i="2"/>
  <c r="Z2023" i="2"/>
  <c r="Z2072" i="2"/>
  <c r="Z2082" i="2"/>
  <c r="Z2085" i="2"/>
  <c r="Z807" i="2"/>
  <c r="Z817" i="2"/>
  <c r="Z832" i="2"/>
  <c r="Z884" i="2"/>
  <c r="Z890" i="2"/>
  <c r="Z902" i="2"/>
  <c r="Z981" i="2"/>
  <c r="Z931" i="2"/>
  <c r="Z470" i="2"/>
  <c r="Z1021" i="2"/>
  <c r="Z494" i="2"/>
  <c r="Z498" i="2"/>
  <c r="Z1141" i="2"/>
  <c r="Z1151" i="2"/>
  <c r="Z1086" i="2"/>
  <c r="Z1163" i="2"/>
  <c r="Z1031" i="2"/>
  <c r="Z1180" i="2"/>
  <c r="Z1035" i="2"/>
  <c r="Z1104" i="2"/>
  <c r="Z358" i="2"/>
  <c r="Z395" i="2"/>
  <c r="Z297" i="2"/>
  <c r="Z306" i="2"/>
  <c r="Z397" i="2"/>
  <c r="Z1193" i="2"/>
  <c r="Z311" i="2"/>
  <c r="Z312" i="2"/>
  <c r="Z319" i="2"/>
  <c r="Z1213" i="2"/>
  <c r="Z1361" i="2"/>
  <c r="Z1414" i="2"/>
  <c r="Z1338" i="2"/>
  <c r="Z1438" i="2"/>
  <c r="Z1455" i="2"/>
  <c r="Z1478" i="2"/>
  <c r="Z1371" i="2"/>
  <c r="Z1217" i="2"/>
  <c r="Z1219" i="2"/>
  <c r="Z1238" i="2"/>
  <c r="Z976" i="2"/>
  <c r="Z955" i="2"/>
  <c r="Z1530" i="2"/>
  <c r="Z960" i="2"/>
  <c r="Z1233" i="2"/>
  <c r="Z1519" i="2"/>
  <c r="Z1568" i="2"/>
  <c r="Z1549" i="2"/>
  <c r="Z535" i="2"/>
  <c r="Z565" i="2"/>
  <c r="Z1248" i="2"/>
  <c r="Z1255" i="2"/>
  <c r="Z1324" i="2"/>
  <c r="Z543" i="2"/>
  <c r="Z550" i="2"/>
  <c r="Z600" i="2"/>
  <c r="Z605" i="2"/>
  <c r="Z2145" i="2"/>
  <c r="Z1651" i="2"/>
  <c r="Z1495" i="2"/>
  <c r="Z733" i="2"/>
  <c r="Z640" i="2"/>
  <c r="Z643" i="2"/>
  <c r="Z656" i="2"/>
  <c r="Z725" i="2"/>
  <c r="Z700" i="2"/>
  <c r="Z614" i="2"/>
  <c r="Z624" i="2"/>
  <c r="Z634" i="2"/>
  <c r="Z1556" i="2"/>
  <c r="Z426" i="2"/>
  <c r="Z431" i="2"/>
  <c r="Z754" i="2"/>
  <c r="Z765" i="2"/>
  <c r="Z716" i="2"/>
  <c r="Z1297" i="2"/>
  <c r="Z1304" i="2"/>
  <c r="Z1712" i="2"/>
  <c r="Z1717" i="2"/>
  <c r="Z671" i="2"/>
  <c r="Z1291" i="2"/>
  <c r="Z682" i="2"/>
  <c r="Z688" i="2"/>
  <c r="Z692" i="2"/>
  <c r="Z1769" i="2"/>
  <c r="Z1750" i="2"/>
  <c r="Z1757" i="2"/>
  <c r="Z1758" i="2"/>
  <c r="Z1778" i="2"/>
  <c r="Z1780" i="2"/>
  <c r="Z1613" i="2"/>
  <c r="Z1796" i="2"/>
  <c r="Z1806" i="2"/>
  <c r="Z1811" i="2"/>
  <c r="Z1810" i="2"/>
  <c r="Z1635" i="2"/>
  <c r="Z1817" i="2"/>
  <c r="Z1821" i="2"/>
  <c r="Z1894" i="2"/>
  <c r="Z1897" i="2"/>
  <c r="Z1620" i="2"/>
  <c r="Z1828" i="2"/>
  <c r="Z1838" i="2"/>
  <c r="Z1857" i="2"/>
  <c r="Z1872" i="2"/>
  <c r="Z1912" i="2"/>
  <c r="Z1900" i="2"/>
  <c r="Z1962" i="2"/>
  <c r="Z1965" i="2"/>
  <c r="Z1931" i="2"/>
  <c r="Z1969" i="2"/>
  <c r="Z1976" i="2"/>
  <c r="Z1933" i="2"/>
  <c r="Z1934" i="2"/>
  <c r="Z1938" i="2"/>
  <c r="Z1941" i="2"/>
  <c r="Z1943" i="2"/>
  <c r="Z1979" i="2"/>
  <c r="Z1953" i="2"/>
  <c r="Z386" i="2"/>
  <c r="Z376" i="2"/>
  <c r="Z1988" i="2"/>
  <c r="Z1991" i="2"/>
  <c r="Z2010" i="2"/>
  <c r="Z1993" i="2"/>
  <c r="Z237" i="2"/>
  <c r="Z2034" i="2"/>
  <c r="Z2046" i="2"/>
  <c r="Z2019" i="2"/>
  <c r="Z2024" i="2"/>
  <c r="Z2073" i="2"/>
  <c r="Z2083" i="2"/>
  <c r="Z808" i="2"/>
  <c r="Z809" i="2"/>
  <c r="Z810" i="2"/>
  <c r="Z818" i="2"/>
  <c r="Z883" i="2"/>
  <c r="Z885" i="2"/>
  <c r="Z891" i="2"/>
  <c r="Z442" i="2"/>
  <c r="Z443" i="2"/>
  <c r="Z980" i="2"/>
  <c r="Z1016" i="2"/>
  <c r="Z932" i="2"/>
  <c r="Z453" i="2"/>
  <c r="Z933" i="2"/>
  <c r="Z454" i="2"/>
  <c r="Z941" i="2"/>
  <c r="Z471" i="2"/>
  <c r="Z479" i="2"/>
  <c r="Z482" i="2"/>
  <c r="Z483" i="2"/>
  <c r="Z487" i="2"/>
  <c r="Z1022" i="2"/>
  <c r="Z499" i="2"/>
  <c r="Z864" i="2"/>
  <c r="Z1142" i="2"/>
  <c r="Z1050" i="2"/>
  <c r="Z1051" i="2"/>
  <c r="Z1143" i="2"/>
  <c r="Z1144" i="2"/>
  <c r="Z1113" i="2"/>
  <c r="Z1094" i="2"/>
  <c r="Z1052" i="2"/>
  <c r="Z1077" i="2"/>
  <c r="Z1053" i="2"/>
  <c r="Z1152" i="2"/>
  <c r="Z1078" i="2"/>
  <c r="Z1164" i="2"/>
  <c r="Z1128" i="2"/>
  <c r="Z1173" i="2"/>
  <c r="Z1178" i="2"/>
  <c r="Z1004" i="2"/>
  <c r="Z1181" i="2"/>
  <c r="Z359" i="2"/>
  <c r="Z364" i="2"/>
  <c r="Z396" i="2"/>
  <c r="Z1189" i="2"/>
  <c r="Z1190" i="2"/>
  <c r="Z1191" i="2"/>
  <c r="Z296" i="2"/>
  <c r="Z298" i="2"/>
  <c r="Z308" i="2"/>
  <c r="Z398" i="2"/>
  <c r="Z309" i="2"/>
  <c r="Z310" i="2"/>
  <c r="Z313" i="2"/>
  <c r="Z314" i="2"/>
  <c r="Z2101" i="2"/>
  <c r="Z320" i="2"/>
  <c r="Z336" i="2"/>
  <c r="Z337" i="2"/>
  <c r="Z1214" i="2"/>
  <c r="Z2116" i="2"/>
  <c r="Z2117" i="2"/>
  <c r="Z345" i="2"/>
  <c r="Z347" i="2"/>
  <c r="Z1362" i="2"/>
  <c r="Z1415" i="2"/>
  <c r="Z2127" i="2"/>
  <c r="Z1416" i="2"/>
  <c r="Z1339" i="2"/>
  <c r="Z1340" i="2"/>
  <c r="Z1418" i="2"/>
  <c r="Z1348" i="2"/>
  <c r="Z1424" i="2"/>
  <c r="Z1439" i="2"/>
  <c r="Z1452" i="2"/>
  <c r="Z1456" i="2"/>
  <c r="Z1451" i="2"/>
  <c r="Z1372" i="2"/>
  <c r="Z1376" i="2"/>
  <c r="Z1218" i="2"/>
  <c r="Z1380" i="2"/>
  <c r="Z1220" i="2"/>
  <c r="Z1229" i="2"/>
  <c r="Z1230" i="2"/>
  <c r="Z1395" i="2"/>
  <c r="Z1239" i="2"/>
  <c r="Z1541" i="2"/>
  <c r="Z954" i="2"/>
  <c r="Z1526" i="2"/>
  <c r="Z956" i="2"/>
  <c r="Z1527" i="2"/>
  <c r="Z957" i="2"/>
  <c r="Z961" i="2"/>
  <c r="Z1531" i="2"/>
  <c r="Z1515" i="2"/>
  <c r="Z1520" i="2"/>
  <c r="Z1545" i="2"/>
  <c r="Z1601" i="2"/>
  <c r="Z1569" i="2"/>
  <c r="Z1570" i="2"/>
  <c r="Z1571" i="2"/>
  <c r="Z1551" i="2"/>
  <c r="Z524" i="2"/>
  <c r="Z525" i="2"/>
  <c r="Z526" i="2"/>
  <c r="Z527" i="2"/>
  <c r="Z1592" i="2"/>
  <c r="Z559" i="2"/>
  <c r="Z566" i="2"/>
  <c r="Z1249" i="2"/>
  <c r="Z1256" i="2"/>
  <c r="Z1321" i="2"/>
  <c r="Z1325" i="2"/>
  <c r="Z1267" i="2"/>
  <c r="Z544" i="2"/>
  <c r="Z1317" i="2"/>
  <c r="Z576" i="2"/>
  <c r="Z580" i="2"/>
  <c r="Z583" i="2"/>
  <c r="Z588" i="2"/>
  <c r="Z599" i="2"/>
  <c r="Z601" i="2"/>
  <c r="Z606" i="2"/>
  <c r="Z2157" i="2"/>
  <c r="Z2158" i="2"/>
  <c r="Z2141" i="2"/>
  <c r="Z2161" i="2"/>
  <c r="Z2165" i="2"/>
  <c r="Z2146" i="2"/>
  <c r="Z608" i="2"/>
  <c r="Z1496" i="2"/>
  <c r="Z1497" i="2"/>
  <c r="Z1498" i="2"/>
  <c r="Z637" i="2"/>
  <c r="Z638" i="2"/>
  <c r="Z734" i="2"/>
  <c r="Z639" i="2"/>
  <c r="Z723" i="2"/>
  <c r="Z1655" i="2"/>
  <c r="Z1657" i="2"/>
  <c r="Z724" i="2"/>
  <c r="Z649" i="2"/>
  <c r="Z1660" i="2"/>
  <c r="Z1664" i="2"/>
  <c r="Z657" i="2"/>
  <c r="Z1665" i="2"/>
  <c r="Z1666" i="2"/>
  <c r="Z1669" i="2"/>
  <c r="Z1688" i="2"/>
  <c r="Z1671" i="2"/>
  <c r="Z1330" i="2"/>
  <c r="Z745" i="2"/>
  <c r="Z701" i="2"/>
  <c r="Z705" i="2"/>
  <c r="Z615" i="2"/>
  <c r="Z616" i="2"/>
  <c r="Z625" i="2"/>
  <c r="Z630" i="2"/>
  <c r="Z635" i="2"/>
  <c r="Z1507" i="2"/>
  <c r="Z2228" i="2"/>
  <c r="Z2242" i="2"/>
  <c r="Z1704" i="2"/>
  <c r="Z427" i="2"/>
  <c r="Z1705" i="2"/>
  <c r="Z432" i="2"/>
  <c r="Z1732" i="2"/>
  <c r="Z766" i="2"/>
  <c r="Z717" i="2"/>
  <c r="Z1298" i="2"/>
  <c r="Z1279" i="2"/>
  <c r="Z1282" i="2"/>
  <c r="Z1709" i="2"/>
  <c r="Z1713" i="2"/>
  <c r="Z1723" i="2"/>
  <c r="Z672" i="2"/>
  <c r="Z1727" i="2"/>
  <c r="Z1728" i="2"/>
  <c r="Z1292" i="2"/>
  <c r="Z661" i="2"/>
  <c r="Z683" i="2"/>
  <c r="Z693" i="2"/>
  <c r="Z1759" i="2"/>
  <c r="Z1779" i="2"/>
  <c r="Z1781" i="2"/>
  <c r="Z1614" i="2"/>
  <c r="Z1802" i="2"/>
  <c r="Z1803" i="2"/>
  <c r="Z2155" i="2"/>
  <c r="Z1636" i="2"/>
  <c r="Z1638" i="2"/>
  <c r="Z1647" i="2"/>
  <c r="Z1822" i="2"/>
  <c r="Z1896" i="2"/>
  <c r="Z1829" i="2"/>
  <c r="Z1860" i="2"/>
  <c r="Z1861" i="2"/>
  <c r="Z1874" i="2"/>
  <c r="Z1901" i="2"/>
  <c r="Z1903" i="2"/>
  <c r="Z1910" i="2"/>
  <c r="Z1918" i="2"/>
  <c r="Z1963" i="2"/>
  <c r="Z1932" i="2"/>
  <c r="Z1935" i="2"/>
  <c r="Z1936" i="2"/>
  <c r="Z1951" i="2"/>
  <c r="Z387" i="2"/>
  <c r="Z388" i="2"/>
  <c r="Z1989" i="2"/>
  <c r="Z2005" i="2"/>
  <c r="Z2013" i="2"/>
  <c r="Z1996" i="2"/>
  <c r="Z2035" i="2"/>
  <c r="Z2047" i="2"/>
  <c r="Z2025" i="2"/>
  <c r="Z2027" i="2"/>
  <c r="Z2081" i="2"/>
  <c r="Z892" i="2"/>
  <c r="Z935" i="2"/>
  <c r="Z472" i="2"/>
  <c r="Z480" i="2"/>
  <c r="Z488" i="2"/>
  <c r="Z866" i="2"/>
  <c r="Z1145" i="2"/>
  <c r="Z1114" i="2"/>
  <c r="Z1079" i="2"/>
  <c r="Z1062" i="2"/>
  <c r="Z921" i="2"/>
  <c r="Z1124" i="2"/>
  <c r="Z1002" i="2"/>
  <c r="Z1167" i="2"/>
  <c r="Z1072" i="2"/>
  <c r="Z400" i="2"/>
  <c r="Z1195" i="2"/>
  <c r="Z2102" i="2"/>
  <c r="Z2118" i="2"/>
  <c r="Z2119" i="2"/>
  <c r="Z2124" i="2"/>
  <c r="Z1417" i="2"/>
  <c r="Z1341" i="2"/>
  <c r="Z1419" i="2"/>
  <c r="Z1381" i="2"/>
  <c r="Z1244" i="2"/>
  <c r="Z1245" i="2"/>
  <c r="Z1521" i="2"/>
  <c r="Z1265" i="2"/>
  <c r="Z2159" i="2"/>
  <c r="Z2147" i="2"/>
  <c r="Z2166" i="2"/>
  <c r="Z735" i="2"/>
  <c r="Z644" i="2"/>
  <c r="Z1658" i="2"/>
  <c r="Z1670" i="2"/>
  <c r="Z1684" i="2"/>
  <c r="Z726" i="2"/>
  <c r="Z702" i="2"/>
  <c r="Z626" i="2"/>
  <c r="Z767" i="2"/>
  <c r="Z694" i="2"/>
  <c r="Z1760" i="2"/>
  <c r="Z1782" i="2"/>
  <c r="Z1807" i="2"/>
  <c r="Z1618" i="2"/>
  <c r="Z1789" i="2"/>
  <c r="Z1639" i="2"/>
  <c r="Z1642" i="2"/>
  <c r="Z1847" i="2"/>
  <c r="Z1648" i="2"/>
  <c r="Z1823" i="2"/>
  <c r="Z1630" i="2"/>
  <c r="Z1649" i="2"/>
  <c r="Z1839" i="2"/>
  <c r="Z1902" i="2"/>
  <c r="Z1919" i="2"/>
  <c r="Z1970" i="2"/>
  <c r="Z1952" i="2"/>
  <c r="Z2084" i="2"/>
  <c r="Z833" i="2"/>
  <c r="Z853" i="2"/>
  <c r="Z893" i="2"/>
  <c r="Z903" i="2"/>
  <c r="Z911" i="2"/>
  <c r="Z942" i="2"/>
  <c r="Z949" i="2"/>
  <c r="Z460" i="2"/>
  <c r="Z473" i="2"/>
  <c r="Z988" i="2"/>
  <c r="Z489" i="2"/>
  <c r="Z1023" i="2"/>
  <c r="Z500" i="2"/>
  <c r="Z504" i="2"/>
  <c r="Z995" i="2"/>
  <c r="Z1119" i="2"/>
  <c r="Z1153" i="2"/>
  <c r="Z11" i="2"/>
  <c r="Z1058" i="2"/>
  <c r="Z1100" i="2"/>
  <c r="Z1083" i="2"/>
  <c r="Z1130" i="2"/>
  <c r="Z1005" i="2"/>
  <c r="Z1182" i="2"/>
  <c r="Z1073" i="2"/>
  <c r="Z1106" i="2"/>
  <c r="Z360" i="2"/>
  <c r="Z365" i="2"/>
  <c r="Z2103" i="2"/>
  <c r="Z2113" i="2"/>
  <c r="Z1200" i="2"/>
  <c r="Z327" i="2"/>
  <c r="Z1204" i="2"/>
  <c r="Z334" i="2"/>
  <c r="Z405" i="2"/>
  <c r="Z411" i="2"/>
  <c r="Z1212" i="2"/>
  <c r="Z415" i="2"/>
  <c r="Z1483" i="2"/>
  <c r="Z348" i="2"/>
  <c r="Z2125" i="2"/>
  <c r="Z1342" i="2"/>
  <c r="Z1349" i="2"/>
  <c r="Z1457" i="2"/>
  <c r="Z1445" i="2"/>
  <c r="Z1470" i="2"/>
  <c r="Z1471" i="2"/>
  <c r="Z1474" i="2"/>
  <c r="Z351" i="2"/>
  <c r="Z1377" i="2"/>
  <c r="Z1385" i="2"/>
  <c r="Z1231" i="2"/>
  <c r="Z1396" i="2"/>
  <c r="Z1240" i="2"/>
  <c r="Z1532" i="2"/>
  <c r="Z971" i="2"/>
  <c r="Z974" i="2"/>
  <c r="Z1537" i="2"/>
  <c r="Z1401" i="2"/>
  <c r="Z2134" i="2"/>
  <c r="Z1516" i="2"/>
  <c r="Z1546" i="2"/>
  <c r="Z1572" i="2"/>
  <c r="Z1584" i="2"/>
  <c r="Z1550" i="2"/>
  <c r="Z1593" i="2"/>
  <c r="Z529" i="2"/>
  <c r="Z538" i="2"/>
  <c r="Z567" i="2"/>
  <c r="Z1250" i="2"/>
  <c r="Z1262" i="2"/>
  <c r="Z1268" i="2"/>
  <c r="Z1310" i="2"/>
  <c r="Z1326" i="2"/>
  <c r="Z545" i="2"/>
  <c r="Z1318" i="2"/>
  <c r="Z577" i="2"/>
  <c r="Z584" i="2"/>
  <c r="Z607" i="2"/>
  <c r="Z2167" i="2"/>
  <c r="Z2148" i="2"/>
  <c r="Z1499" i="2"/>
  <c r="Z736" i="2"/>
  <c r="Z645" i="2"/>
  <c r="Z1693" i="2"/>
  <c r="Z659" i="2"/>
  <c r="Z1676" i="2"/>
  <c r="Z2189" i="2"/>
  <c r="Z2196" i="2"/>
  <c r="Z627" i="2"/>
  <c r="Z1508" i="2"/>
  <c r="Z2216" i="2"/>
  <c r="Z2239" i="2"/>
  <c r="Z710" i="2"/>
  <c r="Z2225" i="2"/>
  <c r="Z1557" i="2"/>
  <c r="Z428" i="2"/>
  <c r="Z1275" i="2"/>
  <c r="Z1733" i="2"/>
  <c r="Z756" i="2"/>
  <c r="Z768" i="2"/>
  <c r="Z772" i="2"/>
  <c r="Z435" i="2"/>
  <c r="Z718" i="2"/>
  <c r="Z1280" i="2"/>
  <c r="Z791" i="2"/>
  <c r="Z798" i="2"/>
  <c r="Z1710" i="2"/>
  <c r="Z1718" i="2"/>
  <c r="Z1724" i="2"/>
  <c r="Z673" i="2"/>
  <c r="Z1729" i="2"/>
  <c r="Z1293" i="2"/>
  <c r="Z684" i="2"/>
  <c r="Z554" i="2"/>
  <c r="Z664" i="2"/>
  <c r="Z697" i="2"/>
  <c r="Z2382" i="2"/>
  <c r="Z2234" i="2"/>
  <c r="Z1751" i="2"/>
  <c r="Z1761" i="2"/>
  <c r="Z166" i="2"/>
  <c r="Z126" i="2"/>
  <c r="Z129" i="2"/>
  <c r="Z159" i="2"/>
  <c r="Z140" i="2"/>
  <c r="Z223" i="2"/>
  <c r="Z1840" i="2"/>
  <c r="Z214" i="2"/>
  <c r="Z2629" i="2"/>
  <c r="Z1006" i="2"/>
  <c r="Z1263" i="2"/>
  <c r="Z788" i="2"/>
  <c r="Z224" i="2"/>
  <c r="Z826" i="2"/>
  <c r="Z984" i="2"/>
  <c r="Z5" i="2"/>
  <c r="Z1157" i="2"/>
  <c r="Z1067" i="2"/>
  <c r="Z1088" i="2"/>
  <c r="Z1174" i="2"/>
  <c r="Z1183" i="2"/>
  <c r="Z330" i="2"/>
  <c r="Z1210" i="2"/>
  <c r="Z1442" i="2"/>
  <c r="Z1388" i="2"/>
  <c r="Z973" i="2"/>
  <c r="Z1587" i="2"/>
  <c r="Z1306" i="2"/>
  <c r="Z539" i="2"/>
  <c r="Z602" i="2"/>
  <c r="Z1491" i="2"/>
  <c r="Z609" i="2"/>
  <c r="Z424" i="2"/>
  <c r="Z720" i="2"/>
  <c r="Z1762" i="2"/>
  <c r="Z123" i="2"/>
  <c r="Z163" i="2"/>
  <c r="Z135" i="2"/>
  <c r="Z1833" i="2"/>
  <c r="Z1916" i="2"/>
  <c r="Z209" i="2"/>
  <c r="Z2630" i="2"/>
  <c r="Z834" i="2"/>
  <c r="Z894" i="2"/>
  <c r="Z913" i="2"/>
  <c r="Z1000" i="2"/>
  <c r="Z12" i="2"/>
  <c r="Z835" i="2"/>
  <c r="Z895" i="2"/>
  <c r="Z915" i="2"/>
  <c r="Z943" i="2"/>
  <c r="Z950" i="2"/>
  <c r="Z461" i="2"/>
  <c r="Z862" i="2"/>
  <c r="Z474" i="2"/>
  <c r="Z989" i="2"/>
  <c r="Z490" i="2"/>
  <c r="Z1024" i="2"/>
  <c r="Z501" i="2"/>
  <c r="Z505" i="2"/>
  <c r="Z508" i="2"/>
  <c r="Z1001" i="2"/>
  <c r="Z13" i="2"/>
  <c r="Z922" i="2"/>
  <c r="Z836" i="2"/>
  <c r="Z896" i="2"/>
  <c r="Z456" i="2"/>
  <c r="Z944" i="2"/>
  <c r="Z1025" i="2"/>
  <c r="Z14" i="2"/>
  <c r="Z1120" i="2"/>
  <c r="Z1154" i="2"/>
  <c r="Z1059" i="2"/>
  <c r="Z1101" i="2"/>
  <c r="Z1084" i="2"/>
  <c r="Z361" i="2"/>
  <c r="Z2104" i="2"/>
  <c r="Z2114" i="2"/>
  <c r="Z1201" i="2"/>
  <c r="Z328" i="2"/>
  <c r="Z412" i="2"/>
  <c r="Z1484" i="2"/>
  <c r="Z1363" i="2"/>
  <c r="Z1343" i="2"/>
  <c r="Z1440" i="2"/>
  <c r="Z1446" i="2"/>
  <c r="Z1472" i="2"/>
  <c r="Z352" i="2"/>
  <c r="Z1378" i="2"/>
  <c r="Z1386" i="2"/>
  <c r="Z1232" i="2"/>
  <c r="Z1241" i="2"/>
  <c r="Z962" i="2"/>
  <c r="Z1538" i="2"/>
  <c r="Z2135" i="2"/>
  <c r="Z1573" i="2"/>
  <c r="Z1585" i="2"/>
  <c r="Z1594" i="2"/>
  <c r="Z568" i="2"/>
  <c r="Z1322" i="2"/>
  <c r="Z578" i="2"/>
  <c r="Z589" i="2"/>
  <c r="Z2168" i="2"/>
  <c r="Z2149" i="2"/>
  <c r="Z2170" i="2"/>
  <c r="Z2174" i="2"/>
  <c r="Z1500" i="2"/>
  <c r="Z737" i="2"/>
  <c r="Z2180" i="2"/>
  <c r="Z646" i="2"/>
  <c r="Z1694" i="2"/>
  <c r="Z1677" i="2"/>
  <c r="Z744" i="2"/>
  <c r="Z2190" i="2"/>
  <c r="Z703" i="2"/>
  <c r="Z2197" i="2"/>
  <c r="Z628" i="2"/>
  <c r="Z631" i="2"/>
  <c r="Z1509" i="2"/>
  <c r="Z2217" i="2"/>
  <c r="Z2240" i="2"/>
  <c r="Z2226" i="2"/>
  <c r="Z1558" i="2"/>
  <c r="Z757" i="2"/>
  <c r="Z769" i="2"/>
  <c r="Z799" i="2"/>
  <c r="Z1719" i="2"/>
  <c r="Z1725" i="2"/>
  <c r="Z685" i="2"/>
  <c r="Z555" i="2"/>
  <c r="Z2383" i="2"/>
  <c r="Z2235" i="2"/>
  <c r="Z1752" i="2"/>
  <c r="Z1765" i="2"/>
  <c r="Z155" i="2"/>
  <c r="Z167" i="2"/>
  <c r="Z127" i="2"/>
  <c r="Z130" i="2"/>
  <c r="Z131" i="2"/>
  <c r="Z160" i="2"/>
  <c r="Z1824" i="2"/>
  <c r="Z141" i="2"/>
  <c r="Z225" i="2"/>
  <c r="Z1841" i="2"/>
  <c r="Z215" i="2"/>
  <c r="Z2631" i="2"/>
  <c r="Z837" i="2"/>
  <c r="Z897" i="2"/>
  <c r="Z945" i="2"/>
  <c r="Z951" i="2"/>
  <c r="Z462" i="2"/>
  <c r="Z475" i="2"/>
  <c r="Z990" i="2"/>
  <c r="Z491" i="2"/>
  <c r="Z502" i="2"/>
  <c r="Z15" i="2"/>
  <c r="Z1155" i="2"/>
  <c r="Z1121" i="2"/>
  <c r="Z1102" i="2"/>
  <c r="Z1060" i="2"/>
  <c r="Z1085" i="2"/>
  <c r="Z923" i="2"/>
  <c r="Z1131" i="2"/>
  <c r="Z1172" i="2"/>
  <c r="Z1007" i="2"/>
  <c r="Z362" i="2"/>
  <c r="Z366" i="2"/>
  <c r="Z1202" i="2"/>
  <c r="Z329" i="2"/>
  <c r="Z406" i="2"/>
  <c r="Z413" i="2"/>
  <c r="Z1485" i="2"/>
  <c r="Z349" i="2"/>
  <c r="Z1364" i="2"/>
  <c r="Z2126" i="2"/>
  <c r="Z1344" i="2"/>
  <c r="Z1350" i="2"/>
  <c r="Z1458" i="2"/>
  <c r="Z1447" i="2"/>
  <c r="Z353" i="2"/>
  <c r="Z1379" i="2"/>
  <c r="Z1387" i="2"/>
  <c r="Z1533" i="2"/>
  <c r="Z963" i="2"/>
  <c r="Z972" i="2"/>
  <c r="Z1539" i="2"/>
  <c r="Z2136" i="2"/>
  <c r="Z1547" i="2"/>
  <c r="Z1574" i="2"/>
  <c r="Z1586" i="2"/>
  <c r="Z1595" i="2"/>
  <c r="Z530" i="2"/>
  <c r="Z560" i="2"/>
  <c r="Z569" i="2"/>
  <c r="Z1251" i="2"/>
  <c r="Z1264" i="2"/>
  <c r="Z1323" i="2"/>
  <c r="Z585" i="2"/>
  <c r="Z596" i="2"/>
  <c r="Z2169" i="2"/>
  <c r="Z2150" i="2"/>
  <c r="Z2171" i="2"/>
  <c r="Z2175" i="2"/>
  <c r="Z1501" i="2"/>
  <c r="Z738" i="2"/>
  <c r="Z2181" i="2"/>
  <c r="Z647" i="2"/>
  <c r="Z658" i="2"/>
  <c r="Z1695" i="2"/>
  <c r="Z1678" i="2"/>
  <c r="Z2191" i="2"/>
  <c r="Z2198" i="2"/>
  <c r="Z629" i="2"/>
  <c r="Z1510" i="2"/>
  <c r="Z2218" i="2"/>
  <c r="Z2241" i="2"/>
  <c r="Z711" i="2"/>
  <c r="Z2227" i="2"/>
  <c r="Z1559" i="2"/>
  <c r="Z429" i="2"/>
  <c r="Z1276" i="2"/>
  <c r="Z1734" i="2"/>
  <c r="Z770" i="2"/>
  <c r="Z773" i="2"/>
  <c r="Z719" i="2"/>
  <c r="Z800" i="2"/>
  <c r="Z1711" i="2"/>
  <c r="Z1726" i="2"/>
  <c r="Z674" i="2"/>
  <c r="Z662" i="2"/>
  <c r="Z686" i="2"/>
  <c r="Z556" i="2"/>
  <c r="Z2384" i="2"/>
  <c r="Z2236" i="2"/>
  <c r="Z1753" i="2"/>
  <c r="Z156" i="2"/>
  <c r="Z168" i="2"/>
  <c r="Z132" i="2"/>
  <c r="Z161" i="2"/>
  <c r="Z142" i="2"/>
  <c r="Z1859" i="2"/>
  <c r="Z216" i="2"/>
  <c r="Z2632" i="2"/>
  <c r="Z2350" i="2"/>
  <c r="Z2351" i="2"/>
  <c r="Z2358" i="2"/>
  <c r="Z2365" i="2"/>
  <c r="Z2366" i="2"/>
  <c r="Z2371" i="2"/>
  <c r="Z2373" i="2"/>
  <c r="Z2378" i="2"/>
  <c r="Z2379" i="2"/>
  <c r="Z2380" i="2"/>
  <c r="Z2345" i="2"/>
  <c r="Z2346" i="2"/>
  <c r="Z2347" i="2"/>
  <c r="Z2349" i="2"/>
  <c r="Z2353" i="2"/>
  <c r="Z2354" i="2"/>
  <c r="Z2364" i="2"/>
  <c r="Z516" i="2"/>
  <c r="Z2368" i="2"/>
  <c r="Z2369" i="2"/>
  <c r="Z2370" i="2"/>
  <c r="Z2403" i="2"/>
  <c r="Z2409" i="2"/>
  <c r="Z2410" i="2"/>
  <c r="Z2421" i="2"/>
  <c r="Z2423" i="2"/>
  <c r="Z2427" i="2"/>
  <c r="Z2419" i="2"/>
  <c r="Z2436" i="2"/>
  <c r="Z2386" i="2"/>
  <c r="Z2432" i="2"/>
  <c r="Z2428" i="2"/>
  <c r="Z2406" i="2"/>
  <c r="Z2425" i="2"/>
  <c r="Z2437" i="2"/>
  <c r="Z2387" i="2"/>
  <c r="Z2430" i="2"/>
  <c r="Z2385" i="2"/>
  <c r="Z2422" i="2"/>
  <c r="Z2424" i="2"/>
  <c r="Z2329" i="2"/>
  <c r="Z2412" i="2"/>
  <c r="Z2413" i="2"/>
  <c r="Z2333" i="2"/>
  <c r="Z2334" i="2"/>
  <c r="Z2335" i="2"/>
  <c r="Z2340" i="2"/>
  <c r="Z2341" i="2"/>
  <c r="Z2399" i="2"/>
  <c r="Z523" i="2"/>
  <c r="Z2367" i="2"/>
  <c r="Z2377" i="2"/>
  <c r="Z2388" i="2"/>
  <c r="Z2477" i="2"/>
  <c r="Z1908" i="2"/>
  <c r="Z2602" i="2"/>
  <c r="Z2395" i="2"/>
  <c r="Z2414" i="2"/>
  <c r="Z2355" i="2"/>
  <c r="Z2356" i="2"/>
  <c r="Z2359" i="2"/>
  <c r="Z2404" i="2"/>
  <c r="Z2401" i="2"/>
  <c r="Z2396" i="2"/>
  <c r="Z2415" i="2"/>
  <c r="Z2343" i="2"/>
  <c r="Z2344" i="2"/>
  <c r="Z2398" i="2"/>
  <c r="Z2360" i="2"/>
  <c r="Z2363" i="2"/>
  <c r="Z2389" i="2"/>
  <c r="Z2438" i="2"/>
  <c r="Z2390" i="2"/>
  <c r="Z2431" i="2"/>
  <c r="Z2391" i="2"/>
  <c r="Z2330" i="2"/>
  <c r="Z2331" i="2"/>
  <c r="Z2332" i="2"/>
  <c r="Z2336" i="2"/>
  <c r="Z2337" i="2"/>
  <c r="Z2338" i="2"/>
  <c r="Z2339" i="2"/>
  <c r="Z2342" i="2"/>
  <c r="Z2348" i="2"/>
  <c r="Z2352" i="2"/>
  <c r="Z2357" i="2"/>
  <c r="Z2361" i="2"/>
  <c r="Z2362" i="2"/>
  <c r="Z2372" i="2"/>
  <c r="Z2374" i="2"/>
  <c r="Z2375" i="2"/>
  <c r="Z2392" i="2"/>
  <c r="Z2381" i="2"/>
  <c r="Z2091" i="2"/>
  <c r="Z391" i="2"/>
  <c r="Z2411" i="2"/>
  <c r="Z2376" i="2"/>
  <c r="Z2092" i="2"/>
  <c r="Z2397" i="2"/>
  <c r="Z2426" i="2"/>
  <c r="Z2417" i="2"/>
  <c r="Z2393" i="2"/>
  <c r="Z2429" i="2"/>
  <c r="Z2433" i="2"/>
  <c r="Z2407" i="2"/>
  <c r="Z2416" i="2"/>
  <c r="Z2400" i="2"/>
  <c r="Z1907" i="2"/>
  <c r="Z2408" i="2"/>
  <c r="Z2418" i="2"/>
  <c r="Z2420" i="2"/>
  <c r="Z2439" i="2"/>
  <c r="Z2402" i="2"/>
  <c r="Z2394" i="2"/>
  <c r="Z2434" i="2"/>
  <c r="Z2405" i="2"/>
  <c r="Z2451" i="2"/>
  <c r="Z2456" i="2"/>
  <c r="Z2458" i="2"/>
  <c r="Z2459" i="2"/>
  <c r="Z2460" i="2"/>
  <c r="Z2461" i="2"/>
  <c r="Z2462" i="2"/>
  <c r="Z2463" i="2"/>
  <c r="Z2464" i="2"/>
  <c r="Z2465" i="2"/>
  <c r="Z2466" i="2"/>
  <c r="Z2467" i="2"/>
  <c r="Z2468" i="2"/>
  <c r="Z2469" i="2"/>
  <c r="Z2470" i="2"/>
  <c r="Z2471" i="2"/>
  <c r="Z2475" i="2"/>
  <c r="Z2476" i="2"/>
  <c r="Z2473" i="2"/>
  <c r="Z2474" i="2"/>
  <c r="Z175" i="2"/>
  <c r="Z176" i="2"/>
  <c r="Z1511" i="2"/>
  <c r="Z2327" i="2"/>
  <c r="Z2328" i="2"/>
  <c r="Z2454" i="2"/>
  <c r="Z2440" i="2"/>
  <c r="Z2447" i="2"/>
  <c r="Z181" i="2"/>
  <c r="Z182" i="2"/>
  <c r="Z2442" i="2"/>
  <c r="Z2444" i="2"/>
  <c r="Z2445" i="2"/>
  <c r="Z2446" i="2"/>
  <c r="Z177" i="2"/>
  <c r="Z178" i="2"/>
  <c r="Z2472" i="2"/>
  <c r="Z183" i="2"/>
  <c r="Z2457" i="2"/>
  <c r="Z2450" i="2"/>
  <c r="Z2452" i="2"/>
  <c r="Z180" i="2"/>
  <c r="Z2453" i="2"/>
  <c r="Z184" i="2"/>
  <c r="Z185" i="2"/>
  <c r="Z2441" i="2"/>
  <c r="Z179" i="2"/>
  <c r="Z2326" i="2"/>
  <c r="Z2443" i="2"/>
  <c r="Z2448" i="2"/>
  <c r="Z2449" i="2"/>
  <c r="Z2455" i="2"/>
  <c r="A31" i="9"/>
  <c r="AB31" i="9"/>
  <c r="AF19" i="9" l="1"/>
  <c r="AF22" i="9"/>
  <c r="AF31" i="9"/>
  <c r="AC31" i="9"/>
  <c r="A39" i="9" l="1"/>
  <c r="AB39" i="9"/>
  <c r="AC39" i="9"/>
  <c r="AF39" i="9" l="1"/>
  <c r="A47" i="9"/>
  <c r="AB47" i="9"/>
  <c r="AC47" i="9"/>
  <c r="A46" i="9"/>
  <c r="AB46" i="9"/>
  <c r="AC46" i="9"/>
  <c r="AF46" i="9" l="1"/>
  <c r="AF47" i="9"/>
  <c r="J13" i="21"/>
  <c r="J12" i="21"/>
  <c r="A32" i="9"/>
  <c r="AB32" i="9"/>
  <c r="AC32" i="9"/>
  <c r="A12" i="9"/>
  <c r="AB12" i="9"/>
  <c r="AC12" i="9"/>
  <c r="AF32" i="9" l="1"/>
  <c r="AF12" i="9"/>
  <c r="A13" i="9"/>
  <c r="AB13" i="9"/>
  <c r="AF13" i="9" l="1"/>
  <c r="AC13" i="9"/>
  <c r="A7" i="9" l="1"/>
  <c r="AB7" i="9"/>
  <c r="AC7" i="9"/>
  <c r="A6" i="9"/>
  <c r="A5" i="9"/>
  <c r="AB6" i="9"/>
  <c r="AB5" i="9"/>
  <c r="AC5" i="9"/>
  <c r="AC6" i="9"/>
  <c r="AF5" i="9" l="1"/>
  <c r="AF6" i="9"/>
  <c r="AF7" i="9"/>
  <c r="M1612" i="2"/>
  <c r="M2183" i="2"/>
  <c r="M288" i="2"/>
  <c r="M2140" i="2"/>
  <c r="M283" i="2"/>
  <c r="M1383" i="2"/>
  <c r="M176" i="2"/>
  <c r="M2474" i="2"/>
  <c r="M1430" i="2"/>
  <c r="M2476" i="2"/>
  <c r="A2624" i="2"/>
  <c r="A1612" i="2"/>
  <c r="A2183" i="2"/>
  <c r="A288" i="2"/>
  <c r="A2140" i="2"/>
  <c r="A283" i="2"/>
  <c r="A1383" i="2"/>
  <c r="A176" i="2"/>
  <c r="A2474" i="2"/>
  <c r="A1430" i="2"/>
  <c r="A2476" i="2"/>
  <c r="A286" i="2"/>
  <c r="A2354" i="2"/>
  <c r="A281" i="2"/>
  <c r="M2347" i="2"/>
  <c r="M2346" i="2"/>
  <c r="A2347" i="2"/>
  <c r="A2346" i="2"/>
  <c r="M2370" i="2"/>
  <c r="M2369" i="2"/>
  <c r="A2370" i="2"/>
  <c r="A2369" i="2"/>
  <c r="M2154" i="2"/>
  <c r="M2153" i="2"/>
  <c r="A2154" i="2"/>
  <c r="A2153" i="2"/>
  <c r="M1607" i="2"/>
  <c r="M612" i="2"/>
  <c r="M613" i="2"/>
  <c r="M514" i="2"/>
  <c r="M1408" i="2"/>
  <c r="M420" i="2"/>
  <c r="M2201" i="2"/>
  <c r="M2138" i="2"/>
  <c r="M2220" i="2"/>
  <c r="A1607" i="2"/>
  <c r="A612" i="2"/>
  <c r="A514" i="2"/>
  <c r="A1408" i="2"/>
  <c r="A420" i="2"/>
  <c r="A2606" i="2"/>
  <c r="A2201" i="2"/>
  <c r="A2138" i="2"/>
  <c r="A2220" i="2"/>
  <c r="M1654" i="2"/>
  <c r="M1653" i="2"/>
  <c r="A1654" i="2"/>
  <c r="A1653" i="2"/>
  <c r="M2094" i="2"/>
  <c r="A2094" i="2"/>
  <c r="A1926" i="2"/>
  <c r="A1925" i="2"/>
  <c r="A1924" i="2"/>
  <c r="A1923" i="2"/>
  <c r="A1922" i="2"/>
  <c r="A2410" i="2"/>
  <c r="M2410" i="2"/>
  <c r="M2578" i="2"/>
  <c r="M2540" i="2"/>
  <c r="M1188" i="2"/>
  <c r="M2577" i="2"/>
  <c r="M2539" i="2"/>
  <c r="M1187" i="2"/>
  <c r="A2578" i="2"/>
  <c r="A2577" i="2"/>
  <c r="A1188" i="2"/>
  <c r="A2540" i="2"/>
  <c r="A2539" i="2"/>
  <c r="A1187" i="2"/>
  <c r="M2090" i="2"/>
  <c r="A2090" i="2"/>
  <c r="A1961" i="2"/>
  <c r="A1958" i="2"/>
  <c r="A1959" i="2"/>
  <c r="A1960" i="2"/>
  <c r="A1957" i="2"/>
  <c r="A1956" i="2"/>
  <c r="A216" i="2"/>
  <c r="A2622" i="2"/>
  <c r="A2632" i="2"/>
  <c r="A300" i="2"/>
  <c r="A1393" i="2"/>
  <c r="A667" i="2"/>
  <c r="A2531" i="2"/>
  <c r="A2548" i="2"/>
  <c r="A2566" i="2"/>
  <c r="A2592" i="2"/>
  <c r="A1863" i="2"/>
  <c r="A2026" i="2"/>
  <c r="A2086" i="2"/>
  <c r="A2087" i="2"/>
  <c r="D4" i="21" l="1"/>
  <c r="C4" i="21"/>
  <c r="A2085" i="2"/>
  <c r="O6" i="11" l="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351" i="11"/>
  <c r="O352" i="11"/>
  <c r="O353" i="11"/>
  <c r="O354" i="11"/>
  <c r="O355" i="11"/>
  <c r="O356" i="11"/>
  <c r="O357" i="11"/>
  <c r="O358" i="11"/>
  <c r="O359" i="11"/>
  <c r="O360" i="11"/>
  <c r="O361" i="11"/>
  <c r="O362" i="11"/>
  <c r="O363" i="11"/>
  <c r="O364" i="11"/>
  <c r="O365" i="11"/>
  <c r="O366" i="11"/>
  <c r="O367" i="11"/>
  <c r="O368" i="11"/>
  <c r="O369" i="11"/>
  <c r="O370" i="11"/>
  <c r="O371" i="11"/>
  <c r="O372" i="11"/>
  <c r="O373" i="11"/>
  <c r="O374" i="11"/>
  <c r="O375" i="11"/>
  <c r="O376" i="11"/>
  <c r="O377" i="11"/>
  <c r="O378" i="11"/>
  <c r="O379" i="11"/>
  <c r="O380" i="11"/>
  <c r="O381" i="11"/>
  <c r="O382" i="11"/>
  <c r="O383" i="11"/>
  <c r="O384" i="11"/>
  <c r="O385" i="11"/>
  <c r="O386" i="11"/>
  <c r="O387" i="11"/>
  <c r="O388" i="11"/>
  <c r="O389" i="11"/>
  <c r="O390" i="11"/>
  <c r="O391" i="11"/>
  <c r="O392" i="11"/>
  <c r="O393" i="11"/>
  <c r="O394" i="11"/>
  <c r="O395" i="11"/>
  <c r="O396" i="11"/>
  <c r="O397" i="11"/>
  <c r="O398" i="11"/>
  <c r="O399" i="11"/>
  <c r="O400" i="11"/>
  <c r="O401" i="11"/>
  <c r="O402" i="11"/>
  <c r="O403" i="11"/>
  <c r="O404" i="11"/>
  <c r="O405" i="11"/>
  <c r="O406" i="11"/>
  <c r="O407" i="11"/>
  <c r="O408" i="11"/>
  <c r="O409" i="11"/>
  <c r="O410" i="11"/>
  <c r="O411" i="11"/>
  <c r="O412" i="11"/>
  <c r="O413" i="11"/>
  <c r="O414" i="11"/>
  <c r="O415" i="11"/>
  <c r="O416" i="11"/>
  <c r="O417" i="11"/>
  <c r="O418" i="11"/>
  <c r="O419" i="11"/>
  <c r="O420" i="11"/>
  <c r="O421" i="11"/>
  <c r="O422" i="11"/>
  <c r="O423" i="11"/>
  <c r="O424" i="11"/>
  <c r="O425" i="11"/>
  <c r="O426" i="11"/>
  <c r="O427" i="11"/>
  <c r="O428" i="11"/>
  <c r="O429" i="11"/>
  <c r="O430" i="11"/>
  <c r="O431" i="11"/>
  <c r="O432" i="11"/>
  <c r="O433" i="11"/>
  <c r="O434" i="11"/>
  <c r="O435" i="11"/>
  <c r="O436" i="11"/>
  <c r="O437" i="11"/>
  <c r="O438" i="11"/>
  <c r="O439" i="11"/>
  <c r="O440" i="11"/>
  <c r="O441" i="11"/>
  <c r="O442" i="11"/>
  <c r="O443" i="11"/>
  <c r="O444" i="11"/>
  <c r="O445" i="11"/>
  <c r="O446" i="11"/>
  <c r="O447" i="11"/>
  <c r="O448" i="11"/>
  <c r="O449" i="11"/>
  <c r="O450" i="11"/>
  <c r="O451" i="11"/>
  <c r="O452" i="11"/>
  <c r="O453" i="11"/>
  <c r="O454" i="11"/>
  <c r="O455" i="11"/>
  <c r="O456" i="11"/>
  <c r="O457" i="11"/>
  <c r="O458" i="11"/>
  <c r="O459" i="11"/>
  <c r="O460" i="11"/>
  <c r="O461" i="11"/>
  <c r="O462" i="11"/>
  <c r="O463" i="11"/>
  <c r="O464" i="11"/>
  <c r="O465" i="11"/>
  <c r="O466" i="11"/>
  <c r="O467" i="11"/>
  <c r="O468" i="11"/>
  <c r="O469" i="11"/>
  <c r="O470" i="11"/>
  <c r="O471" i="11"/>
  <c r="O472" i="11"/>
  <c r="O473" i="11"/>
  <c r="O474" i="11"/>
  <c r="O475" i="11"/>
  <c r="O476" i="11"/>
  <c r="O477" i="11"/>
  <c r="O478" i="11"/>
  <c r="O479" i="11"/>
  <c r="O480" i="11"/>
  <c r="O481" i="11"/>
  <c r="O482" i="11"/>
  <c r="O483" i="11"/>
  <c r="O484" i="11"/>
  <c r="O485" i="11"/>
  <c r="O486" i="11"/>
  <c r="O487" i="11"/>
  <c r="O488" i="11"/>
  <c r="O489" i="11"/>
  <c r="O490" i="11"/>
  <c r="O491" i="11"/>
  <c r="O492" i="11"/>
  <c r="O493" i="11"/>
  <c r="O494" i="11"/>
  <c r="O495" i="11"/>
  <c r="O496" i="11"/>
  <c r="O497" i="11"/>
  <c r="O498" i="11"/>
  <c r="O499" i="11"/>
  <c r="O500" i="11"/>
  <c r="O501" i="11"/>
  <c r="O502" i="11"/>
  <c r="O503" i="11"/>
  <c r="O504" i="11"/>
  <c r="O505" i="11"/>
  <c r="O506" i="11"/>
  <c r="O507" i="11"/>
  <c r="O508" i="11"/>
  <c r="O509" i="11"/>
  <c r="O510" i="11"/>
  <c r="O511" i="11"/>
  <c r="O512" i="11"/>
  <c r="O513" i="11"/>
  <c r="O514" i="11"/>
  <c r="O515" i="11"/>
  <c r="O516" i="11"/>
  <c r="O517" i="11"/>
  <c r="O518" i="11"/>
  <c r="O519" i="11"/>
  <c r="O520" i="11"/>
  <c r="O521" i="11"/>
  <c r="O522" i="11"/>
  <c r="O523" i="11"/>
  <c r="O524" i="11"/>
  <c r="O525" i="11"/>
  <c r="O526" i="11"/>
  <c r="O527" i="11"/>
  <c r="O528" i="11"/>
  <c r="O529" i="11"/>
  <c r="O530" i="11"/>
  <c r="O531" i="11"/>
  <c r="O532" i="11"/>
  <c r="O533" i="11"/>
  <c r="O534" i="11"/>
  <c r="O535" i="11"/>
  <c r="O536" i="11"/>
  <c r="O537" i="11"/>
  <c r="O538" i="11"/>
  <c r="O539" i="11"/>
  <c r="O540" i="11"/>
  <c r="O541" i="11"/>
  <c r="O542" i="11"/>
  <c r="O543" i="11"/>
  <c r="O544" i="11"/>
  <c r="O545" i="11"/>
  <c r="O546" i="11"/>
  <c r="O547" i="11"/>
  <c r="O548" i="11"/>
  <c r="O549" i="11"/>
  <c r="O550" i="11"/>
  <c r="O551" i="11"/>
  <c r="O552" i="11"/>
  <c r="O553" i="11"/>
  <c r="O554" i="11"/>
  <c r="O555" i="11"/>
  <c r="O556" i="11"/>
  <c r="O557" i="11"/>
  <c r="O558" i="11"/>
  <c r="O559" i="11"/>
  <c r="O560" i="11"/>
  <c r="O561" i="11"/>
  <c r="O562" i="11"/>
  <c r="O563" i="11"/>
  <c r="O564" i="11"/>
  <c r="O565" i="11"/>
  <c r="O566" i="11"/>
  <c r="O567" i="11"/>
  <c r="O568" i="11"/>
  <c r="O569" i="11"/>
  <c r="O570" i="11"/>
  <c r="O571" i="11"/>
  <c r="O572" i="11"/>
  <c r="O573" i="11"/>
  <c r="O574" i="11"/>
  <c r="O575" i="11"/>
  <c r="O576" i="11"/>
  <c r="O577" i="11"/>
  <c r="O578" i="11"/>
  <c r="O579" i="11"/>
  <c r="O580" i="11"/>
  <c r="O581" i="11"/>
  <c r="O582" i="11"/>
  <c r="O583" i="11"/>
  <c r="O584" i="11"/>
  <c r="O585" i="11"/>
  <c r="O586" i="11"/>
  <c r="O587" i="11"/>
  <c r="O588" i="11"/>
  <c r="O589" i="11"/>
  <c r="O590" i="11"/>
  <c r="O591" i="11"/>
  <c r="O592" i="11"/>
  <c r="O593" i="11"/>
  <c r="O594" i="11"/>
  <c r="O595" i="11"/>
  <c r="O596" i="11"/>
  <c r="O597" i="11"/>
  <c r="O598" i="11"/>
  <c r="O599" i="11"/>
  <c r="O600" i="11"/>
  <c r="O601" i="11"/>
  <c r="O602" i="11"/>
  <c r="O603" i="11"/>
  <c r="O604" i="11"/>
  <c r="O605" i="11"/>
  <c r="O606" i="11"/>
  <c r="O607" i="11"/>
  <c r="O608" i="11"/>
  <c r="O609" i="11"/>
  <c r="O610" i="11"/>
  <c r="O611" i="11"/>
  <c r="O612" i="11"/>
  <c r="O613" i="11"/>
  <c r="O614" i="11"/>
  <c r="O615" i="11"/>
  <c r="O616" i="11"/>
  <c r="O617" i="11"/>
  <c r="O618" i="11"/>
  <c r="O619" i="11"/>
  <c r="O620" i="11"/>
  <c r="O621" i="11"/>
  <c r="O622" i="11"/>
  <c r="O623" i="11"/>
  <c r="O624" i="11"/>
  <c r="O625" i="11"/>
  <c r="O626" i="11"/>
  <c r="O627" i="11"/>
  <c r="O628" i="11"/>
  <c r="O629" i="11"/>
  <c r="O630" i="11"/>
  <c r="O631" i="11"/>
  <c r="O632" i="11"/>
  <c r="O633" i="11"/>
  <c r="O634" i="11"/>
  <c r="O635" i="11"/>
  <c r="O636" i="11"/>
  <c r="O637" i="11"/>
  <c r="O638" i="11"/>
  <c r="O639" i="11"/>
  <c r="O640" i="11"/>
  <c r="O641" i="11"/>
  <c r="O642" i="11"/>
  <c r="O643" i="11"/>
  <c r="O644" i="11"/>
  <c r="O645" i="11"/>
  <c r="O646" i="11"/>
  <c r="O647" i="11"/>
  <c r="O648" i="11"/>
  <c r="O649" i="11"/>
  <c r="O650" i="11"/>
  <c r="O651" i="11"/>
  <c r="O652" i="11"/>
  <c r="O653" i="11"/>
  <c r="O654" i="11"/>
  <c r="O655" i="11"/>
  <c r="O656" i="11"/>
  <c r="O657" i="11"/>
  <c r="O658" i="11"/>
  <c r="O659" i="11"/>
  <c r="O660" i="11"/>
  <c r="O661" i="11"/>
  <c r="O662" i="11"/>
  <c r="O663" i="11"/>
  <c r="O664" i="11"/>
  <c r="O665" i="11"/>
  <c r="O666" i="11"/>
  <c r="O667" i="11"/>
  <c r="O668" i="11"/>
  <c r="O669" i="11"/>
  <c r="O670" i="11"/>
  <c r="O671" i="11"/>
  <c r="O672" i="11"/>
  <c r="O673" i="11"/>
  <c r="O674" i="11"/>
  <c r="O675" i="11"/>
  <c r="O676" i="11"/>
  <c r="O677" i="11"/>
  <c r="O678" i="11"/>
  <c r="O679" i="11"/>
  <c r="O680" i="11"/>
  <c r="O681" i="11"/>
  <c r="O682" i="11"/>
  <c r="O683" i="11"/>
  <c r="O684" i="11"/>
  <c r="O685" i="11"/>
  <c r="O686" i="11"/>
  <c r="O687" i="11"/>
  <c r="O688" i="11"/>
  <c r="O689" i="11"/>
  <c r="O690" i="11"/>
  <c r="O691" i="11"/>
  <c r="O692" i="11"/>
  <c r="O693" i="11"/>
  <c r="O694" i="11"/>
  <c r="O695" i="11"/>
  <c r="O696" i="11"/>
  <c r="O697" i="11"/>
  <c r="O698" i="11"/>
  <c r="O699" i="11"/>
  <c r="O700" i="11"/>
  <c r="O701" i="11"/>
  <c r="O702" i="11"/>
  <c r="O703" i="11"/>
  <c r="O704" i="11"/>
  <c r="O705" i="11"/>
  <c r="O706" i="11"/>
  <c r="O707" i="11"/>
  <c r="O708" i="11"/>
  <c r="O709" i="11"/>
  <c r="O710" i="11"/>
  <c r="O711" i="11"/>
  <c r="O712" i="11"/>
  <c r="O713" i="11"/>
  <c r="O714" i="11"/>
  <c r="O715" i="11"/>
  <c r="O716" i="11"/>
  <c r="O717" i="11"/>
  <c r="O718" i="11"/>
  <c r="O719" i="11"/>
  <c r="O720" i="11"/>
  <c r="O721" i="11"/>
  <c r="O722" i="11"/>
  <c r="O723" i="11"/>
  <c r="O724" i="11"/>
  <c r="O725" i="11"/>
  <c r="O726" i="11"/>
  <c r="O727" i="11"/>
  <c r="O728" i="11"/>
  <c r="O729" i="11"/>
  <c r="O730" i="11"/>
  <c r="O731" i="11"/>
  <c r="O732" i="11"/>
  <c r="O733" i="11"/>
  <c r="O734" i="11"/>
  <c r="O735" i="11"/>
  <c r="O736" i="11"/>
  <c r="O737" i="11"/>
  <c r="O738" i="11"/>
  <c r="O739" i="11"/>
  <c r="O740" i="11"/>
  <c r="O741" i="11"/>
  <c r="O742" i="11"/>
  <c r="O743" i="11"/>
  <c r="O744" i="11"/>
  <c r="O745" i="11"/>
  <c r="O746" i="11"/>
  <c r="O747" i="11"/>
  <c r="O748" i="11"/>
  <c r="O749" i="11"/>
  <c r="O750" i="11"/>
  <c r="O751" i="11"/>
  <c r="O752" i="11"/>
  <c r="O753" i="11"/>
  <c r="O754" i="11"/>
  <c r="O755" i="11"/>
  <c r="O756" i="11"/>
  <c r="O757" i="11"/>
  <c r="O758" i="11"/>
  <c r="O759" i="11"/>
  <c r="O760" i="11"/>
  <c r="O761" i="11"/>
  <c r="O762" i="11"/>
  <c r="O763" i="11"/>
  <c r="O764" i="11"/>
  <c r="O765" i="11"/>
  <c r="O766" i="11"/>
  <c r="O767" i="11"/>
  <c r="O768" i="11"/>
  <c r="O769" i="11"/>
  <c r="O770" i="11"/>
  <c r="O771" i="11"/>
  <c r="O772" i="11"/>
  <c r="O773" i="11"/>
  <c r="O774" i="11"/>
  <c r="O775" i="11"/>
  <c r="O776" i="11"/>
  <c r="O777" i="11"/>
  <c r="O778" i="11"/>
  <c r="O779" i="11"/>
  <c r="O780" i="11"/>
  <c r="O781" i="11"/>
  <c r="O782" i="11"/>
  <c r="O783" i="11"/>
  <c r="O784" i="11"/>
  <c r="O785" i="11"/>
  <c r="O786" i="11"/>
  <c r="O787" i="11"/>
  <c r="O788" i="11"/>
  <c r="O789" i="11"/>
  <c r="O790" i="11"/>
  <c r="O791" i="11"/>
  <c r="O792" i="11"/>
  <c r="O793" i="11"/>
  <c r="O794" i="11"/>
  <c r="O795" i="11"/>
  <c r="O796" i="11"/>
  <c r="O797" i="11"/>
  <c r="O798" i="11"/>
  <c r="O799" i="11"/>
  <c r="O800" i="11"/>
  <c r="O801" i="11"/>
  <c r="O802" i="11"/>
  <c r="O803" i="11"/>
  <c r="O804" i="11"/>
  <c r="O805" i="11"/>
  <c r="O806" i="11"/>
  <c r="O807" i="11"/>
  <c r="O808" i="11"/>
  <c r="O809" i="11"/>
  <c r="O810" i="11"/>
  <c r="O811" i="11"/>
  <c r="O812" i="11"/>
  <c r="O813" i="11"/>
  <c r="O814" i="11"/>
  <c r="O815" i="11"/>
  <c r="O816" i="11"/>
  <c r="O817" i="11"/>
  <c r="O818" i="11"/>
  <c r="O819" i="11"/>
  <c r="O820" i="11"/>
  <c r="O821" i="11"/>
  <c r="O822" i="11"/>
  <c r="O823" i="11"/>
  <c r="O824" i="11"/>
  <c r="O825" i="11"/>
  <c r="O826" i="11"/>
  <c r="O827" i="11"/>
  <c r="O828" i="11"/>
  <c r="O829" i="11"/>
  <c r="O830" i="11"/>
  <c r="O831" i="11"/>
  <c r="O832" i="11"/>
  <c r="O833" i="11"/>
  <c r="O834" i="11"/>
  <c r="O835" i="11"/>
  <c r="O836" i="11"/>
  <c r="O837" i="11"/>
  <c r="O838" i="11"/>
  <c r="O839" i="11"/>
  <c r="O840" i="11"/>
  <c r="O841" i="11"/>
  <c r="O842" i="11"/>
  <c r="O843" i="11"/>
  <c r="O844" i="11"/>
  <c r="O845" i="11"/>
  <c r="O846" i="11"/>
  <c r="O847" i="11"/>
  <c r="O848" i="11"/>
  <c r="O849" i="11"/>
  <c r="O850" i="11"/>
  <c r="O851" i="11"/>
  <c r="O852" i="11"/>
  <c r="O853" i="11"/>
  <c r="O854" i="11"/>
  <c r="O855" i="11"/>
  <c r="O856" i="11"/>
  <c r="O857" i="11"/>
  <c r="O858" i="11"/>
  <c r="O859" i="11"/>
  <c r="O860" i="11"/>
  <c r="O861" i="11"/>
  <c r="O862" i="11"/>
  <c r="O863" i="11"/>
  <c r="O864" i="11"/>
  <c r="O865" i="11"/>
  <c r="O866" i="11"/>
  <c r="O867" i="11"/>
  <c r="O868" i="11"/>
  <c r="O869" i="11"/>
  <c r="O870" i="11"/>
  <c r="O871" i="11"/>
  <c r="O872" i="11"/>
  <c r="O873" i="11"/>
  <c r="O874" i="11"/>
  <c r="O875" i="11"/>
  <c r="O876" i="11"/>
  <c r="O877" i="11"/>
  <c r="O878" i="11"/>
  <c r="O879" i="11"/>
  <c r="O880" i="11"/>
  <c r="O881" i="11"/>
  <c r="O882" i="11"/>
  <c r="O883" i="11"/>
  <c r="O884" i="11"/>
  <c r="O885" i="11"/>
  <c r="O886" i="11"/>
  <c r="O887" i="11"/>
  <c r="O888" i="11"/>
  <c r="O889" i="11"/>
  <c r="O890" i="11"/>
  <c r="O891" i="11"/>
  <c r="O892" i="11"/>
  <c r="O893" i="11"/>
  <c r="O894" i="11"/>
  <c r="O895" i="11"/>
  <c r="O896" i="11"/>
  <c r="O897" i="11"/>
  <c r="O898" i="11"/>
  <c r="O899" i="11"/>
  <c r="O900" i="11"/>
  <c r="O901" i="11"/>
  <c r="O902" i="11"/>
  <c r="O903" i="11"/>
  <c r="O904" i="11"/>
  <c r="O905" i="11"/>
  <c r="O906" i="11"/>
  <c r="O907" i="11"/>
  <c r="O908" i="11"/>
  <c r="O909" i="11"/>
  <c r="O910" i="11"/>
  <c r="O911" i="11"/>
  <c r="O912" i="11"/>
  <c r="O913" i="11"/>
  <c r="O914" i="11"/>
  <c r="O915" i="11"/>
  <c r="O916" i="11"/>
  <c r="O917" i="11"/>
  <c r="O918" i="11"/>
  <c r="O919" i="11"/>
  <c r="O920" i="11"/>
  <c r="O921" i="11"/>
  <c r="O922" i="11"/>
  <c r="O923" i="11"/>
  <c r="O924" i="11"/>
  <c r="O925" i="11"/>
  <c r="O926" i="11"/>
  <c r="O927" i="11"/>
  <c r="O928" i="11"/>
  <c r="O929" i="11"/>
  <c r="O930" i="11"/>
  <c r="O931" i="11"/>
  <c r="O932" i="11"/>
  <c r="O933" i="11"/>
  <c r="O934" i="11"/>
  <c r="O935" i="11"/>
  <c r="O936" i="11"/>
  <c r="O937" i="11"/>
  <c r="O938" i="11"/>
  <c r="O939" i="11"/>
  <c r="O940" i="11"/>
  <c r="O941" i="11"/>
  <c r="O942" i="11"/>
  <c r="O943" i="11"/>
  <c r="O944" i="11"/>
  <c r="O945" i="11"/>
  <c r="O946" i="11"/>
  <c r="O947" i="11"/>
  <c r="O948" i="11"/>
  <c r="O949" i="11"/>
  <c r="O950" i="11"/>
  <c r="O951" i="11"/>
  <c r="O952" i="11"/>
  <c r="O953" i="11"/>
  <c r="O954" i="11"/>
  <c r="O955" i="11"/>
  <c r="O956" i="11"/>
  <c r="O957" i="11"/>
  <c r="O958" i="11"/>
  <c r="O959" i="11"/>
  <c r="O960" i="11"/>
  <c r="O961" i="11"/>
  <c r="O962" i="11"/>
  <c r="O963" i="11"/>
  <c r="O964" i="11"/>
  <c r="O965" i="11"/>
  <c r="O966" i="11"/>
  <c r="O967" i="11"/>
  <c r="O968" i="11"/>
  <c r="O969" i="11"/>
  <c r="O970" i="11"/>
  <c r="O971" i="11"/>
  <c r="O972" i="11"/>
  <c r="O973" i="11"/>
  <c r="O974" i="11"/>
  <c r="O975" i="11"/>
  <c r="O976" i="11"/>
  <c r="O977" i="11"/>
  <c r="O978" i="11"/>
  <c r="O979" i="11"/>
  <c r="O980" i="11"/>
  <c r="O981" i="11"/>
  <c r="O982" i="11"/>
  <c r="O983" i="11"/>
  <c r="O984" i="11"/>
  <c r="O985" i="11"/>
  <c r="O986" i="11"/>
  <c r="O987" i="11"/>
  <c r="O988" i="11"/>
  <c r="O989" i="11"/>
  <c r="O990" i="11"/>
  <c r="O991" i="11"/>
  <c r="O992" i="11"/>
  <c r="O993" i="11"/>
  <c r="O994" i="11"/>
  <c r="O995" i="11"/>
  <c r="O996" i="11"/>
  <c r="O997" i="11"/>
  <c r="O998" i="11"/>
  <c r="O999" i="11"/>
  <c r="O1000" i="11"/>
  <c r="O1001" i="11"/>
  <c r="O1002" i="11"/>
  <c r="O1003" i="11"/>
  <c r="O1004" i="11"/>
  <c r="O1005" i="11"/>
  <c r="O1006" i="11"/>
  <c r="O1007" i="11"/>
  <c r="O1008" i="11"/>
  <c r="O1009" i="11"/>
  <c r="O1010" i="11"/>
  <c r="O1011" i="11"/>
  <c r="O1012" i="11"/>
  <c r="O1013" i="11"/>
  <c r="O1014" i="11"/>
  <c r="O1015" i="11"/>
  <c r="O1016" i="11"/>
  <c r="O1017" i="11"/>
  <c r="O1018" i="11"/>
  <c r="O1019" i="11"/>
  <c r="O1020" i="11"/>
  <c r="O1021" i="11"/>
  <c r="O1022" i="11"/>
  <c r="O1023" i="11"/>
  <c r="O1024" i="11"/>
  <c r="O1025" i="11"/>
  <c r="O1026" i="11"/>
  <c r="O1027" i="11"/>
  <c r="O1028" i="11"/>
  <c r="O1029" i="11"/>
  <c r="O1030" i="11"/>
  <c r="O1031" i="11"/>
  <c r="O1032" i="11"/>
  <c r="O1033" i="11"/>
  <c r="O1034" i="11"/>
  <c r="O1035" i="11"/>
  <c r="O1036" i="11"/>
  <c r="O1037" i="11"/>
  <c r="O1038" i="11"/>
  <c r="O1039" i="11"/>
  <c r="O1040" i="11"/>
  <c r="O1041" i="11"/>
  <c r="O1042" i="11"/>
  <c r="O1043" i="11"/>
  <c r="O1044" i="11"/>
  <c r="O1045" i="11"/>
  <c r="O1046" i="11"/>
  <c r="O1047" i="11"/>
  <c r="O1048" i="11"/>
  <c r="O1049" i="11"/>
  <c r="O1050" i="11"/>
  <c r="O1051" i="11"/>
  <c r="O1052" i="11"/>
  <c r="O1053" i="11"/>
  <c r="O1054" i="11"/>
  <c r="O1055" i="11"/>
  <c r="O1056" i="11"/>
  <c r="O1057" i="11"/>
  <c r="O1058" i="11"/>
  <c r="O1059" i="11"/>
  <c r="O1060" i="11"/>
  <c r="O1061" i="11"/>
  <c r="O1062" i="11"/>
  <c r="O1063" i="11"/>
  <c r="O1064" i="11"/>
  <c r="O1065" i="11"/>
  <c r="O1066" i="11"/>
  <c r="O1067" i="11"/>
  <c r="O1068" i="11"/>
  <c r="O1069" i="11"/>
  <c r="O1070" i="11"/>
  <c r="O1071" i="11"/>
  <c r="O1072" i="11"/>
  <c r="O1073" i="11"/>
  <c r="O1074" i="11"/>
  <c r="O1075" i="11"/>
  <c r="O1076" i="11"/>
  <c r="O1077" i="11"/>
  <c r="O1078" i="11"/>
  <c r="O1079" i="11"/>
  <c r="O1080" i="11"/>
  <c r="O1081" i="11"/>
  <c r="O1082" i="11"/>
  <c r="O1083" i="11"/>
  <c r="O1084" i="11"/>
  <c r="O1085" i="11"/>
  <c r="O1086" i="11"/>
  <c r="O1087" i="11"/>
  <c r="O1088" i="11"/>
  <c r="O1089" i="11"/>
  <c r="O1090" i="11"/>
  <c r="O1091" i="11"/>
  <c r="O1092" i="11"/>
  <c r="O1093" i="11"/>
  <c r="O1094" i="11"/>
  <c r="O1095" i="11"/>
  <c r="O1096" i="11"/>
  <c r="O1097" i="11"/>
  <c r="O1098" i="11"/>
  <c r="O1099" i="11"/>
  <c r="O1100" i="11"/>
  <c r="O1101" i="11"/>
  <c r="O1102" i="11"/>
  <c r="O1103" i="11"/>
  <c r="O1104" i="11"/>
  <c r="O1105" i="11"/>
  <c r="O1106" i="11"/>
  <c r="O1107" i="11"/>
  <c r="O1108" i="11"/>
  <c r="O1109" i="11"/>
  <c r="O1110" i="11"/>
  <c r="O1111" i="11"/>
  <c r="O1112" i="11"/>
  <c r="O1113" i="11"/>
  <c r="O1114" i="11"/>
  <c r="O1115" i="11"/>
  <c r="O1116" i="11"/>
  <c r="O1117" i="11"/>
  <c r="O1118" i="11"/>
  <c r="O1119" i="11"/>
  <c r="O1120" i="11"/>
  <c r="O1121" i="11"/>
  <c r="O1122" i="11"/>
  <c r="O1123" i="11"/>
  <c r="O1124" i="11"/>
  <c r="O1125" i="11"/>
  <c r="O1126" i="11"/>
  <c r="O1127" i="11"/>
  <c r="O1128" i="11"/>
  <c r="O1129" i="11"/>
  <c r="O1130" i="11"/>
  <c r="O1131" i="11"/>
  <c r="O1132" i="11"/>
  <c r="O1133" i="11"/>
  <c r="O1134" i="11"/>
  <c r="O1135" i="11"/>
  <c r="O1136" i="11"/>
  <c r="O1137" i="11"/>
  <c r="O1138" i="11"/>
  <c r="O1139" i="11"/>
  <c r="O1140" i="11"/>
  <c r="O1141" i="11"/>
  <c r="O1142" i="11"/>
  <c r="O1143" i="11"/>
  <c r="O1144" i="11"/>
  <c r="O1145" i="11"/>
  <c r="O1146" i="11"/>
  <c r="O1147" i="11"/>
  <c r="O1148" i="11"/>
  <c r="O1149" i="11"/>
  <c r="O1150" i="11"/>
  <c r="O1151" i="11"/>
  <c r="O1152" i="11"/>
  <c r="O1153" i="11"/>
  <c r="O1154" i="11"/>
  <c r="O1155" i="11"/>
  <c r="O1156" i="11"/>
  <c r="O1157" i="11"/>
  <c r="O1158" i="11"/>
  <c r="O1159" i="11"/>
  <c r="O1160" i="11"/>
  <c r="O1161" i="11"/>
  <c r="O1162" i="11"/>
  <c r="O1163" i="11"/>
  <c r="O1164" i="11"/>
  <c r="O1165" i="11"/>
  <c r="O1166" i="11"/>
  <c r="O1167" i="11"/>
  <c r="O1168" i="11"/>
  <c r="O1169" i="11"/>
  <c r="O1170" i="11"/>
  <c r="O1171" i="11"/>
  <c r="O1172" i="11"/>
  <c r="O1173" i="11"/>
  <c r="O1174" i="11"/>
  <c r="O1175" i="11"/>
  <c r="O1176" i="11"/>
  <c r="O1177" i="11"/>
  <c r="O1178" i="11"/>
  <c r="O1179" i="11"/>
  <c r="O1180" i="11"/>
  <c r="O1181" i="11"/>
  <c r="O1182" i="11"/>
  <c r="O1183" i="11"/>
  <c r="O1184" i="11"/>
  <c r="O1185" i="11"/>
  <c r="O1186" i="11"/>
  <c r="O1187" i="11"/>
  <c r="O1188" i="11"/>
  <c r="O1189" i="11"/>
  <c r="O1190" i="11"/>
  <c r="O1191" i="11"/>
  <c r="O1192" i="11"/>
  <c r="O1193" i="11"/>
  <c r="O1194" i="11"/>
  <c r="O1195" i="11"/>
  <c r="O1196" i="11"/>
  <c r="O1197" i="11"/>
  <c r="O1198" i="11"/>
  <c r="O1199" i="11"/>
  <c r="O1200" i="11"/>
  <c r="O1201" i="11"/>
  <c r="O1202" i="11"/>
  <c r="O1203" i="11"/>
  <c r="O1204" i="11"/>
  <c r="O1205" i="11"/>
  <c r="O1206" i="11"/>
  <c r="O1207" i="11"/>
  <c r="O1208" i="11"/>
  <c r="O1209" i="11"/>
  <c r="O1210" i="11"/>
  <c r="O1211" i="11"/>
  <c r="O1212" i="11"/>
  <c r="O1213" i="11"/>
  <c r="O1214" i="11"/>
  <c r="O1215" i="11"/>
  <c r="O1216" i="11"/>
  <c r="O1217" i="11"/>
  <c r="O1218" i="11"/>
  <c r="O1219" i="11"/>
  <c r="O1220" i="11"/>
  <c r="O1221" i="11"/>
  <c r="O1222" i="11"/>
  <c r="O1223" i="11"/>
  <c r="O1224" i="11"/>
  <c r="O1225" i="11"/>
  <c r="O1226" i="11"/>
  <c r="O1227" i="11"/>
  <c r="O1228" i="11"/>
  <c r="O1229" i="11"/>
  <c r="O1230" i="11"/>
  <c r="O1231" i="11"/>
  <c r="O1232" i="11"/>
  <c r="O1233" i="11"/>
  <c r="O1234" i="11"/>
  <c r="O1235" i="11"/>
  <c r="O1236" i="11"/>
  <c r="O1237" i="11"/>
  <c r="O1238" i="11"/>
  <c r="O1239" i="11"/>
  <c r="O1240" i="11"/>
  <c r="O1241" i="11"/>
  <c r="O1242" i="11"/>
  <c r="O1243" i="11"/>
  <c r="O1244" i="11"/>
  <c r="O1245" i="11"/>
  <c r="O1246" i="11"/>
  <c r="O1247" i="11"/>
  <c r="O1248" i="11"/>
  <c r="O1249" i="11"/>
  <c r="O1250" i="11"/>
  <c r="O1251" i="11"/>
  <c r="O1252" i="11"/>
  <c r="O1253" i="11"/>
  <c r="O1254" i="11"/>
  <c r="O1255" i="11"/>
  <c r="O1256" i="11"/>
  <c r="O1257" i="11"/>
  <c r="O1258" i="11"/>
  <c r="O1259" i="11"/>
  <c r="O1260" i="11"/>
  <c r="O1261" i="11"/>
  <c r="O1262" i="11"/>
  <c r="O1263" i="11"/>
  <c r="O1264" i="11"/>
  <c r="O1265" i="11"/>
  <c r="O1266" i="11"/>
  <c r="O1267" i="11"/>
  <c r="O1268" i="11"/>
  <c r="O1269" i="11"/>
  <c r="O1270" i="11"/>
  <c r="O1271" i="11"/>
  <c r="O1272" i="11"/>
  <c r="O1273" i="11"/>
  <c r="O1274" i="11"/>
  <c r="O1275" i="11"/>
  <c r="O1276" i="11"/>
  <c r="O1277" i="11"/>
  <c r="O1278" i="11"/>
  <c r="O1279" i="11"/>
  <c r="O1280" i="11"/>
  <c r="O1281" i="11"/>
  <c r="O1282" i="11"/>
  <c r="O1283" i="11"/>
  <c r="O1284" i="11"/>
  <c r="O1285" i="11"/>
  <c r="O1286" i="11"/>
  <c r="O1287" i="11"/>
  <c r="O1288" i="11"/>
  <c r="O1289" i="11"/>
  <c r="O1290" i="11"/>
  <c r="O1291" i="11"/>
  <c r="O1292" i="11"/>
  <c r="O1293" i="11"/>
  <c r="O1294" i="11"/>
  <c r="O1295" i="11"/>
  <c r="O1296" i="11"/>
  <c r="O1297" i="11"/>
  <c r="O1298" i="11"/>
  <c r="O1299" i="11"/>
  <c r="O1300" i="11"/>
  <c r="O1301" i="11"/>
  <c r="O1302" i="11"/>
  <c r="O1303" i="11"/>
  <c r="O1304" i="11"/>
  <c r="O1305" i="11"/>
  <c r="O1306" i="11"/>
  <c r="O1307" i="11"/>
  <c r="O1308" i="11"/>
  <c r="O1309" i="11"/>
  <c r="O1310" i="11"/>
  <c r="O1311" i="11"/>
  <c r="O1312" i="11"/>
  <c r="O1313" i="11"/>
  <c r="O1314" i="11"/>
  <c r="O1315" i="11"/>
  <c r="O1316" i="11"/>
  <c r="O1317" i="11"/>
  <c r="O1318" i="11"/>
  <c r="O1319" i="11"/>
  <c r="O1320" i="11"/>
  <c r="O1321" i="11"/>
  <c r="O1322" i="11"/>
  <c r="O1323" i="11"/>
  <c r="O1324" i="11"/>
  <c r="O1325" i="11"/>
  <c r="O1326" i="11"/>
  <c r="O1327" i="11"/>
  <c r="O1328" i="11"/>
  <c r="O1329" i="11"/>
  <c r="O1330" i="11"/>
  <c r="O1331" i="11"/>
  <c r="O1332" i="11"/>
  <c r="O1333" i="11"/>
  <c r="O1334" i="11"/>
  <c r="O1335" i="11"/>
  <c r="O1336" i="11"/>
  <c r="O1337" i="11"/>
  <c r="O1338" i="11"/>
  <c r="O1339" i="11"/>
  <c r="O1340" i="11"/>
  <c r="O1341" i="11"/>
  <c r="O1342" i="11"/>
  <c r="O1343" i="11"/>
  <c r="O1344" i="11"/>
  <c r="O1345" i="11"/>
  <c r="O1346" i="11"/>
  <c r="O1347" i="11"/>
  <c r="O1348" i="11"/>
  <c r="O1349" i="11"/>
  <c r="O1350" i="11"/>
  <c r="O1351" i="11"/>
  <c r="O1352" i="11"/>
  <c r="O1353" i="11"/>
  <c r="O1354" i="11"/>
  <c r="O1355" i="11"/>
  <c r="O1356" i="11"/>
  <c r="O1357" i="11"/>
  <c r="O1358" i="11"/>
  <c r="O1359" i="11"/>
  <c r="O1360" i="11"/>
  <c r="O1361" i="11"/>
  <c r="O1362" i="11"/>
  <c r="O1363" i="11"/>
  <c r="O1364" i="11"/>
  <c r="O1365" i="11"/>
  <c r="O1366" i="11"/>
  <c r="O1367" i="11"/>
  <c r="O1368" i="11"/>
  <c r="O1369" i="11"/>
  <c r="O1370" i="11"/>
  <c r="O1371" i="11"/>
  <c r="O1372" i="11"/>
  <c r="O1373" i="11"/>
  <c r="O1374" i="11"/>
  <c r="O1375" i="11"/>
  <c r="O1376" i="11"/>
  <c r="O1377" i="11"/>
  <c r="O1378" i="11"/>
  <c r="O1379" i="11"/>
  <c r="O1380" i="11"/>
  <c r="O1381" i="11"/>
  <c r="O1382" i="11"/>
  <c r="O1383" i="11"/>
  <c r="O1384" i="11"/>
  <c r="O1385" i="11"/>
  <c r="O1386" i="11"/>
  <c r="O1387" i="11"/>
  <c r="O1388" i="11"/>
  <c r="O1389" i="11"/>
  <c r="O1390" i="11"/>
  <c r="O1391" i="11"/>
  <c r="O1392" i="11"/>
  <c r="O1393" i="11"/>
  <c r="O1394" i="11"/>
  <c r="O1395" i="11"/>
  <c r="O1396" i="11"/>
  <c r="O1397" i="11"/>
  <c r="O1398" i="11"/>
  <c r="O1399" i="11"/>
  <c r="O1400" i="11"/>
  <c r="O1401" i="11"/>
  <c r="O1402" i="11"/>
  <c r="O1403" i="11"/>
  <c r="O1404" i="11"/>
  <c r="O1405" i="11"/>
  <c r="O1406" i="11"/>
  <c r="O1407" i="11"/>
  <c r="O1408" i="11"/>
  <c r="O1409" i="11"/>
  <c r="O1410" i="11"/>
  <c r="O1411" i="11"/>
  <c r="O1412" i="11"/>
  <c r="O1413" i="11"/>
  <c r="O1414" i="11"/>
  <c r="O1415" i="11"/>
  <c r="O1416" i="11"/>
  <c r="O1417" i="11"/>
  <c r="O1418" i="11"/>
  <c r="O1419" i="11"/>
  <c r="O1420" i="11"/>
  <c r="O1421" i="11"/>
  <c r="O1422" i="11"/>
  <c r="O1423" i="11"/>
  <c r="O1424" i="11"/>
  <c r="O1425" i="11"/>
  <c r="O1426" i="11"/>
  <c r="O1427" i="11"/>
  <c r="O1428" i="11"/>
  <c r="O1429" i="11"/>
  <c r="O1430" i="11"/>
  <c r="O1431" i="11"/>
  <c r="O1432" i="11"/>
  <c r="O1433" i="11"/>
  <c r="O1434" i="11"/>
  <c r="O1435" i="11"/>
  <c r="O1436" i="11"/>
  <c r="O1437" i="11"/>
  <c r="O1438" i="11"/>
  <c r="O1439" i="11"/>
  <c r="O1440" i="11"/>
  <c r="O1441" i="11"/>
  <c r="O1442" i="11"/>
  <c r="O1443" i="11"/>
  <c r="O1444" i="11"/>
  <c r="O1445" i="11"/>
  <c r="O1446" i="11"/>
  <c r="O1447" i="11"/>
  <c r="O1448" i="11"/>
  <c r="O1449" i="11"/>
  <c r="O1450" i="11"/>
  <c r="O1451" i="11"/>
  <c r="O1452" i="11"/>
  <c r="O1453" i="11"/>
  <c r="O1454" i="11"/>
  <c r="O1455" i="11"/>
  <c r="O1456" i="11"/>
  <c r="O1457" i="11"/>
  <c r="O1458" i="11"/>
  <c r="O1459" i="11"/>
  <c r="O1460" i="11"/>
  <c r="O1461" i="11"/>
  <c r="O1462" i="11"/>
  <c r="O1463" i="11"/>
  <c r="O1464" i="11"/>
  <c r="O1465" i="11"/>
  <c r="O1466" i="11"/>
  <c r="O1467" i="11"/>
  <c r="O1468" i="11"/>
  <c r="O1469" i="11"/>
  <c r="O1470" i="11"/>
  <c r="O1471" i="11"/>
  <c r="O1472" i="11"/>
  <c r="O1473" i="11"/>
  <c r="O1474" i="11"/>
  <c r="O1475" i="11"/>
  <c r="O1476" i="11"/>
  <c r="O1477" i="11"/>
  <c r="O1478" i="11"/>
  <c r="O1479" i="11"/>
  <c r="O1480" i="11"/>
  <c r="O1481" i="11"/>
  <c r="O1482" i="11"/>
  <c r="O1483" i="11"/>
  <c r="O1484" i="11"/>
  <c r="O1485" i="11"/>
  <c r="O1486" i="11"/>
  <c r="O1487" i="11"/>
  <c r="O1488" i="11"/>
  <c r="O1489" i="11"/>
  <c r="O1490" i="11"/>
  <c r="O1491" i="11"/>
  <c r="O1492" i="11"/>
  <c r="O1493" i="11"/>
  <c r="O1494" i="11"/>
  <c r="O1495" i="11"/>
  <c r="O1496" i="11"/>
  <c r="O1497" i="11"/>
  <c r="O1498" i="11"/>
  <c r="O1499" i="11"/>
  <c r="O1500" i="11"/>
  <c r="O1501" i="11"/>
  <c r="O1502" i="11"/>
  <c r="O1503" i="11"/>
  <c r="O1504" i="11"/>
  <c r="O1505" i="11"/>
  <c r="O1506" i="11"/>
  <c r="O1507" i="11"/>
  <c r="O1508" i="11"/>
  <c r="O1509" i="11"/>
  <c r="O1510" i="11"/>
  <c r="O1511" i="11"/>
  <c r="O1512" i="11"/>
  <c r="O1513" i="11"/>
  <c r="O1514" i="11"/>
  <c r="O1515" i="11"/>
  <c r="O1516" i="11"/>
  <c r="O1517" i="11"/>
  <c r="O1518" i="11"/>
  <c r="O1519" i="11"/>
  <c r="O1520" i="11"/>
  <c r="O1521" i="11"/>
  <c r="O1522" i="11"/>
  <c r="O1523" i="11"/>
  <c r="O1524" i="11"/>
  <c r="O1525" i="11"/>
  <c r="O1526" i="11"/>
  <c r="O1527" i="11"/>
  <c r="O1528" i="11"/>
  <c r="O1529" i="11"/>
  <c r="O1530" i="11"/>
  <c r="O1531" i="11"/>
  <c r="O1532" i="11"/>
  <c r="O1533" i="11"/>
  <c r="O1534" i="11"/>
  <c r="O1535" i="11"/>
  <c r="O1536" i="11"/>
  <c r="O1537" i="11"/>
  <c r="O1538" i="11"/>
  <c r="O1539" i="11"/>
  <c r="O1540" i="11"/>
  <c r="O1541" i="11"/>
  <c r="O1542" i="11"/>
  <c r="O1543" i="11"/>
  <c r="O1544" i="11"/>
  <c r="O1545" i="11"/>
  <c r="O1546" i="11"/>
  <c r="O1547" i="11"/>
  <c r="O1548" i="11"/>
  <c r="O1549" i="11"/>
  <c r="O1550" i="11"/>
  <c r="O1551" i="11"/>
  <c r="O1552" i="11"/>
  <c r="O1553" i="11"/>
  <c r="O1554" i="11"/>
  <c r="O1555" i="11"/>
  <c r="O1556" i="11"/>
  <c r="O1557" i="11"/>
  <c r="O1558" i="11"/>
  <c r="O1559" i="11"/>
  <c r="O1560" i="11"/>
  <c r="O1561" i="11"/>
  <c r="O1562" i="11"/>
  <c r="O1563" i="11"/>
  <c r="O1564" i="11"/>
  <c r="O1565" i="11"/>
  <c r="O1566" i="11"/>
  <c r="O1567" i="11"/>
  <c r="O1568" i="11"/>
  <c r="O1569" i="11"/>
  <c r="O1570" i="11"/>
  <c r="O1571" i="11"/>
  <c r="O1572" i="11"/>
  <c r="O1573" i="11"/>
  <c r="O1574" i="11"/>
  <c r="O1575" i="11"/>
  <c r="O1576" i="11"/>
  <c r="O1577" i="11"/>
  <c r="O1578" i="11"/>
  <c r="O1579" i="11"/>
  <c r="O1580" i="11"/>
  <c r="O1581" i="11"/>
  <c r="O1582" i="11"/>
  <c r="O1583" i="11"/>
  <c r="O1584" i="11"/>
  <c r="O1585" i="11"/>
  <c r="O1586" i="11"/>
  <c r="O1587" i="11"/>
  <c r="O1588" i="11"/>
  <c r="O1589" i="11"/>
  <c r="O1590" i="11"/>
  <c r="O1591" i="11"/>
  <c r="O1592" i="11"/>
  <c r="O1593" i="11"/>
  <c r="O1594" i="11"/>
  <c r="O1595" i="11"/>
  <c r="O1596" i="11"/>
  <c r="O1597" i="11"/>
  <c r="O1598" i="11"/>
  <c r="O1599" i="11"/>
  <c r="O1600" i="11"/>
  <c r="O1601" i="11"/>
  <c r="O1602" i="11"/>
  <c r="O1603" i="11"/>
  <c r="O1604" i="11"/>
  <c r="O1605" i="11"/>
  <c r="O1606" i="11"/>
  <c r="O1607" i="11"/>
  <c r="O1608" i="11"/>
  <c r="O1609" i="11"/>
  <c r="O1610" i="11"/>
  <c r="O1611" i="11"/>
  <c r="O1612" i="11"/>
  <c r="O1613" i="11"/>
  <c r="O1614" i="11"/>
  <c r="O1615" i="11"/>
  <c r="O1616" i="11"/>
  <c r="O1617" i="11"/>
  <c r="O1618" i="11"/>
  <c r="O1619" i="11"/>
  <c r="O1620" i="11"/>
  <c r="O1621" i="11"/>
  <c r="O1622" i="11"/>
  <c r="O1623" i="11"/>
  <c r="O1624" i="11"/>
  <c r="O1625" i="11"/>
  <c r="O1626" i="11"/>
  <c r="O1627" i="11"/>
  <c r="O1628" i="11"/>
  <c r="O1629" i="11"/>
  <c r="O1630" i="11"/>
  <c r="O1631" i="11"/>
  <c r="O1632" i="11"/>
  <c r="O1633" i="11"/>
  <c r="O1634" i="11"/>
  <c r="O1635" i="11"/>
  <c r="O1636" i="11"/>
  <c r="O1637" i="11"/>
  <c r="O1638" i="11"/>
  <c r="O1639" i="11"/>
  <c r="O1640" i="11"/>
  <c r="O1641" i="11"/>
  <c r="O1642" i="11"/>
  <c r="O1643" i="11"/>
  <c r="O1644" i="11"/>
  <c r="O1645" i="11"/>
  <c r="O1646" i="11"/>
  <c r="O1647" i="11"/>
  <c r="O1648" i="11"/>
  <c r="O1649" i="11"/>
  <c r="O1650" i="11"/>
  <c r="O1651" i="11"/>
  <c r="O1652" i="11"/>
  <c r="O1653" i="11"/>
  <c r="O1654" i="11"/>
  <c r="O1655" i="11"/>
  <c r="O1656" i="11"/>
  <c r="O1657" i="11"/>
  <c r="O1658" i="11"/>
  <c r="O1659" i="11"/>
  <c r="O1660" i="11"/>
  <c r="O1661" i="11"/>
  <c r="O1662" i="11"/>
  <c r="O1663" i="11"/>
  <c r="O1664" i="11"/>
  <c r="O1665" i="11"/>
  <c r="O1666" i="11"/>
  <c r="O1667" i="11"/>
  <c r="O1668" i="11"/>
  <c r="O1669" i="11"/>
  <c r="O1670" i="11"/>
  <c r="O1671" i="11"/>
  <c r="O1672" i="11"/>
  <c r="O1673" i="11"/>
  <c r="O1674" i="11"/>
  <c r="O1675" i="11"/>
  <c r="O1676" i="11"/>
  <c r="O1677" i="11"/>
  <c r="O1678" i="11"/>
  <c r="O1679" i="11"/>
  <c r="O1680" i="11"/>
  <c r="O1681" i="11"/>
  <c r="O1682" i="11"/>
  <c r="O1683" i="11"/>
  <c r="O1684" i="11"/>
  <c r="O1685" i="11"/>
  <c r="O1686" i="11"/>
  <c r="O1687" i="11"/>
  <c r="O1688" i="11"/>
  <c r="O1689" i="11"/>
  <c r="O1690" i="11"/>
  <c r="O1691" i="11"/>
  <c r="O1692" i="11"/>
  <c r="O1693" i="11"/>
  <c r="O1694" i="11"/>
  <c r="O1695" i="11"/>
  <c r="O1696" i="11"/>
  <c r="O1697" i="11"/>
  <c r="O1698" i="11"/>
  <c r="O1699" i="11"/>
  <c r="O1700" i="11"/>
  <c r="O1701" i="11"/>
  <c r="O1702" i="11"/>
  <c r="O1703" i="11"/>
  <c r="O1704" i="11"/>
  <c r="O1705" i="11"/>
  <c r="O1706" i="11"/>
  <c r="O1707" i="11"/>
  <c r="O1708" i="11"/>
  <c r="O1709" i="11"/>
  <c r="O1710" i="11"/>
  <c r="O1711" i="11"/>
  <c r="O1712" i="11"/>
  <c r="O1713" i="11"/>
  <c r="O1714" i="11"/>
  <c r="O1715" i="11"/>
  <c r="O1716" i="11"/>
  <c r="O1717" i="11"/>
  <c r="O1718" i="11"/>
  <c r="O1719" i="11"/>
  <c r="O1720" i="11"/>
  <c r="O1721" i="11"/>
  <c r="O1722" i="11"/>
  <c r="O1723" i="11"/>
  <c r="O1724" i="11"/>
  <c r="O1725" i="11"/>
  <c r="O1726" i="11"/>
  <c r="O1727" i="11"/>
  <c r="O1728" i="11"/>
  <c r="O1729" i="11"/>
  <c r="O1730" i="11"/>
  <c r="O1731" i="11"/>
  <c r="O1732" i="11"/>
  <c r="O1733" i="11"/>
  <c r="O1734" i="11"/>
  <c r="O1735" i="11"/>
  <c r="O1736" i="11"/>
  <c r="O1737" i="11"/>
  <c r="O1738" i="11"/>
  <c r="O1739" i="11"/>
  <c r="O1740" i="11"/>
  <c r="O1741" i="11"/>
  <c r="O1742" i="11"/>
  <c r="O1743" i="11"/>
  <c r="O1744" i="11"/>
  <c r="O1745" i="11"/>
  <c r="O1746" i="11"/>
  <c r="O1747" i="11"/>
  <c r="O1748" i="11"/>
  <c r="O1749" i="11"/>
  <c r="O1750" i="11"/>
  <c r="O1751" i="11"/>
  <c r="O1752" i="11"/>
  <c r="O1753" i="11"/>
  <c r="O1754" i="11"/>
  <c r="O1755" i="11"/>
  <c r="O1756" i="11"/>
  <c r="O1757" i="11"/>
  <c r="O1758" i="11"/>
  <c r="O1759" i="11"/>
  <c r="O1760" i="11"/>
  <c r="O1761" i="11"/>
  <c r="O1762" i="11"/>
  <c r="O1763" i="11"/>
  <c r="O1764" i="11"/>
  <c r="O1765" i="11"/>
  <c r="O1766" i="11"/>
  <c r="O1767" i="11"/>
  <c r="O1768" i="11"/>
  <c r="O1769" i="11"/>
  <c r="O1770" i="11"/>
  <c r="O1771" i="11"/>
  <c r="O1772" i="11"/>
  <c r="O1773" i="11"/>
  <c r="O1774" i="11"/>
  <c r="O1775" i="11"/>
  <c r="O1776" i="11"/>
  <c r="O1777" i="11"/>
  <c r="O1778" i="11"/>
  <c r="O1779" i="11"/>
  <c r="O1780" i="11"/>
  <c r="O1781" i="11"/>
  <c r="O1782" i="11"/>
  <c r="O1783" i="11"/>
  <c r="O1784" i="11"/>
  <c r="O1785" i="11"/>
  <c r="O1786" i="11"/>
  <c r="O1787" i="11"/>
  <c r="O1788" i="11"/>
  <c r="O1789" i="11"/>
  <c r="O1790" i="11"/>
  <c r="O1791" i="11"/>
  <c r="O1792" i="11"/>
  <c r="O1793" i="11"/>
  <c r="O1794" i="11"/>
  <c r="O1795" i="11"/>
  <c r="O1796" i="11"/>
  <c r="O1797" i="11"/>
  <c r="O1798" i="11"/>
  <c r="O1799" i="11"/>
  <c r="O1800" i="11"/>
  <c r="O1801" i="11"/>
  <c r="O1802" i="11"/>
  <c r="O1803" i="11"/>
  <c r="O1804" i="11"/>
  <c r="O1805" i="11"/>
  <c r="O1806" i="11"/>
  <c r="O1807" i="11"/>
  <c r="O1808" i="11"/>
  <c r="O1809" i="11"/>
  <c r="O1810" i="11"/>
  <c r="O1811" i="11"/>
  <c r="O1812" i="11"/>
  <c r="O1813" i="11"/>
  <c r="O1814" i="11"/>
  <c r="O1815" i="11"/>
  <c r="O1816" i="11"/>
  <c r="O1817" i="11"/>
  <c r="O1818" i="11"/>
  <c r="O1819" i="11"/>
  <c r="O1820" i="11"/>
  <c r="O1821" i="11"/>
  <c r="O1822" i="11"/>
  <c r="O1823" i="11"/>
  <c r="O1824" i="11"/>
  <c r="O1825" i="11"/>
  <c r="O1826" i="11"/>
  <c r="O1827" i="11"/>
  <c r="O1828" i="11"/>
  <c r="O1829" i="11"/>
  <c r="O1830" i="11"/>
  <c r="O1831" i="11"/>
  <c r="O1832" i="11"/>
  <c r="O1833" i="11"/>
  <c r="O1834" i="11"/>
  <c r="O1835" i="11"/>
  <c r="O1836" i="11"/>
  <c r="O1837" i="11"/>
  <c r="O1838" i="11"/>
  <c r="O1839" i="11"/>
  <c r="O1840" i="11"/>
  <c r="O1841" i="11"/>
  <c r="O1842" i="11"/>
  <c r="O1843" i="11"/>
  <c r="O1844" i="11"/>
  <c r="O1845" i="11"/>
  <c r="O1846" i="11"/>
  <c r="O1847" i="11"/>
  <c r="O1848" i="11"/>
  <c r="O1849" i="11"/>
  <c r="O1850" i="11"/>
  <c r="O1851" i="11"/>
  <c r="O1852" i="11"/>
  <c r="O1853" i="11"/>
  <c r="O1854" i="11"/>
  <c r="O1855" i="11"/>
  <c r="O1856" i="11"/>
  <c r="O1857" i="11"/>
  <c r="O1858" i="11"/>
  <c r="O1859" i="11"/>
  <c r="O1860" i="11"/>
  <c r="O1861" i="11"/>
  <c r="O1862" i="11"/>
  <c r="O1863" i="11"/>
  <c r="O1864" i="11"/>
  <c r="O1865" i="11"/>
  <c r="O1866" i="11"/>
  <c r="O1867" i="11"/>
  <c r="O1868" i="11"/>
  <c r="O1869" i="11"/>
  <c r="O1870" i="11"/>
  <c r="O1871" i="11"/>
  <c r="O1872" i="11"/>
  <c r="O1873" i="11"/>
  <c r="O1874" i="11"/>
  <c r="O1875" i="11"/>
  <c r="O1876" i="11"/>
  <c r="O1877" i="11"/>
  <c r="O1878" i="11"/>
  <c r="O1879" i="11"/>
  <c r="O1880" i="11"/>
  <c r="O1881" i="11"/>
  <c r="O1882" i="11"/>
  <c r="O1883" i="11"/>
  <c r="O1884" i="11"/>
  <c r="O1885" i="11"/>
  <c r="O1886" i="11"/>
  <c r="O1887" i="11"/>
  <c r="O1888" i="11"/>
  <c r="O1889" i="11"/>
  <c r="O1890" i="11"/>
  <c r="O1891" i="11"/>
  <c r="O1892" i="11"/>
  <c r="O1893" i="11"/>
  <c r="O1894" i="11"/>
  <c r="O1895" i="11"/>
  <c r="O1896" i="11"/>
  <c r="O1897" i="11"/>
  <c r="O1898" i="11"/>
  <c r="O1899" i="11"/>
  <c r="O1900" i="11"/>
  <c r="O1901" i="11"/>
  <c r="O1902" i="11"/>
  <c r="O1903" i="11"/>
  <c r="O1904" i="11"/>
  <c r="O1905" i="11"/>
  <c r="O1906" i="11"/>
  <c r="O1907" i="11"/>
  <c r="O1908" i="11"/>
  <c r="O1909" i="11"/>
  <c r="O1910" i="11"/>
  <c r="O1911" i="11"/>
  <c r="O1912" i="11"/>
  <c r="O1913" i="11"/>
  <c r="O1914" i="11"/>
  <c r="O1915" i="11"/>
  <c r="O1916" i="11"/>
  <c r="O1917" i="11"/>
  <c r="O1918" i="11"/>
  <c r="O1919" i="11"/>
  <c r="O1920" i="11"/>
  <c r="O1921" i="11"/>
  <c r="O1922" i="11"/>
  <c r="O1923" i="11"/>
  <c r="O1924" i="11"/>
  <c r="O1925" i="11"/>
  <c r="O1926" i="11"/>
  <c r="O1927" i="11"/>
  <c r="O1928" i="11"/>
  <c r="O1929" i="11"/>
  <c r="O1930" i="11"/>
  <c r="O1931" i="11"/>
  <c r="O1932" i="11"/>
  <c r="O1933" i="11"/>
  <c r="O1934" i="11"/>
  <c r="O1935" i="11"/>
  <c r="O1936" i="11"/>
  <c r="O1937" i="11"/>
  <c r="O1938" i="11"/>
  <c r="O1939" i="11"/>
  <c r="O1940" i="11"/>
  <c r="O1941" i="11"/>
  <c r="O1942" i="11"/>
  <c r="O1943" i="11"/>
  <c r="O1944" i="11"/>
  <c r="O1945" i="11"/>
  <c r="O1946" i="11"/>
  <c r="O1947" i="11"/>
  <c r="O1948" i="11"/>
  <c r="O1949" i="11"/>
  <c r="O1950" i="11"/>
  <c r="O1951" i="11"/>
  <c r="O1952" i="11"/>
  <c r="O1953" i="11"/>
  <c r="O1954" i="11"/>
  <c r="O1955" i="11"/>
  <c r="O1956" i="11"/>
  <c r="O1957" i="11"/>
  <c r="O1958" i="11"/>
  <c r="O1959" i="11"/>
  <c r="O1960" i="11"/>
  <c r="O1961" i="11"/>
  <c r="O1962" i="11"/>
  <c r="O1963" i="11"/>
  <c r="O1964" i="11"/>
  <c r="O1965" i="11"/>
  <c r="O1966" i="11"/>
  <c r="O1967" i="11"/>
  <c r="O1968" i="11"/>
  <c r="O1969" i="11"/>
  <c r="O1970" i="11"/>
  <c r="O1971" i="11"/>
  <c r="O1972" i="11"/>
  <c r="O1973" i="11"/>
  <c r="O1974" i="11"/>
  <c r="O1975" i="11"/>
  <c r="O1976" i="11"/>
  <c r="O1977" i="11"/>
  <c r="O1978" i="11"/>
  <c r="O1979" i="11"/>
  <c r="O1980" i="11"/>
  <c r="O1981" i="11"/>
  <c r="O1982" i="11"/>
  <c r="O1983" i="11"/>
  <c r="O1984" i="11"/>
  <c r="O1985" i="11"/>
  <c r="O1986" i="11"/>
  <c r="O1987" i="11"/>
  <c r="O1988" i="11"/>
  <c r="O1989" i="11"/>
  <c r="O1990" i="11"/>
  <c r="O1991" i="11"/>
  <c r="O1992" i="11"/>
  <c r="O1993" i="11"/>
  <c r="O1994" i="11"/>
  <c r="O1995" i="11"/>
  <c r="O1996" i="11"/>
  <c r="O1997" i="11"/>
  <c r="O1998" i="11"/>
  <c r="O1999" i="11"/>
  <c r="O2000" i="11"/>
  <c r="O2001" i="11"/>
  <c r="O2002" i="11"/>
  <c r="O2003" i="11"/>
  <c r="O2004" i="11"/>
  <c r="O2005" i="11"/>
  <c r="O2006" i="11"/>
  <c r="O2007" i="11"/>
  <c r="O2008" i="11"/>
  <c r="O2009" i="11"/>
  <c r="O2010" i="11"/>
  <c r="O2011" i="11"/>
  <c r="O2012" i="11"/>
  <c r="O2013" i="11"/>
  <c r="O2014" i="11"/>
  <c r="O2015" i="11"/>
  <c r="O2016" i="11"/>
  <c r="O2017" i="11"/>
  <c r="O2018" i="11"/>
  <c r="O2019" i="11"/>
  <c r="O2020" i="11"/>
  <c r="O2021" i="11"/>
  <c r="O2022" i="11"/>
  <c r="O2023" i="11"/>
  <c r="O2024" i="11"/>
  <c r="O2025" i="11"/>
  <c r="O2026" i="11"/>
  <c r="O2027" i="11"/>
  <c r="O2028" i="11"/>
  <c r="O2029" i="11"/>
  <c r="O2030" i="11"/>
  <c r="O2031" i="11"/>
  <c r="O2032" i="11"/>
  <c r="O2033" i="11"/>
  <c r="O2034" i="11"/>
  <c r="O2035" i="11"/>
  <c r="O2036" i="11"/>
  <c r="O2037" i="11"/>
  <c r="O2038" i="11"/>
  <c r="O2039" i="11"/>
  <c r="O2040" i="11"/>
  <c r="O2041" i="11"/>
  <c r="O2042" i="11"/>
  <c r="O2043" i="11"/>
  <c r="O2044" i="11"/>
  <c r="O2045" i="11"/>
  <c r="O2046" i="11"/>
  <c r="O2047" i="11"/>
  <c r="O2048" i="11"/>
  <c r="O2049" i="11"/>
  <c r="O2050" i="11"/>
  <c r="O2051" i="11"/>
  <c r="O2052" i="11"/>
  <c r="O2053" i="11"/>
  <c r="O2054" i="11"/>
  <c r="O2055" i="11"/>
  <c r="O2056" i="11"/>
  <c r="O2057" i="11"/>
  <c r="O2058" i="11"/>
  <c r="O2059" i="11"/>
  <c r="O2060" i="11"/>
  <c r="O2061" i="11"/>
  <c r="O2062" i="11"/>
  <c r="O2063" i="11"/>
  <c r="O2064" i="11"/>
  <c r="O2065" i="11"/>
  <c r="O2066" i="11"/>
  <c r="O2067" i="11"/>
  <c r="O2068" i="11"/>
  <c r="O2069" i="11"/>
  <c r="O2070" i="11"/>
  <c r="O2071" i="11"/>
  <c r="O2072" i="11"/>
  <c r="O2073" i="11"/>
  <c r="O2074" i="11"/>
  <c r="O2075" i="11"/>
  <c r="O2076" i="11"/>
  <c r="O2077" i="11"/>
  <c r="O2078" i="11"/>
  <c r="O2079" i="11"/>
  <c r="O2080" i="11"/>
  <c r="O2081" i="11"/>
  <c r="O2082" i="11"/>
  <c r="O2083" i="11"/>
  <c r="O2084" i="11"/>
  <c r="O2085" i="11"/>
  <c r="O2086" i="11"/>
  <c r="O2087" i="11"/>
  <c r="O2088" i="11"/>
  <c r="O2089" i="11"/>
  <c r="O2090" i="11"/>
  <c r="O2091" i="11"/>
  <c r="O2092" i="11"/>
  <c r="O2093" i="11"/>
  <c r="O2094" i="11"/>
  <c r="O2095" i="11"/>
  <c r="O2096" i="11"/>
  <c r="O2097" i="11"/>
  <c r="O2098" i="11"/>
  <c r="O2099" i="11"/>
  <c r="O2100" i="11"/>
  <c r="O2101" i="11"/>
  <c r="O2102" i="11"/>
  <c r="O2103" i="11"/>
  <c r="O2104" i="11"/>
  <c r="O2105" i="11"/>
  <c r="O2106" i="11"/>
  <c r="O2107" i="11"/>
  <c r="O2108" i="11"/>
  <c r="O2109" i="11"/>
  <c r="O2110" i="11"/>
  <c r="O2111" i="11"/>
  <c r="O2112" i="11"/>
  <c r="O2113" i="11"/>
  <c r="O2114" i="11"/>
  <c r="O2115" i="11"/>
  <c r="O2116" i="11"/>
  <c r="O2117" i="11"/>
  <c r="O2118" i="11"/>
  <c r="O2119" i="11"/>
  <c r="O2120" i="11"/>
  <c r="O2121" i="11"/>
  <c r="O2122" i="11"/>
  <c r="O2123" i="11"/>
  <c r="O2124" i="11"/>
  <c r="O2125" i="11"/>
  <c r="O2126" i="11"/>
  <c r="O2127" i="11"/>
  <c r="O2128" i="11"/>
  <c r="O2129" i="11"/>
  <c r="O2130" i="11"/>
  <c r="O2131" i="11"/>
  <c r="O2132" i="11"/>
  <c r="O2133" i="11"/>
  <c r="O2134" i="11"/>
  <c r="O2135" i="11"/>
  <c r="O2136" i="11"/>
  <c r="O2137" i="11"/>
  <c r="O2138" i="11"/>
  <c r="O2139" i="11"/>
  <c r="O2140" i="11"/>
  <c r="O2141" i="11"/>
  <c r="O2142" i="11"/>
  <c r="O2143" i="11"/>
  <c r="O2144" i="11"/>
  <c r="O2145" i="11"/>
  <c r="O2146" i="11"/>
  <c r="O2147" i="11"/>
  <c r="O2148" i="11"/>
  <c r="O2149" i="11"/>
  <c r="O2150" i="11"/>
  <c r="O2151" i="11"/>
  <c r="O2152" i="11"/>
  <c r="O2153" i="11"/>
  <c r="O2154" i="11"/>
  <c r="O2155" i="11"/>
  <c r="O2156" i="11"/>
  <c r="O2157" i="11"/>
  <c r="O2158" i="11"/>
  <c r="O2159" i="11"/>
  <c r="O2160" i="11"/>
  <c r="O2161" i="11"/>
  <c r="O2162" i="11"/>
  <c r="O2163" i="11"/>
  <c r="O2164" i="11"/>
  <c r="O2165" i="11"/>
  <c r="O2166" i="11"/>
  <c r="O2167" i="11"/>
  <c r="O2168" i="11"/>
  <c r="O2169" i="11"/>
  <c r="O2170" i="11"/>
  <c r="O2171" i="11"/>
  <c r="O2172" i="11"/>
  <c r="O2173" i="11"/>
  <c r="O2174" i="11"/>
  <c r="O2175" i="11"/>
  <c r="O2176" i="11"/>
  <c r="O2177" i="11"/>
  <c r="O2178" i="11"/>
  <c r="O2179" i="11"/>
  <c r="O2180" i="11"/>
  <c r="O2181" i="11"/>
  <c r="O2182" i="11"/>
  <c r="O2183" i="11"/>
  <c r="O2184" i="11"/>
  <c r="O2185" i="11"/>
  <c r="O2186" i="11"/>
  <c r="O2187" i="11"/>
  <c r="O2188" i="11"/>
  <c r="O2189" i="11"/>
  <c r="O2190" i="11"/>
  <c r="O2191" i="11"/>
  <c r="O2192" i="11"/>
  <c r="O2193" i="11"/>
  <c r="O2194" i="11"/>
  <c r="O2195" i="11"/>
  <c r="O2196" i="11"/>
  <c r="O2197" i="11"/>
  <c r="O2198" i="11"/>
  <c r="O2199" i="11"/>
  <c r="O2200" i="11"/>
  <c r="O2201" i="11"/>
  <c r="O2202" i="11"/>
  <c r="O2203" i="11"/>
  <c r="O2204" i="11"/>
  <c r="O2205" i="11"/>
  <c r="O2206" i="11"/>
  <c r="O2207" i="11"/>
  <c r="O2208" i="11"/>
  <c r="O2209" i="11"/>
  <c r="O2210" i="11"/>
  <c r="O2211" i="11"/>
  <c r="O2212" i="11"/>
  <c r="O2213" i="11"/>
  <c r="O2214" i="11"/>
  <c r="O2215" i="11"/>
  <c r="O2216" i="11"/>
  <c r="O2217" i="11"/>
  <c r="O2218" i="11"/>
  <c r="O2219" i="11"/>
  <c r="O2220" i="11"/>
  <c r="O2221" i="11"/>
  <c r="O2222" i="11"/>
  <c r="O2223" i="11"/>
  <c r="O2224" i="11"/>
  <c r="O2225" i="11"/>
  <c r="O2226" i="11"/>
  <c r="O2227" i="11"/>
  <c r="O2228" i="11"/>
  <c r="O2229" i="11"/>
  <c r="O2230" i="11"/>
  <c r="O2231" i="11"/>
  <c r="O2232" i="11"/>
  <c r="O2233" i="11"/>
  <c r="O2234" i="11"/>
  <c r="O2235" i="11"/>
  <c r="O2236" i="11"/>
  <c r="O2237" i="11"/>
  <c r="O2238" i="11"/>
  <c r="O2239" i="11"/>
  <c r="O2240" i="11"/>
  <c r="O2241" i="11"/>
  <c r="O2242" i="11"/>
  <c r="O2243" i="11"/>
  <c r="O2244" i="11"/>
  <c r="O2245" i="11"/>
  <c r="O2246" i="11"/>
  <c r="O2247" i="11"/>
  <c r="O2248" i="11"/>
  <c r="O2249" i="11"/>
  <c r="O2250" i="11"/>
  <c r="O2251" i="11"/>
  <c r="O2252" i="11"/>
  <c r="O2253" i="11"/>
  <c r="O2254" i="11"/>
  <c r="O2255" i="11"/>
  <c r="O2256" i="11"/>
  <c r="O2257" i="11"/>
  <c r="O2258" i="11"/>
  <c r="O2259" i="11"/>
  <c r="O2260" i="11"/>
  <c r="O2261" i="11"/>
  <c r="O2262" i="11"/>
  <c r="O2263" i="11"/>
  <c r="O2264" i="11"/>
  <c r="O2265" i="11"/>
  <c r="O2266" i="11"/>
  <c r="O2267" i="11"/>
  <c r="O2268" i="11"/>
  <c r="O2269" i="11"/>
  <c r="O2270" i="11"/>
  <c r="O2271" i="11"/>
  <c r="O2272" i="11"/>
  <c r="O2273" i="11"/>
  <c r="O2274" i="11"/>
  <c r="O2275" i="11"/>
  <c r="O2276" i="11"/>
  <c r="O2277" i="11"/>
  <c r="O2278" i="11"/>
  <c r="O2279" i="11"/>
  <c r="O2280" i="11"/>
  <c r="O2281" i="11"/>
  <c r="O2282" i="11"/>
  <c r="O2283" i="11"/>
  <c r="O2284" i="11"/>
  <c r="O2285" i="11"/>
  <c r="O2286" i="11"/>
  <c r="O2287" i="11"/>
  <c r="O2288" i="11"/>
  <c r="O2289" i="11"/>
  <c r="O2290" i="11"/>
  <c r="O2291" i="11"/>
  <c r="O2292" i="11"/>
  <c r="O2293" i="11"/>
  <c r="O2294" i="11"/>
  <c r="O2295" i="11"/>
  <c r="O2296" i="11"/>
  <c r="O2297" i="11"/>
  <c r="O2298" i="11"/>
  <c r="O2299" i="11"/>
  <c r="O2300" i="11"/>
  <c r="O2301" i="11"/>
  <c r="O2302" i="11"/>
  <c r="O2303" i="11"/>
  <c r="O2304" i="11"/>
  <c r="O2305" i="11"/>
  <c r="O2306" i="11"/>
  <c r="O2307" i="11"/>
  <c r="O2308" i="11"/>
  <c r="O2309" i="11"/>
  <c r="O2310" i="11"/>
  <c r="O2311" i="11"/>
  <c r="O2312" i="11"/>
  <c r="O2313" i="11"/>
  <c r="O2314" i="11"/>
  <c r="O2315" i="11"/>
  <c r="O2316" i="11"/>
  <c r="O2317" i="11"/>
  <c r="O2318" i="11"/>
  <c r="O2319" i="11"/>
  <c r="O2320" i="11"/>
  <c r="O2321" i="11"/>
  <c r="O2322" i="11"/>
  <c r="O2323" i="11"/>
  <c r="O2324" i="11"/>
  <c r="O2325" i="11"/>
  <c r="O2326" i="11"/>
  <c r="O2327" i="11"/>
  <c r="O2328" i="11"/>
  <c r="O2329" i="11"/>
  <c r="O2330" i="11"/>
  <c r="O2331" i="11"/>
  <c r="O2332" i="11"/>
  <c r="O2333" i="11"/>
  <c r="O2334" i="11"/>
  <c r="O2335" i="11"/>
  <c r="O2336" i="11"/>
  <c r="O2337" i="11"/>
  <c r="O2338" i="11"/>
  <c r="O2339" i="11"/>
  <c r="O2340" i="11"/>
  <c r="O2341" i="11"/>
  <c r="O2342" i="11"/>
  <c r="O2343" i="11"/>
  <c r="O2344" i="11"/>
  <c r="O2345" i="11"/>
  <c r="O2346" i="11"/>
  <c r="O2347" i="11"/>
  <c r="O2348" i="11"/>
  <c r="O2349" i="11"/>
  <c r="O2350" i="11"/>
  <c r="O2351" i="11"/>
  <c r="O2352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N177" i="11"/>
  <c r="N178" i="11"/>
  <c r="N179" i="11"/>
  <c r="N180" i="11"/>
  <c r="N181" i="11"/>
  <c r="N182" i="11"/>
  <c r="N183" i="11"/>
  <c r="N184" i="1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N229" i="11"/>
  <c r="N230" i="11"/>
  <c r="N231" i="11"/>
  <c r="N232" i="1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N351" i="11"/>
  <c r="N352" i="11"/>
  <c r="N353" i="11"/>
  <c r="N354" i="11"/>
  <c r="N355" i="11"/>
  <c r="N356" i="11"/>
  <c r="N357" i="11"/>
  <c r="N358" i="11"/>
  <c r="N359" i="11"/>
  <c r="N360" i="11"/>
  <c r="N361" i="11"/>
  <c r="N362" i="11"/>
  <c r="N363" i="11"/>
  <c r="N364" i="11"/>
  <c r="N365" i="11"/>
  <c r="N366" i="11"/>
  <c r="N367" i="11"/>
  <c r="N368" i="11"/>
  <c r="N369" i="11"/>
  <c r="N370" i="11"/>
  <c r="N371" i="11"/>
  <c r="N372" i="11"/>
  <c r="N373" i="11"/>
  <c r="N374" i="11"/>
  <c r="N375" i="11"/>
  <c r="N376" i="11"/>
  <c r="N377" i="11"/>
  <c r="N378" i="11"/>
  <c r="N379" i="11"/>
  <c r="N380" i="11"/>
  <c r="N381" i="11"/>
  <c r="N382" i="11"/>
  <c r="N383" i="11"/>
  <c r="N384" i="11"/>
  <c r="N385" i="11"/>
  <c r="N386" i="11"/>
  <c r="N387" i="11"/>
  <c r="N388" i="11"/>
  <c r="N389" i="11"/>
  <c r="N390" i="11"/>
  <c r="N391" i="11"/>
  <c r="N392" i="11"/>
  <c r="N393" i="11"/>
  <c r="N394" i="11"/>
  <c r="N395" i="11"/>
  <c r="N396" i="11"/>
  <c r="N397" i="11"/>
  <c r="N398" i="11"/>
  <c r="N399" i="11"/>
  <c r="N400" i="11"/>
  <c r="N401" i="11"/>
  <c r="N402" i="11"/>
  <c r="N403" i="11"/>
  <c r="N404" i="11"/>
  <c r="N405" i="11"/>
  <c r="N406" i="11"/>
  <c r="N407" i="11"/>
  <c r="N408" i="11"/>
  <c r="N409" i="11"/>
  <c r="N410" i="11"/>
  <c r="N411" i="11"/>
  <c r="N412" i="11"/>
  <c r="N413" i="11"/>
  <c r="N414" i="11"/>
  <c r="N415" i="11"/>
  <c r="N416" i="11"/>
  <c r="N417" i="11"/>
  <c r="N418" i="11"/>
  <c r="N419" i="11"/>
  <c r="N420" i="11"/>
  <c r="N421" i="11"/>
  <c r="N422" i="11"/>
  <c r="N423" i="11"/>
  <c r="N424" i="11"/>
  <c r="N425" i="11"/>
  <c r="N426" i="11"/>
  <c r="N427" i="11"/>
  <c r="N428" i="11"/>
  <c r="N429" i="11"/>
  <c r="N430" i="11"/>
  <c r="N431" i="11"/>
  <c r="N432" i="11"/>
  <c r="N433" i="11"/>
  <c r="N434" i="11"/>
  <c r="N435" i="11"/>
  <c r="N436" i="11"/>
  <c r="N437" i="11"/>
  <c r="N438" i="11"/>
  <c r="N439" i="11"/>
  <c r="N440" i="11"/>
  <c r="N441" i="11"/>
  <c r="N442" i="11"/>
  <c r="N443" i="11"/>
  <c r="N444" i="11"/>
  <c r="N445" i="11"/>
  <c r="N446" i="11"/>
  <c r="N447" i="11"/>
  <c r="N448" i="11"/>
  <c r="N449" i="11"/>
  <c r="N450" i="11"/>
  <c r="N451" i="11"/>
  <c r="N452" i="11"/>
  <c r="N453" i="11"/>
  <c r="N454" i="11"/>
  <c r="N455" i="11"/>
  <c r="N456" i="11"/>
  <c r="N457" i="11"/>
  <c r="N458" i="11"/>
  <c r="N459" i="11"/>
  <c r="N460" i="11"/>
  <c r="N461" i="11"/>
  <c r="N462" i="11"/>
  <c r="N463" i="11"/>
  <c r="N464" i="11"/>
  <c r="N465" i="11"/>
  <c r="N466" i="11"/>
  <c r="N467" i="11"/>
  <c r="N468" i="11"/>
  <c r="N469" i="11"/>
  <c r="N470" i="11"/>
  <c r="N471" i="11"/>
  <c r="N472" i="11"/>
  <c r="N473" i="11"/>
  <c r="N474" i="11"/>
  <c r="N475" i="11"/>
  <c r="N476" i="11"/>
  <c r="N477" i="11"/>
  <c r="N478" i="11"/>
  <c r="N479" i="11"/>
  <c r="N480" i="11"/>
  <c r="N481" i="11"/>
  <c r="N482" i="11"/>
  <c r="N483" i="11"/>
  <c r="N484" i="11"/>
  <c r="N485" i="11"/>
  <c r="N486" i="11"/>
  <c r="N487" i="11"/>
  <c r="N488" i="11"/>
  <c r="N489" i="11"/>
  <c r="N490" i="11"/>
  <c r="N491" i="11"/>
  <c r="N492" i="11"/>
  <c r="N493" i="11"/>
  <c r="N494" i="11"/>
  <c r="N495" i="11"/>
  <c r="N496" i="11"/>
  <c r="N497" i="11"/>
  <c r="N498" i="11"/>
  <c r="N499" i="11"/>
  <c r="N500" i="11"/>
  <c r="N501" i="11"/>
  <c r="N502" i="11"/>
  <c r="N503" i="11"/>
  <c r="N504" i="11"/>
  <c r="N505" i="11"/>
  <c r="N506" i="11"/>
  <c r="N507" i="11"/>
  <c r="N508" i="11"/>
  <c r="N509" i="11"/>
  <c r="N510" i="11"/>
  <c r="N511" i="11"/>
  <c r="N512" i="11"/>
  <c r="N513" i="11"/>
  <c r="N514" i="11"/>
  <c r="N515" i="11"/>
  <c r="N516" i="11"/>
  <c r="N517" i="11"/>
  <c r="N518" i="11"/>
  <c r="N519" i="11"/>
  <c r="N520" i="11"/>
  <c r="N521" i="11"/>
  <c r="N522" i="11"/>
  <c r="N523" i="11"/>
  <c r="N524" i="11"/>
  <c r="N525" i="11"/>
  <c r="N526" i="11"/>
  <c r="N527" i="11"/>
  <c r="N528" i="11"/>
  <c r="N529" i="11"/>
  <c r="N530" i="11"/>
  <c r="N531" i="11"/>
  <c r="N532" i="11"/>
  <c r="N533" i="11"/>
  <c r="N534" i="11"/>
  <c r="N535" i="11"/>
  <c r="N536" i="11"/>
  <c r="N537" i="11"/>
  <c r="N538" i="11"/>
  <c r="N539" i="11"/>
  <c r="N540" i="11"/>
  <c r="N541" i="11"/>
  <c r="N542" i="11"/>
  <c r="N543" i="11"/>
  <c r="N544" i="11"/>
  <c r="N545" i="11"/>
  <c r="N546" i="11"/>
  <c r="N547" i="11"/>
  <c r="N548" i="11"/>
  <c r="N549" i="11"/>
  <c r="N550" i="11"/>
  <c r="N551" i="11"/>
  <c r="N552" i="11"/>
  <c r="N553" i="11"/>
  <c r="N554" i="11"/>
  <c r="N555" i="11"/>
  <c r="N556" i="11"/>
  <c r="N557" i="11"/>
  <c r="N558" i="11"/>
  <c r="N559" i="11"/>
  <c r="N560" i="11"/>
  <c r="N561" i="11"/>
  <c r="N562" i="11"/>
  <c r="N563" i="11"/>
  <c r="N564" i="11"/>
  <c r="N565" i="11"/>
  <c r="N566" i="11"/>
  <c r="N567" i="11"/>
  <c r="N568" i="11"/>
  <c r="N569" i="11"/>
  <c r="N570" i="11"/>
  <c r="N571" i="11"/>
  <c r="N572" i="11"/>
  <c r="N573" i="11"/>
  <c r="N574" i="11"/>
  <c r="N575" i="11"/>
  <c r="N576" i="11"/>
  <c r="N577" i="11"/>
  <c r="N578" i="11"/>
  <c r="N579" i="11"/>
  <c r="N580" i="11"/>
  <c r="N581" i="11"/>
  <c r="N582" i="11"/>
  <c r="N583" i="11"/>
  <c r="N584" i="11"/>
  <c r="N585" i="11"/>
  <c r="N586" i="11"/>
  <c r="N587" i="11"/>
  <c r="N588" i="11"/>
  <c r="N589" i="11"/>
  <c r="N590" i="11"/>
  <c r="N591" i="11"/>
  <c r="N592" i="11"/>
  <c r="N593" i="11"/>
  <c r="N594" i="11"/>
  <c r="N595" i="11"/>
  <c r="N596" i="11"/>
  <c r="N597" i="11"/>
  <c r="N598" i="11"/>
  <c r="N599" i="11"/>
  <c r="N600" i="11"/>
  <c r="N601" i="11"/>
  <c r="N602" i="11"/>
  <c r="N603" i="11"/>
  <c r="N604" i="11"/>
  <c r="N605" i="11"/>
  <c r="N606" i="11"/>
  <c r="N607" i="11"/>
  <c r="N608" i="11"/>
  <c r="N609" i="11"/>
  <c r="N610" i="11"/>
  <c r="N611" i="11"/>
  <c r="N612" i="11"/>
  <c r="N613" i="11"/>
  <c r="N614" i="11"/>
  <c r="N615" i="11"/>
  <c r="N616" i="11"/>
  <c r="N617" i="11"/>
  <c r="N618" i="11"/>
  <c r="N619" i="11"/>
  <c r="N620" i="11"/>
  <c r="N621" i="11"/>
  <c r="N622" i="11"/>
  <c r="N623" i="11"/>
  <c r="N624" i="11"/>
  <c r="N625" i="11"/>
  <c r="N626" i="11"/>
  <c r="N627" i="11"/>
  <c r="N628" i="11"/>
  <c r="N629" i="11"/>
  <c r="N630" i="11"/>
  <c r="N631" i="11"/>
  <c r="N632" i="11"/>
  <c r="N633" i="11"/>
  <c r="N634" i="11"/>
  <c r="N635" i="11"/>
  <c r="N636" i="11"/>
  <c r="N637" i="11"/>
  <c r="N638" i="11"/>
  <c r="N639" i="11"/>
  <c r="N640" i="11"/>
  <c r="N641" i="11"/>
  <c r="N642" i="11"/>
  <c r="N643" i="11"/>
  <c r="N644" i="11"/>
  <c r="N645" i="11"/>
  <c r="N646" i="11"/>
  <c r="N647" i="11"/>
  <c r="N648" i="11"/>
  <c r="N649" i="11"/>
  <c r="N650" i="11"/>
  <c r="N651" i="11"/>
  <c r="N652" i="11"/>
  <c r="N653" i="11"/>
  <c r="N654" i="11"/>
  <c r="N655" i="11"/>
  <c r="N656" i="11"/>
  <c r="N657" i="11"/>
  <c r="N658" i="11"/>
  <c r="N659" i="11"/>
  <c r="N660" i="11"/>
  <c r="N661" i="11"/>
  <c r="N662" i="11"/>
  <c r="N663" i="11"/>
  <c r="N664" i="11"/>
  <c r="N665" i="11"/>
  <c r="N666" i="11"/>
  <c r="N667" i="11"/>
  <c r="N668" i="11"/>
  <c r="N669" i="11"/>
  <c r="N670" i="11"/>
  <c r="N671" i="11"/>
  <c r="N672" i="11"/>
  <c r="N673" i="11"/>
  <c r="N674" i="11"/>
  <c r="N675" i="11"/>
  <c r="N676" i="11"/>
  <c r="N677" i="11"/>
  <c r="N678" i="11"/>
  <c r="N679" i="11"/>
  <c r="N680" i="11"/>
  <c r="N681" i="11"/>
  <c r="N682" i="11"/>
  <c r="N683" i="11"/>
  <c r="N684" i="11"/>
  <c r="N685" i="11"/>
  <c r="N686" i="11"/>
  <c r="N687" i="11"/>
  <c r="N688" i="11"/>
  <c r="N689" i="11"/>
  <c r="N690" i="11"/>
  <c r="N691" i="11"/>
  <c r="N692" i="11"/>
  <c r="N693" i="11"/>
  <c r="N694" i="11"/>
  <c r="N695" i="11"/>
  <c r="N696" i="11"/>
  <c r="N697" i="11"/>
  <c r="N698" i="11"/>
  <c r="N699" i="11"/>
  <c r="N700" i="11"/>
  <c r="N701" i="11"/>
  <c r="N702" i="11"/>
  <c r="N703" i="11"/>
  <c r="N704" i="11"/>
  <c r="N705" i="11"/>
  <c r="N706" i="11"/>
  <c r="N707" i="11"/>
  <c r="N708" i="11"/>
  <c r="N709" i="11"/>
  <c r="N710" i="11"/>
  <c r="N711" i="11"/>
  <c r="N712" i="11"/>
  <c r="N713" i="11"/>
  <c r="N714" i="11"/>
  <c r="N715" i="11"/>
  <c r="N716" i="11"/>
  <c r="N717" i="11"/>
  <c r="N718" i="11"/>
  <c r="N719" i="11"/>
  <c r="N720" i="11"/>
  <c r="N721" i="11"/>
  <c r="N722" i="11"/>
  <c r="N723" i="11"/>
  <c r="N724" i="11"/>
  <c r="N725" i="11"/>
  <c r="N726" i="11"/>
  <c r="N727" i="11"/>
  <c r="N728" i="11"/>
  <c r="N729" i="11"/>
  <c r="N730" i="11"/>
  <c r="N731" i="11"/>
  <c r="N732" i="11"/>
  <c r="N733" i="11"/>
  <c r="N734" i="11"/>
  <c r="N735" i="11"/>
  <c r="N736" i="11"/>
  <c r="N737" i="11"/>
  <c r="N738" i="11"/>
  <c r="N739" i="11"/>
  <c r="N740" i="11"/>
  <c r="N741" i="11"/>
  <c r="N742" i="11"/>
  <c r="N743" i="11"/>
  <c r="N744" i="11"/>
  <c r="N745" i="11"/>
  <c r="N746" i="11"/>
  <c r="N747" i="11"/>
  <c r="N748" i="11"/>
  <c r="N749" i="11"/>
  <c r="N750" i="11"/>
  <c r="N751" i="11"/>
  <c r="N752" i="11"/>
  <c r="N753" i="11"/>
  <c r="N754" i="11"/>
  <c r="N755" i="11"/>
  <c r="N756" i="11"/>
  <c r="N757" i="11"/>
  <c r="N758" i="11"/>
  <c r="N759" i="11"/>
  <c r="N760" i="11"/>
  <c r="N761" i="11"/>
  <c r="N762" i="11"/>
  <c r="N763" i="11"/>
  <c r="N764" i="11"/>
  <c r="N765" i="11"/>
  <c r="N766" i="11"/>
  <c r="N767" i="11"/>
  <c r="N768" i="11"/>
  <c r="N769" i="11"/>
  <c r="N770" i="11"/>
  <c r="N771" i="11"/>
  <c r="N772" i="11"/>
  <c r="N773" i="11"/>
  <c r="N774" i="11"/>
  <c r="N775" i="11"/>
  <c r="N776" i="11"/>
  <c r="N777" i="11"/>
  <c r="N778" i="11"/>
  <c r="N779" i="11"/>
  <c r="N780" i="11"/>
  <c r="N781" i="11"/>
  <c r="N782" i="11"/>
  <c r="N783" i="11"/>
  <c r="N784" i="11"/>
  <c r="N785" i="11"/>
  <c r="N786" i="11"/>
  <c r="N787" i="11"/>
  <c r="N788" i="11"/>
  <c r="N789" i="11"/>
  <c r="N790" i="11"/>
  <c r="N791" i="11"/>
  <c r="N792" i="11"/>
  <c r="N793" i="11"/>
  <c r="N794" i="11"/>
  <c r="N795" i="11"/>
  <c r="N796" i="11"/>
  <c r="N797" i="11"/>
  <c r="N798" i="11"/>
  <c r="N799" i="11"/>
  <c r="N800" i="11"/>
  <c r="N801" i="11"/>
  <c r="N802" i="11"/>
  <c r="N803" i="11"/>
  <c r="N804" i="11"/>
  <c r="N805" i="11"/>
  <c r="N806" i="11"/>
  <c r="N807" i="11"/>
  <c r="N808" i="11"/>
  <c r="N809" i="11"/>
  <c r="N810" i="11"/>
  <c r="N811" i="11"/>
  <c r="N812" i="11"/>
  <c r="N813" i="11"/>
  <c r="N814" i="11"/>
  <c r="N815" i="11"/>
  <c r="N816" i="11"/>
  <c r="N817" i="11"/>
  <c r="N818" i="11"/>
  <c r="N819" i="11"/>
  <c r="N820" i="11"/>
  <c r="N821" i="11"/>
  <c r="N822" i="11"/>
  <c r="N823" i="11"/>
  <c r="N824" i="11"/>
  <c r="N825" i="11"/>
  <c r="N826" i="11"/>
  <c r="N827" i="11"/>
  <c r="N828" i="11"/>
  <c r="N829" i="11"/>
  <c r="N830" i="11"/>
  <c r="N831" i="11"/>
  <c r="N832" i="11"/>
  <c r="N833" i="11"/>
  <c r="N834" i="11"/>
  <c r="N835" i="11"/>
  <c r="N836" i="11"/>
  <c r="N837" i="11"/>
  <c r="N838" i="11"/>
  <c r="N839" i="11"/>
  <c r="N840" i="11"/>
  <c r="N841" i="11"/>
  <c r="N842" i="11"/>
  <c r="N843" i="11"/>
  <c r="N844" i="11"/>
  <c r="N845" i="11"/>
  <c r="N846" i="11"/>
  <c r="N847" i="11"/>
  <c r="N848" i="11"/>
  <c r="N849" i="11"/>
  <c r="N850" i="11"/>
  <c r="N851" i="11"/>
  <c r="N852" i="11"/>
  <c r="N853" i="11"/>
  <c r="N854" i="11"/>
  <c r="N855" i="11"/>
  <c r="N856" i="11"/>
  <c r="N857" i="11"/>
  <c r="N858" i="11"/>
  <c r="N859" i="11"/>
  <c r="N860" i="11"/>
  <c r="N861" i="11"/>
  <c r="N862" i="11"/>
  <c r="N863" i="11"/>
  <c r="N864" i="11"/>
  <c r="N865" i="11"/>
  <c r="N866" i="11"/>
  <c r="N867" i="11"/>
  <c r="N868" i="11"/>
  <c r="N869" i="11"/>
  <c r="N870" i="11"/>
  <c r="N871" i="11"/>
  <c r="N872" i="11"/>
  <c r="N873" i="11"/>
  <c r="N874" i="11"/>
  <c r="N875" i="11"/>
  <c r="N876" i="11"/>
  <c r="N877" i="11"/>
  <c r="N878" i="11"/>
  <c r="N879" i="11"/>
  <c r="N880" i="11"/>
  <c r="N881" i="11"/>
  <c r="N882" i="11"/>
  <c r="N883" i="11"/>
  <c r="N884" i="11"/>
  <c r="N885" i="11"/>
  <c r="N886" i="11"/>
  <c r="N887" i="11"/>
  <c r="N888" i="11"/>
  <c r="N889" i="11"/>
  <c r="N890" i="11"/>
  <c r="N891" i="11"/>
  <c r="N892" i="11"/>
  <c r="N893" i="11"/>
  <c r="N894" i="11"/>
  <c r="N895" i="11"/>
  <c r="N896" i="11"/>
  <c r="N897" i="11"/>
  <c r="N898" i="11"/>
  <c r="N899" i="11"/>
  <c r="N900" i="11"/>
  <c r="N901" i="11"/>
  <c r="N902" i="11"/>
  <c r="N903" i="11"/>
  <c r="N904" i="11"/>
  <c r="N905" i="11"/>
  <c r="N906" i="11"/>
  <c r="N907" i="11"/>
  <c r="N908" i="11"/>
  <c r="N909" i="11"/>
  <c r="N910" i="11"/>
  <c r="N911" i="11"/>
  <c r="N912" i="11"/>
  <c r="N913" i="11"/>
  <c r="N914" i="11"/>
  <c r="N915" i="11"/>
  <c r="N916" i="11"/>
  <c r="N917" i="11"/>
  <c r="N918" i="11"/>
  <c r="N919" i="11"/>
  <c r="N920" i="11"/>
  <c r="N921" i="11"/>
  <c r="N922" i="11"/>
  <c r="N923" i="11"/>
  <c r="N924" i="11"/>
  <c r="N925" i="11"/>
  <c r="N926" i="11"/>
  <c r="N927" i="11"/>
  <c r="N928" i="11"/>
  <c r="N929" i="11"/>
  <c r="N930" i="11"/>
  <c r="N931" i="11"/>
  <c r="N932" i="11"/>
  <c r="N933" i="11"/>
  <c r="N934" i="11"/>
  <c r="N935" i="11"/>
  <c r="N936" i="11"/>
  <c r="N937" i="11"/>
  <c r="N938" i="11"/>
  <c r="N939" i="11"/>
  <c r="N940" i="11"/>
  <c r="N941" i="11"/>
  <c r="N942" i="11"/>
  <c r="N943" i="11"/>
  <c r="N944" i="11"/>
  <c r="N945" i="11"/>
  <c r="N946" i="11"/>
  <c r="N947" i="11"/>
  <c r="N948" i="11"/>
  <c r="N949" i="11"/>
  <c r="N950" i="11"/>
  <c r="N951" i="11"/>
  <c r="N952" i="11"/>
  <c r="N953" i="11"/>
  <c r="N954" i="11"/>
  <c r="N955" i="11"/>
  <c r="N956" i="11"/>
  <c r="N957" i="11"/>
  <c r="N958" i="11"/>
  <c r="N959" i="11"/>
  <c r="N960" i="11"/>
  <c r="N961" i="11"/>
  <c r="N962" i="11"/>
  <c r="N963" i="11"/>
  <c r="N964" i="11"/>
  <c r="N965" i="11"/>
  <c r="N966" i="11"/>
  <c r="N967" i="11"/>
  <c r="N968" i="11"/>
  <c r="N969" i="11"/>
  <c r="N970" i="11"/>
  <c r="N971" i="11"/>
  <c r="N972" i="11"/>
  <c r="N973" i="11"/>
  <c r="N974" i="11"/>
  <c r="N975" i="11"/>
  <c r="N976" i="11"/>
  <c r="N977" i="11"/>
  <c r="N978" i="11"/>
  <c r="N979" i="11"/>
  <c r="N980" i="11"/>
  <c r="N981" i="11"/>
  <c r="N982" i="11"/>
  <c r="N983" i="11"/>
  <c r="N984" i="11"/>
  <c r="N985" i="11"/>
  <c r="N986" i="11"/>
  <c r="N987" i="11"/>
  <c r="N988" i="11"/>
  <c r="N989" i="11"/>
  <c r="N990" i="11"/>
  <c r="N991" i="11"/>
  <c r="N992" i="11"/>
  <c r="N993" i="11"/>
  <c r="N994" i="11"/>
  <c r="N995" i="11"/>
  <c r="N996" i="11"/>
  <c r="N997" i="11"/>
  <c r="N998" i="11"/>
  <c r="N999" i="11"/>
  <c r="N1000" i="11"/>
  <c r="N1001" i="11"/>
  <c r="N1002" i="11"/>
  <c r="N1003" i="11"/>
  <c r="N1004" i="11"/>
  <c r="N1005" i="11"/>
  <c r="N1006" i="11"/>
  <c r="N1007" i="11"/>
  <c r="N1008" i="11"/>
  <c r="N1009" i="11"/>
  <c r="N1010" i="11"/>
  <c r="N1011" i="11"/>
  <c r="N1012" i="11"/>
  <c r="N1013" i="11"/>
  <c r="N1014" i="11"/>
  <c r="N1015" i="11"/>
  <c r="N1016" i="11"/>
  <c r="N1017" i="11"/>
  <c r="N1018" i="11"/>
  <c r="N1019" i="11"/>
  <c r="N1020" i="11"/>
  <c r="N1021" i="11"/>
  <c r="N1022" i="11"/>
  <c r="N1023" i="11"/>
  <c r="N1024" i="11"/>
  <c r="N1025" i="11"/>
  <c r="N1026" i="11"/>
  <c r="N1027" i="11"/>
  <c r="N1028" i="11"/>
  <c r="N1029" i="11"/>
  <c r="N1030" i="11"/>
  <c r="N1031" i="11"/>
  <c r="N1032" i="11"/>
  <c r="N1033" i="11"/>
  <c r="N1034" i="11"/>
  <c r="N1035" i="11"/>
  <c r="N1036" i="11"/>
  <c r="N1037" i="11"/>
  <c r="N1038" i="11"/>
  <c r="N1039" i="11"/>
  <c r="N1040" i="11"/>
  <c r="N1041" i="11"/>
  <c r="N1042" i="11"/>
  <c r="N1043" i="11"/>
  <c r="N1044" i="11"/>
  <c r="N1045" i="11"/>
  <c r="N1046" i="11"/>
  <c r="N1047" i="11"/>
  <c r="N1048" i="11"/>
  <c r="N1049" i="11"/>
  <c r="N1050" i="11"/>
  <c r="N1051" i="11"/>
  <c r="N1052" i="11"/>
  <c r="N1053" i="11"/>
  <c r="N1054" i="11"/>
  <c r="N1055" i="11"/>
  <c r="N1056" i="11"/>
  <c r="N1057" i="11"/>
  <c r="N1058" i="11"/>
  <c r="N1059" i="11"/>
  <c r="N1060" i="11"/>
  <c r="N1061" i="11"/>
  <c r="N1062" i="11"/>
  <c r="N1063" i="11"/>
  <c r="N1064" i="11"/>
  <c r="N1065" i="11"/>
  <c r="N1066" i="11"/>
  <c r="N1067" i="11"/>
  <c r="N1068" i="11"/>
  <c r="N1069" i="11"/>
  <c r="N1070" i="11"/>
  <c r="N1071" i="11"/>
  <c r="N1072" i="11"/>
  <c r="N1073" i="11"/>
  <c r="N1074" i="11"/>
  <c r="N1075" i="11"/>
  <c r="N1076" i="11"/>
  <c r="N1077" i="11"/>
  <c r="N1078" i="11"/>
  <c r="N1079" i="11"/>
  <c r="N1080" i="11"/>
  <c r="N1081" i="11"/>
  <c r="N1082" i="11"/>
  <c r="N1083" i="11"/>
  <c r="N1084" i="11"/>
  <c r="N1085" i="11"/>
  <c r="N1086" i="11"/>
  <c r="N1087" i="11"/>
  <c r="N1088" i="11"/>
  <c r="N1089" i="11"/>
  <c r="N1090" i="11"/>
  <c r="N1091" i="11"/>
  <c r="N1092" i="11"/>
  <c r="N1093" i="11"/>
  <c r="N1094" i="11"/>
  <c r="N1095" i="11"/>
  <c r="N1096" i="11"/>
  <c r="N1097" i="11"/>
  <c r="N1098" i="11"/>
  <c r="N1099" i="11"/>
  <c r="N1100" i="11"/>
  <c r="N1101" i="11"/>
  <c r="N1102" i="11"/>
  <c r="N1103" i="11"/>
  <c r="N1104" i="11"/>
  <c r="N1105" i="11"/>
  <c r="N1106" i="11"/>
  <c r="N1107" i="11"/>
  <c r="N1108" i="11"/>
  <c r="N1109" i="11"/>
  <c r="N1110" i="11"/>
  <c r="N1111" i="11"/>
  <c r="N1112" i="11"/>
  <c r="N1113" i="11"/>
  <c r="N1114" i="11"/>
  <c r="N1115" i="11"/>
  <c r="N1116" i="11"/>
  <c r="N1117" i="11"/>
  <c r="N1118" i="11"/>
  <c r="N1119" i="11"/>
  <c r="N1120" i="11"/>
  <c r="N1121" i="11"/>
  <c r="N1122" i="11"/>
  <c r="N1123" i="11"/>
  <c r="N1124" i="11"/>
  <c r="N1125" i="11"/>
  <c r="N1126" i="11"/>
  <c r="N1127" i="11"/>
  <c r="N1128" i="11"/>
  <c r="N1129" i="11"/>
  <c r="N1130" i="11"/>
  <c r="N1131" i="11"/>
  <c r="N1132" i="11"/>
  <c r="N1133" i="11"/>
  <c r="N1134" i="11"/>
  <c r="N1135" i="11"/>
  <c r="N1136" i="11"/>
  <c r="N1137" i="11"/>
  <c r="N1138" i="11"/>
  <c r="N1139" i="11"/>
  <c r="N1140" i="11"/>
  <c r="N1141" i="11"/>
  <c r="N1142" i="11"/>
  <c r="N1143" i="11"/>
  <c r="N1144" i="11"/>
  <c r="N1145" i="11"/>
  <c r="N1146" i="11"/>
  <c r="N1147" i="11"/>
  <c r="N1148" i="11"/>
  <c r="N1149" i="11"/>
  <c r="N1150" i="11"/>
  <c r="N1151" i="11"/>
  <c r="N1152" i="11"/>
  <c r="N1153" i="11"/>
  <c r="N1154" i="11"/>
  <c r="N1155" i="11"/>
  <c r="N1156" i="11"/>
  <c r="N1157" i="11"/>
  <c r="N1158" i="11"/>
  <c r="N1159" i="11"/>
  <c r="N1160" i="11"/>
  <c r="N1161" i="11"/>
  <c r="N1162" i="11"/>
  <c r="N1163" i="11"/>
  <c r="N1164" i="11"/>
  <c r="N1165" i="11"/>
  <c r="N1166" i="11"/>
  <c r="N1167" i="11"/>
  <c r="N1168" i="11"/>
  <c r="N1169" i="11"/>
  <c r="N1170" i="11"/>
  <c r="N1171" i="11"/>
  <c r="N1172" i="11"/>
  <c r="N1173" i="11"/>
  <c r="N1174" i="11"/>
  <c r="N1175" i="11"/>
  <c r="N1176" i="11"/>
  <c r="N1177" i="11"/>
  <c r="N1178" i="11"/>
  <c r="N1179" i="11"/>
  <c r="N1180" i="11"/>
  <c r="N1181" i="11"/>
  <c r="N1182" i="11"/>
  <c r="N1183" i="11"/>
  <c r="N1184" i="11"/>
  <c r="N1185" i="11"/>
  <c r="N1186" i="11"/>
  <c r="N1187" i="11"/>
  <c r="N1188" i="11"/>
  <c r="N1189" i="11"/>
  <c r="N1190" i="11"/>
  <c r="N1191" i="11"/>
  <c r="N1192" i="11"/>
  <c r="N1193" i="11"/>
  <c r="N1194" i="11"/>
  <c r="N1195" i="11"/>
  <c r="N1196" i="11"/>
  <c r="N1197" i="11"/>
  <c r="N1198" i="11"/>
  <c r="N1199" i="11"/>
  <c r="N1200" i="11"/>
  <c r="N1201" i="11"/>
  <c r="N1202" i="11"/>
  <c r="N1203" i="11"/>
  <c r="N1204" i="11"/>
  <c r="N1205" i="11"/>
  <c r="N1206" i="11"/>
  <c r="N1207" i="11"/>
  <c r="N1208" i="11"/>
  <c r="N1209" i="11"/>
  <c r="N1210" i="11"/>
  <c r="N1211" i="11"/>
  <c r="N1212" i="11"/>
  <c r="N1213" i="11"/>
  <c r="N1214" i="11"/>
  <c r="N1215" i="11"/>
  <c r="N1216" i="11"/>
  <c r="N1217" i="11"/>
  <c r="N1218" i="11"/>
  <c r="N1219" i="11"/>
  <c r="N1220" i="11"/>
  <c r="N1221" i="11"/>
  <c r="N1222" i="11"/>
  <c r="N1223" i="11"/>
  <c r="N1224" i="11"/>
  <c r="N1225" i="11"/>
  <c r="N1226" i="11"/>
  <c r="N1227" i="11"/>
  <c r="N1228" i="11"/>
  <c r="N1229" i="11"/>
  <c r="N1230" i="11"/>
  <c r="N1231" i="11"/>
  <c r="N1232" i="11"/>
  <c r="N1233" i="11"/>
  <c r="N1234" i="11"/>
  <c r="N1235" i="11"/>
  <c r="N1236" i="11"/>
  <c r="N1237" i="11"/>
  <c r="N1238" i="11"/>
  <c r="N1239" i="11"/>
  <c r="N1240" i="11"/>
  <c r="N1241" i="11"/>
  <c r="N1242" i="11"/>
  <c r="N1243" i="11"/>
  <c r="N1244" i="11"/>
  <c r="N1245" i="11"/>
  <c r="N1246" i="11"/>
  <c r="N1247" i="11"/>
  <c r="N1248" i="11"/>
  <c r="N1249" i="11"/>
  <c r="N1250" i="11"/>
  <c r="N1251" i="11"/>
  <c r="N1252" i="11"/>
  <c r="N1253" i="11"/>
  <c r="N1254" i="11"/>
  <c r="N1255" i="11"/>
  <c r="N1256" i="11"/>
  <c r="N1257" i="11"/>
  <c r="N1258" i="11"/>
  <c r="N1259" i="11"/>
  <c r="N1260" i="11"/>
  <c r="N1261" i="11"/>
  <c r="N1262" i="11"/>
  <c r="N1263" i="11"/>
  <c r="N1264" i="11"/>
  <c r="N1265" i="11"/>
  <c r="N1266" i="11"/>
  <c r="N1267" i="11"/>
  <c r="N1268" i="11"/>
  <c r="N1269" i="11"/>
  <c r="N1270" i="11"/>
  <c r="N1271" i="11"/>
  <c r="N1272" i="11"/>
  <c r="N1273" i="11"/>
  <c r="N1274" i="11"/>
  <c r="N1275" i="11"/>
  <c r="N1276" i="11"/>
  <c r="N1277" i="11"/>
  <c r="N1278" i="11"/>
  <c r="N1279" i="11"/>
  <c r="N1280" i="11"/>
  <c r="N1281" i="11"/>
  <c r="N1282" i="11"/>
  <c r="N1283" i="11"/>
  <c r="N1284" i="11"/>
  <c r="N1285" i="11"/>
  <c r="N1286" i="11"/>
  <c r="N1287" i="11"/>
  <c r="N1288" i="11"/>
  <c r="N1289" i="11"/>
  <c r="N1290" i="11"/>
  <c r="N1291" i="11"/>
  <c r="N1292" i="11"/>
  <c r="N1293" i="11"/>
  <c r="N1294" i="11"/>
  <c r="N1295" i="11"/>
  <c r="N1296" i="11"/>
  <c r="N1297" i="11"/>
  <c r="N1298" i="11"/>
  <c r="N1299" i="11"/>
  <c r="N1300" i="11"/>
  <c r="N1301" i="11"/>
  <c r="N1302" i="11"/>
  <c r="N1303" i="11"/>
  <c r="N1304" i="11"/>
  <c r="N1305" i="11"/>
  <c r="N1306" i="11"/>
  <c r="N1307" i="11"/>
  <c r="N1308" i="11"/>
  <c r="N1309" i="11"/>
  <c r="N1310" i="11"/>
  <c r="N1311" i="11"/>
  <c r="N1312" i="11"/>
  <c r="N1313" i="11"/>
  <c r="N1314" i="11"/>
  <c r="N1315" i="11"/>
  <c r="N1316" i="11"/>
  <c r="N1317" i="11"/>
  <c r="N1318" i="11"/>
  <c r="N1319" i="11"/>
  <c r="N1320" i="11"/>
  <c r="N1321" i="11"/>
  <c r="N1322" i="11"/>
  <c r="N1323" i="11"/>
  <c r="N1324" i="11"/>
  <c r="N1325" i="11"/>
  <c r="N1326" i="11"/>
  <c r="N1327" i="11"/>
  <c r="N1328" i="11"/>
  <c r="N1329" i="11"/>
  <c r="N1330" i="11"/>
  <c r="N1331" i="11"/>
  <c r="N1332" i="11"/>
  <c r="N1333" i="11"/>
  <c r="N1334" i="11"/>
  <c r="N1335" i="11"/>
  <c r="N1336" i="11"/>
  <c r="N1337" i="11"/>
  <c r="N1338" i="11"/>
  <c r="N1339" i="11"/>
  <c r="N1340" i="11"/>
  <c r="N1341" i="11"/>
  <c r="N1342" i="11"/>
  <c r="N1343" i="11"/>
  <c r="N1344" i="11"/>
  <c r="N1345" i="11"/>
  <c r="N1346" i="11"/>
  <c r="N1347" i="11"/>
  <c r="N1348" i="11"/>
  <c r="N1349" i="11"/>
  <c r="N1350" i="11"/>
  <c r="N1351" i="11"/>
  <c r="N1352" i="11"/>
  <c r="N1353" i="11"/>
  <c r="N1354" i="11"/>
  <c r="N1355" i="11"/>
  <c r="N1356" i="11"/>
  <c r="N1357" i="11"/>
  <c r="N1358" i="11"/>
  <c r="N1359" i="11"/>
  <c r="N1360" i="11"/>
  <c r="N1361" i="11"/>
  <c r="N1362" i="11"/>
  <c r="N1363" i="11"/>
  <c r="N1364" i="11"/>
  <c r="N1365" i="11"/>
  <c r="N1366" i="11"/>
  <c r="N1367" i="11"/>
  <c r="N1368" i="11"/>
  <c r="N1369" i="11"/>
  <c r="N1370" i="11"/>
  <c r="N1371" i="11"/>
  <c r="N1372" i="11"/>
  <c r="N1373" i="11"/>
  <c r="N1374" i="11"/>
  <c r="N1375" i="11"/>
  <c r="N1376" i="11"/>
  <c r="N1377" i="11"/>
  <c r="N1378" i="11"/>
  <c r="N1379" i="11"/>
  <c r="N1380" i="11"/>
  <c r="N1381" i="11"/>
  <c r="N1382" i="11"/>
  <c r="N1383" i="11"/>
  <c r="N1384" i="11"/>
  <c r="N1385" i="11"/>
  <c r="N1386" i="11"/>
  <c r="N1387" i="11"/>
  <c r="N1388" i="11"/>
  <c r="N1389" i="11"/>
  <c r="N1390" i="11"/>
  <c r="N1391" i="11"/>
  <c r="N1392" i="11"/>
  <c r="N1393" i="11"/>
  <c r="N1394" i="11"/>
  <c r="N1395" i="11"/>
  <c r="N1396" i="11"/>
  <c r="N1397" i="11"/>
  <c r="N1398" i="11"/>
  <c r="N1399" i="11"/>
  <c r="N1400" i="11"/>
  <c r="N1401" i="11"/>
  <c r="N1402" i="11"/>
  <c r="N1403" i="11"/>
  <c r="N1404" i="11"/>
  <c r="N1405" i="11"/>
  <c r="N1406" i="11"/>
  <c r="N1407" i="11"/>
  <c r="N1408" i="11"/>
  <c r="N1409" i="11"/>
  <c r="N1410" i="11"/>
  <c r="N1411" i="11"/>
  <c r="N1412" i="11"/>
  <c r="N1413" i="11"/>
  <c r="N1414" i="11"/>
  <c r="N1415" i="11"/>
  <c r="N1416" i="11"/>
  <c r="N1417" i="11"/>
  <c r="N1418" i="11"/>
  <c r="N1419" i="11"/>
  <c r="N1420" i="11"/>
  <c r="N1421" i="11"/>
  <c r="N1422" i="11"/>
  <c r="N1423" i="11"/>
  <c r="N1424" i="11"/>
  <c r="N1425" i="11"/>
  <c r="N1426" i="11"/>
  <c r="N1427" i="11"/>
  <c r="N1428" i="11"/>
  <c r="N1429" i="11"/>
  <c r="N1430" i="11"/>
  <c r="N1431" i="11"/>
  <c r="N1432" i="11"/>
  <c r="N1433" i="11"/>
  <c r="N1434" i="11"/>
  <c r="N1435" i="11"/>
  <c r="N1436" i="11"/>
  <c r="N1437" i="11"/>
  <c r="N1438" i="11"/>
  <c r="N1439" i="11"/>
  <c r="N1440" i="11"/>
  <c r="N1441" i="11"/>
  <c r="N1442" i="11"/>
  <c r="N1443" i="11"/>
  <c r="N1444" i="11"/>
  <c r="N1445" i="11"/>
  <c r="N1446" i="11"/>
  <c r="N1447" i="11"/>
  <c r="N1448" i="11"/>
  <c r="N1449" i="11"/>
  <c r="N1450" i="11"/>
  <c r="N1451" i="11"/>
  <c r="N1452" i="11"/>
  <c r="N1453" i="11"/>
  <c r="N1454" i="11"/>
  <c r="N1455" i="11"/>
  <c r="N1456" i="11"/>
  <c r="N1457" i="11"/>
  <c r="N1458" i="11"/>
  <c r="N1459" i="11"/>
  <c r="N1460" i="11"/>
  <c r="N1461" i="11"/>
  <c r="N1462" i="11"/>
  <c r="N1463" i="11"/>
  <c r="N1464" i="11"/>
  <c r="N1465" i="11"/>
  <c r="N1466" i="11"/>
  <c r="N1467" i="11"/>
  <c r="N1468" i="11"/>
  <c r="N1469" i="11"/>
  <c r="N1470" i="11"/>
  <c r="N1471" i="11"/>
  <c r="N1472" i="11"/>
  <c r="N1473" i="11"/>
  <c r="N1474" i="11"/>
  <c r="N1475" i="11"/>
  <c r="N1476" i="11"/>
  <c r="N1477" i="11"/>
  <c r="N1478" i="11"/>
  <c r="N1479" i="11"/>
  <c r="N1480" i="11"/>
  <c r="N1481" i="11"/>
  <c r="N1482" i="11"/>
  <c r="N1483" i="11"/>
  <c r="N1484" i="11"/>
  <c r="N1485" i="11"/>
  <c r="N1486" i="11"/>
  <c r="N1487" i="11"/>
  <c r="N1488" i="11"/>
  <c r="N1489" i="11"/>
  <c r="N1490" i="11"/>
  <c r="N1491" i="11"/>
  <c r="N1492" i="11"/>
  <c r="N1493" i="11"/>
  <c r="N1494" i="11"/>
  <c r="N1495" i="11"/>
  <c r="N1496" i="11"/>
  <c r="N1497" i="11"/>
  <c r="N1498" i="11"/>
  <c r="N1499" i="11"/>
  <c r="N1500" i="11"/>
  <c r="N1501" i="11"/>
  <c r="N1502" i="11"/>
  <c r="N1503" i="11"/>
  <c r="N1504" i="11"/>
  <c r="N1505" i="11"/>
  <c r="N1506" i="11"/>
  <c r="N1507" i="11"/>
  <c r="N1508" i="11"/>
  <c r="N1509" i="11"/>
  <c r="N1510" i="11"/>
  <c r="N1511" i="11"/>
  <c r="N1512" i="11"/>
  <c r="N1513" i="11"/>
  <c r="N1514" i="11"/>
  <c r="N1515" i="11"/>
  <c r="N1516" i="11"/>
  <c r="N1517" i="11"/>
  <c r="N1518" i="11"/>
  <c r="N1519" i="11"/>
  <c r="N1520" i="11"/>
  <c r="N1521" i="11"/>
  <c r="N1522" i="11"/>
  <c r="N1523" i="11"/>
  <c r="N1524" i="11"/>
  <c r="N1525" i="11"/>
  <c r="N1526" i="11"/>
  <c r="N1527" i="11"/>
  <c r="N1528" i="11"/>
  <c r="N1529" i="11"/>
  <c r="N1530" i="11"/>
  <c r="N1531" i="11"/>
  <c r="N1532" i="11"/>
  <c r="N1533" i="11"/>
  <c r="N1534" i="11"/>
  <c r="N1535" i="11"/>
  <c r="N1536" i="11"/>
  <c r="N1537" i="11"/>
  <c r="N1538" i="11"/>
  <c r="N1539" i="11"/>
  <c r="N1540" i="11"/>
  <c r="N1541" i="11"/>
  <c r="N1542" i="11"/>
  <c r="N1543" i="11"/>
  <c r="N1544" i="11"/>
  <c r="N1545" i="11"/>
  <c r="N1546" i="11"/>
  <c r="N1547" i="11"/>
  <c r="N1548" i="11"/>
  <c r="N1549" i="11"/>
  <c r="N1550" i="11"/>
  <c r="N1551" i="11"/>
  <c r="N1552" i="11"/>
  <c r="N1553" i="11"/>
  <c r="N1554" i="11"/>
  <c r="N1555" i="11"/>
  <c r="N1556" i="11"/>
  <c r="N1557" i="11"/>
  <c r="N1558" i="11"/>
  <c r="N1559" i="11"/>
  <c r="N1560" i="11"/>
  <c r="N1561" i="11"/>
  <c r="N1562" i="11"/>
  <c r="N1563" i="11"/>
  <c r="N1564" i="11"/>
  <c r="N1565" i="11"/>
  <c r="N1566" i="11"/>
  <c r="N1567" i="11"/>
  <c r="N1568" i="11"/>
  <c r="N1569" i="11"/>
  <c r="N1570" i="11"/>
  <c r="N1571" i="11"/>
  <c r="N1572" i="11"/>
  <c r="N1573" i="11"/>
  <c r="N1574" i="11"/>
  <c r="N1575" i="11"/>
  <c r="N1576" i="11"/>
  <c r="N1577" i="11"/>
  <c r="N1578" i="11"/>
  <c r="N1579" i="11"/>
  <c r="N1580" i="11"/>
  <c r="N1581" i="11"/>
  <c r="N1582" i="11"/>
  <c r="N1583" i="11"/>
  <c r="N1584" i="11"/>
  <c r="N1585" i="11"/>
  <c r="N1586" i="11"/>
  <c r="N1587" i="11"/>
  <c r="N1588" i="11"/>
  <c r="N1589" i="11"/>
  <c r="N1590" i="11"/>
  <c r="N1591" i="11"/>
  <c r="N1592" i="11"/>
  <c r="N1593" i="11"/>
  <c r="N1594" i="11"/>
  <c r="N1595" i="11"/>
  <c r="N1596" i="11"/>
  <c r="N1597" i="11"/>
  <c r="N1598" i="11"/>
  <c r="N1599" i="11"/>
  <c r="N1600" i="11"/>
  <c r="N1601" i="11"/>
  <c r="N1602" i="11"/>
  <c r="N1603" i="11"/>
  <c r="N1604" i="11"/>
  <c r="N1605" i="11"/>
  <c r="N1606" i="11"/>
  <c r="N1607" i="11"/>
  <c r="N1608" i="11"/>
  <c r="N1609" i="11"/>
  <c r="N1610" i="11"/>
  <c r="N1611" i="11"/>
  <c r="N1612" i="11"/>
  <c r="N1613" i="11"/>
  <c r="N1614" i="11"/>
  <c r="N1615" i="11"/>
  <c r="N1616" i="11"/>
  <c r="N1617" i="11"/>
  <c r="N1618" i="11"/>
  <c r="N1619" i="11"/>
  <c r="N1620" i="11"/>
  <c r="N1621" i="11"/>
  <c r="N1622" i="11"/>
  <c r="N1623" i="11"/>
  <c r="N1624" i="11"/>
  <c r="N1625" i="11"/>
  <c r="N1626" i="11"/>
  <c r="N1627" i="11"/>
  <c r="N1628" i="11"/>
  <c r="N1629" i="11"/>
  <c r="N1630" i="11"/>
  <c r="N1631" i="11"/>
  <c r="N1632" i="11"/>
  <c r="N1633" i="11"/>
  <c r="N1634" i="11"/>
  <c r="N1635" i="11"/>
  <c r="N1636" i="11"/>
  <c r="N1637" i="11"/>
  <c r="N1638" i="11"/>
  <c r="N1639" i="11"/>
  <c r="N1640" i="11"/>
  <c r="N1641" i="11"/>
  <c r="N1642" i="11"/>
  <c r="N1643" i="11"/>
  <c r="N1644" i="11"/>
  <c r="N1645" i="11"/>
  <c r="N1646" i="11"/>
  <c r="N1647" i="11"/>
  <c r="N1648" i="11"/>
  <c r="N1649" i="11"/>
  <c r="N1650" i="11"/>
  <c r="N1651" i="11"/>
  <c r="N1652" i="11"/>
  <c r="N1653" i="11"/>
  <c r="N1654" i="11"/>
  <c r="N1655" i="11"/>
  <c r="N1656" i="11"/>
  <c r="N1657" i="11"/>
  <c r="N1658" i="11"/>
  <c r="N1659" i="11"/>
  <c r="N1660" i="11"/>
  <c r="N1661" i="11"/>
  <c r="N1662" i="11"/>
  <c r="N1663" i="11"/>
  <c r="N1664" i="11"/>
  <c r="N1665" i="11"/>
  <c r="N1666" i="11"/>
  <c r="N1667" i="11"/>
  <c r="N1668" i="11"/>
  <c r="N1669" i="11"/>
  <c r="N1670" i="11"/>
  <c r="N1671" i="11"/>
  <c r="N1672" i="11"/>
  <c r="N1673" i="11"/>
  <c r="N1674" i="11"/>
  <c r="N1675" i="11"/>
  <c r="N1676" i="11"/>
  <c r="N1677" i="11"/>
  <c r="N1678" i="11"/>
  <c r="N1679" i="11"/>
  <c r="N1680" i="11"/>
  <c r="N1681" i="11"/>
  <c r="N1682" i="11"/>
  <c r="N1683" i="11"/>
  <c r="N1684" i="11"/>
  <c r="N1685" i="11"/>
  <c r="N1686" i="11"/>
  <c r="N1687" i="11"/>
  <c r="N1688" i="11"/>
  <c r="N1689" i="11"/>
  <c r="N1690" i="11"/>
  <c r="N1691" i="11"/>
  <c r="N1692" i="11"/>
  <c r="N1693" i="11"/>
  <c r="N1694" i="11"/>
  <c r="N1695" i="11"/>
  <c r="N1696" i="11"/>
  <c r="N1697" i="11"/>
  <c r="N1698" i="11"/>
  <c r="N1699" i="11"/>
  <c r="N1700" i="11"/>
  <c r="N1701" i="11"/>
  <c r="N1702" i="11"/>
  <c r="N1703" i="11"/>
  <c r="N1704" i="11"/>
  <c r="N1705" i="11"/>
  <c r="N1706" i="11"/>
  <c r="N1707" i="11"/>
  <c r="N1708" i="11"/>
  <c r="N1709" i="11"/>
  <c r="N1710" i="11"/>
  <c r="N1711" i="11"/>
  <c r="N1712" i="11"/>
  <c r="N1713" i="11"/>
  <c r="N1714" i="11"/>
  <c r="N1715" i="11"/>
  <c r="N1716" i="11"/>
  <c r="N1717" i="11"/>
  <c r="N1718" i="11"/>
  <c r="N1719" i="11"/>
  <c r="N1720" i="11"/>
  <c r="N1721" i="11"/>
  <c r="N1722" i="11"/>
  <c r="N1723" i="11"/>
  <c r="N1724" i="11"/>
  <c r="N1725" i="11"/>
  <c r="N1726" i="11"/>
  <c r="N1727" i="11"/>
  <c r="N1728" i="11"/>
  <c r="N1729" i="11"/>
  <c r="N1730" i="11"/>
  <c r="N1731" i="11"/>
  <c r="N1732" i="11"/>
  <c r="N1733" i="11"/>
  <c r="N1734" i="11"/>
  <c r="N1735" i="11"/>
  <c r="N1736" i="11"/>
  <c r="N1737" i="11"/>
  <c r="N1738" i="11"/>
  <c r="N1739" i="11"/>
  <c r="N1740" i="11"/>
  <c r="N1741" i="11"/>
  <c r="N1742" i="11"/>
  <c r="N1743" i="11"/>
  <c r="N1744" i="11"/>
  <c r="N1745" i="11"/>
  <c r="N1746" i="11"/>
  <c r="N1747" i="11"/>
  <c r="N1748" i="11"/>
  <c r="N1749" i="11"/>
  <c r="N1750" i="11"/>
  <c r="N1751" i="11"/>
  <c r="N1752" i="11"/>
  <c r="N1753" i="11"/>
  <c r="N1754" i="11"/>
  <c r="N1755" i="11"/>
  <c r="N1756" i="11"/>
  <c r="N1757" i="11"/>
  <c r="N1758" i="11"/>
  <c r="N1759" i="11"/>
  <c r="N1760" i="11"/>
  <c r="N1761" i="11"/>
  <c r="N1762" i="11"/>
  <c r="N1763" i="11"/>
  <c r="N1764" i="11"/>
  <c r="N1765" i="11"/>
  <c r="N1766" i="11"/>
  <c r="N1767" i="11"/>
  <c r="N1768" i="11"/>
  <c r="N1769" i="11"/>
  <c r="N1770" i="11"/>
  <c r="N1771" i="11"/>
  <c r="N1772" i="11"/>
  <c r="N1773" i="11"/>
  <c r="N1774" i="11"/>
  <c r="N1775" i="11"/>
  <c r="N1776" i="11"/>
  <c r="N1777" i="11"/>
  <c r="N1778" i="11"/>
  <c r="N1779" i="11"/>
  <c r="N1780" i="11"/>
  <c r="N1781" i="11"/>
  <c r="N1782" i="11"/>
  <c r="N1783" i="11"/>
  <c r="N1784" i="11"/>
  <c r="N1785" i="11"/>
  <c r="N1786" i="11"/>
  <c r="N1787" i="11"/>
  <c r="N1788" i="11"/>
  <c r="N1789" i="11"/>
  <c r="N1790" i="11"/>
  <c r="N1791" i="11"/>
  <c r="N1792" i="11"/>
  <c r="N1793" i="11"/>
  <c r="N1794" i="11"/>
  <c r="N1795" i="11"/>
  <c r="N1796" i="11"/>
  <c r="N1797" i="11"/>
  <c r="N1798" i="11"/>
  <c r="N1799" i="11"/>
  <c r="N1800" i="11"/>
  <c r="N1801" i="11"/>
  <c r="N1802" i="11"/>
  <c r="N1803" i="11"/>
  <c r="N1804" i="11"/>
  <c r="N1805" i="11"/>
  <c r="N1806" i="11"/>
  <c r="N1807" i="11"/>
  <c r="N1808" i="11"/>
  <c r="N1809" i="11"/>
  <c r="N1810" i="11"/>
  <c r="N1811" i="11"/>
  <c r="N1812" i="11"/>
  <c r="N1813" i="11"/>
  <c r="N1814" i="11"/>
  <c r="N1815" i="11"/>
  <c r="N1816" i="11"/>
  <c r="N1817" i="11"/>
  <c r="N1818" i="11"/>
  <c r="N1819" i="11"/>
  <c r="N1820" i="11"/>
  <c r="N1821" i="11"/>
  <c r="N1822" i="11"/>
  <c r="N1823" i="11"/>
  <c r="N1824" i="11"/>
  <c r="N1825" i="11"/>
  <c r="N1826" i="11"/>
  <c r="N1827" i="11"/>
  <c r="N1828" i="11"/>
  <c r="N1829" i="11"/>
  <c r="N1830" i="11"/>
  <c r="N1831" i="11"/>
  <c r="N1832" i="11"/>
  <c r="N1833" i="11"/>
  <c r="N1834" i="11"/>
  <c r="N1835" i="11"/>
  <c r="N1836" i="11"/>
  <c r="N1837" i="11"/>
  <c r="N1838" i="11"/>
  <c r="N1839" i="11"/>
  <c r="N1840" i="11"/>
  <c r="N1841" i="11"/>
  <c r="N1842" i="11"/>
  <c r="N1843" i="11"/>
  <c r="N1844" i="11"/>
  <c r="N1845" i="11"/>
  <c r="N1846" i="11"/>
  <c r="N1847" i="11"/>
  <c r="N1848" i="11"/>
  <c r="N1849" i="11"/>
  <c r="N1850" i="11"/>
  <c r="N1851" i="11"/>
  <c r="N1852" i="11"/>
  <c r="N1853" i="11"/>
  <c r="N1854" i="11"/>
  <c r="N1855" i="11"/>
  <c r="N1856" i="11"/>
  <c r="N1857" i="11"/>
  <c r="N1858" i="11"/>
  <c r="N1859" i="11"/>
  <c r="N1860" i="11"/>
  <c r="N1861" i="11"/>
  <c r="N1862" i="11"/>
  <c r="N1863" i="11"/>
  <c r="N1864" i="11"/>
  <c r="N1865" i="11"/>
  <c r="N1866" i="11"/>
  <c r="N1867" i="11"/>
  <c r="N1868" i="11"/>
  <c r="N1869" i="11"/>
  <c r="N1870" i="11"/>
  <c r="N1871" i="11"/>
  <c r="N1872" i="11"/>
  <c r="N1873" i="11"/>
  <c r="N1874" i="11"/>
  <c r="N1875" i="11"/>
  <c r="N1876" i="11"/>
  <c r="N1877" i="11"/>
  <c r="N1878" i="11"/>
  <c r="N1879" i="11"/>
  <c r="N1880" i="11"/>
  <c r="N1881" i="11"/>
  <c r="N1882" i="11"/>
  <c r="N1883" i="11"/>
  <c r="N1884" i="11"/>
  <c r="N1885" i="11"/>
  <c r="N1886" i="11"/>
  <c r="N1887" i="11"/>
  <c r="N1888" i="11"/>
  <c r="N1889" i="11"/>
  <c r="N1890" i="11"/>
  <c r="N1891" i="11"/>
  <c r="N1892" i="11"/>
  <c r="N1893" i="11"/>
  <c r="N1894" i="11"/>
  <c r="N1895" i="11"/>
  <c r="N1896" i="11"/>
  <c r="N1897" i="11"/>
  <c r="N1898" i="11"/>
  <c r="N1899" i="11"/>
  <c r="N1900" i="11"/>
  <c r="N1901" i="11"/>
  <c r="N1902" i="11"/>
  <c r="N1903" i="11"/>
  <c r="N1904" i="11"/>
  <c r="N1905" i="11"/>
  <c r="N1906" i="11"/>
  <c r="N1907" i="11"/>
  <c r="N1908" i="11"/>
  <c r="N1909" i="11"/>
  <c r="N1910" i="11"/>
  <c r="N1911" i="11"/>
  <c r="N1912" i="11"/>
  <c r="N1913" i="11"/>
  <c r="N1914" i="11"/>
  <c r="N1915" i="11"/>
  <c r="N1916" i="11"/>
  <c r="N1917" i="11"/>
  <c r="N1918" i="11"/>
  <c r="N1919" i="11"/>
  <c r="N1920" i="11"/>
  <c r="N1921" i="11"/>
  <c r="N1922" i="11"/>
  <c r="N1923" i="11"/>
  <c r="N1924" i="11"/>
  <c r="N1925" i="11"/>
  <c r="N1926" i="11"/>
  <c r="N1927" i="11"/>
  <c r="N1928" i="11"/>
  <c r="N1929" i="11"/>
  <c r="N1930" i="11"/>
  <c r="N1931" i="11"/>
  <c r="N1932" i="11"/>
  <c r="N1933" i="11"/>
  <c r="N1934" i="11"/>
  <c r="N1935" i="11"/>
  <c r="N1936" i="11"/>
  <c r="N1937" i="11"/>
  <c r="N1938" i="11"/>
  <c r="N1939" i="11"/>
  <c r="N1940" i="11"/>
  <c r="N1941" i="11"/>
  <c r="N1942" i="11"/>
  <c r="N1943" i="11"/>
  <c r="N1944" i="11"/>
  <c r="N1945" i="11"/>
  <c r="N1946" i="11"/>
  <c r="N1947" i="11"/>
  <c r="N1948" i="11"/>
  <c r="N1949" i="11"/>
  <c r="N1950" i="11"/>
  <c r="N1951" i="11"/>
  <c r="N1952" i="11"/>
  <c r="N1953" i="11"/>
  <c r="N1954" i="11"/>
  <c r="N1955" i="11"/>
  <c r="N1956" i="11"/>
  <c r="N1957" i="11"/>
  <c r="N1958" i="11"/>
  <c r="N1959" i="11"/>
  <c r="N1960" i="11"/>
  <c r="N1961" i="11"/>
  <c r="N1962" i="11"/>
  <c r="N1963" i="11"/>
  <c r="N1964" i="11"/>
  <c r="N1965" i="11"/>
  <c r="N1966" i="11"/>
  <c r="N1967" i="11"/>
  <c r="N1968" i="11"/>
  <c r="N1969" i="11"/>
  <c r="N1970" i="11"/>
  <c r="N1971" i="11"/>
  <c r="N1972" i="11"/>
  <c r="N1973" i="11"/>
  <c r="N1974" i="11"/>
  <c r="N1975" i="11"/>
  <c r="N1976" i="11"/>
  <c r="N1977" i="11"/>
  <c r="N1978" i="11"/>
  <c r="N1979" i="11"/>
  <c r="N1980" i="11"/>
  <c r="N1981" i="11"/>
  <c r="N1982" i="11"/>
  <c r="N1983" i="11"/>
  <c r="N1984" i="11"/>
  <c r="N1985" i="11"/>
  <c r="N1986" i="11"/>
  <c r="N1987" i="11"/>
  <c r="N1988" i="11"/>
  <c r="N1989" i="11"/>
  <c r="N1990" i="11"/>
  <c r="N1991" i="11"/>
  <c r="N1992" i="11"/>
  <c r="N1993" i="11"/>
  <c r="N1994" i="11"/>
  <c r="N1995" i="11"/>
  <c r="N1996" i="11"/>
  <c r="N1997" i="11"/>
  <c r="N1998" i="11"/>
  <c r="N1999" i="11"/>
  <c r="N2000" i="11"/>
  <c r="N2001" i="11"/>
  <c r="N2002" i="11"/>
  <c r="N2003" i="11"/>
  <c r="N2004" i="11"/>
  <c r="N2005" i="11"/>
  <c r="N2006" i="11"/>
  <c r="N2007" i="11"/>
  <c r="N2008" i="11"/>
  <c r="N2009" i="11"/>
  <c r="N2010" i="11"/>
  <c r="N2011" i="11"/>
  <c r="N2012" i="11"/>
  <c r="N2013" i="11"/>
  <c r="N2014" i="11"/>
  <c r="N2015" i="11"/>
  <c r="N2016" i="11"/>
  <c r="N2017" i="11"/>
  <c r="N2018" i="11"/>
  <c r="N2019" i="11"/>
  <c r="N2020" i="11"/>
  <c r="N2021" i="11"/>
  <c r="N2022" i="11"/>
  <c r="N2023" i="11"/>
  <c r="N2024" i="11"/>
  <c r="N2025" i="11"/>
  <c r="N2026" i="11"/>
  <c r="N2027" i="11"/>
  <c r="N2028" i="11"/>
  <c r="N2029" i="11"/>
  <c r="N2030" i="11"/>
  <c r="N2031" i="11"/>
  <c r="N2032" i="11"/>
  <c r="N2033" i="11"/>
  <c r="N2034" i="11"/>
  <c r="N2035" i="11"/>
  <c r="N2036" i="11"/>
  <c r="N2037" i="11"/>
  <c r="N2038" i="11"/>
  <c r="N2039" i="11"/>
  <c r="N2040" i="11"/>
  <c r="N2041" i="11"/>
  <c r="N2042" i="11"/>
  <c r="N2043" i="11"/>
  <c r="N2044" i="11"/>
  <c r="N2045" i="11"/>
  <c r="N2046" i="11"/>
  <c r="N2047" i="11"/>
  <c r="N2048" i="11"/>
  <c r="N2049" i="11"/>
  <c r="N2050" i="11"/>
  <c r="N2051" i="11"/>
  <c r="N2052" i="11"/>
  <c r="N2053" i="11"/>
  <c r="N2054" i="11"/>
  <c r="N2055" i="11"/>
  <c r="N2056" i="11"/>
  <c r="N2057" i="11"/>
  <c r="N2058" i="11"/>
  <c r="N2059" i="11"/>
  <c r="N2060" i="11"/>
  <c r="N2061" i="11"/>
  <c r="N2062" i="11"/>
  <c r="N2063" i="11"/>
  <c r="N2064" i="11"/>
  <c r="N2065" i="11"/>
  <c r="N2066" i="11"/>
  <c r="N2067" i="11"/>
  <c r="N2068" i="11"/>
  <c r="N2069" i="11"/>
  <c r="N2070" i="11"/>
  <c r="N2071" i="11"/>
  <c r="N2072" i="11"/>
  <c r="N2073" i="11"/>
  <c r="N2074" i="11"/>
  <c r="N2075" i="11"/>
  <c r="N2076" i="11"/>
  <c r="N2077" i="11"/>
  <c r="N2078" i="11"/>
  <c r="N2079" i="11"/>
  <c r="N2080" i="11"/>
  <c r="N2081" i="11"/>
  <c r="N2082" i="11"/>
  <c r="N2083" i="11"/>
  <c r="N2084" i="11"/>
  <c r="N2085" i="11"/>
  <c r="N2086" i="11"/>
  <c r="N2087" i="11"/>
  <c r="N2088" i="11"/>
  <c r="N2089" i="11"/>
  <c r="N2090" i="11"/>
  <c r="N2091" i="11"/>
  <c r="N2092" i="11"/>
  <c r="N2093" i="11"/>
  <c r="N2094" i="11"/>
  <c r="N2095" i="11"/>
  <c r="N2096" i="11"/>
  <c r="N2097" i="11"/>
  <c r="N2098" i="11"/>
  <c r="N2099" i="11"/>
  <c r="N2100" i="11"/>
  <c r="N2101" i="11"/>
  <c r="N2102" i="11"/>
  <c r="N2103" i="11"/>
  <c r="N2104" i="11"/>
  <c r="N2105" i="11"/>
  <c r="N2106" i="11"/>
  <c r="N2107" i="11"/>
  <c r="N2108" i="11"/>
  <c r="N2109" i="11"/>
  <c r="N2110" i="11"/>
  <c r="N2111" i="11"/>
  <c r="N2112" i="11"/>
  <c r="N2113" i="11"/>
  <c r="N2114" i="11"/>
  <c r="N2115" i="11"/>
  <c r="N2116" i="11"/>
  <c r="N2117" i="11"/>
  <c r="N2118" i="11"/>
  <c r="N2119" i="11"/>
  <c r="N2120" i="11"/>
  <c r="N2121" i="11"/>
  <c r="N2122" i="11"/>
  <c r="N2123" i="11"/>
  <c r="N2124" i="11"/>
  <c r="N2125" i="11"/>
  <c r="N2126" i="11"/>
  <c r="N2127" i="11"/>
  <c r="N2128" i="11"/>
  <c r="N2129" i="11"/>
  <c r="N2130" i="11"/>
  <c r="N2131" i="11"/>
  <c r="N2132" i="11"/>
  <c r="N2133" i="11"/>
  <c r="N2134" i="11"/>
  <c r="N2135" i="11"/>
  <c r="N2136" i="11"/>
  <c r="N2137" i="11"/>
  <c r="N2138" i="11"/>
  <c r="N2139" i="11"/>
  <c r="N2140" i="11"/>
  <c r="N2141" i="11"/>
  <c r="N2142" i="11"/>
  <c r="N2143" i="11"/>
  <c r="N2144" i="11"/>
  <c r="N2145" i="11"/>
  <c r="N2146" i="11"/>
  <c r="N2147" i="11"/>
  <c r="N2148" i="11"/>
  <c r="N2149" i="11"/>
  <c r="N2150" i="11"/>
  <c r="N2151" i="11"/>
  <c r="N2152" i="11"/>
  <c r="N2153" i="11"/>
  <c r="N2154" i="11"/>
  <c r="N2155" i="11"/>
  <c r="N2156" i="11"/>
  <c r="N2157" i="11"/>
  <c r="N2158" i="11"/>
  <c r="N2159" i="11"/>
  <c r="N2160" i="11"/>
  <c r="N2161" i="11"/>
  <c r="N2162" i="11"/>
  <c r="N2163" i="11"/>
  <c r="N2164" i="11"/>
  <c r="N2165" i="11"/>
  <c r="N2166" i="11"/>
  <c r="N2167" i="11"/>
  <c r="N2168" i="11"/>
  <c r="N2169" i="11"/>
  <c r="N2170" i="11"/>
  <c r="N2171" i="11"/>
  <c r="N2172" i="11"/>
  <c r="N2173" i="11"/>
  <c r="N2174" i="11"/>
  <c r="N2175" i="11"/>
  <c r="N2176" i="11"/>
  <c r="N2177" i="11"/>
  <c r="N2178" i="11"/>
  <c r="N2179" i="11"/>
  <c r="N2180" i="11"/>
  <c r="N2181" i="11"/>
  <c r="N2182" i="11"/>
  <c r="N2183" i="11"/>
  <c r="N2184" i="11"/>
  <c r="N2185" i="11"/>
  <c r="N2186" i="11"/>
  <c r="N2187" i="11"/>
  <c r="N2188" i="11"/>
  <c r="N2189" i="11"/>
  <c r="N2190" i="11"/>
  <c r="N2191" i="11"/>
  <c r="N2192" i="11"/>
  <c r="N2193" i="11"/>
  <c r="N2194" i="11"/>
  <c r="N2195" i="11"/>
  <c r="N2196" i="11"/>
  <c r="N2197" i="11"/>
  <c r="N2198" i="11"/>
  <c r="N2199" i="11"/>
  <c r="N2200" i="11"/>
  <c r="N2201" i="11"/>
  <c r="N2202" i="11"/>
  <c r="N2203" i="11"/>
  <c r="N2204" i="11"/>
  <c r="N2205" i="11"/>
  <c r="N2206" i="11"/>
  <c r="N2207" i="11"/>
  <c r="N2208" i="11"/>
  <c r="N2209" i="11"/>
  <c r="N2210" i="11"/>
  <c r="N2211" i="11"/>
  <c r="N2212" i="11"/>
  <c r="N2213" i="11"/>
  <c r="N2214" i="11"/>
  <c r="N2215" i="11"/>
  <c r="N2216" i="11"/>
  <c r="N2217" i="11"/>
  <c r="N2218" i="11"/>
  <c r="N2219" i="11"/>
  <c r="N2220" i="11"/>
  <c r="N2221" i="11"/>
  <c r="N2222" i="11"/>
  <c r="N2223" i="11"/>
  <c r="N2224" i="11"/>
  <c r="N2225" i="11"/>
  <c r="N2226" i="11"/>
  <c r="N2227" i="11"/>
  <c r="N2228" i="11"/>
  <c r="N2229" i="11"/>
  <c r="N2230" i="11"/>
  <c r="N2231" i="11"/>
  <c r="N2232" i="11"/>
  <c r="N2233" i="11"/>
  <c r="N2234" i="11"/>
  <c r="N2235" i="11"/>
  <c r="N2236" i="11"/>
  <c r="N2237" i="11"/>
  <c r="N2238" i="11"/>
  <c r="N2239" i="11"/>
  <c r="N2240" i="11"/>
  <c r="N2241" i="11"/>
  <c r="N2242" i="11"/>
  <c r="N2243" i="11"/>
  <c r="N2244" i="11"/>
  <c r="N2245" i="11"/>
  <c r="N2246" i="11"/>
  <c r="N2247" i="11"/>
  <c r="N2248" i="11"/>
  <c r="N2249" i="11"/>
  <c r="N2250" i="11"/>
  <c r="N2251" i="11"/>
  <c r="N2252" i="11"/>
  <c r="N2253" i="11"/>
  <c r="N2254" i="11"/>
  <c r="N2255" i="11"/>
  <c r="N2256" i="11"/>
  <c r="N2257" i="11"/>
  <c r="N2258" i="11"/>
  <c r="N2259" i="11"/>
  <c r="N2260" i="11"/>
  <c r="N2261" i="11"/>
  <c r="N2262" i="11"/>
  <c r="N2263" i="11"/>
  <c r="N2264" i="11"/>
  <c r="N2265" i="11"/>
  <c r="N2266" i="11"/>
  <c r="N2267" i="11"/>
  <c r="N2268" i="11"/>
  <c r="N2269" i="11"/>
  <c r="N2270" i="11"/>
  <c r="N2271" i="11"/>
  <c r="N2272" i="11"/>
  <c r="N2273" i="11"/>
  <c r="N2274" i="11"/>
  <c r="N2275" i="11"/>
  <c r="N2276" i="11"/>
  <c r="N2277" i="11"/>
  <c r="N2278" i="11"/>
  <c r="N2279" i="11"/>
  <c r="N2280" i="11"/>
  <c r="N2281" i="11"/>
  <c r="N2282" i="11"/>
  <c r="N2283" i="11"/>
  <c r="N2284" i="11"/>
  <c r="N2285" i="11"/>
  <c r="N2286" i="11"/>
  <c r="N2287" i="11"/>
  <c r="N2288" i="11"/>
  <c r="N2289" i="11"/>
  <c r="N2290" i="11"/>
  <c r="N2291" i="11"/>
  <c r="N2292" i="11"/>
  <c r="N2293" i="11"/>
  <c r="N2294" i="11"/>
  <c r="N2295" i="11"/>
  <c r="N2296" i="11"/>
  <c r="N2297" i="11"/>
  <c r="N2298" i="11"/>
  <c r="N2299" i="11"/>
  <c r="N2300" i="11"/>
  <c r="N2301" i="11"/>
  <c r="N2302" i="11"/>
  <c r="N2303" i="11"/>
  <c r="N2304" i="11"/>
  <c r="N2305" i="11"/>
  <c r="N2306" i="11"/>
  <c r="N2307" i="11"/>
  <c r="N2308" i="11"/>
  <c r="N2309" i="11"/>
  <c r="N2310" i="11"/>
  <c r="N2311" i="11"/>
  <c r="N2312" i="11"/>
  <c r="N2313" i="11"/>
  <c r="N2314" i="11"/>
  <c r="N2315" i="11"/>
  <c r="N2316" i="11"/>
  <c r="N2317" i="11"/>
  <c r="N2318" i="11"/>
  <c r="N2319" i="11"/>
  <c r="N2320" i="11"/>
  <c r="N2321" i="11"/>
  <c r="N2322" i="11"/>
  <c r="N2323" i="11"/>
  <c r="N2324" i="11"/>
  <c r="N2325" i="11"/>
  <c r="N2326" i="11"/>
  <c r="N2327" i="11"/>
  <c r="N2328" i="11"/>
  <c r="N2329" i="11"/>
  <c r="N2330" i="11"/>
  <c r="N2331" i="11"/>
  <c r="N2332" i="11"/>
  <c r="N2333" i="11"/>
  <c r="N2334" i="11"/>
  <c r="N2335" i="11"/>
  <c r="N2336" i="11"/>
  <c r="N2337" i="11"/>
  <c r="N2338" i="11"/>
  <c r="N2339" i="11"/>
  <c r="N2340" i="11"/>
  <c r="N2341" i="11"/>
  <c r="N2342" i="11"/>
  <c r="N2343" i="11"/>
  <c r="N2344" i="11"/>
  <c r="N2345" i="11"/>
  <c r="N2346" i="11"/>
  <c r="N2347" i="11"/>
  <c r="N2348" i="11"/>
  <c r="N2349" i="11"/>
  <c r="N2350" i="11"/>
  <c r="N2351" i="11"/>
  <c r="N2352" i="11"/>
  <c r="O5" i="11"/>
  <c r="N5" i="11"/>
  <c r="P6" i="11"/>
  <c r="Q6" i="11"/>
  <c r="R6" i="11"/>
  <c r="P7" i="11"/>
  <c r="Q7" i="11"/>
  <c r="R7" i="11"/>
  <c r="P8" i="11"/>
  <c r="Q8" i="11"/>
  <c r="R8" i="11"/>
  <c r="P9" i="11"/>
  <c r="Q9" i="11"/>
  <c r="R9" i="11"/>
  <c r="P10" i="11"/>
  <c r="Q10" i="11"/>
  <c r="R10" i="11"/>
  <c r="P11" i="11"/>
  <c r="Q11" i="11"/>
  <c r="R11" i="11"/>
  <c r="P12" i="11"/>
  <c r="Q12" i="11"/>
  <c r="R12" i="11"/>
  <c r="P13" i="11"/>
  <c r="Q13" i="11"/>
  <c r="R13" i="11"/>
  <c r="P14" i="11"/>
  <c r="Q14" i="11"/>
  <c r="R14" i="11"/>
  <c r="P15" i="11"/>
  <c r="Q15" i="11"/>
  <c r="R15" i="11"/>
  <c r="P16" i="11"/>
  <c r="Q16" i="11"/>
  <c r="R16" i="11"/>
  <c r="P17" i="11"/>
  <c r="Q17" i="11"/>
  <c r="R17" i="11"/>
  <c r="P18" i="11"/>
  <c r="Q18" i="11"/>
  <c r="R18" i="11"/>
  <c r="P19" i="11"/>
  <c r="Q19" i="11"/>
  <c r="R19" i="11"/>
  <c r="P20" i="11"/>
  <c r="Q20" i="11"/>
  <c r="R20" i="11"/>
  <c r="P21" i="11"/>
  <c r="Q21" i="11"/>
  <c r="R21" i="11"/>
  <c r="P22" i="11"/>
  <c r="Q22" i="11"/>
  <c r="R22" i="11"/>
  <c r="P23" i="11"/>
  <c r="Q23" i="11"/>
  <c r="R23" i="11"/>
  <c r="P24" i="11"/>
  <c r="Q24" i="11"/>
  <c r="R24" i="11"/>
  <c r="P25" i="11"/>
  <c r="Q25" i="11"/>
  <c r="R25" i="11"/>
  <c r="P26" i="11"/>
  <c r="Q26" i="11"/>
  <c r="R26" i="11"/>
  <c r="P27" i="11"/>
  <c r="Q27" i="11"/>
  <c r="R27" i="11"/>
  <c r="P28" i="11"/>
  <c r="Q28" i="11"/>
  <c r="R28" i="11"/>
  <c r="P29" i="11"/>
  <c r="Q29" i="11"/>
  <c r="R29" i="11"/>
  <c r="P30" i="11"/>
  <c r="Q30" i="11"/>
  <c r="R30" i="11"/>
  <c r="P31" i="11"/>
  <c r="Q31" i="11"/>
  <c r="R31" i="11"/>
  <c r="P32" i="11"/>
  <c r="Q32" i="11"/>
  <c r="R32" i="11"/>
  <c r="P33" i="11"/>
  <c r="Q33" i="11"/>
  <c r="R33" i="11"/>
  <c r="P34" i="11"/>
  <c r="Q34" i="11"/>
  <c r="R34" i="11"/>
  <c r="P35" i="11"/>
  <c r="Q35" i="11"/>
  <c r="R35" i="11"/>
  <c r="P36" i="11"/>
  <c r="Q36" i="11"/>
  <c r="R36" i="11"/>
  <c r="P37" i="11"/>
  <c r="Q37" i="11"/>
  <c r="R37" i="11"/>
  <c r="P38" i="11"/>
  <c r="Q38" i="11"/>
  <c r="R38" i="11"/>
  <c r="P39" i="11"/>
  <c r="Q39" i="11"/>
  <c r="R39" i="11"/>
  <c r="P40" i="11"/>
  <c r="Q40" i="11"/>
  <c r="R40" i="11"/>
  <c r="P41" i="11"/>
  <c r="Q41" i="11"/>
  <c r="R41" i="11"/>
  <c r="P42" i="11"/>
  <c r="Q42" i="11"/>
  <c r="R42" i="11"/>
  <c r="P43" i="11"/>
  <c r="Q43" i="11"/>
  <c r="R43" i="11"/>
  <c r="P44" i="11"/>
  <c r="Q44" i="11"/>
  <c r="R44" i="11"/>
  <c r="P45" i="11"/>
  <c r="Q45" i="11"/>
  <c r="R45" i="11"/>
  <c r="P46" i="11"/>
  <c r="Q46" i="11"/>
  <c r="R46" i="11"/>
  <c r="P47" i="11"/>
  <c r="Q47" i="11"/>
  <c r="R47" i="11"/>
  <c r="P48" i="11"/>
  <c r="Q48" i="11"/>
  <c r="R48" i="11"/>
  <c r="P49" i="11"/>
  <c r="Q49" i="11"/>
  <c r="R49" i="11"/>
  <c r="P50" i="11"/>
  <c r="Q50" i="11"/>
  <c r="R50" i="11"/>
  <c r="P51" i="11"/>
  <c r="Q51" i="11"/>
  <c r="R51" i="11"/>
  <c r="P52" i="11"/>
  <c r="Q52" i="11"/>
  <c r="R52" i="11"/>
  <c r="P53" i="11"/>
  <c r="Q53" i="11"/>
  <c r="R53" i="11"/>
  <c r="P54" i="11"/>
  <c r="Q54" i="11"/>
  <c r="R54" i="11"/>
  <c r="P55" i="11"/>
  <c r="Q55" i="11"/>
  <c r="R55" i="11"/>
  <c r="P56" i="11"/>
  <c r="Q56" i="11"/>
  <c r="R56" i="11"/>
  <c r="P57" i="11"/>
  <c r="Q57" i="11"/>
  <c r="R57" i="11"/>
  <c r="P58" i="11"/>
  <c r="Q58" i="11"/>
  <c r="R58" i="11"/>
  <c r="P59" i="11"/>
  <c r="Q59" i="11"/>
  <c r="R59" i="11"/>
  <c r="P60" i="11"/>
  <c r="Q60" i="11"/>
  <c r="R60" i="11"/>
  <c r="P61" i="11"/>
  <c r="Q61" i="11"/>
  <c r="R61" i="11"/>
  <c r="P62" i="11"/>
  <c r="Q62" i="11"/>
  <c r="R62" i="11"/>
  <c r="P63" i="11"/>
  <c r="Q63" i="11"/>
  <c r="R63" i="11"/>
  <c r="P64" i="11"/>
  <c r="Q64" i="11"/>
  <c r="R64" i="11"/>
  <c r="P65" i="11"/>
  <c r="Q65" i="11"/>
  <c r="R65" i="11"/>
  <c r="P66" i="11"/>
  <c r="Q66" i="11"/>
  <c r="R66" i="11"/>
  <c r="P67" i="11"/>
  <c r="Q67" i="11"/>
  <c r="R67" i="11"/>
  <c r="P68" i="11"/>
  <c r="Q68" i="11"/>
  <c r="R68" i="11"/>
  <c r="P69" i="11"/>
  <c r="Q69" i="11"/>
  <c r="R69" i="11"/>
  <c r="P70" i="11"/>
  <c r="Q70" i="11"/>
  <c r="R70" i="11"/>
  <c r="P71" i="11"/>
  <c r="Q71" i="11"/>
  <c r="R71" i="11"/>
  <c r="P72" i="11"/>
  <c r="Q72" i="11"/>
  <c r="R72" i="11"/>
  <c r="P73" i="11"/>
  <c r="Q73" i="11"/>
  <c r="R73" i="11"/>
  <c r="P74" i="11"/>
  <c r="Q74" i="11"/>
  <c r="R74" i="11"/>
  <c r="P75" i="11"/>
  <c r="Q75" i="11"/>
  <c r="R75" i="11"/>
  <c r="P76" i="11"/>
  <c r="Q76" i="11"/>
  <c r="R76" i="11"/>
  <c r="P77" i="11"/>
  <c r="Q77" i="11"/>
  <c r="R77" i="11"/>
  <c r="P78" i="11"/>
  <c r="Q78" i="11"/>
  <c r="R78" i="11"/>
  <c r="P79" i="11"/>
  <c r="Q79" i="11"/>
  <c r="R79" i="11"/>
  <c r="P80" i="11"/>
  <c r="Q80" i="11"/>
  <c r="R80" i="11"/>
  <c r="P81" i="11"/>
  <c r="Q81" i="11"/>
  <c r="R81" i="11"/>
  <c r="P82" i="11"/>
  <c r="Q82" i="11"/>
  <c r="R82" i="11"/>
  <c r="P83" i="11"/>
  <c r="Q83" i="11"/>
  <c r="R83" i="11"/>
  <c r="P84" i="11"/>
  <c r="Q84" i="11"/>
  <c r="R84" i="11"/>
  <c r="P85" i="11"/>
  <c r="Q85" i="11"/>
  <c r="R85" i="11"/>
  <c r="P86" i="11"/>
  <c r="Q86" i="11"/>
  <c r="R86" i="11"/>
  <c r="P87" i="11"/>
  <c r="Q87" i="11"/>
  <c r="R87" i="11"/>
  <c r="P88" i="11"/>
  <c r="Q88" i="11"/>
  <c r="R88" i="11"/>
  <c r="P89" i="11"/>
  <c r="Q89" i="11"/>
  <c r="R89" i="11"/>
  <c r="P90" i="11"/>
  <c r="Q90" i="11"/>
  <c r="R90" i="11"/>
  <c r="P91" i="11"/>
  <c r="Q91" i="11"/>
  <c r="R91" i="11"/>
  <c r="P92" i="11"/>
  <c r="Q92" i="11"/>
  <c r="R92" i="11"/>
  <c r="P93" i="11"/>
  <c r="Q93" i="11"/>
  <c r="R93" i="11"/>
  <c r="P94" i="11"/>
  <c r="Q94" i="11"/>
  <c r="R94" i="11"/>
  <c r="P95" i="11"/>
  <c r="Q95" i="11"/>
  <c r="R95" i="11"/>
  <c r="P96" i="11"/>
  <c r="Q96" i="11"/>
  <c r="R96" i="11"/>
  <c r="P97" i="11"/>
  <c r="Q97" i="11"/>
  <c r="R97" i="11"/>
  <c r="P98" i="11"/>
  <c r="Q98" i="11"/>
  <c r="R98" i="11"/>
  <c r="P99" i="11"/>
  <c r="Q99" i="11"/>
  <c r="R99" i="11"/>
  <c r="P100" i="11"/>
  <c r="Q100" i="11"/>
  <c r="R100" i="11"/>
  <c r="P101" i="11"/>
  <c r="Q101" i="11"/>
  <c r="R101" i="11"/>
  <c r="P102" i="11"/>
  <c r="Q102" i="11"/>
  <c r="R102" i="11"/>
  <c r="P103" i="11"/>
  <c r="Q103" i="11"/>
  <c r="R103" i="11"/>
  <c r="P104" i="11"/>
  <c r="Q104" i="11"/>
  <c r="R104" i="11"/>
  <c r="P105" i="11"/>
  <c r="Q105" i="11"/>
  <c r="R105" i="11"/>
  <c r="P106" i="11"/>
  <c r="Q106" i="11"/>
  <c r="R106" i="11"/>
  <c r="P107" i="11"/>
  <c r="Q107" i="11"/>
  <c r="R107" i="11"/>
  <c r="P108" i="11"/>
  <c r="Q108" i="11"/>
  <c r="R108" i="11"/>
  <c r="P109" i="11"/>
  <c r="Q109" i="11"/>
  <c r="R109" i="11"/>
  <c r="P110" i="11"/>
  <c r="Q110" i="11"/>
  <c r="R110" i="11"/>
  <c r="P111" i="11"/>
  <c r="Q111" i="11"/>
  <c r="R111" i="11"/>
  <c r="P112" i="11"/>
  <c r="Q112" i="11"/>
  <c r="R112" i="11"/>
  <c r="P113" i="11"/>
  <c r="Q113" i="11"/>
  <c r="R113" i="11"/>
  <c r="P114" i="11"/>
  <c r="Q114" i="11"/>
  <c r="R114" i="11"/>
  <c r="P115" i="11"/>
  <c r="Q115" i="11"/>
  <c r="R115" i="11"/>
  <c r="P116" i="11"/>
  <c r="Q116" i="11"/>
  <c r="R116" i="11"/>
  <c r="P117" i="11"/>
  <c r="Q117" i="11"/>
  <c r="R117" i="11"/>
  <c r="P118" i="11"/>
  <c r="Q118" i="11"/>
  <c r="R118" i="11"/>
  <c r="P119" i="11"/>
  <c r="Q119" i="11"/>
  <c r="R119" i="11"/>
  <c r="P120" i="11"/>
  <c r="Q120" i="11"/>
  <c r="R120" i="11"/>
  <c r="P121" i="11"/>
  <c r="Q121" i="11"/>
  <c r="R121" i="11"/>
  <c r="P122" i="11"/>
  <c r="Q122" i="11"/>
  <c r="R122" i="11"/>
  <c r="P123" i="11"/>
  <c r="Q123" i="11"/>
  <c r="R123" i="11"/>
  <c r="P124" i="11"/>
  <c r="Q124" i="11"/>
  <c r="R124" i="11"/>
  <c r="P125" i="11"/>
  <c r="Q125" i="11"/>
  <c r="R125" i="11"/>
  <c r="P126" i="11"/>
  <c r="Q126" i="11"/>
  <c r="R126" i="11"/>
  <c r="P127" i="11"/>
  <c r="Q127" i="11"/>
  <c r="R127" i="11"/>
  <c r="P128" i="11"/>
  <c r="Q128" i="11"/>
  <c r="R128" i="11"/>
  <c r="P129" i="11"/>
  <c r="Q129" i="11"/>
  <c r="R129" i="11"/>
  <c r="P130" i="11"/>
  <c r="Q130" i="11"/>
  <c r="R130" i="11"/>
  <c r="P131" i="11"/>
  <c r="Q131" i="11"/>
  <c r="R131" i="11"/>
  <c r="P132" i="11"/>
  <c r="Q132" i="11"/>
  <c r="R132" i="11"/>
  <c r="P133" i="11"/>
  <c r="Q133" i="11"/>
  <c r="R133" i="11"/>
  <c r="P134" i="11"/>
  <c r="Q134" i="11"/>
  <c r="R134" i="11"/>
  <c r="P135" i="11"/>
  <c r="Q135" i="11"/>
  <c r="R135" i="11"/>
  <c r="P136" i="11"/>
  <c r="Q136" i="11"/>
  <c r="R136" i="11"/>
  <c r="P137" i="11"/>
  <c r="Q137" i="11"/>
  <c r="R137" i="11"/>
  <c r="P138" i="11"/>
  <c r="Q138" i="11"/>
  <c r="R138" i="11"/>
  <c r="P139" i="11"/>
  <c r="Q139" i="11"/>
  <c r="R139" i="11"/>
  <c r="P140" i="11"/>
  <c r="Q140" i="11"/>
  <c r="R140" i="11"/>
  <c r="P141" i="11"/>
  <c r="Q141" i="11"/>
  <c r="R141" i="11"/>
  <c r="P142" i="11"/>
  <c r="Q142" i="11"/>
  <c r="R142" i="11"/>
  <c r="P143" i="11"/>
  <c r="Q143" i="11"/>
  <c r="R143" i="11"/>
  <c r="P144" i="11"/>
  <c r="Q144" i="11"/>
  <c r="R144" i="11"/>
  <c r="P145" i="11"/>
  <c r="Q145" i="11"/>
  <c r="R145" i="11"/>
  <c r="P146" i="11"/>
  <c r="Q146" i="11"/>
  <c r="R146" i="11"/>
  <c r="P147" i="11"/>
  <c r="Q147" i="11"/>
  <c r="R147" i="11"/>
  <c r="P148" i="11"/>
  <c r="Q148" i="11"/>
  <c r="R148" i="11"/>
  <c r="P149" i="11"/>
  <c r="Q149" i="11"/>
  <c r="R149" i="11"/>
  <c r="P150" i="11"/>
  <c r="Q150" i="11"/>
  <c r="R150" i="11"/>
  <c r="P151" i="11"/>
  <c r="Q151" i="11"/>
  <c r="R151" i="11"/>
  <c r="P152" i="11"/>
  <c r="Q152" i="11"/>
  <c r="R152" i="11"/>
  <c r="P153" i="11"/>
  <c r="Q153" i="11"/>
  <c r="R153" i="11"/>
  <c r="P154" i="11"/>
  <c r="Q154" i="11"/>
  <c r="R154" i="11"/>
  <c r="P155" i="11"/>
  <c r="Q155" i="11"/>
  <c r="R155" i="11"/>
  <c r="P156" i="11"/>
  <c r="Q156" i="11"/>
  <c r="R156" i="11"/>
  <c r="P157" i="11"/>
  <c r="Q157" i="11"/>
  <c r="R157" i="11"/>
  <c r="P158" i="11"/>
  <c r="Q158" i="11"/>
  <c r="R158" i="11"/>
  <c r="P159" i="11"/>
  <c r="Q159" i="11"/>
  <c r="R159" i="11"/>
  <c r="P160" i="11"/>
  <c r="Q160" i="11"/>
  <c r="R160" i="11"/>
  <c r="P161" i="11"/>
  <c r="Q161" i="11"/>
  <c r="R161" i="11"/>
  <c r="P162" i="11"/>
  <c r="Q162" i="11"/>
  <c r="R162" i="11"/>
  <c r="P163" i="11"/>
  <c r="Q163" i="11"/>
  <c r="R163" i="11"/>
  <c r="P164" i="11"/>
  <c r="Q164" i="11"/>
  <c r="R164" i="11"/>
  <c r="P165" i="11"/>
  <c r="Q165" i="11"/>
  <c r="R165" i="11"/>
  <c r="P166" i="11"/>
  <c r="Q166" i="11"/>
  <c r="R166" i="11"/>
  <c r="P167" i="11"/>
  <c r="Q167" i="11"/>
  <c r="R167" i="11"/>
  <c r="P168" i="11"/>
  <c r="Q168" i="11"/>
  <c r="R168" i="11"/>
  <c r="P169" i="11"/>
  <c r="Q169" i="11"/>
  <c r="R169" i="11"/>
  <c r="P170" i="11"/>
  <c r="Q170" i="11"/>
  <c r="R170" i="11"/>
  <c r="P171" i="11"/>
  <c r="Q171" i="11"/>
  <c r="R171" i="11"/>
  <c r="P172" i="11"/>
  <c r="Q172" i="11"/>
  <c r="R172" i="11"/>
  <c r="P173" i="11"/>
  <c r="Q173" i="11"/>
  <c r="R173" i="11"/>
  <c r="P174" i="11"/>
  <c r="Q174" i="11"/>
  <c r="R174" i="11"/>
  <c r="P175" i="11"/>
  <c r="Q175" i="11"/>
  <c r="R175" i="11"/>
  <c r="P176" i="11"/>
  <c r="Q176" i="11"/>
  <c r="R176" i="11"/>
  <c r="P177" i="11"/>
  <c r="Q177" i="11"/>
  <c r="R177" i="11"/>
  <c r="P178" i="11"/>
  <c r="Q178" i="11"/>
  <c r="R178" i="11"/>
  <c r="P179" i="11"/>
  <c r="Q179" i="11"/>
  <c r="R179" i="11"/>
  <c r="P180" i="11"/>
  <c r="Q180" i="11"/>
  <c r="R180" i="11"/>
  <c r="P181" i="11"/>
  <c r="Q181" i="11"/>
  <c r="R181" i="11"/>
  <c r="P182" i="11"/>
  <c r="Q182" i="11"/>
  <c r="R182" i="11"/>
  <c r="P183" i="11"/>
  <c r="Q183" i="11"/>
  <c r="R183" i="11"/>
  <c r="P184" i="11"/>
  <c r="Q184" i="11"/>
  <c r="R184" i="11"/>
  <c r="P185" i="11"/>
  <c r="Q185" i="11"/>
  <c r="R185" i="11"/>
  <c r="P186" i="11"/>
  <c r="Q186" i="11"/>
  <c r="R186" i="11"/>
  <c r="P187" i="11"/>
  <c r="Q187" i="11"/>
  <c r="R187" i="11"/>
  <c r="P188" i="11"/>
  <c r="Q188" i="11"/>
  <c r="R188" i="11"/>
  <c r="P189" i="11"/>
  <c r="Q189" i="11"/>
  <c r="R189" i="11"/>
  <c r="P190" i="11"/>
  <c r="Q190" i="11"/>
  <c r="R190" i="11"/>
  <c r="P191" i="11"/>
  <c r="Q191" i="11"/>
  <c r="R191" i="11"/>
  <c r="P192" i="11"/>
  <c r="Q192" i="11"/>
  <c r="R192" i="11"/>
  <c r="P193" i="11"/>
  <c r="Q193" i="11"/>
  <c r="R193" i="11"/>
  <c r="P194" i="11"/>
  <c r="Q194" i="11"/>
  <c r="R194" i="11"/>
  <c r="P195" i="11"/>
  <c r="Q195" i="11"/>
  <c r="R195" i="11"/>
  <c r="P196" i="11"/>
  <c r="Q196" i="11"/>
  <c r="R196" i="11"/>
  <c r="P197" i="11"/>
  <c r="Q197" i="11"/>
  <c r="R197" i="11"/>
  <c r="P198" i="11"/>
  <c r="Q198" i="11"/>
  <c r="R198" i="11"/>
  <c r="P199" i="11"/>
  <c r="Q199" i="11"/>
  <c r="R199" i="11"/>
  <c r="P200" i="11"/>
  <c r="Q200" i="11"/>
  <c r="R200" i="11"/>
  <c r="P201" i="11"/>
  <c r="Q201" i="11"/>
  <c r="R201" i="11"/>
  <c r="P202" i="11"/>
  <c r="Q202" i="11"/>
  <c r="R202" i="11"/>
  <c r="P203" i="11"/>
  <c r="Q203" i="11"/>
  <c r="R203" i="11"/>
  <c r="P204" i="11"/>
  <c r="Q204" i="11"/>
  <c r="R204" i="11"/>
  <c r="P205" i="11"/>
  <c r="Q205" i="11"/>
  <c r="R205" i="11"/>
  <c r="P206" i="11"/>
  <c r="Q206" i="11"/>
  <c r="R206" i="11"/>
  <c r="P207" i="11"/>
  <c r="Q207" i="11"/>
  <c r="R207" i="11"/>
  <c r="P208" i="11"/>
  <c r="Q208" i="11"/>
  <c r="R208" i="11"/>
  <c r="P209" i="11"/>
  <c r="Q209" i="11"/>
  <c r="R209" i="11"/>
  <c r="P210" i="11"/>
  <c r="Q210" i="11"/>
  <c r="R210" i="11"/>
  <c r="P211" i="11"/>
  <c r="Q211" i="11"/>
  <c r="R211" i="11"/>
  <c r="P212" i="11"/>
  <c r="Q212" i="11"/>
  <c r="R212" i="11"/>
  <c r="P213" i="11"/>
  <c r="Q213" i="11"/>
  <c r="R213" i="11"/>
  <c r="P214" i="11"/>
  <c r="Q214" i="11"/>
  <c r="R214" i="11"/>
  <c r="P215" i="11"/>
  <c r="Q215" i="11"/>
  <c r="R215" i="11"/>
  <c r="P216" i="11"/>
  <c r="Q216" i="11"/>
  <c r="R216" i="11"/>
  <c r="P217" i="11"/>
  <c r="Q217" i="11"/>
  <c r="R217" i="11"/>
  <c r="P218" i="11"/>
  <c r="Q218" i="11"/>
  <c r="R218" i="11"/>
  <c r="P219" i="11"/>
  <c r="Q219" i="11"/>
  <c r="R219" i="11"/>
  <c r="P220" i="11"/>
  <c r="Q220" i="11"/>
  <c r="R220" i="11"/>
  <c r="P221" i="11"/>
  <c r="Q221" i="11"/>
  <c r="R221" i="11"/>
  <c r="P222" i="11"/>
  <c r="Q222" i="11"/>
  <c r="R222" i="11"/>
  <c r="P223" i="11"/>
  <c r="Q223" i="11"/>
  <c r="R223" i="11"/>
  <c r="P224" i="11"/>
  <c r="Q224" i="11"/>
  <c r="R224" i="11"/>
  <c r="P225" i="11"/>
  <c r="Q225" i="11"/>
  <c r="R225" i="11"/>
  <c r="P226" i="11"/>
  <c r="Q226" i="11"/>
  <c r="R226" i="11"/>
  <c r="P227" i="11"/>
  <c r="Q227" i="11"/>
  <c r="R227" i="11"/>
  <c r="P228" i="11"/>
  <c r="Q228" i="11"/>
  <c r="R228" i="11"/>
  <c r="P229" i="11"/>
  <c r="Q229" i="11"/>
  <c r="R229" i="11"/>
  <c r="P230" i="11"/>
  <c r="Q230" i="11"/>
  <c r="R230" i="11"/>
  <c r="P231" i="11"/>
  <c r="Q231" i="11"/>
  <c r="R231" i="11"/>
  <c r="P232" i="11"/>
  <c r="Q232" i="11"/>
  <c r="R232" i="11"/>
  <c r="P233" i="11"/>
  <c r="Q233" i="11"/>
  <c r="R233" i="11"/>
  <c r="P234" i="11"/>
  <c r="Q234" i="11"/>
  <c r="R234" i="11"/>
  <c r="P235" i="11"/>
  <c r="Q235" i="11"/>
  <c r="R235" i="11"/>
  <c r="P236" i="11"/>
  <c r="Q236" i="11"/>
  <c r="R236" i="11"/>
  <c r="P237" i="11"/>
  <c r="Q237" i="11"/>
  <c r="R237" i="11"/>
  <c r="P238" i="11"/>
  <c r="Q238" i="11"/>
  <c r="R238" i="11"/>
  <c r="P239" i="11"/>
  <c r="Q239" i="11"/>
  <c r="R239" i="11"/>
  <c r="P240" i="11"/>
  <c r="Q240" i="11"/>
  <c r="R240" i="11"/>
  <c r="P241" i="11"/>
  <c r="Q241" i="11"/>
  <c r="R241" i="11"/>
  <c r="P242" i="11"/>
  <c r="Q242" i="11"/>
  <c r="R242" i="11"/>
  <c r="P243" i="11"/>
  <c r="Q243" i="11"/>
  <c r="R243" i="11"/>
  <c r="P244" i="11"/>
  <c r="Q244" i="11"/>
  <c r="R244" i="11"/>
  <c r="P245" i="11"/>
  <c r="Q245" i="11"/>
  <c r="R245" i="11"/>
  <c r="P246" i="11"/>
  <c r="Q246" i="11"/>
  <c r="R246" i="11"/>
  <c r="P247" i="11"/>
  <c r="Q247" i="11"/>
  <c r="R247" i="11"/>
  <c r="P248" i="11"/>
  <c r="Q248" i="11"/>
  <c r="R248" i="11"/>
  <c r="P249" i="11"/>
  <c r="Q249" i="11"/>
  <c r="R249" i="11"/>
  <c r="P250" i="11"/>
  <c r="Q250" i="11"/>
  <c r="R250" i="11"/>
  <c r="P251" i="11"/>
  <c r="Q251" i="11"/>
  <c r="R251" i="11"/>
  <c r="P252" i="11"/>
  <c r="Q252" i="11"/>
  <c r="R252" i="11"/>
  <c r="P253" i="11"/>
  <c r="Q253" i="11"/>
  <c r="R253" i="11"/>
  <c r="P254" i="11"/>
  <c r="Q254" i="11"/>
  <c r="R254" i="11"/>
  <c r="P255" i="11"/>
  <c r="Q255" i="11"/>
  <c r="R255" i="11"/>
  <c r="P256" i="11"/>
  <c r="Q256" i="11"/>
  <c r="R256" i="11"/>
  <c r="P257" i="11"/>
  <c r="Q257" i="11"/>
  <c r="R257" i="11"/>
  <c r="P258" i="11"/>
  <c r="Q258" i="11"/>
  <c r="R258" i="11"/>
  <c r="P259" i="11"/>
  <c r="Q259" i="11"/>
  <c r="R259" i="11"/>
  <c r="P260" i="11"/>
  <c r="Q260" i="11"/>
  <c r="R260" i="11"/>
  <c r="P261" i="11"/>
  <c r="Q261" i="11"/>
  <c r="R261" i="11"/>
  <c r="P262" i="11"/>
  <c r="Q262" i="11"/>
  <c r="R262" i="11"/>
  <c r="P263" i="11"/>
  <c r="Q263" i="11"/>
  <c r="R263" i="11"/>
  <c r="P264" i="11"/>
  <c r="Q264" i="11"/>
  <c r="R264" i="11"/>
  <c r="P265" i="11"/>
  <c r="Q265" i="11"/>
  <c r="R265" i="11"/>
  <c r="P266" i="11"/>
  <c r="Q266" i="11"/>
  <c r="R266" i="11"/>
  <c r="P267" i="11"/>
  <c r="Q267" i="11"/>
  <c r="R267" i="11"/>
  <c r="P268" i="11"/>
  <c r="Q268" i="11"/>
  <c r="R268" i="11"/>
  <c r="P269" i="11"/>
  <c r="Q269" i="11"/>
  <c r="R269" i="11"/>
  <c r="P270" i="11"/>
  <c r="Q270" i="11"/>
  <c r="R270" i="11"/>
  <c r="P271" i="11"/>
  <c r="Q271" i="11"/>
  <c r="R271" i="11"/>
  <c r="P272" i="11"/>
  <c r="Q272" i="11"/>
  <c r="R272" i="11"/>
  <c r="P273" i="11"/>
  <c r="Q273" i="11"/>
  <c r="R273" i="11"/>
  <c r="P274" i="11"/>
  <c r="Q274" i="11"/>
  <c r="R274" i="11"/>
  <c r="P275" i="11"/>
  <c r="Q275" i="11"/>
  <c r="R275" i="11"/>
  <c r="P276" i="11"/>
  <c r="Q276" i="11"/>
  <c r="R276" i="11"/>
  <c r="P277" i="11"/>
  <c r="Q277" i="11"/>
  <c r="R277" i="11"/>
  <c r="P278" i="11"/>
  <c r="Q278" i="11"/>
  <c r="R278" i="11"/>
  <c r="P279" i="11"/>
  <c r="Q279" i="11"/>
  <c r="R279" i="11"/>
  <c r="P280" i="11"/>
  <c r="Q280" i="11"/>
  <c r="R280" i="11"/>
  <c r="P281" i="11"/>
  <c r="Q281" i="11"/>
  <c r="R281" i="11"/>
  <c r="P282" i="11"/>
  <c r="Q282" i="11"/>
  <c r="R282" i="11"/>
  <c r="P283" i="11"/>
  <c r="Q283" i="11"/>
  <c r="R283" i="11"/>
  <c r="P284" i="11"/>
  <c r="Q284" i="11"/>
  <c r="R284" i="11"/>
  <c r="P285" i="11"/>
  <c r="Q285" i="11"/>
  <c r="R285" i="11"/>
  <c r="P286" i="11"/>
  <c r="Q286" i="11"/>
  <c r="R286" i="11"/>
  <c r="P287" i="11"/>
  <c r="Q287" i="11"/>
  <c r="R287" i="11"/>
  <c r="P288" i="11"/>
  <c r="Q288" i="11"/>
  <c r="R288" i="11"/>
  <c r="P289" i="11"/>
  <c r="Q289" i="11"/>
  <c r="R289" i="11"/>
  <c r="P290" i="11"/>
  <c r="Q290" i="11"/>
  <c r="R290" i="11"/>
  <c r="P291" i="11"/>
  <c r="Q291" i="11"/>
  <c r="R291" i="11"/>
  <c r="P292" i="11"/>
  <c r="Q292" i="11"/>
  <c r="R292" i="11"/>
  <c r="P293" i="11"/>
  <c r="Q293" i="11"/>
  <c r="R293" i="11"/>
  <c r="P294" i="11"/>
  <c r="Q294" i="11"/>
  <c r="R294" i="11"/>
  <c r="P295" i="11"/>
  <c r="Q295" i="11"/>
  <c r="R295" i="11"/>
  <c r="P296" i="11"/>
  <c r="Q296" i="11"/>
  <c r="R296" i="11"/>
  <c r="P297" i="11"/>
  <c r="Q297" i="11"/>
  <c r="R297" i="11"/>
  <c r="P298" i="11"/>
  <c r="Q298" i="11"/>
  <c r="R298" i="11"/>
  <c r="P299" i="11"/>
  <c r="Q299" i="11"/>
  <c r="R299" i="11"/>
  <c r="P300" i="11"/>
  <c r="Q300" i="11"/>
  <c r="R300" i="11"/>
  <c r="P301" i="11"/>
  <c r="Q301" i="11"/>
  <c r="R301" i="11"/>
  <c r="P302" i="11"/>
  <c r="Q302" i="11"/>
  <c r="R302" i="11"/>
  <c r="P303" i="11"/>
  <c r="Q303" i="11"/>
  <c r="R303" i="11"/>
  <c r="P304" i="11"/>
  <c r="Q304" i="11"/>
  <c r="R304" i="11"/>
  <c r="P305" i="11"/>
  <c r="Q305" i="11"/>
  <c r="R305" i="11"/>
  <c r="P306" i="11"/>
  <c r="Q306" i="11"/>
  <c r="R306" i="11"/>
  <c r="P307" i="11"/>
  <c r="Q307" i="11"/>
  <c r="R307" i="11"/>
  <c r="P308" i="11"/>
  <c r="Q308" i="11"/>
  <c r="R308" i="11"/>
  <c r="P309" i="11"/>
  <c r="Q309" i="11"/>
  <c r="R309" i="11"/>
  <c r="P310" i="11"/>
  <c r="Q310" i="11"/>
  <c r="R310" i="11"/>
  <c r="P311" i="11"/>
  <c r="Q311" i="11"/>
  <c r="R311" i="11"/>
  <c r="P312" i="11"/>
  <c r="Q312" i="11"/>
  <c r="R312" i="11"/>
  <c r="P313" i="11"/>
  <c r="Q313" i="11"/>
  <c r="R313" i="11"/>
  <c r="P314" i="11"/>
  <c r="Q314" i="11"/>
  <c r="R314" i="11"/>
  <c r="P315" i="11"/>
  <c r="Q315" i="11"/>
  <c r="R315" i="11"/>
  <c r="P316" i="11"/>
  <c r="Q316" i="11"/>
  <c r="R316" i="11"/>
  <c r="P317" i="11"/>
  <c r="Q317" i="11"/>
  <c r="R317" i="11"/>
  <c r="P318" i="11"/>
  <c r="Q318" i="11"/>
  <c r="R318" i="11"/>
  <c r="P319" i="11"/>
  <c r="Q319" i="11"/>
  <c r="R319" i="11"/>
  <c r="P320" i="11"/>
  <c r="Q320" i="11"/>
  <c r="R320" i="11"/>
  <c r="P321" i="11"/>
  <c r="Q321" i="11"/>
  <c r="R321" i="11"/>
  <c r="P322" i="11"/>
  <c r="Q322" i="11"/>
  <c r="R322" i="11"/>
  <c r="P323" i="11"/>
  <c r="Q323" i="11"/>
  <c r="R323" i="11"/>
  <c r="P324" i="11"/>
  <c r="Q324" i="11"/>
  <c r="R324" i="11"/>
  <c r="P325" i="11"/>
  <c r="Q325" i="11"/>
  <c r="R325" i="11"/>
  <c r="P326" i="11"/>
  <c r="Q326" i="11"/>
  <c r="R326" i="11"/>
  <c r="P327" i="11"/>
  <c r="Q327" i="11"/>
  <c r="R327" i="11"/>
  <c r="P328" i="11"/>
  <c r="Q328" i="11"/>
  <c r="R328" i="11"/>
  <c r="P329" i="11"/>
  <c r="Q329" i="11"/>
  <c r="R329" i="11"/>
  <c r="P330" i="11"/>
  <c r="Q330" i="11"/>
  <c r="R330" i="11"/>
  <c r="P331" i="11"/>
  <c r="Q331" i="11"/>
  <c r="R331" i="11"/>
  <c r="P332" i="11"/>
  <c r="Q332" i="11"/>
  <c r="R332" i="11"/>
  <c r="P333" i="11"/>
  <c r="Q333" i="11"/>
  <c r="R333" i="11"/>
  <c r="P334" i="11"/>
  <c r="Q334" i="11"/>
  <c r="R334" i="11"/>
  <c r="P335" i="11"/>
  <c r="Q335" i="11"/>
  <c r="R335" i="11"/>
  <c r="P336" i="11"/>
  <c r="Q336" i="11"/>
  <c r="R336" i="11"/>
  <c r="P337" i="11"/>
  <c r="Q337" i="11"/>
  <c r="R337" i="11"/>
  <c r="P338" i="11"/>
  <c r="Q338" i="11"/>
  <c r="R338" i="11"/>
  <c r="P339" i="11"/>
  <c r="Q339" i="11"/>
  <c r="R339" i="11"/>
  <c r="P340" i="11"/>
  <c r="Q340" i="11"/>
  <c r="R340" i="11"/>
  <c r="P341" i="11"/>
  <c r="Q341" i="11"/>
  <c r="R341" i="11"/>
  <c r="P342" i="11"/>
  <c r="Q342" i="11"/>
  <c r="R342" i="11"/>
  <c r="P343" i="11"/>
  <c r="Q343" i="11"/>
  <c r="R343" i="11"/>
  <c r="P344" i="11"/>
  <c r="Q344" i="11"/>
  <c r="R344" i="11"/>
  <c r="P345" i="11"/>
  <c r="Q345" i="11"/>
  <c r="R345" i="11"/>
  <c r="P346" i="11"/>
  <c r="Q346" i="11"/>
  <c r="R346" i="11"/>
  <c r="P347" i="11"/>
  <c r="Q347" i="11"/>
  <c r="R347" i="11"/>
  <c r="P348" i="11"/>
  <c r="Q348" i="11"/>
  <c r="R348" i="11"/>
  <c r="P349" i="11"/>
  <c r="Q349" i="11"/>
  <c r="R349" i="11"/>
  <c r="P350" i="11"/>
  <c r="Q350" i="11"/>
  <c r="R350" i="11"/>
  <c r="P351" i="11"/>
  <c r="Q351" i="11"/>
  <c r="R351" i="11"/>
  <c r="P352" i="11"/>
  <c r="Q352" i="11"/>
  <c r="R352" i="11"/>
  <c r="P353" i="11"/>
  <c r="Q353" i="11"/>
  <c r="R353" i="11"/>
  <c r="P354" i="11"/>
  <c r="Q354" i="11"/>
  <c r="R354" i="11"/>
  <c r="P355" i="11"/>
  <c r="Q355" i="11"/>
  <c r="R355" i="11"/>
  <c r="P356" i="11"/>
  <c r="Q356" i="11"/>
  <c r="R356" i="11"/>
  <c r="P357" i="11"/>
  <c r="Q357" i="11"/>
  <c r="R357" i="11"/>
  <c r="P358" i="11"/>
  <c r="Q358" i="11"/>
  <c r="R358" i="11"/>
  <c r="P359" i="11"/>
  <c r="Q359" i="11"/>
  <c r="R359" i="11"/>
  <c r="P360" i="11"/>
  <c r="Q360" i="11"/>
  <c r="R360" i="11"/>
  <c r="P361" i="11"/>
  <c r="Q361" i="11"/>
  <c r="R361" i="11"/>
  <c r="P362" i="11"/>
  <c r="Q362" i="11"/>
  <c r="R362" i="11"/>
  <c r="P363" i="11"/>
  <c r="Q363" i="11"/>
  <c r="R363" i="11"/>
  <c r="P364" i="11"/>
  <c r="Q364" i="11"/>
  <c r="R364" i="11"/>
  <c r="P365" i="11"/>
  <c r="Q365" i="11"/>
  <c r="R365" i="11"/>
  <c r="P366" i="11"/>
  <c r="Q366" i="11"/>
  <c r="R366" i="11"/>
  <c r="P367" i="11"/>
  <c r="Q367" i="11"/>
  <c r="R367" i="11"/>
  <c r="P368" i="11"/>
  <c r="Q368" i="11"/>
  <c r="R368" i="11"/>
  <c r="P369" i="11"/>
  <c r="Q369" i="11"/>
  <c r="R369" i="11"/>
  <c r="P370" i="11"/>
  <c r="Q370" i="11"/>
  <c r="R370" i="11"/>
  <c r="P371" i="11"/>
  <c r="Q371" i="11"/>
  <c r="R371" i="11"/>
  <c r="P372" i="11"/>
  <c r="Q372" i="11"/>
  <c r="R372" i="11"/>
  <c r="P373" i="11"/>
  <c r="Q373" i="11"/>
  <c r="R373" i="11"/>
  <c r="P374" i="11"/>
  <c r="Q374" i="11"/>
  <c r="R374" i="11"/>
  <c r="P375" i="11"/>
  <c r="Q375" i="11"/>
  <c r="R375" i="11"/>
  <c r="P376" i="11"/>
  <c r="Q376" i="11"/>
  <c r="R376" i="11"/>
  <c r="P377" i="11"/>
  <c r="Q377" i="11"/>
  <c r="R377" i="11"/>
  <c r="P378" i="11"/>
  <c r="Q378" i="11"/>
  <c r="R378" i="11"/>
  <c r="P379" i="11"/>
  <c r="Q379" i="11"/>
  <c r="R379" i="11"/>
  <c r="P380" i="11"/>
  <c r="Q380" i="11"/>
  <c r="R380" i="11"/>
  <c r="P381" i="11"/>
  <c r="Q381" i="11"/>
  <c r="R381" i="11"/>
  <c r="P382" i="11"/>
  <c r="Q382" i="11"/>
  <c r="R382" i="11"/>
  <c r="P383" i="11"/>
  <c r="Q383" i="11"/>
  <c r="R383" i="11"/>
  <c r="P384" i="11"/>
  <c r="Q384" i="11"/>
  <c r="R384" i="11"/>
  <c r="P385" i="11"/>
  <c r="Q385" i="11"/>
  <c r="R385" i="11"/>
  <c r="P386" i="11"/>
  <c r="Q386" i="11"/>
  <c r="R386" i="11"/>
  <c r="P387" i="11"/>
  <c r="Q387" i="11"/>
  <c r="R387" i="11"/>
  <c r="P388" i="11"/>
  <c r="Q388" i="11"/>
  <c r="R388" i="11"/>
  <c r="P389" i="11"/>
  <c r="Q389" i="11"/>
  <c r="R389" i="11"/>
  <c r="P390" i="11"/>
  <c r="Q390" i="11"/>
  <c r="R390" i="11"/>
  <c r="P391" i="11"/>
  <c r="Q391" i="11"/>
  <c r="R391" i="11"/>
  <c r="P392" i="11"/>
  <c r="Q392" i="11"/>
  <c r="R392" i="11"/>
  <c r="P393" i="11"/>
  <c r="Q393" i="11"/>
  <c r="R393" i="11"/>
  <c r="P394" i="11"/>
  <c r="Q394" i="11"/>
  <c r="R394" i="11"/>
  <c r="P395" i="11"/>
  <c r="Q395" i="11"/>
  <c r="R395" i="11"/>
  <c r="P396" i="11"/>
  <c r="Q396" i="11"/>
  <c r="R396" i="11"/>
  <c r="P397" i="11"/>
  <c r="Q397" i="11"/>
  <c r="R397" i="11"/>
  <c r="P398" i="11"/>
  <c r="Q398" i="11"/>
  <c r="R398" i="11"/>
  <c r="P399" i="11"/>
  <c r="Q399" i="11"/>
  <c r="R399" i="11"/>
  <c r="P400" i="11"/>
  <c r="Q400" i="11"/>
  <c r="R400" i="11"/>
  <c r="P401" i="11"/>
  <c r="Q401" i="11"/>
  <c r="R401" i="11"/>
  <c r="P402" i="11"/>
  <c r="Q402" i="11"/>
  <c r="R402" i="11"/>
  <c r="P403" i="11"/>
  <c r="Q403" i="11"/>
  <c r="R403" i="11"/>
  <c r="P404" i="11"/>
  <c r="Q404" i="11"/>
  <c r="R404" i="11"/>
  <c r="P405" i="11"/>
  <c r="Q405" i="11"/>
  <c r="R405" i="11"/>
  <c r="P406" i="11"/>
  <c r="Q406" i="11"/>
  <c r="R406" i="11"/>
  <c r="P407" i="11"/>
  <c r="Q407" i="11"/>
  <c r="R407" i="11"/>
  <c r="P408" i="11"/>
  <c r="Q408" i="11"/>
  <c r="R408" i="11"/>
  <c r="P409" i="11"/>
  <c r="Q409" i="11"/>
  <c r="R409" i="11"/>
  <c r="P410" i="11"/>
  <c r="Q410" i="11"/>
  <c r="R410" i="11"/>
  <c r="P411" i="11"/>
  <c r="Q411" i="11"/>
  <c r="R411" i="11"/>
  <c r="P412" i="11"/>
  <c r="Q412" i="11"/>
  <c r="R412" i="11"/>
  <c r="P413" i="11"/>
  <c r="Q413" i="11"/>
  <c r="R413" i="11"/>
  <c r="P414" i="11"/>
  <c r="Q414" i="11"/>
  <c r="R414" i="11"/>
  <c r="P415" i="11"/>
  <c r="Q415" i="11"/>
  <c r="R415" i="11"/>
  <c r="P416" i="11"/>
  <c r="Q416" i="11"/>
  <c r="R416" i="11"/>
  <c r="P417" i="11"/>
  <c r="Q417" i="11"/>
  <c r="R417" i="11"/>
  <c r="P418" i="11"/>
  <c r="Q418" i="11"/>
  <c r="R418" i="11"/>
  <c r="P419" i="11"/>
  <c r="Q419" i="11"/>
  <c r="R419" i="11"/>
  <c r="P420" i="11"/>
  <c r="Q420" i="11"/>
  <c r="R420" i="11"/>
  <c r="P421" i="11"/>
  <c r="Q421" i="11"/>
  <c r="R421" i="11"/>
  <c r="P422" i="11"/>
  <c r="Q422" i="11"/>
  <c r="R422" i="11"/>
  <c r="P423" i="11"/>
  <c r="Q423" i="11"/>
  <c r="R423" i="11"/>
  <c r="P424" i="11"/>
  <c r="Q424" i="11"/>
  <c r="R424" i="11"/>
  <c r="P425" i="11"/>
  <c r="Q425" i="11"/>
  <c r="R425" i="11"/>
  <c r="P426" i="11"/>
  <c r="Q426" i="11"/>
  <c r="R426" i="11"/>
  <c r="P427" i="11"/>
  <c r="Q427" i="11"/>
  <c r="R427" i="11"/>
  <c r="P428" i="11"/>
  <c r="Q428" i="11"/>
  <c r="R428" i="11"/>
  <c r="P429" i="11"/>
  <c r="Q429" i="11"/>
  <c r="R429" i="11"/>
  <c r="P430" i="11"/>
  <c r="Q430" i="11"/>
  <c r="R430" i="11"/>
  <c r="P431" i="11"/>
  <c r="Q431" i="11"/>
  <c r="R431" i="11"/>
  <c r="P432" i="11"/>
  <c r="Q432" i="11"/>
  <c r="R432" i="11"/>
  <c r="P433" i="11"/>
  <c r="Q433" i="11"/>
  <c r="R433" i="11"/>
  <c r="P434" i="11"/>
  <c r="Q434" i="11"/>
  <c r="R434" i="11"/>
  <c r="P435" i="11"/>
  <c r="Q435" i="11"/>
  <c r="R435" i="11"/>
  <c r="P436" i="11"/>
  <c r="Q436" i="11"/>
  <c r="R436" i="11"/>
  <c r="P437" i="11"/>
  <c r="Q437" i="11"/>
  <c r="R437" i="11"/>
  <c r="P438" i="11"/>
  <c r="Q438" i="11"/>
  <c r="R438" i="11"/>
  <c r="P439" i="11"/>
  <c r="Q439" i="11"/>
  <c r="R439" i="11"/>
  <c r="P440" i="11"/>
  <c r="Q440" i="11"/>
  <c r="R440" i="11"/>
  <c r="P441" i="11"/>
  <c r="Q441" i="11"/>
  <c r="R441" i="11"/>
  <c r="P442" i="11"/>
  <c r="Q442" i="11"/>
  <c r="R442" i="11"/>
  <c r="P443" i="11"/>
  <c r="Q443" i="11"/>
  <c r="R443" i="11"/>
  <c r="P444" i="11"/>
  <c r="Q444" i="11"/>
  <c r="R444" i="11"/>
  <c r="P445" i="11"/>
  <c r="Q445" i="11"/>
  <c r="R445" i="11"/>
  <c r="P446" i="11"/>
  <c r="Q446" i="11"/>
  <c r="R446" i="11"/>
  <c r="P447" i="11"/>
  <c r="Q447" i="11"/>
  <c r="R447" i="11"/>
  <c r="P448" i="11"/>
  <c r="Q448" i="11"/>
  <c r="R448" i="11"/>
  <c r="P449" i="11"/>
  <c r="Q449" i="11"/>
  <c r="R449" i="11"/>
  <c r="P450" i="11"/>
  <c r="Q450" i="11"/>
  <c r="R450" i="11"/>
  <c r="P451" i="11"/>
  <c r="Q451" i="11"/>
  <c r="R451" i="11"/>
  <c r="P452" i="11"/>
  <c r="Q452" i="11"/>
  <c r="R452" i="11"/>
  <c r="P453" i="11"/>
  <c r="Q453" i="11"/>
  <c r="R453" i="11"/>
  <c r="P454" i="11"/>
  <c r="Q454" i="11"/>
  <c r="R454" i="11"/>
  <c r="P455" i="11"/>
  <c r="Q455" i="11"/>
  <c r="R455" i="11"/>
  <c r="P456" i="11"/>
  <c r="Q456" i="11"/>
  <c r="R456" i="11"/>
  <c r="P457" i="11"/>
  <c r="Q457" i="11"/>
  <c r="R457" i="11"/>
  <c r="P458" i="11"/>
  <c r="Q458" i="11"/>
  <c r="R458" i="11"/>
  <c r="P459" i="11"/>
  <c r="Q459" i="11"/>
  <c r="R459" i="11"/>
  <c r="P460" i="11"/>
  <c r="Q460" i="11"/>
  <c r="R460" i="11"/>
  <c r="P461" i="11"/>
  <c r="Q461" i="11"/>
  <c r="R461" i="11"/>
  <c r="P462" i="11"/>
  <c r="Q462" i="11"/>
  <c r="R462" i="11"/>
  <c r="P463" i="11"/>
  <c r="Q463" i="11"/>
  <c r="R463" i="11"/>
  <c r="P464" i="11"/>
  <c r="Q464" i="11"/>
  <c r="R464" i="11"/>
  <c r="P465" i="11"/>
  <c r="Q465" i="11"/>
  <c r="R465" i="11"/>
  <c r="P466" i="11"/>
  <c r="Q466" i="11"/>
  <c r="R466" i="11"/>
  <c r="P467" i="11"/>
  <c r="Q467" i="11"/>
  <c r="R467" i="11"/>
  <c r="P468" i="11"/>
  <c r="Q468" i="11"/>
  <c r="R468" i="11"/>
  <c r="P469" i="11"/>
  <c r="Q469" i="11"/>
  <c r="R469" i="11"/>
  <c r="P470" i="11"/>
  <c r="Q470" i="11"/>
  <c r="R470" i="11"/>
  <c r="P471" i="11"/>
  <c r="Q471" i="11"/>
  <c r="R471" i="11"/>
  <c r="P472" i="11"/>
  <c r="Q472" i="11"/>
  <c r="R472" i="11"/>
  <c r="P473" i="11"/>
  <c r="Q473" i="11"/>
  <c r="R473" i="11"/>
  <c r="P474" i="11"/>
  <c r="Q474" i="11"/>
  <c r="R474" i="11"/>
  <c r="P475" i="11"/>
  <c r="Q475" i="11"/>
  <c r="R475" i="11"/>
  <c r="P476" i="11"/>
  <c r="Q476" i="11"/>
  <c r="R476" i="11"/>
  <c r="P477" i="11"/>
  <c r="Q477" i="11"/>
  <c r="R477" i="11"/>
  <c r="P478" i="11"/>
  <c r="Q478" i="11"/>
  <c r="R478" i="11"/>
  <c r="P479" i="11"/>
  <c r="Q479" i="11"/>
  <c r="R479" i="11"/>
  <c r="P480" i="11"/>
  <c r="Q480" i="11"/>
  <c r="R480" i="11"/>
  <c r="P481" i="11"/>
  <c r="Q481" i="11"/>
  <c r="R481" i="11"/>
  <c r="P482" i="11"/>
  <c r="Q482" i="11"/>
  <c r="R482" i="11"/>
  <c r="P483" i="11"/>
  <c r="Q483" i="11"/>
  <c r="R483" i="11"/>
  <c r="P484" i="11"/>
  <c r="Q484" i="11"/>
  <c r="R484" i="11"/>
  <c r="P485" i="11"/>
  <c r="Q485" i="11"/>
  <c r="R485" i="11"/>
  <c r="P486" i="11"/>
  <c r="Q486" i="11"/>
  <c r="R486" i="11"/>
  <c r="P487" i="11"/>
  <c r="Q487" i="11"/>
  <c r="R487" i="11"/>
  <c r="P488" i="11"/>
  <c r="Q488" i="11"/>
  <c r="R488" i="11"/>
  <c r="P489" i="11"/>
  <c r="Q489" i="11"/>
  <c r="R489" i="11"/>
  <c r="P490" i="11"/>
  <c r="Q490" i="11"/>
  <c r="R490" i="11"/>
  <c r="P491" i="11"/>
  <c r="Q491" i="11"/>
  <c r="R491" i="11"/>
  <c r="P492" i="11"/>
  <c r="Q492" i="11"/>
  <c r="R492" i="11"/>
  <c r="P493" i="11"/>
  <c r="Q493" i="11"/>
  <c r="R493" i="11"/>
  <c r="P494" i="11"/>
  <c r="Q494" i="11"/>
  <c r="R494" i="11"/>
  <c r="P495" i="11"/>
  <c r="Q495" i="11"/>
  <c r="R495" i="11"/>
  <c r="P496" i="11"/>
  <c r="Q496" i="11"/>
  <c r="R496" i="11"/>
  <c r="P497" i="11"/>
  <c r="Q497" i="11"/>
  <c r="R497" i="11"/>
  <c r="P498" i="11"/>
  <c r="Q498" i="11"/>
  <c r="R498" i="11"/>
  <c r="P499" i="11"/>
  <c r="Q499" i="11"/>
  <c r="R499" i="11"/>
  <c r="P500" i="11"/>
  <c r="Q500" i="11"/>
  <c r="R500" i="11"/>
  <c r="P501" i="11"/>
  <c r="Q501" i="11"/>
  <c r="R501" i="11"/>
  <c r="P502" i="11"/>
  <c r="Q502" i="11"/>
  <c r="R502" i="11"/>
  <c r="P503" i="11"/>
  <c r="Q503" i="11"/>
  <c r="R503" i="11"/>
  <c r="P504" i="11"/>
  <c r="Q504" i="11"/>
  <c r="R504" i="11"/>
  <c r="P505" i="11"/>
  <c r="Q505" i="11"/>
  <c r="R505" i="11"/>
  <c r="P506" i="11"/>
  <c r="Q506" i="11"/>
  <c r="R506" i="11"/>
  <c r="P507" i="11"/>
  <c r="Q507" i="11"/>
  <c r="R507" i="11"/>
  <c r="P508" i="11"/>
  <c r="Q508" i="11"/>
  <c r="R508" i="11"/>
  <c r="P509" i="11"/>
  <c r="Q509" i="11"/>
  <c r="R509" i="11"/>
  <c r="P510" i="11"/>
  <c r="Q510" i="11"/>
  <c r="R510" i="11"/>
  <c r="P511" i="11"/>
  <c r="Q511" i="11"/>
  <c r="R511" i="11"/>
  <c r="P512" i="11"/>
  <c r="Q512" i="11"/>
  <c r="R512" i="11"/>
  <c r="P513" i="11"/>
  <c r="Q513" i="11"/>
  <c r="R513" i="11"/>
  <c r="P514" i="11"/>
  <c r="Q514" i="11"/>
  <c r="R514" i="11"/>
  <c r="P515" i="11"/>
  <c r="Q515" i="11"/>
  <c r="R515" i="11"/>
  <c r="P516" i="11"/>
  <c r="Q516" i="11"/>
  <c r="R516" i="11"/>
  <c r="P517" i="11"/>
  <c r="Q517" i="11"/>
  <c r="R517" i="11"/>
  <c r="P518" i="11"/>
  <c r="Q518" i="11"/>
  <c r="R518" i="11"/>
  <c r="P519" i="11"/>
  <c r="Q519" i="11"/>
  <c r="R519" i="11"/>
  <c r="P520" i="11"/>
  <c r="Q520" i="11"/>
  <c r="R520" i="11"/>
  <c r="P521" i="11"/>
  <c r="Q521" i="11"/>
  <c r="R521" i="11"/>
  <c r="P522" i="11"/>
  <c r="Q522" i="11"/>
  <c r="R522" i="11"/>
  <c r="P523" i="11"/>
  <c r="Q523" i="11"/>
  <c r="R523" i="11"/>
  <c r="P524" i="11"/>
  <c r="Q524" i="11"/>
  <c r="R524" i="11"/>
  <c r="P525" i="11"/>
  <c r="Q525" i="11"/>
  <c r="R525" i="11"/>
  <c r="P526" i="11"/>
  <c r="Q526" i="11"/>
  <c r="R526" i="11"/>
  <c r="P527" i="11"/>
  <c r="Q527" i="11"/>
  <c r="R527" i="11"/>
  <c r="P528" i="11"/>
  <c r="Q528" i="11"/>
  <c r="R528" i="11"/>
  <c r="P529" i="11"/>
  <c r="Q529" i="11"/>
  <c r="R529" i="11"/>
  <c r="P530" i="11"/>
  <c r="Q530" i="11"/>
  <c r="R530" i="11"/>
  <c r="P531" i="11"/>
  <c r="Q531" i="11"/>
  <c r="R531" i="11"/>
  <c r="P532" i="11"/>
  <c r="Q532" i="11"/>
  <c r="R532" i="11"/>
  <c r="P533" i="11"/>
  <c r="Q533" i="11"/>
  <c r="R533" i="11"/>
  <c r="P534" i="11"/>
  <c r="Q534" i="11"/>
  <c r="R534" i="11"/>
  <c r="P535" i="11"/>
  <c r="Q535" i="11"/>
  <c r="R535" i="11"/>
  <c r="P536" i="11"/>
  <c r="Q536" i="11"/>
  <c r="R536" i="11"/>
  <c r="P537" i="11"/>
  <c r="Q537" i="11"/>
  <c r="R537" i="11"/>
  <c r="P538" i="11"/>
  <c r="Q538" i="11"/>
  <c r="R538" i="11"/>
  <c r="P539" i="11"/>
  <c r="Q539" i="11"/>
  <c r="R539" i="11"/>
  <c r="P540" i="11"/>
  <c r="Q540" i="11"/>
  <c r="R540" i="11"/>
  <c r="P541" i="11"/>
  <c r="Q541" i="11"/>
  <c r="R541" i="11"/>
  <c r="P542" i="11"/>
  <c r="Q542" i="11"/>
  <c r="R542" i="11"/>
  <c r="P543" i="11"/>
  <c r="Q543" i="11"/>
  <c r="R543" i="11"/>
  <c r="P544" i="11"/>
  <c r="Q544" i="11"/>
  <c r="R544" i="11"/>
  <c r="P545" i="11"/>
  <c r="Q545" i="11"/>
  <c r="R545" i="11"/>
  <c r="P546" i="11"/>
  <c r="Q546" i="11"/>
  <c r="R546" i="11"/>
  <c r="P547" i="11"/>
  <c r="Q547" i="11"/>
  <c r="R547" i="11"/>
  <c r="P548" i="11"/>
  <c r="Q548" i="11"/>
  <c r="R548" i="11"/>
  <c r="P549" i="11"/>
  <c r="Q549" i="11"/>
  <c r="R549" i="11"/>
  <c r="P550" i="11"/>
  <c r="Q550" i="11"/>
  <c r="R550" i="11"/>
  <c r="P551" i="11"/>
  <c r="Q551" i="11"/>
  <c r="R551" i="11"/>
  <c r="P552" i="11"/>
  <c r="Q552" i="11"/>
  <c r="R552" i="11"/>
  <c r="P553" i="11"/>
  <c r="Q553" i="11"/>
  <c r="R553" i="11"/>
  <c r="P554" i="11"/>
  <c r="Q554" i="11"/>
  <c r="R554" i="11"/>
  <c r="P555" i="11"/>
  <c r="Q555" i="11"/>
  <c r="R555" i="11"/>
  <c r="P556" i="11"/>
  <c r="Q556" i="11"/>
  <c r="R556" i="11"/>
  <c r="P557" i="11"/>
  <c r="Q557" i="11"/>
  <c r="R557" i="11"/>
  <c r="P558" i="11"/>
  <c r="Q558" i="11"/>
  <c r="R558" i="11"/>
  <c r="P559" i="11"/>
  <c r="Q559" i="11"/>
  <c r="R559" i="11"/>
  <c r="P560" i="11"/>
  <c r="Q560" i="11"/>
  <c r="R560" i="11"/>
  <c r="P561" i="11"/>
  <c r="Q561" i="11"/>
  <c r="R561" i="11"/>
  <c r="P562" i="11"/>
  <c r="Q562" i="11"/>
  <c r="R562" i="11"/>
  <c r="P563" i="11"/>
  <c r="Q563" i="11"/>
  <c r="R563" i="11"/>
  <c r="P564" i="11"/>
  <c r="Q564" i="11"/>
  <c r="R564" i="11"/>
  <c r="P565" i="11"/>
  <c r="Q565" i="11"/>
  <c r="R565" i="11"/>
  <c r="P566" i="11"/>
  <c r="Q566" i="11"/>
  <c r="R566" i="11"/>
  <c r="P567" i="11"/>
  <c r="Q567" i="11"/>
  <c r="R567" i="11"/>
  <c r="P568" i="11"/>
  <c r="Q568" i="11"/>
  <c r="R568" i="11"/>
  <c r="P569" i="11"/>
  <c r="Q569" i="11"/>
  <c r="R569" i="11"/>
  <c r="P570" i="11"/>
  <c r="Q570" i="11"/>
  <c r="R570" i="11"/>
  <c r="P571" i="11"/>
  <c r="Q571" i="11"/>
  <c r="R571" i="11"/>
  <c r="P572" i="11"/>
  <c r="Q572" i="11"/>
  <c r="R572" i="11"/>
  <c r="P573" i="11"/>
  <c r="Q573" i="11"/>
  <c r="R573" i="11"/>
  <c r="P574" i="11"/>
  <c r="Q574" i="11"/>
  <c r="R574" i="11"/>
  <c r="P575" i="11"/>
  <c r="Q575" i="11"/>
  <c r="R575" i="11"/>
  <c r="P576" i="11"/>
  <c r="Q576" i="11"/>
  <c r="R576" i="11"/>
  <c r="P577" i="11"/>
  <c r="Q577" i="11"/>
  <c r="R577" i="11"/>
  <c r="P578" i="11"/>
  <c r="Q578" i="11"/>
  <c r="R578" i="11"/>
  <c r="P579" i="11"/>
  <c r="Q579" i="11"/>
  <c r="R579" i="11"/>
  <c r="P580" i="11"/>
  <c r="Q580" i="11"/>
  <c r="R580" i="11"/>
  <c r="P581" i="11"/>
  <c r="Q581" i="11"/>
  <c r="R581" i="11"/>
  <c r="P582" i="11"/>
  <c r="Q582" i="11"/>
  <c r="R582" i="11"/>
  <c r="P583" i="11"/>
  <c r="Q583" i="11"/>
  <c r="R583" i="11"/>
  <c r="P584" i="11"/>
  <c r="Q584" i="11"/>
  <c r="R584" i="11"/>
  <c r="P585" i="11"/>
  <c r="Q585" i="11"/>
  <c r="R585" i="11"/>
  <c r="P586" i="11"/>
  <c r="Q586" i="11"/>
  <c r="R586" i="11"/>
  <c r="P587" i="11"/>
  <c r="Q587" i="11"/>
  <c r="R587" i="11"/>
  <c r="P588" i="11"/>
  <c r="Q588" i="11"/>
  <c r="R588" i="11"/>
  <c r="P589" i="11"/>
  <c r="Q589" i="11"/>
  <c r="R589" i="11"/>
  <c r="P590" i="11"/>
  <c r="Q590" i="11"/>
  <c r="R590" i="11"/>
  <c r="P591" i="11"/>
  <c r="Q591" i="11"/>
  <c r="R591" i="11"/>
  <c r="P592" i="11"/>
  <c r="Q592" i="11"/>
  <c r="R592" i="11"/>
  <c r="P593" i="11"/>
  <c r="Q593" i="11"/>
  <c r="R593" i="11"/>
  <c r="P594" i="11"/>
  <c r="Q594" i="11"/>
  <c r="R594" i="11"/>
  <c r="P595" i="11"/>
  <c r="Q595" i="11"/>
  <c r="R595" i="11"/>
  <c r="P596" i="11"/>
  <c r="Q596" i="11"/>
  <c r="R596" i="11"/>
  <c r="P597" i="11"/>
  <c r="Q597" i="11"/>
  <c r="R597" i="11"/>
  <c r="P598" i="11"/>
  <c r="Q598" i="11"/>
  <c r="R598" i="11"/>
  <c r="P599" i="11"/>
  <c r="Q599" i="11"/>
  <c r="R599" i="11"/>
  <c r="P600" i="11"/>
  <c r="Q600" i="11"/>
  <c r="R600" i="11"/>
  <c r="P601" i="11"/>
  <c r="Q601" i="11"/>
  <c r="R601" i="11"/>
  <c r="P602" i="11"/>
  <c r="Q602" i="11"/>
  <c r="R602" i="11"/>
  <c r="P603" i="11"/>
  <c r="Q603" i="11"/>
  <c r="R603" i="11"/>
  <c r="P604" i="11"/>
  <c r="Q604" i="11"/>
  <c r="R604" i="11"/>
  <c r="P605" i="11"/>
  <c r="Q605" i="11"/>
  <c r="R605" i="11"/>
  <c r="P606" i="11"/>
  <c r="Q606" i="11"/>
  <c r="R606" i="11"/>
  <c r="P607" i="11"/>
  <c r="Q607" i="11"/>
  <c r="R607" i="11"/>
  <c r="P608" i="11"/>
  <c r="Q608" i="11"/>
  <c r="R608" i="11"/>
  <c r="P609" i="11"/>
  <c r="Q609" i="11"/>
  <c r="R609" i="11"/>
  <c r="P610" i="11"/>
  <c r="Q610" i="11"/>
  <c r="R610" i="11"/>
  <c r="P611" i="11"/>
  <c r="Q611" i="11"/>
  <c r="R611" i="11"/>
  <c r="P612" i="11"/>
  <c r="Q612" i="11"/>
  <c r="R612" i="11"/>
  <c r="P613" i="11"/>
  <c r="Q613" i="11"/>
  <c r="R613" i="11"/>
  <c r="P614" i="11"/>
  <c r="Q614" i="11"/>
  <c r="R614" i="11"/>
  <c r="P615" i="11"/>
  <c r="Q615" i="11"/>
  <c r="R615" i="11"/>
  <c r="P616" i="11"/>
  <c r="Q616" i="11"/>
  <c r="R616" i="11"/>
  <c r="P617" i="11"/>
  <c r="Q617" i="11"/>
  <c r="R617" i="11"/>
  <c r="P618" i="11"/>
  <c r="Q618" i="11"/>
  <c r="R618" i="11"/>
  <c r="P619" i="11"/>
  <c r="Q619" i="11"/>
  <c r="R619" i="11"/>
  <c r="P620" i="11"/>
  <c r="Q620" i="11"/>
  <c r="R620" i="11"/>
  <c r="P621" i="11"/>
  <c r="Q621" i="11"/>
  <c r="R621" i="11"/>
  <c r="P622" i="11"/>
  <c r="Q622" i="11"/>
  <c r="R622" i="11"/>
  <c r="P623" i="11"/>
  <c r="Q623" i="11"/>
  <c r="R623" i="11"/>
  <c r="P624" i="11"/>
  <c r="Q624" i="11"/>
  <c r="R624" i="11"/>
  <c r="P625" i="11"/>
  <c r="Q625" i="11"/>
  <c r="R625" i="11"/>
  <c r="P626" i="11"/>
  <c r="Q626" i="11"/>
  <c r="R626" i="11"/>
  <c r="P627" i="11"/>
  <c r="Q627" i="11"/>
  <c r="R627" i="11"/>
  <c r="P628" i="11"/>
  <c r="Q628" i="11"/>
  <c r="R628" i="11"/>
  <c r="P629" i="11"/>
  <c r="Q629" i="11"/>
  <c r="R629" i="11"/>
  <c r="P630" i="11"/>
  <c r="Q630" i="11"/>
  <c r="R630" i="11"/>
  <c r="P631" i="11"/>
  <c r="Q631" i="11"/>
  <c r="R631" i="11"/>
  <c r="P632" i="11"/>
  <c r="Q632" i="11"/>
  <c r="R632" i="11"/>
  <c r="P633" i="11"/>
  <c r="Q633" i="11"/>
  <c r="R633" i="11"/>
  <c r="P634" i="11"/>
  <c r="Q634" i="11"/>
  <c r="R634" i="11"/>
  <c r="P635" i="11"/>
  <c r="Q635" i="11"/>
  <c r="R635" i="11"/>
  <c r="P636" i="11"/>
  <c r="Q636" i="11"/>
  <c r="R636" i="11"/>
  <c r="P637" i="11"/>
  <c r="Q637" i="11"/>
  <c r="R637" i="11"/>
  <c r="P638" i="11"/>
  <c r="Q638" i="11"/>
  <c r="R638" i="11"/>
  <c r="P639" i="11"/>
  <c r="Q639" i="11"/>
  <c r="R639" i="11"/>
  <c r="P640" i="11"/>
  <c r="Q640" i="11"/>
  <c r="R640" i="11"/>
  <c r="P641" i="11"/>
  <c r="Q641" i="11"/>
  <c r="R641" i="11"/>
  <c r="P642" i="11"/>
  <c r="Q642" i="11"/>
  <c r="R642" i="11"/>
  <c r="P643" i="11"/>
  <c r="Q643" i="11"/>
  <c r="R643" i="11"/>
  <c r="P644" i="11"/>
  <c r="Q644" i="11"/>
  <c r="R644" i="11"/>
  <c r="P645" i="11"/>
  <c r="Q645" i="11"/>
  <c r="R645" i="11"/>
  <c r="P646" i="11"/>
  <c r="Q646" i="11"/>
  <c r="R646" i="11"/>
  <c r="P647" i="11"/>
  <c r="Q647" i="11"/>
  <c r="R647" i="11"/>
  <c r="P648" i="11"/>
  <c r="Q648" i="11"/>
  <c r="R648" i="11"/>
  <c r="P649" i="11"/>
  <c r="Q649" i="11"/>
  <c r="R649" i="11"/>
  <c r="P650" i="11"/>
  <c r="Q650" i="11"/>
  <c r="R650" i="11"/>
  <c r="P651" i="11"/>
  <c r="Q651" i="11"/>
  <c r="R651" i="11"/>
  <c r="P652" i="11"/>
  <c r="Q652" i="11"/>
  <c r="R652" i="11"/>
  <c r="P653" i="11"/>
  <c r="Q653" i="11"/>
  <c r="R653" i="11"/>
  <c r="P654" i="11"/>
  <c r="Q654" i="11"/>
  <c r="R654" i="11"/>
  <c r="P655" i="11"/>
  <c r="Q655" i="11"/>
  <c r="R655" i="11"/>
  <c r="P656" i="11"/>
  <c r="Q656" i="11"/>
  <c r="R656" i="11"/>
  <c r="P657" i="11"/>
  <c r="Q657" i="11"/>
  <c r="R657" i="11"/>
  <c r="P658" i="11"/>
  <c r="Q658" i="11"/>
  <c r="R658" i="11"/>
  <c r="P659" i="11"/>
  <c r="Q659" i="11"/>
  <c r="R659" i="11"/>
  <c r="P660" i="11"/>
  <c r="Q660" i="11"/>
  <c r="R660" i="11"/>
  <c r="P661" i="11"/>
  <c r="Q661" i="11"/>
  <c r="R661" i="11"/>
  <c r="P662" i="11"/>
  <c r="Q662" i="11"/>
  <c r="R662" i="11"/>
  <c r="P663" i="11"/>
  <c r="Q663" i="11"/>
  <c r="R663" i="11"/>
  <c r="P664" i="11"/>
  <c r="Q664" i="11"/>
  <c r="R664" i="11"/>
  <c r="P665" i="11"/>
  <c r="Q665" i="11"/>
  <c r="R665" i="11"/>
  <c r="P666" i="11"/>
  <c r="Q666" i="11"/>
  <c r="R666" i="11"/>
  <c r="P667" i="11"/>
  <c r="Q667" i="11"/>
  <c r="R667" i="11"/>
  <c r="P668" i="11"/>
  <c r="Q668" i="11"/>
  <c r="R668" i="11"/>
  <c r="P669" i="11"/>
  <c r="Q669" i="11"/>
  <c r="R669" i="11"/>
  <c r="P670" i="11"/>
  <c r="Q670" i="11"/>
  <c r="R670" i="11"/>
  <c r="P671" i="11"/>
  <c r="Q671" i="11"/>
  <c r="R671" i="11"/>
  <c r="P672" i="11"/>
  <c r="Q672" i="11"/>
  <c r="R672" i="11"/>
  <c r="P673" i="11"/>
  <c r="Q673" i="11"/>
  <c r="R673" i="11"/>
  <c r="P674" i="11"/>
  <c r="Q674" i="11"/>
  <c r="R674" i="11"/>
  <c r="P675" i="11"/>
  <c r="Q675" i="11"/>
  <c r="R675" i="11"/>
  <c r="P676" i="11"/>
  <c r="Q676" i="11"/>
  <c r="R676" i="11"/>
  <c r="P677" i="11"/>
  <c r="Q677" i="11"/>
  <c r="R677" i="11"/>
  <c r="P678" i="11"/>
  <c r="Q678" i="11"/>
  <c r="R678" i="11"/>
  <c r="P679" i="11"/>
  <c r="Q679" i="11"/>
  <c r="R679" i="11"/>
  <c r="P680" i="11"/>
  <c r="Q680" i="11"/>
  <c r="R680" i="11"/>
  <c r="P681" i="11"/>
  <c r="Q681" i="11"/>
  <c r="R681" i="11"/>
  <c r="P682" i="11"/>
  <c r="Q682" i="11"/>
  <c r="R682" i="11"/>
  <c r="P683" i="11"/>
  <c r="Q683" i="11"/>
  <c r="R683" i="11"/>
  <c r="P684" i="11"/>
  <c r="Q684" i="11"/>
  <c r="R684" i="11"/>
  <c r="P685" i="11"/>
  <c r="Q685" i="11"/>
  <c r="R685" i="11"/>
  <c r="P686" i="11"/>
  <c r="Q686" i="11"/>
  <c r="R686" i="11"/>
  <c r="P687" i="11"/>
  <c r="Q687" i="11"/>
  <c r="R687" i="11"/>
  <c r="P688" i="11"/>
  <c r="Q688" i="11"/>
  <c r="R688" i="11"/>
  <c r="P689" i="11"/>
  <c r="Q689" i="11"/>
  <c r="R689" i="11"/>
  <c r="P690" i="11"/>
  <c r="Q690" i="11"/>
  <c r="R690" i="11"/>
  <c r="P691" i="11"/>
  <c r="Q691" i="11"/>
  <c r="R691" i="11"/>
  <c r="P692" i="11"/>
  <c r="Q692" i="11"/>
  <c r="R692" i="11"/>
  <c r="P693" i="11"/>
  <c r="Q693" i="11"/>
  <c r="R693" i="11"/>
  <c r="P694" i="11"/>
  <c r="Q694" i="11"/>
  <c r="R694" i="11"/>
  <c r="P695" i="11"/>
  <c r="Q695" i="11"/>
  <c r="R695" i="11"/>
  <c r="P696" i="11"/>
  <c r="Q696" i="11"/>
  <c r="R696" i="11"/>
  <c r="P697" i="11"/>
  <c r="Q697" i="11"/>
  <c r="R697" i="11"/>
  <c r="P698" i="11"/>
  <c r="Q698" i="11"/>
  <c r="R698" i="11"/>
  <c r="P699" i="11"/>
  <c r="Q699" i="11"/>
  <c r="R699" i="11"/>
  <c r="P700" i="11"/>
  <c r="Q700" i="11"/>
  <c r="R700" i="11"/>
  <c r="P701" i="11"/>
  <c r="Q701" i="11"/>
  <c r="R701" i="11"/>
  <c r="P702" i="11"/>
  <c r="Q702" i="11"/>
  <c r="R702" i="11"/>
  <c r="P703" i="11"/>
  <c r="Q703" i="11"/>
  <c r="R703" i="11"/>
  <c r="P704" i="11"/>
  <c r="Q704" i="11"/>
  <c r="R704" i="11"/>
  <c r="P705" i="11"/>
  <c r="Q705" i="11"/>
  <c r="R705" i="11"/>
  <c r="P706" i="11"/>
  <c r="Q706" i="11"/>
  <c r="R706" i="11"/>
  <c r="P707" i="11"/>
  <c r="Q707" i="11"/>
  <c r="R707" i="11"/>
  <c r="P708" i="11"/>
  <c r="Q708" i="11"/>
  <c r="R708" i="11"/>
  <c r="P709" i="11"/>
  <c r="Q709" i="11"/>
  <c r="R709" i="11"/>
  <c r="P710" i="11"/>
  <c r="Q710" i="11"/>
  <c r="R710" i="11"/>
  <c r="P711" i="11"/>
  <c r="Q711" i="11"/>
  <c r="R711" i="11"/>
  <c r="P712" i="11"/>
  <c r="Q712" i="11"/>
  <c r="R712" i="11"/>
  <c r="P713" i="11"/>
  <c r="Q713" i="11"/>
  <c r="R713" i="11"/>
  <c r="P714" i="11"/>
  <c r="Q714" i="11"/>
  <c r="R714" i="11"/>
  <c r="P715" i="11"/>
  <c r="Q715" i="11"/>
  <c r="R715" i="11"/>
  <c r="P716" i="11"/>
  <c r="Q716" i="11"/>
  <c r="R716" i="11"/>
  <c r="P717" i="11"/>
  <c r="Q717" i="11"/>
  <c r="R717" i="11"/>
  <c r="P718" i="11"/>
  <c r="Q718" i="11"/>
  <c r="R718" i="11"/>
  <c r="P719" i="11"/>
  <c r="Q719" i="11"/>
  <c r="R719" i="11"/>
  <c r="P720" i="11"/>
  <c r="Q720" i="11"/>
  <c r="R720" i="11"/>
  <c r="P721" i="11"/>
  <c r="Q721" i="11"/>
  <c r="R721" i="11"/>
  <c r="P722" i="11"/>
  <c r="Q722" i="11"/>
  <c r="R722" i="11"/>
  <c r="P723" i="11"/>
  <c r="Q723" i="11"/>
  <c r="R723" i="11"/>
  <c r="P724" i="11"/>
  <c r="Q724" i="11"/>
  <c r="R724" i="11"/>
  <c r="P725" i="11"/>
  <c r="Q725" i="11"/>
  <c r="R725" i="11"/>
  <c r="P726" i="11"/>
  <c r="Q726" i="11"/>
  <c r="R726" i="11"/>
  <c r="P727" i="11"/>
  <c r="Q727" i="11"/>
  <c r="R727" i="11"/>
  <c r="P728" i="11"/>
  <c r="Q728" i="11"/>
  <c r="R728" i="11"/>
  <c r="P729" i="11"/>
  <c r="Q729" i="11"/>
  <c r="R729" i="11"/>
  <c r="P730" i="11"/>
  <c r="Q730" i="11"/>
  <c r="R730" i="11"/>
  <c r="P731" i="11"/>
  <c r="Q731" i="11"/>
  <c r="R731" i="11"/>
  <c r="P732" i="11"/>
  <c r="Q732" i="11"/>
  <c r="R732" i="11"/>
  <c r="P733" i="11"/>
  <c r="Q733" i="11"/>
  <c r="R733" i="11"/>
  <c r="P734" i="11"/>
  <c r="Q734" i="11"/>
  <c r="R734" i="11"/>
  <c r="P735" i="11"/>
  <c r="Q735" i="11"/>
  <c r="R735" i="11"/>
  <c r="P736" i="11"/>
  <c r="Q736" i="11"/>
  <c r="R736" i="11"/>
  <c r="P737" i="11"/>
  <c r="Q737" i="11"/>
  <c r="R737" i="11"/>
  <c r="P738" i="11"/>
  <c r="Q738" i="11"/>
  <c r="R738" i="11"/>
  <c r="P739" i="11"/>
  <c r="Q739" i="11"/>
  <c r="R739" i="11"/>
  <c r="P740" i="11"/>
  <c r="Q740" i="11"/>
  <c r="R740" i="11"/>
  <c r="P741" i="11"/>
  <c r="Q741" i="11"/>
  <c r="R741" i="11"/>
  <c r="P742" i="11"/>
  <c r="Q742" i="11"/>
  <c r="R742" i="11"/>
  <c r="P743" i="11"/>
  <c r="Q743" i="11"/>
  <c r="R743" i="11"/>
  <c r="P744" i="11"/>
  <c r="Q744" i="11"/>
  <c r="R744" i="11"/>
  <c r="P745" i="11"/>
  <c r="Q745" i="11"/>
  <c r="R745" i="11"/>
  <c r="P746" i="11"/>
  <c r="Q746" i="11"/>
  <c r="R746" i="11"/>
  <c r="P747" i="11"/>
  <c r="Q747" i="11"/>
  <c r="R747" i="11"/>
  <c r="P748" i="11"/>
  <c r="Q748" i="11"/>
  <c r="R748" i="11"/>
  <c r="P749" i="11"/>
  <c r="Q749" i="11"/>
  <c r="R749" i="11"/>
  <c r="P750" i="11"/>
  <c r="Q750" i="11"/>
  <c r="R750" i="11"/>
  <c r="P751" i="11"/>
  <c r="Q751" i="11"/>
  <c r="R751" i="11"/>
  <c r="P752" i="11"/>
  <c r="Q752" i="11"/>
  <c r="R752" i="11"/>
  <c r="P753" i="11"/>
  <c r="Q753" i="11"/>
  <c r="R753" i="11"/>
  <c r="P754" i="11"/>
  <c r="Q754" i="11"/>
  <c r="R754" i="11"/>
  <c r="P755" i="11"/>
  <c r="Q755" i="11"/>
  <c r="R755" i="11"/>
  <c r="P756" i="11"/>
  <c r="Q756" i="11"/>
  <c r="R756" i="11"/>
  <c r="P757" i="11"/>
  <c r="Q757" i="11"/>
  <c r="R757" i="11"/>
  <c r="P758" i="11"/>
  <c r="Q758" i="11"/>
  <c r="R758" i="11"/>
  <c r="P759" i="11"/>
  <c r="Q759" i="11"/>
  <c r="R759" i="11"/>
  <c r="P760" i="11"/>
  <c r="Q760" i="11"/>
  <c r="R760" i="11"/>
  <c r="P761" i="11"/>
  <c r="Q761" i="11"/>
  <c r="R761" i="11"/>
  <c r="P762" i="11"/>
  <c r="Q762" i="11"/>
  <c r="R762" i="11"/>
  <c r="P763" i="11"/>
  <c r="Q763" i="11"/>
  <c r="R763" i="11"/>
  <c r="P764" i="11"/>
  <c r="Q764" i="11"/>
  <c r="R764" i="11"/>
  <c r="P765" i="11"/>
  <c r="Q765" i="11"/>
  <c r="R765" i="11"/>
  <c r="P766" i="11"/>
  <c r="Q766" i="11"/>
  <c r="R766" i="11"/>
  <c r="P767" i="11"/>
  <c r="Q767" i="11"/>
  <c r="R767" i="11"/>
  <c r="P768" i="11"/>
  <c r="Q768" i="11"/>
  <c r="R768" i="11"/>
  <c r="P769" i="11"/>
  <c r="Q769" i="11"/>
  <c r="R769" i="11"/>
  <c r="P770" i="11"/>
  <c r="Q770" i="11"/>
  <c r="R770" i="11"/>
  <c r="P771" i="11"/>
  <c r="Q771" i="11"/>
  <c r="R771" i="11"/>
  <c r="P772" i="11"/>
  <c r="Q772" i="11"/>
  <c r="R772" i="11"/>
  <c r="P773" i="11"/>
  <c r="Q773" i="11"/>
  <c r="R773" i="11"/>
  <c r="P774" i="11"/>
  <c r="Q774" i="11"/>
  <c r="R774" i="11"/>
  <c r="P775" i="11"/>
  <c r="Q775" i="11"/>
  <c r="R775" i="11"/>
  <c r="P776" i="11"/>
  <c r="Q776" i="11"/>
  <c r="R776" i="11"/>
  <c r="P777" i="11"/>
  <c r="Q777" i="11"/>
  <c r="R777" i="11"/>
  <c r="P778" i="11"/>
  <c r="Q778" i="11"/>
  <c r="R778" i="11"/>
  <c r="P779" i="11"/>
  <c r="Q779" i="11"/>
  <c r="R779" i="11"/>
  <c r="P780" i="11"/>
  <c r="Q780" i="11"/>
  <c r="R780" i="11"/>
  <c r="P781" i="11"/>
  <c r="Q781" i="11"/>
  <c r="R781" i="11"/>
  <c r="P782" i="11"/>
  <c r="Q782" i="11"/>
  <c r="R782" i="11"/>
  <c r="P783" i="11"/>
  <c r="Q783" i="11"/>
  <c r="R783" i="11"/>
  <c r="P784" i="11"/>
  <c r="Q784" i="11"/>
  <c r="R784" i="11"/>
  <c r="P785" i="11"/>
  <c r="Q785" i="11"/>
  <c r="R785" i="11"/>
  <c r="P786" i="11"/>
  <c r="Q786" i="11"/>
  <c r="R786" i="11"/>
  <c r="P787" i="11"/>
  <c r="Q787" i="11"/>
  <c r="R787" i="11"/>
  <c r="P788" i="11"/>
  <c r="Q788" i="11"/>
  <c r="R788" i="11"/>
  <c r="P789" i="11"/>
  <c r="Q789" i="11"/>
  <c r="R789" i="11"/>
  <c r="P790" i="11"/>
  <c r="Q790" i="11"/>
  <c r="R790" i="11"/>
  <c r="P791" i="11"/>
  <c r="Q791" i="11"/>
  <c r="R791" i="11"/>
  <c r="P792" i="11"/>
  <c r="Q792" i="11"/>
  <c r="R792" i="11"/>
  <c r="P793" i="11"/>
  <c r="Q793" i="11"/>
  <c r="R793" i="11"/>
  <c r="P794" i="11"/>
  <c r="Q794" i="11"/>
  <c r="R794" i="11"/>
  <c r="P795" i="11"/>
  <c r="Q795" i="11"/>
  <c r="R795" i="11"/>
  <c r="P796" i="11"/>
  <c r="Q796" i="11"/>
  <c r="R796" i="11"/>
  <c r="P797" i="11"/>
  <c r="Q797" i="11"/>
  <c r="R797" i="11"/>
  <c r="P798" i="11"/>
  <c r="Q798" i="11"/>
  <c r="R798" i="11"/>
  <c r="P799" i="11"/>
  <c r="Q799" i="11"/>
  <c r="R799" i="11"/>
  <c r="P800" i="11"/>
  <c r="Q800" i="11"/>
  <c r="R800" i="11"/>
  <c r="P801" i="11"/>
  <c r="Q801" i="11"/>
  <c r="R801" i="11"/>
  <c r="P802" i="11"/>
  <c r="Q802" i="11"/>
  <c r="R802" i="11"/>
  <c r="P803" i="11"/>
  <c r="Q803" i="11"/>
  <c r="R803" i="11"/>
  <c r="P804" i="11"/>
  <c r="Q804" i="11"/>
  <c r="R804" i="11"/>
  <c r="P805" i="11"/>
  <c r="Q805" i="11"/>
  <c r="R805" i="11"/>
  <c r="P806" i="11"/>
  <c r="Q806" i="11"/>
  <c r="R806" i="11"/>
  <c r="P807" i="11"/>
  <c r="Q807" i="11"/>
  <c r="R807" i="11"/>
  <c r="P808" i="11"/>
  <c r="Q808" i="11"/>
  <c r="R808" i="11"/>
  <c r="P809" i="11"/>
  <c r="Q809" i="11"/>
  <c r="R809" i="11"/>
  <c r="P810" i="11"/>
  <c r="Q810" i="11"/>
  <c r="R810" i="11"/>
  <c r="P811" i="11"/>
  <c r="Q811" i="11"/>
  <c r="R811" i="11"/>
  <c r="P812" i="11"/>
  <c r="Q812" i="11"/>
  <c r="R812" i="11"/>
  <c r="P813" i="11"/>
  <c r="Q813" i="11"/>
  <c r="R813" i="11"/>
  <c r="P814" i="11"/>
  <c r="Q814" i="11"/>
  <c r="R814" i="11"/>
  <c r="P815" i="11"/>
  <c r="Q815" i="11"/>
  <c r="R815" i="11"/>
  <c r="P816" i="11"/>
  <c r="Q816" i="11"/>
  <c r="R816" i="11"/>
  <c r="P817" i="11"/>
  <c r="Q817" i="11"/>
  <c r="R817" i="11"/>
  <c r="P818" i="11"/>
  <c r="Q818" i="11"/>
  <c r="R818" i="11"/>
  <c r="P819" i="11"/>
  <c r="Q819" i="11"/>
  <c r="R819" i="11"/>
  <c r="P820" i="11"/>
  <c r="Q820" i="11"/>
  <c r="R820" i="11"/>
  <c r="P821" i="11"/>
  <c r="Q821" i="11"/>
  <c r="R821" i="11"/>
  <c r="P822" i="11"/>
  <c r="Q822" i="11"/>
  <c r="R822" i="11"/>
  <c r="P823" i="11"/>
  <c r="Q823" i="11"/>
  <c r="R823" i="11"/>
  <c r="P824" i="11"/>
  <c r="Q824" i="11"/>
  <c r="R824" i="11"/>
  <c r="P825" i="11"/>
  <c r="Q825" i="11"/>
  <c r="R825" i="11"/>
  <c r="P826" i="11"/>
  <c r="Q826" i="11"/>
  <c r="R826" i="11"/>
  <c r="P827" i="11"/>
  <c r="Q827" i="11"/>
  <c r="R827" i="11"/>
  <c r="P828" i="11"/>
  <c r="Q828" i="11"/>
  <c r="R828" i="11"/>
  <c r="P829" i="11"/>
  <c r="Q829" i="11"/>
  <c r="R829" i="11"/>
  <c r="P830" i="11"/>
  <c r="Q830" i="11"/>
  <c r="R830" i="11"/>
  <c r="P831" i="11"/>
  <c r="Q831" i="11"/>
  <c r="R831" i="11"/>
  <c r="P832" i="11"/>
  <c r="Q832" i="11"/>
  <c r="R832" i="11"/>
  <c r="P833" i="11"/>
  <c r="Q833" i="11"/>
  <c r="R833" i="11"/>
  <c r="P834" i="11"/>
  <c r="Q834" i="11"/>
  <c r="R834" i="11"/>
  <c r="P835" i="11"/>
  <c r="Q835" i="11"/>
  <c r="R835" i="11"/>
  <c r="P836" i="11"/>
  <c r="Q836" i="11"/>
  <c r="R836" i="11"/>
  <c r="P837" i="11"/>
  <c r="Q837" i="11"/>
  <c r="R837" i="11"/>
  <c r="P838" i="11"/>
  <c r="Q838" i="11"/>
  <c r="R838" i="11"/>
  <c r="P839" i="11"/>
  <c r="Q839" i="11"/>
  <c r="R839" i="11"/>
  <c r="P840" i="11"/>
  <c r="Q840" i="11"/>
  <c r="R840" i="11"/>
  <c r="P841" i="11"/>
  <c r="Q841" i="11"/>
  <c r="R841" i="11"/>
  <c r="P842" i="11"/>
  <c r="Q842" i="11"/>
  <c r="R842" i="11"/>
  <c r="P843" i="11"/>
  <c r="Q843" i="11"/>
  <c r="R843" i="11"/>
  <c r="P844" i="11"/>
  <c r="Q844" i="11"/>
  <c r="R844" i="11"/>
  <c r="P845" i="11"/>
  <c r="Q845" i="11"/>
  <c r="R845" i="11"/>
  <c r="P846" i="11"/>
  <c r="Q846" i="11"/>
  <c r="R846" i="11"/>
  <c r="P847" i="11"/>
  <c r="Q847" i="11"/>
  <c r="R847" i="11"/>
  <c r="P848" i="11"/>
  <c r="Q848" i="11"/>
  <c r="R848" i="11"/>
  <c r="P849" i="11"/>
  <c r="Q849" i="11"/>
  <c r="R849" i="11"/>
  <c r="P850" i="11"/>
  <c r="Q850" i="11"/>
  <c r="R850" i="11"/>
  <c r="P851" i="11"/>
  <c r="Q851" i="11"/>
  <c r="R851" i="11"/>
  <c r="P852" i="11"/>
  <c r="Q852" i="11"/>
  <c r="R852" i="11"/>
  <c r="P853" i="11"/>
  <c r="Q853" i="11"/>
  <c r="R853" i="11"/>
  <c r="P854" i="11"/>
  <c r="Q854" i="11"/>
  <c r="R854" i="11"/>
  <c r="P855" i="11"/>
  <c r="Q855" i="11"/>
  <c r="R855" i="11"/>
  <c r="P856" i="11"/>
  <c r="Q856" i="11"/>
  <c r="R856" i="11"/>
  <c r="P857" i="11"/>
  <c r="Q857" i="11"/>
  <c r="R857" i="11"/>
  <c r="P858" i="11"/>
  <c r="Q858" i="11"/>
  <c r="R858" i="11"/>
  <c r="P859" i="11"/>
  <c r="Q859" i="11"/>
  <c r="R859" i="11"/>
  <c r="P860" i="11"/>
  <c r="Q860" i="11"/>
  <c r="R860" i="11"/>
  <c r="P861" i="11"/>
  <c r="Q861" i="11"/>
  <c r="R861" i="11"/>
  <c r="P862" i="11"/>
  <c r="Q862" i="11"/>
  <c r="R862" i="11"/>
  <c r="P863" i="11"/>
  <c r="Q863" i="11"/>
  <c r="R863" i="11"/>
  <c r="P864" i="11"/>
  <c r="Q864" i="11"/>
  <c r="R864" i="11"/>
  <c r="P865" i="11"/>
  <c r="Q865" i="11"/>
  <c r="R865" i="11"/>
  <c r="P866" i="11"/>
  <c r="Q866" i="11"/>
  <c r="R866" i="11"/>
  <c r="P867" i="11"/>
  <c r="Q867" i="11"/>
  <c r="R867" i="11"/>
  <c r="P868" i="11"/>
  <c r="Q868" i="11"/>
  <c r="R868" i="11"/>
  <c r="P869" i="11"/>
  <c r="Q869" i="11"/>
  <c r="R869" i="11"/>
  <c r="P870" i="11"/>
  <c r="Q870" i="11"/>
  <c r="R870" i="11"/>
  <c r="P871" i="11"/>
  <c r="Q871" i="11"/>
  <c r="R871" i="11"/>
  <c r="P872" i="11"/>
  <c r="Q872" i="11"/>
  <c r="R872" i="11"/>
  <c r="P873" i="11"/>
  <c r="Q873" i="11"/>
  <c r="R873" i="11"/>
  <c r="P874" i="11"/>
  <c r="Q874" i="11"/>
  <c r="R874" i="11"/>
  <c r="P875" i="11"/>
  <c r="Q875" i="11"/>
  <c r="R875" i="11"/>
  <c r="P876" i="11"/>
  <c r="Q876" i="11"/>
  <c r="R876" i="11"/>
  <c r="P877" i="11"/>
  <c r="Q877" i="11"/>
  <c r="R877" i="11"/>
  <c r="P878" i="11"/>
  <c r="Q878" i="11"/>
  <c r="R878" i="11"/>
  <c r="P879" i="11"/>
  <c r="Q879" i="11"/>
  <c r="R879" i="11"/>
  <c r="P880" i="11"/>
  <c r="Q880" i="11"/>
  <c r="R880" i="11"/>
  <c r="P881" i="11"/>
  <c r="Q881" i="11"/>
  <c r="R881" i="11"/>
  <c r="P882" i="11"/>
  <c r="Q882" i="11"/>
  <c r="R882" i="11"/>
  <c r="P883" i="11"/>
  <c r="Q883" i="11"/>
  <c r="R883" i="11"/>
  <c r="P884" i="11"/>
  <c r="Q884" i="11"/>
  <c r="R884" i="11"/>
  <c r="P885" i="11"/>
  <c r="Q885" i="11"/>
  <c r="R885" i="11"/>
  <c r="P886" i="11"/>
  <c r="Q886" i="11"/>
  <c r="R886" i="11"/>
  <c r="P887" i="11"/>
  <c r="Q887" i="11"/>
  <c r="R887" i="11"/>
  <c r="P888" i="11"/>
  <c r="Q888" i="11"/>
  <c r="R888" i="11"/>
  <c r="P889" i="11"/>
  <c r="Q889" i="11"/>
  <c r="R889" i="11"/>
  <c r="P890" i="11"/>
  <c r="Q890" i="11"/>
  <c r="R890" i="11"/>
  <c r="P891" i="11"/>
  <c r="Q891" i="11"/>
  <c r="R891" i="11"/>
  <c r="P892" i="11"/>
  <c r="Q892" i="11"/>
  <c r="R892" i="11"/>
  <c r="P893" i="11"/>
  <c r="Q893" i="11"/>
  <c r="R893" i="11"/>
  <c r="P894" i="11"/>
  <c r="Q894" i="11"/>
  <c r="R894" i="11"/>
  <c r="P895" i="11"/>
  <c r="Q895" i="11"/>
  <c r="R895" i="11"/>
  <c r="P896" i="11"/>
  <c r="Q896" i="11"/>
  <c r="R896" i="11"/>
  <c r="P897" i="11"/>
  <c r="Q897" i="11"/>
  <c r="R897" i="11"/>
  <c r="P898" i="11"/>
  <c r="Q898" i="11"/>
  <c r="R898" i="11"/>
  <c r="P899" i="11"/>
  <c r="Q899" i="11"/>
  <c r="R899" i="11"/>
  <c r="P900" i="11"/>
  <c r="Q900" i="11"/>
  <c r="R900" i="11"/>
  <c r="P901" i="11"/>
  <c r="Q901" i="11"/>
  <c r="R901" i="11"/>
  <c r="P902" i="11"/>
  <c r="Q902" i="11"/>
  <c r="R902" i="11"/>
  <c r="P903" i="11"/>
  <c r="Q903" i="11"/>
  <c r="R903" i="11"/>
  <c r="P904" i="11"/>
  <c r="Q904" i="11"/>
  <c r="R904" i="11"/>
  <c r="P905" i="11"/>
  <c r="Q905" i="11"/>
  <c r="R905" i="11"/>
  <c r="P906" i="11"/>
  <c r="Q906" i="11"/>
  <c r="R906" i="11"/>
  <c r="P907" i="11"/>
  <c r="Q907" i="11"/>
  <c r="R907" i="11"/>
  <c r="P908" i="11"/>
  <c r="Q908" i="11"/>
  <c r="R908" i="11"/>
  <c r="P909" i="11"/>
  <c r="Q909" i="11"/>
  <c r="R909" i="11"/>
  <c r="P910" i="11"/>
  <c r="Q910" i="11"/>
  <c r="R910" i="11"/>
  <c r="P911" i="11"/>
  <c r="Q911" i="11"/>
  <c r="R911" i="11"/>
  <c r="P912" i="11"/>
  <c r="Q912" i="11"/>
  <c r="R912" i="11"/>
  <c r="P913" i="11"/>
  <c r="Q913" i="11"/>
  <c r="R913" i="11"/>
  <c r="P914" i="11"/>
  <c r="Q914" i="11"/>
  <c r="R914" i="11"/>
  <c r="P915" i="11"/>
  <c r="Q915" i="11"/>
  <c r="R915" i="11"/>
  <c r="P916" i="11"/>
  <c r="Q916" i="11"/>
  <c r="R916" i="11"/>
  <c r="P917" i="11"/>
  <c r="Q917" i="11"/>
  <c r="R917" i="11"/>
  <c r="P918" i="11"/>
  <c r="Q918" i="11"/>
  <c r="R918" i="11"/>
  <c r="P919" i="11"/>
  <c r="Q919" i="11"/>
  <c r="R919" i="11"/>
  <c r="P920" i="11"/>
  <c r="Q920" i="11"/>
  <c r="R920" i="11"/>
  <c r="P921" i="11"/>
  <c r="Q921" i="11"/>
  <c r="R921" i="11"/>
  <c r="P922" i="11"/>
  <c r="Q922" i="11"/>
  <c r="R922" i="11"/>
  <c r="P923" i="11"/>
  <c r="Q923" i="11"/>
  <c r="R923" i="11"/>
  <c r="P924" i="11"/>
  <c r="Q924" i="11"/>
  <c r="R924" i="11"/>
  <c r="P925" i="11"/>
  <c r="Q925" i="11"/>
  <c r="R925" i="11"/>
  <c r="P926" i="11"/>
  <c r="Q926" i="11"/>
  <c r="R926" i="11"/>
  <c r="P927" i="11"/>
  <c r="Q927" i="11"/>
  <c r="R927" i="11"/>
  <c r="P928" i="11"/>
  <c r="Q928" i="11"/>
  <c r="R928" i="11"/>
  <c r="P929" i="11"/>
  <c r="Q929" i="11"/>
  <c r="R929" i="11"/>
  <c r="P930" i="11"/>
  <c r="Q930" i="11"/>
  <c r="R930" i="11"/>
  <c r="P931" i="11"/>
  <c r="Q931" i="11"/>
  <c r="R931" i="11"/>
  <c r="P932" i="11"/>
  <c r="Q932" i="11"/>
  <c r="R932" i="11"/>
  <c r="P933" i="11"/>
  <c r="Q933" i="11"/>
  <c r="R933" i="11"/>
  <c r="P934" i="11"/>
  <c r="Q934" i="11"/>
  <c r="R934" i="11"/>
  <c r="P935" i="11"/>
  <c r="Q935" i="11"/>
  <c r="R935" i="11"/>
  <c r="P936" i="11"/>
  <c r="Q936" i="11"/>
  <c r="R936" i="11"/>
  <c r="P937" i="11"/>
  <c r="Q937" i="11"/>
  <c r="R937" i="11"/>
  <c r="P938" i="11"/>
  <c r="Q938" i="11"/>
  <c r="R938" i="11"/>
  <c r="P939" i="11"/>
  <c r="Q939" i="11"/>
  <c r="R939" i="11"/>
  <c r="P940" i="11"/>
  <c r="Q940" i="11"/>
  <c r="R940" i="11"/>
  <c r="P941" i="11"/>
  <c r="Q941" i="11"/>
  <c r="R941" i="11"/>
  <c r="P942" i="11"/>
  <c r="Q942" i="11"/>
  <c r="R942" i="11"/>
  <c r="P943" i="11"/>
  <c r="Q943" i="11"/>
  <c r="R943" i="11"/>
  <c r="P944" i="11"/>
  <c r="Q944" i="11"/>
  <c r="R944" i="11"/>
  <c r="P945" i="11"/>
  <c r="Q945" i="11"/>
  <c r="R945" i="11"/>
  <c r="P946" i="11"/>
  <c r="Q946" i="11"/>
  <c r="R946" i="11"/>
  <c r="P947" i="11"/>
  <c r="Q947" i="11"/>
  <c r="R947" i="11"/>
  <c r="P948" i="11"/>
  <c r="Q948" i="11"/>
  <c r="R948" i="11"/>
  <c r="P949" i="11"/>
  <c r="Q949" i="11"/>
  <c r="R949" i="11"/>
  <c r="P950" i="11"/>
  <c r="Q950" i="11"/>
  <c r="R950" i="11"/>
  <c r="P951" i="11"/>
  <c r="Q951" i="11"/>
  <c r="R951" i="11"/>
  <c r="P952" i="11"/>
  <c r="Q952" i="11"/>
  <c r="R952" i="11"/>
  <c r="P953" i="11"/>
  <c r="Q953" i="11"/>
  <c r="R953" i="11"/>
  <c r="P954" i="11"/>
  <c r="Q954" i="11"/>
  <c r="R954" i="11"/>
  <c r="P955" i="11"/>
  <c r="Q955" i="11"/>
  <c r="R955" i="11"/>
  <c r="P956" i="11"/>
  <c r="Q956" i="11"/>
  <c r="R956" i="11"/>
  <c r="P957" i="11"/>
  <c r="Q957" i="11"/>
  <c r="R957" i="11"/>
  <c r="P958" i="11"/>
  <c r="Q958" i="11"/>
  <c r="R958" i="11"/>
  <c r="P959" i="11"/>
  <c r="Q959" i="11"/>
  <c r="R959" i="11"/>
  <c r="P960" i="11"/>
  <c r="Q960" i="11"/>
  <c r="R960" i="11"/>
  <c r="P961" i="11"/>
  <c r="Q961" i="11"/>
  <c r="R961" i="11"/>
  <c r="P962" i="11"/>
  <c r="Q962" i="11"/>
  <c r="R962" i="11"/>
  <c r="P963" i="11"/>
  <c r="Q963" i="11"/>
  <c r="R963" i="11"/>
  <c r="P964" i="11"/>
  <c r="Q964" i="11"/>
  <c r="R964" i="11"/>
  <c r="P965" i="11"/>
  <c r="Q965" i="11"/>
  <c r="R965" i="11"/>
  <c r="P966" i="11"/>
  <c r="Q966" i="11"/>
  <c r="R966" i="11"/>
  <c r="P967" i="11"/>
  <c r="Q967" i="11"/>
  <c r="R967" i="11"/>
  <c r="P968" i="11"/>
  <c r="Q968" i="11"/>
  <c r="R968" i="11"/>
  <c r="P969" i="11"/>
  <c r="Q969" i="11"/>
  <c r="R969" i="11"/>
  <c r="P970" i="11"/>
  <c r="Q970" i="11"/>
  <c r="R970" i="11"/>
  <c r="P971" i="11"/>
  <c r="Q971" i="11"/>
  <c r="R971" i="11"/>
  <c r="P972" i="11"/>
  <c r="Q972" i="11"/>
  <c r="R972" i="11"/>
  <c r="P973" i="11"/>
  <c r="Q973" i="11"/>
  <c r="R973" i="11"/>
  <c r="P974" i="11"/>
  <c r="Q974" i="11"/>
  <c r="R974" i="11"/>
  <c r="P975" i="11"/>
  <c r="Q975" i="11"/>
  <c r="R975" i="11"/>
  <c r="P976" i="11"/>
  <c r="Q976" i="11"/>
  <c r="R976" i="11"/>
  <c r="P977" i="11"/>
  <c r="Q977" i="11"/>
  <c r="R977" i="11"/>
  <c r="P978" i="11"/>
  <c r="Q978" i="11"/>
  <c r="R978" i="11"/>
  <c r="P979" i="11"/>
  <c r="Q979" i="11"/>
  <c r="R979" i="11"/>
  <c r="P980" i="11"/>
  <c r="Q980" i="11"/>
  <c r="R980" i="11"/>
  <c r="P981" i="11"/>
  <c r="Q981" i="11"/>
  <c r="R981" i="11"/>
  <c r="P982" i="11"/>
  <c r="Q982" i="11"/>
  <c r="R982" i="11"/>
  <c r="P983" i="11"/>
  <c r="Q983" i="11"/>
  <c r="R983" i="11"/>
  <c r="P984" i="11"/>
  <c r="Q984" i="11"/>
  <c r="R984" i="11"/>
  <c r="P985" i="11"/>
  <c r="Q985" i="11"/>
  <c r="R985" i="11"/>
  <c r="P986" i="11"/>
  <c r="Q986" i="11"/>
  <c r="R986" i="11"/>
  <c r="P987" i="11"/>
  <c r="Q987" i="11"/>
  <c r="R987" i="11"/>
  <c r="P988" i="11"/>
  <c r="Q988" i="11"/>
  <c r="R988" i="11"/>
  <c r="P989" i="11"/>
  <c r="Q989" i="11"/>
  <c r="R989" i="11"/>
  <c r="P990" i="11"/>
  <c r="Q990" i="11"/>
  <c r="R990" i="11"/>
  <c r="P991" i="11"/>
  <c r="Q991" i="11"/>
  <c r="R991" i="11"/>
  <c r="P992" i="11"/>
  <c r="Q992" i="11"/>
  <c r="R992" i="11"/>
  <c r="P993" i="11"/>
  <c r="Q993" i="11"/>
  <c r="R993" i="11"/>
  <c r="P994" i="11"/>
  <c r="Q994" i="11"/>
  <c r="R994" i="11"/>
  <c r="P995" i="11"/>
  <c r="Q995" i="11"/>
  <c r="R995" i="11"/>
  <c r="P996" i="11"/>
  <c r="Q996" i="11"/>
  <c r="R996" i="11"/>
  <c r="P997" i="11"/>
  <c r="Q997" i="11"/>
  <c r="R997" i="11"/>
  <c r="P998" i="11"/>
  <c r="Q998" i="11"/>
  <c r="R998" i="11"/>
  <c r="P999" i="11"/>
  <c r="Q999" i="11"/>
  <c r="R999" i="11"/>
  <c r="P1000" i="11"/>
  <c r="Q1000" i="11"/>
  <c r="R1000" i="11"/>
  <c r="P1001" i="11"/>
  <c r="Q1001" i="11"/>
  <c r="R1001" i="11"/>
  <c r="P1002" i="11"/>
  <c r="Q1002" i="11"/>
  <c r="R1002" i="11"/>
  <c r="P1003" i="11"/>
  <c r="Q1003" i="11"/>
  <c r="R1003" i="11"/>
  <c r="P1004" i="11"/>
  <c r="Q1004" i="11"/>
  <c r="R1004" i="11"/>
  <c r="P1005" i="11"/>
  <c r="Q1005" i="11"/>
  <c r="R1005" i="11"/>
  <c r="P1006" i="11"/>
  <c r="Q1006" i="11"/>
  <c r="R1006" i="11"/>
  <c r="P1007" i="11"/>
  <c r="Q1007" i="11"/>
  <c r="R1007" i="11"/>
  <c r="P1008" i="11"/>
  <c r="Q1008" i="11"/>
  <c r="R1008" i="11"/>
  <c r="P1009" i="11"/>
  <c r="Q1009" i="11"/>
  <c r="R1009" i="11"/>
  <c r="P1010" i="11"/>
  <c r="Q1010" i="11"/>
  <c r="R1010" i="11"/>
  <c r="P1011" i="11"/>
  <c r="Q1011" i="11"/>
  <c r="R1011" i="11"/>
  <c r="P1012" i="11"/>
  <c r="Q1012" i="11"/>
  <c r="R1012" i="11"/>
  <c r="P1013" i="11"/>
  <c r="Q1013" i="11"/>
  <c r="R1013" i="11"/>
  <c r="P1014" i="11"/>
  <c r="Q1014" i="11"/>
  <c r="R1014" i="11"/>
  <c r="P1015" i="11"/>
  <c r="Q1015" i="11"/>
  <c r="R1015" i="11"/>
  <c r="P1016" i="11"/>
  <c r="Q1016" i="11"/>
  <c r="R1016" i="11"/>
  <c r="P1017" i="11"/>
  <c r="Q1017" i="11"/>
  <c r="R1017" i="11"/>
  <c r="P1018" i="11"/>
  <c r="Q1018" i="11"/>
  <c r="R1018" i="11"/>
  <c r="P1019" i="11"/>
  <c r="Q1019" i="11"/>
  <c r="R1019" i="11"/>
  <c r="P1020" i="11"/>
  <c r="Q1020" i="11"/>
  <c r="R1020" i="11"/>
  <c r="P1021" i="11"/>
  <c r="Q1021" i="11"/>
  <c r="R1021" i="11"/>
  <c r="P1022" i="11"/>
  <c r="Q1022" i="11"/>
  <c r="R1022" i="11"/>
  <c r="P1023" i="11"/>
  <c r="Q1023" i="11"/>
  <c r="R1023" i="11"/>
  <c r="P1024" i="11"/>
  <c r="Q1024" i="11"/>
  <c r="R1024" i="11"/>
  <c r="P1025" i="11"/>
  <c r="Q1025" i="11"/>
  <c r="R1025" i="11"/>
  <c r="P1026" i="11"/>
  <c r="Q1026" i="11"/>
  <c r="R1026" i="11"/>
  <c r="P1027" i="11"/>
  <c r="Q1027" i="11"/>
  <c r="R1027" i="11"/>
  <c r="P1028" i="11"/>
  <c r="Q1028" i="11"/>
  <c r="R1028" i="11"/>
  <c r="P1029" i="11"/>
  <c r="Q1029" i="11"/>
  <c r="R1029" i="11"/>
  <c r="P1030" i="11"/>
  <c r="Q1030" i="11"/>
  <c r="R1030" i="11"/>
  <c r="P1031" i="11"/>
  <c r="Q1031" i="11"/>
  <c r="R1031" i="11"/>
  <c r="P1032" i="11"/>
  <c r="Q1032" i="11"/>
  <c r="R1032" i="11"/>
  <c r="P1033" i="11"/>
  <c r="Q1033" i="11"/>
  <c r="R1033" i="11"/>
  <c r="P1034" i="11"/>
  <c r="Q1034" i="11"/>
  <c r="R1034" i="11"/>
  <c r="P1035" i="11"/>
  <c r="Q1035" i="11"/>
  <c r="R1035" i="11"/>
  <c r="P1036" i="11"/>
  <c r="Q1036" i="11"/>
  <c r="R1036" i="11"/>
  <c r="P1037" i="11"/>
  <c r="Q1037" i="11"/>
  <c r="R1037" i="11"/>
  <c r="P1038" i="11"/>
  <c r="Q1038" i="11"/>
  <c r="R1038" i="11"/>
  <c r="P1039" i="11"/>
  <c r="Q1039" i="11"/>
  <c r="R1039" i="11"/>
  <c r="P1040" i="11"/>
  <c r="Q1040" i="11"/>
  <c r="R1040" i="11"/>
  <c r="P1041" i="11"/>
  <c r="Q1041" i="11"/>
  <c r="R1041" i="11"/>
  <c r="P1042" i="11"/>
  <c r="Q1042" i="11"/>
  <c r="R1042" i="11"/>
  <c r="P1043" i="11"/>
  <c r="Q1043" i="11"/>
  <c r="R1043" i="11"/>
  <c r="P1044" i="11"/>
  <c r="Q1044" i="11"/>
  <c r="R1044" i="11"/>
  <c r="P1045" i="11"/>
  <c r="Q1045" i="11"/>
  <c r="R1045" i="11"/>
  <c r="P1046" i="11"/>
  <c r="Q1046" i="11"/>
  <c r="R1046" i="11"/>
  <c r="P1047" i="11"/>
  <c r="Q1047" i="11"/>
  <c r="R1047" i="11"/>
  <c r="P1048" i="11"/>
  <c r="Q1048" i="11"/>
  <c r="R1048" i="11"/>
  <c r="P1049" i="11"/>
  <c r="Q1049" i="11"/>
  <c r="R1049" i="11"/>
  <c r="P1050" i="11"/>
  <c r="Q1050" i="11"/>
  <c r="R1050" i="11"/>
  <c r="P1051" i="11"/>
  <c r="Q1051" i="11"/>
  <c r="R1051" i="11"/>
  <c r="P1052" i="11"/>
  <c r="Q1052" i="11"/>
  <c r="R1052" i="11"/>
  <c r="P1053" i="11"/>
  <c r="Q1053" i="11"/>
  <c r="R1053" i="11"/>
  <c r="P1054" i="11"/>
  <c r="Q1054" i="11"/>
  <c r="R1054" i="11"/>
  <c r="P1055" i="11"/>
  <c r="Q1055" i="11"/>
  <c r="R1055" i="11"/>
  <c r="P1056" i="11"/>
  <c r="Q1056" i="11"/>
  <c r="R1056" i="11"/>
  <c r="P1057" i="11"/>
  <c r="Q1057" i="11"/>
  <c r="R1057" i="11"/>
  <c r="P1058" i="11"/>
  <c r="Q1058" i="11"/>
  <c r="R1058" i="11"/>
  <c r="P1059" i="11"/>
  <c r="Q1059" i="11"/>
  <c r="R1059" i="11"/>
  <c r="P1060" i="11"/>
  <c r="Q1060" i="11"/>
  <c r="R1060" i="11"/>
  <c r="P1061" i="11"/>
  <c r="Q1061" i="11"/>
  <c r="R1061" i="11"/>
  <c r="P1062" i="11"/>
  <c r="Q1062" i="11"/>
  <c r="R1062" i="11"/>
  <c r="P1063" i="11"/>
  <c r="Q1063" i="11"/>
  <c r="R1063" i="11"/>
  <c r="P1064" i="11"/>
  <c r="Q1064" i="11"/>
  <c r="R1064" i="11"/>
  <c r="P1065" i="11"/>
  <c r="Q1065" i="11"/>
  <c r="R1065" i="11"/>
  <c r="P1066" i="11"/>
  <c r="Q1066" i="11"/>
  <c r="R1066" i="11"/>
  <c r="P1067" i="11"/>
  <c r="Q1067" i="11"/>
  <c r="R1067" i="11"/>
  <c r="P1068" i="11"/>
  <c r="Q1068" i="11"/>
  <c r="R1068" i="11"/>
  <c r="P1069" i="11"/>
  <c r="Q1069" i="11"/>
  <c r="R1069" i="11"/>
  <c r="P1070" i="11"/>
  <c r="Q1070" i="11"/>
  <c r="R1070" i="11"/>
  <c r="P1071" i="11"/>
  <c r="Q1071" i="11"/>
  <c r="R1071" i="11"/>
  <c r="P1072" i="11"/>
  <c r="Q1072" i="11"/>
  <c r="R1072" i="11"/>
  <c r="P1073" i="11"/>
  <c r="Q1073" i="11"/>
  <c r="R1073" i="11"/>
  <c r="P1074" i="11"/>
  <c r="Q1074" i="11"/>
  <c r="R1074" i="11"/>
  <c r="P1075" i="11"/>
  <c r="Q1075" i="11"/>
  <c r="R1075" i="11"/>
  <c r="P1076" i="11"/>
  <c r="Q1076" i="11"/>
  <c r="R1076" i="11"/>
  <c r="P1077" i="11"/>
  <c r="Q1077" i="11"/>
  <c r="R1077" i="11"/>
  <c r="P1078" i="11"/>
  <c r="Q1078" i="11"/>
  <c r="R1078" i="11"/>
  <c r="P1079" i="11"/>
  <c r="Q1079" i="11"/>
  <c r="R1079" i="11"/>
  <c r="P1080" i="11"/>
  <c r="Q1080" i="11"/>
  <c r="R1080" i="11"/>
  <c r="P1081" i="11"/>
  <c r="Q1081" i="11"/>
  <c r="R1081" i="11"/>
  <c r="P1082" i="11"/>
  <c r="Q1082" i="11"/>
  <c r="R1082" i="11"/>
  <c r="P1083" i="11"/>
  <c r="Q1083" i="11"/>
  <c r="R1083" i="11"/>
  <c r="P1084" i="11"/>
  <c r="Q1084" i="11"/>
  <c r="R1084" i="11"/>
  <c r="P1085" i="11"/>
  <c r="Q1085" i="11"/>
  <c r="R1085" i="11"/>
  <c r="P1086" i="11"/>
  <c r="Q1086" i="11"/>
  <c r="R1086" i="11"/>
  <c r="P1087" i="11"/>
  <c r="Q1087" i="11"/>
  <c r="R1087" i="11"/>
  <c r="P1088" i="11"/>
  <c r="Q1088" i="11"/>
  <c r="R1088" i="11"/>
  <c r="P1089" i="11"/>
  <c r="Q1089" i="11"/>
  <c r="R1089" i="11"/>
  <c r="P1090" i="11"/>
  <c r="Q1090" i="11"/>
  <c r="R1090" i="11"/>
  <c r="P1091" i="11"/>
  <c r="Q1091" i="11"/>
  <c r="R1091" i="11"/>
  <c r="P1092" i="11"/>
  <c r="Q1092" i="11"/>
  <c r="R1092" i="11"/>
  <c r="P1093" i="11"/>
  <c r="Q1093" i="11"/>
  <c r="R1093" i="11"/>
  <c r="P1094" i="11"/>
  <c r="Q1094" i="11"/>
  <c r="R1094" i="11"/>
  <c r="P1095" i="11"/>
  <c r="Q1095" i="11"/>
  <c r="R1095" i="11"/>
  <c r="P1096" i="11"/>
  <c r="Q1096" i="11"/>
  <c r="R1096" i="11"/>
  <c r="P1097" i="11"/>
  <c r="Q1097" i="11"/>
  <c r="R1097" i="11"/>
  <c r="P1098" i="11"/>
  <c r="Q1098" i="11"/>
  <c r="R1098" i="11"/>
  <c r="P1099" i="11"/>
  <c r="Q1099" i="11"/>
  <c r="R1099" i="11"/>
  <c r="P1100" i="11"/>
  <c r="Q1100" i="11"/>
  <c r="R1100" i="11"/>
  <c r="P1101" i="11"/>
  <c r="Q1101" i="11"/>
  <c r="R1101" i="11"/>
  <c r="P1102" i="11"/>
  <c r="Q1102" i="11"/>
  <c r="R1102" i="11"/>
  <c r="P1103" i="11"/>
  <c r="Q1103" i="11"/>
  <c r="R1103" i="11"/>
  <c r="P1104" i="11"/>
  <c r="Q1104" i="11"/>
  <c r="R1104" i="11"/>
  <c r="P1105" i="11"/>
  <c r="Q1105" i="11"/>
  <c r="R1105" i="11"/>
  <c r="P1106" i="11"/>
  <c r="Q1106" i="11"/>
  <c r="R1106" i="11"/>
  <c r="P1107" i="11"/>
  <c r="Q1107" i="11"/>
  <c r="R1107" i="11"/>
  <c r="P1108" i="11"/>
  <c r="Q1108" i="11"/>
  <c r="R1108" i="11"/>
  <c r="P1109" i="11"/>
  <c r="Q1109" i="11"/>
  <c r="R1109" i="11"/>
  <c r="P1110" i="11"/>
  <c r="Q1110" i="11"/>
  <c r="R1110" i="11"/>
  <c r="P1111" i="11"/>
  <c r="Q1111" i="11"/>
  <c r="R1111" i="11"/>
  <c r="P1112" i="11"/>
  <c r="Q1112" i="11"/>
  <c r="R1112" i="11"/>
  <c r="P1113" i="11"/>
  <c r="Q1113" i="11"/>
  <c r="R1113" i="11"/>
  <c r="P1114" i="11"/>
  <c r="Q1114" i="11"/>
  <c r="R1114" i="11"/>
  <c r="P1115" i="11"/>
  <c r="Q1115" i="11"/>
  <c r="R1115" i="11"/>
  <c r="P1116" i="11"/>
  <c r="Q1116" i="11"/>
  <c r="R1116" i="11"/>
  <c r="P1117" i="11"/>
  <c r="Q1117" i="11"/>
  <c r="R1117" i="11"/>
  <c r="P1118" i="11"/>
  <c r="Q1118" i="11"/>
  <c r="R1118" i="11"/>
  <c r="P1119" i="11"/>
  <c r="Q1119" i="11"/>
  <c r="R1119" i="11"/>
  <c r="P1120" i="11"/>
  <c r="Q1120" i="11"/>
  <c r="R1120" i="11"/>
  <c r="P1121" i="11"/>
  <c r="Q1121" i="11"/>
  <c r="R1121" i="11"/>
  <c r="P1122" i="11"/>
  <c r="Q1122" i="11"/>
  <c r="R1122" i="11"/>
  <c r="P1123" i="11"/>
  <c r="Q1123" i="11"/>
  <c r="R1123" i="11"/>
  <c r="P1124" i="11"/>
  <c r="Q1124" i="11"/>
  <c r="R1124" i="11"/>
  <c r="P1125" i="11"/>
  <c r="Q1125" i="11"/>
  <c r="R1125" i="11"/>
  <c r="P1126" i="11"/>
  <c r="Q1126" i="11"/>
  <c r="R1126" i="11"/>
  <c r="P1127" i="11"/>
  <c r="Q1127" i="11"/>
  <c r="R1127" i="11"/>
  <c r="P1128" i="11"/>
  <c r="Q1128" i="11"/>
  <c r="R1128" i="11"/>
  <c r="P1129" i="11"/>
  <c r="Q1129" i="11"/>
  <c r="R1129" i="11"/>
  <c r="P1130" i="11"/>
  <c r="Q1130" i="11"/>
  <c r="R1130" i="11"/>
  <c r="P1131" i="11"/>
  <c r="Q1131" i="11"/>
  <c r="R1131" i="11"/>
  <c r="P1132" i="11"/>
  <c r="Q1132" i="11"/>
  <c r="R1132" i="11"/>
  <c r="P1133" i="11"/>
  <c r="Q1133" i="11"/>
  <c r="R1133" i="11"/>
  <c r="P1134" i="11"/>
  <c r="Q1134" i="11"/>
  <c r="R1134" i="11"/>
  <c r="P1135" i="11"/>
  <c r="Q1135" i="11"/>
  <c r="R1135" i="11"/>
  <c r="P1136" i="11"/>
  <c r="Q1136" i="11"/>
  <c r="R1136" i="11"/>
  <c r="P1137" i="11"/>
  <c r="Q1137" i="11"/>
  <c r="R1137" i="11"/>
  <c r="P1138" i="11"/>
  <c r="Q1138" i="11"/>
  <c r="R1138" i="11"/>
  <c r="P1139" i="11"/>
  <c r="Q1139" i="11"/>
  <c r="R1139" i="11"/>
  <c r="P1140" i="11"/>
  <c r="Q1140" i="11"/>
  <c r="R1140" i="11"/>
  <c r="P1141" i="11"/>
  <c r="Q1141" i="11"/>
  <c r="R1141" i="11"/>
  <c r="P1142" i="11"/>
  <c r="Q1142" i="11"/>
  <c r="R1142" i="11"/>
  <c r="P1143" i="11"/>
  <c r="Q1143" i="11"/>
  <c r="R1143" i="11"/>
  <c r="P1144" i="11"/>
  <c r="Q1144" i="11"/>
  <c r="R1144" i="11"/>
  <c r="P1145" i="11"/>
  <c r="Q1145" i="11"/>
  <c r="R1145" i="11"/>
  <c r="P1146" i="11"/>
  <c r="Q1146" i="11"/>
  <c r="R1146" i="11"/>
  <c r="P1147" i="11"/>
  <c r="Q1147" i="11"/>
  <c r="R1147" i="11"/>
  <c r="P1148" i="11"/>
  <c r="Q1148" i="11"/>
  <c r="R1148" i="11"/>
  <c r="P1149" i="11"/>
  <c r="Q1149" i="11"/>
  <c r="R1149" i="11"/>
  <c r="P1150" i="11"/>
  <c r="Q1150" i="11"/>
  <c r="R1150" i="11"/>
  <c r="P1151" i="11"/>
  <c r="Q1151" i="11"/>
  <c r="R1151" i="11"/>
  <c r="P1152" i="11"/>
  <c r="Q1152" i="11"/>
  <c r="R1152" i="11"/>
  <c r="P1153" i="11"/>
  <c r="Q1153" i="11"/>
  <c r="R1153" i="11"/>
  <c r="P1154" i="11"/>
  <c r="Q1154" i="11"/>
  <c r="R1154" i="11"/>
  <c r="P1155" i="11"/>
  <c r="Q1155" i="11"/>
  <c r="R1155" i="11"/>
  <c r="P1156" i="11"/>
  <c r="Q1156" i="11"/>
  <c r="R1156" i="11"/>
  <c r="P1157" i="11"/>
  <c r="Q1157" i="11"/>
  <c r="R1157" i="11"/>
  <c r="P1158" i="11"/>
  <c r="Q1158" i="11"/>
  <c r="R1158" i="11"/>
  <c r="P1159" i="11"/>
  <c r="Q1159" i="11"/>
  <c r="R1159" i="11"/>
  <c r="P1160" i="11"/>
  <c r="Q1160" i="11"/>
  <c r="R1160" i="11"/>
  <c r="P1161" i="11"/>
  <c r="Q1161" i="11"/>
  <c r="R1161" i="11"/>
  <c r="P1162" i="11"/>
  <c r="Q1162" i="11"/>
  <c r="R1162" i="11"/>
  <c r="P1163" i="11"/>
  <c r="Q1163" i="11"/>
  <c r="R1163" i="11"/>
  <c r="P1164" i="11"/>
  <c r="Q1164" i="11"/>
  <c r="R1164" i="11"/>
  <c r="P1165" i="11"/>
  <c r="Q1165" i="11"/>
  <c r="R1165" i="11"/>
  <c r="P1166" i="11"/>
  <c r="Q1166" i="11"/>
  <c r="R1166" i="11"/>
  <c r="P1167" i="11"/>
  <c r="Q1167" i="11"/>
  <c r="R1167" i="11"/>
  <c r="P1168" i="11"/>
  <c r="Q1168" i="11"/>
  <c r="R1168" i="11"/>
  <c r="P1169" i="11"/>
  <c r="Q1169" i="11"/>
  <c r="R1169" i="11"/>
  <c r="P1170" i="11"/>
  <c r="Q1170" i="11"/>
  <c r="R1170" i="11"/>
  <c r="P1171" i="11"/>
  <c r="Q1171" i="11"/>
  <c r="R1171" i="11"/>
  <c r="P1172" i="11"/>
  <c r="Q1172" i="11"/>
  <c r="R1172" i="11"/>
  <c r="P1173" i="11"/>
  <c r="Q1173" i="11"/>
  <c r="R1173" i="11"/>
  <c r="P1174" i="11"/>
  <c r="Q1174" i="11"/>
  <c r="R1174" i="11"/>
  <c r="P1175" i="11"/>
  <c r="Q1175" i="11"/>
  <c r="R1175" i="11"/>
  <c r="P1176" i="11"/>
  <c r="Q1176" i="11"/>
  <c r="R1176" i="11"/>
  <c r="P1177" i="11"/>
  <c r="Q1177" i="11"/>
  <c r="R1177" i="11"/>
  <c r="P1178" i="11"/>
  <c r="Q1178" i="11"/>
  <c r="R1178" i="11"/>
  <c r="P1179" i="11"/>
  <c r="Q1179" i="11"/>
  <c r="R1179" i="11"/>
  <c r="P1180" i="11"/>
  <c r="Q1180" i="11"/>
  <c r="R1180" i="11"/>
  <c r="P1181" i="11"/>
  <c r="Q1181" i="11"/>
  <c r="R1181" i="11"/>
  <c r="P1182" i="11"/>
  <c r="Q1182" i="11"/>
  <c r="R1182" i="11"/>
  <c r="P1183" i="11"/>
  <c r="Q1183" i="11"/>
  <c r="R1183" i="11"/>
  <c r="P1184" i="11"/>
  <c r="Q1184" i="11"/>
  <c r="R1184" i="11"/>
  <c r="P1185" i="11"/>
  <c r="Q1185" i="11"/>
  <c r="R1185" i="11"/>
  <c r="P1186" i="11"/>
  <c r="Q1186" i="11"/>
  <c r="R1186" i="11"/>
  <c r="P1187" i="11"/>
  <c r="Q1187" i="11"/>
  <c r="R1187" i="11"/>
  <c r="P1188" i="11"/>
  <c r="Q1188" i="11"/>
  <c r="R1188" i="11"/>
  <c r="P1189" i="11"/>
  <c r="Q1189" i="11"/>
  <c r="R1189" i="11"/>
  <c r="P1190" i="11"/>
  <c r="Q1190" i="11"/>
  <c r="R1190" i="11"/>
  <c r="P1191" i="11"/>
  <c r="Q1191" i="11"/>
  <c r="R1191" i="11"/>
  <c r="P1192" i="11"/>
  <c r="Q1192" i="11"/>
  <c r="R1192" i="11"/>
  <c r="P1193" i="11"/>
  <c r="Q1193" i="11"/>
  <c r="R1193" i="11"/>
  <c r="P1194" i="11"/>
  <c r="Q1194" i="11"/>
  <c r="R1194" i="11"/>
  <c r="P1195" i="11"/>
  <c r="Q1195" i="11"/>
  <c r="R1195" i="11"/>
  <c r="P1196" i="11"/>
  <c r="Q1196" i="11"/>
  <c r="R1196" i="11"/>
  <c r="P1197" i="11"/>
  <c r="Q1197" i="11"/>
  <c r="R1197" i="11"/>
  <c r="P1198" i="11"/>
  <c r="Q1198" i="11"/>
  <c r="R1198" i="11"/>
  <c r="P1199" i="11"/>
  <c r="Q1199" i="11"/>
  <c r="R1199" i="11"/>
  <c r="P1200" i="11"/>
  <c r="Q1200" i="11"/>
  <c r="R1200" i="11"/>
  <c r="P1201" i="11"/>
  <c r="Q1201" i="11"/>
  <c r="R1201" i="11"/>
  <c r="P1202" i="11"/>
  <c r="Q1202" i="11"/>
  <c r="R1202" i="11"/>
  <c r="P1203" i="11"/>
  <c r="Q1203" i="11"/>
  <c r="R1203" i="11"/>
  <c r="P1204" i="11"/>
  <c r="Q1204" i="11"/>
  <c r="R1204" i="11"/>
  <c r="P1205" i="11"/>
  <c r="Q1205" i="11"/>
  <c r="R1205" i="11"/>
  <c r="P1206" i="11"/>
  <c r="Q1206" i="11"/>
  <c r="R1206" i="11"/>
  <c r="P1207" i="11"/>
  <c r="Q1207" i="11"/>
  <c r="R1207" i="11"/>
  <c r="P1208" i="11"/>
  <c r="Q1208" i="11"/>
  <c r="R1208" i="11"/>
  <c r="P1209" i="11"/>
  <c r="Q1209" i="11"/>
  <c r="R1209" i="11"/>
  <c r="P1210" i="11"/>
  <c r="Q1210" i="11"/>
  <c r="R1210" i="11"/>
  <c r="P1211" i="11"/>
  <c r="Q1211" i="11"/>
  <c r="R1211" i="11"/>
  <c r="P1212" i="11"/>
  <c r="Q1212" i="11"/>
  <c r="R1212" i="11"/>
  <c r="P1213" i="11"/>
  <c r="Q1213" i="11"/>
  <c r="R1213" i="11"/>
  <c r="P1214" i="11"/>
  <c r="Q1214" i="11"/>
  <c r="R1214" i="11"/>
  <c r="P1215" i="11"/>
  <c r="Q1215" i="11"/>
  <c r="R1215" i="11"/>
  <c r="P1216" i="11"/>
  <c r="Q1216" i="11"/>
  <c r="R1216" i="11"/>
  <c r="P1217" i="11"/>
  <c r="Q1217" i="11"/>
  <c r="R1217" i="11"/>
  <c r="P1218" i="11"/>
  <c r="Q1218" i="11"/>
  <c r="R1218" i="11"/>
  <c r="P1219" i="11"/>
  <c r="Q1219" i="11"/>
  <c r="R1219" i="11"/>
  <c r="P1220" i="11"/>
  <c r="Q1220" i="11"/>
  <c r="R1220" i="11"/>
  <c r="P1221" i="11"/>
  <c r="Q1221" i="11"/>
  <c r="R1221" i="11"/>
  <c r="P1222" i="11"/>
  <c r="Q1222" i="11"/>
  <c r="R1222" i="11"/>
  <c r="P1223" i="11"/>
  <c r="Q1223" i="11"/>
  <c r="R1223" i="11"/>
  <c r="P1224" i="11"/>
  <c r="Q1224" i="11"/>
  <c r="R1224" i="11"/>
  <c r="P1225" i="11"/>
  <c r="Q1225" i="11"/>
  <c r="R1225" i="11"/>
  <c r="P1226" i="11"/>
  <c r="Q1226" i="11"/>
  <c r="R1226" i="11"/>
  <c r="P1227" i="11"/>
  <c r="Q1227" i="11"/>
  <c r="R1227" i="11"/>
  <c r="P1228" i="11"/>
  <c r="Q1228" i="11"/>
  <c r="R1228" i="11"/>
  <c r="P1229" i="11"/>
  <c r="Q1229" i="11"/>
  <c r="R1229" i="11"/>
  <c r="P1230" i="11"/>
  <c r="Q1230" i="11"/>
  <c r="R1230" i="11"/>
  <c r="P1231" i="11"/>
  <c r="Q1231" i="11"/>
  <c r="R1231" i="11"/>
  <c r="P1232" i="11"/>
  <c r="Q1232" i="11"/>
  <c r="R1232" i="11"/>
  <c r="P1233" i="11"/>
  <c r="Q1233" i="11"/>
  <c r="R1233" i="11"/>
  <c r="P1234" i="11"/>
  <c r="Q1234" i="11"/>
  <c r="R1234" i="11"/>
  <c r="P1235" i="11"/>
  <c r="Q1235" i="11"/>
  <c r="R1235" i="11"/>
  <c r="P1236" i="11"/>
  <c r="Q1236" i="11"/>
  <c r="R1236" i="11"/>
  <c r="P1237" i="11"/>
  <c r="Q1237" i="11"/>
  <c r="R1237" i="11"/>
  <c r="P1238" i="11"/>
  <c r="Q1238" i="11"/>
  <c r="R1238" i="11"/>
  <c r="P1239" i="11"/>
  <c r="Q1239" i="11"/>
  <c r="R1239" i="11"/>
  <c r="P1240" i="11"/>
  <c r="Q1240" i="11"/>
  <c r="R1240" i="11"/>
  <c r="P1241" i="11"/>
  <c r="Q1241" i="11"/>
  <c r="R1241" i="11"/>
  <c r="P1242" i="11"/>
  <c r="Q1242" i="11"/>
  <c r="R1242" i="11"/>
  <c r="P1243" i="11"/>
  <c r="Q1243" i="11"/>
  <c r="R1243" i="11"/>
  <c r="P1244" i="11"/>
  <c r="Q1244" i="11"/>
  <c r="R1244" i="11"/>
  <c r="P1245" i="11"/>
  <c r="Q1245" i="11"/>
  <c r="R1245" i="11"/>
  <c r="P1246" i="11"/>
  <c r="Q1246" i="11"/>
  <c r="R1246" i="11"/>
  <c r="P1247" i="11"/>
  <c r="Q1247" i="11"/>
  <c r="R1247" i="11"/>
  <c r="P1248" i="11"/>
  <c r="Q1248" i="11"/>
  <c r="R1248" i="11"/>
  <c r="P1249" i="11"/>
  <c r="Q1249" i="11"/>
  <c r="R1249" i="11"/>
  <c r="P1250" i="11"/>
  <c r="Q1250" i="11"/>
  <c r="R1250" i="11"/>
  <c r="P1251" i="11"/>
  <c r="Q1251" i="11"/>
  <c r="R1251" i="11"/>
  <c r="P1252" i="11"/>
  <c r="Q1252" i="11"/>
  <c r="R1252" i="11"/>
  <c r="P1253" i="11"/>
  <c r="Q1253" i="11"/>
  <c r="R1253" i="11"/>
  <c r="P1254" i="11"/>
  <c r="Q1254" i="11"/>
  <c r="R1254" i="11"/>
  <c r="P1255" i="11"/>
  <c r="Q1255" i="11"/>
  <c r="R1255" i="11"/>
  <c r="P1256" i="11"/>
  <c r="Q1256" i="11"/>
  <c r="R1256" i="11"/>
  <c r="P1257" i="11"/>
  <c r="Q1257" i="11"/>
  <c r="R1257" i="11"/>
  <c r="P1258" i="11"/>
  <c r="Q1258" i="11"/>
  <c r="R1258" i="11"/>
  <c r="P1259" i="11"/>
  <c r="Q1259" i="11"/>
  <c r="R1259" i="11"/>
  <c r="P1260" i="11"/>
  <c r="Q1260" i="11"/>
  <c r="R1260" i="11"/>
  <c r="P1261" i="11"/>
  <c r="Q1261" i="11"/>
  <c r="R1261" i="11"/>
  <c r="P1262" i="11"/>
  <c r="Q1262" i="11"/>
  <c r="R1262" i="11"/>
  <c r="P1263" i="11"/>
  <c r="Q1263" i="11"/>
  <c r="R1263" i="11"/>
  <c r="P1264" i="11"/>
  <c r="Q1264" i="11"/>
  <c r="R1264" i="11"/>
  <c r="P1265" i="11"/>
  <c r="Q1265" i="11"/>
  <c r="R1265" i="11"/>
  <c r="P1266" i="11"/>
  <c r="Q1266" i="11"/>
  <c r="R1266" i="11"/>
  <c r="P1267" i="11"/>
  <c r="Q1267" i="11"/>
  <c r="R1267" i="11"/>
  <c r="P1268" i="11"/>
  <c r="Q1268" i="11"/>
  <c r="R1268" i="11"/>
  <c r="P1269" i="11"/>
  <c r="Q1269" i="11"/>
  <c r="R1269" i="11"/>
  <c r="P1270" i="11"/>
  <c r="Q1270" i="11"/>
  <c r="R1270" i="11"/>
  <c r="P1271" i="11"/>
  <c r="Q1271" i="11"/>
  <c r="R1271" i="11"/>
  <c r="P1272" i="11"/>
  <c r="Q1272" i="11"/>
  <c r="R1272" i="11"/>
  <c r="P1273" i="11"/>
  <c r="Q1273" i="11"/>
  <c r="R1273" i="11"/>
  <c r="P1274" i="11"/>
  <c r="Q1274" i="11"/>
  <c r="R1274" i="11"/>
  <c r="P1275" i="11"/>
  <c r="Q1275" i="11"/>
  <c r="R1275" i="11"/>
  <c r="P1276" i="11"/>
  <c r="Q1276" i="11"/>
  <c r="R1276" i="11"/>
  <c r="P1277" i="11"/>
  <c r="Q1277" i="11"/>
  <c r="R1277" i="11"/>
  <c r="P1278" i="11"/>
  <c r="Q1278" i="11"/>
  <c r="R1278" i="11"/>
  <c r="P1279" i="11"/>
  <c r="Q1279" i="11"/>
  <c r="R1279" i="11"/>
  <c r="P1280" i="11"/>
  <c r="Q1280" i="11"/>
  <c r="R1280" i="11"/>
  <c r="P1281" i="11"/>
  <c r="Q1281" i="11"/>
  <c r="R1281" i="11"/>
  <c r="P1282" i="11"/>
  <c r="Q1282" i="11"/>
  <c r="R1282" i="11"/>
  <c r="P1283" i="11"/>
  <c r="Q1283" i="11"/>
  <c r="R1283" i="11"/>
  <c r="P1284" i="11"/>
  <c r="Q1284" i="11"/>
  <c r="R1284" i="11"/>
  <c r="P1285" i="11"/>
  <c r="Q1285" i="11"/>
  <c r="R1285" i="11"/>
  <c r="P1286" i="11"/>
  <c r="Q1286" i="11"/>
  <c r="R1286" i="11"/>
  <c r="P1287" i="11"/>
  <c r="Q1287" i="11"/>
  <c r="R1287" i="11"/>
  <c r="P1288" i="11"/>
  <c r="Q1288" i="11"/>
  <c r="R1288" i="11"/>
  <c r="P1289" i="11"/>
  <c r="Q1289" i="11"/>
  <c r="R1289" i="11"/>
  <c r="P1290" i="11"/>
  <c r="Q1290" i="11"/>
  <c r="R1290" i="11"/>
  <c r="P1291" i="11"/>
  <c r="Q1291" i="11"/>
  <c r="R1291" i="11"/>
  <c r="P1292" i="11"/>
  <c r="Q1292" i="11"/>
  <c r="R1292" i="11"/>
  <c r="P1293" i="11"/>
  <c r="Q1293" i="11"/>
  <c r="R1293" i="11"/>
  <c r="P1294" i="11"/>
  <c r="Q1294" i="11"/>
  <c r="R1294" i="11"/>
  <c r="P1295" i="11"/>
  <c r="Q1295" i="11"/>
  <c r="R1295" i="11"/>
  <c r="P1296" i="11"/>
  <c r="Q1296" i="11"/>
  <c r="R1296" i="11"/>
  <c r="P1297" i="11"/>
  <c r="Q1297" i="11"/>
  <c r="R1297" i="11"/>
  <c r="P1298" i="11"/>
  <c r="Q1298" i="11"/>
  <c r="R1298" i="11"/>
  <c r="P1299" i="11"/>
  <c r="Q1299" i="11"/>
  <c r="R1299" i="11"/>
  <c r="P1300" i="11"/>
  <c r="Q1300" i="11"/>
  <c r="R1300" i="11"/>
  <c r="P1301" i="11"/>
  <c r="Q1301" i="11"/>
  <c r="R1301" i="11"/>
  <c r="P1302" i="11"/>
  <c r="Q1302" i="11"/>
  <c r="R1302" i="11"/>
  <c r="P1303" i="11"/>
  <c r="Q1303" i="11"/>
  <c r="R1303" i="11"/>
  <c r="P1304" i="11"/>
  <c r="Q1304" i="11"/>
  <c r="R1304" i="11"/>
  <c r="P1305" i="11"/>
  <c r="Q1305" i="11"/>
  <c r="R1305" i="11"/>
  <c r="P1306" i="11"/>
  <c r="Q1306" i="11"/>
  <c r="R1306" i="11"/>
  <c r="P1307" i="11"/>
  <c r="Q1307" i="11"/>
  <c r="R1307" i="11"/>
  <c r="P1308" i="11"/>
  <c r="Q1308" i="11"/>
  <c r="R1308" i="11"/>
  <c r="P1309" i="11"/>
  <c r="Q1309" i="11"/>
  <c r="R1309" i="11"/>
  <c r="P1310" i="11"/>
  <c r="Q1310" i="11"/>
  <c r="R1310" i="11"/>
  <c r="P1311" i="11"/>
  <c r="Q1311" i="11"/>
  <c r="R1311" i="11"/>
  <c r="P1312" i="11"/>
  <c r="Q1312" i="11"/>
  <c r="R1312" i="11"/>
  <c r="P1313" i="11"/>
  <c r="Q1313" i="11"/>
  <c r="R1313" i="11"/>
  <c r="P1314" i="11"/>
  <c r="Q1314" i="11"/>
  <c r="R1314" i="11"/>
  <c r="P1315" i="11"/>
  <c r="Q1315" i="11"/>
  <c r="R1315" i="11"/>
  <c r="P1316" i="11"/>
  <c r="Q1316" i="11"/>
  <c r="R1316" i="11"/>
  <c r="P1317" i="11"/>
  <c r="Q1317" i="11"/>
  <c r="R1317" i="11"/>
  <c r="P1318" i="11"/>
  <c r="Q1318" i="11"/>
  <c r="R1318" i="11"/>
  <c r="P1319" i="11"/>
  <c r="Q1319" i="11"/>
  <c r="R1319" i="11"/>
  <c r="P1320" i="11"/>
  <c r="Q1320" i="11"/>
  <c r="R1320" i="11"/>
  <c r="P1321" i="11"/>
  <c r="Q1321" i="11"/>
  <c r="R1321" i="11"/>
  <c r="P1322" i="11"/>
  <c r="Q1322" i="11"/>
  <c r="R1322" i="11"/>
  <c r="P1323" i="11"/>
  <c r="Q1323" i="11"/>
  <c r="R1323" i="11"/>
  <c r="P1324" i="11"/>
  <c r="Q1324" i="11"/>
  <c r="R1324" i="11"/>
  <c r="P1325" i="11"/>
  <c r="Q1325" i="11"/>
  <c r="R1325" i="11"/>
  <c r="P1326" i="11"/>
  <c r="Q1326" i="11"/>
  <c r="R1326" i="11"/>
  <c r="P1327" i="11"/>
  <c r="Q1327" i="11"/>
  <c r="R1327" i="11"/>
  <c r="P1328" i="11"/>
  <c r="Q1328" i="11"/>
  <c r="R1328" i="11"/>
  <c r="P1329" i="11"/>
  <c r="Q1329" i="11"/>
  <c r="R1329" i="11"/>
  <c r="P1330" i="11"/>
  <c r="Q1330" i="11"/>
  <c r="R1330" i="11"/>
  <c r="P1331" i="11"/>
  <c r="Q1331" i="11"/>
  <c r="R1331" i="11"/>
  <c r="P1332" i="11"/>
  <c r="Q1332" i="11"/>
  <c r="R1332" i="11"/>
  <c r="P1333" i="11"/>
  <c r="Q1333" i="11"/>
  <c r="R1333" i="11"/>
  <c r="P1334" i="11"/>
  <c r="Q1334" i="11"/>
  <c r="R1334" i="11"/>
  <c r="P1335" i="11"/>
  <c r="Q1335" i="11"/>
  <c r="R1335" i="11"/>
  <c r="P1336" i="11"/>
  <c r="Q1336" i="11"/>
  <c r="R1336" i="11"/>
  <c r="P1337" i="11"/>
  <c r="Q1337" i="11"/>
  <c r="R1337" i="11"/>
  <c r="P1338" i="11"/>
  <c r="Q1338" i="11"/>
  <c r="R1338" i="11"/>
  <c r="P1339" i="11"/>
  <c r="Q1339" i="11"/>
  <c r="R1339" i="11"/>
  <c r="P1340" i="11"/>
  <c r="Q1340" i="11"/>
  <c r="R1340" i="11"/>
  <c r="P1341" i="11"/>
  <c r="Q1341" i="11"/>
  <c r="R1341" i="11"/>
  <c r="P1342" i="11"/>
  <c r="Q1342" i="11"/>
  <c r="R1342" i="11"/>
  <c r="P1343" i="11"/>
  <c r="Q1343" i="11"/>
  <c r="R1343" i="11"/>
  <c r="P1344" i="11"/>
  <c r="Q1344" i="11"/>
  <c r="R1344" i="11"/>
  <c r="P1345" i="11"/>
  <c r="Q1345" i="11"/>
  <c r="R1345" i="11"/>
  <c r="P1346" i="11"/>
  <c r="Q1346" i="11"/>
  <c r="R1346" i="11"/>
  <c r="P1347" i="11"/>
  <c r="Q1347" i="11"/>
  <c r="R1347" i="11"/>
  <c r="P1348" i="11"/>
  <c r="Q1348" i="11"/>
  <c r="R1348" i="11"/>
  <c r="P1349" i="11"/>
  <c r="Q1349" i="11"/>
  <c r="R1349" i="11"/>
  <c r="P1350" i="11"/>
  <c r="Q1350" i="11"/>
  <c r="R1350" i="11"/>
  <c r="P1351" i="11"/>
  <c r="Q1351" i="11"/>
  <c r="R1351" i="11"/>
  <c r="P1352" i="11"/>
  <c r="Q1352" i="11"/>
  <c r="R1352" i="11"/>
  <c r="P1353" i="11"/>
  <c r="Q1353" i="11"/>
  <c r="R1353" i="11"/>
  <c r="P1354" i="11"/>
  <c r="Q1354" i="11"/>
  <c r="R1354" i="11"/>
  <c r="P1355" i="11"/>
  <c r="Q1355" i="11"/>
  <c r="R1355" i="11"/>
  <c r="P1356" i="11"/>
  <c r="Q1356" i="11"/>
  <c r="R1356" i="11"/>
  <c r="P1357" i="11"/>
  <c r="Q1357" i="11"/>
  <c r="R1357" i="11"/>
  <c r="P1358" i="11"/>
  <c r="Q1358" i="11"/>
  <c r="R1358" i="11"/>
  <c r="P1359" i="11"/>
  <c r="Q1359" i="11"/>
  <c r="R1359" i="11"/>
  <c r="P1360" i="11"/>
  <c r="Q1360" i="11"/>
  <c r="R1360" i="11"/>
  <c r="P1361" i="11"/>
  <c r="Q1361" i="11"/>
  <c r="R1361" i="11"/>
  <c r="P1362" i="11"/>
  <c r="Q1362" i="11"/>
  <c r="R1362" i="11"/>
  <c r="P1363" i="11"/>
  <c r="Q1363" i="11"/>
  <c r="R1363" i="11"/>
  <c r="P1364" i="11"/>
  <c r="Q1364" i="11"/>
  <c r="R1364" i="11"/>
  <c r="P1365" i="11"/>
  <c r="Q1365" i="11"/>
  <c r="R1365" i="11"/>
  <c r="P1366" i="11"/>
  <c r="Q1366" i="11"/>
  <c r="R1366" i="11"/>
  <c r="P1367" i="11"/>
  <c r="Q1367" i="11"/>
  <c r="R1367" i="11"/>
  <c r="P1368" i="11"/>
  <c r="Q1368" i="11"/>
  <c r="R1368" i="11"/>
  <c r="P1369" i="11"/>
  <c r="Q1369" i="11"/>
  <c r="R1369" i="11"/>
  <c r="P1370" i="11"/>
  <c r="Q1370" i="11"/>
  <c r="R1370" i="11"/>
  <c r="P1371" i="11"/>
  <c r="Q1371" i="11"/>
  <c r="R1371" i="11"/>
  <c r="P1372" i="11"/>
  <c r="Q1372" i="11"/>
  <c r="R1372" i="11"/>
  <c r="P1373" i="11"/>
  <c r="Q1373" i="11"/>
  <c r="R1373" i="11"/>
  <c r="P1374" i="11"/>
  <c r="Q1374" i="11"/>
  <c r="R1374" i="11"/>
  <c r="P1375" i="11"/>
  <c r="Q1375" i="11"/>
  <c r="R1375" i="11"/>
  <c r="P1376" i="11"/>
  <c r="Q1376" i="11"/>
  <c r="R1376" i="11"/>
  <c r="P1377" i="11"/>
  <c r="Q1377" i="11"/>
  <c r="R1377" i="11"/>
  <c r="P1378" i="11"/>
  <c r="Q1378" i="11"/>
  <c r="R1378" i="11"/>
  <c r="P1379" i="11"/>
  <c r="Q1379" i="11"/>
  <c r="R1379" i="11"/>
  <c r="P1380" i="11"/>
  <c r="Q1380" i="11"/>
  <c r="R1380" i="11"/>
  <c r="P1381" i="11"/>
  <c r="Q1381" i="11"/>
  <c r="R1381" i="11"/>
  <c r="P1382" i="11"/>
  <c r="Q1382" i="11"/>
  <c r="R1382" i="11"/>
  <c r="P1383" i="11"/>
  <c r="Q1383" i="11"/>
  <c r="R1383" i="11"/>
  <c r="P1384" i="11"/>
  <c r="Q1384" i="11"/>
  <c r="R1384" i="11"/>
  <c r="P1385" i="11"/>
  <c r="Q1385" i="11"/>
  <c r="R1385" i="11"/>
  <c r="P1386" i="11"/>
  <c r="Q1386" i="11"/>
  <c r="R1386" i="11"/>
  <c r="P1387" i="11"/>
  <c r="Q1387" i="11"/>
  <c r="R1387" i="11"/>
  <c r="P1388" i="11"/>
  <c r="Q1388" i="11"/>
  <c r="R1388" i="11"/>
  <c r="P1389" i="11"/>
  <c r="Q1389" i="11"/>
  <c r="R1389" i="11"/>
  <c r="P1390" i="11"/>
  <c r="Q1390" i="11"/>
  <c r="R1390" i="11"/>
  <c r="P1391" i="11"/>
  <c r="Q1391" i="11"/>
  <c r="R1391" i="11"/>
  <c r="P1392" i="11"/>
  <c r="Q1392" i="11"/>
  <c r="R1392" i="11"/>
  <c r="P1393" i="11"/>
  <c r="Q1393" i="11"/>
  <c r="R1393" i="11"/>
  <c r="P1394" i="11"/>
  <c r="Q1394" i="11"/>
  <c r="R1394" i="11"/>
  <c r="P1395" i="11"/>
  <c r="Q1395" i="11"/>
  <c r="R1395" i="11"/>
  <c r="P1396" i="11"/>
  <c r="Q1396" i="11"/>
  <c r="R1396" i="11"/>
  <c r="P1397" i="11"/>
  <c r="Q1397" i="11"/>
  <c r="R1397" i="11"/>
  <c r="P1398" i="11"/>
  <c r="Q1398" i="11"/>
  <c r="R1398" i="11"/>
  <c r="P1399" i="11"/>
  <c r="Q1399" i="11"/>
  <c r="R1399" i="11"/>
  <c r="P1400" i="11"/>
  <c r="Q1400" i="11"/>
  <c r="R1400" i="11"/>
  <c r="P1401" i="11"/>
  <c r="Q1401" i="11"/>
  <c r="R1401" i="11"/>
  <c r="P1402" i="11"/>
  <c r="Q1402" i="11"/>
  <c r="R1402" i="11"/>
  <c r="P1403" i="11"/>
  <c r="Q1403" i="11"/>
  <c r="R1403" i="11"/>
  <c r="P1404" i="11"/>
  <c r="Q1404" i="11"/>
  <c r="R1404" i="11"/>
  <c r="P1405" i="11"/>
  <c r="Q1405" i="11"/>
  <c r="R1405" i="11"/>
  <c r="P1406" i="11"/>
  <c r="Q1406" i="11"/>
  <c r="R1406" i="11"/>
  <c r="P1407" i="11"/>
  <c r="Q1407" i="11"/>
  <c r="R1407" i="11"/>
  <c r="P1408" i="11"/>
  <c r="Q1408" i="11"/>
  <c r="R1408" i="11"/>
  <c r="P1409" i="11"/>
  <c r="Q1409" i="11"/>
  <c r="R1409" i="11"/>
  <c r="P1410" i="11"/>
  <c r="Q1410" i="11"/>
  <c r="R1410" i="11"/>
  <c r="P1411" i="11"/>
  <c r="Q1411" i="11"/>
  <c r="R1411" i="11"/>
  <c r="P1412" i="11"/>
  <c r="Q1412" i="11"/>
  <c r="R1412" i="11"/>
  <c r="P1413" i="11"/>
  <c r="Q1413" i="11"/>
  <c r="R1413" i="11"/>
  <c r="P1414" i="11"/>
  <c r="Q1414" i="11"/>
  <c r="R1414" i="11"/>
  <c r="P1415" i="11"/>
  <c r="Q1415" i="11"/>
  <c r="R1415" i="11"/>
  <c r="P1416" i="11"/>
  <c r="Q1416" i="11"/>
  <c r="R1416" i="11"/>
  <c r="P1417" i="11"/>
  <c r="Q1417" i="11"/>
  <c r="R1417" i="11"/>
  <c r="P1418" i="11"/>
  <c r="Q1418" i="11"/>
  <c r="R1418" i="11"/>
  <c r="P1419" i="11"/>
  <c r="Q1419" i="11"/>
  <c r="R1419" i="11"/>
  <c r="P1420" i="11"/>
  <c r="Q1420" i="11"/>
  <c r="R1420" i="11"/>
  <c r="P1421" i="11"/>
  <c r="Q1421" i="11"/>
  <c r="R1421" i="11"/>
  <c r="P1422" i="11"/>
  <c r="Q1422" i="11"/>
  <c r="R1422" i="11"/>
  <c r="P1423" i="11"/>
  <c r="Q1423" i="11"/>
  <c r="R1423" i="11"/>
  <c r="P1424" i="11"/>
  <c r="Q1424" i="11"/>
  <c r="R1424" i="11"/>
  <c r="P1425" i="11"/>
  <c r="Q1425" i="11"/>
  <c r="R1425" i="11"/>
  <c r="P1426" i="11"/>
  <c r="Q1426" i="11"/>
  <c r="R1426" i="11"/>
  <c r="P1427" i="11"/>
  <c r="Q1427" i="11"/>
  <c r="R1427" i="11"/>
  <c r="P1428" i="11"/>
  <c r="Q1428" i="11"/>
  <c r="R1428" i="11"/>
  <c r="P1429" i="11"/>
  <c r="Q1429" i="11"/>
  <c r="R1429" i="11"/>
  <c r="P1430" i="11"/>
  <c r="Q1430" i="11"/>
  <c r="R1430" i="11"/>
  <c r="P1431" i="11"/>
  <c r="Q1431" i="11"/>
  <c r="R1431" i="11"/>
  <c r="P1432" i="11"/>
  <c r="Q1432" i="11"/>
  <c r="R1432" i="11"/>
  <c r="P1433" i="11"/>
  <c r="Q1433" i="11"/>
  <c r="R1433" i="11"/>
  <c r="P1434" i="11"/>
  <c r="Q1434" i="11"/>
  <c r="R1434" i="11"/>
  <c r="P1435" i="11"/>
  <c r="Q1435" i="11"/>
  <c r="R1435" i="11"/>
  <c r="P1436" i="11"/>
  <c r="Q1436" i="11"/>
  <c r="R1436" i="11"/>
  <c r="P1437" i="11"/>
  <c r="Q1437" i="11"/>
  <c r="R1437" i="11"/>
  <c r="P1438" i="11"/>
  <c r="Q1438" i="11"/>
  <c r="R1438" i="11"/>
  <c r="P1439" i="11"/>
  <c r="Q1439" i="11"/>
  <c r="R1439" i="11"/>
  <c r="P1440" i="11"/>
  <c r="Q1440" i="11"/>
  <c r="R1440" i="11"/>
  <c r="P1441" i="11"/>
  <c r="Q1441" i="11"/>
  <c r="R1441" i="11"/>
  <c r="P1442" i="11"/>
  <c r="Q1442" i="11"/>
  <c r="R1442" i="11"/>
  <c r="P1443" i="11"/>
  <c r="Q1443" i="11"/>
  <c r="R1443" i="11"/>
  <c r="P1444" i="11"/>
  <c r="Q1444" i="11"/>
  <c r="R1444" i="11"/>
  <c r="P1445" i="11"/>
  <c r="Q1445" i="11"/>
  <c r="R1445" i="11"/>
  <c r="P1446" i="11"/>
  <c r="Q1446" i="11"/>
  <c r="R1446" i="11"/>
  <c r="P1447" i="11"/>
  <c r="Q1447" i="11"/>
  <c r="R1447" i="11"/>
  <c r="P1448" i="11"/>
  <c r="Q1448" i="11"/>
  <c r="R1448" i="11"/>
  <c r="P1449" i="11"/>
  <c r="Q1449" i="11"/>
  <c r="R1449" i="11"/>
  <c r="P1450" i="11"/>
  <c r="Q1450" i="11"/>
  <c r="R1450" i="11"/>
  <c r="P1451" i="11"/>
  <c r="Q1451" i="11"/>
  <c r="R1451" i="11"/>
  <c r="P1452" i="11"/>
  <c r="Q1452" i="11"/>
  <c r="R1452" i="11"/>
  <c r="P1453" i="11"/>
  <c r="Q1453" i="11"/>
  <c r="R1453" i="11"/>
  <c r="P1454" i="11"/>
  <c r="Q1454" i="11"/>
  <c r="R1454" i="11"/>
  <c r="P1455" i="11"/>
  <c r="Q1455" i="11"/>
  <c r="R1455" i="11"/>
  <c r="P1456" i="11"/>
  <c r="Q1456" i="11"/>
  <c r="R1456" i="11"/>
  <c r="P1457" i="11"/>
  <c r="Q1457" i="11"/>
  <c r="R1457" i="11"/>
  <c r="P1458" i="11"/>
  <c r="Q1458" i="11"/>
  <c r="R1458" i="11"/>
  <c r="P1459" i="11"/>
  <c r="Q1459" i="11"/>
  <c r="R1459" i="11"/>
  <c r="P1460" i="11"/>
  <c r="Q1460" i="11"/>
  <c r="R1460" i="11"/>
  <c r="P1461" i="11"/>
  <c r="Q1461" i="11"/>
  <c r="R1461" i="11"/>
  <c r="P1462" i="11"/>
  <c r="Q1462" i="11"/>
  <c r="R1462" i="11"/>
  <c r="P1463" i="11"/>
  <c r="Q1463" i="11"/>
  <c r="R1463" i="11"/>
  <c r="P1464" i="11"/>
  <c r="Q1464" i="11"/>
  <c r="R1464" i="11"/>
  <c r="P1465" i="11"/>
  <c r="Q1465" i="11"/>
  <c r="R1465" i="11"/>
  <c r="P1466" i="11"/>
  <c r="Q1466" i="11"/>
  <c r="R1466" i="11"/>
  <c r="P1467" i="11"/>
  <c r="Q1467" i="11"/>
  <c r="R1467" i="11"/>
  <c r="P1468" i="11"/>
  <c r="Q1468" i="11"/>
  <c r="R1468" i="11"/>
  <c r="P1469" i="11"/>
  <c r="Q1469" i="11"/>
  <c r="R1469" i="11"/>
  <c r="P1470" i="11"/>
  <c r="Q1470" i="11"/>
  <c r="R1470" i="11"/>
  <c r="P1471" i="11"/>
  <c r="Q1471" i="11"/>
  <c r="R1471" i="11"/>
  <c r="P1472" i="11"/>
  <c r="Q1472" i="11"/>
  <c r="R1472" i="11"/>
  <c r="P1473" i="11"/>
  <c r="Q1473" i="11"/>
  <c r="R1473" i="11"/>
  <c r="P1474" i="11"/>
  <c r="Q1474" i="11"/>
  <c r="R1474" i="11"/>
  <c r="P1475" i="11"/>
  <c r="Q1475" i="11"/>
  <c r="R1475" i="11"/>
  <c r="P1476" i="11"/>
  <c r="Q1476" i="11"/>
  <c r="R1476" i="11"/>
  <c r="P1477" i="11"/>
  <c r="Q1477" i="11"/>
  <c r="R1477" i="11"/>
  <c r="P1478" i="11"/>
  <c r="Q1478" i="11"/>
  <c r="R1478" i="11"/>
  <c r="P1479" i="11"/>
  <c r="Q1479" i="11"/>
  <c r="R1479" i="11"/>
  <c r="P1480" i="11"/>
  <c r="Q1480" i="11"/>
  <c r="R1480" i="11"/>
  <c r="P1481" i="11"/>
  <c r="Q1481" i="11"/>
  <c r="R1481" i="11"/>
  <c r="P1482" i="11"/>
  <c r="Q1482" i="11"/>
  <c r="R1482" i="11"/>
  <c r="P1483" i="11"/>
  <c r="Q1483" i="11"/>
  <c r="R1483" i="11"/>
  <c r="P1484" i="11"/>
  <c r="Q1484" i="11"/>
  <c r="R1484" i="11"/>
  <c r="P1485" i="11"/>
  <c r="Q1485" i="11"/>
  <c r="R1485" i="11"/>
  <c r="P1486" i="11"/>
  <c r="Q1486" i="11"/>
  <c r="R1486" i="11"/>
  <c r="P1487" i="11"/>
  <c r="Q1487" i="11"/>
  <c r="R1487" i="11"/>
  <c r="P1488" i="11"/>
  <c r="Q1488" i="11"/>
  <c r="R1488" i="11"/>
  <c r="P1489" i="11"/>
  <c r="Q1489" i="11"/>
  <c r="R1489" i="11"/>
  <c r="P1490" i="11"/>
  <c r="Q1490" i="11"/>
  <c r="R1490" i="11"/>
  <c r="P1491" i="11"/>
  <c r="Q1491" i="11"/>
  <c r="R1491" i="11"/>
  <c r="P1492" i="11"/>
  <c r="Q1492" i="11"/>
  <c r="R1492" i="11"/>
  <c r="P1493" i="11"/>
  <c r="Q1493" i="11"/>
  <c r="R1493" i="11"/>
  <c r="P1494" i="11"/>
  <c r="Q1494" i="11"/>
  <c r="R1494" i="11"/>
  <c r="P1495" i="11"/>
  <c r="Q1495" i="11"/>
  <c r="R1495" i="11"/>
  <c r="P1496" i="11"/>
  <c r="Q1496" i="11"/>
  <c r="R1496" i="11"/>
  <c r="P1497" i="11"/>
  <c r="Q1497" i="11"/>
  <c r="R1497" i="11"/>
  <c r="P1498" i="11"/>
  <c r="Q1498" i="11"/>
  <c r="R1498" i="11"/>
  <c r="P1499" i="11"/>
  <c r="Q1499" i="11"/>
  <c r="R1499" i="11"/>
  <c r="P1500" i="11"/>
  <c r="Q1500" i="11"/>
  <c r="R1500" i="11"/>
  <c r="P1501" i="11"/>
  <c r="Q1501" i="11"/>
  <c r="R1501" i="11"/>
  <c r="P1502" i="11"/>
  <c r="Q1502" i="11"/>
  <c r="R1502" i="11"/>
  <c r="P1503" i="11"/>
  <c r="Q1503" i="11"/>
  <c r="R1503" i="11"/>
  <c r="P1504" i="11"/>
  <c r="Q1504" i="11"/>
  <c r="R1504" i="11"/>
  <c r="P1505" i="11"/>
  <c r="Q1505" i="11"/>
  <c r="R1505" i="11"/>
  <c r="P1506" i="11"/>
  <c r="Q1506" i="11"/>
  <c r="R1506" i="11"/>
  <c r="P1507" i="11"/>
  <c r="Q1507" i="11"/>
  <c r="R1507" i="11"/>
  <c r="P1508" i="11"/>
  <c r="Q1508" i="11"/>
  <c r="R1508" i="11"/>
  <c r="P1509" i="11"/>
  <c r="Q1509" i="11"/>
  <c r="R1509" i="11"/>
  <c r="P1510" i="11"/>
  <c r="Q1510" i="11"/>
  <c r="R1510" i="11"/>
  <c r="P1511" i="11"/>
  <c r="Q1511" i="11"/>
  <c r="R1511" i="11"/>
  <c r="P1512" i="11"/>
  <c r="Q1512" i="11"/>
  <c r="R1512" i="11"/>
  <c r="P1513" i="11"/>
  <c r="Q1513" i="11"/>
  <c r="R1513" i="11"/>
  <c r="P1514" i="11"/>
  <c r="Q1514" i="11"/>
  <c r="R1514" i="11"/>
  <c r="P1515" i="11"/>
  <c r="Q1515" i="11"/>
  <c r="R1515" i="11"/>
  <c r="P1516" i="11"/>
  <c r="Q1516" i="11"/>
  <c r="R1516" i="11"/>
  <c r="P1517" i="11"/>
  <c r="Q1517" i="11"/>
  <c r="R1517" i="11"/>
  <c r="P1518" i="11"/>
  <c r="Q1518" i="11"/>
  <c r="R1518" i="11"/>
  <c r="P1519" i="11"/>
  <c r="Q1519" i="11"/>
  <c r="R1519" i="11"/>
  <c r="P1520" i="11"/>
  <c r="Q1520" i="11"/>
  <c r="R1520" i="11"/>
  <c r="P1521" i="11"/>
  <c r="Q1521" i="11"/>
  <c r="R1521" i="11"/>
  <c r="P1522" i="11"/>
  <c r="Q1522" i="11"/>
  <c r="R1522" i="11"/>
  <c r="P1523" i="11"/>
  <c r="Q1523" i="11"/>
  <c r="R1523" i="11"/>
  <c r="P1524" i="11"/>
  <c r="Q1524" i="11"/>
  <c r="R1524" i="11"/>
  <c r="P1525" i="11"/>
  <c r="Q1525" i="11"/>
  <c r="R1525" i="11"/>
  <c r="P1526" i="11"/>
  <c r="Q1526" i="11"/>
  <c r="R1526" i="11"/>
  <c r="P1527" i="11"/>
  <c r="Q1527" i="11"/>
  <c r="R1527" i="11"/>
  <c r="P1528" i="11"/>
  <c r="Q1528" i="11"/>
  <c r="R1528" i="11"/>
  <c r="P1529" i="11"/>
  <c r="Q1529" i="11"/>
  <c r="R1529" i="11"/>
  <c r="P1530" i="11"/>
  <c r="Q1530" i="11"/>
  <c r="R1530" i="11"/>
  <c r="P1531" i="11"/>
  <c r="Q1531" i="11"/>
  <c r="R1531" i="11"/>
  <c r="P1532" i="11"/>
  <c r="Q1532" i="11"/>
  <c r="R1532" i="11"/>
  <c r="P1533" i="11"/>
  <c r="Q1533" i="11"/>
  <c r="R1533" i="11"/>
  <c r="P1534" i="11"/>
  <c r="Q1534" i="11"/>
  <c r="R1534" i="11"/>
  <c r="P1535" i="11"/>
  <c r="Q1535" i="11"/>
  <c r="R1535" i="11"/>
  <c r="P1536" i="11"/>
  <c r="Q1536" i="11"/>
  <c r="R1536" i="11"/>
  <c r="P1537" i="11"/>
  <c r="Q1537" i="11"/>
  <c r="R1537" i="11"/>
  <c r="P1538" i="11"/>
  <c r="Q1538" i="11"/>
  <c r="R1538" i="11"/>
  <c r="P1539" i="11"/>
  <c r="Q1539" i="11"/>
  <c r="R1539" i="11"/>
  <c r="P1540" i="11"/>
  <c r="Q1540" i="11"/>
  <c r="R1540" i="11"/>
  <c r="P1541" i="11"/>
  <c r="Q1541" i="11"/>
  <c r="R1541" i="11"/>
  <c r="P1542" i="11"/>
  <c r="Q1542" i="11"/>
  <c r="R1542" i="11"/>
  <c r="P1543" i="11"/>
  <c r="Q1543" i="11"/>
  <c r="R1543" i="11"/>
  <c r="P1544" i="11"/>
  <c r="Q1544" i="11"/>
  <c r="R1544" i="11"/>
  <c r="P1545" i="11"/>
  <c r="Q1545" i="11"/>
  <c r="R1545" i="11"/>
  <c r="P1546" i="11"/>
  <c r="Q1546" i="11"/>
  <c r="R1546" i="11"/>
  <c r="P1547" i="11"/>
  <c r="Q1547" i="11"/>
  <c r="R1547" i="11"/>
  <c r="P1548" i="11"/>
  <c r="Q1548" i="11"/>
  <c r="R1548" i="11"/>
  <c r="P1549" i="11"/>
  <c r="Q1549" i="11"/>
  <c r="R1549" i="11"/>
  <c r="P1550" i="11"/>
  <c r="Q1550" i="11"/>
  <c r="R1550" i="11"/>
  <c r="P1551" i="11"/>
  <c r="Q1551" i="11"/>
  <c r="R1551" i="11"/>
  <c r="P1552" i="11"/>
  <c r="Q1552" i="11"/>
  <c r="R1552" i="11"/>
  <c r="P1553" i="11"/>
  <c r="Q1553" i="11"/>
  <c r="R1553" i="11"/>
  <c r="P1554" i="11"/>
  <c r="Q1554" i="11"/>
  <c r="R1554" i="11"/>
  <c r="P1555" i="11"/>
  <c r="Q1555" i="11"/>
  <c r="R1555" i="11"/>
  <c r="P1556" i="11"/>
  <c r="Q1556" i="11"/>
  <c r="R1556" i="11"/>
  <c r="P1557" i="11"/>
  <c r="Q1557" i="11"/>
  <c r="R1557" i="11"/>
  <c r="P1558" i="11"/>
  <c r="Q1558" i="11"/>
  <c r="R1558" i="11"/>
  <c r="P1559" i="11"/>
  <c r="Q1559" i="11"/>
  <c r="R1559" i="11"/>
  <c r="P1560" i="11"/>
  <c r="Q1560" i="11"/>
  <c r="R1560" i="11"/>
  <c r="P1561" i="11"/>
  <c r="Q1561" i="11"/>
  <c r="R1561" i="11"/>
  <c r="P1562" i="11"/>
  <c r="Q1562" i="11"/>
  <c r="R1562" i="11"/>
  <c r="P1563" i="11"/>
  <c r="Q1563" i="11"/>
  <c r="R1563" i="11"/>
  <c r="P1564" i="11"/>
  <c r="Q1564" i="11"/>
  <c r="R1564" i="11"/>
  <c r="P1565" i="11"/>
  <c r="Q1565" i="11"/>
  <c r="R1565" i="11"/>
  <c r="P1566" i="11"/>
  <c r="Q1566" i="11"/>
  <c r="R1566" i="11"/>
  <c r="P1567" i="11"/>
  <c r="Q1567" i="11"/>
  <c r="R1567" i="11"/>
  <c r="P1568" i="11"/>
  <c r="Q1568" i="11"/>
  <c r="R1568" i="11"/>
  <c r="P1569" i="11"/>
  <c r="Q1569" i="11"/>
  <c r="R1569" i="11"/>
  <c r="P1570" i="11"/>
  <c r="Q1570" i="11"/>
  <c r="R1570" i="11"/>
  <c r="P1571" i="11"/>
  <c r="Q1571" i="11"/>
  <c r="R1571" i="11"/>
  <c r="P1572" i="11"/>
  <c r="Q1572" i="11"/>
  <c r="R1572" i="11"/>
  <c r="P1573" i="11"/>
  <c r="Q1573" i="11"/>
  <c r="R1573" i="11"/>
  <c r="P1574" i="11"/>
  <c r="Q1574" i="11"/>
  <c r="R1574" i="11"/>
  <c r="P1575" i="11"/>
  <c r="Q1575" i="11"/>
  <c r="R1575" i="11"/>
  <c r="P1576" i="11"/>
  <c r="Q1576" i="11"/>
  <c r="R1576" i="11"/>
  <c r="P1577" i="11"/>
  <c r="Q1577" i="11"/>
  <c r="R1577" i="11"/>
  <c r="P1578" i="11"/>
  <c r="Q1578" i="11"/>
  <c r="R1578" i="11"/>
  <c r="P1579" i="11"/>
  <c r="Q1579" i="11"/>
  <c r="R1579" i="11"/>
  <c r="P1580" i="11"/>
  <c r="Q1580" i="11"/>
  <c r="R1580" i="11"/>
  <c r="P1581" i="11"/>
  <c r="Q1581" i="11"/>
  <c r="R1581" i="11"/>
  <c r="P1582" i="11"/>
  <c r="Q1582" i="11"/>
  <c r="R1582" i="11"/>
  <c r="P1583" i="11"/>
  <c r="Q1583" i="11"/>
  <c r="R1583" i="11"/>
  <c r="P1584" i="11"/>
  <c r="Q1584" i="11"/>
  <c r="R1584" i="11"/>
  <c r="P1585" i="11"/>
  <c r="Q1585" i="11"/>
  <c r="R1585" i="11"/>
  <c r="P1586" i="11"/>
  <c r="Q1586" i="11"/>
  <c r="R1586" i="11"/>
  <c r="P1587" i="11"/>
  <c r="Q1587" i="11"/>
  <c r="R1587" i="11"/>
  <c r="P1588" i="11"/>
  <c r="Q1588" i="11"/>
  <c r="R1588" i="11"/>
  <c r="P1589" i="11"/>
  <c r="Q1589" i="11"/>
  <c r="R1589" i="11"/>
  <c r="P1590" i="11"/>
  <c r="Q1590" i="11"/>
  <c r="R1590" i="11"/>
  <c r="P1591" i="11"/>
  <c r="Q1591" i="11"/>
  <c r="R1591" i="11"/>
  <c r="P1592" i="11"/>
  <c r="Q1592" i="11"/>
  <c r="R1592" i="11"/>
  <c r="P1593" i="11"/>
  <c r="Q1593" i="11"/>
  <c r="R1593" i="11"/>
  <c r="P1594" i="11"/>
  <c r="Q1594" i="11"/>
  <c r="R1594" i="11"/>
  <c r="P1595" i="11"/>
  <c r="Q1595" i="11"/>
  <c r="R1595" i="11"/>
  <c r="P1596" i="11"/>
  <c r="Q1596" i="11"/>
  <c r="R1596" i="11"/>
  <c r="P1597" i="11"/>
  <c r="Q1597" i="11"/>
  <c r="R1597" i="11"/>
  <c r="P1598" i="11"/>
  <c r="Q1598" i="11"/>
  <c r="R1598" i="11"/>
  <c r="P1599" i="11"/>
  <c r="Q1599" i="11"/>
  <c r="R1599" i="11"/>
  <c r="P1600" i="11"/>
  <c r="Q1600" i="11"/>
  <c r="R1600" i="11"/>
  <c r="P1601" i="11"/>
  <c r="Q1601" i="11"/>
  <c r="R1601" i="11"/>
  <c r="P1602" i="11"/>
  <c r="Q1602" i="11"/>
  <c r="R1602" i="11"/>
  <c r="P1603" i="11"/>
  <c r="Q1603" i="11"/>
  <c r="R1603" i="11"/>
  <c r="P1604" i="11"/>
  <c r="Q1604" i="11"/>
  <c r="R1604" i="11"/>
  <c r="P1605" i="11"/>
  <c r="Q1605" i="11"/>
  <c r="R1605" i="11"/>
  <c r="P1606" i="11"/>
  <c r="Q1606" i="11"/>
  <c r="R1606" i="11"/>
  <c r="P1607" i="11"/>
  <c r="Q1607" i="11"/>
  <c r="R1607" i="11"/>
  <c r="P1608" i="11"/>
  <c r="Q1608" i="11"/>
  <c r="R1608" i="11"/>
  <c r="P1609" i="11"/>
  <c r="Q1609" i="11"/>
  <c r="R1609" i="11"/>
  <c r="P1610" i="11"/>
  <c r="Q1610" i="11"/>
  <c r="R1610" i="11"/>
  <c r="P1611" i="11"/>
  <c r="Q1611" i="11"/>
  <c r="R1611" i="11"/>
  <c r="P1612" i="11"/>
  <c r="Q1612" i="11"/>
  <c r="R1612" i="11"/>
  <c r="P1613" i="11"/>
  <c r="Q1613" i="11"/>
  <c r="R1613" i="11"/>
  <c r="P1614" i="11"/>
  <c r="Q1614" i="11"/>
  <c r="R1614" i="11"/>
  <c r="P1615" i="11"/>
  <c r="Q1615" i="11"/>
  <c r="R1615" i="11"/>
  <c r="P1616" i="11"/>
  <c r="Q1616" i="11"/>
  <c r="R1616" i="11"/>
  <c r="P1617" i="11"/>
  <c r="Q1617" i="11"/>
  <c r="R1617" i="11"/>
  <c r="P1618" i="11"/>
  <c r="Q1618" i="11"/>
  <c r="R1618" i="11"/>
  <c r="P1619" i="11"/>
  <c r="Q1619" i="11"/>
  <c r="R1619" i="11"/>
  <c r="P1620" i="11"/>
  <c r="Q1620" i="11"/>
  <c r="R1620" i="11"/>
  <c r="P1621" i="11"/>
  <c r="Q1621" i="11"/>
  <c r="R1621" i="11"/>
  <c r="P1622" i="11"/>
  <c r="Q1622" i="11"/>
  <c r="R1622" i="11"/>
  <c r="P1623" i="11"/>
  <c r="Q1623" i="11"/>
  <c r="R1623" i="11"/>
  <c r="P1624" i="11"/>
  <c r="Q1624" i="11"/>
  <c r="R1624" i="11"/>
  <c r="P1625" i="11"/>
  <c r="Q1625" i="11"/>
  <c r="R1625" i="11"/>
  <c r="P1626" i="11"/>
  <c r="Q1626" i="11"/>
  <c r="R1626" i="11"/>
  <c r="P1627" i="11"/>
  <c r="Q1627" i="11"/>
  <c r="R1627" i="11"/>
  <c r="P1628" i="11"/>
  <c r="Q1628" i="11"/>
  <c r="R1628" i="11"/>
  <c r="P1629" i="11"/>
  <c r="Q1629" i="11"/>
  <c r="R1629" i="11"/>
  <c r="P1630" i="11"/>
  <c r="Q1630" i="11"/>
  <c r="R1630" i="11"/>
  <c r="P1631" i="11"/>
  <c r="Q1631" i="11"/>
  <c r="R1631" i="11"/>
  <c r="P1632" i="11"/>
  <c r="Q1632" i="11"/>
  <c r="R1632" i="11"/>
  <c r="P1633" i="11"/>
  <c r="Q1633" i="11"/>
  <c r="R1633" i="11"/>
  <c r="P1634" i="11"/>
  <c r="Q1634" i="11"/>
  <c r="R1634" i="11"/>
  <c r="P1635" i="11"/>
  <c r="Q1635" i="11"/>
  <c r="R1635" i="11"/>
  <c r="P1636" i="11"/>
  <c r="Q1636" i="11"/>
  <c r="R1636" i="11"/>
  <c r="P1637" i="11"/>
  <c r="Q1637" i="11"/>
  <c r="R1637" i="11"/>
  <c r="P1638" i="11"/>
  <c r="Q1638" i="11"/>
  <c r="R1638" i="11"/>
  <c r="P1639" i="11"/>
  <c r="Q1639" i="11"/>
  <c r="R1639" i="11"/>
  <c r="P1640" i="11"/>
  <c r="Q1640" i="11"/>
  <c r="R1640" i="11"/>
  <c r="P1641" i="11"/>
  <c r="Q1641" i="11"/>
  <c r="R1641" i="11"/>
  <c r="P1642" i="11"/>
  <c r="Q1642" i="11"/>
  <c r="R1642" i="11"/>
  <c r="P1643" i="11"/>
  <c r="Q1643" i="11"/>
  <c r="R1643" i="11"/>
  <c r="P1644" i="11"/>
  <c r="Q1644" i="11"/>
  <c r="R1644" i="11"/>
  <c r="P1645" i="11"/>
  <c r="Q1645" i="11"/>
  <c r="R1645" i="11"/>
  <c r="P1646" i="11"/>
  <c r="Q1646" i="11"/>
  <c r="R1646" i="11"/>
  <c r="P1647" i="11"/>
  <c r="Q1647" i="11"/>
  <c r="R1647" i="11"/>
  <c r="P1648" i="11"/>
  <c r="Q1648" i="11"/>
  <c r="R1648" i="11"/>
  <c r="P1649" i="11"/>
  <c r="Q1649" i="11"/>
  <c r="R1649" i="11"/>
  <c r="P1650" i="11"/>
  <c r="Q1650" i="11"/>
  <c r="R1650" i="11"/>
  <c r="P1651" i="11"/>
  <c r="Q1651" i="11"/>
  <c r="R1651" i="11"/>
  <c r="P1652" i="11"/>
  <c r="Q1652" i="11"/>
  <c r="R1652" i="11"/>
  <c r="P1653" i="11"/>
  <c r="Q1653" i="11"/>
  <c r="R1653" i="11"/>
  <c r="P1654" i="11"/>
  <c r="Q1654" i="11"/>
  <c r="R1654" i="11"/>
  <c r="P1655" i="11"/>
  <c r="Q1655" i="11"/>
  <c r="R1655" i="11"/>
  <c r="P1656" i="11"/>
  <c r="Q1656" i="11"/>
  <c r="R1656" i="11"/>
  <c r="P1657" i="11"/>
  <c r="Q1657" i="11"/>
  <c r="R1657" i="11"/>
  <c r="P1658" i="11"/>
  <c r="Q1658" i="11"/>
  <c r="R1658" i="11"/>
  <c r="P1659" i="11"/>
  <c r="Q1659" i="11"/>
  <c r="R1659" i="11"/>
  <c r="P1660" i="11"/>
  <c r="Q1660" i="11"/>
  <c r="R1660" i="11"/>
  <c r="P1661" i="11"/>
  <c r="Q1661" i="11"/>
  <c r="R1661" i="11"/>
  <c r="P1662" i="11"/>
  <c r="Q1662" i="11"/>
  <c r="R1662" i="11"/>
  <c r="P1663" i="11"/>
  <c r="Q1663" i="11"/>
  <c r="R1663" i="11"/>
  <c r="P1664" i="11"/>
  <c r="Q1664" i="11"/>
  <c r="R1664" i="11"/>
  <c r="P1665" i="11"/>
  <c r="Q1665" i="11"/>
  <c r="R1665" i="11"/>
  <c r="P1666" i="11"/>
  <c r="Q1666" i="11"/>
  <c r="R1666" i="11"/>
  <c r="P1667" i="11"/>
  <c r="Q1667" i="11"/>
  <c r="R1667" i="11"/>
  <c r="P1668" i="11"/>
  <c r="Q1668" i="11"/>
  <c r="R1668" i="11"/>
  <c r="P1669" i="11"/>
  <c r="Q1669" i="11"/>
  <c r="R1669" i="11"/>
  <c r="P1670" i="11"/>
  <c r="Q1670" i="11"/>
  <c r="R1670" i="11"/>
  <c r="P1671" i="11"/>
  <c r="Q1671" i="11"/>
  <c r="R1671" i="11"/>
  <c r="P1672" i="11"/>
  <c r="Q1672" i="11"/>
  <c r="R1672" i="11"/>
  <c r="P1673" i="11"/>
  <c r="Q1673" i="11"/>
  <c r="R1673" i="11"/>
  <c r="P1674" i="11"/>
  <c r="Q1674" i="11"/>
  <c r="R1674" i="11"/>
  <c r="P1675" i="11"/>
  <c r="Q1675" i="11"/>
  <c r="R1675" i="11"/>
  <c r="P1676" i="11"/>
  <c r="Q1676" i="11"/>
  <c r="R1676" i="11"/>
  <c r="P1677" i="11"/>
  <c r="Q1677" i="11"/>
  <c r="R1677" i="11"/>
  <c r="P1678" i="11"/>
  <c r="Q1678" i="11"/>
  <c r="R1678" i="11"/>
  <c r="P1679" i="11"/>
  <c r="Q1679" i="11"/>
  <c r="R1679" i="11"/>
  <c r="P1680" i="11"/>
  <c r="Q1680" i="11"/>
  <c r="R1680" i="11"/>
  <c r="P1681" i="11"/>
  <c r="Q1681" i="11"/>
  <c r="R1681" i="11"/>
  <c r="P1682" i="11"/>
  <c r="Q1682" i="11"/>
  <c r="R1682" i="11"/>
  <c r="P1683" i="11"/>
  <c r="Q1683" i="11"/>
  <c r="R1683" i="11"/>
  <c r="P1684" i="11"/>
  <c r="Q1684" i="11"/>
  <c r="R1684" i="11"/>
  <c r="P1685" i="11"/>
  <c r="Q1685" i="11"/>
  <c r="R1685" i="11"/>
  <c r="P1686" i="11"/>
  <c r="Q1686" i="11"/>
  <c r="R1686" i="11"/>
  <c r="P1687" i="11"/>
  <c r="Q1687" i="11"/>
  <c r="R1687" i="11"/>
  <c r="P1688" i="11"/>
  <c r="Q1688" i="11"/>
  <c r="R1688" i="11"/>
  <c r="P1689" i="11"/>
  <c r="Q1689" i="11"/>
  <c r="R1689" i="11"/>
  <c r="P1690" i="11"/>
  <c r="Q1690" i="11"/>
  <c r="R1690" i="11"/>
  <c r="P1691" i="11"/>
  <c r="Q1691" i="11"/>
  <c r="R1691" i="11"/>
  <c r="P1692" i="11"/>
  <c r="Q1692" i="11"/>
  <c r="R1692" i="11"/>
  <c r="P1693" i="11"/>
  <c r="Q1693" i="11"/>
  <c r="R1693" i="11"/>
  <c r="P1694" i="11"/>
  <c r="Q1694" i="11"/>
  <c r="R1694" i="11"/>
  <c r="P1695" i="11"/>
  <c r="Q1695" i="11"/>
  <c r="R1695" i="11"/>
  <c r="P1696" i="11"/>
  <c r="Q1696" i="11"/>
  <c r="R1696" i="11"/>
  <c r="P1697" i="11"/>
  <c r="Q1697" i="11"/>
  <c r="R1697" i="11"/>
  <c r="P1698" i="11"/>
  <c r="Q1698" i="11"/>
  <c r="R1698" i="11"/>
  <c r="P1699" i="11"/>
  <c r="Q1699" i="11"/>
  <c r="R1699" i="11"/>
  <c r="P1700" i="11"/>
  <c r="Q1700" i="11"/>
  <c r="R1700" i="11"/>
  <c r="P1701" i="11"/>
  <c r="Q1701" i="11"/>
  <c r="R1701" i="11"/>
  <c r="P1702" i="11"/>
  <c r="Q1702" i="11"/>
  <c r="R1702" i="11"/>
  <c r="P1703" i="11"/>
  <c r="Q1703" i="11"/>
  <c r="R1703" i="11"/>
  <c r="P1704" i="11"/>
  <c r="Q1704" i="11"/>
  <c r="R1704" i="11"/>
  <c r="P1705" i="11"/>
  <c r="Q1705" i="11"/>
  <c r="R1705" i="11"/>
  <c r="P1706" i="11"/>
  <c r="Q1706" i="11"/>
  <c r="R1706" i="11"/>
  <c r="P1707" i="11"/>
  <c r="Q1707" i="11"/>
  <c r="R1707" i="11"/>
  <c r="P1708" i="11"/>
  <c r="Q1708" i="11"/>
  <c r="R1708" i="11"/>
  <c r="P1709" i="11"/>
  <c r="Q1709" i="11"/>
  <c r="R1709" i="11"/>
  <c r="P1710" i="11"/>
  <c r="Q1710" i="11"/>
  <c r="R1710" i="11"/>
  <c r="P1711" i="11"/>
  <c r="Q1711" i="11"/>
  <c r="R1711" i="11"/>
  <c r="P1712" i="11"/>
  <c r="Q1712" i="11"/>
  <c r="R1712" i="11"/>
  <c r="P1713" i="11"/>
  <c r="Q1713" i="11"/>
  <c r="R1713" i="11"/>
  <c r="P1714" i="11"/>
  <c r="Q1714" i="11"/>
  <c r="R1714" i="11"/>
  <c r="P1715" i="11"/>
  <c r="Q1715" i="11"/>
  <c r="R1715" i="11"/>
  <c r="P1716" i="11"/>
  <c r="Q1716" i="11"/>
  <c r="R1716" i="11"/>
  <c r="P1717" i="11"/>
  <c r="Q1717" i="11"/>
  <c r="R1717" i="11"/>
  <c r="P1718" i="11"/>
  <c r="Q1718" i="11"/>
  <c r="R1718" i="11"/>
  <c r="P1719" i="11"/>
  <c r="Q1719" i="11"/>
  <c r="R1719" i="11"/>
  <c r="P1720" i="11"/>
  <c r="Q1720" i="11"/>
  <c r="R1720" i="11"/>
  <c r="P1721" i="11"/>
  <c r="Q1721" i="11"/>
  <c r="R1721" i="11"/>
  <c r="P1722" i="11"/>
  <c r="Q1722" i="11"/>
  <c r="R1722" i="11"/>
  <c r="P1723" i="11"/>
  <c r="Q1723" i="11"/>
  <c r="R1723" i="11"/>
  <c r="P1724" i="11"/>
  <c r="Q1724" i="11"/>
  <c r="R1724" i="11"/>
  <c r="P1725" i="11"/>
  <c r="Q1725" i="11"/>
  <c r="R1725" i="11"/>
  <c r="P1726" i="11"/>
  <c r="Q1726" i="11"/>
  <c r="R1726" i="11"/>
  <c r="P1727" i="11"/>
  <c r="Q1727" i="11"/>
  <c r="R1727" i="11"/>
  <c r="P1728" i="11"/>
  <c r="Q1728" i="11"/>
  <c r="R1728" i="11"/>
  <c r="P1729" i="11"/>
  <c r="Q1729" i="11"/>
  <c r="R1729" i="11"/>
  <c r="P1730" i="11"/>
  <c r="Q1730" i="11"/>
  <c r="R1730" i="11"/>
  <c r="P1731" i="11"/>
  <c r="Q1731" i="11"/>
  <c r="R1731" i="11"/>
  <c r="P1732" i="11"/>
  <c r="Q1732" i="11"/>
  <c r="R1732" i="11"/>
  <c r="P1733" i="11"/>
  <c r="Q1733" i="11"/>
  <c r="R1733" i="11"/>
  <c r="P1734" i="11"/>
  <c r="Q1734" i="11"/>
  <c r="R1734" i="11"/>
  <c r="P1735" i="11"/>
  <c r="Q1735" i="11"/>
  <c r="R1735" i="11"/>
  <c r="P1736" i="11"/>
  <c r="Q1736" i="11"/>
  <c r="R1736" i="11"/>
  <c r="P1737" i="11"/>
  <c r="Q1737" i="11"/>
  <c r="R1737" i="11"/>
  <c r="P1738" i="11"/>
  <c r="Q1738" i="11"/>
  <c r="R1738" i="11"/>
  <c r="P1739" i="11"/>
  <c r="Q1739" i="11"/>
  <c r="R1739" i="11"/>
  <c r="P1740" i="11"/>
  <c r="Q1740" i="11"/>
  <c r="R1740" i="11"/>
  <c r="P1741" i="11"/>
  <c r="Q1741" i="11"/>
  <c r="R1741" i="11"/>
  <c r="P1742" i="11"/>
  <c r="Q1742" i="11"/>
  <c r="R1742" i="11"/>
  <c r="P1743" i="11"/>
  <c r="Q1743" i="11"/>
  <c r="R1743" i="11"/>
  <c r="P1744" i="11"/>
  <c r="Q1744" i="11"/>
  <c r="R1744" i="11"/>
  <c r="P1745" i="11"/>
  <c r="Q1745" i="11"/>
  <c r="R1745" i="11"/>
  <c r="P1746" i="11"/>
  <c r="Q1746" i="11"/>
  <c r="R1746" i="11"/>
  <c r="P1747" i="11"/>
  <c r="Q1747" i="11"/>
  <c r="R1747" i="11"/>
  <c r="P1748" i="11"/>
  <c r="Q1748" i="11"/>
  <c r="R1748" i="11"/>
  <c r="P1749" i="11"/>
  <c r="Q1749" i="11"/>
  <c r="R1749" i="11"/>
  <c r="P1750" i="11"/>
  <c r="Q1750" i="11"/>
  <c r="R1750" i="11"/>
  <c r="P1751" i="11"/>
  <c r="Q1751" i="11"/>
  <c r="R1751" i="11"/>
  <c r="P1752" i="11"/>
  <c r="Q1752" i="11"/>
  <c r="R1752" i="11"/>
  <c r="P1753" i="11"/>
  <c r="Q1753" i="11"/>
  <c r="R1753" i="11"/>
  <c r="P1754" i="11"/>
  <c r="Q1754" i="11"/>
  <c r="R1754" i="11"/>
  <c r="P1755" i="11"/>
  <c r="Q1755" i="11"/>
  <c r="R1755" i="11"/>
  <c r="P1756" i="11"/>
  <c r="Q1756" i="11"/>
  <c r="R1756" i="11"/>
  <c r="P1757" i="11"/>
  <c r="Q1757" i="11"/>
  <c r="R1757" i="11"/>
  <c r="P1758" i="11"/>
  <c r="Q1758" i="11"/>
  <c r="R1758" i="11"/>
  <c r="P1759" i="11"/>
  <c r="Q1759" i="11"/>
  <c r="R1759" i="11"/>
  <c r="P1760" i="11"/>
  <c r="Q1760" i="11"/>
  <c r="R1760" i="11"/>
  <c r="P1761" i="11"/>
  <c r="Q1761" i="11"/>
  <c r="R1761" i="11"/>
  <c r="P1762" i="11"/>
  <c r="Q1762" i="11"/>
  <c r="R1762" i="11"/>
  <c r="P1763" i="11"/>
  <c r="Q1763" i="11"/>
  <c r="R1763" i="11"/>
  <c r="P1764" i="11"/>
  <c r="Q1764" i="11"/>
  <c r="R1764" i="11"/>
  <c r="P1765" i="11"/>
  <c r="Q1765" i="11"/>
  <c r="R1765" i="11"/>
  <c r="P1766" i="11"/>
  <c r="Q1766" i="11"/>
  <c r="R1766" i="11"/>
  <c r="P1767" i="11"/>
  <c r="Q1767" i="11"/>
  <c r="R1767" i="11"/>
  <c r="P1768" i="11"/>
  <c r="Q1768" i="11"/>
  <c r="R1768" i="11"/>
  <c r="P1769" i="11"/>
  <c r="Q1769" i="11"/>
  <c r="R1769" i="11"/>
  <c r="P1770" i="11"/>
  <c r="Q1770" i="11"/>
  <c r="R1770" i="11"/>
  <c r="P1771" i="11"/>
  <c r="Q1771" i="11"/>
  <c r="R1771" i="11"/>
  <c r="P1772" i="11"/>
  <c r="Q1772" i="11"/>
  <c r="R1772" i="11"/>
  <c r="P1773" i="11"/>
  <c r="Q1773" i="11"/>
  <c r="R1773" i="11"/>
  <c r="P1774" i="11"/>
  <c r="Q1774" i="11"/>
  <c r="R1774" i="11"/>
  <c r="P1775" i="11"/>
  <c r="Q1775" i="11"/>
  <c r="R1775" i="11"/>
  <c r="P1776" i="11"/>
  <c r="Q1776" i="11"/>
  <c r="R1776" i="11"/>
  <c r="P1777" i="11"/>
  <c r="Q1777" i="11"/>
  <c r="R1777" i="11"/>
  <c r="P1778" i="11"/>
  <c r="Q1778" i="11"/>
  <c r="R1778" i="11"/>
  <c r="P1779" i="11"/>
  <c r="Q1779" i="11"/>
  <c r="R1779" i="11"/>
  <c r="P1780" i="11"/>
  <c r="Q1780" i="11"/>
  <c r="R1780" i="11"/>
  <c r="P1781" i="11"/>
  <c r="Q1781" i="11"/>
  <c r="R1781" i="11"/>
  <c r="P1782" i="11"/>
  <c r="Q1782" i="11"/>
  <c r="R1782" i="11"/>
  <c r="P1783" i="11"/>
  <c r="Q1783" i="11"/>
  <c r="R1783" i="11"/>
  <c r="P1784" i="11"/>
  <c r="Q1784" i="11"/>
  <c r="R1784" i="11"/>
  <c r="P1785" i="11"/>
  <c r="Q1785" i="11"/>
  <c r="R1785" i="11"/>
  <c r="P1786" i="11"/>
  <c r="Q1786" i="11"/>
  <c r="R1786" i="11"/>
  <c r="P1787" i="11"/>
  <c r="Q1787" i="11"/>
  <c r="R1787" i="11"/>
  <c r="P1788" i="11"/>
  <c r="Q1788" i="11"/>
  <c r="R1788" i="11"/>
  <c r="P1789" i="11"/>
  <c r="Q1789" i="11"/>
  <c r="R1789" i="11"/>
  <c r="P1790" i="11"/>
  <c r="Q1790" i="11"/>
  <c r="R1790" i="11"/>
  <c r="P1791" i="11"/>
  <c r="Q1791" i="11"/>
  <c r="R1791" i="11"/>
  <c r="P1792" i="11"/>
  <c r="Q1792" i="11"/>
  <c r="R1792" i="11"/>
  <c r="P1793" i="11"/>
  <c r="Q1793" i="11"/>
  <c r="R1793" i="11"/>
  <c r="P1794" i="11"/>
  <c r="Q1794" i="11"/>
  <c r="R1794" i="11"/>
  <c r="P1795" i="11"/>
  <c r="Q1795" i="11"/>
  <c r="R1795" i="11"/>
  <c r="P1796" i="11"/>
  <c r="Q1796" i="11"/>
  <c r="R1796" i="11"/>
  <c r="P1797" i="11"/>
  <c r="Q1797" i="11"/>
  <c r="R1797" i="11"/>
  <c r="P1798" i="11"/>
  <c r="Q1798" i="11"/>
  <c r="R1798" i="11"/>
  <c r="P1799" i="11"/>
  <c r="Q1799" i="11"/>
  <c r="R1799" i="11"/>
  <c r="P1800" i="11"/>
  <c r="Q1800" i="11"/>
  <c r="R1800" i="11"/>
  <c r="P1801" i="11"/>
  <c r="Q1801" i="11"/>
  <c r="R1801" i="11"/>
  <c r="P1802" i="11"/>
  <c r="Q1802" i="11"/>
  <c r="R1802" i="11"/>
  <c r="P1803" i="11"/>
  <c r="Q1803" i="11"/>
  <c r="R1803" i="11"/>
  <c r="P1804" i="11"/>
  <c r="Q1804" i="11"/>
  <c r="R1804" i="11"/>
  <c r="P1805" i="11"/>
  <c r="Q1805" i="11"/>
  <c r="R1805" i="11"/>
  <c r="P1806" i="11"/>
  <c r="Q1806" i="11"/>
  <c r="R1806" i="11"/>
  <c r="P1807" i="11"/>
  <c r="Q1807" i="11"/>
  <c r="R1807" i="11"/>
  <c r="P1808" i="11"/>
  <c r="Q1808" i="11"/>
  <c r="R1808" i="11"/>
  <c r="P1809" i="11"/>
  <c r="Q1809" i="11"/>
  <c r="R1809" i="11"/>
  <c r="P1810" i="11"/>
  <c r="Q1810" i="11"/>
  <c r="R1810" i="11"/>
  <c r="P1811" i="11"/>
  <c r="Q1811" i="11"/>
  <c r="R1811" i="11"/>
  <c r="P1812" i="11"/>
  <c r="Q1812" i="11"/>
  <c r="R1812" i="11"/>
  <c r="P1813" i="11"/>
  <c r="Q1813" i="11"/>
  <c r="R1813" i="11"/>
  <c r="P1814" i="11"/>
  <c r="Q1814" i="11"/>
  <c r="R1814" i="11"/>
  <c r="P1815" i="11"/>
  <c r="Q1815" i="11"/>
  <c r="R1815" i="11"/>
  <c r="P1816" i="11"/>
  <c r="Q1816" i="11"/>
  <c r="R1816" i="11"/>
  <c r="P1817" i="11"/>
  <c r="Q1817" i="11"/>
  <c r="R1817" i="11"/>
  <c r="P1818" i="11"/>
  <c r="Q1818" i="11"/>
  <c r="R1818" i="11"/>
  <c r="P1819" i="11"/>
  <c r="Q1819" i="11"/>
  <c r="R1819" i="11"/>
  <c r="P1820" i="11"/>
  <c r="Q1820" i="11"/>
  <c r="R1820" i="11"/>
  <c r="P1821" i="11"/>
  <c r="Q1821" i="11"/>
  <c r="R1821" i="11"/>
  <c r="P1822" i="11"/>
  <c r="Q1822" i="11"/>
  <c r="R1822" i="11"/>
  <c r="P1823" i="11"/>
  <c r="Q1823" i="11"/>
  <c r="R1823" i="11"/>
  <c r="P1824" i="11"/>
  <c r="Q1824" i="11"/>
  <c r="R1824" i="11"/>
  <c r="P1825" i="11"/>
  <c r="Q1825" i="11"/>
  <c r="R1825" i="11"/>
  <c r="P1826" i="11"/>
  <c r="Q1826" i="11"/>
  <c r="R1826" i="11"/>
  <c r="P1827" i="11"/>
  <c r="Q1827" i="11"/>
  <c r="R1827" i="11"/>
  <c r="P1828" i="11"/>
  <c r="Q1828" i="11"/>
  <c r="R1828" i="11"/>
  <c r="P1829" i="11"/>
  <c r="Q1829" i="11"/>
  <c r="R1829" i="11"/>
  <c r="P1830" i="11"/>
  <c r="Q1830" i="11"/>
  <c r="R1830" i="11"/>
  <c r="P1831" i="11"/>
  <c r="Q1831" i="11"/>
  <c r="R1831" i="11"/>
  <c r="P1832" i="11"/>
  <c r="Q1832" i="11"/>
  <c r="R1832" i="11"/>
  <c r="P1833" i="11"/>
  <c r="Q1833" i="11"/>
  <c r="R1833" i="11"/>
  <c r="P1834" i="11"/>
  <c r="Q1834" i="11"/>
  <c r="R1834" i="11"/>
  <c r="P1835" i="11"/>
  <c r="Q1835" i="11"/>
  <c r="R1835" i="11"/>
  <c r="P1836" i="11"/>
  <c r="Q1836" i="11"/>
  <c r="R1836" i="11"/>
  <c r="P1837" i="11"/>
  <c r="Q1837" i="11"/>
  <c r="R1837" i="11"/>
  <c r="P1838" i="11"/>
  <c r="Q1838" i="11"/>
  <c r="R1838" i="11"/>
  <c r="P1839" i="11"/>
  <c r="Q1839" i="11"/>
  <c r="R1839" i="11"/>
  <c r="P1840" i="11"/>
  <c r="Q1840" i="11"/>
  <c r="R1840" i="11"/>
  <c r="P1841" i="11"/>
  <c r="Q1841" i="11"/>
  <c r="R1841" i="11"/>
  <c r="P1842" i="11"/>
  <c r="Q1842" i="11"/>
  <c r="R1842" i="11"/>
  <c r="P1843" i="11"/>
  <c r="Q1843" i="11"/>
  <c r="R1843" i="11"/>
  <c r="P1844" i="11"/>
  <c r="Q1844" i="11"/>
  <c r="R1844" i="11"/>
  <c r="P1845" i="11"/>
  <c r="Q1845" i="11"/>
  <c r="R1845" i="11"/>
  <c r="P1846" i="11"/>
  <c r="Q1846" i="11"/>
  <c r="R1846" i="11"/>
  <c r="P1847" i="11"/>
  <c r="Q1847" i="11"/>
  <c r="R1847" i="11"/>
  <c r="P1848" i="11"/>
  <c r="Q1848" i="11"/>
  <c r="R1848" i="11"/>
  <c r="P1849" i="11"/>
  <c r="Q1849" i="11"/>
  <c r="R1849" i="11"/>
  <c r="P1850" i="11"/>
  <c r="Q1850" i="11"/>
  <c r="R1850" i="11"/>
  <c r="P1851" i="11"/>
  <c r="Q1851" i="11"/>
  <c r="R1851" i="11"/>
  <c r="P1852" i="11"/>
  <c r="Q1852" i="11"/>
  <c r="R1852" i="11"/>
  <c r="P1853" i="11"/>
  <c r="Q1853" i="11"/>
  <c r="R1853" i="11"/>
  <c r="P1854" i="11"/>
  <c r="Q1854" i="11"/>
  <c r="R1854" i="11"/>
  <c r="P1855" i="11"/>
  <c r="Q1855" i="11"/>
  <c r="R1855" i="11"/>
  <c r="P1856" i="11"/>
  <c r="Q1856" i="11"/>
  <c r="R1856" i="11"/>
  <c r="P1857" i="11"/>
  <c r="Q1857" i="11"/>
  <c r="R1857" i="11"/>
  <c r="P1858" i="11"/>
  <c r="Q1858" i="11"/>
  <c r="R1858" i="11"/>
  <c r="P1859" i="11"/>
  <c r="Q1859" i="11"/>
  <c r="R1859" i="11"/>
  <c r="P1860" i="11"/>
  <c r="Q1860" i="11"/>
  <c r="R1860" i="11"/>
  <c r="P1861" i="11"/>
  <c r="Q1861" i="11"/>
  <c r="R1861" i="11"/>
  <c r="P1862" i="11"/>
  <c r="Q1862" i="11"/>
  <c r="R1862" i="11"/>
  <c r="P1863" i="11"/>
  <c r="Q1863" i="11"/>
  <c r="R1863" i="11"/>
  <c r="P1864" i="11"/>
  <c r="Q1864" i="11"/>
  <c r="R1864" i="11"/>
  <c r="P1865" i="11"/>
  <c r="Q1865" i="11"/>
  <c r="R1865" i="11"/>
  <c r="P1866" i="11"/>
  <c r="Q1866" i="11"/>
  <c r="R1866" i="11"/>
  <c r="P1867" i="11"/>
  <c r="Q1867" i="11"/>
  <c r="R1867" i="11"/>
  <c r="P1868" i="11"/>
  <c r="Q1868" i="11"/>
  <c r="R1868" i="11"/>
  <c r="P1869" i="11"/>
  <c r="Q1869" i="11"/>
  <c r="R1869" i="11"/>
  <c r="P1870" i="11"/>
  <c r="Q1870" i="11"/>
  <c r="R1870" i="11"/>
  <c r="P1871" i="11"/>
  <c r="Q1871" i="11"/>
  <c r="R1871" i="11"/>
  <c r="P1872" i="11"/>
  <c r="Q1872" i="11"/>
  <c r="R1872" i="11"/>
  <c r="P1873" i="11"/>
  <c r="Q1873" i="11"/>
  <c r="R1873" i="11"/>
  <c r="P1874" i="11"/>
  <c r="Q1874" i="11"/>
  <c r="R1874" i="11"/>
  <c r="P1875" i="11"/>
  <c r="Q1875" i="11"/>
  <c r="R1875" i="11"/>
  <c r="P1876" i="11"/>
  <c r="Q1876" i="11"/>
  <c r="R1876" i="11"/>
  <c r="P1877" i="11"/>
  <c r="Q1877" i="11"/>
  <c r="R1877" i="11"/>
  <c r="P1878" i="11"/>
  <c r="Q1878" i="11"/>
  <c r="R1878" i="11"/>
  <c r="P1879" i="11"/>
  <c r="Q1879" i="11"/>
  <c r="R1879" i="11"/>
  <c r="P1880" i="11"/>
  <c r="Q1880" i="11"/>
  <c r="R1880" i="11"/>
  <c r="P1881" i="11"/>
  <c r="Q1881" i="11"/>
  <c r="R1881" i="11"/>
  <c r="P1882" i="11"/>
  <c r="Q1882" i="11"/>
  <c r="R1882" i="11"/>
  <c r="P1883" i="11"/>
  <c r="Q1883" i="11"/>
  <c r="R1883" i="11"/>
  <c r="P1884" i="11"/>
  <c r="Q1884" i="11"/>
  <c r="R1884" i="11"/>
  <c r="P1885" i="11"/>
  <c r="Q1885" i="11"/>
  <c r="R1885" i="11"/>
  <c r="P1886" i="11"/>
  <c r="Q1886" i="11"/>
  <c r="R1886" i="11"/>
  <c r="P1887" i="11"/>
  <c r="Q1887" i="11"/>
  <c r="R1887" i="11"/>
  <c r="P1888" i="11"/>
  <c r="Q1888" i="11"/>
  <c r="R1888" i="11"/>
  <c r="P1889" i="11"/>
  <c r="Q1889" i="11"/>
  <c r="R1889" i="11"/>
  <c r="P1890" i="11"/>
  <c r="Q1890" i="11"/>
  <c r="R1890" i="11"/>
  <c r="P1891" i="11"/>
  <c r="Q1891" i="11"/>
  <c r="R1891" i="11"/>
  <c r="P1892" i="11"/>
  <c r="Q1892" i="11"/>
  <c r="R1892" i="11"/>
  <c r="P1893" i="11"/>
  <c r="Q1893" i="11"/>
  <c r="R1893" i="11"/>
  <c r="P1894" i="11"/>
  <c r="Q1894" i="11"/>
  <c r="R1894" i="11"/>
  <c r="P1895" i="11"/>
  <c r="Q1895" i="11"/>
  <c r="R1895" i="11"/>
  <c r="P1896" i="11"/>
  <c r="Q1896" i="11"/>
  <c r="R1896" i="11"/>
  <c r="P1897" i="11"/>
  <c r="Q1897" i="11"/>
  <c r="R1897" i="11"/>
  <c r="P1898" i="11"/>
  <c r="Q1898" i="11"/>
  <c r="R1898" i="11"/>
  <c r="P1899" i="11"/>
  <c r="Q1899" i="11"/>
  <c r="R1899" i="11"/>
  <c r="P1900" i="11"/>
  <c r="Q1900" i="11"/>
  <c r="R1900" i="11"/>
  <c r="P1901" i="11"/>
  <c r="Q1901" i="11"/>
  <c r="R1901" i="11"/>
  <c r="P1902" i="11"/>
  <c r="Q1902" i="11"/>
  <c r="R1902" i="11"/>
  <c r="P1903" i="11"/>
  <c r="Q1903" i="11"/>
  <c r="R1903" i="11"/>
  <c r="P1904" i="11"/>
  <c r="Q1904" i="11"/>
  <c r="R1904" i="11"/>
  <c r="P1905" i="11"/>
  <c r="Q1905" i="11"/>
  <c r="R1905" i="11"/>
  <c r="P1906" i="11"/>
  <c r="Q1906" i="11"/>
  <c r="R1906" i="11"/>
  <c r="P1907" i="11"/>
  <c r="Q1907" i="11"/>
  <c r="R1907" i="11"/>
  <c r="P1908" i="11"/>
  <c r="Q1908" i="11"/>
  <c r="R1908" i="11"/>
  <c r="P1909" i="11"/>
  <c r="Q1909" i="11"/>
  <c r="R1909" i="11"/>
  <c r="P1910" i="11"/>
  <c r="Q1910" i="11"/>
  <c r="R1910" i="11"/>
  <c r="P1911" i="11"/>
  <c r="Q1911" i="11"/>
  <c r="R1911" i="11"/>
  <c r="P1912" i="11"/>
  <c r="Q1912" i="11"/>
  <c r="R1912" i="11"/>
  <c r="P1913" i="11"/>
  <c r="Q1913" i="11"/>
  <c r="R1913" i="11"/>
  <c r="P1914" i="11"/>
  <c r="Q1914" i="11"/>
  <c r="R1914" i="11"/>
  <c r="P1915" i="11"/>
  <c r="Q1915" i="11"/>
  <c r="R1915" i="11"/>
  <c r="P1916" i="11"/>
  <c r="Q1916" i="11"/>
  <c r="R1916" i="11"/>
  <c r="P1917" i="11"/>
  <c r="Q1917" i="11"/>
  <c r="R1917" i="11"/>
  <c r="P1918" i="11"/>
  <c r="Q1918" i="11"/>
  <c r="R1918" i="11"/>
  <c r="P1919" i="11"/>
  <c r="Q1919" i="11"/>
  <c r="R1919" i="11"/>
  <c r="P1920" i="11"/>
  <c r="Q1920" i="11"/>
  <c r="R1920" i="11"/>
  <c r="P1921" i="11"/>
  <c r="Q1921" i="11"/>
  <c r="R1921" i="11"/>
  <c r="P1922" i="11"/>
  <c r="Q1922" i="11"/>
  <c r="R1922" i="11"/>
  <c r="P1923" i="11"/>
  <c r="Q1923" i="11"/>
  <c r="R1923" i="11"/>
  <c r="P1924" i="11"/>
  <c r="Q1924" i="11"/>
  <c r="R1924" i="11"/>
  <c r="P1925" i="11"/>
  <c r="Q1925" i="11"/>
  <c r="R1925" i="11"/>
  <c r="P1926" i="11"/>
  <c r="Q1926" i="11"/>
  <c r="R1926" i="11"/>
  <c r="P1927" i="11"/>
  <c r="Q1927" i="11"/>
  <c r="R1927" i="11"/>
  <c r="P1928" i="11"/>
  <c r="Q1928" i="11"/>
  <c r="R1928" i="11"/>
  <c r="P1929" i="11"/>
  <c r="Q1929" i="11"/>
  <c r="R1929" i="11"/>
  <c r="P1930" i="11"/>
  <c r="Q1930" i="11"/>
  <c r="R1930" i="11"/>
  <c r="P1931" i="11"/>
  <c r="Q1931" i="11"/>
  <c r="R1931" i="11"/>
  <c r="P1932" i="11"/>
  <c r="Q1932" i="11"/>
  <c r="R1932" i="11"/>
  <c r="P1933" i="11"/>
  <c r="Q1933" i="11"/>
  <c r="R1933" i="11"/>
  <c r="P1934" i="11"/>
  <c r="Q1934" i="11"/>
  <c r="R1934" i="11"/>
  <c r="P1935" i="11"/>
  <c r="Q1935" i="11"/>
  <c r="R1935" i="11"/>
  <c r="P1936" i="11"/>
  <c r="Q1936" i="11"/>
  <c r="R1936" i="11"/>
  <c r="P1937" i="11"/>
  <c r="Q1937" i="11"/>
  <c r="R1937" i="11"/>
  <c r="P1938" i="11"/>
  <c r="Q1938" i="11"/>
  <c r="R1938" i="11"/>
  <c r="P1939" i="11"/>
  <c r="Q1939" i="11"/>
  <c r="R1939" i="11"/>
  <c r="P1940" i="11"/>
  <c r="Q1940" i="11"/>
  <c r="R1940" i="11"/>
  <c r="P1941" i="11"/>
  <c r="Q1941" i="11"/>
  <c r="R1941" i="11"/>
  <c r="P1942" i="11"/>
  <c r="Q1942" i="11"/>
  <c r="R1942" i="11"/>
  <c r="P1943" i="11"/>
  <c r="Q1943" i="11"/>
  <c r="R1943" i="11"/>
  <c r="P1944" i="11"/>
  <c r="Q1944" i="11"/>
  <c r="R1944" i="11"/>
  <c r="P1945" i="11"/>
  <c r="Q1945" i="11"/>
  <c r="R1945" i="11"/>
  <c r="P1946" i="11"/>
  <c r="Q1946" i="11"/>
  <c r="R1946" i="11"/>
  <c r="P1947" i="11"/>
  <c r="Q1947" i="11"/>
  <c r="R1947" i="11"/>
  <c r="P1948" i="11"/>
  <c r="Q1948" i="11"/>
  <c r="R1948" i="11"/>
  <c r="P1949" i="11"/>
  <c r="Q1949" i="11"/>
  <c r="R1949" i="11"/>
  <c r="P1950" i="11"/>
  <c r="Q1950" i="11"/>
  <c r="R1950" i="11"/>
  <c r="P1951" i="11"/>
  <c r="Q1951" i="11"/>
  <c r="R1951" i="11"/>
  <c r="P1952" i="11"/>
  <c r="Q1952" i="11"/>
  <c r="R1952" i="11"/>
  <c r="P1953" i="11"/>
  <c r="Q1953" i="11"/>
  <c r="R1953" i="11"/>
  <c r="P1954" i="11"/>
  <c r="Q1954" i="11"/>
  <c r="R1954" i="11"/>
  <c r="P1955" i="11"/>
  <c r="Q1955" i="11"/>
  <c r="R1955" i="11"/>
  <c r="P1956" i="11"/>
  <c r="Q1956" i="11"/>
  <c r="R1956" i="11"/>
  <c r="P1957" i="11"/>
  <c r="Q1957" i="11"/>
  <c r="R1957" i="11"/>
  <c r="P1958" i="11"/>
  <c r="Q1958" i="11"/>
  <c r="R1958" i="11"/>
  <c r="P1959" i="11"/>
  <c r="Q1959" i="11"/>
  <c r="R1959" i="11"/>
  <c r="P1960" i="11"/>
  <c r="Q1960" i="11"/>
  <c r="R1960" i="11"/>
  <c r="P1961" i="11"/>
  <c r="Q1961" i="11"/>
  <c r="R1961" i="11"/>
  <c r="P1962" i="11"/>
  <c r="Q1962" i="11"/>
  <c r="R1962" i="11"/>
  <c r="P1963" i="11"/>
  <c r="Q1963" i="11"/>
  <c r="R1963" i="11"/>
  <c r="P1964" i="11"/>
  <c r="Q1964" i="11"/>
  <c r="R1964" i="11"/>
  <c r="P1965" i="11"/>
  <c r="Q1965" i="11"/>
  <c r="R1965" i="11"/>
  <c r="P1966" i="11"/>
  <c r="Q1966" i="11"/>
  <c r="R1966" i="11"/>
  <c r="P1967" i="11"/>
  <c r="Q1967" i="11"/>
  <c r="R1967" i="11"/>
  <c r="P1968" i="11"/>
  <c r="Q1968" i="11"/>
  <c r="R1968" i="11"/>
  <c r="P1969" i="11"/>
  <c r="Q1969" i="11"/>
  <c r="R1969" i="11"/>
  <c r="P1970" i="11"/>
  <c r="Q1970" i="11"/>
  <c r="R1970" i="11"/>
  <c r="P1971" i="11"/>
  <c r="Q1971" i="11"/>
  <c r="R1971" i="11"/>
  <c r="P1972" i="11"/>
  <c r="Q1972" i="11"/>
  <c r="R1972" i="11"/>
  <c r="P1973" i="11"/>
  <c r="Q1973" i="11"/>
  <c r="R1973" i="11"/>
  <c r="P1974" i="11"/>
  <c r="Q1974" i="11"/>
  <c r="R1974" i="11"/>
  <c r="P1975" i="11"/>
  <c r="Q1975" i="11"/>
  <c r="R1975" i="11"/>
  <c r="P1976" i="11"/>
  <c r="Q1976" i="11"/>
  <c r="R1976" i="11"/>
  <c r="P1977" i="11"/>
  <c r="Q1977" i="11"/>
  <c r="R1977" i="11"/>
  <c r="P1978" i="11"/>
  <c r="Q1978" i="11"/>
  <c r="R1978" i="11"/>
  <c r="P1979" i="11"/>
  <c r="Q1979" i="11"/>
  <c r="R1979" i="11"/>
  <c r="P1980" i="11"/>
  <c r="Q1980" i="11"/>
  <c r="R1980" i="11"/>
  <c r="P1981" i="11"/>
  <c r="Q1981" i="11"/>
  <c r="R1981" i="11"/>
  <c r="P1982" i="11"/>
  <c r="Q1982" i="11"/>
  <c r="R1982" i="11"/>
  <c r="P1983" i="11"/>
  <c r="Q1983" i="11"/>
  <c r="R1983" i="11"/>
  <c r="P1984" i="11"/>
  <c r="Q1984" i="11"/>
  <c r="R1984" i="11"/>
  <c r="P1985" i="11"/>
  <c r="Q1985" i="11"/>
  <c r="R1985" i="11"/>
  <c r="P1986" i="11"/>
  <c r="Q1986" i="11"/>
  <c r="R1986" i="11"/>
  <c r="P1987" i="11"/>
  <c r="Q1987" i="11"/>
  <c r="R1987" i="11"/>
  <c r="P1988" i="11"/>
  <c r="Q1988" i="11"/>
  <c r="R1988" i="11"/>
  <c r="P1989" i="11"/>
  <c r="Q1989" i="11"/>
  <c r="R1989" i="11"/>
  <c r="P1990" i="11"/>
  <c r="Q1990" i="11"/>
  <c r="R1990" i="11"/>
  <c r="P1991" i="11"/>
  <c r="Q1991" i="11"/>
  <c r="R1991" i="11"/>
  <c r="P1992" i="11"/>
  <c r="Q1992" i="11"/>
  <c r="R1992" i="11"/>
  <c r="P1993" i="11"/>
  <c r="Q1993" i="11"/>
  <c r="R1993" i="11"/>
  <c r="P1994" i="11"/>
  <c r="Q1994" i="11"/>
  <c r="R1994" i="11"/>
  <c r="P1995" i="11"/>
  <c r="Q1995" i="11"/>
  <c r="R1995" i="11"/>
  <c r="P1996" i="11"/>
  <c r="Q1996" i="11"/>
  <c r="R1996" i="11"/>
  <c r="P1997" i="11"/>
  <c r="Q1997" i="11"/>
  <c r="R1997" i="11"/>
  <c r="P1998" i="11"/>
  <c r="Q1998" i="11"/>
  <c r="R1998" i="11"/>
  <c r="P1999" i="11"/>
  <c r="Q1999" i="11"/>
  <c r="R1999" i="11"/>
  <c r="P2000" i="11"/>
  <c r="Q2000" i="11"/>
  <c r="R2000" i="11"/>
  <c r="P2001" i="11"/>
  <c r="Q2001" i="11"/>
  <c r="R2001" i="11"/>
  <c r="P2002" i="11"/>
  <c r="Q2002" i="11"/>
  <c r="R2002" i="11"/>
  <c r="P2003" i="11"/>
  <c r="Q2003" i="11"/>
  <c r="R2003" i="11"/>
  <c r="P2004" i="11"/>
  <c r="Q2004" i="11"/>
  <c r="R2004" i="11"/>
  <c r="P2005" i="11"/>
  <c r="Q2005" i="11"/>
  <c r="R2005" i="11"/>
  <c r="P2006" i="11"/>
  <c r="Q2006" i="11"/>
  <c r="R2006" i="11"/>
  <c r="P2007" i="11"/>
  <c r="Q2007" i="11"/>
  <c r="R2007" i="11"/>
  <c r="P2008" i="11"/>
  <c r="Q2008" i="11"/>
  <c r="R2008" i="11"/>
  <c r="P2009" i="11"/>
  <c r="Q2009" i="11"/>
  <c r="R2009" i="11"/>
  <c r="P2010" i="11"/>
  <c r="Q2010" i="11"/>
  <c r="R2010" i="11"/>
  <c r="P2011" i="11"/>
  <c r="Q2011" i="11"/>
  <c r="R2011" i="11"/>
  <c r="P2012" i="11"/>
  <c r="Q2012" i="11"/>
  <c r="R2012" i="11"/>
  <c r="P2013" i="11"/>
  <c r="Q2013" i="11"/>
  <c r="R2013" i="11"/>
  <c r="P2014" i="11"/>
  <c r="Q2014" i="11"/>
  <c r="R2014" i="11"/>
  <c r="P2015" i="11"/>
  <c r="Q2015" i="11"/>
  <c r="R2015" i="11"/>
  <c r="P2016" i="11"/>
  <c r="Q2016" i="11"/>
  <c r="R2016" i="11"/>
  <c r="P2017" i="11"/>
  <c r="Q2017" i="11"/>
  <c r="R2017" i="11"/>
  <c r="P2018" i="11"/>
  <c r="Q2018" i="11"/>
  <c r="R2018" i="11"/>
  <c r="P2019" i="11"/>
  <c r="Q2019" i="11"/>
  <c r="R2019" i="11"/>
  <c r="P2020" i="11"/>
  <c r="Q2020" i="11"/>
  <c r="R2020" i="11"/>
  <c r="P2021" i="11"/>
  <c r="Q2021" i="11"/>
  <c r="R2021" i="11"/>
  <c r="P2022" i="11"/>
  <c r="Q2022" i="11"/>
  <c r="R2022" i="11"/>
  <c r="P2023" i="11"/>
  <c r="Q2023" i="11"/>
  <c r="R2023" i="11"/>
  <c r="P2024" i="11"/>
  <c r="Q2024" i="11"/>
  <c r="R2024" i="11"/>
  <c r="P2025" i="11"/>
  <c r="Q2025" i="11"/>
  <c r="R2025" i="11"/>
  <c r="P2026" i="11"/>
  <c r="Q2026" i="11"/>
  <c r="R2026" i="11"/>
  <c r="P2027" i="11"/>
  <c r="Q2027" i="11"/>
  <c r="R2027" i="11"/>
  <c r="P2028" i="11"/>
  <c r="Q2028" i="11"/>
  <c r="R2028" i="11"/>
  <c r="P2029" i="11"/>
  <c r="Q2029" i="11"/>
  <c r="R2029" i="11"/>
  <c r="P2030" i="11"/>
  <c r="Q2030" i="11"/>
  <c r="R2030" i="11"/>
  <c r="P2031" i="11"/>
  <c r="Q2031" i="11"/>
  <c r="R2031" i="11"/>
  <c r="P2032" i="11"/>
  <c r="Q2032" i="11"/>
  <c r="R2032" i="11"/>
  <c r="P2033" i="11"/>
  <c r="Q2033" i="11"/>
  <c r="R2033" i="11"/>
  <c r="P2034" i="11"/>
  <c r="Q2034" i="11"/>
  <c r="R2034" i="11"/>
  <c r="P2035" i="11"/>
  <c r="Q2035" i="11"/>
  <c r="R2035" i="11"/>
  <c r="P2036" i="11"/>
  <c r="Q2036" i="11"/>
  <c r="R2036" i="11"/>
  <c r="P2037" i="11"/>
  <c r="Q2037" i="11"/>
  <c r="R2037" i="11"/>
  <c r="P2038" i="11"/>
  <c r="Q2038" i="11"/>
  <c r="R2038" i="11"/>
  <c r="P2039" i="11"/>
  <c r="Q2039" i="11"/>
  <c r="R2039" i="11"/>
  <c r="P2040" i="11"/>
  <c r="Q2040" i="11"/>
  <c r="R2040" i="11"/>
  <c r="P2041" i="11"/>
  <c r="Q2041" i="11"/>
  <c r="R2041" i="11"/>
  <c r="P2042" i="11"/>
  <c r="Q2042" i="11"/>
  <c r="R2042" i="11"/>
  <c r="P2043" i="11"/>
  <c r="Q2043" i="11"/>
  <c r="R2043" i="11"/>
  <c r="P2044" i="11"/>
  <c r="Q2044" i="11"/>
  <c r="R2044" i="11"/>
  <c r="P2045" i="11"/>
  <c r="Q2045" i="11"/>
  <c r="R2045" i="11"/>
  <c r="P2046" i="11"/>
  <c r="Q2046" i="11"/>
  <c r="R2046" i="11"/>
  <c r="P2047" i="11"/>
  <c r="Q2047" i="11"/>
  <c r="R2047" i="11"/>
  <c r="P2048" i="11"/>
  <c r="Q2048" i="11"/>
  <c r="R2048" i="11"/>
  <c r="P2049" i="11"/>
  <c r="Q2049" i="11"/>
  <c r="R2049" i="11"/>
  <c r="P2050" i="11"/>
  <c r="Q2050" i="11"/>
  <c r="R2050" i="11"/>
  <c r="P2051" i="11"/>
  <c r="Q2051" i="11"/>
  <c r="R2051" i="11"/>
  <c r="P2052" i="11"/>
  <c r="Q2052" i="11"/>
  <c r="R2052" i="11"/>
  <c r="P2053" i="11"/>
  <c r="Q2053" i="11"/>
  <c r="R2053" i="11"/>
  <c r="P2054" i="11"/>
  <c r="Q2054" i="11"/>
  <c r="R2054" i="11"/>
  <c r="P2055" i="11"/>
  <c r="Q2055" i="11"/>
  <c r="R2055" i="11"/>
  <c r="P2056" i="11"/>
  <c r="Q2056" i="11"/>
  <c r="R2056" i="11"/>
  <c r="P2057" i="11"/>
  <c r="Q2057" i="11"/>
  <c r="R2057" i="11"/>
  <c r="P2058" i="11"/>
  <c r="Q2058" i="11"/>
  <c r="R2058" i="11"/>
  <c r="P2059" i="11"/>
  <c r="Q2059" i="11"/>
  <c r="R2059" i="11"/>
  <c r="P2060" i="11"/>
  <c r="Q2060" i="11"/>
  <c r="R2060" i="11"/>
  <c r="P2061" i="11"/>
  <c r="Q2061" i="11"/>
  <c r="R2061" i="11"/>
  <c r="P2062" i="11"/>
  <c r="Q2062" i="11"/>
  <c r="R2062" i="11"/>
  <c r="P2063" i="11"/>
  <c r="Q2063" i="11"/>
  <c r="R2063" i="11"/>
  <c r="P2064" i="11"/>
  <c r="Q2064" i="11"/>
  <c r="R2064" i="11"/>
  <c r="P2065" i="11"/>
  <c r="Q2065" i="11"/>
  <c r="R2065" i="11"/>
  <c r="P2066" i="11"/>
  <c r="Q2066" i="11"/>
  <c r="R2066" i="11"/>
  <c r="P2067" i="11"/>
  <c r="Q2067" i="11"/>
  <c r="R2067" i="11"/>
  <c r="P2068" i="11"/>
  <c r="Q2068" i="11"/>
  <c r="R2068" i="11"/>
  <c r="P2069" i="11"/>
  <c r="Q2069" i="11"/>
  <c r="R2069" i="11"/>
  <c r="P2070" i="11"/>
  <c r="Q2070" i="11"/>
  <c r="R2070" i="11"/>
  <c r="P2071" i="11"/>
  <c r="Q2071" i="11"/>
  <c r="R2071" i="11"/>
  <c r="P2072" i="11"/>
  <c r="Q2072" i="11"/>
  <c r="R2072" i="11"/>
  <c r="P2073" i="11"/>
  <c r="Q2073" i="11"/>
  <c r="R2073" i="11"/>
  <c r="P2074" i="11"/>
  <c r="Q2074" i="11"/>
  <c r="R2074" i="11"/>
  <c r="P2075" i="11"/>
  <c r="Q2075" i="11"/>
  <c r="R2075" i="11"/>
  <c r="P2076" i="11"/>
  <c r="Q2076" i="11"/>
  <c r="R2076" i="11"/>
  <c r="P2077" i="11"/>
  <c r="Q2077" i="11"/>
  <c r="R2077" i="11"/>
  <c r="P2078" i="11"/>
  <c r="Q2078" i="11"/>
  <c r="R2078" i="11"/>
  <c r="P2079" i="11"/>
  <c r="Q2079" i="11"/>
  <c r="R2079" i="11"/>
  <c r="P2080" i="11"/>
  <c r="Q2080" i="11"/>
  <c r="R2080" i="11"/>
  <c r="P2081" i="11"/>
  <c r="Q2081" i="11"/>
  <c r="R2081" i="11"/>
  <c r="P2082" i="11"/>
  <c r="Q2082" i="11"/>
  <c r="R2082" i="11"/>
  <c r="P2083" i="11"/>
  <c r="Q2083" i="11"/>
  <c r="R2083" i="11"/>
  <c r="P2084" i="11"/>
  <c r="Q2084" i="11"/>
  <c r="R2084" i="11"/>
  <c r="P2085" i="11"/>
  <c r="Q2085" i="11"/>
  <c r="R2085" i="11"/>
  <c r="P2086" i="11"/>
  <c r="Q2086" i="11"/>
  <c r="R2086" i="11"/>
  <c r="P2087" i="11"/>
  <c r="Q2087" i="11"/>
  <c r="R2087" i="11"/>
  <c r="P2088" i="11"/>
  <c r="Q2088" i="11"/>
  <c r="R2088" i="11"/>
  <c r="P2089" i="11"/>
  <c r="Q2089" i="11"/>
  <c r="R2089" i="11"/>
  <c r="P2090" i="11"/>
  <c r="Q2090" i="11"/>
  <c r="R2090" i="11"/>
  <c r="P2091" i="11"/>
  <c r="Q2091" i="11"/>
  <c r="R2091" i="11"/>
  <c r="P2092" i="11"/>
  <c r="Q2092" i="11"/>
  <c r="R2092" i="11"/>
  <c r="P2093" i="11"/>
  <c r="Q2093" i="11"/>
  <c r="R2093" i="11"/>
  <c r="P2094" i="11"/>
  <c r="Q2094" i="11"/>
  <c r="R2094" i="11"/>
  <c r="P2095" i="11"/>
  <c r="Q2095" i="11"/>
  <c r="R2095" i="11"/>
  <c r="P2096" i="11"/>
  <c r="Q2096" i="11"/>
  <c r="R2096" i="11"/>
  <c r="P2097" i="11"/>
  <c r="Q2097" i="11"/>
  <c r="R2097" i="11"/>
  <c r="P2098" i="11"/>
  <c r="Q2098" i="11"/>
  <c r="R2098" i="11"/>
  <c r="P2099" i="11"/>
  <c r="Q2099" i="11"/>
  <c r="R2099" i="11"/>
  <c r="P2100" i="11"/>
  <c r="Q2100" i="11"/>
  <c r="R2100" i="11"/>
  <c r="P2101" i="11"/>
  <c r="Q2101" i="11"/>
  <c r="R2101" i="11"/>
  <c r="P2102" i="11"/>
  <c r="Q2102" i="11"/>
  <c r="R2102" i="11"/>
  <c r="P2103" i="11"/>
  <c r="Q2103" i="11"/>
  <c r="R2103" i="11"/>
  <c r="P2104" i="11"/>
  <c r="Q2104" i="11"/>
  <c r="R2104" i="11"/>
  <c r="P2105" i="11"/>
  <c r="Q2105" i="11"/>
  <c r="R2105" i="11"/>
  <c r="P2106" i="11"/>
  <c r="Q2106" i="11"/>
  <c r="R2106" i="11"/>
  <c r="P2107" i="11"/>
  <c r="Q2107" i="11"/>
  <c r="R2107" i="11"/>
  <c r="P2108" i="11"/>
  <c r="Q2108" i="11"/>
  <c r="R2108" i="11"/>
  <c r="P2109" i="11"/>
  <c r="Q2109" i="11"/>
  <c r="R2109" i="11"/>
  <c r="P2110" i="11"/>
  <c r="Q2110" i="11"/>
  <c r="R2110" i="11"/>
  <c r="P2111" i="11"/>
  <c r="Q2111" i="11"/>
  <c r="R2111" i="11"/>
  <c r="P2112" i="11"/>
  <c r="Q2112" i="11"/>
  <c r="R2112" i="11"/>
  <c r="P2113" i="11"/>
  <c r="Q2113" i="11"/>
  <c r="R2113" i="11"/>
  <c r="P2114" i="11"/>
  <c r="Q2114" i="11"/>
  <c r="R2114" i="11"/>
  <c r="P2115" i="11"/>
  <c r="Q2115" i="11"/>
  <c r="R2115" i="11"/>
  <c r="P2116" i="11"/>
  <c r="Q2116" i="11"/>
  <c r="R2116" i="11"/>
  <c r="P2117" i="11"/>
  <c r="Q2117" i="11"/>
  <c r="R2117" i="11"/>
  <c r="P2118" i="11"/>
  <c r="Q2118" i="11"/>
  <c r="R2118" i="11"/>
  <c r="P2119" i="11"/>
  <c r="Q2119" i="11"/>
  <c r="R2119" i="11"/>
  <c r="P2120" i="11"/>
  <c r="Q2120" i="11"/>
  <c r="R2120" i="11"/>
  <c r="P2121" i="11"/>
  <c r="Q2121" i="11"/>
  <c r="R2121" i="11"/>
  <c r="P2122" i="11"/>
  <c r="Q2122" i="11"/>
  <c r="R2122" i="11"/>
  <c r="P2123" i="11"/>
  <c r="Q2123" i="11"/>
  <c r="R2123" i="11"/>
  <c r="P2124" i="11"/>
  <c r="Q2124" i="11"/>
  <c r="R2124" i="11"/>
  <c r="P2125" i="11"/>
  <c r="Q2125" i="11"/>
  <c r="R2125" i="11"/>
  <c r="P2126" i="11"/>
  <c r="Q2126" i="11"/>
  <c r="R2126" i="11"/>
  <c r="P2127" i="11"/>
  <c r="Q2127" i="11"/>
  <c r="R2127" i="11"/>
  <c r="P2128" i="11"/>
  <c r="Q2128" i="11"/>
  <c r="R2128" i="11"/>
  <c r="P2129" i="11"/>
  <c r="Q2129" i="11"/>
  <c r="R2129" i="11"/>
  <c r="P2130" i="11"/>
  <c r="Q2130" i="11"/>
  <c r="R2130" i="11"/>
  <c r="P2131" i="11"/>
  <c r="Q2131" i="11"/>
  <c r="R2131" i="11"/>
  <c r="P2132" i="11"/>
  <c r="Q2132" i="11"/>
  <c r="R2132" i="11"/>
  <c r="P2133" i="11"/>
  <c r="Q2133" i="11"/>
  <c r="R2133" i="11"/>
  <c r="P2134" i="11"/>
  <c r="Q2134" i="11"/>
  <c r="R2134" i="11"/>
  <c r="P2135" i="11"/>
  <c r="Q2135" i="11"/>
  <c r="R2135" i="11"/>
  <c r="P2136" i="11"/>
  <c r="Q2136" i="11"/>
  <c r="R2136" i="11"/>
  <c r="P2137" i="11"/>
  <c r="Q2137" i="11"/>
  <c r="R2137" i="11"/>
  <c r="P2138" i="11"/>
  <c r="Q2138" i="11"/>
  <c r="R2138" i="11"/>
  <c r="P2139" i="11"/>
  <c r="Q2139" i="11"/>
  <c r="R2139" i="11"/>
  <c r="P2140" i="11"/>
  <c r="Q2140" i="11"/>
  <c r="R2140" i="11"/>
  <c r="P2141" i="11"/>
  <c r="Q2141" i="11"/>
  <c r="R2141" i="11"/>
  <c r="P2142" i="11"/>
  <c r="Q2142" i="11"/>
  <c r="R2142" i="11"/>
  <c r="P2143" i="11"/>
  <c r="Q2143" i="11"/>
  <c r="R2143" i="11"/>
  <c r="P2144" i="11"/>
  <c r="Q2144" i="11"/>
  <c r="R2144" i="11"/>
  <c r="P2145" i="11"/>
  <c r="Q2145" i="11"/>
  <c r="R2145" i="11"/>
  <c r="P2146" i="11"/>
  <c r="Q2146" i="11"/>
  <c r="R2146" i="11"/>
  <c r="P2147" i="11"/>
  <c r="Q2147" i="11"/>
  <c r="R2147" i="11"/>
  <c r="P2148" i="11"/>
  <c r="Q2148" i="11"/>
  <c r="R2148" i="11"/>
  <c r="P2149" i="11"/>
  <c r="Q2149" i="11"/>
  <c r="R2149" i="11"/>
  <c r="P2150" i="11"/>
  <c r="Q2150" i="11"/>
  <c r="R2150" i="11"/>
  <c r="P2151" i="11"/>
  <c r="Q2151" i="11"/>
  <c r="R2151" i="11"/>
  <c r="P2152" i="11"/>
  <c r="Q2152" i="11"/>
  <c r="R2152" i="11"/>
  <c r="P2153" i="11"/>
  <c r="Q2153" i="11"/>
  <c r="R2153" i="11"/>
  <c r="P2154" i="11"/>
  <c r="Q2154" i="11"/>
  <c r="R2154" i="11"/>
  <c r="P2155" i="11"/>
  <c r="Q2155" i="11"/>
  <c r="R2155" i="11"/>
  <c r="P2156" i="11"/>
  <c r="Q2156" i="11"/>
  <c r="R2156" i="11"/>
  <c r="P2157" i="11"/>
  <c r="Q2157" i="11"/>
  <c r="R2157" i="11"/>
  <c r="P2158" i="11"/>
  <c r="Q2158" i="11"/>
  <c r="R2158" i="11"/>
  <c r="P2159" i="11"/>
  <c r="Q2159" i="11"/>
  <c r="R2159" i="11"/>
  <c r="P2160" i="11"/>
  <c r="Q2160" i="11"/>
  <c r="R2160" i="11"/>
  <c r="P2161" i="11"/>
  <c r="Q2161" i="11"/>
  <c r="R2161" i="11"/>
  <c r="P2162" i="11"/>
  <c r="Q2162" i="11"/>
  <c r="R2162" i="11"/>
  <c r="P2163" i="11"/>
  <c r="Q2163" i="11"/>
  <c r="R2163" i="11"/>
  <c r="P2164" i="11"/>
  <c r="Q2164" i="11"/>
  <c r="R2164" i="11"/>
  <c r="P2165" i="11"/>
  <c r="Q2165" i="11"/>
  <c r="R2165" i="11"/>
  <c r="P2166" i="11"/>
  <c r="Q2166" i="11"/>
  <c r="R2166" i="11"/>
  <c r="P2167" i="11"/>
  <c r="Q2167" i="11"/>
  <c r="R2167" i="11"/>
  <c r="P2168" i="11"/>
  <c r="Q2168" i="11"/>
  <c r="R2168" i="11"/>
  <c r="P2169" i="11"/>
  <c r="Q2169" i="11"/>
  <c r="R2169" i="11"/>
  <c r="P2170" i="11"/>
  <c r="Q2170" i="11"/>
  <c r="R2170" i="11"/>
  <c r="P2171" i="11"/>
  <c r="Q2171" i="11"/>
  <c r="R2171" i="11"/>
  <c r="P2172" i="11"/>
  <c r="Q2172" i="11"/>
  <c r="R2172" i="11"/>
  <c r="P2173" i="11"/>
  <c r="Q2173" i="11"/>
  <c r="R2173" i="11"/>
  <c r="P2174" i="11"/>
  <c r="Q2174" i="11"/>
  <c r="R2174" i="11"/>
  <c r="P2175" i="11"/>
  <c r="Q2175" i="11"/>
  <c r="R2175" i="11"/>
  <c r="P2176" i="11"/>
  <c r="Q2176" i="11"/>
  <c r="R2176" i="11"/>
  <c r="P2177" i="11"/>
  <c r="Q2177" i="11"/>
  <c r="R2177" i="11"/>
  <c r="P2178" i="11"/>
  <c r="Q2178" i="11"/>
  <c r="R2178" i="11"/>
  <c r="P2179" i="11"/>
  <c r="Q2179" i="11"/>
  <c r="R2179" i="11"/>
  <c r="P2180" i="11"/>
  <c r="Q2180" i="11"/>
  <c r="R2180" i="11"/>
  <c r="P2181" i="11"/>
  <c r="Q2181" i="11"/>
  <c r="R2181" i="11"/>
  <c r="P2182" i="11"/>
  <c r="Q2182" i="11"/>
  <c r="R2182" i="11"/>
  <c r="P2183" i="11"/>
  <c r="Q2183" i="11"/>
  <c r="R2183" i="11"/>
  <c r="P2184" i="11"/>
  <c r="Q2184" i="11"/>
  <c r="R2184" i="11"/>
  <c r="P2185" i="11"/>
  <c r="Q2185" i="11"/>
  <c r="R2185" i="11"/>
  <c r="P2186" i="11"/>
  <c r="Q2186" i="11"/>
  <c r="R2186" i="11"/>
  <c r="P2187" i="11"/>
  <c r="Q2187" i="11"/>
  <c r="R2187" i="11"/>
  <c r="P2188" i="11"/>
  <c r="Q2188" i="11"/>
  <c r="R2188" i="11"/>
  <c r="P2189" i="11"/>
  <c r="Q2189" i="11"/>
  <c r="R2189" i="11"/>
  <c r="P2190" i="11"/>
  <c r="Q2190" i="11"/>
  <c r="R2190" i="11"/>
  <c r="P2191" i="11"/>
  <c r="Q2191" i="11"/>
  <c r="R2191" i="11"/>
  <c r="P2192" i="11"/>
  <c r="Q2192" i="11"/>
  <c r="R2192" i="11"/>
  <c r="P2193" i="11"/>
  <c r="Q2193" i="11"/>
  <c r="R2193" i="11"/>
  <c r="P2194" i="11"/>
  <c r="Q2194" i="11"/>
  <c r="R2194" i="11"/>
  <c r="P2195" i="11"/>
  <c r="Q2195" i="11"/>
  <c r="R2195" i="11"/>
  <c r="P2196" i="11"/>
  <c r="Q2196" i="11"/>
  <c r="R2196" i="11"/>
  <c r="P2197" i="11"/>
  <c r="Q2197" i="11"/>
  <c r="R2197" i="11"/>
  <c r="P2198" i="11"/>
  <c r="Q2198" i="11"/>
  <c r="R2198" i="11"/>
  <c r="P2199" i="11"/>
  <c r="Q2199" i="11"/>
  <c r="R2199" i="11"/>
  <c r="P2200" i="11"/>
  <c r="Q2200" i="11"/>
  <c r="R2200" i="11"/>
  <c r="P2201" i="11"/>
  <c r="Q2201" i="11"/>
  <c r="R2201" i="11"/>
  <c r="P2202" i="11"/>
  <c r="Q2202" i="11"/>
  <c r="R2202" i="11"/>
  <c r="P2203" i="11"/>
  <c r="Q2203" i="11"/>
  <c r="R2203" i="11"/>
  <c r="P2204" i="11"/>
  <c r="Q2204" i="11"/>
  <c r="R2204" i="11"/>
  <c r="P2205" i="11"/>
  <c r="Q2205" i="11"/>
  <c r="R2205" i="11"/>
  <c r="P2206" i="11"/>
  <c r="Q2206" i="11"/>
  <c r="R2206" i="11"/>
  <c r="P2207" i="11"/>
  <c r="Q2207" i="11"/>
  <c r="R2207" i="11"/>
  <c r="P2208" i="11"/>
  <c r="Q2208" i="11"/>
  <c r="R2208" i="11"/>
  <c r="P2209" i="11"/>
  <c r="Q2209" i="11"/>
  <c r="R2209" i="11"/>
  <c r="P2210" i="11"/>
  <c r="Q2210" i="11"/>
  <c r="R2210" i="11"/>
  <c r="P2211" i="11"/>
  <c r="Q2211" i="11"/>
  <c r="R2211" i="11"/>
  <c r="P2212" i="11"/>
  <c r="Q2212" i="11"/>
  <c r="R2212" i="11"/>
  <c r="P2213" i="11"/>
  <c r="Q2213" i="11"/>
  <c r="R2213" i="11"/>
  <c r="P2214" i="11"/>
  <c r="Q2214" i="11"/>
  <c r="R2214" i="11"/>
  <c r="P2215" i="11"/>
  <c r="Q2215" i="11"/>
  <c r="R2215" i="11"/>
  <c r="P2216" i="11"/>
  <c r="Q2216" i="11"/>
  <c r="R2216" i="11"/>
  <c r="P2217" i="11"/>
  <c r="Q2217" i="11"/>
  <c r="R2217" i="11"/>
  <c r="P2218" i="11"/>
  <c r="Q2218" i="11"/>
  <c r="R2218" i="11"/>
  <c r="P2219" i="11"/>
  <c r="Q2219" i="11"/>
  <c r="R2219" i="11"/>
  <c r="P2220" i="11"/>
  <c r="Q2220" i="11"/>
  <c r="R2220" i="11"/>
  <c r="P2221" i="11"/>
  <c r="Q2221" i="11"/>
  <c r="R2221" i="11"/>
  <c r="P2222" i="11"/>
  <c r="Q2222" i="11"/>
  <c r="R2222" i="11"/>
  <c r="P2223" i="11"/>
  <c r="Q2223" i="11"/>
  <c r="R2223" i="11"/>
  <c r="P2224" i="11"/>
  <c r="Q2224" i="11"/>
  <c r="R2224" i="11"/>
  <c r="P2225" i="11"/>
  <c r="Q2225" i="11"/>
  <c r="R2225" i="11"/>
  <c r="P2226" i="11"/>
  <c r="Q2226" i="11"/>
  <c r="R2226" i="11"/>
  <c r="P2227" i="11"/>
  <c r="Q2227" i="11"/>
  <c r="R2227" i="11"/>
  <c r="P2228" i="11"/>
  <c r="Q2228" i="11"/>
  <c r="R2228" i="11"/>
  <c r="P2229" i="11"/>
  <c r="Q2229" i="11"/>
  <c r="R2229" i="11"/>
  <c r="P2230" i="11"/>
  <c r="Q2230" i="11"/>
  <c r="R2230" i="11"/>
  <c r="P2231" i="11"/>
  <c r="Q2231" i="11"/>
  <c r="R2231" i="11"/>
  <c r="P2232" i="11"/>
  <c r="Q2232" i="11"/>
  <c r="R2232" i="11"/>
  <c r="P2233" i="11"/>
  <c r="Q2233" i="11"/>
  <c r="R2233" i="11"/>
  <c r="P2234" i="11"/>
  <c r="Q2234" i="11"/>
  <c r="R2234" i="11"/>
  <c r="P2235" i="11"/>
  <c r="Q2235" i="11"/>
  <c r="R2235" i="11"/>
  <c r="P2236" i="11"/>
  <c r="Q2236" i="11"/>
  <c r="R2236" i="11"/>
  <c r="P2237" i="11"/>
  <c r="Q2237" i="11"/>
  <c r="R2237" i="11"/>
  <c r="P2238" i="11"/>
  <c r="Q2238" i="11"/>
  <c r="R2238" i="11"/>
  <c r="P2239" i="11"/>
  <c r="Q2239" i="11"/>
  <c r="R2239" i="11"/>
  <c r="P2240" i="11"/>
  <c r="Q2240" i="11"/>
  <c r="R2240" i="11"/>
  <c r="P2241" i="11"/>
  <c r="Q2241" i="11"/>
  <c r="R2241" i="11"/>
  <c r="P2242" i="11"/>
  <c r="Q2242" i="11"/>
  <c r="R2242" i="11"/>
  <c r="P2243" i="11"/>
  <c r="Q2243" i="11"/>
  <c r="R2243" i="11"/>
  <c r="P2244" i="11"/>
  <c r="Q2244" i="11"/>
  <c r="R2244" i="11"/>
  <c r="P2245" i="11"/>
  <c r="Q2245" i="11"/>
  <c r="R2245" i="11"/>
  <c r="P2246" i="11"/>
  <c r="Q2246" i="11"/>
  <c r="R2246" i="11"/>
  <c r="P2247" i="11"/>
  <c r="Q2247" i="11"/>
  <c r="R2247" i="11"/>
  <c r="P2248" i="11"/>
  <c r="Q2248" i="11"/>
  <c r="R2248" i="11"/>
  <c r="P2249" i="11"/>
  <c r="Q2249" i="11"/>
  <c r="R2249" i="11"/>
  <c r="P2250" i="11"/>
  <c r="Q2250" i="11"/>
  <c r="R2250" i="11"/>
  <c r="P2251" i="11"/>
  <c r="Q2251" i="11"/>
  <c r="R2251" i="11"/>
  <c r="P2252" i="11"/>
  <c r="Q2252" i="11"/>
  <c r="R2252" i="11"/>
  <c r="P2253" i="11"/>
  <c r="Q2253" i="11"/>
  <c r="R2253" i="11"/>
  <c r="P2254" i="11"/>
  <c r="Q2254" i="11"/>
  <c r="R2254" i="11"/>
  <c r="P2255" i="11"/>
  <c r="Q2255" i="11"/>
  <c r="R2255" i="11"/>
  <c r="P2256" i="11"/>
  <c r="Q2256" i="11"/>
  <c r="R2256" i="11"/>
  <c r="P2257" i="11"/>
  <c r="Q2257" i="11"/>
  <c r="R2257" i="11"/>
  <c r="P2258" i="11"/>
  <c r="Q2258" i="11"/>
  <c r="R2258" i="11"/>
  <c r="P2259" i="11"/>
  <c r="Q2259" i="11"/>
  <c r="R2259" i="11"/>
  <c r="P2260" i="11"/>
  <c r="Q2260" i="11"/>
  <c r="R2260" i="11"/>
  <c r="P2261" i="11"/>
  <c r="Q2261" i="11"/>
  <c r="R2261" i="11"/>
  <c r="P2262" i="11"/>
  <c r="Q2262" i="11"/>
  <c r="R2262" i="11"/>
  <c r="P2263" i="11"/>
  <c r="Q2263" i="11"/>
  <c r="R2263" i="11"/>
  <c r="P2264" i="11"/>
  <c r="Q2264" i="11"/>
  <c r="R2264" i="11"/>
  <c r="P2265" i="11"/>
  <c r="Q2265" i="11"/>
  <c r="R2265" i="11"/>
  <c r="P2266" i="11"/>
  <c r="Q2266" i="11"/>
  <c r="R2266" i="11"/>
  <c r="P2267" i="11"/>
  <c r="Q2267" i="11"/>
  <c r="R2267" i="11"/>
  <c r="P2268" i="11"/>
  <c r="Q2268" i="11"/>
  <c r="R2268" i="11"/>
  <c r="P2269" i="11"/>
  <c r="Q2269" i="11"/>
  <c r="R2269" i="11"/>
  <c r="P2270" i="11"/>
  <c r="Q2270" i="11"/>
  <c r="R2270" i="11"/>
  <c r="P2271" i="11"/>
  <c r="Q2271" i="11"/>
  <c r="R2271" i="11"/>
  <c r="P2272" i="11"/>
  <c r="Q2272" i="11"/>
  <c r="R2272" i="11"/>
  <c r="P2273" i="11"/>
  <c r="Q2273" i="11"/>
  <c r="R2273" i="11"/>
  <c r="P2274" i="11"/>
  <c r="Q2274" i="11"/>
  <c r="R2274" i="11"/>
  <c r="P2275" i="11"/>
  <c r="Q2275" i="11"/>
  <c r="R2275" i="11"/>
  <c r="P2276" i="11"/>
  <c r="Q2276" i="11"/>
  <c r="R2276" i="11"/>
  <c r="P2277" i="11"/>
  <c r="Q2277" i="11"/>
  <c r="R2277" i="11"/>
  <c r="P2278" i="11"/>
  <c r="Q2278" i="11"/>
  <c r="R2278" i="11"/>
  <c r="P2279" i="11"/>
  <c r="Q2279" i="11"/>
  <c r="R2279" i="11"/>
  <c r="P2280" i="11"/>
  <c r="Q2280" i="11"/>
  <c r="R2280" i="11"/>
  <c r="P2281" i="11"/>
  <c r="Q2281" i="11"/>
  <c r="R2281" i="11"/>
  <c r="P2282" i="11"/>
  <c r="Q2282" i="11"/>
  <c r="R2282" i="11"/>
  <c r="P2283" i="11"/>
  <c r="Q2283" i="11"/>
  <c r="R2283" i="11"/>
  <c r="P2284" i="11"/>
  <c r="Q2284" i="11"/>
  <c r="R2284" i="11"/>
  <c r="P2285" i="11"/>
  <c r="Q2285" i="11"/>
  <c r="R2285" i="11"/>
  <c r="P2286" i="11"/>
  <c r="Q2286" i="11"/>
  <c r="R2286" i="11"/>
  <c r="P2287" i="11"/>
  <c r="Q2287" i="11"/>
  <c r="R2287" i="11"/>
  <c r="P2288" i="11"/>
  <c r="Q2288" i="11"/>
  <c r="R2288" i="11"/>
  <c r="P2289" i="11"/>
  <c r="Q2289" i="11"/>
  <c r="R2289" i="11"/>
  <c r="P2290" i="11"/>
  <c r="Q2290" i="11"/>
  <c r="R2290" i="11"/>
  <c r="P2291" i="11"/>
  <c r="Q2291" i="11"/>
  <c r="R2291" i="11"/>
  <c r="P2292" i="11"/>
  <c r="Q2292" i="11"/>
  <c r="R2292" i="11"/>
  <c r="P2293" i="11"/>
  <c r="Q2293" i="11"/>
  <c r="R2293" i="11"/>
  <c r="P2294" i="11"/>
  <c r="Q2294" i="11"/>
  <c r="R2294" i="11"/>
  <c r="P2295" i="11"/>
  <c r="Q2295" i="11"/>
  <c r="R2295" i="11"/>
  <c r="P2296" i="11"/>
  <c r="Q2296" i="11"/>
  <c r="R2296" i="11"/>
  <c r="P2297" i="11"/>
  <c r="Q2297" i="11"/>
  <c r="R2297" i="11"/>
  <c r="P2298" i="11"/>
  <c r="Q2298" i="11"/>
  <c r="R2298" i="11"/>
  <c r="P2299" i="11"/>
  <c r="Q2299" i="11"/>
  <c r="R2299" i="11"/>
  <c r="P2300" i="11"/>
  <c r="Q2300" i="11"/>
  <c r="R2300" i="11"/>
  <c r="P2301" i="11"/>
  <c r="Q2301" i="11"/>
  <c r="R2301" i="11"/>
  <c r="P2302" i="11"/>
  <c r="Q2302" i="11"/>
  <c r="R2302" i="11"/>
  <c r="P2303" i="11"/>
  <c r="Q2303" i="11"/>
  <c r="R2303" i="11"/>
  <c r="P2304" i="11"/>
  <c r="Q2304" i="11"/>
  <c r="R2304" i="11"/>
  <c r="P2305" i="11"/>
  <c r="Q2305" i="11"/>
  <c r="R2305" i="11"/>
  <c r="P2306" i="11"/>
  <c r="Q2306" i="11"/>
  <c r="R2306" i="11"/>
  <c r="P2307" i="11"/>
  <c r="Q2307" i="11"/>
  <c r="R2307" i="11"/>
  <c r="P2308" i="11"/>
  <c r="Q2308" i="11"/>
  <c r="R2308" i="11"/>
  <c r="P2309" i="11"/>
  <c r="Q2309" i="11"/>
  <c r="R2309" i="11"/>
  <c r="P2310" i="11"/>
  <c r="Q2310" i="11"/>
  <c r="R2310" i="11"/>
  <c r="P2311" i="11"/>
  <c r="Q2311" i="11"/>
  <c r="R2311" i="11"/>
  <c r="P2312" i="11"/>
  <c r="Q2312" i="11"/>
  <c r="R2312" i="11"/>
  <c r="P2313" i="11"/>
  <c r="Q2313" i="11"/>
  <c r="R2313" i="11"/>
  <c r="P2314" i="11"/>
  <c r="Q2314" i="11"/>
  <c r="R2314" i="11"/>
  <c r="P2315" i="11"/>
  <c r="Q2315" i="11"/>
  <c r="R2315" i="11"/>
  <c r="P2316" i="11"/>
  <c r="Q2316" i="11"/>
  <c r="R2316" i="11"/>
  <c r="P2317" i="11"/>
  <c r="Q2317" i="11"/>
  <c r="R2317" i="11"/>
  <c r="P2318" i="11"/>
  <c r="Q2318" i="11"/>
  <c r="R2318" i="11"/>
  <c r="P2319" i="11"/>
  <c r="Q2319" i="11"/>
  <c r="R2319" i="11"/>
  <c r="P2320" i="11"/>
  <c r="Q2320" i="11"/>
  <c r="R2320" i="11"/>
  <c r="P2321" i="11"/>
  <c r="Q2321" i="11"/>
  <c r="R2321" i="11"/>
  <c r="P2322" i="11"/>
  <c r="Q2322" i="11"/>
  <c r="R2322" i="11"/>
  <c r="P2323" i="11"/>
  <c r="Q2323" i="11"/>
  <c r="R2323" i="11"/>
  <c r="P2324" i="11"/>
  <c r="Q2324" i="11"/>
  <c r="R2324" i="11"/>
  <c r="P2325" i="11"/>
  <c r="Q2325" i="11"/>
  <c r="R2325" i="11"/>
  <c r="P2326" i="11"/>
  <c r="Q2326" i="11"/>
  <c r="R2326" i="11"/>
  <c r="P2327" i="11"/>
  <c r="Q2327" i="11"/>
  <c r="R2327" i="11"/>
  <c r="P2328" i="11"/>
  <c r="Q2328" i="11"/>
  <c r="R2328" i="11"/>
  <c r="P2329" i="11"/>
  <c r="Q2329" i="11"/>
  <c r="R2329" i="11"/>
  <c r="P2330" i="11"/>
  <c r="Q2330" i="11"/>
  <c r="R2330" i="11"/>
  <c r="P2331" i="11"/>
  <c r="Q2331" i="11"/>
  <c r="R2331" i="11"/>
  <c r="P2332" i="11"/>
  <c r="Q2332" i="11"/>
  <c r="R2332" i="11"/>
  <c r="P2333" i="11"/>
  <c r="Q2333" i="11"/>
  <c r="R2333" i="11"/>
  <c r="P2334" i="11"/>
  <c r="Q2334" i="11"/>
  <c r="R2334" i="11"/>
  <c r="P2335" i="11"/>
  <c r="Q2335" i="11"/>
  <c r="R2335" i="11"/>
  <c r="P2336" i="11"/>
  <c r="Q2336" i="11"/>
  <c r="R2336" i="11"/>
  <c r="P2337" i="11"/>
  <c r="Q2337" i="11"/>
  <c r="R2337" i="11"/>
  <c r="P2338" i="11"/>
  <c r="Q2338" i="11"/>
  <c r="R2338" i="11"/>
  <c r="P2339" i="11"/>
  <c r="Q2339" i="11"/>
  <c r="R2339" i="11"/>
  <c r="P2340" i="11"/>
  <c r="Q2340" i="11"/>
  <c r="R2340" i="11"/>
  <c r="P2341" i="11"/>
  <c r="Q2341" i="11"/>
  <c r="R2341" i="11"/>
  <c r="P2342" i="11"/>
  <c r="Q2342" i="11"/>
  <c r="R2342" i="11"/>
  <c r="P2343" i="11"/>
  <c r="Q2343" i="11"/>
  <c r="R2343" i="11"/>
  <c r="P2344" i="11"/>
  <c r="Q2344" i="11"/>
  <c r="R2344" i="11"/>
  <c r="P2345" i="11"/>
  <c r="Q2345" i="11"/>
  <c r="R2345" i="11"/>
  <c r="P2346" i="11"/>
  <c r="Q2346" i="11"/>
  <c r="R2346" i="11"/>
  <c r="P2347" i="11"/>
  <c r="Q2347" i="11"/>
  <c r="R2347" i="11"/>
  <c r="P2348" i="11"/>
  <c r="Q2348" i="11"/>
  <c r="R2348" i="11"/>
  <c r="P2349" i="11"/>
  <c r="Q2349" i="11"/>
  <c r="R2349" i="11"/>
  <c r="P2350" i="11"/>
  <c r="Q2350" i="11"/>
  <c r="R2350" i="11"/>
  <c r="P2351" i="11"/>
  <c r="Q2351" i="11"/>
  <c r="R2351" i="11"/>
  <c r="P2352" i="11"/>
  <c r="Q2352" i="11"/>
  <c r="R2352" i="11"/>
  <c r="R5" i="11"/>
  <c r="Q5" i="11"/>
  <c r="P5" i="11"/>
  <c r="A121" i="9" l="1"/>
  <c r="AB121" i="9"/>
  <c r="AC121" i="9"/>
  <c r="AF121" i="9" l="1"/>
  <c r="J110" i="12"/>
  <c r="J55" i="12"/>
  <c r="J88" i="12"/>
  <c r="J95" i="12"/>
  <c r="J105" i="12"/>
  <c r="J107" i="12"/>
  <c r="J77" i="12"/>
  <c r="J111" i="12"/>
  <c r="J112" i="12"/>
  <c r="J113" i="12"/>
  <c r="J114" i="12"/>
  <c r="J115" i="12"/>
  <c r="J116" i="12"/>
  <c r="J11" i="12"/>
  <c r="J12" i="12"/>
  <c r="J13" i="12"/>
  <c r="J18" i="12"/>
  <c r="J27" i="12"/>
  <c r="J28" i="12"/>
  <c r="J34" i="12"/>
  <c r="J35" i="12"/>
  <c r="J36" i="12"/>
  <c r="J37" i="12"/>
  <c r="J38" i="12"/>
  <c r="J39" i="12"/>
  <c r="J44" i="12"/>
  <c r="J47" i="12"/>
  <c r="J52" i="12"/>
  <c r="J53" i="12"/>
  <c r="J56" i="12"/>
  <c r="J57" i="12"/>
  <c r="J58" i="12"/>
  <c r="J60" i="12"/>
  <c r="J61" i="12"/>
  <c r="J63" i="12"/>
  <c r="J66" i="12"/>
  <c r="J67" i="12"/>
  <c r="J68" i="12"/>
  <c r="J69" i="12"/>
  <c r="J76" i="12"/>
  <c r="J78" i="12"/>
  <c r="J82" i="12"/>
  <c r="J83" i="12"/>
  <c r="J84" i="12"/>
  <c r="J89" i="12"/>
  <c r="J90" i="12"/>
  <c r="J92" i="12"/>
  <c r="J93" i="12"/>
  <c r="J14" i="12"/>
  <c r="J15" i="12"/>
  <c r="J19" i="12"/>
  <c r="J20" i="12"/>
  <c r="J62" i="12"/>
  <c r="J73" i="12"/>
  <c r="J74" i="12"/>
  <c r="J8" i="12"/>
  <c r="J40" i="12"/>
  <c r="J46" i="12"/>
  <c r="J75" i="12"/>
  <c r="J79" i="12"/>
  <c r="J80" i="12"/>
  <c r="J85" i="12"/>
  <c r="J6" i="12"/>
  <c r="J9" i="12"/>
  <c r="J48" i="12"/>
  <c r="J49" i="12"/>
  <c r="J65" i="12"/>
  <c r="J21" i="12"/>
  <c r="J45" i="12"/>
  <c r="J64" i="12"/>
  <c r="J17" i="12"/>
  <c r="J41" i="12"/>
  <c r="J94" i="12"/>
  <c r="J5" i="12"/>
  <c r="J29" i="12"/>
  <c r="J30" i="12"/>
  <c r="J31" i="12"/>
  <c r="J81" i="12"/>
  <c r="J22" i="12"/>
  <c r="J42" i="12"/>
  <c r="J86" i="12"/>
  <c r="J100" i="12"/>
  <c r="J10" i="12"/>
  <c r="J23" i="12"/>
  <c r="J32" i="12"/>
  <c r="J59" i="12"/>
  <c r="J7" i="12"/>
  <c r="J24" i="12"/>
  <c r="J91" i="12"/>
  <c r="J101" i="12"/>
  <c r="J102" i="12"/>
  <c r="J50" i="12"/>
  <c r="J25" i="12"/>
  <c r="J43" i="12"/>
  <c r="J16" i="12"/>
  <c r="J108" i="12"/>
  <c r="J96" i="12"/>
  <c r="J26" i="12"/>
  <c r="J33" i="12"/>
  <c r="J99" i="12"/>
  <c r="J54" i="12"/>
  <c r="J98" i="12"/>
  <c r="J70" i="12"/>
  <c r="J106" i="12"/>
  <c r="J117" i="12"/>
  <c r="J97" i="12"/>
  <c r="J87" i="12"/>
  <c r="J71" i="12"/>
  <c r="J72" i="12"/>
  <c r="J103" i="12"/>
  <c r="J118" i="12"/>
  <c r="J119" i="12"/>
  <c r="J120" i="12"/>
  <c r="J104" i="12"/>
  <c r="J51" i="12"/>
  <c r="J109" i="12"/>
  <c r="J121" i="12"/>
  <c r="J122" i="12"/>
  <c r="J123" i="12"/>
  <c r="J124" i="12"/>
  <c r="J125" i="12"/>
  <c r="J126" i="12"/>
  <c r="J127" i="12"/>
  <c r="A2084" i="2"/>
  <c r="A2083" i="2"/>
  <c r="A2082" i="2"/>
  <c r="A120" i="9"/>
  <c r="AB120" i="9"/>
  <c r="AC120" i="9"/>
  <c r="E17" i="22"/>
  <c r="K110" i="12"/>
  <c r="AA110" i="12"/>
  <c r="AA55" i="12"/>
  <c r="AA88" i="12"/>
  <c r="AA95" i="12"/>
  <c r="AA105" i="12"/>
  <c r="AA107" i="12"/>
  <c r="AA77" i="12"/>
  <c r="AA111" i="12"/>
  <c r="AA112" i="12"/>
  <c r="AA113" i="12"/>
  <c r="AA114" i="12"/>
  <c r="AA115" i="12"/>
  <c r="AA116" i="12"/>
  <c r="AA11" i="12"/>
  <c r="AA12" i="12"/>
  <c r="AA13" i="12"/>
  <c r="AA18" i="12"/>
  <c r="AA27" i="12"/>
  <c r="AA28" i="12"/>
  <c r="AA34" i="12"/>
  <c r="AA35" i="12"/>
  <c r="AA36" i="12"/>
  <c r="AA37" i="12"/>
  <c r="AA38" i="12"/>
  <c r="AA39" i="12"/>
  <c r="AA44" i="12"/>
  <c r="AA47" i="12"/>
  <c r="AA52" i="12"/>
  <c r="AA53" i="12"/>
  <c r="AA56" i="12"/>
  <c r="AA57" i="12"/>
  <c r="AA58" i="12"/>
  <c r="AA60" i="12"/>
  <c r="AA61" i="12"/>
  <c r="AA63" i="12"/>
  <c r="AA66" i="12"/>
  <c r="AA67" i="12"/>
  <c r="AA68" i="12"/>
  <c r="AA69" i="12"/>
  <c r="AA76" i="12"/>
  <c r="AA78" i="12"/>
  <c r="AA82" i="12"/>
  <c r="AA83" i="12"/>
  <c r="AA84" i="12"/>
  <c r="AA89" i="12"/>
  <c r="AA90" i="12"/>
  <c r="AA92" i="12"/>
  <c r="AA93" i="12"/>
  <c r="AA14" i="12"/>
  <c r="AA15" i="12"/>
  <c r="AA19" i="12"/>
  <c r="AA20" i="12"/>
  <c r="AA62" i="12"/>
  <c r="AA73" i="12"/>
  <c r="AA74" i="12"/>
  <c r="AA8" i="12"/>
  <c r="AA40" i="12"/>
  <c r="AA46" i="12"/>
  <c r="AA75" i="12"/>
  <c r="AA79" i="12"/>
  <c r="AA80" i="12"/>
  <c r="AA85" i="12"/>
  <c r="AA6" i="12"/>
  <c r="AA9" i="12"/>
  <c r="AA48" i="12"/>
  <c r="AA49" i="12"/>
  <c r="AA65" i="12"/>
  <c r="AA21" i="12"/>
  <c r="AA45" i="12"/>
  <c r="AA64" i="12"/>
  <c r="AA17" i="12"/>
  <c r="AA41" i="12"/>
  <c r="AA94" i="12"/>
  <c r="AA5" i="12"/>
  <c r="AA29" i="12"/>
  <c r="AA30" i="12"/>
  <c r="AA31" i="12"/>
  <c r="AA81" i="12"/>
  <c r="AA22" i="12"/>
  <c r="AA42" i="12"/>
  <c r="AA86" i="12"/>
  <c r="AA100" i="12"/>
  <c r="AA10" i="12"/>
  <c r="AA23" i="12"/>
  <c r="AA32" i="12"/>
  <c r="AA59" i="12"/>
  <c r="AA7" i="12"/>
  <c r="AA24" i="12"/>
  <c r="AA91" i="12"/>
  <c r="AA101" i="12"/>
  <c r="AA102" i="12"/>
  <c r="AA50" i="12"/>
  <c r="AA25" i="12"/>
  <c r="AA43" i="12"/>
  <c r="AA16" i="12"/>
  <c r="AA108" i="12"/>
  <c r="AA96" i="12"/>
  <c r="AA26" i="12"/>
  <c r="AA33" i="12"/>
  <c r="AA99" i="12"/>
  <c r="AA54" i="12"/>
  <c r="AA98" i="12"/>
  <c r="AA70" i="12"/>
  <c r="AA106" i="12"/>
  <c r="AA117" i="12"/>
  <c r="AA97" i="12"/>
  <c r="AA87" i="12"/>
  <c r="AA71" i="12"/>
  <c r="AA72" i="12"/>
  <c r="AA103" i="12"/>
  <c r="AA118" i="12"/>
  <c r="AA119" i="12"/>
  <c r="AA120" i="12"/>
  <c r="AA104" i="12"/>
  <c r="AA51" i="12"/>
  <c r="AA109" i="12"/>
  <c r="AA121" i="12"/>
  <c r="AA122" i="12"/>
  <c r="AA123" i="12"/>
  <c r="AA124" i="12"/>
  <c r="AA125" i="12"/>
  <c r="AA126" i="12"/>
  <c r="AA127" i="12"/>
  <c r="Z110" i="12"/>
  <c r="Z55" i="12"/>
  <c r="Z88" i="12"/>
  <c r="Z95" i="12"/>
  <c r="Z105" i="12"/>
  <c r="Z107" i="12"/>
  <c r="Z77" i="12"/>
  <c r="Z111" i="12"/>
  <c r="Z112" i="12"/>
  <c r="Z113" i="12"/>
  <c r="Z114" i="12"/>
  <c r="Z115" i="12"/>
  <c r="Z116" i="12"/>
  <c r="Z11" i="12"/>
  <c r="Z12" i="12"/>
  <c r="Z13" i="12"/>
  <c r="Z18" i="12"/>
  <c r="Z27" i="12"/>
  <c r="Z28" i="12"/>
  <c r="Z34" i="12"/>
  <c r="Z35" i="12"/>
  <c r="Z36" i="12"/>
  <c r="Z37" i="12"/>
  <c r="Z38" i="12"/>
  <c r="Z39" i="12"/>
  <c r="Z44" i="12"/>
  <c r="Z47" i="12"/>
  <c r="Z52" i="12"/>
  <c r="Z53" i="12"/>
  <c r="Z56" i="12"/>
  <c r="Z57" i="12"/>
  <c r="Z58" i="12"/>
  <c r="Z60" i="12"/>
  <c r="Z61" i="12"/>
  <c r="Z63" i="12"/>
  <c r="Z66" i="12"/>
  <c r="Z67" i="12"/>
  <c r="Z68" i="12"/>
  <c r="Z69" i="12"/>
  <c r="Z76" i="12"/>
  <c r="Z78" i="12"/>
  <c r="Z82" i="12"/>
  <c r="Z83" i="12"/>
  <c r="Z84" i="12"/>
  <c r="Z89" i="12"/>
  <c r="Z90" i="12"/>
  <c r="Z92" i="12"/>
  <c r="Z93" i="12"/>
  <c r="Z14" i="12"/>
  <c r="Z15" i="12"/>
  <c r="Z19" i="12"/>
  <c r="Z20" i="12"/>
  <c r="Z62" i="12"/>
  <c r="Z73" i="12"/>
  <c r="Z74" i="12"/>
  <c r="Z8" i="12"/>
  <c r="Z40" i="12"/>
  <c r="Z46" i="12"/>
  <c r="Z75" i="12"/>
  <c r="Z79" i="12"/>
  <c r="Z80" i="12"/>
  <c r="Z85" i="12"/>
  <c r="Z6" i="12"/>
  <c r="Z9" i="12"/>
  <c r="Z48" i="12"/>
  <c r="Z49" i="12"/>
  <c r="Z65" i="12"/>
  <c r="Z21" i="12"/>
  <c r="Z45" i="12"/>
  <c r="Z64" i="12"/>
  <c r="Z17" i="12"/>
  <c r="Z41" i="12"/>
  <c r="Z94" i="12"/>
  <c r="Z5" i="12"/>
  <c r="Z29" i="12"/>
  <c r="Z30" i="12"/>
  <c r="Z31" i="12"/>
  <c r="Z81" i="12"/>
  <c r="Z22" i="12"/>
  <c r="Z42" i="12"/>
  <c r="Z86" i="12"/>
  <c r="Z100" i="12"/>
  <c r="Z10" i="12"/>
  <c r="Z23" i="12"/>
  <c r="Z32" i="12"/>
  <c r="Z59" i="12"/>
  <c r="Z7" i="12"/>
  <c r="Z24" i="12"/>
  <c r="Z91" i="12"/>
  <c r="Z101" i="12"/>
  <c r="Z102" i="12"/>
  <c r="Z50" i="12"/>
  <c r="Z25" i="12"/>
  <c r="Z43" i="12"/>
  <c r="Z16" i="12"/>
  <c r="Z108" i="12"/>
  <c r="Z96" i="12"/>
  <c r="Z26" i="12"/>
  <c r="Z33" i="12"/>
  <c r="Z99" i="12"/>
  <c r="Z54" i="12"/>
  <c r="Z98" i="12"/>
  <c r="Z70" i="12"/>
  <c r="Z106" i="12"/>
  <c r="Z117" i="12"/>
  <c r="Z97" i="12"/>
  <c r="Z87" i="12"/>
  <c r="Z71" i="12"/>
  <c r="Z72" i="12"/>
  <c r="Z103" i="12"/>
  <c r="Z118" i="12"/>
  <c r="Z119" i="12"/>
  <c r="Z120" i="12"/>
  <c r="Z104" i="12"/>
  <c r="Z51" i="12"/>
  <c r="Z109" i="12"/>
  <c r="Z121" i="12"/>
  <c r="Z122" i="12"/>
  <c r="Z123" i="12"/>
  <c r="Z124" i="12"/>
  <c r="Z125" i="12"/>
  <c r="Z126" i="12"/>
  <c r="Z127" i="12"/>
  <c r="Y110" i="12"/>
  <c r="Y55" i="12"/>
  <c r="Y88" i="12"/>
  <c r="Y95" i="12"/>
  <c r="Y105" i="12"/>
  <c r="Y107" i="12"/>
  <c r="Y77" i="12"/>
  <c r="Y111" i="12"/>
  <c r="Y112" i="12"/>
  <c r="Y113" i="12"/>
  <c r="Y114" i="12"/>
  <c r="Y115" i="12"/>
  <c r="Y116" i="12"/>
  <c r="Y11" i="12"/>
  <c r="Y12" i="12"/>
  <c r="Y13" i="12"/>
  <c r="Y18" i="12"/>
  <c r="Y27" i="12"/>
  <c r="Y28" i="12"/>
  <c r="Y34" i="12"/>
  <c r="Y35" i="12"/>
  <c r="Y36" i="12"/>
  <c r="Y37" i="12"/>
  <c r="Y38" i="12"/>
  <c r="Y39" i="12"/>
  <c r="Y44" i="12"/>
  <c r="Y47" i="12"/>
  <c r="Y52" i="12"/>
  <c r="Y53" i="12"/>
  <c r="Y56" i="12"/>
  <c r="Y57" i="12"/>
  <c r="Y58" i="12"/>
  <c r="Y60" i="12"/>
  <c r="Y61" i="12"/>
  <c r="Y63" i="12"/>
  <c r="Y66" i="12"/>
  <c r="Y67" i="12"/>
  <c r="Y68" i="12"/>
  <c r="Y69" i="12"/>
  <c r="Y76" i="12"/>
  <c r="Y78" i="12"/>
  <c r="Y82" i="12"/>
  <c r="Y83" i="12"/>
  <c r="Y84" i="12"/>
  <c r="Y89" i="12"/>
  <c r="Y90" i="12"/>
  <c r="Y92" i="12"/>
  <c r="Y93" i="12"/>
  <c r="Y14" i="12"/>
  <c r="Y15" i="12"/>
  <c r="Y19" i="12"/>
  <c r="Y20" i="12"/>
  <c r="Y62" i="12"/>
  <c r="Y73" i="12"/>
  <c r="Y74" i="12"/>
  <c r="Y8" i="12"/>
  <c r="Y40" i="12"/>
  <c r="Y46" i="12"/>
  <c r="Y75" i="12"/>
  <c r="Y79" i="12"/>
  <c r="Y80" i="12"/>
  <c r="Y85" i="12"/>
  <c r="Y6" i="12"/>
  <c r="Y9" i="12"/>
  <c r="Y48" i="12"/>
  <c r="Y49" i="12"/>
  <c r="Y65" i="12"/>
  <c r="Y21" i="12"/>
  <c r="Y45" i="12"/>
  <c r="Y64" i="12"/>
  <c r="Y17" i="12"/>
  <c r="Y41" i="12"/>
  <c r="Y94" i="12"/>
  <c r="Y5" i="12"/>
  <c r="Y29" i="12"/>
  <c r="Y30" i="12"/>
  <c r="Y31" i="12"/>
  <c r="Y81" i="12"/>
  <c r="Y22" i="12"/>
  <c r="Y42" i="12"/>
  <c r="Y86" i="12"/>
  <c r="Y100" i="12"/>
  <c r="Y10" i="12"/>
  <c r="Y23" i="12"/>
  <c r="Y32" i="12"/>
  <c r="Y59" i="12"/>
  <c r="Y7" i="12"/>
  <c r="Y24" i="12"/>
  <c r="Y91" i="12"/>
  <c r="Y101" i="12"/>
  <c r="Y102" i="12"/>
  <c r="Y50" i="12"/>
  <c r="Y25" i="12"/>
  <c r="Y43" i="12"/>
  <c r="Y16" i="12"/>
  <c r="Y108" i="12"/>
  <c r="Y96" i="12"/>
  <c r="Y26" i="12"/>
  <c r="Y33" i="12"/>
  <c r="Y99" i="12"/>
  <c r="Y54" i="12"/>
  <c r="Y98" i="12"/>
  <c r="Y70" i="12"/>
  <c r="Y106" i="12"/>
  <c r="Y117" i="12"/>
  <c r="Y97" i="12"/>
  <c r="Y87" i="12"/>
  <c r="Y71" i="12"/>
  <c r="Y72" i="12"/>
  <c r="Y103" i="12"/>
  <c r="Y118" i="12"/>
  <c r="Y119" i="12"/>
  <c r="Y120" i="12"/>
  <c r="Y104" i="12"/>
  <c r="Y51" i="12"/>
  <c r="Y109" i="12"/>
  <c r="Y121" i="12"/>
  <c r="Y122" i="12"/>
  <c r="Y123" i="12"/>
  <c r="Y124" i="12"/>
  <c r="Y125" i="12"/>
  <c r="Y126" i="12"/>
  <c r="Y127" i="12"/>
  <c r="X110" i="12"/>
  <c r="X55" i="12"/>
  <c r="X88" i="12"/>
  <c r="X95" i="12"/>
  <c r="X105" i="12"/>
  <c r="X107" i="12"/>
  <c r="X77" i="12"/>
  <c r="X111" i="12"/>
  <c r="X112" i="12"/>
  <c r="X113" i="12"/>
  <c r="X114" i="12"/>
  <c r="X115" i="12"/>
  <c r="X116" i="12"/>
  <c r="X11" i="12"/>
  <c r="X12" i="12"/>
  <c r="X13" i="12"/>
  <c r="X18" i="12"/>
  <c r="X27" i="12"/>
  <c r="X28" i="12"/>
  <c r="X34" i="12"/>
  <c r="X35" i="12"/>
  <c r="X36" i="12"/>
  <c r="X37" i="12"/>
  <c r="X38" i="12"/>
  <c r="X39" i="12"/>
  <c r="X44" i="12"/>
  <c r="X47" i="12"/>
  <c r="X52" i="12"/>
  <c r="X53" i="12"/>
  <c r="X56" i="12"/>
  <c r="X57" i="12"/>
  <c r="X58" i="12"/>
  <c r="X60" i="12"/>
  <c r="X61" i="12"/>
  <c r="X63" i="12"/>
  <c r="X66" i="12"/>
  <c r="X67" i="12"/>
  <c r="X68" i="12"/>
  <c r="X69" i="12"/>
  <c r="X76" i="12"/>
  <c r="X78" i="12"/>
  <c r="X82" i="12"/>
  <c r="X83" i="12"/>
  <c r="X84" i="12"/>
  <c r="X89" i="12"/>
  <c r="X90" i="12"/>
  <c r="X92" i="12"/>
  <c r="X93" i="12"/>
  <c r="X14" i="12"/>
  <c r="X15" i="12"/>
  <c r="X19" i="12"/>
  <c r="X20" i="12"/>
  <c r="X62" i="12"/>
  <c r="X73" i="12"/>
  <c r="X74" i="12"/>
  <c r="X8" i="12"/>
  <c r="X40" i="12"/>
  <c r="X46" i="12"/>
  <c r="X75" i="12"/>
  <c r="X79" i="12"/>
  <c r="X80" i="12"/>
  <c r="X85" i="12"/>
  <c r="X6" i="12"/>
  <c r="X9" i="12"/>
  <c r="X48" i="12"/>
  <c r="X49" i="12"/>
  <c r="X65" i="12"/>
  <c r="X21" i="12"/>
  <c r="X45" i="12"/>
  <c r="X64" i="12"/>
  <c r="X17" i="12"/>
  <c r="X41" i="12"/>
  <c r="X94" i="12"/>
  <c r="X5" i="12"/>
  <c r="X29" i="12"/>
  <c r="X30" i="12"/>
  <c r="X31" i="12"/>
  <c r="X81" i="12"/>
  <c r="X22" i="12"/>
  <c r="X42" i="12"/>
  <c r="X86" i="12"/>
  <c r="X100" i="12"/>
  <c r="X10" i="12"/>
  <c r="X23" i="12"/>
  <c r="X32" i="12"/>
  <c r="X59" i="12"/>
  <c r="X7" i="12"/>
  <c r="X24" i="12"/>
  <c r="X91" i="12"/>
  <c r="X101" i="12"/>
  <c r="X102" i="12"/>
  <c r="X50" i="12"/>
  <c r="X25" i="12"/>
  <c r="X43" i="12"/>
  <c r="X16" i="12"/>
  <c r="X108" i="12"/>
  <c r="X96" i="12"/>
  <c r="X26" i="12"/>
  <c r="X33" i="12"/>
  <c r="X99" i="12"/>
  <c r="X54" i="12"/>
  <c r="X98" i="12"/>
  <c r="X70" i="12"/>
  <c r="X106" i="12"/>
  <c r="X117" i="12"/>
  <c r="X97" i="12"/>
  <c r="X87" i="12"/>
  <c r="X71" i="12"/>
  <c r="X72" i="12"/>
  <c r="X103" i="12"/>
  <c r="X118" i="12"/>
  <c r="X119" i="12"/>
  <c r="X120" i="12"/>
  <c r="X104" i="12"/>
  <c r="X51" i="12"/>
  <c r="X109" i="12"/>
  <c r="X121" i="12"/>
  <c r="X122" i="12"/>
  <c r="X123" i="12"/>
  <c r="X124" i="12"/>
  <c r="X125" i="12"/>
  <c r="X126" i="12"/>
  <c r="X127" i="12"/>
  <c r="AF120" i="9" l="1"/>
  <c r="A1610" i="2"/>
  <c r="M1610" i="2"/>
  <c r="A636" i="2"/>
  <c r="M636" i="2"/>
  <c r="M1786" i="2"/>
  <c r="A1786" i="2"/>
  <c r="A1632" i="2"/>
  <c r="A1643" i="2"/>
  <c r="M1643" i="2"/>
  <c r="M1632" i="2"/>
  <c r="A1795" i="2"/>
  <c r="M1795" i="2"/>
  <c r="G5" i="1"/>
  <c r="A1816" i="2"/>
  <c r="A1813" i="2"/>
  <c r="M1813" i="2"/>
  <c r="M1816" i="2"/>
  <c r="A1812" i="2" l="1"/>
  <c r="M1812" i="2"/>
  <c r="M127" i="12"/>
  <c r="M122" i="12"/>
  <c r="M123" i="12"/>
  <c r="M124" i="12"/>
  <c r="M119" i="12"/>
  <c r="M120" i="12"/>
  <c r="M112" i="12"/>
  <c r="M113" i="12"/>
  <c r="M114" i="12"/>
  <c r="M115" i="12"/>
  <c r="M116" i="12"/>
  <c r="M110" i="12"/>
  <c r="M125" i="12"/>
  <c r="M126" i="12"/>
  <c r="M97" i="12"/>
  <c r="M87" i="12"/>
  <c r="M71" i="12"/>
  <c r="M72" i="12"/>
  <c r="M103" i="12"/>
  <c r="M111" i="12"/>
  <c r="M43" i="12"/>
  <c r="M16" i="12"/>
  <c r="M108" i="12"/>
  <c r="M96" i="12"/>
  <c r="M109" i="12"/>
  <c r="M26" i="12"/>
  <c r="M33" i="12"/>
  <c r="M99" i="12"/>
  <c r="M54" i="12"/>
  <c r="M121" i="12"/>
  <c r="M98" i="12"/>
  <c r="M70" i="12"/>
  <c r="M106" i="12"/>
  <c r="M117" i="12"/>
  <c r="M11" i="12"/>
  <c r="M12" i="12"/>
  <c r="M13" i="12"/>
  <c r="M18" i="12"/>
  <c r="M27" i="12"/>
  <c r="M28" i="12"/>
  <c r="M34" i="12"/>
  <c r="M35" i="12"/>
  <c r="M36" i="12"/>
  <c r="M37" i="12"/>
  <c r="M38" i="12"/>
  <c r="M39" i="12"/>
  <c r="M44" i="12"/>
  <c r="M47" i="12"/>
  <c r="M52" i="12"/>
  <c r="M53" i="12"/>
  <c r="M55" i="12"/>
  <c r="M56" i="12"/>
  <c r="M57" i="12"/>
  <c r="M58" i="12"/>
  <c r="M60" i="12"/>
  <c r="M61" i="12"/>
  <c r="M63" i="12"/>
  <c r="M66" i="12"/>
  <c r="M67" i="12"/>
  <c r="M68" i="12"/>
  <c r="M69" i="12"/>
  <c r="M76" i="12"/>
  <c r="M78" i="12"/>
  <c r="M82" i="12"/>
  <c r="M83" i="12"/>
  <c r="M84" i="12"/>
  <c r="M89" i="12"/>
  <c r="M90" i="12"/>
  <c r="M88" i="12"/>
  <c r="M92" i="12"/>
  <c r="M93" i="12"/>
  <c r="M95" i="12"/>
  <c r="M104" i="12"/>
  <c r="M105" i="12"/>
  <c r="M107" i="12"/>
  <c r="M118" i="12"/>
  <c r="M14" i="12"/>
  <c r="M15" i="12"/>
  <c r="M19" i="12"/>
  <c r="M20" i="12"/>
  <c r="M62" i="12"/>
  <c r="M73" i="12"/>
  <c r="M74" i="12"/>
  <c r="M8" i="12"/>
  <c r="M40" i="12"/>
  <c r="M46" i="12"/>
  <c r="M75" i="12"/>
  <c r="M79" i="12"/>
  <c r="M80" i="12"/>
  <c r="M85" i="12"/>
  <c r="M6" i="12"/>
  <c r="M9" i="12"/>
  <c r="M48" i="12"/>
  <c r="M49" i="12"/>
  <c r="M65" i="12"/>
  <c r="M21" i="12"/>
  <c r="M45" i="12"/>
  <c r="M64" i="12"/>
  <c r="M77" i="12"/>
  <c r="M17" i="12"/>
  <c r="M41" i="12"/>
  <c r="M94" i="12"/>
  <c r="M5" i="12"/>
  <c r="M29" i="12"/>
  <c r="M30" i="12"/>
  <c r="M31" i="12"/>
  <c r="M81" i="12"/>
  <c r="M22" i="12"/>
  <c r="M42" i="12"/>
  <c r="M86" i="12"/>
  <c r="M100" i="12"/>
  <c r="M10" i="12"/>
  <c r="M23" i="12"/>
  <c r="M32" i="12"/>
  <c r="M59" i="12"/>
  <c r="M7" i="12"/>
  <c r="M24" i="12"/>
  <c r="M91" i="12"/>
  <c r="M101" i="12"/>
  <c r="M102" i="12"/>
  <c r="M51" i="12"/>
  <c r="M50" i="12"/>
  <c r="M25" i="12"/>
  <c r="L127" i="12"/>
  <c r="L122" i="12"/>
  <c r="L123" i="12"/>
  <c r="L124" i="12"/>
  <c r="L119" i="12"/>
  <c r="L120" i="12"/>
  <c r="L112" i="12"/>
  <c r="L113" i="12"/>
  <c r="L114" i="12"/>
  <c r="L115" i="12"/>
  <c r="L116" i="12"/>
  <c r="L110" i="12"/>
  <c r="L125" i="12"/>
  <c r="L126" i="12"/>
  <c r="L11" i="12"/>
  <c r="L12" i="12"/>
  <c r="L13" i="12"/>
  <c r="L18" i="12"/>
  <c r="L27" i="12"/>
  <c r="L28" i="12"/>
  <c r="L34" i="12"/>
  <c r="L35" i="12"/>
  <c r="L36" i="12"/>
  <c r="L37" i="12"/>
  <c r="L38" i="12"/>
  <c r="L39" i="12"/>
  <c r="L44" i="12"/>
  <c r="L47" i="12"/>
  <c r="L52" i="12"/>
  <c r="L53" i="12"/>
  <c r="L55" i="12"/>
  <c r="L56" i="12"/>
  <c r="L57" i="12"/>
  <c r="L58" i="12"/>
  <c r="L60" i="12"/>
  <c r="L61" i="12"/>
  <c r="L63" i="12"/>
  <c r="L66" i="12"/>
  <c r="L67" i="12"/>
  <c r="L68" i="12"/>
  <c r="L69" i="12"/>
  <c r="L76" i="12"/>
  <c r="L78" i="12"/>
  <c r="L82" i="12"/>
  <c r="L83" i="12"/>
  <c r="L84" i="12"/>
  <c r="L89" i="12"/>
  <c r="L90" i="12"/>
  <c r="L88" i="12"/>
  <c r="L92" i="12"/>
  <c r="L93" i="12"/>
  <c r="L95" i="12"/>
  <c r="L104" i="12"/>
  <c r="L105" i="12"/>
  <c r="L107" i="12"/>
  <c r="L118" i="12"/>
  <c r="L14" i="12"/>
  <c r="L15" i="12"/>
  <c r="L19" i="12"/>
  <c r="L20" i="12"/>
  <c r="L62" i="12"/>
  <c r="L73" i="12"/>
  <c r="L74" i="12"/>
  <c r="L8" i="12"/>
  <c r="L40" i="12"/>
  <c r="L46" i="12"/>
  <c r="L75" i="12"/>
  <c r="L79" i="12"/>
  <c r="L80" i="12"/>
  <c r="L85" i="12"/>
  <c r="L6" i="12"/>
  <c r="L9" i="12"/>
  <c r="L48" i="12"/>
  <c r="L49" i="12"/>
  <c r="L65" i="12"/>
  <c r="L21" i="12"/>
  <c r="L45" i="12"/>
  <c r="L64" i="12"/>
  <c r="L77" i="12"/>
  <c r="L17" i="12"/>
  <c r="L41" i="12"/>
  <c r="L94" i="12"/>
  <c r="L5" i="12"/>
  <c r="L29" i="12"/>
  <c r="L30" i="12"/>
  <c r="L31" i="12"/>
  <c r="L81" i="12"/>
  <c r="L22" i="12"/>
  <c r="L42" i="12"/>
  <c r="L86" i="12"/>
  <c r="L100" i="12"/>
  <c r="L10" i="12"/>
  <c r="L23" i="12"/>
  <c r="L32" i="12"/>
  <c r="L59" i="12"/>
  <c r="L7" i="12"/>
  <c r="L24" i="12"/>
  <c r="L91" i="12"/>
  <c r="L101" i="12"/>
  <c r="L102" i="12"/>
  <c r="L51" i="12"/>
  <c r="L50" i="12"/>
  <c r="L25" i="12"/>
  <c r="L111" i="12"/>
  <c r="L43" i="12"/>
  <c r="L16" i="12"/>
  <c r="L108" i="12"/>
  <c r="L96" i="12"/>
  <c r="L109" i="12"/>
  <c r="L26" i="12"/>
  <c r="L33" i="12"/>
  <c r="L99" i="12"/>
  <c r="L54" i="12"/>
  <c r="L121" i="12"/>
  <c r="L98" i="12"/>
  <c r="L70" i="12"/>
  <c r="L106" i="12"/>
  <c r="L117" i="12"/>
  <c r="L97" i="12"/>
  <c r="L87" i="12"/>
  <c r="L71" i="12"/>
  <c r="L72" i="12"/>
  <c r="L103" i="12"/>
  <c r="K124" i="12"/>
  <c r="K119" i="12"/>
  <c r="K120" i="12"/>
  <c r="K118" i="12"/>
  <c r="K117" i="12"/>
  <c r="K111" i="12"/>
  <c r="K112" i="12"/>
  <c r="K113" i="12"/>
  <c r="K114" i="12"/>
  <c r="K115" i="12"/>
  <c r="K116" i="12"/>
  <c r="K125" i="12"/>
  <c r="K126" i="12"/>
  <c r="K127" i="12"/>
  <c r="K121" i="12"/>
  <c r="K122" i="12"/>
  <c r="K123" i="12"/>
  <c r="K5" i="12"/>
  <c r="K7" i="12"/>
  <c r="K6" i="12"/>
  <c r="K8" i="12"/>
  <c r="K9" i="12"/>
  <c r="K10" i="12"/>
  <c r="K11" i="12"/>
  <c r="K12" i="12"/>
  <c r="K16" i="12"/>
  <c r="K14" i="12"/>
  <c r="K13" i="12"/>
  <c r="K15" i="12"/>
  <c r="K17" i="12"/>
  <c r="K18" i="12"/>
  <c r="K23" i="12"/>
  <c r="K24" i="12"/>
  <c r="K19" i="12"/>
  <c r="K25" i="12"/>
  <c r="K26" i="12"/>
  <c r="K21" i="12"/>
  <c r="K22" i="12"/>
  <c r="K20" i="12"/>
  <c r="K29" i="12"/>
  <c r="K30" i="12"/>
  <c r="K33" i="12"/>
  <c r="K32" i="12"/>
  <c r="K27" i="12"/>
  <c r="K28" i="12"/>
  <c r="K31" i="12"/>
  <c r="K43" i="12"/>
  <c r="K41" i="12"/>
  <c r="K42" i="12"/>
  <c r="K34" i="12"/>
  <c r="K35" i="12"/>
  <c r="K36" i="12"/>
  <c r="K37" i="12"/>
  <c r="K38" i="12"/>
  <c r="K39" i="12"/>
  <c r="K40" i="12"/>
  <c r="K45" i="12"/>
  <c r="K44" i="12"/>
  <c r="K46" i="12"/>
  <c r="K51" i="12"/>
  <c r="K48" i="12"/>
  <c r="K50" i="12"/>
  <c r="K49" i="12"/>
  <c r="K47" i="12"/>
  <c r="K52" i="12"/>
  <c r="K54" i="12"/>
  <c r="K53" i="12"/>
  <c r="K55" i="12"/>
  <c r="K56" i="12"/>
  <c r="K59" i="12"/>
  <c r="K57" i="12"/>
  <c r="K58" i="12"/>
  <c r="K60" i="12"/>
  <c r="K62" i="12"/>
  <c r="K61" i="12"/>
  <c r="K63" i="12"/>
  <c r="K64" i="12"/>
  <c r="K65" i="12"/>
  <c r="K71" i="12"/>
  <c r="K66" i="12"/>
  <c r="K72" i="12"/>
  <c r="K67" i="12"/>
  <c r="K68" i="12"/>
  <c r="K70" i="12"/>
  <c r="K69" i="12"/>
  <c r="K73" i="12"/>
  <c r="K74" i="12"/>
  <c r="K75" i="12"/>
  <c r="K76" i="12"/>
  <c r="K79" i="12"/>
  <c r="K80" i="12"/>
  <c r="K81" i="12"/>
  <c r="K78" i="12"/>
  <c r="K77" i="12"/>
  <c r="K82" i="12"/>
  <c r="K83" i="12"/>
  <c r="K86" i="12"/>
  <c r="K85" i="12"/>
  <c r="K87" i="12"/>
  <c r="K84" i="12"/>
  <c r="K89" i="12"/>
  <c r="K90" i="12"/>
  <c r="K91" i="12"/>
  <c r="K88" i="12"/>
  <c r="K94" i="12"/>
  <c r="K92" i="12"/>
  <c r="K93" i="12"/>
  <c r="K95" i="12"/>
  <c r="K96" i="12"/>
  <c r="K97" i="12"/>
  <c r="K98" i="12"/>
  <c r="K99" i="12"/>
  <c r="K104" i="12"/>
  <c r="K101" i="12"/>
  <c r="K103" i="12"/>
  <c r="K100" i="12"/>
  <c r="K102" i="12"/>
  <c r="K105" i="12"/>
  <c r="K106" i="12"/>
  <c r="K109" i="12"/>
  <c r="K108" i="12"/>
  <c r="K107" i="12"/>
  <c r="A125" i="12"/>
  <c r="A126" i="12"/>
  <c r="J2" i="12" l="1"/>
  <c r="L2" i="12" l="1"/>
  <c r="M2" i="12"/>
  <c r="N2" i="12"/>
  <c r="O2" i="12"/>
  <c r="P2" i="12"/>
  <c r="Q2" i="12"/>
  <c r="R2" i="12"/>
  <c r="S2" i="12"/>
  <c r="T2" i="12"/>
  <c r="U2" i="12"/>
  <c r="V2" i="12"/>
  <c r="K2" i="12"/>
  <c r="E5" i="22"/>
  <c r="D5" i="22" s="1"/>
  <c r="E7" i="22"/>
  <c r="D7" i="22" s="1"/>
  <c r="E8" i="22"/>
  <c r="D8" i="22" s="1"/>
  <c r="E9" i="22"/>
  <c r="D9" i="22" s="1"/>
  <c r="E6" i="22"/>
  <c r="D6" i="22" s="1"/>
  <c r="D1" i="21" l="1"/>
  <c r="E1" i="21"/>
  <c r="F1" i="21"/>
  <c r="G1" i="21"/>
  <c r="C1" i="21"/>
  <c r="B1" i="21"/>
  <c r="E2" i="21" l="1"/>
  <c r="H2" i="21"/>
  <c r="G2" i="21"/>
  <c r="C2" i="21"/>
  <c r="A2073" i="2" l="1"/>
  <c r="A2072" i="2"/>
  <c r="A2081" i="2"/>
  <c r="A2075" i="2"/>
  <c r="A2076" i="2"/>
  <c r="A2027" i="2"/>
  <c r="A2074" i="2"/>
  <c r="A2077" i="2"/>
  <c r="A2078" i="2"/>
  <c r="A2079" i="2"/>
  <c r="A2080" i="2"/>
  <c r="M2079" i="2"/>
  <c r="A120" i="12" l="1"/>
  <c r="A116" i="12"/>
  <c r="A127" i="12"/>
  <c r="A119" i="12"/>
  <c r="A1912" i="2"/>
  <c r="A385" i="2" l="1"/>
  <c r="A383" i="2"/>
  <c r="A2025" i="2" l="1"/>
  <c r="A2022" i="2"/>
  <c r="M2023" i="2"/>
  <c r="A2023" i="2"/>
  <c r="A2024" i="2"/>
  <c r="A2021" i="2"/>
  <c r="A2020" i="2"/>
  <c r="M2021" i="2"/>
  <c r="A2009" i="2" l="1"/>
  <c r="A2008" i="2"/>
  <c r="A2010" i="2"/>
  <c r="A2012" i="2"/>
  <c r="A2013" i="2"/>
  <c r="A2019" i="2" l="1"/>
  <c r="M2018" i="2"/>
  <c r="A2018" i="2"/>
  <c r="A117" i="9"/>
  <c r="AB117" i="9"/>
  <c r="AC117" i="9"/>
  <c r="A116" i="9"/>
  <c r="AB116" i="9"/>
  <c r="AC116" i="9"/>
  <c r="A118" i="9"/>
  <c r="AB118" i="9"/>
  <c r="AC118" i="9"/>
  <c r="A2042" i="2"/>
  <c r="A2014" i="2"/>
  <c r="A2015" i="2"/>
  <c r="A2016" i="2"/>
  <c r="A2017" i="2"/>
  <c r="M2016" i="2"/>
  <c r="AF116" i="9" l="1"/>
  <c r="AF117" i="9"/>
  <c r="AF118" i="9"/>
  <c r="A114" i="9"/>
  <c r="AB114" i="9"/>
  <c r="AC114" i="9"/>
  <c r="A113" i="9"/>
  <c r="AB113" i="9"/>
  <c r="AC113" i="9"/>
  <c r="A2211" i="2"/>
  <c r="A1996" i="2"/>
  <c r="A2043" i="2"/>
  <c r="A2046" i="2"/>
  <c r="A2045" i="2"/>
  <c r="A2047" i="2"/>
  <c r="A2044" i="2"/>
  <c r="A2036" i="2"/>
  <c r="A2038" i="2"/>
  <c r="A2037" i="2"/>
  <c r="A2040" i="2"/>
  <c r="A2039" i="2"/>
  <c r="A2041" i="2"/>
  <c r="AF114" i="9" l="1"/>
  <c r="AF113" i="9"/>
  <c r="A2035" i="2"/>
  <c r="A2034" i="2"/>
  <c r="A2032" i="2"/>
  <c r="A2033" i="2"/>
  <c r="A2029" i="2"/>
  <c r="A2030" i="2"/>
  <c r="A2031" i="2"/>
  <c r="A2028" i="2"/>
  <c r="M2030" i="2"/>
  <c r="A2212" i="2"/>
  <c r="A1994" i="2"/>
  <c r="A1995" i="2"/>
  <c r="A237" i="2"/>
  <c r="A1991" i="2"/>
  <c r="A1990" i="2"/>
  <c r="A111" i="9"/>
  <c r="AB111" i="9"/>
  <c r="AC111" i="9"/>
  <c r="A109" i="9"/>
  <c r="AB109" i="9"/>
  <c r="AC109" i="9"/>
  <c r="O110" i="9"/>
  <c r="AC110" i="9" s="1"/>
  <c r="O108" i="9"/>
  <c r="AC108" i="9" s="1"/>
  <c r="O106" i="9"/>
  <c r="AC106" i="9" s="1"/>
  <c r="A107" i="9"/>
  <c r="A106" i="9"/>
  <c r="A108" i="9"/>
  <c r="A110" i="9"/>
  <c r="AB107" i="9"/>
  <c r="AB106" i="9"/>
  <c r="AB108" i="9"/>
  <c r="AB110" i="9"/>
  <c r="AC107" i="9"/>
  <c r="A1988" i="2"/>
  <c r="A236" i="2"/>
  <c r="A105" i="9"/>
  <c r="AB105" i="9"/>
  <c r="AC105" i="9"/>
  <c r="A234" i="2"/>
  <c r="M235" i="2"/>
  <c r="A235" i="2"/>
  <c r="A121" i="12"/>
  <c r="A111" i="12"/>
  <c r="A115" i="12"/>
  <c r="A114" i="12"/>
  <c r="A110" i="12"/>
  <c r="A85" i="9"/>
  <c r="AB85" i="9"/>
  <c r="AC85" i="9"/>
  <c r="N10" i="1"/>
  <c r="AF109" i="9" l="1"/>
  <c r="AF111" i="9"/>
  <c r="AF105" i="9"/>
  <c r="AF85" i="9"/>
  <c r="AF110" i="9"/>
  <c r="AF108" i="9"/>
  <c r="AF106" i="9"/>
  <c r="AF107" i="9"/>
  <c r="A112" i="9"/>
  <c r="AB112" i="9"/>
  <c r="AC112" i="9"/>
  <c r="A1993" i="2"/>
  <c r="A1992" i="2"/>
  <c r="A104" i="9"/>
  <c r="AB104" i="9"/>
  <c r="AC104" i="9"/>
  <c r="A102" i="9"/>
  <c r="AB102" i="9"/>
  <c r="AC102" i="9"/>
  <c r="A2011" i="2"/>
  <c r="A103" i="9"/>
  <c r="AB103" i="9"/>
  <c r="AC103" i="9"/>
  <c r="A2006" i="2"/>
  <c r="A2007" i="2"/>
  <c r="A2005" i="2"/>
  <c r="A2004" i="2"/>
  <c r="A2003" i="2"/>
  <c r="A2002" i="2"/>
  <c r="L2288" i="2"/>
  <c r="L1964" i="2"/>
  <c r="L384" i="2"/>
  <c r="L1989" i="2"/>
  <c r="C25" i="18"/>
  <c r="L1709" i="2" s="1"/>
  <c r="C26" i="18"/>
  <c r="L682" i="2" s="1"/>
  <c r="C31" i="18"/>
  <c r="L1940" i="2" s="1"/>
  <c r="C27" i="18"/>
  <c r="L2598" i="2" s="1"/>
  <c r="C28" i="18"/>
  <c r="L1301" i="2" s="1"/>
  <c r="C29" i="18"/>
  <c r="L2289" i="2" s="1"/>
  <c r="C30" i="18"/>
  <c r="C32" i="18"/>
  <c r="C33" i="18"/>
  <c r="C34" i="18"/>
  <c r="C44" i="18"/>
  <c r="C35" i="18"/>
  <c r="C36" i="18"/>
  <c r="L1285" i="2" s="1"/>
  <c r="C37" i="18"/>
  <c r="L1793" i="2" s="1"/>
  <c r="C38" i="18"/>
  <c r="C39" i="18"/>
  <c r="L2572" i="2" s="1"/>
  <c r="C40" i="18"/>
  <c r="C41" i="18"/>
  <c r="C42" i="18"/>
  <c r="C43" i="18"/>
  <c r="C50" i="18"/>
  <c r="C46" i="18"/>
  <c r="C47" i="18"/>
  <c r="C48" i="18"/>
  <c r="C49" i="18"/>
  <c r="C2" i="18"/>
  <c r="L1294" i="2" s="1"/>
  <c r="C3" i="18"/>
  <c r="L680" i="2" s="1"/>
  <c r="C4" i="18"/>
  <c r="C5" i="18"/>
  <c r="L662" i="2" s="1"/>
  <c r="C6" i="18"/>
  <c r="L678" i="2" s="1"/>
  <c r="C7" i="18"/>
  <c r="C8" i="18"/>
  <c r="C9" i="18"/>
  <c r="L2429" i="2" s="1"/>
  <c r="C10" i="18"/>
  <c r="L169" i="2" s="1"/>
  <c r="C15" i="18"/>
  <c r="C12" i="18"/>
  <c r="L2630" i="2" s="1"/>
  <c r="C13" i="18"/>
  <c r="C14" i="18"/>
  <c r="C11" i="18"/>
  <c r="L182" i="2" s="1"/>
  <c r="C16" i="18"/>
  <c r="C17" i="18"/>
  <c r="C23" i="18"/>
  <c r="C24" i="18"/>
  <c r="C18" i="18"/>
  <c r="C19" i="18"/>
  <c r="L788" i="2" s="1"/>
  <c r="C20" i="18"/>
  <c r="L222" i="2" s="1"/>
  <c r="C21" i="18"/>
  <c r="L184" i="2" s="1"/>
  <c r="C22" i="18"/>
  <c r="C45" i="18"/>
  <c r="C1" i="18"/>
  <c r="A2000" i="2"/>
  <c r="A1999" i="2"/>
  <c r="A2001" i="2"/>
  <c r="A1998" i="2"/>
  <c r="A112" i="12"/>
  <c r="A1989" i="2"/>
  <c r="A1987" i="2"/>
  <c r="A1986" i="2"/>
  <c r="A1985" i="2"/>
  <c r="A1997" i="2"/>
  <c r="A95" i="9"/>
  <c r="A101" i="9"/>
  <c r="AB95" i="9"/>
  <c r="AB101" i="9"/>
  <c r="AC95" i="9"/>
  <c r="AC101" i="9"/>
  <c r="AB100" i="9"/>
  <c r="AC100" i="9"/>
  <c r="A100" i="9"/>
  <c r="A2210" i="2"/>
  <c r="A2209" i="2"/>
  <c r="A1981" i="2"/>
  <c r="A1980" i="2"/>
  <c r="A1982" i="2"/>
  <c r="A1983" i="2"/>
  <c r="A1984" i="2"/>
  <c r="A1947" i="2"/>
  <c r="A1948" i="2"/>
  <c r="A381" i="2"/>
  <c r="A2481" i="2"/>
  <c r="A390" i="2"/>
  <c r="A93" i="9"/>
  <c r="AB93" i="9"/>
  <c r="AC93" i="9"/>
  <c r="A99" i="9"/>
  <c r="AB99" i="9"/>
  <c r="AC99" i="9"/>
  <c r="A388" i="2"/>
  <c r="A389" i="2"/>
  <c r="A382" i="2"/>
  <c r="A376" i="2"/>
  <c r="A375" i="2"/>
  <c r="A387" i="2"/>
  <c r="A386" i="2"/>
  <c r="A384" i="2"/>
  <c r="A391" i="2"/>
  <c r="A1773" i="2"/>
  <c r="A1774" i="2"/>
  <c r="A1770" i="2"/>
  <c r="A1772" i="2"/>
  <c r="A1771" i="2"/>
  <c r="A377" i="2"/>
  <c r="A378" i="2"/>
  <c r="A379" i="2"/>
  <c r="A380" i="2"/>
  <c r="A1953" i="2"/>
  <c r="A98" i="9"/>
  <c r="AB98" i="9"/>
  <c r="AC98" i="9"/>
  <c r="A2599" i="2"/>
  <c r="A1952" i="2"/>
  <c r="A2092" i="2"/>
  <c r="A2091" i="2"/>
  <c r="A2328" i="2"/>
  <c r="A2626" i="2"/>
  <c r="A2631" i="2"/>
  <c r="A2628" i="2"/>
  <c r="A2625" i="2"/>
  <c r="A2629" i="2"/>
  <c r="A2627" i="2"/>
  <c r="A2630" i="2"/>
  <c r="AF95" i="9" l="1"/>
  <c r="AF104" i="9"/>
  <c r="AF99" i="9"/>
  <c r="AF103" i="9"/>
  <c r="AF98" i="9"/>
  <c r="AF93" i="9"/>
  <c r="AF112" i="9"/>
  <c r="AF100" i="9"/>
  <c r="AF102" i="9"/>
  <c r="AF101" i="9"/>
  <c r="L1918" i="2"/>
  <c r="L1952" i="2"/>
  <c r="L2620" i="2"/>
  <c r="L1979" i="2"/>
  <c r="L1970" i="2"/>
  <c r="L2001" i="2"/>
  <c r="L213" i="2"/>
  <c r="L1997" i="2"/>
  <c r="L378" i="2"/>
  <c r="L2617" i="2"/>
  <c r="L216" i="2"/>
  <c r="L258" i="2"/>
  <c r="L1981" i="2"/>
  <c r="L2091" i="2"/>
  <c r="L232" i="2"/>
  <c r="L1984" i="2"/>
  <c r="L1938" i="2"/>
  <c r="L2596" i="2"/>
  <c r="L390" i="2"/>
  <c r="L2632" i="2"/>
  <c r="L1933" i="2"/>
  <c r="L1878" i="2"/>
  <c r="L387" i="2"/>
  <c r="L2626" i="2"/>
  <c r="L1973" i="2"/>
  <c r="L204" i="2"/>
  <c r="L1947" i="2"/>
  <c r="L389" i="2"/>
  <c r="L1977" i="2"/>
  <c r="L1927" i="2"/>
  <c r="L811" i="2"/>
  <c r="L1088" i="2"/>
  <c r="L1067" i="2"/>
  <c r="L984" i="2"/>
  <c r="L5" i="2"/>
  <c r="L2310" i="2"/>
  <c r="L2266" i="2"/>
  <c r="L2279" i="2"/>
  <c r="L2263" i="2"/>
  <c r="L1157" i="2"/>
  <c r="L1174" i="2"/>
  <c r="L1183" i="2"/>
  <c r="L826" i="2"/>
  <c r="L444" i="2"/>
  <c r="L23" i="2"/>
  <c r="L186" i="2"/>
  <c r="L1587" i="2"/>
  <c r="L330" i="2"/>
  <c r="L1210" i="2"/>
  <c r="L191" i="2"/>
  <c r="L147" i="2"/>
  <c r="L539" i="2"/>
  <c r="L2416" i="2"/>
  <c r="L1388" i="2"/>
  <c r="L973" i="2"/>
  <c r="L1306" i="2"/>
  <c r="L47" i="2"/>
  <c r="L1442" i="2"/>
  <c r="L42" i="2"/>
  <c r="L94" i="2"/>
  <c r="L60" i="2"/>
  <c r="L602" i="2"/>
  <c r="L88" i="2"/>
  <c r="L1491" i="2"/>
  <c r="L2400" i="2"/>
  <c r="L424" i="2"/>
  <c r="L609" i="2"/>
  <c r="L836" i="2"/>
  <c r="L944" i="2"/>
  <c r="L2254" i="2"/>
  <c r="L2261" i="2"/>
  <c r="L1084" i="2"/>
  <c r="L456" i="2"/>
  <c r="L1101" i="2"/>
  <c r="L328" i="2"/>
  <c r="L1025" i="2"/>
  <c r="L1059" i="2"/>
  <c r="L361" i="2"/>
  <c r="L822" i="2"/>
  <c r="L875" i="2"/>
  <c r="L2269" i="2"/>
  <c r="L2277" i="2"/>
  <c r="L2114" i="2"/>
  <c r="L14" i="2"/>
  <c r="L2286" i="2"/>
  <c r="L1120" i="2"/>
  <c r="L896" i="2"/>
  <c r="L451" i="2"/>
  <c r="L1154" i="2"/>
  <c r="L2104" i="2"/>
  <c r="L1201" i="2"/>
  <c r="L1363" i="2"/>
  <c r="L1343" i="2"/>
  <c r="L21" i="2"/>
  <c r="L412" i="2"/>
  <c r="L1446" i="2"/>
  <c r="L1472" i="2"/>
  <c r="L1538" i="2"/>
  <c r="L45" i="2"/>
  <c r="L189" i="2"/>
  <c r="L1386" i="2"/>
  <c r="L1232" i="2"/>
  <c r="L1241" i="2"/>
  <c r="L2135" i="2"/>
  <c r="L1594" i="2"/>
  <c r="L578" i="2"/>
  <c r="L1440" i="2"/>
  <c r="L196" i="2"/>
  <c r="L1573" i="2"/>
  <c r="L150" i="2"/>
  <c r="L416" i="2"/>
  <c r="L35" i="2"/>
  <c r="L2315" i="2"/>
  <c r="L1322" i="2"/>
  <c r="L343" i="2"/>
  <c r="L1216" i="2"/>
  <c r="L1378" i="2"/>
  <c r="L36" i="2"/>
  <c r="L568" i="2"/>
  <c r="L1484" i="2"/>
  <c r="L352" i="2"/>
  <c r="L1585" i="2"/>
  <c r="L52" i="2"/>
  <c r="L589" i="2"/>
  <c r="L2174" i="2"/>
  <c r="L2190" i="2"/>
  <c r="L74" i="2"/>
  <c r="L2323" i="2"/>
  <c r="L2306" i="2"/>
  <c r="L2226" i="2"/>
  <c r="L1719" i="2"/>
  <c r="L1694" i="2"/>
  <c r="L72" i="2"/>
  <c r="L703" i="2"/>
  <c r="L2217" i="2"/>
  <c r="L85" i="2"/>
  <c r="L799" i="2"/>
  <c r="L99" i="2"/>
  <c r="L29" i="2"/>
  <c r="L2319" i="2"/>
  <c r="L2180" i="2"/>
  <c r="L646" i="2"/>
  <c r="L1677" i="2"/>
  <c r="L1558" i="2"/>
  <c r="L2170" i="2"/>
  <c r="L744" i="2"/>
  <c r="L2197" i="2"/>
  <c r="L1426" i="2"/>
  <c r="L64" i="2"/>
  <c r="L2149" i="2"/>
  <c r="L1509" i="2"/>
  <c r="L77" i="2"/>
  <c r="L92" i="2"/>
  <c r="L962" i="2"/>
  <c r="L1500" i="2"/>
  <c r="L737" i="2"/>
  <c r="L628" i="2"/>
  <c r="L631" i="2"/>
  <c r="L757" i="2"/>
  <c r="L2168" i="2"/>
  <c r="L2301" i="2"/>
  <c r="L2240" i="2"/>
  <c r="L1725" i="2"/>
  <c r="L285" i="2"/>
  <c r="L2064" i="2"/>
  <c r="L2070" i="2"/>
  <c r="L2084" i="2"/>
  <c r="L892" i="2"/>
  <c r="L934" i="2"/>
  <c r="L472" i="2"/>
  <c r="L1114" i="2"/>
  <c r="L1062" i="2"/>
  <c r="L1195" i="2"/>
  <c r="L861" i="2"/>
  <c r="L1145" i="2"/>
  <c r="L1194" i="2"/>
  <c r="L882" i="2"/>
  <c r="L1015" i="2"/>
  <c r="L441" i="2"/>
  <c r="L480" i="2"/>
  <c r="L1124" i="2"/>
  <c r="L2411" i="2"/>
  <c r="L1072" i="2"/>
  <c r="L2097" i="2"/>
  <c r="L929" i="2"/>
  <c r="L935" i="2"/>
  <c r="L488" i="2"/>
  <c r="L1167" i="2"/>
  <c r="L1049" i="2"/>
  <c r="L1037" i="2"/>
  <c r="L1112" i="2"/>
  <c r="L866" i="2"/>
  <c r="L1079" i="2"/>
  <c r="L1002" i="2"/>
  <c r="L1011" i="2"/>
  <c r="L2102" i="2"/>
  <c r="L1140" i="2"/>
  <c r="L2443" i="2"/>
  <c r="L1034" i="2"/>
  <c r="L921" i="2"/>
  <c r="L400" i="2"/>
  <c r="L2118" i="2"/>
  <c r="L2106" i="2"/>
  <c r="L1341" i="2"/>
  <c r="L2513" i="2"/>
  <c r="L2518" i="2"/>
  <c r="L1245" i="2"/>
  <c r="L1419" i="2"/>
  <c r="L1265" i="2"/>
  <c r="L1244" i="2"/>
  <c r="L1521" i="2"/>
  <c r="L2119" i="2"/>
  <c r="L2124" i="2"/>
  <c r="L1417" i="2"/>
  <c r="L1381" i="2"/>
  <c r="L2537" i="2"/>
  <c r="L2159" i="2"/>
  <c r="L1658" i="2"/>
  <c r="L786" i="2"/>
  <c r="L2147" i="2"/>
  <c r="L644" i="2"/>
  <c r="L702" i="2"/>
  <c r="L626" i="2"/>
  <c r="L1670" i="2"/>
  <c r="L238" i="2"/>
  <c r="L2166" i="2"/>
  <c r="L2556" i="2"/>
  <c r="L726" i="2"/>
  <c r="L2546" i="2"/>
  <c r="L735" i="2"/>
  <c r="L1684" i="2"/>
  <c r="L2564" i="2"/>
  <c r="L1272" i="2"/>
  <c r="L2376" i="2"/>
  <c r="L778" i="2"/>
  <c r="L1983" i="2"/>
  <c r="L388" i="2"/>
  <c r="L1774" i="2"/>
  <c r="L1953" i="2"/>
  <c r="L2625" i="2"/>
  <c r="L1948" i="2"/>
  <c r="L2622" i="2"/>
  <c r="L1942" i="2"/>
  <c r="L1936" i="2"/>
  <c r="L1974" i="2"/>
  <c r="L2602" i="2"/>
  <c r="L214" i="2"/>
  <c r="L1962" i="2"/>
  <c r="L201" i="2"/>
  <c r="L1916" i="2"/>
  <c r="L1908" i="2"/>
  <c r="L199" i="2"/>
  <c r="L1900" i="2"/>
  <c r="L228" i="2"/>
  <c r="L1860" i="2"/>
  <c r="L1857" i="2"/>
  <c r="L1838" i="2"/>
  <c r="L1836" i="2"/>
  <c r="L185" i="2"/>
  <c r="L1881" i="2"/>
  <c r="L218" i="2"/>
  <c r="L2479" i="2"/>
  <c r="L135" i="2"/>
  <c r="L116" i="2"/>
  <c r="L1897" i="2"/>
  <c r="L1826" i="2"/>
  <c r="L1818" i="2"/>
  <c r="L160" i="2"/>
  <c r="L112" i="2"/>
  <c r="L1647" i="2"/>
  <c r="L1638" i="2"/>
  <c r="L1644" i="2"/>
  <c r="L130" i="2"/>
  <c r="L171" i="2"/>
  <c r="L1802" i="2"/>
  <c r="L170" i="2"/>
  <c r="L103" i="2"/>
  <c r="L1618" i="2"/>
  <c r="L1804" i="2"/>
  <c r="L2584" i="2"/>
  <c r="L2408" i="2"/>
  <c r="L1780" i="2"/>
  <c r="L1775" i="2"/>
  <c r="L1763" i="2"/>
  <c r="L1755" i="2"/>
  <c r="L1748" i="2"/>
  <c r="L695" i="2"/>
  <c r="L689" i="2"/>
  <c r="L681" i="2"/>
  <c r="L684" i="2"/>
  <c r="L1295" i="2"/>
  <c r="L245" i="2"/>
  <c r="L1714" i="2"/>
  <c r="L794" i="2"/>
  <c r="L720" i="2"/>
  <c r="L433" i="2"/>
  <c r="L759" i="2"/>
  <c r="L2121" i="2"/>
  <c r="L2110" i="2"/>
  <c r="L2115" i="2"/>
  <c r="L2280" i="2"/>
  <c r="L181" i="2"/>
  <c r="L2385" i="2"/>
  <c r="L2065" i="2"/>
  <c r="L2061" i="2"/>
  <c r="L2068" i="2"/>
  <c r="L2085" i="2"/>
  <c r="L2082" i="2"/>
  <c r="L2072" i="2"/>
  <c r="L2079" i="2"/>
  <c r="L383" i="2"/>
  <c r="L2022" i="2"/>
  <c r="L2023" i="2"/>
  <c r="L2008" i="2"/>
  <c r="L2012" i="2"/>
  <c r="L2016" i="2"/>
  <c r="L2018" i="2"/>
  <c r="L2045" i="2"/>
  <c r="L2039" i="2"/>
  <c r="L236" i="2"/>
  <c r="L1990" i="2"/>
  <c r="L2033" i="2"/>
  <c r="L2030" i="2"/>
  <c r="L2004" i="2"/>
  <c r="L1992" i="2"/>
  <c r="L375" i="2"/>
  <c r="L2618" i="2"/>
  <c r="L1934" i="2"/>
  <c r="L209" i="2"/>
  <c r="L1963" i="2"/>
  <c r="L206" i="2"/>
  <c r="L1917" i="2"/>
  <c r="L198" i="2"/>
  <c r="L1901" i="2"/>
  <c r="L253" i="2"/>
  <c r="L1854" i="2"/>
  <c r="L1839" i="2"/>
  <c r="L1835" i="2"/>
  <c r="L2206" i="2"/>
  <c r="L1622" i="2"/>
  <c r="L1828" i="2"/>
  <c r="L1619" i="2"/>
  <c r="L140" i="2"/>
  <c r="L120" i="2"/>
  <c r="L1895" i="2"/>
  <c r="L1814" i="2"/>
  <c r="L146" i="2"/>
  <c r="L159" i="2"/>
  <c r="L111" i="2"/>
  <c r="L1646" i="2"/>
  <c r="L1633" i="2"/>
  <c r="L131" i="2"/>
  <c r="L1811" i="2"/>
  <c r="L102" i="2"/>
  <c r="L1806" i="2"/>
  <c r="L156" i="2"/>
  <c r="L2583" i="2"/>
  <c r="L2407" i="2"/>
  <c r="L2405" i="2"/>
  <c r="L250" i="2"/>
  <c r="L1761" i="2"/>
  <c r="L1767" i="2"/>
  <c r="L246" i="2"/>
  <c r="L2575" i="2"/>
  <c r="L2384" i="2"/>
  <c r="L664" i="2"/>
  <c r="L556" i="2"/>
  <c r="L2573" i="2"/>
  <c r="L673" i="2"/>
  <c r="L1711" i="2"/>
  <c r="L792" i="2"/>
  <c r="L1282" i="2"/>
  <c r="L2434" i="2"/>
  <c r="L242" i="2"/>
  <c r="L1068" i="2"/>
  <c r="L1069" i="2"/>
  <c r="L2265" i="2"/>
  <c r="L851" i="2"/>
  <c r="L845" i="2"/>
  <c r="L854" i="2"/>
  <c r="L812" i="2"/>
  <c r="L867" i="2"/>
  <c r="L840" i="2"/>
  <c r="L848" i="2"/>
  <c r="L827" i="2"/>
  <c r="L7" i="2"/>
  <c r="L1985" i="2"/>
  <c r="L1433" i="2"/>
  <c r="L1410" i="2"/>
  <c r="L1487" i="2"/>
  <c r="L1489" i="2"/>
  <c r="L1462" i="2"/>
  <c r="L2457" i="2"/>
  <c r="L907" i="2"/>
  <c r="L1098" i="2"/>
  <c r="L2311" i="2"/>
  <c r="L369" i="2"/>
  <c r="L333" i="2"/>
  <c r="L830" i="2"/>
  <c r="L852" i="2"/>
  <c r="L486" i="2"/>
  <c r="L503" i="2"/>
  <c r="L1056" i="2"/>
  <c r="L2272" i="2"/>
  <c r="L2283" i="2"/>
  <c r="L846" i="2"/>
  <c r="L887" i="2"/>
  <c r="L447" i="2"/>
  <c r="L939" i="2"/>
  <c r="L507" i="2"/>
  <c r="L856" i="2"/>
  <c r="L497" i="2"/>
  <c r="L901" i="2"/>
  <c r="L2251" i="2"/>
  <c r="L1019" i="2"/>
  <c r="L999" i="2"/>
  <c r="L2425" i="2"/>
  <c r="L355" i="2"/>
  <c r="L1197" i="2"/>
  <c r="L815" i="2"/>
  <c r="L906" i="2"/>
  <c r="L467" i="2"/>
  <c r="L9" i="2"/>
  <c r="L2258" i="2"/>
  <c r="L841" i="2"/>
  <c r="L849" i="2"/>
  <c r="L870" i="2"/>
  <c r="L946" i="2"/>
  <c r="L1149" i="2"/>
  <c r="L920" i="2"/>
  <c r="L1003" i="2"/>
  <c r="L1105" i="2"/>
  <c r="L363" i="2"/>
  <c r="L322" i="2"/>
  <c r="L459" i="2"/>
  <c r="L986" i="2"/>
  <c r="L1117" i="2"/>
  <c r="L1081" i="2"/>
  <c r="L1126" i="2"/>
  <c r="L2447" i="2"/>
  <c r="L1071" i="2"/>
  <c r="L2100" i="2"/>
  <c r="L1468" i="2"/>
  <c r="L1476" i="2"/>
  <c r="L173" i="2"/>
  <c r="L1226" i="2"/>
  <c r="L1236" i="2"/>
  <c r="L1529" i="2"/>
  <c r="L1536" i="2"/>
  <c r="L1566" i="2"/>
  <c r="L575" i="2"/>
  <c r="L1206" i="2"/>
  <c r="L414" i="2"/>
  <c r="L1422" i="2"/>
  <c r="L1469" i="2"/>
  <c r="L1375" i="2"/>
  <c r="L970" i="2"/>
  <c r="L536" i="2"/>
  <c r="L1247" i="2"/>
  <c r="L1309" i="2"/>
  <c r="L1203" i="2"/>
  <c r="L1481" i="2"/>
  <c r="L1454" i="2"/>
  <c r="L1473" i="2"/>
  <c r="L350" i="2"/>
  <c r="L1391" i="2"/>
  <c r="L2437" i="2"/>
  <c r="L1513" i="2"/>
  <c r="L1358" i="2"/>
  <c r="L1347" i="2"/>
  <c r="L26" i="2"/>
  <c r="L1400" i="2"/>
  <c r="L1337" i="2"/>
  <c r="L1544" i="2"/>
  <c r="L1590" i="2"/>
  <c r="L558" i="2"/>
  <c r="L1316" i="2"/>
  <c r="L57" i="2"/>
  <c r="L403" i="2"/>
  <c r="L409" i="2"/>
  <c r="L1444" i="2"/>
  <c r="L2291" i="2"/>
  <c r="L528" i="2"/>
  <c r="L55" i="2"/>
  <c r="L542" i="2"/>
  <c r="L340" i="2"/>
  <c r="L194" i="2"/>
  <c r="L731" i="2"/>
  <c r="L1674" i="2"/>
  <c r="L1505" i="2"/>
  <c r="L1367" i="2"/>
  <c r="L592" i="2"/>
  <c r="L771" i="2"/>
  <c r="L1296" i="2"/>
  <c r="L660" i="2"/>
  <c r="L49" i="2"/>
  <c r="L1494" i="2"/>
  <c r="L425" i="2"/>
  <c r="L1731" i="2"/>
  <c r="L749" i="2"/>
  <c r="L763" i="2"/>
  <c r="L1278" i="2"/>
  <c r="L1259" i="2"/>
  <c r="L621" i="2"/>
  <c r="L1274" i="2"/>
  <c r="L346" i="2"/>
  <c r="L709" i="2"/>
  <c r="L1583" i="2"/>
  <c r="L610" i="2"/>
  <c r="L2387" i="2"/>
  <c r="L1708" i="2"/>
  <c r="L563" i="2"/>
  <c r="L1691" i="2"/>
  <c r="L68" i="2"/>
  <c r="L1554" i="2"/>
  <c r="L40" i="2"/>
  <c r="L2325" i="2"/>
  <c r="L2304" i="2"/>
  <c r="L795" i="2"/>
  <c r="L97" i="2"/>
  <c r="L829" i="2"/>
  <c r="L485" i="2"/>
  <c r="L2271" i="2"/>
  <c r="L1176" i="2"/>
  <c r="L2282" i="2"/>
  <c r="L2105" i="2"/>
  <c r="L446" i="2"/>
  <c r="L938" i="2"/>
  <c r="L2440" i="2"/>
  <c r="L1175" i="2"/>
  <c r="L2274" i="2"/>
  <c r="L2111" i="2"/>
  <c r="L855" i="2"/>
  <c r="L1148" i="2"/>
  <c r="L1179" i="2"/>
  <c r="L2250" i="2"/>
  <c r="L1018" i="2"/>
  <c r="L998" i="2"/>
  <c r="L8" i="2"/>
  <c r="L354" i="2"/>
  <c r="L814" i="2"/>
  <c r="L466" i="2"/>
  <c r="L1116" i="2"/>
  <c r="L2257" i="2"/>
  <c r="L1055" i="2"/>
  <c r="L869" i="2"/>
  <c r="L458" i="2"/>
  <c r="L1097" i="2"/>
  <c r="L1129" i="2"/>
  <c r="L321" i="2"/>
  <c r="L985" i="2"/>
  <c r="L1080" i="2"/>
  <c r="L1096" i="2"/>
  <c r="L1125" i="2"/>
  <c r="L332" i="2"/>
  <c r="L1196" i="2"/>
  <c r="L339" i="2"/>
  <c r="L1436" i="2"/>
  <c r="L193" i="2"/>
  <c r="L1582" i="2"/>
  <c r="L39" i="2"/>
  <c r="L562" i="2"/>
  <c r="L1421" i="2"/>
  <c r="L1518" i="2"/>
  <c r="L1246" i="2"/>
  <c r="L1254" i="2"/>
  <c r="L1480" i="2"/>
  <c r="L1390" i="2"/>
  <c r="L1540" i="2"/>
  <c r="L2436" i="2"/>
  <c r="L2313" i="2"/>
  <c r="L1184" i="2"/>
  <c r="L1357" i="2"/>
  <c r="L1346" i="2"/>
  <c r="L1243" i="2"/>
  <c r="L586" i="2"/>
  <c r="L1336" i="2"/>
  <c r="L958" i="2"/>
  <c r="L1543" i="2"/>
  <c r="L1581" i="2"/>
  <c r="L1589" i="2"/>
  <c r="L579" i="2"/>
  <c r="L408" i="2"/>
  <c r="L31" i="2"/>
  <c r="L54" i="2"/>
  <c r="L541" i="2"/>
  <c r="L549" i="2"/>
  <c r="L2099" i="2"/>
  <c r="L1370" i="2"/>
  <c r="L1449" i="2"/>
  <c r="L172" i="2"/>
  <c r="L1225" i="2"/>
  <c r="L1528" i="2"/>
  <c r="L1535" i="2"/>
  <c r="L2130" i="2"/>
  <c r="L574" i="2"/>
  <c r="L2123" i="2"/>
  <c r="L604" i="2"/>
  <c r="L2177" i="2"/>
  <c r="L2186" i="2"/>
  <c r="L1667" i="2"/>
  <c r="L2193" i="2"/>
  <c r="L62" i="2"/>
  <c r="L1493" i="2"/>
  <c r="L90" i="2"/>
  <c r="L762" i="2"/>
  <c r="L1277" i="2"/>
  <c r="L1215" i="2"/>
  <c r="L648" i="2"/>
  <c r="L742" i="2"/>
  <c r="L620" i="2"/>
  <c r="L2162" i="2"/>
  <c r="L2298" i="2"/>
  <c r="L2222" i="2"/>
  <c r="L2243" i="2"/>
  <c r="L669" i="2"/>
  <c r="L532" i="2"/>
  <c r="L650" i="2"/>
  <c r="L2386" i="2"/>
  <c r="L80" i="2"/>
  <c r="L598" i="2"/>
  <c r="L1690" i="2"/>
  <c r="L67" i="2"/>
  <c r="L704" i="2"/>
  <c r="L79" i="2"/>
  <c r="L1553" i="2"/>
  <c r="L2428" i="2"/>
  <c r="L1281" i="2"/>
  <c r="L1715" i="2"/>
  <c r="L1205" i="2"/>
  <c r="L2172" i="2"/>
  <c r="L699" i="2"/>
  <c r="L2303" i="2"/>
  <c r="L1563" i="2"/>
  <c r="L1308" i="2"/>
  <c r="L2142" i="2"/>
  <c r="L730" i="2"/>
  <c r="L654" i="2"/>
  <c r="L1673" i="2"/>
  <c r="L1504" i="2"/>
  <c r="L714" i="2"/>
  <c r="L1287" i="2"/>
  <c r="L234" i="2"/>
  <c r="L1460" i="2"/>
  <c r="L1397" i="2"/>
  <c r="L964" i="2"/>
  <c r="L2366" i="2"/>
  <c r="L2462" i="2"/>
  <c r="L1409" i="2"/>
  <c r="L1185" i="2"/>
  <c r="L519" i="2"/>
  <c r="L2456" i="2"/>
  <c r="L2358" i="2"/>
  <c r="L1522" i="2"/>
  <c r="L531" i="2"/>
  <c r="L2459" i="2"/>
  <c r="L2451" i="2"/>
  <c r="L2350" i="2"/>
  <c r="L1461" i="2"/>
  <c r="L2508" i="2"/>
  <c r="L2351" i="2"/>
  <c r="L2460" i="2"/>
  <c r="L2461" i="2"/>
  <c r="L2463" i="2"/>
  <c r="L2373" i="2"/>
  <c r="L1402" i="2"/>
  <c r="L2365" i="2"/>
  <c r="L1603" i="2"/>
  <c r="L2458" i="2"/>
  <c r="L1221" i="2"/>
  <c r="L2371" i="2"/>
  <c r="L2465" i="2"/>
  <c r="L1738" i="2"/>
  <c r="L2467" i="2"/>
  <c r="L2466" i="2"/>
  <c r="L2471" i="2"/>
  <c r="L1560" i="2"/>
  <c r="L1577" i="2"/>
  <c r="L2379" i="2"/>
  <c r="L2468" i="2"/>
  <c r="L2469" i="2"/>
  <c r="L2470" i="2"/>
  <c r="L1355" i="2"/>
  <c r="L2378" i="2"/>
  <c r="L2464" i="2"/>
  <c r="L1735" i="2"/>
  <c r="L2380" i="2"/>
  <c r="M13" i="9"/>
  <c r="M30" i="9"/>
  <c r="M7" i="9"/>
  <c r="M5" i="9"/>
  <c r="L2066" i="2"/>
  <c r="L2062" i="2"/>
  <c r="L2069" i="2"/>
  <c r="L2083" i="2"/>
  <c r="L2073" i="2"/>
  <c r="L1912" i="2"/>
  <c r="L385" i="2"/>
  <c r="L2024" i="2"/>
  <c r="L2010" i="2"/>
  <c r="L2009" i="2"/>
  <c r="L2017" i="2"/>
  <c r="L2019" i="2"/>
  <c r="L2040" i="2"/>
  <c r="L2046" i="2"/>
  <c r="L1991" i="2"/>
  <c r="L1988" i="2"/>
  <c r="L237" i="2"/>
  <c r="L2034" i="2"/>
  <c r="L817" i="2"/>
  <c r="L880" i="2"/>
  <c r="L889" i="2"/>
  <c r="L439" i="2"/>
  <c r="L1075" i="2"/>
  <c r="L1035" i="2"/>
  <c r="L927" i="2"/>
  <c r="L1110" i="2"/>
  <c r="L1104" i="2"/>
  <c r="L399" i="2"/>
  <c r="L805" i="2"/>
  <c r="L1137" i="2"/>
  <c r="L1036" i="2"/>
  <c r="L397" i="2"/>
  <c r="L1334" i="2"/>
  <c r="L311" i="2"/>
  <c r="L832" i="2"/>
  <c r="L494" i="2"/>
  <c r="L1092" i="2"/>
  <c r="L1163" i="2"/>
  <c r="L1180" i="2"/>
  <c r="L1193" i="2"/>
  <c r="L305" i="2"/>
  <c r="L807" i="2"/>
  <c r="L884" i="2"/>
  <c r="L931" i="2"/>
  <c r="L498" i="2"/>
  <c r="L1151" i="2"/>
  <c r="L1032" i="2"/>
  <c r="L297" i="2"/>
  <c r="L312" i="2"/>
  <c r="L902" i="2"/>
  <c r="L978" i="2"/>
  <c r="L1161" i="2"/>
  <c r="L395" i="2"/>
  <c r="L306" i="2"/>
  <c r="L319" i="2"/>
  <c r="L1993" i="2"/>
  <c r="L890" i="2"/>
  <c r="L1013" i="2"/>
  <c r="L981" i="2"/>
  <c r="L470" i="2"/>
  <c r="L1021" i="2"/>
  <c r="L930" i="2"/>
  <c r="L1141" i="2"/>
  <c r="L1086" i="2"/>
  <c r="L1031" i="2"/>
  <c r="L358" i="2"/>
  <c r="L1338" i="2"/>
  <c r="L2511" i="2"/>
  <c r="L275" i="2"/>
  <c r="L2516" i="2"/>
  <c r="L976" i="2"/>
  <c r="L543" i="2"/>
  <c r="L402" i="2"/>
  <c r="L1412" i="2"/>
  <c r="L1438" i="2"/>
  <c r="L1465" i="2"/>
  <c r="L1478" i="2"/>
  <c r="L2523" i="2"/>
  <c r="L1568" i="2"/>
  <c r="L535" i="2"/>
  <c r="L1217" i="2"/>
  <c r="L1519" i="2"/>
  <c r="L565" i="2"/>
  <c r="L1255" i="2"/>
  <c r="L1213" i="2"/>
  <c r="L1414" i="2"/>
  <c r="L1248" i="2"/>
  <c r="L1228" i="2"/>
  <c r="L270" i="2"/>
  <c r="L1361" i="2"/>
  <c r="L1450" i="2"/>
  <c r="L1238" i="2"/>
  <c r="L1549" i="2"/>
  <c r="L1366" i="2"/>
  <c r="L1455" i="2"/>
  <c r="L1371" i="2"/>
  <c r="L1219" i="2"/>
  <c r="L960" i="2"/>
  <c r="L2526" i="2"/>
  <c r="L1324" i="2"/>
  <c r="L550" i="2"/>
  <c r="L2145" i="2"/>
  <c r="L1651" i="2"/>
  <c r="L640" i="2"/>
  <c r="L643" i="2"/>
  <c r="L725" i="2"/>
  <c r="L1556" i="2"/>
  <c r="L753" i="2"/>
  <c r="L605" i="2"/>
  <c r="L2554" i="2"/>
  <c r="L656" i="2"/>
  <c r="L784" i="2"/>
  <c r="L1233" i="2"/>
  <c r="L2544" i="2"/>
  <c r="L733" i="2"/>
  <c r="L624" i="2"/>
  <c r="L634" i="2"/>
  <c r="L716" i="2"/>
  <c r="L2570" i="2"/>
  <c r="L1712" i="2"/>
  <c r="L2391" i="2"/>
  <c r="L426" i="2"/>
  <c r="L1297" i="2"/>
  <c r="L1304" i="2"/>
  <c r="L955" i="2"/>
  <c r="L2561" i="2"/>
  <c r="L754" i="2"/>
  <c r="L1530" i="2"/>
  <c r="L1702" i="2"/>
  <c r="L600" i="2"/>
  <c r="L1495" i="2"/>
  <c r="L614" i="2"/>
  <c r="L422" i="2"/>
  <c r="L431" i="2"/>
  <c r="L1360" i="2"/>
  <c r="L700" i="2"/>
  <c r="L2246" i="2"/>
  <c r="L1741" i="2"/>
  <c r="L1717" i="2"/>
  <c r="L1986" i="2"/>
  <c r="L2210" i="2"/>
  <c r="L376" i="2"/>
  <c r="L1772" i="2"/>
  <c r="L2092" i="2"/>
  <c r="L2628" i="2"/>
  <c r="L1949" i="2"/>
  <c r="L2621" i="2"/>
  <c r="L233" i="2"/>
  <c r="L1978" i="2"/>
  <c r="L2607" i="2"/>
  <c r="L212" i="2"/>
  <c r="L1966" i="2"/>
  <c r="L2597" i="2"/>
  <c r="L1971" i="2"/>
  <c r="L205" i="2"/>
  <c r="L1911" i="2"/>
  <c r="L1903" i="2"/>
  <c r="L257" i="2"/>
  <c r="L1851" i="2"/>
  <c r="L1861" i="2"/>
  <c r="L1837" i="2"/>
  <c r="L1882" i="2"/>
  <c r="L2205" i="2"/>
  <c r="L1830" i="2"/>
  <c r="L1829" i="2"/>
  <c r="L224" i="2"/>
  <c r="L2480" i="2"/>
  <c r="L139" i="2"/>
  <c r="L119" i="2"/>
  <c r="L1893" i="2"/>
  <c r="L1631" i="2"/>
  <c r="L1824" i="2"/>
  <c r="L145" i="2"/>
  <c r="L1648" i="2"/>
  <c r="L1849" i="2"/>
  <c r="L1645" i="2"/>
  <c r="L1636" i="2"/>
  <c r="L1627" i="2"/>
  <c r="L129" i="2"/>
  <c r="L127" i="2"/>
  <c r="L1801" i="2"/>
  <c r="L168" i="2"/>
  <c r="L162" i="2"/>
  <c r="L1617" i="2"/>
  <c r="L155" i="2"/>
  <c r="L2582" i="2"/>
  <c r="L2406" i="2"/>
  <c r="L2404" i="2"/>
  <c r="L1760" i="2"/>
  <c r="L1754" i="2"/>
  <c r="L2236" i="2"/>
  <c r="L2574" i="2"/>
  <c r="L2383" i="2"/>
  <c r="L663" i="2"/>
  <c r="L555" i="2"/>
  <c r="L1293" i="2"/>
  <c r="L671" i="2"/>
  <c r="L790" i="2"/>
  <c r="L1280" i="2"/>
  <c r="L2088" i="2"/>
  <c r="L2071" i="2"/>
  <c r="L2059" i="2"/>
  <c r="L2086" i="2"/>
  <c r="L2077" i="2"/>
  <c r="L2020" i="2"/>
  <c r="L2014" i="2"/>
  <c r="L2043" i="2"/>
  <c r="L2037" i="2"/>
  <c r="L235" i="2"/>
  <c r="L2032" i="2"/>
  <c r="L1994" i="2"/>
  <c r="L803" i="2"/>
  <c r="L2422" i="2"/>
  <c r="L947" i="2"/>
  <c r="L492" i="2"/>
  <c r="L2424" i="2"/>
  <c r="L510" i="2"/>
  <c r="L1091" i="2"/>
  <c r="L2442" i="2"/>
  <c r="L1087" i="2"/>
  <c r="L1168" i="2"/>
  <c r="L1192" i="2"/>
  <c r="L1207" i="2"/>
  <c r="L1108" i="2"/>
  <c r="L1103" i="2"/>
  <c r="L2412" i="2"/>
  <c r="L278" i="2"/>
  <c r="L370" i="2"/>
  <c r="L302" i="2"/>
  <c r="L335" i="2"/>
  <c r="L1038" i="2"/>
  <c r="L1136" i="2"/>
  <c r="L2413" i="2"/>
  <c r="L2335" i="2"/>
  <c r="L838" i="2"/>
  <c r="L477" i="2"/>
  <c r="L2329" i="2"/>
  <c r="L1122" i="2"/>
  <c r="L2333" i="2"/>
  <c r="L917" i="2"/>
  <c r="L925" i="2"/>
  <c r="L993" i="2"/>
  <c r="L996" i="2"/>
  <c r="L1156" i="2"/>
  <c r="L2334" i="2"/>
  <c r="L1009" i="2"/>
  <c r="L1027" i="2"/>
  <c r="L2444" i="2"/>
  <c r="L2011" i="2"/>
  <c r="L2006" i="2"/>
  <c r="L878" i="2"/>
  <c r="L1040" i="2"/>
  <c r="L437" i="2"/>
  <c r="L468" i="2"/>
  <c r="L2445" i="2"/>
  <c r="L2446" i="2"/>
  <c r="L919" i="2"/>
  <c r="L1044" i="2"/>
  <c r="L1064" i="2"/>
  <c r="L1169" i="2"/>
  <c r="L279" i="2"/>
  <c r="L404" i="2"/>
  <c r="L1222" i="2"/>
  <c r="L178" i="2"/>
  <c r="L975" i="2"/>
  <c r="L1578" i="2"/>
  <c r="L665" i="2"/>
  <c r="L2341" i="2"/>
  <c r="L2399" i="2"/>
  <c r="L1598" i="2"/>
  <c r="L1311" i="2"/>
  <c r="L1314" i="2"/>
  <c r="L546" i="2"/>
  <c r="L593" i="2"/>
  <c r="L268" i="2"/>
  <c r="L273" i="2"/>
  <c r="L1351" i="2"/>
  <c r="L1542" i="2"/>
  <c r="L2519" i="2"/>
  <c r="L967" i="2"/>
  <c r="L1523" i="2"/>
  <c r="L520" i="2"/>
  <c r="L1258" i="2"/>
  <c r="L968" i="2"/>
  <c r="L533" i="2"/>
  <c r="L571" i="2"/>
  <c r="L323" i="2"/>
  <c r="L1486" i="2"/>
  <c r="L2514" i="2"/>
  <c r="L1565" i="2"/>
  <c r="L570" i="2"/>
  <c r="L1312" i="2"/>
  <c r="L1488" i="2"/>
  <c r="L1368" i="2"/>
  <c r="L2520" i="2"/>
  <c r="L1604" i="2"/>
  <c r="L1269" i="2"/>
  <c r="L2533" i="2"/>
  <c r="L523" i="2"/>
  <c r="L1502" i="2"/>
  <c r="L2558" i="2"/>
  <c r="L632" i="2"/>
  <c r="L775" i="2"/>
  <c r="L421" i="2"/>
  <c r="L782" i="2"/>
  <c r="L670" i="2"/>
  <c r="L1289" i="2"/>
  <c r="L1398" i="2"/>
  <c r="L1328" i="2"/>
  <c r="L740" i="2"/>
  <c r="L1683" i="2"/>
  <c r="L1700" i="2"/>
  <c r="L1739" i="2"/>
  <c r="L722" i="2"/>
  <c r="L1720" i="2"/>
  <c r="L2340" i="2"/>
  <c r="L1271" i="2"/>
  <c r="L1744" i="2"/>
  <c r="L597" i="2"/>
  <c r="L2377" i="2"/>
  <c r="L1686" i="2"/>
  <c r="L706" i="2"/>
  <c r="L1561" i="2"/>
  <c r="L1403" i="2"/>
  <c r="L2550" i="2"/>
  <c r="L651" i="2"/>
  <c r="L1696" i="2"/>
  <c r="L1698" i="2"/>
  <c r="L758" i="2"/>
  <c r="L1302" i="2"/>
  <c r="L1284" i="2"/>
  <c r="L1432" i="2"/>
  <c r="L177" i="2"/>
  <c r="L2541" i="2"/>
  <c r="L2367" i="2"/>
  <c r="L1668" i="2"/>
  <c r="L2388" i="2"/>
  <c r="L1736" i="2"/>
  <c r="L750" i="2"/>
  <c r="L2567" i="2"/>
  <c r="L789" i="2"/>
  <c r="L1944" i="2"/>
  <c r="L987" i="2"/>
  <c r="L1127" i="2"/>
  <c r="L831" i="2"/>
  <c r="L1150" i="2"/>
  <c r="L1099" i="2"/>
  <c r="L1132" i="2"/>
  <c r="L1177" i="2"/>
  <c r="L2275" i="2"/>
  <c r="L888" i="2"/>
  <c r="L448" i="2"/>
  <c r="L940" i="2"/>
  <c r="L1118" i="2"/>
  <c r="L1057" i="2"/>
  <c r="L455" i="2"/>
  <c r="L1082" i="2"/>
  <c r="L2252" i="2"/>
  <c r="L1020" i="2"/>
  <c r="L356" i="2"/>
  <c r="L1199" i="2"/>
  <c r="L816" i="2"/>
  <c r="L2259" i="2"/>
  <c r="L357" i="2"/>
  <c r="L871" i="2"/>
  <c r="L326" i="2"/>
  <c r="L410" i="2"/>
  <c r="L56" i="2"/>
  <c r="L341" i="2"/>
  <c r="L33" i="2"/>
  <c r="L41" i="2"/>
  <c r="L564" i="2"/>
  <c r="L1320" i="2"/>
  <c r="L50" i="2"/>
  <c r="L59" i="2"/>
  <c r="L1482" i="2"/>
  <c r="L2438" i="2"/>
  <c r="L1514" i="2"/>
  <c r="L1600" i="2"/>
  <c r="L587" i="2"/>
  <c r="L2284" i="2"/>
  <c r="L959" i="2"/>
  <c r="L27" i="2"/>
  <c r="L1423" i="2"/>
  <c r="L1591" i="2"/>
  <c r="L1237" i="2"/>
  <c r="L655" i="2"/>
  <c r="L70" i="2"/>
  <c r="L732" i="2"/>
  <c r="L1675" i="2"/>
  <c r="L1567" i="2"/>
  <c r="L2144" i="2"/>
  <c r="L2179" i="2"/>
  <c r="L2390" i="2"/>
  <c r="L2195" i="2"/>
  <c r="L1506" i="2"/>
  <c r="L743" i="2"/>
  <c r="L752" i="2"/>
  <c r="L764" i="2"/>
  <c r="L1384" i="2"/>
  <c r="L2133" i="2"/>
  <c r="L623" i="2"/>
  <c r="L2164" i="2"/>
  <c r="L434" i="2"/>
  <c r="L1477" i="2"/>
  <c r="L174" i="2"/>
  <c r="L2188" i="2"/>
  <c r="L2224" i="2"/>
  <c r="L1437" i="2"/>
  <c r="L1227" i="2"/>
  <c r="L2173" i="2"/>
  <c r="L1692" i="2"/>
  <c r="L82" i="2"/>
  <c r="L1555" i="2"/>
  <c r="L872" i="2"/>
  <c r="L1023" i="2"/>
  <c r="L1119" i="2"/>
  <c r="L2448" i="2"/>
  <c r="L327" i="2"/>
  <c r="L473" i="2"/>
  <c r="L988" i="2"/>
  <c r="L1153" i="2"/>
  <c r="L1005" i="2"/>
  <c r="L2312" i="2"/>
  <c r="L360" i="2"/>
  <c r="L334" i="2"/>
  <c r="L1208" i="2"/>
  <c r="L853" i="2"/>
  <c r="L949" i="2"/>
  <c r="L504" i="2"/>
  <c r="L2268" i="2"/>
  <c r="L460" i="2"/>
  <c r="L1133" i="2"/>
  <c r="L2308" i="2"/>
  <c r="L1073" i="2"/>
  <c r="L2276" i="2"/>
  <c r="L833" i="2"/>
  <c r="L893" i="2"/>
  <c r="L857" i="2"/>
  <c r="L911" i="2"/>
  <c r="L449" i="2"/>
  <c r="L489" i="2"/>
  <c r="L2285" i="2"/>
  <c r="L1204" i="2"/>
  <c r="L405" i="2"/>
  <c r="L1058" i="2"/>
  <c r="L1182" i="2"/>
  <c r="L2426" i="2"/>
  <c r="L903" i="2"/>
  <c r="L910" i="2"/>
  <c r="L942" i="2"/>
  <c r="L2253" i="2"/>
  <c r="L500" i="2"/>
  <c r="L995" i="2"/>
  <c r="L1100" i="2"/>
  <c r="L1130" i="2"/>
  <c r="L2103" i="2"/>
  <c r="L1200" i="2"/>
  <c r="L819" i="2"/>
  <c r="L850" i="2"/>
  <c r="L2397" i="2"/>
  <c r="L11" i="2"/>
  <c r="L2260" i="2"/>
  <c r="L1083" i="2"/>
  <c r="L1106" i="2"/>
  <c r="L365" i="2"/>
  <c r="L1425" i="2"/>
  <c r="L1445" i="2"/>
  <c r="L28" i="2"/>
  <c r="L1546" i="2"/>
  <c r="L44" i="2"/>
  <c r="L529" i="2"/>
  <c r="L1326" i="2"/>
  <c r="L584" i="2"/>
  <c r="L1212" i="2"/>
  <c r="L348" i="2"/>
  <c r="L195" i="2"/>
  <c r="L1385" i="2"/>
  <c r="L1231" i="2"/>
  <c r="L1240" i="2"/>
  <c r="L2134" i="2"/>
  <c r="L1262" i="2"/>
  <c r="L149" i="2"/>
  <c r="L342" i="2"/>
  <c r="L415" i="2"/>
  <c r="L2125" i="2"/>
  <c r="L1532" i="2"/>
  <c r="L2292" i="2"/>
  <c r="L1572" i="2"/>
  <c r="L2113" i="2"/>
  <c r="L2417" i="2"/>
  <c r="L1471" i="2"/>
  <c r="L971" i="2"/>
  <c r="L974" i="2"/>
  <c r="L34" i="2"/>
  <c r="L1310" i="2"/>
  <c r="L1474" i="2"/>
  <c r="L1377" i="2"/>
  <c r="L1396" i="2"/>
  <c r="L538" i="2"/>
  <c r="L567" i="2"/>
  <c r="L51" i="2"/>
  <c r="L1483" i="2"/>
  <c r="L351" i="2"/>
  <c r="L1401" i="2"/>
  <c r="L1584" i="2"/>
  <c r="L1250" i="2"/>
  <c r="L1342" i="2"/>
  <c r="L1349" i="2"/>
  <c r="L20" i="2"/>
  <c r="L24" i="2"/>
  <c r="L1516" i="2"/>
  <c r="L1550" i="2"/>
  <c r="L1268" i="2"/>
  <c r="L1693" i="2"/>
  <c r="L2322" i="2"/>
  <c r="L2305" i="2"/>
  <c r="L2225" i="2"/>
  <c r="L84" i="2"/>
  <c r="L2296" i="2"/>
  <c r="L240" i="2"/>
  <c r="L18" i="2"/>
  <c r="L1537" i="2"/>
  <c r="L659" i="2"/>
  <c r="L71" i="2"/>
  <c r="L2216" i="2"/>
  <c r="L83" i="2"/>
  <c r="L791" i="2"/>
  <c r="L798" i="2"/>
  <c r="L1457" i="2"/>
  <c r="L1593" i="2"/>
  <c r="L2318" i="2"/>
  <c r="L645" i="2"/>
  <c r="L1676" i="2"/>
  <c r="L1557" i="2"/>
  <c r="L244" i="2"/>
  <c r="L772" i="2"/>
  <c r="L188" i="2"/>
  <c r="L63" i="2"/>
  <c r="L607" i="2"/>
  <c r="L2196" i="2"/>
  <c r="L91" i="2"/>
  <c r="L1729" i="2"/>
  <c r="L1470" i="2"/>
  <c r="L2148" i="2"/>
  <c r="L1499" i="2"/>
  <c r="L1508" i="2"/>
  <c r="L76" i="2"/>
  <c r="L1275" i="2"/>
  <c r="L1733" i="2"/>
  <c r="L545" i="2"/>
  <c r="L577" i="2"/>
  <c r="L736" i="2"/>
  <c r="L2300" i="2"/>
  <c r="L627" i="2"/>
  <c r="L428" i="2"/>
  <c r="L756" i="2"/>
  <c r="L2167" i="2"/>
  <c r="L2393" i="2"/>
  <c r="L2239" i="2"/>
  <c r="L411" i="2"/>
  <c r="L1318" i="2"/>
  <c r="L2189" i="2"/>
  <c r="L710" i="2"/>
  <c r="L768" i="2"/>
  <c r="L2433" i="2"/>
  <c r="L1710" i="2"/>
  <c r="L2063" i="2"/>
  <c r="L2026" i="2"/>
  <c r="L2081" i="2"/>
  <c r="L2080" i="2"/>
  <c r="L2027" i="2"/>
  <c r="L2025" i="2"/>
  <c r="L2013" i="2"/>
  <c r="L2047" i="2"/>
  <c r="L1996" i="2"/>
  <c r="L2041" i="2"/>
  <c r="L2035" i="2"/>
  <c r="L2031" i="2"/>
  <c r="L1014" i="2"/>
  <c r="L1111" i="2"/>
  <c r="L1050" i="2"/>
  <c r="L1052" i="2"/>
  <c r="L2332" i="2"/>
  <c r="L1004" i="2"/>
  <c r="L359" i="2"/>
  <c r="L1191" i="2"/>
  <c r="L2336" i="2"/>
  <c r="L265" i="2"/>
  <c r="L818" i="2"/>
  <c r="L881" i="2"/>
  <c r="L440" i="2"/>
  <c r="L454" i="2"/>
  <c r="L479" i="2"/>
  <c r="L1076" i="2"/>
  <c r="L1142" i="2"/>
  <c r="L1128" i="2"/>
  <c r="L2507" i="2"/>
  <c r="L2337" i="2"/>
  <c r="L2005" i="2"/>
  <c r="L928" i="2"/>
  <c r="L933" i="2"/>
  <c r="L487" i="2"/>
  <c r="L1093" i="2"/>
  <c r="L1051" i="2"/>
  <c r="L1094" i="2"/>
  <c r="L1077" i="2"/>
  <c r="L806" i="2"/>
  <c r="L883" i="2"/>
  <c r="L442" i="2"/>
  <c r="L2330" i="2"/>
  <c r="L1143" i="2"/>
  <c r="L1053" i="2"/>
  <c r="L1178" i="2"/>
  <c r="L394" i="2"/>
  <c r="L296" i="2"/>
  <c r="L314" i="2"/>
  <c r="L443" i="2"/>
  <c r="L1138" i="2"/>
  <c r="L1078" i="2"/>
  <c r="L1164" i="2"/>
  <c r="L1181" i="2"/>
  <c r="L398" i="2"/>
  <c r="L263" i="2"/>
  <c r="L2101" i="2"/>
  <c r="L2338" i="2"/>
  <c r="L808" i="2"/>
  <c r="L885" i="2"/>
  <c r="L980" i="2"/>
  <c r="L453" i="2"/>
  <c r="L941" i="2"/>
  <c r="L482" i="2"/>
  <c r="L499" i="2"/>
  <c r="L1139" i="2"/>
  <c r="L1152" i="2"/>
  <c r="L1173" i="2"/>
  <c r="L1033" i="2"/>
  <c r="L364" i="2"/>
  <c r="L259" i="2"/>
  <c r="L298" i="2"/>
  <c r="L1335" i="2"/>
  <c r="L309" i="2"/>
  <c r="L313" i="2"/>
  <c r="L2339" i="2"/>
  <c r="L267" i="2"/>
  <c r="L809" i="2"/>
  <c r="L932" i="2"/>
  <c r="L483" i="2"/>
  <c r="L864" i="2"/>
  <c r="L1047" i="2"/>
  <c r="L1113" i="2"/>
  <c r="L1162" i="2"/>
  <c r="L396" i="2"/>
  <c r="L1189" i="2"/>
  <c r="L308" i="2"/>
  <c r="L2096" i="2"/>
  <c r="L310" i="2"/>
  <c r="L264" i="2"/>
  <c r="L320" i="2"/>
  <c r="L810" i="2"/>
  <c r="L891" i="2"/>
  <c r="L979" i="2"/>
  <c r="L1016" i="2"/>
  <c r="L471" i="2"/>
  <c r="L1022" i="2"/>
  <c r="L1048" i="2"/>
  <c r="L1144" i="2"/>
  <c r="L2331" i="2"/>
  <c r="L262" i="2"/>
  <c r="L1190" i="2"/>
  <c r="L307" i="2"/>
  <c r="L272" i="2"/>
  <c r="L1456" i="2"/>
  <c r="L1372" i="2"/>
  <c r="L1220" i="2"/>
  <c r="L961" i="2"/>
  <c r="L525" i="2"/>
  <c r="L1592" i="2"/>
  <c r="L559" i="2"/>
  <c r="L2527" i="2"/>
  <c r="L1325" i="2"/>
  <c r="L345" i="2"/>
  <c r="L1416" i="2"/>
  <c r="L1424" i="2"/>
  <c r="L956" i="2"/>
  <c r="L1531" i="2"/>
  <c r="L2525" i="2"/>
  <c r="L1571" i="2"/>
  <c r="L1413" i="2"/>
  <c r="L2127" i="2"/>
  <c r="L1418" i="2"/>
  <c r="L1439" i="2"/>
  <c r="L1466" i="2"/>
  <c r="L1451" i="2"/>
  <c r="L2348" i="2"/>
  <c r="L2524" i="2"/>
  <c r="L1570" i="2"/>
  <c r="L1321" i="2"/>
  <c r="L599" i="2"/>
  <c r="L347" i="2"/>
  <c r="L2342" i="2"/>
  <c r="L1376" i="2"/>
  <c r="L1218" i="2"/>
  <c r="L1229" i="2"/>
  <c r="L1395" i="2"/>
  <c r="L1541" i="2"/>
  <c r="L1520" i="2"/>
  <c r="L1569" i="2"/>
  <c r="L515" i="2"/>
  <c r="L1551" i="2"/>
  <c r="L566" i="2"/>
  <c r="L1256" i="2"/>
  <c r="L2372" i="2"/>
  <c r="L337" i="2"/>
  <c r="L1214" i="2"/>
  <c r="L2117" i="2"/>
  <c r="L1415" i="2"/>
  <c r="L1380" i="2"/>
  <c r="L1526" i="2"/>
  <c r="L524" i="2"/>
  <c r="L1249" i="2"/>
  <c r="L2536" i="2"/>
  <c r="L336" i="2"/>
  <c r="L1348" i="2"/>
  <c r="L1452" i="2"/>
  <c r="L1230" i="2"/>
  <c r="L2352" i="2"/>
  <c r="L2357" i="2"/>
  <c r="L1527" i="2"/>
  <c r="L2361" i="2"/>
  <c r="L1515" i="2"/>
  <c r="L526" i="2"/>
  <c r="L527" i="2"/>
  <c r="L1267" i="2"/>
  <c r="L580" i="2"/>
  <c r="L588" i="2"/>
  <c r="L271" i="2"/>
  <c r="L2116" i="2"/>
  <c r="L1362" i="2"/>
  <c r="L1340" i="2"/>
  <c r="L1239" i="2"/>
  <c r="L957" i="2"/>
  <c r="L2362" i="2"/>
  <c r="L1545" i="2"/>
  <c r="L1601" i="2"/>
  <c r="L583" i="2"/>
  <c r="L701" i="2"/>
  <c r="L616" i="2"/>
  <c r="L423" i="2"/>
  <c r="L1705" i="2"/>
  <c r="L276" i="2"/>
  <c r="L1669" i="2"/>
  <c r="L745" i="2"/>
  <c r="L1704" i="2"/>
  <c r="L2247" i="2"/>
  <c r="L1728" i="2"/>
  <c r="L683" i="2"/>
  <c r="L1339" i="2"/>
  <c r="L2517" i="2"/>
  <c r="L2374" i="2"/>
  <c r="L606" i="2"/>
  <c r="L2161" i="2"/>
  <c r="L2165" i="2"/>
  <c r="L608" i="2"/>
  <c r="L2555" i="2"/>
  <c r="L1660" i="2"/>
  <c r="L657" i="2"/>
  <c r="L1330" i="2"/>
  <c r="L1703" i="2"/>
  <c r="L777" i="2"/>
  <c r="L2326" i="2"/>
  <c r="L1727" i="2"/>
  <c r="L954" i="2"/>
  <c r="L2146" i="2"/>
  <c r="L1496" i="2"/>
  <c r="L637" i="2"/>
  <c r="L2545" i="2"/>
  <c r="L734" i="2"/>
  <c r="L649" i="2"/>
  <c r="L1671" i="2"/>
  <c r="L625" i="2"/>
  <c r="L635" i="2"/>
  <c r="L1507" i="2"/>
  <c r="L1732" i="2"/>
  <c r="L755" i="2"/>
  <c r="L1279" i="2"/>
  <c r="L2571" i="2"/>
  <c r="L1713" i="2"/>
  <c r="L544" i="2"/>
  <c r="L576" i="2"/>
  <c r="L723" i="2"/>
  <c r="L1665" i="2"/>
  <c r="L2392" i="2"/>
  <c r="L427" i="2"/>
  <c r="L1742" i="2"/>
  <c r="L2512" i="2"/>
  <c r="L179" i="2"/>
  <c r="L2158" i="2"/>
  <c r="L1498" i="2"/>
  <c r="L638" i="2"/>
  <c r="L639" i="2"/>
  <c r="L1655" i="2"/>
  <c r="L1666" i="2"/>
  <c r="L2562" i="2"/>
  <c r="L630" i="2"/>
  <c r="L2228" i="2"/>
  <c r="L785" i="2"/>
  <c r="L766" i="2"/>
  <c r="L1298" i="2"/>
  <c r="L1723" i="2"/>
  <c r="L672" i="2"/>
  <c r="L1317" i="2"/>
  <c r="L2141" i="2"/>
  <c r="L2375" i="2"/>
  <c r="L724" i="2"/>
  <c r="L1664" i="2"/>
  <c r="L705" i="2"/>
  <c r="L2242" i="2"/>
  <c r="L601" i="2"/>
  <c r="L2157" i="2"/>
  <c r="L1497" i="2"/>
  <c r="L1657" i="2"/>
  <c r="L1688" i="2"/>
  <c r="L615" i="2"/>
  <c r="L2381" i="2"/>
  <c r="L432" i="2"/>
  <c r="L1987" i="2"/>
  <c r="L2209" i="2"/>
  <c r="L1771" i="2"/>
  <c r="L2631" i="2"/>
  <c r="L1946" i="2"/>
  <c r="L2616" i="2"/>
  <c r="L1935" i="2"/>
  <c r="L1929" i="2"/>
  <c r="L1967" i="2"/>
  <c r="L210" i="2"/>
  <c r="L1931" i="2"/>
  <c r="L2594" i="2"/>
  <c r="L2595" i="2"/>
  <c r="L202" i="2"/>
  <c r="L1919" i="2"/>
  <c r="L1909" i="2"/>
  <c r="L230" i="2"/>
  <c r="L2477" i="2"/>
  <c r="L1870" i="2"/>
  <c r="L1868" i="2"/>
  <c r="L1842" i="2"/>
  <c r="L1856" i="2"/>
  <c r="L2208" i="2"/>
  <c r="L1886" i="2"/>
  <c r="L2207" i="2"/>
  <c r="L1831" i="2"/>
  <c r="L226" i="2"/>
  <c r="L220" i="2"/>
  <c r="L138" i="2"/>
  <c r="L118" i="2"/>
  <c r="L1892" i="2"/>
  <c r="L1630" i="2"/>
  <c r="L1823" i="2"/>
  <c r="L144" i="2"/>
  <c r="L158" i="2"/>
  <c r="L1848" i="2"/>
  <c r="L133" i="2"/>
  <c r="L2155" i="2"/>
  <c r="L128" i="2"/>
  <c r="L126" i="2"/>
  <c r="L1800" i="2"/>
  <c r="L123" i="2"/>
  <c r="L167" i="2"/>
  <c r="L1798" i="2"/>
  <c r="L2589" i="2"/>
  <c r="L1616" i="2"/>
  <c r="L1614" i="2"/>
  <c r="L2581" i="2"/>
  <c r="L1785" i="2"/>
  <c r="L248" i="2"/>
  <c r="L1759" i="2"/>
  <c r="L1753" i="2"/>
  <c r="L2235" i="2"/>
  <c r="L1747" i="2"/>
  <c r="L2382" i="2"/>
  <c r="L694" i="2"/>
  <c r="L554" i="2"/>
  <c r="L688" i="2"/>
  <c r="L679" i="2"/>
  <c r="L1292" i="2"/>
  <c r="L1726" i="2"/>
  <c r="L1707" i="2"/>
  <c r="L2432" i="2"/>
  <c r="L1904" i="2"/>
  <c r="L231" i="2"/>
  <c r="L1877" i="2"/>
  <c r="L1867" i="2"/>
  <c r="L1869" i="2"/>
  <c r="L1844" i="2"/>
  <c r="L1858" i="2"/>
  <c r="L1833" i="2"/>
  <c r="L1883" i="2"/>
  <c r="L1832" i="2"/>
  <c r="L256" i="2"/>
  <c r="L1620" i="2"/>
  <c r="L219" i="2"/>
  <c r="L2202" i="2"/>
  <c r="L137" i="2"/>
  <c r="L117" i="2"/>
  <c r="L1891" i="2"/>
  <c r="L1822" i="2"/>
  <c r="L143" i="2"/>
  <c r="L157" i="2"/>
  <c r="L1847" i="2"/>
  <c r="L1641" i="2"/>
  <c r="L1635" i="2"/>
  <c r="L109" i="2"/>
  <c r="L125" i="2"/>
  <c r="L106" i="2"/>
  <c r="L163" i="2"/>
  <c r="L2588" i="2"/>
  <c r="L1625" i="2"/>
  <c r="L1613" i="2"/>
  <c r="L2580" i="2"/>
  <c r="L1784" i="2"/>
  <c r="L1777" i="2"/>
  <c r="L247" i="2"/>
  <c r="L1757" i="2"/>
  <c r="L1752" i="2"/>
  <c r="L2234" i="2"/>
  <c r="L2472" i="2"/>
  <c r="L2290" i="2"/>
  <c r="L693" i="2"/>
  <c r="L553" i="2"/>
  <c r="L675" i="2"/>
  <c r="L1291" i="2"/>
  <c r="L1724" i="2"/>
  <c r="L98" i="2"/>
  <c r="L718" i="2"/>
  <c r="L769" i="2"/>
  <c r="L914" i="2"/>
  <c r="L922" i="2"/>
  <c r="L1024" i="2"/>
  <c r="L821" i="2"/>
  <c r="L874" i="2"/>
  <c r="L474" i="2"/>
  <c r="L915" i="2"/>
  <c r="L989" i="2"/>
  <c r="L505" i="2"/>
  <c r="L508" i="2"/>
  <c r="L950" i="2"/>
  <c r="L862" i="2"/>
  <c r="L13" i="2"/>
  <c r="L461" i="2"/>
  <c r="L490" i="2"/>
  <c r="L895" i="2"/>
  <c r="L859" i="2"/>
  <c r="L450" i="2"/>
  <c r="L1001" i="2"/>
  <c r="L835" i="2"/>
  <c r="L943" i="2"/>
  <c r="L991" i="2"/>
  <c r="L501" i="2"/>
  <c r="L1968" i="2"/>
  <c r="L1913" i="2"/>
  <c r="L1876" i="2"/>
  <c r="L1871" i="2"/>
  <c r="L1855" i="2"/>
  <c r="L1843" i="2"/>
  <c r="L1840" i="2"/>
  <c r="L1887" i="2"/>
  <c r="L1623" i="2"/>
  <c r="L221" i="2"/>
  <c r="L223" i="2"/>
  <c r="L2203" i="2"/>
  <c r="L136" i="2"/>
  <c r="L1890" i="2"/>
  <c r="L251" i="2"/>
  <c r="L1821" i="2"/>
  <c r="L1817" i="2"/>
  <c r="L115" i="2"/>
  <c r="L134" i="2"/>
  <c r="L1650" i="2"/>
  <c r="L1628" i="2"/>
  <c r="L108" i="2"/>
  <c r="L1792" i="2"/>
  <c r="L124" i="2"/>
  <c r="L105" i="2"/>
  <c r="L166" i="2"/>
  <c r="L1807" i="2"/>
  <c r="L2587" i="2"/>
  <c r="L1794" i="2"/>
  <c r="L154" i="2"/>
  <c r="L2579" i="2"/>
  <c r="L1783" i="2"/>
  <c r="L1776" i="2"/>
  <c r="L1765" i="2"/>
  <c r="L1758" i="2"/>
  <c r="L1751" i="2"/>
  <c r="L2233" i="2"/>
  <c r="L1769" i="2"/>
  <c r="L692" i="2"/>
  <c r="L552" i="2"/>
  <c r="L1288" i="2"/>
  <c r="L1722" i="2"/>
  <c r="L96" i="2"/>
  <c r="L2568" i="2"/>
  <c r="L717" i="2"/>
  <c r="L767" i="2"/>
  <c r="L820" i="2"/>
  <c r="L873" i="2"/>
  <c r="L913" i="2"/>
  <c r="L12" i="2"/>
  <c r="L894" i="2"/>
  <c r="L858" i="2"/>
  <c r="L1000" i="2"/>
  <c r="L834" i="2"/>
  <c r="L912" i="2"/>
  <c r="L2131" i="2"/>
  <c r="L32" i="2"/>
  <c r="L537" i="2"/>
  <c r="L2314" i="2"/>
  <c r="L2293" i="2"/>
  <c r="L2299" i="2"/>
  <c r="L2215" i="2"/>
  <c r="L2143" i="2"/>
  <c r="L2317" i="2"/>
  <c r="L2178" i="2"/>
  <c r="L2194" i="2"/>
  <c r="L2176" i="2"/>
  <c r="L58" i="2"/>
  <c r="L2321" i="2"/>
  <c r="L2163" i="2"/>
  <c r="L2401" i="2"/>
  <c r="L2238" i="2"/>
  <c r="L2223" i="2"/>
  <c r="L611" i="2"/>
  <c r="L81" i="2"/>
  <c r="L69" i="2"/>
  <c r="L2295" i="2"/>
  <c r="L2264" i="2"/>
  <c r="L1171" i="2"/>
  <c r="L909" i="2"/>
  <c r="L847" i="2"/>
  <c r="L908" i="2"/>
  <c r="L842" i="2"/>
  <c r="L445" i="2"/>
  <c r="L1115" i="2"/>
  <c r="L2267" i="2"/>
  <c r="L2273" i="2"/>
  <c r="L506" i="2"/>
  <c r="L509" i="2"/>
  <c r="L1147" i="2"/>
  <c r="L2427" i="2"/>
  <c r="L2249" i="2"/>
  <c r="L1017" i="2"/>
  <c r="L1054" i="2"/>
  <c r="L813" i="2"/>
  <c r="L900" i="2"/>
  <c r="L2256" i="2"/>
  <c r="L1095" i="2"/>
  <c r="L868" i="2"/>
  <c r="L1070" i="2"/>
  <c r="L331" i="2"/>
  <c r="L828" i="2"/>
  <c r="L2423" i="2"/>
  <c r="L368" i="2"/>
  <c r="L373" i="2"/>
  <c r="L2281" i="2"/>
  <c r="L187" i="2"/>
  <c r="L2419" i="2"/>
  <c r="L48" i="2"/>
  <c r="L1374" i="2"/>
  <c r="L1389" i="2"/>
  <c r="L969" i="2"/>
  <c r="L1356" i="2"/>
  <c r="L25" i="2"/>
  <c r="L1588" i="2"/>
  <c r="L2454" i="2"/>
  <c r="L1548" i="2"/>
  <c r="L540" i="2"/>
  <c r="L548" i="2"/>
  <c r="L1354" i="2"/>
  <c r="L1443" i="2"/>
  <c r="L19" i="2"/>
  <c r="L1534" i="2"/>
  <c r="L338" i="2"/>
  <c r="L192" i="2"/>
  <c r="L1475" i="2"/>
  <c r="L1235" i="2"/>
  <c r="L43" i="2"/>
  <c r="L561" i="2"/>
  <c r="L1253" i="2"/>
  <c r="L61" i="2"/>
  <c r="L1492" i="2"/>
  <c r="L89" i="2"/>
  <c r="L761" i="2"/>
  <c r="L1211" i="2"/>
  <c r="L619" i="2"/>
  <c r="L748" i="2"/>
  <c r="L708" i="2"/>
  <c r="L668" i="2"/>
  <c r="L1420" i="2"/>
  <c r="L1689" i="2"/>
  <c r="L66" i="2"/>
  <c r="L1552" i="2"/>
  <c r="L148" i="2"/>
  <c r="L698" i="2"/>
  <c r="L793" i="2"/>
  <c r="L95" i="2"/>
  <c r="L1307" i="2"/>
  <c r="L729" i="2"/>
  <c r="L1672" i="2"/>
  <c r="L603" i="2"/>
  <c r="L642" i="2"/>
  <c r="L721" i="2"/>
  <c r="L2021" i="2"/>
  <c r="L2015" i="2"/>
  <c r="L2453" i="2"/>
  <c r="L2510" i="2"/>
  <c r="L2559" i="2"/>
  <c r="L1662" i="2"/>
  <c r="L1701" i="2"/>
  <c r="L1721" i="2"/>
  <c r="L622" i="2"/>
  <c r="L2552" i="2"/>
  <c r="L1999" i="2"/>
  <c r="L1980" i="2"/>
  <c r="L391" i="2"/>
  <c r="L386" i="2"/>
  <c r="L379" i="2"/>
  <c r="L2627" i="2"/>
  <c r="L1951" i="2"/>
  <c r="L2619" i="2"/>
  <c r="L1945" i="2"/>
  <c r="L1939" i="2"/>
  <c r="L1937" i="2"/>
  <c r="L1976" i="2"/>
  <c r="L1969" i="2"/>
  <c r="L215" i="2"/>
  <c r="L1965" i="2"/>
  <c r="L1928" i="2"/>
  <c r="L200" i="2"/>
  <c r="L2593" i="2"/>
  <c r="L1910" i="2"/>
  <c r="L1914" i="2"/>
  <c r="L227" i="2"/>
  <c r="L1872" i="2"/>
  <c r="L1875" i="2"/>
  <c r="L1859" i="2"/>
  <c r="L1845" i="2"/>
  <c r="L1834" i="2"/>
  <c r="L1885" i="2"/>
  <c r="L1879" i="2"/>
  <c r="L252" i="2"/>
  <c r="L217" i="2"/>
  <c r="L2204" i="2"/>
  <c r="L142" i="2"/>
  <c r="L122" i="2"/>
  <c r="L183" i="2"/>
  <c r="L1896" i="2"/>
  <c r="L1825" i="2"/>
  <c r="L1820" i="2"/>
  <c r="L114" i="2"/>
  <c r="L110" i="2"/>
  <c r="L1640" i="2"/>
  <c r="L1634" i="2"/>
  <c r="L107" i="2"/>
  <c r="L1803" i="2"/>
  <c r="L2431" i="2"/>
  <c r="L101" i="2"/>
  <c r="L165" i="2"/>
  <c r="L1796" i="2"/>
  <c r="L2586" i="2"/>
  <c r="L1624" i="2"/>
  <c r="L153" i="2"/>
  <c r="L1782" i="2"/>
  <c r="L1779" i="2"/>
  <c r="L1762" i="2"/>
  <c r="L1756" i="2"/>
  <c r="L1750" i="2"/>
  <c r="L2232" i="2"/>
  <c r="L697" i="2"/>
  <c r="L691" i="2"/>
  <c r="L294" i="2"/>
  <c r="L686" i="2"/>
  <c r="L1718" i="2"/>
  <c r="L796" i="2"/>
  <c r="L715" i="2"/>
  <c r="L765" i="2"/>
  <c r="M25" i="9"/>
  <c r="M22" i="9"/>
  <c r="M19" i="9"/>
  <c r="M12" i="9"/>
  <c r="M8" i="9"/>
  <c r="M10" i="9"/>
  <c r="M6" i="9"/>
  <c r="M9" i="9"/>
  <c r="M21" i="9"/>
  <c r="L377" i="2"/>
  <c r="L1972" i="2"/>
  <c r="L1930" i="2"/>
  <c r="L1006" i="2"/>
  <c r="L16" i="2"/>
  <c r="L1263" i="2"/>
  <c r="L844" i="2"/>
  <c r="L863" i="2"/>
  <c r="L899" i="2"/>
  <c r="L496" i="2"/>
  <c r="L898" i="2"/>
  <c r="L904" i="2"/>
  <c r="L495" i="2"/>
  <c r="L843" i="2"/>
  <c r="L952" i="2"/>
  <c r="L1029" i="2"/>
  <c r="L865" i="2"/>
  <c r="L465" i="2"/>
  <c r="L992" i="2"/>
  <c r="L997" i="2"/>
  <c r="L2421" i="2"/>
  <c r="L1026" i="2"/>
  <c r="L6" i="2"/>
  <c r="L905" i="2"/>
  <c r="L493" i="2"/>
  <c r="L2120" i="2"/>
  <c r="L2122" i="2"/>
  <c r="L897" i="2"/>
  <c r="L452" i="2"/>
  <c r="L502" i="2"/>
  <c r="L15" i="2"/>
  <c r="L366" i="2"/>
  <c r="L1202" i="2"/>
  <c r="L837" i="2"/>
  <c r="L916" i="2"/>
  <c r="L2255" i="2"/>
  <c r="L1155" i="2"/>
  <c r="L2262" i="2"/>
  <c r="L923" i="2"/>
  <c r="L2449" i="2"/>
  <c r="L945" i="2"/>
  <c r="L1121" i="2"/>
  <c r="L475" i="2"/>
  <c r="L1102" i="2"/>
  <c r="L1007" i="2"/>
  <c r="L362" i="2"/>
  <c r="L823" i="2"/>
  <c r="L876" i="2"/>
  <c r="L2248" i="2"/>
  <c r="L990" i="2"/>
  <c r="L1060" i="2"/>
  <c r="L1134" i="2"/>
  <c r="L2309" i="2"/>
  <c r="L374" i="2"/>
  <c r="L1085" i="2"/>
  <c r="L2270" i="2"/>
  <c r="L2278" i="2"/>
  <c r="L951" i="2"/>
  <c r="L491" i="2"/>
  <c r="L17" i="2"/>
  <c r="L2287" i="2"/>
  <c r="L860" i="2"/>
  <c r="L462" i="2"/>
  <c r="L1131" i="2"/>
  <c r="L1172" i="2"/>
  <c r="L406" i="2"/>
  <c r="L2418" i="2"/>
  <c r="L1485" i="2"/>
  <c r="L1350" i="2"/>
  <c r="L353" i="2"/>
  <c r="L38" i="2"/>
  <c r="L1586" i="2"/>
  <c r="L53" i="2"/>
  <c r="L1427" i="2"/>
  <c r="L1458" i="2"/>
  <c r="L2420" i="2"/>
  <c r="L963" i="2"/>
  <c r="L30" i="2"/>
  <c r="L560" i="2"/>
  <c r="L413" i="2"/>
  <c r="L349" i="2"/>
  <c r="L1447" i="2"/>
  <c r="L1539" i="2"/>
  <c r="L46" i="2"/>
  <c r="L1209" i="2"/>
  <c r="L2126" i="2"/>
  <c r="L190" i="2"/>
  <c r="L1387" i="2"/>
  <c r="L1533" i="2"/>
  <c r="L2136" i="2"/>
  <c r="L1595" i="2"/>
  <c r="L1264" i="2"/>
  <c r="L329" i="2"/>
  <c r="L197" i="2"/>
  <c r="L972" i="2"/>
  <c r="L1574" i="2"/>
  <c r="L151" i="2"/>
  <c r="L2455" i="2"/>
  <c r="L2439" i="2"/>
  <c r="L2294" i="2"/>
  <c r="L2316" i="2"/>
  <c r="L1323" i="2"/>
  <c r="L596" i="2"/>
  <c r="L344" i="2"/>
  <c r="L1379" i="2"/>
  <c r="L37" i="2"/>
  <c r="L569" i="2"/>
  <c r="L1251" i="2"/>
  <c r="L22" i="2"/>
  <c r="L2169" i="2"/>
  <c r="L2241" i="2"/>
  <c r="L1547" i="2"/>
  <c r="L2175" i="2"/>
  <c r="L2191" i="2"/>
  <c r="L2302" i="2"/>
  <c r="L2297" i="2"/>
  <c r="L770" i="2"/>
  <c r="L2394" i="2"/>
  <c r="L2324" i="2"/>
  <c r="L2307" i="2"/>
  <c r="L711" i="2"/>
  <c r="L1344" i="2"/>
  <c r="L530" i="2"/>
  <c r="L658" i="2"/>
  <c r="L1695" i="2"/>
  <c r="L73" i="2"/>
  <c r="L2218" i="2"/>
  <c r="L2227" i="2"/>
  <c r="L86" i="2"/>
  <c r="L773" i="2"/>
  <c r="L800" i="2"/>
  <c r="L100" i="2"/>
  <c r="L2320" i="2"/>
  <c r="L2181" i="2"/>
  <c r="L647" i="2"/>
  <c r="L1678" i="2"/>
  <c r="L87" i="2"/>
  <c r="L1559" i="2"/>
  <c r="L2171" i="2"/>
  <c r="L2198" i="2"/>
  <c r="L1276" i="2"/>
  <c r="L1734" i="2"/>
  <c r="L1364" i="2"/>
  <c r="L585" i="2"/>
  <c r="L65" i="2"/>
  <c r="L2150" i="2"/>
  <c r="L2402" i="2"/>
  <c r="L1510" i="2"/>
  <c r="L78" i="2"/>
  <c r="L1501" i="2"/>
  <c r="L738" i="2"/>
  <c r="L629" i="2"/>
  <c r="L429" i="2"/>
  <c r="L719" i="2"/>
  <c r="L674" i="2"/>
  <c r="L2108" i="2"/>
  <c r="L1431" i="2"/>
  <c r="L1441" i="2"/>
  <c r="L1453" i="2"/>
  <c r="L2109" i="2"/>
  <c r="L2435" i="2"/>
  <c r="L2185" i="2"/>
  <c r="L293" i="2"/>
  <c r="L290" i="2"/>
  <c r="L75" i="2"/>
  <c r="L292" i="2"/>
  <c r="L1286" i="2"/>
  <c r="L2060" i="2"/>
  <c r="L2087" i="2"/>
  <c r="L2078" i="2"/>
  <c r="L2038" i="2"/>
  <c r="L2044" i="2"/>
  <c r="L2029" i="2"/>
  <c r="L1995" i="2"/>
  <c r="L1041" i="2"/>
  <c r="L392" i="2"/>
  <c r="L804" i="2"/>
  <c r="L948" i="2"/>
  <c r="L10" i="2"/>
  <c r="L1065" i="2"/>
  <c r="L371" i="2"/>
  <c r="L2450" i="2"/>
  <c r="L2414" i="2"/>
  <c r="L839" i="2"/>
  <c r="L478" i="2"/>
  <c r="L1045" i="2"/>
  <c r="L1160" i="2"/>
  <c r="L401" i="2"/>
  <c r="L918" i="2"/>
  <c r="L994" i="2"/>
  <c r="L1089" i="2"/>
  <c r="L1123" i="2"/>
  <c r="L1170" i="2"/>
  <c r="L1332" i="2"/>
  <c r="L1198" i="2"/>
  <c r="L1030" i="2"/>
  <c r="L1109" i="2"/>
  <c r="L303" i="2"/>
  <c r="L324" i="2"/>
  <c r="L2007" i="2"/>
  <c r="L879" i="2"/>
  <c r="L926" i="2"/>
  <c r="L438" i="2"/>
  <c r="L469" i="2"/>
  <c r="L2395" i="2"/>
  <c r="L1411" i="2"/>
  <c r="L1369" i="2"/>
  <c r="L2521" i="2"/>
  <c r="L1605" i="2"/>
  <c r="L534" i="2"/>
  <c r="L1270" i="2"/>
  <c r="L2534" i="2"/>
  <c r="L1223" i="2"/>
  <c r="L1399" i="2"/>
  <c r="L965" i="2"/>
  <c r="L517" i="2"/>
  <c r="L2529" i="2"/>
  <c r="L1434" i="2"/>
  <c r="L1404" i="2"/>
  <c r="L1579" i="2"/>
  <c r="L1599" i="2"/>
  <c r="L1266" i="2"/>
  <c r="L1315" i="2"/>
  <c r="L547" i="2"/>
  <c r="L269" i="2"/>
  <c r="L274" i="2"/>
  <c r="L1352" i="2"/>
  <c r="L2452" i="2"/>
  <c r="L2355" i="2"/>
  <c r="L2359" i="2"/>
  <c r="L1524" i="2"/>
  <c r="L2509" i="2"/>
  <c r="L2356" i="2"/>
  <c r="L572" i="2"/>
  <c r="L1260" i="2"/>
  <c r="L1359" i="2"/>
  <c r="L1464" i="2"/>
  <c r="L2515" i="2"/>
  <c r="L521" i="2"/>
  <c r="L284" i="2"/>
  <c r="L1313" i="2"/>
  <c r="L2542" i="2"/>
  <c r="L1737" i="2"/>
  <c r="L594" i="2"/>
  <c r="L1745" i="2"/>
  <c r="L1290" i="2"/>
  <c r="L1463" i="2"/>
  <c r="L1329" i="2"/>
  <c r="L741" i="2"/>
  <c r="L751" i="2"/>
  <c r="L713" i="2"/>
  <c r="L1503" i="2"/>
  <c r="L776" i="2"/>
  <c r="L1681" i="2"/>
  <c r="L180" i="2"/>
  <c r="L707" i="2"/>
  <c r="L1562" i="2"/>
  <c r="L783" i="2"/>
  <c r="L1300" i="2"/>
  <c r="L2551" i="2"/>
  <c r="L652" i="2"/>
  <c r="L289" i="2"/>
  <c r="L2211" i="2"/>
  <c r="L2212" i="2"/>
  <c r="L2396" i="2"/>
  <c r="L2095" i="2"/>
  <c r="L325" i="2"/>
  <c r="L511" i="2"/>
  <c r="L393" i="2"/>
  <c r="L304" i="2"/>
  <c r="L417" i="2"/>
  <c r="L1008" i="2"/>
  <c r="L2441" i="2"/>
  <c r="L1066" i="2"/>
  <c r="L372" i="2"/>
  <c r="L2003" i="2"/>
  <c r="L1039" i="2"/>
  <c r="L2415" i="2"/>
  <c r="L481" i="2"/>
  <c r="L1010" i="2"/>
  <c r="L1046" i="2"/>
  <c r="L1333" i="2"/>
  <c r="L2112" i="2"/>
  <c r="L966" i="2"/>
  <c r="L518" i="2"/>
  <c r="L2535" i="2"/>
  <c r="L1435" i="2"/>
  <c r="L1224" i="2"/>
  <c r="L1580" i="2"/>
  <c r="L551" i="2"/>
  <c r="L2156" i="2"/>
  <c r="L266" i="2"/>
  <c r="L2344" i="2"/>
  <c r="L1479" i="2"/>
  <c r="L2132" i="2"/>
  <c r="L2343" i="2"/>
  <c r="L1353" i="2"/>
  <c r="L2360" i="2"/>
  <c r="L1525" i="2"/>
  <c r="L1261" i="2"/>
  <c r="L2522" i="2"/>
  <c r="L2553" i="2"/>
  <c r="L2187" i="2"/>
  <c r="L2543" i="2"/>
  <c r="L2389" i="2"/>
  <c r="L633" i="2"/>
  <c r="L2569" i="2"/>
  <c r="L2229" i="2"/>
  <c r="L1606" i="2"/>
  <c r="L277" i="2"/>
  <c r="L595" i="2"/>
  <c r="L2560" i="2"/>
  <c r="L2563" i="2"/>
  <c r="L241" i="2"/>
  <c r="L1663" i="2"/>
  <c r="L2245" i="2"/>
  <c r="L2363" i="2"/>
  <c r="L2151" i="2"/>
  <c r="L2549" i="2"/>
  <c r="L1682" i="2"/>
  <c r="L2199" i="2"/>
  <c r="L1740" i="2"/>
  <c r="L2398" i="2"/>
  <c r="L739" i="2"/>
  <c r="L653" i="2"/>
  <c r="L239" i="2"/>
  <c r="L760" i="2"/>
  <c r="L243" i="2"/>
  <c r="L2000" i="2"/>
  <c r="L1982" i="2"/>
  <c r="L1773" i="2"/>
  <c r="L380" i="2"/>
  <c r="L2629" i="2"/>
  <c r="L1950" i="2"/>
  <c r="L2615" i="2"/>
  <c r="L1943" i="2"/>
  <c r="L1941" i="2"/>
  <c r="L1975" i="2"/>
  <c r="L1932" i="2"/>
  <c r="L211" i="2"/>
  <c r="L2599" i="2"/>
  <c r="L1954" i="2"/>
  <c r="L203" i="2"/>
  <c r="L1907" i="2"/>
  <c r="L1905" i="2"/>
  <c r="L1902" i="2"/>
  <c r="L229" i="2"/>
  <c r="L1874" i="2"/>
  <c r="L1873" i="2"/>
  <c r="L1846" i="2"/>
  <c r="L1841" i="2"/>
  <c r="L1884" i="2"/>
  <c r="L1880" i="2"/>
  <c r="L225" i="2"/>
  <c r="L2478" i="2"/>
  <c r="L141" i="2"/>
  <c r="L121" i="2"/>
  <c r="L1649" i="2"/>
  <c r="L1894" i="2"/>
  <c r="L254" i="2"/>
  <c r="L1819" i="2"/>
  <c r="L161" i="2"/>
  <c r="L113" i="2"/>
  <c r="L1642" i="2"/>
  <c r="L1639" i="2"/>
  <c r="L2590" i="2"/>
  <c r="L132" i="2"/>
  <c r="L1810" i="2"/>
  <c r="L1789" i="2"/>
  <c r="L2430" i="2"/>
  <c r="L104" i="2"/>
  <c r="L164" i="2"/>
  <c r="L1805" i="2"/>
  <c r="L2585" i="2"/>
  <c r="L1615" i="2"/>
  <c r="L152" i="2"/>
  <c r="L1781" i="2"/>
  <c r="L1778" i="2"/>
  <c r="L1764" i="2"/>
  <c r="L1768" i="2"/>
  <c r="L1749" i="2"/>
  <c r="L2231" i="2"/>
  <c r="L295" i="2"/>
  <c r="L696" i="2"/>
  <c r="L690" i="2"/>
  <c r="L685" i="2"/>
  <c r="L661" i="2"/>
  <c r="L1716" i="2"/>
  <c r="L797" i="2"/>
  <c r="L1299" i="2"/>
  <c r="L435" i="2"/>
  <c r="L93" i="2"/>
  <c r="A2623" i="2"/>
  <c r="D3" i="16" l="1" a="1"/>
  <c r="D3" i="16" s="1"/>
  <c r="D2" i="16" a="1"/>
  <c r="D2" i="16" s="1"/>
  <c r="A2616" i="2"/>
  <c r="A2621" i="2"/>
  <c r="A2618" i="2"/>
  <c r="A2615" i="2"/>
  <c r="A2619" i="2"/>
  <c r="A2617" i="2"/>
  <c r="A2620" i="2"/>
  <c r="A1951" i="2" l="1"/>
  <c r="A1950" i="2"/>
  <c r="A1946" i="2"/>
  <c r="A1949" i="2"/>
  <c r="A1944" i="2"/>
  <c r="A96" i="9"/>
  <c r="AB96" i="9"/>
  <c r="AC96" i="9"/>
  <c r="A97" i="9"/>
  <c r="AB97" i="9"/>
  <c r="AC97" i="9"/>
  <c r="A1979" i="2"/>
  <c r="A1945" i="2"/>
  <c r="A1942" i="2"/>
  <c r="A1943" i="2"/>
  <c r="AF96" i="9" l="1"/>
  <c r="AF97" i="9"/>
  <c r="A233" i="2"/>
  <c r="A232" i="2"/>
  <c r="A230" i="2"/>
  <c r="A2602" i="2"/>
  <c r="A1939" i="2"/>
  <c r="A2613" i="2"/>
  <c r="A2614" i="2"/>
  <c r="A1937" i="2"/>
  <c r="A1938" i="2"/>
  <c r="A1940" i="2"/>
  <c r="A1941" i="2"/>
  <c r="A2610" i="2"/>
  <c r="A2612" i="2"/>
  <c r="AC92" i="9"/>
  <c r="A92" i="9"/>
  <c r="A94" i="9"/>
  <c r="AB92" i="9"/>
  <c r="AB94" i="9"/>
  <c r="AC94" i="9"/>
  <c r="A2609" i="2"/>
  <c r="A2611" i="2"/>
  <c r="A91" i="9"/>
  <c r="AB91" i="9"/>
  <c r="AC91" i="9"/>
  <c r="A2608" i="2"/>
  <c r="A1978" i="2"/>
  <c r="A1934" i="2"/>
  <c r="A1936" i="2"/>
  <c r="A1935" i="2"/>
  <c r="A1977" i="2"/>
  <c r="A1933" i="2"/>
  <c r="A90" i="9"/>
  <c r="AB90" i="9"/>
  <c r="AC90" i="9"/>
  <c r="A1975" i="2"/>
  <c r="A1976" i="2"/>
  <c r="A1974" i="2"/>
  <c r="A1973" i="2"/>
  <c r="A1972" i="2"/>
  <c r="A2605" i="2"/>
  <c r="A1929" i="2"/>
  <c r="A2607" i="2"/>
  <c r="A89" i="9"/>
  <c r="AB89" i="9"/>
  <c r="AC89" i="9"/>
  <c r="A2603" i="2"/>
  <c r="A2604" i="2"/>
  <c r="A88" i="9"/>
  <c r="AB88" i="9"/>
  <c r="AC88" i="9"/>
  <c r="A87" i="9"/>
  <c r="A86" i="9"/>
  <c r="AB87" i="9"/>
  <c r="AB86" i="9"/>
  <c r="AC86" i="9"/>
  <c r="AC87" i="9"/>
  <c r="A2600" i="2"/>
  <c r="A2601" i="2"/>
  <c r="AF89" i="9" l="1"/>
  <c r="AF94" i="9"/>
  <c r="AF90" i="9"/>
  <c r="AF92" i="9"/>
  <c r="AF91" i="9"/>
  <c r="AF88" i="9"/>
  <c r="AF86" i="9"/>
  <c r="AF87" i="9"/>
  <c r="A1967" i="2"/>
  <c r="O83" i="9"/>
  <c r="AC83" i="9" s="1"/>
  <c r="A83" i="9"/>
  <c r="A84" i="9"/>
  <c r="AB83" i="9"/>
  <c r="AB84" i="9"/>
  <c r="AC84" i="9"/>
  <c r="AF84" i="9" l="1"/>
  <c r="AF83" i="9"/>
  <c r="A1970" i="2"/>
  <c r="A1932" i="2"/>
  <c r="A1969" i="2"/>
  <c r="A1968" i="2"/>
  <c r="A207" i="2"/>
  <c r="A82" i="9"/>
  <c r="AB82" i="9"/>
  <c r="AC82" i="9"/>
  <c r="A209" i="2"/>
  <c r="A212" i="2"/>
  <c r="A210" i="2"/>
  <c r="A213" i="2"/>
  <c r="A215" i="2"/>
  <c r="A211" i="2"/>
  <c r="A214" i="2"/>
  <c r="A208" i="2"/>
  <c r="A1931" i="2"/>
  <c r="A1966" i="2"/>
  <c r="A1964" i="2"/>
  <c r="A1930" i="2"/>
  <c r="A1965" i="2"/>
  <c r="A1962" i="2"/>
  <c r="A1963" i="2"/>
  <c r="A2597" i="2"/>
  <c r="A2594" i="2"/>
  <c r="A2598" i="2"/>
  <c r="A1927" i="2"/>
  <c r="A1928" i="2"/>
  <c r="A1954" i="2"/>
  <c r="A1955" i="2"/>
  <c r="A1921" i="2"/>
  <c r="A1971" i="2"/>
  <c r="A2595" i="2"/>
  <c r="A2596" i="2"/>
  <c r="A9" i="1"/>
  <c r="G9" i="1"/>
  <c r="H9" i="1"/>
  <c r="I9" i="1"/>
  <c r="J9" i="1"/>
  <c r="K9" i="1"/>
  <c r="L9" i="1"/>
  <c r="N9" i="1"/>
  <c r="A1878" i="2"/>
  <c r="A200" i="2"/>
  <c r="A203" i="2"/>
  <c r="A201" i="2"/>
  <c r="A206" i="2"/>
  <c r="A205" i="2"/>
  <c r="A202" i="2"/>
  <c r="A204" i="2"/>
  <c r="A81" i="9"/>
  <c r="AB81" i="9"/>
  <c r="AC81" i="9"/>
  <c r="A80" i="9"/>
  <c r="AB80" i="9"/>
  <c r="AC80" i="9"/>
  <c r="A1920" i="2"/>
  <c r="A2593" i="2"/>
  <c r="A2289" i="2"/>
  <c r="A258" i="2"/>
  <c r="A78" i="9"/>
  <c r="AB78" i="9"/>
  <c r="AC78" i="9"/>
  <c r="A1916" i="2"/>
  <c r="A1917" i="2"/>
  <c r="A1915" i="2"/>
  <c r="A1919" i="2"/>
  <c r="A1918" i="2"/>
  <c r="A1910" i="2"/>
  <c r="A2477" i="2"/>
  <c r="A1907" i="2"/>
  <c r="A1908" i="2"/>
  <c r="A1906" i="2"/>
  <c r="A1911" i="2"/>
  <c r="A1909" i="2"/>
  <c r="A1904" i="2"/>
  <c r="A1913" i="2"/>
  <c r="A1914" i="2"/>
  <c r="A1905" i="2"/>
  <c r="A122" i="12"/>
  <c r="A123" i="12"/>
  <c r="A124" i="12"/>
  <c r="A113" i="12"/>
  <c r="A199" i="2"/>
  <c r="A198" i="2"/>
  <c r="A1903" i="2"/>
  <c r="A77" i="9"/>
  <c r="AB77" i="9"/>
  <c r="AC77" i="9"/>
  <c r="A231" i="2"/>
  <c r="A1899" i="2"/>
  <c r="A1898" i="2"/>
  <c r="A1902" i="2"/>
  <c r="A1900" i="2"/>
  <c r="A1901" i="2"/>
  <c r="AF78" i="9" l="1"/>
  <c r="AF81" i="9"/>
  <c r="AF80" i="9"/>
  <c r="AF77" i="9"/>
  <c r="AF82" i="9"/>
  <c r="M9" i="1"/>
  <c r="A257" i="2"/>
  <c r="A1877" i="2"/>
  <c r="A1876" i="2"/>
  <c r="A227" i="2"/>
  <c r="A229" i="2"/>
  <c r="A228" i="2"/>
  <c r="A75" i="9" l="1"/>
  <c r="AB75" i="9"/>
  <c r="AC75" i="9"/>
  <c r="A76" i="9"/>
  <c r="AB76" i="9"/>
  <c r="AC76" i="9"/>
  <c r="A1850" i="2"/>
  <c r="A1851" i="2"/>
  <c r="A1870" i="2"/>
  <c r="A1867" i="2"/>
  <c r="A1866" i="2"/>
  <c r="A1872" i="2"/>
  <c r="A1874" i="2"/>
  <c r="A1862" i="2"/>
  <c r="A1864" i="2"/>
  <c r="A1865" i="2"/>
  <c r="A1868" i="2"/>
  <c r="A1869" i="2"/>
  <c r="A1871" i="2"/>
  <c r="A1875" i="2"/>
  <c r="A1873" i="2"/>
  <c r="A1860" i="2"/>
  <c r="A253" i="2"/>
  <c r="A1861" i="2"/>
  <c r="A1854" i="2"/>
  <c r="A1842" i="2"/>
  <c r="A1844" i="2"/>
  <c r="A1855" i="2"/>
  <c r="A1859" i="2"/>
  <c r="A1853" i="2"/>
  <c r="A1857" i="2"/>
  <c r="A1852" i="2"/>
  <c r="A1856" i="2"/>
  <c r="A1858" i="2"/>
  <c r="A1843" i="2"/>
  <c r="A1845" i="2"/>
  <c r="A1846" i="2"/>
  <c r="A74" i="9"/>
  <c r="A72" i="9"/>
  <c r="AC72" i="9"/>
  <c r="AB72" i="9"/>
  <c r="AC74" i="9"/>
  <c r="AB74" i="9"/>
  <c r="A71" i="9"/>
  <c r="AB71" i="9"/>
  <c r="AC71" i="9"/>
  <c r="A73" i="9"/>
  <c r="AB73" i="9"/>
  <c r="AC73" i="9"/>
  <c r="M2208" i="2"/>
  <c r="M1837" i="2"/>
  <c r="M1839" i="2"/>
  <c r="M1838" i="2"/>
  <c r="M802" i="2"/>
  <c r="M803" i="2"/>
  <c r="M804" i="2"/>
  <c r="M805" i="2"/>
  <c r="M806" i="2"/>
  <c r="M807" i="2"/>
  <c r="M808" i="2"/>
  <c r="M809" i="2"/>
  <c r="M810" i="2"/>
  <c r="M817" i="2"/>
  <c r="M818" i="2"/>
  <c r="M812" i="2"/>
  <c r="M813" i="2"/>
  <c r="M814" i="2"/>
  <c r="M815" i="2"/>
  <c r="M816" i="2"/>
  <c r="M819" i="2"/>
  <c r="M811" i="2"/>
  <c r="M820" i="2"/>
  <c r="M821" i="2"/>
  <c r="M822" i="2"/>
  <c r="M823" i="2"/>
  <c r="M825" i="2"/>
  <c r="M827" i="2"/>
  <c r="M828" i="2"/>
  <c r="M829" i="2"/>
  <c r="M830" i="2"/>
  <c r="M831" i="2"/>
  <c r="M832" i="2"/>
  <c r="M833" i="2"/>
  <c r="M826" i="2"/>
  <c r="M834" i="2"/>
  <c r="M835" i="2"/>
  <c r="M836" i="2"/>
  <c r="M837" i="2"/>
  <c r="M824" i="2"/>
  <c r="M838" i="2"/>
  <c r="M839" i="2"/>
  <c r="M840" i="2"/>
  <c r="M841" i="2"/>
  <c r="M842" i="2"/>
  <c r="M844" i="2"/>
  <c r="M845" i="2"/>
  <c r="M846" i="2"/>
  <c r="M847" i="2"/>
  <c r="M843" i="2"/>
  <c r="M848" i="2"/>
  <c r="M849" i="2"/>
  <c r="M850" i="2"/>
  <c r="M851" i="2"/>
  <c r="M852" i="2"/>
  <c r="M853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90" i="2"/>
  <c r="M891" i="2"/>
  <c r="M892" i="2"/>
  <c r="M886" i="2"/>
  <c r="M887" i="2"/>
  <c r="M888" i="2"/>
  <c r="M893" i="2"/>
  <c r="M894" i="2"/>
  <c r="M895" i="2"/>
  <c r="M896" i="2"/>
  <c r="M897" i="2"/>
  <c r="M854" i="2"/>
  <c r="M855" i="2"/>
  <c r="M856" i="2"/>
  <c r="M857" i="2"/>
  <c r="M858" i="2"/>
  <c r="M859" i="2"/>
  <c r="M860" i="2"/>
  <c r="M889" i="2"/>
  <c r="M899" i="2"/>
  <c r="M898" i="2"/>
  <c r="M900" i="2"/>
  <c r="M901" i="2"/>
  <c r="M902" i="2"/>
  <c r="M903" i="2"/>
  <c r="M905" i="2"/>
  <c r="M907" i="2"/>
  <c r="M909" i="2"/>
  <c r="M913" i="2"/>
  <c r="M915" i="2"/>
  <c r="M911" i="2"/>
  <c r="M906" i="2"/>
  <c r="M910" i="2"/>
  <c r="M912" i="2"/>
  <c r="M914" i="2"/>
  <c r="M916" i="2"/>
  <c r="M904" i="2"/>
  <c r="M908" i="2"/>
  <c r="M917" i="2"/>
  <c r="M918" i="2"/>
  <c r="M2421" i="2"/>
  <c r="M919" i="2"/>
  <c r="M2422" i="2"/>
  <c r="M1012" i="2"/>
  <c r="M1038" i="2"/>
  <c r="M1008" i="2"/>
  <c r="M1039" i="2"/>
  <c r="M978" i="2"/>
  <c r="M1013" i="2"/>
  <c r="M979" i="2"/>
  <c r="M1014" i="2"/>
  <c r="M861" i="2"/>
  <c r="M1015" i="2"/>
  <c r="M924" i="2"/>
  <c r="M925" i="2"/>
  <c r="M1009" i="2"/>
  <c r="M1040" i="2"/>
  <c r="M926" i="2"/>
  <c r="M1041" i="2"/>
  <c r="M927" i="2"/>
  <c r="M928" i="2"/>
  <c r="M929" i="2"/>
  <c r="M2248" i="2"/>
  <c r="M436" i="2"/>
  <c r="M437" i="2"/>
  <c r="M438" i="2"/>
  <c r="M439" i="2"/>
  <c r="M440" i="2"/>
  <c r="M441" i="2"/>
  <c r="M442" i="2"/>
  <c r="M443" i="2"/>
  <c r="M980" i="2"/>
  <c r="M981" i="2"/>
  <c r="M1016" i="2"/>
  <c r="M445" i="2"/>
  <c r="M446" i="2"/>
  <c r="M447" i="2"/>
  <c r="M448" i="2"/>
  <c r="M449" i="2"/>
  <c r="M444" i="2"/>
  <c r="M450" i="2"/>
  <c r="M451" i="2"/>
  <c r="M452" i="2"/>
  <c r="M454" i="2"/>
  <c r="M933" i="2"/>
  <c r="M935" i="2"/>
  <c r="M931" i="2"/>
  <c r="M453" i="2"/>
  <c r="M932" i="2"/>
  <c r="M930" i="2"/>
  <c r="M934" i="2"/>
  <c r="M938" i="2"/>
  <c r="M939" i="2"/>
  <c r="M940" i="2"/>
  <c r="M455" i="2"/>
  <c r="M941" i="2"/>
  <c r="M942" i="2"/>
  <c r="M943" i="2"/>
  <c r="M944" i="2"/>
  <c r="M456" i="2"/>
  <c r="M945" i="2"/>
  <c r="M937" i="2"/>
  <c r="M936" i="2"/>
  <c r="M458" i="2"/>
  <c r="M946" i="2"/>
  <c r="M459" i="2"/>
  <c r="M947" i="2"/>
  <c r="M948" i="2"/>
  <c r="M949" i="2"/>
  <c r="M460" i="2"/>
  <c r="M950" i="2"/>
  <c r="M461" i="2"/>
  <c r="M951" i="2"/>
  <c r="M462" i="2"/>
  <c r="M457" i="2"/>
  <c r="M982" i="2"/>
  <c r="M463" i="2"/>
  <c r="M464" i="2"/>
  <c r="M466" i="2"/>
  <c r="M467" i="2"/>
  <c r="M470" i="2"/>
  <c r="M471" i="2"/>
  <c r="M472" i="2"/>
  <c r="M473" i="2"/>
  <c r="M474" i="2"/>
  <c r="M475" i="2"/>
  <c r="M862" i="2"/>
  <c r="M465" i="2"/>
  <c r="M468" i="2"/>
  <c r="M469" i="2"/>
  <c r="M476" i="2"/>
  <c r="M479" i="2"/>
  <c r="M480" i="2"/>
  <c r="M477" i="2"/>
  <c r="M478" i="2"/>
  <c r="M983" i="2"/>
  <c r="M985" i="2"/>
  <c r="M986" i="2"/>
  <c r="M987" i="2"/>
  <c r="M988" i="2"/>
  <c r="M984" i="2"/>
  <c r="M989" i="2"/>
  <c r="M990" i="2"/>
  <c r="M482" i="2"/>
  <c r="M483" i="2"/>
  <c r="M481" i="2"/>
  <c r="M485" i="2"/>
  <c r="M486" i="2"/>
  <c r="M487" i="2"/>
  <c r="M488" i="2"/>
  <c r="M489" i="2"/>
  <c r="M490" i="2"/>
  <c r="M491" i="2"/>
  <c r="M484" i="2"/>
  <c r="M492" i="2"/>
  <c r="M2440" i="2"/>
  <c r="M2249" i="2"/>
  <c r="M2250" i="2"/>
  <c r="M2251" i="2"/>
  <c r="M2252" i="2"/>
  <c r="M2253" i="2"/>
  <c r="M991" i="2"/>
  <c r="M2254" i="2"/>
  <c r="M2255" i="2"/>
  <c r="M1017" i="2"/>
  <c r="M1018" i="2"/>
  <c r="M1019" i="2"/>
  <c r="M1020" i="2"/>
  <c r="M1021" i="2"/>
  <c r="M1022" i="2"/>
  <c r="M1023" i="2"/>
  <c r="M1024" i="2"/>
  <c r="M1025" i="2"/>
  <c r="M494" i="2"/>
  <c r="M952" i="2"/>
  <c r="M992" i="2"/>
  <c r="M1026" i="2"/>
  <c r="M493" i="2"/>
  <c r="M863" i="2"/>
  <c r="M496" i="2"/>
  <c r="M495" i="2"/>
  <c r="M497" i="2"/>
  <c r="M498" i="2"/>
  <c r="M499" i="2"/>
  <c r="M500" i="2"/>
  <c r="M501" i="2"/>
  <c r="M502" i="2"/>
  <c r="M503" i="2"/>
  <c r="M504" i="2"/>
  <c r="M505" i="2"/>
  <c r="M993" i="2"/>
  <c r="M994" i="2"/>
  <c r="M995" i="2"/>
  <c r="M2423" i="2"/>
  <c r="M2424" i="2"/>
  <c r="M506" i="2"/>
  <c r="M507" i="2"/>
  <c r="M508" i="2"/>
  <c r="M996" i="2"/>
  <c r="M1027" i="2"/>
  <c r="M864" i="2"/>
  <c r="M2395" i="2"/>
  <c r="M2396" i="2"/>
  <c r="M509" i="2"/>
  <c r="M1028" i="2"/>
  <c r="M2441" i="2"/>
  <c r="M1029" i="2"/>
  <c r="M997" i="2"/>
  <c r="M1030" i="2"/>
  <c r="M1010" i="2"/>
  <c r="M510" i="2"/>
  <c r="M511" i="2"/>
  <c r="M1042" i="2"/>
  <c r="M1090" i="2"/>
  <c r="M1135" i="2"/>
  <c r="M1043" i="2"/>
  <c r="M1107" i="2"/>
  <c r="M1044" i="2"/>
  <c r="M1091" i="2"/>
  <c r="M1108" i="2"/>
  <c r="M1136" i="2"/>
  <c r="M2329" i="2"/>
  <c r="M1045" i="2"/>
  <c r="M1089" i="2"/>
  <c r="M1109" i="2"/>
  <c r="M1046" i="2"/>
  <c r="M1075" i="2"/>
  <c r="M1110" i="2"/>
  <c r="M1137" i="2"/>
  <c r="M1092" i="2"/>
  <c r="M1138" i="2"/>
  <c r="M1139" i="2"/>
  <c r="M1047" i="2"/>
  <c r="M1048" i="2"/>
  <c r="M1111" i="2"/>
  <c r="M1076" i="2"/>
  <c r="M1093" i="2"/>
  <c r="M2330" i="2"/>
  <c r="M1049" i="2"/>
  <c r="M1112" i="2"/>
  <c r="M1140" i="2"/>
  <c r="M1141" i="2"/>
  <c r="M1050" i="2"/>
  <c r="M1142" i="2"/>
  <c r="M1051" i="2"/>
  <c r="M1143" i="2"/>
  <c r="M865" i="2"/>
  <c r="M866" i="2"/>
  <c r="M1113" i="2"/>
  <c r="M1144" i="2"/>
  <c r="M1114" i="2"/>
  <c r="M1145" i="2"/>
  <c r="M1094" i="2"/>
  <c r="M998" i="2"/>
  <c r="M999" i="2"/>
  <c r="M1000" i="2"/>
  <c r="M1001" i="2"/>
  <c r="M2397" i="2"/>
  <c r="M1052" i="2"/>
  <c r="M1146" i="2"/>
  <c r="M1077" i="2"/>
  <c r="M1053" i="2"/>
  <c r="M1078" i="2"/>
  <c r="M1079" i="2"/>
  <c r="M6" i="2"/>
  <c r="M7" i="2"/>
  <c r="M1115" i="2"/>
  <c r="M1147" i="2"/>
  <c r="M1148" i="2"/>
  <c r="M8" i="2"/>
  <c r="M1116" i="2"/>
  <c r="M9" i="2"/>
  <c r="M1149" i="2"/>
  <c r="M1117" i="2"/>
  <c r="M2442" i="2"/>
  <c r="M10" i="2"/>
  <c r="M1150" i="2"/>
  <c r="M1118" i="2"/>
  <c r="M1151" i="2"/>
  <c r="M1152" i="2"/>
  <c r="M2443" i="2"/>
  <c r="M11" i="2"/>
  <c r="M1119" i="2"/>
  <c r="M1153" i="2"/>
  <c r="M5" i="2"/>
  <c r="M12" i="2"/>
  <c r="M13" i="2"/>
  <c r="M14" i="2"/>
  <c r="M1120" i="2"/>
  <c r="M1154" i="2"/>
  <c r="M15" i="2"/>
  <c r="M1155" i="2"/>
  <c r="M1121" i="2"/>
  <c r="M2256" i="2"/>
  <c r="M2257" i="2"/>
  <c r="M2258" i="2"/>
  <c r="M2259" i="2"/>
  <c r="M2260" i="2"/>
  <c r="M2261" i="2"/>
  <c r="M2262" i="2"/>
  <c r="M1054" i="2"/>
  <c r="M1095" i="2"/>
  <c r="M1055" i="2"/>
  <c r="M1097" i="2"/>
  <c r="M1080" i="2"/>
  <c r="M1081" i="2"/>
  <c r="M1098" i="2"/>
  <c r="M1056" i="2"/>
  <c r="M1099" i="2"/>
  <c r="M1057" i="2"/>
  <c r="M1082" i="2"/>
  <c r="M1058" i="2"/>
  <c r="M1100" i="2"/>
  <c r="M1083" i="2"/>
  <c r="M1084" i="2"/>
  <c r="M1101" i="2"/>
  <c r="M1059" i="2"/>
  <c r="M1102" i="2"/>
  <c r="M1060" i="2"/>
  <c r="M1085" i="2"/>
  <c r="M1096" i="2"/>
  <c r="M1086" i="2"/>
  <c r="M1062" i="2"/>
  <c r="M1061" i="2"/>
  <c r="M1074" i="2"/>
  <c r="M1122" i="2"/>
  <c r="M1156" i="2"/>
  <c r="M1123" i="2"/>
  <c r="M920" i="2"/>
  <c r="M921" i="2"/>
  <c r="M922" i="2"/>
  <c r="M923" i="2"/>
  <c r="M1124" i="2"/>
  <c r="M1063" i="2"/>
  <c r="M2263" i="2"/>
  <c r="M2444" i="2"/>
  <c r="M2264" i="2"/>
  <c r="M1064" i="2"/>
  <c r="M1087" i="2"/>
  <c r="M1103" i="2"/>
  <c r="M1065" i="2"/>
  <c r="M1066" i="2"/>
  <c r="M1157" i="2"/>
  <c r="M16" i="2"/>
  <c r="M17" i="2"/>
  <c r="M2265" i="2"/>
  <c r="M1088" i="2"/>
  <c r="M1067" i="2"/>
  <c r="M1158" i="2"/>
  <c r="M1159" i="2"/>
  <c r="M1160" i="2"/>
  <c r="M1161" i="2"/>
  <c r="M1162" i="2"/>
  <c r="M2331" i="2"/>
  <c r="M2332" i="2"/>
  <c r="M1068" i="2"/>
  <c r="M2411" i="2"/>
  <c r="M1163" i="2"/>
  <c r="M1164" i="2"/>
  <c r="M1002" i="2"/>
  <c r="M1125" i="2"/>
  <c r="M1126" i="2"/>
  <c r="M1127" i="2"/>
  <c r="M1128" i="2"/>
  <c r="M1166" i="2"/>
  <c r="M1167" i="2"/>
  <c r="M1165" i="2"/>
  <c r="M1129" i="2"/>
  <c r="M1130" i="2"/>
  <c r="M1131" i="2"/>
  <c r="M2267" i="2"/>
  <c r="M2412" i="2"/>
  <c r="M2268" i="2"/>
  <c r="M2266" i="2"/>
  <c r="M2269" i="2"/>
  <c r="M2270" i="2"/>
  <c r="M2445" i="2"/>
  <c r="M1169" i="2"/>
  <c r="M1168" i="2"/>
  <c r="M278" i="2"/>
  <c r="M1132" i="2"/>
  <c r="M1133" i="2"/>
  <c r="M1134" i="2"/>
  <c r="M1170" i="2"/>
  <c r="M1171" i="2"/>
  <c r="M1172" i="2"/>
  <c r="M2271" i="2"/>
  <c r="M2272" i="2"/>
  <c r="M1069" i="2"/>
  <c r="M2308" i="2"/>
  <c r="M2309" i="2"/>
  <c r="M1173" i="2"/>
  <c r="M2446" i="2"/>
  <c r="M279" i="2"/>
  <c r="M1176" i="2"/>
  <c r="M1175" i="2"/>
  <c r="M1177" i="2"/>
  <c r="M1178" i="2"/>
  <c r="M1174" i="2"/>
  <c r="M1003" i="2"/>
  <c r="M1031" i="2"/>
  <c r="M1004" i="2"/>
  <c r="M1005" i="2"/>
  <c r="M1006" i="2"/>
  <c r="M1007" i="2"/>
  <c r="M1032" i="2"/>
  <c r="M1033" i="2"/>
  <c r="M1034" i="2"/>
  <c r="M2447" i="2"/>
  <c r="M2448" i="2"/>
  <c r="M2449" i="2"/>
  <c r="M1179" i="2"/>
  <c r="M1180" i="2"/>
  <c r="M1181" i="2"/>
  <c r="M1182" i="2"/>
  <c r="M1070" i="2"/>
  <c r="M1071" i="2"/>
  <c r="M1035" i="2"/>
  <c r="M1104" i="2"/>
  <c r="M1072" i="2"/>
  <c r="M1073" i="2"/>
  <c r="M2425" i="2"/>
  <c r="M2426" i="2"/>
  <c r="M1105" i="2"/>
  <c r="M1106" i="2"/>
  <c r="M2311" i="2"/>
  <c r="M2312" i="2"/>
  <c r="M2310" i="2"/>
  <c r="M354" i="2"/>
  <c r="M355" i="2"/>
  <c r="M356" i="2"/>
  <c r="M357" i="2"/>
  <c r="M358" i="2"/>
  <c r="M359" i="2"/>
  <c r="M360" i="2"/>
  <c r="M361" i="2"/>
  <c r="M362" i="2"/>
  <c r="M1183" i="2"/>
  <c r="M364" i="2"/>
  <c r="M363" i="2"/>
  <c r="M365" i="2"/>
  <c r="M366" i="2"/>
  <c r="M2427" i="2"/>
  <c r="M2413" i="2"/>
  <c r="M2414" i="2"/>
  <c r="M2415" i="2"/>
  <c r="M259" i="2"/>
  <c r="M260" i="2"/>
  <c r="M368" i="2"/>
  <c r="M369" i="2"/>
  <c r="M370" i="2"/>
  <c r="M371" i="2"/>
  <c r="M372" i="2"/>
  <c r="M367" i="2"/>
  <c r="M1186" i="2"/>
  <c r="M261" i="2"/>
  <c r="M262" i="2"/>
  <c r="M392" i="2"/>
  <c r="M393" i="2"/>
  <c r="M1036" i="2"/>
  <c r="M394" i="2"/>
  <c r="M1037" i="2"/>
  <c r="M395" i="2"/>
  <c r="M396" i="2"/>
  <c r="M2475" i="2"/>
  <c r="M2273" i="2"/>
  <c r="M2274" i="2"/>
  <c r="M2275" i="2"/>
  <c r="M2276" i="2"/>
  <c r="M2277" i="2"/>
  <c r="M2278" i="2"/>
  <c r="M1189" i="2"/>
  <c r="M1190" i="2"/>
  <c r="M1191" i="2"/>
  <c r="M2507" i="2"/>
  <c r="M2450" i="2"/>
  <c r="M296" i="2"/>
  <c r="M297" i="2"/>
  <c r="M298" i="2"/>
  <c r="M1331" i="2"/>
  <c r="M301" i="2"/>
  <c r="M299" i="2"/>
  <c r="M2093" i="2"/>
  <c r="M397" i="2"/>
  <c r="M1193" i="2"/>
  <c r="M398" i="2"/>
  <c r="M306" i="2"/>
  <c r="M308" i="2"/>
  <c r="M373" i="2"/>
  <c r="M1192" i="2"/>
  <c r="M302" i="2"/>
  <c r="M2335" i="2"/>
  <c r="M2333" i="2"/>
  <c r="M2334" i="2"/>
  <c r="M1332" i="2"/>
  <c r="M303" i="2"/>
  <c r="M1333" i="2"/>
  <c r="M2095" i="2"/>
  <c r="M304" i="2"/>
  <c r="M1334" i="2"/>
  <c r="M305" i="2"/>
  <c r="M263" i="2"/>
  <c r="M1335" i="2"/>
  <c r="M2096" i="2"/>
  <c r="M307" i="2"/>
  <c r="M2336" i="2"/>
  <c r="M1194" i="2"/>
  <c r="M2097" i="2"/>
  <c r="M2279" i="2"/>
  <c r="M374" i="2"/>
  <c r="M309" i="2"/>
  <c r="M310" i="2"/>
  <c r="M400" i="2"/>
  <c r="M1195" i="2"/>
  <c r="M399" i="2"/>
  <c r="M311" i="2"/>
  <c r="M314" i="2"/>
  <c r="M312" i="2"/>
  <c r="M313" i="2"/>
  <c r="M264" i="2"/>
  <c r="M2281" i="2"/>
  <c r="M2282" i="2"/>
  <c r="M2283" i="2"/>
  <c r="M2280" i="2"/>
  <c r="M2284" i="2"/>
  <c r="M2285" i="2"/>
  <c r="M2286" i="2"/>
  <c r="M2287" i="2"/>
  <c r="M315" i="2"/>
  <c r="M265" i="2"/>
  <c r="M2098" i="2"/>
  <c r="M2099" i="2"/>
  <c r="M2100" i="2"/>
  <c r="M2101" i="2"/>
  <c r="M2102" i="2"/>
  <c r="M2103" i="2"/>
  <c r="M2104" i="2"/>
  <c r="M2105" i="2"/>
  <c r="M2337" i="2"/>
  <c r="M2106" i="2"/>
  <c r="M316" i="2"/>
  <c r="M318" i="2"/>
  <c r="M319" i="2"/>
  <c r="M320" i="2"/>
  <c r="M317" i="2"/>
  <c r="M2107" i="2"/>
  <c r="M2111" i="2"/>
  <c r="M2110" i="2"/>
  <c r="M2113" i="2"/>
  <c r="M2114" i="2"/>
  <c r="M321" i="2"/>
  <c r="M322" i="2"/>
  <c r="M326" i="2"/>
  <c r="M327" i="2"/>
  <c r="M328" i="2"/>
  <c r="M329" i="2"/>
  <c r="M323" i="2"/>
  <c r="M401" i="2"/>
  <c r="M1198" i="2"/>
  <c r="M324" i="2"/>
  <c r="M2112" i="2"/>
  <c r="M325" i="2"/>
  <c r="M417" i="2"/>
  <c r="M2109" i="2"/>
  <c r="M1196" i="2"/>
  <c r="M1197" i="2"/>
  <c r="M1199" i="2"/>
  <c r="M1200" i="2"/>
  <c r="M1201" i="2"/>
  <c r="M1202" i="2"/>
  <c r="M2108" i="2"/>
  <c r="M2288" i="2"/>
  <c r="M402" i="2"/>
  <c r="M2338" i="2"/>
  <c r="M2339" i="2"/>
  <c r="M331" i="2"/>
  <c r="M332" i="2"/>
  <c r="M333" i="2"/>
  <c r="M334" i="2"/>
  <c r="M330" i="2"/>
  <c r="M1203" i="2"/>
  <c r="M1204" i="2"/>
  <c r="M267" i="2"/>
  <c r="M266" i="2"/>
  <c r="M404" i="2"/>
  <c r="M1207" i="2"/>
  <c r="M335" i="2"/>
  <c r="M336" i="2"/>
  <c r="M403" i="2"/>
  <c r="M405" i="2"/>
  <c r="M406" i="2"/>
  <c r="M1205" i="2"/>
  <c r="M1206" i="2"/>
  <c r="M2115" i="2"/>
  <c r="M1208" i="2"/>
  <c r="M1209" i="2"/>
  <c r="M337" i="2"/>
  <c r="M408" i="2"/>
  <c r="M409" i="2"/>
  <c r="M410" i="2"/>
  <c r="M411" i="2"/>
  <c r="M412" i="2"/>
  <c r="M413" i="2"/>
  <c r="M268" i="2"/>
  <c r="M269" i="2"/>
  <c r="M407" i="2"/>
  <c r="M338" i="2"/>
  <c r="M339" i="2"/>
  <c r="M340" i="2"/>
  <c r="M341" i="2"/>
  <c r="M342" i="2"/>
  <c r="M2417" i="2"/>
  <c r="M2416" i="2"/>
  <c r="M343" i="2"/>
  <c r="M344" i="2"/>
  <c r="M2418" i="2"/>
  <c r="M1211" i="2"/>
  <c r="M1212" i="2"/>
  <c r="M1210" i="2"/>
  <c r="M1213" i="2"/>
  <c r="M1214" i="2"/>
  <c r="M270" i="2"/>
  <c r="M271" i="2"/>
  <c r="M272" i="2"/>
  <c r="M1215" i="2"/>
  <c r="M414" i="2"/>
  <c r="M415" i="2"/>
  <c r="M1184" i="2"/>
  <c r="M2117" i="2"/>
  <c r="M2119" i="2"/>
  <c r="M2116" i="2"/>
  <c r="M2118" i="2"/>
  <c r="M2340" i="2"/>
  <c r="M345" i="2"/>
  <c r="M1480" i="2"/>
  <c r="M1481" i="2"/>
  <c r="M1482" i="2"/>
  <c r="M1483" i="2"/>
  <c r="M1484" i="2"/>
  <c r="M1485" i="2"/>
  <c r="M346" i="2"/>
  <c r="M348" i="2"/>
  <c r="M349" i="2"/>
  <c r="M347" i="2"/>
  <c r="M2120" i="2"/>
  <c r="M1486" i="2"/>
  <c r="M1488" i="2"/>
  <c r="M1406" i="2"/>
  <c r="M1355" i="2"/>
  <c r="M1407" i="2"/>
  <c r="M1356" i="2"/>
  <c r="M1357" i="2"/>
  <c r="M1358" i="2"/>
  <c r="M1361" i="2"/>
  <c r="M1362" i="2"/>
  <c r="M1363" i="2"/>
  <c r="M1364" i="2"/>
  <c r="M1409" i="2"/>
  <c r="M2341" i="2"/>
  <c r="M1410" i="2"/>
  <c r="M1487" i="2"/>
  <c r="M1489" i="2"/>
  <c r="M1359" i="2"/>
  <c r="M1411" i="2"/>
  <c r="M1360" i="2"/>
  <c r="M1412" i="2"/>
  <c r="M1413" i="2"/>
  <c r="M2342" i="2"/>
  <c r="M416" i="2"/>
  <c r="M1216" i="2"/>
  <c r="M1366" i="2"/>
  <c r="M1365" i="2"/>
  <c r="M2123" i="2"/>
  <c r="M2121" i="2"/>
  <c r="M2125" i="2"/>
  <c r="M2126" i="2"/>
  <c r="M2122" i="2"/>
  <c r="M2124" i="2"/>
  <c r="M1368" i="2"/>
  <c r="M1369" i="2"/>
  <c r="M1367" i="2"/>
  <c r="M1416" i="2"/>
  <c r="M2127" i="2"/>
  <c r="M1414" i="2"/>
  <c r="M1415" i="2"/>
  <c r="M1417" i="2"/>
  <c r="M1340" i="2"/>
  <c r="M1338" i="2"/>
  <c r="M1339" i="2"/>
  <c r="M1341" i="2"/>
  <c r="M1418" i="2"/>
  <c r="M1419" i="2"/>
  <c r="M1336" i="2"/>
  <c r="M1337" i="2"/>
  <c r="M1342" i="2"/>
  <c r="M1343" i="2"/>
  <c r="M1344" i="2"/>
  <c r="M1424" i="2"/>
  <c r="M1345" i="2"/>
  <c r="M1346" i="2"/>
  <c r="M1347" i="2"/>
  <c r="M1348" i="2"/>
  <c r="M1349" i="2"/>
  <c r="M1350" i="2"/>
  <c r="M1420" i="2"/>
  <c r="M1421" i="2"/>
  <c r="M1422" i="2"/>
  <c r="M273" i="2"/>
  <c r="M274" i="2"/>
  <c r="M2343" i="2"/>
  <c r="M1423" i="2"/>
  <c r="M1425" i="2"/>
  <c r="M1426" i="2"/>
  <c r="M1427" i="2"/>
  <c r="M280" i="2"/>
  <c r="M1351" i="2"/>
  <c r="M1352" i="2"/>
  <c r="M1353" i="2"/>
  <c r="M1428" i="2"/>
  <c r="M1431" i="2"/>
  <c r="M1432" i="2"/>
  <c r="M1433" i="2"/>
  <c r="M1434" i="2"/>
  <c r="M1435" i="2"/>
  <c r="M1429" i="2"/>
  <c r="M1354" i="2"/>
  <c r="M1370" i="2"/>
  <c r="M1436" i="2"/>
  <c r="M1437" i="2"/>
  <c r="M1438" i="2"/>
  <c r="M1439" i="2"/>
  <c r="M1440" i="2"/>
  <c r="M2344" i="2"/>
  <c r="M1452" i="2"/>
  <c r="M192" i="2"/>
  <c r="M193" i="2"/>
  <c r="M194" i="2"/>
  <c r="M195" i="2"/>
  <c r="M191" i="2"/>
  <c r="M196" i="2"/>
  <c r="M197" i="2"/>
  <c r="M1443" i="2"/>
  <c r="M1444" i="2"/>
  <c r="M1445" i="2"/>
  <c r="M1442" i="2"/>
  <c r="M1446" i="2"/>
  <c r="M1447" i="2"/>
  <c r="M1454" i="2"/>
  <c r="M1441" i="2"/>
  <c r="M1453" i="2"/>
  <c r="M1455" i="2"/>
  <c r="M1456" i="2"/>
  <c r="M1457" i="2"/>
  <c r="M1458" i="2"/>
  <c r="M1448" i="2"/>
  <c r="M1459" i="2"/>
  <c r="M1461" i="2"/>
  <c r="M1462" i="2"/>
  <c r="M1464" i="2"/>
  <c r="M1460" i="2"/>
  <c r="M1463" i="2"/>
  <c r="M1465" i="2"/>
  <c r="M1466" i="2"/>
  <c r="M1392" i="2"/>
  <c r="M2345" i="2"/>
  <c r="M1467" i="2"/>
  <c r="M1449" i="2"/>
  <c r="M1468" i="2"/>
  <c r="M1470" i="2"/>
  <c r="M1472" i="2"/>
  <c r="M1469" i="2"/>
  <c r="M1471" i="2"/>
  <c r="M2508" i="2"/>
  <c r="M2509" i="2"/>
  <c r="M2510" i="2"/>
  <c r="M2511" i="2"/>
  <c r="M2512" i="2"/>
  <c r="M2513" i="2"/>
  <c r="M1451" i="2"/>
  <c r="M1473" i="2"/>
  <c r="M1474" i="2"/>
  <c r="M1450" i="2"/>
  <c r="M1475" i="2"/>
  <c r="M1476" i="2"/>
  <c r="M1477" i="2"/>
  <c r="M1478" i="2"/>
  <c r="M2348" i="2"/>
  <c r="M350" i="2"/>
  <c r="M1479" i="2"/>
  <c r="M351" i="2"/>
  <c r="M352" i="2"/>
  <c r="M353" i="2"/>
  <c r="M2398" i="2"/>
  <c r="M2473" i="2"/>
  <c r="M2399" i="2"/>
  <c r="M2451" i="2"/>
  <c r="M2452" i="2"/>
  <c r="M2453" i="2"/>
  <c r="M1371" i="2"/>
  <c r="M1372" i="2"/>
  <c r="M1373" i="2"/>
  <c r="M1374" i="2"/>
  <c r="M1375" i="2"/>
  <c r="M1376" i="2"/>
  <c r="M1377" i="2"/>
  <c r="M1378" i="2"/>
  <c r="M1379" i="2"/>
  <c r="M275" i="2"/>
  <c r="M276" i="2"/>
  <c r="M1234" i="2"/>
  <c r="M2349" i="2"/>
  <c r="M2350" i="2"/>
  <c r="M2351" i="2"/>
  <c r="M2514" i="2"/>
  <c r="M2515" i="2"/>
  <c r="M2516" i="2"/>
  <c r="M2517" i="2"/>
  <c r="M2518" i="2"/>
  <c r="M1217" i="2"/>
  <c r="M1218" i="2"/>
  <c r="M1380" i="2"/>
  <c r="M1381" i="2"/>
  <c r="M175" i="2"/>
  <c r="M187" i="2"/>
  <c r="M188" i="2"/>
  <c r="M186" i="2"/>
  <c r="M189" i="2"/>
  <c r="M190" i="2"/>
  <c r="M1394" i="2"/>
  <c r="M1405" i="2"/>
  <c r="M1219" i="2"/>
  <c r="M1220" i="2"/>
  <c r="M1384" i="2"/>
  <c r="M1385" i="2"/>
  <c r="M1386" i="2"/>
  <c r="M1387" i="2"/>
  <c r="M1382" i="2"/>
  <c r="M1402" i="2"/>
  <c r="M1221" i="2"/>
  <c r="M1222" i="2"/>
  <c r="M1403" i="2"/>
  <c r="M1223" i="2"/>
  <c r="M1404" i="2"/>
  <c r="M1224" i="2"/>
  <c r="M2454" i="2"/>
  <c r="M2455" i="2"/>
  <c r="M172" i="2"/>
  <c r="M173" i="2"/>
  <c r="M174" i="2"/>
  <c r="M1389" i="2"/>
  <c r="M1390" i="2"/>
  <c r="M1391" i="2"/>
  <c r="M1388" i="2"/>
  <c r="M1230" i="2"/>
  <c r="M1225" i="2"/>
  <c r="M1226" i="2"/>
  <c r="M1227" i="2"/>
  <c r="M1231" i="2"/>
  <c r="M1232" i="2"/>
  <c r="M1229" i="2"/>
  <c r="M1228" i="2"/>
  <c r="M2352" i="2"/>
  <c r="M1235" i="2"/>
  <c r="M1236" i="2"/>
  <c r="M1237" i="2"/>
  <c r="M1240" i="2"/>
  <c r="M1241" i="2"/>
  <c r="M1395" i="2"/>
  <c r="M1396" i="2"/>
  <c r="M1238" i="2"/>
  <c r="M1239" i="2"/>
  <c r="M2419" i="2"/>
  <c r="M18" i="2"/>
  <c r="M2420" i="2"/>
  <c r="M2353" i="2"/>
  <c r="M1243" i="2"/>
  <c r="M2355" i="2"/>
  <c r="M2356" i="2"/>
  <c r="M1242" i="2"/>
  <c r="M1397" i="2"/>
  <c r="M1398" i="2"/>
  <c r="M1399" i="2"/>
  <c r="M1540" i="2"/>
  <c r="M1541" i="2"/>
  <c r="M1244" i="2"/>
  <c r="M2357" i="2"/>
  <c r="M2089" i="2"/>
  <c r="M976" i="2"/>
  <c r="M954" i="2"/>
  <c r="M1185" i="2"/>
  <c r="M2456" i="2"/>
  <c r="M1542" i="2"/>
  <c r="M1526" i="2"/>
  <c r="M1527" i="2"/>
  <c r="M957" i="2"/>
  <c r="M953" i="2"/>
  <c r="M955" i="2"/>
  <c r="M956" i="2"/>
  <c r="M2358" i="2"/>
  <c r="M2519" i="2"/>
  <c r="M2359" i="2"/>
  <c r="M2360" i="2"/>
  <c r="M1528" i="2"/>
  <c r="M1529" i="2"/>
  <c r="M1530" i="2"/>
  <c r="M1531" i="2"/>
  <c r="M1532" i="2"/>
  <c r="M1533" i="2"/>
  <c r="M958" i="2"/>
  <c r="M959" i="2"/>
  <c r="M960" i="2"/>
  <c r="M961" i="2"/>
  <c r="M962" i="2"/>
  <c r="M963" i="2"/>
  <c r="M2436" i="2"/>
  <c r="M2437" i="2"/>
  <c r="M2438" i="2"/>
  <c r="M2439" i="2"/>
  <c r="M977" i="2"/>
  <c r="M964" i="2"/>
  <c r="M2457" i="2"/>
  <c r="M965" i="2"/>
  <c r="M966" i="2"/>
  <c r="M967" i="2"/>
  <c r="M968" i="2"/>
  <c r="M19" i="2"/>
  <c r="M20" i="2"/>
  <c r="M21" i="2"/>
  <c r="M22" i="2"/>
  <c r="M969" i="2"/>
  <c r="M970" i="2"/>
  <c r="M971" i="2"/>
  <c r="M972" i="2"/>
  <c r="M1534" i="2"/>
  <c r="M1535" i="2"/>
  <c r="M1536" i="2"/>
  <c r="M1537" i="2"/>
  <c r="M1538" i="2"/>
  <c r="M1539" i="2"/>
  <c r="M974" i="2"/>
  <c r="M973" i="2"/>
  <c r="M2361" i="2"/>
  <c r="M24" i="2"/>
  <c r="M23" i="2"/>
  <c r="M1233" i="2"/>
  <c r="M975" i="2"/>
  <c r="M1245" i="2"/>
  <c r="M25" i="2"/>
  <c r="M26" i="2"/>
  <c r="M27" i="2"/>
  <c r="M2362" i="2"/>
  <c r="M28" i="2"/>
  <c r="M29" i="2"/>
  <c r="M30" i="2"/>
  <c r="M2128" i="2"/>
  <c r="M2129" i="2"/>
  <c r="M1400" i="2"/>
  <c r="M1401" i="2"/>
  <c r="M2130" i="2"/>
  <c r="M2131" i="2"/>
  <c r="M2133" i="2"/>
  <c r="M2134" i="2"/>
  <c r="M2135" i="2"/>
  <c r="M2136" i="2"/>
  <c r="M2132" i="2"/>
  <c r="M31" i="2"/>
  <c r="M2291" i="2"/>
  <c r="M32" i="2"/>
  <c r="M2363" i="2"/>
  <c r="M33" i="2"/>
  <c r="M2292" i="2"/>
  <c r="M34" i="2"/>
  <c r="M35" i="2"/>
  <c r="M36" i="2"/>
  <c r="M37" i="2"/>
  <c r="M38" i="2"/>
  <c r="M177" i="2"/>
  <c r="M1490" i="2"/>
  <c r="M1512" i="2"/>
  <c r="M1513" i="2"/>
  <c r="M1514" i="2"/>
  <c r="M1515" i="2"/>
  <c r="M1516" i="2"/>
  <c r="M178" i="2"/>
  <c r="M2364" i="2"/>
  <c r="M1518" i="2"/>
  <c r="M1519" i="2"/>
  <c r="M1520" i="2"/>
  <c r="M1521" i="2"/>
  <c r="M2365" i="2"/>
  <c r="M2520" i="2"/>
  <c r="M2521" i="2"/>
  <c r="M2522" i="2"/>
  <c r="M2523" i="2"/>
  <c r="M2524" i="2"/>
  <c r="M1517" i="2"/>
  <c r="M1543" i="2"/>
  <c r="M1544" i="2"/>
  <c r="M1545" i="2"/>
  <c r="M1546" i="2"/>
  <c r="M1547" i="2"/>
  <c r="M2525" i="2"/>
  <c r="M1522" i="2"/>
  <c r="M1523" i="2"/>
  <c r="M1524" i="2"/>
  <c r="M1525" i="2"/>
  <c r="M1601" i="2"/>
  <c r="M1566" i="2"/>
  <c r="M1567" i="2"/>
  <c r="M1571" i="2"/>
  <c r="M1572" i="2"/>
  <c r="M1573" i="2"/>
  <c r="M1574" i="2"/>
  <c r="M1603" i="2"/>
  <c r="M1604" i="2"/>
  <c r="M1605" i="2"/>
  <c r="M1606" i="2"/>
  <c r="M1568" i="2"/>
  <c r="M1570" i="2"/>
  <c r="M1569" i="2"/>
  <c r="M1602" i="2"/>
  <c r="M1596" i="2"/>
  <c r="M1576" i="2"/>
  <c r="M1575" i="2"/>
  <c r="M1577" i="2"/>
  <c r="M1578" i="2"/>
  <c r="M1579" i="2"/>
  <c r="M1580" i="2"/>
  <c r="M1581" i="2"/>
  <c r="M2458" i="2"/>
  <c r="M512" i="2"/>
  <c r="M1582" i="2"/>
  <c r="M1583" i="2"/>
  <c r="M665" i="2"/>
  <c r="M1598" i="2"/>
  <c r="M1599" i="2"/>
  <c r="M1600" i="2"/>
  <c r="M1584" i="2"/>
  <c r="M1585" i="2"/>
  <c r="M1586" i="2"/>
  <c r="M1597" i="2"/>
  <c r="M516" i="2"/>
  <c r="M513" i="2"/>
  <c r="M515" i="2"/>
  <c r="M1548" i="2"/>
  <c r="M1549" i="2"/>
  <c r="M1550" i="2"/>
  <c r="M39" i="2"/>
  <c r="M40" i="2"/>
  <c r="M41" i="2"/>
  <c r="M666" i="2"/>
  <c r="M1551" i="2"/>
  <c r="M524" i="2"/>
  <c r="M526" i="2"/>
  <c r="M282" i="2"/>
  <c r="M525" i="2"/>
  <c r="M523" i="2"/>
  <c r="M517" i="2"/>
  <c r="M518" i="2"/>
  <c r="M522" i="2"/>
  <c r="M1564" i="2"/>
  <c r="M527" i="2"/>
  <c r="M43" i="2"/>
  <c r="M44" i="2"/>
  <c r="M42" i="2"/>
  <c r="M45" i="2"/>
  <c r="M46" i="2"/>
  <c r="M1588" i="2"/>
  <c r="M1589" i="2"/>
  <c r="M1590" i="2"/>
  <c r="M1591" i="2"/>
  <c r="M1592" i="2"/>
  <c r="M1593" i="2"/>
  <c r="M1587" i="2"/>
  <c r="M1594" i="2"/>
  <c r="M1595" i="2"/>
  <c r="M2293" i="2"/>
  <c r="M2294" i="2"/>
  <c r="M528" i="2"/>
  <c r="M529" i="2"/>
  <c r="M530" i="2"/>
  <c r="M519" i="2"/>
  <c r="M531" i="2"/>
  <c r="M520" i="2"/>
  <c r="M533" i="2"/>
  <c r="M1565" i="2"/>
  <c r="M521" i="2"/>
  <c r="M534" i="2"/>
  <c r="M532" i="2"/>
  <c r="M535" i="2"/>
  <c r="M536" i="2"/>
  <c r="M537" i="2"/>
  <c r="M538" i="2"/>
  <c r="M558" i="2"/>
  <c r="M284" i="2"/>
  <c r="M559" i="2"/>
  <c r="M179" i="2"/>
  <c r="M560" i="2"/>
  <c r="M2313" i="2"/>
  <c r="M2314" i="2"/>
  <c r="M2315" i="2"/>
  <c r="M2316" i="2"/>
  <c r="M561" i="2"/>
  <c r="M562" i="2"/>
  <c r="M563" i="2"/>
  <c r="M564" i="2"/>
  <c r="M565" i="2"/>
  <c r="M566" i="2"/>
  <c r="M567" i="2"/>
  <c r="M568" i="2"/>
  <c r="M569" i="2"/>
  <c r="M2366" i="2"/>
  <c r="M2367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570" i="2"/>
  <c r="M2526" i="2"/>
  <c r="M2527" i="2"/>
  <c r="M2528" i="2"/>
  <c r="M2368" i="2"/>
  <c r="M2459" i="2"/>
  <c r="M1258" i="2"/>
  <c r="M571" i="2"/>
  <c r="M572" i="2"/>
  <c r="M2371" i="2"/>
  <c r="M48" i="2"/>
  <c r="M49" i="2"/>
  <c r="M2529" i="2"/>
  <c r="M50" i="2"/>
  <c r="M2372" i="2"/>
  <c r="M51" i="2"/>
  <c r="M47" i="2"/>
  <c r="M52" i="2"/>
  <c r="M53" i="2"/>
  <c r="M1259" i="2"/>
  <c r="M1262" i="2"/>
  <c r="M1263" i="2"/>
  <c r="M1264" i="2"/>
  <c r="M2460" i="2"/>
  <c r="M1260" i="2"/>
  <c r="M1261" i="2"/>
  <c r="M1319" i="2"/>
  <c r="M1305" i="2"/>
  <c r="M1320" i="2"/>
  <c r="M1321" i="2"/>
  <c r="M1265" i="2"/>
  <c r="M1322" i="2"/>
  <c r="M1323" i="2"/>
  <c r="M1324" i="2"/>
  <c r="M1325" i="2"/>
  <c r="M148" i="2"/>
  <c r="M149" i="2"/>
  <c r="M147" i="2"/>
  <c r="M150" i="2"/>
  <c r="M151" i="2"/>
  <c r="M1267" i="2"/>
  <c r="M1268" i="2"/>
  <c r="M1326" i="2"/>
  <c r="M1307" i="2"/>
  <c r="M1308" i="2"/>
  <c r="M1309" i="2"/>
  <c r="M1310" i="2"/>
  <c r="M1306" i="2"/>
  <c r="M54" i="2"/>
  <c r="M55" i="2"/>
  <c r="M56" i="2"/>
  <c r="M2530" i="2"/>
  <c r="M1327" i="2"/>
  <c r="M1311" i="2"/>
  <c r="M1266" i="2"/>
  <c r="M2461" i="2"/>
  <c r="M1312" i="2"/>
  <c r="M1313" i="2"/>
  <c r="M2462" i="2"/>
  <c r="M1328" i="2"/>
  <c r="M1329" i="2"/>
  <c r="M1314" i="2"/>
  <c r="M1315" i="2"/>
  <c r="M540" i="2"/>
  <c r="M541" i="2"/>
  <c r="M542" i="2"/>
  <c r="M543" i="2"/>
  <c r="M544" i="2"/>
  <c r="M545" i="2"/>
  <c r="M539" i="2"/>
  <c r="M557" i="2"/>
  <c r="M2463" i="2"/>
  <c r="M1316" i="2"/>
  <c r="M1269" i="2"/>
  <c r="M1270" i="2"/>
  <c r="M1317" i="2"/>
  <c r="M1318" i="2"/>
  <c r="M546" i="2"/>
  <c r="M547" i="2"/>
  <c r="M548" i="2"/>
  <c r="M549" i="2"/>
  <c r="M550" i="2"/>
  <c r="M285" i="2"/>
  <c r="M573" i="2"/>
  <c r="M2532" i="2"/>
  <c r="M2139" i="2"/>
  <c r="M551" i="2"/>
  <c r="M2373" i="2"/>
  <c r="M57" i="2"/>
  <c r="M2533" i="2"/>
  <c r="M2534" i="2"/>
  <c r="M58" i="2"/>
  <c r="M277" i="2"/>
  <c r="M2535" i="2"/>
  <c r="M59" i="2"/>
  <c r="M2536" i="2"/>
  <c r="M2537" i="2"/>
  <c r="M574" i="2"/>
  <c r="M575" i="2"/>
  <c r="M576" i="2"/>
  <c r="M577" i="2"/>
  <c r="M578" i="2"/>
  <c r="M2156" i="2"/>
  <c r="M579" i="2"/>
  <c r="M580" i="2"/>
  <c r="M583" i="2"/>
  <c r="M584" i="2"/>
  <c r="M585" i="2"/>
  <c r="M582" i="2"/>
  <c r="M581" i="2"/>
  <c r="M586" i="2"/>
  <c r="M587" i="2"/>
  <c r="M588" i="2"/>
  <c r="M589" i="2"/>
  <c r="M2152" i="2"/>
  <c r="M591" i="2"/>
  <c r="M592" i="2"/>
  <c r="M593" i="2"/>
  <c r="M594" i="2"/>
  <c r="M595" i="2"/>
  <c r="M596" i="2"/>
  <c r="M287" i="2"/>
  <c r="M590" i="2"/>
  <c r="M597" i="2"/>
  <c r="M598" i="2"/>
  <c r="M599" i="2"/>
  <c r="M600" i="2"/>
  <c r="M601" i="2"/>
  <c r="M61" i="2"/>
  <c r="M62" i="2"/>
  <c r="M2374" i="2"/>
  <c r="M63" i="2"/>
  <c r="M60" i="2"/>
  <c r="M64" i="2"/>
  <c r="M65" i="2"/>
  <c r="M603" i="2"/>
  <c r="M604" i="2"/>
  <c r="M605" i="2"/>
  <c r="M606" i="2"/>
  <c r="M607" i="2"/>
  <c r="M602" i="2"/>
  <c r="M2158" i="2"/>
  <c r="M2141" i="2"/>
  <c r="M2157" i="2"/>
  <c r="M2159" i="2"/>
  <c r="M2160" i="2"/>
  <c r="M2161" i="2"/>
  <c r="M2162" i="2"/>
  <c r="M2163" i="2"/>
  <c r="M2164" i="2"/>
  <c r="M2167" i="2"/>
  <c r="M2168" i="2"/>
  <c r="M2169" i="2"/>
  <c r="M2143" i="2"/>
  <c r="M2144" i="2"/>
  <c r="M2146" i="2"/>
  <c r="M2148" i="2"/>
  <c r="M2149" i="2"/>
  <c r="M2150" i="2"/>
  <c r="M2142" i="2"/>
  <c r="M2145" i="2"/>
  <c r="M2147" i="2"/>
  <c r="M2165" i="2"/>
  <c r="M2166" i="2"/>
  <c r="M2170" i="2"/>
  <c r="M2171" i="2"/>
  <c r="M2375" i="2"/>
  <c r="M2376" i="2"/>
  <c r="M1651" i="2"/>
  <c r="M2317" i="2"/>
  <c r="M2318" i="2"/>
  <c r="M2319" i="2"/>
  <c r="M2320" i="2"/>
  <c r="M2151" i="2"/>
  <c r="M2172" i="2"/>
  <c r="M2173" i="2"/>
  <c r="M2174" i="2"/>
  <c r="M2175" i="2"/>
  <c r="M608" i="2"/>
  <c r="M1271" i="2"/>
  <c r="M2377" i="2"/>
  <c r="M1498" i="2"/>
  <c r="M1495" i="2"/>
  <c r="M1497" i="2"/>
  <c r="M1492" i="2"/>
  <c r="M1493" i="2"/>
  <c r="M1494" i="2"/>
  <c r="M1496" i="2"/>
  <c r="M1499" i="2"/>
  <c r="M1491" i="2"/>
  <c r="M1500" i="2"/>
  <c r="M1501" i="2"/>
  <c r="M1502" i="2"/>
  <c r="M727" i="2"/>
  <c r="M2538" i="2"/>
  <c r="M637" i="2"/>
  <c r="M1503" i="2"/>
  <c r="M2378" i="2"/>
  <c r="M2541" i="2"/>
  <c r="M289" i="2"/>
  <c r="M2542" i="2"/>
  <c r="M2543" i="2"/>
  <c r="M2544" i="2"/>
  <c r="M2545" i="2"/>
  <c r="M2546" i="2"/>
  <c r="M638" i="2"/>
  <c r="M729" i="2"/>
  <c r="M730" i="2"/>
  <c r="M731" i="2"/>
  <c r="M732" i="2"/>
  <c r="M733" i="2"/>
  <c r="M734" i="2"/>
  <c r="M735" i="2"/>
  <c r="M736" i="2"/>
  <c r="M737" i="2"/>
  <c r="M738" i="2"/>
  <c r="M1511" i="2"/>
  <c r="M728" i="2"/>
  <c r="M291" i="2"/>
  <c r="M292" i="2"/>
  <c r="M2137" i="2"/>
  <c r="M639" i="2"/>
  <c r="M2464" i="2"/>
  <c r="M739" i="2"/>
  <c r="M2177" i="2"/>
  <c r="M2178" i="2"/>
  <c r="M2179" i="2"/>
  <c r="M2180" i="2"/>
  <c r="M2181" i="2"/>
  <c r="M2549" i="2"/>
  <c r="M2547" i="2"/>
  <c r="M1652" i="2"/>
  <c r="M640" i="2"/>
  <c r="M2465" i="2"/>
  <c r="M740" i="2"/>
  <c r="M741" i="2"/>
  <c r="M2379" i="2"/>
  <c r="M2550" i="2"/>
  <c r="M2551" i="2"/>
  <c r="M2552" i="2"/>
  <c r="M2553" i="2"/>
  <c r="M2554" i="2"/>
  <c r="M2555" i="2"/>
  <c r="M2556" i="2"/>
  <c r="M723" i="2"/>
  <c r="M1655" i="2"/>
  <c r="M641" i="2"/>
  <c r="M642" i="2"/>
  <c r="M643" i="2"/>
  <c r="M644" i="2"/>
  <c r="M645" i="2"/>
  <c r="M646" i="2"/>
  <c r="M647" i="2"/>
  <c r="M1656" i="2"/>
  <c r="M724" i="2"/>
  <c r="M1657" i="2"/>
  <c r="M1658" i="2"/>
  <c r="M2182" i="2"/>
  <c r="M648" i="2"/>
  <c r="M649" i="2"/>
  <c r="M2401" i="2"/>
  <c r="M2400" i="2"/>
  <c r="M2402" i="2"/>
  <c r="M2184" i="2"/>
  <c r="M2186" i="2"/>
  <c r="M2185" i="2"/>
  <c r="M1660" i="2"/>
  <c r="M2466" i="2"/>
  <c r="M650" i="2"/>
  <c r="M651" i="2"/>
  <c r="M652" i="2"/>
  <c r="M653" i="2"/>
  <c r="M2187" i="2"/>
  <c r="M1659" i="2"/>
  <c r="M2467" i="2"/>
  <c r="M1662" i="2"/>
  <c r="M1663" i="2"/>
  <c r="M1661" i="2"/>
  <c r="M1664" i="2"/>
  <c r="M654" i="2"/>
  <c r="M655" i="2"/>
  <c r="M656" i="2"/>
  <c r="M657" i="2"/>
  <c r="M658" i="2"/>
  <c r="M1665" i="2"/>
  <c r="M1666" i="2"/>
  <c r="M1679" i="2"/>
  <c r="M1668" i="2"/>
  <c r="M1667" i="2"/>
  <c r="M1669" i="2"/>
  <c r="M1670" i="2"/>
  <c r="M2321" i="2"/>
  <c r="M2468" i="2"/>
  <c r="M1681" i="2"/>
  <c r="M1682" i="2"/>
  <c r="M1688" i="2"/>
  <c r="M1680" i="2"/>
  <c r="M1687" i="2"/>
  <c r="M1683" i="2"/>
  <c r="M1671" i="2"/>
  <c r="M1689" i="2"/>
  <c r="M1690" i="2"/>
  <c r="M1691" i="2"/>
  <c r="M1692" i="2"/>
  <c r="M1693" i="2"/>
  <c r="M659" i="2"/>
  <c r="M1694" i="2"/>
  <c r="M1695" i="2"/>
  <c r="M66" i="2"/>
  <c r="M67" i="2"/>
  <c r="M68" i="2"/>
  <c r="M69" i="2"/>
  <c r="M70" i="2"/>
  <c r="M71" i="2"/>
  <c r="M72" i="2"/>
  <c r="M73" i="2"/>
  <c r="M1686" i="2"/>
  <c r="M1685" i="2"/>
  <c r="M1672" i="2"/>
  <c r="M1673" i="2"/>
  <c r="M1674" i="2"/>
  <c r="M1675" i="2"/>
  <c r="M1676" i="2"/>
  <c r="M1677" i="2"/>
  <c r="M1678" i="2"/>
  <c r="M1696" i="2"/>
  <c r="M2188" i="2"/>
  <c r="M2189" i="2"/>
  <c r="M2190" i="2"/>
  <c r="M2191" i="2"/>
  <c r="M742" i="2"/>
  <c r="M743" i="2"/>
  <c r="M744" i="2"/>
  <c r="M610" i="2"/>
  <c r="M611" i="2"/>
  <c r="M609" i="2"/>
  <c r="M725" i="2"/>
  <c r="M745" i="2"/>
  <c r="M1330" i="2"/>
  <c r="M726" i="2"/>
  <c r="M1684" i="2"/>
  <c r="M698" i="2"/>
  <c r="M699" i="2"/>
  <c r="M700" i="2"/>
  <c r="M701" i="2"/>
  <c r="M702" i="2"/>
  <c r="M703" i="2"/>
  <c r="M2298" i="2"/>
  <c r="M2386" i="2"/>
  <c r="M2387" i="2"/>
  <c r="M2385" i="2"/>
  <c r="M2388" i="2"/>
  <c r="M2299" i="2"/>
  <c r="M2389" i="2"/>
  <c r="M2390" i="2"/>
  <c r="M2391" i="2"/>
  <c r="M2392" i="2"/>
  <c r="M2300" i="2"/>
  <c r="M2393" i="2"/>
  <c r="M2301" i="2"/>
  <c r="M74" i="2"/>
  <c r="M2302" i="2"/>
  <c r="M2394" i="2"/>
  <c r="M2557" i="2"/>
  <c r="M2200" i="2"/>
  <c r="M704" i="2"/>
  <c r="M705" i="2"/>
  <c r="M2380" i="2"/>
  <c r="M2558" i="2"/>
  <c r="M2559" i="2"/>
  <c r="M75" i="2"/>
  <c r="M2560" i="2"/>
  <c r="M2561" i="2"/>
  <c r="M2562" i="2"/>
  <c r="M1272" i="2"/>
  <c r="M2192" i="2"/>
  <c r="M2193" i="2"/>
  <c r="M2194" i="2"/>
  <c r="M2195" i="2"/>
  <c r="M2196" i="2"/>
  <c r="M2197" i="2"/>
  <c r="M2198" i="2"/>
  <c r="M614" i="2"/>
  <c r="M615" i="2"/>
  <c r="M616" i="2"/>
  <c r="M626" i="2"/>
  <c r="M620" i="2"/>
  <c r="M621" i="2"/>
  <c r="M623" i="2"/>
  <c r="M627" i="2"/>
  <c r="M628" i="2"/>
  <c r="M629" i="2"/>
  <c r="M618" i="2"/>
  <c r="M619" i="2"/>
  <c r="M624" i="2"/>
  <c r="M625" i="2"/>
  <c r="M2469" i="2"/>
  <c r="M1698" i="2"/>
  <c r="M622" i="2"/>
  <c r="M2381" i="2"/>
  <c r="M2322" i="2"/>
  <c r="M2323" i="2"/>
  <c r="M2324" i="2"/>
  <c r="M617" i="2"/>
  <c r="M1697" i="2"/>
  <c r="M630" i="2"/>
  <c r="M631" i="2"/>
  <c r="M2325" i="2"/>
  <c r="M632" i="2"/>
  <c r="M633" i="2"/>
  <c r="M634" i="2"/>
  <c r="M635" i="2"/>
  <c r="M2470" i="2"/>
  <c r="M180" i="2"/>
  <c r="M2303" i="2"/>
  <c r="M2304" i="2"/>
  <c r="M2305" i="2"/>
  <c r="M2306" i="2"/>
  <c r="M2307" i="2"/>
  <c r="M2471" i="2"/>
  <c r="M706" i="2"/>
  <c r="M707" i="2"/>
  <c r="M2199" i="2"/>
  <c r="M1504" i="2"/>
  <c r="M1505" i="2"/>
  <c r="M2176" i="2"/>
  <c r="M1506" i="2"/>
  <c r="M1507" i="2"/>
  <c r="M1508" i="2"/>
  <c r="M1509" i="2"/>
  <c r="M1510" i="2"/>
  <c r="M2214" i="2"/>
  <c r="M2215" i="2"/>
  <c r="M2216" i="2"/>
  <c r="M2217" i="2"/>
  <c r="M2218" i="2"/>
  <c r="M76" i="2"/>
  <c r="M77" i="2"/>
  <c r="M78" i="2"/>
  <c r="M2219" i="2"/>
  <c r="M2435" i="2"/>
  <c r="M293" i="2"/>
  <c r="M238" i="2"/>
  <c r="M2563" i="2"/>
  <c r="M2237" i="2"/>
  <c r="M2238" i="2"/>
  <c r="M2239" i="2"/>
  <c r="M2240" i="2"/>
  <c r="M2241" i="2"/>
  <c r="M2221" i="2"/>
  <c r="M708" i="2"/>
  <c r="M2222" i="2"/>
  <c r="M709" i="2"/>
  <c r="M2223" i="2"/>
  <c r="M2224" i="2"/>
  <c r="M710" i="2"/>
  <c r="M2225" i="2"/>
  <c r="M2226" i="2"/>
  <c r="M711" i="2"/>
  <c r="M2227" i="2"/>
  <c r="M80" i="2"/>
  <c r="M79" i="2"/>
  <c r="M81" i="2"/>
  <c r="M82" i="2"/>
  <c r="M84" i="2"/>
  <c r="M83" i="2"/>
  <c r="M85" i="2"/>
  <c r="M86" i="2"/>
  <c r="M87" i="2"/>
  <c r="M2228" i="2"/>
  <c r="M2242" i="2"/>
  <c r="M2295" i="2"/>
  <c r="M2296" i="2"/>
  <c r="M2297" i="2"/>
  <c r="M2229" i="2"/>
  <c r="M2243" i="2"/>
  <c r="M1552" i="2"/>
  <c r="M1553" i="2"/>
  <c r="M1554" i="2"/>
  <c r="M1555" i="2"/>
  <c r="M1556" i="2"/>
  <c r="M1704" i="2"/>
  <c r="M1557" i="2"/>
  <c r="M1558" i="2"/>
  <c r="M1559" i="2"/>
  <c r="M418" i="2"/>
  <c r="M1699" i="2"/>
  <c r="M2244" i="2"/>
  <c r="M419" i="2"/>
  <c r="M421" i="2"/>
  <c r="M1700" i="2"/>
  <c r="M1701" i="2"/>
  <c r="M2245" i="2"/>
  <c r="M1702" i="2"/>
  <c r="M422" i="2"/>
  <c r="M2246" i="2"/>
  <c r="M423" i="2"/>
  <c r="M2247" i="2"/>
  <c r="M1703" i="2"/>
  <c r="M1560" i="2"/>
  <c r="M1561" i="2"/>
  <c r="M1562" i="2"/>
  <c r="M1563" i="2"/>
  <c r="M239" i="2"/>
  <c r="M240" i="2"/>
  <c r="M290" i="2"/>
  <c r="M425" i="2"/>
  <c r="M426" i="2"/>
  <c r="M427" i="2"/>
  <c r="M428" i="2"/>
  <c r="M424" i="2"/>
  <c r="M429" i="2"/>
  <c r="M1705" i="2"/>
  <c r="M2327" i="2"/>
  <c r="M1273" i="2"/>
  <c r="M1274" i="2"/>
  <c r="M1275" i="2"/>
  <c r="M1276" i="2"/>
  <c r="M431" i="2"/>
  <c r="M432" i="2"/>
  <c r="M430" i="2"/>
  <c r="M1730" i="2"/>
  <c r="M1731" i="2"/>
  <c r="M1732" i="2"/>
  <c r="M1733" i="2"/>
  <c r="M1734" i="2"/>
  <c r="M1735" i="2"/>
  <c r="M1736" i="2"/>
  <c r="M1737" i="2"/>
  <c r="M1738" i="2"/>
  <c r="M1739" i="2"/>
  <c r="M241" i="2"/>
  <c r="M746" i="2"/>
  <c r="M779" i="2"/>
  <c r="M781" i="2"/>
  <c r="M774" i="2"/>
  <c r="M1743" i="2"/>
  <c r="M748" i="2"/>
  <c r="M749" i="2"/>
  <c r="M752" i="2"/>
  <c r="M754" i="2"/>
  <c r="M756" i="2"/>
  <c r="M757" i="2"/>
  <c r="M750" i="2"/>
  <c r="M775" i="2"/>
  <c r="M782" i="2"/>
  <c r="M1745" i="2"/>
  <c r="M751" i="2"/>
  <c r="M776" i="2"/>
  <c r="M783" i="2"/>
  <c r="M1740" i="2"/>
  <c r="M1741" i="2"/>
  <c r="M753" i="2"/>
  <c r="M784" i="2"/>
  <c r="M777" i="2"/>
  <c r="M755" i="2"/>
  <c r="M1742" i="2"/>
  <c r="M785" i="2"/>
  <c r="M242" i="2"/>
  <c r="M778" i="2"/>
  <c r="M786" i="2"/>
  <c r="M747" i="2"/>
  <c r="M2326" i="2"/>
  <c r="M1744" i="2"/>
  <c r="M2564" i="2"/>
  <c r="M758" i="2"/>
  <c r="M759" i="2"/>
  <c r="M760" i="2"/>
  <c r="M89" i="2"/>
  <c r="M90" i="2"/>
  <c r="M244" i="2"/>
  <c r="M91" i="2"/>
  <c r="M88" i="2"/>
  <c r="M92" i="2"/>
  <c r="M93" i="2"/>
  <c r="M243" i="2"/>
  <c r="M761" i="2"/>
  <c r="M762" i="2"/>
  <c r="M763" i="2"/>
  <c r="M764" i="2"/>
  <c r="M765" i="2"/>
  <c r="M766" i="2"/>
  <c r="M767" i="2"/>
  <c r="M768" i="2"/>
  <c r="M769" i="2"/>
  <c r="M770" i="2"/>
  <c r="M780" i="2"/>
  <c r="M787" i="2"/>
  <c r="M2432" i="2"/>
  <c r="M2428" i="2"/>
  <c r="M2429" i="2"/>
  <c r="M2433" i="2"/>
  <c r="M2434" i="2"/>
  <c r="M771" i="2"/>
  <c r="M772" i="2"/>
  <c r="M773" i="2"/>
  <c r="M433" i="2"/>
  <c r="M434" i="2"/>
  <c r="M435" i="2"/>
  <c r="M714" i="2"/>
  <c r="M715" i="2"/>
  <c r="M1296" i="2"/>
  <c r="M716" i="2"/>
  <c r="M1297" i="2"/>
  <c r="M717" i="2"/>
  <c r="M1298" i="2"/>
  <c r="M718" i="2"/>
  <c r="M719" i="2"/>
  <c r="M712" i="2"/>
  <c r="M1277" i="2"/>
  <c r="M1278" i="2"/>
  <c r="M1279" i="2"/>
  <c r="M1280" i="2"/>
  <c r="M1281" i="2"/>
  <c r="M1282" i="2"/>
  <c r="M721" i="2"/>
  <c r="M720" i="2"/>
  <c r="M2565" i="2"/>
  <c r="M722" i="2"/>
  <c r="M713" i="2"/>
  <c r="M1299" i="2"/>
  <c r="M1300" i="2"/>
  <c r="M1301" i="2"/>
  <c r="M2567" i="2"/>
  <c r="M2568" i="2"/>
  <c r="M2569" i="2"/>
  <c r="M2570" i="2"/>
  <c r="M2571" i="2"/>
  <c r="M1303" i="2"/>
  <c r="M1302" i="2"/>
  <c r="M788" i="2"/>
  <c r="M789" i="2"/>
  <c r="M790" i="2"/>
  <c r="M791" i="2"/>
  <c r="M181" i="2"/>
  <c r="M1304" i="2"/>
  <c r="M792" i="2"/>
  <c r="M793" i="2"/>
  <c r="M794" i="2"/>
  <c r="M795" i="2"/>
  <c r="M797" i="2"/>
  <c r="M798" i="2"/>
  <c r="M799" i="2"/>
  <c r="M800" i="2"/>
  <c r="M796" i="2"/>
  <c r="M95" i="2"/>
  <c r="M96" i="2"/>
  <c r="M97" i="2"/>
  <c r="M98" i="2"/>
  <c r="M94" i="2"/>
  <c r="M99" i="2"/>
  <c r="M100" i="2"/>
  <c r="M1707" i="2"/>
  <c r="M1708" i="2"/>
  <c r="M1709" i="2"/>
  <c r="M1710" i="2"/>
  <c r="M1711" i="2"/>
  <c r="M1706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670" i="2"/>
  <c r="M668" i="2"/>
  <c r="M669" i="2"/>
  <c r="M671" i="2"/>
  <c r="M672" i="2"/>
  <c r="M673" i="2"/>
  <c r="M674" i="2"/>
  <c r="M245" i="2"/>
  <c r="M1728" i="2"/>
  <c r="M1727" i="2"/>
  <c r="M1729" i="2"/>
  <c r="M1283" i="2"/>
  <c r="M1284" i="2"/>
  <c r="M1285" i="2"/>
  <c r="M1287" i="2"/>
  <c r="M1288" i="2"/>
  <c r="M1289" i="2"/>
  <c r="M1290" i="2"/>
  <c r="M1286" i="2"/>
  <c r="M1291" i="2"/>
  <c r="M1292" i="2"/>
  <c r="M1293" i="2"/>
  <c r="M1294" i="2"/>
  <c r="M1295" i="2"/>
  <c r="M660" i="2"/>
  <c r="M661" i="2"/>
  <c r="M662" i="2"/>
  <c r="M678" i="2"/>
  <c r="M675" i="2"/>
  <c r="M679" i="2"/>
  <c r="M680" i="2"/>
  <c r="M682" i="2"/>
  <c r="M683" i="2"/>
  <c r="M684" i="2"/>
  <c r="M685" i="2"/>
  <c r="M686" i="2"/>
  <c r="M676" i="2"/>
  <c r="M677" i="2"/>
  <c r="M688" i="2"/>
  <c r="M2572" i="2"/>
  <c r="M2573" i="2"/>
  <c r="M681" i="2"/>
  <c r="M687" i="2"/>
  <c r="M294" i="2"/>
  <c r="M552" i="2"/>
  <c r="M553" i="2"/>
  <c r="M554" i="2"/>
  <c r="M555" i="2"/>
  <c r="M556" i="2"/>
  <c r="M689" i="2"/>
  <c r="M690" i="2"/>
  <c r="M691" i="2"/>
  <c r="M692" i="2"/>
  <c r="M693" i="2"/>
  <c r="M694" i="2"/>
  <c r="M663" i="2"/>
  <c r="M664" i="2"/>
  <c r="M695" i="2"/>
  <c r="M696" i="2"/>
  <c r="M697" i="2"/>
  <c r="M1769" i="2"/>
  <c r="M2290" i="2"/>
  <c r="M2382" i="2"/>
  <c r="M2383" i="2"/>
  <c r="M2384" i="2"/>
  <c r="M182" i="2"/>
  <c r="M295" i="2"/>
  <c r="M1746" i="2"/>
  <c r="M1766" i="2"/>
  <c r="M2472" i="2"/>
  <c r="M1747" i="2"/>
  <c r="M2574" i="2"/>
  <c r="M2575" i="2"/>
  <c r="M2230" i="2"/>
  <c r="M2231" i="2"/>
  <c r="M2232" i="2"/>
  <c r="M2233" i="2"/>
  <c r="M2234" i="2"/>
  <c r="M2235" i="2"/>
  <c r="M2236" i="2"/>
  <c r="M246" i="2"/>
  <c r="M1748" i="2"/>
  <c r="M1749" i="2"/>
  <c r="M1750" i="2"/>
  <c r="M1751" i="2"/>
  <c r="M1752" i="2"/>
  <c r="M1753" i="2"/>
  <c r="M1754" i="2"/>
  <c r="M1767" i="2"/>
  <c r="M1755" i="2"/>
  <c r="M1768" i="2"/>
  <c r="M1756" i="2"/>
  <c r="M1758" i="2"/>
  <c r="M1757" i="2"/>
  <c r="M1759" i="2"/>
  <c r="M1760" i="2"/>
  <c r="M1761" i="2"/>
  <c r="M1763" i="2"/>
  <c r="M1764" i="2"/>
  <c r="M1762" i="2"/>
  <c r="M1765" i="2"/>
  <c r="M247" i="2"/>
  <c r="M248" i="2"/>
  <c r="M249" i="2"/>
  <c r="M250" i="2"/>
  <c r="M1775" i="2"/>
  <c r="M1778" i="2"/>
  <c r="M1779" i="2"/>
  <c r="M1776" i="2"/>
  <c r="M1777" i="2"/>
  <c r="M2403" i="2"/>
  <c r="M2404" i="2"/>
  <c r="M2405" i="2"/>
  <c r="M1780" i="2"/>
  <c r="M1781" i="2"/>
  <c r="M1782" i="2"/>
  <c r="M1783" i="2"/>
  <c r="M1784" i="2"/>
  <c r="M1785" i="2"/>
  <c r="M2406" i="2"/>
  <c r="M2407" i="2"/>
  <c r="M2408" i="2"/>
  <c r="M1608" i="2"/>
  <c r="M2576" i="2"/>
  <c r="M2579" i="2"/>
  <c r="M2580" i="2"/>
  <c r="M2581" i="2"/>
  <c r="M2582" i="2"/>
  <c r="M2583" i="2"/>
  <c r="M1611" i="2"/>
  <c r="M152" i="2"/>
  <c r="M153" i="2"/>
  <c r="M154" i="2"/>
  <c r="M1613" i="2"/>
  <c r="M1614" i="2"/>
  <c r="M155" i="2"/>
  <c r="M156" i="2"/>
  <c r="M1609" i="2"/>
  <c r="M1615" i="2"/>
  <c r="M1624" i="2"/>
  <c r="M1794" i="2"/>
  <c r="M1625" i="2"/>
  <c r="M1616" i="2"/>
  <c r="M1617" i="2"/>
  <c r="M1787" i="2"/>
  <c r="M2584" i="2"/>
  <c r="M2585" i="2"/>
  <c r="M2586" i="2"/>
  <c r="M2587" i="2"/>
  <c r="M2588" i="2"/>
  <c r="M2589" i="2"/>
  <c r="M162" i="2"/>
  <c r="M1806" i="2"/>
  <c r="M1804" i="2"/>
  <c r="M1805" i="2"/>
  <c r="M1796" i="2"/>
  <c r="M1807" i="2"/>
  <c r="M1797" i="2"/>
  <c r="M1798" i="2"/>
  <c r="M1808" i="2"/>
  <c r="M1809" i="2"/>
  <c r="M1618" i="2"/>
  <c r="M164" i="2"/>
  <c r="M165" i="2"/>
  <c r="M166" i="2"/>
  <c r="M163" i="2"/>
  <c r="M167" i="2"/>
  <c r="M168" i="2"/>
  <c r="M102" i="2"/>
  <c r="M103" i="2"/>
  <c r="M104" i="2"/>
  <c r="M101" i="2"/>
  <c r="M105" i="2"/>
  <c r="M106" i="2"/>
  <c r="M2409" i="2"/>
  <c r="M169" i="2"/>
  <c r="M170" i="2"/>
  <c r="M2430" i="2"/>
  <c r="M2431" i="2"/>
  <c r="M1788" i="2"/>
  <c r="M1799" i="2"/>
  <c r="M1800" i="2"/>
  <c r="M1801" i="2"/>
  <c r="M1811" i="2"/>
  <c r="M1802" i="2"/>
  <c r="M1789" i="2"/>
  <c r="M1790" i="2"/>
  <c r="M124" i="2"/>
  <c r="M125" i="2"/>
  <c r="M126" i="2"/>
  <c r="M127" i="2"/>
  <c r="M1791" i="2"/>
  <c r="M171" i="2"/>
  <c r="M1810" i="2"/>
  <c r="M1803" i="2"/>
  <c r="M1792" i="2"/>
  <c r="M1793" i="2"/>
  <c r="M128" i="2"/>
  <c r="M129" i="2"/>
  <c r="M131" i="2"/>
  <c r="M130" i="2"/>
  <c r="M132" i="2"/>
  <c r="M107" i="2"/>
  <c r="M108" i="2"/>
  <c r="M109" i="2"/>
  <c r="M1626" i="2"/>
  <c r="M1627" i="2"/>
  <c r="M1633" i="2"/>
  <c r="M1644" i="2"/>
  <c r="M2590" i="2"/>
  <c r="M1634" i="2"/>
  <c r="M1628" i="2"/>
  <c r="M1635" i="2"/>
  <c r="M2155" i="2"/>
  <c r="M1636" i="2"/>
  <c r="M1637" i="2"/>
  <c r="M1638" i="2"/>
  <c r="M1639" i="2"/>
  <c r="M1640" i="2"/>
  <c r="M1650" i="2"/>
  <c r="M1641" i="2"/>
  <c r="M133" i="2"/>
  <c r="M1645" i="2"/>
  <c r="M1646" i="2"/>
  <c r="M1647" i="2"/>
  <c r="M1642" i="2"/>
  <c r="M110" i="2"/>
  <c r="M134" i="2"/>
  <c r="M1847" i="2"/>
  <c r="M1848" i="2"/>
  <c r="M1849" i="2"/>
  <c r="M111" i="2"/>
  <c r="M112" i="2"/>
  <c r="M113" i="2"/>
  <c r="M114" i="2"/>
  <c r="M115" i="2"/>
  <c r="M157" i="2"/>
  <c r="M158" i="2"/>
  <c r="M1648" i="2"/>
  <c r="M159" i="2"/>
  <c r="M160" i="2"/>
  <c r="M161" i="2"/>
  <c r="M1815" i="2"/>
  <c r="M1817" i="2"/>
  <c r="M143" i="2"/>
  <c r="M144" i="2"/>
  <c r="M145" i="2"/>
  <c r="M146" i="2"/>
  <c r="M1818" i="2"/>
  <c r="M1819" i="2"/>
  <c r="M1820" i="2"/>
  <c r="M1821" i="2"/>
  <c r="M1822" i="2"/>
  <c r="M1823" i="2"/>
  <c r="M1824" i="2"/>
  <c r="M1814" i="2"/>
  <c r="M1826" i="2"/>
  <c r="M254" i="2"/>
  <c r="M1825" i="2"/>
  <c r="M251" i="2"/>
  <c r="M1629" i="2"/>
  <c r="M1630" i="2"/>
  <c r="M1631" i="2"/>
  <c r="M1888" i="2"/>
  <c r="M1889" i="2"/>
  <c r="M1894" i="2"/>
  <c r="M1896" i="2"/>
  <c r="M1890" i="2"/>
  <c r="M1891" i="2"/>
  <c r="M1892" i="2"/>
  <c r="M1893" i="2"/>
  <c r="M1895" i="2"/>
  <c r="M1897" i="2"/>
  <c r="M1649" i="2"/>
  <c r="M183" i="2"/>
  <c r="M184" i="2"/>
  <c r="M117" i="2"/>
  <c r="M118" i="2"/>
  <c r="M119" i="2"/>
  <c r="M120" i="2"/>
  <c r="M116" i="2"/>
  <c r="M121" i="2"/>
  <c r="M122" i="2"/>
  <c r="M136" i="2"/>
  <c r="M137" i="2"/>
  <c r="M138" i="2"/>
  <c r="M139" i="2"/>
  <c r="M140" i="2"/>
  <c r="M135" i="2"/>
  <c r="M141" i="2"/>
  <c r="M142" i="2"/>
  <c r="M2203" i="2"/>
  <c r="M2202" i="2"/>
  <c r="M2591" i="2"/>
  <c r="M2480" i="2"/>
  <c r="M1619" i="2"/>
  <c r="M2479" i="2"/>
  <c r="M2478" i="2"/>
  <c r="M2204" i="2"/>
  <c r="M223" i="2"/>
  <c r="M219" i="2"/>
  <c r="M220" i="2"/>
  <c r="M224" i="2"/>
  <c r="M222" i="2"/>
  <c r="M218" i="2"/>
  <c r="M225" i="2"/>
  <c r="M217" i="2"/>
  <c r="M221" i="2"/>
  <c r="M123" i="2"/>
  <c r="M1011" i="2"/>
  <c r="M1620" i="2"/>
  <c r="M226" i="2"/>
  <c r="M1829" i="2"/>
  <c r="M1828" i="2"/>
  <c r="M1827" i="2"/>
  <c r="M1621" i="2"/>
  <c r="M252" i="2"/>
  <c r="M255" i="2"/>
  <c r="M256" i="2"/>
  <c r="M1831" i="2"/>
  <c r="M1830" i="2"/>
  <c r="M1622" i="2"/>
  <c r="M1881" i="2"/>
  <c r="M1880" i="2"/>
  <c r="M1879" i="2"/>
  <c r="M1623" i="2"/>
  <c r="M1832" i="2"/>
  <c r="M2207" i="2"/>
  <c r="M2205" i="2"/>
  <c r="M2206" i="2"/>
  <c r="M185" i="2"/>
  <c r="M1884" i="2"/>
  <c r="M1885" i="2"/>
  <c r="M1887" i="2"/>
  <c r="M1883" i="2"/>
  <c r="M1886" i="2"/>
  <c r="M1882" i="2"/>
  <c r="M1835" i="2"/>
  <c r="M1836" i="2"/>
  <c r="M1841" i="2"/>
  <c r="M1834" i="2"/>
  <c r="M1840" i="2"/>
  <c r="M1833" i="2"/>
  <c r="M801" i="2"/>
  <c r="A1838" i="2"/>
  <c r="A2208" i="2"/>
  <c r="A1837" i="2"/>
  <c r="A1839" i="2"/>
  <c r="A1835" i="2"/>
  <c r="A1836" i="2"/>
  <c r="A1841" i="2"/>
  <c r="A1834" i="2"/>
  <c r="A1840" i="2"/>
  <c r="A1833" i="2"/>
  <c r="A1882" i="2"/>
  <c r="A1886" i="2"/>
  <c r="A1883" i="2"/>
  <c r="A1887" i="2"/>
  <c r="A1885" i="2"/>
  <c r="A1884" i="2"/>
  <c r="A70" i="9"/>
  <c r="A69" i="9"/>
  <c r="AB70" i="9"/>
  <c r="AB69" i="9"/>
  <c r="AC70" i="9"/>
  <c r="AC69" i="9"/>
  <c r="A8" i="9"/>
  <c r="AB8" i="9"/>
  <c r="AC8" i="9"/>
  <c r="A10" i="9"/>
  <c r="B124" i="9" s="1" a="1"/>
  <c r="B124" i="9" s="1"/>
  <c r="AB10" i="9"/>
  <c r="AC10" i="9"/>
  <c r="A9" i="9"/>
  <c r="AB9" i="9"/>
  <c r="AC9" i="9"/>
  <c r="A21" i="9"/>
  <c r="AB21" i="9"/>
  <c r="AC21" i="9"/>
  <c r="A30" i="9"/>
  <c r="AB30" i="9"/>
  <c r="AC30" i="9"/>
  <c r="A29" i="9"/>
  <c r="AB29" i="9"/>
  <c r="AC29" i="9"/>
  <c r="A33" i="9"/>
  <c r="AB33" i="9"/>
  <c r="AC33" i="9"/>
  <c r="A37" i="9"/>
  <c r="AB37" i="9"/>
  <c r="AC37" i="9"/>
  <c r="A144" i="9"/>
  <c r="AB144" i="9"/>
  <c r="AC144" i="9"/>
  <c r="A44" i="9"/>
  <c r="AB44" i="9"/>
  <c r="AC44" i="9"/>
  <c r="A50" i="9"/>
  <c r="AB50" i="9"/>
  <c r="AC50" i="9"/>
  <c r="A49" i="9"/>
  <c r="AB49" i="9"/>
  <c r="AC49" i="9"/>
  <c r="A51" i="9"/>
  <c r="AB51" i="9"/>
  <c r="AC51" i="9"/>
  <c r="A53" i="9"/>
  <c r="AB53" i="9"/>
  <c r="AC53" i="9"/>
  <c r="A52" i="9"/>
  <c r="AB52" i="9"/>
  <c r="AC52" i="9"/>
  <c r="A55" i="9"/>
  <c r="AB55" i="9"/>
  <c r="AC55" i="9"/>
  <c r="A54" i="9"/>
  <c r="AB54" i="9"/>
  <c r="AC54" i="9"/>
  <c r="A57" i="9"/>
  <c r="B45" i="9" s="1" a="1"/>
  <c r="B45" i="9" s="1"/>
  <c r="AB57" i="9"/>
  <c r="AC57" i="9"/>
  <c r="A59" i="9"/>
  <c r="AB59" i="9"/>
  <c r="AC59" i="9"/>
  <c r="A62" i="9"/>
  <c r="AB62" i="9"/>
  <c r="AC62" i="9"/>
  <c r="A60" i="9"/>
  <c r="AB60" i="9"/>
  <c r="AC60" i="9"/>
  <c r="A61" i="9"/>
  <c r="AB61" i="9"/>
  <c r="AC61" i="9"/>
  <c r="A63" i="9"/>
  <c r="AB63" i="9"/>
  <c r="AC63" i="9"/>
  <c r="A58" i="9"/>
  <c r="AB58" i="9"/>
  <c r="AC58" i="9"/>
  <c r="A64" i="9"/>
  <c r="AB64" i="9"/>
  <c r="AC64" i="9"/>
  <c r="A65" i="9"/>
  <c r="AB65" i="9"/>
  <c r="AC65" i="9"/>
  <c r="A66" i="9"/>
  <c r="AB66" i="9"/>
  <c r="AC66" i="9"/>
  <c r="A40" i="9"/>
  <c r="B35" i="9" s="1" a="1"/>
  <c r="B35" i="9" s="1"/>
  <c r="AB40" i="9"/>
  <c r="AC40" i="9"/>
  <c r="A56" i="9"/>
  <c r="AB56" i="9"/>
  <c r="AC56" i="9"/>
  <c r="A67" i="9"/>
  <c r="AB67" i="9"/>
  <c r="AC67" i="9"/>
  <c r="A68" i="9"/>
  <c r="AB68" i="9"/>
  <c r="AC68" i="9"/>
  <c r="A1829" i="2"/>
  <c r="A1828" i="2"/>
  <c r="A1827" i="2"/>
  <c r="A1621" i="2"/>
  <c r="A252" i="2"/>
  <c r="A255" i="2"/>
  <c r="A256" i="2"/>
  <c r="A1831" i="2"/>
  <c r="A1830" i="2"/>
  <c r="A1622" i="2"/>
  <c r="A1881" i="2"/>
  <c r="A1880" i="2"/>
  <c r="A1879" i="2"/>
  <c r="A1623" i="2"/>
  <c r="A1832" i="2"/>
  <c r="A2207" i="2"/>
  <c r="A2205" i="2"/>
  <c r="A2206" i="2"/>
  <c r="A185" i="2"/>
  <c r="N51" i="1"/>
  <c r="L51" i="1"/>
  <c r="K51" i="1"/>
  <c r="J51" i="1"/>
  <c r="I51" i="1"/>
  <c r="H51" i="1"/>
  <c r="G51" i="1"/>
  <c r="A51" i="1"/>
  <c r="N53" i="1"/>
  <c r="L53" i="1"/>
  <c r="K53" i="1"/>
  <c r="J53" i="1"/>
  <c r="I53" i="1"/>
  <c r="H53" i="1"/>
  <c r="G53" i="1"/>
  <c r="A53" i="1"/>
  <c r="V22" i="13"/>
  <c r="V21" i="13"/>
  <c r="V20" i="13"/>
  <c r="V19" i="13"/>
  <c r="V18" i="13"/>
  <c r="V17" i="13"/>
  <c r="V16" i="13"/>
  <c r="V15" i="13"/>
  <c r="V14" i="13"/>
  <c r="V13" i="13"/>
  <c r="V12" i="13"/>
  <c r="V11" i="13"/>
  <c r="V10" i="13"/>
  <c r="V9" i="13"/>
  <c r="V8" i="13"/>
  <c r="V7" i="13"/>
  <c r="V6" i="13"/>
  <c r="V5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B36" i="9" l="1" a="1"/>
  <c r="B36" i="9" s="1"/>
  <c r="B145" i="9" a="1"/>
  <c r="B145" i="9" s="1"/>
  <c r="B79" i="9" a="1"/>
  <c r="B79" i="9" s="1"/>
  <c r="B130" i="9" a="1"/>
  <c r="B130" i="9" s="1"/>
  <c r="B133" i="9" a="1"/>
  <c r="B133" i="9" s="1"/>
  <c r="B138" i="9" a="1"/>
  <c r="B138" i="9" s="1"/>
  <c r="B141" i="9" a="1"/>
  <c r="B141" i="9" s="1"/>
  <c r="B137" i="9" a="1"/>
  <c r="B137" i="9" s="1"/>
  <c r="B142" i="9" a="1"/>
  <c r="B142" i="9" s="1"/>
  <c r="B126" i="9" a="1"/>
  <c r="B126" i="9" s="1"/>
  <c r="B131" i="9" a="1"/>
  <c r="B131" i="9" s="1"/>
  <c r="B127" i="9" a="1"/>
  <c r="B127" i="9" s="1"/>
  <c r="B129" i="9" a="1"/>
  <c r="B129" i="9" s="1"/>
  <c r="B139" i="9" a="1"/>
  <c r="B139" i="9" s="1"/>
  <c r="B135" i="9" a="1"/>
  <c r="B135" i="9" s="1"/>
  <c r="B134" i="9" a="1"/>
  <c r="B134" i="9" s="1"/>
  <c r="B132" i="9" a="1"/>
  <c r="B132" i="9" s="1"/>
  <c r="B143" i="9" a="1"/>
  <c r="B143" i="9" s="1"/>
  <c r="B136" i="9" a="1"/>
  <c r="B136" i="9" s="1"/>
  <c r="B140" i="9" a="1"/>
  <c r="B140" i="9" s="1"/>
  <c r="B128" i="9" a="1"/>
  <c r="B128" i="9" s="1"/>
  <c r="B125" i="9" a="1"/>
  <c r="B125" i="9" s="1"/>
  <c r="AF68" i="9"/>
  <c r="AF66" i="9"/>
  <c r="AF59" i="9"/>
  <c r="AF50" i="9"/>
  <c r="AF9" i="9"/>
  <c r="AF73" i="9"/>
  <c r="AF29" i="9"/>
  <c r="AF58" i="9"/>
  <c r="AF55" i="9"/>
  <c r="AF37" i="9"/>
  <c r="AF61" i="9"/>
  <c r="AF53" i="9"/>
  <c r="AF56" i="9"/>
  <c r="AF60" i="9"/>
  <c r="AF51" i="9"/>
  <c r="AF63" i="9"/>
  <c r="AF67" i="9"/>
  <c r="AF30" i="9"/>
  <c r="AF69" i="9"/>
  <c r="AF65" i="9"/>
  <c r="AF57" i="9"/>
  <c r="AF44" i="9"/>
  <c r="AF10" i="9"/>
  <c r="AF70" i="9"/>
  <c r="AF71" i="9"/>
  <c r="AF76" i="9"/>
  <c r="AF52" i="9"/>
  <c r="AF33" i="9"/>
  <c r="AF40" i="9"/>
  <c r="AF62" i="9"/>
  <c r="AF49" i="9"/>
  <c r="AF21" i="9"/>
  <c r="AF74" i="9"/>
  <c r="AF64" i="9"/>
  <c r="AF54" i="9"/>
  <c r="AF144" i="9"/>
  <c r="AF8" i="9"/>
  <c r="AF75" i="9"/>
  <c r="AF72" i="9"/>
  <c r="B115" i="9" a="1"/>
  <c r="B115" i="9" s="1"/>
  <c r="B119" i="9" a="1"/>
  <c r="B119" i="9" s="1"/>
  <c r="B14" i="9" a="1"/>
  <c r="B14" i="9" s="1"/>
  <c r="B16" i="9" a="1"/>
  <c r="B16" i="9" s="1"/>
  <c r="B34" i="9" a="1"/>
  <c r="B34" i="9" s="1"/>
  <c r="B38" i="9" a="1"/>
  <c r="B38" i="9" s="1"/>
  <c r="B17" i="9" a="1"/>
  <c r="B17" i="9" s="1"/>
  <c r="B41" i="9" a="1"/>
  <c r="B41" i="9" s="1"/>
  <c r="B28" i="9" a="1"/>
  <c r="B28" i="9" s="1"/>
  <c r="B18" i="9" a="1"/>
  <c r="B18" i="9" s="1"/>
  <c r="B23" i="9" a="1"/>
  <c r="B23" i="9" s="1"/>
  <c r="B27" i="9" a="1"/>
  <c r="B27" i="9" s="1"/>
  <c r="B26" i="9" a="1"/>
  <c r="B26" i="9" s="1"/>
  <c r="B24" i="9" a="1"/>
  <c r="B24" i="9" s="1"/>
  <c r="B43" i="9" a="1"/>
  <c r="B43" i="9" s="1"/>
  <c r="B42" i="9" a="1"/>
  <c r="B42" i="9" s="1"/>
  <c r="B122" i="9" a="1"/>
  <c r="B122" i="9" s="1"/>
  <c r="B15" i="9" a="1"/>
  <c r="B15" i="9" s="1"/>
  <c r="B11" i="9" a="1"/>
  <c r="B11" i="9" s="1"/>
  <c r="B25" i="9" a="1"/>
  <c r="B25" i="9" s="1"/>
  <c r="B48" i="9" a="1"/>
  <c r="B48" i="9" s="1"/>
  <c r="B20" i="9" a="1"/>
  <c r="B20" i="9" s="1"/>
  <c r="B123" i="9" a="1"/>
  <c r="B123" i="9" s="1"/>
  <c r="B22" i="9" a="1"/>
  <c r="B22" i="9" s="1"/>
  <c r="B19" i="9" a="1"/>
  <c r="B19" i="9" s="1"/>
  <c r="B39" i="9" a="1"/>
  <c r="B39" i="9" s="1"/>
  <c r="B31" i="9" a="1"/>
  <c r="B31" i="9" s="1"/>
  <c r="B47" i="9" a="1"/>
  <c r="B47" i="9" s="1"/>
  <c r="B46" i="9" a="1"/>
  <c r="B46" i="9" s="1"/>
  <c r="B13" i="9" a="1"/>
  <c r="B13" i="9" s="1"/>
  <c r="B32" i="9" a="1"/>
  <c r="B32" i="9" s="1"/>
  <c r="B12" i="9" a="1"/>
  <c r="B12" i="9" s="1"/>
  <c r="B7" i="9" a="1"/>
  <c r="B7" i="9" s="1"/>
  <c r="B5" i="9" a="1"/>
  <c r="B5" i="9" s="1"/>
  <c r="B6" i="9" a="1"/>
  <c r="B6" i="9" s="1"/>
  <c r="B121" i="9" a="1"/>
  <c r="B121" i="9" s="1"/>
  <c r="B120" i="9" a="1"/>
  <c r="B120" i="9" s="1"/>
  <c r="B117" i="9" a="1"/>
  <c r="B117" i="9" s="1"/>
  <c r="B116" i="9" a="1"/>
  <c r="B116" i="9" s="1"/>
  <c r="B118" i="9" a="1"/>
  <c r="B118" i="9" s="1"/>
  <c r="B114" i="9" a="1"/>
  <c r="B114" i="9" s="1"/>
  <c r="B113" i="9" a="1"/>
  <c r="B113" i="9" s="1"/>
  <c r="B111" i="9" a="1"/>
  <c r="B111" i="9" s="1"/>
  <c r="B109" i="9" a="1"/>
  <c r="B109" i="9" s="1"/>
  <c r="B107" i="9" a="1"/>
  <c r="B107" i="9" s="1"/>
  <c r="B110" i="9" a="1"/>
  <c r="B110" i="9" s="1"/>
  <c r="B106" i="9" a="1"/>
  <c r="B106" i="9" s="1"/>
  <c r="B108" i="9" a="1"/>
  <c r="B108" i="9" s="1"/>
  <c r="B105" i="9" a="1"/>
  <c r="B105" i="9" s="1"/>
  <c r="B85" i="9" a="1"/>
  <c r="B85" i="9" s="1"/>
  <c r="B104" i="9" a="1"/>
  <c r="B104" i="9" s="1"/>
  <c r="B112" i="9" a="1"/>
  <c r="B112" i="9" s="1"/>
  <c r="B103" i="9" a="1"/>
  <c r="B103" i="9" s="1"/>
  <c r="B102" i="9" a="1"/>
  <c r="B102" i="9" s="1"/>
  <c r="B95" i="9" a="1"/>
  <c r="B95" i="9" s="1"/>
  <c r="B101" i="9" a="1"/>
  <c r="B101" i="9" s="1"/>
  <c r="B100" i="9" a="1"/>
  <c r="B100" i="9" s="1"/>
  <c r="B99" i="9" a="1"/>
  <c r="B99" i="9" s="1"/>
  <c r="B93" i="9" a="1"/>
  <c r="B93" i="9" s="1"/>
  <c r="B98" i="9" a="1"/>
  <c r="B98" i="9" s="1"/>
  <c r="B77" i="9" a="1"/>
  <c r="B77" i="9" s="1"/>
  <c r="B96" i="9" a="1"/>
  <c r="B96" i="9" s="1"/>
  <c r="B97" i="9" a="1"/>
  <c r="B97" i="9" s="1"/>
  <c r="B92" i="9" a="1"/>
  <c r="B92" i="9" s="1"/>
  <c r="B91" i="9" a="1"/>
  <c r="B91" i="9" s="1"/>
  <c r="B94" i="9" a="1"/>
  <c r="B94" i="9" s="1"/>
  <c r="B87" i="9" a="1"/>
  <c r="B87" i="9" s="1"/>
  <c r="B86" i="9" a="1"/>
  <c r="B86" i="9" s="1"/>
  <c r="B88" i="9" a="1"/>
  <c r="B88" i="9" s="1"/>
  <c r="B89" i="9" a="1"/>
  <c r="B89" i="9" s="1"/>
  <c r="B90" i="9" a="1"/>
  <c r="B90" i="9" s="1"/>
  <c r="B84" i="9" a="1"/>
  <c r="B84" i="9" s="1"/>
  <c r="B83" i="9" a="1"/>
  <c r="B83" i="9" s="1"/>
  <c r="B78" i="9" a="1"/>
  <c r="B78" i="9" s="1"/>
  <c r="B80" i="9" a="1"/>
  <c r="B80" i="9" s="1"/>
  <c r="B82" i="9" a="1"/>
  <c r="B82" i="9" s="1"/>
  <c r="B81" i="9" a="1"/>
  <c r="B81" i="9" s="1"/>
  <c r="B74" i="9" a="1"/>
  <c r="B74" i="9" s="1"/>
  <c r="B76" i="9" a="1"/>
  <c r="B76" i="9" s="1"/>
  <c r="B75" i="9" a="1"/>
  <c r="B75" i="9" s="1"/>
  <c r="B72" i="9" a="1"/>
  <c r="B72" i="9" s="1"/>
  <c r="B71" i="9" a="1"/>
  <c r="B71" i="9" s="1"/>
  <c r="B69" i="9" a="1"/>
  <c r="B69" i="9" s="1"/>
  <c r="B73" i="9" a="1"/>
  <c r="B73" i="9" s="1"/>
  <c r="B70" i="9" a="1"/>
  <c r="B70" i="9" s="1"/>
  <c r="M51" i="1"/>
  <c r="M53" i="1"/>
  <c r="A226" i="2"/>
  <c r="A1620" i="2"/>
  <c r="A1011" i="2"/>
  <c r="A123" i="2"/>
  <c r="A221" i="2"/>
  <c r="A217" i="2"/>
  <c r="A225" i="2"/>
  <c r="A218" i="2"/>
  <c r="A222" i="2"/>
  <c r="A224" i="2"/>
  <c r="A220" i="2"/>
  <c r="A219" i="2"/>
  <c r="A223" i="2"/>
  <c r="A2204" i="2"/>
  <c r="A2478" i="2"/>
  <c r="A2479" i="2"/>
  <c r="A1619" i="2"/>
  <c r="A2480" i="2"/>
  <c r="A2591" i="2"/>
  <c r="A2202" i="2"/>
  <c r="A2203" i="2"/>
  <c r="A142" i="2"/>
  <c r="A141" i="2"/>
  <c r="A135" i="2"/>
  <c r="A140" i="2"/>
  <c r="A139" i="2"/>
  <c r="A138" i="2"/>
  <c r="A137" i="2"/>
  <c r="A136" i="2"/>
  <c r="A122" i="2"/>
  <c r="A121" i="2"/>
  <c r="A116" i="2"/>
  <c r="A120" i="2"/>
  <c r="A119" i="2"/>
  <c r="A118" i="2"/>
  <c r="A117" i="2"/>
  <c r="A184" i="2"/>
  <c r="A183" i="2"/>
  <c r="A1649" i="2"/>
  <c r="A1897" i="2"/>
  <c r="A1895" i="2"/>
  <c r="A1893" i="2"/>
  <c r="A1892" i="2"/>
  <c r="A1891" i="2"/>
  <c r="A1890" i="2"/>
  <c r="A1896" i="2"/>
  <c r="A1894" i="2"/>
  <c r="A1889" i="2"/>
  <c r="A1888" i="2"/>
  <c r="A1631" i="2"/>
  <c r="A1630" i="2"/>
  <c r="A1629" i="2"/>
  <c r="A251" i="2"/>
  <c r="A1825" i="2"/>
  <c r="A254" i="2"/>
  <c r="A1826" i="2"/>
  <c r="A1814" i="2"/>
  <c r="A1824" i="2"/>
  <c r="A1823" i="2"/>
  <c r="A1822" i="2"/>
  <c r="A1821" i="2"/>
  <c r="A1820" i="2"/>
  <c r="A1819" i="2"/>
  <c r="A1818" i="2"/>
  <c r="A146" i="2"/>
  <c r="A145" i="2"/>
  <c r="A144" i="2"/>
  <c r="A143" i="2"/>
  <c r="A1817" i="2"/>
  <c r="A1815" i="2"/>
  <c r="A161" i="2"/>
  <c r="A160" i="2"/>
  <c r="A159" i="2"/>
  <c r="A1648" i="2"/>
  <c r="A158" i="2"/>
  <c r="A157" i="2"/>
  <c r="A115" i="2"/>
  <c r="A114" i="2"/>
  <c r="A113" i="2"/>
  <c r="A112" i="2"/>
  <c r="A111" i="2"/>
  <c r="A1849" i="2"/>
  <c r="A1848" i="2"/>
  <c r="A1847" i="2"/>
  <c r="A134" i="2"/>
  <c r="A110" i="2"/>
  <c r="A1642" i="2"/>
  <c r="A1647" i="2"/>
  <c r="A1646" i="2"/>
  <c r="A1645" i="2"/>
  <c r="A133" i="2"/>
  <c r="A1641" i="2"/>
  <c r="A1650" i="2"/>
  <c r="A1640" i="2"/>
  <c r="A1639" i="2"/>
  <c r="A1638" i="2"/>
  <c r="A1637" i="2"/>
  <c r="A1636" i="2"/>
  <c r="A2155" i="2"/>
  <c r="A1635" i="2"/>
  <c r="A1628" i="2"/>
  <c r="A1634" i="2"/>
  <c r="A2590" i="2"/>
  <c r="A1644" i="2"/>
  <c r="A1633" i="2"/>
  <c r="A1627" i="2"/>
  <c r="A1626" i="2"/>
  <c r="A109" i="2"/>
  <c r="A108" i="2"/>
  <c r="A107" i="2"/>
  <c r="A132" i="2"/>
  <c r="A130" i="2"/>
  <c r="A131" i="2"/>
  <c r="A129" i="2"/>
  <c r="A128" i="2"/>
  <c r="A1793" i="2"/>
  <c r="A1792" i="2"/>
  <c r="A1803" i="2"/>
  <c r="A1810" i="2"/>
  <c r="A171" i="2"/>
  <c r="A1791" i="2"/>
  <c r="A127" i="2"/>
  <c r="A126" i="2"/>
  <c r="A125" i="2"/>
  <c r="A124" i="2"/>
  <c r="A1790" i="2"/>
  <c r="A1789" i="2"/>
  <c r="A1802" i="2"/>
  <c r="A1811" i="2"/>
  <c r="A1801" i="2"/>
  <c r="A1800" i="2"/>
  <c r="A1799" i="2"/>
  <c r="A1788" i="2"/>
  <c r="A2431" i="2"/>
  <c r="A2430" i="2"/>
  <c r="A170" i="2"/>
  <c r="A169" i="2"/>
  <c r="A2409" i="2"/>
  <c r="A106" i="2"/>
  <c r="A105" i="2"/>
  <c r="A101" i="2"/>
  <c r="A104" i="2"/>
  <c r="A103" i="2"/>
  <c r="A102" i="2"/>
  <c r="A168" i="2"/>
  <c r="A167" i="2"/>
  <c r="A163" i="2"/>
  <c r="A166" i="2"/>
  <c r="A165" i="2"/>
  <c r="A164" i="2"/>
  <c r="A1618" i="2"/>
  <c r="A1809" i="2"/>
  <c r="A1808" i="2"/>
  <c r="A1798" i="2"/>
  <c r="A1797" i="2"/>
  <c r="A1807" i="2"/>
  <c r="A1796" i="2"/>
  <c r="A1805" i="2"/>
  <c r="A1804" i="2"/>
  <c r="A1806" i="2"/>
  <c r="A162" i="2"/>
  <c r="A2589" i="2"/>
  <c r="A2588" i="2"/>
  <c r="A2587" i="2"/>
  <c r="A2586" i="2"/>
  <c r="A2585" i="2"/>
  <c r="A2584" i="2"/>
  <c r="A1787" i="2"/>
  <c r="A1617" i="2"/>
  <c r="A1616" i="2"/>
  <c r="A1625" i="2"/>
  <c r="A1794" i="2"/>
  <c r="A1624" i="2"/>
  <c r="A1615" i="2"/>
  <c r="A1609" i="2"/>
  <c r="A156" i="2"/>
  <c r="A155" i="2"/>
  <c r="A1614" i="2"/>
  <c r="A1613" i="2"/>
  <c r="A154" i="2"/>
  <c r="A153" i="2"/>
  <c r="A152" i="2"/>
  <c r="A1611" i="2"/>
  <c r="A2583" i="2"/>
  <c r="A2582" i="2"/>
  <c r="A2581" i="2"/>
  <c r="A2580" i="2"/>
  <c r="A2579" i="2"/>
  <c r="A2576" i="2"/>
  <c r="A1608" i="2"/>
  <c r="A2408" i="2"/>
  <c r="A2407" i="2"/>
  <c r="A2406" i="2"/>
  <c r="A1785" i="2"/>
  <c r="A1784" i="2"/>
  <c r="A1783" i="2"/>
  <c r="A1782" i="2"/>
  <c r="A1781" i="2"/>
  <c r="A1780" i="2"/>
  <c r="A2405" i="2"/>
  <c r="A2404" i="2"/>
  <c r="A2403" i="2"/>
  <c r="A1777" i="2"/>
  <c r="A1776" i="2"/>
  <c r="A1779" i="2"/>
  <c r="A1778" i="2"/>
  <c r="A1775" i="2"/>
  <c r="A250" i="2"/>
  <c r="A249" i="2"/>
  <c r="A248" i="2"/>
  <c r="A247" i="2"/>
  <c r="A1765" i="2"/>
  <c r="A1762" i="2"/>
  <c r="A1764" i="2"/>
  <c r="A1763" i="2"/>
  <c r="A1761" i="2"/>
  <c r="A1760" i="2"/>
  <c r="A1759" i="2"/>
  <c r="A1757" i="2"/>
  <c r="A1758" i="2"/>
  <c r="A1756" i="2"/>
  <c r="A1768" i="2"/>
  <c r="A1755" i="2"/>
  <c r="A1767" i="2"/>
  <c r="A1754" i="2"/>
  <c r="A1753" i="2"/>
  <c r="A1752" i="2"/>
  <c r="A1751" i="2"/>
  <c r="A1750" i="2"/>
  <c r="A1749" i="2"/>
  <c r="A1748" i="2"/>
  <c r="A246" i="2"/>
  <c r="A2236" i="2"/>
  <c r="A2235" i="2"/>
  <c r="A2234" i="2"/>
  <c r="A2233" i="2"/>
  <c r="A2232" i="2"/>
  <c r="A2231" i="2"/>
  <c r="A2230" i="2"/>
  <c r="A2575" i="2"/>
  <c r="A2574" i="2"/>
  <c r="A1747" i="2"/>
  <c r="A2472" i="2"/>
  <c r="A1766" i="2"/>
  <c r="A1746" i="2"/>
  <c r="A295" i="2"/>
  <c r="A182" i="2"/>
  <c r="A2384" i="2"/>
  <c r="A2383" i="2"/>
  <c r="A2382" i="2"/>
  <c r="A2290" i="2"/>
  <c r="A1769" i="2"/>
  <c r="A697" i="2"/>
  <c r="A696" i="2"/>
  <c r="A695" i="2"/>
  <c r="A664" i="2"/>
  <c r="A663" i="2"/>
  <c r="A694" i="2"/>
  <c r="A693" i="2"/>
  <c r="A692" i="2"/>
  <c r="A691" i="2"/>
  <c r="A690" i="2"/>
  <c r="A689" i="2"/>
  <c r="A556" i="2"/>
  <c r="A555" i="2"/>
  <c r="A554" i="2"/>
  <c r="A553" i="2"/>
  <c r="A552" i="2"/>
  <c r="A294" i="2"/>
  <c r="A687" i="2"/>
  <c r="A681" i="2"/>
  <c r="A2573" i="2"/>
  <c r="A2572" i="2"/>
  <c r="A688" i="2"/>
  <c r="A677" i="2"/>
  <c r="A676" i="2"/>
  <c r="A686" i="2"/>
  <c r="A685" i="2"/>
  <c r="A684" i="2"/>
  <c r="A683" i="2"/>
  <c r="A682" i="2"/>
  <c r="A680" i="2"/>
  <c r="A679" i="2"/>
  <c r="A675" i="2"/>
  <c r="A678" i="2"/>
  <c r="A662" i="2"/>
  <c r="A661" i="2"/>
  <c r="A660" i="2"/>
  <c r="A1295" i="2"/>
  <c r="A1294" i="2"/>
  <c r="A1293" i="2"/>
  <c r="A1292" i="2"/>
  <c r="A1291" i="2"/>
  <c r="A1286" i="2"/>
  <c r="A1290" i="2"/>
  <c r="A1289" i="2"/>
  <c r="A1288" i="2"/>
  <c r="A1287" i="2"/>
  <c r="A1285" i="2"/>
  <c r="A1284" i="2"/>
  <c r="A1283" i="2"/>
  <c r="A1729" i="2"/>
  <c r="A1727" i="2"/>
  <c r="A1728" i="2"/>
  <c r="A245" i="2"/>
  <c r="A674" i="2"/>
  <c r="A673" i="2"/>
  <c r="A672" i="2"/>
  <c r="A671" i="2"/>
  <c r="A669" i="2"/>
  <c r="A668" i="2"/>
  <c r="A670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06" i="2"/>
  <c r="A1711" i="2"/>
  <c r="A1710" i="2"/>
  <c r="A1709" i="2"/>
  <c r="A1708" i="2"/>
  <c r="A1707" i="2"/>
  <c r="A100" i="2"/>
  <c r="A99" i="2"/>
  <c r="A94" i="2"/>
  <c r="A98" i="2"/>
  <c r="A97" i="2"/>
  <c r="A96" i="2"/>
  <c r="A95" i="2"/>
  <c r="A796" i="2"/>
  <c r="A800" i="2"/>
  <c r="A799" i="2"/>
  <c r="A798" i="2"/>
  <c r="A797" i="2"/>
  <c r="A795" i="2"/>
  <c r="A794" i="2"/>
  <c r="A793" i="2"/>
  <c r="A792" i="2"/>
  <c r="A1304" i="2"/>
  <c r="A181" i="2"/>
  <c r="A791" i="2"/>
  <c r="A790" i="2"/>
  <c r="A789" i="2"/>
  <c r="A788" i="2"/>
  <c r="A1302" i="2"/>
  <c r="A1303" i="2"/>
  <c r="A2571" i="2"/>
  <c r="A2570" i="2"/>
  <c r="A2569" i="2"/>
  <c r="A2568" i="2"/>
  <c r="A2567" i="2"/>
  <c r="A1301" i="2"/>
  <c r="A1300" i="2"/>
  <c r="A1299" i="2"/>
  <c r="A713" i="2"/>
  <c r="A722" i="2"/>
  <c r="A2565" i="2"/>
  <c r="A720" i="2"/>
  <c r="A721" i="2"/>
  <c r="A1282" i="2"/>
  <c r="A1281" i="2"/>
  <c r="A1280" i="2"/>
  <c r="A1279" i="2"/>
  <c r="A1278" i="2"/>
  <c r="A1277" i="2"/>
  <c r="A712" i="2"/>
  <c r="A719" i="2"/>
  <c r="A718" i="2"/>
  <c r="A1298" i="2"/>
  <c r="A717" i="2"/>
  <c r="A1297" i="2"/>
  <c r="A716" i="2"/>
  <c r="A1296" i="2"/>
  <c r="A715" i="2"/>
  <c r="A714" i="2"/>
  <c r="A435" i="2"/>
  <c r="A434" i="2"/>
  <c r="A433" i="2"/>
  <c r="A773" i="2"/>
  <c r="A772" i="2"/>
  <c r="A771" i="2"/>
  <c r="A2434" i="2"/>
  <c r="A2433" i="2"/>
  <c r="A2429" i="2"/>
  <c r="A2428" i="2"/>
  <c r="A2432" i="2"/>
  <c r="A787" i="2"/>
  <c r="A780" i="2"/>
  <c r="A770" i="2"/>
  <c r="A769" i="2"/>
  <c r="A768" i="2"/>
  <c r="A767" i="2"/>
  <c r="A766" i="2"/>
  <c r="A765" i="2"/>
  <c r="A764" i="2"/>
  <c r="A763" i="2"/>
  <c r="A762" i="2"/>
  <c r="A761" i="2"/>
  <c r="A243" i="2"/>
  <c r="A93" i="2"/>
  <c r="A92" i="2"/>
  <c r="A88" i="2"/>
  <c r="A91" i="2"/>
  <c r="A244" i="2"/>
  <c r="A90" i="2"/>
  <c r="A89" i="2"/>
  <c r="A760" i="2"/>
  <c r="A759" i="2"/>
  <c r="A758" i="2"/>
  <c r="A2564" i="2"/>
  <c r="A1744" i="2"/>
  <c r="A2326" i="2"/>
  <c r="A747" i="2"/>
  <c r="A786" i="2"/>
  <c r="A778" i="2"/>
  <c r="A242" i="2"/>
  <c r="A785" i="2"/>
  <c r="A1742" i="2"/>
  <c r="A755" i="2"/>
  <c r="A777" i="2"/>
  <c r="A784" i="2"/>
  <c r="A753" i="2"/>
  <c r="A1741" i="2"/>
  <c r="A1740" i="2"/>
  <c r="A783" i="2"/>
  <c r="A776" i="2"/>
  <c r="A751" i="2"/>
  <c r="A1745" i="2"/>
  <c r="A782" i="2"/>
  <c r="A775" i="2"/>
  <c r="A750" i="2"/>
  <c r="A757" i="2"/>
  <c r="A756" i="2"/>
  <c r="A754" i="2"/>
  <c r="A752" i="2"/>
  <c r="A749" i="2"/>
  <c r="A748" i="2"/>
  <c r="A1743" i="2"/>
  <c r="A774" i="2"/>
  <c r="A781" i="2"/>
  <c r="A779" i="2"/>
  <c r="A746" i="2"/>
  <c r="A241" i="2"/>
  <c r="A1739" i="2"/>
  <c r="A1738" i="2"/>
  <c r="A1737" i="2"/>
  <c r="A1736" i="2"/>
  <c r="A1735" i="2"/>
  <c r="A1734" i="2"/>
  <c r="A1733" i="2"/>
  <c r="A1732" i="2"/>
  <c r="A1731" i="2"/>
  <c r="A1730" i="2"/>
  <c r="A430" i="2"/>
  <c r="A432" i="2"/>
  <c r="A431" i="2"/>
  <c r="A1276" i="2"/>
  <c r="A1275" i="2"/>
  <c r="A1274" i="2"/>
  <c r="A1273" i="2"/>
  <c r="A2327" i="2"/>
  <c r="A1705" i="2"/>
  <c r="A429" i="2"/>
  <c r="A424" i="2"/>
  <c r="A428" i="2"/>
  <c r="A427" i="2"/>
  <c r="A426" i="2"/>
  <c r="A425" i="2"/>
  <c r="A290" i="2"/>
  <c r="A240" i="2"/>
  <c r="A239" i="2"/>
  <c r="A1563" i="2"/>
  <c r="A1562" i="2"/>
  <c r="A1561" i="2"/>
  <c r="A1560" i="2"/>
  <c r="A1703" i="2"/>
  <c r="A2247" i="2"/>
  <c r="A423" i="2"/>
  <c r="A2246" i="2"/>
  <c r="A422" i="2"/>
  <c r="A1702" i="2"/>
  <c r="A2245" i="2"/>
  <c r="A1701" i="2"/>
  <c r="A1700" i="2"/>
  <c r="A421" i="2"/>
  <c r="A419" i="2"/>
  <c r="A2244" i="2"/>
  <c r="A1699" i="2"/>
  <c r="A418" i="2"/>
  <c r="A1559" i="2"/>
  <c r="A1558" i="2"/>
  <c r="A1557" i="2"/>
  <c r="A1704" i="2"/>
  <c r="A1556" i="2"/>
  <c r="A1555" i="2"/>
  <c r="A1554" i="2"/>
  <c r="A1553" i="2"/>
  <c r="A1552" i="2"/>
  <c r="A2243" i="2"/>
  <c r="A2229" i="2"/>
  <c r="A2297" i="2"/>
  <c r="A2296" i="2"/>
  <c r="A2295" i="2"/>
  <c r="A2242" i="2"/>
  <c r="A2228" i="2"/>
  <c r="A87" i="2"/>
  <c r="A86" i="2"/>
  <c r="A85" i="2"/>
  <c r="A83" i="2"/>
  <c r="A84" i="2"/>
  <c r="A82" i="2"/>
  <c r="A81" i="2"/>
  <c r="A79" i="2"/>
  <c r="A80" i="2"/>
  <c r="A2227" i="2"/>
  <c r="A711" i="2"/>
  <c r="A2226" i="2"/>
  <c r="A2225" i="2"/>
  <c r="A710" i="2"/>
  <c r="A2224" i="2"/>
  <c r="A2223" i="2"/>
  <c r="A709" i="2"/>
  <c r="A2222" i="2"/>
  <c r="A708" i="2"/>
  <c r="A2221" i="2"/>
  <c r="A2241" i="2"/>
  <c r="A2240" i="2"/>
  <c r="A2239" i="2"/>
  <c r="A2238" i="2"/>
  <c r="A2237" i="2"/>
  <c r="A2563" i="2"/>
  <c r="A238" i="2"/>
  <c r="A293" i="2"/>
  <c r="A2435" i="2"/>
  <c r="A2219" i="2"/>
  <c r="A78" i="2"/>
  <c r="A77" i="2"/>
  <c r="A76" i="2"/>
  <c r="A2218" i="2"/>
  <c r="A2217" i="2"/>
  <c r="A2216" i="2"/>
  <c r="A2215" i="2"/>
  <c r="A2214" i="2"/>
  <c r="A1510" i="2"/>
  <c r="A1509" i="2"/>
  <c r="A1508" i="2"/>
  <c r="A1507" i="2"/>
  <c r="A1506" i="2"/>
  <c r="A2176" i="2"/>
  <c r="A1505" i="2"/>
  <c r="A1504" i="2"/>
  <c r="A2199" i="2"/>
  <c r="A707" i="2"/>
  <c r="A706" i="2"/>
  <c r="A2471" i="2"/>
  <c r="A2307" i="2"/>
  <c r="A2306" i="2"/>
  <c r="A2305" i="2"/>
  <c r="A2304" i="2"/>
  <c r="A2303" i="2"/>
  <c r="A180" i="2"/>
  <c r="A2470" i="2"/>
  <c r="A635" i="2"/>
  <c r="A634" i="2"/>
  <c r="A633" i="2"/>
  <c r="A632" i="2"/>
  <c r="A2325" i="2"/>
  <c r="A631" i="2"/>
  <c r="A630" i="2"/>
  <c r="A1697" i="2"/>
  <c r="A617" i="2"/>
  <c r="A2324" i="2"/>
  <c r="A2323" i="2"/>
  <c r="A2322" i="2"/>
  <c r="A2381" i="2"/>
  <c r="A622" i="2"/>
  <c r="A1698" i="2"/>
  <c r="A2469" i="2"/>
  <c r="A625" i="2"/>
  <c r="A624" i="2"/>
  <c r="A619" i="2"/>
  <c r="A618" i="2"/>
  <c r="A629" i="2"/>
  <c r="A628" i="2"/>
  <c r="A627" i="2"/>
  <c r="A623" i="2"/>
  <c r="A621" i="2"/>
  <c r="A620" i="2"/>
  <c r="A626" i="2"/>
  <c r="A616" i="2"/>
  <c r="A615" i="2"/>
  <c r="A614" i="2"/>
  <c r="A2198" i="2"/>
  <c r="A2197" i="2"/>
  <c r="A2196" i="2"/>
  <c r="A2195" i="2"/>
  <c r="A2194" i="2"/>
  <c r="A2193" i="2"/>
  <c r="A2192" i="2"/>
  <c r="A1272" i="2"/>
  <c r="A2562" i="2"/>
  <c r="A2561" i="2"/>
  <c r="A2560" i="2"/>
  <c r="A75" i="2"/>
  <c r="A2559" i="2"/>
  <c r="A2558" i="2"/>
  <c r="A2380" i="2"/>
  <c r="A705" i="2"/>
  <c r="A704" i="2"/>
  <c r="A613" i="2"/>
  <c r="A2200" i="2"/>
  <c r="A2557" i="2"/>
  <c r="A2394" i="2"/>
  <c r="A2302" i="2"/>
  <c r="A74" i="2"/>
  <c r="A2301" i="2"/>
  <c r="A2393" i="2"/>
  <c r="A2300" i="2"/>
  <c r="A2392" i="2"/>
  <c r="A2391" i="2"/>
  <c r="A2390" i="2"/>
  <c r="A2389" i="2"/>
  <c r="A2299" i="2"/>
  <c r="A2388" i="2"/>
  <c r="A2385" i="2"/>
  <c r="A2387" i="2"/>
  <c r="A2386" i="2"/>
  <c r="A2298" i="2"/>
  <c r="A703" i="2"/>
  <c r="A702" i="2"/>
  <c r="A701" i="2"/>
  <c r="A700" i="2"/>
  <c r="A699" i="2"/>
  <c r="A698" i="2"/>
  <c r="A1684" i="2"/>
  <c r="A726" i="2"/>
  <c r="A1330" i="2"/>
  <c r="A745" i="2"/>
  <c r="A725" i="2"/>
  <c r="A609" i="2"/>
  <c r="A611" i="2"/>
  <c r="A610" i="2"/>
  <c r="A744" i="2"/>
  <c r="A743" i="2"/>
  <c r="A742" i="2"/>
  <c r="A2191" i="2"/>
  <c r="A2190" i="2"/>
  <c r="A2189" i="2"/>
  <c r="A2188" i="2"/>
  <c r="A1696" i="2"/>
  <c r="A1678" i="2"/>
  <c r="A1677" i="2"/>
  <c r="A1676" i="2"/>
  <c r="A1675" i="2"/>
  <c r="A1674" i="2"/>
  <c r="A1673" i="2"/>
  <c r="A1672" i="2"/>
  <c r="A1685" i="2"/>
  <c r="A1686" i="2"/>
  <c r="A73" i="2"/>
  <c r="A72" i="2"/>
  <c r="A71" i="2"/>
  <c r="A70" i="2"/>
  <c r="A69" i="2"/>
  <c r="A68" i="2"/>
  <c r="A67" i="2"/>
  <c r="A66" i="2"/>
  <c r="A1695" i="2"/>
  <c r="A1694" i="2"/>
  <c r="A659" i="2"/>
  <c r="A1693" i="2"/>
  <c r="A1692" i="2"/>
  <c r="A1691" i="2"/>
  <c r="A1690" i="2"/>
  <c r="A1689" i="2"/>
  <c r="A1671" i="2"/>
  <c r="A1683" i="2"/>
  <c r="A1687" i="2"/>
  <c r="A1680" i="2"/>
  <c r="A1688" i="2"/>
  <c r="A1682" i="2"/>
  <c r="A1681" i="2"/>
  <c r="A2468" i="2"/>
  <c r="A2321" i="2"/>
  <c r="A1670" i="2"/>
  <c r="A1669" i="2"/>
  <c r="A1667" i="2"/>
  <c r="A1668" i="2"/>
  <c r="A1679" i="2"/>
  <c r="A1666" i="2"/>
  <c r="A1665" i="2"/>
  <c r="A658" i="2"/>
  <c r="A657" i="2"/>
  <c r="A656" i="2"/>
  <c r="A655" i="2"/>
  <c r="A654" i="2"/>
  <c r="A1664" i="2"/>
  <c r="A1661" i="2"/>
  <c r="A1663" i="2"/>
  <c r="A1662" i="2"/>
  <c r="A2467" i="2"/>
  <c r="A1659" i="2"/>
  <c r="A2187" i="2"/>
  <c r="A653" i="2"/>
  <c r="A652" i="2"/>
  <c r="A651" i="2"/>
  <c r="A650" i="2"/>
  <c r="A2466" i="2"/>
  <c r="A1660" i="2"/>
  <c r="A2185" i="2"/>
  <c r="A2186" i="2"/>
  <c r="A2184" i="2"/>
  <c r="A2402" i="2"/>
  <c r="A2400" i="2"/>
  <c r="A2401" i="2"/>
  <c r="A649" i="2"/>
  <c r="A648" i="2"/>
  <c r="A2182" i="2"/>
  <c r="A1658" i="2"/>
  <c r="A1657" i="2"/>
  <c r="A724" i="2"/>
  <c r="A1656" i="2"/>
  <c r="A647" i="2"/>
  <c r="A646" i="2"/>
  <c r="A645" i="2"/>
  <c r="A644" i="2"/>
  <c r="A643" i="2"/>
  <c r="A642" i="2"/>
  <c r="A641" i="2"/>
  <c r="A1655" i="2"/>
  <c r="A723" i="2"/>
  <c r="A2556" i="2"/>
  <c r="A2555" i="2"/>
  <c r="A2554" i="2"/>
  <c r="A2553" i="2"/>
  <c r="A2552" i="2"/>
  <c r="A2551" i="2"/>
  <c r="A2550" i="2"/>
  <c r="A2379" i="2"/>
  <c r="A741" i="2"/>
  <c r="A740" i="2"/>
  <c r="A2465" i="2"/>
  <c r="A640" i="2"/>
  <c r="A1652" i="2"/>
  <c r="A2547" i="2"/>
  <c r="A2549" i="2"/>
  <c r="A2181" i="2"/>
  <c r="A2180" i="2"/>
  <c r="A2179" i="2"/>
  <c r="A2178" i="2"/>
  <c r="A2177" i="2"/>
  <c r="A739" i="2"/>
  <c r="A2464" i="2"/>
  <c r="A639" i="2"/>
  <c r="A2137" i="2"/>
  <c r="A292" i="2"/>
  <c r="A291" i="2"/>
  <c r="A728" i="2"/>
  <c r="A1511" i="2"/>
  <c r="A738" i="2"/>
  <c r="A737" i="2"/>
  <c r="A736" i="2"/>
  <c r="A735" i="2"/>
  <c r="A734" i="2"/>
  <c r="A733" i="2"/>
  <c r="A732" i="2"/>
  <c r="A731" i="2"/>
  <c r="A730" i="2"/>
  <c r="A729" i="2"/>
  <c r="A638" i="2"/>
  <c r="A2546" i="2"/>
  <c r="A2545" i="2"/>
  <c r="A2544" i="2"/>
  <c r="A2543" i="2"/>
  <c r="A2542" i="2"/>
  <c r="A289" i="2"/>
  <c r="A2541" i="2"/>
  <c r="A2378" i="2"/>
  <c r="A1503" i="2"/>
  <c r="A637" i="2"/>
  <c r="A2538" i="2"/>
  <c r="A727" i="2"/>
  <c r="A1502" i="2"/>
  <c r="A1501" i="2"/>
  <c r="A1500" i="2"/>
  <c r="A1491" i="2"/>
  <c r="A1499" i="2"/>
  <c r="A1496" i="2"/>
  <c r="A1494" i="2"/>
  <c r="A1493" i="2"/>
  <c r="A1492" i="2"/>
  <c r="A1497" i="2"/>
  <c r="A1495" i="2"/>
  <c r="A1498" i="2"/>
  <c r="A2377" i="2"/>
  <c r="A1271" i="2"/>
  <c r="A608" i="2"/>
  <c r="A2175" i="2"/>
  <c r="A2174" i="2"/>
  <c r="A2173" i="2"/>
  <c r="A2172" i="2"/>
  <c r="A2151" i="2"/>
  <c r="A2320" i="2"/>
  <c r="A2319" i="2"/>
  <c r="A2318" i="2"/>
  <c r="A2317" i="2"/>
  <c r="A1651" i="2"/>
  <c r="A2376" i="2"/>
  <c r="A2375" i="2"/>
  <c r="A2171" i="2"/>
  <c r="A2170" i="2"/>
  <c r="A2166" i="2"/>
  <c r="A2165" i="2"/>
  <c r="A2147" i="2"/>
  <c r="A2145" i="2"/>
  <c r="A2142" i="2"/>
  <c r="A2150" i="2"/>
  <c r="A2149" i="2"/>
  <c r="A2148" i="2"/>
  <c r="A2146" i="2"/>
  <c r="A2144" i="2"/>
  <c r="A2143" i="2"/>
  <c r="A2169" i="2"/>
  <c r="A2168" i="2"/>
  <c r="A2167" i="2"/>
  <c r="A2164" i="2"/>
  <c r="A2163" i="2"/>
  <c r="A2162" i="2"/>
  <c r="A2161" i="2"/>
  <c r="A2160" i="2"/>
  <c r="A2159" i="2"/>
  <c r="A2157" i="2"/>
  <c r="A2141" i="2"/>
  <c r="A2158" i="2"/>
  <c r="A602" i="2"/>
  <c r="A607" i="2"/>
  <c r="A606" i="2"/>
  <c r="A605" i="2"/>
  <c r="A604" i="2"/>
  <c r="A603" i="2"/>
  <c r="A65" i="2"/>
  <c r="A64" i="2"/>
  <c r="A60" i="2"/>
  <c r="A63" i="2"/>
  <c r="A2374" i="2"/>
  <c r="A62" i="2"/>
  <c r="A61" i="2"/>
  <c r="A601" i="2"/>
  <c r="A600" i="2"/>
  <c r="A599" i="2"/>
  <c r="A598" i="2"/>
  <c r="A597" i="2"/>
  <c r="A590" i="2"/>
  <c r="A287" i="2"/>
  <c r="A596" i="2"/>
  <c r="A595" i="2"/>
  <c r="A594" i="2"/>
  <c r="A593" i="2"/>
  <c r="A592" i="2"/>
  <c r="A591" i="2"/>
  <c r="A2152" i="2"/>
  <c r="A589" i="2"/>
  <c r="A588" i="2"/>
  <c r="A587" i="2"/>
  <c r="A586" i="2"/>
  <c r="A581" i="2"/>
  <c r="A582" i="2"/>
  <c r="A585" i="2"/>
  <c r="A584" i="2"/>
  <c r="A583" i="2"/>
  <c r="A580" i="2"/>
  <c r="A579" i="2"/>
  <c r="A2156" i="2"/>
  <c r="A578" i="2"/>
  <c r="A577" i="2"/>
  <c r="A576" i="2"/>
  <c r="A575" i="2"/>
  <c r="A574" i="2"/>
  <c r="A2537" i="2"/>
  <c r="A2536" i="2"/>
  <c r="A59" i="2"/>
  <c r="A2535" i="2"/>
  <c r="A277" i="2"/>
  <c r="A58" i="2"/>
  <c r="A2534" i="2"/>
  <c r="A2533" i="2"/>
  <c r="A57" i="2"/>
  <c r="A2373" i="2"/>
  <c r="A551" i="2"/>
  <c r="A2139" i="2"/>
  <c r="A2532" i="2"/>
  <c r="A573" i="2"/>
  <c r="A285" i="2"/>
  <c r="A550" i="2"/>
  <c r="A549" i="2"/>
  <c r="A548" i="2"/>
  <c r="A547" i="2"/>
  <c r="A546" i="2"/>
  <c r="A1318" i="2"/>
  <c r="A1317" i="2"/>
  <c r="A1270" i="2"/>
  <c r="A1269" i="2"/>
  <c r="A1316" i="2"/>
  <c r="A2463" i="2"/>
  <c r="A557" i="2"/>
  <c r="A539" i="2"/>
  <c r="A545" i="2"/>
  <c r="A544" i="2"/>
  <c r="A543" i="2"/>
  <c r="A542" i="2"/>
  <c r="A541" i="2"/>
  <c r="A540" i="2"/>
  <c r="A1315" i="2"/>
  <c r="A1314" i="2"/>
  <c r="A1329" i="2"/>
  <c r="A1328" i="2"/>
  <c r="A2462" i="2"/>
  <c r="A1313" i="2"/>
  <c r="A1312" i="2"/>
  <c r="A2461" i="2"/>
  <c r="A1266" i="2"/>
  <c r="A1311" i="2"/>
  <c r="A1327" i="2"/>
  <c r="A2530" i="2"/>
  <c r="A56" i="2"/>
  <c r="A55" i="2"/>
  <c r="A54" i="2"/>
  <c r="A1306" i="2"/>
  <c r="A1310" i="2"/>
  <c r="A1309" i="2"/>
  <c r="A1308" i="2"/>
  <c r="A1307" i="2"/>
  <c r="A1326" i="2"/>
  <c r="A1268" i="2"/>
  <c r="A1267" i="2"/>
  <c r="A151" i="2"/>
  <c r="A150" i="2"/>
  <c r="A147" i="2"/>
  <c r="A149" i="2"/>
  <c r="A148" i="2"/>
  <c r="A1325" i="2"/>
  <c r="A1324" i="2"/>
  <c r="A1323" i="2"/>
  <c r="A1322" i="2"/>
  <c r="A1265" i="2"/>
  <c r="A1321" i="2"/>
  <c r="A1320" i="2"/>
  <c r="A1305" i="2"/>
  <c r="A1319" i="2"/>
  <c r="A1261" i="2"/>
  <c r="A1260" i="2"/>
  <c r="A2460" i="2"/>
  <c r="A1264" i="2"/>
  <c r="A1263" i="2"/>
  <c r="A1262" i="2"/>
  <c r="A1259" i="2"/>
  <c r="A53" i="2"/>
  <c r="A52" i="2"/>
  <c r="A47" i="2"/>
  <c r="A51" i="2"/>
  <c r="A2372" i="2"/>
  <c r="A50" i="2"/>
  <c r="A2529" i="2"/>
  <c r="A49" i="2"/>
  <c r="A48" i="2"/>
  <c r="A2371" i="2"/>
  <c r="A572" i="2"/>
  <c r="A571" i="2"/>
  <c r="A1258" i="2"/>
  <c r="A2459" i="2"/>
  <c r="A2368" i="2"/>
  <c r="A2528" i="2"/>
  <c r="A2527" i="2"/>
  <c r="A2526" i="2"/>
  <c r="A570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2367" i="2"/>
  <c r="A2366" i="2"/>
  <c r="A569" i="2"/>
  <c r="A568" i="2"/>
  <c r="A567" i="2"/>
  <c r="A566" i="2"/>
  <c r="A565" i="2"/>
  <c r="A564" i="2"/>
  <c r="A563" i="2"/>
  <c r="A562" i="2"/>
  <c r="A561" i="2"/>
  <c r="A2316" i="2"/>
  <c r="A2315" i="2"/>
  <c r="A2314" i="2"/>
  <c r="A2313" i="2"/>
  <c r="A560" i="2"/>
  <c r="A179" i="2"/>
  <c r="A559" i="2"/>
  <c r="A284" i="2"/>
  <c r="A558" i="2"/>
  <c r="A538" i="2"/>
  <c r="A537" i="2"/>
  <c r="A536" i="2"/>
  <c r="A535" i="2"/>
  <c r="A532" i="2"/>
  <c r="A534" i="2"/>
  <c r="A521" i="2"/>
  <c r="A1565" i="2"/>
  <c r="A533" i="2"/>
  <c r="A520" i="2"/>
  <c r="A531" i="2"/>
  <c r="A519" i="2"/>
  <c r="A530" i="2"/>
  <c r="A529" i="2"/>
  <c r="A528" i="2"/>
  <c r="A2294" i="2"/>
  <c r="A2293" i="2"/>
  <c r="A1595" i="2"/>
  <c r="A1594" i="2"/>
  <c r="A1587" i="2"/>
  <c r="A1593" i="2"/>
  <c r="A1592" i="2"/>
  <c r="A1591" i="2"/>
  <c r="A1590" i="2"/>
  <c r="A1589" i="2"/>
  <c r="A1588" i="2"/>
  <c r="A46" i="2"/>
  <c r="A45" i="2"/>
  <c r="A42" i="2"/>
  <c r="A44" i="2"/>
  <c r="A43" i="2"/>
  <c r="A527" i="2"/>
  <c r="A1564" i="2"/>
  <c r="A522" i="2"/>
  <c r="A518" i="2"/>
  <c r="A517" i="2"/>
  <c r="A523" i="2"/>
  <c r="A525" i="2"/>
  <c r="A282" i="2"/>
  <c r="A526" i="2"/>
  <c r="A524" i="2"/>
  <c r="A1551" i="2"/>
  <c r="A666" i="2"/>
  <c r="A41" i="2"/>
  <c r="A40" i="2"/>
  <c r="A39" i="2"/>
  <c r="A1550" i="2"/>
  <c r="A1549" i="2"/>
  <c r="A1548" i="2"/>
  <c r="A515" i="2"/>
  <c r="A513" i="2"/>
  <c r="A516" i="2"/>
  <c r="A1597" i="2"/>
  <c r="A1586" i="2"/>
  <c r="A1585" i="2"/>
  <c r="A1584" i="2"/>
  <c r="A1600" i="2"/>
  <c r="A1599" i="2"/>
  <c r="A1598" i="2"/>
  <c r="A665" i="2"/>
  <c r="A1583" i="2"/>
  <c r="A1582" i="2"/>
  <c r="A512" i="2"/>
  <c r="A2458" i="2"/>
  <c r="A1581" i="2"/>
  <c r="A1580" i="2"/>
  <c r="A1579" i="2"/>
  <c r="A1578" i="2"/>
  <c r="A1577" i="2"/>
  <c r="A1575" i="2"/>
  <c r="A1576" i="2"/>
  <c r="A1596" i="2"/>
  <c r="A1602" i="2"/>
  <c r="A1569" i="2"/>
  <c r="A1570" i="2"/>
  <c r="A1568" i="2"/>
  <c r="A1606" i="2"/>
  <c r="A1605" i="2"/>
  <c r="A1604" i="2"/>
  <c r="A1603" i="2"/>
  <c r="A1574" i="2"/>
  <c r="A1573" i="2"/>
  <c r="A1572" i="2"/>
  <c r="A1571" i="2"/>
  <c r="A1567" i="2"/>
  <c r="A1566" i="2"/>
  <c r="A1601" i="2"/>
  <c r="A1525" i="2"/>
  <c r="A1524" i="2"/>
  <c r="A1523" i="2"/>
  <c r="A1522" i="2"/>
  <c r="A2525" i="2"/>
  <c r="A1547" i="2"/>
  <c r="A1546" i="2"/>
  <c r="A1545" i="2"/>
  <c r="A1544" i="2"/>
  <c r="A1543" i="2"/>
  <c r="A1517" i="2"/>
  <c r="A2524" i="2"/>
  <c r="A2523" i="2"/>
  <c r="A2522" i="2"/>
  <c r="A2521" i="2"/>
  <c r="A2520" i="2"/>
  <c r="A2365" i="2"/>
  <c r="A1521" i="2"/>
  <c r="A1520" i="2"/>
  <c r="A1519" i="2"/>
  <c r="A1518" i="2"/>
  <c r="A2364" i="2"/>
  <c r="A178" i="2"/>
  <c r="A1516" i="2"/>
  <c r="A1515" i="2"/>
  <c r="A1514" i="2"/>
  <c r="A1513" i="2"/>
  <c r="A1512" i="2"/>
  <c r="A1490" i="2"/>
  <c r="A177" i="2"/>
  <c r="A38" i="2"/>
  <c r="A37" i="2"/>
  <c r="A36" i="2"/>
  <c r="A35" i="2"/>
  <c r="A34" i="2"/>
  <c r="A2292" i="2"/>
  <c r="A33" i="2"/>
  <c r="A2363" i="2"/>
  <c r="A32" i="2"/>
  <c r="A2291" i="2"/>
  <c r="A31" i="2"/>
  <c r="A2132" i="2"/>
  <c r="A2136" i="2"/>
  <c r="A2135" i="2"/>
  <c r="A2134" i="2"/>
  <c r="A2133" i="2"/>
  <c r="A2131" i="2"/>
  <c r="A2130" i="2"/>
  <c r="A1401" i="2"/>
  <c r="A1400" i="2"/>
  <c r="A2129" i="2"/>
  <c r="A2128" i="2"/>
  <c r="A30" i="2"/>
  <c r="A29" i="2"/>
  <c r="A28" i="2"/>
  <c r="A2362" i="2"/>
  <c r="A27" i="2"/>
  <c r="A26" i="2"/>
  <c r="A25" i="2"/>
  <c r="A1245" i="2"/>
  <c r="A975" i="2"/>
  <c r="A1233" i="2"/>
  <c r="A23" i="2"/>
  <c r="A24" i="2"/>
  <c r="A2361" i="2"/>
  <c r="A973" i="2"/>
  <c r="A974" i="2"/>
  <c r="A1539" i="2"/>
  <c r="A1538" i="2"/>
  <c r="A1537" i="2"/>
  <c r="A1536" i="2"/>
  <c r="A1535" i="2"/>
  <c r="A1534" i="2"/>
  <c r="A972" i="2"/>
  <c r="A971" i="2"/>
  <c r="A970" i="2"/>
  <c r="A969" i="2"/>
  <c r="A22" i="2"/>
  <c r="A21" i="2"/>
  <c r="A20" i="2"/>
  <c r="A19" i="2"/>
  <c r="A968" i="2"/>
  <c r="A967" i="2"/>
  <c r="A966" i="2"/>
  <c r="A965" i="2"/>
  <c r="A2457" i="2"/>
  <c r="A964" i="2"/>
  <c r="A977" i="2"/>
  <c r="A2439" i="2"/>
  <c r="A2438" i="2"/>
  <c r="A2437" i="2"/>
  <c r="A2436" i="2"/>
  <c r="A963" i="2"/>
  <c r="A962" i="2"/>
  <c r="A961" i="2"/>
  <c r="A960" i="2"/>
  <c r="A959" i="2"/>
  <c r="A958" i="2"/>
  <c r="A1533" i="2"/>
  <c r="A1532" i="2"/>
  <c r="A1531" i="2"/>
  <c r="A1530" i="2"/>
  <c r="A1529" i="2"/>
  <c r="A1528" i="2"/>
  <c r="A2360" i="2"/>
  <c r="A2359" i="2"/>
  <c r="A2519" i="2"/>
  <c r="A2358" i="2"/>
  <c r="A956" i="2"/>
  <c r="A955" i="2"/>
  <c r="A953" i="2"/>
  <c r="A957" i="2"/>
  <c r="A1527" i="2"/>
  <c r="A1526" i="2"/>
  <c r="A1542" i="2"/>
  <c r="A2456" i="2"/>
  <c r="A1185" i="2"/>
  <c r="A954" i="2"/>
  <c r="A976" i="2"/>
  <c r="A2089" i="2"/>
  <c r="A2357" i="2"/>
  <c r="A1244" i="2"/>
  <c r="A1541" i="2"/>
  <c r="A1540" i="2"/>
  <c r="A1399" i="2"/>
  <c r="A1398" i="2"/>
  <c r="A1397" i="2"/>
  <c r="A1242" i="2"/>
  <c r="A2356" i="2"/>
  <c r="A2355" i="2"/>
  <c r="A1243" i="2"/>
  <c r="A2353" i="2"/>
  <c r="A2420" i="2"/>
  <c r="A18" i="2"/>
  <c r="A2419" i="2"/>
  <c r="A1239" i="2"/>
  <c r="A1238" i="2"/>
  <c r="A1396" i="2"/>
  <c r="A1395" i="2"/>
  <c r="A1241" i="2"/>
  <c r="A1240" i="2"/>
  <c r="A1237" i="2"/>
  <c r="A1236" i="2"/>
  <c r="A1235" i="2"/>
  <c r="A2352" i="2"/>
  <c r="A1228" i="2"/>
  <c r="A1229" i="2"/>
  <c r="A1232" i="2"/>
  <c r="A1231" i="2"/>
  <c r="A1227" i="2"/>
  <c r="A1226" i="2"/>
  <c r="A1225" i="2"/>
  <c r="A1230" i="2"/>
  <c r="A1388" i="2"/>
  <c r="A1391" i="2"/>
  <c r="A1390" i="2"/>
  <c r="A1389" i="2"/>
  <c r="A174" i="2"/>
  <c r="A173" i="2"/>
  <c r="A172" i="2"/>
  <c r="A2455" i="2"/>
  <c r="A2454" i="2"/>
  <c r="A1224" i="2"/>
  <c r="A1404" i="2"/>
  <c r="A1223" i="2"/>
  <c r="A1403" i="2"/>
  <c r="A1222" i="2"/>
  <c r="A1221" i="2"/>
  <c r="A1402" i="2"/>
  <c r="A1382" i="2"/>
  <c r="A1387" i="2"/>
  <c r="A1386" i="2"/>
  <c r="A1385" i="2"/>
  <c r="A1384" i="2"/>
  <c r="A1220" i="2"/>
  <c r="A1219" i="2"/>
  <c r="A1405" i="2"/>
  <c r="A1394" i="2"/>
  <c r="A190" i="2"/>
  <c r="A189" i="2"/>
  <c r="A186" i="2"/>
  <c r="A188" i="2"/>
  <c r="A187" i="2"/>
  <c r="A175" i="2"/>
  <c r="A1381" i="2"/>
  <c r="A1380" i="2"/>
  <c r="A1218" i="2"/>
  <c r="A1217" i="2"/>
  <c r="A2518" i="2"/>
  <c r="A2517" i="2"/>
  <c r="A2516" i="2"/>
  <c r="A2515" i="2"/>
  <c r="A2514" i="2"/>
  <c r="A2351" i="2"/>
  <c r="A2350" i="2"/>
  <c r="A2349" i="2"/>
  <c r="A1234" i="2"/>
  <c r="A276" i="2"/>
  <c r="A275" i="2"/>
  <c r="A1379" i="2"/>
  <c r="A1378" i="2"/>
  <c r="A1377" i="2"/>
  <c r="A1376" i="2"/>
  <c r="A1375" i="2"/>
  <c r="A1374" i="2"/>
  <c r="A1373" i="2"/>
  <c r="A1372" i="2"/>
  <c r="A1371" i="2"/>
  <c r="A2453" i="2"/>
  <c r="A2452" i="2"/>
  <c r="A2451" i="2"/>
  <c r="A2399" i="2"/>
  <c r="A2473" i="2"/>
  <c r="A2398" i="2"/>
  <c r="A353" i="2"/>
  <c r="A352" i="2"/>
  <c r="A351" i="2"/>
  <c r="A1479" i="2"/>
  <c r="A350" i="2"/>
  <c r="A2348" i="2"/>
  <c r="A1478" i="2"/>
  <c r="A1477" i="2"/>
  <c r="A1476" i="2"/>
  <c r="A1475" i="2"/>
  <c r="A1450" i="2"/>
  <c r="A1474" i="2"/>
  <c r="A1473" i="2"/>
  <c r="A1451" i="2"/>
  <c r="A2513" i="2"/>
  <c r="A2512" i="2"/>
  <c r="A2511" i="2"/>
  <c r="A2510" i="2"/>
  <c r="A2509" i="2"/>
  <c r="A2508" i="2"/>
  <c r="A1471" i="2"/>
  <c r="A1469" i="2"/>
  <c r="A1472" i="2"/>
  <c r="A1470" i="2"/>
  <c r="A1468" i="2"/>
  <c r="A1449" i="2"/>
  <c r="A1467" i="2"/>
  <c r="A2345" i="2"/>
  <c r="A1392" i="2"/>
  <c r="A1466" i="2"/>
  <c r="A1465" i="2"/>
  <c r="A1463" i="2"/>
  <c r="A1460" i="2"/>
  <c r="A1464" i="2"/>
  <c r="A1462" i="2"/>
  <c r="A1461" i="2"/>
  <c r="A1459" i="2"/>
  <c r="A1448" i="2"/>
  <c r="A1458" i="2"/>
  <c r="A1457" i="2"/>
  <c r="A1456" i="2"/>
  <c r="A1455" i="2"/>
  <c r="A1453" i="2"/>
  <c r="A1441" i="2"/>
  <c r="A1454" i="2"/>
  <c r="A1447" i="2"/>
  <c r="A1446" i="2"/>
  <c r="A1442" i="2"/>
  <c r="A1445" i="2"/>
  <c r="A1444" i="2"/>
  <c r="A1443" i="2"/>
  <c r="A197" i="2"/>
  <c r="A196" i="2"/>
  <c r="A191" i="2"/>
  <c r="A195" i="2"/>
  <c r="A194" i="2"/>
  <c r="A193" i="2"/>
  <c r="A192" i="2"/>
  <c r="A1452" i="2"/>
  <c r="A2344" i="2"/>
  <c r="A1440" i="2"/>
  <c r="A1439" i="2"/>
  <c r="A1438" i="2"/>
  <c r="A1437" i="2"/>
  <c r="A1436" i="2"/>
  <c r="A1370" i="2"/>
  <c r="A1354" i="2"/>
  <c r="A1429" i="2"/>
  <c r="A1435" i="2"/>
  <c r="A1434" i="2"/>
  <c r="A1433" i="2"/>
  <c r="A1432" i="2"/>
  <c r="A1431" i="2"/>
  <c r="A1428" i="2"/>
  <c r="A1353" i="2"/>
  <c r="A1352" i="2"/>
  <c r="A1351" i="2"/>
  <c r="A280" i="2"/>
  <c r="A1427" i="2"/>
  <c r="A1426" i="2"/>
  <c r="A1425" i="2"/>
  <c r="A1423" i="2"/>
  <c r="A2343" i="2"/>
  <c r="A274" i="2"/>
  <c r="A273" i="2"/>
  <c r="A1422" i="2"/>
  <c r="A1421" i="2"/>
  <c r="A1420" i="2"/>
  <c r="A1350" i="2"/>
  <c r="A1349" i="2"/>
  <c r="A1348" i="2"/>
  <c r="A1347" i="2"/>
  <c r="A1346" i="2"/>
  <c r="A1345" i="2"/>
  <c r="A1424" i="2"/>
  <c r="A1344" i="2"/>
  <c r="A1343" i="2"/>
  <c r="A1342" i="2"/>
  <c r="A1337" i="2"/>
  <c r="A1336" i="2"/>
  <c r="A1419" i="2"/>
  <c r="A1418" i="2"/>
  <c r="A1341" i="2"/>
  <c r="A1339" i="2"/>
  <c r="A1338" i="2"/>
  <c r="A1340" i="2"/>
  <c r="A1417" i="2"/>
  <c r="A1415" i="2"/>
  <c r="A1414" i="2"/>
  <c r="A2127" i="2"/>
  <c r="A1416" i="2"/>
  <c r="A1367" i="2"/>
  <c r="A1369" i="2"/>
  <c r="A1368" i="2"/>
  <c r="A2124" i="2"/>
  <c r="A2122" i="2"/>
  <c r="A2126" i="2"/>
  <c r="A2125" i="2"/>
  <c r="A2121" i="2"/>
  <c r="A2123" i="2"/>
  <c r="A1365" i="2"/>
  <c r="A1366" i="2"/>
  <c r="A1216" i="2"/>
  <c r="A416" i="2"/>
  <c r="A2342" i="2"/>
  <c r="A1413" i="2"/>
  <c r="A1412" i="2"/>
  <c r="A1360" i="2"/>
  <c r="A1411" i="2"/>
  <c r="A1359" i="2"/>
  <c r="A1489" i="2"/>
  <c r="A1487" i="2"/>
  <c r="A1410" i="2"/>
  <c r="A2341" i="2"/>
  <c r="A1409" i="2"/>
  <c r="A1364" i="2"/>
  <c r="A1363" i="2"/>
  <c r="A1362" i="2"/>
  <c r="A1361" i="2"/>
  <c r="A1358" i="2"/>
  <c r="A1357" i="2"/>
  <c r="A1356" i="2"/>
  <c r="A1407" i="2"/>
  <c r="A1355" i="2"/>
  <c r="A1406" i="2"/>
  <c r="A1488" i="2"/>
  <c r="A1486" i="2"/>
  <c r="A2120" i="2"/>
  <c r="A347" i="2"/>
  <c r="A349" i="2"/>
  <c r="A348" i="2"/>
  <c r="A346" i="2"/>
  <c r="A1485" i="2"/>
  <c r="A1484" i="2"/>
  <c r="A1483" i="2"/>
  <c r="A1482" i="2"/>
  <c r="A1481" i="2"/>
  <c r="A1480" i="2"/>
  <c r="A345" i="2"/>
  <c r="A2340" i="2"/>
  <c r="A2118" i="2"/>
  <c r="A2116" i="2"/>
  <c r="A2119" i="2"/>
  <c r="A2117" i="2"/>
  <c r="A1184" i="2"/>
  <c r="A415" i="2"/>
  <c r="A414" i="2"/>
  <c r="A1215" i="2"/>
  <c r="A272" i="2"/>
  <c r="A271" i="2"/>
  <c r="A270" i="2"/>
  <c r="A1214" i="2"/>
  <c r="A1213" i="2"/>
  <c r="A1210" i="2"/>
  <c r="A1212" i="2"/>
  <c r="A1211" i="2"/>
  <c r="A2418" i="2"/>
  <c r="A344" i="2"/>
  <c r="A343" i="2"/>
  <c r="A2416" i="2"/>
  <c r="A2417" i="2"/>
  <c r="A342" i="2"/>
  <c r="A341" i="2"/>
  <c r="A340" i="2"/>
  <c r="A339" i="2"/>
  <c r="A338" i="2"/>
  <c r="A407" i="2"/>
  <c r="A269" i="2"/>
  <c r="A268" i="2"/>
  <c r="A413" i="2"/>
  <c r="A412" i="2"/>
  <c r="A411" i="2"/>
  <c r="A410" i="2"/>
  <c r="A409" i="2"/>
  <c r="A408" i="2"/>
  <c r="A337" i="2"/>
  <c r="A1209" i="2"/>
  <c r="A1208" i="2"/>
  <c r="A2115" i="2"/>
  <c r="A1206" i="2"/>
  <c r="A1205" i="2"/>
  <c r="A406" i="2"/>
  <c r="A405" i="2"/>
  <c r="A403" i="2"/>
  <c r="A336" i="2"/>
  <c r="A335" i="2"/>
  <c r="A1207" i="2"/>
  <c r="A404" i="2"/>
  <c r="A266" i="2"/>
  <c r="A267" i="2"/>
  <c r="A1204" i="2"/>
  <c r="A1203" i="2"/>
  <c r="A330" i="2"/>
  <c r="A334" i="2"/>
  <c r="A333" i="2"/>
  <c r="A332" i="2"/>
  <c r="A331" i="2"/>
  <c r="A2339" i="2"/>
  <c r="A2338" i="2"/>
  <c r="A402" i="2"/>
  <c r="A2288" i="2"/>
  <c r="A2108" i="2"/>
  <c r="A1202" i="2"/>
  <c r="A1201" i="2"/>
  <c r="A1200" i="2"/>
  <c r="A1199" i="2"/>
  <c r="A1197" i="2"/>
  <c r="A1196" i="2"/>
  <c r="A2109" i="2"/>
  <c r="A417" i="2"/>
  <c r="A325" i="2"/>
  <c r="A2112" i="2"/>
  <c r="A324" i="2"/>
  <c r="A1198" i="2"/>
  <c r="A401" i="2"/>
  <c r="A323" i="2"/>
  <c r="A329" i="2"/>
  <c r="A328" i="2"/>
  <c r="A327" i="2"/>
  <c r="A326" i="2"/>
  <c r="A322" i="2"/>
  <c r="A321" i="2"/>
  <c r="A2114" i="2"/>
  <c r="A2113" i="2"/>
  <c r="A2110" i="2"/>
  <c r="A2111" i="2"/>
  <c r="A2107" i="2"/>
  <c r="A317" i="2"/>
  <c r="A320" i="2"/>
  <c r="A319" i="2"/>
  <c r="A318" i="2"/>
  <c r="A316" i="2"/>
  <c r="A2106" i="2"/>
  <c r="A2337" i="2"/>
  <c r="A2105" i="2"/>
  <c r="A2104" i="2"/>
  <c r="A2103" i="2"/>
  <c r="A2102" i="2"/>
  <c r="A2101" i="2"/>
  <c r="A2100" i="2"/>
  <c r="A2099" i="2"/>
  <c r="A2098" i="2"/>
  <c r="A265" i="2"/>
  <c r="A315" i="2"/>
  <c r="A2287" i="2"/>
  <c r="A2286" i="2"/>
  <c r="A2285" i="2"/>
  <c r="A2284" i="2"/>
  <c r="A2280" i="2"/>
  <c r="A2283" i="2"/>
  <c r="A2282" i="2"/>
  <c r="A2281" i="2"/>
  <c r="A264" i="2"/>
  <c r="A313" i="2"/>
  <c r="A312" i="2"/>
  <c r="A314" i="2"/>
  <c r="A311" i="2"/>
  <c r="A399" i="2"/>
  <c r="A1195" i="2"/>
  <c r="A400" i="2"/>
  <c r="A310" i="2"/>
  <c r="A309" i="2"/>
  <c r="A374" i="2"/>
  <c r="A2279" i="2"/>
  <c r="A2097" i="2"/>
  <c r="A1194" i="2"/>
  <c r="A2336" i="2"/>
  <c r="A307" i="2"/>
  <c r="A2096" i="2"/>
  <c r="A1335" i="2"/>
  <c r="A263" i="2"/>
  <c r="A305" i="2"/>
  <c r="A1334" i="2"/>
  <c r="A304" i="2"/>
  <c r="A2095" i="2"/>
  <c r="A1333" i="2"/>
  <c r="A303" i="2"/>
  <c r="A1332" i="2"/>
  <c r="A2334" i="2"/>
  <c r="A2333" i="2"/>
  <c r="A2335" i="2"/>
  <c r="A302" i="2"/>
  <c r="A1192" i="2"/>
  <c r="A373" i="2"/>
  <c r="A308" i="2"/>
  <c r="A306" i="2"/>
  <c r="A398" i="2"/>
  <c r="A1193" i="2"/>
  <c r="A397" i="2"/>
  <c r="A2093" i="2"/>
  <c r="A299" i="2"/>
  <c r="A301" i="2"/>
  <c r="A1331" i="2"/>
  <c r="A298" i="2"/>
  <c r="A297" i="2"/>
  <c r="A296" i="2"/>
  <c r="A2450" i="2"/>
  <c r="A2507" i="2"/>
  <c r="A1191" i="2"/>
  <c r="A1190" i="2"/>
  <c r="A1189" i="2"/>
  <c r="A2278" i="2"/>
  <c r="A2277" i="2"/>
  <c r="A2276" i="2"/>
  <c r="A2275" i="2"/>
  <c r="A2274" i="2"/>
  <c r="A2273" i="2"/>
  <c r="A2475" i="2"/>
  <c r="A396" i="2"/>
  <c r="A395" i="2"/>
  <c r="A1037" i="2"/>
  <c r="A394" i="2"/>
  <c r="A1036" i="2"/>
  <c r="A393" i="2"/>
  <c r="A392" i="2"/>
  <c r="A262" i="2"/>
  <c r="A261" i="2"/>
  <c r="A1186" i="2"/>
  <c r="A367" i="2"/>
  <c r="A372" i="2"/>
  <c r="A371" i="2"/>
  <c r="A370" i="2"/>
  <c r="A369" i="2"/>
  <c r="A368" i="2"/>
  <c r="A260" i="2"/>
  <c r="A259" i="2"/>
  <c r="A2415" i="2"/>
  <c r="A2414" i="2"/>
  <c r="A2413" i="2"/>
  <c r="A2427" i="2"/>
  <c r="A366" i="2"/>
  <c r="A365" i="2"/>
  <c r="A363" i="2"/>
  <c r="A364" i="2"/>
  <c r="A1183" i="2"/>
  <c r="A362" i="2"/>
  <c r="A361" i="2"/>
  <c r="A360" i="2"/>
  <c r="A359" i="2"/>
  <c r="A358" i="2"/>
  <c r="A357" i="2"/>
  <c r="A356" i="2"/>
  <c r="A355" i="2"/>
  <c r="A354" i="2"/>
  <c r="A2310" i="2"/>
  <c r="A2312" i="2"/>
  <c r="A2311" i="2"/>
  <c r="A1106" i="2"/>
  <c r="A1105" i="2"/>
  <c r="A2426" i="2"/>
  <c r="A2425" i="2"/>
  <c r="A1073" i="2"/>
  <c r="A1072" i="2"/>
  <c r="A1104" i="2"/>
  <c r="A1035" i="2"/>
  <c r="A1071" i="2"/>
  <c r="A1070" i="2"/>
  <c r="A1182" i="2"/>
  <c r="A1181" i="2"/>
  <c r="A1180" i="2"/>
  <c r="A1179" i="2"/>
  <c r="A2449" i="2"/>
  <c r="A2448" i="2"/>
  <c r="A2447" i="2"/>
  <c r="A1034" i="2"/>
  <c r="A1033" i="2"/>
  <c r="A1032" i="2"/>
  <c r="A1007" i="2"/>
  <c r="A1006" i="2"/>
  <c r="A1005" i="2"/>
  <c r="A1004" i="2"/>
  <c r="A1031" i="2"/>
  <c r="A1003" i="2"/>
  <c r="A1174" i="2"/>
  <c r="A1178" i="2"/>
  <c r="A1177" i="2"/>
  <c r="A1175" i="2"/>
  <c r="A1176" i="2"/>
  <c r="A279" i="2"/>
  <c r="A2446" i="2"/>
  <c r="A1173" i="2"/>
  <c r="A2309" i="2"/>
  <c r="A2308" i="2"/>
  <c r="A1069" i="2"/>
  <c r="A2272" i="2"/>
  <c r="A2271" i="2"/>
  <c r="A1172" i="2"/>
  <c r="A1171" i="2"/>
  <c r="A1170" i="2"/>
  <c r="A1134" i="2"/>
  <c r="A1133" i="2"/>
  <c r="A1132" i="2"/>
  <c r="A278" i="2"/>
  <c r="A1168" i="2"/>
  <c r="A1169" i="2"/>
  <c r="A2445" i="2"/>
  <c r="A2270" i="2"/>
  <c r="A2269" i="2"/>
  <c r="A2266" i="2"/>
  <c r="A2268" i="2"/>
  <c r="A2412" i="2"/>
  <c r="A2267" i="2"/>
  <c r="A1131" i="2"/>
  <c r="A1130" i="2"/>
  <c r="A1129" i="2"/>
  <c r="A1165" i="2"/>
  <c r="A1167" i="2"/>
  <c r="A1166" i="2"/>
  <c r="A1128" i="2"/>
  <c r="A1127" i="2"/>
  <c r="A1126" i="2"/>
  <c r="A1125" i="2"/>
  <c r="A1002" i="2"/>
  <c r="A1164" i="2"/>
  <c r="A1163" i="2"/>
  <c r="A2411" i="2"/>
  <c r="A1068" i="2"/>
  <c r="A2332" i="2"/>
  <c r="A2331" i="2"/>
  <c r="A1162" i="2"/>
  <c r="A1161" i="2"/>
  <c r="A1160" i="2"/>
  <c r="A1159" i="2"/>
  <c r="A1158" i="2"/>
  <c r="A1067" i="2"/>
  <c r="A1088" i="2"/>
  <c r="A2265" i="2"/>
  <c r="A17" i="2"/>
  <c r="A16" i="2"/>
  <c r="A1157" i="2"/>
  <c r="A1066" i="2"/>
  <c r="A1065" i="2"/>
  <c r="A1103" i="2"/>
  <c r="A1087" i="2"/>
  <c r="A1064" i="2"/>
  <c r="A2264" i="2"/>
  <c r="A2444" i="2"/>
  <c r="A2263" i="2"/>
  <c r="A1063" i="2"/>
  <c r="A1124" i="2"/>
  <c r="A923" i="2"/>
  <c r="A922" i="2"/>
  <c r="A921" i="2"/>
  <c r="A920" i="2"/>
  <c r="A1123" i="2"/>
  <c r="A1156" i="2"/>
  <c r="A1122" i="2"/>
  <c r="A1074" i="2"/>
  <c r="A1061" i="2"/>
  <c r="A1062" i="2"/>
  <c r="A1086" i="2"/>
  <c r="A1096" i="2"/>
  <c r="A1085" i="2"/>
  <c r="A1060" i="2"/>
  <c r="A1102" i="2"/>
  <c r="A1059" i="2"/>
  <c r="A1101" i="2"/>
  <c r="A1084" i="2"/>
  <c r="A1083" i="2"/>
  <c r="A1100" i="2"/>
  <c r="A1058" i="2"/>
  <c r="A1082" i="2"/>
  <c r="A1057" i="2"/>
  <c r="A1099" i="2"/>
  <c r="A1056" i="2"/>
  <c r="A1098" i="2"/>
  <c r="A1081" i="2"/>
  <c r="A1080" i="2"/>
  <c r="A1097" i="2"/>
  <c r="A1055" i="2"/>
  <c r="A1095" i="2"/>
  <c r="A1054" i="2"/>
  <c r="A2262" i="2"/>
  <c r="A2261" i="2"/>
  <c r="A2260" i="2"/>
  <c r="A2259" i="2"/>
  <c r="A2258" i="2"/>
  <c r="A2257" i="2"/>
  <c r="A2256" i="2"/>
  <c r="A1121" i="2"/>
  <c r="A1155" i="2"/>
  <c r="A15" i="2"/>
  <c r="A1154" i="2"/>
  <c r="A1120" i="2"/>
  <c r="A14" i="2"/>
  <c r="A13" i="2"/>
  <c r="A12" i="2"/>
  <c r="A5" i="2"/>
  <c r="A1153" i="2"/>
  <c r="A1119" i="2"/>
  <c r="A11" i="2"/>
  <c r="A2443" i="2"/>
  <c r="A1152" i="2"/>
  <c r="A1151" i="2"/>
  <c r="A1118" i="2"/>
  <c r="A1150" i="2"/>
  <c r="A10" i="2"/>
  <c r="A2442" i="2"/>
  <c r="A1117" i="2"/>
  <c r="A1149" i="2"/>
  <c r="A9" i="2"/>
  <c r="A1116" i="2"/>
  <c r="A8" i="2"/>
  <c r="A1148" i="2"/>
  <c r="A1147" i="2"/>
  <c r="A1115" i="2"/>
  <c r="A7" i="2"/>
  <c r="A6" i="2"/>
  <c r="A1079" i="2"/>
  <c r="A1078" i="2"/>
  <c r="A1053" i="2"/>
  <c r="A1077" i="2"/>
  <c r="A1146" i="2"/>
  <c r="A1052" i="2"/>
  <c r="A2397" i="2"/>
  <c r="A1001" i="2"/>
  <c r="A1000" i="2"/>
  <c r="A999" i="2"/>
  <c r="A998" i="2"/>
  <c r="A1094" i="2"/>
  <c r="A1145" i="2"/>
  <c r="A1114" i="2"/>
  <c r="A1144" i="2"/>
  <c r="A1113" i="2"/>
  <c r="A866" i="2"/>
  <c r="A865" i="2"/>
  <c r="A1143" i="2"/>
  <c r="A1051" i="2"/>
  <c r="A1142" i="2"/>
  <c r="A1050" i="2"/>
  <c r="A1141" i="2"/>
  <c r="A1140" i="2"/>
  <c r="A1112" i="2"/>
  <c r="A1049" i="2"/>
  <c r="A2330" i="2"/>
  <c r="A1093" i="2"/>
  <c r="A1076" i="2"/>
  <c r="A1111" i="2"/>
  <c r="A1048" i="2"/>
  <c r="A1047" i="2"/>
  <c r="A1139" i="2"/>
  <c r="A1138" i="2"/>
  <c r="A1092" i="2"/>
  <c r="A1137" i="2"/>
  <c r="A1110" i="2"/>
  <c r="A1075" i="2"/>
  <c r="A1046" i="2"/>
  <c r="A1109" i="2"/>
  <c r="A1089" i="2"/>
  <c r="A1045" i="2"/>
  <c r="A2329" i="2"/>
  <c r="A1136" i="2"/>
  <c r="A1108" i="2"/>
  <c r="A1091" i="2"/>
  <c r="A1044" i="2"/>
  <c r="A1107" i="2"/>
  <c r="A1043" i="2"/>
  <c r="A1135" i="2"/>
  <c r="A1090" i="2"/>
  <c r="A1042" i="2"/>
  <c r="A511" i="2"/>
  <c r="A510" i="2"/>
  <c r="A1010" i="2"/>
  <c r="A1030" i="2"/>
  <c r="A997" i="2"/>
  <c r="A1029" i="2"/>
  <c r="A2441" i="2"/>
  <c r="A1028" i="2"/>
  <c r="A509" i="2"/>
  <c r="A2396" i="2"/>
  <c r="A2395" i="2"/>
  <c r="A864" i="2"/>
  <c r="A1027" i="2"/>
  <c r="A996" i="2"/>
  <c r="A508" i="2"/>
  <c r="A507" i="2"/>
  <c r="A506" i="2"/>
  <c r="A2424" i="2"/>
  <c r="A2423" i="2"/>
  <c r="A995" i="2"/>
  <c r="A994" i="2"/>
  <c r="A993" i="2"/>
  <c r="A505" i="2"/>
  <c r="A504" i="2"/>
  <c r="A503" i="2"/>
  <c r="A502" i="2"/>
  <c r="A501" i="2"/>
  <c r="A500" i="2"/>
  <c r="A499" i="2"/>
  <c r="A498" i="2"/>
  <c r="A497" i="2"/>
  <c r="A495" i="2"/>
  <c r="A496" i="2"/>
  <c r="A863" i="2"/>
  <c r="A493" i="2"/>
  <c r="A1026" i="2"/>
  <c r="A992" i="2"/>
  <c r="A952" i="2"/>
  <c r="A494" i="2"/>
  <c r="A1025" i="2"/>
  <c r="A1024" i="2"/>
  <c r="A1023" i="2"/>
  <c r="A1022" i="2"/>
  <c r="A1021" i="2"/>
  <c r="A1020" i="2"/>
  <c r="A1019" i="2"/>
  <c r="A1018" i="2"/>
  <c r="A1017" i="2"/>
  <c r="A2255" i="2"/>
  <c r="A2254" i="2"/>
  <c r="A991" i="2"/>
  <c r="A2253" i="2"/>
  <c r="A2252" i="2"/>
  <c r="A2251" i="2"/>
  <c r="A2250" i="2"/>
  <c r="A2249" i="2"/>
  <c r="A2440" i="2"/>
  <c r="A492" i="2"/>
  <c r="A484" i="2"/>
  <c r="A491" i="2"/>
  <c r="A490" i="2"/>
  <c r="A489" i="2"/>
  <c r="A488" i="2"/>
  <c r="A487" i="2"/>
  <c r="A486" i="2"/>
  <c r="A485" i="2"/>
  <c r="A481" i="2"/>
  <c r="A483" i="2"/>
  <c r="A482" i="2"/>
  <c r="A990" i="2"/>
  <c r="A989" i="2"/>
  <c r="A984" i="2"/>
  <c r="A988" i="2"/>
  <c r="A987" i="2"/>
  <c r="A986" i="2"/>
  <c r="A985" i="2"/>
  <c r="A983" i="2"/>
  <c r="A478" i="2"/>
  <c r="A477" i="2"/>
  <c r="A480" i="2"/>
  <c r="A479" i="2"/>
  <c r="A476" i="2"/>
  <c r="A469" i="2"/>
  <c r="A468" i="2"/>
  <c r="A465" i="2"/>
  <c r="A862" i="2"/>
  <c r="A475" i="2"/>
  <c r="A474" i="2"/>
  <c r="A473" i="2"/>
  <c r="A472" i="2"/>
  <c r="A471" i="2"/>
  <c r="A470" i="2"/>
  <c r="A467" i="2"/>
  <c r="A466" i="2"/>
  <c r="A464" i="2"/>
  <c r="A463" i="2"/>
  <c r="A982" i="2"/>
  <c r="A457" i="2"/>
  <c r="A462" i="2"/>
  <c r="A951" i="2"/>
  <c r="A461" i="2"/>
  <c r="A950" i="2"/>
  <c r="A460" i="2"/>
  <c r="A949" i="2"/>
  <c r="A948" i="2"/>
  <c r="A947" i="2"/>
  <c r="A459" i="2"/>
  <c r="A946" i="2"/>
  <c r="A458" i="2"/>
  <c r="A936" i="2"/>
  <c r="A937" i="2"/>
  <c r="A945" i="2"/>
  <c r="A456" i="2"/>
  <c r="A944" i="2"/>
  <c r="A943" i="2"/>
  <c r="A942" i="2"/>
  <c r="A941" i="2"/>
  <c r="A455" i="2"/>
  <c r="A940" i="2"/>
  <c r="A939" i="2"/>
  <c r="A938" i="2"/>
  <c r="A934" i="2"/>
  <c r="A930" i="2"/>
  <c r="A932" i="2"/>
  <c r="A453" i="2"/>
  <c r="A931" i="2"/>
  <c r="A935" i="2"/>
  <c r="A933" i="2"/>
  <c r="A454" i="2"/>
  <c r="A452" i="2"/>
  <c r="A451" i="2"/>
  <c r="A450" i="2"/>
  <c r="A444" i="2"/>
  <c r="A449" i="2"/>
  <c r="A448" i="2"/>
  <c r="A447" i="2"/>
  <c r="A446" i="2"/>
  <c r="A445" i="2"/>
  <c r="A1016" i="2"/>
  <c r="A981" i="2"/>
  <c r="A980" i="2"/>
  <c r="A443" i="2"/>
  <c r="A442" i="2"/>
  <c r="A441" i="2"/>
  <c r="A440" i="2"/>
  <c r="A439" i="2"/>
  <c r="A438" i="2"/>
  <c r="A437" i="2"/>
  <c r="A436" i="2"/>
  <c r="A2248" i="2"/>
  <c r="A929" i="2"/>
  <c r="A928" i="2"/>
  <c r="A927" i="2"/>
  <c r="A1041" i="2"/>
  <c r="A926" i="2"/>
  <c r="A1040" i="2"/>
  <c r="A1009" i="2"/>
  <c r="A925" i="2"/>
  <c r="A924" i="2"/>
  <c r="A1015" i="2"/>
  <c r="A861" i="2"/>
  <c r="A1014" i="2"/>
  <c r="A979" i="2"/>
  <c r="A1013" i="2"/>
  <c r="A978" i="2"/>
  <c r="A1039" i="2"/>
  <c r="A1008" i="2"/>
  <c r="A1038" i="2"/>
  <c r="A1012" i="2"/>
  <c r="A2422" i="2"/>
  <c r="A919" i="2"/>
  <c r="A2421" i="2"/>
  <c r="A918" i="2"/>
  <c r="A917" i="2"/>
  <c r="A908" i="2"/>
  <c r="A904" i="2"/>
  <c r="A916" i="2"/>
  <c r="A914" i="2"/>
  <c r="A912" i="2"/>
  <c r="A910" i="2"/>
  <c r="A906" i="2"/>
  <c r="A911" i="2"/>
  <c r="A915" i="2"/>
  <c r="A913" i="2"/>
  <c r="A909" i="2"/>
  <c r="A907" i="2"/>
  <c r="A905" i="2"/>
  <c r="A903" i="2"/>
  <c r="A902" i="2"/>
  <c r="A901" i="2"/>
  <c r="A900" i="2"/>
  <c r="A898" i="2"/>
  <c r="A899" i="2"/>
  <c r="A889" i="2"/>
  <c r="A860" i="2"/>
  <c r="A859" i="2"/>
  <c r="A858" i="2"/>
  <c r="A857" i="2"/>
  <c r="A856" i="2"/>
  <c r="A855" i="2"/>
  <c r="A854" i="2"/>
  <c r="A897" i="2"/>
  <c r="A896" i="2"/>
  <c r="A895" i="2"/>
  <c r="A894" i="2"/>
  <c r="A893" i="2"/>
  <c r="A888" i="2"/>
  <c r="A887" i="2"/>
  <c r="A886" i="2"/>
  <c r="A892" i="2"/>
  <c r="A891" i="2"/>
  <c r="A890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53" i="2"/>
  <c r="A852" i="2"/>
  <c r="A851" i="2"/>
  <c r="A850" i="2"/>
  <c r="A849" i="2"/>
  <c r="A848" i="2"/>
  <c r="A843" i="2"/>
  <c r="A847" i="2"/>
  <c r="A846" i="2"/>
  <c r="A845" i="2"/>
  <c r="A844" i="2"/>
  <c r="A842" i="2"/>
  <c r="A841" i="2"/>
  <c r="A840" i="2"/>
  <c r="A839" i="2"/>
  <c r="A838" i="2"/>
  <c r="A824" i="2"/>
  <c r="A837" i="2"/>
  <c r="A836" i="2"/>
  <c r="A835" i="2"/>
  <c r="A834" i="2"/>
  <c r="A826" i="2"/>
  <c r="A833" i="2"/>
  <c r="A832" i="2"/>
  <c r="A831" i="2"/>
  <c r="A830" i="2"/>
  <c r="A829" i="2"/>
  <c r="A828" i="2"/>
  <c r="A827" i="2"/>
  <c r="A825" i="2"/>
  <c r="A823" i="2"/>
  <c r="A822" i="2"/>
  <c r="A821" i="2"/>
  <c r="A820" i="2"/>
  <c r="A811" i="2"/>
  <c r="A819" i="2"/>
  <c r="A816" i="2"/>
  <c r="A815" i="2"/>
  <c r="A814" i="2"/>
  <c r="A813" i="2"/>
  <c r="A812" i="2"/>
  <c r="A818" i="2"/>
  <c r="A817" i="2"/>
  <c r="A810" i="2"/>
  <c r="A809" i="2"/>
  <c r="A808" i="2"/>
  <c r="A807" i="2"/>
  <c r="A806" i="2"/>
  <c r="A805" i="2"/>
  <c r="A804" i="2"/>
  <c r="A803" i="2"/>
  <c r="A802" i="2"/>
  <c r="A801" i="2"/>
  <c r="O5" i="13"/>
  <c r="U5" i="13" s="1"/>
  <c r="O6" i="13"/>
  <c r="O7" i="13"/>
  <c r="U7" i="13" s="1"/>
  <c r="O8" i="13"/>
  <c r="U8" i="13" s="1"/>
  <c r="O9" i="13"/>
  <c r="U9" i="13" s="1"/>
  <c r="O10" i="13"/>
  <c r="U10" i="13" s="1"/>
  <c r="O11" i="13"/>
  <c r="U11" i="13" s="1"/>
  <c r="O12" i="13"/>
  <c r="U12" i="13" s="1"/>
  <c r="O13" i="13"/>
  <c r="U13" i="13" s="1"/>
  <c r="O14" i="13"/>
  <c r="U14" i="13" s="1"/>
  <c r="O15" i="13"/>
  <c r="U15" i="13" s="1"/>
  <c r="O16" i="13"/>
  <c r="U16" i="13" s="1"/>
  <c r="O17" i="13"/>
  <c r="U17" i="13" s="1"/>
  <c r="O18" i="13"/>
  <c r="U18" i="13" s="1"/>
  <c r="O19" i="13"/>
  <c r="U19" i="13" s="1"/>
  <c r="O20" i="13"/>
  <c r="U20" i="13" s="1"/>
  <c r="O21" i="13"/>
  <c r="U21" i="13" s="1"/>
  <c r="O22" i="13"/>
  <c r="U22" i="13" s="1"/>
  <c r="O23" i="13"/>
  <c r="U23" i="13" s="1"/>
  <c r="O24" i="13"/>
  <c r="U24" i="13" s="1"/>
  <c r="O25" i="13"/>
  <c r="U25" i="13" s="1"/>
  <c r="O26" i="13"/>
  <c r="U26" i="13" s="1"/>
  <c r="O27" i="13"/>
  <c r="U27" i="13" s="1"/>
  <c r="O28" i="13"/>
  <c r="U28" i="13" s="1"/>
  <c r="O29" i="13"/>
  <c r="U29" i="13" s="1"/>
  <c r="O30" i="13"/>
  <c r="U30" i="13" s="1"/>
  <c r="O31" i="13"/>
  <c r="U31" i="13" s="1"/>
  <c r="O32" i="13"/>
  <c r="U32" i="13" s="1"/>
  <c r="O33" i="13"/>
  <c r="U33" i="13" s="1"/>
  <c r="O34" i="13"/>
  <c r="U34" i="13" s="1"/>
  <c r="O35" i="13"/>
  <c r="U35" i="13" s="1"/>
  <c r="O36" i="13"/>
  <c r="U36" i="13" s="1"/>
  <c r="O37" i="13"/>
  <c r="U37" i="13" s="1"/>
  <c r="O38" i="13"/>
  <c r="U38" i="13" s="1"/>
  <c r="O39" i="13"/>
  <c r="U39" i="13" s="1"/>
  <c r="O40" i="13"/>
  <c r="U40" i="13" s="1"/>
  <c r="AG145" i="9" l="1"/>
  <c r="AG75" i="9"/>
  <c r="AG36" i="9"/>
  <c r="AG128" i="9"/>
  <c r="AG140" i="9"/>
  <c r="AG137" i="9"/>
  <c r="AG141" i="9"/>
  <c r="AG131" i="9"/>
  <c r="AG134" i="9"/>
  <c r="AG138" i="9"/>
  <c r="AG125" i="9"/>
  <c r="AG126" i="9"/>
  <c r="AG133" i="9"/>
  <c r="AG135" i="9"/>
  <c r="AG130" i="9"/>
  <c r="AG139" i="9"/>
  <c r="AG142" i="9"/>
  <c r="AG127" i="9"/>
  <c r="AG129" i="9"/>
  <c r="AG143" i="9"/>
  <c r="AG132" i="9"/>
  <c r="AG136" i="9"/>
  <c r="AG39" i="9"/>
  <c r="AG8" i="9"/>
  <c r="AG66" i="9"/>
  <c r="AG144" i="9"/>
  <c r="AG21" i="9"/>
  <c r="AG33" i="9"/>
  <c r="AG70" i="9"/>
  <c r="AG65" i="9"/>
  <c r="AG63" i="9"/>
  <c r="AG53" i="9"/>
  <c r="AG58" i="9"/>
  <c r="AG50" i="9"/>
  <c r="AG72" i="9"/>
  <c r="AG54" i="9"/>
  <c r="AG49" i="9"/>
  <c r="AG52" i="9"/>
  <c r="AG10" i="9"/>
  <c r="AG69" i="9"/>
  <c r="AG51" i="9"/>
  <c r="AG61" i="9"/>
  <c r="AG29" i="9"/>
  <c r="AG59" i="9"/>
  <c r="AG64" i="9"/>
  <c r="AG62" i="9"/>
  <c r="AG76" i="9"/>
  <c r="AG44" i="9"/>
  <c r="AG30" i="9"/>
  <c r="AG60" i="9"/>
  <c r="AG37" i="9"/>
  <c r="AG73" i="9"/>
  <c r="AG102" i="9"/>
  <c r="AG104" i="9"/>
  <c r="AG93" i="9"/>
  <c r="AG99" i="9"/>
  <c r="AG112" i="9"/>
  <c r="AG18" i="9"/>
  <c r="AG38" i="9"/>
  <c r="AG43" i="9"/>
  <c r="AG122" i="9"/>
  <c r="AG120" i="9"/>
  <c r="AG108" i="9"/>
  <c r="AG101" i="9"/>
  <c r="AG105" i="9"/>
  <c r="AG85" i="9"/>
  <c r="AG7" i="9"/>
  <c r="AG119" i="9"/>
  <c r="AG79" i="9"/>
  <c r="AG19" i="9"/>
  <c r="AG22" i="9"/>
  <c r="AG32" i="9"/>
  <c r="AG116" i="9"/>
  <c r="AG111" i="9"/>
  <c r="AG98" i="9"/>
  <c r="AG106" i="9"/>
  <c r="AG113" i="9"/>
  <c r="AG23" i="9"/>
  <c r="AG41" i="9"/>
  <c r="AG124" i="9"/>
  <c r="AG16" i="9"/>
  <c r="AG12" i="9"/>
  <c r="AG118" i="9"/>
  <c r="AG95" i="9"/>
  <c r="AG6" i="9"/>
  <c r="AG100" i="9"/>
  <c r="AG17" i="9"/>
  <c r="AG34" i="9"/>
  <c r="AG26" i="9"/>
  <c r="AG11" i="9"/>
  <c r="AG13" i="9"/>
  <c r="AG117" i="9"/>
  <c r="AG114" i="9"/>
  <c r="AG24" i="9"/>
  <c r="AG20" i="9"/>
  <c r="AG25" i="9"/>
  <c r="AG28" i="9"/>
  <c r="AG123" i="9"/>
  <c r="AG5" i="9"/>
  <c r="AG107" i="9"/>
  <c r="AG47" i="9"/>
  <c r="AG46" i="9"/>
  <c r="AG31" i="9"/>
  <c r="AG14" i="9"/>
  <c r="AG109" i="9"/>
  <c r="AG35" i="9"/>
  <c r="AG115" i="9"/>
  <c r="AG45" i="9"/>
  <c r="AG15" i="9"/>
  <c r="AG42" i="9"/>
  <c r="AG27" i="9"/>
  <c r="AG48" i="9"/>
  <c r="AG121" i="9"/>
  <c r="AG110" i="9"/>
  <c r="AG103" i="9"/>
  <c r="AG96" i="9"/>
  <c r="AG97" i="9"/>
  <c r="AG89" i="9"/>
  <c r="AG91" i="9"/>
  <c r="AG94" i="9"/>
  <c r="AG88" i="9"/>
  <c r="AG86" i="9"/>
  <c r="AG92" i="9"/>
  <c r="AG90" i="9"/>
  <c r="AG87" i="9"/>
  <c r="AG84" i="9"/>
  <c r="AG83" i="9"/>
  <c r="AG82" i="9"/>
  <c r="AG81" i="9"/>
  <c r="AG80" i="9"/>
  <c r="AG77" i="9"/>
  <c r="AG78" i="9"/>
  <c r="AG74" i="9"/>
  <c r="AG40" i="9"/>
  <c r="AG71" i="9"/>
  <c r="AG57" i="9"/>
  <c r="AG67" i="9"/>
  <c r="AG56" i="9"/>
  <c r="AG55" i="9"/>
  <c r="AG9" i="9"/>
  <c r="AG68" i="9"/>
  <c r="B10" i="9" a="1"/>
  <c r="B10" i="9" s="1"/>
  <c r="B40" i="9" a="1"/>
  <c r="B40" i="9" s="1"/>
  <c r="B67" i="9" a="1"/>
  <c r="B67" i="9" s="1"/>
  <c r="B65" i="9" a="1"/>
  <c r="B65" i="9" s="1"/>
  <c r="B37" i="9" a="1"/>
  <c r="B37" i="9" s="1"/>
  <c r="B21" i="9" a="1"/>
  <c r="B21" i="9" s="1"/>
  <c r="B29" i="9" a="1"/>
  <c r="B29" i="9" s="1"/>
  <c r="B54" i="9" a="1"/>
  <c r="B54" i="9" s="1"/>
  <c r="B60" i="9" a="1"/>
  <c r="B60" i="9" s="1"/>
  <c r="B64" i="9" a="1"/>
  <c r="B64" i="9" s="1"/>
  <c r="B56" i="9" a="1"/>
  <c r="B56" i="9" s="1"/>
  <c r="B8" i="9" a="1"/>
  <c r="B8" i="9" s="1"/>
  <c r="B30" i="9" a="1"/>
  <c r="B30" i="9" s="1"/>
  <c r="B144" i="9" a="1"/>
  <c r="B144" i="9" s="1"/>
  <c r="B51" i="9" a="1"/>
  <c r="B51" i="9" s="1"/>
  <c r="B63" i="9" a="1"/>
  <c r="B63" i="9" s="1"/>
  <c r="B66" i="9" a="1"/>
  <c r="B66" i="9" s="1"/>
  <c r="B9" i="9" a="1"/>
  <c r="B9" i="9" s="1"/>
  <c r="B33" i="9" a="1"/>
  <c r="B33" i="9" s="1"/>
  <c r="B50" i="9" a="1"/>
  <c r="B50" i="9" s="1"/>
  <c r="B52" i="9" a="1"/>
  <c r="B52" i="9" s="1"/>
  <c r="B59" i="9" a="1"/>
  <c r="B59" i="9" s="1"/>
  <c r="B68" i="9" a="1"/>
  <c r="B68" i="9" s="1"/>
  <c r="B49" i="9" a="1"/>
  <c r="B49" i="9" s="1"/>
  <c r="B55" i="9" a="1"/>
  <c r="B55" i="9" s="1"/>
  <c r="B44" i="9" a="1"/>
  <c r="B44" i="9" s="1"/>
  <c r="B53" i="9" a="1"/>
  <c r="B53" i="9" s="1"/>
  <c r="B62" i="9" a="1"/>
  <c r="B62" i="9" s="1"/>
  <c r="B58" i="9" a="1"/>
  <c r="B58" i="9" s="1"/>
  <c r="B57" i="9" a="1"/>
  <c r="B57" i="9" s="1"/>
  <c r="B61" i="9" a="1"/>
  <c r="B61" i="9" s="1"/>
  <c r="T6" i="13"/>
  <c r="U6" i="13"/>
  <c r="T26" i="13"/>
  <c r="T39" i="13"/>
  <c r="T35" i="13"/>
  <c r="T31" i="13"/>
  <c r="T27" i="13"/>
  <c r="T23" i="13"/>
  <c r="T19" i="13"/>
  <c r="T15" i="13"/>
  <c r="T11" i="13"/>
  <c r="T7" i="13"/>
  <c r="T30" i="13"/>
  <c r="T14" i="13"/>
  <c r="T10" i="13"/>
  <c r="T38" i="13"/>
  <c r="T22" i="13"/>
  <c r="T37" i="13"/>
  <c r="T13" i="13"/>
  <c r="T9" i="13"/>
  <c r="T5" i="13"/>
  <c r="T34" i="13"/>
  <c r="T18" i="13"/>
  <c r="T33" i="13"/>
  <c r="T29" i="13"/>
  <c r="T25" i="13"/>
  <c r="T21" i="13"/>
  <c r="T17" i="13"/>
  <c r="T40" i="13"/>
  <c r="T36" i="13"/>
  <c r="T32" i="13"/>
  <c r="T28" i="13"/>
  <c r="T24" i="13"/>
  <c r="T20" i="13"/>
  <c r="T16" i="13"/>
  <c r="T12" i="13"/>
  <c r="T8" i="13"/>
  <c r="C16" i="4" l="1"/>
  <c r="C29" i="4"/>
  <c r="C19" i="4"/>
  <c r="C18" i="4"/>
  <c r="A26" i="13" l="1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N39" i="13"/>
  <c r="N40" i="13"/>
  <c r="A14" i="13" l="1"/>
  <c r="A15" i="13"/>
  <c r="C14" i="13"/>
  <c r="C15" i="13"/>
  <c r="D14" i="13"/>
  <c r="D15" i="13"/>
  <c r="E14" i="13"/>
  <c r="E15" i="13"/>
  <c r="F14" i="13"/>
  <c r="F15" i="13"/>
  <c r="G14" i="13"/>
  <c r="G15" i="13"/>
  <c r="I14" i="13"/>
  <c r="I15" i="13"/>
  <c r="J14" i="13"/>
  <c r="J15" i="13"/>
  <c r="N14" i="13"/>
  <c r="N15" i="13"/>
  <c r="N25" i="13"/>
  <c r="N24" i="13"/>
  <c r="N23" i="13"/>
  <c r="N22" i="13"/>
  <c r="N21" i="13"/>
  <c r="N20" i="13"/>
  <c r="N19" i="13"/>
  <c r="N18" i="13"/>
  <c r="N17" i="13"/>
  <c r="N16" i="13"/>
  <c r="N13" i="13"/>
  <c r="N12" i="13"/>
  <c r="N11" i="13"/>
  <c r="N10" i="13"/>
  <c r="N9" i="13"/>
  <c r="N8" i="13"/>
  <c r="N7" i="13"/>
  <c r="N6" i="13"/>
  <c r="A12" i="13"/>
  <c r="C12" i="13"/>
  <c r="D12" i="13"/>
  <c r="E12" i="13"/>
  <c r="F12" i="13"/>
  <c r="G12" i="13"/>
  <c r="I12" i="13"/>
  <c r="J12" i="13"/>
  <c r="A9" i="13"/>
  <c r="C9" i="13"/>
  <c r="D9" i="13"/>
  <c r="E9" i="13"/>
  <c r="F9" i="13"/>
  <c r="G9" i="13"/>
  <c r="I9" i="13"/>
  <c r="J9" i="13"/>
  <c r="A8" i="13"/>
  <c r="C8" i="13"/>
  <c r="D8" i="13"/>
  <c r="E8" i="13"/>
  <c r="F8" i="13"/>
  <c r="G8" i="13"/>
  <c r="I8" i="13"/>
  <c r="J8" i="13"/>
  <c r="A7" i="13"/>
  <c r="C7" i="13"/>
  <c r="D7" i="13"/>
  <c r="E7" i="13"/>
  <c r="F7" i="13"/>
  <c r="G7" i="13"/>
  <c r="I7" i="13"/>
  <c r="J7" i="13"/>
  <c r="A17" i="13"/>
  <c r="A18" i="13"/>
  <c r="A19" i="13"/>
  <c r="A20" i="13"/>
  <c r="A21" i="13"/>
  <c r="A22" i="13"/>
  <c r="A23" i="13"/>
  <c r="A24" i="13"/>
  <c r="A25" i="13"/>
  <c r="C17" i="13"/>
  <c r="C18" i="13"/>
  <c r="C19" i="13"/>
  <c r="C20" i="13"/>
  <c r="C21" i="13"/>
  <c r="C22" i="13"/>
  <c r="C23" i="13"/>
  <c r="C24" i="13"/>
  <c r="C25" i="13"/>
  <c r="D17" i="13"/>
  <c r="D18" i="13"/>
  <c r="D19" i="13"/>
  <c r="D20" i="13"/>
  <c r="D21" i="13"/>
  <c r="D22" i="13"/>
  <c r="D23" i="13"/>
  <c r="D24" i="13"/>
  <c r="D25" i="13"/>
  <c r="E17" i="13"/>
  <c r="E18" i="13"/>
  <c r="E19" i="13"/>
  <c r="E20" i="13"/>
  <c r="E21" i="13"/>
  <c r="E22" i="13"/>
  <c r="E23" i="13"/>
  <c r="E24" i="13"/>
  <c r="E25" i="13"/>
  <c r="F17" i="13"/>
  <c r="F18" i="13"/>
  <c r="F19" i="13"/>
  <c r="F20" i="13"/>
  <c r="F21" i="13"/>
  <c r="F22" i="13"/>
  <c r="F23" i="13"/>
  <c r="F24" i="13"/>
  <c r="F25" i="13"/>
  <c r="G17" i="13"/>
  <c r="G18" i="13"/>
  <c r="G19" i="13"/>
  <c r="G20" i="13"/>
  <c r="G21" i="13"/>
  <c r="G22" i="13"/>
  <c r="G23" i="13"/>
  <c r="G24" i="13"/>
  <c r="G25" i="13"/>
  <c r="I17" i="13"/>
  <c r="I18" i="13"/>
  <c r="I19" i="13"/>
  <c r="I20" i="13"/>
  <c r="I21" i="13"/>
  <c r="I22" i="13"/>
  <c r="I23" i="13"/>
  <c r="I24" i="13"/>
  <c r="I25" i="13"/>
  <c r="J17" i="13"/>
  <c r="J18" i="13"/>
  <c r="J19" i="13"/>
  <c r="J20" i="13"/>
  <c r="J21" i="13"/>
  <c r="J22" i="13"/>
  <c r="J23" i="13"/>
  <c r="J24" i="13"/>
  <c r="J25" i="13"/>
  <c r="N5" i="13" l="1"/>
  <c r="A16" i="13"/>
  <c r="C16" i="13"/>
  <c r="D16" i="13"/>
  <c r="E16" i="13"/>
  <c r="F16" i="13"/>
  <c r="G16" i="13"/>
  <c r="I16" i="13"/>
  <c r="J16" i="13"/>
  <c r="A13" i="13"/>
  <c r="C13" i="13"/>
  <c r="D13" i="13"/>
  <c r="E13" i="13"/>
  <c r="F13" i="13"/>
  <c r="G13" i="13"/>
  <c r="I13" i="13"/>
  <c r="J13" i="13"/>
  <c r="A11" i="13"/>
  <c r="C11" i="13"/>
  <c r="D11" i="13"/>
  <c r="E11" i="13"/>
  <c r="F11" i="13"/>
  <c r="G11" i="13"/>
  <c r="I11" i="13"/>
  <c r="J11" i="13"/>
  <c r="A10" i="13"/>
  <c r="C10" i="13"/>
  <c r="D10" i="13"/>
  <c r="E10" i="13"/>
  <c r="F10" i="13"/>
  <c r="G10" i="13"/>
  <c r="I10" i="13"/>
  <c r="J10" i="13"/>
  <c r="A6" i="13"/>
  <c r="C6" i="13"/>
  <c r="D6" i="13"/>
  <c r="E6" i="13"/>
  <c r="F6" i="13"/>
  <c r="G6" i="13"/>
  <c r="I6" i="13"/>
  <c r="J6" i="13"/>
  <c r="J5" i="13"/>
  <c r="I5" i="13"/>
  <c r="G5" i="13"/>
  <c r="F5" i="13"/>
  <c r="E5" i="13"/>
  <c r="D5" i="13"/>
  <c r="C5" i="13"/>
  <c r="A5" i="13" l="1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117" i="12" l="1"/>
  <c r="A107" i="12"/>
  <c r="A108" i="12"/>
  <c r="A109" i="12"/>
  <c r="A106" i="12"/>
  <c r="A105" i="12"/>
  <c r="A102" i="12"/>
  <c r="A100" i="12"/>
  <c r="A103" i="12"/>
  <c r="A101" i="12"/>
  <c r="A104" i="12"/>
  <c r="A99" i="12"/>
  <c r="A98" i="12"/>
  <c r="A96" i="12"/>
  <c r="A97" i="12"/>
  <c r="A95" i="12"/>
  <c r="A33" i="12"/>
  <c r="A89" i="12"/>
  <c r="A88" i="12"/>
  <c r="A84" i="12"/>
  <c r="A87" i="12"/>
  <c r="A85" i="12"/>
  <c r="A86" i="12"/>
  <c r="A93" i="12"/>
  <c r="A92" i="12"/>
  <c r="A94" i="12"/>
  <c r="A118" i="12"/>
  <c r="A90" i="12"/>
  <c r="A91" i="12"/>
  <c r="A83" i="12"/>
  <c r="A77" i="12"/>
  <c r="A79" i="12"/>
  <c r="A78" i="12"/>
  <c r="A81" i="12"/>
  <c r="A76" i="12"/>
  <c r="A75" i="12"/>
  <c r="A74" i="12"/>
  <c r="A73" i="12"/>
  <c r="A80" i="12"/>
  <c r="A67" i="12"/>
  <c r="A68" i="12"/>
  <c r="A72" i="12"/>
  <c r="A69" i="12"/>
  <c r="A66" i="12"/>
  <c r="A70" i="12"/>
  <c r="A71" i="12"/>
  <c r="A63" i="12"/>
  <c r="A58" i="12"/>
  <c r="A57" i="12"/>
  <c r="A59" i="12"/>
  <c r="A82" i="12"/>
  <c r="A64" i="12"/>
  <c r="A20" i="12"/>
  <c r="A47" i="12"/>
  <c r="A18" i="12"/>
  <c r="A22" i="12"/>
  <c r="A31" i="12"/>
  <c r="A15" i="12"/>
  <c r="A13" i="12"/>
  <c r="A21" i="12"/>
  <c r="A14" i="12"/>
  <c r="A10" i="12"/>
  <c r="A28" i="12"/>
  <c r="A27" i="12"/>
  <c r="A32" i="12"/>
  <c r="A26" i="12"/>
  <c r="A25" i="12"/>
  <c r="A9" i="12"/>
  <c r="A8" i="12"/>
  <c r="A44" i="12"/>
  <c r="A19" i="12"/>
  <c r="A7" i="12"/>
  <c r="A6" i="12"/>
  <c r="A65" i="12"/>
  <c r="A46" i="12"/>
  <c r="A45" i="12"/>
  <c r="A40" i="12"/>
  <c r="A30" i="12"/>
  <c r="A16" i="12"/>
  <c r="A12" i="12"/>
  <c r="A17" i="12"/>
  <c r="A55" i="12"/>
  <c r="A11" i="12"/>
  <c r="A53" i="12"/>
  <c r="A62" i="12"/>
  <c r="A49" i="12"/>
  <c r="A50" i="12"/>
  <c r="A51" i="12"/>
  <c r="A54" i="12"/>
  <c r="A56" i="12"/>
  <c r="A60" i="12"/>
  <c r="A52" i="12"/>
  <c r="A61" i="12"/>
  <c r="A39" i="12"/>
  <c r="A38" i="12"/>
  <c r="A37" i="12"/>
  <c r="A36" i="12"/>
  <c r="A35" i="12"/>
  <c r="A34" i="12"/>
  <c r="A42" i="12"/>
  <c r="A48" i="12"/>
  <c r="A41" i="12"/>
  <c r="A43" i="12"/>
  <c r="A5" i="12"/>
  <c r="A24" i="12"/>
  <c r="A23" i="12"/>
  <c r="A29" i="12"/>
  <c r="D2" i="12" l="1" a="1"/>
  <c r="D2" i="12" s="1"/>
  <c r="H28" i="13"/>
  <c r="H32" i="13"/>
  <c r="H36" i="13"/>
  <c r="H40" i="13"/>
  <c r="H35" i="13"/>
  <c r="H29" i="13"/>
  <c r="H33" i="13"/>
  <c r="H37" i="13"/>
  <c r="H27" i="13"/>
  <c r="H39" i="13"/>
  <c r="H26" i="13"/>
  <c r="H30" i="13"/>
  <c r="H34" i="13"/>
  <c r="H38" i="13"/>
  <c r="H31" i="13"/>
  <c r="H25" i="13"/>
  <c r="H24" i="13"/>
  <c r="H23" i="13"/>
  <c r="H14" i="13"/>
  <c r="H12" i="13"/>
  <c r="H15" i="13"/>
  <c r="H9" i="13"/>
  <c r="H8" i="13"/>
  <c r="H7" i="13"/>
  <c r="H18" i="13"/>
  <c r="H22" i="13"/>
  <c r="H19" i="13"/>
  <c r="H20" i="13"/>
  <c r="H17" i="13"/>
  <c r="H21" i="13"/>
  <c r="H16" i="13"/>
  <c r="H6" i="13"/>
  <c r="H13" i="13"/>
  <c r="H5" i="13"/>
  <c r="H11" i="13"/>
  <c r="H10" i="13"/>
  <c r="E2" i="11" l="1"/>
  <c r="E1" i="11"/>
  <c r="A52" i="1" l="1"/>
  <c r="G52" i="1"/>
  <c r="H52" i="1"/>
  <c r="I52" i="1"/>
  <c r="J52" i="1"/>
  <c r="K52" i="1"/>
  <c r="L52" i="1"/>
  <c r="N52" i="1"/>
  <c r="K1" i="11"/>
  <c r="S3" i="15"/>
  <c r="U3" i="15"/>
  <c r="V3" i="15"/>
  <c r="L3" i="15"/>
  <c r="P3" i="15"/>
  <c r="J3" i="15"/>
  <c r="K3" i="15"/>
  <c r="W3" i="15"/>
  <c r="R3" i="15"/>
  <c r="I3" i="15"/>
  <c r="N3" i="15"/>
  <c r="M3" i="15"/>
  <c r="Q3" i="15"/>
  <c r="T3" i="15"/>
  <c r="O3" i="15"/>
  <c r="M52" i="1" l="1"/>
  <c r="C11" i="4" l="1"/>
  <c r="C7" i="4"/>
  <c r="C14" i="4" l="1"/>
  <c r="C13" i="4"/>
  <c r="D3" i="1" l="1" a="1"/>
  <c r="D3" i="1" s="1"/>
  <c r="D2" i="1" a="1"/>
  <c r="D2" i="1" s="1"/>
  <c r="N5" i="1"/>
  <c r="N6" i="1"/>
  <c r="N7" i="1"/>
  <c r="N8" i="1"/>
  <c r="N11" i="1"/>
  <c r="N12" i="1"/>
  <c r="N22" i="1"/>
  <c r="N13" i="1"/>
  <c r="N14" i="1"/>
  <c r="N15" i="1"/>
  <c r="N16" i="1"/>
  <c r="N17" i="1"/>
  <c r="N18" i="1"/>
  <c r="N19" i="1"/>
  <c r="N20" i="1"/>
  <c r="N21" i="1"/>
  <c r="N28" i="1"/>
  <c r="N24" i="1"/>
  <c r="N25" i="1"/>
  <c r="N26" i="1"/>
  <c r="N27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29" i="1"/>
  <c r="N30" i="1"/>
  <c r="N47" i="1"/>
  <c r="N48" i="1"/>
  <c r="N49" i="1"/>
  <c r="N50" i="1"/>
  <c r="N23" i="1"/>
  <c r="I24" i="8" l="1"/>
  <c r="I22" i="8"/>
  <c r="I17" i="8"/>
  <c r="F14" i="8" a="1"/>
  <c r="F14" i="8" s="1"/>
  <c r="E14" i="8" a="1"/>
  <c r="E14" i="8" s="1"/>
  <c r="B14" i="8" a="1"/>
  <c r="B14" i="8" s="1"/>
  <c r="A14" i="8" a="1"/>
  <c r="A14" i="8" s="1"/>
  <c r="D14" i="8" a="1"/>
  <c r="D14" i="8" s="1"/>
  <c r="C14" i="8" a="1"/>
  <c r="C14" i="8" s="1"/>
  <c r="F5" i="8"/>
  <c r="I21" i="8" s="1"/>
  <c r="F4" i="8"/>
  <c r="I20" i="8" s="1"/>
  <c r="C11" i="8"/>
  <c r="I19" i="8" s="1"/>
  <c r="C10" i="8"/>
  <c r="I18" i="8" s="1"/>
  <c r="C9" i="8"/>
  <c r="I23" i="8" s="1"/>
  <c r="C8" i="8"/>
  <c r="I14" i="8" s="1"/>
  <c r="C7" i="8"/>
  <c r="I13" i="8" s="1"/>
  <c r="C6" i="8"/>
  <c r="I16" i="8" s="1"/>
  <c r="C5" i="8"/>
  <c r="I15" i="8" s="1"/>
  <c r="C4" i="8"/>
  <c r="I11" i="8" s="1"/>
  <c r="I33" i="8" l="1"/>
  <c r="I32" i="8"/>
  <c r="I30" i="8"/>
  <c r="I34" i="8"/>
  <c r="I31" i="8"/>
  <c r="I35" i="8"/>
  <c r="I28" i="8"/>
  <c r="I29" i="8"/>
  <c r="I27" i="8"/>
  <c r="I25" i="8"/>
  <c r="I26" i="8"/>
  <c r="L5" i="1" l="1"/>
  <c r="L6" i="1"/>
  <c r="L7" i="1"/>
  <c r="L8" i="1"/>
  <c r="L10" i="1"/>
  <c r="L11" i="1"/>
  <c r="L12" i="1"/>
  <c r="L22" i="1"/>
  <c r="L13" i="1"/>
  <c r="L14" i="1"/>
  <c r="L15" i="1"/>
  <c r="L16" i="1"/>
  <c r="L17" i="1"/>
  <c r="L18" i="1"/>
  <c r="L19" i="1"/>
  <c r="L20" i="1"/>
  <c r="L21" i="1"/>
  <c r="L28" i="1"/>
  <c r="L24" i="1"/>
  <c r="L25" i="1"/>
  <c r="L26" i="1"/>
  <c r="L27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9" i="1"/>
  <c r="L30" i="1"/>
  <c r="L47" i="1"/>
  <c r="L48" i="1"/>
  <c r="L49" i="1"/>
  <c r="L50" i="1"/>
  <c r="L23" i="1"/>
  <c r="K5" i="1"/>
  <c r="K6" i="1"/>
  <c r="K7" i="1"/>
  <c r="K8" i="1"/>
  <c r="K10" i="1"/>
  <c r="K11" i="1"/>
  <c r="K12" i="1"/>
  <c r="K22" i="1"/>
  <c r="K13" i="1"/>
  <c r="K14" i="1"/>
  <c r="K15" i="1"/>
  <c r="K16" i="1"/>
  <c r="K17" i="1"/>
  <c r="K18" i="1"/>
  <c r="K19" i="1"/>
  <c r="K20" i="1"/>
  <c r="K21" i="1"/>
  <c r="K28" i="1"/>
  <c r="K24" i="1"/>
  <c r="K25" i="1"/>
  <c r="K26" i="1"/>
  <c r="K27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9" i="1"/>
  <c r="K30" i="1"/>
  <c r="K47" i="1"/>
  <c r="K48" i="1"/>
  <c r="K49" i="1"/>
  <c r="K50" i="1"/>
  <c r="K23" i="1"/>
  <c r="J5" i="1"/>
  <c r="J6" i="1"/>
  <c r="J7" i="1"/>
  <c r="J8" i="1"/>
  <c r="J10" i="1"/>
  <c r="J11" i="1"/>
  <c r="J12" i="1"/>
  <c r="J22" i="1"/>
  <c r="J13" i="1"/>
  <c r="J14" i="1"/>
  <c r="J15" i="1"/>
  <c r="J16" i="1"/>
  <c r="J17" i="1"/>
  <c r="J18" i="1"/>
  <c r="J19" i="1"/>
  <c r="J20" i="1"/>
  <c r="J21" i="1"/>
  <c r="J28" i="1"/>
  <c r="J24" i="1"/>
  <c r="J25" i="1"/>
  <c r="J26" i="1"/>
  <c r="J27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29" i="1"/>
  <c r="J30" i="1"/>
  <c r="J47" i="1"/>
  <c r="J48" i="1"/>
  <c r="J49" i="1"/>
  <c r="J50" i="1"/>
  <c r="J23" i="1"/>
  <c r="I5" i="1"/>
  <c r="I6" i="1"/>
  <c r="I7" i="1"/>
  <c r="I8" i="1"/>
  <c r="I10" i="1"/>
  <c r="I11" i="1"/>
  <c r="I12" i="1"/>
  <c r="I22" i="1"/>
  <c r="I13" i="1"/>
  <c r="I14" i="1"/>
  <c r="I15" i="1"/>
  <c r="I16" i="1"/>
  <c r="I17" i="1"/>
  <c r="I18" i="1"/>
  <c r="I19" i="1"/>
  <c r="I20" i="1"/>
  <c r="I21" i="1"/>
  <c r="I28" i="1"/>
  <c r="I24" i="1"/>
  <c r="I25" i="1"/>
  <c r="I26" i="1"/>
  <c r="I27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29" i="1"/>
  <c r="I30" i="1"/>
  <c r="I47" i="1"/>
  <c r="I48" i="1"/>
  <c r="I49" i="1"/>
  <c r="I50" i="1"/>
  <c r="I23" i="1"/>
  <c r="H5" i="1"/>
  <c r="H6" i="1"/>
  <c r="H7" i="1"/>
  <c r="H8" i="1"/>
  <c r="H10" i="1"/>
  <c r="H11" i="1"/>
  <c r="H12" i="1"/>
  <c r="H22" i="1"/>
  <c r="H13" i="1"/>
  <c r="H14" i="1"/>
  <c r="H15" i="1"/>
  <c r="H16" i="1"/>
  <c r="H17" i="1"/>
  <c r="H18" i="1"/>
  <c r="H19" i="1"/>
  <c r="H20" i="1"/>
  <c r="H21" i="1"/>
  <c r="H28" i="1"/>
  <c r="H24" i="1"/>
  <c r="H25" i="1"/>
  <c r="H26" i="1"/>
  <c r="H27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29" i="1"/>
  <c r="H30" i="1"/>
  <c r="H47" i="1"/>
  <c r="H48" i="1"/>
  <c r="H49" i="1"/>
  <c r="H50" i="1"/>
  <c r="H23" i="1"/>
  <c r="G23" i="1"/>
  <c r="G50" i="1"/>
  <c r="G49" i="1"/>
  <c r="G48" i="1"/>
  <c r="G47" i="1"/>
  <c r="G30" i="1"/>
  <c r="G29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27" i="1"/>
  <c r="G26" i="1"/>
  <c r="G25" i="1"/>
  <c r="G24" i="1"/>
  <c r="G28" i="1"/>
  <c r="G21" i="1"/>
  <c r="G20" i="1"/>
  <c r="G19" i="1"/>
  <c r="G18" i="1"/>
  <c r="G17" i="1"/>
  <c r="G16" i="1"/>
  <c r="G15" i="1"/>
  <c r="G14" i="1"/>
  <c r="G13" i="1"/>
  <c r="G22" i="1"/>
  <c r="G12" i="1"/>
  <c r="G11" i="1"/>
  <c r="G10" i="1"/>
  <c r="G8" i="1"/>
  <c r="G7" i="1"/>
  <c r="G6" i="1"/>
  <c r="M39" i="1" l="1"/>
  <c r="M12" i="1"/>
  <c r="M5" i="1"/>
  <c r="M10" i="1"/>
  <c r="M13" i="1"/>
  <c r="M17" i="1"/>
  <c r="M21" i="1"/>
  <c r="M26" i="1"/>
  <c r="M32" i="1"/>
  <c r="M36" i="1"/>
  <c r="M40" i="1"/>
  <c r="M44" i="1"/>
  <c r="M30" i="1"/>
  <c r="M50" i="1"/>
  <c r="M11" i="1"/>
  <c r="M18" i="1"/>
  <c r="M33" i="1"/>
  <c r="M37" i="1"/>
  <c r="M23" i="1"/>
  <c r="M7" i="1"/>
  <c r="M19" i="1"/>
  <c r="M24" i="1"/>
  <c r="M34" i="1"/>
  <c r="M38" i="1"/>
  <c r="M42" i="1"/>
  <c r="M46" i="1"/>
  <c r="M48" i="1"/>
  <c r="M6" i="1"/>
  <c r="M14" i="1"/>
  <c r="M28" i="1"/>
  <c r="M27" i="1"/>
  <c r="M41" i="1"/>
  <c r="M45" i="1"/>
  <c r="M47" i="1"/>
  <c r="M8" i="1"/>
  <c r="M22" i="1"/>
  <c r="M16" i="1"/>
  <c r="M20" i="1"/>
  <c r="M25" i="1"/>
  <c r="M31" i="1"/>
  <c r="M35" i="1"/>
  <c r="M43" i="1"/>
  <c r="M29" i="1"/>
  <c r="M49" i="1"/>
  <c r="M15" i="1"/>
  <c r="A23" i="1"/>
  <c r="A19" i="1" l="1"/>
  <c r="A20" i="1"/>
  <c r="A21" i="1"/>
  <c r="A28" i="1"/>
  <c r="A24" i="1"/>
  <c r="A25" i="1"/>
  <c r="A26" i="1"/>
  <c r="A27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29" i="1"/>
  <c r="A30" i="1"/>
  <c r="A47" i="1"/>
  <c r="A48" i="1"/>
  <c r="A49" i="1"/>
  <c r="A50" i="1"/>
  <c r="A18" i="1" l="1"/>
  <c r="A17" i="1"/>
  <c r="A16" i="1"/>
  <c r="A15" i="1"/>
  <c r="A14" i="1"/>
  <c r="A13" i="1"/>
  <c r="A22" i="1"/>
  <c r="A12" i="1"/>
  <c r="A11" i="1"/>
  <c r="A10" i="1"/>
  <c r="A8" i="1"/>
  <c r="A7" i="1"/>
  <c r="A6" i="1"/>
  <c r="A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Danang Armitra</author>
  </authors>
  <commentList>
    <comment ref="G4" authorId="0" shapeId="0" xr:uid="{074FDD15-85A8-47B4-A073-DE8D47575F33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INBOUND From WH ZTE/Supplier/Returned From Team
</t>
        </r>
      </text>
    </comment>
    <comment ref="H4" authorId="0" shapeId="0" xr:uid="{E1EC5795-52F3-4DD8-9163-2F5D52123587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OUTBOUND From WH GCI to ZTE/Supplier/Team/Site</t>
        </r>
      </text>
    </comment>
    <comment ref="I4" authorId="0" shapeId="0" xr:uid="{7CAFD93C-B575-4091-A19F-39A415A92E08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Transfer Material From Others GCI WH</t>
        </r>
      </text>
    </comment>
    <comment ref="J4" authorId="0" shapeId="0" xr:uid="{2E6E1645-9498-4C1F-B506-96ED51B8620C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Transfer Material To Others GCI WH</t>
        </r>
      </text>
    </comment>
    <comment ref="K4" authorId="0" shapeId="0" xr:uid="{45ABB5EE-E6E9-4349-A6B6-B504F0B67B68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GCI Borrow to other Subcon</t>
        </r>
      </text>
    </comment>
    <comment ref="L4" authorId="0" shapeId="0" xr:uid="{7B4F9E32-A026-4B8E-B3EE-22280D20C1D6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Other Subcon Borrow From GCI</t>
        </r>
      </text>
    </comment>
    <comment ref="N4" authorId="0" shapeId="0" xr:uid="{DFF9908B-1829-479A-BE52-E4BB180E0689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Leftovers / Damage Item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Danang Armitra</author>
  </authors>
  <commentList>
    <comment ref="N4" authorId="0" shapeId="0" xr:uid="{02D18EE8-462A-454C-AD1C-B9642C9D3E26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Only DO from ZTE/EMR</t>
        </r>
      </text>
    </comment>
    <comment ref="O4" authorId="0" shapeId="0" xr:uid="{5E5E6697-7F7C-4672-ADE6-429A118A01E2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Material On Site (outbound from WH GCI)</t>
        </r>
      </text>
    </comment>
    <comment ref="Q4" authorId="0" shapeId="0" xr:uid="{255E560D-E7FA-47BA-B219-B91062BF50BA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Berita Acara (Fo Cut, Fo Loss, Vandalisme)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Danang Armitra</author>
  </authors>
  <commentList>
    <comment ref="AB4" authorId="0" shapeId="0" xr:uid="{24B9739F-AD3B-4D96-A967-C17C9C34A57D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In = +1
Out = -1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<sst xmlns="http://schemas.openxmlformats.org/spreadsheetml/2006/main" count="89982" uniqueCount="5416">
  <si>
    <t>ZTE1001</t>
  </si>
  <si>
    <t>ZTE1002</t>
  </si>
  <si>
    <t>ZTE1003</t>
  </si>
  <si>
    <t>ZTE1004</t>
  </si>
  <si>
    <t>ZTE2001</t>
  </si>
  <si>
    <t>ZTE2003</t>
  </si>
  <si>
    <t>ZTE2005</t>
  </si>
  <si>
    <t>ZTE2006</t>
  </si>
  <si>
    <t>ZTE2008</t>
  </si>
  <si>
    <t>ZTE2010</t>
  </si>
  <si>
    <t>ZTE2013</t>
  </si>
  <si>
    <t>ZTE2004</t>
  </si>
  <si>
    <t>ZTE2020</t>
  </si>
  <si>
    <t>FAT-16</t>
  </si>
  <si>
    <t>FDT-48</t>
  </si>
  <si>
    <t>FDT-72</t>
  </si>
  <si>
    <t>HDPE40/34mm</t>
  </si>
  <si>
    <t>Unit</t>
  </si>
  <si>
    <t>Row_ID</t>
  </si>
  <si>
    <t>Pcs</t>
  </si>
  <si>
    <t>Meter</t>
  </si>
  <si>
    <t>Data Validation</t>
  </si>
  <si>
    <t>Condition</t>
  </si>
  <si>
    <t>WH GCI</t>
  </si>
  <si>
    <t>Malang</t>
  </si>
  <si>
    <t>Lamongan</t>
  </si>
  <si>
    <t>Gresik</t>
  </si>
  <si>
    <t>Material Name</t>
  </si>
  <si>
    <t>Material Code</t>
  </si>
  <si>
    <t>Source Material</t>
  </si>
  <si>
    <t>Type Material</t>
  </si>
  <si>
    <t>SiteID</t>
  </si>
  <si>
    <t>Site Name</t>
  </si>
  <si>
    <t>DO number</t>
  </si>
  <si>
    <t>DN Number</t>
  </si>
  <si>
    <t>Qty</t>
  </si>
  <si>
    <t>Remarks</t>
  </si>
  <si>
    <t>ZTE Warehouse</t>
  </si>
  <si>
    <t>GCI Procurement</t>
  </si>
  <si>
    <t>A-Good</t>
  </si>
  <si>
    <t>E-Lost Item</t>
  </si>
  <si>
    <t>Set</t>
  </si>
  <si>
    <t>Time</t>
  </si>
  <si>
    <t>CLR38-02-020</t>
  </si>
  <si>
    <t>Blitar RW 01</t>
  </si>
  <si>
    <t>DOEID24031914</t>
  </si>
  <si>
    <t>DNWID0362024031904</t>
  </si>
  <si>
    <t>Master Data</t>
  </si>
  <si>
    <t>INBOUND</t>
  </si>
  <si>
    <t>OUTBOUND</t>
  </si>
  <si>
    <t>ADD REMARK</t>
  </si>
  <si>
    <t>Vendor Supplier</t>
  </si>
  <si>
    <t>ID Card</t>
  </si>
  <si>
    <t>Car Plate</t>
  </si>
  <si>
    <t>Date</t>
  </si>
  <si>
    <t>PIC WH</t>
  </si>
  <si>
    <t>PIC Warehouse</t>
  </si>
  <si>
    <t>Transaction  Type</t>
  </si>
  <si>
    <t>LOGFILE</t>
  </si>
  <si>
    <t>Nota No.</t>
  </si>
  <si>
    <t>SiteName</t>
  </si>
  <si>
    <t>REGION</t>
  </si>
  <si>
    <t>City</t>
  </si>
  <si>
    <t>Drop to CITY</t>
  </si>
  <si>
    <t>DO Number</t>
  </si>
  <si>
    <t>CLR38-01-039</t>
  </si>
  <si>
    <t>Sentul RW 09 Blitar</t>
  </si>
  <si>
    <t xml:space="preserve">East Java </t>
  </si>
  <si>
    <t>Blitar</t>
  </si>
  <si>
    <t>DOEID24031912</t>
  </si>
  <si>
    <t>DNWID0362024031903</t>
  </si>
  <si>
    <t>East Java</t>
  </si>
  <si>
    <t>DOEID24031915</t>
  </si>
  <si>
    <t>DNWID0342024031904</t>
  </si>
  <si>
    <t>CLR38-02-022</t>
  </si>
  <si>
    <t>Blitar RW 03</t>
  </si>
  <si>
    <t>DOEID24031916</t>
  </si>
  <si>
    <t>DNWID0362024031905</t>
  </si>
  <si>
    <t>DOEID24031917</t>
  </si>
  <si>
    <t>DNWID0342024031905</t>
  </si>
  <si>
    <t>CLR38-02-044</t>
  </si>
  <si>
    <t>Kepanjen Kidul RW 01 Blitar</t>
  </si>
  <si>
    <t>DOEID24031910</t>
  </si>
  <si>
    <t>DNWID0362024031902</t>
  </si>
  <si>
    <t>CLR51-99-004</t>
  </si>
  <si>
    <t>Perumahan Bumi Podo Rukun Dau</t>
  </si>
  <si>
    <t>DOEID23080182</t>
  </si>
  <si>
    <t>DNWID0342023080312</t>
  </si>
  <si>
    <t>DOEID23080181</t>
  </si>
  <si>
    <t>DNWID0362023080308</t>
  </si>
  <si>
    <t>CLR23-99-035</t>
  </si>
  <si>
    <t>Wonocatur RW 02 Ngasem</t>
  </si>
  <si>
    <t>Kediri</t>
  </si>
  <si>
    <t>DOEID230809A7</t>
  </si>
  <si>
    <t>DNWID0342023081003</t>
  </si>
  <si>
    <t>CLR23-99-036</t>
  </si>
  <si>
    <t>Wonocatur RW 03 Ngasem</t>
  </si>
  <si>
    <t>DOEID230809A9</t>
  </si>
  <si>
    <t>DNWID0342023081004</t>
  </si>
  <si>
    <t>CLR23-99-034</t>
  </si>
  <si>
    <t>Wonocatur RW 01 Ngasem</t>
  </si>
  <si>
    <t>DOEID230809A5</t>
  </si>
  <si>
    <t>DNWID0342023081005</t>
  </si>
  <si>
    <t>DOEID230809A6</t>
  </si>
  <si>
    <t>DNWID0362023081010</t>
  </si>
  <si>
    <t>DOEID230809A8</t>
  </si>
  <si>
    <t>DNWID0362023081011</t>
  </si>
  <si>
    <t>DOEID230809A4</t>
  </si>
  <si>
    <t>DNWID0362023081012</t>
  </si>
  <si>
    <t>CLR23-01-059</t>
  </si>
  <si>
    <t>Titik RW 02 Kediri</t>
  </si>
  <si>
    <t>DOEID23081468</t>
  </si>
  <si>
    <t>DNWID0342023081404</t>
  </si>
  <si>
    <t>CLR23-99-038</t>
  </si>
  <si>
    <t>Bulu RW 03 Semen</t>
  </si>
  <si>
    <t>DOEID23081463</t>
  </si>
  <si>
    <t>DNWID0342023081405</t>
  </si>
  <si>
    <t>CLR23-99-040</t>
  </si>
  <si>
    <t>Bulu RW 08 Semen</t>
  </si>
  <si>
    <t>DOEID23081466</t>
  </si>
  <si>
    <t>DNWID0342023081406</t>
  </si>
  <si>
    <t>CLR23-99-037</t>
  </si>
  <si>
    <t>Titik RW 03 Semen</t>
  </si>
  <si>
    <t>DOEID23081470</t>
  </si>
  <si>
    <t>DNWID0342023081407</t>
  </si>
  <si>
    <t>DOEID23081467</t>
  </si>
  <si>
    <t>DNWID0362023081408</t>
  </si>
  <si>
    <t>DOEID23081462</t>
  </si>
  <si>
    <t>DNWID0362023081409</t>
  </si>
  <si>
    <t>DOEID23081465</t>
  </si>
  <si>
    <t>DNWID0362023081410</t>
  </si>
  <si>
    <t>DOEID23081469</t>
  </si>
  <si>
    <t>DNWID0362023081411</t>
  </si>
  <si>
    <t>CLR22-99-042</t>
  </si>
  <si>
    <t>Mojongapit RW 04 Jombang</t>
  </si>
  <si>
    <t>Jombang</t>
  </si>
  <si>
    <t>DOEID23082911</t>
  </si>
  <si>
    <t>DNWID0342023082904</t>
  </si>
  <si>
    <t>DOEID23083119</t>
  </si>
  <si>
    <t>DNWID0342023083104</t>
  </si>
  <si>
    <t>DOEID23082910</t>
  </si>
  <si>
    <t>DNWID0362023082905</t>
  </si>
  <si>
    <t>DOEID23082909</t>
  </si>
  <si>
    <t>DNWID0342023082903</t>
  </si>
  <si>
    <t>DOEID23083121</t>
  </si>
  <si>
    <t>DNWID0342023083102</t>
  </si>
  <si>
    <t>DOEID23082837</t>
  </si>
  <si>
    <t>DNWID0362023082903</t>
  </si>
  <si>
    <t>DOEID23082907</t>
  </si>
  <si>
    <t>DNWID0362023082904</t>
  </si>
  <si>
    <t>CLR51-99-006</t>
  </si>
  <si>
    <t>Mulyorejo RW 04 Sukun</t>
  </si>
  <si>
    <t>DOEID23082835</t>
  </si>
  <si>
    <t>DNWID0342023082902</t>
  </si>
  <si>
    <t>DOEID23083120</t>
  </si>
  <si>
    <t>DNWID0342023083103</t>
  </si>
  <si>
    <t>DOEID23082834</t>
  </si>
  <si>
    <t>DNWID0362023082902</t>
  </si>
  <si>
    <t>CLR31-05-015</t>
  </si>
  <si>
    <t>Perumahan Menganti Permai</t>
  </si>
  <si>
    <t>DOEID23091127</t>
  </si>
  <si>
    <t>DNWID0342023091106</t>
  </si>
  <si>
    <t>DOEID23091126</t>
  </si>
  <si>
    <t>DNWID0362023091102</t>
  </si>
  <si>
    <t>CLR51-99-014</t>
  </si>
  <si>
    <t>Pandanlandung RW 04 Wagir</t>
  </si>
  <si>
    <t>DOEID23091556</t>
  </si>
  <si>
    <t>DNWID0342023091501</t>
  </si>
  <si>
    <t>DOEID230914AX</t>
  </si>
  <si>
    <t>DNWID0362023091402</t>
  </si>
  <si>
    <t>DOEID23091555</t>
  </si>
  <si>
    <t>DNWID0362023091501</t>
  </si>
  <si>
    <t>CLR51-99-013</t>
  </si>
  <si>
    <t>Pandanlandung RW 03 Wagir</t>
  </si>
  <si>
    <t>DOEID23091557</t>
  </si>
  <si>
    <t>DNWID0362023091502</t>
  </si>
  <si>
    <t>DOEID230918AG</t>
  </si>
  <si>
    <t>DNWID0342023091803</t>
  </si>
  <si>
    <t>DOEID230918AH</t>
  </si>
  <si>
    <t>DNWID0342023091804</t>
  </si>
  <si>
    <t>CLR51-99-007</t>
  </si>
  <si>
    <t>Mulyorejo RW 06 Sukun</t>
  </si>
  <si>
    <t>DOEID230918DY</t>
  </si>
  <si>
    <t>DNWID0342023091808</t>
  </si>
  <si>
    <t>DOEID230918DX</t>
  </si>
  <si>
    <t>DNWID0362023091803</t>
  </si>
  <si>
    <t>CLR23-99-041</t>
  </si>
  <si>
    <t>Bulu RW 01 Semen</t>
  </si>
  <si>
    <t>DOEID230919AF</t>
  </si>
  <si>
    <t>DNWID0342023091907</t>
  </si>
  <si>
    <t>CLR23-99-042</t>
  </si>
  <si>
    <t>Bulu RW 02 Semen</t>
  </si>
  <si>
    <t>DOEID230919AH</t>
  </si>
  <si>
    <t>DNWID0342023091908</t>
  </si>
  <si>
    <t>CLR23-99-039</t>
  </si>
  <si>
    <t>Bulu RW 04 Semen</t>
  </si>
  <si>
    <t>DOEID230919AJ</t>
  </si>
  <si>
    <t>DNWID0342023091909</t>
  </si>
  <si>
    <t>CLR23-01-055</t>
  </si>
  <si>
    <t>Bulu RW 05 Kediri</t>
  </si>
  <si>
    <t>DOEID230919AL</t>
  </si>
  <si>
    <t>DNWID0342023091910</t>
  </si>
  <si>
    <t>CLR23-99-044</t>
  </si>
  <si>
    <t>Bulu RW 09 Semen</t>
  </si>
  <si>
    <t>DOEID230919AN</t>
  </si>
  <si>
    <t>DNWID0342023091911</t>
  </si>
  <si>
    <t>CLR23-99-043</t>
  </si>
  <si>
    <t>Bulu RW 10 Semen</t>
  </si>
  <si>
    <t>DOEID230919AP</t>
  </si>
  <si>
    <t>DNWID0342023091912</t>
  </si>
  <si>
    <t>DOEID230919AE</t>
  </si>
  <si>
    <t>DNWID0362023091907</t>
  </si>
  <si>
    <t>DOEID230919AG</t>
  </si>
  <si>
    <t>DNWID0362023091908</t>
  </si>
  <si>
    <t>DOEID230919AI</t>
  </si>
  <si>
    <t>DNWID0362023091909</t>
  </si>
  <si>
    <t>DOEID230919AK</t>
  </si>
  <si>
    <t>DNWID0362023091910</t>
  </si>
  <si>
    <t>DOEID230919AM</t>
  </si>
  <si>
    <t>DNWID0362023091911</t>
  </si>
  <si>
    <t>DOEID230919AO</t>
  </si>
  <si>
    <t>DNWID0362023091912</t>
  </si>
  <si>
    <t>CLR51-02-001</t>
  </si>
  <si>
    <t>Puncak Dieng Exlusif</t>
  </si>
  <si>
    <t>DOEID230919BH</t>
  </si>
  <si>
    <t>DNWID0342023091906</t>
  </si>
  <si>
    <t>DOEID230919BG</t>
  </si>
  <si>
    <t>DNWID0362023091906</t>
  </si>
  <si>
    <t>DOEID23092462</t>
  </si>
  <si>
    <t>DNWID0342023092506</t>
  </si>
  <si>
    <t>DOEID23092441</t>
  </si>
  <si>
    <t>DNWID0342023092502</t>
  </si>
  <si>
    <t>DOEID23092443</t>
  </si>
  <si>
    <t>DNWID0342023092501</t>
  </si>
  <si>
    <t>DOEID23092442</t>
  </si>
  <si>
    <t>DNWID0342023092503</t>
  </si>
  <si>
    <t>DOEID23092445</t>
  </si>
  <si>
    <t>DNWID0342023092505</t>
  </si>
  <si>
    <t>DOEID23092543</t>
  </si>
  <si>
    <t>DNWID0342023092512</t>
  </si>
  <si>
    <t>DOEID230925EO</t>
  </si>
  <si>
    <t>DNWID0342023092613</t>
  </si>
  <si>
    <t>CLR31-05-027</t>
  </si>
  <si>
    <t>Randegansari RW 01</t>
  </si>
  <si>
    <t>DOEID23100391</t>
  </si>
  <si>
    <t>DNWID0342023100310</t>
  </si>
  <si>
    <t>CLR31-99-047</t>
  </si>
  <si>
    <t>Randegansari RW 02</t>
  </si>
  <si>
    <t>DOEID23100393</t>
  </si>
  <si>
    <t>DNWID0342023100311</t>
  </si>
  <si>
    <t>CLR31-99-048</t>
  </si>
  <si>
    <t>Randegansari RW 03</t>
  </si>
  <si>
    <t>DOEID23100395</t>
  </si>
  <si>
    <t>DNWID0342023100312</t>
  </si>
  <si>
    <t>CLR31-99-049</t>
  </si>
  <si>
    <t>Randegansari RW 04</t>
  </si>
  <si>
    <t>DOEID23100397</t>
  </si>
  <si>
    <t>DNWID0342023100313</t>
  </si>
  <si>
    <t>CLR31-99-050</t>
  </si>
  <si>
    <t>Randegansari RW 05</t>
  </si>
  <si>
    <t>DOEID23100399</t>
  </si>
  <si>
    <t>DNWID0342023100314</t>
  </si>
  <si>
    <t>CLR31-99-051</t>
  </si>
  <si>
    <t>Randegansari RW 06</t>
  </si>
  <si>
    <t>DOEID231003A1</t>
  </si>
  <si>
    <t>DNWID0342023100315</t>
  </si>
  <si>
    <t>CLR31-99-052</t>
  </si>
  <si>
    <t>Randegansari RW 07</t>
  </si>
  <si>
    <t>DOEID231003A3</t>
  </si>
  <si>
    <t>DNWID0342023100316</t>
  </si>
  <si>
    <t>DOEID23100390</t>
  </si>
  <si>
    <t>DNWID0362023100318</t>
  </si>
  <si>
    <t>DOEID23100392</t>
  </si>
  <si>
    <t>DNWID0362023100319</t>
  </si>
  <si>
    <t>DOEID23100394</t>
  </si>
  <si>
    <t>DNWID0362023100320</t>
  </si>
  <si>
    <t>DOEID23100396</t>
  </si>
  <si>
    <t>DNWID0362023100321</t>
  </si>
  <si>
    <t>DOEID23100398</t>
  </si>
  <si>
    <t>DNWID0362023100322</t>
  </si>
  <si>
    <t>DOEID231003A0</t>
  </si>
  <si>
    <t>DNWID0362023100323</t>
  </si>
  <si>
    <t>DOEID231003A2</t>
  </si>
  <si>
    <t>DNWID0362023100324</t>
  </si>
  <si>
    <t>DOEID23100947</t>
  </si>
  <si>
    <t>DNWID0362023100915</t>
  </si>
  <si>
    <t>DOEID23100939</t>
  </si>
  <si>
    <t>DNWID0362023100916</t>
  </si>
  <si>
    <t>DOEID23100958</t>
  </si>
  <si>
    <t>DNWID0362023100917</t>
  </si>
  <si>
    <t>DOEID23100960</t>
  </si>
  <si>
    <t>DNWID0362023100918</t>
  </si>
  <si>
    <t>DOEID23100944</t>
  </si>
  <si>
    <t>DNWID0362023100919</t>
  </si>
  <si>
    <t>DOEID23100959</t>
  </si>
  <si>
    <t>DNWID0342023100913</t>
  </si>
  <si>
    <t>DOEID23100950</t>
  </si>
  <si>
    <t>DNWID0342023100914</t>
  </si>
  <si>
    <t>DOEID23100963</t>
  </si>
  <si>
    <t>DNWID0342023100915</t>
  </si>
  <si>
    <t>DOEID23100961</t>
  </si>
  <si>
    <t>DNWID0342023100916</t>
  </si>
  <si>
    <t>DOEID23100942</t>
  </si>
  <si>
    <t>DNWID0342023100917</t>
  </si>
  <si>
    <t>DOEID23100957</t>
  </si>
  <si>
    <t>DNWID0342023100918</t>
  </si>
  <si>
    <t>DOEID23100945</t>
  </si>
  <si>
    <t>DNWID0342023100919</t>
  </si>
  <si>
    <t>DOEID23100920</t>
  </si>
  <si>
    <t>DNWID0342023100920</t>
  </si>
  <si>
    <t>DOEID231009BE</t>
  </si>
  <si>
    <t>DNWID0342023100924</t>
  </si>
  <si>
    <t>DOEID23101242</t>
  </si>
  <si>
    <t>DNWID0362023101201</t>
  </si>
  <si>
    <t>CLR23-99-061</t>
  </si>
  <si>
    <t>Desa Petok Mojo</t>
  </si>
  <si>
    <t>DOEID23101353</t>
  </si>
  <si>
    <t>DNWID0342023101306</t>
  </si>
  <si>
    <t>DOEID23101352</t>
  </si>
  <si>
    <t>DNWID0362023101308</t>
  </si>
  <si>
    <t>DOEID23101365</t>
  </si>
  <si>
    <t>DNWID0362023101314</t>
  </si>
  <si>
    <t>DOEID23101364</t>
  </si>
  <si>
    <t>DNWID0362023101313</t>
  </si>
  <si>
    <t>CLR51-99-021</t>
  </si>
  <si>
    <t>Jedong RW 09 Wagir</t>
  </si>
  <si>
    <t>DOEID231013AX</t>
  </si>
  <si>
    <t>DNWID0342023101405</t>
  </si>
  <si>
    <t>CLR51-99-017</t>
  </si>
  <si>
    <t>Sukodadi RW 01 Wagir</t>
  </si>
  <si>
    <t>DOEID23101403</t>
  </si>
  <si>
    <t>DNWID0342023101406</t>
  </si>
  <si>
    <t>CLR51-99-018</t>
  </si>
  <si>
    <t>Sukodadi RW 02 Wagir</t>
  </si>
  <si>
    <t>DOEID23101405</t>
  </si>
  <si>
    <t>DNWID0342023101407</t>
  </si>
  <si>
    <t>CLR51-99-019</t>
  </si>
  <si>
    <t>Sidorahayu RW 02 Wagir</t>
  </si>
  <si>
    <t>DOEID231013AT</t>
  </si>
  <si>
    <t>DNWID0342023101408</t>
  </si>
  <si>
    <t>CLR51-99-020</t>
  </si>
  <si>
    <t>Jedong RW 08 Wagir</t>
  </si>
  <si>
    <t>DOEID231013AV</t>
  </si>
  <si>
    <t>DNWID0342023101409</t>
  </si>
  <si>
    <t>DOEID231013AU</t>
  </si>
  <si>
    <t>DNWID0362023101401</t>
  </si>
  <si>
    <t>DOEID231013AW</t>
  </si>
  <si>
    <t>DNWID0362023101402</t>
  </si>
  <si>
    <t>DOEID23101402</t>
  </si>
  <si>
    <t>DNWID0362023101403</t>
  </si>
  <si>
    <t>DOEID23101404</t>
  </si>
  <si>
    <t>DNWID0362023101404</t>
  </si>
  <si>
    <t>DOEID231013AS</t>
  </si>
  <si>
    <t>DNWID0362023101405</t>
  </si>
  <si>
    <t>MF23-01</t>
  </si>
  <si>
    <t>Hub Feeder OLT Mojoroto Segmen 1 to Mondo</t>
  </si>
  <si>
    <t>DOEID231014AC</t>
  </si>
  <si>
    <t>DNWID0342023101413</t>
  </si>
  <si>
    <t>DOEID231014AB</t>
  </si>
  <si>
    <t>DNWID0362023101407</t>
  </si>
  <si>
    <t>CLR22-99-010</t>
  </si>
  <si>
    <t>Perumahan Bumi Mojoasri Mancilan</t>
  </si>
  <si>
    <t>DOEID23101962</t>
  </si>
  <si>
    <t>DNWID0342023102005</t>
  </si>
  <si>
    <t>CLR22-99-014</t>
  </si>
  <si>
    <t>Mancilan RW 02</t>
  </si>
  <si>
    <t>DOEID23101957</t>
  </si>
  <si>
    <t>DNWID0342023102006</t>
  </si>
  <si>
    <t>DOEID23101961</t>
  </si>
  <si>
    <t>DNWID0362023101904</t>
  </si>
  <si>
    <t>DOEID23101956</t>
  </si>
  <si>
    <t>DNWID0362023101905</t>
  </si>
  <si>
    <t>CLR31-99-033</t>
  </si>
  <si>
    <t>Hulaan RW 08 Menganti</t>
  </si>
  <si>
    <t>DOEID23102364</t>
  </si>
  <si>
    <t>DNWID0342023102317</t>
  </si>
  <si>
    <t>CLR31-05-019</t>
  </si>
  <si>
    <t>Perumahan Bukit Cemara Wangi Gresik Regency</t>
  </si>
  <si>
    <t>DOEID23102366</t>
  </si>
  <si>
    <t>DNWID0342023102318</t>
  </si>
  <si>
    <t>CLR31-99-058</t>
  </si>
  <si>
    <t>Hulaan RW 01 Menganti</t>
  </si>
  <si>
    <t>DOEID23102355</t>
  </si>
  <si>
    <t>DNWID0342023102322</t>
  </si>
  <si>
    <t>CLR31-99-035</t>
  </si>
  <si>
    <t>Hulaan RW 02 Menganti</t>
  </si>
  <si>
    <t>DOEID23102357</t>
  </si>
  <si>
    <t>DNWID0342023102323</t>
  </si>
  <si>
    <t>CLR31-99-039</t>
  </si>
  <si>
    <t>Hulaan RW 06 Menganti</t>
  </si>
  <si>
    <t>DOEID23102360</t>
  </si>
  <si>
    <t>DNWID0342023102324</t>
  </si>
  <si>
    <t>CLR31-99-032</t>
  </si>
  <si>
    <t>Hulaan RW 07 Menganti</t>
  </si>
  <si>
    <t>DOEID23102362</t>
  </si>
  <si>
    <t>DNWID0342023102325</t>
  </si>
  <si>
    <t>DOEID23102365</t>
  </si>
  <si>
    <t>DNWID0362023102312</t>
  </si>
  <si>
    <t>DOEID23102354</t>
  </si>
  <si>
    <t>DNWID0362023102317</t>
  </si>
  <si>
    <t>DOEID23102356</t>
  </si>
  <si>
    <t>DNWID0362023102318</t>
  </si>
  <si>
    <t>CLR31-05-026</t>
  </si>
  <si>
    <t>Hulaan RW 03 Menganti</t>
  </si>
  <si>
    <t>DOEID23102358</t>
  </si>
  <si>
    <t>DNWID0362023102319</t>
  </si>
  <si>
    <t>DOEID23102359</t>
  </si>
  <si>
    <t>DNWID0362023102320</t>
  </si>
  <si>
    <t>DOEID23102361</t>
  </si>
  <si>
    <t>DNWID0362023102321</t>
  </si>
  <si>
    <t>DOEID23102363</t>
  </si>
  <si>
    <t>DNWID0362023102322</t>
  </si>
  <si>
    <t>CLR23-99-053</t>
  </si>
  <si>
    <t>Mondo RW 01 Mojo</t>
  </si>
  <si>
    <t>DOEID23102348</t>
  </si>
  <si>
    <t>DNWID0342023102319</t>
  </si>
  <si>
    <t>CLR23-99-054</t>
  </si>
  <si>
    <t>Mondo RW 02 Mojo</t>
  </si>
  <si>
    <t>DOEID23102350</t>
  </si>
  <si>
    <t>DNWID0342023102320</t>
  </si>
  <si>
    <t>CLR23-99-056</t>
  </si>
  <si>
    <t>Mondo RW 04 Mojo</t>
  </si>
  <si>
    <t>DOEID23102353</t>
  </si>
  <si>
    <t>DNWID0342023102321</t>
  </si>
  <si>
    <t>DOEID23102347</t>
  </si>
  <si>
    <t>DNWID0362023102313</t>
  </si>
  <si>
    <t>DOEID23102349</t>
  </si>
  <si>
    <t>DNWID0362023102314</t>
  </si>
  <si>
    <t>CLR23-99-055</t>
  </si>
  <si>
    <t>Mondo RW 03 Mojo</t>
  </si>
  <si>
    <t>DOEID23102351</t>
  </si>
  <si>
    <t>DNWID0362023102315</t>
  </si>
  <si>
    <t>DOEID23102352</t>
  </si>
  <si>
    <t>DNWID0362023102316</t>
  </si>
  <si>
    <t>DOEID23102880</t>
  </si>
  <si>
    <t>DNWID0342023102805</t>
  </si>
  <si>
    <t>DOEID23102881</t>
  </si>
  <si>
    <t>DNWID0342023102806</t>
  </si>
  <si>
    <t>DOEID231031A2</t>
  </si>
  <si>
    <t>DNWID0342023103109</t>
  </si>
  <si>
    <t>DOEID231031A6</t>
  </si>
  <si>
    <t>DNWID0342023103110</t>
  </si>
  <si>
    <t>DOEID231031A7</t>
  </si>
  <si>
    <t>DNWID0342023103111</t>
  </si>
  <si>
    <t>DOEID231031A1</t>
  </si>
  <si>
    <t>DNWID0342023103113</t>
  </si>
  <si>
    <t>DOEID231031A5</t>
  </si>
  <si>
    <t>DNWID0342023103114</t>
  </si>
  <si>
    <t>DOEID231031A4</t>
  </si>
  <si>
    <t>DNWID0342023103116</t>
  </si>
  <si>
    <t>DOEID231031A8</t>
  </si>
  <si>
    <t>DNWID0342023103117</t>
  </si>
  <si>
    <t>DOEID23102879</t>
  </si>
  <si>
    <t>DNWID0362023102811</t>
  </si>
  <si>
    <t>DOEID23102878</t>
  </si>
  <si>
    <t>DNWID0362023102816</t>
  </si>
  <si>
    <t>DOEID23103185</t>
  </si>
  <si>
    <t>DNWID0342023103103</t>
  </si>
  <si>
    <t>DOEID23103188</t>
  </si>
  <si>
    <t>DNWID0342023103104</t>
  </si>
  <si>
    <t>DOEID23103186</t>
  </si>
  <si>
    <t>DNWID0342023103105</t>
  </si>
  <si>
    <t>DOEID23103187</t>
  </si>
  <si>
    <t>DNWID0342023103106</t>
  </si>
  <si>
    <t>DOEID23103131</t>
  </si>
  <si>
    <t>DNWID0342023103101</t>
  </si>
  <si>
    <t>DOEID23103130</t>
  </si>
  <si>
    <t>DNWID0342023103102</t>
  </si>
  <si>
    <t>CLR51-99-026</t>
  </si>
  <si>
    <t>Jedong RW 07 Wagir</t>
  </si>
  <si>
    <t>DOEID23120189</t>
  </si>
  <si>
    <t>DNWID0342023120122</t>
  </si>
  <si>
    <t>CLR22-99-069</t>
  </si>
  <si>
    <t>Dusun Penampan Sumobito</t>
  </si>
  <si>
    <t>DOEID231106CP</t>
  </si>
  <si>
    <t>DNWID0342023110701</t>
  </si>
  <si>
    <t>CLR22-99-070</t>
  </si>
  <si>
    <t>Dusun Tragal Sumobito</t>
  </si>
  <si>
    <t>DOEID231106CR</t>
  </si>
  <si>
    <t>DNWID0342023110702</t>
  </si>
  <si>
    <t>CLR22-99-059</t>
  </si>
  <si>
    <t>Babut RW 01 Sumobito</t>
  </si>
  <si>
    <t>DOEID231106CT</t>
  </si>
  <si>
    <t>DNWID0342023110703</t>
  </si>
  <si>
    <t>CLR22-99-067</t>
  </si>
  <si>
    <t>Dusun Kedungpapar Sumobito</t>
  </si>
  <si>
    <t>DOEID231106CL</t>
  </si>
  <si>
    <t>DNWID0342023110704</t>
  </si>
  <si>
    <t>CLR22-99-068</t>
  </si>
  <si>
    <t>Dusun Losari Sumobito</t>
  </si>
  <si>
    <t>DOEID231106CN</t>
  </si>
  <si>
    <t>DNWID0342023110705</t>
  </si>
  <si>
    <t>CLR22-99-060</t>
  </si>
  <si>
    <t>Babut RW 02 Sumobito</t>
  </si>
  <si>
    <t>DOEID231107B9</t>
  </si>
  <si>
    <t>DNWID0342023110706</t>
  </si>
  <si>
    <t>DOEID231106CQ</t>
  </si>
  <si>
    <t>DNWID0362023110702</t>
  </si>
  <si>
    <t>DOEID231106CS</t>
  </si>
  <si>
    <t>DNWID0362023110703</t>
  </si>
  <si>
    <t>DOEID231106CK</t>
  </si>
  <si>
    <t>DNWID0362023110705</t>
  </si>
  <si>
    <t>DOEID231106CM</t>
  </si>
  <si>
    <t>DNWID0362023110706</t>
  </si>
  <si>
    <t>DOEID231106CO</t>
  </si>
  <si>
    <t>DNWID0362023110707</t>
  </si>
  <si>
    <t>DOEID231107B8</t>
  </si>
  <si>
    <t>DNWID0362023110719</t>
  </si>
  <si>
    <t>DOEID231106CB</t>
  </si>
  <si>
    <t>DNWID0362023110701</t>
  </si>
  <si>
    <t>CLR22-99-063</t>
  </si>
  <si>
    <t>Mojodadi RW 01 Sumobito</t>
  </si>
  <si>
    <t>DOEID23110963</t>
  </si>
  <si>
    <t>DNWID0342023110901</t>
  </si>
  <si>
    <t>CLR22-99-064</t>
  </si>
  <si>
    <t>Mojodadi RW 02 Sumobito</t>
  </si>
  <si>
    <t>DOEID23110965</t>
  </si>
  <si>
    <t>DNWID0342023110902</t>
  </si>
  <si>
    <t>CLR22-99-065</t>
  </si>
  <si>
    <t>Plemahan RW 01 Sumobito</t>
  </si>
  <si>
    <t>DOEID23110967</t>
  </si>
  <si>
    <t>DNWID0342023110903</t>
  </si>
  <si>
    <t>CLR22-99-066</t>
  </si>
  <si>
    <t>Plemahan RW 02 Sumobito</t>
  </si>
  <si>
    <t>DOEID23110969</t>
  </si>
  <si>
    <t>DNWID0342023110904</t>
  </si>
  <si>
    <t>DOEID23110962</t>
  </si>
  <si>
    <t>DNWID0362023110901</t>
  </si>
  <si>
    <t>DOEID23110964</t>
  </si>
  <si>
    <t>DNWID0362023110902</t>
  </si>
  <si>
    <t>DOEID23110966</t>
  </si>
  <si>
    <t>DNWID0362023110903</t>
  </si>
  <si>
    <t>DOEID23110968</t>
  </si>
  <si>
    <t>DNWID0362023110904</t>
  </si>
  <si>
    <t>CLR23-03-014</t>
  </si>
  <si>
    <t>Darungan RW 07 Pare</t>
  </si>
  <si>
    <t>DOEID23111035</t>
  </si>
  <si>
    <t>DNWID0362023111002</t>
  </si>
  <si>
    <t>DOEID23111036</t>
  </si>
  <si>
    <t>DNWID0342023111003</t>
  </si>
  <si>
    <t>DOEID231113AY</t>
  </si>
  <si>
    <t>DNWID0342023111301</t>
  </si>
  <si>
    <t>DOEID231113AX</t>
  </si>
  <si>
    <t>DNWID0362023111303</t>
  </si>
  <si>
    <t>CLR23-03-022</t>
  </si>
  <si>
    <t>Pelem RW 04 Pare</t>
  </si>
  <si>
    <t>DOEID23111571</t>
  </si>
  <si>
    <t>DNWID0342023111502</t>
  </si>
  <si>
    <t>CLR23-03-023</t>
  </si>
  <si>
    <t>Pelem RW 05 Pare</t>
  </si>
  <si>
    <t>DOEID23111573</t>
  </si>
  <si>
    <t>DNWID0342023111503</t>
  </si>
  <si>
    <t>DOEID23111570</t>
  </si>
  <si>
    <t>DNWID0362023111517</t>
  </si>
  <si>
    <t>DOEID23111572</t>
  </si>
  <si>
    <t>DNWID0362023111518</t>
  </si>
  <si>
    <t>DOEID231117AA</t>
  </si>
  <si>
    <t>DNWID0362023111804</t>
  </si>
  <si>
    <t>CLR31-99-053</t>
  </si>
  <si>
    <t>Morowudi RW 01 Cerme</t>
  </si>
  <si>
    <t>DOEID231120C8</t>
  </si>
  <si>
    <t>DNWID0342023112101</t>
  </si>
  <si>
    <t>CLR31-99-054</t>
  </si>
  <si>
    <t>Morowudi RW 02 Cerme</t>
  </si>
  <si>
    <t>DOEID231120CA</t>
  </si>
  <si>
    <t>DNWID0342023112102</t>
  </si>
  <si>
    <t>CLR31-99-057</t>
  </si>
  <si>
    <t>Morowudi RW 05 Cerme</t>
  </si>
  <si>
    <t>DOEID231120CF</t>
  </si>
  <si>
    <t>DNWID0342023112104</t>
  </si>
  <si>
    <t>CLR31-99-056</t>
  </si>
  <si>
    <t>Morowudi RW 04 Cerme</t>
  </si>
  <si>
    <t>DOEID23112148</t>
  </si>
  <si>
    <t>DNWID0342023112110</t>
  </si>
  <si>
    <t>CLR31-99-055</t>
  </si>
  <si>
    <t>Morowudi RW 03 Cerme</t>
  </si>
  <si>
    <t>DOEID231120CB</t>
  </si>
  <si>
    <t>DNWID0362023112118</t>
  </si>
  <si>
    <t>DOEID23112147</t>
  </si>
  <si>
    <t>DNWID0362023112115</t>
  </si>
  <si>
    <t>DOEID231120C7</t>
  </si>
  <si>
    <t>DNWID0362023112116</t>
  </si>
  <si>
    <t>DOEID231120C9</t>
  </si>
  <si>
    <t>DNWID0362023112117</t>
  </si>
  <si>
    <t>DOEID231120CE</t>
  </si>
  <si>
    <t>DNWID0362023112119</t>
  </si>
  <si>
    <t>CLR31-04-044</t>
  </si>
  <si>
    <t>Domas RW 01 Menganti</t>
  </si>
  <si>
    <t>DOEID231120CH</t>
  </si>
  <si>
    <t>DNWID0342023112105</t>
  </si>
  <si>
    <t>CLR31-04-028</t>
  </si>
  <si>
    <t>Domas RW 02 Menganti</t>
  </si>
  <si>
    <t>DOEID231120CJ</t>
  </si>
  <si>
    <t>DNWID0342023112106</t>
  </si>
  <si>
    <t>CLR31-04-041</t>
  </si>
  <si>
    <t>Domas RW 03 Menganti</t>
  </si>
  <si>
    <t>DOEID231120CL</t>
  </si>
  <si>
    <t>DNWID0342023112107</t>
  </si>
  <si>
    <t>CLR31-99-042</t>
  </si>
  <si>
    <t>Domas RW 04 Menganti</t>
  </si>
  <si>
    <t>DOEID231120CN</t>
  </si>
  <si>
    <t>DNWID0342023112108</t>
  </si>
  <si>
    <t>CLR31-99-043</t>
  </si>
  <si>
    <t>Domas RW 05 Menganti</t>
  </si>
  <si>
    <t>DOEID231120CP</t>
  </si>
  <si>
    <t>DNWID0342023112109</t>
  </si>
  <si>
    <t>DOEID231120CG</t>
  </si>
  <si>
    <t>DNWID0362023112106</t>
  </si>
  <si>
    <t>DOEID231120CI</t>
  </si>
  <si>
    <t>DNWID0362023112120</t>
  </si>
  <si>
    <t>DOEID231120CK</t>
  </si>
  <si>
    <t>DNWID0362023112121</t>
  </si>
  <si>
    <t>DOEID231120CM</t>
  </si>
  <si>
    <t>DNWID0362023112122</t>
  </si>
  <si>
    <t>DOEID231120CO</t>
  </si>
  <si>
    <t>DNWID0362023112214</t>
  </si>
  <si>
    <t>DOEID23112364</t>
  </si>
  <si>
    <t>DNWID0342023112307</t>
  </si>
  <si>
    <t>DOEID23112363</t>
  </si>
  <si>
    <t>DNWID0342023112308</t>
  </si>
  <si>
    <t>DOEID23120191</t>
  </si>
  <si>
    <t>DNWID0342023120121</t>
  </si>
  <si>
    <t>DOEID23120190</t>
  </si>
  <si>
    <t>DNWID0342023120123</t>
  </si>
  <si>
    <t>DOEID231201AN</t>
  </si>
  <si>
    <t>DNWID0342023120127</t>
  </si>
  <si>
    <t>MF22-05</t>
  </si>
  <si>
    <t>Hubfeeder Kedungpapar Mojoagung Jombang</t>
  </si>
  <si>
    <t>DOEID231205BZ</t>
  </si>
  <si>
    <t>DNWID0342023120601</t>
  </si>
  <si>
    <t>DOEID231205BY</t>
  </si>
  <si>
    <t>DNWID0362023120601</t>
  </si>
  <si>
    <t>DOEID23120877</t>
  </si>
  <si>
    <t>DNWID0342023120807</t>
  </si>
  <si>
    <t>DOEID23120878</t>
  </si>
  <si>
    <t>DNWID0342023120808</t>
  </si>
  <si>
    <t>DOEID23120879</t>
  </si>
  <si>
    <t>DNWID0342023120809</t>
  </si>
  <si>
    <t>DOEID23120866</t>
  </si>
  <si>
    <t>DNWID0342023120811</t>
  </si>
  <si>
    <t>DOEID23120865</t>
  </si>
  <si>
    <t>DNWID0342023120810</t>
  </si>
  <si>
    <t>CLR30-01-041</t>
  </si>
  <si>
    <t>Dempelan RW 03 Madiun</t>
  </si>
  <si>
    <t>Madiun</t>
  </si>
  <si>
    <t>DOEID23121142</t>
  </si>
  <si>
    <t>DNWID0362023121105</t>
  </si>
  <si>
    <t>CLR30-99-027</t>
  </si>
  <si>
    <t>Dempelan RW 01 Madiun</t>
  </si>
  <si>
    <t>DOEID23121139</t>
  </si>
  <si>
    <t>DNWID0342023121101</t>
  </si>
  <si>
    <t>DOEID23121138</t>
  </si>
  <si>
    <t>DNWID0362023121103</t>
  </si>
  <si>
    <t>CLR30-99-026</t>
  </si>
  <si>
    <t>Dempelan RW 02 Madiun</t>
  </si>
  <si>
    <t>DOEID23121141</t>
  </si>
  <si>
    <t>DNWID0342023121102</t>
  </si>
  <si>
    <t>DOEID23121143</t>
  </si>
  <si>
    <t>DNWID0342023121103</t>
  </si>
  <si>
    <t>DOEID23121140</t>
  </si>
  <si>
    <t>DNWID0362023121104</t>
  </si>
  <si>
    <t>DOEID23121353</t>
  </si>
  <si>
    <t>DNWID0342023121305</t>
  </si>
  <si>
    <t>DOEID23121352</t>
  </si>
  <si>
    <t>DNWID0342023121306</t>
  </si>
  <si>
    <t>DOEID23121354</t>
  </si>
  <si>
    <t>DNWID0342023121303</t>
  </si>
  <si>
    <t>DOEID23121355</t>
  </si>
  <si>
    <t>DNWID0342023121307</t>
  </si>
  <si>
    <t>DOEID23121351</t>
  </si>
  <si>
    <t>DNWID0342023121304</t>
  </si>
  <si>
    <t>CLR22-99-007</t>
  </si>
  <si>
    <t>Pagerwojo RW 04</t>
  </si>
  <si>
    <t>DOEID231219AA</t>
  </si>
  <si>
    <t>DNWID0342023121910</t>
  </si>
  <si>
    <t>CLR22-99-072</t>
  </si>
  <si>
    <t>Pagerwojo RW 01</t>
  </si>
  <si>
    <t>DOEID231219A0</t>
  </si>
  <si>
    <t>DNWID0342023121906</t>
  </si>
  <si>
    <t>DOEID231219AL</t>
  </si>
  <si>
    <t>DNWID0342023121915</t>
  </si>
  <si>
    <t>CLR22-99-073</t>
  </si>
  <si>
    <t>Pagerwojo RW 02</t>
  </si>
  <si>
    <t>DOEID231219A1</t>
  </si>
  <si>
    <t>DNWID0342023121908</t>
  </si>
  <si>
    <t>DOEID231218BO</t>
  </si>
  <si>
    <t>DNWID0342023121813</t>
  </si>
  <si>
    <t>DOEID231218BK</t>
  </si>
  <si>
    <t>DNWID0342023121812</t>
  </si>
  <si>
    <t>DOEID231218BN</t>
  </si>
  <si>
    <t>DNWID0362023121806</t>
  </si>
  <si>
    <t>CLR22-99-074</t>
  </si>
  <si>
    <t>Pagerwojo RW 03</t>
  </si>
  <si>
    <t>DOEID231218BM</t>
  </si>
  <si>
    <t>DNWID0362023121805</t>
  </si>
  <si>
    <t>DOEID231219AQ</t>
  </si>
  <si>
    <t>DNWID0342023121921</t>
  </si>
  <si>
    <t>DOEID231218BL</t>
  </si>
  <si>
    <t>DNWID0362023121804</t>
  </si>
  <si>
    <t>DOEID231218BJ</t>
  </si>
  <si>
    <t>DNWID0362023121803</t>
  </si>
  <si>
    <t>DOEID231219AN</t>
  </si>
  <si>
    <t>DNWID0342023121920</t>
  </si>
  <si>
    <t>DOEID231219AO</t>
  </si>
  <si>
    <t>DNWID0342023121916</t>
  </si>
  <si>
    <t>DOEiD231219A7</t>
  </si>
  <si>
    <t>DNWID0342023121909</t>
  </si>
  <si>
    <t>CLR41-99-016</t>
  </si>
  <si>
    <t>Tambak Kemekaran RW 01 Sidoarjo</t>
  </si>
  <si>
    <t>Surabaya</t>
  </si>
  <si>
    <t>DOEID23121871</t>
  </si>
  <si>
    <t>DNWID0362023121808</t>
  </si>
  <si>
    <t>CLR41-99-015</t>
  </si>
  <si>
    <t>Sidomojo RW 01 Krian</t>
  </si>
  <si>
    <t>DOEID23121869</t>
  </si>
  <si>
    <t>DNWID0362023121807</t>
  </si>
  <si>
    <t>DOEID23121870</t>
  </si>
  <si>
    <t>DNWID0342023121814</t>
  </si>
  <si>
    <t>DOEID23121872</t>
  </si>
  <si>
    <t>DNWID0342023121815</t>
  </si>
  <si>
    <t>DOEID23121997</t>
  </si>
  <si>
    <t>DNWID0342023121905</t>
  </si>
  <si>
    <t>DOEID23121998</t>
  </si>
  <si>
    <t>DNWID0342023121919</t>
  </si>
  <si>
    <t>DOEID23122157</t>
  </si>
  <si>
    <t>DNWID0342023122109</t>
  </si>
  <si>
    <t>DOEID23122787</t>
  </si>
  <si>
    <t>DNWID0342023122711</t>
  </si>
  <si>
    <t>DOEID231227A8</t>
  </si>
  <si>
    <t>DNWID0362023122704</t>
  </si>
  <si>
    <t>DOEID231227A7</t>
  </si>
  <si>
    <t>DNWID0342023122710</t>
  </si>
  <si>
    <t>CLR32-99-069</t>
  </si>
  <si>
    <t>Sitirejo RW 01 Wagir</t>
  </si>
  <si>
    <t>DOEID231223A7</t>
  </si>
  <si>
    <t>DNWID0362023122308</t>
  </si>
  <si>
    <t>DOEID231223A8</t>
  </si>
  <si>
    <t>DNWID0342023122353</t>
  </si>
  <si>
    <t>CLR51-01-005</t>
  </si>
  <si>
    <t>Baturetno RW 02 Singosari Malang</t>
  </si>
  <si>
    <t>DOEID231223A6</t>
  </si>
  <si>
    <t>DNWID0342023122352</t>
  </si>
  <si>
    <t>CLR51-99-038</t>
  </si>
  <si>
    <t>Baturetno RW 03 Singosari</t>
  </si>
  <si>
    <t>DOEID231227AP</t>
  </si>
  <si>
    <t>DNWID0342023122709</t>
  </si>
  <si>
    <t>DOEID231227AO</t>
  </si>
  <si>
    <t>DNWID0362023122703</t>
  </si>
  <si>
    <t>DOEID231223A5</t>
  </si>
  <si>
    <t>DNWID0362023122307</t>
  </si>
  <si>
    <t>DOEID23122786</t>
  </si>
  <si>
    <t>DNWID0342023122714</t>
  </si>
  <si>
    <t>CLR23-03-021</t>
  </si>
  <si>
    <t>Open Area Jl Raden Ajeng Kartini Kediri</t>
  </si>
  <si>
    <t>DOEID24011051</t>
  </si>
  <si>
    <t>DNWID0342024011019</t>
  </si>
  <si>
    <t>CLR23-03-003</t>
  </si>
  <si>
    <t>Bendo RW 11 Pare</t>
  </si>
  <si>
    <t>DOEID24011043</t>
  </si>
  <si>
    <t>DNWID0342024011020</t>
  </si>
  <si>
    <t>CLR23-03-020</t>
  </si>
  <si>
    <t>Open Area Jl Soekarno Hatta Pare</t>
  </si>
  <si>
    <t>DOEID24011049</t>
  </si>
  <si>
    <t>DNWID0342024011018</t>
  </si>
  <si>
    <t>CLR23-03-006</t>
  </si>
  <si>
    <t>Bendo RW 12 Pare</t>
  </si>
  <si>
    <t>DOEID24011045</t>
  </si>
  <si>
    <t>DNWID0342024011017</t>
  </si>
  <si>
    <t>CLR23-03-011</t>
  </si>
  <si>
    <t>Open Area Jl Langkat Pelem Pare</t>
  </si>
  <si>
    <t>DOEID24011047</t>
  </si>
  <si>
    <t>DNWID0342024011021</t>
  </si>
  <si>
    <t>CLR23-03-005</t>
  </si>
  <si>
    <t>Pelem RW 17 Pare</t>
  </si>
  <si>
    <t>DOEID24010978</t>
  </si>
  <si>
    <t>DNWID0342024010906</t>
  </si>
  <si>
    <t>CLR23-03-007</t>
  </si>
  <si>
    <t>Open Area Jl Raya Buluampal Pare Kediri</t>
  </si>
  <si>
    <t>DOEID24010976</t>
  </si>
  <si>
    <t>DNWID0342024010905</t>
  </si>
  <si>
    <t>DOEID24011048</t>
  </si>
  <si>
    <t>DNWID0362024011013</t>
  </si>
  <si>
    <t>DOEID24011050</t>
  </si>
  <si>
    <t>DNWID0362024011014</t>
  </si>
  <si>
    <t>DOEID24011044</t>
  </si>
  <si>
    <t>DNWID0362024011016</t>
  </si>
  <si>
    <t>DOEID24010977</t>
  </si>
  <si>
    <t>DNWID0362024010918</t>
  </si>
  <si>
    <t>DOEID24010975</t>
  </si>
  <si>
    <t>DNWID0362024010917</t>
  </si>
  <si>
    <t>DOEID24011042</t>
  </si>
  <si>
    <t>DNWID0362024011015</t>
  </si>
  <si>
    <t>DOEID24011046</t>
  </si>
  <si>
    <t>DNWID0362024011012</t>
  </si>
  <si>
    <t>CLR30-99-035</t>
  </si>
  <si>
    <t>Nglanduk RW 04 Wungu</t>
  </si>
  <si>
    <t>DOEID24011208</t>
  </si>
  <si>
    <t>DNWID0342024011203</t>
  </si>
  <si>
    <t>CLR30-99-033</t>
  </si>
  <si>
    <t>Nglanduk RW 02 Wungu</t>
  </si>
  <si>
    <t>DOEID24011204</t>
  </si>
  <si>
    <t>DNWID0342024011206</t>
  </si>
  <si>
    <t>CLR30-99-036</t>
  </si>
  <si>
    <t>Nglanduk RW 05 Wungu</t>
  </si>
  <si>
    <t>DOEID24011210</t>
  </si>
  <si>
    <t>DNWID0342024011204</t>
  </si>
  <si>
    <t>CLR30-99-034</t>
  </si>
  <si>
    <t>Nglanduk RW 03 Wungu</t>
  </si>
  <si>
    <t>DOEID24011206</t>
  </si>
  <si>
    <t>DNWID0342024011202</t>
  </si>
  <si>
    <t>CLR30-99-031</t>
  </si>
  <si>
    <t>Nglanduk RW 01 Wungu</t>
  </si>
  <si>
    <t>DOEID24011202</t>
  </si>
  <si>
    <t>DNWID0342024011205</t>
  </si>
  <si>
    <t>DOEID24011203</t>
  </si>
  <si>
    <t>DNWID0362024011205</t>
  </si>
  <si>
    <t>DOEID24011209</t>
  </si>
  <si>
    <t>DNWID0362024011203</t>
  </si>
  <si>
    <t>DOEID24011207</t>
  </si>
  <si>
    <t>DNWID0362024011202</t>
  </si>
  <si>
    <t>DOEID240112BX</t>
  </si>
  <si>
    <t>DNWID0362024011307</t>
  </si>
  <si>
    <t>DOEID24011201</t>
  </si>
  <si>
    <t>DNWID0362024011204</t>
  </si>
  <si>
    <t>DOEID24011205</t>
  </si>
  <si>
    <t>DNWID0362024011206</t>
  </si>
  <si>
    <t>DOEID24011631</t>
  </si>
  <si>
    <t>DNWID0342024011601</t>
  </si>
  <si>
    <t>CLR29-99-153</t>
  </si>
  <si>
    <t>Perumahan Pondok Mutiara Malang</t>
  </si>
  <si>
    <t>DOEID24011539</t>
  </si>
  <si>
    <t>DNWID0362024011512</t>
  </si>
  <si>
    <t>DOEID24011211</t>
  </si>
  <si>
    <t>DNWID0362024011201</t>
  </si>
  <si>
    <t>MF51-01</t>
  </si>
  <si>
    <t>Hubfedeer Baturetno RW 02</t>
  </si>
  <si>
    <t>DOEID24011534</t>
  </si>
  <si>
    <t>DNWID0362024011514</t>
  </si>
  <si>
    <t>CLR51-99-066</t>
  </si>
  <si>
    <t>Tamanharjo RW 04 Singosari</t>
  </si>
  <si>
    <t>DOEID24011541</t>
  </si>
  <si>
    <t>DNWID0362024011513</t>
  </si>
  <si>
    <t>DOEID24011542</t>
  </si>
  <si>
    <t>DNWID0342024011502</t>
  </si>
  <si>
    <t>DOEID24010324</t>
  </si>
  <si>
    <t>DNWID0342024010304</t>
  </si>
  <si>
    <t>DOEID24010323</t>
  </si>
  <si>
    <t>DNWID0342024010302</t>
  </si>
  <si>
    <t>DOEID24011537</t>
  </si>
  <si>
    <t>DNWID0342024011503</t>
  </si>
  <si>
    <t>DOEID24010322</t>
  </si>
  <si>
    <t>DNWID0342024010303</t>
  </si>
  <si>
    <t>DOEID24011540</t>
  </si>
  <si>
    <t>DNWID0342024011501</t>
  </si>
  <si>
    <t>CLR31-99-020</t>
  </si>
  <si>
    <t>Dahanrejo RW 04</t>
  </si>
  <si>
    <t>DOEID24011953</t>
  </si>
  <si>
    <t>DNWID0342024011903</t>
  </si>
  <si>
    <t>CLR31-04-030</t>
  </si>
  <si>
    <t>Gempolkurung RW 01 Menganti</t>
  </si>
  <si>
    <t>DOEID24011951</t>
  </si>
  <si>
    <t>DNWID0342024011902</t>
  </si>
  <si>
    <t>DOEID24011950</t>
  </si>
  <si>
    <t>DNWID0362024011904</t>
  </si>
  <si>
    <t>DOEID24011952</t>
  </si>
  <si>
    <t>DNWID0362024011905</t>
  </si>
  <si>
    <t>DOEID240111AT</t>
  </si>
  <si>
    <t>DNWID0342024011104</t>
  </si>
  <si>
    <t>CLR31-99-066</t>
  </si>
  <si>
    <t>Gempolkurung RW 02 Menganti</t>
  </si>
  <si>
    <t>DOEID240205BZ</t>
  </si>
  <si>
    <t>DNWID0362024020611</t>
  </si>
  <si>
    <t>DOEID240205C0</t>
  </si>
  <si>
    <t>DNWID0342024020609</t>
  </si>
  <si>
    <t>CLR37-01-002</t>
  </si>
  <si>
    <t>Ngadirejo RW 05 Ngawi</t>
  </si>
  <si>
    <t>Ngawi</t>
  </si>
  <si>
    <t>DOEID240205BV</t>
  </si>
  <si>
    <t>DNWID0362024020609</t>
  </si>
  <si>
    <t>DOEID240205BW</t>
  </si>
  <si>
    <t>DNWID0342024020607</t>
  </si>
  <si>
    <t>CLR37-01-010</t>
  </si>
  <si>
    <t>Perumahan Bumi Karangasri RW 13 Ngawi</t>
  </si>
  <si>
    <t>DOEID240205BY</t>
  </si>
  <si>
    <t>DNWID0342024020608</t>
  </si>
  <si>
    <t>DOEID240205BX</t>
  </si>
  <si>
    <t>DNWID0362024020610</t>
  </si>
  <si>
    <t>DOEID240206BF</t>
  </si>
  <si>
    <t>DNWID0342024020732</t>
  </si>
  <si>
    <t>CLR22-99-105</t>
  </si>
  <si>
    <t>Palrejo RW 03 Sumobito</t>
  </si>
  <si>
    <t>DOEID24020739</t>
  </si>
  <si>
    <t>DNWID0362024020721</t>
  </si>
  <si>
    <t>DOEID24020740</t>
  </si>
  <si>
    <t>DNWID0342024020724</t>
  </si>
  <si>
    <t>CLR22-99-106</t>
  </si>
  <si>
    <t>Palrejo RW 02 Sumobito</t>
  </si>
  <si>
    <t>DOEID24020738</t>
  </si>
  <si>
    <t>DNWID0342024020723</t>
  </si>
  <si>
    <t>DOEID240206BG</t>
  </si>
  <si>
    <t>DNWID0342024020727</t>
  </si>
  <si>
    <t>CLR22-99-099</t>
  </si>
  <si>
    <t>Palrejo RW 01 Sumobito</t>
  </si>
  <si>
    <t>DOEID24020736</t>
  </si>
  <si>
    <t>DNWID0342024020722</t>
  </si>
  <si>
    <t>DOEID240206BH</t>
  </si>
  <si>
    <t>DNWID0342024020730</t>
  </si>
  <si>
    <t>DOEID24020735</t>
  </si>
  <si>
    <t>DNWID0362024020719</t>
  </si>
  <si>
    <t>DOEID24020737</t>
  </si>
  <si>
    <t>DNWID0362024020720</t>
  </si>
  <si>
    <t>CLR51-99-067</t>
  </si>
  <si>
    <t>Bandulan RW 08 Sukun</t>
  </si>
  <si>
    <t>DOEID24021519</t>
  </si>
  <si>
    <t>DNWID0342024021506</t>
  </si>
  <si>
    <t>DOEID24021518</t>
  </si>
  <si>
    <t>DNWID0362024021507</t>
  </si>
  <si>
    <t>CLR51-99-083</t>
  </si>
  <si>
    <t>Dengkol RW 03 Singosari Malang</t>
  </si>
  <si>
    <t>DOEID24021523</t>
  </si>
  <si>
    <t>DNWID0342024021509</t>
  </si>
  <si>
    <t>CLR51-99-078</t>
  </si>
  <si>
    <t>Bumiayu RW 03 Kedungkandang</t>
  </si>
  <si>
    <t>DOEID24021520</t>
  </si>
  <si>
    <t>DNWID0362024021508</t>
  </si>
  <si>
    <t>CLR51-99-082</t>
  </si>
  <si>
    <t>Dengkol RW 02 Singosari Malang</t>
  </si>
  <si>
    <t>DOEID24021522</t>
  </si>
  <si>
    <t>DNWID0342024021508</t>
  </si>
  <si>
    <t>DOEID24021521</t>
  </si>
  <si>
    <t>DNWID0342024021507</t>
  </si>
  <si>
    <t>CLR22-99-098</t>
  </si>
  <si>
    <t>Sumberwaru RW 02 Sumobito</t>
  </si>
  <si>
    <t>DOEID24022003</t>
  </si>
  <si>
    <t>DNWID0362024022002</t>
  </si>
  <si>
    <t>CLR22-99-097</t>
  </si>
  <si>
    <t>Sumberwaru RW 01 Sumobito</t>
  </si>
  <si>
    <t>DOEID24022002</t>
  </si>
  <si>
    <t>DNWID0342024022001</t>
  </si>
  <si>
    <t>CLR23-01-056</t>
  </si>
  <si>
    <t>Bobang RW 04 Kediri</t>
  </si>
  <si>
    <t>DOEID240219B9</t>
  </si>
  <si>
    <t>DNWID0342024022007</t>
  </si>
  <si>
    <t>DOEID24022001</t>
  </si>
  <si>
    <t>DNWID0362024022001</t>
  </si>
  <si>
    <t>DOEID24022004</t>
  </si>
  <si>
    <t>DNWID0342024022002</t>
  </si>
  <si>
    <t>CLR37-01-009</t>
  </si>
  <si>
    <t>Perumahan Griya Prandon Permai Ngawi</t>
  </si>
  <si>
    <t>DOEID240219BD</t>
  </si>
  <si>
    <t>DNWID0342024022008</t>
  </si>
  <si>
    <t>DOEID240219BC</t>
  </si>
  <si>
    <t>DNWID0362024022011</t>
  </si>
  <si>
    <t>CLR37-01-003</t>
  </si>
  <si>
    <t>Ketanggi RW 04 Ngawi</t>
  </si>
  <si>
    <t>DOEID240219BB</t>
  </si>
  <si>
    <t>DNWID0342024022009</t>
  </si>
  <si>
    <t>DOEID240219BA</t>
  </si>
  <si>
    <t>DNWID0362024022010</t>
  </si>
  <si>
    <t>DOEID240219B8</t>
  </si>
  <si>
    <t>DNWID0362024022009</t>
  </si>
  <si>
    <t>CLR31-99-044</t>
  </si>
  <si>
    <t>Putat Lor RW 01 Menganti</t>
  </si>
  <si>
    <t>DOEID24021525</t>
  </si>
  <si>
    <t>DNWID0342024021510</t>
  </si>
  <si>
    <t>CLR31-99-045</t>
  </si>
  <si>
    <t>Putat Lor RW 02 Menganti</t>
  </si>
  <si>
    <t>DOEID24021527</t>
  </si>
  <si>
    <t>DNWID0342024021511</t>
  </si>
  <si>
    <t>DOEID24021524</t>
  </si>
  <si>
    <t>DNWID0362024021509</t>
  </si>
  <si>
    <t>DOEID24021526</t>
  </si>
  <si>
    <t>DNWID0362024021510</t>
  </si>
  <si>
    <t>CLR31-99-072</t>
  </si>
  <si>
    <t>Petiken RW 06</t>
  </si>
  <si>
    <t>DOEID240219BN</t>
  </si>
  <si>
    <t>DNWID0362024022008</t>
  </si>
  <si>
    <t>CLR31-99-069</t>
  </si>
  <si>
    <t>Petiken RW 03</t>
  </si>
  <si>
    <t>DOEID240219BI</t>
  </si>
  <si>
    <t>DNWID0342024022003</t>
  </si>
  <si>
    <t>CLR31-05-032</t>
  </si>
  <si>
    <t>Petiken RW 01</t>
  </si>
  <si>
    <t>DOEID240219BF</t>
  </si>
  <si>
    <t>DNWID0342024022004</t>
  </si>
  <si>
    <t>CLR31-99-070</t>
  </si>
  <si>
    <t>Petiken RW 04</t>
  </si>
  <si>
    <t>DOEID240219BK</t>
  </si>
  <si>
    <t>DNWID0342024022005</t>
  </si>
  <si>
    <t>DOEID240219BE</t>
  </si>
  <si>
    <t>DNWID0362024022003</t>
  </si>
  <si>
    <t>CLR31-99-071</t>
  </si>
  <si>
    <t>Petiken RW 05</t>
  </si>
  <si>
    <t>DOEID240219BM</t>
  </si>
  <si>
    <t>DNWID0342024022006</t>
  </si>
  <si>
    <t>CLR31-05-031</t>
  </si>
  <si>
    <t>Petiken RW 02</t>
  </si>
  <si>
    <t>DOEID240219BG</t>
  </si>
  <si>
    <t>DNWID0362024022004</t>
  </si>
  <si>
    <t>DOEID240219BL</t>
  </si>
  <si>
    <t>DNWID0362024022007</t>
  </si>
  <si>
    <t>DOEID240219BJ</t>
  </si>
  <si>
    <t>DNWID0362024022006</t>
  </si>
  <si>
    <t>DOEID240219BH</t>
  </si>
  <si>
    <t>DNWID0362024022005</t>
  </si>
  <si>
    <t>CLR31-04-056</t>
  </si>
  <si>
    <t>Gempolkurung RW 06 Menganti</t>
  </si>
  <si>
    <t>DOEID240226CA</t>
  </si>
  <si>
    <t>DNWID0362024022701</t>
  </si>
  <si>
    <t>DOEID240226CB</t>
  </si>
  <si>
    <t>DNWID0342024022617</t>
  </si>
  <si>
    <t>DOEID240226CC</t>
  </si>
  <si>
    <t>DNWID0342024022615</t>
  </si>
  <si>
    <t>CLR51-99-079</t>
  </si>
  <si>
    <t>Bumiayu RW 05 Kedungkandang</t>
  </si>
  <si>
    <t>DOEID240226C9</t>
  </si>
  <si>
    <t>DNWID0342024022616</t>
  </si>
  <si>
    <t>DOEID240226C8</t>
  </si>
  <si>
    <t>DNWID0362024022659</t>
  </si>
  <si>
    <t>CLR38-02-043</t>
  </si>
  <si>
    <t>Kepanjen Lor RW 01 Blitar</t>
  </si>
  <si>
    <t>DOEID240229BL</t>
  </si>
  <si>
    <t>DNWID0342024022916</t>
  </si>
  <si>
    <t>CLR38-01-035</t>
  </si>
  <si>
    <t>Kepanjen Lor RW 04 Blitar</t>
  </si>
  <si>
    <t>DOEID240229BO</t>
  </si>
  <si>
    <t>DNWID0342024022917</t>
  </si>
  <si>
    <t>DOEID240229BK</t>
  </si>
  <si>
    <t>DNWID0362024022924</t>
  </si>
  <si>
    <t>CLR38-01-034</t>
  </si>
  <si>
    <t>Kepanjen Lor RW 03 Blitar</t>
  </si>
  <si>
    <t>DOEID240229BM</t>
  </si>
  <si>
    <t>DNWID0362024022925</t>
  </si>
  <si>
    <t>DOEID240229BN</t>
  </si>
  <si>
    <t>DNWID0362024022920</t>
  </si>
  <si>
    <t>CLR31-05-023</t>
  </si>
  <si>
    <t>Kesambenwetan RW 01 Driyorejo</t>
  </si>
  <si>
    <t>DOEID240229BG</t>
  </si>
  <si>
    <t>DNWID0362024022922</t>
  </si>
  <si>
    <t>CLR41-03-041</t>
  </si>
  <si>
    <t>Perumahan Griya Permata Tempel Indah Krian</t>
  </si>
  <si>
    <t>DOEID240229BE</t>
  </si>
  <si>
    <t>DNWID0362024022921</t>
  </si>
  <si>
    <t>CLR31-05-024</t>
  </si>
  <si>
    <t>Kesambenwetan RW 02 Driyorejo</t>
  </si>
  <si>
    <t>DOEID240229BJ</t>
  </si>
  <si>
    <t>DNWID0342024022915</t>
  </si>
  <si>
    <t>DOEID240229BF</t>
  </si>
  <si>
    <t>DNWID0342024022913</t>
  </si>
  <si>
    <t>DOEID240229BH</t>
  </si>
  <si>
    <t>DNWID0342024022914</t>
  </si>
  <si>
    <t>DOEID240229BI</t>
  </si>
  <si>
    <t>DNWID0362024022923</t>
  </si>
  <si>
    <t>DOEID240304BK</t>
  </si>
  <si>
    <t>DNWID0342024030504</t>
  </si>
  <si>
    <t>DOEID240304BQ</t>
  </si>
  <si>
    <t>DNWID0342024030503</t>
  </si>
  <si>
    <t>DOEID240304BS</t>
  </si>
  <si>
    <t>DNWID0342024030509</t>
  </si>
  <si>
    <t>DOEID240304BV</t>
  </si>
  <si>
    <t>DNWID0342024030506</t>
  </si>
  <si>
    <t>DOEID240304BW</t>
  </si>
  <si>
    <t>DNWID0342024030501</t>
  </si>
  <si>
    <t>DOEID240304BY</t>
  </si>
  <si>
    <t>DNWID0342024030502</t>
  </si>
  <si>
    <t>DOEID240304BZ</t>
  </si>
  <si>
    <t>DNWID0342024030423</t>
  </si>
  <si>
    <t>DOEID240304C0</t>
  </si>
  <si>
    <t>DNWID0342024030424</t>
  </si>
  <si>
    <t>DOEID240304BJ</t>
  </si>
  <si>
    <t>DNWID0342024030507</t>
  </si>
  <si>
    <t>DOEID240304BN</t>
  </si>
  <si>
    <t>DNWID0342024030505</t>
  </si>
  <si>
    <t>DOEID240304BM</t>
  </si>
  <si>
    <t>DNWID0342024030510</t>
  </si>
  <si>
    <t>DOEID240314DW</t>
  </si>
  <si>
    <t>DNWID0342024031504</t>
  </si>
  <si>
    <t>DOEID240314DX</t>
  </si>
  <si>
    <t>DNWID0342024031509</t>
  </si>
  <si>
    <t>DOEID240314DV</t>
  </si>
  <si>
    <t>DNWID0342024031503</t>
  </si>
  <si>
    <t>CLR51-99-010</t>
  </si>
  <si>
    <t>Pandanlandung RW 05 Wagir</t>
  </si>
  <si>
    <t>DOEID240314CT</t>
  </si>
  <si>
    <t>DNWID0362024031503</t>
  </si>
  <si>
    <t>DOEID240314CU</t>
  </si>
  <si>
    <t>DNWID0342024031511</t>
  </si>
  <si>
    <t>CLR51-99-073</t>
  </si>
  <si>
    <t>Dalisodo RW 01 Wagir</t>
  </si>
  <si>
    <t>DOEID240314CV</t>
  </si>
  <si>
    <t>DNWID0362024031504</t>
  </si>
  <si>
    <t>DOEID240314CW</t>
  </si>
  <si>
    <t>DNWID0342024031512</t>
  </si>
  <si>
    <t>CLR51-99-074</t>
  </si>
  <si>
    <t>Dalisodo RW 02 Wagir</t>
  </si>
  <si>
    <t>DOEID240314CX</t>
  </si>
  <si>
    <t>DNWID0362024031505</t>
  </si>
  <si>
    <t>DOEID240314CY</t>
  </si>
  <si>
    <t>DNWID0342024031513</t>
  </si>
  <si>
    <t>CLR51-99-075</t>
  </si>
  <si>
    <t>Dalisodo RW 03 Wagir</t>
  </si>
  <si>
    <t>DOEID240314CZ</t>
  </si>
  <si>
    <t>DNWID0362024031506</t>
  </si>
  <si>
    <t>CLR51-99-076</t>
  </si>
  <si>
    <t>Dalisodo RW 04 Wagir</t>
  </si>
  <si>
    <t>DOEID240314D1</t>
  </si>
  <si>
    <t>DNWID0362024031507</t>
  </si>
  <si>
    <t>DOEID240314D2</t>
  </si>
  <si>
    <t>DNWID0342024031514</t>
  </si>
  <si>
    <t>CLR51-99-077</t>
  </si>
  <si>
    <t>Dalisodo RW 05 Wagir</t>
  </si>
  <si>
    <t>DOEID240314D3</t>
  </si>
  <si>
    <t>DNWID0362024031508</t>
  </si>
  <si>
    <t>DOEID240314D4</t>
  </si>
  <si>
    <t>DNWID0342024031506</t>
  </si>
  <si>
    <t>CLR31-99-073</t>
  </si>
  <si>
    <t>Putat Lor RW 04 Menganti</t>
  </si>
  <si>
    <t>DOEID240314D5</t>
  </si>
  <si>
    <t>DNWID0362024031509</t>
  </si>
  <si>
    <t>DOEID240314D6</t>
  </si>
  <si>
    <t>DNWID0762024031501</t>
  </si>
  <si>
    <t>DOEID240314D7</t>
  </si>
  <si>
    <t>DNWID0342024031515</t>
  </si>
  <si>
    <t>CLR31-99-074</t>
  </si>
  <si>
    <t>Putat Lor RW 03 Menganti</t>
  </si>
  <si>
    <t>DOEID240314D8</t>
  </si>
  <si>
    <t>DNWID0362024031510</t>
  </si>
  <si>
    <t>DOEID240314D9</t>
  </si>
  <si>
    <t>DNWID0762024031502</t>
  </si>
  <si>
    <t>DOEID240314DA</t>
  </si>
  <si>
    <t>DNWID0342024031516</t>
  </si>
  <si>
    <t>DOEID240314DU</t>
  </si>
  <si>
    <t>DNWID0342024031502</t>
  </si>
  <si>
    <t>DOEID240314DZ</t>
  </si>
  <si>
    <t>DNWID0342024031510</t>
  </si>
  <si>
    <t>DOEID240314E0</t>
  </si>
  <si>
    <t>DNWID0342024031508</t>
  </si>
  <si>
    <t>DOEID240314D0</t>
  </si>
  <si>
    <t>DNWID0342024031505</t>
  </si>
  <si>
    <t>DOEID240314DQ</t>
  </si>
  <si>
    <t>DNWID0362024031501</t>
  </si>
  <si>
    <t>DOEID240314DR</t>
  </si>
  <si>
    <t>DNWID0342024031501</t>
  </si>
  <si>
    <t>DOEID240314DS</t>
  </si>
  <si>
    <t>DNWID0362024031502</t>
  </si>
  <si>
    <t>DOEID240314DY</t>
  </si>
  <si>
    <t>DNWID0342024031507</t>
  </si>
  <si>
    <t>DOEID24031913</t>
  </si>
  <si>
    <t>DNWID0342024031903</t>
  </si>
  <si>
    <t>DOEID24031911</t>
  </si>
  <si>
    <t>DNWID0342024031902</t>
  </si>
  <si>
    <t>CLR51-99-040</t>
  </si>
  <si>
    <t>Tunjungtirto RW 08 Singosari</t>
  </si>
  <si>
    <t>DOEID24031923</t>
  </si>
  <si>
    <t>DNWID0342024031908</t>
  </si>
  <si>
    <t>CLR51-99-034</t>
  </si>
  <si>
    <t>Tanjungtirto RW 05 Singosari</t>
  </si>
  <si>
    <t>DOEID24031920</t>
  </si>
  <si>
    <t>DNWID0362024031907</t>
  </si>
  <si>
    <t>DOEID24031922</t>
  </si>
  <si>
    <t>DNWID0362024031908</t>
  </si>
  <si>
    <t>CLR51-99-039</t>
  </si>
  <si>
    <t>Tunjungtirto RW 01 Singosari</t>
  </si>
  <si>
    <t>DOEID24031919</t>
  </si>
  <si>
    <t>DNWID0342024031906</t>
  </si>
  <si>
    <t>DOEID24031918</t>
  </si>
  <si>
    <t>DNWID0362024031906</t>
  </si>
  <si>
    <t>DOEID24031921</t>
  </si>
  <si>
    <t>DNWID0342024031907</t>
  </si>
  <si>
    <t>CLR22-99-116</t>
  </si>
  <si>
    <t>Karobelah RW 01 Mojoagung</t>
  </si>
  <si>
    <t>DOEID24032037</t>
  </si>
  <si>
    <t>DNWID0762024032002</t>
  </si>
  <si>
    <t>CLR22-99-118</t>
  </si>
  <si>
    <t>Karobelah RW 03 Mojoagung</t>
  </si>
  <si>
    <t>DOEID24032041</t>
  </si>
  <si>
    <t>DNWID0762024032001</t>
  </si>
  <si>
    <t>CLR22-99-120</t>
  </si>
  <si>
    <t>Karobelah RW 05 Mojoagung</t>
  </si>
  <si>
    <t>DOEID24031932</t>
  </si>
  <si>
    <t>DNWID0362024032019</t>
  </si>
  <si>
    <t>CLR22-99-121</t>
  </si>
  <si>
    <t>Karobelah RW 06 Mojoagung</t>
  </si>
  <si>
    <t>DOEID24031935</t>
  </si>
  <si>
    <t>DNWID0342024031914</t>
  </si>
  <si>
    <t>CLR22-99-117</t>
  </si>
  <si>
    <t>Karobelah RW 02 Mojoagung</t>
  </si>
  <si>
    <t>DOEID24031926</t>
  </si>
  <si>
    <t>DNWID0362024031910</t>
  </si>
  <si>
    <t>CLR22-99-119</t>
  </si>
  <si>
    <t>Karobelah RW 04 Mojoagung</t>
  </si>
  <si>
    <t>DOEID24031930</t>
  </si>
  <si>
    <t>DNWID0362024032018</t>
  </si>
  <si>
    <t>DOEID24031931</t>
  </si>
  <si>
    <t>DNWID0342024031912</t>
  </si>
  <si>
    <t>DOEID24031934</t>
  </si>
  <si>
    <t>DNWID0362024032020</t>
  </si>
  <si>
    <t>DOEID24031933</t>
  </si>
  <si>
    <t>DNWID0342024031913</t>
  </si>
  <si>
    <t>DOEID24032036</t>
  </si>
  <si>
    <t>DNWID0362024032021</t>
  </si>
  <si>
    <t>DOEID24031927</t>
  </si>
  <si>
    <t>DNWID0342024031910</t>
  </si>
  <si>
    <t>DOEID24032040</t>
  </si>
  <si>
    <t>DNWID0362024032016</t>
  </si>
  <si>
    <t>DOEID24032038</t>
  </si>
  <si>
    <t>DNWID0342024032003</t>
  </si>
  <si>
    <t>DOEID24032042</t>
  </si>
  <si>
    <t>DNWID0342024032001</t>
  </si>
  <si>
    <t>DOEID240322BC</t>
  </si>
  <si>
    <t>DNWID0342024032220</t>
  </si>
  <si>
    <t>DOEID240322BD</t>
  </si>
  <si>
    <t>DNWID0342024032219</t>
  </si>
  <si>
    <t>DOEID24032780</t>
  </si>
  <si>
    <t>DNWID0342024032709</t>
  </si>
  <si>
    <t>DOEID24032779</t>
  </si>
  <si>
    <t>DNWID0342024032707</t>
  </si>
  <si>
    <t>CLR31-05-040</t>
  </si>
  <si>
    <t>Mojotengah RW 06 Menganti</t>
  </si>
  <si>
    <t>DOEID240416AY</t>
  </si>
  <si>
    <t>DNWID0362024041712</t>
  </si>
  <si>
    <t>CLR31-05-039</t>
  </si>
  <si>
    <t>Mojotengah RW 05 Menganti</t>
  </si>
  <si>
    <t>DOEID240416AV</t>
  </si>
  <si>
    <t>DNWID0362024041711</t>
  </si>
  <si>
    <t>CLR31-05-033</t>
  </si>
  <si>
    <t>Sumput RW 02 Driyorejo</t>
  </si>
  <si>
    <t>DOEID240416B4</t>
  </si>
  <si>
    <t>DNWID0362024041709</t>
  </si>
  <si>
    <t>CLR31-04-033</t>
  </si>
  <si>
    <t>Mojotengah RW 02 Menganti</t>
  </si>
  <si>
    <t>DOEID240416AR</t>
  </si>
  <si>
    <t>DNWID0362024041710</t>
  </si>
  <si>
    <t>CLR31-05-029</t>
  </si>
  <si>
    <t>Sumput RW 01 Driyorejo</t>
  </si>
  <si>
    <t>DOEID240416B2</t>
  </si>
  <si>
    <t>DNWID0362024041708</t>
  </si>
  <si>
    <t>CLR31-05-041</t>
  </si>
  <si>
    <t>Mojotengah RW 07 Menganti</t>
  </si>
  <si>
    <t>DOEID240416B0</t>
  </si>
  <si>
    <t>DNWID0362024041713</t>
  </si>
  <si>
    <t>CLR31-05-042</t>
  </si>
  <si>
    <t>Mojotengah RW 01 Menganti</t>
  </si>
  <si>
    <t>DOEID240416AO</t>
  </si>
  <si>
    <t>DNWID0362024041714</t>
  </si>
  <si>
    <t>CLR31-05-043</t>
  </si>
  <si>
    <t>Mojotengah RW 03 Menganti</t>
  </si>
  <si>
    <t>DOEID240416AT</t>
  </si>
  <si>
    <t>DNWID0362024041715</t>
  </si>
  <si>
    <t>CLR31-05-021</t>
  </si>
  <si>
    <t>Sumput RW 03 Driyorejo</t>
  </si>
  <si>
    <t>DOEID240416B7</t>
  </si>
  <si>
    <t>DNWID0362024041716</t>
  </si>
  <si>
    <t>CLR31-05-035</t>
  </si>
  <si>
    <t>Sumput RW 05 Driyorejo</t>
  </si>
  <si>
    <t>DOEID240416BB</t>
  </si>
  <si>
    <t>DNWID0762024041704</t>
  </si>
  <si>
    <t>DOEID240416B5</t>
  </si>
  <si>
    <t>DNWID0762024041701</t>
  </si>
  <si>
    <t>DOEID240416AP</t>
  </si>
  <si>
    <t>DNWID0762024041702</t>
  </si>
  <si>
    <t>DOEID240416AW</t>
  </si>
  <si>
    <t>DNWID0762024041703</t>
  </si>
  <si>
    <t>DOEID240416BA</t>
  </si>
  <si>
    <t>DNWID0362024041717</t>
  </si>
  <si>
    <t>DOEID240416AZ</t>
  </si>
  <si>
    <t>DNWID0342024041723</t>
  </si>
  <si>
    <t>DOEID240416B1</t>
  </si>
  <si>
    <t>DNWID0342024041724</t>
  </si>
  <si>
    <t>DOEID240416AX</t>
  </si>
  <si>
    <t>DNWID0342024041722</t>
  </si>
  <si>
    <t>DOEID240416AU</t>
  </si>
  <si>
    <t>DNWID0342024041725</t>
  </si>
  <si>
    <t>DOEID24040110</t>
  </si>
  <si>
    <t>DNWID0342024040101</t>
  </si>
  <si>
    <t>DOEID240416B8</t>
  </si>
  <si>
    <t>DNWID0342024041726</t>
  </si>
  <si>
    <t>DOEID240416AS</t>
  </si>
  <si>
    <t>DNWID0342024041721</t>
  </si>
  <si>
    <t>DOEID240416BC</t>
  </si>
  <si>
    <t>DNWID0342024041727</t>
  </si>
  <si>
    <t>DOEID240416B6</t>
  </si>
  <si>
    <t>DNWID0342024041715</t>
  </si>
  <si>
    <t>DOEID240416B3</t>
  </si>
  <si>
    <t>DNWID0342024041716</t>
  </si>
  <si>
    <t>DOEID240416AQ</t>
  </si>
  <si>
    <t>DNWID0342024041720</t>
  </si>
  <si>
    <t>CLR51-99-094</t>
  </si>
  <si>
    <t>Tanjungtirto RW 06 Singosari</t>
  </si>
  <si>
    <t>DOEID240416AN</t>
  </si>
  <si>
    <t>DNWID0342024041719</t>
  </si>
  <si>
    <t>CLR51-99-088</t>
  </si>
  <si>
    <t>Pandanlandung RW 02 Wagir</t>
  </si>
  <si>
    <t>DOEID240416AM</t>
  </si>
  <si>
    <t>DNWID0342024041718</t>
  </si>
  <si>
    <t>CLR51-99-012</t>
  </si>
  <si>
    <t>Pandanlandung RW 01 Wagir</t>
  </si>
  <si>
    <t>DOEID240416AL</t>
  </si>
  <si>
    <t>DNWID0342024041717</t>
  </si>
  <si>
    <t>DOEID240422AM</t>
  </si>
  <si>
    <t>DNWID0342024042213</t>
  </si>
  <si>
    <t>DOEID240422AK</t>
  </si>
  <si>
    <t>DNWID0342024042212</t>
  </si>
  <si>
    <t>CLR31-05-034</t>
  </si>
  <si>
    <t>Sumput RW 04 Driyorejo</t>
  </si>
  <si>
    <t>DOEID240416B9</t>
  </si>
  <si>
    <t>DNWID0342024042215</t>
  </si>
  <si>
    <t>DOEID240422AI</t>
  </si>
  <si>
    <t>DNWID0342024042218</t>
  </si>
  <si>
    <t>DOEID240422AG</t>
  </si>
  <si>
    <t>DNWID0342024042216</t>
  </si>
  <si>
    <t>DOEID240422AJ</t>
  </si>
  <si>
    <t>DNWID0342024042217</t>
  </si>
  <si>
    <t>DOEID24042540</t>
  </si>
  <si>
    <t>DNWID0342024042505</t>
  </si>
  <si>
    <t>DOEID240422AN</t>
  </si>
  <si>
    <t>DNWID0342024042211</t>
  </si>
  <si>
    <t>DOEID240422AL</t>
  </si>
  <si>
    <t>DNWID0342024042214</t>
  </si>
  <si>
    <t>DOEID240426CU</t>
  </si>
  <si>
    <t>DNWID0362024042610</t>
  </si>
  <si>
    <t>DOEID240426CS</t>
  </si>
  <si>
    <t>DNWID0362024042609</t>
  </si>
  <si>
    <t>DOEID240426CV</t>
  </si>
  <si>
    <t>DNWID0342024042617</t>
  </si>
  <si>
    <t>DOEID240426CW</t>
  </si>
  <si>
    <t>DNWID0342024042616</t>
  </si>
  <si>
    <t>DOEID240426CT</t>
  </si>
  <si>
    <t>DNWID0362024042608</t>
  </si>
  <si>
    <t>DOEID240426CR</t>
  </si>
  <si>
    <t>DNWID0362024042607</t>
  </si>
  <si>
    <t>DOEID240426CQ</t>
  </si>
  <si>
    <t>DNWID0362024042606</t>
  </si>
  <si>
    <t>CLR38-02-023</t>
  </si>
  <si>
    <t>Blitar RW 04</t>
  </si>
  <si>
    <t>DOEID24042917</t>
  </si>
  <si>
    <t>DNWID0362024042916</t>
  </si>
  <si>
    <t>DOEID240502AP</t>
  </si>
  <si>
    <t>DNWID0362024050211</t>
  </si>
  <si>
    <t>DOEID24042918</t>
  </si>
  <si>
    <t>DNWID0342024042909</t>
  </si>
  <si>
    <t>DOEID240502AQ</t>
  </si>
  <si>
    <t>DNWID0362024050212</t>
  </si>
  <si>
    <t>CLR30-99-068</t>
  </si>
  <si>
    <t>Munggut RW 03 Wungu</t>
  </si>
  <si>
    <t>DOEID24050282</t>
  </si>
  <si>
    <t>DNWID0362024050205</t>
  </si>
  <si>
    <t>CLR30-99-067</t>
  </si>
  <si>
    <t>Munggut RW 02 Wungu</t>
  </si>
  <si>
    <t>DOEID24050280</t>
  </si>
  <si>
    <t>DNWID0362024050204</t>
  </si>
  <si>
    <t>CLR30-99-066</t>
  </si>
  <si>
    <t>Munggut RW 01 Wungu</t>
  </si>
  <si>
    <t>DOEID24050278</t>
  </si>
  <si>
    <t>DNWID0362024050203</t>
  </si>
  <si>
    <t>DOEID24050281</t>
  </si>
  <si>
    <t>DNWID0342024050202</t>
  </si>
  <si>
    <t>DOEID24050279</t>
  </si>
  <si>
    <t>DNWID0342024050201</t>
  </si>
  <si>
    <t>CLR41-03-017</t>
  </si>
  <si>
    <t>Kemasan RW 03 Krian Sidoarjo</t>
  </si>
  <si>
    <t>DOEID24050286</t>
  </si>
  <si>
    <t>DNWID0362024050207</t>
  </si>
  <si>
    <t>DOEID240502AO</t>
  </si>
  <si>
    <t>DNWID0362024050213</t>
  </si>
  <si>
    <t>CLR41-03-014</t>
  </si>
  <si>
    <t>Krian RW 04 Sidoarjo</t>
  </si>
  <si>
    <t>DOEID24050284</t>
  </si>
  <si>
    <t>DNWID0362024050206</t>
  </si>
  <si>
    <t>DOEID24050287</t>
  </si>
  <si>
    <t>DNWID0242024050205</t>
  </si>
  <si>
    <t>DOEID24050285</t>
  </si>
  <si>
    <t>DNWID0342024050204</t>
  </si>
  <si>
    <t>DOEID240429A5</t>
  </si>
  <si>
    <t>DNWID0342024042906</t>
  </si>
  <si>
    <t>DOEID240429A3</t>
  </si>
  <si>
    <t>DNWID0342024042905</t>
  </si>
  <si>
    <t>DOEID240513A3</t>
  </si>
  <si>
    <t>DNWID0342024051304</t>
  </si>
  <si>
    <t>CLR23-99-103</t>
  </si>
  <si>
    <t>Perum PNS GOR Joyoboyo</t>
  </si>
  <si>
    <t>DOEID240507AC</t>
  </si>
  <si>
    <t>DNWID0362024050712</t>
  </si>
  <si>
    <t>CLR23-99-102</t>
  </si>
  <si>
    <t>Mutiara Joyoboyo</t>
  </si>
  <si>
    <t>DOEID240507AB</t>
  </si>
  <si>
    <t>DNWID0342024050709</t>
  </si>
  <si>
    <t>DOEID240507AA</t>
  </si>
  <si>
    <t>DNWID0362024050711</t>
  </si>
  <si>
    <t>DOEID240507AD</t>
  </si>
  <si>
    <t>DNWID0342024050710</t>
  </si>
  <si>
    <t>CLR51-99-086</t>
  </si>
  <si>
    <t>Klampok RW 01 Singosari</t>
  </si>
  <si>
    <t>DOEID240517C6</t>
  </si>
  <si>
    <t>DNWID0342024051708</t>
  </si>
  <si>
    <t>CLR51-99-095</t>
  </si>
  <si>
    <t>Candirenggo RW 10 Singosari</t>
  </si>
  <si>
    <t>DOEID240517C4</t>
  </si>
  <si>
    <t>DNWID0342024051707</t>
  </si>
  <si>
    <t>DOEID240517FE</t>
  </si>
  <si>
    <t>DNWID0362024051715</t>
  </si>
  <si>
    <t>CLR51-99-092</t>
  </si>
  <si>
    <t>Krlurahan Lowokwaru RW 14 Lowokwaru</t>
  </si>
  <si>
    <t>DOEID24052009</t>
  </si>
  <si>
    <t>DNWID0342024052001</t>
  </si>
  <si>
    <t>CLR51-99-087</t>
  </si>
  <si>
    <t>Lawang RW 06 Malang</t>
  </si>
  <si>
    <t>DOEID240517DJ</t>
  </si>
  <si>
    <t>DNWID0362024051709</t>
  </si>
  <si>
    <t>DOEID240517C3</t>
  </si>
  <si>
    <t>DNWID0362024051703</t>
  </si>
  <si>
    <t>DOEID240517DK</t>
  </si>
  <si>
    <t>DNWID0342024051713</t>
  </si>
  <si>
    <t>CLR31-99-059</t>
  </si>
  <si>
    <t>Sidojangkung RW 01 Menganti</t>
  </si>
  <si>
    <t>DOEID24052504</t>
  </si>
  <si>
    <t>DNWID0342024052504</t>
  </si>
  <si>
    <t>CLR31-99-061</t>
  </si>
  <si>
    <t>Sidojangkung RW 04 Menganti</t>
  </si>
  <si>
    <t>DOEID24052511</t>
  </si>
  <si>
    <t>DNWID0762024052503</t>
  </si>
  <si>
    <t>CLR31-05-012</t>
  </si>
  <si>
    <t>Sidojangkung RW 02 Menganti</t>
  </si>
  <si>
    <t>DOEID24052506</t>
  </si>
  <si>
    <t>DNWID0762024052502</t>
  </si>
  <si>
    <t>DOEID24052510</t>
  </si>
  <si>
    <t>DNWID0362024052505</t>
  </si>
  <si>
    <t>CLR31-99-060</t>
  </si>
  <si>
    <t>Sidojangkung RW 03 Menganti</t>
  </si>
  <si>
    <t>DOEID24052508</t>
  </si>
  <si>
    <t>DNWID0362024052504</t>
  </si>
  <si>
    <t>DOEID24052503</t>
  </si>
  <si>
    <t>DNWID0362024052502</t>
  </si>
  <si>
    <t>DOEID24052509</t>
  </si>
  <si>
    <t>DNWID0342024052506</t>
  </si>
  <si>
    <t>CLR31-04-039</t>
  </si>
  <si>
    <t>Gempolkurung RW 05 Menganti</t>
  </si>
  <si>
    <t>DOEID24052513</t>
  </si>
  <si>
    <t>DNWID0362024052501</t>
  </si>
  <si>
    <t>DOEID24052515</t>
  </si>
  <si>
    <t>DNWID0342024052503</t>
  </si>
  <si>
    <t>DOEID24052512</t>
  </si>
  <si>
    <t>DNWID0342024052502</t>
  </si>
  <si>
    <t>DOEID24052514</t>
  </si>
  <si>
    <t>DNWID0762024052501</t>
  </si>
  <si>
    <t>DOEID24052505</t>
  </si>
  <si>
    <t>DNWID0362024052503</t>
  </si>
  <si>
    <t>DOEID24052507</t>
  </si>
  <si>
    <t>DNWID0342024052505</t>
  </si>
  <si>
    <t>CLR22-03-002</t>
  </si>
  <si>
    <t>Open Area Jl Raya Sumber Agung Jombang</t>
  </si>
  <si>
    <t>DOEID24052812</t>
  </si>
  <si>
    <t>DNWID0762024052801</t>
  </si>
  <si>
    <t>CLR22-03-003</t>
  </si>
  <si>
    <t>Barong Sawahan RW 02   Bandarkedungmulyo</t>
  </si>
  <si>
    <t>DOEID24052815</t>
  </si>
  <si>
    <t>DNWID0762024052802</t>
  </si>
  <si>
    <t>DOEID24052813</t>
  </si>
  <si>
    <t>DNWID0342024052812</t>
  </si>
  <si>
    <t>DOEID24052816</t>
  </si>
  <si>
    <t>DNWID0342024052813</t>
  </si>
  <si>
    <t>DOEID24052811</t>
  </si>
  <si>
    <t>DNWID0362024052803</t>
  </si>
  <si>
    <t>DOEID24052814</t>
  </si>
  <si>
    <t>DNWID0362024052804</t>
  </si>
  <si>
    <t>CLR51-02-014</t>
  </si>
  <si>
    <t>Dusun Klampok Kucur</t>
  </si>
  <si>
    <t>DOEID24053159</t>
  </si>
  <si>
    <t>DNWID0342024053102</t>
  </si>
  <si>
    <t>CLR51-99-099</t>
  </si>
  <si>
    <t>Dusun Klaseman Kucur</t>
  </si>
  <si>
    <t>DOEID24053160</t>
  </si>
  <si>
    <t>DNWID0362024053105</t>
  </si>
  <si>
    <t>CLR51-02-015</t>
  </si>
  <si>
    <t>Dusun Sumber Bendo Kucur</t>
  </si>
  <si>
    <t>DOEID24053162</t>
  </si>
  <si>
    <t>DNWID0342024053101</t>
  </si>
  <si>
    <t>CLR51-99-098</t>
  </si>
  <si>
    <t>Dusun Ketohan Kucur</t>
  </si>
  <si>
    <t>DOEID24053154</t>
  </si>
  <si>
    <t>DNWID0362024053107</t>
  </si>
  <si>
    <t>CLR51-99-096</t>
  </si>
  <si>
    <t>Dusun Turi Kucur</t>
  </si>
  <si>
    <t>DOEID24053155</t>
  </si>
  <si>
    <t>DNWID0362024053101</t>
  </si>
  <si>
    <t>CLR51-03-014</t>
  </si>
  <si>
    <t>Godehan RW 10 Kucur</t>
  </si>
  <si>
    <t>DOEID24053157</t>
  </si>
  <si>
    <t>DNWID0362024053103</t>
  </si>
  <si>
    <t>DOEID24053158</t>
  </si>
  <si>
    <t>DNWID0362024053104</t>
  </si>
  <si>
    <t>DOEID24053161</t>
  </si>
  <si>
    <t>DNWID0362024053106</t>
  </si>
  <si>
    <t>CLR51-99-097</t>
  </si>
  <si>
    <t>Dusun Krajan Kucur</t>
  </si>
  <si>
    <t>DOEID24053156</t>
  </si>
  <si>
    <t>DNWID0362024053102</t>
  </si>
  <si>
    <t>DOEID24060450</t>
  </si>
  <si>
    <t>DNWID0762024060403</t>
  </si>
  <si>
    <t>DOEID24060448</t>
  </si>
  <si>
    <t>DNWID0762024060406</t>
  </si>
  <si>
    <t>DOEID24060440</t>
  </si>
  <si>
    <t>DNWID0342024060434</t>
  </si>
  <si>
    <t>DOEID24060442</t>
  </si>
  <si>
    <t>DNWID0762024060405</t>
  </si>
  <si>
    <t>DOEID24060444</t>
  </si>
  <si>
    <t>DNWID0342024060431</t>
  </si>
  <si>
    <t>DOEID24060447</t>
  </si>
  <si>
    <t>DNWID0342024060433</t>
  </si>
  <si>
    <t>DOEID24060449</t>
  </si>
  <si>
    <t>DNWID0342024060430</t>
  </si>
  <si>
    <t>DOEID24060451</t>
  </si>
  <si>
    <t>DNWID0342024060432</t>
  </si>
  <si>
    <t>MF31-02</t>
  </si>
  <si>
    <t>Main Feeder - OLT Kedamean Segment 2 to Krian</t>
  </si>
  <si>
    <t>DOEID240605GF</t>
  </si>
  <si>
    <t>DNWID0362024060513</t>
  </si>
  <si>
    <t>DOEID240607AM</t>
  </si>
  <si>
    <t>DNWID0362024060705</t>
  </si>
  <si>
    <t>MF31-04</t>
  </si>
  <si>
    <t>Hub Feeder - OLT Kedamean to Mojosarirejo</t>
  </si>
  <si>
    <t>DOEID240610J5</t>
  </si>
  <si>
    <t>DNWID0342024061005</t>
  </si>
  <si>
    <t>DOEID240610J7</t>
  </si>
  <si>
    <t>DNWID0342024061003</t>
  </si>
  <si>
    <t>DOEID240610J4</t>
  </si>
  <si>
    <t>DNWID0762024061003</t>
  </si>
  <si>
    <t>DOEID240610J8</t>
  </si>
  <si>
    <t>DNWID0762024061002</t>
  </si>
  <si>
    <t>MF31-01</t>
  </si>
  <si>
    <t>Main Feeder - OLT Kedamean Segment 1 to Lakarsantri</t>
  </si>
  <si>
    <t>DOEID240610J1</t>
  </si>
  <si>
    <t>DNWID0762024061001</t>
  </si>
  <si>
    <t>DOEID240610J2</t>
  </si>
  <si>
    <t>DNWID0342024061004</t>
  </si>
  <si>
    <t>DOEID240612HJ</t>
  </si>
  <si>
    <t>DNWID0342024061208</t>
  </si>
  <si>
    <t>DOEID240612HM</t>
  </si>
  <si>
    <t>DNWID0342024061209</t>
  </si>
  <si>
    <t>DOEID240612HI</t>
  </si>
  <si>
    <t>DNWID0342024061207</t>
  </si>
  <si>
    <t>DOEID240612H6</t>
  </si>
  <si>
    <t>DNWID0342024061205</t>
  </si>
  <si>
    <t>DOEID240612HA</t>
  </si>
  <si>
    <t>DNWID0342024061202</t>
  </si>
  <si>
    <t>DOEID240612H5</t>
  </si>
  <si>
    <t>DNWID0342024061201</t>
  </si>
  <si>
    <t>DOEID240612HG</t>
  </si>
  <si>
    <t>DNWID0342024061206</t>
  </si>
  <si>
    <t>DOEID240612HK</t>
  </si>
  <si>
    <t>DNWID0342024061204</t>
  </si>
  <si>
    <t>DOEID240612GX</t>
  </si>
  <si>
    <t>DNWID0342024061203</t>
  </si>
  <si>
    <t>DOEID240610J6</t>
  </si>
  <si>
    <t>DNWID0362024061002</t>
  </si>
  <si>
    <t>DOEID240610J0</t>
  </si>
  <si>
    <t>DNWID0362024061003</t>
  </si>
  <si>
    <t>DOEID240610J3</t>
  </si>
  <si>
    <t>DNWID0362024061004</t>
  </si>
  <si>
    <t>CLR64-01-013</t>
  </si>
  <si>
    <t>Perumahan Java Land Lamongan</t>
  </si>
  <si>
    <t>DOEID240613IA</t>
  </si>
  <si>
    <t>DNWID0362024061403</t>
  </si>
  <si>
    <t>CLR64-01-025</t>
  </si>
  <si>
    <t>Tambakrigadung RW 01 Tikung</t>
  </si>
  <si>
    <t>DOEID240613GW</t>
  </si>
  <si>
    <t>DNWID0362024061404</t>
  </si>
  <si>
    <t>CLR64-01-026</t>
  </si>
  <si>
    <t>Tambakrigadung RW 06 Tikung</t>
  </si>
  <si>
    <t>DOEID240613GT</t>
  </si>
  <si>
    <t>DNWID0362024061405</t>
  </si>
  <si>
    <t>CLR64-01-028</t>
  </si>
  <si>
    <t>Jatirejo RW 03 Tikung</t>
  </si>
  <si>
    <t>DOEID240613GZ</t>
  </si>
  <si>
    <t>DNWID0362024061402</t>
  </si>
  <si>
    <t>DOEID240613IC</t>
  </si>
  <si>
    <t>DNWID0342024061403</t>
  </si>
  <si>
    <t>DOEID240613H1</t>
  </si>
  <si>
    <t>DNWID0342024061404</t>
  </si>
  <si>
    <t>DOEID240613GY</t>
  </si>
  <si>
    <t>DNWID0342024061402</t>
  </si>
  <si>
    <t>DOEID240613GU</t>
  </si>
  <si>
    <t>DNWID0762024061404</t>
  </si>
  <si>
    <t>DOEID240613H0</t>
  </si>
  <si>
    <t>DNWID0762024061403</t>
  </si>
  <si>
    <t>DOEID240613GX</t>
  </si>
  <si>
    <t>DNWID0762024061402</t>
  </si>
  <si>
    <t>DOEID240613GV</t>
  </si>
  <si>
    <t>DNWID0342024061416</t>
  </si>
  <si>
    <t>CLR31-04-002</t>
  </si>
  <si>
    <t>Perumahan Bhummi Cermai Apsari Gresik</t>
  </si>
  <si>
    <t>DOEID240613I9</t>
  </si>
  <si>
    <t>DNWID0342024061413</t>
  </si>
  <si>
    <t>CLR41-99-059</t>
  </si>
  <si>
    <t>Barengkrajan RW 06 Krian</t>
  </si>
  <si>
    <t>DOEID240613GR</t>
  </si>
  <si>
    <t>DNWID0762024061405</t>
  </si>
  <si>
    <t>CLR41-99-057</t>
  </si>
  <si>
    <t>Barengkrajan RW 02 Krian</t>
  </si>
  <si>
    <t>DOEID240613GN</t>
  </si>
  <si>
    <t>DNWID0342024061410</t>
  </si>
  <si>
    <t>CLR30-99-058</t>
  </si>
  <si>
    <t>Munggut RW 04 Wungu</t>
  </si>
  <si>
    <t>DOEID240613I6</t>
  </si>
  <si>
    <t>DNWID0342024061412</t>
  </si>
  <si>
    <t>CLR41-99-058</t>
  </si>
  <si>
    <t>Barengkrajan RW 03 Krian</t>
  </si>
  <si>
    <t>DOEID240613GP</t>
  </si>
  <si>
    <t>DNWID0342024061408</t>
  </si>
  <si>
    <t>CLR41-99-056</t>
  </si>
  <si>
    <t>Barengkrajan RW 01 Krian</t>
  </si>
  <si>
    <t>DOEID240613GK</t>
  </si>
  <si>
    <t>DNWID0342024061409</t>
  </si>
  <si>
    <t>DOEID240613GM</t>
  </si>
  <si>
    <t>DNWID0762024061407</t>
  </si>
  <si>
    <t>DOEID240613GO</t>
  </si>
  <si>
    <t>DNWID0362024061408</t>
  </si>
  <si>
    <t>DOEID240613I7</t>
  </si>
  <si>
    <t>DNWID0362024061410</t>
  </si>
  <si>
    <t>DOEID240613GJ</t>
  </si>
  <si>
    <t>DNWID0762024061406</t>
  </si>
  <si>
    <t>CLR30-01-014</t>
  </si>
  <si>
    <t>Rejomulyo RW 06 Madiun</t>
  </si>
  <si>
    <t>DOEID240613IE</t>
  </si>
  <si>
    <t>DNWID0342024061406</t>
  </si>
  <si>
    <t>DOEID240613GS</t>
  </si>
  <si>
    <t>DNWID0342024061407</t>
  </si>
  <si>
    <t>CLR30-01-025</t>
  </si>
  <si>
    <t>Rejomulyo RW 03 Madiun</t>
  </si>
  <si>
    <t>DOEID240620ES</t>
  </si>
  <si>
    <t>DNWID0342024062019</t>
  </si>
  <si>
    <t>CLR30-01-019</t>
  </si>
  <si>
    <t>Rejomulyo RW 08 Madiun</t>
  </si>
  <si>
    <t>DOEID240620EU</t>
  </si>
  <si>
    <t>DNWID0342024062014</t>
  </si>
  <si>
    <t>CLR30-01-043</t>
  </si>
  <si>
    <t>Open Area Jl Imam Bonjol Madiun</t>
  </si>
  <si>
    <t>DOEID240620EL</t>
  </si>
  <si>
    <t>DNWID0342024062015</t>
  </si>
  <si>
    <t>CLR30-02-036</t>
  </si>
  <si>
    <t>Rejomulyo RW 05</t>
  </si>
  <si>
    <t>DOEID240620EO</t>
  </si>
  <si>
    <t>DNWID0342024062017</t>
  </si>
  <si>
    <t>CLR37-01-023</t>
  </si>
  <si>
    <t>Open Area Jl S Parman Beran</t>
  </si>
  <si>
    <t>DOEID240620DS</t>
  </si>
  <si>
    <t>DNWID0342024062005</t>
  </si>
  <si>
    <t>DOEID240620ET</t>
  </si>
  <si>
    <t>DNWID0362024062015</t>
  </si>
  <si>
    <t>DOEID240620DR</t>
  </si>
  <si>
    <t>DNWID0362024062009</t>
  </si>
  <si>
    <t>DOEID240620EQ</t>
  </si>
  <si>
    <t>DNWID0362024062014</t>
  </si>
  <si>
    <t>DOEID240620EN</t>
  </si>
  <si>
    <t>DNWID0362024062017</t>
  </si>
  <si>
    <t>MF31-05</t>
  </si>
  <si>
    <t>Hub Feeder - OLT Cerme to Desa Gempolkurung</t>
  </si>
  <si>
    <t>DOEID240620DX</t>
  </si>
  <si>
    <t>DNWID0362024062006</t>
  </si>
  <si>
    <t>DOEID240620EJ</t>
  </si>
  <si>
    <t>DNWID0362024062016</t>
  </si>
  <si>
    <t>DOEID240613GL</t>
  </si>
  <si>
    <t>DNWID0362024061409</t>
  </si>
  <si>
    <t>DOEID240613GI</t>
  </si>
  <si>
    <t>DNWID0362024061407</t>
  </si>
  <si>
    <t>DOEID240624NR</t>
  </si>
  <si>
    <t>DNWID0342024062409</t>
  </si>
  <si>
    <t>DOEID240624NQ</t>
  </si>
  <si>
    <t>DNWID0342024062505</t>
  </si>
  <si>
    <t>DOEID240624NY</t>
  </si>
  <si>
    <t>DNWID0342024062508</t>
  </si>
  <si>
    <t>DOEID240624NW</t>
  </si>
  <si>
    <t>DNWID0342024062507</t>
  </si>
  <si>
    <t>DOEID240624O0</t>
  </si>
  <si>
    <t>DNWID0342024062502</t>
  </si>
  <si>
    <t>DOEID240624NV</t>
  </si>
  <si>
    <t>DNWID0342024062506</t>
  </si>
  <si>
    <t>DOEID240624NZ</t>
  </si>
  <si>
    <t>DNWID0342024062501</t>
  </si>
  <si>
    <t>CLR41-03-021</t>
  </si>
  <si>
    <t>Barengkrajan RW 04 Krian Sidoarjo</t>
  </si>
  <si>
    <t>DOEID240613I5</t>
  </si>
  <si>
    <t>DNWID0342024062510</t>
  </si>
  <si>
    <t>CLR51-02-020</t>
  </si>
  <si>
    <t>Lowokwaru RW 04</t>
  </si>
  <si>
    <t>DOEID240624O3</t>
  </si>
  <si>
    <t>DNWID0342024062503</t>
  </si>
  <si>
    <t>DOEID240613I3</t>
  </si>
  <si>
    <t>DNWID0362024061411</t>
  </si>
  <si>
    <t>CLR51-99-044</t>
  </si>
  <si>
    <t>Kebonagung RW 13 Pakisaji</t>
  </si>
  <si>
    <t>DOEID240620EP</t>
  </si>
  <si>
    <t>DNWID0342024062018</t>
  </si>
  <si>
    <t>DOEID240620EM</t>
  </si>
  <si>
    <t>DNWID0342024062016</t>
  </si>
  <si>
    <t>DOEID240620DY</t>
  </si>
  <si>
    <t>DNWID0342024062011</t>
  </si>
  <si>
    <t>DOEID24070706</t>
  </si>
  <si>
    <t>DNWID0362024070709</t>
  </si>
  <si>
    <t>DOEID24070702</t>
  </si>
  <si>
    <t>DNWID0362024070707</t>
  </si>
  <si>
    <t>CLR31-99-031</t>
  </si>
  <si>
    <t>Open Area Kelurahan Gedangkulut Cerme Gresik</t>
  </si>
  <si>
    <t>DOEID24070635</t>
  </si>
  <si>
    <t>DNWID0342024070702</t>
  </si>
  <si>
    <t>CLR51-99-063</t>
  </si>
  <si>
    <t>Perumahan Kepanjen Permai II</t>
  </si>
  <si>
    <t>DOEID24070181</t>
  </si>
  <si>
    <t>DNWID0362024070102</t>
  </si>
  <si>
    <t>DOEID24070704</t>
  </si>
  <si>
    <t>DNWID0342024070704</t>
  </si>
  <si>
    <t>DOEID24070634</t>
  </si>
  <si>
    <t>DNWID0362024070704</t>
  </si>
  <si>
    <t>DOEID24070705</t>
  </si>
  <si>
    <t>DNWID0362024070705</t>
  </si>
  <si>
    <t>DOEID24070182</t>
  </si>
  <si>
    <t>DNWID0342024070103</t>
  </si>
  <si>
    <t>DOEID24070707</t>
  </si>
  <si>
    <t>DNWID0342024070705</t>
  </si>
  <si>
    <t>DOEID240627JF</t>
  </si>
  <si>
    <t>DNWID0342024062701</t>
  </si>
  <si>
    <t>CLR51-99-061</t>
  </si>
  <si>
    <t>Perumahan Perumnas Talangagung I Malang</t>
  </si>
  <si>
    <t>DOEID24070180</t>
  </si>
  <si>
    <t>DNWID0342024070104</t>
  </si>
  <si>
    <t>DOEID240627KK</t>
  </si>
  <si>
    <t>DNWID0342024062802</t>
  </si>
  <si>
    <t>DOEID240627KL</t>
  </si>
  <si>
    <t>DNWID0362024070703</t>
  </si>
  <si>
    <t>DOEID24070709</t>
  </si>
  <si>
    <t>DNWID0362024070706</t>
  </si>
  <si>
    <t>DOEID240627K8</t>
  </si>
  <si>
    <t>DNWID0362024070702</t>
  </si>
  <si>
    <t>DOEID24070703</t>
  </si>
  <si>
    <t>DNWID0362024070708</t>
  </si>
  <si>
    <t>DOEID24070708</t>
  </si>
  <si>
    <t>DNWID0362024070710</t>
  </si>
  <si>
    <t>DOEID240627JE</t>
  </si>
  <si>
    <t>DNWID0342024062702</t>
  </si>
  <si>
    <t>DOEID240627K6</t>
  </si>
  <si>
    <t>DNWID0342024062801</t>
  </si>
  <si>
    <t>DOEID240627K4</t>
  </si>
  <si>
    <t>DNWID0342024062803</t>
  </si>
  <si>
    <t>CLR37-99-009</t>
  </si>
  <si>
    <t>Desa Watualang Ngawi</t>
  </si>
  <si>
    <t>DOEID24070171</t>
  </si>
  <si>
    <t>DNWID0342024070701</t>
  </si>
  <si>
    <t>DOEID24070179</t>
  </si>
  <si>
    <t>DNWID0362024070103</t>
  </si>
  <si>
    <t>DOEID24050283</t>
  </si>
  <si>
    <t>DNWID0342024050203</t>
  </si>
  <si>
    <t>CLR30-02-024</t>
  </si>
  <si>
    <t>Nambangan Kidul RW 06</t>
  </si>
  <si>
    <t>DOEID240722D7</t>
  </si>
  <si>
    <t>DNWID0362024072304</t>
  </si>
  <si>
    <t>CLR30-02-023</t>
  </si>
  <si>
    <t>Nambangan Kidul RW 07</t>
  </si>
  <si>
    <t>DOEID240722D5</t>
  </si>
  <si>
    <t>DNWID0362024072303</t>
  </si>
  <si>
    <t>CLR30-02-018</t>
  </si>
  <si>
    <t>Nambangan Kidul RW 04</t>
  </si>
  <si>
    <t>DOEID240722D2</t>
  </si>
  <si>
    <t>DNWID0342024072315</t>
  </si>
  <si>
    <t>DOEID240722D6</t>
  </si>
  <si>
    <t>DNWID0342024072302</t>
  </si>
  <si>
    <t>DOEID240722D1</t>
  </si>
  <si>
    <t>DNWID0362024072311</t>
  </si>
  <si>
    <t>CLR30-02-021</t>
  </si>
  <si>
    <t>Nambangan Kidul RW 10</t>
  </si>
  <si>
    <t>DOEID240722D4</t>
  </si>
  <si>
    <t>DNWID0342024072303</t>
  </si>
  <si>
    <t>DOEID240722D3</t>
  </si>
  <si>
    <t>DNWID0362024072302</t>
  </si>
  <si>
    <t>DOEID240722D8</t>
  </si>
  <si>
    <t>DNWID0342024072301</t>
  </si>
  <si>
    <t>CLR64-01-036</t>
  </si>
  <si>
    <t>Sidomukti RW 02 Lamongan</t>
  </si>
  <si>
    <t>DOEID240722CO</t>
  </si>
  <si>
    <t>DNWID0342024072310</t>
  </si>
  <si>
    <t>CLR64-01-037</t>
  </si>
  <si>
    <t>Sidomukti RW 01 Lamongan</t>
  </si>
  <si>
    <t>DOEID240722CQ</t>
  </si>
  <si>
    <t>DNWID0342024072312</t>
  </si>
  <si>
    <t>CLR64-01-027</t>
  </si>
  <si>
    <t>Jatirejo RW 02 Tikung</t>
  </si>
  <si>
    <t>DOEID240722CK</t>
  </si>
  <si>
    <t>DNWID0342024072309</t>
  </si>
  <si>
    <t>CLR64-01-034</t>
  </si>
  <si>
    <t>Perumahan Kaliber 1 Gresik</t>
  </si>
  <si>
    <t>DOEID240722CL</t>
  </si>
  <si>
    <t>DNWID0362024072308</t>
  </si>
  <si>
    <t>DOEID240722CN</t>
  </si>
  <si>
    <t>DNWID0362024072312</t>
  </si>
  <si>
    <t>DOEID240722CM</t>
  </si>
  <si>
    <t>DNWID0342024072311</t>
  </si>
  <si>
    <t>DOEID240722CP</t>
  </si>
  <si>
    <t>DNWID0362024072309</t>
  </si>
  <si>
    <t>DOEID240722CJ</t>
  </si>
  <si>
    <t>DNWID0362024072307</t>
  </si>
  <si>
    <t>MF51-03</t>
  </si>
  <si>
    <t>HUBFEEDER OLT KEPANJEN TO JATIKERTO</t>
  </si>
  <si>
    <t>DOEID240722CR</t>
  </si>
  <si>
    <t>DNWID0362024072310</t>
  </si>
  <si>
    <t>CLR51-03-005</t>
  </si>
  <si>
    <t>Dusun Langlang IV Singosari</t>
  </si>
  <si>
    <t>DOEID240722D0</t>
  </si>
  <si>
    <t>DNWID0342024072313</t>
  </si>
  <si>
    <t>MF51-04</t>
  </si>
  <si>
    <t>Hub Feeder Segment 1 OLT Singosari to Girimoyo</t>
  </si>
  <si>
    <t>DOEID240722CT</t>
  </si>
  <si>
    <t>DNWID0362024072313</t>
  </si>
  <si>
    <t>DOEID240722CZ</t>
  </si>
  <si>
    <t>DNWID0362024072301</t>
  </si>
  <si>
    <t>DOEID240722CU</t>
  </si>
  <si>
    <t>DNWID0342024072308</t>
  </si>
  <si>
    <t>DOEID240722CS</t>
  </si>
  <si>
    <t>DNWID0342024072314</t>
  </si>
  <si>
    <t>CLR23-03-026</t>
  </si>
  <si>
    <t>Open Area Jl Slamet Pare Kediri</t>
  </si>
  <si>
    <t>DOEID24080687</t>
  </si>
  <si>
    <t>DNWID0362024060607</t>
  </si>
  <si>
    <t>DOEID24080688</t>
  </si>
  <si>
    <t>DNWID0342024080608</t>
  </si>
  <si>
    <t>CLR23-03-025</t>
  </si>
  <si>
    <t>Open Area Jl Puncak Jaya Pare Kediri</t>
  </si>
  <si>
    <t>DOEID24080686</t>
  </si>
  <si>
    <t>DNWID0342024080605</t>
  </si>
  <si>
    <t>DOEID24080685</t>
  </si>
  <si>
    <t>DNWID0362024080708</t>
  </si>
  <si>
    <t>DOEID240627KI</t>
  </si>
  <si>
    <t>DNWID0362024070701</t>
  </si>
  <si>
    <t>DOEID24070701</t>
  </si>
  <si>
    <t>DNWID0342024070703</t>
  </si>
  <si>
    <t>CLR23-03-002</t>
  </si>
  <si>
    <t>Pare RW 04 Kediri</t>
  </si>
  <si>
    <t>DOEID24080684</t>
  </si>
  <si>
    <t>DNWID0342024080606</t>
  </si>
  <si>
    <t>CLR23-03-027</t>
  </si>
  <si>
    <t>Pare RW 07 Kediri</t>
  </si>
  <si>
    <t>DOEID24080689</t>
  </si>
  <si>
    <t>DNWID0362024080707</t>
  </si>
  <si>
    <t>DOEID24080683</t>
  </si>
  <si>
    <t>DNWID0362024080709</t>
  </si>
  <si>
    <t>DOEID24080690</t>
  </si>
  <si>
    <t>DNWID0342024080607</t>
  </si>
  <si>
    <t>CLR31-05-006</t>
  </si>
  <si>
    <t>Open Area Jl Raya Menganti Karang Turi Menganti</t>
  </si>
  <si>
    <t>DOEID24081423</t>
  </si>
  <si>
    <t>DNWID0362024081416</t>
  </si>
  <si>
    <t>DOEID24081424</t>
  </si>
  <si>
    <t>DNWID0342024081508</t>
  </si>
  <si>
    <t>CLR31-99-077</t>
  </si>
  <si>
    <t>Perumahan Taman Menganti Emas Mojotengah</t>
  </si>
  <si>
    <t>DOEID24081421</t>
  </si>
  <si>
    <t>DNWID0362024081418</t>
  </si>
  <si>
    <t>DOEID24081422</t>
  </si>
  <si>
    <t>DNWID0342024081509</t>
  </si>
  <si>
    <t>CLR41-99-063</t>
  </si>
  <si>
    <t>Tubanan RW 07 Tandes</t>
  </si>
  <si>
    <t>DOEID24081425</t>
  </si>
  <si>
    <t>DNWID0362024081404</t>
  </si>
  <si>
    <t>DOEID24081426</t>
  </si>
  <si>
    <t>DNWID0342024081513</t>
  </si>
  <si>
    <t>CLR99-99-134</t>
  </si>
  <si>
    <t>Desa Murukan Jombang</t>
  </si>
  <si>
    <t>DOEID24081427</t>
  </si>
  <si>
    <t>DNWID0362024081417</t>
  </si>
  <si>
    <t>DOEID24081428</t>
  </si>
  <si>
    <t>DNWID0342024081412</t>
  </si>
  <si>
    <t>CLR99-99-135</t>
  </si>
  <si>
    <t>Desa Seketi Jombang</t>
  </si>
  <si>
    <t>DOEID24081429</t>
  </si>
  <si>
    <t>DNWID0362024081415</t>
  </si>
  <si>
    <t>DOEID24081430</t>
  </si>
  <si>
    <t>DNWID0342024081414</t>
  </si>
  <si>
    <t>CLR30-99-047</t>
  </si>
  <si>
    <t>Sirapan RW 02 Madiun</t>
  </si>
  <si>
    <t>DOEID24081411</t>
  </si>
  <si>
    <t>DNWID0362024081413</t>
  </si>
  <si>
    <t>DOEID24081412</t>
  </si>
  <si>
    <t>DNWID0342024081410</t>
  </si>
  <si>
    <t>CLR30-99-048</t>
  </si>
  <si>
    <t>Sirapan RW 03 Madiun</t>
  </si>
  <si>
    <t>DOEID24081413</t>
  </si>
  <si>
    <t>DNWID0362024081411</t>
  </si>
  <si>
    <t>DOEID24081414</t>
  </si>
  <si>
    <t>DNWID0342024081406</t>
  </si>
  <si>
    <t>CLR30-99-049</t>
  </si>
  <si>
    <t>Sirapan RW 04 Madiun</t>
  </si>
  <si>
    <t>DOEID24081415</t>
  </si>
  <si>
    <t>DNWID0362024081409</t>
  </si>
  <si>
    <t>DOEID24081416</t>
  </si>
  <si>
    <t>DNWID0342024081409</t>
  </si>
  <si>
    <t>CLR30-99-050</t>
  </si>
  <si>
    <t>Sirapan RW 05 Madiun</t>
  </si>
  <si>
    <t>DOEID24081417</t>
  </si>
  <si>
    <t>DNWID0362024081412</t>
  </si>
  <si>
    <t>DOEID24081418</t>
  </si>
  <si>
    <t>DNWID0342024081407</t>
  </si>
  <si>
    <t>CLR30-99-051</t>
  </si>
  <si>
    <t>Sirapan RW 01 Madiun</t>
  </si>
  <si>
    <t>DOEID24081419</t>
  </si>
  <si>
    <t>DNWID0362024081410</t>
  </si>
  <si>
    <t>DOEID24081420</t>
  </si>
  <si>
    <t>DNWID0342024081416</t>
  </si>
  <si>
    <t>DOEID240815AJ</t>
  </si>
  <si>
    <t>DNWID0342024081511</t>
  </si>
  <si>
    <t>DOEID240815AK</t>
  </si>
  <si>
    <t>DNWID0342024081512</t>
  </si>
  <si>
    <t>DOEID240815AL</t>
  </si>
  <si>
    <t>DNWID0342024081510</t>
  </si>
  <si>
    <t>CLR51-09-009</t>
  </si>
  <si>
    <t>Dilem RW 03 Kepanjen</t>
  </si>
  <si>
    <t>DOEID24081988</t>
  </si>
  <si>
    <t>DNWID0362024081906</t>
  </si>
  <si>
    <t>DOEID24081989</t>
  </si>
  <si>
    <t>DNWID0342024081905</t>
  </si>
  <si>
    <t>CLR51-09-008</t>
  </si>
  <si>
    <t>Dilem RW 04 Kepanjen</t>
  </si>
  <si>
    <t>DOEID24081991</t>
  </si>
  <si>
    <t>DNWID0342024081907</t>
  </si>
  <si>
    <t>DOEID24081990</t>
  </si>
  <si>
    <t>DNWID0362024081907</t>
  </si>
  <si>
    <t>CLR51-09-001</t>
  </si>
  <si>
    <t>Pakisaji RW 01 Malang</t>
  </si>
  <si>
    <t>DOEID24081987</t>
  </si>
  <si>
    <t>DNWID0342024081906</t>
  </si>
  <si>
    <t>DOEID24081986</t>
  </si>
  <si>
    <t>DNWID0362024081905</t>
  </si>
  <si>
    <t>CLR51-03-010</t>
  </si>
  <si>
    <t>Dusun Krajan Sumbersekar</t>
  </si>
  <si>
    <t>DOEID24081996</t>
  </si>
  <si>
    <t>DNWID0342024081910</t>
  </si>
  <si>
    <t>DOEID240821DZ</t>
  </si>
  <si>
    <t>DNWID0362024082107</t>
  </si>
  <si>
    <t>DOEID240821E0</t>
  </si>
  <si>
    <t>DNWID0362024082106</t>
  </si>
  <si>
    <t>DOEID24081995</t>
  </si>
  <si>
    <t>DNWID0362024081909</t>
  </si>
  <si>
    <t>CLR38-01-021</t>
  </si>
  <si>
    <t>Kauman RW 07 Blitar</t>
  </si>
  <si>
    <t>DOEID24081997</t>
  </si>
  <si>
    <t>DNWID0342024081908</t>
  </si>
  <si>
    <t>CLR23-01-106</t>
  </si>
  <si>
    <t>Betet RW 02 Pesantren</t>
  </si>
  <si>
    <t>DOEID24081994</t>
  </si>
  <si>
    <t>DNWID0342024082909</t>
  </si>
  <si>
    <t>CLR38-01-022</t>
  </si>
  <si>
    <t>Kauman RW 09 Blitar</t>
  </si>
  <si>
    <t>DOEID24081999</t>
  </si>
  <si>
    <t>DNWID0342024082102</t>
  </si>
  <si>
    <t>CLR51-99-115</t>
  </si>
  <si>
    <t>Sengguruh RW 01 Malang</t>
  </si>
  <si>
    <t>DOEID240822C4</t>
  </si>
  <si>
    <t>DNWID0362024082301</t>
  </si>
  <si>
    <t>CLR51-99-116</t>
  </si>
  <si>
    <t>Sengguruh RW 02 Malang</t>
  </si>
  <si>
    <t>DOEID240822C6</t>
  </si>
  <si>
    <t>DNWID0362024082303</t>
  </si>
  <si>
    <t>CLR51-99-117</t>
  </si>
  <si>
    <t>Sengguruh RW 03 Malang</t>
  </si>
  <si>
    <t>DOEID240822C9</t>
  </si>
  <si>
    <t>DNWID0342024082303</t>
  </si>
  <si>
    <t>DOEID240822C7</t>
  </si>
  <si>
    <t>DNWID0342024082302</t>
  </si>
  <si>
    <t>DOEID240822C8</t>
  </si>
  <si>
    <t>DNWID0362024082302</t>
  </si>
  <si>
    <t>MF51-02</t>
  </si>
  <si>
    <t>HUBFEEDER DALISODO WAGIR MALANG</t>
  </si>
  <si>
    <t>DOEID240826I0</t>
  </si>
  <si>
    <t>DNWID0342024082602</t>
  </si>
  <si>
    <t>DOEID240826HZ</t>
  </si>
  <si>
    <t>DNWID0362024082619</t>
  </si>
  <si>
    <t>DOEID24082745</t>
  </si>
  <si>
    <t>DNWID0362024082716</t>
  </si>
  <si>
    <t>CLR99-99-137</t>
  </si>
  <si>
    <t>DUSUN KETANEN JOMBANG</t>
  </si>
  <si>
    <t>DOEID240826HK</t>
  </si>
  <si>
    <t>DNWID0342024082701</t>
  </si>
  <si>
    <t>CLR22-05-002</t>
  </si>
  <si>
    <t>DUSUN BANYUANYAR JOMBANG</t>
  </si>
  <si>
    <t>DOEID240826HG</t>
  </si>
  <si>
    <t>DNWID0342024082703</t>
  </si>
  <si>
    <t>CLR99-99-136</t>
  </si>
  <si>
    <t>DUSUN PLEMAHAN JOMBANG</t>
  </si>
  <si>
    <t>DOEID240826HI</t>
  </si>
  <si>
    <t>DNWID0342024082706</t>
  </si>
  <si>
    <t>CLR99-99-138</t>
  </si>
  <si>
    <t>DUSUN KUNCUNG JOMBANG</t>
  </si>
  <si>
    <t>DOEID240826HM</t>
  </si>
  <si>
    <t>DNWID0342024082712</t>
  </si>
  <si>
    <t>DOEID240826HH</t>
  </si>
  <si>
    <t>DNWID0362024082703</t>
  </si>
  <si>
    <t>DOEID240826HJ</t>
  </si>
  <si>
    <t>DNWID0362024082706</t>
  </si>
  <si>
    <t>DOEID24082744</t>
  </si>
  <si>
    <t>DNWID0362024082714</t>
  </si>
  <si>
    <t>DOEID24082747</t>
  </si>
  <si>
    <t>DNWID0362024082715</t>
  </si>
  <si>
    <t>DOEID240826HF</t>
  </si>
  <si>
    <t>DNWID0362024082713</t>
  </si>
  <si>
    <t>CLR51-02-017</t>
  </si>
  <si>
    <t>Ngenep RW 04 Karang Ploso</t>
  </si>
  <si>
    <t>DOEID240826HE</t>
  </si>
  <si>
    <t>DNWID0342024082702</t>
  </si>
  <si>
    <t>DOEID24082790</t>
  </si>
  <si>
    <t>DNWID0362024082717</t>
  </si>
  <si>
    <t>CLR51-02-016</t>
  </si>
  <si>
    <t>Ngenep RW 06 Karang Ploso</t>
  </si>
  <si>
    <t>DOEID240826HC</t>
  </si>
  <si>
    <t>DNWID0342024082704</t>
  </si>
  <si>
    <t>DOEID240822C5</t>
  </si>
  <si>
    <t>DNWID0342024082301</t>
  </si>
  <si>
    <t>CLR51-99-049</t>
  </si>
  <si>
    <t>Perumahan Panca Garden</t>
  </si>
  <si>
    <t>DOEID240826HB</t>
  </si>
  <si>
    <t>DNWID0342024082707</t>
  </si>
  <si>
    <t>DOEID240826HL</t>
  </si>
  <si>
    <t>DNWID0362024082702</t>
  </si>
  <si>
    <t>CLR64-01-010</t>
  </si>
  <si>
    <t>Perumahan Deket Lamongan</t>
  </si>
  <si>
    <t>DOEID240826HT</t>
  </si>
  <si>
    <t>DNWID0362024082712</t>
  </si>
  <si>
    <t>DOEID240826HU</t>
  </si>
  <si>
    <t>DNWID0342024082711</t>
  </si>
  <si>
    <t>CLR51-99-118</t>
  </si>
  <si>
    <t>NGENEP UTARA RW 03 MALANG</t>
  </si>
  <si>
    <t>DOEID240826HD</t>
  </si>
  <si>
    <t>DNWID0342024082709</t>
  </si>
  <si>
    <t>CLR64-99-001</t>
  </si>
  <si>
    <t>Desa Pengumbulanadi Lamongan</t>
  </si>
  <si>
    <t>DOEID24090204</t>
  </si>
  <si>
    <t>DNWID0362024090201</t>
  </si>
  <si>
    <t>DOEID24090205</t>
  </si>
  <si>
    <t>DNWID0342024090202</t>
  </si>
  <si>
    <t>CLR30-99-052</t>
  </si>
  <si>
    <t>Dusun Ngadirejo 1 Wonoasri</t>
  </si>
  <si>
    <t>DOEID24090353</t>
  </si>
  <si>
    <t>DNWID0362024090405</t>
  </si>
  <si>
    <t>DOEID24090354</t>
  </si>
  <si>
    <t>DNWID0342024090404</t>
  </si>
  <si>
    <t>CLR30-99-053</t>
  </si>
  <si>
    <t>Dusun Ngadirejo 2 Wonoasri</t>
  </si>
  <si>
    <t>DOEID24090355</t>
  </si>
  <si>
    <t>DNWID0362024090406</t>
  </si>
  <si>
    <t>DOEID24090356</t>
  </si>
  <si>
    <t>DNWID0342024090403</t>
  </si>
  <si>
    <t>CLR30-99-054</t>
  </si>
  <si>
    <t>Dusun Templek Wonoasri</t>
  </si>
  <si>
    <t>DOEID24090357</t>
  </si>
  <si>
    <t>DNWID0362024090401</t>
  </si>
  <si>
    <t>DOEID24090358</t>
  </si>
  <si>
    <t>DNWID0342024090405</t>
  </si>
  <si>
    <t>CLR30-99-055</t>
  </si>
  <si>
    <t>Dusun Cambor Wonoasri</t>
  </si>
  <si>
    <t>DOEID24090359</t>
  </si>
  <si>
    <t>DNWID0362024090409</t>
  </si>
  <si>
    <t>DOEID24090360</t>
  </si>
  <si>
    <t>DNWID0342024090401</t>
  </si>
  <si>
    <t>CLR30-99-056</t>
  </si>
  <si>
    <t>Dusun Balongkore Wonoasri</t>
  </si>
  <si>
    <t>DOEID24090361</t>
  </si>
  <si>
    <t>DNWID0362024090402</t>
  </si>
  <si>
    <t>DOEID24090362</t>
  </si>
  <si>
    <t>DNWID0342024090406</t>
  </si>
  <si>
    <t>CLR30-99-057</t>
  </si>
  <si>
    <t>Dusun Pojok Wonoasri</t>
  </si>
  <si>
    <t>DOEID24090363</t>
  </si>
  <si>
    <t>DNWID0362024090407</t>
  </si>
  <si>
    <t>DOEID24090364</t>
  </si>
  <si>
    <t>DNWID0342024090407</t>
  </si>
  <si>
    <t>CLR23-03-029</t>
  </si>
  <si>
    <t>Tulungrejo RW 04 Pare</t>
  </si>
  <si>
    <t>DOEID24091253</t>
  </si>
  <si>
    <t>DNWID0362024091222</t>
  </si>
  <si>
    <t>DOEID24091254</t>
  </si>
  <si>
    <t>DNWID0342024091206</t>
  </si>
  <si>
    <t>CLR23-03-031</t>
  </si>
  <si>
    <t>Tulungrejo RW 12 Pare</t>
  </si>
  <si>
    <t>DOEID24091255</t>
  </si>
  <si>
    <t>DNWID0362024091224</t>
  </si>
  <si>
    <t>DOEID24091256</t>
  </si>
  <si>
    <t>DNWID0342024091204</t>
  </si>
  <si>
    <t>CLR23-03-032</t>
  </si>
  <si>
    <t>Tulungrejo RW 16 Pare</t>
  </si>
  <si>
    <t>DOEID24091257</t>
  </si>
  <si>
    <t>DNWID0362024091219</t>
  </si>
  <si>
    <t>DOEID24091258</t>
  </si>
  <si>
    <t>DNWID0342024091207</t>
  </si>
  <si>
    <t>CLR23-03-033</t>
  </si>
  <si>
    <t>Pelem RW 14 Pare</t>
  </si>
  <si>
    <t>DOEID24091259</t>
  </si>
  <si>
    <t>DNWID0362024091223</t>
  </si>
  <si>
    <t>DOEID24091260</t>
  </si>
  <si>
    <t>DNWID0342024091303</t>
  </si>
  <si>
    <t>CLR23-03-045</t>
  </si>
  <si>
    <t>Tulungrejo RW 18 Pare</t>
  </si>
  <si>
    <t>DOEID24091261</t>
  </si>
  <si>
    <t>DNWID0362024091220</t>
  </si>
  <si>
    <t>DOEID24091262</t>
  </si>
  <si>
    <t>DNWID0342024091302</t>
  </si>
  <si>
    <t>CLR23-03-046</t>
  </si>
  <si>
    <t>Tulungrejo RW 20 Pare</t>
  </si>
  <si>
    <t>DOEID24091263</t>
  </si>
  <si>
    <t>DNWID0362024091221</t>
  </si>
  <si>
    <t>DOEID24091264</t>
  </si>
  <si>
    <t>DNWID0342024091304</t>
  </si>
  <si>
    <t>CLR23-03-028</t>
  </si>
  <si>
    <t>Open Area Jl Yos Sudarso Tulungrejo</t>
  </si>
  <si>
    <t>DOEID24091284</t>
  </si>
  <si>
    <t>DNWID0362024091226</t>
  </si>
  <si>
    <t>DOEID24091285</t>
  </si>
  <si>
    <t>DNWID0342024091305</t>
  </si>
  <si>
    <t>CLR23-03-030</t>
  </si>
  <si>
    <t>Mulyoasri RW 10 Pare</t>
  </si>
  <si>
    <t>DOEID24091286</t>
  </si>
  <si>
    <t>DNWID0362024091225</t>
  </si>
  <si>
    <t>DOEID24091287</t>
  </si>
  <si>
    <t>DNWID0342024091211</t>
  </si>
  <si>
    <t>CLR99-99-130</t>
  </si>
  <si>
    <t>Desa Johowinong Jombang</t>
  </si>
  <si>
    <t>East java</t>
  </si>
  <si>
    <t>DOEID24091309</t>
  </si>
  <si>
    <t>DNWID0362024091304</t>
  </si>
  <si>
    <t>DOEID24091310</t>
  </si>
  <si>
    <t>DNWID0342024091306</t>
  </si>
  <si>
    <t>CLR22-02-005</t>
  </si>
  <si>
    <t>Gambiran RW 01</t>
  </si>
  <si>
    <t>DOEID24091312</t>
  </si>
  <si>
    <t>DNWID0362024091303</t>
  </si>
  <si>
    <t>DOEID24091313</t>
  </si>
  <si>
    <t>DNWID0342024091307</t>
  </si>
  <si>
    <t>CLR64-99-012</t>
  </si>
  <si>
    <t>Deket Kulon Lamongan</t>
  </si>
  <si>
    <t>DOEID24091726</t>
  </si>
  <si>
    <t>DNWID0362024091701</t>
  </si>
  <si>
    <t>DOEID24091159</t>
  </si>
  <si>
    <t>DNWID0362024091105</t>
  </si>
  <si>
    <t>DOEID24091160</t>
  </si>
  <si>
    <t>DNWID0342024091102</t>
  </si>
  <si>
    <t>DOEID24091759</t>
  </si>
  <si>
    <t>DNWID0342024091701</t>
  </si>
  <si>
    <t>MF51-05</t>
  </si>
  <si>
    <t>Main Feeder - OLT Smart Malang Segment 8 to Sumbersekar</t>
  </si>
  <si>
    <t>DOEID240918BZ</t>
  </si>
  <si>
    <t>DNWID0342024091808</t>
  </si>
  <si>
    <t>DOEID240918BY</t>
  </si>
  <si>
    <t>DNWID0362024091801</t>
  </si>
  <si>
    <t>CLR64-99-002</t>
  </si>
  <si>
    <t>Desa Dukuhagung Lamongan</t>
  </si>
  <si>
    <t>DOEID24091950</t>
  </si>
  <si>
    <t>DNWID0342024091909</t>
  </si>
  <si>
    <t>DOEID24091949</t>
  </si>
  <si>
    <t>DNWID0362024091910</t>
  </si>
  <si>
    <t>CLR64-99-005</t>
  </si>
  <si>
    <t>Desa Wajik Lamongan</t>
  </si>
  <si>
    <t>DOEID24091901</t>
  </si>
  <si>
    <t>DNWID0362024091905</t>
  </si>
  <si>
    <t>DOEID24091902</t>
  </si>
  <si>
    <t>DNWID0342024091903</t>
  </si>
  <si>
    <t>CLR51-99-122</t>
  </si>
  <si>
    <t>Ngenep RW 10 Malang</t>
  </si>
  <si>
    <t>DOEID24092016</t>
  </si>
  <si>
    <t>DNWID0362024092003</t>
  </si>
  <si>
    <t>DOEID24092031</t>
  </si>
  <si>
    <t>DNWID0362024092001</t>
  </si>
  <si>
    <t>CLR51-03-006</t>
  </si>
  <si>
    <t>Dusun Mojosari Ngenep</t>
  </si>
  <si>
    <t>DOEID24092014</t>
  </si>
  <si>
    <t>DNWID0362024092002</t>
  </si>
  <si>
    <t>DOEID24092015</t>
  </si>
  <si>
    <t>DNWID0342024092001</t>
  </si>
  <si>
    <t>DOEID24092017</t>
  </si>
  <si>
    <t>DNWID0342024092002</t>
  </si>
  <si>
    <t>CLR23-03-024</t>
  </si>
  <si>
    <t>Open Area Jl Gajahmada Kediri</t>
  </si>
  <si>
    <t>DOEID24092433</t>
  </si>
  <si>
    <t>DNWID0362024092507</t>
  </si>
  <si>
    <t>DOEID24092434</t>
  </si>
  <si>
    <t>DNWID0342024092407</t>
  </si>
  <si>
    <t>CLR23-03-060</t>
  </si>
  <si>
    <t>PARE RW 17 KEDIRI</t>
  </si>
  <si>
    <t>DOEID24092435</t>
  </si>
  <si>
    <t>DNWID0362024092407</t>
  </si>
  <si>
    <t>DOEID24092436</t>
  </si>
  <si>
    <t>DNWID0342024092409</t>
  </si>
  <si>
    <t>CLR23-03-061</t>
  </si>
  <si>
    <t>PARE RW 19 KEDIRI</t>
  </si>
  <si>
    <t>DOEID24092437</t>
  </si>
  <si>
    <t>DNWID0362024092409</t>
  </si>
  <si>
    <t>DOEID24092438</t>
  </si>
  <si>
    <t>DNWID0342024092408</t>
  </si>
  <si>
    <t>DOEID24091905</t>
  </si>
  <si>
    <t>DNWID0362024091906</t>
  </si>
  <si>
    <t>DOEID24091904</t>
  </si>
  <si>
    <t>DNWID0362024091904</t>
  </si>
  <si>
    <t>DOEID24091903</t>
  </si>
  <si>
    <t>DNWID0362024091903</t>
  </si>
  <si>
    <t>CLR31-04-060</t>
  </si>
  <si>
    <t>Perumahan Green River Park Gresik</t>
  </si>
  <si>
    <t>DOEID240926C2</t>
  </si>
  <si>
    <t>DNWID0362024092704</t>
  </si>
  <si>
    <t>DOEID240926C3</t>
  </si>
  <si>
    <t>DNWID0342024092702</t>
  </si>
  <si>
    <t>CLR31-99-081</t>
  </si>
  <si>
    <t>PERUMAHAN DE NAILA GARDEN GRESIK</t>
  </si>
  <si>
    <t>DOEID240926C4</t>
  </si>
  <si>
    <t>DNWID0362024092705</t>
  </si>
  <si>
    <t>DOEID240926C5</t>
  </si>
  <si>
    <t>DNWID0342024092701</t>
  </si>
  <si>
    <t>CLR41-03-047</t>
  </si>
  <si>
    <t>Jatikalang RW 01 Krian Sidoarjo</t>
  </si>
  <si>
    <t>DOEID240926C0</t>
  </si>
  <si>
    <t>DNWID0362024092702</t>
  </si>
  <si>
    <t>DOEID240926C1</t>
  </si>
  <si>
    <t>DNWID0342024092703</t>
  </si>
  <si>
    <t>CLR41-12-001</t>
  </si>
  <si>
    <t>Gisik Cemandi RW 02 Surabaya</t>
  </si>
  <si>
    <t>DOEID240926BU</t>
  </si>
  <si>
    <t>DNWID0362024092706</t>
  </si>
  <si>
    <t>DOEID240926BV</t>
  </si>
  <si>
    <t>DNWID0342024092704</t>
  </si>
  <si>
    <t>CLR41-12-002</t>
  </si>
  <si>
    <t>Gisik Cemandi RW 03 Surabaya</t>
  </si>
  <si>
    <t>DOEID240926BW</t>
  </si>
  <si>
    <t>DNWID0362024092703</t>
  </si>
  <si>
    <t>DOEID240926BX</t>
  </si>
  <si>
    <t>DNWID0342024092706</t>
  </si>
  <si>
    <t>CLR41-12-003</t>
  </si>
  <si>
    <t>Gisik Cemandi RW 04 Surabaya</t>
  </si>
  <si>
    <t>DOEID240926BY</t>
  </si>
  <si>
    <t>DNWID0362024092701</t>
  </si>
  <si>
    <t>DOEID240926BZ</t>
  </si>
  <si>
    <t>DNWID0342024092705</t>
  </si>
  <si>
    <t>CLR99-99-147</t>
  </si>
  <si>
    <t>Kelurahan Sidomulyo Megaluh</t>
  </si>
  <si>
    <t>DOEID24100728</t>
  </si>
  <si>
    <t>DNWID0342024100802</t>
  </si>
  <si>
    <t>DOEID24100729</t>
  </si>
  <si>
    <t>DNWID0362024100801</t>
  </si>
  <si>
    <t>CLR31-09-003</t>
  </si>
  <si>
    <t>Krikilan RW 05 Driyorejo</t>
  </si>
  <si>
    <t>DOEID24100910</t>
  </si>
  <si>
    <t>DNWID0362024101005</t>
  </si>
  <si>
    <t>CLR31-09-001</t>
  </si>
  <si>
    <t>Krikilan RW 03 Driyorejo</t>
  </si>
  <si>
    <t>DOEID24100907</t>
  </si>
  <si>
    <t>DNWID0342024101001</t>
  </si>
  <si>
    <t>DOEID24101010</t>
  </si>
  <si>
    <t>DNWID0362024101008</t>
  </si>
  <si>
    <t>DOEID24101008</t>
  </si>
  <si>
    <t>DNWID0362024101006</t>
  </si>
  <si>
    <t>DOEID24101012</t>
  </si>
  <si>
    <t>DNWID0362024101009</t>
  </si>
  <si>
    <t>DOEID24101009</t>
  </si>
  <si>
    <t>DNWID0362024101007</t>
  </si>
  <si>
    <t>CLR31-09-002</t>
  </si>
  <si>
    <t>Krikilan RW 02 Driyorejo</t>
  </si>
  <si>
    <t>DOEID24100909</t>
  </si>
  <si>
    <t>DNWID0342024101003</t>
  </si>
  <si>
    <t>DOEID24100911</t>
  </si>
  <si>
    <t>DNWID0342024101002</t>
  </si>
  <si>
    <t>CLR31-06-010</t>
  </si>
  <si>
    <t>Wahas RW 01 Balongpanggang</t>
  </si>
  <si>
    <t>DOEID24100913</t>
  </si>
  <si>
    <t>DNWID0342024101005</t>
  </si>
  <si>
    <t>DOEID24100908</t>
  </si>
  <si>
    <t>DNWID0362024101002</t>
  </si>
  <si>
    <t>DOEID24100912</t>
  </si>
  <si>
    <t>DNWID0362024101004</t>
  </si>
  <si>
    <t>CLR31-04-059</t>
  </si>
  <si>
    <t>Beton RW 04 Gresik</t>
  </si>
  <si>
    <t>DOEID24100914</t>
  </si>
  <si>
    <t>DNWID0362024101003</t>
  </si>
  <si>
    <t>DOEID24100906</t>
  </si>
  <si>
    <t>DNWID0362024101001</t>
  </si>
  <si>
    <t>DOEID24100915</t>
  </si>
  <si>
    <t>DNWID0342024101004</t>
  </si>
  <si>
    <t>DOEID24101842</t>
  </si>
  <si>
    <t>DNWID0362024101809</t>
  </si>
  <si>
    <t>MF64-01</t>
  </si>
  <si>
    <t>Hub Feeder - Segment 1 OLT Lamongan   to Bakalanpule</t>
  </si>
  <si>
    <t>DOEID24101806</t>
  </si>
  <si>
    <t>DNWID0362024101808</t>
  </si>
  <si>
    <t>DOEID24101807</t>
  </si>
  <si>
    <t>DNWID0342024101807</t>
  </si>
  <si>
    <t>CLR30-03-009</t>
  </si>
  <si>
    <t>Purwosari RW 03 Wonoasri</t>
  </si>
  <si>
    <t>DOEID24101776</t>
  </si>
  <si>
    <t>DNWID0342024101802</t>
  </si>
  <si>
    <t>CLR30-03-006</t>
  </si>
  <si>
    <t>Purwosari RW 04 Wonoasri Madiun</t>
  </si>
  <si>
    <t>DOEID24101774</t>
  </si>
  <si>
    <t>DNWID0342024101805</t>
  </si>
  <si>
    <t>CLR30-01-059</t>
  </si>
  <si>
    <t>Kelun RW 01</t>
  </si>
  <si>
    <t>DOEID24101772</t>
  </si>
  <si>
    <t>DNWID0342024101806</t>
  </si>
  <si>
    <t>DOEID24101775</t>
  </si>
  <si>
    <t>DNWID0362024101804</t>
  </si>
  <si>
    <t>DOEID24101771</t>
  </si>
  <si>
    <t>DNWID0362024101805</t>
  </si>
  <si>
    <t>DOEID24101773</t>
  </si>
  <si>
    <t>DNWID0362024101806</t>
  </si>
  <si>
    <t>CLR41-03-060</t>
  </si>
  <si>
    <t>JATIKALANG RW 03 SURABAYA</t>
  </si>
  <si>
    <t>DOEID24102251</t>
  </si>
  <si>
    <t>DNWID0342024102209</t>
  </si>
  <si>
    <t>CLR31-99-083</t>
  </si>
  <si>
    <t>Beton RW 01 Menganti</t>
  </si>
  <si>
    <t>DOEID24102247</t>
  </si>
  <si>
    <t>DNWID0342024102208</t>
  </si>
  <si>
    <t>CLR64-99-003</t>
  </si>
  <si>
    <t>Desa Sumberjo Lamongan</t>
  </si>
  <si>
    <t>DOEID24102253</t>
  </si>
  <si>
    <t>DNWID0342024102215</t>
  </si>
  <si>
    <t>CLR31-04-052</t>
  </si>
  <si>
    <t>Bibis RW 03 Menganti</t>
  </si>
  <si>
    <t>DOEID24102245</t>
  </si>
  <si>
    <t>DNWID0342024102206</t>
  </si>
  <si>
    <t>DOEID24102315</t>
  </si>
  <si>
    <t>DNWID0342024102302</t>
  </si>
  <si>
    <t>MF51-06</t>
  </si>
  <si>
    <t>MAIN_FEEDER_OLT_SINGOSARI_SEGMENT_3_TO_MALANG_FO_144C</t>
  </si>
  <si>
    <t>DOEID24102314</t>
  </si>
  <si>
    <t>DNWID0342024102301</t>
  </si>
  <si>
    <t>CLR41-03-059</t>
  </si>
  <si>
    <t>JATIKALANG RW 02 SURABAYA</t>
  </si>
  <si>
    <t>DOEID24102249</t>
  </si>
  <si>
    <t>DNWID0342024102214</t>
  </si>
  <si>
    <t>DOEID24102248</t>
  </si>
  <si>
    <t>DNWID0362024102212</t>
  </si>
  <si>
    <t>DOEID24102257</t>
  </si>
  <si>
    <t>DNWID0342024102303</t>
  </si>
  <si>
    <t>DOEID24102246</t>
  </si>
  <si>
    <t>DNWID0362024102209</t>
  </si>
  <si>
    <t>DOEID24102244</t>
  </si>
  <si>
    <t>DNWID0362024102208</t>
  </si>
  <si>
    <t>DOEID24102256</t>
  </si>
  <si>
    <t>DNWID0362024102201</t>
  </si>
  <si>
    <t>DOEID24101808</t>
  </si>
  <si>
    <t>DNWID0362024101901</t>
  </si>
  <si>
    <t>DOEID24102259</t>
  </si>
  <si>
    <t>DNWID0342024102304</t>
  </si>
  <si>
    <t>DOEID24102252</t>
  </si>
  <si>
    <t>DNWID0362024102205</t>
  </si>
  <si>
    <t>DOEID24102250</t>
  </si>
  <si>
    <t>DNWID0362024102204</t>
  </si>
  <si>
    <t>DOEID24102258</t>
  </si>
  <si>
    <t>DNWID0362024102202</t>
  </si>
  <si>
    <t>CLR51-01-009</t>
  </si>
  <si>
    <t>Kalirejo RW 13 Lawang Malang</t>
  </si>
  <si>
    <t>DOEID24110549</t>
  </si>
  <si>
    <t>DNWID0362024110503</t>
  </si>
  <si>
    <t>MF51-07</t>
  </si>
  <si>
    <t xml:space="preserve">HUB_FEEDER_SEGMENT_3_OLT_SINGOSARI_TO_KLAMPOK_FO_144C </t>
  </si>
  <si>
    <t>DOEID241029AI</t>
  </si>
  <si>
    <t>DNWID0362024102915</t>
  </si>
  <si>
    <t>DOEID24110550</t>
  </si>
  <si>
    <t>DNWID0342024110505</t>
  </si>
  <si>
    <t>CLR51-99-123</t>
  </si>
  <si>
    <t>Tambakasri RW 02 Tajinan</t>
  </si>
  <si>
    <t>DOEID24110552</t>
  </si>
  <si>
    <t>DNWID0342024110504</t>
  </si>
  <si>
    <t>DOEID24110551</t>
  </si>
  <si>
    <t>DNWID0362024110504</t>
  </si>
  <si>
    <t>DOEID241029AJ</t>
  </si>
  <si>
    <t>DNWID0342024102907</t>
  </si>
  <si>
    <t>CLR23-03-012</t>
  </si>
  <si>
    <t>Sumberbendo RW 01 Pare</t>
  </si>
  <si>
    <t>DOEID24110548</t>
  </si>
  <si>
    <t>DNWID0342024110506</t>
  </si>
  <si>
    <t>CLR23-03-010</t>
  </si>
  <si>
    <t>Sumberbendo RW 03 Pare</t>
  </si>
  <si>
    <t>DOEID24110546</t>
  </si>
  <si>
    <t>DNWID0342024110508</t>
  </si>
  <si>
    <t>DOEID24110545</t>
  </si>
  <si>
    <t>DNWID0362024110507</t>
  </si>
  <si>
    <t>CLR23-03-013</t>
  </si>
  <si>
    <t>Open Area Jl Lawu Sumberbendo Pare</t>
  </si>
  <si>
    <t>DOEID24110543</t>
  </si>
  <si>
    <t>DNWID0362024110508</t>
  </si>
  <si>
    <t>DOEID24110547</t>
  </si>
  <si>
    <t>DNWID0362024110509</t>
  </si>
  <si>
    <t>DOEID24110544</t>
  </si>
  <si>
    <t>DNWID0342024110502</t>
  </si>
  <si>
    <t>DOEID241029AS</t>
  </si>
  <si>
    <t>DNWID0362024102916</t>
  </si>
  <si>
    <t>CLR64-01-039</t>
  </si>
  <si>
    <t>Bakalanpule RW 06 Tikung</t>
  </si>
  <si>
    <t>DOEID24110556</t>
  </si>
  <si>
    <t>DNWID0342024110507</t>
  </si>
  <si>
    <t>CLR64-01-038</t>
  </si>
  <si>
    <t>Bakalanpule RW 03 Tikung</t>
  </si>
  <si>
    <t>DOEID24110554</t>
  </si>
  <si>
    <t>DNWID0342024110503</t>
  </si>
  <si>
    <t>DOEID24110555</t>
  </si>
  <si>
    <t>DNWID0362024110506</t>
  </si>
  <si>
    <t>DOEID24110553</t>
  </si>
  <si>
    <t>DNWID0362024110505</t>
  </si>
  <si>
    <t>DOEID241029AR</t>
  </si>
  <si>
    <t>DNWID0362024102917</t>
  </si>
  <si>
    <t>DOEID24103166</t>
  </si>
  <si>
    <t>DNWID0342024103103</t>
  </si>
  <si>
    <t>DOEID24103173</t>
  </si>
  <si>
    <t>DNWID0342024103102</t>
  </si>
  <si>
    <t>DOEID24110132</t>
  </si>
  <si>
    <t>DNWID0362024110107</t>
  </si>
  <si>
    <t>DOEID24110134</t>
  </si>
  <si>
    <t>DNWID0362024110106</t>
  </si>
  <si>
    <t>CLR37-99-034</t>
  </si>
  <si>
    <t>Desa Gelung Ngawi</t>
  </si>
  <si>
    <t>DOEID24102254</t>
  </si>
  <si>
    <t>DNWID0362024102213</t>
  </si>
  <si>
    <t>DOEID24102255</t>
  </si>
  <si>
    <t>DNWID0342024110509</t>
  </si>
  <si>
    <t>CLR30-03-003</t>
  </si>
  <si>
    <t>Kaliabu RW 02 Mejayan Madiun</t>
  </si>
  <si>
    <t>DOEID24110120</t>
  </si>
  <si>
    <t>DNWID0362024110102</t>
  </si>
  <si>
    <t>DOEID24110133</t>
  </si>
  <si>
    <t>DNWID0362024110104</t>
  </si>
  <si>
    <t>DOEID24110121</t>
  </si>
  <si>
    <t>DNWID0342024110102</t>
  </si>
  <si>
    <t>DOEID24110531</t>
  </si>
  <si>
    <t>DNWID0362024110501</t>
  </si>
  <si>
    <t>CLR22-03-004</t>
  </si>
  <si>
    <t>DUSUN BENJENG KEPUHKAJANG JOMBANG</t>
  </si>
  <si>
    <t>DOEID24110123</t>
  </si>
  <si>
    <t>DNWID0342024110104</t>
  </si>
  <si>
    <t>CLR22-03-005</t>
  </si>
  <si>
    <t>KEPUHKAJANG RW 02 JOMBANG</t>
  </si>
  <si>
    <t>DOEID24110125</t>
  </si>
  <si>
    <t>DNWID0342024110103</t>
  </si>
  <si>
    <t>DOEID24110122</t>
  </si>
  <si>
    <t>DNWID0362024110103</t>
  </si>
  <si>
    <t>CLR22-03-006</t>
  </si>
  <si>
    <t>OPEN AREA JALAN RAYA BEKEL KELURAHAN KEPUHKAJANG JOMBANG</t>
  </si>
  <si>
    <t>DOEID24110127</t>
  </si>
  <si>
    <t>DNWID0342024110105</t>
  </si>
  <si>
    <t>DOEID24110124</t>
  </si>
  <si>
    <t>DNWID0362024110108</t>
  </si>
  <si>
    <t>DOEID24110126</t>
  </si>
  <si>
    <t>DNWID0362024110105</t>
  </si>
  <si>
    <t>ISP22-05</t>
  </si>
  <si>
    <t>OLT Sumobito</t>
  </si>
  <si>
    <t>DOEID24102242</t>
  </si>
  <si>
    <t>DNWID0362024102207</t>
  </si>
  <si>
    <t>DOEID24102243</t>
  </si>
  <si>
    <t>DNWID0342024102212</t>
  </si>
  <si>
    <t>DOEID24111156</t>
  </si>
  <si>
    <t>DNWID0362024111104</t>
  </si>
  <si>
    <t>DOEID24111154</t>
  </si>
  <si>
    <t>DNWID0362024111101</t>
  </si>
  <si>
    <t>DOEID24111157</t>
  </si>
  <si>
    <t>DNWID0362024111102</t>
  </si>
  <si>
    <t>CLR99-99-133</t>
  </si>
  <si>
    <t>MAYANGAN RW 02 JOMBANG</t>
  </si>
  <si>
    <t>DOEID24112570</t>
  </si>
  <si>
    <t>DNWID0342024112507</t>
  </si>
  <si>
    <t>CLR99-99-148</t>
  </si>
  <si>
    <t>PERAK RW 01 JOMBANG</t>
  </si>
  <si>
    <t>DOEID24112572</t>
  </si>
  <si>
    <t>DNWID0342024112506</t>
  </si>
  <si>
    <t>CLR22-03-017</t>
  </si>
  <si>
    <t>PERAK RW 02 JOMBANG</t>
  </si>
  <si>
    <t>DOEID24112574</t>
  </si>
  <si>
    <t>DNWID0342024112504</t>
  </si>
  <si>
    <t>DOEID24112573</t>
  </si>
  <si>
    <t>DNWID0362024112508</t>
  </si>
  <si>
    <t>DOEID24112571</t>
  </si>
  <si>
    <t>DNWID0362024112509</t>
  </si>
  <si>
    <t>CLR31-04-012</t>
  </si>
  <si>
    <t>Perumahan Puri Asta Kencana Gresik</t>
  </si>
  <si>
    <t>DOEID24112568</t>
  </si>
  <si>
    <t>DNWID0362024112514</t>
  </si>
  <si>
    <t>DOEID24112569</t>
  </si>
  <si>
    <t>DNWID0342024112511</t>
  </si>
  <si>
    <t>CLR41-99-071</t>
  </si>
  <si>
    <t>PAGERNGUMBUK RW 01 SURABAYA</t>
  </si>
  <si>
    <t>DOEID24112575</t>
  </si>
  <si>
    <t>DNWID0362024112513</t>
  </si>
  <si>
    <t>DOEID24112576</t>
  </si>
  <si>
    <t>DNWID0342024112508</t>
  </si>
  <si>
    <t>CLR41-99-072</t>
  </si>
  <si>
    <t>PAGERNGUMBUK RW 02 SURABAYA</t>
  </si>
  <si>
    <t>DOEID24112577</t>
  </si>
  <si>
    <t>DNWID0362024112512</t>
  </si>
  <si>
    <t>DOEID24112578</t>
  </si>
  <si>
    <t>DNWID0342024112510</t>
  </si>
  <si>
    <t>CLR41-99-073</t>
  </si>
  <si>
    <t>PAGERNGUMBUK RW 03 SURABAYA</t>
  </si>
  <si>
    <t>DOEID24112579</t>
  </si>
  <si>
    <t>DNWID0362024112511</t>
  </si>
  <si>
    <t>DOEID24112580</t>
  </si>
  <si>
    <t>DNWID0342024112512</t>
  </si>
  <si>
    <t>CLR31-99-107</t>
  </si>
  <si>
    <t>Mbulan Ngamplak Gresik</t>
  </si>
  <si>
    <t>DOEID24112581</t>
  </si>
  <si>
    <t>DNWID0362024112510</t>
  </si>
  <si>
    <t>DOEID24112582</t>
  </si>
  <si>
    <t>DNWID0342024112509</t>
  </si>
  <si>
    <t>CLR51-09-010</t>
  </si>
  <si>
    <t>Bedali RW 03 Kromengan</t>
  </si>
  <si>
    <t>DOEID241121BM</t>
  </si>
  <si>
    <t>DNWID0362024112204</t>
  </si>
  <si>
    <t>DOEID241121BN</t>
  </si>
  <si>
    <t>DNWID0342024112205</t>
  </si>
  <si>
    <t>CLR51-09-011</t>
  </si>
  <si>
    <t>BEDALI RW 04 MALANG</t>
  </si>
  <si>
    <t>DOEID241121BO</t>
  </si>
  <si>
    <t>DNWID0362024112203</t>
  </si>
  <si>
    <t>DOEID241121BP</t>
  </si>
  <si>
    <t>DNWID0342024112204</t>
  </si>
  <si>
    <t>CLR51-09-012</t>
  </si>
  <si>
    <t>Bedali RW 05 Kromengan</t>
  </si>
  <si>
    <t>DOEID241121BQ</t>
  </si>
  <si>
    <t>DNWID0362024112202</t>
  </si>
  <si>
    <t>DOEID241121BR</t>
  </si>
  <si>
    <t>DNWID0342024112203</t>
  </si>
  <si>
    <t>CLR51-99-124</t>
  </si>
  <si>
    <t>Perumahan Bukit Lawang Indah Malang</t>
  </si>
  <si>
    <t>DOEID24112583</t>
  </si>
  <si>
    <t>DNWID0362024112507</t>
  </si>
  <si>
    <t>DOEID24112584</t>
  </si>
  <si>
    <t>DNWID0342024112505</t>
  </si>
  <si>
    <t>ISP01-08</t>
  </si>
  <si>
    <t>OLT Kertosono</t>
  </si>
  <si>
    <t>Nganjuk</t>
  </si>
  <si>
    <t>DOEID24111536</t>
  </si>
  <si>
    <t>DNWID0342024111703</t>
  </si>
  <si>
    <t>CLR37-99-011</t>
  </si>
  <si>
    <t>Desa Jambangan Paron</t>
  </si>
  <si>
    <t>DOEID24121387</t>
  </si>
  <si>
    <t>DNWID0342024121305</t>
  </si>
  <si>
    <t>CLR51-99-056</t>
  </si>
  <si>
    <t>Dusun Cupak RW 01</t>
  </si>
  <si>
    <t>DOEID24121393</t>
  </si>
  <si>
    <t>DNWID0342024121303</t>
  </si>
  <si>
    <t>CLR51-09-004</t>
  </si>
  <si>
    <t>Permanu RW 02 Pakisaji</t>
  </si>
  <si>
    <t>DOEID24121388</t>
  </si>
  <si>
    <t>DNWID0362024121305</t>
  </si>
  <si>
    <t>CLR51-99-058</t>
  </si>
  <si>
    <t>Dusun Cupak RW 02</t>
  </si>
  <si>
    <t>DOEID24121394</t>
  </si>
  <si>
    <t>DNWID0362024121302</t>
  </si>
  <si>
    <t>DOEID24121392</t>
  </si>
  <si>
    <t>DNWID0362024121303</t>
  </si>
  <si>
    <t>CLR51-09-007</t>
  </si>
  <si>
    <t>PERMANU RW 01 MALANG</t>
  </si>
  <si>
    <t>DOEID24121390</t>
  </si>
  <si>
    <t>DNWID0362024121304</t>
  </si>
  <si>
    <t>DOEID24121389</t>
  </si>
  <si>
    <t>DNWID0342024121401</t>
  </si>
  <si>
    <t>DOEID24121391</t>
  </si>
  <si>
    <t>DNWID0342024121307</t>
  </si>
  <si>
    <t>DOEID24121395</t>
  </si>
  <si>
    <t>DNWID0342024121304</t>
  </si>
  <si>
    <t>DOEID24121786</t>
  </si>
  <si>
    <t>DNWID0362024121706</t>
  </si>
  <si>
    <t>CLR64-99-014</t>
  </si>
  <si>
    <t>DESA TAKERANKLATING LAMONGAN</t>
  </si>
  <si>
    <t>DOEID24121770</t>
  </si>
  <si>
    <t>DNWID0362024121705</t>
  </si>
  <si>
    <t>DOEID24121771</t>
  </si>
  <si>
    <t>DNWID0342024121704</t>
  </si>
  <si>
    <t>CLR30-01-065</t>
  </si>
  <si>
    <t>Sendangrejo RW 01 Madiun</t>
  </si>
  <si>
    <t>DOEID24121769</t>
  </si>
  <si>
    <t>DNWID0362024121702</t>
  </si>
  <si>
    <t>DOEID24121947</t>
  </si>
  <si>
    <t>DNWID0362024121901</t>
  </si>
  <si>
    <t>DOEID24121953</t>
  </si>
  <si>
    <t>DNWID0342024121901</t>
  </si>
  <si>
    <t>CLR23-99-104</t>
  </si>
  <si>
    <t>Sukorame RW 07 Kediri</t>
  </si>
  <si>
    <t>DOEID24121964</t>
  </si>
  <si>
    <t>DNWID0342024122001</t>
  </si>
  <si>
    <t>DOEID24122331</t>
  </si>
  <si>
    <t>DNWID0362024122304</t>
  </si>
  <si>
    <t>CLR41-99-077</t>
  </si>
  <si>
    <t>WATUGOLONG RW 06 SURABAYA</t>
  </si>
  <si>
    <t>DOEID25011577</t>
  </si>
  <si>
    <t>DNWID0342025011502</t>
  </si>
  <si>
    <t>CLR41-99-078</t>
  </si>
  <si>
    <t>WATUGOLONG RT 10 RW 05 SURABAYA</t>
  </si>
  <si>
    <t>DOEID25011578</t>
  </si>
  <si>
    <t>DNWID0342025011501</t>
  </si>
  <si>
    <t>CLR41-99-079</t>
  </si>
  <si>
    <t>WATUGOLONG RW 01 SURABAYA</t>
  </si>
  <si>
    <t>DOEID25011579</t>
  </si>
  <si>
    <t>DNWID0342025011504</t>
  </si>
  <si>
    <t>CLR41-99-080</t>
  </si>
  <si>
    <t>WATUGOLONG RW 04 SURABAYA</t>
  </si>
  <si>
    <t>DOEID25011580</t>
  </si>
  <si>
    <t>DNWID0342025011503</t>
  </si>
  <si>
    <t>CLR23-02-008</t>
  </si>
  <si>
    <t>Sambiresik RW 01 Gampengrejo</t>
  </si>
  <si>
    <t>DOEID25011817</t>
  </si>
  <si>
    <t>DNWID0362025011802</t>
  </si>
  <si>
    <t>DOEID25011818</t>
  </si>
  <si>
    <t>DNWID0342025011804</t>
  </si>
  <si>
    <t>CLR23-02-009</t>
  </si>
  <si>
    <t>Sambiresik RW 02 Gampengrejo</t>
  </si>
  <si>
    <t>DOEID25011819</t>
  </si>
  <si>
    <t>DNWID0362025011804</t>
  </si>
  <si>
    <t>DOEID25011820</t>
  </si>
  <si>
    <t>DNWID0342025011802</t>
  </si>
  <si>
    <t>CLR23-02-010</t>
  </si>
  <si>
    <t>Sambiresik RW 03 Gampengrejo</t>
  </si>
  <si>
    <t>DOEID25011821</t>
  </si>
  <si>
    <t>DNWID0362025011803</t>
  </si>
  <si>
    <t>DOEID25011822</t>
  </si>
  <si>
    <t>DNWID0342025011801</t>
  </si>
  <si>
    <t>CLR23-02-013</t>
  </si>
  <si>
    <t>Open Area Jl Tugu Sambirejo</t>
  </si>
  <si>
    <t>DOEID25011823</t>
  </si>
  <si>
    <t>DNWID0362025011806</t>
  </si>
  <si>
    <t>DOEID25011824</t>
  </si>
  <si>
    <t>DNWID0342025011805</t>
  </si>
  <si>
    <t>CLR64-99-008</t>
  </si>
  <si>
    <t>GUMININGREJO RW 02 DAN RW 03 LAMONGAN</t>
  </si>
  <si>
    <t>DOEID250130BK</t>
  </si>
  <si>
    <t>DNWID0362025013002</t>
  </si>
  <si>
    <t>DOEID250130BL</t>
  </si>
  <si>
    <t>DNWID0342025013005</t>
  </si>
  <si>
    <t>CLR64-99-004</t>
  </si>
  <si>
    <t>Desa Rancangkencono Lamongan</t>
  </si>
  <si>
    <t>DOEID25013084</t>
  </si>
  <si>
    <t>DNWID0362025013003</t>
  </si>
  <si>
    <t>DOEID25013085</t>
  </si>
  <si>
    <t>DNWID0342025013001</t>
  </si>
  <si>
    <t>CLR51-99-050</t>
  </si>
  <si>
    <t>Perumahan De Wira Green View</t>
  </si>
  <si>
    <t>DOEID25020563</t>
  </si>
  <si>
    <t>DNWID0342025020501</t>
  </si>
  <si>
    <t>CLR41-02-028</t>
  </si>
  <si>
    <t>MONOKREMBANGAN RW 05 SURABAYA</t>
  </si>
  <si>
    <t>DOEID25021042</t>
  </si>
  <si>
    <t>DNWID0362025021004</t>
  </si>
  <si>
    <t>DOEID25021043</t>
  </si>
  <si>
    <t>DNWID0342025021003</t>
  </si>
  <si>
    <t>MBULAN NGAMPLAK GRESIK</t>
  </si>
  <si>
    <t>DOEID25021719</t>
  </si>
  <si>
    <t>DNWID0362025021701</t>
  </si>
  <si>
    <t>DOEID25021854</t>
  </si>
  <si>
    <t>DNWID0362025021803</t>
  </si>
  <si>
    <t>CLR51-08-007</t>
  </si>
  <si>
    <t>Sitirejo RW 04 Wagir</t>
  </si>
  <si>
    <t>DOEID25021853</t>
  </si>
  <si>
    <t>DNWID0342025021804</t>
  </si>
  <si>
    <t>DOEID25021852</t>
  </si>
  <si>
    <t>DNWID0362025021804</t>
  </si>
  <si>
    <t>CLR31-99-116</t>
  </si>
  <si>
    <t>PERUMAHAN DE NAILA PARK GRESIK</t>
  </si>
  <si>
    <t>DOEID250224B2</t>
  </si>
  <si>
    <t>DNWID0342025022402</t>
  </si>
  <si>
    <t>DOEID25022623</t>
  </si>
  <si>
    <t>DNWID0362025022612</t>
  </si>
  <si>
    <t>CLR51-06-040</t>
  </si>
  <si>
    <t>Tirtamaya Inside</t>
  </si>
  <si>
    <t>DOEID25031897</t>
  </si>
  <si>
    <t>DNWID0342025031808</t>
  </si>
  <si>
    <t>CLR51-99-140</t>
  </si>
  <si>
    <t>Temas RW 04</t>
  </si>
  <si>
    <t>DOEID25031898</t>
  </si>
  <si>
    <t>DNWID0342025031811</t>
  </si>
  <si>
    <t>CLR51-99-141</t>
  </si>
  <si>
    <t>Temas RW 05</t>
  </si>
  <si>
    <t>DOEID25031899</t>
  </si>
  <si>
    <t>DNWID0342025031809</t>
  </si>
  <si>
    <t>CLR41-11-019</t>
  </si>
  <si>
    <t>JIKEN RW 02 SURABAYA</t>
  </si>
  <si>
    <t>DOEID250318A0</t>
  </si>
  <si>
    <t>DNWID0342025031810</t>
  </si>
  <si>
    <t>CLR41-11-020</t>
  </si>
  <si>
    <t>JIKEN RW 01 SURABAYA</t>
  </si>
  <si>
    <t>DOEID250318A1</t>
  </si>
  <si>
    <t>DNWID0342025031807</t>
  </si>
  <si>
    <t>CLR64-99-015</t>
  </si>
  <si>
    <t>DESA SAMBANGAN LAMONGAN</t>
  </si>
  <si>
    <t>DOEID25041773</t>
  </si>
  <si>
    <t>DNWID0342025041703</t>
  </si>
  <si>
    <t>DOEID25041772</t>
  </si>
  <si>
    <t>DNWID0362025041701</t>
  </si>
  <si>
    <t>CLR64-99-016</t>
  </si>
  <si>
    <t>DESA KEYONGAN LAMONGAN</t>
  </si>
  <si>
    <t>DOEID25041787</t>
  </si>
  <si>
    <t>DNWID0362025041706</t>
  </si>
  <si>
    <t>CLR64-99-030</t>
  </si>
  <si>
    <t>DESA DUMPIAGUNG LAMONGAN</t>
  </si>
  <si>
    <t>DOEID25041775</t>
  </si>
  <si>
    <t>DNWID0342025041702</t>
  </si>
  <si>
    <t>DOEID25041774</t>
  </si>
  <si>
    <t>DNWID0362025041702</t>
  </si>
  <si>
    <t>CLR64-99-031</t>
  </si>
  <si>
    <t>DESA KATEMAS LAMONGAN</t>
  </si>
  <si>
    <t>DOEID25041788</t>
  </si>
  <si>
    <t>DNWID0362025041705</t>
  </si>
  <si>
    <t>CLR64-99-032</t>
  </si>
  <si>
    <t>DESA SUMBERKEREP LAMONGAN</t>
  </si>
  <si>
    <t>DOEID25041789</t>
  </si>
  <si>
    <t>DNWID0362025041704</t>
  </si>
  <si>
    <t>CLR64-99-033</t>
  </si>
  <si>
    <t>DESA TUGU LAMONGAN</t>
  </si>
  <si>
    <t>DOEID25041777</t>
  </si>
  <si>
    <t>DNWID0342025041701</t>
  </si>
  <si>
    <t>DOEID25041776</t>
  </si>
  <si>
    <t>DNWID0362025041703</t>
  </si>
  <si>
    <t>CLR31-99-115</t>
  </si>
  <si>
    <t>KELURAHAN TIREM GRESIK</t>
  </si>
  <si>
    <t>DOEID25042888</t>
  </si>
  <si>
    <t>DNWID0362025042810</t>
  </si>
  <si>
    <t>CLR31-99-082</t>
  </si>
  <si>
    <t>Open Area Jl Dusun Sumari</t>
  </si>
  <si>
    <t>DOEID25042887</t>
  </si>
  <si>
    <t>DNWID0362025042809</t>
  </si>
  <si>
    <t>DOEID250428AF</t>
  </si>
  <si>
    <t>DNWID0362025042808</t>
  </si>
  <si>
    <t>DOEID25050205</t>
  </si>
  <si>
    <t>DNWID0362025050201</t>
  </si>
  <si>
    <t>CLR31-99-086</t>
  </si>
  <si>
    <t>KELURAHAN WOTANSARI GRESIK</t>
  </si>
  <si>
    <t>DOEID25050719</t>
  </si>
  <si>
    <t>DNWID0362025050714</t>
  </si>
  <si>
    <t>CLR41-11-018</t>
  </si>
  <si>
    <t>JIKEN RW 03 SURABAYA</t>
  </si>
  <si>
    <t>DOEID25050720</t>
  </si>
  <si>
    <t>DNWID0362025050715</t>
  </si>
  <si>
    <t>DOEID25050725</t>
  </si>
  <si>
    <t>DNWID0362025050718</t>
  </si>
  <si>
    <t>CLR64-99-060</t>
  </si>
  <si>
    <t>Guminingrejo RW 01 Tikung</t>
  </si>
  <si>
    <t>DOEID25050722</t>
  </si>
  <si>
    <t>DNWID0342025050705</t>
  </si>
  <si>
    <t>DOEID25050723</t>
  </si>
  <si>
    <t>DNWID0362025050713</t>
  </si>
  <si>
    <t>DOEID25050724</t>
  </si>
  <si>
    <t>DNWID0362025050716</t>
  </si>
  <si>
    <t>DOEID25050721</t>
  </si>
  <si>
    <t>DNWID0362025050717</t>
  </si>
  <si>
    <t>DOEID25051775</t>
  </si>
  <si>
    <t>DNWID1372025051802</t>
  </si>
  <si>
    <t>DOEID25051778</t>
  </si>
  <si>
    <t>DNWID1382025051803</t>
  </si>
  <si>
    <t>DOEID25051777</t>
  </si>
  <si>
    <t>DNWID1372025051803</t>
  </si>
  <si>
    <t>DOEID25051782</t>
  </si>
  <si>
    <t>DNWID1372025051804</t>
  </si>
  <si>
    <t>DOEID25051783</t>
  </si>
  <si>
    <t>DNWID1372025051805</t>
  </si>
  <si>
    <t>CLR31-99-108</t>
  </si>
  <si>
    <t>PERUMAHAN THE FAZZA GRESIK</t>
  </si>
  <si>
    <t>DOEID25051773</t>
  </si>
  <si>
    <t>DNWID1382025051802</t>
  </si>
  <si>
    <t>DOEID25051779</t>
  </si>
  <si>
    <t>DNWID1382025051801</t>
  </si>
  <si>
    <t>DOEID25051781</t>
  </si>
  <si>
    <t>DNWID1372025051801</t>
  </si>
  <si>
    <t>DOEID25051774</t>
  </si>
  <si>
    <t>DNWID1372025051806</t>
  </si>
  <si>
    <t>DOEID25051776</t>
  </si>
  <si>
    <t>DNWID1382025051804</t>
  </si>
  <si>
    <t>CLR31-08-008</t>
  </si>
  <si>
    <t>DESA SUKOREJO GRESIK</t>
  </si>
  <si>
    <t>DOEID250520AB</t>
  </si>
  <si>
    <t>DNWID1382025052106</t>
  </si>
  <si>
    <t>DOEID250520AC</t>
  </si>
  <si>
    <t>DNWID1372025052101</t>
  </si>
  <si>
    <t>CLR31-99-131</t>
  </si>
  <si>
    <t>DESA KALIREJO GRESIK</t>
  </si>
  <si>
    <t>DOEID250520AD</t>
  </si>
  <si>
    <t>DNWID1382025052102</t>
  </si>
  <si>
    <t>DOEID250520AE</t>
  </si>
  <si>
    <t>DNWID1372025052103</t>
  </si>
  <si>
    <t>DOEID250520AK</t>
  </si>
  <si>
    <t>DNWID1382025052104</t>
  </si>
  <si>
    <t>DOEID250520A9</t>
  </si>
  <si>
    <t>DNWID1372025052102</t>
  </si>
  <si>
    <t>DOEID250520AA</t>
  </si>
  <si>
    <t>DNWID1382025052103</t>
  </si>
  <si>
    <t>CLR64-99-034</t>
  </si>
  <si>
    <t>BOTOPUTIH RW 01 DAN 02 LAMONGAN</t>
  </si>
  <si>
    <t>DOEID250520AG</t>
  </si>
  <si>
    <t>DNWID1372025052105</t>
  </si>
  <si>
    <t>DOEID250520AF</t>
  </si>
  <si>
    <t>DNWID1382025052105</t>
  </si>
  <si>
    <t>CLR64-99-062</t>
  </si>
  <si>
    <t>BOTOPUTIH RW 01, 03, DAN 06 LAMONGAN</t>
  </si>
  <si>
    <t>DOEID250520AH</t>
  </si>
  <si>
    <t>DNWID1382025052107</t>
  </si>
  <si>
    <t>DOEID250520AI</t>
  </si>
  <si>
    <t>DNWID1372025052104</t>
  </si>
  <si>
    <t>DOEID25052759</t>
  </si>
  <si>
    <t>DNWID1382025052711</t>
  </si>
  <si>
    <t>DOEID25052714</t>
  </si>
  <si>
    <t>DNWID1382025052709</t>
  </si>
  <si>
    <t>DOEID25052713</t>
  </si>
  <si>
    <t>DNWID1382025052708</t>
  </si>
  <si>
    <t>DOEID25052710</t>
  </si>
  <si>
    <t>DNWID1382025052707</t>
  </si>
  <si>
    <t>Hubfeeder OLT Kedamean - segment   Driyorejo</t>
  </si>
  <si>
    <t>DOEID25053129</t>
  </si>
  <si>
    <t>DNWID1382025053106</t>
  </si>
  <si>
    <t>DOEID25053137</t>
  </si>
  <si>
    <t>DNWID1382025053105</t>
  </si>
  <si>
    <t>DOEID25053140</t>
  </si>
  <si>
    <t>DNWID1382025053107</t>
  </si>
  <si>
    <t>CLR51-99-101</t>
  </si>
  <si>
    <t>BULULAWANG RW 01, 02, 03, 04, 06   MALANG</t>
  </si>
  <si>
    <t>DOEID250610PE</t>
  </si>
  <si>
    <t>DNWID1382025061204</t>
  </si>
  <si>
    <t>DOEID250610PF</t>
  </si>
  <si>
    <t>DNWID1372025061201</t>
  </si>
  <si>
    <t>CLR51-99-104</t>
  </si>
  <si>
    <t>BULULAWANG RW 05 MALANG</t>
  </si>
  <si>
    <t>DOEID250610PG</t>
  </si>
  <si>
    <t>DNWID1382025061201</t>
  </si>
  <si>
    <t>DOEID250610PH</t>
  </si>
  <si>
    <t>DNWID1372025061203</t>
  </si>
  <si>
    <t>CLR51-99-212</t>
  </si>
  <si>
    <t>KEBONAGUNG RW 01 MALANG</t>
  </si>
  <si>
    <t>DOEID250610PI</t>
  </si>
  <si>
    <t>DNWID1382025061202</t>
  </si>
  <si>
    <t>CLR51-99-238</t>
  </si>
  <si>
    <t>ARJOWINANGUN RW 01 MALANG</t>
  </si>
  <si>
    <t>DOEID250610PJ</t>
  </si>
  <si>
    <t>DNWID1382025061203</t>
  </si>
  <si>
    <t>DOEID250610PK</t>
  </si>
  <si>
    <t>DNWID1372025061202</t>
  </si>
  <si>
    <t>CLR64-99-028</t>
  </si>
  <si>
    <t>WANAR  RW 01 SAMPAI 07 LAMONGAN</t>
  </si>
  <si>
    <t>DOEID250611HP</t>
  </si>
  <si>
    <t>DNWID1382025061301</t>
  </si>
  <si>
    <t>DOEID250611HQ</t>
  </si>
  <si>
    <t>DNWID1372025061303</t>
  </si>
  <si>
    <t>CLR64-99-071</t>
  </si>
  <si>
    <t>DESA GINTUNGAN LAMONGAN</t>
  </si>
  <si>
    <t>DOEID250611HR</t>
  </si>
  <si>
    <t>DNWID1382025061302</t>
  </si>
  <si>
    <t>DOEID250611HS</t>
  </si>
  <si>
    <t>DNWID1372025061301</t>
  </si>
  <si>
    <t>CLR51-99-246</t>
  </si>
  <si>
    <t>DUSUN LOR KALI PONCOKUSUMO MALANG</t>
  </si>
  <si>
    <t>DOEID250613BU</t>
  </si>
  <si>
    <t>DNWID1382025061615</t>
  </si>
  <si>
    <t>CLR51-99-245</t>
  </si>
  <si>
    <t>DESA PANCURAN PONCOKUSUMO MALANG</t>
  </si>
  <si>
    <t>DOEID250613BS</t>
  </si>
  <si>
    <t>DNWID1382025061704</t>
  </si>
  <si>
    <t>CLR51-99-244</t>
  </si>
  <si>
    <t>DESA KRAJANI PONCOKUSUMO MALANG</t>
  </si>
  <si>
    <t>DOEID250613BQ</t>
  </si>
  <si>
    <t>DNWID1382025061703</t>
  </si>
  <si>
    <t>CLR51-99-243</t>
  </si>
  <si>
    <t>DESA KARANGANYAR KIDUL PONCOKUSUMO   MALANG</t>
  </si>
  <si>
    <t>DOEID250613BP</t>
  </si>
  <si>
    <t>DNWID1372025061606</t>
  </si>
  <si>
    <t>DOEID250613BO</t>
  </si>
  <si>
    <t>DNWID1382025061614</t>
  </si>
  <si>
    <t>CLR51-99-242</t>
  </si>
  <si>
    <t>DESA GADUNGAN PONCOKUSUMO MALANG</t>
  </si>
  <si>
    <t>DOEID250613BN</t>
  </si>
  <si>
    <t>DNWID1372025061605</t>
  </si>
  <si>
    <t>DOEID250613BM</t>
  </si>
  <si>
    <t>DNWID1382025061702</t>
  </si>
  <si>
    <t>DOEID25062217</t>
  </si>
  <si>
    <t>DNWID1372025062202</t>
  </si>
  <si>
    <t>DOEID25062216</t>
  </si>
  <si>
    <t>DNWID1372025062203</t>
  </si>
  <si>
    <t>DOEID25062218</t>
  </si>
  <si>
    <t>DNWID1372025062201</t>
  </si>
  <si>
    <t>CLR41-99-076</t>
  </si>
  <si>
    <t>JABARAN RT 01 RW 01 SURABAYA</t>
  </si>
  <si>
    <t>DOEID250701CQ</t>
  </si>
  <si>
    <t>DNWID1382025070104</t>
  </si>
  <si>
    <t>DOEID250701CC</t>
  </si>
  <si>
    <t>DNWID1382025070103</t>
  </si>
  <si>
    <t>CLR64-99-066</t>
  </si>
  <si>
    <t>OPEN AREA JL ABDUL MADJID   SUMBERDADI LAMONGAN</t>
  </si>
  <si>
    <t>DOEID25070771</t>
  </si>
  <si>
    <t>DNWID1372025070702</t>
  </si>
  <si>
    <t>CLR31-99-132</t>
  </si>
  <si>
    <t>DESA LASEM GRESIK</t>
  </si>
  <si>
    <t>DOEID25070775</t>
  </si>
  <si>
    <t>DNWID1372025070708</t>
  </si>
  <si>
    <t>CLR64-99-072</t>
  </si>
  <si>
    <t>DESA KELORARUM LAMONGAN</t>
  </si>
  <si>
    <t>DOEID25070772</t>
  </si>
  <si>
    <t>DNWID1372025070707</t>
  </si>
  <si>
    <t>CLR64-99-074</t>
  </si>
  <si>
    <t>KELURAHAN RUMPUK LAMONGAN</t>
  </si>
  <si>
    <t>DOEID25070773</t>
  </si>
  <si>
    <t>DNWID1372025070705</t>
  </si>
  <si>
    <t>CLR64-99-027</t>
  </si>
  <si>
    <t>GEMPOLPADING RW 04 LAMONGAN</t>
  </si>
  <si>
    <t>DOEID25070770</t>
  </si>
  <si>
    <t>DNWID1372025070706</t>
  </si>
  <si>
    <t>DOEID25070774</t>
  </si>
  <si>
    <t>DNWID1382025070714</t>
  </si>
  <si>
    <t>DOEID25070769</t>
  </si>
  <si>
    <t>DNWID1382025070718</t>
  </si>
  <si>
    <t>CLR51-99-106</t>
  </si>
  <si>
    <t>KREBET SENGGRONG RW 04</t>
  </si>
  <si>
    <t>DOEID250711ED</t>
  </si>
  <si>
    <t>DNWID1382025071110</t>
  </si>
  <si>
    <t>DOEID250711EE</t>
  </si>
  <si>
    <t>DNWID1372025071104</t>
  </si>
  <si>
    <t>CLR51-99-107</t>
  </si>
  <si>
    <t>KREBET RW 03</t>
  </si>
  <si>
    <t>DOEID250711EF</t>
  </si>
  <si>
    <t>DNWID1382025071109</t>
  </si>
  <si>
    <t>DOEID250711EG</t>
  </si>
  <si>
    <t>DNWID1372025071101</t>
  </si>
  <si>
    <t>CLR51-99-108</t>
  </si>
  <si>
    <t>KREBET RW 05</t>
  </si>
  <si>
    <t>DOEID250711EI</t>
  </si>
  <si>
    <t>DNWID1382025071113</t>
  </si>
  <si>
    <t>DOEID250711EJ</t>
  </si>
  <si>
    <t>DNWID1372025071102</t>
  </si>
  <si>
    <t>CLR51-99-112</t>
  </si>
  <si>
    <t>KREBET RW 04</t>
  </si>
  <si>
    <t>DOEID250711EH</t>
  </si>
  <si>
    <t>DNWID1382025071111</t>
  </si>
  <si>
    <t>CLR51-99-264</t>
  </si>
  <si>
    <t>BULULAWANG RW 07 MALANG</t>
  </si>
  <si>
    <t>DOEID250711EK</t>
  </si>
  <si>
    <t>DNWID1382025071112</t>
  </si>
  <si>
    <t>DOEID250715CJ</t>
  </si>
  <si>
    <t>DNWID1382025071516</t>
  </si>
  <si>
    <t>DOEID250711EL</t>
  </si>
  <si>
    <t>DNWID1372025071103</t>
  </si>
  <si>
    <t>DOEID250715MJ</t>
  </si>
  <si>
    <t>DNWID1382025071627</t>
  </si>
  <si>
    <t>DOEID250715MK</t>
  </si>
  <si>
    <t>DNWID1372025071601</t>
  </si>
  <si>
    <t>DOEID250715MM</t>
  </si>
  <si>
    <t>DNWID1382025071628</t>
  </si>
  <si>
    <t>CLR64-99-064</t>
  </si>
  <si>
    <t>OPEN AREA JL DESA KEDUNGSOKO SUMBERDADI LAMONGAN</t>
  </si>
  <si>
    <t>DOEID250715LB</t>
  </si>
  <si>
    <t>DNWID1382025071626</t>
  </si>
  <si>
    <t>DOEID250715LC</t>
  </si>
  <si>
    <t>DNWID1372025071602</t>
  </si>
  <si>
    <t>CLR64-99-065</t>
  </si>
  <si>
    <t>OPEN AREA JL RAYA MANTUP SUMBERDADI LAMONGAN</t>
  </si>
  <si>
    <t>DOEID250715KU</t>
  </si>
  <si>
    <t>DNWID1382025071520</t>
  </si>
  <si>
    <t>DOEID250715KV</t>
  </si>
  <si>
    <t>DNWID1372025071603</t>
  </si>
  <si>
    <t>OPEN AREA JL ABDUL MADJID SUMBERDADI LAMONGAN</t>
  </si>
  <si>
    <t>DOEID250715K7</t>
  </si>
  <si>
    <t>DNWID1382025071519</t>
  </si>
  <si>
    <t>CLR64-99-067</t>
  </si>
  <si>
    <t>DUSUN BALONG RW 01 SUMBERDADI LAMONGAN</t>
  </si>
  <si>
    <t>DOEID250715KW</t>
  </si>
  <si>
    <t>DNWID1382025071518</t>
  </si>
  <si>
    <t>DOEID250715KM</t>
  </si>
  <si>
    <t>DNWID1372025071502</t>
  </si>
  <si>
    <t>DOEID250715KN</t>
  </si>
  <si>
    <t>DNWID1382025071521</t>
  </si>
  <si>
    <t>DOEID250715KS</t>
  </si>
  <si>
    <t>DNWID1372025071503</t>
  </si>
  <si>
    <t>DOEID25073037</t>
  </si>
  <si>
    <t>DNWID1372025073003</t>
  </si>
  <si>
    <t>CLR41-99-119</t>
  </si>
  <si>
    <t>TEMU RW 01 PRAMBON</t>
  </si>
  <si>
    <t>DOEID25073039</t>
  </si>
  <si>
    <t>DNWID1382025073101</t>
  </si>
  <si>
    <t>DOEID25072955</t>
  </si>
  <si>
    <t>DNWID1372025072902</t>
  </si>
  <si>
    <t>CLR41-03-072</t>
  </si>
  <si>
    <t>TEMU RW 03 SURABAYA</t>
  </si>
  <si>
    <t>DOEID25073041</t>
  </si>
  <si>
    <t>DNWID1382025073007</t>
  </si>
  <si>
    <t>DOEID25073042</t>
  </si>
  <si>
    <t>DNWID1372025073002</t>
  </si>
  <si>
    <t>DOEID25073040</t>
  </si>
  <si>
    <t>DNWID1372025073101</t>
  </si>
  <si>
    <t>CLR41-03-064</t>
  </si>
  <si>
    <t>JABARAN RW 01 SURABAYA</t>
  </si>
  <si>
    <t>DOEID25073038</t>
  </si>
  <si>
    <t>DNWID1382025080701</t>
  </si>
  <si>
    <t>DOEID250807A6</t>
  </si>
  <si>
    <t>DNWID1382025080703</t>
  </si>
  <si>
    <t>DOEID250807A3</t>
  </si>
  <si>
    <t>DNWID1382025080705</t>
  </si>
  <si>
    <t>DOEID250807A5</t>
  </si>
  <si>
    <t>DNWID1382025080702</t>
  </si>
  <si>
    <t>DOEID250807A1</t>
  </si>
  <si>
    <t>DNWID1382025080811</t>
  </si>
  <si>
    <t>CLR51-99-249</t>
  </si>
  <si>
    <t>PERMANU RW 04 MALANG</t>
  </si>
  <si>
    <t>DOEID250804CC</t>
  </si>
  <si>
    <t>DNWID1372025080401</t>
  </si>
  <si>
    <t>CLR51-99-250</t>
  </si>
  <si>
    <t>PERMANU RW 03 MALANG</t>
  </si>
  <si>
    <t>DOEID250804CD</t>
  </si>
  <si>
    <t>DNWID1372025080402</t>
  </si>
  <si>
    <t>CLR76-99-013</t>
  </si>
  <si>
    <t>SIMOGIRANG RW 01 SIDOARJO</t>
  </si>
  <si>
    <t>DOEID25081465</t>
  </si>
  <si>
    <t>CLR76-99-014</t>
  </si>
  <si>
    <t>SIMOGIRANG RW 02 SIDOARJO</t>
  </si>
  <si>
    <t>DOEID25081466</t>
  </si>
  <si>
    <t>DNWID1382025081410</t>
  </si>
  <si>
    <t>CLR76-99-015</t>
  </si>
  <si>
    <t>SIMOGIRANG RW 03 SIDOARJO</t>
  </si>
  <si>
    <t>DOEID25081467</t>
  </si>
  <si>
    <t>DNWID1382025081411</t>
  </si>
  <si>
    <t>CLR41-03-056</t>
  </si>
  <si>
    <t>Simogirang RW 04 Prambon</t>
  </si>
  <si>
    <t>DOEID25081468</t>
  </si>
  <si>
    <t>CLR41-03-081</t>
  </si>
  <si>
    <t>SIMOGIRANG RW 05 SIDOARJO</t>
  </si>
  <si>
    <t>DOEID25081469</t>
  </si>
  <si>
    <t>Field Team</t>
  </si>
  <si>
    <t>PIC Delivery</t>
  </si>
  <si>
    <t>Borrow IN</t>
  </si>
  <si>
    <t>Borrow Out</t>
  </si>
  <si>
    <t>Transfer IN</t>
  </si>
  <si>
    <t>Transfer Out</t>
  </si>
  <si>
    <t>ZTE-EMR Material</t>
  </si>
  <si>
    <t>ZTE-EMR Accesories</t>
  </si>
  <si>
    <t>Material Source / Destination</t>
  </si>
  <si>
    <t>Temporary _Logfile</t>
  </si>
  <si>
    <t>Transaction Type</t>
  </si>
  <si>
    <t>C. Revision History</t>
  </si>
  <si>
    <t>Version No.</t>
  </si>
  <si>
    <t>Item</t>
  </si>
  <si>
    <t>Description</t>
  </si>
  <si>
    <t>Launching</t>
  </si>
  <si>
    <t>Launching Beta Version only for Office 365, Office Pro 2021 &amp; LTSC</t>
  </si>
  <si>
    <t>Sheet DV (Data Validation)</t>
  </si>
  <si>
    <t>Sheet Ini Berisi Data Validation, Untuk pilihan Drop down list pada Sheet Transaction Form</t>
  </si>
  <si>
    <t>Data Tabel pada sheet ini dapat ditambah kebawah, sesuai kebutuhan</t>
  </si>
  <si>
    <t>Sheet Ini Berisi Summary / Ringkasan Data yang diambil dari Sheet Logfile</t>
  </si>
  <si>
    <t>General Information (Informasi Umum)</t>
  </si>
  <si>
    <t>Jika Menemukan Cell yang di warnai Abu-Abu,atau Hitam, maka Cell berisi rumus, dan tidak perlu di input data</t>
  </si>
  <si>
    <t>Tidak perlu Input Data di Sheet ini, karena sudah berisi rumus pada semua cell nya</t>
  </si>
  <si>
    <t>Tidak Perlu Diinput (berisi Rumus)</t>
  </si>
  <si>
    <t>Sheet Transaction Form</t>
  </si>
  <si>
    <t>Sheet ini Berisi data input transaksi menggunakan Form Input . Masukan data pada form input secara teliti, pastikan data dan qty sesuai</t>
  </si>
  <si>
    <t xml:space="preserve">Step 2 - </t>
  </si>
  <si>
    <t>Isi Form Input di cell berwarna Kuning ( Panduan Detil ada di bawah)</t>
  </si>
  <si>
    <t xml:space="preserve">Step 1 - </t>
  </si>
  <si>
    <r>
      <t xml:space="preserve">Klik Tombol </t>
    </r>
    <r>
      <rPr>
        <b/>
        <sz val="11"/>
        <color theme="1"/>
        <rFont val="Aptos Narrow"/>
        <family val="2"/>
        <scheme val="minor"/>
      </rPr>
      <t>Input</t>
    </r>
    <r>
      <rPr>
        <sz val="11"/>
        <color theme="1"/>
        <rFont val="Aptos Narrow"/>
        <family val="2"/>
        <charset val="1"/>
        <scheme val="minor"/>
      </rPr>
      <t xml:space="preserve"> - Maka Data akan masuk Ke Temporary Table (di Sheet Yang sama)</t>
    </r>
  </si>
  <si>
    <t>Lakukan Input Kembali Untuk Data Barang Keluar /Masuk berikutnya</t>
  </si>
  <si>
    <t>1 Nomor Nota, dapat diisi banyak barang , selama Jenis barang / Material Name Berbeda</t>
  </si>
  <si>
    <t>Step 3 -</t>
  </si>
  <si>
    <r>
      <t xml:space="preserve">Jika Data pada Temporary Table sudah ok, maka tidak usah lakukan </t>
    </r>
    <r>
      <rPr>
        <sz val="11"/>
        <color rgb="FFFF0000"/>
        <rFont val="Aptos Narrow"/>
        <family val="2"/>
        <scheme val="minor"/>
      </rPr>
      <t>Clear Data</t>
    </r>
  </si>
  <si>
    <r>
      <t>Tombol</t>
    </r>
    <r>
      <rPr>
        <sz val="11"/>
        <color rgb="FFFF0000"/>
        <rFont val="Aptos Narrow"/>
        <family val="2"/>
        <scheme val="minor"/>
      </rPr>
      <t xml:space="preserve"> Clear Data</t>
    </r>
    <r>
      <rPr>
        <sz val="11"/>
        <color theme="1"/>
        <rFont val="Aptos Narrow"/>
        <family val="2"/>
        <charset val="1"/>
        <scheme val="minor"/>
      </rPr>
      <t xml:space="preserve"> , Digunakan untuk Menghapus data pada Temporary table.</t>
    </r>
  </si>
  <si>
    <t xml:space="preserve">Step 4 - </t>
  </si>
  <si>
    <r>
      <t xml:space="preserve">Klik Tombol </t>
    </r>
    <r>
      <rPr>
        <b/>
        <sz val="11"/>
        <color theme="1"/>
        <rFont val="Aptos Narrow"/>
        <family val="2"/>
        <scheme val="minor"/>
      </rPr>
      <t>Process</t>
    </r>
    <r>
      <rPr>
        <sz val="11"/>
        <color theme="1"/>
        <rFont val="Aptos Narrow"/>
        <family val="2"/>
        <charset val="1"/>
        <scheme val="minor"/>
      </rPr>
      <t xml:space="preserve"> - Maka Data akan masuk Ke Sheet Logfile</t>
    </r>
  </si>
  <si>
    <t>Lakukan Crosscheck, untuk memastikan data pada Sheet Logfile sudah sesuai dengan  data Input</t>
  </si>
  <si>
    <t>Informasi Pengisian Form Input</t>
  </si>
  <si>
    <t>Barang Di kembalikan Ke ZTE Warehouse : Material Destination = ZTE Warehouse, Wajib Isi Nomor DO-RN (ReturnNote).</t>
  </si>
  <si>
    <r>
      <t>Barang Masuk Dari</t>
    </r>
    <r>
      <rPr>
        <b/>
        <sz val="11"/>
        <color theme="1"/>
        <rFont val="Aptos Narrow"/>
        <family val="2"/>
        <scheme val="minor"/>
      </rPr>
      <t xml:space="preserve"> ZTE Warehouse / Field Team</t>
    </r>
    <r>
      <rPr>
        <sz val="11"/>
        <color theme="1"/>
        <rFont val="Aptos Narrow"/>
        <family val="2"/>
        <charset val="1"/>
        <scheme val="minor"/>
      </rPr>
      <t xml:space="preserve"> /</t>
    </r>
    <r>
      <rPr>
        <b/>
        <sz val="11"/>
        <color theme="1"/>
        <rFont val="Aptos Narrow"/>
        <family val="2"/>
        <scheme val="minor"/>
      </rPr>
      <t>GCI Procurement</t>
    </r>
    <r>
      <rPr>
        <sz val="11"/>
        <color theme="1"/>
        <rFont val="Aptos Narrow"/>
        <family val="2"/>
        <charset val="1"/>
        <scheme val="minor"/>
      </rPr>
      <t xml:space="preserve"> ke WH Region - GCI : Wajib Isi Nomor DO-DN, Wajib Isi Site ID</t>
    </r>
  </si>
  <si>
    <t xml:space="preserve">Barang Masuk pinjam dari Subcon Lain </t>
  </si>
  <si>
    <t xml:space="preserve">Barang Keluar di pinjam Oleh Subcon Lain </t>
  </si>
  <si>
    <t>Barang Masuk Dari Sumber WH GCI Region Lain</t>
  </si>
  <si>
    <t>Barang Keluar Di kirim ke WH GCI Region Lain</t>
  </si>
  <si>
    <t>Sheet LOGFILE</t>
  </si>
  <si>
    <t>Kondisi Barang Baik, dan bisa di gunakan</t>
  </si>
  <si>
    <t>Kondisi Barang Kurang baik, masih bisa digunakan dengan perbaikan.</t>
  </si>
  <si>
    <t>Barang Hilang</t>
  </si>
  <si>
    <r>
      <t xml:space="preserve">Sheet ini Berisi Data Transaksi Keseluruhan dari Keluar masuk barang, Dapat diisi melalu Form Input pada Sheet </t>
    </r>
    <r>
      <rPr>
        <b/>
        <sz val="11"/>
        <color theme="1"/>
        <rFont val="Aptos Narrow"/>
        <family val="2"/>
        <scheme val="minor"/>
      </rPr>
      <t>Transaction_Form</t>
    </r>
    <r>
      <rPr>
        <sz val="11"/>
        <color theme="1"/>
        <rFont val="Aptos Narrow"/>
        <family val="2"/>
        <scheme val="minor"/>
      </rPr>
      <t>,</t>
    </r>
    <r>
      <rPr>
        <sz val="11"/>
        <color theme="1"/>
        <rFont val="Aptos Narrow"/>
        <family val="2"/>
        <charset val="1"/>
        <scheme val="minor"/>
      </rPr>
      <t xml:space="preserve"> atau data diisi Manual pada table </t>
    </r>
    <r>
      <rPr>
        <b/>
        <sz val="11"/>
        <color theme="1"/>
        <rFont val="Aptos Narrow"/>
        <family val="2"/>
        <scheme val="minor"/>
      </rPr>
      <t>Logfile</t>
    </r>
    <r>
      <rPr>
        <sz val="11"/>
        <color theme="1"/>
        <rFont val="Aptos Narrow"/>
        <family val="2"/>
        <charset val="1"/>
        <scheme val="minor"/>
      </rPr>
      <t>.</t>
    </r>
  </si>
  <si>
    <r>
      <t xml:space="preserve">Jika Isi Manual, </t>
    </r>
    <r>
      <rPr>
        <b/>
        <sz val="11"/>
        <color theme="1"/>
        <rFont val="Aptos Narrow"/>
        <family val="2"/>
        <scheme val="minor"/>
      </rPr>
      <t>Wajib Mengisi Nomor Nota</t>
    </r>
    <r>
      <rPr>
        <sz val="11"/>
        <color theme="1"/>
        <rFont val="Aptos Narrow"/>
        <family val="2"/>
        <charset val="1"/>
        <scheme val="minor"/>
      </rPr>
      <t>, Sesuai Aturan Nomor Nota</t>
    </r>
  </si>
  <si>
    <t>Pole 7M 4"</t>
  </si>
  <si>
    <t>Pole 7M 3"</t>
  </si>
  <si>
    <t>Pole 9M</t>
  </si>
  <si>
    <t>JC 144 Core</t>
  </si>
  <si>
    <t>ADSS 24C</t>
  </si>
  <si>
    <t>ADSS 36C</t>
  </si>
  <si>
    <t>ADSS 48C</t>
  </si>
  <si>
    <t>ADSS 96C</t>
  </si>
  <si>
    <t>ADSS 144C</t>
  </si>
  <si>
    <t>144 cores FDT UG</t>
  </si>
  <si>
    <t>FAT 16C-
Pedestal CUP</t>
  </si>
  <si>
    <t>1:8 SPL for FDT-AE &amp; UG</t>
  </si>
  <si>
    <t>12 cores Splice and Distribution Tray</t>
  </si>
  <si>
    <t>ZTE EC40ED - ZXA10  C600</t>
  </si>
  <si>
    <t>PrecastHH
80x80X130cm</t>
  </si>
  <si>
    <t>PrecastHH
40x40X60cm</t>
  </si>
  <si>
    <t>PrecastHH
34x34X40cm</t>
  </si>
  <si>
    <t>PrecastHH20x20x20cm</t>
  </si>
  <si>
    <t>Cable Hanger</t>
  </si>
  <si>
    <t>Plate 20mm (50M)</t>
  </si>
  <si>
    <t>Stoplink</t>
  </si>
  <si>
    <t>Suspension Clamp</t>
  </si>
  <si>
    <t>Buldog Grip</t>
  </si>
  <si>
    <t>Span Wartel 3/8</t>
  </si>
  <si>
    <t>Selling Span Wartel</t>
  </si>
  <si>
    <t>Pole Single Clamp</t>
  </si>
  <si>
    <t>Clamp Dead End /Buaya 25-50</t>
  </si>
  <si>
    <t>Bracket A for Clamp</t>
  </si>
  <si>
    <t>Selling 6mm (1000m)</t>
  </si>
  <si>
    <t>Akrilik</t>
  </si>
  <si>
    <t xml:space="preserve">Label Sticker </t>
  </si>
  <si>
    <t>Clamp Dead end /buaya 50-70</t>
  </si>
  <si>
    <t>Clamp Gantung</t>
  </si>
  <si>
    <t>Selling 6mm (2000m)</t>
  </si>
  <si>
    <t>FAT-16 Fiberhome</t>
  </si>
  <si>
    <t>microspiltter FAT-16 Fiberhome</t>
  </si>
  <si>
    <t>Sticker My Republic</t>
  </si>
  <si>
    <t>Pole single clamp 3"</t>
  </si>
  <si>
    <t>pigtail</t>
  </si>
  <si>
    <t>Helical Dead End</t>
  </si>
  <si>
    <t>ZTE2002</t>
  </si>
  <si>
    <t>ZTE2007</t>
  </si>
  <si>
    <t>ZTE2009</t>
  </si>
  <si>
    <t>ZTE2011</t>
  </si>
  <si>
    <t>ZTE2012</t>
  </si>
  <si>
    <t>ZTE2015</t>
  </si>
  <si>
    <t>ZTE2016</t>
  </si>
  <si>
    <t>ZTE2017</t>
  </si>
  <si>
    <t>ZTE2018</t>
  </si>
  <si>
    <t>GCI1001</t>
  </si>
  <si>
    <t>GCI1002</t>
  </si>
  <si>
    <t>GCI1003</t>
  </si>
  <si>
    <t>GCI1004</t>
  </si>
  <si>
    <t>GCI1005</t>
  </si>
  <si>
    <t>GCI1006</t>
  </si>
  <si>
    <t>GCI1007</t>
  </si>
  <si>
    <t>GCI1008</t>
  </si>
  <si>
    <t>GCI1009</t>
  </si>
  <si>
    <t>GCI1010</t>
  </si>
  <si>
    <t>GCI1011</t>
  </si>
  <si>
    <t>GCI1012</t>
  </si>
  <si>
    <t>GCI1013</t>
  </si>
  <si>
    <t>GCI1014</t>
  </si>
  <si>
    <t>GCI1015</t>
  </si>
  <si>
    <t>GCI1016</t>
  </si>
  <si>
    <t>GCI2013</t>
  </si>
  <si>
    <t>GCI2014</t>
  </si>
  <si>
    <t>GCI1017</t>
  </si>
  <si>
    <t>GCI1018</t>
  </si>
  <si>
    <t>GCI1019</t>
  </si>
  <si>
    <t>GCI1020</t>
  </si>
  <si>
    <t>PCs</t>
  </si>
  <si>
    <t>ZTE Material</t>
  </si>
  <si>
    <t>EMR Material</t>
  </si>
  <si>
    <t>Accessories</t>
  </si>
  <si>
    <t>HDPE32/28mm</t>
  </si>
  <si>
    <t>ZTE2014</t>
  </si>
  <si>
    <t>T001</t>
  </si>
  <si>
    <t>TRANSFER GUDANG</t>
  </si>
  <si>
    <t>EJ-Gresik-01</t>
  </si>
  <si>
    <t>Bayu-081330952247</t>
  </si>
  <si>
    <t>ALL</t>
  </si>
  <si>
    <t>WH ID</t>
  </si>
  <si>
    <t>W002</t>
  </si>
  <si>
    <t>WIMS_V1b</t>
  </si>
  <si>
    <t>WIMS_V1c</t>
  </si>
  <si>
    <t>New prefix: Prefix-WHIDYYMM-XXX</t>
  </si>
  <si>
    <t>Prefix Same as previous</t>
  </si>
  <si>
    <t>Add WHID</t>
  </si>
  <si>
    <t>Nota Series number reset after Change month,and year</t>
  </si>
  <si>
    <t>WIMS FORM INPUT</t>
  </si>
  <si>
    <t>Warehouse - Inventory Monitoring System - Informasi Umum</t>
  </si>
  <si>
    <t>Nota Prefix</t>
  </si>
  <si>
    <t>Related Table Content</t>
  </si>
  <si>
    <t>Standalone Validation</t>
  </si>
  <si>
    <t>Header Color</t>
  </si>
  <si>
    <t>Material Supplier</t>
  </si>
  <si>
    <t>Services Partner</t>
  </si>
  <si>
    <t>OUB-WHIDYYMM-XXX</t>
  </si>
  <si>
    <t>BOI-WHIDYYMM-XXX</t>
  </si>
  <si>
    <t>BOO-WHIDYYMM-XXX</t>
  </si>
  <si>
    <t>TFI-WHIDYYMM-XXX</t>
  </si>
  <si>
    <t>TFO-WHIDYYMM-XXX</t>
  </si>
  <si>
    <t>D-Leftovers</t>
  </si>
  <si>
    <t>C-Damage</t>
  </si>
  <si>
    <t>Revision History</t>
  </si>
  <si>
    <t>Data Di input dari Drop Down List</t>
  </si>
  <si>
    <t>Data Diinput Manual</t>
  </si>
  <si>
    <t>B-Bad - Minor Damage</t>
  </si>
  <si>
    <t>Line_ID</t>
  </si>
  <si>
    <t>Waspang</t>
  </si>
  <si>
    <t>Jenis Kendaraan</t>
  </si>
  <si>
    <t>Catur</t>
  </si>
  <si>
    <t>Gran Max</t>
  </si>
  <si>
    <t>----------------------</t>
  </si>
  <si>
    <t>WIMS_V1d</t>
  </si>
  <si>
    <t>Line_Id</t>
  </si>
  <si>
    <t>Add Line_ID For Line Number Per Transaction (RefertoNota No.)</t>
  </si>
  <si>
    <t>Barang sisa instalasi Jenis Material Kabel, perlu di data khusus, untuk keperluan Implementasi / untuk Return Ke ZTE</t>
  </si>
  <si>
    <t>B-Bad-Minor Damage</t>
  </si>
  <si>
    <t>Barang Rusak,dan tidak bisa digunakan</t>
  </si>
  <si>
    <t>Sheet Ini Berisi Site ID, Site database dan Delivery Order (DO), juga Delivery Number (DN)</t>
  </si>
  <si>
    <t>Lakukan Input, Sumber Tracker Online DO-Site Link :</t>
  </si>
  <si>
    <t>Leftovers</t>
  </si>
  <si>
    <t>Other Subcon</t>
  </si>
  <si>
    <t>Dummy</t>
  </si>
  <si>
    <t>W000</t>
  </si>
  <si>
    <t>Subcon</t>
  </si>
  <si>
    <t>Material Pick-update</t>
  </si>
  <si>
    <t>DNWID1382025081409</t>
  </si>
  <si>
    <t>DNWID1382025081407</t>
  </si>
  <si>
    <t>DNWID1382025081408</t>
  </si>
  <si>
    <t>DOEID25081572</t>
  </si>
  <si>
    <t>DNWID1382025081504</t>
  </si>
  <si>
    <t>CLR51-99-370</t>
  </si>
  <si>
    <t>Perumahan Bululawang Permai RW 02</t>
  </si>
  <si>
    <t>DOEID25081590</t>
  </si>
  <si>
    <t>DNWID1382025081505</t>
  </si>
  <si>
    <t>Transfer</t>
  </si>
  <si>
    <t>pole 7m 3"</t>
  </si>
  <si>
    <t xml:space="preserve">Pengambilan dari gudang ZTE dari DO Puncak dieng Ex diantar sigit Pamungkas </t>
  </si>
  <si>
    <t>Selling 6mm (1000M)</t>
  </si>
  <si>
    <t>Pole 7m 3"</t>
  </si>
  <si>
    <t>Span wartel 3/8</t>
  </si>
  <si>
    <t>buldog grip</t>
  </si>
  <si>
    <t>Suspension clamp</t>
  </si>
  <si>
    <t>Pole single clamp</t>
  </si>
  <si>
    <t>Return</t>
  </si>
  <si>
    <t>Diambil Bayu</t>
  </si>
  <si>
    <t>UD Putra Cipta Karya</t>
  </si>
  <si>
    <t>sisa</t>
  </si>
  <si>
    <t>Pole 9m</t>
  </si>
  <si>
    <t>Return From YPTT</t>
  </si>
  <si>
    <t>GCI1021</t>
  </si>
  <si>
    <t>Transfer Gudang</t>
  </si>
  <si>
    <t>Plate 20mm (50m)</t>
  </si>
  <si>
    <t>pole 7m 4"</t>
  </si>
  <si>
    <t>cable hanger</t>
  </si>
  <si>
    <t>Pole 7m 4"</t>
  </si>
  <si>
    <t>Febby Supplier</t>
  </si>
  <si>
    <t>N 8267 TE</t>
  </si>
  <si>
    <t>Pole Single clamp</t>
  </si>
  <si>
    <t>Fatur</t>
  </si>
  <si>
    <t>3515082712870005</t>
  </si>
  <si>
    <t>Agus Oka</t>
  </si>
  <si>
    <t>suspension clamp</t>
  </si>
  <si>
    <t>plate 20mm (50m)</t>
  </si>
  <si>
    <t>pole single clamp</t>
  </si>
  <si>
    <t>Buldog grip</t>
  </si>
  <si>
    <t>Nadiyin</t>
  </si>
  <si>
    <t>Cable hanger</t>
  </si>
  <si>
    <t>L 9740 NM</t>
  </si>
  <si>
    <t>Munip</t>
  </si>
  <si>
    <t>L 1962 QM</t>
  </si>
  <si>
    <t>Rofik</t>
  </si>
  <si>
    <t>Nur Hidayat</t>
  </si>
  <si>
    <t>S 9345 WB</t>
  </si>
  <si>
    <t>W 1130 NQ</t>
  </si>
  <si>
    <t>Fatkur</t>
  </si>
  <si>
    <t>3515141305930006</t>
  </si>
  <si>
    <t>L 9221 K</t>
  </si>
  <si>
    <t>B</t>
  </si>
  <si>
    <t>YPTT Borrowed</t>
  </si>
  <si>
    <t>S 9102 AE</t>
  </si>
  <si>
    <t>AG 8016 EN</t>
  </si>
  <si>
    <t>W 3265 OH</t>
  </si>
  <si>
    <t>Yanuar</t>
  </si>
  <si>
    <t>AG 8030 KG</t>
  </si>
  <si>
    <t>akrilik</t>
  </si>
  <si>
    <t>Riki Romansyah</t>
  </si>
  <si>
    <t>Fatur Rohman</t>
  </si>
  <si>
    <t>-</t>
  </si>
  <si>
    <t>Leftovers_Logfile</t>
  </si>
  <si>
    <t>Tag_ID</t>
  </si>
  <si>
    <t>Tagging  Type</t>
  </si>
  <si>
    <t>Tagging Type</t>
  </si>
  <si>
    <t>LEFTOVERS</t>
  </si>
  <si>
    <t>YPTT</t>
  </si>
  <si>
    <t>Logifle</t>
  </si>
  <si>
    <t>Kondisi Barang baru, kabel full Hasbel, accessories</t>
  </si>
  <si>
    <t>Barang Rusak (di tagging satuan)</t>
  </si>
  <si>
    <t>Barang sisa /Leftovers, ditangging per roll kabel</t>
  </si>
  <si>
    <t>(G+I+K) - (H+J+L)</t>
  </si>
  <si>
    <t>OUB-W0022508-002</t>
  </si>
  <si>
    <t>Label ID Prefix</t>
  </si>
  <si>
    <t>Material Leftovers</t>
  </si>
  <si>
    <t>A</t>
  </si>
  <si>
    <t>C</t>
  </si>
  <si>
    <t>D</t>
  </si>
  <si>
    <t>P74</t>
  </si>
  <si>
    <t>P73</t>
  </si>
  <si>
    <t>P94</t>
  </si>
  <si>
    <t>JC14</t>
  </si>
  <si>
    <t>E</t>
  </si>
  <si>
    <t>F48</t>
  </si>
  <si>
    <t>F72</t>
  </si>
  <si>
    <t>F16</t>
  </si>
  <si>
    <t>SP</t>
  </si>
  <si>
    <t>HD4</t>
  </si>
  <si>
    <t>HD3</t>
  </si>
  <si>
    <t>Leftovers Stock</t>
  </si>
  <si>
    <t>(LO In - LO Out)</t>
  </si>
  <si>
    <t>Last Inbound</t>
  </si>
  <si>
    <t>Last Outbond</t>
  </si>
  <si>
    <t>Stock WH</t>
  </si>
  <si>
    <t>W001</t>
  </si>
  <si>
    <t>EJ-Malang-01</t>
  </si>
  <si>
    <t>W003</t>
  </si>
  <si>
    <t>EJ-Lamongan-01</t>
  </si>
  <si>
    <t>Arif -085731122282</t>
  </si>
  <si>
    <t>Oka-0813-2707-1646</t>
  </si>
  <si>
    <t>Pengembalian</t>
  </si>
  <si>
    <t>stoplink</t>
  </si>
  <si>
    <t>Agung</t>
  </si>
  <si>
    <t>3506152909920001</t>
  </si>
  <si>
    <t>WIMS_V2</t>
  </si>
  <si>
    <t>Imam Safi'i</t>
  </si>
  <si>
    <t>`3509040409910004</t>
  </si>
  <si>
    <t>B 9407UT</t>
  </si>
  <si>
    <t>Note cek di supplier kurang 13pcs</t>
  </si>
  <si>
    <t>Asmat</t>
  </si>
  <si>
    <t>3509041306820004</t>
  </si>
  <si>
    <t>N 8267TE</t>
  </si>
  <si>
    <t>kekurangan 13 pcs di kirim supplier via bus tentrem</t>
  </si>
  <si>
    <t>TRANSFER IN</t>
  </si>
  <si>
    <t>TRF</t>
  </si>
  <si>
    <t>KEDIRI</t>
  </si>
  <si>
    <t>exwonocatur untuk kekurangan bumi podo rukun</t>
  </si>
  <si>
    <t xml:space="preserve">Akrilik Distribusi </t>
  </si>
  <si>
    <t>Akrilik Subfeeder</t>
  </si>
  <si>
    <t>Pandan Landung RW 03 Wagir</t>
  </si>
  <si>
    <t>Pandan Landung RW 04 Wagir</t>
  </si>
  <si>
    <t>Punchlist Arkilik Bumi Podo Rukun</t>
  </si>
  <si>
    <t>Khoiri</t>
  </si>
  <si>
    <t>Khoiri Supplier</t>
  </si>
  <si>
    <t>3507330905820002</t>
  </si>
  <si>
    <t>N 8408 CB</t>
  </si>
  <si>
    <t>NASRUL</t>
  </si>
  <si>
    <t>3573042706820008</t>
  </si>
  <si>
    <t>N 4292 DT</t>
  </si>
  <si>
    <t>Mohammad Febbi H</t>
  </si>
  <si>
    <t>3524052002930003</t>
  </si>
  <si>
    <t xml:space="preserve"> W 8940 PC</t>
  </si>
  <si>
    <t>Mustofa</t>
  </si>
  <si>
    <t>3209140803860003</t>
  </si>
  <si>
    <t>N 9609 EF</t>
  </si>
  <si>
    <t>HUBFEEDER BATURETNO RW 02</t>
  </si>
  <si>
    <t>dari Fahrudin</t>
  </si>
  <si>
    <t>3507050501950006</t>
  </si>
  <si>
    <t>N 8420 EL</t>
  </si>
  <si>
    <t>Agus Suyoto</t>
  </si>
  <si>
    <t>3515171206680002</t>
  </si>
  <si>
    <t>B-9407-UT</t>
  </si>
  <si>
    <t>Pengembalian Perumahan Bumi Podo Rukun Dau</t>
  </si>
  <si>
    <t xml:space="preserve">Di antar ke Khoiri Supplier </t>
  </si>
  <si>
    <t>PRC</t>
  </si>
  <si>
    <t>Purchase</t>
  </si>
  <si>
    <t>Ahmad Subari</t>
  </si>
  <si>
    <t>3507150401800010</t>
  </si>
  <si>
    <t>Transfer dari Kediri ke malang pak munip</t>
  </si>
  <si>
    <t>N 3408 ECP</t>
  </si>
  <si>
    <t>Pengambilan Oleh Sigit Pamungkas di UD HALIM JAYA</t>
  </si>
  <si>
    <t>Heri Susanto</t>
  </si>
  <si>
    <t>3506220807870002</t>
  </si>
  <si>
    <t>S 9794 JC</t>
  </si>
  <si>
    <t>WH JOMBANG KE WH MALANG</t>
  </si>
  <si>
    <t>L 9340 BM</t>
  </si>
  <si>
    <t>Fahrudin</t>
  </si>
  <si>
    <t>3507131605830004</t>
  </si>
  <si>
    <t>N 1383 G</t>
  </si>
  <si>
    <t>RETURN</t>
  </si>
  <si>
    <t>JNT Cargo</t>
  </si>
  <si>
    <t>TAMANHARJO RW 04 SINGOSARI</t>
  </si>
  <si>
    <t xml:space="preserve">UD RIZQI JAYA PRATAMA </t>
  </si>
  <si>
    <t>Dimas</t>
  </si>
  <si>
    <t>3573032509800005</t>
  </si>
  <si>
    <t>N 9454 BA</t>
  </si>
  <si>
    <t>UD HALIM</t>
  </si>
  <si>
    <t>trf</t>
  </si>
  <si>
    <t>3509090107770266</t>
  </si>
  <si>
    <t>JOMBANG</t>
  </si>
  <si>
    <t>Pandan Landung RW 05 Wagir</t>
  </si>
  <si>
    <t>Lowokwaru RW14</t>
  </si>
  <si>
    <t>N8283EK</t>
  </si>
  <si>
    <t>HALIM JAYA</t>
  </si>
  <si>
    <t>SENGGURUH RW 01 MALANG</t>
  </si>
  <si>
    <t>1812010507910004</t>
  </si>
  <si>
    <t>AE 8322  NH</t>
  </si>
  <si>
    <t>CLR51-09-013</t>
  </si>
  <si>
    <t>Perum Chandra Kirana Watugede</t>
  </si>
  <si>
    <t>CLR51-03-016</t>
  </si>
  <si>
    <t>Citra Kayane Residence</t>
  </si>
  <si>
    <t>Kebonagung RW 01</t>
  </si>
  <si>
    <t>Pncokusumo</t>
  </si>
  <si>
    <t>Bululawang</t>
  </si>
  <si>
    <t>GRESIK</t>
  </si>
  <si>
    <t>Bululawang Permai</t>
  </si>
  <si>
    <t>N 8638 ES</t>
  </si>
  <si>
    <t>N 9795 EM</t>
  </si>
  <si>
    <t>TRANSFER OUT</t>
  </si>
  <si>
    <t>Sigit Pamungkas</t>
  </si>
  <si>
    <t>3503011606970003</t>
  </si>
  <si>
    <t>AG 2455 YBO</t>
  </si>
  <si>
    <t xml:space="preserve">Baturetno RW 02 Singosari </t>
  </si>
  <si>
    <t>TEGAL</t>
  </si>
  <si>
    <t>Tunjungtirto RW 06 Singosari</t>
  </si>
  <si>
    <t>NGAWI</t>
  </si>
  <si>
    <t>HUBFEEDER DALISODO</t>
  </si>
  <si>
    <t>RTN</t>
  </si>
  <si>
    <t>HUBFEEDER KEPANJEN TO JATIKERTO</t>
  </si>
  <si>
    <t>HUBFEEDER TIRTASANI TO GIRIMOYO</t>
  </si>
  <si>
    <t>HUBFEEDER DINOYO SUMBERSEKAR</t>
  </si>
  <si>
    <t>MF Sumbersekar</t>
  </si>
  <si>
    <t>Mojosari Ngenep</t>
  </si>
  <si>
    <t>Mainfeeder Singosari Segment 3</t>
  </si>
  <si>
    <t>Sulistiono</t>
  </si>
  <si>
    <t>3575032104720001</t>
  </si>
  <si>
    <t>N 9586 WC</t>
  </si>
  <si>
    <t>HUBFEEDER KLAMPOK</t>
  </si>
  <si>
    <t>MADIUN</t>
  </si>
  <si>
    <t>Kalirejo RW 13 Lawang Malang</t>
  </si>
  <si>
    <t>PERUMAHAN DE WIRA GREEN VIEW</t>
  </si>
  <si>
    <t>Deny Indra</t>
  </si>
  <si>
    <t>N 1547 IR</t>
  </si>
  <si>
    <t>Krebet</t>
  </si>
  <si>
    <t>Pengembalian dari Mulyorejo RW 04 Sukun</t>
  </si>
  <si>
    <t>L 9221K</t>
  </si>
  <si>
    <t>WH Malang ke WH Madiun</t>
  </si>
  <si>
    <t>WH KEDIRI KE WH MALANG</t>
  </si>
  <si>
    <t>Fahrudin sisa</t>
  </si>
  <si>
    <t>Sengguruh</t>
  </si>
  <si>
    <t>Alexander puji krismanto</t>
  </si>
  <si>
    <t>1812022707900006</t>
  </si>
  <si>
    <t>DUSUN CUPAK RW 01</t>
  </si>
  <si>
    <t>LAMONGAN</t>
  </si>
  <si>
    <t>Bululawang 7</t>
  </si>
  <si>
    <t>TRF ke Jombang</t>
  </si>
  <si>
    <t xml:space="preserve">UD Halim Jaya </t>
  </si>
  <si>
    <t>1.6m dr left over</t>
  </si>
  <si>
    <t>0.5 dr left over</t>
  </si>
  <si>
    <t>BORROW IN</t>
  </si>
  <si>
    <t>MIDGO</t>
  </si>
  <si>
    <t>Borrow from Midgo</t>
  </si>
  <si>
    <t>Return to Midgo</t>
  </si>
  <si>
    <t>BR001</t>
  </si>
  <si>
    <t>Rohim</t>
  </si>
  <si>
    <t>3511030602030003</t>
  </si>
  <si>
    <t>AA 8420 HC</t>
  </si>
  <si>
    <t>dipinjam Morasha</t>
  </si>
  <si>
    <t>dr gresi</t>
  </si>
  <si>
    <t>MF Singosari</t>
  </si>
  <si>
    <t>Gresij</t>
  </si>
  <si>
    <t>Pigtail</t>
  </si>
  <si>
    <t>Pipa Galvanis</t>
  </si>
  <si>
    <t>plate 20mm (50M)</t>
  </si>
  <si>
    <t>JEDONG 8</t>
  </si>
  <si>
    <t>DK 1058 FAP</t>
  </si>
  <si>
    <t>dari WH Gresik Diambil Oka Sendiri</t>
  </si>
  <si>
    <t>sisa Jedong8</t>
  </si>
  <si>
    <t>Dari Jombang</t>
  </si>
  <si>
    <t>BORROW OUT</t>
  </si>
  <si>
    <t>BEAUT</t>
  </si>
  <si>
    <t>Heri Sutanto</t>
  </si>
  <si>
    <t>6271030610800012</t>
  </si>
  <si>
    <t>AG 5375 YAN</t>
  </si>
  <si>
    <t>dipinjam BEAUT</t>
  </si>
  <si>
    <t>dikembalikan dr BEAUT</t>
  </si>
  <si>
    <t>Pole single claMP</t>
  </si>
  <si>
    <t>Ke WH Gresik</t>
  </si>
  <si>
    <t>Dari UD Cipta karya</t>
  </si>
  <si>
    <t>160m</t>
  </si>
  <si>
    <t>L 9116 CA</t>
  </si>
  <si>
    <t>840m</t>
  </si>
  <si>
    <t>Fahrudin sisa +-750m</t>
  </si>
  <si>
    <t>Lulus Supplier</t>
  </si>
  <si>
    <t>3509040409910004</t>
  </si>
  <si>
    <t>span wartel 3/8</t>
  </si>
  <si>
    <t>Penyesuaian</t>
  </si>
  <si>
    <t>suspension Clamp</t>
  </si>
  <si>
    <t>Bedali RW 04 Kromengan</t>
  </si>
  <si>
    <t>Perumahan Bukit Lawang Indah Malang</t>
  </si>
  <si>
    <t>Kalirejo RW 13 Lawang</t>
  </si>
  <si>
    <t>Sifak</t>
  </si>
  <si>
    <t>3507312107950002</t>
  </si>
  <si>
    <t>N 1969 FF</t>
  </si>
  <si>
    <t>Zainal Abidin</t>
  </si>
  <si>
    <t>3519010810930003</t>
  </si>
  <si>
    <t>W 1074 XF</t>
  </si>
  <si>
    <t>to Ngawi</t>
  </si>
  <si>
    <t>MORASHA</t>
  </si>
  <si>
    <t>Borrow From Morasa</t>
  </si>
  <si>
    <t>Return to Morasa</t>
  </si>
  <si>
    <t>Borrow From Midgo</t>
  </si>
  <si>
    <t>FO CUT, PULL 1000M</t>
  </si>
  <si>
    <t>3000-1279 =1721</t>
  </si>
  <si>
    <t>3000-1235=1765</t>
  </si>
  <si>
    <t>3000-2065=935</t>
  </si>
  <si>
    <t>3000-1260=1740</t>
  </si>
  <si>
    <t>Mail</t>
  </si>
  <si>
    <t>507180502880002</t>
  </si>
  <si>
    <t>N 8546 ED</t>
  </si>
  <si>
    <t>Borrow</t>
  </si>
  <si>
    <t>Borrow From YPTT</t>
  </si>
  <si>
    <t>Wawan Setiawan</t>
  </si>
  <si>
    <t>Return to YPTT</t>
  </si>
  <si>
    <t>Transfer Gudang TO KEDIRI</t>
  </si>
  <si>
    <t>nadiyin</t>
  </si>
  <si>
    <t>WH MALANG KE WH JOMBANG</t>
  </si>
  <si>
    <t>+410 dari kabel potongan (leftover)</t>
  </si>
  <si>
    <t>1000+1363</t>
  </si>
  <si>
    <t>Transfer Gudang TO GRESIK</t>
  </si>
  <si>
    <t>Jamil</t>
  </si>
  <si>
    <t>WH MALANg ke Wh Gresik</t>
  </si>
  <si>
    <t>FH 2 HASBEL @4000</t>
  </si>
  <si>
    <t>1200+750+1350</t>
  </si>
  <si>
    <t>dari hasbel fh (4000-1950) sisa 2050</t>
  </si>
  <si>
    <t>line A 1000, line B 2000</t>
  </si>
  <si>
    <t>Ketohan 1100, Godehan 1050, sisa 850</t>
  </si>
  <si>
    <t>N 9068 EC</t>
  </si>
  <si>
    <t>Dusun Turi Kucur</t>
  </si>
  <si>
    <t>used (1250+900) , 850 masuk leftover</t>
  </si>
  <si>
    <t>used (950+700)1650, 1350 masuk Leftover</t>
  </si>
  <si>
    <t>use 1500+900, 600 masuk leftover</t>
  </si>
  <si>
    <t>SENGGURUH RW 02 MALANG</t>
  </si>
  <si>
    <t>975, 2025 masuk left over</t>
  </si>
  <si>
    <t>use 1025, 1975 leftover</t>
  </si>
  <si>
    <t>+560 leftover</t>
  </si>
  <si>
    <t>+leftover 967</t>
  </si>
  <si>
    <t>B 1480 BVG</t>
  </si>
  <si>
    <t>Wisda Aqsa Fatwa</t>
  </si>
  <si>
    <t>3515110909990007</t>
  </si>
  <si>
    <t>N 8431 TD</t>
  </si>
  <si>
    <t>new hasbelUSE 605, sisa 2395</t>
  </si>
  <si>
    <t xml:space="preserve">Khoiri </t>
  </si>
  <si>
    <t>USE 1250</t>
  </si>
  <si>
    <t>Transfer Gudang dari Kediri ke  Malang Approval Yanuar , Untuk Site Mulyorejo4</t>
  </si>
  <si>
    <t>Pandanlandung RW   04   Wagir</t>
  </si>
  <si>
    <t>Pandanlandung RW   03   Wagir</t>
  </si>
  <si>
    <t>Riskomara</t>
  </si>
  <si>
    <t>WH JOMBANG ke WH MALANG</t>
  </si>
  <si>
    <t>TRANSFER KEDIRI</t>
  </si>
  <si>
    <t>L 1153 BAT</t>
  </si>
  <si>
    <t>Pinjam Morasa</t>
  </si>
  <si>
    <t>WH GRESIK KE WH MALANG TO MORASHA</t>
  </si>
  <si>
    <t>pengembalian dr yptt</t>
  </si>
  <si>
    <t>dari YPTT</t>
  </si>
  <si>
    <t>dari gresik</t>
  </si>
  <si>
    <t>to Gresik</t>
  </si>
  <si>
    <t>to Mediun</t>
  </si>
  <si>
    <t>Dusun Godehan RW 10 Kucur</t>
  </si>
  <si>
    <t>SENGGURUH RW 03 MALANG</t>
  </si>
  <si>
    <t>Deni Indra</t>
  </si>
  <si>
    <t>N 5612 GAA</t>
  </si>
  <si>
    <t>BA FAT Vandal</t>
  </si>
  <si>
    <t>faT-16</t>
  </si>
  <si>
    <t>Janjora</t>
  </si>
  <si>
    <t>N 1046 ABC</t>
  </si>
  <si>
    <t>uses 1670, 1330 left over</t>
  </si>
  <si>
    <t>Pinjem MORASA</t>
  </si>
  <si>
    <t>WH Gresik ke WH Malang (via bus Tentrem)</t>
  </si>
  <si>
    <t>drmorasa</t>
  </si>
  <si>
    <t xml:space="preserve">CLR51-99-018	</t>
  </si>
  <si>
    <t>use 2075, 925 leftover</t>
  </si>
  <si>
    <t>YPTT Return</t>
  </si>
  <si>
    <t>use 2480 , 520 leftover</t>
  </si>
  <si>
    <t>Morasha Borrowed</t>
  </si>
  <si>
    <t>Morasa Return</t>
  </si>
  <si>
    <t>sf ketohan 600, sf sumerbedno 2400</t>
  </si>
  <si>
    <t>sf klampok (1000), SF krajan  (1600) Sisa 400</t>
  </si>
  <si>
    <t xml:space="preserve"> N 3639 EEO</t>
  </si>
  <si>
    <t xml:space="preserve">Beaut Pinjam JC </t>
  </si>
  <si>
    <t>BEAUT VIA DENY</t>
  </si>
  <si>
    <t>Kusairi</t>
  </si>
  <si>
    <t>Cluster klampok 17fat 2750, sisa 250</t>
  </si>
  <si>
    <t>TO MORASHA</t>
  </si>
  <si>
    <t>kepake 1700, 1300 lefover</t>
  </si>
  <si>
    <t>use 1400. 1600 masuk leftofer</t>
  </si>
  <si>
    <t>use 2525 , 475 masuk leftover</t>
  </si>
  <si>
    <t>use 1850 sisa 1150 masuk leftover</t>
  </si>
  <si>
    <t>use 1750 sisa 1250 masuk leftover</t>
  </si>
  <si>
    <t>Gunawanto</t>
  </si>
  <si>
    <t>AIA Borrow</t>
  </si>
  <si>
    <t>`3515171206680002</t>
  </si>
  <si>
    <t>N 8869 UQ</t>
  </si>
  <si>
    <t>Hendra</t>
  </si>
  <si>
    <t>Dayat</t>
  </si>
  <si>
    <t>3574041310020006</t>
  </si>
  <si>
    <t>N 8664 UW</t>
  </si>
  <si>
    <t>MDP Pinjam Pole</t>
  </si>
  <si>
    <t>Perum Bayu Asri</t>
  </si>
  <si>
    <t>MDP</t>
  </si>
  <si>
    <t>BEAT Borrow</t>
  </si>
  <si>
    <t>W 8405 DN</t>
  </si>
  <si>
    <t>Kembali dari gudang mustofa</t>
  </si>
  <si>
    <t>Riki Romansyah Sisa</t>
  </si>
  <si>
    <t>3578180505790001</t>
  </si>
  <si>
    <t>gagal pasang, comcase</t>
  </si>
  <si>
    <t>FIELD TEAM</t>
  </si>
  <si>
    <t>Bengkok</t>
  </si>
  <si>
    <t>Broken move to left over</t>
  </si>
  <si>
    <t>change design from 4" to 3"</t>
  </si>
  <si>
    <t>Bayuasri</t>
  </si>
  <si>
    <t>MSFO BROKEN  HF JATIKERTO</t>
  </si>
  <si>
    <t>DCIT</t>
  </si>
  <si>
    <t>Bagus</t>
  </si>
  <si>
    <t>N 8219 FI</t>
  </si>
  <si>
    <t>DCIT Borrow</t>
  </si>
  <si>
    <t>AIA</t>
  </si>
  <si>
    <t>AIA RETURN</t>
  </si>
  <si>
    <t>PERUMAHAN BULULAWANG PERMAI RW 02</t>
  </si>
  <si>
    <t>Pengembalian Mulyorejo 6 malang</t>
  </si>
  <si>
    <t>kembali dari gudang mustofa</t>
  </si>
  <si>
    <t>diPinjem BEAUT</t>
  </si>
  <si>
    <t>return</t>
  </si>
  <si>
    <t>insiden</t>
  </si>
  <si>
    <t>2602 - 2717</t>
  </si>
  <si>
    <t>594 - 659</t>
  </si>
  <si>
    <t>2363 - 2521</t>
  </si>
  <si>
    <t>1765-1550=215</t>
  </si>
  <si>
    <t>1721 - 1781</t>
  </si>
  <si>
    <t>2524 - 2579</t>
  </si>
  <si>
    <t>1265+735</t>
  </si>
  <si>
    <t>- 610 Sisa 300</t>
  </si>
  <si>
    <t>Line A Krajan</t>
  </si>
  <si>
    <t>From Blitar</t>
  </si>
  <si>
    <t>0-700</t>
  </si>
  <si>
    <t>LO Criteria</t>
  </si>
  <si>
    <t>Cable Roll</t>
  </si>
  <si>
    <t>Hasbel</t>
  </si>
  <si>
    <t>In-Out Qty</t>
  </si>
  <si>
    <t>Sum of In-Out Qty</t>
  </si>
  <si>
    <t>Grand Total</t>
  </si>
  <si>
    <t>Row Labels</t>
  </si>
  <si>
    <t>(All)</t>
  </si>
  <si>
    <t>WIMS_V2a</t>
  </si>
  <si>
    <t>LO_Logfile</t>
  </si>
  <si>
    <t>Tagging per unit pcs/meter Only for Leftovers and Damage Material :</t>
  </si>
  <si>
    <t>Leftover Pivot Summary</t>
  </si>
  <si>
    <t>Pivot Summary for Leftover</t>
  </si>
  <si>
    <t>Leftover Tagging</t>
  </si>
  <si>
    <t>In/Out Leftover Manual Tagging</t>
  </si>
  <si>
    <t>Rolled up</t>
  </si>
  <si>
    <t>Cable Length Marker</t>
  </si>
  <si>
    <t>Material Damage</t>
  </si>
  <si>
    <t>Sum of Qty</t>
  </si>
  <si>
    <t>0-100</t>
  </si>
  <si>
    <t>CLR64-99-018</t>
  </si>
  <si>
    <t>DUSUN SEMAMBUNG LAMONGAN</t>
  </si>
  <si>
    <t>DOEID25082614</t>
  </si>
  <si>
    <t>DNWID1372025082603</t>
  </si>
  <si>
    <t>CLR64-99-019</t>
  </si>
  <si>
    <t>DUSUN GEDONG LAMONGAN</t>
  </si>
  <si>
    <t>DOEID25082615</t>
  </si>
  <si>
    <t>DNWID1382025082605</t>
  </si>
  <si>
    <t>DOEID25082616</t>
  </si>
  <si>
    <t>DNWID1372025082601</t>
  </si>
  <si>
    <t>CLR64-99-020</t>
  </si>
  <si>
    <t>DUSUN GAPUK LAMONGAN</t>
  </si>
  <si>
    <t>DOEID25082617</t>
  </si>
  <si>
    <t>DNWID1382025082602</t>
  </si>
  <si>
    <t>DOEID25082618</t>
  </si>
  <si>
    <t>DNWID1372025082604</t>
  </si>
  <si>
    <t>SF-DESA KELORARUM LAMONGAN</t>
  </si>
  <si>
    <t>DOEID25082620</t>
  </si>
  <si>
    <t>DNWID1382025082603</t>
  </si>
  <si>
    <t>DOEID250826EA</t>
  </si>
  <si>
    <t>DNWID1382025082610</t>
  </si>
  <si>
    <t>DOEID25082619</t>
  </si>
  <si>
    <t>DNWID1382025082609</t>
  </si>
  <si>
    <t>CLR64-99-017</t>
  </si>
  <si>
    <t>DUSUN   GOWOK LAMONGAN</t>
  </si>
  <si>
    <t>DOEID250827AV</t>
  </si>
  <si>
    <t>DNWID1382025082703</t>
  </si>
  <si>
    <t>CLR51-99-103</t>
  </si>
  <si>
    <t>KREBET SENGGRONG RW 02 MALANG</t>
  </si>
  <si>
    <t>DOEID25082609</t>
  </si>
  <si>
    <t>DNWID1382025082604</t>
  </si>
  <si>
    <t>DOEID25082610</t>
  </si>
  <si>
    <t>DNWID1372025082607</t>
  </si>
  <si>
    <t>CLR51-99-252</t>
  </si>
  <si>
    <t>KREBET SENGGRONG RW 03 MALANG</t>
  </si>
  <si>
    <t>DOEID25082611</t>
  </si>
  <si>
    <t>DNWID1382025082607</t>
  </si>
  <si>
    <t>DOEID25082612</t>
  </si>
  <si>
    <t>DNWID1372025082606</t>
  </si>
  <si>
    <t>Mojokerto</t>
  </si>
  <si>
    <t>CLR77-99-116</t>
  </si>
  <si>
    <t>Kelurahan Bendung Jetis</t>
  </si>
  <si>
    <t>DOEID25082607</t>
  </si>
  <si>
    <t>INB-W0012308-1</t>
  </si>
  <si>
    <t>OUB-W0012308-2</t>
  </si>
  <si>
    <t>OUB-W0012308-3</t>
  </si>
  <si>
    <t>OUB-W0012308-4</t>
  </si>
  <si>
    <t>OUB-W0012308-5</t>
  </si>
  <si>
    <t>INB-W0012308-6</t>
  </si>
  <si>
    <t>OUB-W0012308-7</t>
  </si>
  <si>
    <t>OUB-W0012308-8</t>
  </si>
  <si>
    <t>INB-W0012308-9</t>
  </si>
  <si>
    <t>OUB-W0012308-10</t>
  </si>
  <si>
    <t>INB-W0012308-11</t>
  </si>
  <si>
    <t>INB-W0012308-12</t>
  </si>
  <si>
    <t>OUB-W0012308-13</t>
  </si>
  <si>
    <t>INB-W0012308-14</t>
  </si>
  <si>
    <t>INB-W0012309-15</t>
  </si>
  <si>
    <t>OUB-W0012309-16</t>
  </si>
  <si>
    <t>OUB-W0012309-17</t>
  </si>
  <si>
    <t>OUB-W0012309-18</t>
  </si>
  <si>
    <t>OUB-W0012309-19</t>
  </si>
  <si>
    <t>INB-W0012309-20</t>
  </si>
  <si>
    <t>OUB-W0012309-21</t>
  </si>
  <si>
    <t>INB-W0012309-22</t>
  </si>
  <si>
    <t>OUB-W0012309-23</t>
  </si>
  <si>
    <t>OUB-W0012309-24</t>
  </si>
  <si>
    <t>OUB-W0012309-25</t>
  </si>
  <si>
    <t>INB-W0012309-26</t>
  </si>
  <si>
    <t>INB-W0012309-27</t>
  </si>
  <si>
    <t>OUB-W0012309-28</t>
  </si>
  <si>
    <t>TFI-W0012309-29</t>
  </si>
  <si>
    <t>OUB-W0012309-29</t>
  </si>
  <si>
    <t>INB-W0012309-30</t>
  </si>
  <si>
    <t>INB-W0012309-31</t>
  </si>
  <si>
    <t>INB-W0012309-32</t>
  </si>
  <si>
    <t>OUB-W0012309-33</t>
  </si>
  <si>
    <t>OUB-W0012309-34</t>
  </si>
  <si>
    <t>OUB-W0012309-35</t>
  </si>
  <si>
    <t>OUB-W0012309-36</t>
  </si>
  <si>
    <t>INB-W0012309-37</t>
  </si>
  <si>
    <t>OUB-W0012309-38</t>
  </si>
  <si>
    <t>OUB-W0012309-39</t>
  </si>
  <si>
    <t>INB-W0012309-40</t>
  </si>
  <si>
    <t>OUB-W0012309-41</t>
  </si>
  <si>
    <t>OUB-W0012309-42</t>
  </si>
  <si>
    <t>OUB-W0012309-43</t>
  </si>
  <si>
    <t>OUB-W0012309-44</t>
  </si>
  <si>
    <t>1100&amp;1900</t>
  </si>
  <si>
    <t>INB-W0012309-45</t>
  </si>
  <si>
    <t>OUB-W0012309-46</t>
  </si>
  <si>
    <t>OUB-W0012309-47</t>
  </si>
  <si>
    <t>INB-W0012309-48</t>
  </si>
  <si>
    <t>OUB-W0012309-49</t>
  </si>
  <si>
    <t>OUB-W0012309-50</t>
  </si>
  <si>
    <t>OUB-W0012309-51</t>
  </si>
  <si>
    <t>OUB-W0012309-52</t>
  </si>
  <si>
    <t>OUB-W0012309-53</t>
  </si>
  <si>
    <t>OUB-W0012309-54</t>
  </si>
  <si>
    <t>OUB-W0012310-55</t>
  </si>
  <si>
    <t>OUB-W0012310-56</t>
  </si>
  <si>
    <t>TFO-W0012310-57</t>
  </si>
  <si>
    <t>INB-W0012310-58</t>
  </si>
  <si>
    <t>OUB-W0012310-59</t>
  </si>
  <si>
    <t>OUB-W0012310-60</t>
  </si>
  <si>
    <t>INB-W0012310-61</t>
  </si>
  <si>
    <t>OUB-W0012310-62</t>
  </si>
  <si>
    <t>OUB-W0012310-63</t>
  </si>
  <si>
    <t>OUB-W0012310-64</t>
  </si>
  <si>
    <t>TFI-W0012310-65</t>
  </si>
  <si>
    <t>OUB-W0012310-66</t>
  </si>
  <si>
    <t>OUB-W0012310-67</t>
  </si>
  <si>
    <t>OUB-W0012310-68</t>
  </si>
  <si>
    <t>TFI-W0012310-69</t>
  </si>
  <si>
    <t>OUB-W0012310-70</t>
  </si>
  <si>
    <t>OUB-W0012310-71</t>
  </si>
  <si>
    <t>TFO-W0012310-72</t>
  </si>
  <si>
    <t>OUB-W0012310-73</t>
  </si>
  <si>
    <t>INB-W0012310-74</t>
  </si>
  <si>
    <t>INB-W0012310-75</t>
  </si>
  <si>
    <t>TFI-W0012310-75</t>
  </si>
  <si>
    <t>OUB-W0012310-76</t>
  </si>
  <si>
    <t>OUB-W0012310-77</t>
  </si>
  <si>
    <t>OUB-W0012310-78</t>
  </si>
  <si>
    <t>OUB-W0012310-79</t>
  </si>
  <si>
    <t>OUB-W0012310-80</t>
  </si>
  <si>
    <t>OUB-W0012310-81</t>
  </si>
  <si>
    <t>PL change 7m to 9m</t>
  </si>
  <si>
    <t>OUB-W0012310-82</t>
  </si>
  <si>
    <t>OUB-W0012310-83</t>
  </si>
  <si>
    <t>OUB-W0012310-84</t>
  </si>
  <si>
    <t>TFI-W0012310-85</t>
  </si>
  <si>
    <t>OUB-W0012310-86</t>
  </si>
  <si>
    <t>OUB-W0012310-87</t>
  </si>
  <si>
    <t>OUB-W0012310-88</t>
  </si>
  <si>
    <t>OUB-W0012310-89</t>
  </si>
  <si>
    <t>OUB-W0012310-90</t>
  </si>
  <si>
    <t>OUB-W0012310-91</t>
  </si>
  <si>
    <t>OUB-W0012310-92</t>
  </si>
  <si>
    <t>OUB-W0012310-93</t>
  </si>
  <si>
    <t>OUB-W0012310-94</t>
  </si>
  <si>
    <t>OUB-W0012310-95</t>
  </si>
  <si>
    <t>TFO-W0012310-96</t>
  </si>
  <si>
    <t>OUB-W0012310-96</t>
  </si>
  <si>
    <t>OUB-W0012310-97</t>
  </si>
  <si>
    <t>TFO-W0012310-97</t>
  </si>
  <si>
    <t>OUB-W0012310-98</t>
  </si>
  <si>
    <t>OUB-W0012310-99</t>
  </si>
  <si>
    <t>OUB-W0012310-100</t>
  </si>
  <si>
    <t>OUB-W0012310-101</t>
  </si>
  <si>
    <t>OUB-W0012310-102</t>
  </si>
  <si>
    <t>OUB-W0012310-103</t>
  </si>
  <si>
    <t>INB-W0012310-104</t>
  </si>
  <si>
    <t>OUB-W0012310-105</t>
  </si>
  <si>
    <t>INB-W0012310-106</t>
  </si>
  <si>
    <t>OUB-W0012310-107</t>
  </si>
  <si>
    <t>USE 1200</t>
  </si>
  <si>
    <t>OUB-W0012310-108</t>
  </si>
  <si>
    <t>USE 1650</t>
  </si>
  <si>
    <t>OUB-W0012310-109</t>
  </si>
  <si>
    <t>OUB-W0012310-110</t>
  </si>
  <si>
    <t>OUB-W0012310-111</t>
  </si>
  <si>
    <t>OUB-W0012310-112</t>
  </si>
  <si>
    <t>INB-W0012310-113</t>
  </si>
  <si>
    <t>TFO-W0012310-114</t>
  </si>
  <si>
    <t>INB-W0012310-115</t>
  </si>
  <si>
    <t>OUB-W0012310-116</t>
  </si>
  <si>
    <t>OUB-W0012311-117</t>
  </si>
  <si>
    <t>INB-W0012311-118</t>
  </si>
  <si>
    <t>INB-W0012311-119</t>
  </si>
  <si>
    <t>OUB-W0012311-120</t>
  </si>
  <si>
    <t>INB-W0012311-121</t>
  </si>
  <si>
    <t>TFI-W0012311-121</t>
  </si>
  <si>
    <t>OUB-W0012311-122</t>
  </si>
  <si>
    <t>TFI-W0012311-123</t>
  </si>
  <si>
    <t>OUB-W0012311-124</t>
  </si>
  <si>
    <t>OUB-W0012311-125</t>
  </si>
  <si>
    <t>OUB-W0012311-126</t>
  </si>
  <si>
    <t>OUB-W0012311-127</t>
  </si>
  <si>
    <t>OUB-W0012311-128</t>
  </si>
  <si>
    <t>OUB-W0012311-129</t>
  </si>
  <si>
    <t>OUB-W0012311-130</t>
  </si>
  <si>
    <t>OUB-W0012311-131</t>
  </si>
  <si>
    <t>INB-W0012311-132</t>
  </si>
  <si>
    <t>TFI-W0012311-132</t>
  </si>
  <si>
    <t>TFO-W0012311-133</t>
  </si>
  <si>
    <t>OUB-W0012311-134</t>
  </si>
  <si>
    <t>BOI-W0012311-135</t>
  </si>
  <si>
    <t>INB-W0012311-135</t>
  </si>
  <si>
    <t>OUB-W0012311-136</t>
  </si>
  <si>
    <t>INB-W0012311-137</t>
  </si>
  <si>
    <t>INB-W0012312-138</t>
  </si>
  <si>
    <t>OUB-W0012312-139</t>
  </si>
  <si>
    <t>TFO-W0012312-140</t>
  </si>
  <si>
    <t>BOO-W0012312-141</t>
  </si>
  <si>
    <t>OUB-W0012312-142</t>
  </si>
  <si>
    <t>OUB-W0012312-143</t>
  </si>
  <si>
    <t>INB-W0012312-144</t>
  </si>
  <si>
    <t>TFO-W0012312-145</t>
  </si>
  <si>
    <t>OUB-W0012312-146</t>
  </si>
  <si>
    <t>OUB-W0012312-147</t>
  </si>
  <si>
    <t>TFI-W0012312-148</t>
  </si>
  <si>
    <t>OUB-W0012312-149</t>
  </si>
  <si>
    <t>INB-W0012312-150</t>
  </si>
  <si>
    <t>OUB-W0012312-151</t>
  </si>
  <si>
    <t>OUB-W0012312-152</t>
  </si>
  <si>
    <t>OUB-W0012312-153</t>
  </si>
  <si>
    <t>OUB-W0012312-154</t>
  </si>
  <si>
    <t>TFI-W0012312-155</t>
  </si>
  <si>
    <t>BOI-W0012312-155</t>
  </si>
  <si>
    <t>BOI-W0012312-156</t>
  </si>
  <si>
    <t>OUB-W0012312-157</t>
  </si>
  <si>
    <t>OUB-W0012312-158</t>
  </si>
  <si>
    <t>use 2300. sisa 700</t>
  </si>
  <si>
    <t>INB-W0012312-159</t>
  </si>
  <si>
    <t>BOO-W0012312-160</t>
  </si>
  <si>
    <t>INB-W0012312-161</t>
  </si>
  <si>
    <t>OUB-W0012401-162</t>
  </si>
  <si>
    <t>TFO-W0012401-163</t>
  </si>
  <si>
    <t>INB-W0012401-164</t>
  </si>
  <si>
    <t>OUB-W0012401-165</t>
  </si>
  <si>
    <t>OUB-W0012401-166</t>
  </si>
  <si>
    <t>OUB-W0012401-167</t>
  </si>
  <si>
    <t>dr khoiri</t>
  </si>
  <si>
    <t>INB-W0012401-168</t>
  </si>
  <si>
    <t>TFO-W0012401-169</t>
  </si>
  <si>
    <t>OUB-W0012401-170</t>
  </si>
  <si>
    <t>OUB-W0012401-171</t>
  </si>
  <si>
    <t>INB-W0012401-172</t>
  </si>
  <si>
    <t>OUB-W0012401-173</t>
  </si>
  <si>
    <t>OUB-W0012401-174</t>
  </si>
  <si>
    <t>OUB-W0012401-175</t>
  </si>
  <si>
    <t>INB-W0012401-176</t>
  </si>
  <si>
    <t>TFI-W0012401-176</t>
  </si>
  <si>
    <t>BOI-W0012401-176</t>
  </si>
  <si>
    <t>OUB-W0012401-177</t>
  </si>
  <si>
    <t>OUB-W0012401-178</t>
  </si>
  <si>
    <t>INB-W0012401-179</t>
  </si>
  <si>
    <t>OUB-W0012401-180</t>
  </si>
  <si>
    <t>OUB-W0012401-181</t>
  </si>
  <si>
    <t>BOO-W0012401-182</t>
  </si>
  <si>
    <t>INB-W0012401-183</t>
  </si>
  <si>
    <t>OUB-W0012401-184</t>
  </si>
  <si>
    <t>BOO-W0012401-185</t>
  </si>
  <si>
    <t>OUB-W0012401-186</t>
  </si>
  <si>
    <t>INB-W0012401-187</t>
  </si>
  <si>
    <t>TFI-W0012401-187</t>
  </si>
  <si>
    <t>OUB-W0012401-188</t>
  </si>
  <si>
    <t>OUB-W0012401-189</t>
  </si>
  <si>
    <t>OUB-W0012401-190</t>
  </si>
  <si>
    <t>OUB-W0012401-191</t>
  </si>
  <si>
    <t>OUB-W0012401-192</t>
  </si>
  <si>
    <t>OUB-W0012401-193</t>
  </si>
  <si>
    <t>OUB-W0012401-194</t>
  </si>
  <si>
    <t>OUB-W0012401-195</t>
  </si>
  <si>
    <t>BOI-W0012401-196</t>
  </si>
  <si>
    <t>ambil di YOFC (BSI)</t>
  </si>
  <si>
    <t>INB-W0012401-196</t>
  </si>
  <si>
    <t>TFI-W0012401-196</t>
  </si>
  <si>
    <t>OUB-W0012401-197</t>
  </si>
  <si>
    <t>OUB-W0012401-198</t>
  </si>
  <si>
    <t>BOO-W0012401-199</t>
  </si>
  <si>
    <t>BOO-W0012401-200</t>
  </si>
  <si>
    <t>OUB-W0012401-201</t>
  </si>
  <si>
    <t>OUB-W0012401-202</t>
  </si>
  <si>
    <t>OUB-W0012401-203</t>
  </si>
  <si>
    <t>INB-W0012401-204</t>
  </si>
  <si>
    <t>OUB-W0012401-205</t>
  </si>
  <si>
    <t>OUB-W0012401-206</t>
  </si>
  <si>
    <t>BOO-W0012401-207</t>
  </si>
  <si>
    <t>OUB-W0012401-208</t>
  </si>
  <si>
    <t>INB-W0012401-209</t>
  </si>
  <si>
    <t>TFI-W0012401-209</t>
  </si>
  <si>
    <t>OUB-W0012401-210</t>
  </si>
  <si>
    <t>OUB-W0012401-211</t>
  </si>
  <si>
    <t>BOO-W0012402-212</t>
  </si>
  <si>
    <t>OUB-W0012402-213</t>
  </si>
  <si>
    <t>INB-W0012402-214</t>
  </si>
  <si>
    <t>OUB-W0012402-215</t>
  </si>
  <si>
    <t>OUB-W0012402-216</t>
  </si>
  <si>
    <t>TFI-W0012402-217</t>
  </si>
  <si>
    <t>OUB-W0012402-218</t>
  </si>
  <si>
    <t>OUB-W0012402-219</t>
  </si>
  <si>
    <t>OUB-W0012402-220</t>
  </si>
  <si>
    <t>OUB-W0012402-221</t>
  </si>
  <si>
    <t>INB-W0012402-222</t>
  </si>
  <si>
    <t>OUB-W0012402-223</t>
  </si>
  <si>
    <t>INB-W0012402-224</t>
  </si>
  <si>
    <t>OUB-W0012402-225</t>
  </si>
  <si>
    <t>INB-W0012402-226</t>
  </si>
  <si>
    <t>TFI-W0012402-226</t>
  </si>
  <si>
    <t>INB-W0012402-227</t>
  </si>
  <si>
    <t>OUB-W0012402-228</t>
  </si>
  <si>
    <t>OUB-W0012402-229</t>
  </si>
  <si>
    <t>OUB-W0012402-230</t>
  </si>
  <si>
    <t>OUB-W0012402-231</t>
  </si>
  <si>
    <t>INB-W0012402-232</t>
  </si>
  <si>
    <t>OUB-W0012402-233</t>
  </si>
  <si>
    <t>OUB-W0012402-234</t>
  </si>
  <si>
    <t>OUB-W0012402-235</t>
  </si>
  <si>
    <t>OUB-W0012402-236</t>
  </si>
  <si>
    <t>OUB-W0012402-237</t>
  </si>
  <si>
    <t>OUB-W0012402-238</t>
  </si>
  <si>
    <t>OUB-W0012402-239</t>
  </si>
  <si>
    <t>OUB-W0012402-240</t>
  </si>
  <si>
    <t>OUB-W0012402-241</t>
  </si>
  <si>
    <t>INB-W0012402-242</t>
  </si>
  <si>
    <t>BOI-W0012402-242</t>
  </si>
  <si>
    <t>TFI-W0012402-242</t>
  </si>
  <si>
    <t>BOI-W0012402-243</t>
  </si>
  <si>
    <t>OUB-W0012402-244</t>
  </si>
  <si>
    <t>OUB-W0012402-245</t>
  </si>
  <si>
    <t>OUB-W0012402-246</t>
  </si>
  <si>
    <t>OUB-W0012402-247</t>
  </si>
  <si>
    <t>OUB-W0012402-248</t>
  </si>
  <si>
    <t>OUB-W0012402-249</t>
  </si>
  <si>
    <t>TFI-W0012402-250</t>
  </si>
  <si>
    <t>OUB-W0012402-251</t>
  </si>
  <si>
    <t>INB-W0012402-252</t>
  </si>
  <si>
    <t>OUB-W0012402-253</t>
  </si>
  <si>
    <t>OUB-W0012402-254</t>
  </si>
  <si>
    <t>OUB-W0012402-255</t>
  </si>
  <si>
    <t>OUB-W0012402-256</t>
  </si>
  <si>
    <t>INB-W0012402-257</t>
  </si>
  <si>
    <t>OUB-W0012402-258</t>
  </si>
  <si>
    <t>INB-W0012402-259</t>
  </si>
  <si>
    <t>INB-W0012403-260</t>
  </si>
  <si>
    <t>TFI-W0012403-260</t>
  </si>
  <si>
    <t>OUB-W0012403-261</t>
  </si>
  <si>
    <t>OUB-W0012403-262</t>
  </si>
  <si>
    <t>INB-W0012403-263</t>
  </si>
  <si>
    <t>OUB-W0012403-264</t>
  </si>
  <si>
    <t>OUB-W0012403-265</t>
  </si>
  <si>
    <t>INB-W0012403-266</t>
  </si>
  <si>
    <t>OUB-W0012403-267</t>
  </si>
  <si>
    <t>TFI-W0012403-268</t>
  </si>
  <si>
    <t>OUB-W0012403-269</t>
  </si>
  <si>
    <t>OUB-W0012403-270</t>
  </si>
  <si>
    <t>OUB-W0012403-271</t>
  </si>
  <si>
    <t>TFI-W0012403-272</t>
  </si>
  <si>
    <t>TFO-W0012403-273</t>
  </si>
  <si>
    <t>TFI-W0012403-274</t>
  </si>
  <si>
    <t>OUB-W0012403-276</t>
  </si>
  <si>
    <t>OUB-W0012403-277</t>
  </si>
  <si>
    <t>BOI-W0012403-278</t>
  </si>
  <si>
    <t>INB-W0012403-279</t>
  </si>
  <si>
    <t>TFI-W0012403-279</t>
  </si>
  <si>
    <t>OUB-W0012403-280</t>
  </si>
  <si>
    <t>OUB-W0012403-281</t>
  </si>
  <si>
    <t>TFO-W0012403-282</t>
  </si>
  <si>
    <t>INB-W0012403-283</t>
  </si>
  <si>
    <t>INB-W0012403-284</t>
  </si>
  <si>
    <t>OUB-W0012403-285</t>
  </si>
  <si>
    <t>OUB-W0012403-286</t>
  </si>
  <si>
    <t>OUB-W0012403-287</t>
  </si>
  <si>
    <t>INB-W0012403-289</t>
  </si>
  <si>
    <t>OUB-W0012403-290</t>
  </si>
  <si>
    <t>OUB-W0012403-291</t>
  </si>
  <si>
    <t>OUB-W0012403-292</t>
  </si>
  <si>
    <t>OUB-W0012403-293</t>
  </si>
  <si>
    <t>INB-W0012403-294</t>
  </si>
  <si>
    <t>TFI-W0012403-294</t>
  </si>
  <si>
    <t>OUB-W0012404-295</t>
  </si>
  <si>
    <t>OUB-W0012404-296</t>
  </si>
  <si>
    <t>OUB-W0012404-297</t>
  </si>
  <si>
    <t>TFI-W0012404-298</t>
  </si>
  <si>
    <t>INB-W0012404-298</t>
  </si>
  <si>
    <t>TFI-W0012404-299</t>
  </si>
  <si>
    <t>OUB-W0012404-300</t>
  </si>
  <si>
    <t>TFI-W0012404-301</t>
  </si>
  <si>
    <t>OUB-W0012404-302</t>
  </si>
  <si>
    <t>OUB-W0012404-303</t>
  </si>
  <si>
    <t>OUB-W0012404-304</t>
  </si>
  <si>
    <t>OUB-W0012404-305</t>
  </si>
  <si>
    <t>TFI-W0012404-306</t>
  </si>
  <si>
    <t>BOI-W0012404-307</t>
  </si>
  <si>
    <t>FH2HASBEL@4000</t>
  </si>
  <si>
    <t>OUB-W0012404-308</t>
  </si>
  <si>
    <t>OUB-W0012404-309</t>
  </si>
  <si>
    <t>OUB-W0012404-310</t>
  </si>
  <si>
    <t>OUB-W0012404-311</t>
  </si>
  <si>
    <t>OUB-W0012404-312</t>
  </si>
  <si>
    <t>OUB-W0012404-313</t>
  </si>
  <si>
    <t>Pandan Landung RW 01 Wagir</t>
  </si>
  <si>
    <t>TFI-W0012404-314</t>
  </si>
  <si>
    <t>INB-W0012404-314</t>
  </si>
  <si>
    <t>OUB-W0012404-315</t>
  </si>
  <si>
    <t>OUB-W0012404-316</t>
  </si>
  <si>
    <t>TFI-W0012404-317</t>
  </si>
  <si>
    <t>OUB-W0012404-318</t>
  </si>
  <si>
    <t>OUB-W0012404-319</t>
  </si>
  <si>
    <t>TFO-W0012404-320</t>
  </si>
  <si>
    <t>OUB-W0012404-321</t>
  </si>
  <si>
    <t>OUB-W0012404-322</t>
  </si>
  <si>
    <t>INB-W0012404-323</t>
  </si>
  <si>
    <t>OUB-W0012404-324</t>
  </si>
  <si>
    <t>OUB-W0012404-325</t>
  </si>
  <si>
    <t>OUB-W0012404-326</t>
  </si>
  <si>
    <t>TFI-W0012404-327</t>
  </si>
  <si>
    <t>INB-W0012404-327</t>
  </si>
  <si>
    <t>OUB-W0012405-328</t>
  </si>
  <si>
    <t>OUB-W0012405-329</t>
  </si>
  <si>
    <t>OUB-W0012405-330</t>
  </si>
  <si>
    <t>INB-W0012405-331</t>
  </si>
  <si>
    <t>TFI-W0012405-331</t>
  </si>
  <si>
    <t>OUB-W0012405-332</t>
  </si>
  <si>
    <t>OUB-W0012405-333</t>
  </si>
  <si>
    <t>OUB-W0012405-334</t>
  </si>
  <si>
    <t>OUB-W0012405-335</t>
  </si>
  <si>
    <t>OUB-W0012405-336</t>
  </si>
  <si>
    <t>INB-W0012405-337</t>
  </si>
  <si>
    <t>TFI-W0012405-337</t>
  </si>
  <si>
    <t>TFO-W0012405-338</t>
  </si>
  <si>
    <t>INB-W0012405-339</t>
  </si>
  <si>
    <t>OUB-W0012405-340</t>
  </si>
  <si>
    <t>TFO-W0012405-341</t>
  </si>
  <si>
    <t>TFI-W0012405-342</t>
  </si>
  <si>
    <t>OUB-W0012405-343</t>
  </si>
  <si>
    <t>TFI-W0012405-344</t>
  </si>
  <si>
    <t>INB-W0012405-344</t>
  </si>
  <si>
    <t>OUB-W0012405-345</t>
  </si>
  <si>
    <t>OUB-W0012405-346</t>
  </si>
  <si>
    <t>INB-W0012405-347</t>
  </si>
  <si>
    <t>OUB-W0012405-348</t>
  </si>
  <si>
    <t>OUB-W0012405-349</t>
  </si>
  <si>
    <t>OUB-W0012405-350</t>
  </si>
  <si>
    <t>OUB-W0012405-351</t>
  </si>
  <si>
    <t>OUB-W0012405-352</t>
  </si>
  <si>
    <t>OUB-W0012405-353</t>
  </si>
  <si>
    <t>OUB-W0012405-355</t>
  </si>
  <si>
    <t>OUB-W0012405-356</t>
  </si>
  <si>
    <t>OUB-W0012405-357</t>
  </si>
  <si>
    <t>OUB-W0012405-358</t>
  </si>
  <si>
    <t>OUB-W0012405-359</t>
  </si>
  <si>
    <t>TFI-W0012406-360</t>
  </si>
  <si>
    <t>INB-W0012406-360</t>
  </si>
  <si>
    <t>OUB-W0012406-361</t>
  </si>
  <si>
    <t>INB-W0012406-362</t>
  </si>
  <si>
    <t>INB-W0012406-363</t>
  </si>
  <si>
    <t>OUB-W0012406-364</t>
  </si>
  <si>
    <t>OUB-W0012406-365</t>
  </si>
  <si>
    <t>BOO-W0012406-366</t>
  </si>
  <si>
    <t>OUB-W0012406-366</t>
  </si>
  <si>
    <t>TFI-W0012406-367</t>
  </si>
  <si>
    <t>INB-W0012406-367</t>
  </si>
  <si>
    <t>OUB-W0012406-368</t>
  </si>
  <si>
    <t>OUB-W0012406-369</t>
  </si>
  <si>
    <t>INB-W0012406-370</t>
  </si>
  <si>
    <t>OUB-W0012406-371</t>
  </si>
  <si>
    <t>INB-W0012406-372</t>
  </si>
  <si>
    <t>OUB-W0012406-373</t>
  </si>
  <si>
    <t>OUB-W0012406-374</t>
  </si>
  <si>
    <t>OUB-W0012406-375</t>
  </si>
  <si>
    <t>OUB-W0012406-376</t>
  </si>
  <si>
    <t>OUB-W0012406-377</t>
  </si>
  <si>
    <t>BOO-W0012406-378</t>
  </si>
  <si>
    <t>OUB-W0012406-379</t>
  </si>
  <si>
    <t>OUB-W0012406-381</t>
  </si>
  <si>
    <t>INB-W0012406-382</t>
  </si>
  <si>
    <t>OUB-W0012406-383</t>
  </si>
  <si>
    <t>TFI-W0012406-384</t>
  </si>
  <si>
    <t>OUB-W0012406-385</t>
  </si>
  <si>
    <t>OUB-W0012406-386</t>
  </si>
  <si>
    <t>INB-W0012406-387</t>
  </si>
  <si>
    <t>INB-W0012406-388</t>
  </si>
  <si>
    <t>TFI-W0012406-388</t>
  </si>
  <si>
    <t>OUB-W0012406-389</t>
  </si>
  <si>
    <t>TFI-W0012406-390</t>
  </si>
  <si>
    <t>INB-W0012406-390</t>
  </si>
  <si>
    <t>OUB-W0012406-391</t>
  </si>
  <si>
    <t>OUB-W0012406-392</t>
  </si>
  <si>
    <t>OUB-W0012406-393</t>
  </si>
  <si>
    <t>OUB-W0012407-394</t>
  </si>
  <si>
    <t>INB-W0012407-395</t>
  </si>
  <si>
    <t>OUB-W0012407-396</t>
  </si>
  <si>
    <t>OUB-W0012407-397</t>
  </si>
  <si>
    <t>OUB-W0012407-398</t>
  </si>
  <si>
    <t>INB-W0012407-399</t>
  </si>
  <si>
    <t>INB-W0012407-400</t>
  </si>
  <si>
    <t>OUB-W0012407-401</t>
  </si>
  <si>
    <t>OUB-W0012407-402</t>
  </si>
  <si>
    <t>OUB-W0012407-403</t>
  </si>
  <si>
    <t>OUB-W0012407-404</t>
  </si>
  <si>
    <t>OUB-W0012407-405</t>
  </si>
  <si>
    <t>OUB-W0012407-406</t>
  </si>
  <si>
    <t>OUB-W0012407-407</t>
  </si>
  <si>
    <t>BOI-W0012407-408</t>
  </si>
  <si>
    <t>INB-W0012407-409</t>
  </si>
  <si>
    <t>OUB-W0012407-410</t>
  </si>
  <si>
    <t>OUB-W0012407-411</t>
  </si>
  <si>
    <t>TFI-W0012407-412</t>
  </si>
  <si>
    <t>INB-W0012407-412</t>
  </si>
  <si>
    <t>BOI-W0012407-412</t>
  </si>
  <si>
    <t>OUB-W0012407-413</t>
  </si>
  <si>
    <t>OUB-W0012407-414</t>
  </si>
  <si>
    <t>OUB-W0012407-415</t>
  </si>
  <si>
    <t>OUB-W0012407-416</t>
  </si>
  <si>
    <t>OUB-W0012407-417</t>
  </si>
  <si>
    <t>OUB-W0012407-418</t>
  </si>
  <si>
    <t>INB-W0012407-419</t>
  </si>
  <si>
    <t>OUB-W0012407-420</t>
  </si>
  <si>
    <t>BOO-W0012407-421</t>
  </si>
  <si>
    <t>OUB-W0012407-422</t>
  </si>
  <si>
    <t>OUB-W0012407-423</t>
  </si>
  <si>
    <t>OUB-W0012408-424</t>
  </si>
  <si>
    <t>OUB-W0012408-425</t>
  </si>
  <si>
    <t>INB-W0012408-426</t>
  </si>
  <si>
    <t>TFI-W0012408-426</t>
  </si>
  <si>
    <t>OUB-W0012408-427</t>
  </si>
  <si>
    <t>OUB-W0012408-428</t>
  </si>
  <si>
    <t>OUB-W0012408-429</t>
  </si>
  <si>
    <t>OUB-W0012408-430</t>
  </si>
  <si>
    <t>OUB-W0012408-431</t>
  </si>
  <si>
    <t>OUB-W0012408-432</t>
  </si>
  <si>
    <t>OUB-W0012408-433</t>
  </si>
  <si>
    <t>OUB-W0012408-434</t>
  </si>
  <si>
    <t>OUB-W0012408-435</t>
  </si>
  <si>
    <t>OUB-W0012408-436</t>
  </si>
  <si>
    <t>OUB-W0012408-437</t>
  </si>
  <si>
    <t>TFI-W0012408-438</t>
  </si>
  <si>
    <t>OUB-W0012408-439</t>
  </si>
  <si>
    <t>INB-W0012408-440</t>
  </si>
  <si>
    <t>OUB-W0012408-441</t>
  </si>
  <si>
    <t>OUB-W0012408-442</t>
  </si>
  <si>
    <t>OUB-W0012408-443</t>
  </si>
  <si>
    <t>OUB-W0012408-444</t>
  </si>
  <si>
    <t>TFI-W0012408-445</t>
  </si>
  <si>
    <t>OUB-W0012408-446</t>
  </si>
  <si>
    <t>OUB-W0012408-447</t>
  </si>
  <si>
    <t>OUB-W0012408-448</t>
  </si>
  <si>
    <t>OUB-W0012408-449</t>
  </si>
  <si>
    <t>INB-W0012408-450</t>
  </si>
  <si>
    <t>OUB-W0012408-451</t>
  </si>
  <si>
    <t>OUB-W0012408-452</t>
  </si>
  <si>
    <t>TFI-W0012408-453</t>
  </si>
  <si>
    <t>INB-W0012408-453</t>
  </si>
  <si>
    <t>BOI-W0012408-453</t>
  </si>
  <si>
    <t>OUB-W0012408-454</t>
  </si>
  <si>
    <t>OUB-W0012408-455</t>
  </si>
  <si>
    <t>OUB-W0012408-457</t>
  </si>
  <si>
    <t>BOI-W0012408-458</t>
  </si>
  <si>
    <t>INB-W0012408-459</t>
  </si>
  <si>
    <t>OUB-W0012408-460</t>
  </si>
  <si>
    <t>OUB-W0012408-461</t>
  </si>
  <si>
    <t>OUB-W0012408-462</t>
  </si>
  <si>
    <t>INB-W0012408-463</t>
  </si>
  <si>
    <t>INB-W0012408-464</t>
  </si>
  <si>
    <t>OUB-W0012408-465</t>
  </si>
  <si>
    <t>OUB-W0012408-466</t>
  </si>
  <si>
    <t>TFI-W0012408-467</t>
  </si>
  <si>
    <t>INB-W0012408-467</t>
  </si>
  <si>
    <t>OUB-W0012408-468</t>
  </si>
  <si>
    <t>OUB-W0012408-469</t>
  </si>
  <si>
    <t>OUB-W0012408-470</t>
  </si>
  <si>
    <t>OUB-W0012408-471</t>
  </si>
  <si>
    <t>TFI-W0012408-472</t>
  </si>
  <si>
    <t>OUB-W0012408-473</t>
  </si>
  <si>
    <t>OUB-W0012408-474</t>
  </si>
  <si>
    <t>OUB-W0012408-475</t>
  </si>
  <si>
    <t>OUB-W0012408-476</t>
  </si>
  <si>
    <t>OUB-W0012408-477</t>
  </si>
  <si>
    <t>OUB-W0012409-478</t>
  </si>
  <si>
    <t>OUB-W0012409-479</t>
  </si>
  <si>
    <t>OUB-W0012409-480</t>
  </si>
  <si>
    <t>OUB-W0012409-481</t>
  </si>
  <si>
    <t>OUB-W0012409-482</t>
  </si>
  <si>
    <t>OUB-W0012409-483</t>
  </si>
  <si>
    <t>OUB-W0012409-484</t>
  </si>
  <si>
    <t>OUB-W0012409-485</t>
  </si>
  <si>
    <t>INB-W0012409-486</t>
  </si>
  <si>
    <t>OUB-W0012409-487</t>
  </si>
  <si>
    <t>OUB-W0012409-488</t>
  </si>
  <si>
    <t>OUB-W0012409-489</t>
  </si>
  <si>
    <t>OUB-W0012409-490</t>
  </si>
  <si>
    <t>OUB-W0012409-491</t>
  </si>
  <si>
    <t>OUB-W0012409-492</t>
  </si>
  <si>
    <t>OUB-W0012409-493</t>
  </si>
  <si>
    <t>INB-W0012409-494</t>
  </si>
  <si>
    <t>OUB-W0012409-495</t>
  </si>
  <si>
    <t>OUB-W0012409-496</t>
  </si>
  <si>
    <t>OUB-W0012409-497</t>
  </si>
  <si>
    <t>OUB-W0012409-498</t>
  </si>
  <si>
    <t>OUB-W0012409-499</t>
  </si>
  <si>
    <t>OUB-W0012409-500</t>
  </si>
  <si>
    <t>OUB-W0012409-501</t>
  </si>
  <si>
    <t>OUB-W0012409-502</t>
  </si>
  <si>
    <t>OUB-W0012409-503</t>
  </si>
  <si>
    <t>INB-W0012409-504</t>
  </si>
  <si>
    <t>TFI-W0012409-504</t>
  </si>
  <si>
    <t>ZTE 2,  Corning 17, Janjora 16</t>
  </si>
  <si>
    <t>INB-W0012409-505</t>
  </si>
  <si>
    <t>OUB-W0012409-506</t>
  </si>
  <si>
    <t>TFI-W0012409-507</t>
  </si>
  <si>
    <t>INB-W0012409-507</t>
  </si>
  <si>
    <t>OUB-W0012409-508</t>
  </si>
  <si>
    <t>OUB-W0012409-509</t>
  </si>
  <si>
    <t>OUB-W0012409-510</t>
  </si>
  <si>
    <t>OUB-W0012409-511</t>
  </si>
  <si>
    <t>OUB-W0012409-512</t>
  </si>
  <si>
    <t>OUB-W0012409-513</t>
  </si>
  <si>
    <t>OUB-W0012409-514</t>
  </si>
  <si>
    <t>OUB-W0012409-515</t>
  </si>
  <si>
    <t>TFI-W0012409-516</t>
  </si>
  <si>
    <t>INB-W0012409-516</t>
  </si>
  <si>
    <t>OUB-W0012409-517</t>
  </si>
  <si>
    <t>OUB-W0012409-518</t>
  </si>
  <si>
    <t>INB-W0012409-519</t>
  </si>
  <si>
    <t>OUB-W0012409-520</t>
  </si>
  <si>
    <t>OUB-W0012409-521</t>
  </si>
  <si>
    <t>TFO-W0012409-522</t>
  </si>
  <si>
    <t>INB-W0012410-523</t>
  </si>
  <si>
    <t>OUB-W0012410-524</t>
  </si>
  <si>
    <t>OUB-W0012410-525</t>
  </si>
  <si>
    <t>INSIDEN</t>
  </si>
  <si>
    <t>OUB-W0012410-526</t>
  </si>
  <si>
    <t>OUB-W0012410-527</t>
  </si>
  <si>
    <t>INB-W0012410-528</t>
  </si>
  <si>
    <t>INB-W0012410-529</t>
  </si>
  <si>
    <t>BOO-W0012410-530</t>
  </si>
  <si>
    <t>MYREP</t>
  </si>
  <si>
    <t>INB-W0012410-531</t>
  </si>
  <si>
    <t>OUB-W0012410-532</t>
  </si>
  <si>
    <t>OUB-W0012410-533</t>
  </si>
  <si>
    <t>OUB-W0012410-534</t>
  </si>
  <si>
    <t>OUB-W0012410-535</t>
  </si>
  <si>
    <t>OUB-W0012410-536</t>
  </si>
  <si>
    <t>OUB-W0012410-537</t>
  </si>
  <si>
    <t>OUB-W0012410-538</t>
  </si>
  <si>
    <t>OUB-W0012410-539</t>
  </si>
  <si>
    <t>OUB-W0012410-540</t>
  </si>
  <si>
    <t>OUB-W0012410-541</t>
  </si>
  <si>
    <t>INB-W0012410-542</t>
  </si>
  <si>
    <t>OUB-W0012410-543</t>
  </si>
  <si>
    <t>INB-W0012410-544</t>
  </si>
  <si>
    <t>OUB-W0012411-545</t>
  </si>
  <si>
    <t>OUB-W0012411-546</t>
  </si>
  <si>
    <t>OUB-W0012411-547</t>
  </si>
  <si>
    <t>INB-W0012411-548</t>
  </si>
  <si>
    <t>OUB-W0012411-549</t>
  </si>
  <si>
    <t>OUB-W0012411-550</t>
  </si>
  <si>
    <t>BOO-W0012411-551</t>
  </si>
  <si>
    <t>BOO-W0012411-552</t>
  </si>
  <si>
    <t>OUB-W0012411-553</t>
  </si>
  <si>
    <t>OUB-W0012411-554</t>
  </si>
  <si>
    <t>TFO-W0012411-555</t>
  </si>
  <si>
    <t>OUB-W0012411-556</t>
  </si>
  <si>
    <t>use 2005 , 995 masuk left over</t>
  </si>
  <si>
    <t>OUB-W0012411-557</t>
  </si>
  <si>
    <t>OUB-W0012411-558</t>
  </si>
  <si>
    <t>OUB-W0012411-559</t>
  </si>
  <si>
    <t>OUB-W0012411-560</t>
  </si>
  <si>
    <t>OUB-W0012411-561</t>
  </si>
  <si>
    <t>BOI-W0012411-562</t>
  </si>
  <si>
    <t>INB-W0012411-563</t>
  </si>
  <si>
    <t>OUB-W0012411-564</t>
  </si>
  <si>
    <t>INB-W0012411-565</t>
  </si>
  <si>
    <t>BOI-W0012411-565</t>
  </si>
  <si>
    <t>OUB-W0012411-566</t>
  </si>
  <si>
    <t>INB-W0012411-568</t>
  </si>
  <si>
    <t>OUB-W0012411-569</t>
  </si>
  <si>
    <t>INB-W0012411-570</t>
  </si>
  <si>
    <t>BOI-W0012411-570</t>
  </si>
  <si>
    <t>OUB-W0012412-571</t>
  </si>
  <si>
    <t>TFI-W0012412-572</t>
  </si>
  <si>
    <t>OUB-W0012412-573</t>
  </si>
  <si>
    <t>OUB-W0012412-574</t>
  </si>
  <si>
    <t>OUB-W0012412-575</t>
  </si>
  <si>
    <t>OUB-W0012412-576</t>
  </si>
  <si>
    <t>OUB-W0012412-577</t>
  </si>
  <si>
    <t>OUB-W0012412-578</t>
  </si>
  <si>
    <t>INB-W0012412-579</t>
  </si>
  <si>
    <t>OUB-W0012412-580</t>
  </si>
  <si>
    <t>OUB-W0012412-581</t>
  </si>
  <si>
    <t>INB-W0012412-582</t>
  </si>
  <si>
    <t>OUB-W0012412-583</t>
  </si>
  <si>
    <t>OUB-W0012412-584</t>
  </si>
  <si>
    <t>OUB-W0012412-585</t>
  </si>
  <si>
    <t>OUB-W0012412-586</t>
  </si>
  <si>
    <t>OUB-W0012412-587</t>
  </si>
  <si>
    <t>OUB-W0012412-589</t>
  </si>
  <si>
    <t>OUB-W0012412-590</t>
  </si>
  <si>
    <t>OUB-W0012412-591</t>
  </si>
  <si>
    <t>OUB-W0012412-592</t>
  </si>
  <si>
    <t>INB-W0012412-593</t>
  </si>
  <si>
    <t>OUB-W0012501-594</t>
  </si>
  <si>
    <t>OUB-W0012501-595</t>
  </si>
  <si>
    <t>OUB-W0012501-596</t>
  </si>
  <si>
    <t>OUB-W0012501-597</t>
  </si>
  <si>
    <t>OUB-W0012501-598</t>
  </si>
  <si>
    <t>OUB-W0012501-599</t>
  </si>
  <si>
    <t>OUB-W0012501-600</t>
  </si>
  <si>
    <t>BOO-W0012501-601</t>
  </si>
  <si>
    <t>OUB-W0012501-602</t>
  </si>
  <si>
    <t>INB-W0012502-603</t>
  </si>
  <si>
    <t>OUB-W0012502-604</t>
  </si>
  <si>
    <t>OUB-W0012502-605</t>
  </si>
  <si>
    <t>OUB-W0012502-606</t>
  </si>
  <si>
    <t>OUB-W0012502-607</t>
  </si>
  <si>
    <t>INB-W0012502-608</t>
  </si>
  <si>
    <t>OUB-W0012502-609</t>
  </si>
  <si>
    <t>INB-W0012502-610</t>
  </si>
  <si>
    <t>OUB-W0012502-611</t>
  </si>
  <si>
    <t>BOO-W0012502-612</t>
  </si>
  <si>
    <t>OUB-W0012502-613</t>
  </si>
  <si>
    <t>OUB-W0012502-614</t>
  </si>
  <si>
    <t>OUB-W0012502-615</t>
  </si>
  <si>
    <t>OUB-W0012502-616</t>
  </si>
  <si>
    <t>OUB-W0012502-617</t>
  </si>
  <si>
    <t>OUB-W0012502-618</t>
  </si>
  <si>
    <t>OUB-W0012502-619</t>
  </si>
  <si>
    <t>CLR51-99-148</t>
  </si>
  <si>
    <t>INB-W0012502-620</t>
  </si>
  <si>
    <t>OUB-W0012503-621</t>
  </si>
  <si>
    <t>BOI-W0012503-623</t>
  </si>
  <si>
    <t>OUB-W0012503-624</t>
  </si>
  <si>
    <t>TFO-W0012503-625</t>
  </si>
  <si>
    <t>INB-W0012503-626</t>
  </si>
  <si>
    <t>OUB-W0012503-627</t>
  </si>
  <si>
    <t>OUB-W0012503-629</t>
  </si>
  <si>
    <t>OUB-W0012503-630</t>
  </si>
  <si>
    <t>BOI-W0012503-628</t>
  </si>
  <si>
    <t>OUB-W0012503-631</t>
  </si>
  <si>
    <t>OUB-W0012503-632</t>
  </si>
  <si>
    <t>OUB-W0012503-633</t>
  </si>
  <si>
    <t>INB-W0012503-634</t>
  </si>
  <si>
    <t>OUB-W0012503-635</t>
  </si>
  <si>
    <t>OUB-W0012503-636</t>
  </si>
  <si>
    <t>BOO-W0012504-637</t>
  </si>
  <si>
    <t>BOI-W0012505-638</t>
  </si>
  <si>
    <t>BOO-W0012505-639</t>
  </si>
  <si>
    <t>OUB-W0012505-640</t>
  </si>
  <si>
    <t>OUB-W0012505-641</t>
  </si>
  <si>
    <t>TFI-W0012505-642</t>
  </si>
  <si>
    <t>OUB-W0012505-643</t>
  </si>
  <si>
    <t>OUB-W0012505-644</t>
  </si>
  <si>
    <t>TFI-W0012506-645</t>
  </si>
  <si>
    <t>INB-W0012506-646</t>
  </si>
  <si>
    <t>OUB-W0012506-647</t>
  </si>
  <si>
    <t>OUB-W0012506-648</t>
  </si>
  <si>
    <t>INB-W0012506-649</t>
  </si>
  <si>
    <t>OUB-W0012506-650</t>
  </si>
  <si>
    <t>OUB-W0012506-651</t>
  </si>
  <si>
    <t>OUB-W0012506-652</t>
  </si>
  <si>
    <t>OUB-W0012506-653</t>
  </si>
  <si>
    <t>OUB-W0012506-654</t>
  </si>
  <si>
    <t>INB-W0012506-655</t>
  </si>
  <si>
    <t>TFI-W0012506-656</t>
  </si>
  <si>
    <t>OUB-W0012506-657</t>
  </si>
  <si>
    <t>TFI-W0012506-658</t>
  </si>
  <si>
    <t>OUB-W0012506-659</t>
  </si>
  <si>
    <t>OUB-W0012506-660</t>
  </si>
  <si>
    <t>OUB-W0012506-661</t>
  </si>
  <si>
    <t>INB-W0012506-662</t>
  </si>
  <si>
    <t>OUB-W0012506-663</t>
  </si>
  <si>
    <t>OUB-W0012506-664</t>
  </si>
  <si>
    <t>OUB-W0012506-665</t>
  </si>
  <si>
    <t>OUB-W0012507-666</t>
  </si>
  <si>
    <t>INB-W0012507-667</t>
  </si>
  <si>
    <t>INB-W0012507-668</t>
  </si>
  <si>
    <t>OUB-W0012507-669</t>
  </si>
  <si>
    <t>OUB-W0012507-670</t>
  </si>
  <si>
    <t>OUB-W0012507-671</t>
  </si>
  <si>
    <t>OUB-W0012507-672</t>
  </si>
  <si>
    <t>INB-W0012507-673</t>
  </si>
  <si>
    <t>OUB-W0012507-674</t>
  </si>
  <si>
    <t>OUB-W0012507-675</t>
  </si>
  <si>
    <t>INB-W0012507-676</t>
  </si>
  <si>
    <t>OUB-W0012507-677</t>
  </si>
  <si>
    <t>INB-W0012508-678</t>
  </si>
  <si>
    <t>OUB-W0012508-679</t>
  </si>
  <si>
    <t>INB-W0012508-680</t>
  </si>
  <si>
    <t>OUB-W0012508-681</t>
  </si>
  <si>
    <t>OUB-W0012508-682</t>
  </si>
  <si>
    <t>BOO-W0012508-683</t>
  </si>
  <si>
    <t>OUB-W0012508-684</t>
  </si>
  <si>
    <t>BOI-W0012508-685</t>
  </si>
  <si>
    <t>OUB-W0012508-686</t>
  </si>
  <si>
    <t>OUB-W0012508-687</t>
  </si>
  <si>
    <t>INB-W0012508-688</t>
  </si>
  <si>
    <t>OUB-W0012508-689</t>
  </si>
  <si>
    <t>INB-W0012508-690</t>
  </si>
  <si>
    <t>OUB-W0012508-691</t>
  </si>
  <si>
    <t>TFO-W0012508-692</t>
  </si>
  <si>
    <t>INB-W0012508-693</t>
  </si>
  <si>
    <t>OUB-W0012508-694</t>
  </si>
  <si>
    <t>OUB-W0012508-696</t>
  </si>
  <si>
    <t>Repair MF , Insiden FO Cut</t>
  </si>
  <si>
    <t>OUB-W0012508-697</t>
  </si>
  <si>
    <t>INB-W0012508-695</t>
  </si>
  <si>
    <t>INB-W0012508-698</t>
  </si>
  <si>
    <t>INB-W0012508-699</t>
  </si>
  <si>
    <t>INB-W0012508-700</t>
  </si>
  <si>
    <t>INB-W0012508-701</t>
  </si>
  <si>
    <t>OUB-W0012508-702</t>
  </si>
  <si>
    <t>ADJUSTMENT</t>
  </si>
  <si>
    <t>INB-W0012508-702</t>
  </si>
  <si>
    <t>INB-W0012309-6</t>
  </si>
  <si>
    <t>LEFTOVER</t>
  </si>
  <si>
    <t>2363-2521</t>
  </si>
  <si>
    <t>INB-W0012309-7</t>
  </si>
  <si>
    <t>1721-1781</t>
  </si>
  <si>
    <t>2524-2579</t>
  </si>
  <si>
    <t>INB-W0012310-17</t>
  </si>
  <si>
    <t>0-215</t>
  </si>
  <si>
    <t>INB-W0012312-35</t>
  </si>
  <si>
    <t>2602-2717</t>
  </si>
  <si>
    <t>594-659</t>
  </si>
  <si>
    <t>INB-W0012401-45</t>
  </si>
  <si>
    <t>0-1750</t>
  </si>
  <si>
    <t>INB-W0012402-58</t>
  </si>
  <si>
    <t>0-300</t>
  </si>
  <si>
    <t>INB-W0012402-61</t>
  </si>
  <si>
    <t>0-1000</t>
  </si>
  <si>
    <t>INB-W0012406-94</t>
  </si>
  <si>
    <t>TFI-W0012409-134</t>
  </si>
  <si>
    <t>0-87</t>
  </si>
  <si>
    <t>0-62</t>
  </si>
  <si>
    <t>0-64</t>
  </si>
  <si>
    <t>INB-W0012411-142</t>
  </si>
  <si>
    <t>1355-2350</t>
  </si>
  <si>
    <t>0-350</t>
  </si>
  <si>
    <t>INB-W0012503-156</t>
  </si>
  <si>
    <t>0-2000</t>
  </si>
  <si>
    <t>0-770</t>
  </si>
  <si>
    <t>INB-W0012507-167</t>
  </si>
  <si>
    <t>0-150</t>
  </si>
  <si>
    <t>695-770</t>
  </si>
  <si>
    <t>0-57</t>
  </si>
  <si>
    <t>0-91</t>
  </si>
  <si>
    <t>2886-2935</t>
  </si>
  <si>
    <t>445-736</t>
  </si>
  <si>
    <t>INB-W0012508-172</t>
  </si>
  <si>
    <t>0-500</t>
  </si>
  <si>
    <t>2956-3000</t>
  </si>
  <si>
    <t>242-246</t>
  </si>
  <si>
    <t>INB-W0012405-354</t>
  </si>
  <si>
    <t>INB-W0012507-669</t>
  </si>
  <si>
    <t>INB-W0012508-691</t>
  </si>
  <si>
    <t>Main Items</t>
  </si>
  <si>
    <t>DNWID1382025082601</t>
  </si>
  <si>
    <t>Main Feeder - OLT Smart Malang   Segment 8 to Sumbersekar</t>
  </si>
  <si>
    <t>DOEID250903C9</t>
  </si>
  <si>
    <t>DNWID1382025090303</t>
  </si>
  <si>
    <t>Rarely Used</t>
  </si>
  <si>
    <t>Secondary Items</t>
  </si>
  <si>
    <t>CLR64-99-087</t>
  </si>
  <si>
    <t>DESA SOKO LAMONGAN</t>
  </si>
  <si>
    <t>GCI</t>
  </si>
  <si>
    <t>DOEID25090654</t>
  </si>
  <si>
    <t>DNWID1382025090601</t>
  </si>
  <si>
    <t>INB-W0012212-001</t>
  </si>
  <si>
    <t>OUB-W0012509-001</t>
  </si>
  <si>
    <t>CJ-Kendal-01</t>
  </si>
  <si>
    <t>CJ-Purwokerto-01</t>
  </si>
  <si>
    <t>W004</t>
  </si>
  <si>
    <t>W005</t>
  </si>
  <si>
    <t>Rudi - 0831-6217-2283</t>
  </si>
  <si>
    <t>Eko - 0823-3381-3057</t>
  </si>
  <si>
    <t>CLR09-99-147</t>
  </si>
  <si>
    <t>CLR09-99-156</t>
  </si>
  <si>
    <t>RIN-WHIDYYMM-XXX</t>
  </si>
  <si>
    <t>INB-WHIDYYMM-XXX</t>
  </si>
  <si>
    <t>RETURN IN</t>
  </si>
  <si>
    <t>EJ-Jombang-01</t>
  </si>
  <si>
    <t>EJ-Kediri-01</t>
  </si>
  <si>
    <t>EJ-Madiun-01</t>
  </si>
  <si>
    <t>EJ-Sidoarjo-01</t>
  </si>
  <si>
    <t>W006</t>
  </si>
  <si>
    <t>W007</t>
  </si>
  <si>
    <t>W008</t>
  </si>
  <si>
    <t>W009</t>
  </si>
  <si>
    <t>W010</t>
  </si>
  <si>
    <t>Rizki - 0856-5551-3706</t>
  </si>
  <si>
    <t>Bejo/ Bayu</t>
  </si>
  <si>
    <t>Candra</t>
  </si>
  <si>
    <t>EJ-Blitar-01</t>
  </si>
  <si>
    <t>Saipul</t>
  </si>
  <si>
    <t>RETURN OUT</t>
  </si>
  <si>
    <t>ROO-WHIDYYMM-XXX</t>
  </si>
  <si>
    <t>Sheet SUM_WH</t>
  </si>
  <si>
    <t>DO - DB</t>
  </si>
  <si>
    <t>Site Database</t>
  </si>
  <si>
    <t>adfasda</t>
  </si>
  <si>
    <t>fasfaadasd</t>
  </si>
  <si>
    <t>Delivery Order - DN Data</t>
  </si>
  <si>
    <t>Material Special Tagging (Tagging Material per Item)</t>
  </si>
  <si>
    <t>DN Summary</t>
  </si>
  <si>
    <t>Column Labels</t>
  </si>
  <si>
    <t>ZTE1005</t>
  </si>
  <si>
    <t>JC 48 Core</t>
  </si>
  <si>
    <t>Total Site</t>
  </si>
  <si>
    <t>Total Qty Material</t>
  </si>
  <si>
    <t>Pole7M3"</t>
  </si>
  <si>
    <t>Pole9M</t>
  </si>
  <si>
    <t>ADSS24C</t>
  </si>
  <si>
    <t>ADSS48C</t>
  </si>
  <si>
    <t>ADSS96C</t>
  </si>
  <si>
    <t>DO MATERIAL</t>
  </si>
  <si>
    <t>NO</t>
  </si>
  <si>
    <t>Region</t>
  </si>
  <si>
    <t>Site ID</t>
  </si>
  <si>
    <t>Sitename</t>
  </si>
  <si>
    <t>Address / Grouping</t>
  </si>
  <si>
    <t>Assignment Email Date</t>
  </si>
  <si>
    <t>Team</t>
  </si>
  <si>
    <t>ADSS 144</t>
  </si>
  <si>
    <t>JC144Core</t>
  </si>
  <si>
    <t>Ryan</t>
  </si>
  <si>
    <t>Setiawan</t>
  </si>
  <si>
    <t>EMR</t>
  </si>
  <si>
    <t>Bandulan RW 08</t>
  </si>
  <si>
    <t>Guruh</t>
  </si>
  <si>
    <t>Batu Retno RW 02 Kec Singosari</t>
  </si>
  <si>
    <t>Aga</t>
  </si>
  <si>
    <t>Batu Retno RW 03 Kec Singosari</t>
  </si>
  <si>
    <t>Bumi Podo Rukun</t>
  </si>
  <si>
    <t>Dalisodo RW 01 Kec Wagir</t>
  </si>
  <si>
    <t>Dalisodo RW 02 Kec Wagir</t>
  </si>
  <si>
    <t>Dalisodo RW 03 Kec Wagir</t>
  </si>
  <si>
    <t>Dalisodo RW 04 Kec Wagir</t>
  </si>
  <si>
    <t>Dalisodo RW 05 Kec Wagir</t>
  </si>
  <si>
    <t>Dengkol RW 02</t>
  </si>
  <si>
    <t>Dengkol RW 03</t>
  </si>
  <si>
    <t>Ngenep RW11- RW12-RW13 (Dusun Mojosari)</t>
  </si>
  <si>
    <t>(blank)</t>
  </si>
  <si>
    <t>Jedong RW 07</t>
  </si>
  <si>
    <t>Jedong RW 08</t>
  </si>
  <si>
    <t>Jedong RW 09</t>
  </si>
  <si>
    <t>Klampok RW 01 kec Singosari</t>
  </si>
  <si>
    <t>Lowokwaru RW 14</t>
  </si>
  <si>
    <t>Mulyorejo RW 06</t>
  </si>
  <si>
    <t>Mulyorejo RW 4</t>
  </si>
  <si>
    <t>Perum Pondok Mutiara Singosari - Dengkol RW 11</t>
  </si>
  <si>
    <t>Puncak Dieng</t>
  </si>
  <si>
    <t>Sidorahayu RW 02</t>
  </si>
  <si>
    <t>Sitirejo RW 01</t>
  </si>
  <si>
    <t>Sukodadi RW 01</t>
  </si>
  <si>
    <t>Sukodadi RW 02</t>
  </si>
  <si>
    <t>Tunjungtirto RW 01  Singosari</t>
  </si>
  <si>
    <t>Tunjungtirto RW 05  Singosari</t>
  </si>
  <si>
    <t>Tunjungtirto RW 06  Singosari</t>
  </si>
  <si>
    <t>Tunjungtirto RW 08  Singosari</t>
  </si>
  <si>
    <t>Ngenep RW 06 Karang Ploso (Dusun Kubung RW 06)</t>
  </si>
  <si>
    <t>Ngenep RW 03 Karang Ploso (Ngenep Utara RW 03)</t>
  </si>
  <si>
    <t>Sengguruh RW 01 Kepanjen</t>
  </si>
  <si>
    <t>Sengguruh RW 02 Kepanjen</t>
  </si>
  <si>
    <t>Sengguruh RW 03 Kepanjen</t>
  </si>
  <si>
    <t>Ngenep RW 04 Karang Ploso (Ngenep kulon (krajan) RW4)</t>
  </si>
  <si>
    <t>BULULAWANG RW 01, 02, 03, 04, 06 MALANG</t>
  </si>
  <si>
    <t>KREBET SENGGRONG RW 04 MALANG</t>
  </si>
  <si>
    <t>KREBET RW 03 MALANG</t>
  </si>
  <si>
    <t>KREBET RW 05 MALANG</t>
  </si>
  <si>
    <t>KREBET RW 04 MALANG</t>
  </si>
  <si>
    <t>Citra Kayane Residence Wagir</t>
  </si>
  <si>
    <t>Dusun Cupak RW 03 Desa Jatikerto</t>
  </si>
  <si>
    <t>Bedali RW 04 Desa Jatikerto</t>
  </si>
  <si>
    <t>Bedali RW 05 Desa Jatikerto</t>
  </si>
  <si>
    <t>Dusun Cupak RW 01 Desa Jatikerto</t>
  </si>
  <si>
    <t>Dusun Cupak RW 02 Desa Jatikerto</t>
  </si>
  <si>
    <t>DESA KARANGANYAR KIDUL PONCOKUSUMO MALANG</t>
  </si>
  <si>
    <t>CLR51-99-257</t>
  </si>
  <si>
    <t>Asshofa Residence</t>
  </si>
  <si>
    <t>PERUMAHAN BULULAWANG PERMAI RW 02</t>
  </si>
  <si>
    <t>PERUMAHAN BULULAWANG PERMAI RW 02 (BULULAWANG RW 08 MALANG)</t>
  </si>
  <si>
    <t>MADYOPURO RW 05 MALANG</t>
  </si>
  <si>
    <t>Total Site Imple Start</t>
  </si>
  <si>
    <t>Opname Site_Logfile</t>
  </si>
  <si>
    <t>Input for Redline and BA</t>
  </si>
  <si>
    <t>Xlookup(</t>
  </si>
  <si>
    <t>Opname (Qty)</t>
  </si>
  <si>
    <t>APD (Qty)</t>
  </si>
  <si>
    <t>DO (Qty)</t>
  </si>
  <si>
    <t>ABD / Redline (Qty)</t>
  </si>
  <si>
    <t>MOS (Qty)</t>
  </si>
  <si>
    <t>Remark</t>
  </si>
  <si>
    <t>Material Milestone</t>
  </si>
  <si>
    <t>Imple Start</t>
  </si>
  <si>
    <t>Imple end</t>
  </si>
  <si>
    <t>IMPLE Milestone</t>
  </si>
  <si>
    <t>BA (Qty)</t>
  </si>
  <si>
    <t>PH1-Material Request - Process</t>
  </si>
  <si>
    <t>PH1-Material Request - Waiting DO/PO</t>
  </si>
  <si>
    <t>PH1-Material Plan Inbound</t>
  </si>
  <si>
    <t>PH1-Material Inbound Done</t>
  </si>
  <si>
    <t>PH1-Material Cancel/Drop</t>
  </si>
  <si>
    <t>PH2-IMP-Hold</t>
  </si>
  <si>
    <t>PH2-IMP-Progress</t>
  </si>
  <si>
    <t>PH2-IMP-Done</t>
  </si>
  <si>
    <t>PH3-Opname Open</t>
  </si>
  <si>
    <t>PH3-Opname Signed</t>
  </si>
  <si>
    <t>PH3-PAC</t>
  </si>
  <si>
    <t>PH3-FAC</t>
  </si>
  <si>
    <t>MC Status</t>
  </si>
  <si>
    <t>BA/Justi Date</t>
  </si>
  <si>
    <t>Return / Transfer (Qty)</t>
  </si>
  <si>
    <t>open</t>
  </si>
  <si>
    <t>Qty Open</t>
  </si>
  <si>
    <t>Qty Over</t>
  </si>
  <si>
    <t>Qty Over - Need BA</t>
  </si>
  <si>
    <t>Setelah selesai Input, silahkan review Transaksi Barang di Temporary table</t>
  </si>
  <si>
    <t>FAC Done</t>
  </si>
  <si>
    <t>ATP Signed</t>
  </si>
  <si>
    <t>ATP Done, Doc on Progress</t>
  </si>
  <si>
    <t>PAC Done</t>
  </si>
  <si>
    <t>NY RFS</t>
  </si>
  <si>
    <t>14/9: BA Penambahan tiang</t>
  </si>
  <si>
    <t>Gap MOS</t>
  </si>
  <si>
    <t>Gap RL</t>
  </si>
  <si>
    <t>Gap Final (Stock )</t>
  </si>
  <si>
    <t>ZTE1006</t>
  </si>
  <si>
    <t>JC 288 Core</t>
  </si>
  <si>
    <t>Steel Clamp</t>
  </si>
  <si>
    <t>OUB-W0012509-002</t>
  </si>
  <si>
    <t>OUB-W0012509-003</t>
  </si>
  <si>
    <t>BOO-W0012509-001</t>
  </si>
  <si>
    <t>BOI-W0012509-001</t>
  </si>
  <si>
    <t>BOO-W0012509-002</t>
  </si>
  <si>
    <t>OUB-W0012509-004</t>
  </si>
  <si>
    <t>OUB-W0012509-005</t>
  </si>
  <si>
    <t>OUB-W0012509-006</t>
  </si>
  <si>
    <t>OUB-W0012509-007</t>
  </si>
  <si>
    <t>TFO-W0012510-001</t>
  </si>
  <si>
    <t>Sumarsono</t>
  </si>
  <si>
    <t>3524052005940001</t>
  </si>
  <si>
    <t>L 9355 BD</t>
  </si>
  <si>
    <t>INB-W0012510-001</t>
  </si>
  <si>
    <t>OUB-W0012510-001</t>
  </si>
  <si>
    <t>Perumahan Asshofa Residence</t>
  </si>
  <si>
    <t>CLR51-99-302</t>
  </si>
  <si>
    <t>LESANPURO RW 06 MALANG</t>
  </si>
  <si>
    <t>DOEID25102128</t>
  </si>
  <si>
    <t>DNWID1372025102102</t>
  </si>
  <si>
    <t>DOEID25102127</t>
  </si>
  <si>
    <t>DNWID1382025102101</t>
  </si>
  <si>
    <t>DOEID25102124</t>
  </si>
  <si>
    <t>DNWID1382025102104</t>
  </si>
  <si>
    <t>INB-W0012510-002</t>
  </si>
  <si>
    <t>OUB-W0012510-002</t>
  </si>
  <si>
    <t>OUB-W0012510-003</t>
  </si>
  <si>
    <t>OUB-W0012510-004</t>
  </si>
  <si>
    <t>INB-W0012510-004</t>
  </si>
  <si>
    <t>AIA Return</t>
  </si>
  <si>
    <t>OUB-W0012510-005</t>
  </si>
  <si>
    <t>INB-W0012510-005</t>
  </si>
  <si>
    <t>INB-W0012510-006</t>
  </si>
  <si>
    <t>OUB-W0012510-007</t>
  </si>
  <si>
    <t>N1383G</t>
  </si>
  <si>
    <t>DCIT Return</t>
  </si>
  <si>
    <t>OUB-W0012511-001</t>
  </si>
  <si>
    <t>INB-W0012511-001</t>
  </si>
  <si>
    <t>OUB-W0012511-002</t>
  </si>
  <si>
    <t>OUB-W0012511-003</t>
  </si>
  <si>
    <t>CLR51-99-301</t>
  </si>
  <si>
    <t>DOEID251024G6</t>
  </si>
  <si>
    <t>DNWID1382025102404</t>
  </si>
  <si>
    <t>DOEID251024GD</t>
  </si>
  <si>
    <t>DNWID1382025102405</t>
  </si>
  <si>
    <t>CLR51-99-372</t>
  </si>
  <si>
    <t>PALAAN RW 01 SAMPAI 05 MALANG</t>
  </si>
  <si>
    <t>DOEID251024G5</t>
  </si>
  <si>
    <t>DNWID1382025102406</t>
  </si>
  <si>
    <t>CLR51-99-375</t>
  </si>
  <si>
    <t>PALAAN RW 06 SAMPAI 10 MALANG</t>
  </si>
  <si>
    <t>DOEID251024K3</t>
  </si>
  <si>
    <t>DNWID1382025102408</t>
  </si>
  <si>
    <t>DOEID251027II</t>
  </si>
  <si>
    <t>DNWID1382025102809</t>
  </si>
  <si>
    <t>DOEID251027IH</t>
  </si>
  <si>
    <t>DNWID1382025102810</t>
  </si>
  <si>
    <t>DOEID251027IK</t>
  </si>
  <si>
    <t>DNWID1382025102801</t>
  </si>
  <si>
    <t>DOEID251027IJ</t>
  </si>
  <si>
    <t>DNWID1382025102805</t>
  </si>
  <si>
    <t>DOEID251027IL</t>
  </si>
  <si>
    <t>DNWID1382025102803</t>
  </si>
  <si>
    <t>DOEID251119FT</t>
  </si>
  <si>
    <t>DNWID1382025111905</t>
  </si>
  <si>
    <t>DOEID251119GB</t>
  </si>
  <si>
    <t>DNWID1382025111906</t>
  </si>
  <si>
    <t>OUB-W0012511-004</t>
  </si>
  <si>
    <t>INB-W0012511-002</t>
  </si>
  <si>
    <t>OUB-W0012511-005</t>
  </si>
  <si>
    <t>OUB-W0012511-006</t>
  </si>
  <si>
    <t>INB-W0012511-003</t>
  </si>
  <si>
    <t>Purchase Bayu</t>
  </si>
  <si>
    <t>OUB-W0012511-007</t>
  </si>
  <si>
    <t>BOI-W0012511-002</t>
  </si>
  <si>
    <t>BOI-W0012510-007</t>
  </si>
  <si>
    <t>BOI-W0012510-003</t>
  </si>
  <si>
    <t>TFI-W0012510-006</t>
  </si>
  <si>
    <t>TFI-W0012511-002</t>
  </si>
  <si>
    <t>FO CUT</t>
  </si>
  <si>
    <t>INB-W0012511-004</t>
  </si>
  <si>
    <t>OUB-W0012511-008</t>
  </si>
  <si>
    <t>FO CUT Lesanpuro</t>
  </si>
  <si>
    <t>INB-W0012512-001</t>
  </si>
  <si>
    <t>Pole 7M 2.5"</t>
  </si>
  <si>
    <t>ZTE1007</t>
  </si>
  <si>
    <t>OUB-W0012512-001</t>
  </si>
  <si>
    <t>OUB-W0012512-002</t>
  </si>
  <si>
    <t>OUB-W0012512-003</t>
  </si>
  <si>
    <t>OUB-W0012512-004</t>
  </si>
  <si>
    <t>OUB-W0012512-005</t>
  </si>
  <si>
    <t>TFO-W0012512-001</t>
  </si>
  <si>
    <t>CLR51-99-156</t>
  </si>
  <si>
    <t>OUB-W0012512-006</t>
  </si>
  <si>
    <t>INB-W0012512-004</t>
  </si>
  <si>
    <t>FDT 1 Sidoayu Line A</t>
  </si>
  <si>
    <t>FDT 1 Sidoayu Line B</t>
  </si>
  <si>
    <t>OUB-W0012512-007</t>
  </si>
  <si>
    <t>OUB-W0012512-008</t>
  </si>
  <si>
    <t>OUB-W0012512-009</t>
  </si>
  <si>
    <t>INB-W0012512-005</t>
  </si>
  <si>
    <t>INB-W0012512-006</t>
  </si>
  <si>
    <t>INB-W0012512-007</t>
  </si>
  <si>
    <t>FDT 2 Sidoayu Line A</t>
  </si>
  <si>
    <t>FDT 2 Sidoayu Line B</t>
  </si>
  <si>
    <t>Sisa Palaan</t>
  </si>
  <si>
    <t>FDT 3 Sidoayu Line C</t>
  </si>
  <si>
    <t>OUB-W0012512-010</t>
  </si>
  <si>
    <t>OUB-W0012512-012</t>
  </si>
  <si>
    <t>OUB-W0012512-011</t>
  </si>
  <si>
    <t>INB-W0012512-008</t>
  </si>
  <si>
    <t>Sisa Sidoayu FDT3</t>
  </si>
  <si>
    <t>OUB-W0012512-013</t>
  </si>
  <si>
    <t>OUB-W0012512-014</t>
  </si>
  <si>
    <t>INB-W0012512-009</t>
  </si>
  <si>
    <t>OUB-W0012512-015</t>
  </si>
  <si>
    <t>OUB-W0012512-016</t>
  </si>
  <si>
    <t>OUB-W0012512-017</t>
  </si>
  <si>
    <t>TFI-W0012512-001</t>
  </si>
  <si>
    <t>fdt2 ardirejo line c</t>
  </si>
  <si>
    <t>FDT 4 Ardirejo Line C</t>
  </si>
  <si>
    <t>FDT 4 Ardirejo Line B</t>
  </si>
  <si>
    <t>INB-W0012512-018</t>
  </si>
  <si>
    <t>OUB-W0012512-019</t>
  </si>
  <si>
    <t>OUB-W0012512-020</t>
  </si>
  <si>
    <t>OUB-W0012512-021</t>
  </si>
  <si>
    <t>FDT1 ardirejo Line D</t>
  </si>
  <si>
    <t>SF FDT 4 ardirejo</t>
  </si>
  <si>
    <t>OUB-W0012512-022</t>
  </si>
  <si>
    <t>OUB-W0012512-023</t>
  </si>
  <si>
    <t>OUB-W0012512-024</t>
  </si>
  <si>
    <t>INB-W0012512-019</t>
  </si>
  <si>
    <t>TFI-W0012512-025</t>
  </si>
  <si>
    <t>FROM GRESIK</t>
  </si>
  <si>
    <t>TO MOJOKERTO</t>
  </si>
  <si>
    <t>TFO-W0012512-025</t>
  </si>
  <si>
    <t>OUB-W0012512-026</t>
  </si>
  <si>
    <t>OUB-W0012601-001</t>
  </si>
  <si>
    <t>CLR51-99-381</t>
  </si>
  <si>
    <t>DUSUN ARDIREJO KELURAHAN SIDEREJO MALANG</t>
  </si>
  <si>
    <t>DOEID25121116</t>
  </si>
  <si>
    <t>DNWID1382025121114</t>
  </si>
  <si>
    <t>DOEID251211BU</t>
  </si>
  <si>
    <t>DNWID1382025121132</t>
  </si>
  <si>
    <t>DOEID251211BZ</t>
  </si>
  <si>
    <t>DNWID1382025121129</t>
  </si>
  <si>
    <t>DOEID251211C9</t>
  </si>
  <si>
    <t>DNWID1372025121126</t>
  </si>
  <si>
    <t>DOEID251211L3</t>
  </si>
  <si>
    <t>DNWID1382025121136</t>
  </si>
  <si>
    <t>DOEID251215I7</t>
  </si>
  <si>
    <t>DNWID1382025121609</t>
  </si>
  <si>
    <t>DOEID251316OK</t>
  </si>
  <si>
    <t>DNWID1382025121612</t>
  </si>
  <si>
    <t>CLR51-99-382</t>
  </si>
  <si>
    <t>DUSUN SIDOAYU KELURAHAN SIDEREJO MALANG</t>
  </si>
  <si>
    <t>DOEID25121117</t>
  </si>
  <si>
    <t>DNWID1382025121113</t>
  </si>
  <si>
    <t>DOEID251211AY</t>
  </si>
  <si>
    <t>DNWID1382025121131</t>
  </si>
  <si>
    <t>DOEID251215M5</t>
  </si>
  <si>
    <t>DNWID1382025121610</t>
  </si>
  <si>
    <t>DOEID251216OM</t>
  </si>
  <si>
    <t>DNWID1382025121611</t>
  </si>
  <si>
    <t>Suliadi</t>
  </si>
  <si>
    <t>INB-W0012601-001</t>
  </si>
  <si>
    <t>CLR44-99-155</t>
  </si>
  <si>
    <t>CLR51-99-196</t>
  </si>
  <si>
    <t>KEBONAGUNG RW 06 PAKISAJI</t>
  </si>
  <si>
    <t>Griya Kebon Agung Indah</t>
  </si>
  <si>
    <t>DNWID1382026011601</t>
  </si>
  <si>
    <t>DOEID260115MP</t>
  </si>
  <si>
    <t>DNWID1382026011602</t>
  </si>
  <si>
    <t>DOEID260115MQ</t>
  </si>
  <si>
    <t>TFI-W0012601-001</t>
  </si>
  <si>
    <t>OUB-W0012601-002</t>
  </si>
  <si>
    <t>OUB-W0012601-003</t>
  </si>
  <si>
    <t>OUB-W0012601-004</t>
  </si>
  <si>
    <t>0-275</t>
  </si>
  <si>
    <t>FDT 3 Ardirejo Line C</t>
  </si>
  <si>
    <t>DOEID251211B1</t>
  </si>
  <si>
    <t>INB-W0012603-001</t>
  </si>
  <si>
    <t>INB-W0012603-002</t>
  </si>
  <si>
    <t>OUB-W0012603-001</t>
  </si>
  <si>
    <t>OUB-W0012602-001</t>
  </si>
  <si>
    <t>INB-W0012601-002</t>
  </si>
  <si>
    <t>OUB-W0012603-002</t>
  </si>
  <si>
    <t>sf bonangung</t>
  </si>
  <si>
    <t>CLR51-99-385</t>
  </si>
  <si>
    <t>LESANPURO RW 01 MALANG</t>
  </si>
  <si>
    <t>INB-W0012603-003</t>
  </si>
  <si>
    <t>OUB-W0012603-005</t>
  </si>
  <si>
    <t>CLR51-99-447</t>
  </si>
  <si>
    <t>SEKARPURO RW 05 MALANG</t>
  </si>
  <si>
    <t>CLR51-99-451</t>
  </si>
  <si>
    <t>SEKARPURO RW 08 MALANG</t>
  </si>
  <si>
    <t>INB-W0012603-004</t>
  </si>
  <si>
    <t>INB-W0012603-005</t>
  </si>
  <si>
    <t>OUB-W0012604-001</t>
  </si>
  <si>
    <t>SEKARPURO RW 04 MALANG</t>
  </si>
  <si>
    <t>CLR51-99-445</t>
  </si>
  <si>
    <t>INB-W0012604-001</t>
  </si>
  <si>
    <t>DOEID26030644</t>
  </si>
  <si>
    <t>DOEID260312F9</t>
  </si>
  <si>
    <t>DOEID260312F8</t>
  </si>
  <si>
    <t>DNWID1382026030605</t>
  </si>
  <si>
    <t>DNWID1382026031205</t>
  </si>
  <si>
    <t>DNWID1382026031207</t>
  </si>
  <si>
    <t>DOEID260420HH</t>
  </si>
  <si>
    <t>JC 144Core</t>
  </si>
  <si>
    <t>Broken Pole Take out by MSFO</t>
  </si>
  <si>
    <t>OUB-W0012603-003</t>
  </si>
  <si>
    <t>0m - 125m</t>
  </si>
  <si>
    <t xml:space="preserve"> 684m - 798m</t>
  </si>
  <si>
    <t xml:space="preserve"> 496m - 334m</t>
  </si>
  <si>
    <t xml:space="preserve"> 530m - 451m</t>
  </si>
  <si>
    <t>1329m - 1397m</t>
  </si>
  <si>
    <t xml:space="preserve">  0m - 185m</t>
  </si>
  <si>
    <t>INB-W0012605-001</t>
  </si>
  <si>
    <t>CLR51-99-506</t>
  </si>
  <si>
    <t>WONOKOYO RW 05 KEDUNGKANDANG</t>
  </si>
  <si>
    <t>DOEID260509BX</t>
  </si>
  <si>
    <t>DOEID260522B7</t>
  </si>
  <si>
    <t>CLR51-99-658</t>
  </si>
  <si>
    <t>SUMBERSEKAR RT 07 RW 04 MALANG</t>
  </si>
  <si>
    <t>DNWID03620260509DY</t>
  </si>
  <si>
    <t>OUB-W0012605-001</t>
  </si>
  <si>
    <t>TFO-W0012411-567</t>
  </si>
  <si>
    <t>TFO-W0012403-288</t>
  </si>
  <si>
    <t>TFO-W0012412-588</t>
  </si>
  <si>
    <t>TFO-W0012503-622</t>
  </si>
  <si>
    <t>TFO-W0012403-275</t>
  </si>
  <si>
    <t>TFO-W0012404-309</t>
  </si>
  <si>
    <t>TFO-W0012405-359</t>
  </si>
  <si>
    <t>TFO-W0012406-380</t>
  </si>
  <si>
    <t>TFO-W0012406-389</t>
  </si>
  <si>
    <t>TFO-W0012406-392</t>
  </si>
  <si>
    <t>TFO-W0012407-401</t>
  </si>
  <si>
    <t>TFO-W0012407-402</t>
  </si>
  <si>
    <t>TFO-W0012407-405</t>
  </si>
  <si>
    <t>TFO-W0012408-456</t>
  </si>
  <si>
    <t>TFO-W0012408-461</t>
  </si>
  <si>
    <t>TFO-W0012408-466</t>
  </si>
  <si>
    <t>TFO-W0012408-475</t>
  </si>
  <si>
    <t>TFO-W0012409-478</t>
  </si>
  <si>
    <t>TFO-W0012409-487</t>
  </si>
  <si>
    <t>TFO-W0012409-515</t>
  </si>
  <si>
    <t>TFO-W0012410-524</t>
  </si>
  <si>
    <t>INB-W0012605-002</t>
  </si>
  <si>
    <t>OUB-W0012605-002</t>
  </si>
  <si>
    <t>OUB-W0012604-002</t>
  </si>
  <si>
    <t>CLR51-99-483</t>
  </si>
  <si>
    <t>DOEID26062524</t>
  </si>
  <si>
    <t>RANDUANGUNG RW 04 SINGOSARI MALANG</t>
  </si>
  <si>
    <t>DOEID26062559</t>
  </si>
  <si>
    <t>CLR51-99-678</t>
  </si>
  <si>
    <t>KAMBINGAN RW 04 MALANG</t>
  </si>
  <si>
    <t>DOEID26052978</t>
  </si>
  <si>
    <t>INB-W0012606-001</t>
  </si>
  <si>
    <t>OUB-W0012606-001</t>
  </si>
  <si>
    <t>INB-W0012606-002</t>
  </si>
  <si>
    <t>OUB-W0012606-002</t>
  </si>
  <si>
    <t>Oka-0813-2707-1647</t>
  </si>
  <si>
    <t>OUB-W0012606-003</t>
  </si>
  <si>
    <t>RFS</t>
  </si>
  <si>
    <t>OUB-W0012606-004</t>
  </si>
  <si>
    <t>OUB-W0012606-005</t>
  </si>
  <si>
    <t>Beli JC</t>
  </si>
  <si>
    <t>Insiden Sumsek</t>
  </si>
  <si>
    <t>EJ-MALANG-01</t>
  </si>
  <si>
    <t>EJ-BLITAR-01</t>
  </si>
  <si>
    <t>EJ-GRESIK-01</t>
  </si>
  <si>
    <t>EJ-JOMBANG-01</t>
  </si>
  <si>
    <t>EJ-KEDIRI-01</t>
  </si>
  <si>
    <t>EJ-MADIUN-01</t>
  </si>
  <si>
    <t>EJ-NGAWI-01</t>
  </si>
  <si>
    <t>BR002</t>
  </si>
  <si>
    <t>BR003</t>
  </si>
  <si>
    <t>BR004</t>
  </si>
  <si>
    <t>BR005</t>
  </si>
  <si>
    <t>BR007</t>
  </si>
  <si>
    <t>BR006</t>
  </si>
  <si>
    <t>EJ-MOJOKERTO-01</t>
  </si>
  <si>
    <t>Pole 7m 2"</t>
  </si>
  <si>
    <t>FDT-72c</t>
  </si>
  <si>
    <t>FDT-48c</t>
  </si>
  <si>
    <t>FAT-16c</t>
  </si>
  <si>
    <t>Pole 7M 4"2</t>
  </si>
  <si>
    <t>OUB-W0012508-678</t>
  </si>
  <si>
    <t>INB-W0012606-003</t>
  </si>
  <si>
    <t>OUB-W0012606-006</t>
  </si>
  <si>
    <t>INB-W0012606-004</t>
  </si>
  <si>
    <t>CEK</t>
  </si>
  <si>
    <t>DO</t>
  </si>
  <si>
    <t>DN</t>
  </si>
  <si>
    <t>OUB-W0012606-007</t>
  </si>
  <si>
    <t>OUB-W0012607-001</t>
  </si>
  <si>
    <t>Rangga</t>
  </si>
  <si>
    <t>Haspel/Drum</t>
  </si>
  <si>
    <t>H-ADSS 24C-202384-01</t>
  </si>
  <si>
    <t>H-ADSS 24C-2024116-01</t>
  </si>
  <si>
    <t>H-ADSS 24C-202431-01</t>
  </si>
  <si>
    <t>H-ADSS 24C-202465-01</t>
  </si>
  <si>
    <t>H-ADSS 24C-2024723-01</t>
  </si>
  <si>
    <t>H-ADSS 24C-2024827-01</t>
  </si>
  <si>
    <t>H-ADSS 24C-20241217-01</t>
  </si>
  <si>
    <t>H-ADSS 24C-2025830-01</t>
  </si>
  <si>
    <t>H-ADSS 24C-20251025-01</t>
  </si>
  <si>
    <t>H-ADSS 24C-2023919-01</t>
  </si>
  <si>
    <t>H-ADSS 24C-2023920-01</t>
  </si>
  <si>
    <t>H-ADSS 48C-202384-01</t>
  </si>
  <si>
    <t>H-ADSS 48C-202391-01</t>
  </si>
  <si>
    <t>INB-W0012308-7</t>
  </si>
  <si>
    <t>TFO-W0012308-8</t>
  </si>
  <si>
    <t>SIGIT</t>
  </si>
  <si>
    <t>EJ BLITAR-01</t>
  </si>
  <si>
    <t>EJ Malang-01</t>
  </si>
  <si>
    <t>INB-W0012309-19</t>
  </si>
  <si>
    <t>OUB-W0012401-1</t>
  </si>
  <si>
    <t>H-ADSS 96C-2024116-01</t>
  </si>
  <si>
    <t>H-ADSS 96C-2024116-02</t>
  </si>
  <si>
    <t>H-ADSS 144C-202443-01</t>
  </si>
  <si>
    <t>H-ADSS 144C-202443-02</t>
  </si>
  <si>
    <t>H-ADSS 144C-2024722-01</t>
  </si>
  <si>
    <t>H-ADSS 144C-2024722-02</t>
  </si>
  <si>
    <t>H-ADSS 144C-2024730-01</t>
  </si>
  <si>
    <t>H-ADSS 144C-2024730-02</t>
  </si>
  <si>
    <t>H-ADSS 144C-2024730-03</t>
  </si>
  <si>
    <t>use 1500</t>
  </si>
  <si>
    <t>INB-W0012407-410</t>
  </si>
  <si>
    <t>H-ADSS 144C-2024826-01</t>
  </si>
  <si>
    <t>H-ADSS 144C-2024827-01</t>
  </si>
  <si>
    <t>H-ADSS 144C-2024827-02</t>
  </si>
  <si>
    <t>H-ADSS 144C-2024920-01</t>
  </si>
  <si>
    <t>H-ADSS 144C-2024920-02</t>
  </si>
  <si>
    <t>H-ADSS 144C-20241023-01</t>
  </si>
  <si>
    <t>H-ADSS 144C-20241023-02</t>
  </si>
  <si>
    <t>H-ADSS 144C-2024117-01</t>
  </si>
  <si>
    <t>INB-W0012405-332</t>
  </si>
  <si>
    <t>H-ADSS 24C-2023926-01</t>
  </si>
  <si>
    <t>H-ADSS 24C-20231014-01</t>
  </si>
  <si>
    <t>H-ADSS 24C-20231014-02</t>
  </si>
  <si>
    <t>H-ADSS 24C-20231014-03</t>
  </si>
  <si>
    <t>H-ADSS 24C-20231115-01</t>
  </si>
  <si>
    <t>H-ADSS 24C-20231227-01</t>
  </si>
  <si>
    <t>H-ADSS 24C-20231227-02</t>
  </si>
  <si>
    <t>H-ADSS 24C-20231227-03</t>
  </si>
  <si>
    <t>H-ADSS 24C-2024116-02</t>
  </si>
  <si>
    <t>H-ADSS 24C-2024215-01</t>
  </si>
  <si>
    <t>H-ADSS 24C-202431-02</t>
  </si>
  <si>
    <t>H-ADSS 24C-2024319-01</t>
  </si>
  <si>
    <t>H-ADSS 24C-2024323-01</t>
  </si>
  <si>
    <t>H-ADSS 24C-2024323-02</t>
  </si>
  <si>
    <t>H-ADSS 24C-2024520-01</t>
  </si>
  <si>
    <t>H-ADSS 24C-2024520-02</t>
  </si>
  <si>
    <t>H-ADSS 24C-202465-02</t>
  </si>
  <si>
    <t>H-ADSS 24C-2024625-01</t>
  </si>
  <si>
    <t>H-ADSS 24C-202478-01</t>
  </si>
  <si>
    <t>H-ADSS 24C-2024723-02</t>
  </si>
  <si>
    <t>H-ADSS 24C-2024822-01</t>
  </si>
  <si>
    <t>H-ADSS 24C-2024822-02</t>
  </si>
  <si>
    <t>H-ADSS 24C-2024822-03</t>
  </si>
  <si>
    <t>H-ADSS 24C-2024827-02</t>
  </si>
  <si>
    <t>H-ADSS 24C-2024920-01</t>
  </si>
  <si>
    <t>H-ADSS 24C-2024117-01</t>
  </si>
  <si>
    <t>H-ADSS 24C-2024117-02</t>
  </si>
  <si>
    <t>H-ADSS 24C-20241126-01</t>
  </si>
  <si>
    <t>H-ADSS 24C-20241126-02</t>
  </si>
  <si>
    <t>H-ADSS 24C-20241126-03</t>
  </si>
  <si>
    <t>H-ADSS 24C-20241217-02</t>
  </si>
  <si>
    <t>H-ADSS 24C-202525-01</t>
  </si>
  <si>
    <t>H-ADSS 24C-2025220-01</t>
  </si>
  <si>
    <t>H-ADSS 24C-2025613-01</t>
  </si>
  <si>
    <t>H-ADSS 24C-2025613-02</t>
  </si>
  <si>
    <t>H-ADSS 24C-2025613-03</t>
  </si>
  <si>
    <t>H-ADSS 24C-2025627-01</t>
  </si>
  <si>
    <t>H-ADSS 24C-202586-01</t>
  </si>
  <si>
    <t>H-ADSS 24C-202586-02</t>
  </si>
  <si>
    <t>H-ADSS 24C-2025830-02</t>
  </si>
  <si>
    <t>H-ADSS 24C-20251023-01</t>
  </si>
  <si>
    <t>H-ADSS 24C-20251025-02</t>
  </si>
  <si>
    <t>H-ADSS 24C-20251121-01</t>
  </si>
  <si>
    <t>H-ADSS 24C-20251212-01</t>
  </si>
  <si>
    <t>H-ADSS 24C-20251212-02</t>
  </si>
  <si>
    <t>H-ADSS 24C-20251212-03</t>
  </si>
  <si>
    <t>H-ADSS 24C-20251212-04</t>
  </si>
  <si>
    <t>H-ADSS 24C-20251212-05</t>
  </si>
  <si>
    <t>H-ADSS 24C-20251212-06</t>
  </si>
  <si>
    <t>H-ADSS 24C-20251212-07</t>
  </si>
  <si>
    <t>H-ADSS 24C-20251221-01</t>
  </si>
  <si>
    <t>H-ADSS 24C-2026313-01</t>
  </si>
  <si>
    <t>H-ADSS 24C-202659-01</t>
  </si>
  <si>
    <t>H-ADSS 24C-2026522-01</t>
  </si>
  <si>
    <t>H-ADSS 24C-2026627-01</t>
  </si>
  <si>
    <t>H-ADSS 36C-20251025-01</t>
  </si>
  <si>
    <t>H-ADSS 36C-20251212-01</t>
  </si>
  <si>
    <t>H-ADSS 36C-20251212-02</t>
  </si>
  <si>
    <t>H-ADSS 36C-20251212-03</t>
  </si>
  <si>
    <t>H-ADSS 36C-20251212-04</t>
  </si>
  <si>
    <t>H-ADSS 36C-20251212-05</t>
  </si>
  <si>
    <t>H-ADSS 36C-20251212-06</t>
  </si>
  <si>
    <t>H-ADSS 36C-20251218-01</t>
  </si>
  <si>
    <t>H-ADSS 36C-20251218-02</t>
  </si>
  <si>
    <t>H-ADSS 36C-2026120-01</t>
  </si>
  <si>
    <t>H-ADSS 48C-2023916-01</t>
  </si>
  <si>
    <t>H-ADSS 48C-2023926-01</t>
  </si>
  <si>
    <t>H-ADSS 48C-2023926-02</t>
  </si>
  <si>
    <t>H-ADSS 48C-20231014-01</t>
  </si>
  <si>
    <t>H-ADSS 48C-20231014-02</t>
  </si>
  <si>
    <t>H-ADSS 48C-20231115-01</t>
  </si>
  <si>
    <t>H-ADSS 48C-2024116-01</t>
  </si>
  <si>
    <t>H-ADSS 48C-2024116-02</t>
  </si>
  <si>
    <t>H-ADSS 48C-2024215-01</t>
  </si>
  <si>
    <t>H-ADSS 48C-2024215-02</t>
  </si>
  <si>
    <t>H-ADSS 48C-2024229-01</t>
  </si>
  <si>
    <t>H-ADSS 48C-2024229-02</t>
  </si>
  <si>
    <t>H-ADSS 48C-202461-01</t>
  </si>
  <si>
    <t>H-ADSS 48C-202461-02</t>
  </si>
  <si>
    <t>H-ADSS 48C-2024624-01</t>
  </si>
  <si>
    <t>H-ADSS 48C-202478-01</t>
  </si>
  <si>
    <t>H-ADSS 48C-2024723-01</t>
  </si>
  <si>
    <t>H-ADSS 48C-2024822-01</t>
  </si>
  <si>
    <t>H-ADSS 48C-2024822-02</t>
  </si>
  <si>
    <t>H-ADSS 48C-2024828-01</t>
  </si>
  <si>
    <t>H-ADSS 48C-2024828-02</t>
  </si>
  <si>
    <t>H-ADSS 48C-2024828-03</t>
  </si>
  <si>
    <t>H-ADSS 48C-2024920-01</t>
  </si>
  <si>
    <t>H-ADSS 48C-2024920-02</t>
  </si>
  <si>
    <t>H-ADSS 48C-2024117-01</t>
  </si>
  <si>
    <t>H-ADSS 48C-2024117-02</t>
  </si>
  <si>
    <t>H-ADSS 48C-20241126-01</t>
  </si>
  <si>
    <t>H-ADSS 48C-20241126-02</t>
  </si>
  <si>
    <t>H-ADSS 48C-2025220-01</t>
  </si>
  <si>
    <t>H-ADSS 48C-2025613-02</t>
  </si>
  <si>
    <t>H-ADSS 48C-2025613-01</t>
  </si>
  <si>
    <t>H-ADSS 48C-2025613-03</t>
  </si>
  <si>
    <t>H-ADSS 48C-2025618-01</t>
  </si>
  <si>
    <t>H-ADSS 48C-2025618-02</t>
  </si>
  <si>
    <t>H-ADSS 48C-2025712-01</t>
  </si>
  <si>
    <t>H-ADSS 48C-2025712-02</t>
  </si>
  <si>
    <t>H-ADSS 48C-2025712-03</t>
  </si>
  <si>
    <t>H-ADSS 48C-2025819-01</t>
  </si>
  <si>
    <t>H-ADSS 48C-20251025-01</t>
  </si>
  <si>
    <t>H-ADSS 24C-20231226-01</t>
  </si>
  <si>
    <t>H-ADSS 24C-2024419-01</t>
  </si>
  <si>
    <t>H-ADSS 24C-2024419-02</t>
  </si>
  <si>
    <t>H-ADSS 48C-2024223-01</t>
  </si>
  <si>
    <t>H-ADSS 48C-2025912-01</t>
  </si>
  <si>
    <t>H-ADSS 24C-2025527-01</t>
  </si>
  <si>
    <t>H-ADSS 24C-2025624-01</t>
  </si>
  <si>
    <t>H-ADSS 24C-2025624-03</t>
  </si>
  <si>
    <t>H-ADSS 48C-202431-01</t>
  </si>
  <si>
    <t>H-ADSS 48C-202431-02</t>
  </si>
  <si>
    <t>H-ADSS 48C-202431-03</t>
  </si>
  <si>
    <t>H-ADSS 48C-2024319-01</t>
  </si>
  <si>
    <t>H-ADSS 48C-2024521-01</t>
  </si>
  <si>
    <t>H-ADSS 48C-2024625-01</t>
  </si>
  <si>
    <t>H-ADSS 48C-2024625-02</t>
  </si>
  <si>
    <t>H-ADSS 48C-2024625-03</t>
  </si>
  <si>
    <t>INB-W0012312-158</t>
  </si>
  <si>
    <t>Susilo</t>
  </si>
  <si>
    <t>0</t>
  </si>
  <si>
    <t>INB-W0012309-43</t>
  </si>
  <si>
    <t>OUB-W0012310-17</t>
  </si>
  <si>
    <t>Never Used</t>
  </si>
  <si>
    <t>ZTE2021</t>
  </si>
  <si>
    <t>ZTE2022</t>
  </si>
  <si>
    <t>INB-W0012310-87</t>
  </si>
  <si>
    <t>0-1300m</t>
  </si>
  <si>
    <t>use 1700</t>
  </si>
  <si>
    <t>use 2700</t>
  </si>
  <si>
    <t>date pick</t>
  </si>
  <si>
    <t>cek</t>
  </si>
  <si>
    <t>INB-W0012408-477</t>
  </si>
  <si>
    <t>OUB-W0012607-002</t>
  </si>
  <si>
    <t>CLR51-99-662</t>
  </si>
  <si>
    <t>DOEID260708AM</t>
  </si>
  <si>
    <t>DNWID0362026070821</t>
  </si>
  <si>
    <t>KESATRIAN RW 09 MALANG</t>
  </si>
  <si>
    <t>OUB-W0012607-003</t>
  </si>
  <si>
    <t>INB-W0012607-001</t>
  </si>
  <si>
    <t>OUB-W0012607-004</t>
  </si>
  <si>
    <t>INB-W0012607-002</t>
  </si>
  <si>
    <t>H-ADSS 24C-202679-01</t>
  </si>
  <si>
    <t>OUB-W0012607-005</t>
  </si>
  <si>
    <t>DNWID0362026052214</t>
  </si>
  <si>
    <t>DNWID0362026052925</t>
  </si>
  <si>
    <t>DNWID0362026062510</t>
  </si>
  <si>
    <t>DNWID0362026062509</t>
  </si>
  <si>
    <t>Clamp Dead End / Buaya 50-70</t>
  </si>
  <si>
    <t>Clamp Dead End / Buaya 25-50</t>
  </si>
  <si>
    <t>INB-W0012310-55</t>
  </si>
  <si>
    <t>Clamp Dead end / Buaya 50-70</t>
  </si>
  <si>
    <t>OUB-W0012406-19</t>
  </si>
  <si>
    <t>INB-W0012406-19</t>
  </si>
  <si>
    <t>A-012-1740m</t>
  </si>
  <si>
    <t>CEK2</t>
  </si>
  <si>
    <t>INB-W0012310-108</t>
  </si>
  <si>
    <t>HASBEL_ID</t>
  </si>
  <si>
    <t>Core</t>
  </si>
  <si>
    <t>Date Inbound</t>
  </si>
  <si>
    <t>Series</t>
  </si>
  <si>
    <t>Qty Inbound</t>
  </si>
  <si>
    <t>date1</t>
  </si>
  <si>
    <t>qty outbond</t>
  </si>
  <si>
    <t>Remark1</t>
  </si>
  <si>
    <t>leftover</t>
  </si>
  <si>
    <t>date out 2</t>
  </si>
  <si>
    <t xml:space="preserve">qty </t>
  </si>
  <si>
    <t>Remark2</t>
  </si>
  <si>
    <t>leftover2</t>
  </si>
  <si>
    <t>date out3</t>
  </si>
  <si>
    <t>qty 3</t>
  </si>
  <si>
    <t>Remark3</t>
  </si>
  <si>
    <t>leftover3</t>
  </si>
  <si>
    <t>date out4</t>
  </si>
  <si>
    <t>qty 4</t>
  </si>
  <si>
    <t>Remark4</t>
  </si>
  <si>
    <t>leftover4</t>
  </si>
  <si>
    <t>Code1</t>
  </si>
  <si>
    <t>Code2</t>
  </si>
  <si>
    <t>iv</t>
  </si>
  <si>
    <t>BPR</t>
  </si>
  <si>
    <t>MYJ04</t>
  </si>
  <si>
    <t>KBG13</t>
  </si>
  <si>
    <t>PPMM</t>
  </si>
  <si>
    <t>PCD</t>
  </si>
  <si>
    <t>MYJ06</t>
  </si>
  <si>
    <t>JDG9</t>
  </si>
  <si>
    <t>JDG8</t>
  </si>
  <si>
    <t>SKD2</t>
  </si>
  <si>
    <t>SKD1</t>
  </si>
  <si>
    <t>SDR2</t>
  </si>
  <si>
    <t>JDG7</t>
  </si>
  <si>
    <t>STRJ</t>
  </si>
  <si>
    <t>JMBG</t>
  </si>
  <si>
    <t>BTR2</t>
  </si>
  <si>
    <t>DGKL2</t>
  </si>
  <si>
    <t>BTR3</t>
  </si>
  <si>
    <t>BDL8</t>
  </si>
  <si>
    <t>TMH4</t>
  </si>
  <si>
    <t>GSK</t>
  </si>
  <si>
    <t>TGG8</t>
  </si>
  <si>
    <t>TJG6</t>
  </si>
  <si>
    <t>DLS1</t>
  </si>
  <si>
    <t>DLS2</t>
  </si>
  <si>
    <t>DLS3</t>
  </si>
  <si>
    <t>DLS4</t>
  </si>
  <si>
    <t>DLS5</t>
  </si>
  <si>
    <t>CDRG10</t>
  </si>
  <si>
    <t>PDL5</t>
  </si>
  <si>
    <t>LWG06</t>
  </si>
  <si>
    <t>LWK14</t>
  </si>
  <si>
    <t>KLSM</t>
  </si>
  <si>
    <t>KTHN</t>
  </si>
  <si>
    <t>GDHN</t>
  </si>
  <si>
    <t>NGP6</t>
  </si>
  <si>
    <t>SBR</t>
  </si>
  <si>
    <t>TURI</t>
  </si>
  <si>
    <t>LWK04</t>
  </si>
  <si>
    <t>PPG</t>
  </si>
  <si>
    <t>DLL4</t>
  </si>
  <si>
    <t>NGP4</t>
  </si>
  <si>
    <t>KLP1</t>
  </si>
  <si>
    <t>DLM3</t>
  </si>
  <si>
    <t>DLM4</t>
  </si>
  <si>
    <t>DKSM</t>
  </si>
  <si>
    <t>NGP3</t>
  </si>
  <si>
    <t>PSJ1</t>
  </si>
  <si>
    <t>CL SGR1_C</t>
  </si>
  <si>
    <t>CL SGR1_B</t>
  </si>
  <si>
    <t>SGR3</t>
  </si>
  <si>
    <t>MYJ4</t>
  </si>
  <si>
    <t>MYJ6</t>
  </si>
  <si>
    <t>PDLG3</t>
  </si>
  <si>
    <t>PDLG4</t>
  </si>
  <si>
    <t>SF PCD</t>
  </si>
  <si>
    <t>BMA3</t>
  </si>
  <si>
    <t>TJG8</t>
  </si>
  <si>
    <t>SF PTM1</t>
  </si>
  <si>
    <t>SF NGP6</t>
  </si>
  <si>
    <t>KLMP</t>
  </si>
  <si>
    <t>KRJ</t>
  </si>
  <si>
    <t>SF DKSM</t>
  </si>
  <si>
    <t>SF KTHN</t>
  </si>
  <si>
    <t>SF SBR</t>
  </si>
  <si>
    <t>CL KLMP</t>
  </si>
  <si>
    <t>CL KBG13</t>
  </si>
  <si>
    <t>SF KBG13</t>
  </si>
  <si>
    <t>KPI2</t>
  </si>
  <si>
    <t>PTM1</t>
  </si>
  <si>
    <t>SF DLM4</t>
  </si>
  <si>
    <t>SF KPI2</t>
  </si>
  <si>
    <t>SF SGR1</t>
  </si>
  <si>
    <t>SF SGR2</t>
  </si>
  <si>
    <t>CL SGR1 _A</t>
  </si>
  <si>
    <t>CL SGR3</t>
  </si>
  <si>
    <t>XCEK</t>
  </si>
  <si>
    <t>H-ADSS 48C-20231126-01</t>
  </si>
  <si>
    <t>H-ADSS 48C-2024123-01</t>
  </si>
  <si>
    <t>H-ADSS 24C-2024330-01</t>
  </si>
  <si>
    <t>H-ADSS 24C-2024619-01</t>
  </si>
  <si>
    <t>H-ADSS 48C-2023915-01</t>
  </si>
  <si>
    <t>TFI-W0012311-004</t>
  </si>
  <si>
    <t>TFI-W0012401-001</t>
  </si>
  <si>
    <t>TFI-W0012403-009</t>
  </si>
  <si>
    <t>TFI-W0012309-138</t>
  </si>
  <si>
    <t>WH-JOMBANG-01</t>
  </si>
  <si>
    <t>INB-W0012406-007</t>
  </si>
  <si>
    <t>Sisa sumberbendo</t>
  </si>
  <si>
    <t>OUB-W0012407-138</t>
  </si>
  <si>
    <t>(Multiple Items)</t>
  </si>
  <si>
    <t>H-ADSS 48C-202461-03</t>
  </si>
  <si>
    <t>H-ADSS 48C-2024223-02</t>
  </si>
  <si>
    <t>A-001-150m</t>
  </si>
  <si>
    <t>B-001-1000m</t>
  </si>
  <si>
    <t>A-002-215m</t>
  </si>
  <si>
    <t>B-002-385m</t>
  </si>
  <si>
    <t>E-001-1000m</t>
  </si>
  <si>
    <t>E-002-1375m</t>
  </si>
  <si>
    <t>E-003-875m</t>
  </si>
  <si>
    <t>E-004-275m</t>
  </si>
  <si>
    <t>E-005-1200m</t>
  </si>
  <si>
    <t>A-003-1500m</t>
  </si>
  <si>
    <t>E-006-450m</t>
  </si>
  <si>
    <t>A-004-1500m</t>
  </si>
  <si>
    <t>E-007-1300m</t>
  </si>
  <si>
    <t>A-005-62m</t>
  </si>
  <si>
    <t>A-006-87m</t>
  </si>
  <si>
    <t>B-003-64m</t>
  </si>
  <si>
    <t>E-008-275m</t>
  </si>
  <si>
    <t>A-015-1500m</t>
  </si>
  <si>
    <t>E-009-1000m</t>
  </si>
  <si>
    <t>A-016-1350m</t>
  </si>
  <si>
    <t>A-017-175m</t>
  </si>
  <si>
    <t>B-005-700m</t>
  </si>
  <si>
    <t>A-018-925m</t>
  </si>
  <si>
    <t>A-019-158m</t>
  </si>
  <si>
    <t>A-020-418m</t>
  </si>
  <si>
    <t>A-021-55m</t>
  </si>
  <si>
    <t>A-026-1350m</t>
  </si>
  <si>
    <t>A-027-175m</t>
  </si>
  <si>
    <t>A-028-925m</t>
  </si>
  <si>
    <t>A-029-500m</t>
  </si>
  <si>
    <t>A-030-1150m</t>
  </si>
  <si>
    <t>B-009-1500m</t>
  </si>
  <si>
    <t>A-031-1150m</t>
  </si>
  <si>
    <t>B-010-1500m</t>
  </si>
  <si>
    <t>B-014-995m</t>
  </si>
  <si>
    <t>A-033-418m</t>
  </si>
  <si>
    <t>B-015-115m</t>
  </si>
  <si>
    <t>B-016-65m</t>
  </si>
  <si>
    <t>A-037-300m</t>
  </si>
  <si>
    <t>A-038-850m</t>
  </si>
  <si>
    <t>E-010-1375m</t>
  </si>
  <si>
    <t>A-039-1000m</t>
  </si>
  <si>
    <t>A-040-185m</t>
  </si>
  <si>
    <t>A-041-500m</t>
  </si>
  <si>
    <t>A-042-1000m</t>
  </si>
  <si>
    <t>A-043-350m</t>
  </si>
  <si>
    <t>A-045-1500m</t>
  </si>
  <si>
    <t>A-046-500m</t>
  </si>
  <si>
    <t>E-011-1300m</t>
  </si>
  <si>
    <t>A-049-500m</t>
  </si>
  <si>
    <t>A-052-300m</t>
  </si>
  <si>
    <t>A-054-350m</t>
  </si>
  <si>
    <t>B-021-770m</t>
  </si>
  <si>
    <t>A-055-75m</t>
  </si>
  <si>
    <t>A-056-291m</t>
  </si>
  <si>
    <t>B-022-100m</t>
  </si>
  <si>
    <t>B-023-91m</t>
  </si>
  <si>
    <t>B-024-57m</t>
  </si>
  <si>
    <t>B-025-49m</t>
  </si>
  <si>
    <t>B-026-44m</t>
  </si>
  <si>
    <t>B-027-4m</t>
  </si>
  <si>
    <t>E-012-1100m</t>
  </si>
  <si>
    <t>A-057-68m</t>
  </si>
  <si>
    <t>A-058-79m</t>
  </si>
  <si>
    <t>A-059-114m</t>
  </si>
  <si>
    <t>A-060-125m</t>
  </si>
  <si>
    <t>A-061-162m</t>
  </si>
  <si>
    <t>P74-001-1</t>
  </si>
  <si>
    <t>P74-002-1</t>
  </si>
  <si>
    <t>P74-003-1</t>
  </si>
  <si>
    <t>P94-001-1</t>
  </si>
  <si>
    <t>A-062-185m</t>
  </si>
  <si>
    <t>Hasbelcode</t>
  </si>
  <si>
    <t>H-ADSS 24C-20241216-01</t>
  </si>
  <si>
    <t>H-ADSS 24C-20241216-02</t>
  </si>
  <si>
    <t>H-ADSS 144C-2024116-01</t>
  </si>
  <si>
    <t>OUB-W0012311-008</t>
  </si>
  <si>
    <t>H-ADSS 24C-2024116-03</t>
  </si>
  <si>
    <t>H-ADSS 24C-2024116-04</t>
  </si>
  <si>
    <t>H-ADSS 48C-2024116-03</t>
  </si>
  <si>
    <t>H-ADSS 48C-2024116-04</t>
  </si>
  <si>
    <t>cekk</t>
  </si>
  <si>
    <t>OUB-W0012401-002</t>
  </si>
  <si>
    <t>Imple</t>
  </si>
  <si>
    <t>1260 + 884 +772</t>
  </si>
  <si>
    <t>USE 1200 + 1800</t>
  </si>
  <si>
    <t>387 + 2613 (PDLG3)</t>
  </si>
  <si>
    <t>12JUL-1100 KTRN9</t>
  </si>
  <si>
    <t>INB-W0012605-003</t>
  </si>
  <si>
    <t>DOEID260716DT</t>
  </si>
  <si>
    <t>DNWID0362026071620</t>
  </si>
  <si>
    <t>CLR51-99-659</t>
  </si>
  <si>
    <t>SUMBERKRADENAN RT5,6,7,8 RW 05 MALANG</t>
  </si>
  <si>
    <t>OUB-W0012607-006</t>
  </si>
  <si>
    <t>H-ADSS 24C-2026717-01</t>
  </si>
  <si>
    <t>OUB-W0012607-007</t>
  </si>
  <si>
    <t>SKDN5</t>
  </si>
  <si>
    <t>KTRN9</t>
  </si>
  <si>
    <t>INB-W0012607-003</t>
  </si>
  <si>
    <t>ID</t>
  </si>
  <si>
    <t>Type Kabel</t>
  </si>
  <si>
    <t>Panjang</t>
  </si>
  <si>
    <t>Hasbel / Roll</t>
  </si>
  <si>
    <t>C48</t>
  </si>
  <si>
    <t>Roll</t>
  </si>
  <si>
    <t>C24</t>
  </si>
  <si>
    <t>C144</t>
  </si>
  <si>
    <t>C36</t>
  </si>
  <si>
    <t>looK</t>
  </si>
  <si>
    <t>Column1</t>
  </si>
  <si>
    <t>COJ</t>
  </si>
  <si>
    <t>LOOK</t>
  </si>
  <si>
    <t>LOKKUP</t>
  </si>
  <si>
    <t>INOUT</t>
  </si>
  <si>
    <t>Column2</t>
  </si>
  <si>
    <t>INB-W0012608-001</t>
  </si>
  <si>
    <t>INB-W0012401-46</t>
  </si>
  <si>
    <t>OUB-W0012402-002</t>
  </si>
  <si>
    <t>Perum The Emerald Malang</t>
  </si>
  <si>
    <t>CLR51-99-681</t>
  </si>
  <si>
    <t>CLR51-99-693</t>
  </si>
  <si>
    <t>NGAGLIK RW 03 BATU</t>
  </si>
  <si>
    <t>CLR51-99-661</t>
  </si>
  <si>
    <t>CLR51-99-559</t>
  </si>
  <si>
    <t xml:space="preserve">TANJUNGREJO RW 05 MALANG </t>
  </si>
  <si>
    <t>KEMANTREN RW 03 BANDUNGREJOSARI MALANG</t>
  </si>
  <si>
    <t>Sumbersekar RW 01 Malang</t>
  </si>
  <si>
    <t>CLR51-99-691</t>
  </si>
  <si>
    <t>INB-W0012608-002</t>
  </si>
  <si>
    <t/>
  </si>
  <si>
    <t>H-ADSS24C-260814-001</t>
  </si>
  <si>
    <t>H-ADSS24C-260814-002</t>
  </si>
  <si>
    <t>H-ADSS24C-260814-003</t>
  </si>
  <si>
    <t>H-ADSS24C-260814-004</t>
  </si>
  <si>
    <t>H-ADSS36C-260814-001</t>
  </si>
  <si>
    <t>OUB-W0012608-001</t>
  </si>
  <si>
    <t>PERUMAHAN THE EMERALD MALANG</t>
  </si>
  <si>
    <t>OUB-W0012608-002</t>
  </si>
  <si>
    <t>OUB-W0012608-003</t>
  </si>
  <si>
    <t>OUB-W0012608-004</t>
  </si>
  <si>
    <t>SUMBERSEKAR RW 01</t>
  </si>
  <si>
    <t>OUB-W0012608-005</t>
  </si>
  <si>
    <t>TANJUNGREJO RW 05 MALANG</t>
  </si>
  <si>
    <t>OUB-W0012608-006</t>
  </si>
  <si>
    <t>OUB-W0012608-007</t>
  </si>
  <si>
    <t>OUB-W0012608-008</t>
  </si>
  <si>
    <t>OUB-W0012608-009</t>
  </si>
  <si>
    <t>INB-W0012608-003</t>
  </si>
  <si>
    <t>OUB-W0012608-010</t>
  </si>
  <si>
    <t>OUB-W0012608-011</t>
  </si>
  <si>
    <t>OUB-W0012609-001</t>
  </si>
  <si>
    <t>OUB-W0012609-002</t>
  </si>
  <si>
    <t>TFI-W0012609-001</t>
  </si>
  <si>
    <t>OUB-W0012609-003</t>
  </si>
  <si>
    <t>OUB-W0012608-012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</si>
</sst>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 * #,##0.0_ ;_ * \-#,##0.0_ ;_ * &quot;-&quot;??_ ;_ @_ "/>
    <numFmt numFmtId="165" formatCode="_ * #,##0_ ;_ * \-#,##0_ ;_ * &quot;-&quot;??_ ;_ @_ "/>
    <numFmt numFmtId="166" formatCode="h:mm:ss;@"/>
    <numFmt numFmtId="167" formatCode="[$-F400]h:mm:ss\ AM/PM"/>
    <numFmt numFmtId="168" formatCode="[$-409]d\-mmm\-yy;@"/>
    <numFmt numFmtId="169" formatCode="_(* #,##0.0_);_(* \(#,##0.0\);_(* &quot;-&quot;??_);_(@_)"/>
    <numFmt numFmtId="170" formatCode="_(* #,##0_);_(* \(#,##0\);_(* &quot;-&quot;??_);_(@_)"/>
    <numFmt numFmtId="171" formatCode="_(* #,##0.0_);_(* \(#,##0.0\);_(* &quot;-&quot;?_);_(@_)"/>
  </numFmts>
  <fonts count="81">
    <font>
      <sz val="11"/>
      <color theme="1"/>
      <name val="Aptos Narrow"/>
      <family val="2"/>
      <charset val="1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9C5700"/>
      <name val="Aptos Narrow"/>
      <family val="2"/>
      <charset val="1"/>
      <scheme val="minor"/>
    </font>
    <font>
      <sz val="11"/>
      <color theme="0"/>
      <name val="Aptos Narrow"/>
      <family val="2"/>
      <charset val="1"/>
      <scheme val="minor"/>
    </font>
    <font>
      <b/>
      <sz val="11"/>
      <color theme="3"/>
      <name val="Aptos Narrow"/>
      <family val="2"/>
      <scheme val="minor"/>
    </font>
    <font>
      <b/>
      <i/>
      <u/>
      <sz val="12"/>
      <color rgb="FF00B0F0"/>
      <name val="Aptos Narrow"/>
      <family val="2"/>
    </font>
    <font>
      <b/>
      <sz val="11"/>
      <color rgb="FF9C5700"/>
      <name val="Aptos Narrow"/>
      <family val="2"/>
      <scheme val="minor"/>
    </font>
    <font>
      <sz val="8"/>
      <name val="Aptos Narrow"/>
      <family val="2"/>
      <charset val="1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0"/>
      <name val="Aptos Display"/>
      <family val="2"/>
    </font>
    <font>
      <sz val="11"/>
      <name val="Aptos Narrow"/>
      <family val="2"/>
      <charset val="1"/>
      <scheme val="minor"/>
    </font>
    <font>
      <sz val="12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1"/>
      <name val="Wingdings 2"/>
      <family val="1"/>
      <charset val="2"/>
    </font>
    <font>
      <b/>
      <i/>
      <sz val="11"/>
      <color theme="1"/>
      <name val="Aptos Narrow"/>
      <family val="2"/>
      <scheme val="minor"/>
    </font>
    <font>
      <b/>
      <u/>
      <sz val="12"/>
      <color rgb="FF00B0F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i/>
      <u/>
      <sz val="14"/>
      <color rgb="FF00B0F0"/>
      <name val="Aptos Narrow"/>
      <family val="2"/>
    </font>
    <font>
      <b/>
      <sz val="14"/>
      <color rgb="FF9C5700"/>
      <name val="Aptos Narrow"/>
      <family val="2"/>
      <scheme val="minor"/>
    </font>
    <font>
      <b/>
      <sz val="14"/>
      <name val="Aptos Narrow"/>
      <family val="2"/>
      <scheme val="minor"/>
    </font>
    <font>
      <b/>
      <sz val="11"/>
      <color rgb="FFFFFF00"/>
      <name val="Aptos Narrow"/>
      <family val="2"/>
      <scheme val="minor"/>
    </font>
    <font>
      <b/>
      <sz val="14"/>
      <color rgb="FFFFFF00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4"/>
      <color rgb="FF00B0F0"/>
      <name val="Aptos Narrow"/>
      <family val="2"/>
      <scheme val="minor"/>
    </font>
    <font>
      <b/>
      <sz val="12"/>
      <name val="Aptos Narrow"/>
      <family val="2"/>
    </font>
    <font>
      <b/>
      <sz val="11"/>
      <color rgb="FF00B0F0"/>
      <name val="Aptos Narrow"/>
      <family val="2"/>
      <scheme val="minor"/>
    </font>
    <font>
      <b/>
      <i/>
      <sz val="11"/>
      <color theme="0" tint="-4.9989318521683403E-2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b/>
      <sz val="12"/>
      <color rgb="FFFFFF00"/>
      <name val="Aptos Narrow"/>
      <family val="2"/>
      <scheme val="minor"/>
    </font>
    <font>
      <b/>
      <sz val="12"/>
      <color rgb="FF9C5700"/>
      <name val="Aptos Narrow"/>
      <family val="2"/>
      <scheme val="minor"/>
    </font>
    <font>
      <b/>
      <i/>
      <u/>
      <sz val="10"/>
      <color rgb="FF00B0F0"/>
      <name val="Aptos Narrow"/>
      <family val="2"/>
    </font>
    <font>
      <b/>
      <sz val="11"/>
      <color theme="7" tint="-0.249977111117893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charset val="1"/>
      <scheme val="minor"/>
    </font>
    <font>
      <sz val="11"/>
      <color rgb="FF000000"/>
      <name val="Calibri"/>
      <family val="2"/>
    </font>
    <font>
      <i/>
      <sz val="11"/>
      <color rgb="FFFF0000"/>
      <name val="Aptos Narrow"/>
      <family val="2"/>
      <scheme val="minor"/>
    </font>
    <font>
      <b/>
      <sz val="14"/>
      <color rgb="FFFF0000"/>
      <name val="Aptos Narrow"/>
      <scheme val="minor"/>
    </font>
    <font>
      <sz val="11"/>
      <color theme="1"/>
      <name val="Aptos Narrow"/>
      <family val="2"/>
      <charset val="1"/>
      <scheme val="minor"/>
    </font>
    <font>
      <b/>
      <sz val="12"/>
      <color theme="1"/>
      <name val="Aptos Narrow"/>
      <scheme val="minor"/>
    </font>
    <font>
      <sz val="14"/>
      <color theme="1"/>
      <name val="Aptos Narrow"/>
      <scheme val="minor"/>
    </font>
    <font>
      <b/>
      <sz val="14"/>
      <color theme="1"/>
      <name val="Aptos Narrow"/>
      <scheme val="minor"/>
    </font>
    <font>
      <b/>
      <sz val="11"/>
      <color rgb="FF9C5700"/>
      <name val="Calibri"/>
      <family val="2"/>
    </font>
    <font>
      <b/>
      <sz val="11"/>
      <color rgb="FFFFFF00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b/>
      <sz val="11"/>
      <color theme="1"/>
      <name val="Aptos Narrow"/>
      <scheme val="minor"/>
    </font>
    <font>
      <i/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i/>
      <sz val="9"/>
      <color theme="1"/>
      <name val="Aptos Narrow"/>
      <family val="2"/>
      <scheme val="minor"/>
    </font>
    <font>
      <i/>
      <sz val="9"/>
      <color theme="1"/>
      <name val="Aptos Narrow"/>
      <family val="2"/>
      <scheme val="minor"/>
    </font>
    <font>
      <sz val="9"/>
      <name val="Aptos Narrow"/>
      <family val="2"/>
      <scheme val="minor"/>
    </font>
    <font>
      <b/>
      <sz val="9"/>
      <name val="Aptos Narrow"/>
      <family val="2"/>
      <scheme val="minor"/>
    </font>
    <font>
      <sz val="9"/>
      <color rgb="FF000000"/>
      <name val="Aptos Narrow"/>
      <family val="2"/>
    </font>
    <font>
      <b/>
      <sz val="14"/>
      <color rgb="FF000000"/>
      <name val="Aptos Narrow"/>
    </font>
    <font>
      <b/>
      <sz val="14"/>
      <color rgb="FFFF0000"/>
      <name val="Aptos Narrow"/>
    </font>
    <font>
      <b/>
      <sz val="16"/>
      <color rgb="FF339966"/>
      <name val="Aptos Narrow"/>
    </font>
    <font>
      <b/>
      <sz val="9"/>
      <color theme="1"/>
      <name val="Aptos Narrow"/>
      <scheme val="minor"/>
    </font>
    <font>
      <b/>
      <sz val="9"/>
      <name val="Aptos Narrow"/>
      <scheme val="minor"/>
    </font>
    <font>
      <b/>
      <sz val="14"/>
      <color theme="1"/>
      <name val="Calibri"/>
      <family val="2"/>
    </font>
    <font>
      <sz val="14"/>
      <color theme="1"/>
      <name val="Calibri"/>
      <family val="2"/>
    </font>
    <font>
      <sz val="10"/>
      <color theme="1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theme="9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0.89999084444715716"/>
        <bgColor theme="9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theme="9"/>
      </patternFill>
    </fill>
    <fill>
      <patternFill patternType="solid">
        <fgColor rgb="FFF7CAA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theme="4" tint="0.79998168889431442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theme="4" tint="0.79998168889431442"/>
      </patternFill>
    </fill>
  </fills>
  <borders count="3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theme="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ck">
        <color theme="8" tint="-0.24994659260841701"/>
      </left>
      <right/>
      <top/>
      <bottom/>
      <diagonal/>
    </border>
    <border>
      <left style="slantDashDot">
        <color rgb="FFC00000"/>
      </left>
      <right/>
      <top style="slantDashDot">
        <color rgb="FFC00000"/>
      </top>
      <bottom style="slantDashDot">
        <color rgb="FFC00000"/>
      </bottom>
      <diagonal/>
    </border>
    <border>
      <left/>
      <right/>
      <top style="slantDashDot">
        <color rgb="FFC00000"/>
      </top>
      <bottom style="slantDashDot">
        <color rgb="FFC00000"/>
      </bottom>
      <diagonal/>
    </border>
    <border>
      <left/>
      <right style="slantDashDot">
        <color rgb="FFC00000"/>
      </right>
      <top style="slantDashDot">
        <color rgb="FFC00000"/>
      </top>
      <bottom style="slantDashDot">
        <color rgb="FFC00000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0" fontId="15" fillId="2" borderId="0" applyNumberFormat="0" applyBorder="0" applyAlignment="0" applyProtection="0"/>
    <xf numFmtId="43" fontId="56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</cellStyleXfs>
  <cellXfs count="593">
    <xf numFmtId="0" fontId="0" fillId="0" borderId="0" xfId="0"/>
    <xf numFmtId="0" fontId="18" fillId="0" borderId="0" xfId="0" applyFont="1"/>
    <xf numFmtId="0" fontId="21" fillId="0" borderId="0" xfId="0" applyFont="1" applyAlignment="1">
      <alignment horizontal="center" vertical="top" wrapText="1"/>
    </xf>
    <xf numFmtId="0" fontId="21" fillId="0" borderId="0" xfId="0" applyFont="1"/>
    <xf numFmtId="0" fontId="21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vertical="center"/>
    </xf>
    <xf numFmtId="0" fontId="21" fillId="0" borderId="1" xfId="0" applyFont="1" applyBorder="1" applyAlignment="1">
      <alignment horizontal="left" vertical="center"/>
    </xf>
    <xf numFmtId="0" fontId="21" fillId="0" borderId="1" xfId="0" applyFont="1" applyBorder="1"/>
    <xf numFmtId="0" fontId="0" fillId="0" borderId="1" xfId="0" applyBorder="1"/>
    <xf numFmtId="0" fontId="17" fillId="4" borderId="4" xfId="0" applyFont="1" applyFill="1" applyBorder="1" applyAlignment="1">
      <alignment horizontal="center" vertical="top"/>
    </xf>
    <xf numFmtId="0" fontId="0" fillId="5" borderId="4" xfId="0" applyFill="1" applyBorder="1" applyAlignment="1">
      <alignment horizontal="center"/>
    </xf>
    <xf numFmtId="0" fontId="21" fillId="0" borderId="5" xfId="0" applyFont="1" applyBorder="1"/>
    <xf numFmtId="0" fontId="0" fillId="0" borderId="5" xfId="0" applyBorder="1"/>
    <xf numFmtId="0" fontId="0" fillId="5" borderId="6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21" fillId="0" borderId="11" xfId="0" applyFont="1" applyBorder="1"/>
    <xf numFmtId="0" fontId="21" fillId="0" borderId="11" xfId="0" applyFont="1" applyBorder="1" applyAlignment="1">
      <alignment horizontal="center" vertical="center"/>
    </xf>
    <xf numFmtId="0" fontId="21" fillId="0" borderId="11" xfId="0" applyFont="1" applyBorder="1" applyAlignment="1">
      <alignment horizontal="left" vertical="center"/>
    </xf>
    <xf numFmtId="0" fontId="0" fillId="0" borderId="11" xfId="0" applyBorder="1"/>
    <xf numFmtId="0" fontId="0" fillId="0" borderId="12" xfId="0" applyBorder="1"/>
    <xf numFmtId="0" fontId="23" fillId="9" borderId="8" xfId="0" applyFont="1" applyFill="1" applyBorder="1" applyAlignment="1">
      <alignment horizontal="center" vertical="top" wrapText="1"/>
    </xf>
    <xf numFmtId="0" fontId="23" fillId="4" borderId="7" xfId="0" applyFont="1" applyFill="1" applyBorder="1" applyAlignment="1">
      <alignment horizontal="center" vertical="top" wrapText="1"/>
    </xf>
    <xf numFmtId="0" fontId="23" fillId="3" borderId="8" xfId="0" applyFont="1" applyFill="1" applyBorder="1" applyAlignment="1">
      <alignment horizontal="center" vertical="top" wrapText="1"/>
    </xf>
    <xf numFmtId="165" fontId="24" fillId="8" borderId="8" xfId="0" applyNumberFormat="1" applyFont="1" applyFill="1" applyBorder="1" applyAlignment="1">
      <alignment horizontal="center" vertical="top" wrapText="1"/>
    </xf>
    <xf numFmtId="164" fontId="24" fillId="8" borderId="8" xfId="0" applyNumberFormat="1" applyFont="1" applyFill="1" applyBorder="1" applyAlignment="1">
      <alignment horizontal="center" vertical="top" wrapText="1"/>
    </xf>
    <xf numFmtId="0" fontId="25" fillId="0" borderId="0" xfId="0" applyFont="1" applyAlignment="1">
      <alignment vertical="top" wrapText="1"/>
    </xf>
    <xf numFmtId="0" fontId="16" fillId="0" borderId="0" xfId="0" applyFont="1"/>
    <xf numFmtId="0" fontId="19" fillId="6" borderId="7" xfId="1" applyFont="1" applyFill="1" applyBorder="1" applyAlignment="1">
      <alignment horizontal="center" vertical="top" wrapText="1"/>
    </xf>
    <xf numFmtId="0" fontId="0" fillId="0" borderId="8" xfId="0" applyBorder="1"/>
    <xf numFmtId="164" fontId="24" fillId="5" borderId="8" xfId="0" applyNumberFormat="1" applyFont="1" applyFill="1" applyBorder="1" applyAlignment="1">
      <alignment horizontal="center" vertical="top" wrapText="1"/>
    </xf>
    <xf numFmtId="164" fontId="24" fillId="10" borderId="8" xfId="0" applyNumberFormat="1" applyFont="1" applyFill="1" applyBorder="1" applyAlignment="1">
      <alignment horizontal="center" vertical="top" wrapText="1"/>
    </xf>
    <xf numFmtId="0" fontId="19" fillId="6" borderId="8" xfId="1" applyFont="1" applyFill="1" applyBorder="1" applyAlignment="1">
      <alignment horizontal="center" vertical="top" wrapText="1"/>
    </xf>
    <xf numFmtId="0" fontId="27" fillId="0" borderId="0" xfId="0" applyFont="1"/>
    <xf numFmtId="0" fontId="0" fillId="0" borderId="0" xfId="0" applyAlignment="1">
      <alignment horizontal="center" vertical="top" wrapText="1"/>
    </xf>
    <xf numFmtId="0" fontId="25" fillId="11" borderId="0" xfId="0" applyFont="1" applyFill="1" applyAlignment="1">
      <alignment horizontal="center" vertical="top" wrapText="1"/>
    </xf>
    <xf numFmtId="1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26" fillId="3" borderId="1" xfId="0" applyFont="1" applyFill="1" applyBorder="1" applyAlignment="1">
      <alignment horizontal="left" vertical="center" wrapText="1"/>
    </xf>
    <xf numFmtId="0" fontId="26" fillId="3" borderId="1" xfId="0" applyFont="1" applyFill="1" applyBorder="1" applyAlignment="1">
      <alignment horizontal="left" vertical="center"/>
    </xf>
    <xf numFmtId="167" fontId="25" fillId="11" borderId="0" xfId="0" applyNumberFormat="1" applyFont="1" applyFill="1" applyAlignment="1">
      <alignment horizontal="center" vertical="top" wrapText="1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22" fillId="0" borderId="14" xfId="0" applyFont="1" applyBorder="1"/>
    <xf numFmtId="0" fontId="22" fillId="0" borderId="15" xfId="0" applyFont="1" applyBorder="1"/>
    <xf numFmtId="0" fontId="0" fillId="0" borderId="15" xfId="0" applyBorder="1"/>
    <xf numFmtId="0" fontId="29" fillId="0" borderId="15" xfId="0" applyFont="1" applyBorder="1"/>
    <xf numFmtId="0" fontId="0" fillId="0" borderId="16" xfId="0" applyBorder="1"/>
    <xf numFmtId="0" fontId="22" fillId="12" borderId="8" xfId="0" applyFont="1" applyFill="1" applyBorder="1" applyAlignment="1">
      <alignment vertical="center"/>
    </xf>
    <xf numFmtId="0" fontId="22" fillId="12" borderId="20" xfId="0" applyFont="1" applyFill="1" applyBorder="1" applyAlignment="1">
      <alignment vertical="center"/>
    </xf>
    <xf numFmtId="0" fontId="30" fillId="0" borderId="0" xfId="0" applyFont="1"/>
    <xf numFmtId="0" fontId="0" fillId="0" borderId="0" xfId="0" applyAlignment="1">
      <alignment horizontal="left" vertical="center"/>
    </xf>
    <xf numFmtId="0" fontId="31" fillId="0" borderId="0" xfId="0" applyFont="1"/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0" fillId="0" borderId="21" xfId="0" applyBorder="1"/>
    <xf numFmtId="0" fontId="0" fillId="0" borderId="21" xfId="0" applyBorder="1" applyAlignment="1">
      <alignment horizontal="left" vertical="center"/>
    </xf>
    <xf numFmtId="0" fontId="33" fillId="0" borderId="0" xfId="0" applyFont="1"/>
    <xf numFmtId="0" fontId="34" fillId="0" borderId="0" xfId="0" applyFont="1"/>
    <xf numFmtId="0" fontId="26" fillId="13" borderId="1" xfId="0" applyFont="1" applyFill="1" applyBorder="1" applyAlignment="1">
      <alignment horizontal="left" vertical="center"/>
    </xf>
    <xf numFmtId="0" fontId="0" fillId="13" borderId="0" xfId="0" applyFill="1" applyAlignment="1">
      <alignment horizontal="left" vertical="center" wrapText="1"/>
    </xf>
    <xf numFmtId="0" fontId="35" fillId="14" borderId="1" xfId="1" applyFont="1" applyFill="1" applyBorder="1" applyAlignment="1">
      <alignment horizontal="left" vertical="center" wrapText="1"/>
    </xf>
    <xf numFmtId="0" fontId="36" fillId="15" borderId="1" xfId="0" applyFont="1" applyFill="1" applyBorder="1" applyAlignment="1">
      <alignment horizontal="left" vertical="center" wrapText="1"/>
    </xf>
    <xf numFmtId="0" fontId="32" fillId="14" borderId="1" xfId="0" applyFont="1" applyFill="1" applyBorder="1" applyAlignment="1">
      <alignment horizontal="left" vertical="center" wrapText="1"/>
    </xf>
    <xf numFmtId="0" fontId="22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 wrapText="1"/>
    </xf>
    <xf numFmtId="0" fontId="0" fillId="16" borderId="0" xfId="0" applyFill="1"/>
    <xf numFmtId="0" fontId="22" fillId="16" borderId="0" xfId="0" applyFont="1" applyFill="1" applyAlignment="1">
      <alignment horizontal="left" vertical="center"/>
    </xf>
    <xf numFmtId="0" fontId="0" fillId="16" borderId="0" xfId="0" applyFill="1" applyAlignment="1">
      <alignment horizontal="left" vertical="center" wrapText="1"/>
    </xf>
    <xf numFmtId="0" fontId="19" fillId="6" borderId="9" xfId="1" applyFont="1" applyFill="1" applyBorder="1" applyAlignment="1">
      <alignment horizontal="center" vertical="top" wrapText="1"/>
    </xf>
    <xf numFmtId="0" fontId="37" fillId="17" borderId="8" xfId="1" applyFont="1" applyFill="1" applyBorder="1" applyAlignment="1">
      <alignment horizontal="center" vertical="top" wrapText="1"/>
    </xf>
    <xf numFmtId="0" fontId="26" fillId="18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21" fillId="0" borderId="12" xfId="0" applyFont="1" applyBorder="1"/>
    <xf numFmtId="0" fontId="0" fillId="18" borderId="0" xfId="0" applyFill="1" applyAlignment="1">
      <alignment horizontal="left" vertical="center" wrapText="1"/>
    </xf>
    <xf numFmtId="164" fontId="24" fillId="18" borderId="8" xfId="0" applyNumberFormat="1" applyFont="1" applyFill="1" applyBorder="1" applyAlignment="1">
      <alignment horizontal="center" vertical="top" wrapText="1"/>
    </xf>
    <xf numFmtId="0" fontId="41" fillId="0" borderId="0" xfId="0" applyFont="1"/>
    <xf numFmtId="0" fontId="42" fillId="0" borderId="0" xfId="0" applyFont="1"/>
    <xf numFmtId="0" fontId="0" fillId="20" borderId="0" xfId="0" applyFill="1"/>
    <xf numFmtId="0" fontId="23" fillId="21" borderId="1" xfId="0" applyFont="1" applyFill="1" applyBorder="1" applyAlignment="1">
      <alignment horizontal="center" vertical="top"/>
    </xf>
    <xf numFmtId="0" fontId="21" fillId="0" borderId="9" xfId="0" applyFont="1" applyBorder="1"/>
    <xf numFmtId="0" fontId="43" fillId="3" borderId="1" xfId="1" applyFont="1" applyFill="1" applyBorder="1" applyAlignment="1">
      <alignment horizontal="center" vertical="top" wrapText="1"/>
    </xf>
    <xf numFmtId="0" fontId="0" fillId="3" borderId="0" xfId="0" applyFill="1"/>
    <xf numFmtId="0" fontId="44" fillId="16" borderId="0" xfId="0" applyFont="1" applyFill="1"/>
    <xf numFmtId="0" fontId="22" fillId="0" borderId="0" xfId="0" applyFont="1"/>
    <xf numFmtId="0" fontId="21" fillId="0" borderId="0" xfId="0" applyFont="1" applyAlignment="1">
      <alignment horizontal="left" vertical="center"/>
    </xf>
    <xf numFmtId="0" fontId="19" fillId="14" borderId="1" xfId="1" applyFont="1" applyFill="1" applyBorder="1" applyAlignment="1">
      <alignment horizontal="center" vertical="top" wrapText="1"/>
    </xf>
    <xf numFmtId="0" fontId="19" fillId="0" borderId="0" xfId="1" applyFont="1" applyFill="1" applyBorder="1" applyAlignment="1">
      <alignment horizontal="left" vertical="center" wrapText="1"/>
    </xf>
    <xf numFmtId="0" fontId="0" fillId="22" borderId="0" xfId="0" applyFill="1" applyAlignment="1">
      <alignment horizontal="left" vertical="center"/>
    </xf>
    <xf numFmtId="0" fontId="0" fillId="18" borderId="0" xfId="0" applyFill="1" applyAlignment="1">
      <alignment horizontal="left" vertical="center"/>
    </xf>
    <xf numFmtId="15" fontId="0" fillId="22" borderId="0" xfId="0" applyNumberFormat="1" applyFill="1" applyAlignment="1">
      <alignment horizontal="left" vertical="center"/>
    </xf>
    <xf numFmtId="167" fontId="0" fillId="22" borderId="0" xfId="0" applyNumberFormat="1" applyFill="1" applyAlignment="1">
      <alignment horizontal="left" vertical="center"/>
    </xf>
    <xf numFmtId="0" fontId="0" fillId="0" borderId="0" xfId="0" quotePrefix="1"/>
    <xf numFmtId="0" fontId="19" fillId="14" borderId="5" xfId="1" applyFont="1" applyFill="1" applyBorder="1" applyAlignment="1">
      <alignment horizontal="center" vertical="top" wrapText="1"/>
    </xf>
    <xf numFmtId="0" fontId="19" fillId="23" borderId="2" xfId="1" applyFont="1" applyFill="1" applyBorder="1" applyAlignment="1">
      <alignment vertical="center" wrapText="1"/>
    </xf>
    <xf numFmtId="0" fontId="45" fillId="18" borderId="2" xfId="1" applyFont="1" applyFill="1" applyBorder="1" applyAlignment="1">
      <alignment vertical="center" wrapText="1"/>
    </xf>
    <xf numFmtId="0" fontId="0" fillId="0" borderId="1" xfId="0" quotePrefix="1" applyBorder="1" applyAlignment="1">
      <alignment horizontal="center" vertical="center" wrapText="1"/>
    </xf>
    <xf numFmtId="0" fontId="0" fillId="0" borderId="1" xfId="0" quotePrefix="1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0" xfId="0" applyAlignment="1">
      <alignment vertical="center"/>
    </xf>
    <xf numFmtId="0" fontId="27" fillId="22" borderId="0" xfId="0" applyFont="1" applyFill="1" applyAlignment="1">
      <alignment horizontal="left" vertical="center"/>
    </xf>
    <xf numFmtId="0" fontId="38" fillId="19" borderId="0" xfId="0" applyFont="1" applyFill="1" applyAlignment="1">
      <alignment horizontal="center" vertical="center"/>
    </xf>
    <xf numFmtId="0" fontId="14" fillId="0" borderId="5" xfId="0" applyFont="1" applyBorder="1"/>
    <xf numFmtId="0" fontId="48" fillId="0" borderId="0" xfId="0" applyFont="1"/>
    <xf numFmtId="0" fontId="0" fillId="0" borderId="31" xfId="0" applyBorder="1"/>
    <xf numFmtId="0" fontId="13" fillId="0" borderId="1" xfId="0" applyFont="1" applyBorder="1"/>
    <xf numFmtId="0" fontId="13" fillId="0" borderId="1" xfId="0" applyFont="1" applyBorder="1" applyAlignment="1">
      <alignment horizontal="left" vertical="center"/>
    </xf>
    <xf numFmtId="165" fontId="24" fillId="4" borderId="8" xfId="0" applyNumberFormat="1" applyFont="1" applyFill="1" applyBorder="1" applyAlignment="1">
      <alignment horizontal="center" vertical="top" wrapText="1"/>
    </xf>
    <xf numFmtId="165" fontId="24" fillId="4" borderId="9" xfId="0" applyNumberFormat="1" applyFont="1" applyFill="1" applyBorder="1" applyAlignment="1">
      <alignment horizontal="center" vertical="top" wrapText="1"/>
    </xf>
    <xf numFmtId="0" fontId="0" fillId="0" borderId="3" xfId="0" applyBorder="1"/>
    <xf numFmtId="0" fontId="22" fillId="0" borderId="1" xfId="0" applyFont="1" applyBorder="1" applyAlignment="1">
      <alignment horizontal="center"/>
    </xf>
    <xf numFmtId="0" fontId="22" fillId="0" borderId="1" xfId="0" quotePrefix="1" applyFont="1" applyBorder="1" applyAlignment="1">
      <alignment wrapText="1"/>
    </xf>
    <xf numFmtId="0" fontId="30" fillId="11" borderId="0" xfId="0" applyFont="1" applyFill="1" applyAlignment="1">
      <alignment wrapText="1"/>
    </xf>
    <xf numFmtId="168" fontId="30" fillId="11" borderId="0" xfId="0" applyNumberFormat="1" applyFont="1" applyFill="1"/>
    <xf numFmtId="0" fontId="30" fillId="14" borderId="0" xfId="0" applyFont="1" applyFill="1"/>
    <xf numFmtId="168" fontId="30" fillId="14" borderId="0" xfId="0" quotePrefix="1" applyNumberFormat="1" applyFont="1" applyFill="1"/>
    <xf numFmtId="14" fontId="0" fillId="0" borderId="0" xfId="0" applyNumberFormat="1"/>
    <xf numFmtId="1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/>
    </xf>
    <xf numFmtId="0" fontId="0" fillId="0" borderId="0" xfId="0" applyAlignment="1">
      <alignment horizontal="left"/>
    </xf>
    <xf numFmtId="0" fontId="49" fillId="3" borderId="1" xfId="1" applyFont="1" applyFill="1" applyBorder="1" applyAlignment="1">
      <alignment horizontal="center" vertical="top" wrapText="1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pivotButton="1" applyAlignment="1">
      <alignment horizontal="center"/>
    </xf>
    <xf numFmtId="0" fontId="11" fillId="0" borderId="1" xfId="0" applyFont="1" applyBorder="1" applyAlignment="1">
      <alignment horizontal="left" vertical="center"/>
    </xf>
    <xf numFmtId="20" fontId="26" fillId="18" borderId="1" xfId="0" applyNumberFormat="1" applyFont="1" applyFill="1" applyBorder="1" applyAlignment="1">
      <alignment horizontal="left" vertical="center"/>
    </xf>
    <xf numFmtId="0" fontId="10" fillId="0" borderId="1" xfId="0" applyFont="1" applyBorder="1" applyAlignment="1">
      <alignment horizontal="left" vertical="center"/>
    </xf>
    <xf numFmtId="168" fontId="0" fillId="0" borderId="0" xfId="0" applyNumberFormat="1"/>
    <xf numFmtId="0" fontId="0" fillId="0" borderId="0" xfId="0" applyAlignment="1">
      <alignment vertical="top"/>
    </xf>
    <xf numFmtId="0" fontId="22" fillId="0" borderId="0" xfId="0" applyFont="1" applyAlignment="1">
      <alignment horizontal="center" vertical="top"/>
    </xf>
    <xf numFmtId="0" fontId="0" fillId="0" borderId="0" xfId="0" applyAlignment="1">
      <alignment wrapText="1"/>
    </xf>
    <xf numFmtId="0" fontId="22" fillId="0" borderId="0" xfId="0" applyFont="1" applyAlignment="1">
      <alignment horizontal="center" vertical="top" wrapText="1"/>
    </xf>
    <xf numFmtId="0" fontId="9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9" fillId="0" borderId="1" xfId="0" applyFont="1" applyBorder="1" applyAlignment="1">
      <alignment vertical="center"/>
    </xf>
    <xf numFmtId="0" fontId="52" fillId="0" borderId="1" xfId="0" applyFont="1" applyBorder="1" applyAlignment="1">
      <alignment wrapText="1"/>
    </xf>
    <xf numFmtId="0" fontId="22" fillId="0" borderId="0" xfId="0" applyFont="1" applyAlignment="1">
      <alignment wrapText="1"/>
    </xf>
    <xf numFmtId="0" fontId="22" fillId="0" borderId="0" xfId="0" applyFont="1" applyAlignment="1">
      <alignment horizontal="center" wrapText="1"/>
    </xf>
    <xf numFmtId="0" fontId="50" fillId="7" borderId="8" xfId="0" applyFont="1" applyFill="1" applyBorder="1" applyAlignment="1">
      <alignment horizontal="center" vertical="top" wrapText="1"/>
    </xf>
    <xf numFmtId="0" fontId="50" fillId="24" borderId="8" xfId="0" applyFont="1" applyFill="1" applyBorder="1" applyAlignment="1">
      <alignment horizontal="center" vertical="top" wrapText="1"/>
    </xf>
    <xf numFmtId="0" fontId="0" fillId="23" borderId="1" xfId="0" applyFill="1" applyBorder="1" applyAlignment="1">
      <alignment horizontal="left" vertical="center"/>
    </xf>
    <xf numFmtId="0" fontId="22" fillId="0" borderId="5" xfId="0" applyFont="1" applyBorder="1"/>
    <xf numFmtId="0" fontId="0" fillId="0" borderId="18" xfId="0" applyBorder="1"/>
    <xf numFmtId="0" fontId="0" fillId="0" borderId="6" xfId="0" applyBorder="1"/>
    <xf numFmtId="0" fontId="22" fillId="0" borderId="0" xfId="0" applyFont="1" applyAlignment="1">
      <alignment horizontal="left"/>
    </xf>
    <xf numFmtId="0" fontId="54" fillId="0" borderId="0" xfId="0" applyFont="1"/>
    <xf numFmtId="0" fontId="0" fillId="22" borderId="0" xfId="0" applyFill="1"/>
    <xf numFmtId="168" fontId="0" fillId="22" borderId="0" xfId="0" applyNumberFormat="1" applyFill="1"/>
    <xf numFmtId="0" fontId="0" fillId="18" borderId="0" xfId="0" applyFill="1" applyAlignment="1">
      <alignment horizontal="center" vertical="top" wrapText="1"/>
    </xf>
    <xf numFmtId="0" fontId="0" fillId="22" borderId="4" xfId="0" applyFill="1" applyBorder="1" applyAlignment="1">
      <alignment horizontal="center"/>
    </xf>
    <xf numFmtId="0" fontId="0" fillId="22" borderId="13" xfId="0" applyFill="1" applyBorder="1" applyAlignment="1">
      <alignment horizontal="center"/>
    </xf>
    <xf numFmtId="0" fontId="23" fillId="27" borderId="0" xfId="0" applyFont="1" applyFill="1" applyAlignment="1">
      <alignment horizontal="center" vertical="top" wrapText="1"/>
    </xf>
    <xf numFmtId="0" fontId="23" fillId="27" borderId="4" xfId="0" applyFont="1" applyFill="1" applyBorder="1" applyAlignment="1">
      <alignment horizontal="center" vertical="top" wrapText="1"/>
    </xf>
    <xf numFmtId="0" fontId="22" fillId="28" borderId="0" xfId="0" applyFont="1" applyFill="1" applyAlignment="1">
      <alignment horizontal="center" vertical="top" wrapText="1"/>
    </xf>
    <xf numFmtId="0" fontId="51" fillId="0" borderId="0" xfId="0" applyFont="1" applyAlignment="1">
      <alignment horizontal="center" vertical="top" wrapText="1"/>
    </xf>
    <xf numFmtId="0" fontId="22" fillId="18" borderId="0" xfId="0" applyFont="1" applyFill="1" applyAlignment="1">
      <alignment horizontal="center" vertical="top" wrapText="1"/>
    </xf>
    <xf numFmtId="0" fontId="25" fillId="0" borderId="0" xfId="0" applyFont="1"/>
    <xf numFmtId="15" fontId="26" fillId="18" borderId="1" xfId="0" applyNumberFormat="1" applyFont="1" applyFill="1" applyBorder="1" applyAlignment="1">
      <alignment horizontal="left" vertical="center"/>
    </xf>
    <xf numFmtId="167" fontId="26" fillId="18" borderId="1" xfId="0" applyNumberFormat="1" applyFont="1" applyFill="1" applyBorder="1" applyAlignment="1">
      <alignment horizontal="left" vertical="center"/>
    </xf>
    <xf numFmtId="168" fontId="0" fillId="3" borderId="0" xfId="0" applyNumberFormat="1" applyFill="1"/>
    <xf numFmtId="0" fontId="52" fillId="0" borderId="0" xfId="0" pivotButton="1" applyFont="1" applyAlignment="1">
      <alignment horizontal="center" vertical="top" wrapText="1"/>
    </xf>
    <xf numFmtId="0" fontId="52" fillId="0" borderId="0" xfId="0" applyFont="1" applyAlignment="1">
      <alignment horizontal="center" vertical="top" wrapText="1"/>
    </xf>
    <xf numFmtId="0" fontId="25" fillId="3" borderId="0" xfId="0" applyFont="1" applyFill="1"/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8" fillId="0" borderId="1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14" fontId="25" fillId="11" borderId="0" xfId="0" applyNumberFormat="1" applyFont="1" applyFill="1" applyAlignment="1">
      <alignment horizontal="center" vertical="top" wrapText="1"/>
    </xf>
    <xf numFmtId="0" fontId="0" fillId="0" borderId="0" xfId="0" applyBorder="1"/>
    <xf numFmtId="168" fontId="0" fillId="0" borderId="0" xfId="0" applyNumberFormat="1" applyBorder="1"/>
    <xf numFmtId="0" fontId="0" fillId="0" borderId="0" xfId="0" applyNumberFormat="1"/>
    <xf numFmtId="0" fontId="7" fillId="0" borderId="1" xfId="0" applyFont="1" applyBorder="1"/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0" fillId="0" borderId="1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6" fillId="29" borderId="1" xfId="0" applyFont="1" applyFill="1" applyBorder="1"/>
    <xf numFmtId="0" fontId="6" fillId="29" borderId="1" xfId="0" applyFont="1" applyFill="1" applyBorder="1" applyAlignment="1"/>
    <xf numFmtId="0" fontId="6" fillId="0" borderId="35" xfId="0" applyFont="1" applyBorder="1" applyAlignment="1"/>
    <xf numFmtId="0" fontId="6" fillId="0" borderId="1" xfId="0" applyFont="1" applyBorder="1"/>
    <xf numFmtId="0" fontId="26" fillId="18" borderId="1" xfId="0" quotePrefix="1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23" fillId="3" borderId="1" xfId="0" applyFont="1" applyFill="1" applyBorder="1" applyAlignment="1">
      <alignment horizontal="center" vertical="top" wrapText="1"/>
    </xf>
    <xf numFmtId="0" fontId="5" fillId="29" borderId="1" xfId="0" applyFont="1" applyFill="1" applyBorder="1" applyAlignment="1">
      <alignment horizontal="center" vertical="center"/>
    </xf>
    <xf numFmtId="0" fontId="5" fillId="29" borderId="1" xfId="0" applyFont="1" applyFill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29" borderId="1" xfId="0" applyFont="1" applyFill="1" applyBorder="1" applyAlignment="1">
      <alignment horizontal="left" vertical="center"/>
    </xf>
    <xf numFmtId="0" fontId="5" fillId="0" borderId="35" xfId="0" applyFont="1" applyBorder="1" applyAlignment="1">
      <alignment horizontal="center" vertical="center"/>
    </xf>
    <xf numFmtId="0" fontId="5" fillId="29" borderId="35" xfId="0" applyFont="1" applyFill="1" applyBorder="1" applyAlignment="1">
      <alignment horizontal="center" vertical="center"/>
    </xf>
    <xf numFmtId="0" fontId="0" fillId="29" borderId="0" xfId="0" applyFont="1" applyFill="1" applyBorder="1"/>
    <xf numFmtId="0" fontId="0" fillId="0" borderId="34" xfId="0" applyBorder="1"/>
    <xf numFmtId="14" fontId="21" fillId="0" borderId="0" xfId="0" applyNumberFormat="1" applyFont="1"/>
    <xf numFmtId="14" fontId="19" fillId="6" borderId="8" xfId="1" applyNumberFormat="1" applyFont="1" applyFill="1" applyBorder="1" applyAlignment="1">
      <alignment horizontal="center" vertical="top" wrapText="1"/>
    </xf>
    <xf numFmtId="0" fontId="0" fillId="3" borderId="0" xfId="0" applyFill="1" applyBorder="1"/>
    <xf numFmtId="0" fontId="0" fillId="0" borderId="36" xfId="0" applyBorder="1"/>
    <xf numFmtId="0" fontId="57" fillId="30" borderId="0" xfId="0" applyFont="1" applyFill="1"/>
    <xf numFmtId="0" fontId="57" fillId="8" borderId="0" xfId="0" applyFont="1" applyFill="1"/>
    <xf numFmtId="0" fontId="21" fillId="3" borderId="0" xfId="0" applyFont="1" applyFill="1"/>
    <xf numFmtId="0" fontId="55" fillId="3" borderId="0" xfId="0" applyFont="1" applyFill="1"/>
    <xf numFmtId="0" fontId="58" fillId="0" borderId="0" xfId="0" applyFont="1"/>
    <xf numFmtId="0" fontId="59" fillId="0" borderId="0" xfId="0" applyFont="1"/>
    <xf numFmtId="0" fontId="59" fillId="3" borderId="0" xfId="0" applyFont="1" applyFill="1"/>
    <xf numFmtId="0" fontId="0" fillId="12" borderId="0" xfId="0" applyFill="1"/>
    <xf numFmtId="169" fontId="0" fillId="0" borderId="0" xfId="2" applyNumberFormat="1" applyFont="1"/>
    <xf numFmtId="170" fontId="0" fillId="0" borderId="0" xfId="2" applyNumberFormat="1" applyFont="1"/>
    <xf numFmtId="170" fontId="0" fillId="0" borderId="0" xfId="0" applyNumberFormat="1"/>
    <xf numFmtId="171" fontId="0" fillId="0" borderId="0" xfId="0" applyNumberFormat="1"/>
    <xf numFmtId="14" fontId="0" fillId="0" borderId="0" xfId="0" pivotButton="1" applyNumberFormat="1"/>
    <xf numFmtId="0" fontId="0" fillId="0" borderId="0" xfId="0" applyFill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0" fontId="60" fillId="6" borderId="7" xfId="1" applyFont="1" applyFill="1" applyBorder="1" applyAlignment="1">
      <alignment horizontal="center" vertical="top" wrapText="1"/>
    </xf>
    <xf numFmtId="0" fontId="60" fillId="6" borderId="8" xfId="1" applyFont="1" applyFill="1" applyBorder="1" applyAlignment="1">
      <alignment horizontal="center" vertical="top" wrapText="1"/>
    </xf>
    <xf numFmtId="0" fontId="61" fillId="17" borderId="8" xfId="1" applyFont="1" applyFill="1" applyBorder="1" applyAlignment="1">
      <alignment horizontal="center" vertical="top" wrapText="1"/>
    </xf>
    <xf numFmtId="0" fontId="60" fillId="6" borderId="9" xfId="1" applyFont="1" applyFill="1" applyBorder="1" applyAlignment="1">
      <alignment horizontal="center" vertical="top" wrapText="1"/>
    </xf>
    <xf numFmtId="0" fontId="62" fillId="5" borderId="1" xfId="0" applyFont="1" applyFill="1" applyBorder="1" applyAlignment="1">
      <alignment horizontal="center"/>
    </xf>
    <xf numFmtId="0" fontId="62" fillId="0" borderId="1" xfId="0" applyFont="1" applyBorder="1"/>
    <xf numFmtId="15" fontId="62" fillId="0" borderId="1" xfId="0" applyNumberFormat="1" applyFont="1" applyBorder="1"/>
    <xf numFmtId="167" fontId="62" fillId="0" borderId="1" xfId="0" applyNumberFormat="1" applyFont="1" applyBorder="1"/>
    <xf numFmtId="0" fontId="62" fillId="0" borderId="1" xfId="0" applyFont="1" applyBorder="1" applyAlignment="1">
      <alignment horizontal="left" vertical="center"/>
    </xf>
    <xf numFmtId="0" fontId="62" fillId="0" borderId="1" xfId="0" applyFont="1" applyBorder="1" applyAlignment="1">
      <alignment horizontal="center" vertical="center"/>
    </xf>
    <xf numFmtId="0" fontId="62" fillId="0" borderId="8" xfId="0" applyFont="1" applyFill="1" applyBorder="1" applyAlignment="1"/>
    <xf numFmtId="0" fontId="62" fillId="0" borderId="1" xfId="0" applyFont="1" applyFill="1" applyBorder="1" applyAlignment="1"/>
    <xf numFmtId="0" fontId="62" fillId="3" borderId="1" xfId="0" applyNumberFormat="1" applyFont="1" applyFill="1" applyBorder="1" applyAlignment="1">
      <alignment horizontal="center"/>
    </xf>
    <xf numFmtId="0" fontId="62" fillId="3" borderId="1" xfId="0" applyFont="1" applyFill="1" applyBorder="1"/>
    <xf numFmtId="0" fontId="62" fillId="3" borderId="1" xfId="0" applyFont="1" applyFill="1" applyBorder="1" applyAlignment="1"/>
    <xf numFmtId="15" fontId="62" fillId="3" borderId="1" xfId="0" applyNumberFormat="1" applyFont="1" applyFill="1" applyBorder="1" applyAlignment="1"/>
    <xf numFmtId="167" fontId="62" fillId="3" borderId="1" xfId="0" applyNumberFormat="1" applyFont="1" applyFill="1" applyBorder="1" applyAlignment="1"/>
    <xf numFmtId="0" fontId="62" fillId="3" borderId="1" xfId="0" applyFont="1" applyFill="1" applyBorder="1" applyAlignment="1">
      <alignment horizontal="left" vertical="center"/>
    </xf>
    <xf numFmtId="0" fontId="62" fillId="3" borderId="1" xfId="0" applyFont="1" applyFill="1" applyBorder="1" applyAlignment="1">
      <alignment horizontal="center" vertical="center"/>
    </xf>
    <xf numFmtId="0" fontId="62" fillId="30" borderId="1" xfId="0" applyFont="1" applyFill="1" applyBorder="1"/>
    <xf numFmtId="0" fontId="62" fillId="30" borderId="1" xfId="0" applyFont="1" applyFill="1" applyBorder="1" applyAlignment="1"/>
    <xf numFmtId="0" fontId="62" fillId="5" borderId="1" xfId="0" applyNumberFormat="1" applyFont="1" applyFill="1" applyBorder="1" applyAlignment="1">
      <alignment horizontal="center"/>
    </xf>
    <xf numFmtId="0" fontId="62" fillId="0" borderId="1" xfId="0" applyNumberFormat="1" applyFont="1" applyFill="1" applyBorder="1" applyAlignment="1"/>
    <xf numFmtId="15" fontId="62" fillId="0" borderId="1" xfId="0" applyNumberFormat="1" applyFont="1" applyFill="1" applyBorder="1" applyAlignment="1"/>
    <xf numFmtId="167" fontId="62" fillId="0" borderId="1" xfId="0" applyNumberFormat="1" applyFont="1" applyFill="1" applyBorder="1" applyAlignment="1"/>
    <xf numFmtId="0" fontId="62" fillId="0" borderId="1" xfId="0" applyFont="1" applyFill="1" applyBorder="1" applyAlignment="1">
      <alignment horizontal="left" vertical="center"/>
    </xf>
    <xf numFmtId="0" fontId="62" fillId="0" borderId="1" xfId="0" applyFont="1" applyFill="1" applyBorder="1" applyAlignment="1">
      <alignment horizontal="center" vertical="center"/>
    </xf>
    <xf numFmtId="0" fontId="62" fillId="30" borderId="1" xfId="0" applyNumberFormat="1" applyFont="1" applyFill="1" applyBorder="1" applyAlignment="1"/>
    <xf numFmtId="0" fontId="62" fillId="3" borderId="1" xfId="0" applyFont="1" applyFill="1" applyBorder="1" applyAlignment="1">
      <alignment horizontal="center"/>
    </xf>
    <xf numFmtId="15" fontId="62" fillId="3" borderId="1" xfId="0" applyNumberFormat="1" applyFont="1" applyFill="1" applyBorder="1"/>
    <xf numFmtId="167" fontId="62" fillId="3" borderId="1" xfId="0" applyNumberFormat="1" applyFont="1" applyFill="1" applyBorder="1"/>
    <xf numFmtId="0" fontId="63" fillId="0" borderId="1" xfId="0" applyFont="1" applyBorder="1" applyAlignment="1">
      <alignment horizontal="left" vertical="center"/>
    </xf>
    <xf numFmtId="0" fontId="62" fillId="29" borderId="1" xfId="0" applyFont="1" applyFill="1" applyBorder="1"/>
    <xf numFmtId="0" fontId="62" fillId="0" borderId="11" xfId="0" applyFont="1" applyBorder="1"/>
    <xf numFmtId="0" fontId="62" fillId="0" borderId="11" xfId="0" applyFont="1" applyFill="1" applyBorder="1" applyAlignment="1"/>
    <xf numFmtId="167" fontId="62" fillId="0" borderId="11" xfId="0" applyNumberFormat="1" applyFont="1" applyFill="1" applyBorder="1" applyAlignment="1"/>
    <xf numFmtId="0" fontId="62" fillId="0" borderId="11" xfId="0" applyFont="1" applyFill="1" applyBorder="1" applyAlignment="1">
      <alignment horizontal="left" vertical="center"/>
    </xf>
    <xf numFmtId="0" fontId="62" fillId="12" borderId="32" xfId="0" applyFont="1" applyFill="1" applyBorder="1" applyAlignment="1">
      <alignment horizontal="center"/>
    </xf>
    <xf numFmtId="0" fontId="62" fillId="31" borderId="6" xfId="0" applyFont="1" applyFill="1" applyBorder="1"/>
    <xf numFmtId="0" fontId="62" fillId="12" borderId="1" xfId="0" applyFont="1" applyFill="1" applyBorder="1"/>
    <xf numFmtId="14" fontId="62" fillId="12" borderId="1" xfId="0" applyNumberFormat="1" applyFont="1" applyFill="1" applyBorder="1"/>
    <xf numFmtId="167" fontId="62" fillId="12" borderId="1" xfId="0" applyNumberFormat="1" applyFont="1" applyFill="1" applyBorder="1" applyAlignment="1"/>
    <xf numFmtId="0" fontId="62" fillId="12" borderId="5" xfId="0" applyFont="1" applyFill="1" applyBorder="1"/>
    <xf numFmtId="0" fontId="62" fillId="12" borderId="12" xfId="0" applyFont="1" applyFill="1" applyBorder="1"/>
    <xf numFmtId="0" fontId="62" fillId="0" borderId="32" xfId="0" applyFont="1" applyFill="1" applyBorder="1" applyAlignment="1">
      <alignment horizontal="center"/>
    </xf>
    <xf numFmtId="0" fontId="62" fillId="0" borderId="6" xfId="0" applyFont="1" applyFill="1" applyBorder="1"/>
    <xf numFmtId="0" fontId="62" fillId="0" borderId="1" xfId="0" applyFont="1" applyFill="1" applyBorder="1"/>
    <xf numFmtId="14" fontId="62" fillId="0" borderId="1" xfId="0" applyNumberFormat="1" applyFont="1" applyFill="1" applyBorder="1"/>
    <xf numFmtId="167" fontId="62" fillId="0" borderId="1" xfId="0" applyNumberFormat="1" applyFont="1" applyFill="1" applyBorder="1"/>
    <xf numFmtId="0" fontId="62" fillId="0" borderId="5" xfId="0" applyFont="1" applyFill="1" applyBorder="1"/>
    <xf numFmtId="0" fontId="62" fillId="0" borderId="12" xfId="0" applyFont="1" applyFill="1" applyBorder="1"/>
    <xf numFmtId="0" fontId="62" fillId="0" borderId="31" xfId="0" applyFont="1" applyFill="1" applyBorder="1"/>
    <xf numFmtId="0" fontId="62" fillId="12" borderId="32" xfId="0" applyNumberFormat="1" applyFont="1" applyFill="1" applyBorder="1" applyAlignment="1">
      <alignment horizontal="center"/>
    </xf>
    <xf numFmtId="0" fontId="62" fillId="31" borderId="6" xfId="0" applyNumberFormat="1" applyFont="1" applyFill="1" applyBorder="1"/>
    <xf numFmtId="0" fontId="62" fillId="12" borderId="1" xfId="0" applyFont="1" applyFill="1" applyBorder="1" applyAlignment="1"/>
    <xf numFmtId="14" fontId="62" fillId="12" borderId="1" xfId="0" applyNumberFormat="1" applyFont="1" applyFill="1" applyBorder="1" applyAlignment="1"/>
    <xf numFmtId="0" fontId="62" fillId="12" borderId="31" xfId="0" applyFont="1" applyFill="1" applyBorder="1"/>
    <xf numFmtId="0" fontId="62" fillId="12" borderId="1" xfId="0" applyNumberFormat="1" applyFont="1" applyFill="1" applyBorder="1"/>
    <xf numFmtId="0" fontId="62" fillId="0" borderId="32" xfId="0" applyNumberFormat="1" applyFont="1" applyFill="1" applyBorder="1" applyAlignment="1">
      <alignment horizontal="center"/>
    </xf>
    <xf numFmtId="0" fontId="62" fillId="0" borderId="6" xfId="0" applyNumberFormat="1" applyFont="1" applyFill="1" applyBorder="1"/>
    <xf numFmtId="14" fontId="62" fillId="0" borderId="1" xfId="0" applyNumberFormat="1" applyFont="1" applyFill="1" applyBorder="1" applyAlignment="1"/>
    <xf numFmtId="0" fontId="62" fillId="0" borderId="1" xfId="0" applyNumberFormat="1" applyFont="1" applyFill="1" applyBorder="1"/>
    <xf numFmtId="167" fontId="62" fillId="12" borderId="1" xfId="0" applyNumberFormat="1" applyFont="1" applyFill="1" applyBorder="1"/>
    <xf numFmtId="0" fontId="62" fillId="0" borderId="31" xfId="0" applyFont="1" applyBorder="1"/>
    <xf numFmtId="0" fontId="62" fillId="5" borderId="32" xfId="0" applyNumberFormat="1" applyFont="1" applyFill="1" applyBorder="1" applyAlignment="1">
      <alignment horizontal="center"/>
    </xf>
    <xf numFmtId="0" fontId="62" fillId="32" borderId="6" xfId="0" applyNumberFormat="1" applyFont="1" applyFill="1" applyBorder="1"/>
    <xf numFmtId="14" fontId="62" fillId="0" borderId="1" xfId="0" applyNumberFormat="1" applyFont="1" applyBorder="1"/>
    <xf numFmtId="0" fontId="62" fillId="0" borderId="1" xfId="0" applyNumberFormat="1" applyFont="1" applyBorder="1"/>
    <xf numFmtId="0" fontId="62" fillId="0" borderId="5" xfId="0" applyFont="1" applyBorder="1"/>
    <xf numFmtId="0" fontId="62" fillId="5" borderId="1" xfId="0" applyNumberFormat="1" applyFont="1" applyFill="1" applyBorder="1"/>
    <xf numFmtId="0" fontId="62" fillId="12" borderId="11" xfId="0" applyFont="1" applyFill="1" applyBorder="1"/>
    <xf numFmtId="0" fontId="62" fillId="12" borderId="11" xfId="0" applyFont="1" applyFill="1" applyBorder="1" applyAlignment="1"/>
    <xf numFmtId="14" fontId="62" fillId="12" borderId="11" xfId="0" applyNumberFormat="1" applyFont="1" applyFill="1" applyBorder="1" applyAlignment="1"/>
    <xf numFmtId="167" fontId="62" fillId="12" borderId="11" xfId="0" applyNumberFormat="1" applyFont="1" applyFill="1" applyBorder="1" applyAlignment="1"/>
    <xf numFmtId="0" fontId="62" fillId="12" borderId="11" xfId="0" applyFont="1" applyFill="1" applyBorder="1" applyAlignment="1">
      <alignment horizontal="left" vertical="center"/>
    </xf>
    <xf numFmtId="0" fontId="62" fillId="12" borderId="11" xfId="0" applyNumberFormat="1" applyFont="1" applyFill="1" applyBorder="1"/>
    <xf numFmtId="0" fontId="62" fillId="12" borderId="33" xfId="0" applyNumberFormat="1" applyFont="1" applyFill="1" applyBorder="1" applyAlignment="1">
      <alignment horizontal="center"/>
    </xf>
    <xf numFmtId="0" fontId="62" fillId="0" borderId="11" xfId="0" applyFont="1" applyFill="1" applyBorder="1"/>
    <xf numFmtId="0" fontId="62" fillId="0" borderId="33" xfId="0" applyFont="1" applyFill="1" applyBorder="1" applyAlignment="1">
      <alignment horizontal="center"/>
    </xf>
    <xf numFmtId="0" fontId="62" fillId="0" borderId="10" xfId="0" applyFont="1" applyFill="1" applyBorder="1"/>
    <xf numFmtId="0" fontId="62" fillId="0" borderId="12" xfId="0" applyFont="1" applyBorder="1"/>
    <xf numFmtId="0" fontId="62" fillId="31" borderId="10" xfId="0" applyNumberFormat="1" applyFont="1" applyFill="1" applyBorder="1"/>
    <xf numFmtId="0" fontId="62" fillId="0" borderId="33" xfId="0" applyNumberFormat="1" applyFont="1" applyFill="1" applyBorder="1" applyAlignment="1">
      <alignment horizontal="center"/>
    </xf>
    <xf numFmtId="0" fontId="62" fillId="0" borderId="10" xfId="0" applyNumberFormat="1" applyFont="1" applyFill="1" applyBorder="1"/>
    <xf numFmtId="14" fontId="62" fillId="0" borderId="11" xfId="0" applyNumberFormat="1" applyFont="1" applyFill="1" applyBorder="1"/>
    <xf numFmtId="167" fontId="62" fillId="0" borderId="11" xfId="0" applyNumberFormat="1" applyFont="1" applyFill="1" applyBorder="1"/>
    <xf numFmtId="0" fontId="62" fillId="0" borderId="11" xfId="0" applyNumberFormat="1" applyFont="1" applyFill="1" applyBorder="1"/>
    <xf numFmtId="14" fontId="62" fillId="0" borderId="11" xfId="0" applyNumberFormat="1" applyFont="1" applyFill="1" applyBorder="1" applyAlignment="1"/>
    <xf numFmtId="0" fontId="62" fillId="5" borderId="33" xfId="0" applyNumberFormat="1" applyFont="1" applyFill="1" applyBorder="1" applyAlignment="1">
      <alignment horizontal="center"/>
    </xf>
    <xf numFmtId="0" fontId="62" fillId="32" borderId="10" xfId="0" applyNumberFormat="1" applyFont="1" applyFill="1" applyBorder="1"/>
    <xf numFmtId="0" fontId="62" fillId="5" borderId="11" xfId="0" applyNumberFormat="1" applyFont="1" applyFill="1" applyBorder="1"/>
    <xf numFmtId="14" fontId="62" fillId="12" borderId="11" xfId="0" applyNumberFormat="1" applyFont="1" applyFill="1" applyBorder="1"/>
    <xf numFmtId="167" fontId="62" fillId="12" borderId="11" xfId="0" applyNumberFormat="1" applyFont="1" applyFill="1" applyBorder="1"/>
    <xf numFmtId="0" fontId="62" fillId="0" borderId="1" xfId="0" applyNumberFormat="1" applyFont="1" applyBorder="1" applyAlignment="1">
      <alignment horizontal="center" vertical="center"/>
    </xf>
    <xf numFmtId="0" fontId="62" fillId="12" borderId="0" xfId="0" applyFont="1" applyFill="1" applyBorder="1"/>
    <xf numFmtId="0" fontId="62" fillId="0" borderId="31" xfId="0" applyNumberFormat="1" applyFont="1" applyFill="1" applyBorder="1" applyAlignment="1"/>
    <xf numFmtId="0" fontId="21" fillId="0" borderId="0" xfId="0" applyFont="1" applyAlignment="1">
      <alignment horizontal="left"/>
    </xf>
    <xf numFmtId="0" fontId="19" fillId="6" borderId="8" xfId="1" applyFont="1" applyFill="1" applyBorder="1" applyAlignment="1">
      <alignment horizontal="left" vertical="top" wrapText="1"/>
    </xf>
    <xf numFmtId="0" fontId="62" fillId="0" borderId="1" xfId="0" applyFont="1" applyBorder="1" applyAlignment="1">
      <alignment horizontal="left"/>
    </xf>
    <xf numFmtId="0" fontId="62" fillId="0" borderId="1" xfId="0" applyFont="1" applyFill="1" applyBorder="1" applyAlignment="1">
      <alignment horizontal="left"/>
    </xf>
    <xf numFmtId="0" fontId="62" fillId="12" borderId="1" xfId="0" applyFont="1" applyFill="1" applyBorder="1" applyAlignment="1">
      <alignment horizontal="left"/>
    </xf>
    <xf numFmtId="0" fontId="62" fillId="12" borderId="11" xfId="0" applyFont="1" applyFill="1" applyBorder="1" applyAlignment="1">
      <alignment horizontal="left"/>
    </xf>
    <xf numFmtId="0" fontId="62" fillId="0" borderId="11" xfId="0" applyFont="1" applyFill="1" applyBorder="1" applyAlignment="1">
      <alignment horizontal="left"/>
    </xf>
    <xf numFmtId="0" fontId="62" fillId="0" borderId="31" xfId="0" applyNumberFormat="1" applyFont="1" applyBorder="1"/>
    <xf numFmtId="0" fontId="62" fillId="0" borderId="31" xfId="0" applyFont="1" applyFill="1" applyBorder="1" applyAlignment="1"/>
    <xf numFmtId="0" fontId="9" fillId="0" borderId="1" xfId="0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52" fillId="0" borderId="1" xfId="0" applyFont="1" applyBorder="1" applyAlignment="1">
      <alignment horizontal="center"/>
    </xf>
    <xf numFmtId="0" fontId="22" fillId="0" borderId="12" xfId="0" applyFont="1" applyBorder="1" applyAlignment="1">
      <alignment horizontal="center"/>
    </xf>
    <xf numFmtId="0" fontId="22" fillId="0" borderId="5" xfId="0" applyFont="1" applyBorder="1" applyAlignment="1">
      <alignment horizontal="center"/>
    </xf>
    <xf numFmtId="0" fontId="22" fillId="0" borderId="1" xfId="0" applyNumberFormat="1" applyFont="1" applyBorder="1" applyAlignment="1">
      <alignment horizontal="center"/>
    </xf>
    <xf numFmtId="0" fontId="22" fillId="0" borderId="6" xfId="0" quotePrefix="1" applyFont="1" applyBorder="1" applyAlignment="1">
      <alignment wrapText="1"/>
    </xf>
    <xf numFmtId="0" fontId="22" fillId="0" borderId="1" xfId="0" quotePrefix="1" applyNumberFormat="1" applyFont="1" applyBorder="1" applyAlignment="1">
      <alignment wrapText="1"/>
    </xf>
    <xf numFmtId="14" fontId="60" fillId="6" borderId="8" xfId="1" applyNumberFormat="1" applyFont="1" applyFill="1" applyBorder="1" applyAlignment="1">
      <alignment horizontal="center" vertical="top" wrapText="1"/>
    </xf>
    <xf numFmtId="14" fontId="62" fillId="0" borderId="8" xfId="0" applyNumberFormat="1" applyFont="1" applyFill="1" applyBorder="1" applyAlignment="1"/>
    <xf numFmtId="0" fontId="62" fillId="0" borderId="0" xfId="0" applyFont="1" applyFill="1" applyAlignment="1"/>
    <xf numFmtId="0" fontId="62" fillId="0" borderId="0" xfId="0" applyNumberFormat="1" applyFont="1" applyFill="1" applyAlignment="1"/>
    <xf numFmtId="0" fontId="62" fillId="0" borderId="11" xfId="0" applyFont="1" applyFill="1" applyBorder="1" applyAlignment="1">
      <alignment horizontal="center" vertical="center"/>
    </xf>
    <xf numFmtId="0" fontId="62" fillId="0" borderId="0" xfId="0" applyNumberFormat="1" applyFont="1" applyFill="1" applyBorder="1" applyAlignment="1"/>
    <xf numFmtId="0" fontId="62" fillId="33" borderId="1" xfId="0" applyNumberFormat="1" applyFont="1" applyFill="1" applyBorder="1" applyAlignment="1"/>
    <xf numFmtId="0" fontId="62" fillId="0" borderId="12" xfId="0" applyNumberFormat="1" applyFont="1" applyFill="1" applyBorder="1" applyAlignment="1"/>
    <xf numFmtId="0" fontId="62" fillId="18" borderId="31" xfId="0" applyNumberFormat="1" applyFont="1" applyFill="1" applyBorder="1" applyAlignment="1"/>
    <xf numFmtId="0" fontId="5" fillId="0" borderId="35" xfId="0" applyFont="1" applyBorder="1" applyAlignment="1">
      <alignment horizontal="left" vertical="center"/>
    </xf>
    <xf numFmtId="0" fontId="3" fillId="29" borderId="1" xfId="0" applyFont="1" applyFill="1" applyBorder="1" applyAlignment="1">
      <alignment horizontal="center" vertical="center"/>
    </xf>
    <xf numFmtId="0" fontId="3" fillId="29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167" fontId="62" fillId="0" borderId="11" xfId="0" applyNumberFormat="1" applyFont="1" applyBorder="1"/>
    <xf numFmtId="0" fontId="62" fillId="0" borderId="0" xfId="0" applyFont="1" applyBorder="1"/>
    <xf numFmtId="0" fontId="62" fillId="0" borderId="1" xfId="0" applyNumberFormat="1" applyFont="1" applyBorder="1" applyAlignment="1"/>
    <xf numFmtId="0" fontId="2" fillId="0" borderId="1" xfId="0" applyFont="1" applyBorder="1" applyAlignment="1">
      <alignment horizontal="left" vertical="center"/>
    </xf>
    <xf numFmtId="0" fontId="62" fillId="5" borderId="11" xfId="0" applyFont="1" applyFill="1" applyBorder="1" applyAlignment="1">
      <alignment horizontal="center"/>
    </xf>
    <xf numFmtId="15" fontId="62" fillId="0" borderId="11" xfId="0" applyNumberFormat="1" applyFont="1" applyBorder="1"/>
    <xf numFmtId="0" fontId="62" fillId="0" borderId="11" xfId="0" applyFont="1" applyBorder="1" applyAlignment="1">
      <alignment horizontal="center" vertical="center"/>
    </xf>
    <xf numFmtId="0" fontId="62" fillId="12" borderId="33" xfId="0" applyFont="1" applyFill="1" applyBorder="1" applyAlignment="1">
      <alignment horizontal="center"/>
    </xf>
    <xf numFmtId="0" fontId="62" fillId="31" borderId="10" xfId="0" applyFont="1" applyFill="1" applyBorder="1"/>
    <xf numFmtId="168" fontId="62" fillId="0" borderId="1" xfId="0" applyNumberFormat="1" applyFont="1" applyBorder="1"/>
    <xf numFmtId="0" fontId="62" fillId="0" borderId="11" xfId="0" applyNumberFormat="1" applyFont="1" applyBorder="1"/>
    <xf numFmtId="0" fontId="2" fillId="0" borderId="0" xfId="3"/>
    <xf numFmtId="0" fontId="22" fillId="0" borderId="0" xfId="3" applyFont="1"/>
    <xf numFmtId="0" fontId="2" fillId="0" borderId="0" xfId="3" applyAlignment="1">
      <alignment horizontal="center"/>
    </xf>
    <xf numFmtId="0" fontId="30" fillId="0" borderId="0" xfId="3" applyFont="1"/>
    <xf numFmtId="0" fontId="65" fillId="0" borderId="0" xfId="3" applyFont="1"/>
    <xf numFmtId="0" fontId="66" fillId="0" borderId="7" xfId="3" applyFont="1" applyBorder="1"/>
    <xf numFmtId="0" fontId="66" fillId="0" borderId="8" xfId="3" applyFont="1" applyBorder="1"/>
    <xf numFmtId="0" fontId="67" fillId="0" borderId="8" xfId="3" applyFont="1" applyBorder="1"/>
    <xf numFmtId="0" fontId="66" fillId="0" borderId="8" xfId="3" applyFont="1" applyBorder="1" applyAlignment="1">
      <alignment horizontal="center"/>
    </xf>
    <xf numFmtId="0" fontId="68" fillId="0" borderId="8" xfId="3" applyFont="1" applyBorder="1"/>
    <xf numFmtId="0" fontId="68" fillId="0" borderId="9" xfId="3" applyFont="1" applyBorder="1"/>
    <xf numFmtId="0" fontId="69" fillId="0" borderId="8" xfId="3" applyFont="1" applyBorder="1"/>
    <xf numFmtId="0" fontId="66" fillId="30" borderId="6" xfId="3" applyFont="1" applyFill="1" applyBorder="1"/>
    <xf numFmtId="0" fontId="66" fillId="30" borderId="1" xfId="3" applyFont="1" applyFill="1" applyBorder="1"/>
    <xf numFmtId="168" fontId="70" fillId="30" borderId="1" xfId="3" applyNumberFormat="1" applyFont="1" applyFill="1" applyBorder="1" applyAlignment="1">
      <alignment horizontal="left" vertical="center"/>
    </xf>
    <xf numFmtId="170" fontId="70" fillId="30" borderId="1" xfId="4" applyNumberFormat="1" applyFont="1" applyFill="1" applyBorder="1" applyAlignment="1">
      <alignment horizontal="left" vertical="center"/>
    </xf>
    <xf numFmtId="0" fontId="71" fillId="30" borderId="1" xfId="3" applyFont="1" applyFill="1" applyBorder="1" applyAlignment="1">
      <alignment vertical="center"/>
    </xf>
    <xf numFmtId="168" fontId="66" fillId="30" borderId="1" xfId="3" applyNumberFormat="1" applyFont="1" applyFill="1" applyBorder="1"/>
    <xf numFmtId="0" fontId="66" fillId="30" borderId="1" xfId="3" applyFont="1" applyFill="1" applyBorder="1" applyAlignment="1">
      <alignment horizontal="center"/>
    </xf>
    <xf numFmtId="0" fontId="68" fillId="30" borderId="1" xfId="3" applyFont="1" applyFill="1" applyBorder="1"/>
    <xf numFmtId="0" fontId="68" fillId="30" borderId="5" xfId="3" applyFont="1" applyFill="1" applyBorder="1"/>
    <xf numFmtId="0" fontId="66" fillId="30" borderId="8" xfId="3" applyFont="1" applyFill="1" applyBorder="1"/>
    <xf numFmtId="0" fontId="69" fillId="30" borderId="9" xfId="3" applyFont="1" applyFill="1" applyBorder="1"/>
    <xf numFmtId="0" fontId="69" fillId="30" borderId="5" xfId="3" applyFont="1" applyFill="1" applyBorder="1"/>
    <xf numFmtId="0" fontId="66" fillId="30" borderId="0" xfId="3" applyFont="1" applyFill="1"/>
    <xf numFmtId="0" fontId="2" fillId="30" borderId="0" xfId="3" applyFill="1"/>
    <xf numFmtId="0" fontId="66" fillId="30" borderId="1" xfId="3" applyFont="1" applyFill="1" applyBorder="1" applyAlignment="1">
      <alignment horizontal="center" vertical="center"/>
    </xf>
    <xf numFmtId="0" fontId="69" fillId="30" borderId="1" xfId="3" applyFont="1" applyFill="1" applyBorder="1"/>
    <xf numFmtId="0" fontId="66" fillId="0" borderId="6" xfId="3" applyFont="1" applyBorder="1"/>
    <xf numFmtId="0" fontId="66" fillId="0" borderId="1" xfId="3" applyFont="1" applyBorder="1"/>
    <xf numFmtId="168" fontId="70" fillId="0" borderId="1" xfId="3" applyNumberFormat="1" applyFont="1" applyBorder="1" applyAlignment="1">
      <alignment horizontal="left" vertical="center"/>
    </xf>
    <xf numFmtId="170" fontId="70" fillId="0" borderId="1" xfId="4" applyNumberFormat="1" applyFont="1" applyFill="1" applyBorder="1" applyAlignment="1">
      <alignment horizontal="left" vertical="center"/>
    </xf>
    <xf numFmtId="0" fontId="71" fillId="0" borderId="1" xfId="3" applyFont="1" applyBorder="1" applyAlignment="1">
      <alignment vertical="center"/>
    </xf>
    <xf numFmtId="168" fontId="66" fillId="0" borderId="1" xfId="3" applyNumberFormat="1" applyFont="1" applyBorder="1"/>
    <xf numFmtId="0" fontId="66" fillId="0" borderId="1" xfId="3" applyFont="1" applyBorder="1" applyAlignment="1">
      <alignment horizontal="center"/>
    </xf>
    <xf numFmtId="0" fontId="66" fillId="34" borderId="1" xfId="3" applyFont="1" applyFill="1" applyBorder="1"/>
    <xf numFmtId="0" fontId="68" fillId="0" borderId="1" xfId="3" applyFont="1" applyBorder="1"/>
    <xf numFmtId="0" fontId="68" fillId="0" borderId="5" xfId="3" applyFont="1" applyBorder="1"/>
    <xf numFmtId="0" fontId="69" fillId="0" borderId="1" xfId="3" applyFont="1" applyBorder="1"/>
    <xf numFmtId="0" fontId="66" fillId="0" borderId="0" xfId="3" applyFont="1"/>
    <xf numFmtId="0" fontId="66" fillId="0" borderId="1" xfId="3" applyFont="1" applyBorder="1" applyAlignment="1">
      <alignment horizontal="center" wrapText="1"/>
    </xf>
    <xf numFmtId="0" fontId="66" fillId="3" borderId="1" xfId="3" applyFont="1" applyFill="1" applyBorder="1"/>
    <xf numFmtId="0" fontId="2" fillId="8" borderId="0" xfId="3" applyFill="1"/>
    <xf numFmtId="0" fontId="66" fillId="17" borderId="1" xfId="3" applyFont="1" applyFill="1" applyBorder="1"/>
    <xf numFmtId="0" fontId="66" fillId="3" borderId="6" xfId="3" applyFont="1" applyFill="1" applyBorder="1"/>
    <xf numFmtId="168" fontId="70" fillId="3" borderId="1" xfId="3" applyNumberFormat="1" applyFont="1" applyFill="1" applyBorder="1" applyAlignment="1">
      <alignment horizontal="left" vertical="center"/>
    </xf>
    <xf numFmtId="170" fontId="70" fillId="3" borderId="1" xfId="4" applyNumberFormat="1" applyFont="1" applyFill="1" applyBorder="1" applyAlignment="1">
      <alignment horizontal="left" vertical="center"/>
    </xf>
    <xf numFmtId="0" fontId="71" fillId="3" borderId="1" xfId="3" applyFont="1" applyFill="1" applyBorder="1" applyAlignment="1">
      <alignment vertical="center"/>
    </xf>
    <xf numFmtId="168" fontId="66" fillId="3" borderId="1" xfId="3" applyNumberFormat="1" applyFont="1" applyFill="1" applyBorder="1"/>
    <xf numFmtId="0" fontId="66" fillId="3" borderId="1" xfId="3" applyFont="1" applyFill="1" applyBorder="1" applyAlignment="1">
      <alignment horizontal="center" vertical="center"/>
    </xf>
    <xf numFmtId="0" fontId="68" fillId="3" borderId="1" xfId="3" applyFont="1" applyFill="1" applyBorder="1"/>
    <xf numFmtId="16" fontId="66" fillId="3" borderId="1" xfId="3" applyNumberFormat="1" applyFont="1" applyFill="1" applyBorder="1"/>
    <xf numFmtId="0" fontId="68" fillId="3" borderId="5" xfId="3" applyFont="1" applyFill="1" applyBorder="1"/>
    <xf numFmtId="0" fontId="69" fillId="3" borderId="1" xfId="3" applyFont="1" applyFill="1" applyBorder="1"/>
    <xf numFmtId="0" fontId="66" fillId="3" borderId="0" xfId="3" applyFont="1" applyFill="1"/>
    <xf numFmtId="0" fontId="2" fillId="3" borderId="0" xfId="3" applyFill="1"/>
    <xf numFmtId="16" fontId="66" fillId="0" borderId="1" xfId="3" applyNumberFormat="1" applyFont="1" applyBorder="1"/>
    <xf numFmtId="0" fontId="66" fillId="35" borderId="6" xfId="3" applyFont="1" applyFill="1" applyBorder="1"/>
    <xf numFmtId="0" fontId="66" fillId="35" borderId="1" xfId="3" applyFont="1" applyFill="1" applyBorder="1"/>
    <xf numFmtId="168" fontId="70" fillId="35" borderId="1" xfId="3" applyNumberFormat="1" applyFont="1" applyFill="1" applyBorder="1" applyAlignment="1">
      <alignment horizontal="left" vertical="center"/>
    </xf>
    <xf numFmtId="170" fontId="70" fillId="35" borderId="1" xfId="4" applyNumberFormat="1" applyFont="1" applyFill="1" applyBorder="1" applyAlignment="1">
      <alignment horizontal="left" vertical="center"/>
    </xf>
    <xf numFmtId="0" fontId="71" fillId="35" borderId="1" xfId="3" applyFont="1" applyFill="1" applyBorder="1" applyAlignment="1">
      <alignment vertical="center"/>
    </xf>
    <xf numFmtId="168" fontId="66" fillId="35" borderId="1" xfId="3" applyNumberFormat="1" applyFont="1" applyFill="1" applyBorder="1"/>
    <xf numFmtId="0" fontId="66" fillId="35" borderId="1" xfId="3" applyFont="1" applyFill="1" applyBorder="1" applyAlignment="1">
      <alignment horizontal="center"/>
    </xf>
    <xf numFmtId="0" fontId="68" fillId="35" borderId="1" xfId="3" applyFont="1" applyFill="1" applyBorder="1"/>
    <xf numFmtId="0" fontId="68" fillId="35" borderId="5" xfId="3" applyFont="1" applyFill="1" applyBorder="1"/>
    <xf numFmtId="0" fontId="69" fillId="35" borderId="1" xfId="3" applyFont="1" applyFill="1" applyBorder="1"/>
    <xf numFmtId="0" fontId="66" fillId="35" borderId="0" xfId="3" applyFont="1" applyFill="1"/>
    <xf numFmtId="0" fontId="2" fillId="35" borderId="0" xfId="3" applyFill="1"/>
    <xf numFmtId="168" fontId="66" fillId="0" borderId="11" xfId="3" applyNumberFormat="1" applyFont="1" applyBorder="1"/>
    <xf numFmtId="0" fontId="66" fillId="18" borderId="1" xfId="3" applyFont="1" applyFill="1" applyBorder="1"/>
    <xf numFmtId="0" fontId="66" fillId="0" borderId="1" xfId="3" applyFont="1" applyBorder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0" fontId="70" fillId="0" borderId="1" xfId="3" applyFont="1" applyBorder="1" applyAlignment="1">
      <alignment vertical="center"/>
    </xf>
    <xf numFmtId="168" fontId="66" fillId="0" borderId="1" xfId="3" applyNumberFormat="1" applyFont="1" applyBorder="1" applyAlignment="1">
      <alignment horizontal="left"/>
    </xf>
    <xf numFmtId="0" fontId="67" fillId="0" borderId="1" xfId="3" applyFont="1" applyBorder="1" applyAlignment="1">
      <alignment vertical="center"/>
    </xf>
    <xf numFmtId="0" fontId="66" fillId="8" borderId="6" xfId="3" applyFont="1" applyFill="1" applyBorder="1"/>
    <xf numFmtId="0" fontId="66" fillId="8" borderId="1" xfId="3" applyFont="1" applyFill="1" applyBorder="1"/>
    <xf numFmtId="168" fontId="66" fillId="8" borderId="1" xfId="3" applyNumberFormat="1" applyFont="1" applyFill="1" applyBorder="1" applyAlignment="1">
      <alignment horizontal="left"/>
    </xf>
    <xf numFmtId="170" fontId="70" fillId="8" borderId="1" xfId="4" applyNumberFormat="1" applyFont="1" applyFill="1" applyBorder="1" applyAlignment="1">
      <alignment horizontal="left" vertical="center"/>
    </xf>
    <xf numFmtId="0" fontId="67" fillId="8" borderId="1" xfId="3" applyFont="1" applyFill="1" applyBorder="1" applyAlignment="1">
      <alignment vertical="center"/>
    </xf>
    <xf numFmtId="168" fontId="66" fillId="8" borderId="1" xfId="3" applyNumberFormat="1" applyFont="1" applyFill="1" applyBorder="1"/>
    <xf numFmtId="0" fontId="68" fillId="8" borderId="5" xfId="3" applyFont="1" applyFill="1" applyBorder="1"/>
    <xf numFmtId="0" fontId="68" fillId="8" borderId="1" xfId="3" applyFont="1" applyFill="1" applyBorder="1"/>
    <xf numFmtId="0" fontId="69" fillId="8" borderId="1" xfId="3" applyFont="1" applyFill="1" applyBorder="1"/>
    <xf numFmtId="0" fontId="66" fillId="8" borderId="0" xfId="3" applyFont="1" applyFill="1"/>
    <xf numFmtId="0" fontId="66" fillId="3" borderId="1" xfId="3" applyFont="1" applyFill="1" applyBorder="1" applyAlignment="1">
      <alignment horizontal="center"/>
    </xf>
    <xf numFmtId="168" fontId="70" fillId="8" borderId="1" xfId="3" applyNumberFormat="1" applyFont="1" applyFill="1" applyBorder="1" applyAlignment="1">
      <alignment horizontal="left" vertical="center"/>
    </xf>
    <xf numFmtId="0" fontId="71" fillId="8" borderId="1" xfId="3" applyFont="1" applyFill="1" applyBorder="1" applyAlignment="1">
      <alignment vertical="center"/>
    </xf>
    <xf numFmtId="0" fontId="66" fillId="8" borderId="1" xfId="3" applyFont="1" applyFill="1" applyBorder="1" applyAlignment="1">
      <alignment horizontal="center"/>
    </xf>
    <xf numFmtId="0" fontId="66" fillId="0" borderId="10" xfId="3" applyFont="1" applyBorder="1"/>
    <xf numFmtId="0" fontId="66" fillId="0" borderId="11" xfId="3" applyFont="1" applyBorder="1"/>
    <xf numFmtId="168" fontId="70" fillId="0" borderId="11" xfId="3" applyNumberFormat="1" applyFont="1" applyBorder="1" applyAlignment="1">
      <alignment horizontal="left" vertical="center"/>
    </xf>
    <xf numFmtId="170" fontId="70" fillId="0" borderId="11" xfId="4" applyNumberFormat="1" applyFont="1" applyFill="1" applyBorder="1" applyAlignment="1">
      <alignment horizontal="left" vertical="center"/>
    </xf>
    <xf numFmtId="0" fontId="71" fillId="0" borderId="11" xfId="3" applyFont="1" applyBorder="1" applyAlignment="1">
      <alignment vertical="center"/>
    </xf>
    <xf numFmtId="0" fontId="66" fillId="0" borderId="11" xfId="3" applyFont="1" applyBorder="1" applyAlignment="1">
      <alignment horizontal="center"/>
    </xf>
    <xf numFmtId="0" fontId="68" fillId="0" borderId="11" xfId="3" applyFont="1" applyBorder="1"/>
    <xf numFmtId="0" fontId="68" fillId="0" borderId="12" xfId="3" applyFont="1" applyBorder="1"/>
    <xf numFmtId="0" fontId="69" fillId="0" borderId="11" xfId="3" applyFont="1" applyBorder="1"/>
    <xf numFmtId="170" fontId="70" fillId="0" borderId="5" xfId="4" applyNumberFormat="1" applyFont="1" applyFill="1" applyBorder="1" applyAlignment="1">
      <alignment horizontal="left" vertical="center"/>
    </xf>
    <xf numFmtId="168" fontId="66" fillId="0" borderId="6" xfId="3" applyNumberFormat="1" applyFont="1" applyBorder="1"/>
    <xf numFmtId="0" fontId="66" fillId="0" borderId="5" xfId="3" applyFont="1" applyBorder="1" applyAlignment="1">
      <alignment horizontal="center"/>
    </xf>
    <xf numFmtId="0" fontId="66" fillId="0" borderId="5" xfId="3" applyFont="1" applyBorder="1"/>
    <xf numFmtId="0" fontId="68" fillId="0" borderId="6" xfId="3" applyFont="1" applyBorder="1"/>
    <xf numFmtId="0" fontId="69" fillId="0" borderId="6" xfId="3" applyFont="1" applyBorder="1"/>
    <xf numFmtId="170" fontId="70" fillId="0" borderId="12" xfId="4" applyNumberFormat="1" applyFont="1" applyFill="1" applyBorder="1" applyAlignment="1">
      <alignment horizontal="left" vertical="center"/>
    </xf>
    <xf numFmtId="168" fontId="66" fillId="0" borderId="10" xfId="3" applyNumberFormat="1" applyFont="1" applyBorder="1"/>
    <xf numFmtId="0" fontId="66" fillId="0" borderId="12" xfId="3" applyFont="1" applyBorder="1" applyAlignment="1">
      <alignment horizontal="center"/>
    </xf>
    <xf numFmtId="0" fontId="66" fillId="0" borderId="12" xfId="3" applyFont="1" applyBorder="1"/>
    <xf numFmtId="0" fontId="68" fillId="0" borderId="10" xfId="3" applyFont="1" applyBorder="1"/>
    <xf numFmtId="0" fontId="69" fillId="0" borderId="10" xfId="3" applyFont="1" applyBorder="1"/>
    <xf numFmtId="170" fontId="70" fillId="0" borderId="6" xfId="4" applyNumberFormat="1" applyFont="1" applyFill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0" fontId="66" fillId="0" borderId="6" xfId="3" applyFont="1" applyBorder="1" applyAlignment="1">
      <alignment horizontal="center"/>
    </xf>
    <xf numFmtId="0" fontId="62" fillId="0" borderId="5" xfId="0" applyFont="1" applyFill="1" applyBorder="1" applyAlignment="1"/>
    <xf numFmtId="14" fontId="62" fillId="0" borderId="11" xfId="0" applyNumberFormat="1" applyFont="1" applyBorder="1"/>
    <xf numFmtId="0" fontId="62" fillId="0" borderId="11" xfId="0" applyNumberFormat="1" applyFont="1" applyBorder="1" applyAlignment="1">
      <alignment horizontal="center" vertical="center"/>
    </xf>
    <xf numFmtId="0" fontId="62" fillId="0" borderId="11" xfId="0" applyFont="1" applyBorder="1" applyAlignment="1">
      <alignment horizontal="left"/>
    </xf>
    <xf numFmtId="0" fontId="62" fillId="0" borderId="12" xfId="0" applyFont="1" applyFill="1" applyBorder="1" applyAlignment="1"/>
    <xf numFmtId="0" fontId="62" fillId="0" borderId="11" xfId="0" applyNumberFormat="1" applyFont="1" applyFill="1" applyBorder="1" applyAlignment="1"/>
    <xf numFmtId="0" fontId="0" fillId="23" borderId="11" xfId="0" applyFill="1" applyBorder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19" fillId="6" borderId="8" xfId="1" applyFont="1" applyFill="1" applyBorder="1" applyAlignment="1">
      <alignment horizontal="center" vertical="center" wrapText="1"/>
    </xf>
    <xf numFmtId="0" fontId="62" fillId="0" borderId="1" xfId="0" applyNumberFormat="1" applyFont="1" applyFill="1" applyBorder="1" applyAlignment="1">
      <alignment horizontal="center" vertical="center"/>
    </xf>
    <xf numFmtId="0" fontId="62" fillId="12" borderId="1" xfId="0" applyFont="1" applyFill="1" applyBorder="1" applyAlignment="1">
      <alignment horizontal="center" vertical="center"/>
    </xf>
    <xf numFmtId="0" fontId="62" fillId="1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2" fillId="5" borderId="11" xfId="0" applyNumberFormat="1" applyFont="1" applyFill="1" applyBorder="1" applyAlignment="1">
      <alignment horizontal="center"/>
    </xf>
    <xf numFmtId="15" fontId="62" fillId="0" borderId="11" xfId="0" applyNumberFormat="1" applyFont="1" applyFill="1" applyBorder="1" applyAlignment="1"/>
    <xf numFmtId="0" fontId="62" fillId="8" borderId="1" xfId="0" applyFont="1" applyFill="1" applyBorder="1" applyAlignment="1"/>
    <xf numFmtId="0" fontId="62" fillId="3" borderId="11" xfId="0" applyFont="1" applyFill="1" applyBorder="1" applyAlignment="1">
      <alignment horizontal="center" vertical="center"/>
    </xf>
    <xf numFmtId="0" fontId="66" fillId="0" borderId="1" xfId="3" applyFont="1" applyFill="1" applyBorder="1"/>
    <xf numFmtId="168" fontId="70" fillId="0" borderId="1" xfId="0" applyNumberFormat="1" applyFont="1" applyFill="1" applyBorder="1" applyAlignment="1">
      <alignment horizontal="left" vertical="center"/>
    </xf>
    <xf numFmtId="0" fontId="68" fillId="0" borderId="1" xfId="3" applyNumberFormat="1" applyFont="1" applyFill="1" applyBorder="1"/>
    <xf numFmtId="0" fontId="69" fillId="0" borderId="1" xfId="3" applyFont="1" applyFill="1" applyBorder="1"/>
    <xf numFmtId="0" fontId="69" fillId="0" borderId="1" xfId="3" applyNumberFormat="1" applyFont="1" applyFill="1" applyBorder="1"/>
    <xf numFmtId="0" fontId="66" fillId="0" borderId="1" xfId="3" applyNumberFormat="1" applyFont="1" applyFill="1" applyBorder="1"/>
    <xf numFmtId="0" fontId="66" fillId="0" borderId="1" xfId="0" applyFont="1" applyFill="1" applyBorder="1"/>
    <xf numFmtId="170" fontId="70" fillId="0" borderId="1" xfId="2" applyNumberFormat="1" applyFont="1" applyFill="1" applyBorder="1" applyAlignment="1">
      <alignment horizontal="left" vertical="center"/>
    </xf>
    <xf numFmtId="168" fontId="66" fillId="0" borderId="1" xfId="3" applyNumberFormat="1" applyFont="1" applyFill="1" applyBorder="1"/>
    <xf numFmtId="0" fontId="66" fillId="0" borderId="1" xfId="3" applyFont="1" applyFill="1" applyBorder="1" applyAlignment="1">
      <alignment horizontal="center"/>
    </xf>
    <xf numFmtId="0" fontId="68" fillId="0" borderId="1" xfId="3" applyFont="1" applyFill="1" applyBorder="1"/>
    <xf numFmtId="0" fontId="76" fillId="0" borderId="0" xfId="3" applyFont="1"/>
    <xf numFmtId="0" fontId="76" fillId="0" borderId="8" xfId="3" applyFont="1" applyBorder="1"/>
    <xf numFmtId="0" fontId="77" fillId="0" borderId="1" xfId="3" applyFont="1" applyBorder="1" applyAlignment="1">
      <alignment vertical="center"/>
    </xf>
    <xf numFmtId="0" fontId="77" fillId="30" borderId="1" xfId="3" applyFont="1" applyFill="1" applyBorder="1" applyAlignment="1">
      <alignment vertical="center"/>
    </xf>
    <xf numFmtId="0" fontId="76" fillId="30" borderId="1" xfId="3" applyFont="1" applyFill="1" applyBorder="1"/>
    <xf numFmtId="0" fontId="77" fillId="36" borderId="1" xfId="3" applyFont="1" applyFill="1" applyBorder="1" applyAlignment="1">
      <alignment vertical="center"/>
    </xf>
    <xf numFmtId="0" fontId="77" fillId="3" borderId="1" xfId="3" applyFont="1" applyFill="1" applyBorder="1" applyAlignment="1">
      <alignment vertical="center"/>
    </xf>
    <xf numFmtId="0" fontId="77" fillId="35" borderId="1" xfId="3" applyFont="1" applyFill="1" applyBorder="1" applyAlignment="1">
      <alignment vertical="center"/>
    </xf>
    <xf numFmtId="0" fontId="76" fillId="0" borderId="1" xfId="0" applyFont="1" applyBorder="1"/>
    <xf numFmtId="0" fontId="76" fillId="3" borderId="1" xfId="0" applyFont="1" applyFill="1" applyBorder="1"/>
    <xf numFmtId="0" fontId="76" fillId="0" borderId="1" xfId="3" applyFont="1" applyBorder="1" applyAlignment="1">
      <alignment vertical="center"/>
    </xf>
    <xf numFmtId="0" fontId="76" fillId="8" borderId="1" xfId="3" applyFont="1" applyFill="1" applyBorder="1" applyAlignment="1">
      <alignment vertical="center"/>
    </xf>
    <xf numFmtId="0" fontId="53" fillId="0" borderId="1" xfId="0" applyFont="1" applyFill="1" applyBorder="1" applyAlignment="1">
      <alignment horizontal="left" vertical="center"/>
    </xf>
    <xf numFmtId="0" fontId="62" fillId="0" borderId="6" xfId="0" applyFont="1" applyFill="1" applyBorder="1" applyAlignment="1">
      <alignment horizontal="left" vertical="center"/>
    </xf>
    <xf numFmtId="168" fontId="63" fillId="0" borderId="1" xfId="0" applyNumberFormat="1" applyFont="1" applyFill="1" applyBorder="1" applyAlignment="1">
      <alignment horizontal="left" vertical="center"/>
    </xf>
    <xf numFmtId="14" fontId="62" fillId="0" borderId="1" xfId="0" applyNumberFormat="1" applyFont="1" applyFill="1" applyBorder="1" applyAlignment="1">
      <alignment horizontal="left" vertical="center"/>
    </xf>
    <xf numFmtId="0" fontId="63" fillId="0" borderId="1" xfId="0" applyFont="1" applyFill="1" applyBorder="1" applyAlignment="1">
      <alignment horizontal="left" vertical="center"/>
    </xf>
    <xf numFmtId="168" fontId="62" fillId="0" borderId="1" xfId="0" applyNumberFormat="1" applyFont="1" applyFill="1" applyBorder="1" applyAlignment="1">
      <alignment horizontal="left" vertical="center"/>
    </xf>
    <xf numFmtId="0" fontId="62" fillId="0" borderId="5" xfId="0" applyNumberFormat="1" applyFont="1" applyFill="1" applyBorder="1"/>
    <xf numFmtId="0" fontId="78" fillId="25" borderId="6" xfId="0" applyFont="1" applyFill="1" applyBorder="1" applyAlignment="1">
      <alignment horizontal="center" vertical="center" wrapText="1"/>
    </xf>
    <xf numFmtId="0" fontId="78" fillId="25" borderId="1" xfId="0" applyFont="1" applyFill="1" applyBorder="1" applyAlignment="1">
      <alignment horizontal="center" vertical="center" wrapText="1"/>
    </xf>
    <xf numFmtId="14" fontId="78" fillId="25" borderId="1" xfId="0" applyNumberFormat="1" applyFont="1" applyFill="1" applyBorder="1" applyAlignment="1">
      <alignment horizontal="center" vertical="center" wrapText="1"/>
    </xf>
    <xf numFmtId="0" fontId="78" fillId="26" borderId="1" xfId="0" applyFont="1" applyFill="1" applyBorder="1" applyAlignment="1">
      <alignment horizontal="center" vertical="center" wrapText="1"/>
    </xf>
    <xf numFmtId="0" fontId="78" fillId="26" borderId="5" xfId="0" applyFont="1" applyFill="1" applyBorder="1" applyAlignment="1">
      <alignment horizontal="center" vertical="center" wrapText="1"/>
    </xf>
    <xf numFmtId="0" fontId="78" fillId="26" borderId="3" xfId="0" applyFont="1" applyFill="1" applyBorder="1" applyAlignment="1">
      <alignment horizontal="center" vertical="center" wrapText="1"/>
    </xf>
    <xf numFmtId="0" fontId="78" fillId="26" borderId="0" xfId="0" applyFont="1" applyFill="1" applyBorder="1" applyAlignment="1">
      <alignment horizontal="center" vertical="center" wrapText="1"/>
    </xf>
    <xf numFmtId="0" fontId="78" fillId="26" borderId="2" xfId="0" applyFont="1" applyFill="1" applyBorder="1" applyAlignment="1">
      <alignment horizontal="center" vertical="center" wrapText="1"/>
    </xf>
    <xf numFmtId="0" fontId="78" fillId="26" borderId="31" xfId="0" applyFont="1" applyFill="1" applyBorder="1" applyAlignment="1">
      <alignment horizontal="center" vertical="center" wrapText="1"/>
    </xf>
    <xf numFmtId="0" fontId="79" fillId="0" borderId="0" xfId="0" applyFont="1" applyAlignment="1">
      <alignment vertical="center" wrapText="1"/>
    </xf>
    <xf numFmtId="0" fontId="72" fillId="0" borderId="1" xfId="3" applyFont="1" applyFill="1" applyBorder="1"/>
    <xf numFmtId="0" fontId="72" fillId="0" borderId="1" xfId="3" applyNumberFormat="1" applyFont="1" applyFill="1" applyBorder="1"/>
    <xf numFmtId="0" fontId="72" fillId="30" borderId="1" xfId="3" applyFont="1" applyFill="1" applyBorder="1"/>
    <xf numFmtId="0" fontId="66" fillId="30" borderId="1" xfId="3" applyNumberFormat="1" applyFont="1" applyFill="1" applyBorder="1"/>
    <xf numFmtId="0" fontId="66" fillId="30" borderId="1" xfId="3" applyFont="1" applyFill="1" applyBorder="1" applyAlignment="1">
      <alignment horizontal="center" wrapText="1"/>
    </xf>
    <xf numFmtId="0" fontId="62" fillId="0" borderId="11" xfId="0" applyNumberFormat="1" applyFont="1" applyFill="1" applyBorder="1" applyAlignment="1">
      <alignment horizontal="left" vertical="center"/>
    </xf>
    <xf numFmtId="0" fontId="62" fillId="0" borderId="10" xfId="0" applyFont="1" applyFill="1" applyBorder="1" applyAlignment="1">
      <alignment horizontal="left" vertical="center"/>
    </xf>
    <xf numFmtId="0" fontId="63" fillId="0" borderId="11" xfId="0" applyFont="1" applyFill="1" applyBorder="1" applyAlignment="1">
      <alignment horizontal="left" vertical="center"/>
    </xf>
    <xf numFmtId="168" fontId="62" fillId="0" borderId="11" xfId="0" applyNumberFormat="1" applyFont="1" applyFill="1" applyBorder="1" applyAlignment="1">
      <alignment horizontal="left" vertical="center"/>
    </xf>
    <xf numFmtId="14" fontId="62" fillId="0" borderId="11" xfId="0" applyNumberFormat="1" applyFont="1" applyFill="1" applyBorder="1" applyAlignment="1">
      <alignment horizontal="left" vertical="center"/>
    </xf>
    <xf numFmtId="0" fontId="62" fillId="0" borderId="35" xfId="0" applyFont="1" applyBorder="1" applyAlignment="1"/>
    <xf numFmtId="0" fontId="76" fillId="0" borderId="1" xfId="3" applyNumberFormat="1" applyFont="1" applyBorder="1"/>
    <xf numFmtId="0" fontId="62" fillId="0" borderId="11" xfId="0" applyNumberFormat="1" applyFont="1" applyFill="1" applyBorder="1" applyAlignment="1">
      <alignment horizontal="center" vertical="center"/>
    </xf>
    <xf numFmtId="0" fontId="80" fillId="0" borderId="1" xfId="0" applyFont="1" applyBorder="1" applyAlignment="1">
      <alignment wrapText="1"/>
    </xf>
    <xf numFmtId="0" fontId="80" fillId="0" borderId="1" xfId="0" applyFont="1" applyBorder="1" applyAlignment="1">
      <alignment horizontal="right" wrapText="1"/>
    </xf>
    <xf numFmtId="0" fontId="62" fillId="3" borderId="0" xfId="0" applyFont="1" applyFill="1"/>
    <xf numFmtId="0" fontId="62" fillId="0" borderId="0" xfId="0" applyFont="1"/>
    <xf numFmtId="0" fontId="62" fillId="12" borderId="0" xfId="0" applyFont="1" applyFill="1"/>
    <xf numFmtId="0" fontId="62" fillId="0" borderId="0" xfId="0" applyFont="1" applyFill="1"/>
    <xf numFmtId="0" fontId="80" fillId="0" borderId="3" xfId="0" applyFont="1" applyFill="1" applyBorder="1" applyAlignment="1">
      <alignment wrapText="1"/>
    </xf>
    <xf numFmtId="0" fontId="62" fillId="8" borderId="6" xfId="0" applyFont="1" applyFill="1" applyBorder="1"/>
    <xf numFmtId="0" fontId="62" fillId="37" borderId="6" xfId="0" applyNumberFormat="1" applyFont="1" applyFill="1" applyBorder="1"/>
    <xf numFmtId="0" fontId="62" fillId="37" borderId="10" xfId="0" applyNumberFormat="1" applyFont="1" applyFill="1" applyBorder="1"/>
    <xf numFmtId="0" fontId="62" fillId="8" borderId="10" xfId="0" applyNumberFormat="1" applyFont="1" applyFill="1" applyBorder="1"/>
    <xf numFmtId="0" fontId="62" fillId="8" borderId="6" xfId="0" applyNumberFormat="1" applyFont="1" applyFill="1" applyBorder="1"/>
    <xf numFmtId="0" fontId="62" fillId="8" borderId="10" xfId="0" applyFont="1" applyFill="1" applyBorder="1"/>
    <xf numFmtId="0" fontId="62" fillId="37" borderId="6" xfId="0" applyFont="1" applyFill="1" applyBorder="1"/>
    <xf numFmtId="0" fontId="62" fillId="3" borderId="0" xfId="0" applyNumberFormat="1" applyFont="1" applyFill="1"/>
    <xf numFmtId="0" fontId="62" fillId="0" borderId="0" xfId="0" applyNumberFormat="1" applyFont="1"/>
    <xf numFmtId="0" fontId="62" fillId="12" borderId="0" xfId="0" applyNumberFormat="1" applyFont="1" applyFill="1"/>
    <xf numFmtId="0" fontId="62" fillId="0" borderId="0" xfId="0" applyNumberFormat="1" applyFont="1" applyFill="1"/>
    <xf numFmtId="0" fontId="62" fillId="0" borderId="0" xfId="0" applyNumberFormat="1" applyFont="1" applyBorder="1"/>
    <xf numFmtId="0" fontId="64" fillId="0" borderId="0" xfId="0" applyFont="1" applyAlignment="1">
      <alignment horizontal="center" vertical="center"/>
    </xf>
    <xf numFmtId="0" fontId="64" fillId="0" borderId="0" xfId="0" applyFont="1"/>
    <xf numFmtId="0" fontId="0" fillId="0" borderId="0" xfId="0" applyAlignment="1">
      <alignment horizontal="left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15" fontId="0" fillId="0" borderId="25" xfId="0" applyNumberFormat="1" applyBorder="1" applyAlignment="1">
      <alignment horizontal="center" vertical="center"/>
    </xf>
    <xf numFmtId="15" fontId="0" fillId="0" borderId="27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0" fontId="0" fillId="0" borderId="19" xfId="0" applyBorder="1" applyAlignment="1">
      <alignment horizontal="left" vertical="center" wrapText="1"/>
    </xf>
    <xf numFmtId="15" fontId="0" fillId="0" borderId="26" xfId="0" applyNumberFormat="1" applyBorder="1" applyAlignment="1">
      <alignment horizontal="center" vertical="center"/>
    </xf>
    <xf numFmtId="0" fontId="0" fillId="0" borderId="28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22" fillId="12" borderId="8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6" borderId="0" xfId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32" fillId="5" borderId="0" xfId="0" applyFont="1" applyFill="1" applyAlignment="1">
      <alignment horizontal="center" vertical="center"/>
    </xf>
    <xf numFmtId="0" fontId="19" fillId="23" borderId="0" xfId="1" applyFont="1" applyFill="1" applyBorder="1" applyAlignment="1">
      <alignment horizontal="left" vertical="center" wrapText="1"/>
    </xf>
    <xf numFmtId="0" fontId="19" fillId="23" borderId="2" xfId="1" applyFont="1" applyFill="1" applyBorder="1" applyAlignment="1">
      <alignment horizontal="left" vertical="center" wrapText="1"/>
    </xf>
    <xf numFmtId="0" fontId="32" fillId="20" borderId="22" xfId="0" applyFont="1" applyFill="1" applyBorder="1" applyAlignment="1">
      <alignment horizontal="left" vertical="center"/>
    </xf>
    <xf numFmtId="0" fontId="32" fillId="20" borderId="23" xfId="0" applyFont="1" applyFill="1" applyBorder="1" applyAlignment="1">
      <alignment horizontal="left" vertical="center"/>
    </xf>
    <xf numFmtId="0" fontId="32" fillId="20" borderId="24" xfId="0" applyFont="1" applyFill="1" applyBorder="1" applyAlignment="1">
      <alignment horizontal="left" vertical="center"/>
    </xf>
    <xf numFmtId="0" fontId="47" fillId="3" borderId="0" xfId="1" applyFont="1" applyFill="1" applyBorder="1" applyAlignment="1">
      <alignment horizontal="left" vertical="center" wrapText="1"/>
    </xf>
    <xf numFmtId="0" fontId="46" fillId="17" borderId="0" xfId="1" applyFont="1" applyFill="1" applyBorder="1" applyAlignment="1">
      <alignment horizontal="left" vertical="center" wrapText="1"/>
    </xf>
    <xf numFmtId="0" fontId="46" fillId="17" borderId="2" xfId="1" applyFont="1" applyFill="1" applyBorder="1" applyAlignment="1">
      <alignment horizontal="left" vertical="center" wrapText="1"/>
    </xf>
    <xf numFmtId="170" fontId="62" fillId="0" borderId="1" xfId="2" applyNumberFormat="1" applyFont="1" applyFill="1" applyBorder="1" applyAlignment="1"/>
    <xf numFmtId="170" fontId="62" fillId="0" borderId="1" xfId="0" applyNumberFormat="1" applyFont="1" applyFill="1" applyBorder="1" applyAlignment="1"/>
    <xf numFmtId="0" fontId="62" fillId="0" borderId="11" xfId="0" applyFont="1" applyBorder="1" applyAlignment="1">
      <alignment horizontal="left" vertical="center"/>
    </xf>
  </cellXfs>
  <cellStyles count="5">
    <cellStyle name="Comma" xfId="2" builtinId="3"/>
    <cellStyle name="Comma 2" xfId="4" xr:uid="{1BCC5479-08A3-4884-93AC-72256D20EB42}"/>
    <cellStyle name="Neutral" xfId="1" builtinId="28"/>
    <cellStyle name="Normal" xfId="0" builtinId="0"/>
    <cellStyle name="Normal 2" xfId="3" xr:uid="{FB5AEED8-7F68-459E-B3BC-EFC55A66661E}"/>
  </cellStyles>
  <dxfs count="68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ont>
        <color rgb="FFFF0000"/>
      </font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dd/mm/yy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-F400]h:mm:ss\ AM/PM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7" formatCode="[$-F400]h:mm:ss\ AM/PM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0" formatCode="dd/mmm/yy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rgb="FF000000"/>
          <bgColor auto="1"/>
        </patternFill>
      </fill>
      <alignment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family val="2"/>
        <scheme val="none"/>
      </font>
      <fill>
        <patternFill patternType="solid">
          <fgColor indexed="64"/>
          <bgColor rgb="FFFFEB9C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68" formatCode="[$-409]d\-mmm\-yy;@"/>
      <fill>
        <patternFill patternType="none">
          <bgColor auto="1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  <fill>
        <patternFill patternType="none">
          <fgColor theme="9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  <numFmt numFmtId="170" formatCode="_(* #,##0_);_(* \(#,##0\);_(* &quot;-&quot;??_);_(@_)"/>
      <fill>
        <patternFill patternType="none">
          <fgColor theme="9" tint="0.79998168889431442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  <numFmt numFmtId="168" formatCode="[$-409]d\-mmm\-yy;@"/>
      <fill>
        <patternFill patternType="none"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0" formatCode="General"/>
      <border diagonalUp="0" diagonalDown="0" outline="0">
        <left style="thin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167" formatCode="[$-F400]h:mm:ss\ AM/PM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19" formatCode="dd/mm/yy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0" tint="-4.9989318521683403E-2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4"/>
        </left>
        <right/>
        <top style="thin">
          <color theme="4"/>
        </top>
        <bottom style="thin">
          <color theme="4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ptos Narrow"/>
        <family val="2"/>
        <scheme val="minor"/>
      </font>
      <fill>
        <patternFill patternType="solid">
          <fgColor indexed="64"/>
          <bgColor rgb="FFFFEB9C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ptos Narrow"/>
        <family val="2"/>
        <scheme val="none"/>
      </font>
      <numFmt numFmtId="0" formatCode="General"/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68" formatCode="[$-409]d\-mmm\-yy;@"/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  <fill>
        <patternFill patternType="none">
          <fgColor theme="9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  <numFmt numFmtId="170" formatCode="_(* #,##0_);_(* \(#,##0\);_(* &quot;-&quot;??_);_(@_)"/>
      <fill>
        <patternFill patternType="none">
          <fgColor theme="9" tint="0.79998168889431442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  <numFmt numFmtId="168" formatCode="[$-409]d\-mmm\-yy;@"/>
      <fill>
        <patternFill patternType="none"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ptos Narrow"/>
        <family val="2"/>
        <scheme val="none"/>
      </font>
      <fill>
        <patternFill patternType="none">
          <bgColor auto="1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dd/mm/yy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-F400]h:mm:ss\ AM/PM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7" formatCode="[$-F400]h:mm:ss\ AM/PM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0" formatCode="dd/mmm/yy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family val="2"/>
        <scheme val="none"/>
      </font>
      <fill>
        <patternFill patternType="solid">
          <fgColor indexed="64"/>
          <bgColor rgb="FFFFEB9C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"/>
    </dxf>
    <dxf>
      <numFmt numFmtId="19" formatCode="dd/mm/yy"/>
    </dxf>
    <dxf>
      <numFmt numFmtId="19" formatCode="dd/mm/yy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numFmt numFmtId="167" formatCode="[$-F400]h:mm:ss\ AM/PM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  <fill>
        <patternFill patternType="solid">
          <fgColor indexed="64"/>
          <bgColor theme="5" tint="0.79998168889431442"/>
        </patternFill>
      </fill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68" formatCode="[$-409]d\-mmm\-yy;@"/>
    </dxf>
    <dxf>
      <numFmt numFmtId="168" formatCode="[$-409]d\-mmm\-yy;@"/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1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border outline="0">
        <left style="thin">
          <color theme="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dd/mm/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68" formatCode="[$-409]d\-mmm\-yy;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none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8" formatCode="[$-409]d\-mmm\-yy;@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70" formatCode="_(* #,##0_);_(* \(#,##0\);_(* &quot;-&quot;??_);_(@_)"/>
    </dxf>
    <dxf>
      <numFmt numFmtId="170" formatCode="_(* #,##0_);_(* \(#,##0\);_(* &quot;-&quot;??_);_(@_)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Display"/>
        <family val="2"/>
        <scheme val="none"/>
      </font>
      <numFmt numFmtId="165" formatCode="_ * #,##0_ ;_ * \-#,##0_ ;_ * &quot;-&quot;??_ ;_ @_ "/>
      <fill>
        <patternFill patternType="solid">
          <fgColor indexed="64"/>
          <bgColor rgb="FF00B0F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border outline="0">
        <left style="thin">
          <color theme="4"/>
        </left>
        <right style="thin">
          <color auto="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3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Transaction_Form!A1"/><Relationship Id="rId18" Type="http://schemas.openxmlformats.org/officeDocument/2006/relationships/image" Target="../media/image12.svg"/><Relationship Id="rId3" Type="http://schemas.openxmlformats.org/officeDocument/2006/relationships/image" Target="../media/image2.svg"/><Relationship Id="rId7" Type="http://schemas.openxmlformats.org/officeDocument/2006/relationships/hyperlink" Target="#Sum_WH!A1"/><Relationship Id="rId12" Type="http://schemas.openxmlformats.org/officeDocument/2006/relationships/image" Target="../media/image8.svg"/><Relationship Id="rId17" Type="http://schemas.openxmlformats.org/officeDocument/2006/relationships/image" Target="../media/image11.png"/><Relationship Id="rId2" Type="http://schemas.openxmlformats.org/officeDocument/2006/relationships/image" Target="../media/image1.png"/><Relationship Id="rId16" Type="http://schemas.openxmlformats.org/officeDocument/2006/relationships/hyperlink" Target="#Logfile!A1"/><Relationship Id="rId1" Type="http://schemas.openxmlformats.org/officeDocument/2006/relationships/hyperlink" Target="#DV!A1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5" Type="http://schemas.openxmlformats.org/officeDocument/2006/relationships/image" Target="../media/image10.svg"/><Relationship Id="rId10" Type="http://schemas.openxmlformats.org/officeDocument/2006/relationships/hyperlink" Target="#DO_DB!A1"/><Relationship Id="rId4" Type="http://schemas.openxmlformats.org/officeDocument/2006/relationships/hyperlink" Target="#Site_Imple!A1"/><Relationship Id="rId9" Type="http://schemas.openxmlformats.org/officeDocument/2006/relationships/image" Target="../media/image6.svg"/><Relationship Id="rId1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88750</xdr:colOff>
      <xdr:row>7</xdr:row>
      <xdr:rowOff>147022</xdr:rowOff>
    </xdr:from>
    <xdr:to>
      <xdr:col>1</xdr:col>
      <xdr:colOff>660250</xdr:colOff>
      <xdr:row>10</xdr:row>
      <xdr:rowOff>151056</xdr:rowOff>
    </xdr:to>
    <xdr:pic>
      <xdr:nvPicPr>
        <xdr:cNvPr id="3" name="Graphic 2" descr="Filter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68044" y="1635163"/>
          <a:ext cx="571500" cy="559846"/>
        </a:xfrm>
        <a:prstGeom prst="rect">
          <a:avLst/>
        </a:prstGeom>
      </xdr:spPr>
    </xdr:pic>
    <xdr:clientData/>
  </xdr:twoCellAnchor>
  <xdr:twoCellAnchor editAs="oneCell">
    <xdr:from>
      <xdr:col>1</xdr:col>
      <xdr:colOff>88751</xdr:colOff>
      <xdr:row>19</xdr:row>
      <xdr:rowOff>125506</xdr:rowOff>
    </xdr:from>
    <xdr:to>
      <xdr:col>1</xdr:col>
      <xdr:colOff>681318</xdr:colOff>
      <xdr:row>22</xdr:row>
      <xdr:rowOff>171226</xdr:rowOff>
    </xdr:to>
    <xdr:pic>
      <xdr:nvPicPr>
        <xdr:cNvPr id="8" name="Graphic 7" descr="Disk with solid fill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8045" y="3783106"/>
          <a:ext cx="592567" cy="583602"/>
        </a:xfrm>
        <a:prstGeom prst="rect">
          <a:avLst/>
        </a:prstGeom>
      </xdr:spPr>
    </xdr:pic>
    <xdr:clientData/>
  </xdr:twoCellAnchor>
  <xdr:twoCellAnchor editAs="oneCell">
    <xdr:from>
      <xdr:col>1</xdr:col>
      <xdr:colOff>100405</xdr:colOff>
      <xdr:row>11</xdr:row>
      <xdr:rowOff>122816</xdr:rowOff>
    </xdr:from>
    <xdr:to>
      <xdr:col>1</xdr:col>
      <xdr:colOff>671905</xdr:colOff>
      <xdr:row>14</xdr:row>
      <xdr:rowOff>142091</xdr:rowOff>
    </xdr:to>
    <xdr:pic>
      <xdr:nvPicPr>
        <xdr:cNvPr id="10" name="Graphic 9" descr="Statistics with solid fill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79699" y="2346063"/>
          <a:ext cx="571500" cy="557157"/>
        </a:xfrm>
        <a:prstGeom prst="rect">
          <a:avLst/>
        </a:prstGeom>
      </xdr:spPr>
    </xdr:pic>
    <xdr:clientData/>
  </xdr:twoCellAnchor>
  <xdr:twoCellAnchor editAs="oneCell">
    <xdr:from>
      <xdr:col>1</xdr:col>
      <xdr:colOff>80682</xdr:colOff>
      <xdr:row>15</xdr:row>
      <xdr:rowOff>156565</xdr:rowOff>
    </xdr:from>
    <xdr:to>
      <xdr:col>1</xdr:col>
      <xdr:colOff>679972</xdr:colOff>
      <xdr:row>19</xdr:row>
      <xdr:rowOff>27638</xdr:rowOff>
    </xdr:to>
    <xdr:pic>
      <xdr:nvPicPr>
        <xdr:cNvPr id="16" name="Graphic 15" descr="Delivery with solid fill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59976" y="3096989"/>
          <a:ext cx="599290" cy="588249"/>
        </a:xfrm>
        <a:prstGeom prst="rect">
          <a:avLst/>
        </a:prstGeom>
      </xdr:spPr>
    </xdr:pic>
    <xdr:clientData/>
  </xdr:twoCellAnchor>
  <xdr:twoCellAnchor editAs="oneCell">
    <xdr:from>
      <xdr:col>8</xdr:col>
      <xdr:colOff>121920</xdr:colOff>
      <xdr:row>0</xdr:row>
      <xdr:rowOff>175260</xdr:rowOff>
    </xdr:from>
    <xdr:to>
      <xdr:col>8</xdr:col>
      <xdr:colOff>716280</xdr:colOff>
      <xdr:row>3</xdr:row>
      <xdr:rowOff>169881</xdr:rowOff>
    </xdr:to>
    <xdr:pic>
      <xdr:nvPicPr>
        <xdr:cNvPr id="20" name="Graphic 19" descr="Shopping cart with solid fill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6766560" y="175260"/>
          <a:ext cx="594360" cy="594360"/>
        </a:xfrm>
        <a:prstGeom prst="rect">
          <a:avLst/>
        </a:prstGeom>
      </xdr:spPr>
    </xdr:pic>
    <xdr:clientData/>
  </xdr:twoCellAnchor>
  <xdr:twoCellAnchor editAs="oneCell">
    <xdr:from>
      <xdr:col>8</xdr:col>
      <xdr:colOff>137160</xdr:colOff>
      <xdr:row>17</xdr:row>
      <xdr:rowOff>45720</xdr:rowOff>
    </xdr:from>
    <xdr:to>
      <xdr:col>8</xdr:col>
      <xdr:colOff>716280</xdr:colOff>
      <xdr:row>20</xdr:row>
      <xdr:rowOff>76200</xdr:rowOff>
    </xdr:to>
    <xdr:pic>
      <xdr:nvPicPr>
        <xdr:cNvPr id="24" name="Graphic 23" descr="Document with solid fill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7094220" y="3360420"/>
          <a:ext cx="579120" cy="579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905436</xdr:colOff>
      <xdr:row>7</xdr:row>
      <xdr:rowOff>71717</xdr:rowOff>
    </xdr:from>
    <xdr:to>
      <xdr:col>5</xdr:col>
      <xdr:colOff>349624</xdr:colOff>
      <xdr:row>7</xdr:row>
      <xdr:rowOff>71717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3729318" y="448235"/>
          <a:ext cx="167640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493059</xdr:colOff>
      <xdr:row>7</xdr:row>
      <xdr:rowOff>53788</xdr:rowOff>
    </xdr:from>
    <xdr:to>
      <xdr:col>2</xdr:col>
      <xdr:colOff>726141</xdr:colOff>
      <xdr:row>7</xdr:row>
      <xdr:rowOff>53788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>
          <a:off x="1102659" y="1344706"/>
          <a:ext cx="167640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250531</xdr:colOff>
      <xdr:row>0</xdr:row>
      <xdr:rowOff>49403</xdr:rowOff>
    </xdr:from>
    <xdr:to>
      <xdr:col>6</xdr:col>
      <xdr:colOff>609601</xdr:colOff>
      <xdr:row>2</xdr:row>
      <xdr:rowOff>179628</xdr:rowOff>
    </xdr:to>
    <xdr:sp macro="" textlink="">
      <xdr:nvSpPr>
        <xdr:cNvPr id="2" name="Speech Bubble: Rectangle with Corners Rounded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454991" y="49403"/>
          <a:ext cx="968670" cy="534085"/>
        </a:xfrm>
        <a:prstGeom prst="wedgeRoundRectCallout">
          <a:avLst>
            <a:gd name="adj1" fmla="val -69254"/>
            <a:gd name="adj2" fmla="val 51328"/>
            <a:gd name="adj3" fmla="val 16667"/>
          </a:avLst>
        </a:prstGeom>
        <a:solidFill>
          <a:schemeClr val="tx2">
            <a:lumMod val="10000"/>
            <a:lumOff val="9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d-ID">
              <a:solidFill>
                <a:srgbClr val="FF0000"/>
              </a:solidFill>
            </a:rPr>
            <a:t>Select All, or Specific WH</a:t>
          </a:r>
          <a:endParaRPr lang="id-ID" sz="11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488950</xdr:colOff>
          <xdr:row>6</xdr:row>
          <xdr:rowOff>82550</xdr:rowOff>
        </xdr:from>
        <xdr:to>
          <xdr:col>3</xdr:col>
          <xdr:colOff>1663700</xdr:colOff>
          <xdr:row>8</xdr:row>
          <xdr:rowOff>120650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A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10</xdr:row>
          <xdr:rowOff>107950</xdr:rowOff>
        </xdr:from>
        <xdr:to>
          <xdr:col>3</xdr:col>
          <xdr:colOff>1701800</xdr:colOff>
          <xdr:row>12</xdr:row>
          <xdr:rowOff>146050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A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Aptos Narr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957944</xdr:colOff>
      <xdr:row>8</xdr:row>
      <xdr:rowOff>250372</xdr:rowOff>
    </xdr:from>
    <xdr:to>
      <xdr:col>3</xdr:col>
      <xdr:colOff>1175657</xdr:colOff>
      <xdr:row>9</xdr:row>
      <xdr:rowOff>239485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8131630" y="2754086"/>
          <a:ext cx="217713" cy="435428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3</xdr:col>
      <xdr:colOff>936173</xdr:colOff>
      <xdr:row>12</xdr:row>
      <xdr:rowOff>304804</xdr:rowOff>
    </xdr:from>
    <xdr:to>
      <xdr:col>3</xdr:col>
      <xdr:colOff>1153887</xdr:colOff>
      <xdr:row>14</xdr:row>
      <xdr:rowOff>97976</xdr:rowOff>
    </xdr:to>
    <xdr:sp macro="" textlink="">
      <xdr:nvSpPr>
        <xdr:cNvPr id="4" name="Arrow: Down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8109859" y="4201890"/>
          <a:ext cx="217714" cy="424543"/>
        </a:xfrm>
        <a:prstGeom prst="downArrow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501650</xdr:colOff>
          <xdr:row>14</xdr:row>
          <xdr:rowOff>215900</xdr:rowOff>
        </xdr:from>
        <xdr:to>
          <xdr:col>3</xdr:col>
          <xdr:colOff>1739900</xdr:colOff>
          <xdr:row>16</xdr:row>
          <xdr:rowOff>234950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A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Aptos Narrow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798497</xdr:colOff>
      <xdr:row>19</xdr:row>
      <xdr:rowOff>149197</xdr:rowOff>
    </xdr:from>
    <xdr:to>
      <xdr:col>6</xdr:col>
      <xdr:colOff>15619</xdr:colOff>
      <xdr:row>23</xdr:row>
      <xdr:rowOff>287760</xdr:rowOff>
    </xdr:to>
    <xdr:sp macro="" textlink="">
      <xdr:nvSpPr>
        <xdr:cNvPr id="5" name="Speech Bubble: Rectangle with Corners Rounded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7972183" y="6256083"/>
          <a:ext cx="2428407" cy="1401306"/>
        </a:xfrm>
        <a:prstGeom prst="wedgeRoundRectCallout">
          <a:avLst>
            <a:gd name="adj1" fmla="val -75664"/>
            <a:gd name="adj2" fmla="val -44566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solidFill>
                <a:srgbClr val="FF0000"/>
              </a:solidFill>
            </a:rPr>
            <a:t>Jika, </a:t>
          </a:r>
          <a:r>
            <a:rPr lang="id-ID" sz="1200">
              <a:solidFill>
                <a:srgbClr val="FF0000"/>
              </a:solidFill>
            </a:rPr>
            <a:t>In</a:t>
          </a:r>
          <a:r>
            <a:rPr lang="en-US" sz="1200">
              <a:solidFill>
                <a:srgbClr val="FF0000"/>
              </a:solidFill>
            </a:rPr>
            <a:t>bound</a:t>
          </a:r>
          <a:r>
            <a:rPr lang="id-ID" sz="1200">
              <a:solidFill>
                <a:srgbClr val="FF0000"/>
              </a:solidFill>
            </a:rPr>
            <a:t> </a:t>
          </a:r>
          <a:r>
            <a:rPr lang="en-US" sz="1200">
              <a:solidFill>
                <a:srgbClr val="FF0000"/>
              </a:solidFill>
            </a:rPr>
            <a:t>(Return dari tim</a:t>
          </a:r>
          <a:r>
            <a:rPr lang="en-US" sz="1200" baseline="0">
              <a:solidFill>
                <a:srgbClr val="FF0000"/>
              </a:solidFill>
            </a:rPr>
            <a:t> = </a:t>
          </a:r>
          <a:r>
            <a:rPr lang="id-ID" sz="1200">
              <a:solidFill>
                <a:srgbClr val="FF0000"/>
              </a:solidFill>
            </a:rPr>
            <a:t>Material </a:t>
          </a:r>
          <a:r>
            <a:rPr lang="en-US" sz="1200">
              <a:solidFill>
                <a:srgbClr val="FF0000"/>
              </a:solidFill>
            </a:rPr>
            <a:t>K</a:t>
          </a:r>
          <a:r>
            <a:rPr lang="id-ID" sz="1200">
              <a:solidFill>
                <a:srgbClr val="FF0000"/>
              </a:solidFill>
            </a:rPr>
            <a:t>abel</a:t>
          </a:r>
          <a:r>
            <a:rPr lang="en-US" sz="1200">
              <a:solidFill>
                <a:srgbClr val="FF0000"/>
              </a:solidFill>
            </a:rPr>
            <a:t>)</a:t>
          </a:r>
          <a:r>
            <a:rPr lang="id-ID" sz="1200">
              <a:solidFill>
                <a:srgbClr val="FF0000"/>
              </a:solidFill>
            </a:rPr>
            <a:t> pastikan</a:t>
          </a:r>
          <a:r>
            <a:rPr lang="en-US" sz="1200">
              <a:solidFill>
                <a:srgbClr val="FF0000"/>
              </a:solidFill>
            </a:rPr>
            <a:t>:</a:t>
          </a:r>
          <a:r>
            <a:rPr lang="id-ID" sz="1200">
              <a:solidFill>
                <a:srgbClr val="FF0000"/>
              </a:solidFill>
            </a:rPr>
            <a:t> </a:t>
          </a:r>
          <a:endParaRPr lang="en-US" sz="1200">
            <a:solidFill>
              <a:srgbClr val="FF0000"/>
            </a:solidFill>
          </a:endParaRPr>
        </a:p>
        <a:p>
          <a:pPr algn="l"/>
          <a:r>
            <a:rPr lang="en-US" sz="1200">
              <a:solidFill>
                <a:srgbClr val="FF0000"/>
              </a:solidFill>
            </a:rPr>
            <a:t>1. Tagging</a:t>
          </a:r>
          <a:r>
            <a:rPr lang="en-US" sz="1200" baseline="0">
              <a:solidFill>
                <a:srgbClr val="FF0000"/>
              </a:solidFill>
            </a:rPr>
            <a:t> Type</a:t>
          </a:r>
          <a:r>
            <a:rPr lang="id-ID" sz="1200">
              <a:solidFill>
                <a:srgbClr val="FF0000"/>
              </a:solidFill>
            </a:rPr>
            <a:t> = Leftovers</a:t>
          </a:r>
          <a:r>
            <a:rPr lang="en-US" sz="1200">
              <a:solidFill>
                <a:srgbClr val="FF0000"/>
              </a:solidFill>
            </a:rPr>
            <a:t>.</a:t>
          </a:r>
        </a:p>
        <a:p>
          <a:pPr algn="l"/>
          <a:r>
            <a:rPr lang="en-US" sz="1200">
              <a:solidFill>
                <a:srgbClr val="FF0000"/>
              </a:solidFill>
            </a:rPr>
            <a:t>2.Condition</a:t>
          </a:r>
          <a:r>
            <a:rPr lang="en-US" sz="1200" baseline="0">
              <a:solidFill>
                <a:srgbClr val="FF0000"/>
              </a:solidFill>
            </a:rPr>
            <a:t> = Damage/Leftovers</a:t>
          </a:r>
          <a:endParaRPr lang="id-ID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363068</xdr:colOff>
      <xdr:row>1</xdr:row>
      <xdr:rowOff>163285</xdr:rowOff>
    </xdr:from>
    <xdr:to>
      <xdr:col>4</xdr:col>
      <xdr:colOff>402771</xdr:colOff>
      <xdr:row>3</xdr:row>
      <xdr:rowOff>195942</xdr:rowOff>
    </xdr:to>
    <xdr:sp macro="" textlink="">
      <xdr:nvSpPr>
        <xdr:cNvPr id="3" name="Speech Bubble: Rectangle with Corners Rounded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7536754" y="478971"/>
          <a:ext cx="2031788" cy="642257"/>
        </a:xfrm>
        <a:prstGeom prst="wedgeRoundRectCallout">
          <a:avLst>
            <a:gd name="adj1" fmla="val -63320"/>
            <a:gd name="adj2" fmla="val -692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solidFill>
                <a:srgbClr val="FF0000"/>
              </a:solidFill>
            </a:rPr>
            <a:t>1. Logfile  &gt; Logfile</a:t>
          </a:r>
          <a:br>
            <a:rPr lang="en-US" sz="1200">
              <a:solidFill>
                <a:srgbClr val="FF0000"/>
              </a:solidFill>
            </a:rPr>
          </a:br>
          <a:r>
            <a:rPr lang="en-US" sz="1200">
              <a:solidFill>
                <a:srgbClr val="FF0000"/>
              </a:solidFill>
            </a:rPr>
            <a:t>2. Leftovers </a:t>
          </a:r>
          <a:r>
            <a:rPr lang="en-US" sz="1200" baseline="0">
              <a:solidFill>
                <a:srgbClr val="FF0000"/>
              </a:solidFill>
            </a:rPr>
            <a:t> &gt; LO_Logfile</a:t>
          </a:r>
          <a:endParaRPr lang="id-ID" sz="1200" b="1">
            <a:solidFill>
              <a:srgbClr val="FF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243840</xdr:colOff>
      <xdr:row>4</xdr:row>
      <xdr:rowOff>161365</xdr:rowOff>
    </xdr:from>
    <xdr:to>
      <xdr:col>7</xdr:col>
      <xdr:colOff>518160</xdr:colOff>
      <xdr:row>6</xdr:row>
      <xdr:rowOff>81579</xdr:rowOff>
    </xdr:to>
    <xdr:sp macro="" textlink="">
      <xdr:nvSpPr>
        <xdr:cNvPr id="2" name="Speech Bubble: Rectangle with Corners Rounded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8249322" y="995083"/>
          <a:ext cx="883920" cy="278802"/>
        </a:xfrm>
        <a:prstGeom prst="wedgeRoundRectCallout">
          <a:avLst>
            <a:gd name="adj1" fmla="val -67497"/>
            <a:gd name="adj2" fmla="val 38554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FF0000"/>
              </a:solidFill>
            </a:rPr>
            <a:t>Isi Manual</a:t>
          </a:r>
          <a:endParaRPr lang="id-ID" sz="1200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199017</xdr:colOff>
      <xdr:row>0</xdr:row>
      <xdr:rowOff>134471</xdr:rowOff>
    </xdr:from>
    <xdr:to>
      <xdr:col>7</xdr:col>
      <xdr:colOff>473337</xdr:colOff>
      <xdr:row>1</xdr:row>
      <xdr:rowOff>304800</xdr:rowOff>
    </xdr:to>
    <xdr:sp macro="" textlink="">
      <xdr:nvSpPr>
        <xdr:cNvPr id="3" name="Speech Bubble: Rectangle with Corners Rounded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8204499" y="134471"/>
          <a:ext cx="883920" cy="358588"/>
        </a:xfrm>
        <a:prstGeom prst="wedgeRoundRectCallout">
          <a:avLst>
            <a:gd name="adj1" fmla="val -62426"/>
            <a:gd name="adj2" fmla="val 23554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FF0000"/>
              </a:solidFill>
            </a:rPr>
            <a:t>Pilih Nota</a:t>
          </a:r>
          <a:endParaRPr lang="id-ID" sz="1200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73510</xdr:colOff>
      <xdr:row>1</xdr:row>
      <xdr:rowOff>251011</xdr:rowOff>
    </xdr:from>
    <xdr:to>
      <xdr:col>8</xdr:col>
      <xdr:colOff>2241178</xdr:colOff>
      <xdr:row>5</xdr:row>
      <xdr:rowOff>53788</xdr:rowOff>
    </xdr:to>
    <xdr:sp macro="" textlink="">
      <xdr:nvSpPr>
        <xdr:cNvPr id="4" name="Speech Bubble: Rectangle with Corners Rounded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298192" y="439270"/>
          <a:ext cx="2167668" cy="627530"/>
        </a:xfrm>
        <a:prstGeom prst="wedgeRoundRectCallout">
          <a:avLst>
            <a:gd name="adj1" fmla="val -70780"/>
            <a:gd name="adj2" fmla="val 15934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FF0000"/>
              </a:solidFill>
            </a:rPr>
            <a:t>Compatible &gt;</a:t>
          </a:r>
          <a:r>
            <a:rPr lang="en-US" sz="1200" baseline="0">
              <a:solidFill>
                <a:srgbClr val="FF0000"/>
              </a:solidFill>
            </a:rPr>
            <a:t> </a:t>
          </a:r>
          <a:r>
            <a:rPr lang="en-US" sz="1200">
              <a:solidFill>
                <a:srgbClr val="FF0000"/>
              </a:solidFill>
            </a:rPr>
            <a:t>Office 2021 or Office 365</a:t>
          </a:r>
          <a:endParaRPr lang="id-ID" sz="1200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FTTH\!Tracker\New%20Tracker%20Material_EMR%20ZTE%2020250822_Malang%20OK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Material"/>
      <sheetName val="DO Summary"/>
      <sheetName val="Sheet1"/>
      <sheetName val="Inbound-outbound-BoQ"/>
      <sheetName val="Inbound"/>
      <sheetName val="Outbound"/>
      <sheetName val="Sheet2"/>
      <sheetName val="Leftovers"/>
      <sheetName val="List Material"/>
      <sheetName val="List WareHouse"/>
      <sheetName val="List Area"/>
      <sheetName val="New Tracker Material_EMR ZTE 2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>
        <row r="1">
          <cell r="A1" t="str">
            <v>BORROW IN</v>
          </cell>
          <cell r="B1" t="str">
            <v>BOI</v>
          </cell>
        </row>
        <row r="2">
          <cell r="A2" t="str">
            <v>BORROW OUT</v>
          </cell>
          <cell r="B2" t="str">
            <v>BOO</v>
          </cell>
        </row>
        <row r="3">
          <cell r="A3" t="str">
            <v>TRANSFER IN</v>
          </cell>
          <cell r="B3" t="str">
            <v>TFI</v>
          </cell>
        </row>
        <row r="4">
          <cell r="A4" t="str">
            <v>TRANSFER OUT</v>
          </cell>
          <cell r="B4" t="str">
            <v>TFO</v>
          </cell>
        </row>
        <row r="5">
          <cell r="A5" t="str">
            <v>INBOUND</v>
          </cell>
          <cell r="B5" t="str">
            <v>INB</v>
          </cell>
        </row>
        <row r="6">
          <cell r="A6" t="str">
            <v>OUTBOUND</v>
          </cell>
          <cell r="B6" t="str">
            <v>OUB</v>
          </cell>
        </row>
      </sheetData>
      <sheetData sheetId="7" refreshError="1"/>
      <sheetData sheetId="8"/>
      <sheetData sheetId="9" refreshError="1"/>
      <sheetData sheetId="10" refreshError="1"/>
      <sheetData sheetId="1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11" refreshedDate="46280.30194675926" createdVersion="8" refreshedVersion="7" minRefreshableVersion="3" recordCount="141" xr:uid="{F49D9BC5-0098-4D40-8ABF-C74E2F5707B2}">
  <cacheSource type="worksheet">
    <worksheetSource name="LO_Logfile"/>
  </cacheSource>
  <cacheFields count="33">
    <cacheField name="Row_ID" numFmtId="0">
      <sharedItems/>
    </cacheField>
    <cacheField name="Tag_ID" numFmtId="0">
      <sharedItems/>
    </cacheField>
    <cacheField name="Line_ID" numFmtId="0">
      <sharedItems containsString="0" containsBlank="1" containsNumber="1" containsInteger="1" minValue="1" maxValue="3"/>
    </cacheField>
    <cacheField name="Transaction  Type" numFmtId="0">
      <sharedItems count="4">
        <s v="INBOUND"/>
        <s v="TRANSFER OUT"/>
        <s v="OUTBOUND"/>
        <s v="TRANSFER IN"/>
      </sharedItems>
    </cacheField>
    <cacheField name="Nota No." numFmtId="0">
      <sharedItems/>
    </cacheField>
    <cacheField name="WH GCI" numFmtId="0">
      <sharedItems containsDate="1" containsBlank="1" containsMixedTypes="1" minDate="2023-09-04T00:00:00" maxDate="2023-10-24T00:00:00" count="7">
        <s v="EJ-Malang-01"/>
        <m u="1"/>
        <d v="2023-10-23T00:00:00" u="1"/>
        <s v="EJ-Lamongan-01" u="1"/>
        <s v="CJ-Purwokerto-01" u="1"/>
        <d v="2023-09-04T00:00:00" u="1"/>
        <s v="EJ-Gresik-01" u="1"/>
      </sharedItems>
    </cacheField>
    <cacheField name="PIC Warehouse" numFmtId="0">
      <sharedItems/>
    </cacheField>
    <cacheField name="Date" numFmtId="0">
      <sharedItems containsSemiMixedTypes="0" containsNonDate="0" containsDate="1" containsString="0" minDate="2023-08-10T00:00:00" maxDate="2026-08-02T00:00:00"/>
    </cacheField>
    <cacheField name="Time" numFmtId="167">
      <sharedItems containsSemiMixedTypes="0" containsNonDate="0" containsDate="1" containsString="0" minDate="1899-12-30T06:00:00" maxDate="1900-01-14T16:37:24"/>
    </cacheField>
    <cacheField name="Material Source / Destination" numFmtId="0">
      <sharedItems/>
    </cacheField>
    <cacheField name="Type Material" numFmtId="0">
      <sharedItems count="3">
        <s v="ZTE-EMR Material"/>
        <s v="LEFTOVER"/>
        <s v="EMR Material" u="1"/>
      </sharedItems>
    </cacheField>
    <cacheField name="Material Name" numFmtId="0">
      <sharedItems count="10">
        <s v="ADSS 48C"/>
        <s v="ADSS 24C"/>
        <s v="ADSS 96C"/>
        <s v="ADSS 144C"/>
        <s v="Pole 7m 4&quot;"/>
        <s v="Pole 9M"/>
        <s v="ADSS 36C"/>
        <s v="HDPE40/34mm" u="1"/>
        <s v="FAT-16" u="1"/>
        <s v="FDT-72" u="1"/>
      </sharedItems>
    </cacheField>
    <cacheField name="Material Code" numFmtId="0">
      <sharedItems/>
    </cacheField>
    <cacheField name="Unit" numFmtId="0">
      <sharedItems count="3">
        <s v="Meter"/>
        <s v="Pcs"/>
        <s v="" u="1"/>
      </sharedItems>
    </cacheField>
    <cacheField name="Qty" numFmtId="0">
      <sharedItems containsSemiMixedTypes="0" containsString="0" containsNumber="1" containsInteger="1" minValue="1" maxValue="2554"/>
    </cacheField>
    <cacheField name="SiteID" numFmtId="0">
      <sharedItems containsBlank="1" containsMixedTypes="1" containsNumber="1" containsInteger="1" minValue="0" maxValue="0"/>
    </cacheField>
    <cacheField name="Site Name" numFmtId="0">
      <sharedItems containsBlank="1" containsMixedTypes="1" containsNumber="1" containsInteger="1" minValue="283" maxValue="2341" count="55">
        <s v="Perumahan Bumi Podo Rukun Dau"/>
        <s v="Mulyorejo RW 04 Sukun"/>
        <m/>
        <s v="Mulyorejo RW 06 Sukun"/>
        <s v="Puncak Dieng Exlusif"/>
        <s v="Jedong RW 09 Wagir"/>
        <s v="Jedong RW 08 Wagir"/>
        <s v="Sidorahayu RW 02 Wagir"/>
        <s v="Sitirejo RW 01 Wagir"/>
        <s v="Perumahan Pondok Mutiara Malang"/>
        <s v="HUBFEEDER BATURETNO RW 02"/>
        <s v="Baturetno RW 03 Singosari"/>
        <s v="Baturetno RW 02 Singosari "/>
        <s v="HUBFEEDER DALISODO"/>
        <s v="Sisa sumberbendo"/>
        <s v="Kebonagung RW 13 Pakisaji"/>
        <s v="Lowokwaru RW 04"/>
        <s v="Perumahan Kepanjen Permai II"/>
        <s v="HUBFEEDER KEPANJEN TO JATIKERTO"/>
        <s v="HUBFEEDER TIRTASANI TO GIRIMOYO"/>
        <s v="SENGGURUH RW 01 MALANG"/>
        <s v="From Blitar"/>
        <s v="Perumahan Panca Garden"/>
        <s v="Mainfeeder Singosari Segment 3"/>
        <s v="HUBFEEDER OLT KEPANJEN TO JATIKERTO"/>
        <s v="BULULAWANG RW 01, 02, 03, 04, 06   MALANG"/>
        <s v="PERMANU RW 03 MALANG"/>
        <s v="KREBET RW 05"/>
        <s v="Main Feeder - OLT Smart Malang Segment 8 to Sumbersekar"/>
        <s v="PERUMAHAN BULULAWANG PERMAI RW 02"/>
        <s v="Perumahan Asshofa Residence"/>
        <s v="MADYOPURO RW 05 MALANG"/>
        <s v="LESANPURO RW 06 MALANG"/>
        <s v="PALAAN RW 01 SAMPAI 05 MALANG"/>
        <s v="PALAAN RW 06 SAMPAI 10 MALANG"/>
        <s v="Jedong RW 07 Wagir"/>
        <s v="DUSUN SIDOAYU KELURAHAN SIDEREJO MALANG"/>
        <s v="Sisa Palaan"/>
        <s v="FDT 3 Sidoayu Line C"/>
        <s v="DUSUN ARDIREJO KELURAHAN SIDEREJO MALANG"/>
        <s v="sf bonangung"/>
        <s v="KEBONAGUNG RW 06 PAKISAJI"/>
        <s v="LESANPURO RW 01 MALANG"/>
        <s v="SEKARPURO RW 08 MALANG"/>
        <s v="SEKARPURO RW 05 MALANG"/>
        <s v="SEKARPURO RW 04 MALANG"/>
        <s v="SUMBERSEKAR RT 07 RW 04 MALANG"/>
        <s v="RANDUANGUNG RW 04 SINGOSARI MALANG"/>
        <s v="KAMBINGAN RW 04 MALANG"/>
        <s v="KESATRIAN RW 09 MALANG"/>
        <s v="SUMBERKRADENAN RT5,6,7,8 RW 05 MALANG"/>
        <s v="Bumiayu RW 03 Kedungkandang"/>
        <s v="Dengkol RW 02 Singosari Malang"/>
        <n v="283" u="1"/>
        <n v="2341" u="1"/>
      </sharedItems>
    </cacheField>
    <cacheField name="DO number" numFmtId="0">
      <sharedItems containsBlank="1"/>
    </cacheField>
    <cacheField name="DN Number" numFmtId="0">
      <sharedItems containsBlank="1"/>
    </cacheField>
    <cacheField name="Condition" numFmtId="0">
      <sharedItems containsBlank="1" count="4">
        <m/>
        <s v="C-Damage"/>
        <s v="A-Good"/>
        <s v="D-Leftovers" u="1"/>
      </sharedItems>
    </cacheField>
    <cacheField name="PIC Delivery" numFmtId="0">
      <sharedItems containsBlank="1"/>
    </cacheField>
    <cacheField name="Vendor Supplier" numFmtId="0">
      <sharedItems containsBlank="1" containsMixedTypes="1" containsNumber="1" containsInteger="1" minValue="0" maxValue="0"/>
    </cacheField>
    <cacheField name="ID Card" numFmtId="0">
      <sharedItems containsBlank="1"/>
    </cacheField>
    <cacheField name="Car Plate" numFmtId="0">
      <sharedItems containsBlank="1"/>
    </cacheField>
    <cacheField name="Remarks" numFmtId="0">
      <sharedItems containsBlank="1" containsMixedTypes="1" containsNumber="1" containsInteger="1" minValue="890" maxValue="890"/>
    </cacheField>
    <cacheField name="Haspel/Drum" numFmtId="0">
      <sharedItems containsBlank="1" count="24">
        <s v="H-ADSS 48C-202384-01"/>
        <s v="H-ADSS 24C-202384-01"/>
        <m/>
        <s v="H-ADSS 48C-202391-01"/>
        <s v="H-ADSS 48C-2023915-01"/>
        <s v="H-ADSS 24C-2023919-01"/>
        <s v="H-ADSS 24C-2023926-01"/>
        <s v="H-ADSS 24C-20231014-03"/>
        <s v="H-ADSS 24C-20231014-02"/>
        <s v="H-ADSS 48C-20231126-01"/>
        <s v="H-ADSS 24C-20231226-01"/>
        <s v="H-ADSS 96C-2024116-02"/>
        <s v="H-ADSS 48C-2024123-01"/>
        <s v="H-ADSS 24C-2024330-01"/>
        <s v="H-ADSS 144C-202443-01"/>
        <s v="H-ADSS 24C-2024619-01"/>
        <s v="H-ADSS 144C-2024722-02"/>
        <s v="H-ADSS 24C-2024827-01"/>
        <s v="H-ADSS 144C-2024117-01"/>
        <s v="H-ADSS 24C-2026522-01"/>
        <s v="H-ADSS 24C-2026627-01"/>
        <s v="H-ADSS 48C-2025912-01"/>
        <s v="H-ADSS 24C-202679-01"/>
        <s v="H-ADSS 24C-2026717-01"/>
      </sharedItems>
    </cacheField>
    <cacheField name="Cable Length Marker" numFmtId="0">
      <sharedItems containsBlank="1"/>
    </cacheField>
    <cacheField name="In-Out Qty" numFmtId="0">
      <sharedItems containsSemiMixedTypes="0" containsString="0" containsNumber="1" containsInteger="1" minValue="-1" maxValue="1" count="2">
        <n v="1"/>
        <n v="-1"/>
      </sharedItems>
    </cacheField>
    <cacheField name="LO Criteria" numFmtId="0">
      <sharedItems count="8">
        <s v="&gt;500"/>
        <s v="&gt;1500"/>
        <s v="&gt;100"/>
        <s v="&lt;100"/>
        <s v="&gt;200"/>
        <s v="&gt;2000"/>
        <s v="&gt;1000"/>
        <s v=""/>
      </sharedItems>
    </cacheField>
    <cacheField name="looK" numFmtId="0">
      <sharedItems/>
    </cacheField>
    <cacheField name="Column1" numFmtId="0">
      <sharedItems/>
    </cacheField>
    <cacheField name="INOUT" numFmtId="0">
      <sharedItems/>
    </cacheField>
    <cacheField name="Column2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11" refreshedDate="46280.301947569445" createdVersion="8" refreshedVersion="7" minRefreshableVersion="3" recordCount="2365" xr:uid="{D6779255-B3CD-44CC-B243-867907868F98}">
  <cacheSource type="worksheet">
    <worksheetSource name="DO_DB"/>
  </cacheSource>
  <cacheFields count="11">
    <cacheField name="SiteID" numFmtId="0">
      <sharedItems containsBlank="1" count="465">
        <s v="CLR38-02-043"/>
        <s v="CLR38-01-035"/>
        <s v="CLR38-01-034"/>
        <s v="CLR38-01-039"/>
        <s v="CLR38-02-020"/>
        <s v="CLR38-02-022"/>
        <s v="CLR38-02-044"/>
        <s v="CLR38-02-023"/>
        <s v="CLR31-05-015"/>
        <s v="CLR31-99-047"/>
        <s v="CLR31-99-050"/>
        <s v="CLR31-99-051"/>
        <s v="CLR31-05-027"/>
        <s v="CLR31-99-048"/>
        <s v="CLR31-99-049"/>
        <s v="CLR31-99-052"/>
        <s v="CLR31-99-058"/>
        <s v="CLR31-99-035"/>
        <s v="CLR31-99-039"/>
        <s v="CLR31-99-032"/>
        <s v="CLR31-99-033"/>
        <s v="CLR31-05-026"/>
        <s v="CLR31-05-019"/>
        <s v="CLR31-99-054"/>
        <s v="CLR31-99-057"/>
        <s v="CLR31-99-056"/>
        <s v="CLR31-99-053"/>
        <s v="CLR31-99-055"/>
        <s v="CLR31-04-044"/>
        <s v="CLR31-04-028"/>
        <s v="CLR31-04-041"/>
        <s v="CLR31-99-042"/>
        <s v="CLR31-99-043"/>
        <s v="CLR31-04-030"/>
        <s v="CLR31-99-020"/>
        <s v="CLR31-99-066"/>
        <s v="CLR31-99-044"/>
        <s v="CLR31-99-045"/>
        <s v="CLR31-05-032"/>
        <s v="CLR31-99-069"/>
        <s v="CLR31-99-071"/>
        <s v="CLR31-05-031"/>
        <s v="CLR31-99-070"/>
        <s v="CLR31-99-072"/>
        <s v="CLR31-04-056"/>
        <s v="CLR41-03-041"/>
        <s v="CLR31-05-023"/>
        <s v="CLR31-05-024"/>
        <s v="CLR37-01-009"/>
        <s v="CLR51-99-073"/>
        <s v="CLR51-99-010"/>
        <s v="CLR51-99-074"/>
        <s v="CLR51-99-075"/>
        <s v="CLR51-99-076"/>
        <s v="CLR51-99-077"/>
        <s v="CLR31-99-073"/>
        <s v="CLR31-99-074"/>
        <s v="CLR31-05-042"/>
        <s v="CLR31-04-033"/>
        <s v="CLR31-05-043"/>
        <s v="CLR31-05-039"/>
        <s v="CLR31-05-040"/>
        <s v="CLR31-05-041"/>
        <s v="CLR31-05-029"/>
        <s v="CLR31-05-033"/>
        <s v="CLR31-05-021"/>
        <s v="CLR31-05-035"/>
        <s v="CLR31-05-034"/>
        <s v="CLR31-99-059"/>
        <s v="CLR31-99-060"/>
        <s v="CLR31-99-061"/>
        <s v="CLR31-04-039"/>
        <s v="CLR31-05-012"/>
        <s v="MF31-02"/>
        <s v="MF31-04"/>
        <s v="MF31-01"/>
        <s v="CLR30-99-058"/>
        <s v="CLR30-01-014"/>
        <s v="CLR41-99-057"/>
        <s v="CLR41-99-059"/>
        <s v="CLR41-99-056"/>
        <s v="CLR41-99-058"/>
        <s v="CLR31-04-002"/>
        <s v="MF31-05"/>
        <s v="CLR37-01-023"/>
        <s v="CLR41-03-021"/>
        <s v="CLR64-01-013"/>
        <s v="CLR51-99-061"/>
        <s v="CLR51-99-044"/>
        <s v="CLR51-99-063"/>
        <s v="CLR31-99-031"/>
        <s v="CLR41-99-063"/>
        <s v="CLR31-05-006"/>
        <s v="CLR31-99-077"/>
        <s v="CLR41-12-001"/>
        <s v="CLR41-03-047"/>
        <s v="CLR41-12-002"/>
        <s v="CLR41-12-003"/>
        <s v="CLR31-04-060"/>
        <s v="CLR31-99-081"/>
        <s v="CLR31-09-001"/>
        <s v="CLR31-09-002"/>
        <s v="CLR31-09-003"/>
        <s v="CLR31-06-010"/>
        <s v="CLR31-04-059"/>
        <s v="CLR41-03-059"/>
        <s v="CLR41-03-060"/>
        <s v="CLR31-04-052"/>
        <s v="CLR31-99-083"/>
        <s v="CLR41-99-071"/>
        <s v="CLR41-99-072"/>
        <s v="CLR41-99-073"/>
        <s v="CLR31-04-012"/>
        <s v="CLR31-99-107"/>
        <s v="CLR41-99-078"/>
        <s v="CLR41-99-079"/>
        <s v="CLR41-99-080"/>
        <s v="CLR41-99-077"/>
        <s v="CLR41-02-028"/>
        <s v="CLR31-99-116"/>
        <s v="CLR41-11-019"/>
        <s v="CLR41-11-020"/>
        <s v="CLR30-02-036"/>
        <s v="CLR31-99-082"/>
        <s v="CLR31-99-115"/>
        <s v="CLR41-11-018"/>
        <s v="CLR31-99-086"/>
        <s v="CLR31-99-108"/>
        <s v="CLR99-99-133"/>
        <s v="CLR99-99-135"/>
        <s v="CLR41-99-076"/>
        <s v="CLR76-99-013"/>
        <s v="CLR76-99-014"/>
        <s v="CLR76-99-015"/>
        <s v="CLR41-03-056"/>
        <s v="CLR41-03-081"/>
        <s v="CLR77-99-116"/>
        <s v="MF51-05"/>
        <s v="CLR22-99-042"/>
        <s v="CLR22-99-014"/>
        <s v="CLR22-99-010"/>
        <s v="CLR22-99-067"/>
        <s v="CLR22-99-068"/>
        <s v="CLR22-99-069"/>
        <s v="CLR22-99-070"/>
        <s v="CLR22-99-059"/>
        <s v="CLR22-99-060"/>
        <s v="CLR22-99-063"/>
        <s v="CLR22-99-064"/>
        <s v="CLR22-99-065"/>
        <s v="CLR22-99-066"/>
        <s v="MF22-05"/>
        <s v="CLR22-99-072"/>
        <s v="CLR22-99-073"/>
        <s v="CLR22-99-074"/>
        <s v="CLR22-99-007"/>
        <s v="CLR37-01-010"/>
        <s v="CLR37-01-002"/>
        <s v="CLR22-99-099"/>
        <s v="CLR22-99-106"/>
        <s v="CLR22-99-105"/>
        <s v="CLR22-99-097"/>
        <s v="CLR22-99-098"/>
        <s v="CLR23-01-056"/>
        <s v="CLR22-99-117"/>
        <s v="CLR22-99-119"/>
        <s v="CLR22-99-120"/>
        <s v="CLR22-99-121"/>
        <s v="CLR22-99-116"/>
        <s v="CLR22-99-118"/>
        <s v="CLR22-03-003"/>
        <s v="CLR22-03-002"/>
        <s v="CLR51-02-015"/>
        <s v="CLR51-02-014"/>
        <s v="CLR51-99-099"/>
        <s v="CLR51-99-098"/>
        <s v="CLR51-99-096"/>
        <s v="CLR51-99-097"/>
        <s v="CLR99-99-134"/>
        <s v="CLR51-99-116"/>
        <s v="CLR22-05-002"/>
        <s v="CLR99-99-136"/>
        <s v="CLR99-99-137"/>
        <s v="CLR99-99-138"/>
        <s v="CLR99-99-130"/>
        <s v="CLR22-02-005"/>
        <s v="CLR99-99-147"/>
        <s v="ISP22-05"/>
        <s v="CLR22-03-004"/>
        <s v="CLR22-03-005"/>
        <s v="CLR22-03-006"/>
        <s v="CLR99-99-148"/>
        <s v="CLR22-03-017"/>
        <s v="CLR23-99-104"/>
        <s v="CLR23-99-034"/>
        <s v="CLR23-99-035"/>
        <s v="CLR23-99-036"/>
        <s v="CLR23-99-038"/>
        <s v="CLR23-99-040"/>
        <s v="CLR23-01-059"/>
        <s v="CLR23-99-037"/>
        <s v="CLR23-99-041"/>
        <s v="CLR23-99-042"/>
        <s v="CLR23-99-039"/>
        <s v="CLR23-01-055"/>
        <s v="CLR23-99-044"/>
        <s v="CLR23-99-043"/>
        <s v="CLR23-99-061"/>
        <s v="MF23-01"/>
        <s v="CLR23-99-053"/>
        <s v="CLR23-99-054"/>
        <s v="CLR23-99-055"/>
        <s v="CLR23-99-056"/>
        <s v="CLR23-03-014"/>
        <s v="CLR23-03-022"/>
        <s v="CLR23-03-023"/>
        <s v="CLR23-03-007"/>
        <s v="CLR23-03-005"/>
        <s v="CLR23-03-003"/>
        <s v="CLR23-03-006"/>
        <s v="CLR23-03-011"/>
        <s v="CLR23-03-020"/>
        <s v="CLR23-03-021"/>
        <s v="CLR23-99-102"/>
        <s v="CLR23-99-103"/>
        <s v="CLR23-03-026"/>
        <s v="CLR23-03-025"/>
        <s v="CLR23-03-002"/>
        <s v="CLR23-03-027"/>
        <s v="CLR23-01-106"/>
        <s v="CLR38-01-022"/>
        <s v="CLR38-01-021"/>
        <s v="CLR23-03-046"/>
        <s v="CLR23-03-028"/>
        <s v="CLR23-03-030"/>
        <s v="CLR23-03-032"/>
        <s v="CLR23-03-029"/>
        <s v="CLR23-03-031"/>
        <s v="CLR23-03-033"/>
        <s v="CLR23-03-045"/>
        <s v="CLR23-03-024"/>
        <s v="CLR23-03-060"/>
        <s v="CLR23-03-061"/>
        <s v="CLR30-99-052"/>
        <s v="CLR30-99-053"/>
        <s v="CLR30-99-057"/>
        <s v="CLR23-03-010"/>
        <s v="CLR23-03-012"/>
        <s v="CLR23-03-013"/>
        <s v="CLR64-01-039"/>
        <s v="CLR51-99-123"/>
        <s v="CLR37-99-034"/>
        <s v="CLR23-02-008"/>
        <s v="CLR23-02-010"/>
        <s v="CLR23-02-013"/>
        <s v="CLR23-02-009"/>
        <s v="CLR64-01-026"/>
        <s v="CLR64-01-025"/>
        <s v="CLR64-01-028"/>
        <s v="CLR64-01-027"/>
        <s v="CLR64-01-034"/>
        <s v="CLR64-01-036"/>
        <s v="CLR64-01-037"/>
        <s v="CLR51-99-117"/>
        <s v="CLR51-99-115"/>
        <s v="CLR64-99-001"/>
        <s v="CLR64-99-012"/>
        <s v="CLR64-99-002"/>
        <s v="CLR64-99-005"/>
        <s v="MF64-01"/>
        <s v="CLR64-99-003"/>
        <s v="CLR64-01-038"/>
        <s v="CLR64-99-014"/>
        <s v="CLR30-01-065"/>
        <s v="CLR64-99-008"/>
        <s v="CLR64-99-004"/>
        <s v="CLR64-99-015"/>
        <s v="CLR64-99-030"/>
        <s v="CLR64-99-033"/>
        <s v="CLR64-99-016"/>
        <s v="CLR64-99-031"/>
        <s v="CLR64-99-032"/>
        <s v="CLR64-99-060"/>
        <s v="CLR31-08-008"/>
        <s v="CLR31-99-131"/>
        <s v="CLR64-99-034"/>
        <s v="CLR64-99-062"/>
        <s v="CLR64-99-028"/>
        <s v="CLR64-99-071"/>
        <s v="CLR51-99-242"/>
        <s v="CLR51-99-244"/>
        <s v="CLR51-99-245"/>
        <s v="CLR64-99-066"/>
        <s v="CLR64-99-072"/>
        <s v="CLR64-99-074"/>
        <s v="CLR31-99-132"/>
        <s v="CLR64-99-027"/>
        <s v="CLR64-99-065"/>
        <s v="CLR64-99-064"/>
        <s v="CLR64-99-067"/>
        <s v="CLR51-99-264"/>
        <s v="CLR41-99-119"/>
        <s v="CLR41-03-072"/>
        <s v="CLR41-03-064"/>
        <s v="CLR64-99-018"/>
        <s v="CLR64-99-019"/>
        <s v="CLR64-99-020"/>
        <s v="CLR64-99-017"/>
        <s v="CLR64-99-087"/>
        <s v="CLR51-99-372"/>
        <s v="CLR51-99-301"/>
        <s v="CLR51-99-375"/>
        <s v="CLR30-99-027"/>
        <s v="CLR30-99-026"/>
        <s v="CLR30-01-041"/>
        <s v="CLR32-99-069"/>
        <s v="CLR30-99-031"/>
        <s v="CLR30-99-033"/>
        <s v="CLR30-99-034"/>
        <s v="CLR30-99-035"/>
        <s v="CLR30-99-036"/>
        <s v="CLR37-01-003"/>
        <s v="CLR30-99-066"/>
        <s v="CLR30-99-067"/>
        <s v="CLR30-99-068"/>
        <s v="CLR30-01-043"/>
        <s v="CLR30-01-025"/>
        <s v="CLR30-01-019"/>
        <s v="CLR37-99-009"/>
        <s v="CLR30-02-018"/>
        <s v="CLR30-02-021"/>
        <s v="CLR30-02-023"/>
        <s v="CLR30-02-024"/>
        <s v="CLR30-99-047"/>
        <s v="CLR30-99-048"/>
        <s v="CLR30-99-049"/>
        <s v="CLR30-99-050"/>
        <s v="CLR30-99-051"/>
        <s v="CLR30-99-054"/>
        <s v="CLR30-99-055"/>
        <s v="CLR30-99-056"/>
        <s v="CLR30-01-059"/>
        <s v="CLR30-03-006"/>
        <s v="CLR30-03-009"/>
        <s v="CLR30-03-003"/>
        <s v="ISP01-08"/>
        <s v="CLR37-99-011"/>
        <s v="CLR51-99-004"/>
        <s v="CLR51-99-006"/>
        <s v="CLR51-99-067"/>
        <s v="CLR51-99-078"/>
        <s v="CLR51-99-079"/>
        <s v="CLR51-99-039"/>
        <s v="CLR51-99-040"/>
        <s v="CLR51-99-088"/>
        <s v="CLR51-99-095"/>
        <s v="CLR51-99-086"/>
        <s v="CLR51-99-087"/>
        <s v="CLR51-09-001"/>
        <s v="CLR51-09-009"/>
        <s v="CLR51-09-008"/>
        <s v="CLR51-03-010"/>
        <s v="CLR51-02-016"/>
        <s v="CLR51-99-014"/>
        <s v="CLR51-99-007"/>
        <s v="CLR51-02-001"/>
        <s v="CLR51-99-013"/>
        <s v="CLR51-99-019"/>
        <s v="CLR51-99-021"/>
        <s v="CLR51-99-017"/>
        <s v="CLR51-99-020"/>
        <s v="CLR51-99-026"/>
        <s v="CLR51-01-005"/>
        <s v="CLR29-99-153"/>
        <s v="CLR51-99-066"/>
        <s v="MF51-01"/>
        <s v="CLR51-99-034"/>
        <s v="CLR51-99-012"/>
        <s v="CLR51-99-092"/>
        <s v="CLR51-02-020"/>
        <s v="CLR51-03-005"/>
        <s v="MF51-04"/>
        <s v="MF51-03"/>
        <s v="MF51-02"/>
        <s v="CLR51-99-049"/>
        <s v="CLR64-01-010"/>
        <s v="CLR51-03-006"/>
        <s v="MF51-06"/>
        <s v="MF51-07"/>
        <s v="CLR51-01-009"/>
        <s v="CLR51-09-010"/>
        <s v="CLR51-09-011"/>
        <s v="CLR51-09-012"/>
        <s v="CLR51-99-124"/>
        <s v="CLR51-99-056"/>
        <s v="CLR51-99-058"/>
        <s v="CLR51-99-050"/>
        <s v="CLR51-08-007"/>
        <s v="CLR51-99-101"/>
        <s v="CLR51-99-104"/>
        <s v="CLR51-99-238"/>
        <s v="CLR51-99-243"/>
        <s v="CLR51-99-106"/>
        <s v="CLR51-99-107"/>
        <s v="CLR51-99-108"/>
        <s v="CLR51-99-249"/>
        <s v="CLR51-99-250"/>
        <s v="CLR51-99-370"/>
        <s v="CLR51-99-103"/>
        <s v="CLR51-99-252"/>
        <s v="CLR51-99-382"/>
        <s v="CLR51-99-381"/>
        <s v="CLR51-99-196"/>
        <s v="CLR51-99-447"/>
        <s v="CLR51-99-506"/>
        <s v="CLR51-99-658"/>
        <s v="CLR51-99-678"/>
        <s v="CLR51-99-662"/>
        <s v="CLR51-99-018"/>
        <s v="CLR51-99-038"/>
        <s v="CLR51-99-082"/>
        <s v="CLR51-99-083"/>
        <s v="CLR51-99-094"/>
        <s v="CLR51-99-118"/>
        <s v="CLR51-02-017"/>
        <s v="CLR51-99-122"/>
        <s v="CLR51-09-004"/>
        <s v="CLR51-09-007"/>
        <s v="CLR51-99-140"/>
        <s v="CLR51-99-141"/>
        <s v="CLR51-06-040"/>
        <s v="CLR51-99-212"/>
        <s v="CLR51-99-246"/>
        <s v="CLR51-99-112"/>
        <s v="CLR51-99-302"/>
        <s v="CLR51-99-257"/>
        <s v="CLR44-99-155"/>
        <s v="CLR51-99-385"/>
        <s v="CLR51-99-445"/>
        <s v="CLR51-99-483"/>
        <s v="CLR51-99-451"/>
        <s v="CLR51-03-014"/>
        <s v="CLR41-99-015"/>
        <s v="CLR41-99-016"/>
        <s v="CLR41-03-014"/>
        <s v="CLR41-03-017"/>
        <s v="CLR51-99-659"/>
        <s v="CLR51-99-681"/>
        <s v="CLR51-99-693"/>
        <s v="CLR51-99-661"/>
        <s v="CLR51-99-559"/>
        <s v="CLR51-99-691"/>
        <m u="1"/>
        <s v="CLR43-99-129" u="1"/>
        <s v="CLR37-99-019" u="1"/>
        <s v="CLR43-99-192" u="1"/>
        <s v="CLR43-99-193" u="1"/>
        <s v="CLR43-99-194" u="1"/>
        <s v="CLR43-99-195" u="1"/>
        <s v="CLR09-99-156" u="1"/>
        <s v="CLR09-99-147" u="1"/>
        <s v="CLR09-99-157" u="1"/>
        <s v="CLR43-99-197" u="1"/>
        <s v="CLR37-99-017" u="1"/>
        <s v="CLR09-99-158" u="1"/>
      </sharedItems>
    </cacheField>
    <cacheField name="SiteName" numFmtId="0">
      <sharedItems containsBlank="1" count="468">
        <s v="Kepanjen Lor RW 01 Blitar"/>
        <s v="Kepanjen Lor RW 04 Blitar"/>
        <s v="Kepanjen Lor RW 03 Blitar"/>
        <s v="Sentul RW 09 Blitar"/>
        <s v="Blitar RW 01"/>
        <s v="Blitar RW 03"/>
        <s v="Kepanjen Kidul RW 01 Blitar"/>
        <s v="Blitar RW 04"/>
        <s v="Perumahan Menganti Permai"/>
        <s v="Randegansari RW 02"/>
        <s v="Randegansari RW 05"/>
        <s v="Randegansari RW 06"/>
        <s v="Randegansari RW 01"/>
        <s v="Randegansari RW 03"/>
        <s v="Randegansari RW 04"/>
        <s v="Randegansari RW 07"/>
        <s v="Hulaan RW 01 Menganti"/>
        <s v="Hulaan RW 02 Menganti"/>
        <s v="Hulaan RW 06 Menganti"/>
        <s v="Hulaan RW 07 Menganti"/>
        <s v="Hulaan RW 08 Menganti"/>
        <s v="Hulaan RW 03 Menganti"/>
        <s v="Perumahan Bukit Cemara Wangi Gresik Regency"/>
        <s v="Morowudi RW 02 Cerme"/>
        <s v="Morowudi RW 05 Cerme"/>
        <s v="Morowudi RW 04 Cerme"/>
        <s v="Morowudi RW 01 Cerme"/>
        <s v="Morowudi RW 03 Cerme"/>
        <s v="Domas RW 01 Menganti"/>
        <s v="Domas RW 02 Menganti"/>
        <s v="Domas RW 03 Menganti"/>
        <s v="Domas RW 04 Menganti"/>
        <s v="Domas RW 05 Menganti"/>
        <s v="Gempolkurung RW 01 Menganti"/>
        <s v="Dahanrejo RW 04"/>
        <s v="Gempolkurung RW 02 Menganti"/>
        <s v="Putat Lor RW 01 Menganti"/>
        <s v="Putat Lor RW 02 Menganti"/>
        <s v="Petiken RW 01"/>
        <s v="Petiken RW 03"/>
        <s v="Petiken RW 05"/>
        <s v="Petiken RW 02"/>
        <s v="Petiken RW 04"/>
        <s v="Petiken RW 06"/>
        <s v="Gempolkurung RW 06 Menganti"/>
        <s v="Perumahan Griya Permata Tempel Indah Krian"/>
        <s v="Kesambenwetan RW 01 Driyorejo"/>
        <s v="Kesambenwetan RW 02 Driyorejo"/>
        <s v="Perumahan Griya Prandon Permai Ngawi"/>
        <s v="Dalisodo RW 01 Wagir"/>
        <s v="Pandanlandung RW 05 Wagir"/>
        <s v="Dalisodo RW 02 Wagir"/>
        <s v="Dalisodo RW 03 Wagir"/>
        <s v="Dalisodo RW 04 Wagir"/>
        <s v="Dalisodo RW 05 Wagir"/>
        <s v="Putat Lor RW 04 Menganti"/>
        <s v="Putat Lor RW 03 Menganti"/>
        <s v="Mojotengah RW 01 Menganti"/>
        <s v="Mojotengah RW 02 Menganti"/>
        <s v="Mojotengah RW 03 Menganti"/>
        <s v="Mojotengah RW 05 Menganti"/>
        <s v="Mojotengah RW 06 Menganti"/>
        <s v="Mojotengah RW 07 Menganti"/>
        <s v="Sumput RW 01 Driyorejo"/>
        <s v="Sumput RW 02 Driyorejo"/>
        <s v="Sumput RW 03 Driyorejo"/>
        <s v="Sumput RW 05 Driyorejo"/>
        <s v="Sumput RW 04 Driyorejo"/>
        <s v="Sidojangkung RW 01 Menganti"/>
        <s v="Sidojangkung RW 03 Menganti"/>
        <s v="Sidojangkung RW 04 Menganti"/>
        <s v="Gempolkurung RW 05 Menganti"/>
        <s v="Sidojangkung RW 02 Menganti"/>
        <s v="Main Feeder - OLT Kedamean Segment 2 to Krian"/>
        <s v="Hub Feeder - OLT Kedamean to Mojosarirejo"/>
        <s v="Main Feeder - OLT Kedamean Segment 1 to Lakarsantri"/>
        <s v="Munggut RW 04 Wungu"/>
        <s v="Rejomulyo RW 06 Madiun"/>
        <s v="Barengkrajan RW 02 Krian"/>
        <s v="Barengkrajan RW 06 Krian"/>
        <s v="Barengkrajan RW 01 Krian"/>
        <s v="Barengkrajan RW 03 Krian"/>
        <s v="Perumahan Bhummi Cermai Apsari Gresik"/>
        <s v="Hub Feeder - OLT Cerme to Desa Gempolkurung"/>
        <s v="Open Area Jl S Parman Beran"/>
        <s v="Barengkrajan RW 04 Krian Sidoarjo"/>
        <s v="Perumahan Java Land Lamongan"/>
        <s v="Perumahan Perumnas Talangagung I Malang"/>
        <s v="Kebonagung RW 13 Pakisaji"/>
        <s v="Perumahan Kepanjen Permai II"/>
        <s v="Open Area Kelurahan Gedangkulut Cerme Gresik"/>
        <s v="Tubanan RW 07 Tandes"/>
        <s v="Open Area Jl Raya Menganti Karang Turi Menganti"/>
        <s v="Perumahan Taman Menganti Emas Mojotengah"/>
        <s v="Gisik Cemandi RW 02 Surabaya"/>
        <s v="Jatikalang RW 01 Krian Sidoarjo"/>
        <s v="Gisik Cemandi RW 03 Surabaya"/>
        <s v="Gisik Cemandi RW 04 Surabaya"/>
        <s v="Perumahan Green River Park Gresik"/>
        <s v="PERUMAHAN DE NAILA GARDEN GRESIK"/>
        <s v="Krikilan RW 03 Driyorejo"/>
        <s v="Krikilan RW 02 Driyorejo"/>
        <s v="Krikilan RW 05 Driyorejo"/>
        <s v="Wahas RW 01 Balongpanggang"/>
        <s v="Beton RW 04 Gresik"/>
        <s v="JATIKALANG RW 02 SURABAYA"/>
        <s v="JATIKALANG RW 03 SURABAYA"/>
        <s v="Bibis RW 03 Menganti"/>
        <s v="Beton RW 01 Menganti"/>
        <s v="PAGERNGUMBUK RW 01 SURABAYA"/>
        <s v="PAGERNGUMBUK RW 02 SURABAYA"/>
        <s v="PAGERNGUMBUK RW 03 SURABAYA"/>
        <s v="Perumahan Puri Asta Kencana Gresik"/>
        <s v="Mbulan Ngamplak Gresik"/>
        <s v="WATUGOLONG RT 10 RW 05 SURABAYA"/>
        <s v="WATUGOLONG RW 01 SURABAYA"/>
        <s v="WATUGOLONG RW 04 SURABAYA"/>
        <s v="WATUGOLONG RW 06 SURABAYA"/>
        <s v="MONOKREMBANGAN RW 05 SURABAYA"/>
        <s v="PERUMAHAN DE NAILA PARK GRESIK"/>
        <s v="JIKEN RW 02 SURABAYA"/>
        <s v="JIKEN RW 01 SURABAYA"/>
        <s v="Rejomulyo RW 05"/>
        <s v="Open Area Jl Dusun Sumari"/>
        <s v="KELURAHAN TIREM GRESIK"/>
        <s v="JIKEN RW 03 SURABAYA"/>
        <s v="KELURAHAN WOTANSARI GRESIK"/>
        <s v="PERUMAHAN THE FAZZA GRESIK"/>
        <s v="MAYANGAN RW 02 JOMBANG"/>
        <s v="Hubfeeder OLT Kedamean - segment   Driyorejo"/>
        <s v="Desa Seketi Jombang"/>
        <s v="JABARAN RT 01 RW 01 SURABAYA"/>
        <s v="SIMOGIRANG RW 01 SIDOARJO"/>
        <s v="SIMOGIRANG RW 02 SIDOARJO"/>
        <s v="SIMOGIRANG RW 03 SIDOARJO"/>
        <s v="Simogirang RW 04 Prambon"/>
        <s v="SIMOGIRANG RW 05 SIDOARJO"/>
        <s v="Kelurahan Bendung Jetis"/>
        <s v="Main Feeder - OLT Smart Malang   Segment 8 to Sumbersekar"/>
        <s v="Mojongapit RW 04 Jombang"/>
        <s v="Mancilan RW 02"/>
        <s v="Perumahan Bumi Mojoasri Mancilan"/>
        <s v="Dusun Kedungpapar Sumobito"/>
        <s v="Dusun Losari Sumobito"/>
        <s v="Dusun Penampan Sumobito"/>
        <s v="Dusun Tragal Sumobito"/>
        <s v="Babut RW 01 Sumobito"/>
        <s v="Babut RW 02 Sumobito"/>
        <s v="Mojodadi RW 01 Sumobito"/>
        <s v="Mojodadi RW 02 Sumobito"/>
        <s v="Plemahan RW 01 Sumobito"/>
        <s v="Plemahan RW 02 Sumobito"/>
        <s v="Hubfeeder Kedungpapar Mojoagung Jombang"/>
        <s v="Pagerwojo RW 01"/>
        <s v="Pagerwojo RW 02"/>
        <s v="Pagerwojo RW 03"/>
        <s v="Pagerwojo RW 04"/>
        <s v="Perumahan Bumi Karangasri RW 13 Ngawi"/>
        <s v="Ngadirejo RW 05 Ngawi"/>
        <s v="Palrejo RW 01 Sumobito"/>
        <s v="Palrejo RW 02 Sumobito"/>
        <s v="Palrejo RW 03 Sumobito"/>
        <s v="Sumberwaru RW 01 Sumobito"/>
        <s v="Sumberwaru RW 02 Sumobito"/>
        <s v="Bobang RW 04 Kediri"/>
        <s v="Karobelah RW 02 Mojoagung"/>
        <s v="Karobelah RW 04 Mojoagung"/>
        <s v="Karobelah RW 05 Mojoagung"/>
        <s v="Karobelah RW 06 Mojoagung"/>
        <s v="Karobelah RW 01 Mojoagung"/>
        <s v="Karobelah RW 03 Mojoagung"/>
        <s v="Barong Sawahan RW 02   Bandarkedungmulyo"/>
        <s v="Open Area Jl Raya Sumber Agung Jombang"/>
        <s v="Dusun Sumber Bendo Kucur"/>
        <s v="Dusun Klampok Kucur"/>
        <s v="Dusun Klaseman Kucur"/>
        <s v="Dusun Ketohan Kucur"/>
        <s v="Dusun Turi Kucur"/>
        <s v="Dusun Krajan Kucur"/>
        <s v="Desa Murukan Jombang"/>
        <s v="Sengguruh RW 02 Malang"/>
        <s v="DUSUN BANYUANYAR JOMBANG"/>
        <s v="DUSUN PLEMAHAN JOMBANG"/>
        <s v="DUSUN KETANEN JOMBANG"/>
        <s v="DUSUN KUNCUNG JOMBANG"/>
        <s v="Desa Johowinong Jombang"/>
        <s v="Gambiran RW 01"/>
        <s v="Kelurahan Sidomulyo Megaluh"/>
        <s v="OLT Sumobito"/>
        <s v="DUSUN BENJENG KEPUHKAJANG JOMBANG"/>
        <s v="KEPUHKAJANG RW 02 JOMBANG"/>
        <s v="OPEN AREA JALAN RAYA BEKEL KELURAHAN KEPUHKAJANG JOMBANG"/>
        <s v="PERAK RW 01 JOMBANG"/>
        <s v="PERAK RW 02 JOMBANG"/>
        <s v="Sukorame RW 07 Kediri"/>
        <s v="Wonocatur RW 01 Ngasem"/>
        <s v="Wonocatur RW 02 Ngasem"/>
        <s v="Wonocatur RW 03 Ngasem"/>
        <s v="Bulu RW 03 Semen"/>
        <s v="Bulu RW 08 Semen"/>
        <s v="Titik RW 02 Kediri"/>
        <s v="Titik RW 03 Semen"/>
        <s v="Bulu RW 01 Semen"/>
        <s v="Bulu RW 02 Semen"/>
        <s v="Bulu RW 04 Semen"/>
        <s v="Bulu RW 05 Kediri"/>
        <s v="Bulu RW 09 Semen"/>
        <s v="Bulu RW 10 Semen"/>
        <s v="Desa Petok Mojo"/>
        <s v="Hub Feeder OLT Mojoroto Segmen 1 to Mondo"/>
        <s v="Mondo RW 01 Mojo"/>
        <s v="Mondo RW 02 Mojo"/>
        <s v="Mondo RW 03 Mojo"/>
        <s v="Mondo RW 04 Mojo"/>
        <s v="Darungan RW 07 Pare"/>
        <s v="Pelem RW 04 Pare"/>
        <s v="Pelem RW 05 Pare"/>
        <s v="Open Area Jl Raya Buluampal Pare Kediri"/>
        <s v="Pelem RW 17 Pare"/>
        <s v="Bendo RW 11 Pare"/>
        <s v="Bendo RW 12 Pare"/>
        <s v="Open Area Jl Langkat Pelem Pare"/>
        <s v="Open Area Jl Soekarno Hatta Pare"/>
        <s v="Open Area Jl Raden Ajeng Kartini Kediri"/>
        <s v="Mutiara Joyoboyo"/>
        <s v="Perum PNS GOR Joyoboyo"/>
        <s v="Open Area Jl Slamet Pare Kediri"/>
        <s v="Open Area Jl Puncak Jaya Pare Kediri"/>
        <s v="Pare RW 04 Kediri"/>
        <s v="Pare RW 07 Kediri"/>
        <s v="Betet RW 02 Pesantren"/>
        <s v="Kauman RW 09 Blitar"/>
        <s v="Kauman RW 07 Blitar"/>
        <s v="Tulungrejo RW 20 Pare"/>
        <s v="Open Area Jl Yos Sudarso Tulungrejo"/>
        <s v="Mulyoasri RW 10 Pare"/>
        <s v="Tulungrejo RW 16 Pare"/>
        <s v="Tulungrejo RW 04 Pare"/>
        <s v="Tulungrejo RW 12 Pare"/>
        <s v="Pelem RW 14 Pare"/>
        <s v="Tulungrejo RW 18 Pare"/>
        <s v="Open Area Jl Gajahmada Kediri"/>
        <s v="PARE RW 17 KEDIRI"/>
        <s v="PARE RW 19 KEDIRI"/>
        <s v="Dusun Ngadirejo 1 Wonoasri"/>
        <s v="Dusun Ngadirejo 2 Wonoasri"/>
        <s v="Dusun Pojok Wonoasri"/>
        <s v="Sumberbendo RW 03 Pare"/>
        <s v="Sumberbendo RW 01 Pare"/>
        <s v="Open Area Jl Lawu Sumberbendo Pare"/>
        <s v="Bakalanpule RW 06 Tikung"/>
        <s v="Tambakasri RW 02 Tajinan"/>
        <s v="Desa Gelung Ngawi"/>
        <s v="Sambiresik RW 01 Gampengrejo"/>
        <s v="Sambiresik RW 03 Gampengrejo"/>
        <s v="Open Area Jl Tugu Sambirejo"/>
        <s v="Sambiresik RW 02 Gampengrejo"/>
        <s v="Tambakrigadung RW 06 Tikung"/>
        <s v="Tambakrigadung RW 01 Tikung"/>
        <s v="Jatirejo RW 03 Tikung"/>
        <s v="Jatirejo RW 02 Tikung"/>
        <s v="Perumahan Kaliber 1 Gresik"/>
        <s v="Sidomukti RW 02 Lamongan"/>
        <s v="Sidomukti RW 01 Lamongan"/>
        <s v="Sengguruh RW 03 Malang"/>
        <s v="Sengguruh RW 01 Malang"/>
        <s v="Desa Pengumbulanadi Lamongan"/>
        <s v="Deket Kulon Lamongan"/>
        <s v="Desa Dukuhagung Lamongan"/>
        <s v="Desa Wajik Lamongan"/>
        <s v="Hub Feeder - Segment 1 OLT Lamongan   to Bakalanpule"/>
        <s v="Desa Sumberjo Lamongan"/>
        <s v="Bakalanpule RW 03 Tikung"/>
        <s v="DESA TAKERANKLATING LAMONGAN"/>
        <s v="Sendangrejo RW 01 Madiun"/>
        <s v="GUMININGREJO RW 02 DAN RW 03 LAMONGAN"/>
        <s v="Desa Rancangkencono Lamongan"/>
        <s v="DESA SAMBANGAN LAMONGAN"/>
        <s v="DESA DUMPIAGUNG LAMONGAN"/>
        <s v="DESA TUGU LAMONGAN"/>
        <s v="DESA KEYONGAN LAMONGAN"/>
        <s v="DESA KATEMAS LAMONGAN"/>
        <s v="DESA SUMBERKEREP LAMONGAN"/>
        <s v="Guminingrejo RW 01 Tikung"/>
        <s v="DESA SUKOREJO GRESIK"/>
        <s v="DESA KALIREJO GRESIK"/>
        <s v="BOTOPUTIH RW 01 DAN 02 LAMONGAN"/>
        <s v="BOTOPUTIH RW 01, 03, DAN 06 LAMONGAN"/>
        <s v="WANAR  RW 01 SAMPAI 07 LAMONGAN"/>
        <s v="DESA GINTUNGAN LAMONGAN"/>
        <s v="DESA GADUNGAN PONCOKUSUMO MALANG"/>
        <s v="DESA KRAJANI PONCOKUSUMO MALANG"/>
        <s v="DESA PANCURAN PONCOKUSUMO MALANG"/>
        <s v="OPEN AREA JL ABDUL MADJID   SUMBERDADI LAMONGAN"/>
        <s v="DESA KELORARUM LAMONGAN"/>
        <s v="KELURAHAN RUMPUK LAMONGAN"/>
        <s v="DESA LASEM GRESIK"/>
        <s v="GEMPOLPADING RW 04 LAMONGAN"/>
        <s v="OPEN AREA JL RAYA MANTUP SUMBERDADI LAMONGAN"/>
        <s v="OPEN AREA JL DESA KEDUNGSOKO SUMBERDADI LAMONGAN"/>
        <s v="OPEN AREA JL ABDUL MADJID SUMBERDADI LAMONGAN"/>
        <s v="DUSUN BALONG RW 01 SUMBERDADI LAMONGAN"/>
        <s v="DUSUN LOR KALI PONCOKUSUMO MALANG"/>
        <s v="TEMU RW 01 PRAMBON"/>
        <s v="TEMU RW 03 SURABAYA"/>
        <s v="JABARAN RW 01 SURABAYA"/>
        <s v="SF-DESA KELORARUM LAMONGAN"/>
        <s v="DUSUN SEMAMBUNG LAMONGAN"/>
        <s v="DUSUN GEDONG LAMONGAN"/>
        <s v="DUSUN GAPUK LAMONGAN"/>
        <s v="DUSUN   GOWOK LAMONGAN"/>
        <s v="DESA SOKO LAMONGAN"/>
        <s v="PALAAN RW 01 SAMPAI 05 MALANG"/>
        <s v="MADYOPURO RW 05 MALANG"/>
        <s v="PALAAN RW 06 SAMPAI 10 MALANG"/>
        <s v="Dempelan RW 01 Madiun"/>
        <s v="Dempelan RW 02 Madiun"/>
        <s v="Dempelan RW 03 Madiun"/>
        <s v="Sitirejo RW 01 Wagir"/>
        <s v="Nglanduk RW 01 Wungu"/>
        <s v="Nglanduk RW 02 Wungu"/>
        <s v="Nglanduk RW 03 Wungu"/>
        <s v="Nglanduk RW 04 Wungu"/>
        <s v="Nglanduk RW 05 Wungu"/>
        <s v="Ketanggi RW 04 Ngawi"/>
        <s v="Munggut RW 01 Wungu"/>
        <s v="Munggut RW 02 Wungu"/>
        <s v="Munggut RW 03 Wungu"/>
        <s v="Open Area Jl Imam Bonjol Madiun"/>
        <s v="Rejomulyo RW 03 Madiun"/>
        <s v="Rejomulyo RW 08 Madiun"/>
        <s v="Desa Watualang Ngawi"/>
        <s v="Nambangan Kidul RW 04"/>
        <s v="Nambangan Kidul RW 10"/>
        <s v="Nambangan Kidul RW 07"/>
        <s v="Nambangan Kidul RW 06"/>
        <s v="Sirapan RW 02 Madiun"/>
        <s v="Sirapan RW 03 Madiun"/>
        <s v="Sirapan RW 04 Madiun"/>
        <s v="Sirapan RW 05 Madiun"/>
        <s v="Sirapan RW 01 Madiun"/>
        <s v="Dusun Templek Wonoasri"/>
        <s v="Dusun Cambor Wonoasri"/>
        <s v="Dusun Balongkore Wonoasri"/>
        <s v="Kelun RW 01"/>
        <s v="Purwosari RW 04 Wonoasri Madiun"/>
        <s v="Purwosari RW 03 Wonoasri"/>
        <s v="Kaliabu RW 02 Mejayan Madiun"/>
        <s v="OLT Kertosono"/>
        <s v="Desa Jambangan Paron"/>
        <s v="Perumahan Bumi Podo Rukun Dau"/>
        <s v="Mulyorejo RW 04 Sukun"/>
        <s v="Bandulan RW 08 Sukun"/>
        <s v="Bumiayu RW 03 Kedungkandang"/>
        <s v="Bumiayu RW 05 Kedungkandang"/>
        <s v="Tunjungtirto RW 01 Singosari"/>
        <s v="Tunjungtirto RW 08 Singosari"/>
        <s v="Pandanlandung RW 02 Wagir"/>
        <s v="Candirenggo RW 10 Singosari"/>
        <s v="Klampok RW 01 Singosari"/>
        <s v="Lawang RW 06 Malang"/>
        <s v="Pakisaji RW 01 Malang"/>
        <s v="Dilem RW 03 Kepanjen"/>
        <s v="Dilem RW 04 Kepanjen"/>
        <s v="Dusun Krajan Sumbersekar"/>
        <s v="Ngenep RW 06 Karang Ploso"/>
        <s v="Pandanlandung RW 04 Wagir"/>
        <s v="Mulyorejo RW 06 Sukun"/>
        <s v="Puncak Dieng Exlusif"/>
        <s v="Pandanlandung RW 03 Wagir"/>
        <s v="Sidorahayu RW 02 Wagir"/>
        <s v="Jedong RW 09 Wagir"/>
        <s v="Sukodadi RW 01 Wagir"/>
        <s v="Jedong RW 08 Wagir"/>
        <s v="Jedong RW 07 Wagir"/>
        <s v="Baturetno RW 02 Singosari Malang"/>
        <s v="Perumahan Pondok Mutiara Malang"/>
        <s v="Tamanharjo RW 04 Singosari"/>
        <s v="Hubfedeer Baturetno RW 02"/>
        <s v="Tanjungtirto RW 05 Singosari"/>
        <s v="Pandanlandung RW 01 Wagir"/>
        <s v="Krlurahan Lowokwaru RW 14 Lowokwaru"/>
        <s v="Lowokwaru RW 04"/>
        <s v="Dusun Langlang IV Singosari"/>
        <s v="Hub Feeder Segment 1 OLT Singosari to Girimoyo"/>
        <s v="HUBFEEDER OLT KEPANJEN TO JATIKERTO"/>
        <s v="HUBFEEDER DALISODO WAGIR MALANG"/>
        <s v="Perumahan Panca Garden"/>
        <s v="Perumahan Deket Lamongan"/>
        <s v="Main Feeder - OLT Smart Malang Segment 8 to Sumbersekar"/>
        <s v="Dusun Mojosari Ngenep"/>
        <s v="MAIN_FEEDER_OLT_SINGOSARI_SEGMENT_3_TO_MALANG_FO_144C"/>
        <s v="HUB_FEEDER_SEGMENT_3_OLT_SINGOSARI_TO_KLAMPOK_FO_144C "/>
        <s v="Kalirejo RW 13 Lawang Malang"/>
        <s v="Bedali RW 03 Kromengan"/>
        <s v="BEDALI RW 04 MALANG"/>
        <s v="Bedali RW 05 Kromengan"/>
        <s v="Perumahan Bukit Lawang Indah Malang"/>
        <s v="Dusun Cupak RW 01"/>
        <s v="Dusun Cupak RW 02"/>
        <s v="Perumahan De Wira Green View"/>
        <s v="Sitirejo RW 04 Wagir"/>
        <s v="BULULAWANG RW 01, 02, 03, 04, 06   MALANG"/>
        <s v="BULULAWANG RW 05 MALANG"/>
        <s v="ARJOWINANGUN RW 01 MALANG"/>
        <s v="DESA KARANGANYAR KIDUL PONCOKUSUMO   MALANG"/>
        <s v="KREBET SENGGRONG RW 04"/>
        <s v="KREBET RW 03"/>
        <s v="KREBET RW 05"/>
        <s v="PERMANU RW 04 MALANG"/>
        <s v="PERMANU RW 03 MALANG"/>
        <s v="Perumahan Bululawang Permai RW 02"/>
        <s v="KREBET SENGGRONG RW 02 MALANG"/>
        <s v="KREBET SENGGRONG RW 03 MALANG"/>
        <s v="DUSUN SIDOAYU KELURAHAN SIDEREJO MALANG"/>
        <s v="DUSUN ARDIREJO KELURAHAN SIDEREJO MALANG"/>
        <s v="Griya Kebon Agung Indah"/>
        <s v="SEKARPURO RW 05 MALANG"/>
        <s v="WONOKOYO RW 05 KEDUNGKANDANG"/>
        <s v="SUMBERSEKAR RT 07 RW 04 MALANG"/>
        <s v="KAMBINGAN RW 04 MALANG"/>
        <s v="KESATRIAN RW 09 MALANG"/>
        <s v="Sukodadi RW 02 Wagir"/>
        <s v="Baturetno RW 03 Singosari"/>
        <s v="Dengkol RW 02 Singosari Malang"/>
        <s v="Dengkol RW 03 Singosari Malang"/>
        <s v="Tanjungtirto RW 06 Singosari"/>
        <s v="NGENEP UTARA RW 03 MALANG"/>
        <s v="Ngenep RW 04 Karang Ploso"/>
        <s v="Ngenep RW 10 Malang"/>
        <s v="Permanu RW 02 Pakisaji"/>
        <s v="PERMANU RW 01 MALANG"/>
        <s v="Temas RW 04"/>
        <s v="Temas RW 05"/>
        <s v="Tirtamaya Inside"/>
        <s v="KEBONAGUNG RW 01 MALANG"/>
        <s v="KREBET RW 04"/>
        <s v="BULULAWANG RW 07 MALANG"/>
        <s v="LESANPURO RW 06 MALANG"/>
        <s v="Asshofa Residence"/>
        <s v="KEBONAGUNG RW 06 PAKISAJI"/>
        <s v="LESANPURO RW 01 MALANG"/>
        <s v="SEKARPURO RW 04 MALANG"/>
        <s v="RANDUANGUNG RW 04 SINGOSARI MALANG"/>
        <s v="SEKARPURO RW 08 MALANG"/>
        <s v="Godehan RW 10 Kucur"/>
        <s v="Sidomojo RW 01 Krian"/>
        <s v="Tambak Kemekaran RW 01 Sidoarjo"/>
        <s v="Krian RW 04 Sidoarjo"/>
        <s v="Kemasan RW 03 Krian Sidoarjo"/>
        <s v="SUMBERKRADENAN RT5,6,7,8 RW 05 MALANG"/>
        <s v="Perum The Emerald Malang"/>
        <s v="NGAGLIK RW 03 BATU"/>
        <s v="KEMANTREN RW 03 BANDUNGREJOSARI MALANG"/>
        <s v="TANJUNGREJO RW 05 MALANG "/>
        <s v="Sumbersekar RW 01 Malang"/>
        <m u="1"/>
        <s v="TANJUNG ANOM RW 02 KENDAL" u="1"/>
        <s v="SIDAMULYA RW 01 KEMRANJEN" u="1"/>
        <s v="PASINGGANGAN RW 02 PURWOKERTO" u="1"/>
        <s v="PASINGGANGAN RW 03 PURWOKERTO" u="1"/>
        <s v="PASINGGANGAN RW 04 PURWOKERTO" u="1"/>
        <s v="ROWOSARI RW 04 KENDAL" u="1"/>
        <s v="ROWOSARI RW 03 KENDAL" u="1"/>
        <s v="ROWOSARI RW 02 KENDAL" u="1"/>
        <s v="ROWOSARI RW 01 KENDAL" u="1"/>
        <s v="PARON RW 01 NGAWI" u="1"/>
        <s v="PARON RW 03 NGAWI" u="1"/>
      </sharedItems>
    </cacheField>
    <cacheField name="Subcon" numFmtId="0">
      <sharedItems/>
    </cacheField>
    <cacheField name="REGION" numFmtId="0">
      <sharedItems count="3">
        <s v="East Java"/>
        <s v="East Java "/>
        <s v="Central Java" u="1"/>
      </sharedItems>
    </cacheField>
    <cacheField name="City" numFmtId="0">
      <sharedItems count="14">
        <s v="Blitar"/>
        <s v="Gresik"/>
        <s v="Surabaya"/>
        <s v="Ngawi"/>
        <s v="Malang"/>
        <s v="Madiun"/>
        <s v="Lamongan"/>
        <s v="Mojokerto"/>
        <s v="Jombang"/>
        <s v="Kediri"/>
        <e v="#N/A"/>
        <s v="Nganjuk"/>
        <s v="Purwokerto" u="1"/>
        <s v="Kendal" u="1"/>
      </sharedItems>
    </cacheField>
    <cacheField name="Drop to CITY" numFmtId="0">
      <sharedItems count="14">
        <s v="EJ-Blitar-01"/>
        <s v="EJ-Gresik-01"/>
        <s v="EJ-Jombang-01"/>
        <s v="EJ-Kediri-01"/>
        <s v="EJ-Lamongan-01"/>
        <s v="EJ-Madiun-01"/>
        <s v="EJ-Malang-01"/>
        <s v="EJ-Sidoarjo-01"/>
        <s v="Malang" u="1"/>
        <s v="Purwokerto" u="1"/>
        <s v="CJ-Purwokerto-01" u="1"/>
        <s v="Lamongan" u="1"/>
        <s v="CJ-Kendal-01" u="1"/>
        <s v="Ngawi" u="1"/>
      </sharedItems>
    </cacheField>
    <cacheField name="DO Number" numFmtId="0">
      <sharedItems containsBlank="1" count="1137">
        <s v="DOEID240229BL"/>
        <s v="DOEID240229BO"/>
        <s v="DOEID240229BK"/>
        <s v="DOEID240229BM"/>
        <s v="DOEID240229BN"/>
        <s v="DOEID240314DV"/>
        <s v="DOEID240314DW"/>
        <s v="DOEID240314DX"/>
        <s v="DOEID24031913"/>
        <s v="DOEID24031915"/>
        <s v="DOEID24031917"/>
        <s v="DOEID24031910"/>
        <s v="DOEID24031911"/>
        <s v="DOEID24031912"/>
        <s v="DOEID24031914"/>
        <s v="DOEID24031916"/>
        <s v="DOEID240426CS"/>
        <s v="DOEID240426CU"/>
        <s v="DOEID24042918"/>
        <s v="DOEID24042917"/>
        <s v="DOEID240502AP"/>
        <s v="DOEID23091126"/>
        <s v="DOEID23091127"/>
        <s v="DOEID23092462"/>
        <s v="DOEID23100393"/>
        <s v="DOEID23100399"/>
        <s v="DOEID231003A1"/>
        <s v="DOEID23100390"/>
        <s v="DOEID23100391"/>
        <s v="DOEID23100392"/>
        <s v="DOEID23100394"/>
        <s v="DOEID23100395"/>
        <s v="DOEID23100396"/>
        <s v="DOEID23100397"/>
        <s v="DOEID23100398"/>
        <s v="DOEID231003A0"/>
        <s v="DOEID231003A2"/>
        <s v="DOEID231003A3"/>
        <s v="DOEID23100939"/>
        <s v="DOEID23100944"/>
        <s v="DOEID23100947"/>
        <s v="DOEID23100958"/>
        <s v="DOEID23100960"/>
        <s v="DOEID23100942"/>
        <s v="DOEID23100945"/>
        <s v="DOEID23100950"/>
        <s v="DOEID23100957"/>
        <s v="DOEID23100959"/>
        <s v="DOEID23100961"/>
        <s v="DOEID23100963"/>
        <s v="DOEID23102355"/>
        <s v="DOEID23102357"/>
        <s v="DOEID23102360"/>
        <s v="DOEID23102362"/>
        <s v="DOEID23102364"/>
        <s v="DOEID23102354"/>
        <s v="DOEID23102356"/>
        <s v="DOEID23102358"/>
        <s v="DOEID23102359"/>
        <s v="DOEID23102361"/>
        <s v="DOEID23102363"/>
        <s v="DOEID23102365"/>
        <s v="DOEID23102366"/>
        <s v="DOEID23102878"/>
        <s v="DOEID23102879"/>
        <s v="DOEID23102880"/>
        <s v="DOEID23102881"/>
        <s v="DOEID231031A1"/>
        <s v="DOEID231031A2"/>
        <s v="DOEID231031A4"/>
        <s v="DOEID231031A5"/>
        <s v="DOEID231031A6"/>
        <s v="DOEID231031A7"/>
        <s v="DOEID231031A8"/>
        <s v="DOEID231120CA"/>
        <s v="DOEID231120CF"/>
        <s v="DOEID23112148"/>
        <s v="DOEID231120C7"/>
        <s v="DOEID231120C8"/>
        <s v="DOEID231120C9"/>
        <s v="DOEID231120CB"/>
        <s v="DOEID231120CE"/>
        <s v="DOEID23112147"/>
        <s v="DOEID231120CH"/>
        <s v="DOEID231120CJ"/>
        <s v="DOEID231120CL"/>
        <s v="DOEID231120CN"/>
        <s v="DOEID231120CP"/>
        <s v="DOEID231120CG"/>
        <s v="DOEID231120CI"/>
        <s v="DOEID231120CK"/>
        <s v="DOEID231120CM"/>
        <s v="DOEID231120CO"/>
        <s v="DOEID23112363"/>
        <s v="DOEID23112364"/>
        <s v="DOEID23120190"/>
        <s v="DOEID23120191"/>
        <s v="DOEID231201AN"/>
        <s v="DOEID23120865"/>
        <s v="DOEID23120866"/>
        <s v="DOEID23120877"/>
        <s v="DOEID23120878"/>
        <s v="DOEID23120879"/>
        <s v="DOEID23121352"/>
        <s v="DOEID23121353"/>
        <s v="DOEID24011631"/>
        <s v="DOEID24011951"/>
        <s v="DOEID24011953"/>
        <s v="DOEID24011950"/>
        <s v="DOEID24011952"/>
        <s v="DOEID240205C0"/>
        <s v="DOEID240205BZ"/>
        <s v="DOEID240206BF"/>
        <s v="DOEID24021525"/>
        <s v="DOEID24021527"/>
        <s v="DOEID24021524"/>
        <s v="DOEID24021526"/>
        <s v="DOEID240219BF"/>
        <s v="DOEID240219BI"/>
        <s v="DOEID240219BM"/>
        <s v="DOEID240219BE"/>
        <s v="DOEID240219BG"/>
        <s v="DOEID240219BH"/>
        <s v="DOEID240219BJ"/>
        <s v="DOEID240219BK"/>
        <s v="DOEID240219BL"/>
        <s v="DOEID240219BN"/>
        <s v="DOEID240226CB"/>
        <s v="DOEID240226CA"/>
        <s v="DOEID240229BE"/>
        <s v="DOEID240229BF"/>
        <s v="DOEID240229BH"/>
        <s v="DOEID240229BJ"/>
        <s v="DOEID240229BG"/>
        <s v="DOEID240229BI"/>
        <s v="DOEID240304BK"/>
        <s v="DOEID240304BQ"/>
        <s v="DOEID240304BS"/>
        <s v="DOEID240304BV"/>
        <s v="DOEID240304BW"/>
        <s v="DOEID240304BY"/>
        <s v="DOEID240304BM"/>
        <s v="DOEID240314CW"/>
        <s v="DOEID240314CT"/>
        <s v="DOEID240314CU"/>
        <s v="DOEID240314CV"/>
        <s v="DOEID240314CX"/>
        <s v="DOEID240314CY"/>
        <s v="DOEID240314CZ"/>
        <s v="DOEID240314D0"/>
        <s v="DOEID240314D1"/>
        <s v="DOEID240314D2"/>
        <s v="DOEID240314D3"/>
        <s v="DOEID240314D4"/>
        <s v="DOEID240314D5"/>
        <s v="DOEID240314D6"/>
        <s v="DOEID240314D7"/>
        <s v="DOEID240314D8"/>
        <s v="DOEID240314D9"/>
        <s v="DOEID240314DA"/>
        <s v="DOEID240314DU"/>
        <s v="DOEID240314DZ"/>
        <s v="DOEID240314E0"/>
        <s v="DOEID24032779"/>
        <s v="DOEID24032780"/>
        <s v="DOEID24040110"/>
        <s v="DOEID240416AO"/>
        <s v="DOEID240416AP"/>
        <s v="DOEID240416AQ"/>
        <s v="DOEID240416AR"/>
        <s v="DOEID240416AS"/>
        <s v="DOEID240416AT"/>
        <s v="DOEID240416AU"/>
        <s v="DOEID240416AV"/>
        <s v="DOEID240416AW"/>
        <s v="DOEID240416AX"/>
        <s v="DOEID240416AY"/>
        <s v="DOEID240416AZ"/>
        <s v="DOEID240416B0"/>
        <s v="DOEID240416B1"/>
        <s v="DOEID240416B2"/>
        <s v="DOEID240416B3"/>
        <s v="DOEID240416B4"/>
        <s v="DOEID240416B5"/>
        <s v="DOEID240416B6"/>
        <s v="DOEID240416B7"/>
        <s v="DOEID240416B8"/>
        <s v="DOEID240416BA"/>
        <s v="DOEID240416BB"/>
        <s v="DOEID240416BC"/>
        <s v="DOEID240422AG"/>
        <s v="DOEID240422AI"/>
        <s v="DOEID240422AM"/>
        <s v="DOEID240416B9"/>
        <s v="DOEID240422AJ"/>
        <s v="DOEID240422AK"/>
        <s v="DOEID240426CV"/>
        <s v="DOEID240426CW"/>
        <s v="DOEID240429A5"/>
        <s v="DOEID240513A3"/>
        <s v="DOEID24052504"/>
        <s v="DOEID24052509"/>
        <s v="DOEID24052512"/>
        <s v="DOEID24052515"/>
        <s v="DOEID24052503"/>
        <s v="DOEID24052505"/>
        <s v="DOEID24052506"/>
        <s v="DOEID24052507"/>
        <s v="DOEID24052508"/>
        <s v="DOEID24052510"/>
        <s v="DOEID24052511"/>
        <s v="DOEID24052513"/>
        <s v="DOEID24052514"/>
        <s v="DOEID240605GF"/>
        <s v="DOEID240610J5"/>
        <s v="DOEID240610J2"/>
        <s v="DOEID240610J7"/>
        <s v="DOEID240610J1"/>
        <s v="DOEID240610J4"/>
        <s v="DOEID240610J8"/>
        <s v="DOEID240610J0"/>
        <s v="DOEID240610J3"/>
        <s v="DOEID240610J6"/>
        <s v="DOEID240613I6"/>
        <s v="DOEID240613IE"/>
        <s v="DOEID240613GN"/>
        <s v="DOEID240613GS"/>
        <s v="DOEID240613GJ"/>
        <s v="DOEID240613GK"/>
        <s v="DOEID240613GM"/>
        <s v="DOEID240613GO"/>
        <s v="DOEID240613GP"/>
        <s v="DOEID240613GR"/>
        <s v="DOEID240613I9"/>
        <s v="DOEID240613I7"/>
        <s v="DOEID240620DY"/>
        <s v="DOEID240624NZ"/>
        <s v="DOEID240624NV"/>
        <s v="DOEID240624NY"/>
        <s v="DOEID240613I5"/>
        <s v="DOEID240624O0"/>
        <s v="DOEID24070706"/>
        <s v="DOEID24070180"/>
        <s v="DOEID240627KK"/>
        <s v="DOEID24070179"/>
        <s v="DOEID24070181"/>
        <s v="DOEID24070704"/>
        <s v="DOEID24070705"/>
        <s v="DOEID24070635"/>
        <s v="DOEID24070634"/>
        <s v="DOEID24070702"/>
        <s v="DOEID24081426"/>
        <s v="DOEID24081425"/>
        <s v="DOEID24081424"/>
        <s v="DOEID24081421"/>
        <s v="DOEID24081422"/>
        <s v="DOEID24081423"/>
        <s v="DOEID240926BV"/>
        <s v="DOEID240926C1"/>
        <s v="DOEID240926BU"/>
        <s v="DOEID240926BW"/>
        <s v="DOEID240926BX"/>
        <s v="DOEID240926BY"/>
        <s v="DOEID240926BZ"/>
        <s v="DOEID240926C0"/>
        <s v="DOEID240926C3"/>
        <s v="DOEID240926C5"/>
        <s v="DOEID240926C2"/>
        <s v="DOEID240926C4"/>
        <s v="DOEID24101008"/>
        <s v="DOEID24101009"/>
        <s v="DOEID24101010"/>
        <s v="DOEID24101012"/>
        <s v="DOEID24100907"/>
        <s v="DOEID24100909"/>
        <s v="DOEID24100911"/>
        <s v="DOEID24100913"/>
        <s v="DOEID24100915"/>
        <s v="DOEID24100906"/>
        <s v="DOEID24100908"/>
        <s v="DOEID24100910"/>
        <s v="DOEID24100912"/>
        <s v="DOEID24100914"/>
        <s v="DOEID24102249"/>
        <s v="DOEID24102248"/>
        <s v="DOEID24102250"/>
        <s v="DOEID24102251"/>
        <s v="DOEID24102245"/>
        <s v="DOEID24102247"/>
        <s v="DOEID24102244"/>
        <s v="DOEID24102246"/>
        <s v="DOEID24103166"/>
        <s v="DOEID24103173"/>
        <s v="DOEID24112576"/>
        <s v="DOEID24112578"/>
        <s v="DOEID24112580"/>
        <s v="DOEID24112575"/>
        <s v="DOEID24112577"/>
        <s v="DOEID24112579"/>
        <s v="DOEID24112569"/>
        <s v="DOEID24112582"/>
        <s v="DOEID24112568"/>
        <s v="DOEID24112581"/>
        <s v="DOEID25011578"/>
        <s v="DOEID25011579"/>
        <s v="DOEID25011580"/>
        <s v="DOEID25011577"/>
        <s v="DOEID25021043"/>
        <s v="DOEID25021042"/>
        <s v="DOEID25021719"/>
        <s v="DOEID250224B2"/>
        <s v="DOEID250318A0"/>
        <s v="DOEID250318A1"/>
        <s v="DOEID250428AF"/>
        <s v="DOEID25042887"/>
        <s v="DOEID25042888"/>
        <s v="DOEID25050205"/>
        <s v="DOEID25050720"/>
        <s v="DOEID25050719"/>
        <s v="DOEID25051774"/>
        <s v="DOEID25051775"/>
        <s v="DOEID25051777"/>
        <s v="DOEID25051781"/>
        <s v="DOEID25051782"/>
        <s v="DOEID25051783"/>
        <s v="DOEID25051773"/>
        <s v="DOEID25051776"/>
        <s v="DOEID25051778"/>
        <s v="DOEID25051779"/>
        <s v="DOEID25052710"/>
        <s v="DOEID25052713"/>
        <s v="DOEID25052714"/>
        <s v="DOEID25052759"/>
        <s v="DOEID25053129"/>
        <s v="DOEID25053137"/>
        <s v="DOEID25053140"/>
        <s v="DOEID250701CQ"/>
        <s v="DOEID25081465"/>
        <s v="DOEID25081466"/>
        <s v="DOEID25081467"/>
        <s v="DOEID25081468"/>
        <s v="DOEID25081469"/>
        <s v="DOEID25082607"/>
        <s v="DOEID250903C9"/>
        <s v="DOEID23082910"/>
        <s v="DOEID23082911"/>
        <s v="DOEID23083119"/>
        <s v="DOEID23101956"/>
        <s v="DOEID23101957"/>
        <s v="DOEID23101961"/>
        <s v="DOEID23101962"/>
        <s v="DOEID23103130"/>
        <s v="DOEID23103131"/>
        <s v="DOEID231106CK"/>
        <s v="DOEID231106CL"/>
        <s v="DOEID231106CM"/>
        <s v="DOEID231106CN"/>
        <s v="DOEID231106CO"/>
        <s v="DOEID231106CP"/>
        <s v="DOEID231106CQ"/>
        <s v="DOEID231106CR"/>
        <s v="DOEID231106CS"/>
        <s v="DOEID231106CT"/>
        <s v="DOEID231107B8"/>
        <s v="DOEID231107B9"/>
        <s v="DOEID23110962"/>
        <s v="DOEID23110964"/>
        <s v="DOEID23110965"/>
        <s v="DOEID23110966"/>
        <s v="DOEID23110967"/>
        <s v="DOEID23110968"/>
        <s v="DOEID23110969"/>
        <s v="DOEID23110963"/>
        <s v="DOEID231205BY"/>
        <s v="DOEID231205BZ"/>
        <s v="DOEID231218BJ"/>
        <s v="DOEID231218BK"/>
        <s v="DOEID231218BL"/>
        <s v="DOEID231218BM"/>
        <s v="DOEID231218BN"/>
        <s v="DOEID231218BO"/>
        <s v="DOEID231219A0"/>
        <s v="DOEID231219A1"/>
        <s v="DOEiD231219A7"/>
        <s v="DOEID231219AA"/>
        <s v="DOEID231219AL"/>
        <s v="DOEID231219AN"/>
        <s v="DOEID231219AO"/>
        <s v="DOEID231219AQ"/>
        <s v="DOEID23122787"/>
        <s v="DOEID240111AT"/>
        <s v="DOEID240206BG"/>
        <s v="DOEID240206BH"/>
        <s v="DOEID24020735"/>
        <s v="DOEID24020736"/>
        <s v="DOEID24020737"/>
        <s v="DOEID24020738"/>
        <s v="DOEID24020739"/>
        <s v="DOEID24020740"/>
        <s v="DOEID24022001"/>
        <s v="DOEID24022002"/>
        <s v="DOEID24022003"/>
        <s v="DOEID24022004"/>
        <s v="DOEID240219B9"/>
        <s v="DOEID240304BZ"/>
        <s v="DOEID240304C0"/>
        <s v="DOEID24031926"/>
        <s v="DOEID24031927"/>
        <s v="DOEID24031930"/>
        <s v="DOEID24031931"/>
        <s v="DOEID24031932"/>
        <s v="DOEID24031933"/>
        <s v="DOEID24031934"/>
        <s v="DOEID24031935"/>
        <s v="DOEID24032036"/>
        <s v="DOEID24032037"/>
        <s v="DOEID24032038"/>
        <s v="DOEID24032040"/>
        <s v="DOEID24032041"/>
        <s v="DOEID24032042"/>
        <s v="DOEID240422AN"/>
        <s v="DOEID24042540"/>
        <s v="DOEID24052816"/>
        <s v="DOEID24052814"/>
        <s v="DOEID24052815"/>
        <s v="DOEID24052813"/>
        <s v="DOEID24052811"/>
        <s v="DOEID24052812"/>
        <s v="DOEID240612H6"/>
        <s v="DOEID240612HA"/>
        <s v="DOEID240612HG"/>
        <s v="DOEID240612HI"/>
        <s v="DOEID240612HJ"/>
        <s v="DOEID240612HK"/>
        <s v="DOEID240612HM"/>
        <s v="DOEID240612H5"/>
        <s v="DOEID240612GX"/>
        <s v="DOEID24081430"/>
        <s v="DOEID24081428"/>
        <s v="DOEID24081427"/>
        <s v="DOEID24081429"/>
        <s v="DOEID24082745"/>
        <s v="DOEID240826HG"/>
        <s v="DOEID240826HI"/>
        <s v="DOEID240826HK"/>
        <s v="DOEID240826HM"/>
        <s v="DOEID240826HF"/>
        <s v="DOEID240826HH"/>
        <s v="DOEID240826HJ"/>
        <s v="DOEID240826HL"/>
        <s v="DOEID24082744"/>
        <s v="DOEID24082747"/>
        <s v="DOEID24091310"/>
        <s v="DOEID24091313"/>
        <s v="DOEID24091309"/>
        <s v="DOEID24091312"/>
        <s v="DOEID24100728"/>
        <s v="DOEID24100729"/>
        <s v="DOEID24102242"/>
        <s v="DOEID24102243"/>
        <s v="DOEID24110123"/>
        <s v="DOEID24110125"/>
        <s v="DOEID24110127"/>
        <s v="DOEID24110122"/>
        <s v="DOEID24110124"/>
        <s v="DOEID24110126"/>
        <s v="DOEID24112570"/>
        <s v="DOEID24112572"/>
        <s v="DOEID24112574"/>
        <s v="DOEID24112571"/>
        <s v="DOEID24112573"/>
        <s v="DOEID24121964"/>
        <s v="DOEID24121953"/>
        <s v="DOEID24121947"/>
        <s v="DOEID230809A4"/>
        <s v="DOEID230809A5"/>
        <s v="DOEID230809A6"/>
        <s v="DOEID230809A7"/>
        <s v="DOEID230809A8"/>
        <s v="DOEID230809A9"/>
        <s v="DOEID23081462"/>
        <s v="DOEID23081463"/>
        <s v="DOEID23081465"/>
        <s v="DOEID23081466"/>
        <s v="DOEID23081467"/>
        <s v="DOEID23081468"/>
        <s v="DOEID23081469"/>
        <s v="DOEID23081470"/>
        <s v="DOEID23082837"/>
        <s v="DOEID23082907"/>
        <s v="DOEID23082909"/>
        <s v="DOEID23083121"/>
        <s v="DOEID230919AE"/>
        <s v="DOEID230919AF"/>
        <s v="DOEID230919AG"/>
        <s v="DOEID230919AH"/>
        <s v="DOEID230919AI"/>
        <s v="DOEID230919AJ"/>
        <s v="DOEID230919AK"/>
        <s v="DOEID230919AL"/>
        <s v="DOEID230919AM"/>
        <s v="DOEID230919AN"/>
        <s v="DOEID230919AO"/>
        <s v="DOEID230919AP"/>
        <s v="DOEID23092442"/>
        <s v="DOEID23092443"/>
        <s v="DOEID23092441"/>
        <s v="DOEID23101353"/>
        <s v="DOEID23101352"/>
        <s v="DOEID23101365"/>
        <s v="DOEID231014AB"/>
        <s v="DOEID231014AC"/>
        <s v="DOEID23102347"/>
        <s v="DOEID23102348"/>
        <s v="DOEID23102349"/>
        <s v="DOEID23102351"/>
        <s v="DOEID23102352"/>
        <s v="DOEID23102350"/>
        <s v="DOEID23102353"/>
        <s v="DOEID23103185"/>
        <s v="DOEID23103186"/>
        <s v="DOEID23103187"/>
        <s v="DOEID23103188"/>
        <s v="DOEID23111036"/>
        <s v="DOEID23111035"/>
        <s v="DOEID23111571"/>
        <s v="DOEID23111573"/>
        <s v="DOEID23111570"/>
        <s v="DOEID23111572"/>
        <s v="DOEID231117AA"/>
        <s v="DOEID23121351"/>
        <s v="DOEID23121354"/>
        <s v="DOEID23121355"/>
        <s v="DOEID24010975"/>
        <s v="DOEID24010976"/>
        <s v="DOEID24010977"/>
        <s v="DOEID24010978"/>
        <s v="DOEID24011042"/>
        <s v="DOEID24011043"/>
        <s v="DOEID24011044"/>
        <s v="DOEID24011045"/>
        <s v="DOEID24011046"/>
        <s v="DOEID24011047"/>
        <s v="DOEID24011048"/>
        <s v="DOEID24011049"/>
        <s v="DOEID24011050"/>
        <s v="DOEID24011051"/>
        <s v="DOEID240507AA"/>
        <s v="DOEID240507AB"/>
        <s v="DOEID240507AC"/>
        <s v="DOEID240507AD"/>
        <s v="DOEID24080688"/>
        <s v="DOEID24080685"/>
        <s v="DOEID24080686"/>
        <s v="DOEID24080687"/>
        <s v="DOEID24080683"/>
        <s v="DOEID24080684"/>
        <s v="DOEID24080689"/>
        <s v="DOEID24080690"/>
        <s v="DOEID24081994"/>
        <s v="DOEID24081999"/>
        <s v="DOEID24081997"/>
        <s v="DOEID24091264"/>
        <s v="DOEID24091285"/>
        <s v="DOEID24091287"/>
        <s v="DOEID24091258"/>
        <s v="DOEID24091253"/>
        <s v="DOEID24091254"/>
        <s v="DOEID24091255"/>
        <s v="DOEID24091256"/>
        <s v="DOEID24091257"/>
        <s v="DOEID24091259"/>
        <s v="DOEID24091260"/>
        <s v="DOEID24091261"/>
        <s v="DOEID24091262"/>
        <s v="DOEID24091263"/>
        <s v="DOEID24091284"/>
        <s v="DOEID24091286"/>
        <s v="DOEID24092434"/>
        <s v="DOEID24092436"/>
        <s v="DOEID24092433"/>
        <s v="DOEID24092435"/>
        <s v="DOEID24092437"/>
        <s v="DOEID24092438"/>
        <s v="DOEID24091903"/>
        <s v="DOEID24091904"/>
        <s v="DOEID24091905"/>
        <s v="DOEID24110546"/>
        <s v="DOEID24110548"/>
        <s v="DOEID24110544"/>
        <s v="DOEID24110543"/>
        <s v="DOEID24110545"/>
        <s v="DOEID24110547"/>
        <s v="DOEID24111156"/>
        <s v="DOEID24111157"/>
        <s v="DOEID24111154"/>
        <s v="DOEID25011818"/>
        <s v="DOEID25011822"/>
        <s v="DOEID25011824"/>
        <s v="DOEID25011817"/>
        <s v="DOEID25011819"/>
        <s v="DOEID25011820"/>
        <s v="DOEID25011821"/>
        <s v="DOEID25011823"/>
        <s v="DOEID240613GT"/>
        <s v="DOEID240613GU"/>
        <s v="DOEID240613GV"/>
        <s v="DOEID240613GW"/>
        <s v="DOEID240613GX"/>
        <s v="DOEID240613GY"/>
        <s v="DOEID240613GZ"/>
        <s v="DOEID240613H0"/>
        <s v="DOEID240613H1"/>
        <s v="DOEID240613IA"/>
        <s v="DOEID240613IC"/>
        <s v="DOEID240624NW"/>
        <s v="DOEID240722CJ"/>
        <s v="DOEID240722CK"/>
        <s v="DOEID240722CL"/>
        <s v="DOEID240722CM"/>
        <s v="DOEID240722CN"/>
        <s v="DOEID240722CO"/>
        <s v="DOEID240722CP"/>
        <s v="DOEID240722CQ"/>
        <s v="DOEID240822C7"/>
        <s v="DOEID240822C9"/>
        <s v="DOEID240822C4"/>
        <s v="DOEID240822C6"/>
        <s v="DOEID240822C8"/>
        <s v="DOEID24090205"/>
        <s v="DOEID24090204"/>
        <s v="DOEID24091159"/>
        <s v="DOEID24091160"/>
        <s v="DOEID24091726"/>
        <s v="DOEID24091759"/>
        <s v="DOEID24091950"/>
        <s v="DOEID24091949"/>
        <s v="DOEID24091901"/>
        <s v="DOEID24091902"/>
        <s v="DOEID24101807"/>
        <s v="DOEID24101806"/>
        <s v="DOEID24101842"/>
        <s v="DOEID24102257"/>
        <s v="DOEID24102253"/>
        <s v="DOEID24102259"/>
        <s v="DOEID24102252"/>
        <s v="DOEID24102256"/>
        <s v="DOEID24102258"/>
        <s v="DOEID24102315"/>
        <s v="DOEID24110554"/>
        <s v="DOEID24110556"/>
        <s v="DOEID241029AR"/>
        <s v="DOEID241029AS"/>
        <s v="DOEID24110553"/>
        <s v="DOEID24110555"/>
        <s v="DOEID24121771"/>
        <s v="DOEID24121770"/>
        <s v="DOEID24121769"/>
        <s v="DOEID24121786"/>
        <s v="DOEID250130BL"/>
        <s v="DOEID25013085"/>
        <s v="DOEID25013084"/>
        <s v="DOEID250130BK"/>
        <s v="DOEID25022623"/>
        <s v="DOEID25041773"/>
        <s v="DOEID25041775"/>
        <s v="DOEID25041777"/>
        <s v="DOEID25041772"/>
        <s v="DOEID25041774"/>
        <s v="DOEID25041776"/>
        <s v="DOEID25041787"/>
        <s v="DOEID25041788"/>
        <s v="DOEID25041789"/>
        <s v="DOEID25050722"/>
        <s v="DOEID25050721"/>
        <s v="DOEID25050723"/>
        <s v="DOEID25050724"/>
        <s v="DOEID25050725"/>
        <s v="DOEID250520A9"/>
        <s v="DOEID250520AC"/>
        <s v="DOEID250520AE"/>
        <s v="DOEID250520AG"/>
        <s v="DOEID250520AI"/>
        <s v="DOEID250520AA"/>
        <s v="DOEID250520AB"/>
        <s v="DOEID250520AD"/>
        <s v="DOEID250520AF"/>
        <s v="DOEID250520AH"/>
        <s v="DOEID250520AK"/>
        <s v="DOEID250611HQ"/>
        <s v="DOEID250611HS"/>
        <s v="DOEID250611HP"/>
        <s v="DOEID250611HR"/>
        <s v="DOEID25062216"/>
        <s v="DOEID25062217"/>
        <s v="DOEID25062218"/>
        <s v="DOEID250701CC"/>
        <s v="DOEID25070771"/>
        <s v="DOEID25070772"/>
        <s v="DOEID25070773"/>
        <s v="DOEID25070775"/>
        <s v="DOEID25070770"/>
        <s v="DOEID25070769"/>
        <s v="DOEID25070774"/>
        <s v="DOEID250715KM"/>
        <s v="DOEID250715KS"/>
        <s v="DOEID250715KV"/>
        <s v="DOEID250715LC"/>
        <s v="DOEID250715MK"/>
        <s v="DOEID250715K7"/>
        <s v="DOEID250715KN"/>
        <s v="DOEID250715KU"/>
        <s v="DOEID250715KW"/>
        <s v="DOEID250715LB"/>
        <s v="DOEID250715MJ"/>
        <s v="DOEID250715MM"/>
        <s v="DOEID250711EL"/>
        <s v="DOEID250715CJ"/>
        <s v="DOEID25072955"/>
        <s v="DOEID25073037"/>
        <s v="DOEID25073040"/>
        <s v="DOEID25073042"/>
        <s v="DOEID25073039"/>
        <s v="DOEID25073041"/>
        <s v="DOEID250807A1"/>
        <s v="DOEID25073038"/>
        <s v="DOEID250807A3"/>
        <s v="DOEID250807A5"/>
        <s v="DOEID250807A6"/>
        <s v="DOEID25082619"/>
        <s v="DOEID25082620"/>
        <s v="DOEID250826EA"/>
        <s v="DOEID25082614"/>
        <s v="DOEID25082615"/>
        <s v="DOEID25082616"/>
        <s v="DOEID25082617"/>
        <s v="DOEID25082618"/>
        <s v="DOEID250827AV"/>
        <s v="DOEID25090654"/>
        <s v="DOEID251027IJ"/>
        <s v="DOEID251027IK"/>
        <s v="DOEID251027IL"/>
        <s v="DOEID23121138"/>
        <s v="DOEID23121139"/>
        <s v="DOEID23121140"/>
        <s v="DOEID23121141"/>
        <s v="DOEID23121142"/>
        <s v="DOEID23121143"/>
        <s v="DOEID23122157"/>
        <s v="DOEID231227A8"/>
        <s v="DOEID231227A7"/>
        <s v="DOEID231223A7"/>
        <s v="DOEID24011201"/>
        <s v="DOEID24011202"/>
        <s v="DOEID24011203"/>
        <s v="DOEID24011204"/>
        <s v="DOEID24011205"/>
        <s v="DOEID24011206"/>
        <s v="DOEID24011207"/>
        <s v="DOEID24011208"/>
        <s v="DOEID24011209"/>
        <s v="DOEID24011210"/>
        <s v="DOEID240112BX"/>
        <s v="DOEID240205BV"/>
        <s v="DOEID240205BW"/>
        <s v="DOEID240205BX"/>
        <s v="DOEID240205BY"/>
        <s v="DOEID240219BA"/>
        <s v="DOEID240219BC"/>
        <s v="DOEID240219BD"/>
        <s v="DOEID240219BB"/>
        <s v="DOEID240219B8"/>
        <s v="DOEID240304BN"/>
        <s v="DOEID240314DQ"/>
        <s v="DOEID240314DR"/>
        <s v="DOEID240314DS"/>
        <s v="DOEID24050278"/>
        <s v="DOEID24050279"/>
        <s v="DOEID24050280"/>
        <s v="DOEID24050281"/>
        <s v="DOEID24050282"/>
        <s v="DOEID24050283"/>
        <s v="DOEID240502AQ"/>
        <s v="DOEID240607AM"/>
        <s v="DOEID240620EJ"/>
        <s v="DOEID240620EL"/>
        <s v="DOEID240620EN"/>
        <s v="DOEID240620EO"/>
        <s v="DOEID240620EQ"/>
        <s v="DOEID240620ES"/>
        <s v="DOEID240620ET"/>
        <s v="DOEID240620EU"/>
        <s v="DOEID240620DR"/>
        <s v="DOEID240620DS"/>
        <s v="DOEID240613GI"/>
        <s v="DOEID240613GL"/>
        <s v="DOEID240620DX"/>
        <s v="DOEID240624NQ"/>
        <s v="DOEID240624NR"/>
        <s v="DOEID240627JE"/>
        <s v="DOEID240627K4"/>
        <s v="DOEID240627K6"/>
        <s v="DOEID240627K8"/>
        <s v="DOEID240627KI"/>
        <s v="DOEID240627KL"/>
        <s v="DOEID24070703"/>
        <s v="DOEID24070709"/>
        <s v="DOEID24070701"/>
        <s v="DOEID24070708"/>
        <s v="DOEID24070171"/>
        <s v="DOEID240722D1"/>
        <s v="DOEID240722D2"/>
        <s v="DOEID240722D3"/>
        <s v="DOEID240722D4"/>
        <s v="DOEID240722D5"/>
        <s v="DOEID240722D6"/>
        <s v="DOEID240722D7"/>
        <s v="DOEID240722D8"/>
        <s v="DOEID24081411"/>
        <s v="DOEID24081412"/>
        <s v="DOEID24081413"/>
        <s v="DOEID24081414"/>
        <s v="DOEID24081415"/>
        <s v="DOEID24081416"/>
        <s v="DOEID24081417"/>
        <s v="DOEID24081418"/>
        <s v="DOEID24081419"/>
        <s v="DOEID24081420"/>
        <s v="DOEID240815AJ"/>
        <s v="DOEID240815AK"/>
        <s v="DOEID240815AL"/>
        <s v="DOEID24090353"/>
        <s v="DOEID24090354"/>
        <s v="DOEID24090355"/>
        <s v="DOEID24090356"/>
        <s v="DOEID24090357"/>
        <s v="DOEID24090358"/>
        <s v="DOEID24090359"/>
        <s v="DOEID24090360"/>
        <s v="DOEID24090361"/>
        <s v="DOEID24090362"/>
        <s v="DOEID24090363"/>
        <s v="DOEID24090364"/>
        <s v="DOEID24101771"/>
        <s v="DOEID24101772"/>
        <s v="DOEID24101773"/>
        <s v="DOEID24101774"/>
        <s v="DOEID24101775"/>
        <s v="DOEID24101776"/>
        <s v="DOEID24110120"/>
        <s v="DOEID24110121"/>
        <s v="DOEID24110132"/>
        <s v="DOEID24110133"/>
        <s v="DOEID24110134"/>
        <s v="DOEID24110531"/>
        <s v="DOEID24102254"/>
        <s v="DOEID24102255"/>
        <s v="DOEID24111536"/>
        <s v="DOEID24121387"/>
        <s v="DOEID24122331"/>
        <s v="DOEID23080182"/>
        <s v="DOEID23082835"/>
        <s v="DOEID24021519"/>
        <s v="DOEID24021521"/>
        <s v="DOEID240226C9"/>
        <s v="DOEID24031919"/>
        <s v="DOEID24031923"/>
        <s v="DOEID240416AM"/>
        <s v="DOEID240517C4"/>
        <s v="DOEID240517C6"/>
        <s v="DOEID240517DK"/>
        <s v="DOEID24081987"/>
        <s v="DOEID24081989"/>
        <s v="DOEID24081991"/>
        <s v="DOEID24081996"/>
        <s v="DOEID240822C5"/>
        <s v="DOEID240826HC"/>
        <s v="DOEID23083120"/>
        <s v="DOEID23091556"/>
        <s v="DOEID230918DY"/>
        <s v="DOEID230919BH"/>
        <s v="DOEID23092543"/>
        <s v="DOEID23092445"/>
        <s v="DOEID231013AT"/>
        <s v="DOEID231013AX"/>
        <s v="DOEID23101403"/>
        <s v="DOEID231013AV"/>
        <s v="DOEID231113AY"/>
        <s v="DOEID231223A6"/>
        <s v="DOEID231223A8"/>
        <s v="DOEID24011540"/>
        <s v="DOEID24011542"/>
        <s v="DOEID24011537"/>
        <s v="DOEID240226CC"/>
        <s v="DOEID24031921"/>
        <s v="DOEID240322BC"/>
        <s v="DOEID240322BD"/>
        <s v="DOEID240422AL"/>
        <s v="DOEID240429A3"/>
        <s v="DOEID24052009"/>
        <s v="DOEID24053162"/>
        <s v="DOEID24053159"/>
        <s v="DOEID24060447"/>
        <s v="DOEID24060451"/>
        <s v="DOEID24060440"/>
        <s v="DOEID240620EP"/>
        <s v="DOEID240624O3"/>
        <s v="DOEID24070707"/>
        <s v="DOEID24070182"/>
        <s v="DOEID240722D0"/>
        <s v="DOEID240722CU"/>
        <s v="DOEID240722CS"/>
        <s v="DOEID240826I0"/>
        <s v="DOEID240826HB"/>
        <s v="DOEID240826HU"/>
        <s v="DOEID240918BZ"/>
        <s v="DOEID24092015"/>
        <s v="DOEID24102314"/>
        <s v="DOEID241029AJ"/>
        <s v="DOEID24110550"/>
        <s v="DOEID24110552"/>
        <s v="DOEID241121BN"/>
        <s v="DOEID241121BP"/>
        <s v="DOEID241121BR"/>
        <s v="DOEID24112584"/>
        <s v="DOEID24121393"/>
        <s v="DOEID24121395"/>
        <s v="DOEID25020563"/>
        <s v="DOEID25021853"/>
        <s v="DOEID250610PF"/>
        <s v="DOEID250610PH"/>
        <s v="DOEID250610PK"/>
        <s v="DOEID250613BN"/>
        <s v="DOEID250613BP"/>
        <s v="DOEID250711EE"/>
        <s v="DOEID250711EG"/>
        <s v="DOEID250711EJ"/>
        <s v="DOEID250804CC"/>
        <s v="DOEID250804CD"/>
        <s v="DOEID25081590"/>
        <s v="DOEID25082609"/>
        <s v="DOEID25082611"/>
        <s v="DOEID251024G5"/>
        <s v="DOEID251024G6"/>
        <s v="DOEID251024K3"/>
        <s v="DOEID251119FT"/>
        <s v="DOEID251211AY"/>
        <s v="DOEID251211BU"/>
        <s v="DOEID251216OM"/>
        <s v="DOEID251316OK"/>
        <s v="DOEID260115MP"/>
        <s v="DOEID260312F8"/>
        <s v="DOEID260509BX"/>
        <s v="DOEID260522B7"/>
        <s v="DOEID26062559"/>
        <s v="DOEID260708AM"/>
        <s v="DOEID230918AG"/>
        <s v="DOEID230918AH"/>
        <s v="DOEID230925EO"/>
        <s v="DOEID23100920"/>
        <s v="DOEID23101405"/>
        <s v="DOEID23120189"/>
        <s v="DOEID24010322"/>
        <s v="DOEID24010323"/>
        <s v="DOEID24010324"/>
        <s v="DOEID24021522"/>
        <s v="DOEID24021523"/>
        <s v="DOEID240304BJ"/>
        <s v="DOEID240416AL"/>
        <s v="DOEID240416AN"/>
        <s v="DOEID240620EM"/>
        <s v="DOEID240826HD"/>
        <s v="DOEID240826HE"/>
        <s v="DOEID24092017"/>
        <s v="DOEID24121389"/>
        <s v="DOEID24121391"/>
        <s v="DOEID25031898"/>
        <s v="DOEID25031899"/>
        <s v="DOEID25031897"/>
        <s v="DOEID250610PE"/>
        <s v="DOEID250610PG"/>
        <s v="DOEID250610PI"/>
        <s v="DOEID250610PJ"/>
        <s v="DOEID250613BM"/>
        <s v="DOEID250613BO"/>
        <s v="DOEID250613BQ"/>
        <s v="DOEID250613BS"/>
        <s v="DOEID250613BU"/>
        <s v="DOEID250711ED"/>
        <s v="DOEID250711EF"/>
        <s v="DOEID250711EH"/>
        <s v="DOEID250711EI"/>
        <s v="DOEID250711EK"/>
        <s v="DOEID25082610"/>
        <s v="DOEID25082612"/>
        <s v="DOEID251027IH"/>
        <s v="DOEID251027II"/>
        <s v="DOEID251211B1"/>
        <s v="DOEID251211BZ"/>
        <s v="DOEID251215I7"/>
        <s v="DOEID251215M5"/>
        <s v="DOEID260115MQ"/>
        <s v="DOEID26030644"/>
        <s v="DOEID260420HH"/>
        <s v="DOEID26052978"/>
        <s v="DOEID231009BE"/>
        <s v="DOEID231227AP"/>
        <s v="DOEID24060444"/>
        <s v="DOEID24060449"/>
        <s v="DOEID240627JF"/>
        <s v="DOEID25102124"/>
        <s v="DOEID25102127"/>
        <s v="DOEID251211C9"/>
        <s v="DOEID23091555"/>
        <s v="DOEID23091557"/>
        <s v="DOEID23101242"/>
        <s v="DOEID23101364"/>
        <s v="DOEID23101402"/>
        <s v="DOEID24011534"/>
        <s v="DOEID24011539"/>
        <s v="DOEID24011541"/>
        <s v="DOEID240426CT"/>
        <s v="DOEID240426CQ"/>
        <s v="DOEID240426CR"/>
        <s v="DOEID24060442"/>
        <s v="DOEID24060448"/>
        <s v="DOEID24060450"/>
        <s v="DOEID240722CR"/>
        <s v="DOEID240722CT"/>
        <s v="DOEID240722CZ"/>
        <s v="DOEID24081990"/>
        <s v="DOEID240826HT"/>
        <s v="DOEID240826HZ"/>
        <s v="DOEID240918BY"/>
        <s v="DOEID24101808"/>
        <s v="DOEID241029AI"/>
        <s v="DOEID24112583"/>
        <s v="DOEID24121388"/>
        <s v="DOEID251211L3"/>
        <s v="DOEID260312F9"/>
        <s v="DOEID23080181"/>
        <s v="DOEID23082834"/>
        <s v="DOEID230918DX"/>
        <s v="DOEID230919BG"/>
        <s v="DOEID231013AS"/>
        <s v="DOEID231013AU"/>
        <s v="DOEID231013AW"/>
        <s v="DOEID23101404"/>
        <s v="DOEID231113AX"/>
        <s v="DOEID231223A5"/>
        <s v="DOEID231227AO"/>
        <s v="DOEID24021518"/>
        <s v="DOEID24021520"/>
        <s v="DOEID240226C8"/>
        <s v="DOEID24031918"/>
        <s v="DOEID24031920"/>
        <s v="DOEID24031922"/>
        <s v="DOEID240517DJ"/>
        <s v="DOEID240613I3"/>
        <s v="DOEID24081986"/>
        <s v="DOEID24081988"/>
        <s v="DOEID24081995"/>
        <s v="DOEID24092014"/>
        <s v="DOEID24092016"/>
        <s v="DOEID24092031"/>
        <s v="DOEID24110549"/>
        <s v="DOEID24110551"/>
        <s v="DOEID241121BM"/>
        <s v="DOEID241121BQ"/>
        <s v="DOEID24121390"/>
        <s v="DOEID24121392"/>
        <s v="DOEID24121394"/>
        <s v="DOEID25021854"/>
        <s v="DOEID25021852"/>
        <s v="DOEID25081572"/>
        <s v="DOEID25102128"/>
        <s v="DOEID25121117"/>
        <s v="DOEID25121116"/>
        <s v="DOEID240517C3"/>
        <s v="DOEID240517FE"/>
        <s v="DOEID24053154"/>
        <s v="DOEID24053155"/>
        <s v="DOEID24053156"/>
        <s v="DOEID24053157"/>
        <s v="DOEID24053158"/>
        <s v="DOEID24053160"/>
        <s v="DOEID24053161"/>
        <s v="DOEID241121BO"/>
        <s v="DOEID251024GD"/>
        <s v="DOEID251119GB"/>
        <s v="DOEID26062524"/>
        <s v="DOEID230914AX"/>
        <s v="DOEID231106CB"/>
        <s v="DOEID24011211"/>
        <s v="DOEID240821DZ"/>
        <s v="DOEID240821E0"/>
        <s v="DOEID24082790"/>
        <s v="DOEID23121869"/>
        <s v="DOEID23121870"/>
        <s v="DOEID23121871"/>
        <s v="DOEID23121872"/>
        <s v="DOEID23121997"/>
        <s v="DOEID23121998"/>
        <s v="DOEID23122786"/>
        <s v="DOEID240314DY"/>
        <s v="DOEID24050284"/>
        <s v="DOEID24050285"/>
        <s v="DOEID24050286"/>
        <s v="DOEID24050287"/>
        <s v="DOEID240502AO"/>
        <s v="DOEID260716DT"/>
        <m/>
        <s v="DOEID25011773" u="1"/>
        <s v="DOEID25012410" u="1"/>
        <s v="DOEID25011774" u="1"/>
        <s v="DOEID25011775" u="1"/>
        <s v="DOEID25012412" u="1"/>
        <s v="DOEID25011776" u="1"/>
        <s v="DOEID25012413" u="1"/>
        <s v="DOEID250916HQ" u="1"/>
        <s v="DOEID250916MG" u="1"/>
        <s v="DOEID250917HA" u="1"/>
        <s v="DOEID250916HR" u="1"/>
        <s v="DOEID250916MH" u="1"/>
        <s v="DOEID250917HB" u="1"/>
        <s v="DOEID250916HS" u="1"/>
        <s v="DOEID250917HC" u="1"/>
        <s v="DOEID250916HT" u="1"/>
        <s v="DOEID250908P3" u="1"/>
        <s v="DOEID250917HD" u="1"/>
        <s v="DOEID25012409" u="1"/>
        <s v="DOEID250916HU" u="1"/>
        <s v="DOEID250908P4" u="1"/>
        <s v="DOEID250917HE" u="1"/>
        <s v="DOEID250917HF" u="1"/>
        <s v="DOEID250917HG" u="1"/>
        <s v="DOEID250917H9" u="1"/>
      </sharedItems>
    </cacheField>
    <cacheField name="DN Number" numFmtId="0">
      <sharedItems containsBlank="1" count="1133">
        <s v="DNWID0342024022916"/>
        <s v="DNWID0342024022917"/>
        <s v="DNWID0362024022924"/>
        <s v="DNWID0362024022925"/>
        <s v="DNWID0362024022920"/>
        <s v="DNWID0342024031503"/>
        <s v="DNWID0342024031504"/>
        <s v="DNWID0342024031509"/>
        <s v="DNWID0342024031903"/>
        <s v="DNWID0342024031904"/>
        <s v="DNWID0342024031905"/>
        <s v="DNWID0362024031902"/>
        <s v="DNWID0342024031902"/>
        <s v="DNWID0362024031903"/>
        <s v="DNWID0362024031904"/>
        <s v="DNWID0362024031905"/>
        <s v="DNWID0362024042609"/>
        <s v="DNWID0362024042610"/>
        <s v="DNWID0342024042909"/>
        <s v="DNWID0362024042916"/>
        <s v="DNWID0362024050211"/>
        <s v="DNWID0362023091102"/>
        <s v="DNWID0342023091106"/>
        <s v="DNWID0342023092506"/>
        <s v="DNWID0342023100311"/>
        <s v="DNWID0342023100314"/>
        <s v="DNWID0342023100315"/>
        <s v="DNWID0362023100318"/>
        <s v="DNWID0342023100310"/>
        <s v="DNWID0362023100319"/>
        <s v="DNWID0362023100320"/>
        <s v="DNWID0342023100312"/>
        <s v="DNWID0362023100321"/>
        <s v="DNWID0342023100313"/>
        <s v="DNWID0362023100322"/>
        <s v="DNWID0362023100323"/>
        <s v="DNWID0362023100324"/>
        <s v="DNWID0342023100316"/>
        <s v="DNWID0362023100916"/>
        <s v="DNWID0362023100919"/>
        <s v="DNWID0362023100915"/>
        <s v="DNWID0362023100917"/>
        <s v="DNWID0362023100918"/>
        <s v="DNWID0342023100917"/>
        <s v="DNWID0342023100919"/>
        <s v="DNWID0342023100914"/>
        <s v="DNWID0342023100918"/>
        <s v="DNWID0342023100913"/>
        <s v="DNWID0342023100916"/>
        <s v="DNWID0342023100915"/>
        <s v="DNWID0342023102322"/>
        <s v="DNWID0342023102323"/>
        <s v="DNWID0342023102324"/>
        <s v="DNWID0342023102325"/>
        <s v="DNWID0342023102317"/>
        <s v="DNWID0362023102317"/>
        <s v="DNWID0362023102318"/>
        <s v="DNWID0362023102319"/>
        <s v="DNWID0362023102320"/>
        <s v="DNWID0362023102321"/>
        <s v="DNWID0362023102322"/>
        <s v="DNWID0362023102312"/>
        <s v="DNWID0342023102318"/>
        <s v="DNWID0362023102816"/>
        <s v="DNWID0362023102811"/>
        <s v="DNWID0342023102805"/>
        <s v="DNWID0342023102806"/>
        <s v="DNWID0342023103113"/>
        <s v="DNWID0342023103109"/>
        <s v="DNWID0342023103116"/>
        <s v="DNWID0342023103114"/>
        <s v="DNWID0342023103110"/>
        <s v="DNWID0342023103111"/>
        <s v="DNWID0342023103117"/>
        <s v="DNWID0342023112102"/>
        <s v="DNWID0342023112104"/>
        <s v="DNWID0342023112110"/>
        <s v="DNWID0362023112116"/>
        <s v="DNWID0342023112101"/>
        <s v="DNWID0362023112117"/>
        <s v="DNWID0362023112118"/>
        <s v="DNWID0362023112119"/>
        <s v="DNWID0362023112115"/>
        <s v="DNWID0342023112105"/>
        <s v="DNWID0342023112106"/>
        <s v="DNWID0342023112107"/>
        <s v="DNWID0342023112108"/>
        <s v="DNWID0342023112109"/>
        <s v="DNWID0362023112106"/>
        <s v="DNWID0362023112120"/>
        <s v="DNWID0362023112121"/>
        <s v="DNWID0362023112122"/>
        <s v="DNWID0362023112214"/>
        <s v="DNWID0342023112308"/>
        <s v="DNWID0342023112307"/>
        <s v="DNWID0342023120123"/>
        <s v="DNWID0342023120121"/>
        <s v="DNWID0342023120127"/>
        <s v="DNWID0342023120810"/>
        <s v="DNWID0342023120811"/>
        <s v="DNWID0342023120807"/>
        <s v="DNWID0342023120808"/>
        <s v="DNWID0342023120809"/>
        <s v="DNWID0342023121306"/>
        <s v="DNWID0342023121305"/>
        <s v="DNWID0342024011601"/>
        <s v="DNWID0342024011902"/>
        <s v="DNWID0342024011903"/>
        <s v="DNWID0362024011904"/>
        <s v="DNWID0362024011905"/>
        <s v="DNWID0342024020609"/>
        <s v="DNWID0362024020611"/>
        <s v="DNWID0342024020732"/>
        <s v="DNWID0342024021510"/>
        <s v="DNWID0342024021511"/>
        <s v="DNWID0362024021509"/>
        <s v="DNWID0362024021510"/>
        <s v="DNWID0342024022004"/>
        <s v="DNWID0342024022003"/>
        <s v="DNWID0342024022006"/>
        <s v="DNWID0362024022003"/>
        <s v="DNWID0362024022004"/>
        <s v="DNWID0362024022005"/>
        <s v="DNWID0362024022006"/>
        <s v="DNWID0342024022005"/>
        <s v="DNWID0362024022007"/>
        <s v="DNWID0362024022008"/>
        <s v="DNWID0342024022617"/>
        <s v="DNWID0362024022701"/>
        <s v="DNWID0362024022921"/>
        <s v="DNWID0342024022913"/>
        <s v="DNWID0342024022914"/>
        <s v="DNWID0342024022915"/>
        <s v="DNWID0362024022922"/>
        <s v="DNWID0362024022923"/>
        <s v="DNWID0342024030504"/>
        <s v="DNWID0342024030503"/>
        <s v="DNWID0342024030509"/>
        <s v="DNWID0342024030506"/>
        <s v="DNWID0342024030501"/>
        <s v="DNWID0342024030502"/>
        <s v="DNWID0342024030510"/>
        <s v="DNWID0342024031512"/>
        <s v="DNWID0362024031503"/>
        <s v="DNWID0342024031511"/>
        <s v="DNWID0362024031504"/>
        <s v="DNWID0362024031505"/>
        <s v="DNWID0342024031513"/>
        <s v="DNWID0362024031506"/>
        <s v="DNWID0342024031505"/>
        <s v="DNWID0362024031507"/>
        <s v="DNWID0342024031514"/>
        <s v="DNWID0362024031508"/>
        <s v="DNWID0342024031506"/>
        <s v="DNWID0362024031509"/>
        <s v="DNWID0762024031501"/>
        <s v="DNWID0342024031515"/>
        <s v="DNWID0362024031510"/>
        <s v="DNWID0762024031502"/>
        <s v="DNWID0342024031516"/>
        <s v="DNWID0342024031502"/>
        <s v="DNWID0342024031510"/>
        <s v="DNWID0342024031508"/>
        <s v="DNWID0342024032707"/>
        <s v="DNWID0342024032709"/>
        <s v="DNWID0342024040101"/>
        <s v="DNWID0362024041714"/>
        <s v="DNWID0762024041702"/>
        <s v="DNWID0342024041720"/>
        <s v="DNWID0362024041710"/>
        <s v="DNWID0342024041721"/>
        <s v="DNWID0362024041715"/>
        <s v="DNWID0342024041725"/>
        <s v="DNWID0362024041711"/>
        <s v="DNWID0762024041703"/>
        <s v="DNWID0342024041722"/>
        <s v="DNWID0362024041712"/>
        <s v="DNWID0342024041723"/>
        <s v="DNWID0362024041713"/>
        <s v="DNWID0342024041724"/>
        <s v="DNWID0362024041708"/>
        <s v="DNWID0342024041716"/>
        <s v="DNWID0362024041709"/>
        <s v="DNWID0762024041701"/>
        <s v="DNWID0342024041715"/>
        <s v="DNWID0362024041716"/>
        <s v="DNWID0342024041726"/>
        <s v="DNWID0362024041717"/>
        <s v="DNWID0762024041704"/>
        <s v="DNWID0342024041727"/>
        <s v="DNWID0342024042216"/>
        <s v="DNWID0342024042218"/>
        <s v="DNWID0342024042213"/>
        <s v="DNWID0342024042215"/>
        <s v="DNWID0342024042217"/>
        <s v="DNWID0342024042212"/>
        <s v="DNWID0342024042617"/>
        <s v="DNWID0342024042616"/>
        <s v="DNWID0342024042906"/>
        <s v="DNWID0342024051304"/>
        <s v="DNWID0342024052504"/>
        <s v="DNWID0342024052506"/>
        <s v="DNWID0342024052502"/>
        <s v="DNWID0342024052503"/>
        <s v="DNWID0362024052502"/>
        <s v="DNWID0362024052503"/>
        <s v="DNWID0762024052502"/>
        <s v="DNWID0342024052505"/>
        <s v="DNWID0362024052504"/>
        <s v="DNWID0362024052505"/>
        <s v="DNWID0762024052503"/>
        <s v="DNWID0362024052501"/>
        <s v="DNWID0762024052501"/>
        <s v="DNWID0362024060513"/>
        <s v="DNWID0342024061005"/>
        <s v="DNWID0342024061004"/>
        <s v="DNWID0342024061003"/>
        <s v="DNWID0762024061001"/>
        <s v="DNWID0762024061003"/>
        <s v="DNWID0762024061002"/>
        <s v="DNWID0362024061003"/>
        <s v="DNWID0362024061004"/>
        <s v="DNWID0362024061002"/>
        <s v="DNWID0342024061412"/>
        <s v="DNWID0342024061406"/>
        <s v="DNWID0342024061410"/>
        <s v="DNWID0342024061407"/>
        <s v="DNWID0762024061406"/>
        <s v="DNWID0342024061409"/>
        <s v="DNWID0762024061407"/>
        <s v="DNWID0362024061408"/>
        <s v="DNWID0342024061408"/>
        <s v="DNWID0762024061405"/>
        <s v="DNWID0342024061413"/>
        <s v="DNWID0362024061410"/>
        <s v="DNWID0342024062011"/>
        <s v="DNWID0342024062501"/>
        <s v="DNWID0342024062506"/>
        <s v="DNWID0342024062508"/>
        <s v="DNWID0342024062510"/>
        <s v="DNWID0342024062502"/>
        <s v="DNWID0362024070709"/>
        <s v="DNWID0342024070104"/>
        <s v="DNWID0342024062802"/>
        <s v="DNWID0362024070103"/>
        <s v="DNWID0362024070102"/>
        <s v="DNWID0342024070704"/>
        <s v="DNWID0362024070705"/>
        <s v="DNWID0342024070702"/>
        <s v="DNWID0362024070704"/>
        <s v="DNWID0362024070707"/>
        <s v="DNWID0342024081513"/>
        <s v="DNWID0362024081404"/>
        <s v="DNWID0342024081508"/>
        <s v="DNWID0362024081418"/>
        <s v="DNWID0342024081509"/>
        <s v="DNWID0362024081416"/>
        <s v="DNWID0342024092704"/>
        <s v="DNWID0342024092703"/>
        <s v="DNWID0362024092706"/>
        <s v="DNWID0362024092703"/>
        <s v="DNWID0342024092706"/>
        <s v="DNWID0362024092701"/>
        <s v="DNWID0342024092705"/>
        <s v="DNWID0362024092702"/>
        <s v="DNWID0342024092702"/>
        <s v="DNWID0342024092701"/>
        <s v="DNWID0362024092704"/>
        <s v="DNWID0362024092705"/>
        <s v="DNWID0362024101006"/>
        <s v="DNWID0362024101007"/>
        <s v="DNWID0362024101008"/>
        <s v="DNWID0362024101009"/>
        <s v="DNWID0342024101001"/>
        <s v="DNWID0342024101003"/>
        <s v="DNWID0342024101002"/>
        <s v="DNWID0342024101005"/>
        <s v="DNWID0342024101004"/>
        <s v="DNWID0362024101001"/>
        <s v="DNWID0362024101002"/>
        <s v="DNWID0362024101005"/>
        <s v="DNWID0362024101004"/>
        <s v="DNWID0362024101003"/>
        <s v="DNWID0342024102214"/>
        <s v="DNWID0362024102212"/>
        <s v="DNWID0362024102204"/>
        <s v="DNWID0342024102209"/>
        <s v="DNWID0342024102206"/>
        <s v="DNWID0342024102208"/>
        <s v="DNWID0362024102208"/>
        <s v="DNWID0362024102209"/>
        <s v="DNWID0342024103103"/>
        <s v="DNWID0342024103102"/>
        <s v="DNWID0342024112508"/>
        <s v="DNWID0342024112510"/>
        <s v="DNWID0342024112512"/>
        <s v="DNWID0362024112513"/>
        <s v="DNWID0362024112512"/>
        <s v="DNWID0362024112511"/>
        <s v="DNWID0342024112511"/>
        <s v="DNWID0342024112509"/>
        <s v="DNWID0362024112514"/>
        <s v="DNWID0362024112510"/>
        <s v="DNWID0342025011501"/>
        <s v="DNWID0342025011504"/>
        <s v="DNWID0342025011503"/>
        <s v="DNWID0342025011502"/>
        <s v="DNWID0342025021003"/>
        <s v="DNWID0362025021004"/>
        <s v="DNWID0362025021701"/>
        <s v="DNWID0342025022402"/>
        <s v="DNWID0342025031810"/>
        <s v="DNWID0342025031807"/>
        <s v="DNWID0362025042808"/>
        <s v="DNWID0362025042809"/>
        <s v="DNWID0362025042810"/>
        <s v="DNWID0362025050201"/>
        <s v="DNWID0362025050715"/>
        <s v="DNWID0362025050714"/>
        <s v="DNWID1372025051806"/>
        <s v="DNWID1372025051802"/>
        <s v="DNWID1372025051803"/>
        <s v="DNWID1372025051801"/>
        <s v="DNWID1372025051804"/>
        <s v="DNWID1372025051805"/>
        <s v="DNWID1382025051802"/>
        <s v="DNWID1382025051804"/>
        <s v="DNWID1382025051803"/>
        <s v="DNWID1382025051801"/>
        <s v="DNWID1382025052707"/>
        <s v="DNWID1382025052708"/>
        <s v="DNWID1382025052709"/>
        <s v="DNWID1382025052711"/>
        <s v="DNWID1382025053106"/>
        <s v="DNWID1382025053105"/>
        <s v="DNWID1382025053107"/>
        <s v="DNWID1382025070104"/>
        <s v="DNWID1382025081409"/>
        <s v="DNWID1382025081410"/>
        <s v="DNWID1382025081411"/>
        <s v="DNWID1382025081407"/>
        <s v="DNWID1382025081408"/>
        <s v="DNWID1382025082601"/>
        <s v="DNWID1382025090303"/>
        <s v="DNWID0362023082905"/>
        <s v="DNWID0342023082904"/>
        <s v="DNWID0342023083104"/>
        <s v="DNWID0362023101905"/>
        <s v="DNWID0342023102006"/>
        <s v="DNWID0362023101904"/>
        <s v="DNWID0342023102005"/>
        <s v="DNWID0342023103102"/>
        <s v="DNWID0342023103101"/>
        <s v="DNWID0362023110705"/>
        <s v="DNWID0342023110704"/>
        <s v="DNWID0362023110706"/>
        <s v="DNWID0342023110705"/>
        <s v="DNWID0362023110707"/>
        <s v="DNWID0342023110701"/>
        <s v="DNWID0362023110702"/>
        <s v="DNWID0342023110702"/>
        <s v="DNWID0362023110703"/>
        <s v="DNWID0342023110703"/>
        <s v="DNWID0362023110719"/>
        <s v="DNWID0342023110706"/>
        <s v="DNWID0362023110901"/>
        <s v="DNWID0362023110902"/>
        <s v="DNWID0342023110902"/>
        <s v="DNWID0362023110903"/>
        <s v="DNWID0342023110903"/>
        <s v="DNWID0362023110904"/>
        <s v="DNWID0342023110904"/>
        <s v="DNWID0342023110901"/>
        <s v="DNWID0362023120601"/>
        <s v="DNWID0342023120601"/>
        <s v="DNWID0362023121803"/>
        <s v="DNWID0342023121812"/>
        <s v="DNWID0362023121804"/>
        <s v="DNWID0362023121805"/>
        <s v="DNWID0362023121806"/>
        <s v="DNWID0342023121813"/>
        <s v="DNWID0342023121906"/>
        <s v="DNWID0342023121908"/>
        <s v="DNWID0342023121909"/>
        <s v="DNWID0342023121910"/>
        <s v="DNWID0342023121915"/>
        <s v="DNWID0342023121920"/>
        <s v="DNWID0342023121916"/>
        <s v="DNWID0342023121921"/>
        <s v="DNWID0342023122711"/>
        <s v="DNWID0342024011104"/>
        <s v="DNWID0342024020727"/>
        <s v="DNWID0342024020730"/>
        <s v="DNWID0362024020719"/>
        <s v="DNWID0342024020722"/>
        <s v="DNWID0362024020720"/>
        <s v="DNWID0342024020723"/>
        <s v="DNWID0362024020721"/>
        <s v="DNWID0342024020724"/>
        <s v="DNWID0362024022001"/>
        <s v="DNWID0342024022001"/>
        <s v="DNWID0362024022002"/>
        <s v="DNWID0342024022002"/>
        <s v="DNWID0342024022007"/>
        <s v="DNWID0342024030423"/>
        <s v="DNWID0342024030424"/>
        <s v="DNWID0362024031910"/>
        <s v="DNWID0342024031910"/>
        <s v="DNWID0362024032018"/>
        <s v="DNWID0342024031912"/>
        <s v="DNWID0362024032019"/>
        <s v="DNWID0342024031913"/>
        <s v="DNWID0362024032020"/>
        <s v="DNWID0342024031914"/>
        <s v="DNWID0362024032021"/>
        <s v="DNWID0762024032002"/>
        <s v="DNWID0342024032003"/>
        <s v="DNWID0362024032016"/>
        <s v="DNWID0762024032001"/>
        <s v="DNWID0342024032001"/>
        <s v="DNWID0342024042211"/>
        <s v="DNWID0342024042505"/>
        <s v="DNWID0342024052813"/>
        <s v="DNWID0362024052804"/>
        <s v="DNWID0762024052802"/>
        <s v="DNWID0342024052812"/>
        <s v="DNWID0362024052803"/>
        <s v="DNWID0762024052801"/>
        <s v="DNWID0342024061205"/>
        <s v="DNWID0342024061202"/>
        <s v="DNWID0342024061206"/>
        <s v="DNWID0342024061207"/>
        <s v="DNWID0342024061208"/>
        <s v="DNWID0342024061204"/>
        <s v="DNWID0342024061209"/>
        <s v="DNWID0342024061201"/>
        <s v="DNWID0342024061203"/>
        <s v="DNWID0342024081414"/>
        <s v="DNWID0342024081412"/>
        <s v="DNWID0362024081417"/>
        <s v="DNWID0362024081415"/>
        <s v="DNWID0362024082716"/>
        <s v="DNWID0342024082703"/>
        <s v="DNWID0342024082706"/>
        <s v="DNWID0342024082701"/>
        <s v="DNWID0342024082712"/>
        <s v="DNWID0362024082713"/>
        <s v="DNWID0362024082703"/>
        <s v="DNWID0362024082706"/>
        <s v="DNWID0362024082702"/>
        <s v="DNWID0362024082714"/>
        <s v="DNWID0362024082715"/>
        <s v="DNWID0342024091306"/>
        <s v="DNWID0342024091307"/>
        <s v="DNWID0362024091304"/>
        <s v="DNWID0362024091303"/>
        <s v="DNWID0342024100802"/>
        <s v="DNWID0362024100801"/>
        <s v="DNWID0362024102207"/>
        <s v="DNWID0342024102212"/>
        <s v="DNWID0342024110104"/>
        <s v="DNWID0342024110103"/>
        <s v="DNWID0342024110105"/>
        <s v="DNWID0362024110103"/>
        <s v="DNWID0362024110108"/>
        <s v="DNWID0362024110105"/>
        <s v="DNWID0342024112507"/>
        <s v="DNWID0342024112506"/>
        <s v="DNWID0342024112504"/>
        <s v="DNWID0362024112509"/>
        <s v="DNWID0362024112508"/>
        <s v="DNWID0342024122001"/>
        <s v="DNWID0342024121901"/>
        <s v="DNWID0362024121901"/>
        <s v="DNWID0362023081012"/>
        <s v="DNWID0342023081005"/>
        <s v="DNWID0362023081010"/>
        <s v="DNWID0342023081003"/>
        <s v="DNWID0362023081011"/>
        <s v="DNWID0342023081004"/>
        <s v="DNWID0362023081409"/>
        <s v="DNWID0342023081405"/>
        <s v="DNWID0362023081410"/>
        <s v="DNWID0342023081406"/>
        <s v="DNWID0362023081408"/>
        <s v="DNWID0342023081404"/>
        <s v="DNWID0362023081411"/>
        <s v="DNWID0342023081407"/>
        <s v="DNWID0362023082903"/>
        <s v="DNWID0362023082904"/>
        <s v="DNWID0342023082903"/>
        <s v="DNWID0342023083102"/>
        <s v="DNWID0362023091907"/>
        <s v="DNWID0342023091907"/>
        <s v="DNWID0362023091908"/>
        <s v="DNWID0342023091908"/>
        <s v="DNWID0362023091909"/>
        <s v="DNWID0342023091909"/>
        <s v="DNWID0362023091910"/>
        <s v="DNWID0342023091910"/>
        <s v="DNWID0362023091911"/>
        <s v="DNWID0342023091911"/>
        <s v="DNWID0362023091912"/>
        <s v="DNWID0342023091912"/>
        <s v="DNWID0342023092503"/>
        <s v="DNWID0342023092501"/>
        <s v="DNWID0342023092502"/>
        <s v="DNWID0342023101306"/>
        <s v="DNWID0362023101308"/>
        <s v="DNWID0362023101314"/>
        <s v="DNWID0362023101407"/>
        <s v="DNWID0342023101413"/>
        <s v="DNWID0362023102313"/>
        <s v="DNWID0342023102319"/>
        <s v="DNWID0362023102314"/>
        <s v="DNWID0362023102315"/>
        <s v="DNWID0362023102316"/>
        <s v="DNWID0342023102320"/>
        <s v="DNWID0342023102321"/>
        <s v="DNWID0342023103103"/>
        <s v="DNWID0342023103105"/>
        <s v="DNWID0342023103106"/>
        <s v="DNWID0342023103104"/>
        <s v="DNWID0342023111003"/>
        <s v="DNWID0362023111002"/>
        <s v="DNWID0342023111502"/>
        <s v="DNWID0342023111503"/>
        <s v="DNWID0362023111517"/>
        <s v="DNWID0362023111518"/>
        <s v="DNWID0362023111804"/>
        <s v="DNWID0342023121304"/>
        <s v="DNWID0342023121303"/>
        <s v="DNWID0342023121307"/>
        <s v="DNWID0362024010917"/>
        <s v="DNWID0342024010905"/>
        <s v="DNWID0362024010918"/>
        <s v="DNWID0342024010906"/>
        <s v="DNWID0362024011015"/>
        <s v="DNWID0342024011020"/>
        <s v="DNWID0362024011016"/>
        <s v="DNWID0342024011017"/>
        <s v="DNWID0362024011012"/>
        <s v="DNWID0342024011021"/>
        <s v="DNWID0362024011013"/>
        <s v="DNWID0342024011018"/>
        <s v="DNWID0362024011014"/>
        <s v="DNWID0342024011019"/>
        <s v="DNWID0362024050711"/>
        <s v="DNWID0342024050709"/>
        <s v="DNWID0362024050712"/>
        <s v="DNWID0342024050710"/>
        <s v="DNWID0342024080608"/>
        <s v="DNWID0362024080708"/>
        <s v="DNWID0342024080605"/>
        <s v="DNWID0362024060607"/>
        <s v="DNWID0362024080709"/>
        <s v="DNWID0342024080606"/>
        <s v="DNWID0362024080707"/>
        <s v="DNWID0342024080607"/>
        <s v="DNWID0342024082909"/>
        <s v="DNWID0342024082102"/>
        <s v="DNWID0342024081908"/>
        <s v="DNWID0342024091304"/>
        <s v="DNWID0342024091305"/>
        <s v="DNWID0342024091211"/>
        <s v="DNWID0342024091207"/>
        <s v="DNWID0362024091222"/>
        <s v="DNWID0342024091206"/>
        <s v="DNWID0362024091224"/>
        <s v="DNWID0342024091204"/>
        <s v="DNWID0362024091219"/>
        <s v="DNWID0362024091223"/>
        <s v="DNWID0342024091303"/>
        <s v="DNWID0362024091220"/>
        <s v="DNWID0342024091302"/>
        <s v="DNWID0362024091221"/>
        <s v="DNWID0362024091226"/>
        <s v="DNWID0362024091225"/>
        <s v="DNWID0342024092407"/>
        <s v="DNWID0342024092409"/>
        <s v="DNWID0362024092507"/>
        <s v="DNWID0362024092407"/>
        <s v="DNWID0362024092409"/>
        <s v="DNWID0342024092408"/>
        <s v="DNWID0362024091903"/>
        <s v="DNWID0362024091904"/>
        <s v="DNWID0362024091906"/>
        <s v="DNWID0342024110508"/>
        <s v="DNWID0342024110506"/>
        <s v="DNWID0342024110502"/>
        <s v="DNWID0362024110508"/>
        <s v="DNWID0362024110507"/>
        <s v="DNWID0362024110509"/>
        <s v="DNWID0362024111104"/>
        <s v="DNWID0362024111102"/>
        <s v="DNWID0362024111101"/>
        <s v="DNWID0342025011804"/>
        <s v="DNWID0342025011801"/>
        <s v="DNWID0342025011805"/>
        <s v="DNWID0362025011802"/>
        <s v="DNWID0362025011804"/>
        <s v="DNWID0342025011802"/>
        <s v="DNWID0362025011803"/>
        <s v="DNWID0362025011806"/>
        <s v="DNWID0362024061405"/>
        <s v="DNWID0762024061404"/>
        <s v="DNWID0342024061416"/>
        <s v="DNWID0362024061404"/>
        <s v="DNWID0762024061402"/>
        <s v="DNWID0342024061402"/>
        <s v="DNWID0362024061402"/>
        <s v="DNWID0762024061403"/>
        <s v="DNWID0342024061404"/>
        <s v="DNWID0362024061403"/>
        <s v="DNWID0342024061403"/>
        <s v="DNWID0342024062507"/>
        <s v="DNWID0362024072307"/>
        <s v="DNWID0342024072309"/>
        <s v="DNWID0362024072308"/>
        <s v="DNWID0342024072311"/>
        <s v="DNWID0362024072312"/>
        <s v="DNWID0342024072310"/>
        <s v="DNWID0362024072309"/>
        <s v="DNWID0342024072312"/>
        <s v="DNWID0342024082302"/>
        <s v="DNWID0342024082303"/>
        <s v="DNWID0362024082301"/>
        <s v="DNWID0362024082303"/>
        <s v="DNWID0362024082302"/>
        <s v="DNWID0342024090202"/>
        <s v="DNWID0362024090201"/>
        <s v="DNWID0362024091105"/>
        <s v="DNWID0342024091102"/>
        <s v="DNWID0362024091701"/>
        <s v="DNWID0342024091701"/>
        <s v="DNWID0342024091909"/>
        <s v="DNWID0362024091910"/>
        <s v="DNWID0362024091905"/>
        <s v="DNWID0342024091903"/>
        <s v="DNWID0342024101807"/>
        <s v="DNWID0362024101808"/>
        <s v="DNWID0362024101809"/>
        <s v="DNWID0342024102303"/>
        <s v="DNWID0342024102215"/>
        <s v="DNWID0342024102304"/>
        <s v="DNWID0362024102205"/>
        <s v="DNWID0362024102201"/>
        <s v="DNWID0362024102202"/>
        <s v="DNWID0342024102302"/>
        <s v="DNWID0342024110503"/>
        <s v="DNWID0342024110507"/>
        <s v="DNWID0362024102917"/>
        <s v="DNWID0362024102916"/>
        <s v="DNWID0362024110505"/>
        <s v="DNWID0362024110506"/>
        <s v="DNWID0342024121704"/>
        <s v="DNWID0362024121705"/>
        <s v="DNWID0362024121702"/>
        <s v="DNWID0362024121706"/>
        <s v="DNWID0342025013005"/>
        <s v="DNWID0342025013001"/>
        <s v="DNWID0362025013003"/>
        <s v="DNWID0362025013002"/>
        <s v="DNWID0362025022612"/>
        <s v="DNWID0342025041703"/>
        <s v="DNWID0342025041702"/>
        <s v="DNWID0342025041701"/>
        <s v="DNWID0362025041701"/>
        <s v="DNWID0362025041702"/>
        <s v="DNWID0362025041703"/>
        <s v="DNWID0362025041706"/>
        <s v="DNWID0362025041705"/>
        <s v="DNWID0362025041704"/>
        <s v="DNWID0342025050705"/>
        <s v="DNWID0362025050717"/>
        <s v="DNWID0362025050713"/>
        <s v="DNWID0362025050716"/>
        <s v="DNWID0362025050718"/>
        <s v="DNWID1372025052102"/>
        <s v="DNWID1372025052101"/>
        <s v="DNWID1372025052103"/>
        <s v="DNWID1372025052105"/>
        <s v="DNWID1372025052104"/>
        <s v="DNWID1382025052103"/>
        <s v="DNWID1382025052106"/>
        <s v="DNWID1382025052102"/>
        <s v="DNWID1382025052105"/>
        <s v="DNWID1382025052107"/>
        <s v="DNWID1382025052104"/>
        <s v="DNWID1372025061303"/>
        <s v="DNWID1372025061301"/>
        <s v="DNWID1382025061301"/>
        <s v="DNWID1382025061302"/>
        <s v="DNWID1372025062203"/>
        <s v="DNWID1372025062202"/>
        <s v="DNWID1372025062201"/>
        <s v="DNWID1382025070103"/>
        <s v="DNWID1372025070702"/>
        <s v="DNWID1372025070707"/>
        <s v="DNWID1372025070705"/>
        <s v="DNWID1372025070708"/>
        <s v="DNWID1372025070706"/>
        <s v="DNWID1382025070718"/>
        <s v="DNWID1382025070714"/>
        <s v="DNWID1372025071502"/>
        <s v="DNWID1372025071503"/>
        <s v="DNWID1372025071603"/>
        <s v="DNWID1372025071602"/>
        <s v="DNWID1372025071601"/>
        <s v="DNWID1382025071519"/>
        <s v="DNWID1382025071521"/>
        <s v="DNWID1382025071520"/>
        <s v="DNWID1382025071518"/>
        <s v="DNWID1382025071626"/>
        <s v="DNWID1382025071627"/>
        <s v="DNWID1382025071628"/>
        <s v="DNWID1372025071103"/>
        <s v="DNWID1382025071516"/>
        <s v="DNWID1372025072902"/>
        <s v="DNWID1372025073003"/>
        <s v="DNWID1372025073101"/>
        <s v="DNWID1372025073002"/>
        <s v="DNWID1382025073101"/>
        <s v="DNWID1382025073007"/>
        <s v="DNWID1382025080811"/>
        <s v="DNWID1382025080701"/>
        <s v="DNWID1382025080705"/>
        <s v="DNWID1382025080702"/>
        <s v="DNWID1382025080703"/>
        <s v="DNWID1382025082609"/>
        <s v="DNWID1382025082603"/>
        <s v="DNWID1382025082610"/>
        <s v="DNWID1372025082603"/>
        <s v="DNWID1382025082605"/>
        <s v="DNWID1372025082601"/>
        <s v="DNWID1382025082602"/>
        <s v="DNWID1372025082604"/>
        <s v="DNWID1382025082703"/>
        <s v="DNWID1382025090601"/>
        <s v="DNWID1382025102805"/>
        <s v="DNWID1382025102801"/>
        <s v="DNWID1382025102803"/>
        <s v="DNWID0362023121103"/>
        <s v="DNWID0342023121101"/>
        <s v="DNWID0362023121104"/>
        <s v="DNWID0342023121102"/>
        <s v="DNWID0362023121105"/>
        <s v="DNWID0342023121103"/>
        <s v="DNWID0342023122109"/>
        <s v="DNWID0362023122704"/>
        <s v="DNWID0342023122710"/>
        <s v="DNWID0362023122308"/>
        <s v="DNWID0362024011204"/>
        <s v="DNWID0342024011205"/>
        <s v="DNWID0362024011205"/>
        <s v="DNWID0342024011206"/>
        <s v="DNWID0362024011206"/>
        <s v="DNWID0342024011202"/>
        <s v="DNWID0362024011202"/>
        <s v="DNWID0342024011203"/>
        <s v="DNWID0362024011203"/>
        <s v="DNWID0342024011204"/>
        <s v="DNWID0362024011307"/>
        <s v="DNWID0362024020609"/>
        <s v="DNWID0342024020607"/>
        <s v="DNWID0362024020610"/>
        <s v="DNWID0342024020608"/>
        <s v="DNWID0362024022010"/>
        <s v="DNWID0362024022011"/>
        <s v="DNWID0342024022008"/>
        <s v="DNWID0342024022009"/>
        <s v="DNWID0362024022009"/>
        <s v="DNWID0342024030505"/>
        <s v="DNWID0362024031501"/>
        <s v="DNWID0342024031501"/>
        <s v="DNWID0362024031502"/>
        <s v="DNWID0362024050203"/>
        <s v="DNWID0342024050201"/>
        <s v="DNWID0362024050204"/>
        <s v="DNWID0342024050202"/>
        <s v="DNWID0362024050205"/>
        <s v="DNWID0342024050203"/>
        <s v="DNWID0362024050212"/>
        <s v="DNWID0362024060705"/>
        <s v="DNWID0362024062016"/>
        <s v="DNWID0342024062015"/>
        <s v="DNWID0362024062017"/>
        <s v="DNWID0342024062017"/>
        <s v="DNWID0362024062014"/>
        <s v="DNWID0342024062019"/>
        <s v="DNWID0362024062015"/>
        <s v="DNWID0342024062014"/>
        <s v="DNWID0362024062009"/>
        <s v="DNWID0342024062005"/>
        <s v="DNWID0362024061407"/>
        <s v="DNWID0362024061409"/>
        <s v="DNWID0362024062006"/>
        <s v="DNWID0342024062505"/>
        <s v="DNWID0342024062409"/>
        <s v="DNWID0342024062702"/>
        <s v="DNWID0342024062803"/>
        <s v="DNWID0342024062801"/>
        <s v="DNWID0362024070702"/>
        <s v="DNWID0362024070701"/>
        <s v="DNWID0362024070703"/>
        <s v="DNWID0362024070708"/>
        <s v="DNWID0362024070706"/>
        <s v="DNWID0342024070703"/>
        <s v="DNWID0362024070710"/>
        <s v="DNWID0342024070701"/>
        <s v="DNWID0362024072311"/>
        <s v="DNWID0342024072315"/>
        <s v="DNWID0362024072302"/>
        <s v="DNWID0342024072303"/>
        <s v="DNWID0362024072303"/>
        <s v="DNWID0342024072302"/>
        <s v="DNWID0362024072304"/>
        <s v="DNWID0342024072301"/>
        <s v="DNWID0362024081413"/>
        <s v="DNWID0342024081410"/>
        <s v="DNWID0362024081411"/>
        <s v="DNWID0342024081406"/>
        <s v="DNWID0362024081409"/>
        <s v="DNWID0342024081409"/>
        <s v="DNWID0362024081412"/>
        <s v="DNWID0342024081407"/>
        <s v="DNWID0362024081410"/>
        <s v="DNWID0342024081416"/>
        <s v="DNWID0342024081511"/>
        <s v="DNWID0342024081512"/>
        <s v="DNWID0342024081510"/>
        <s v="DNWID0362024090405"/>
        <s v="DNWID0342024090404"/>
        <s v="DNWID0362024090406"/>
        <s v="DNWID0342024090403"/>
        <s v="DNWID0362024090401"/>
        <s v="DNWID0342024090405"/>
        <s v="DNWID0362024090409"/>
        <s v="DNWID0342024090401"/>
        <s v="DNWID0362024090402"/>
        <s v="DNWID0342024090406"/>
        <s v="DNWID0362024090407"/>
        <s v="DNWID0342024090407"/>
        <s v="DNWID0362024101805"/>
        <s v="DNWID0342024101806"/>
        <s v="DNWID0362024101806"/>
        <s v="DNWID0342024101805"/>
        <s v="DNWID0362024101804"/>
        <s v="DNWID0342024101802"/>
        <s v="DNWID0362024110102"/>
        <s v="DNWID0342024110102"/>
        <s v="DNWID0362024110107"/>
        <s v="DNWID0362024110104"/>
        <s v="DNWID0362024110106"/>
        <s v="DNWID0362024110501"/>
        <s v="DNWID0362024102213"/>
        <s v="DNWID0342024110509"/>
        <s v="DNWID0342024111703"/>
        <s v="DNWID0342024121305"/>
        <s v="DNWID0362024122304"/>
        <s v="DNWID0342023080312"/>
        <s v="DNWID0342023082902"/>
        <s v="DNWID0342024021506"/>
        <s v="DNWID0342024021507"/>
        <s v="DNWID0342024022616"/>
        <s v="DNWID0342024031906"/>
        <s v="DNWID0342024031908"/>
        <s v="DNWID0342024041718"/>
        <s v="DNWID0342024051707"/>
        <s v="DNWID0342024051708"/>
        <s v="DNWID0342024051713"/>
        <s v="DNWID0342024081906"/>
        <s v="DNWID0342024081905"/>
        <s v="DNWID0342024081907"/>
        <s v="DNWID0342024081910"/>
        <s v="DNWID0342024082301"/>
        <s v="DNWID0342024082704"/>
        <s v="DNWID0342023083103"/>
        <s v="DNWID0342023091501"/>
        <s v="DNWID0342023091808"/>
        <s v="DNWID0342023091906"/>
        <s v="DNWID0342023092512"/>
        <s v="DNWID0342023092505"/>
        <s v="DNWID0342023101408"/>
        <s v="DNWID0342023101405"/>
        <s v="DNWID0342023101406"/>
        <s v="DNWID0342023101409"/>
        <s v="DNWID0342023111301"/>
        <s v="DNWID0342023122352"/>
        <s v="DNWID0342023122353"/>
        <s v="DNWID0342024011501"/>
        <s v="DNWID0342024011502"/>
        <s v="DNWID0342024011503"/>
        <s v="DNWID0342024022615"/>
        <s v="DNWID0342024031907"/>
        <s v="DNWID0342024032220"/>
        <s v="DNWID0342024032219"/>
        <s v="DNWID0342024042214"/>
        <s v="DNWID0342024042905"/>
        <s v="DNWID0342024052001"/>
        <s v="DNWID0342024053101"/>
        <s v="DNWID0342024053102"/>
        <s v="DNWID0342024060433"/>
        <s v="DNWID0342024060432"/>
        <s v="DNWID0342024060434"/>
        <s v="DNWID0342024062018"/>
        <s v="DNWID0342024062503"/>
        <s v="DNWID0342024070705"/>
        <s v="DNWID0342024070103"/>
        <s v="DNWID0342024072313"/>
        <s v="DNWID0342024072308"/>
        <s v="DNWID0342024072314"/>
        <s v="DNWID0342024082602"/>
        <s v="DNWID0342024082707"/>
        <s v="DNWID0342024082711"/>
        <s v="DNWID0342024091808"/>
        <s v="DNWID0342024092001"/>
        <s v="DNWID0342024102301"/>
        <s v="DNWID0342024102907"/>
        <s v="DNWID0342024110505"/>
        <s v="DNWID0342024110504"/>
        <s v="DNWID0342024112205"/>
        <s v="DNWID0342024112204"/>
        <s v="DNWID0342024112203"/>
        <s v="DNWID0342024112505"/>
        <s v="DNWID0342024121303"/>
        <s v="DNWID0342024121304"/>
        <s v="DNWID0342025020501"/>
        <s v="DNWID0342025021804"/>
        <s v="DNWID1372025061201"/>
        <s v="DNWID1372025061203"/>
        <s v="DNWID1372025061202"/>
        <s v="DNWID1372025061605"/>
        <s v="DNWID1372025061606"/>
        <s v="DNWID1372025071104"/>
        <s v="DNWID1372025071101"/>
        <s v="DNWID1372025071102"/>
        <s v="DNWID1372025080401"/>
        <s v="DNWID1372025080402"/>
        <s v="DNWID1382025081505"/>
        <s v="DNWID1382025082604"/>
        <s v="DNWID1382025082607"/>
        <s v="DNWID1382025102406"/>
        <s v="DNWID1382025102404"/>
        <s v="DNWID1382025102408"/>
        <s v="DNWID1382025111905"/>
        <s v="DNWID1382025121131"/>
        <s v="DNWID1382025121132"/>
        <s v="DNWID1382025121611"/>
        <s v="DNWID1382025121612"/>
        <s v="DNWID1382026011601"/>
        <s v="DNWID1382026031207"/>
        <s v="DNWID03620260509DY"/>
        <s v="DNWID0362026052214"/>
        <s v="DNWID0362026062510"/>
        <s v="DNWID0362026070821"/>
        <s v="DNWID0342023091803"/>
        <s v="DNWID0342023091804"/>
        <s v="DNWID0342023092613"/>
        <s v="DNWID0342023100920"/>
        <s v="DNWID0342023101407"/>
        <s v="DNWID0342023120122"/>
        <s v="DNWID0342024010303"/>
        <s v="DNWID0342024010302"/>
        <s v="DNWID0342024010304"/>
        <s v="DNWID0342024021508"/>
        <s v="DNWID0342024021509"/>
        <s v="DNWID0342024030507"/>
        <s v="DNWID0342024041717"/>
        <s v="DNWID0342024041719"/>
        <s v="DNWID0342024062016"/>
        <s v="DNWID0342024082709"/>
        <s v="DNWID0342024082702"/>
        <s v="DNWID0342024092002"/>
        <s v="DNWID0342024121401"/>
        <s v="DNWID0342024121307"/>
        <s v="DNWID0342025031811"/>
        <s v="DNWID0342025031809"/>
        <s v="DNWID0342025031808"/>
        <s v="DNWID1382025061204"/>
        <s v="DNWID1382025061201"/>
        <s v="DNWID1382025061202"/>
        <s v="DNWID1382025061203"/>
        <s v="DNWID1382025061702"/>
        <s v="DNWID1382025061614"/>
        <s v="DNWID1382025061703"/>
        <s v="DNWID1382025061704"/>
        <s v="DNWID1382025061615"/>
        <s v="DNWID1382025071110"/>
        <s v="DNWID1382025071109"/>
        <s v="DNWID1382025071111"/>
        <s v="DNWID1382025071113"/>
        <s v="DNWID1382025071112"/>
        <s v="DNWID1372025082607"/>
        <s v="DNWID1372025082606"/>
        <s v="DNWID1382025102810"/>
        <s v="DNWID1382025102809"/>
        <s v="DNWID1382025121129"/>
        <s v="DNWID1382025121609"/>
        <s v="DNWID1382025121610"/>
        <s v="DNWID1382026011602"/>
        <s v="DNWID1382026030605"/>
        <m/>
        <s v="DNWID0362026052925"/>
        <s v="DNWID0342023100924"/>
        <s v="DNWID0342023122709"/>
        <s v="DNWID0342024060431"/>
        <s v="DNWID0342024060430"/>
        <s v="DNWID0342024062701"/>
        <s v="DNWID1382025102104"/>
        <s v="DNWID1382025102101"/>
        <s v="DNWID1372025121126"/>
        <s v="DNWID0362023091501"/>
        <s v="DNWID0362023091502"/>
        <s v="DNWID0362023101201"/>
        <s v="DNWID0362023101313"/>
        <s v="DNWID0362023101403"/>
        <s v="DNWID0362024011514"/>
        <s v="DNWID0362024011512"/>
        <s v="DNWID0362024011513"/>
        <s v="DNWID0362024042608"/>
        <s v="DNWID0362024042606"/>
        <s v="DNWID0362024042607"/>
        <s v="DNWID0762024060405"/>
        <s v="DNWID0762024060406"/>
        <s v="DNWID0762024060403"/>
        <s v="DNWID0362024072310"/>
        <s v="DNWID0362024072313"/>
        <s v="DNWID0362024072301"/>
        <s v="DNWID0362024081907"/>
        <s v="DNWID0362024082712"/>
        <s v="DNWID0362024082619"/>
        <s v="DNWID0362024091801"/>
        <s v="DNWID0362024101901"/>
        <s v="DNWID0362024102915"/>
        <s v="DNWID0362024112507"/>
        <s v="DNWID0362024121305"/>
        <s v="DNWID1382025121136"/>
        <s v="DNWID1382026031205"/>
        <s v="DNWID0362023080308"/>
        <s v="DNWID0362023082902"/>
        <s v="DNWID0362023091803"/>
        <s v="DNWID0362023091906"/>
        <s v="DNWID0362023101405"/>
        <s v="DNWID0362023101401"/>
        <s v="DNWID0362023101402"/>
        <s v="DNWID0362023101404"/>
        <s v="DNWID0362023111303"/>
        <s v="DNWID0362023122307"/>
        <s v="DNWID0362023122703"/>
        <s v="DNWID0362024021507"/>
        <s v="DNWID0362024021508"/>
        <s v="DNWID0362024022659"/>
        <s v="DNWID0362024031906"/>
        <s v="DNWID0362024031907"/>
        <s v="DNWID0362024031908"/>
        <s v="DNWID0362024051709"/>
        <s v="DNWID0362024061411"/>
        <s v="DNWID0362024081905"/>
        <s v="DNWID0362024081906"/>
        <s v="DNWID0362024081909"/>
        <s v="DNWID0362024092002"/>
        <s v="DNWID0362024092003"/>
        <s v="DNWID0362024092001"/>
        <s v="DNWID0362024110503"/>
        <s v="DNWID0362024110504"/>
        <s v="DNWID0362024112204"/>
        <s v="DNWID0362024112202"/>
        <s v="DNWID0362024121304"/>
        <s v="DNWID0362024121303"/>
        <s v="DNWID0362024121302"/>
        <s v="DNWID0362025021803"/>
        <s v="DNWID0362025021804"/>
        <s v="DNWID1382025081504"/>
        <s v="DNWID1372025102102"/>
        <s v="DNWID1382025121113"/>
        <s v="DNWID1382025121114"/>
        <s v="DNWID0362024051703"/>
        <s v="DNWID0362024051715"/>
        <s v="DNWID0362024053107"/>
        <s v="DNWID0362024053101"/>
        <s v="DNWID0362024053102"/>
        <s v="DNWID0362024053103"/>
        <s v="DNWID0362024053104"/>
        <s v="DNWID0362024053105"/>
        <s v="DNWID0362024053106"/>
        <s v="DNWID0362024112203"/>
        <s v="DNWID1382025102405"/>
        <s v="DNWID1382025111906"/>
        <s v="DNWID0362026062509"/>
        <s v="DNWID0362023091402"/>
        <s v="DNWID0362023110701"/>
        <s v="DNWID0362024011201"/>
        <s v="DNWID0362024082107"/>
        <s v="DNWID0362024082106"/>
        <s v="DNWID0362024082717"/>
        <s v="DNWID0362023121807"/>
        <s v="DNWID0342023121814"/>
        <s v="DNWID0362023121808"/>
        <s v="DNWID0342023121815"/>
        <s v="DNWID0342023121905"/>
        <s v="DNWID0342023121919"/>
        <s v="DNWID0342023122714"/>
        <s v="DNWID0342024031507"/>
        <s v="DNWID0362024050206"/>
        <s v="DNWID0342024050204"/>
        <s v="DNWID0362024050207"/>
        <s v="DNWID0242024050205"/>
        <s v="DNWID0362024050213"/>
        <s v="DNWID0362026071620"/>
        <s v="DNWID0342025012401" u="1"/>
        <s v="DNWID0342025012402" u="1"/>
        <s v="DNWID0362025012402" u="1"/>
        <s v="DNWID0362025012403" u="1"/>
        <s v="DNWID0282025091602" u="1"/>
        <s v="DNWID0432025091603" u="1"/>
        <s v="DNWID0282025091606" u="1"/>
        <s v="DNWID0432025091606" u="1"/>
        <s v="DNWID0432025091607" u="1"/>
        <s v="DNWID0432025091704" u="1"/>
        <s v="DNWID0282025091709" u="1"/>
        <s v="DNWID028202501708" u="1"/>
        <s v="DNWID0432025091710" u="1"/>
        <s v="DNWID0282025091711" u="1"/>
        <s v="DNWID0432025091711" u="1"/>
        <s v="DNWID0432025091714" u="1"/>
        <s v="DNWID02820025091710" u="1"/>
        <s v="DNWID0432025090809" u="1"/>
        <s v="DNWID0362025011702" u="1"/>
        <s v="DNWID0362025011703" u="1"/>
        <s v="DNWID0342025011704" u="1"/>
        <s v="DNWID0342025011705" u="1"/>
        <s v="DNWID0432025090810" u="1"/>
      </sharedItems>
    </cacheField>
    <cacheField name="Material Pick-update" numFmtId="168">
      <sharedItems containsNonDate="0" containsDate="1" containsString="0" containsBlank="1" minDate="2013-03-01T00:00:00" maxDate="2026-07-18T00:00:00" count="167">
        <d v="2024-03-01T00:00:00"/>
        <d v="2024-03-15T00:00:00"/>
        <d v="2024-03-19T00:00:00"/>
        <d v="2024-04-29T00:00:00"/>
        <d v="2024-05-03T00:00:00"/>
        <d v="2023-09-12T00:00:00"/>
        <d v="2023-09-25T00:00:00"/>
        <d v="2023-10-04T00:00:00"/>
        <d v="2023-10-10T00:00:00"/>
        <d v="2023-10-12T00:00:00"/>
        <d v="2023-10-24T00:00:00"/>
        <d v="2023-10-30T00:00:00"/>
        <d v="2023-11-21T00:00:00"/>
        <d v="2023-11-23T00:00:00"/>
        <d v="2023-11-29T00:00:00"/>
        <d v="2023-12-04T00:00:00"/>
        <d v="2023-12-11T00:00:00"/>
        <d v="2023-12-14T00:00:00"/>
        <d v="2024-01-16T00:00:00"/>
        <d v="2024-01-25T00:00:00"/>
        <d v="2024-02-06T00:00:00"/>
        <d v="2024-02-07T00:00:00"/>
        <d v="2024-02-22T00:00:00"/>
        <d v="2024-02-23T00:00:00"/>
        <d v="2024-02-29T00:00:00"/>
        <d v="2024-03-07T00:00:00"/>
        <d v="2024-03-08T00:00:00"/>
        <d v="2024-03-27T00:00:00"/>
        <d v="2024-04-18T00:00:00"/>
        <d v="2024-04-25T00:00:00"/>
        <d v="2024-05-07T00:00:00"/>
        <d v="2024-05-13T00:00:00"/>
        <d v="2024-05-27T00:00:00"/>
        <d v="2024-06-06T00:00:00"/>
        <d v="2024-06-12T00:00:00"/>
        <d v="2024-06-14T00:00:00"/>
        <d v="2024-06-20T00:00:00"/>
        <d v="2024-06-24T00:00:00"/>
        <d v="2024-06-25T00:00:00"/>
        <d v="2024-07-08T00:00:00"/>
        <d v="2024-08-22T00:00:00"/>
        <d v="2024-10-02T00:00:00"/>
        <d v="2024-10-10T00:00:00"/>
        <d v="2024-10-23T00:00:00"/>
        <d v="2024-11-06T00:00:00"/>
        <d v="2024-11-26T00:00:00"/>
        <d v="2025-01-16T00:00:00"/>
        <d v="2025-02-11T00:00:00"/>
        <d v="2025-02-18T00:00:00"/>
        <d v="2025-02-24T00:00:00"/>
        <d v="2025-03-19T00:00:00"/>
        <d v="2025-04-29T00:00:00"/>
        <d v="2025-05-06T00:00:00"/>
        <d v="2025-05-08T00:00:00"/>
        <d v="2025-05-19T00:00:00"/>
        <d v="2025-05-27T00:00:00"/>
        <d v="2025-06-03T00:00:00"/>
        <d v="2025-07-03T00:00:00"/>
        <d v="2025-08-15T00:00:00"/>
        <d v="2025-09-04T00:00:00"/>
        <d v="2023-09-01T00:00:00"/>
        <d v="2023-10-20T00:00:00"/>
        <d v="2023-10-31T00:00:00"/>
        <d v="2023-11-08T00:00:00"/>
        <d v="2023-11-10T00:00:00"/>
        <d v="2023-12-07T00:00:00"/>
        <d v="2023-12-20T00:00:00"/>
        <d v="2023-12-27T00:00:00"/>
        <d v="2024-01-26T00:00:00"/>
        <d v="2024-02-21T00:00:00"/>
        <d v="2024-03-21T00:00:00"/>
        <d v="2024-05-29T00:00:00"/>
        <d v="2024-06-13T00:00:00"/>
        <d v="2024-08-15T00:00:00"/>
        <d v="2024-08-27T00:00:00"/>
        <d v="2024-09-13T00:00:00"/>
        <d v="2024-10-08T00:00:00"/>
        <d v="2024-12-20T00:00:00"/>
        <d v="2023-08-11T00:00:00"/>
        <d v="2023-08-15T00:00:00"/>
        <d v="2023-09-20T00:00:00"/>
        <d v="2023-10-13T00:00:00"/>
        <d v="2023-10-17T00:00:00"/>
        <d v="2023-10-25T00:00:00"/>
        <d v="2023-11-16T00:00:00"/>
        <d v="2023-11-18T00:00:00"/>
        <d v="2024-01-11T00:00:00"/>
        <d v="2024-08-07T00:00:00"/>
        <d v="2024-08-10T00:00:00"/>
        <d v="2024-09-27T00:00:00"/>
        <d v="2024-11-13T00:00:00"/>
        <d v="2025-01-20T00:00:00"/>
        <d v="2024-07-23T00:00:00"/>
        <d v="2024-08-26T00:00:00"/>
        <d v="2024-09-03T00:00:00"/>
        <d v="2024-09-17T00:00:00"/>
        <d v="2024-09-20T00:00:00"/>
        <d v="2024-09-25T00:00:00"/>
        <d v="2024-10-18T00:00:00"/>
        <d v="2024-12-19T00:00:00"/>
        <d v="2025-01-31T00:00:00"/>
        <d v="2025-02-27T00:00:00"/>
        <d v="2025-04-17T00:00:00"/>
        <d v="2025-05-22T00:00:00"/>
        <d v="2025-06-13T00:00:00"/>
        <d v="2025-06-24T00:00:00"/>
        <d v="2025-07-08T00:00:00"/>
        <d v="2025-07-16T00:00:00"/>
        <d v="2025-07-31T00:00:00"/>
        <d v="2025-08-08T00:00:00"/>
        <d v="2025-08-27T00:00:00"/>
        <d v="2025-09-06T00:00:00"/>
        <d v="2025-11-13T00:00:00"/>
        <d v="2023-12-12T00:00:00"/>
        <d v="2023-12-22T00:00:00"/>
        <d v="2024-01-13T00:00:00"/>
        <d v="2024-06-11T00:00:00"/>
        <d v="2024-06-21T00:00:00"/>
        <d v="2024-09-04T00:00:00"/>
        <d v="2024-11-18T00:00:00"/>
        <d v="2024-12-16T00:00:00"/>
        <d v="2024-12-23T00:00:00"/>
        <d v="2023-08-04T00:00:00"/>
        <d v="2024-02-15T00:00:00"/>
        <d v="2024-05-20T00:00:00"/>
        <d v="2023-09-16T00:00:00"/>
        <d v="2023-09-19T00:00:00"/>
        <d v="2023-09-26T00:00:00"/>
        <d v="2023-10-14T00:00:00"/>
        <d v="2023-11-15T00:00:00"/>
        <d v="2024-03-23T00:00:00"/>
        <d v="2024-05-31T00:00:00"/>
        <d v="2024-06-05T00:00:00"/>
        <d v="2024-07-30T00:00:00"/>
        <d v="2025-02-05T00:00:00"/>
        <d v="2025-02-19T00:00:00"/>
        <d v="2025-06-12T00:00:00"/>
        <d v="2025-06-17T00:00:00"/>
        <d v="2025-07-12T00:00:00"/>
        <d v="2025-08-06T00:00:00"/>
        <d v="2025-08-19T00:00:00"/>
        <d v="2025-10-25T00:00:00"/>
        <d v="2025-11-20T00:00:00"/>
        <d v="2025-12-12T00:00:00"/>
        <d v="2025-12-16T00:00:00"/>
        <d v="2026-01-19T00:00:00"/>
        <d v="2026-03-12T00:00:00"/>
        <d v="2026-05-09T00:00:00"/>
        <d v="2026-05-22T00:00:00"/>
        <d v="2026-06-27T00:00:00"/>
        <d v="2026-07-09T00:00:00"/>
        <d v="2023-11-04T00:00:00"/>
        <d v="2025-10-29T00:00:00"/>
        <d v="2025-12-11T00:00:00"/>
        <d v="2026-03-06T00:00:00"/>
        <d v="2026-04-21T00:00:00"/>
        <d v="2026-06-18T00:00:00"/>
        <d v="2025-10-21T00:00:00"/>
        <d v="2026-07-17T00:00:00"/>
        <m/>
        <d v="2025-01-18T00:00:00" u="1"/>
        <d v="2026-06-25T00:00:00" u="1"/>
        <d v="2025-09-18T00:00:00" u="1"/>
        <d v="2025-09-10T00:00:00" u="1"/>
        <d v="2025-01-24T00:00:00" u="1"/>
        <d v="2013-03-01T00:00:00" u="1"/>
        <d v="2026-05-29T00:00:00" u="1"/>
      </sharedItems>
    </cacheField>
    <cacheField name="Material Name" numFmtId="0">
      <sharedItems containsBlank="1" count="28">
        <s v="ADSS 24C"/>
        <s v="Pole 7M 4&quot;"/>
        <s v="Pole 7M 3&quot;"/>
        <s v="Pole 9M"/>
        <s v="FDT-72"/>
        <s v="1:8 SPL for FDT-AE &amp; UG"/>
        <s v="FAT-16"/>
        <s v="ADSS 48C"/>
        <s v="FDT-48"/>
        <s v="JC 144Core"/>
        <s v="ADSS 144C"/>
        <s v="HDPE40/34mm"/>
        <s v="ADSS 36C"/>
        <s v="ADSS 96C"/>
        <s v="HDPE32/28mm"/>
        <s v="Pole 7M 2.5&quot;"/>
        <m/>
        <s v="ADSS48C" u="1"/>
        <s v="JC144Core" u="1"/>
        <s v="ADSS36C" u="1"/>
        <s v="Pole7M3&quot;" u="1"/>
        <s v="Pole 7M4&quot;" u="1"/>
        <s v="JC 144 Core" u="1"/>
        <s v="Pole 7M2.5&quot;" u="1"/>
        <s v="ADSS24C" u="1"/>
        <s v="Pole7M4&quot;" u="1"/>
        <s v="Pole 7M3&quot;" u="1"/>
        <s v="Pole9M" u="1"/>
      </sharedItems>
    </cacheField>
    <cacheField name="Qty" numFmtId="0">
      <sharedItems containsString="0" containsBlank="1" containsNumber="1" containsInteger="1" minValue="1" maxValue="15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11" refreshedDate="46280.301948726854" createdVersion="7" refreshedVersion="7" minRefreshableVersion="3" recordCount="2707" xr:uid="{6D5BA721-F9E8-4361-BDEF-B063A9D2193A}">
  <cacheSource type="worksheet">
    <worksheetSource name="Logfile_S12"/>
  </cacheSource>
  <cacheFields count="29">
    <cacheField name="Row_ID" numFmtId="0">
      <sharedItems/>
    </cacheField>
    <cacheField name="Line_ID" numFmtId="0">
      <sharedItems containsString="0" containsBlank="1" containsNumber="1" containsInteger="1" minValue="1" maxValue="14"/>
    </cacheField>
    <cacheField name="Transaction  Type" numFmtId="0">
      <sharedItems count="6">
        <s v="INBOUND"/>
        <s v="OUTBOUND"/>
        <s v="TRANSFER OUT"/>
        <s v="TRANSFER IN"/>
        <s v="BORROW IN"/>
        <s v="BORROW OUT"/>
      </sharedItems>
    </cacheField>
    <cacheField name="Nota No." numFmtId="0">
      <sharedItems/>
    </cacheField>
    <cacheField name="WH GCI" numFmtId="0">
      <sharedItems/>
    </cacheField>
    <cacheField name="PIC Warehouse" numFmtId="0">
      <sharedItems/>
    </cacheField>
    <cacheField name="Date" numFmtId="15">
      <sharedItems containsSemiMixedTypes="0" containsNonDate="0" containsDate="1" containsString="0" minDate="2023-08-04T00:00:00" maxDate="2026-07-16T00:00:00"/>
    </cacheField>
    <cacheField name="Time" numFmtId="167">
      <sharedItems containsSemiMixedTypes="0" containsNonDate="0" containsDate="1" containsString="0" minDate="1899-12-30T01:49:00" maxDate="1900-01-14T16:37:24"/>
    </cacheField>
    <cacheField name="Material Source / Destination" numFmtId="0">
      <sharedItems/>
    </cacheField>
    <cacheField name="Type Material" numFmtId="0">
      <sharedItems count="3">
        <s v="ZTE-EMR Material"/>
        <s v="LEFTOVER"/>
        <s v="ZTE-EMR Accesories"/>
      </sharedItems>
    </cacheField>
    <cacheField name="Material Name" numFmtId="0">
      <sharedItems count="37">
        <s v="1:8 SPL for FDT-AE &amp; UG"/>
        <s v="ADSS 24C"/>
        <s v="ADSS 48C"/>
        <s v="ADSS 96C"/>
        <s v="ADSS 144C"/>
        <s v="ADSS 36C"/>
        <s v="Akrilik"/>
        <s v="Bracket A for Clamp"/>
        <s v="Buldog Grip"/>
        <s v="Cable Hanger"/>
        <s v="Clamp Dead End / Buaya 25-50"/>
        <s v="Clamp Dead end / Buaya 50-70"/>
        <s v="Clamp Dead end /buaya 50-70"/>
        <s v="Clamp Gantung"/>
        <s v="FAT-16"/>
        <s v="FAT-16 Fiberhome"/>
        <s v="FDT-48"/>
        <s v="FDT-72"/>
        <s v="HDPE40/34mm"/>
        <s v="Helical Dead End"/>
        <s v="JC 144 Core"/>
        <s v="JC 48 Core"/>
        <s v="Label Sticker "/>
        <s v="pigtail"/>
        <s v="Pipa Galvanis"/>
        <s v="Plate 20mm (50M)"/>
        <s v="Pole 7M 2.5&quot;"/>
        <s v="Pole 7M 3&quot;"/>
        <s v="Pole 7M 4&quot;"/>
        <s v="Pole 9M"/>
        <s v="Pole Single Clamp"/>
        <s v="Pole single clamp 3&quot;"/>
        <s v="Selling 6mm (1000m)"/>
        <s v="Selling Span Wartel"/>
        <s v="Span Wartel 3/8"/>
        <s v="Stoplink"/>
        <s v="Suspension Clamp"/>
      </sharedItems>
    </cacheField>
    <cacheField name="Material Code" numFmtId="0">
      <sharedItems/>
    </cacheField>
    <cacheField name="Unit" numFmtId="0">
      <sharedItems/>
    </cacheField>
    <cacheField name="Qty" numFmtId="0">
      <sharedItems containsSemiMixedTypes="0" containsString="0" containsNumber="1" minValue="0" maxValue="4000"/>
    </cacheField>
    <cacheField name="SiteID" numFmtId="0">
      <sharedItems containsBlank="1" containsMixedTypes="1" containsNumber="1" containsInteger="1" minValue="0" maxValue="0"/>
    </cacheField>
    <cacheField name="Site Name" numFmtId="0">
      <sharedItems containsBlank="1" containsMixedTypes="1" containsNumber="1" containsInteger="1" minValue="0" maxValue="0" count="186">
        <s v="Bandulan RW 08 Sukun"/>
        <s v="Bumiayu RW 03 Kedungkandang"/>
        <s v="Bumiayu RW 05 Kedungkandang"/>
        <m/>
        <s v="Transfer Gudang"/>
        <n v="0"/>
        <s v="Dalisodo RW 04 Wagir"/>
        <s v="Tunjungtirto RW 01 Singosari"/>
        <s v="Dalisodo RW 03 Wagir"/>
        <s v="Tanjungtirto RW 05 Singosari"/>
        <s v="Pandan Landung RW 05 Wagir"/>
        <s v="Lawang RW 06 Malang"/>
        <s v="Dusun Klaseman Kucur"/>
        <s v="Dusun Krajan Kucur"/>
        <s v="Dusun Klampok Kucur"/>
        <s v="Dusun Sumber Bendo Kucur"/>
        <s v="Candirenggo RW 10 Singosari"/>
        <s v="Perumahan Bukit Lawang Indah Malang"/>
        <s v="ADJUSTMENT"/>
        <s v="Perumahan Bumi Podo Rukun Dau"/>
        <s v="Puncak Dieng Exlusif"/>
        <s v="Sukodadi RW 01 Wagir"/>
        <s v="Jedong RW 08 Wagir"/>
        <s v="Mulyorejo RW 04 Sukun"/>
        <s v="Jedong RW 07 Wagir"/>
        <s v="Mulyorejo RW 06 Sukun"/>
        <s v="Pandan Landung RW 03 Wagir"/>
        <s v="Jedong RW 09 Wagir"/>
        <s v="Sidorahayu RW 02 Wagir"/>
        <s v="Pandan Landung RW 04 Wagir"/>
        <s v="Sitirejo RW 01 Wagir"/>
        <s v="YPTT"/>
        <s v="Baturetno RW 03 Singosari"/>
        <s v="Transfer Gudang TO KEDIRI"/>
        <s v="Perumahan Pondok Mutiara Malang"/>
        <s v="TAMANHARJO RW 04 SINGOSARI"/>
        <s v="HUBFEEDER BATURETNO RW 02"/>
        <s v="Baturetno RW 02 Singosari "/>
        <s v="MORASHA"/>
        <s v="Transfer Gudang TO GRESIK"/>
        <s v="Dalisodo RW 01 Wagir"/>
        <s v="Tunjungtirto RW 08 Singosari"/>
        <s v="Dalisodo RW 05 Wagir"/>
        <s v="FH 2 HASBEL @4000"/>
        <s v="Pandan Landung RW 01 Wagir"/>
        <s v="Pandanlandung RW 01 Wagir"/>
        <s v="HUBFEEDER DALISODO"/>
        <s v="Klampok RW 01 Singosari"/>
        <s v="Dusun Ketohan Kucur"/>
        <s v="Dusun Godehan RW 10 Kucur"/>
        <s v="Dusun Turi Kucur"/>
        <s v="Sisa sumberbendo"/>
        <s v="Kebonagung RW 13 Pakisaji"/>
        <s v="Lowokwaru RW 04"/>
        <s v="Perumahan Perumnas Talangagung I Malang"/>
        <s v="Perumahan Kepanjen Permai II"/>
        <s v="Ngenep RW 04 Karang Ploso"/>
        <s v="HUBFEEDER KEPANJEN TO JATIKERTO"/>
        <s v="Dusun Langlang IV Singosari"/>
        <s v="Hub Feeder Segment 1 OLT Singosari to Girimoyo"/>
        <s v="HUBFEEDER TIRTASANI TO GIRIMOYO"/>
        <s v="Dusun Krajan Sumbersekar"/>
        <s v="Dilem RW 03 Kepanjen"/>
        <s v="MIDGO"/>
        <s v="HUBFEEDER DALISODO WAGIR MALANG"/>
        <s v="Sengguruh RW 01 Malang"/>
        <s v="HUBFEEDER DINOYO SUMBERSEKAR"/>
        <s v="SENGGURUH RW 02 MALANG"/>
        <s v="NGENEP UTARA RW 03 MALANG"/>
        <s v="SENGGURUH RW 03 MALANG"/>
        <s v="From Blitar"/>
        <s v="Main Feeder - OLT Smart Malang   Segment 8 to Sumbersekar"/>
        <s v="Dusun Mojosari Ngenep"/>
        <s v="Ngenep RW 10 Malang"/>
        <s v="Mainfeeder Singosari Segment 3"/>
        <s v="HUBFEEDER KLAMPOK"/>
        <s v="Kalirejo RW 13 Lawang"/>
        <s v="Tambakasri RW 02 Tajinan"/>
        <s v="Kediri"/>
        <s v="Kalirejo RW 13 Lawang Malang"/>
        <s v="Perumahan Panca Garden"/>
        <s v="Bedali RW 03 Kromengan"/>
        <s v="BEDALI RW 04 MALANG"/>
        <s v="Bedali RW 05 Kromengan"/>
        <s v="Bedali RW 04 Kromengan"/>
        <s v="Perumahan Bukit Lawang Indah Malang"/>
        <s v="Permanu RW 02 Pakisaji"/>
        <s v="Dusun Cupak RW 02"/>
        <s v="Perumahan De Wira Green View"/>
        <s v="Sitirejo RW 04 Wagir"/>
        <s v="Temas RW 05"/>
        <s v="Temas RW 04"/>
        <s v="AIA"/>
        <s v="GRESIK"/>
        <s v="ARJOWINANGUN RW 01 MALANG"/>
        <s v="BULULAWANG RW 01, 02, 03, 04, 06   MALANG"/>
        <s v="DESA GADUNGAN PONCOKUSUMO MALANG"/>
        <s v="DESA KARANGANYAR KIDUL PONCOKUSUMO   MALANG"/>
        <s v="DESA KRAJANI PONCOKUSUMO MALANG"/>
        <s v="DESA PANCURAN PONCOKUSUMO MALANG"/>
        <s v="KREBET SENGGRONG RW 04"/>
        <s v="KREBET RW 03"/>
        <s v="KREBET RW 05"/>
        <s v="PERMANU RW 03 MALANG"/>
        <s v="PERMANU RW 04 MALANG"/>
        <s v="PERUMAHAN BULULAWANG PERMAI RW 02"/>
        <s v="Main Feeder - OLT Smart Malang Segment 8 to Sumbersekar"/>
        <s v="KREBET SENGGRONG RW 03 MALANG"/>
        <s v="KREBET SENGGRONG RW 02 MALANG"/>
        <s v="DCIT"/>
        <s v="Perumahan Asshofa Residence"/>
        <s v="PERUMAHAN BULULAWANG PERMAI RW 02"/>
        <s v="LESANPURO RW 06 MALANG"/>
        <s v="MADYOPURO RW 05 MALANG"/>
        <s v="PALAAN RW 01 SAMPAI 05 MALANG"/>
        <s v="PALAAN RW 06 SAMPAI 10 MALANG"/>
        <s v="DUSUN SIDOAYU KELURAHAN SIDEREJO MALANG"/>
        <s v="DUSUN ARDIREJO KELURAHAN SIDEREJO MALANG"/>
        <s v="Sisa Palaan"/>
        <s v="FDT 3 Sidoayu Line C"/>
        <s v="Sisa Sidoayu FDT3"/>
        <s v="FDT 3 Ardirejo Line C"/>
        <s v="sf bonangung"/>
        <s v="SF FDT 4 ardirejo"/>
        <s v="Griya Kebon Agung Indah"/>
        <s v="KEBONAGUNG RW 06 PAKISAJI"/>
        <s v="LESANPURO RW 01 MALANG"/>
        <s v="SEKARPURO RW 05 MALANG"/>
        <s v="SEKARPURO RW 08 MALANG"/>
        <s v="SEKARPURO RW 04 MALANG"/>
        <s v="WONOKOYO RW 05 KEDUNGKANDANG"/>
        <s v="SUMBERSEKAR RT 07 RW 04 MALANG"/>
        <s v="RANDUANGUNG RW 04 SINGOSARI MALANG"/>
        <s v="KAMBINGAN RW 04 MALANG"/>
        <s v="KESATRIAN RW 09 MALANG"/>
        <s v="Purchase"/>
        <s v="UD RIZQI JAYA PRATAMA "/>
        <s v="UD HALIM"/>
        <s v="JOMBANG"/>
        <s v="Lowokwaru RW14"/>
        <s v="HALIM JAYA"/>
        <s v="Ngenep RW 06 Karang Ploso"/>
        <s v="Pakisaji RW 01 Malang"/>
        <s v="PERMANU RW 01 MALANG"/>
        <s v="Perum Chandra Kirana Watugede"/>
        <s v="Citra Kayane Residence"/>
        <s v="KEBONAGUNG RW 01 MALANG"/>
        <s v="Pncokusumo"/>
        <s v="Bululawang"/>
        <s v="Bululawang Permai"/>
        <s v="Asshofa Residence"/>
        <s v="Sukodadi RW 02 Wagir"/>
        <s v="Dengkol RW 02 Singosari Malang"/>
        <s v="TEGAL"/>
        <s v="Tunjungtirto RW 06 Singosari"/>
        <s v="NGAWI"/>
        <s v="Pengembalian"/>
        <s v="MF Sumbersekar"/>
        <s v="Blitar"/>
        <s v="Mojosari Ngenep"/>
        <s v="MADIUN"/>
        <s v="Kebonagung RW 01"/>
        <s v="Krebet"/>
        <s v="Sengguruh"/>
        <s v="DUSUN CUPAK RW 01"/>
        <s v="LAMONGAN"/>
        <s v="Bululawang 7"/>
        <s v="Pandanlandung RW   04   Wagir"/>
        <s v="Pandanlandung RW   03   Wagir"/>
        <s v="Dengkol RW 03 Singosari Malang"/>
        <s v="BULULAWANG RW 05 MALANG"/>
        <s v="KREBET RW 04"/>
        <s v="BULULAWANG RW 07 MALANG"/>
        <s v="-"/>
        <s v="MYREP"/>
        <s v="MF Singosari"/>
        <s v="Pandanlandung RW 03 Wagir"/>
        <s v="Baturetno RW 02 Singosari Malang"/>
        <s v="BEAUT"/>
        <s v="Dilem RW 04 Kepanjen"/>
        <s v="MDP"/>
        <s v="Perum Bayu Asri"/>
        <s v="DUSUN LOR KALI PONCOKUSUMO MALANG"/>
        <s v="Pandanlandung RW 02 Wagir"/>
        <s v="change design from 4&quot; to 3&quot;"/>
        <s v="HUBFEEDER OLT KEPANJEN TO JATIKERTO"/>
      </sharedItems>
    </cacheField>
    <cacheField name="DO number" numFmtId="0">
      <sharedItems containsBlank="1" containsMixedTypes="1" containsNumber="1" containsInteger="1" minValue="0" maxValue="0"/>
    </cacheField>
    <cacheField name="DN Number" numFmtId="0">
      <sharedItems containsBlank="1" containsMixedTypes="1" containsNumber="1" containsInteger="1" minValue="0" maxValue="0"/>
    </cacheField>
    <cacheField name="Condition" numFmtId="0">
      <sharedItems containsBlank="1"/>
    </cacheField>
    <cacheField name="PIC Delivery" numFmtId="0">
      <sharedItems containsBlank="1" containsMixedTypes="1" containsNumber="1" containsInteger="1" minValue="0" maxValue="0"/>
    </cacheField>
    <cacheField name="Vendor Supplier" numFmtId="0">
      <sharedItems containsBlank="1" containsMixedTypes="1" containsNumber="1" containsInteger="1" minValue="0" maxValue="0"/>
    </cacheField>
    <cacheField name="ID Card" numFmtId="0">
      <sharedItems containsBlank="1" containsMixedTypes="1" containsNumber="1" containsInteger="1" minValue="0" maxValue="3507050501950000"/>
    </cacheField>
    <cacheField name="Car Plate" numFmtId="0">
      <sharedItems containsBlank="1" containsMixedTypes="1" containsNumber="1" containsInteger="1" minValue="0" maxValue="0"/>
    </cacheField>
    <cacheField name="Remarks" numFmtId="0">
      <sharedItems containsBlank="1" containsMixedTypes="1" containsNumber="1" containsInteger="1" minValue="153" maxValue="2875"/>
    </cacheField>
    <cacheField name="Haspel/Drum" numFmtId="0">
      <sharedItems containsBlank="1"/>
    </cacheField>
    <cacheField name="0" numFmtId="0">
      <sharedItems containsMixedTypes="1" containsNumber="1" containsInteger="1" minValue="0" maxValue="0"/>
    </cacheField>
    <cacheField name="date pick" numFmtId="14">
      <sharedItems containsDate="1" containsMixedTypes="1" minDate="2023-08-04T00:00:00" maxDate="2026-07-10T00:00:00"/>
    </cacheField>
    <cacheField name="cek" numFmtId="0">
      <sharedItems/>
    </cacheField>
    <cacheField name="CEK2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11" refreshedDate="46280.301949305554" createdVersion="7" refreshedVersion="7" minRefreshableVersion="3" recordCount="2647" xr:uid="{E4540622-C191-48ED-B5E6-A99FC0A585F1}">
  <cacheSource type="worksheet">
    <worksheetSource name="Logfile_S"/>
  </cacheSource>
  <cacheFields count="29">
    <cacheField name="Row_ID" numFmtId="0">
      <sharedItems/>
    </cacheField>
    <cacheField name="Line_ID" numFmtId="0">
      <sharedItems containsString="0" containsBlank="1" containsNumber="1" containsInteger="1" minValue="1" maxValue="14"/>
    </cacheField>
    <cacheField name="Transaction  Type" numFmtId="0">
      <sharedItems count="6">
        <s v="INBOUND"/>
        <s v="OUTBOUND"/>
        <s v="TRANSFER IN"/>
        <s v="TRANSFER OUT"/>
        <s v="BORROW IN"/>
        <s v="BORROW OUT"/>
      </sharedItems>
    </cacheField>
    <cacheField name="Nota No." numFmtId="0">
      <sharedItems/>
    </cacheField>
    <cacheField name="WH GCI" numFmtId="0">
      <sharedItems/>
    </cacheField>
    <cacheField name="PIC Warehouse" numFmtId="0">
      <sharedItems containsBlank="1"/>
    </cacheField>
    <cacheField name="Date" numFmtId="15">
      <sharedItems containsSemiMixedTypes="0" containsNonDate="0" containsDate="1" containsString="0" minDate="2023-08-04T00:00:00" maxDate="2026-09-12T00:00:00" count="455">
        <d v="2023-08-04T00:00:00"/>
        <d v="2023-08-06T00:00:00"/>
        <d v="2023-08-07T00:00:00"/>
        <d v="2023-08-08T00:00:00"/>
        <d v="2023-08-09T00:00:00"/>
        <d v="2023-08-10T00:00:00"/>
        <d v="2023-08-11T00:00:00"/>
        <d v="2023-08-14T00:00:00"/>
        <d v="2023-08-16T00:00:00"/>
        <d v="2023-08-19T00:00:00"/>
        <d v="2023-08-20T00:00:00"/>
        <d v="2023-08-24T00:00:00"/>
        <d v="2023-09-01T00:00:00"/>
        <d v="2023-09-02T00:00:00"/>
        <d v="2023-09-03T00:00:00"/>
        <d v="2023-09-04T00:00:00"/>
        <d v="2023-09-05T00:00:00"/>
        <d v="2023-09-06T00:00:00"/>
        <d v="2023-09-08T00:00:00"/>
        <d v="2023-09-10T00:00:00"/>
        <d v="2023-09-14T00:00:00"/>
        <d v="2023-09-16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10-01T00:00:00"/>
        <d v="2023-10-02T00:00:00"/>
        <d v="2023-10-04T00:00:00"/>
        <d v="2023-10-05T00:00:00"/>
        <d v="2023-10-06T00:00:00"/>
        <d v="2023-10-08T00:00:00"/>
        <d v="2023-10-09T00:00:00"/>
        <d v="2023-10-11T00:00:00"/>
        <d v="2023-10-12T00:00:00"/>
        <d v="2023-10-14T00:00:00"/>
        <d v="2023-10-16T00:00:00"/>
        <d v="2023-10-17T00:00:00"/>
        <d v="2023-10-18T00:00:00"/>
        <d v="2023-10-19T00:00:00"/>
        <d v="2023-10-20T00:00:00"/>
        <d v="2023-10-21T00:00:00"/>
        <d v="2023-10-22T00:00:00"/>
        <d v="2023-10-23T00:00:00"/>
        <d v="2023-10-24T00:00:00"/>
        <d v="2023-10-25T00:00:00"/>
        <d v="2023-10-27T00:00:00"/>
        <d v="2023-10-28T00:00:00"/>
        <d v="2023-10-29T00:00:00"/>
        <d v="2023-11-05T00:00:00"/>
        <d v="2023-11-06T00:00:00"/>
        <d v="2023-11-14T00:00:00"/>
        <d v="2023-11-15T00:00:00"/>
        <d v="2023-11-16T00:00:00"/>
        <d v="2023-11-19T00:00:00"/>
        <d v="2023-11-21T00:00:00"/>
        <d v="2023-11-24T00:00:00"/>
        <d v="2023-11-25T00:00:00"/>
        <d v="2023-11-26T00:00:00"/>
        <d v="2023-11-27T00:00:00"/>
        <d v="2023-11-28T00:00:00"/>
        <d v="2023-12-01T00:00:00"/>
        <d v="2023-12-04T00:00:00"/>
        <d v="2023-12-06T00:00:00"/>
        <d v="2023-12-07T00:00:00"/>
        <d v="2023-12-08T00:00:00"/>
        <d v="2023-12-10T00:00:00"/>
        <d v="2023-12-11T00:00:00"/>
        <d v="2023-12-15T00:00:00"/>
        <d v="2023-12-16T00:00:00"/>
        <d v="2023-12-18T00:00:00"/>
        <d v="2023-12-22T00:00:00"/>
        <d v="2023-12-23T00:00:00"/>
        <d v="2023-12-25T00:00:00"/>
        <d v="2023-12-26T00:00:00"/>
        <d v="2023-12-27T00:00:00"/>
        <d v="2024-01-03T00:00:00"/>
        <d v="2024-01-04T00:00:00"/>
        <d v="2024-01-05T00:00:00"/>
        <d v="2024-01-06T00:00:00"/>
        <d v="2024-01-08T00:00:00"/>
        <d v="2024-01-09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31T00:00:00"/>
        <d v="2024-02-01T00:00:00"/>
        <d v="2024-02-02T00:00:00"/>
        <d v="2024-02-06T00:00:00"/>
        <d v="2024-02-07T00:00:00"/>
        <d v="2024-02-08T00:00:00"/>
        <d v="2024-02-09T00:00:00"/>
        <d v="2024-02-14T00:00:00"/>
        <d v="2024-02-15T00:00:00"/>
        <d v="2024-02-16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3-04T00:00:00"/>
        <d v="2024-03-06T00:00:00"/>
        <d v="2024-03-07T00:00:00"/>
        <d v="2024-03-08T00:00:00"/>
        <d v="2024-03-12T00:00:00"/>
        <d v="2024-03-15T00:00:00"/>
        <d v="2024-03-19T00:00:00"/>
        <d v="2024-03-20T00:00:00"/>
        <d v="2024-03-21T00:00:00"/>
        <d v="2024-03-22T00:00:00"/>
        <d v="2024-03-23T00:00:00"/>
        <d v="2024-03-25T00:00:00"/>
        <d v="2024-03-26T00:00:00"/>
        <d v="2024-03-28T00:00:00"/>
        <d v="2024-04-01T00:00:00"/>
        <d v="2024-04-03T00:00:00"/>
        <d v="2024-04-04T00:00:00"/>
        <d v="2024-04-05T00:00:00"/>
        <d v="2024-04-18T00:00:00"/>
        <d v="2024-04-19T00:00:00"/>
        <d v="2024-04-20T00:00:00"/>
        <d v="2024-04-22T00:00:00"/>
        <d v="2024-04-23T00:00:00"/>
        <d v="2024-04-24T00:00:00"/>
        <d v="2024-04-25T00:00:00"/>
        <d v="2024-04-26T00:00:00"/>
        <d v="2024-04-30T00:00:00"/>
        <d v="2024-05-04T00:00:00"/>
        <d v="2024-05-08T00:00:00"/>
        <d v="2024-05-12T00:00:00"/>
        <d v="2024-05-14T00:00:00"/>
        <d v="2024-05-16T00:00:00"/>
        <d v="2024-05-17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7T00:00:00"/>
        <d v="2024-05-28T00:00:00"/>
        <d v="2024-05-29T00:00:00"/>
        <d v="2024-05-30T00:00:00"/>
        <d v="2024-05-31T00:00:00"/>
        <d v="2024-06-01T00:00:00"/>
        <d v="2024-06-03T00:00:00"/>
        <d v="2024-06-04T00:00:00"/>
        <d v="2024-06-05T00:00:00"/>
        <d v="2024-06-06T00:00:00"/>
        <d v="2024-06-07T00:00:00"/>
        <d v="2024-06-09T00:00:00"/>
        <d v="2024-06-10T00:00:00"/>
        <d v="2024-06-11T00:00:00"/>
        <d v="2024-06-14T00:00:00"/>
        <d v="2024-06-19T00:00:00"/>
        <d v="2024-06-20T00:00:00"/>
        <d v="2024-06-21T00:00:00"/>
        <d v="2024-06-22T00:00:00"/>
        <d v="2024-06-24T00:00:00"/>
        <d v="2024-06-25T00:00:00"/>
        <d v="2024-06-26T00:00:00"/>
        <d v="2024-06-27T00:00:00"/>
        <d v="2024-07-03T00:00:00"/>
        <d v="2024-07-04T00:00:00"/>
        <d v="2024-07-05T00:00:00"/>
        <d v="2024-07-08T00:00:00"/>
        <d v="2024-07-10T00:00:00"/>
        <d v="2024-07-11T00:00:00"/>
        <d v="2024-07-12T00:00:00"/>
        <d v="2024-07-14T00:00:00"/>
        <d v="2024-07-19T00:00:00"/>
        <d v="2024-07-22T00:00:00"/>
        <d v="2024-07-23T00:00:00"/>
        <d v="2024-07-24T00:00:00"/>
        <d v="2024-07-25T00:00:00"/>
        <d v="2024-07-26T00:00:00"/>
        <d v="2024-07-27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6T00:00:00"/>
        <d v="2024-08-07T00:00:00"/>
        <d v="2024-08-08T00:00:00"/>
        <d v="2024-08-09T00:00:00"/>
        <d v="2024-08-10T00:00:00"/>
        <d v="2024-08-14T00:00:00"/>
        <d v="2024-08-15T00:00:00"/>
        <d v="2024-08-17T00:00:00"/>
        <d v="2024-08-20T00:00:00"/>
        <d v="2024-08-21T00:00:00"/>
        <d v="2024-08-22T00:00:00"/>
        <d v="2024-08-23T00:00:00"/>
        <d v="2024-08-26T00:00:00"/>
        <d v="2024-08-27T00:00:00"/>
        <d v="2024-08-28T00:00:00"/>
        <d v="2024-08-29T00:00:00"/>
        <d v="2024-08-30T00:00:00"/>
        <d v="2024-08-31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8T00:00:00"/>
        <d v="2024-09-10T00:00:00"/>
        <d v="2024-09-12T00:00:00"/>
        <d v="2024-09-13T00:00:00"/>
        <d v="2024-09-18T00:00:00"/>
        <d v="2024-09-19T00:00:00"/>
        <d v="2024-09-20T00:00:00"/>
        <d v="2024-09-21T00:00:00"/>
        <d v="2024-09-23T00:00:00"/>
        <d v="2024-09-24T00:00:00"/>
        <d v="2024-09-26T00:00:00"/>
        <d v="2024-09-27T00:00:00"/>
        <d v="2024-09-28T00:00:00"/>
        <d v="2024-09-29T00:00:00"/>
        <d v="2024-09-30T00:00:00"/>
        <d v="2024-10-01T00:00:00"/>
        <d v="2024-10-05T00:00:00"/>
        <d v="2024-10-06T00:00:00"/>
        <d v="2024-10-10T00:00:00"/>
        <d v="2024-10-18T00:00:00"/>
        <d v="2024-10-23T00:00:00"/>
        <d v="2024-10-25T00:00:00"/>
        <d v="2024-10-28T00:00:00"/>
        <d v="2024-10-30T00:00:00"/>
        <d v="2024-10-31T00:00:00"/>
        <d v="2024-11-01T00:00:00"/>
        <d v="2024-11-06T00:00:00"/>
        <d v="2024-11-08T00:00:00"/>
        <d v="2024-11-09T00:00:00"/>
        <d v="2024-11-13T00:00:00"/>
        <d v="2024-11-20T00:00:00"/>
        <d v="2024-11-21T00:00:00"/>
        <d v="2024-11-22T00:00:00"/>
        <d v="2024-11-24T00:00:00"/>
        <d v="2024-11-25T00:00:00"/>
        <d v="2024-11-26T00:00:00"/>
        <d v="2024-11-27T00:00:00"/>
        <d v="2024-11-28T00:00:00"/>
        <d v="2024-11-30T00:00:00"/>
        <d v="2024-12-01T00:00:00"/>
        <d v="2024-12-08T00:00:00"/>
        <d v="2024-12-09T00:00:00"/>
        <d v="2024-12-11T00:00:00"/>
        <d v="2024-12-14T00:00:00"/>
        <d v="2024-12-15T00:00:00"/>
        <d v="2024-12-16T00:00:00"/>
        <d v="2024-12-17T00:00:00"/>
        <d v="2024-12-18T00:00:00"/>
        <d v="2024-12-22T00:00:00"/>
        <d v="2024-12-24T00:00:00"/>
        <d v="2024-12-25T00:00:00"/>
        <d v="2024-12-26T00:00:00"/>
        <d v="2024-12-27T00:00:00"/>
        <d v="2024-12-30T00:00:00"/>
        <d v="2025-01-08T00:00:00"/>
        <d v="2025-01-09T00:00:00"/>
        <d v="2025-01-13T00:00:00"/>
        <d v="2025-01-14T00:00:00"/>
        <d v="2025-01-15T00:00:00"/>
        <d v="2025-01-21T00:00:00"/>
        <d v="2025-01-25T00:00:00"/>
        <d v="2025-01-27T00:00:00"/>
        <d v="2025-02-05T00:00:00"/>
        <d v="2025-02-06T00:00:00"/>
        <d v="2025-02-10T00:00:00"/>
        <d v="2025-02-15T00:00:00"/>
        <d v="2025-02-19T00:00:00"/>
        <d v="2025-02-20T00:00:00"/>
        <d v="2025-02-21T00:00:00"/>
        <d v="2025-02-22T00:00:00"/>
        <d v="2025-02-24T00:00:00"/>
        <d v="2025-02-28T00:00:00"/>
        <d v="2025-03-06T00:00:00"/>
        <d v="2025-03-07T00:00:00"/>
        <d v="2025-03-18T00:00:00"/>
        <d v="2025-03-19T00:00:00"/>
        <d v="2025-03-21T00:00:00"/>
        <d v="2025-03-22T00:00:00"/>
        <d v="2025-03-23T00:00:00"/>
        <d v="2025-03-24T00:00:00"/>
        <d v="2025-03-25T00:00:00"/>
        <d v="2025-03-26T00:00:00"/>
        <d v="2025-04-29T00:00:00"/>
        <d v="2025-05-18T00:00:00"/>
        <d v="2025-05-25T00:00:00"/>
        <d v="2025-05-27T00:00:00"/>
        <d v="2025-05-28T00:00:00"/>
        <d v="2025-05-29T00:00:00"/>
        <d v="2025-06-11T00:00:00"/>
        <d v="2025-06-12T00:00:00"/>
        <d v="2025-06-13T00:00:00"/>
        <d v="2025-06-14T00:00:00"/>
        <d v="2025-06-16T00:00:00"/>
        <d v="2025-06-17T00:00:00"/>
        <d v="2025-06-18T00:00:00"/>
        <d v="2025-06-19T00:00:00"/>
        <d v="2025-06-21T00:00:00"/>
        <d v="2025-06-23T00:00:00"/>
        <d v="2025-06-24T00:00:00"/>
        <d v="2025-06-25T00:00:00"/>
        <d v="2025-06-26T00:00:00"/>
        <d v="2025-06-27T00:00:00"/>
        <d v="2025-06-29T00:00:00"/>
        <d v="2025-07-11T00:00:00"/>
        <d v="2025-07-12T00:00:00"/>
        <d v="2025-07-16T00:00:00"/>
        <d v="2025-07-18T00:00:00"/>
        <d v="2025-07-19T00:00:00"/>
        <d v="2025-07-23T00:00:00"/>
        <d v="2025-07-25T00:00:00"/>
        <d v="2025-07-26T00:00:00"/>
        <d v="2025-07-27T00:00:00"/>
        <d v="2025-07-30T00:00:00"/>
        <d v="2025-07-31T00:00:00"/>
        <d v="2025-08-06T00:00:00"/>
        <d v="2025-08-07T00:00:00"/>
        <d v="2025-08-09T00:00:00"/>
        <d v="2025-08-12T00:00:00"/>
        <d v="2025-08-13T00:00:00"/>
        <d v="2025-08-16T00:00:00"/>
        <d v="2025-08-19T00:00:00"/>
        <d v="2025-08-20T00:00:00"/>
        <d v="2025-08-21T00:00:00"/>
        <d v="2025-08-23T00:00:00"/>
        <d v="2025-08-30T00:00:00"/>
        <d v="2025-08-31T00:00:00"/>
        <d v="2025-09-02T00:00:00"/>
        <d v="2025-09-09T00:00:00"/>
        <d v="2025-09-10T00:00:00"/>
        <d v="2025-09-12T00:00:00"/>
        <d v="2025-09-13T00:00:00"/>
        <d v="2025-09-16T00:00:00"/>
        <d v="2025-09-18T00:00:00"/>
        <d v="2025-09-20T00:00:00"/>
        <d v="2025-10-01T00:00:00"/>
        <d v="2025-10-14T00:00:00"/>
        <d v="2025-10-16T00:00:00"/>
        <d v="2025-10-23T00:00:00"/>
        <d v="2025-10-24T00:00:00"/>
        <d v="2025-10-25T00:00:00"/>
        <d v="2025-10-26T00:00:00"/>
        <d v="2025-10-29T00:00:00"/>
        <d v="2025-10-30T00:00:00"/>
        <d v="2025-11-06T00:00:00"/>
        <d v="2025-11-09T00:00:00"/>
        <d v="2025-11-17T00:00:00"/>
        <d v="2025-11-21T00:00:00"/>
        <d v="2025-11-22T00:00:00"/>
        <d v="2025-11-23T00:00:00"/>
        <d v="2025-11-26T00:00:00"/>
        <d v="2025-11-30T00:00:00"/>
        <d v="2025-12-11T00:00:00"/>
        <d v="2025-12-12T00:00:00"/>
        <d v="2025-12-13T00:00:00"/>
        <d v="2025-12-14T00:00:00"/>
        <d v="2025-12-15T00:00:00"/>
        <d v="2025-12-16T00:00:00"/>
        <d v="2025-12-17T00:00:00"/>
        <d v="2025-12-18T00:00:00"/>
        <d v="2025-12-19T00:00:00"/>
        <d v="2025-12-20T00:00:00"/>
        <d v="2025-12-21T00:00:00"/>
        <d v="2025-12-22T00:00:00"/>
        <d v="2025-12-23T00:00:00"/>
        <d v="2025-12-24T00:00:00"/>
        <d v="2025-12-25T00:00:00"/>
        <d v="2025-12-26T00:00:00"/>
        <d v="2025-12-27T00:00:00"/>
        <d v="2026-01-13T00:00:00"/>
        <d v="2026-01-19T00:00:00"/>
        <d v="2026-01-20T00:00:00"/>
        <d v="2026-01-23T00:00:00"/>
        <d v="2026-03-03T00:00:00"/>
        <d v="2026-03-06T00:00:00"/>
        <d v="2026-03-09T00:00:00"/>
        <d v="2026-03-10T00:00:00"/>
        <d v="2026-03-12T00:00:00"/>
        <d v="2026-03-13T00:00:00"/>
        <d v="2026-03-14T00:00:00"/>
        <d v="2026-03-15T00:00:00"/>
        <d v="2026-03-16T00:00:00"/>
        <d v="2026-04-21T00:00:00"/>
        <d v="2026-04-22T00:00:00"/>
        <d v="2026-05-09T00:00:00"/>
        <d v="2026-05-11T00:00:00"/>
        <d v="2026-05-22T00:00:00"/>
        <d v="2026-05-23T00:00:00"/>
        <d v="2026-06-18T00:00:00"/>
        <d v="2026-06-22T00:00:00"/>
        <d v="2026-06-23T00:00:00"/>
        <d v="2026-06-25T00:00:00"/>
        <d v="2026-06-27T00:00:00"/>
        <d v="2026-06-29T00:00:00"/>
        <d v="2026-06-30T00:00:00"/>
        <d v="2026-07-03T00:00:00"/>
        <d v="2026-07-04T00:00:00"/>
        <d v="2026-07-09T00:00:00"/>
        <d v="2026-07-11T00:00:00"/>
        <d v="2026-07-12T00:00:00"/>
        <d v="2026-07-15T00:00:00"/>
        <d v="2026-07-17T00:00:00"/>
        <d v="2026-07-18T00:00:00"/>
        <d v="2026-07-20T00:00:00"/>
        <d v="2026-08-14T00:00:00"/>
        <d v="2026-08-15T00:00:00"/>
        <d v="2026-08-19T00:00:00"/>
        <d v="2026-08-20T00:00:00"/>
        <d v="2026-08-21T00:00:00"/>
        <d v="2026-08-24T00:00:00"/>
        <d v="2026-08-26T00:00:00"/>
        <d v="2026-08-27T00:00:00"/>
        <d v="2026-08-29T00:00:00"/>
        <d v="2026-08-30T00:00:00"/>
        <d v="2026-09-01T00:00:00"/>
        <d v="2026-09-07T00:00:00"/>
        <d v="2026-09-10T00:00:00"/>
        <d v="2026-09-11T00:00:00"/>
        <d v="2026-07-14T00:00:00" u="1"/>
        <d v="2026-06-20T00:00:00" u="1"/>
        <d v="2024-11-07T00:00:00" u="1"/>
      </sharedItems>
    </cacheField>
    <cacheField name="Time" numFmtId="167">
      <sharedItems containsNonDate="0" containsDate="1" containsString="0" containsBlank="1" minDate="1899-12-30T01:49:00" maxDate="1900-01-14T16:37:24"/>
    </cacheField>
    <cacheField name="Material Source / Destination" numFmtId="0">
      <sharedItems containsBlank="1"/>
    </cacheField>
    <cacheField name="Type Material" numFmtId="0">
      <sharedItems containsBlank="1" count="6">
        <s v="ZTE-EMR Material"/>
        <s v="ZTE-EMR Accesories"/>
        <s v="EMR Material"/>
        <s v="ZTE Material"/>
        <m/>
        <s v="Accessories" u="1"/>
      </sharedItems>
    </cacheField>
    <cacheField name="Material Name" numFmtId="0">
      <sharedItems count="38">
        <s v="ADSS 24C"/>
        <s v="ADSS 48C"/>
        <s v="FAT-16"/>
        <s v="FDT-48"/>
        <s v="Pole 7M 3&quot;"/>
        <s v="Pole 7M 4&quot;"/>
        <s v="Selling 6mm (1000m)"/>
        <s v="Bracket A for Clamp"/>
        <s v="Buldog Grip"/>
        <s v="Cable Hanger"/>
        <s v="Clamp Dead End / Buaya 25-50"/>
        <s v="Plate 20mm (50M)"/>
        <s v="Pole Single Clamp"/>
        <s v="Selling Span Wartel"/>
        <s v="Span Wartel 3/8"/>
        <s v="Stoplink"/>
        <s v="Suspension Clamp"/>
        <s v="Label Sticker "/>
        <s v="Akrilik"/>
        <s v="Pole 9M"/>
        <s v="JC 144 Core"/>
        <s v="pigtail"/>
        <s v="Pole single clamp 3&quot;"/>
        <s v="Clamp Gantung"/>
        <s v="ADSS 96C"/>
        <s v="Clamp Dead End / Buaya 50-70"/>
        <s v="HDPE40/34mm"/>
        <s v="Pipa Galvanis"/>
        <s v="1:8 SPL for FDT-AE &amp; UG"/>
        <s v="FAT-16 Fiberhome"/>
        <s v="FDT-72"/>
        <s v="ADSS 144C"/>
        <s v="Helical Dead End"/>
        <s v="ADSS 36C"/>
        <s v="JC 48 Core"/>
        <s v="Pole 7M 2.5&quot;"/>
        <s v="Clamp Dead end /buaya 50-70" u="1"/>
        <s v="Clamp Dead End /Buaya 25-50" u="1"/>
      </sharedItems>
    </cacheField>
    <cacheField name="Material Code" numFmtId="0">
      <sharedItems/>
    </cacheField>
    <cacheField name="Unit" numFmtId="0">
      <sharedItems/>
    </cacheField>
    <cacheField name="Qty" numFmtId="0">
      <sharedItems containsSemiMixedTypes="0" containsString="0" containsNumber="1" minValue="0" maxValue="4000"/>
    </cacheField>
    <cacheField name="SiteID" numFmtId="0">
      <sharedItems containsBlank="1" containsMixedTypes="1" containsNumber="1" containsInteger="1" minValue="0" maxValue="0"/>
    </cacheField>
    <cacheField name="Site Name" numFmtId="0">
      <sharedItems containsBlank="1" containsMixedTypes="1" containsNumber="1" containsInteger="1" minValue="0" maxValue="0" count="184">
        <s v="Perumahan Bumi Podo Rukun Dau"/>
        <s v="Mulyorejo RW 04 Sukun"/>
        <s v="KEDIRI"/>
        <s v="Pandan Landung RW 04 Wagir"/>
        <s v="Pandanlandung RW   04   Wagir"/>
        <s v="Pandanlandung RW   03   Wagir"/>
        <s v="Pandan Landung RW 03 Wagir"/>
        <s v="Mulyorejo RW 06 Sukun"/>
        <s v="Purchase"/>
        <s v="Puncak Dieng Exlusif"/>
        <s v="Transfer Gudang"/>
        <s v="GRESIK"/>
        <s v="Pandanlandung RW 03 Wagir"/>
        <s v="Sukodadi RW 01 Wagir"/>
        <s v="Sidorahayu RW 02 Wagir"/>
        <s v="Jedong RW 09 Wagir"/>
        <s v="Jedong RW 08 Wagir"/>
        <n v="0"/>
        <s v="Sukodadi RW 02 Wagir"/>
        <s v="Jedong RW 07 Wagir"/>
        <s v="JOMBANG"/>
        <s v="MORASHA"/>
        <s v="Pengembalian"/>
        <s v="Sitirejo RW 01 Wagir"/>
        <s v="YPTT"/>
        <s v="Baturetno RW 03 Singosari"/>
        <s v="Baturetno RW 02 Singosari "/>
        <s v="Transfer Gudang TO KEDIRI"/>
        <m/>
        <s v="Perumahan Pondok Mutiara Malang"/>
        <s v="TAMANHARJO RW 04 SINGOSARI"/>
        <s v="HUBFEEDER BATURETNO RW 02"/>
        <s v="Baturetno RW 02 Singosari Malang"/>
        <s v="Dengkol RW 02 Singosari Malang"/>
        <s v="Dengkol RW 03 Singosari Malang"/>
        <s v="Bumiayu RW 03 Kedungkandang"/>
        <s v="Bandulan RW 08 Sukun"/>
        <s v="UD RIZQI JAYA PRATAMA "/>
        <s v="Bumiayu RW 05 Kedungkandang"/>
        <s v="Dalisodo RW 03 Wagir"/>
        <s v="Transfer Gudang TO GRESIK"/>
        <s v="Dalisodo RW 01 Wagir"/>
        <s v="Tunjungtirto RW 08 Singosari"/>
        <s v="Tunjungtirto RW 01 Singosari"/>
        <s v="UD HALIM"/>
        <s v="Dalisodo RW 05 Wagir"/>
        <s v="Dalisodo RW 04 Wagir"/>
        <s v="TEGAL"/>
        <s v="Tunjungtirto RW 06 Singosari"/>
        <s v="FH 2 HASBEL @4000"/>
        <s v="Tanjungtirto RW 05 Singosari"/>
        <s v="Pandanlandung RW 01 Wagir"/>
        <s v="Pandan Landung RW 05 Wagir"/>
        <s v="Pandanlandung RW 02 Wagir"/>
        <s v="Pandan Landung RW 01 Wagir"/>
        <s v="Lowokwaru RW14"/>
        <s v="NGAWI"/>
        <s v="HUBFEEDER DALISODO"/>
        <s v="Klampok RW 01 Singosari"/>
        <s v="Lawang RW 06 Malang"/>
        <s v="Candirenggo RW 10 Singosari"/>
        <s v="Dusun Klaseman Kucur"/>
        <s v="Dusun Krajan Kucur"/>
        <s v="Dusun Sumber Bendo Kucur"/>
        <s v="Dusun Ketohan Kucur"/>
        <s v="Dusun Klampok Kucur"/>
        <s v="Dusun Godehan RW 10 Kucur"/>
        <s v="Dusun Turi Kucur"/>
        <s v="Lowokwaru RW 04"/>
        <s v="Kebonagung RW 13 Pakisaji"/>
        <s v="Perumahan Perumnas Talangagung I Malang"/>
        <s v="Perumahan Kepanjen Permai II"/>
        <s v="HALIM JAYA"/>
        <s v="Perumahan Panca Garden"/>
        <s v="Ngenep RW 04 Karang Ploso"/>
        <s v="Ngenep RW 06 Karang Ploso"/>
        <s v="HUBFEEDER KEPANJEN TO JATIKERTO"/>
        <s v="Dusun Langlang IV Singosari"/>
        <s v="HUBFEEDER TIRTASANI TO GIRIMOYO"/>
        <s v="Hub Feeder Segment 1 OLT Singosari to Girimoyo"/>
        <s v="SENGGURUH RW 01 MALANG"/>
        <s v="Dusun Krajan Sumbersekar"/>
        <s v="Dilem RW 03 Kepanjen"/>
        <s v="MIDGO"/>
        <s v="HUBFEEDER DALISODO WAGIR MALANG"/>
        <s v="HUBFEEDER DINOYO SUMBERSEKAR"/>
        <s v="Dilem RW 04 Kepanjen"/>
        <s v="SENGGURUH RW 02 MALANG"/>
        <s v="NGENEP UTARA RW 03 MALANG"/>
        <s v="SENGGURUH RW 03 MALANG"/>
        <s v="Pakisaji RW 01 Malang"/>
        <s v="Blitar"/>
        <s v="MF Sumbersekar"/>
        <s v="Main Feeder - OLT Smart Malang   Segment 8 to Sumbersekar"/>
        <s v="Dusun Mojosari Ngenep"/>
        <s v="Ngenep RW 10 Malang"/>
        <s v="Sengguruh"/>
        <s v="Mojosari Ngenep"/>
        <s v="Mainfeeder Singosari Segment 3"/>
        <s v="MYREP"/>
        <s v="BEAUT"/>
        <s v="HUBFEEDER KLAMPOK"/>
        <s v="MF Singosari"/>
        <s v="Kalirejo RW 13 Lawang"/>
        <s v="Tambakasri RW 02 Tajinan"/>
        <s v="Kalirejo RW 13 Lawang Malang"/>
        <s v="Perumahan Bukit Lawang Indah Malang"/>
        <s v="Bedali RW 05 Kromengan"/>
        <s v="Bedali RW 03 Kromengan"/>
        <s v="BEDALI RW 04 MALANG"/>
        <s v="Bedali RW 04 Kromengan"/>
        <s v="Perumahan Bukit Lawang Indah Malang"/>
        <s v="MADIUN"/>
        <s v="Permanu RW 02 Pakisaji"/>
        <s v="PERMANU RW 01 MALANG"/>
        <s v="DUSUN CUPAK RW 01"/>
        <s v="Dusun Cupak RW 02"/>
        <s v="Perum Chandra Kirana Watugede"/>
        <s v="Citra Kayane Residence"/>
        <s v="Perumahan De Wira Green View"/>
        <s v="Sitirejo RW 04 Wagir"/>
        <s v="MDP"/>
        <s v="Perum Bayu Asri"/>
        <s v="change design from 4&quot; to 3&quot;"/>
        <s v="Temas RW 05"/>
        <s v="Temas RW 04"/>
        <s v="AIA"/>
        <s v="KEBONAGUNG RW 01 MALANG"/>
        <s v="ARJOWINANGUN RW 01 MALANG"/>
        <s v="BULULAWANG RW 01, 02, 03, 04, 06   MALANG"/>
        <s v="Kebonagung RW 01"/>
        <s v="DESA KARANGANYAR KIDUL PONCOKUSUMO   MALANG"/>
        <s v="BULULAWANG RW 05 MALANG"/>
        <s v="DESA GADUNGAN PONCOKUSUMO MALANG"/>
        <s v="Pncokusumo"/>
        <s v="DESA KRAJANI PONCOKUSUMO MALANG"/>
        <s v="DESA PANCURAN PONCOKUSUMO MALANG"/>
        <s v="Bululawang"/>
        <s v="LAMONGAN"/>
        <s v="DUSUN LOR KALI PONCOKUSUMO MALANG"/>
        <s v="KREBET SENGGRONG RW 04"/>
        <s v="KREBET RW 03"/>
        <s v="KREBET RW 05"/>
        <s v="HUBFEEDER OLT KEPANJEN TO JATIKERTO"/>
        <s v="KREBET RW 04"/>
        <s v="Bululawang 7"/>
        <s v="BULULAWANG RW 07 MALANG"/>
        <s v="Krebet"/>
        <s v="PERMANU RW 04 MALANG"/>
        <s v="PERMANU RW 03 MALANG"/>
        <s v="DCIT"/>
        <s v="PERUMAHAN BULULAWANG PERMAI RW 02"/>
        <s v="Bululawang Permai"/>
        <s v="Main Feeder - OLT Smart Malang Segment 8 to Sumbersekar"/>
        <s v="-"/>
        <s v="KREBET SENGGRONG RW 02 MALANG"/>
        <s v="ADJUSTMENT"/>
        <s v="KREBET SENGGRONG RW 03 MALANG"/>
        <s v="Perumahan Bululawang Permai RW 02"/>
        <s v="Asshofa Residence"/>
        <s v="LESANPURO RW 06 MALANG"/>
        <s v="MADYOPURO RW 05 MALANG"/>
        <s v="PALAAN RW 01 SAMPAI 05 MALANG"/>
        <s v="PALAAN RW 06 SAMPAI 10 MALANG"/>
        <s v="DUSUN SIDOAYU KELURAHAN SIDEREJO MALANG"/>
        <s v="DUSUN ARDIREJO KELURAHAN SIDEREJO MALANG"/>
        <s v="FDT 3 Ardirejo Line C"/>
        <s v="Griya Kebon Agung Indah"/>
        <s v="KEBONAGUNG RW 06 PAKISAJI"/>
        <s v="LESANPURO RW 01 MALANG"/>
        <s v="SEKARPURO RW 05 MALANG"/>
        <s v="SEKARPURO RW 08 MALANG"/>
        <s v="SEKARPURO RW 04 MALANG"/>
        <s v="WONOKOYO RW 05 KEDUNGKANDANG"/>
        <s v="SUMBERSEKAR RT 07 RW 04 MALANG"/>
        <s v="RANDUANGUNG RW 04 SINGOSARI MALANG"/>
        <s v="KAMBINGAN RW 04 MALANG"/>
        <s v="KESATRIAN RW 09 MALANG"/>
        <s v="SUMBERKRADENAN RT5,6,7,8 RW 05 MALANG"/>
        <s v="PERUMAHAN THE EMERALD MALANG"/>
        <s v="SUMBERSEKAR RW 01"/>
        <s v="TANJUNGREJO RW 05 MALANG"/>
        <s v="KEMANTREN RW 03 BANDUNGREJOSARI MALANG"/>
        <s v="NGAGLIK RW 03 BATU"/>
      </sharedItems>
    </cacheField>
    <cacheField name="DO number" numFmtId="0">
      <sharedItems containsBlank="1" containsMixedTypes="1" containsNumber="1" containsInteger="1" minValue="0" maxValue="0"/>
    </cacheField>
    <cacheField name="DN Number" numFmtId="0">
      <sharedItems containsBlank="1" containsMixedTypes="1" containsNumber="1" containsInteger="1" minValue="0" maxValue="0"/>
    </cacheField>
    <cacheField name="Condition" numFmtId="0">
      <sharedItems containsBlank="1"/>
    </cacheField>
    <cacheField name="PIC Delivery" numFmtId="0">
      <sharedItems containsBlank="1" containsMixedTypes="1" containsNumber="1" containsInteger="1" minValue="0" maxValue="0"/>
    </cacheField>
    <cacheField name="Vendor Supplier" numFmtId="0">
      <sharedItems containsBlank="1" containsMixedTypes="1" containsNumber="1" containsInteger="1" minValue="0" maxValue="0"/>
    </cacheField>
    <cacheField name="ID Card" numFmtId="0">
      <sharedItems containsBlank="1" containsMixedTypes="1" containsNumber="1" containsInteger="1" minValue="0" maxValue="3507050501950000"/>
    </cacheField>
    <cacheField name="Car Plate" numFmtId="0">
      <sharedItems containsBlank="1" containsMixedTypes="1" containsNumber="1" containsInteger="1" minValue="0" maxValue="0"/>
    </cacheField>
    <cacheField name="Remarks" numFmtId="0">
      <sharedItems containsBlank="1" containsMixedTypes="1" containsNumber="1" containsInteger="1" minValue="153" maxValue="2875"/>
    </cacheField>
    <cacheField name="Haspel/Drum" numFmtId="0">
      <sharedItems containsBlank="1" count="251">
        <s v="H-ADSS 24C-202384-01"/>
        <s v="H-ADSS 48C-202384-01"/>
        <m/>
        <s v="H-ADSS 48C-202391-01"/>
        <s v="H-ADSS 48C-2023916-01"/>
        <s v="H-ADSS 24C-2023919-01"/>
        <s v="H-ADSS 24C-2023920-01"/>
        <s v="H-ADSS 24C-2023926-01"/>
        <s v="H-ADSS 48C-2023926-01"/>
        <s v="H-ADSS 48C-2023926-02"/>
        <s v="H-ADSS 24C-20231014-01"/>
        <s v="H-ADSS 24C-20231014-02"/>
        <s v="H-ADSS 24C-20231014-03"/>
        <s v="H-ADSS 48C-20231014-01"/>
        <s v="H-ADSS 48C-20231014-02"/>
        <s v="H-ADSS 24C-20231115-01"/>
        <s v="H-ADSS 48C-20231115-01"/>
        <s v="H-ADSS 24C-20231226-01"/>
        <s v="H-ADSS 24C-20231227-01"/>
        <s v="H-ADSS 24C-20231227-02"/>
        <s v="H-ADSS 24C-20231227-03"/>
        <s v="H-ADSS 24C-2024116-01"/>
        <s v="H-ADSS 24C-2024116-02"/>
        <s v="H-ADSS 48C-2024116-01"/>
        <s v="H-ADSS 48C-2024116-02"/>
        <s v="H-ADSS 96C-2024116-01"/>
        <s v="H-ADSS 96C-2024116-02"/>
        <s v="H-ADSS 24C-2024215-01"/>
        <s v="H-ADSS 48C-2024215-01"/>
        <s v="H-ADSS 48C-2024215-02"/>
        <s v="H-ADSS 48C-2024223-01"/>
        <s v="H-ADSS 48C-2024223-02"/>
        <s v="H-ADSS 48C-2024229-01"/>
        <s v="H-ADSS 48C-2024229-02"/>
        <s v="H-ADSS 24C-202431-01"/>
        <s v="H-ADSS 24C-202431-02"/>
        <s v="H-ADSS 48C-202431-01"/>
        <s v="H-ADSS 48C-202431-02"/>
        <s v="H-ADSS 48C-202431-03"/>
        <s v="H-ADSS 24C-2024319-01"/>
        <s v="H-ADSS 48C-2024319-01"/>
        <s v="H-ADSS 24C-2024323-01"/>
        <s v="H-ADSS 24C-2024323-02"/>
        <s v="H-ADSS 144C-202443-01"/>
        <s v="H-ADSS 144C-202443-02"/>
        <s v="H-ADSS 24C-2024419-01"/>
        <s v="H-ADSS 24C-2024419-02"/>
        <s v="H-ADSS 24C-2024520-01"/>
        <s v="H-ADSS 24C-2024520-02"/>
        <s v="H-ADSS 48C-2024521-01"/>
        <s v="H-ADSS 48C-202461-01"/>
        <s v="H-ADSS 48C-202461-02"/>
        <s v="H-ADSS 48C-202461-03"/>
        <s v="H-ADSS 24C-202465-01"/>
        <s v="H-ADSS 24C-202465-02"/>
        <s v="H-ADSS 48C-2024624-01"/>
        <s v="H-ADSS 24C-2024625-01"/>
        <s v="H-ADSS 48C-2024625-01"/>
        <s v="H-ADSS 48C-2024625-02"/>
        <s v="H-ADSS 48C-2024625-03"/>
        <s v="H-ADSS 24C-202478-01"/>
        <s v="H-ADSS 48C-202478-01"/>
        <s v="H-ADSS 144C-2024722-01"/>
        <s v="H-ADSS 144C-2024722-02"/>
        <s v="H-ADSS 24C-2024723-01"/>
        <s v="H-ADSS 24C-2024723-02"/>
        <s v="H-ADSS 48C-2024723-01"/>
        <s v="H-ADSS 144C-2024730-01"/>
        <s v="H-ADSS 144C-2024730-02"/>
        <s v="H-ADSS 144C-2024730-03"/>
        <s v="H-ADSS 24C-2024822-01"/>
        <s v="H-ADSS 24C-2024822-02"/>
        <s v="H-ADSS 24C-2024822-03"/>
        <s v="H-ADSS 48C-2024822-01"/>
        <s v="H-ADSS 48C-2024822-02"/>
        <s v="H-ADSS 144C-2024826-01"/>
        <s v="H-ADSS 144C-2024827-01"/>
        <s v="H-ADSS 144C-2024827-02"/>
        <s v="H-ADSS 24C-2024827-01"/>
        <s v="H-ADSS 24C-2024827-02"/>
        <s v="H-ADSS 48C-2024828-01"/>
        <s v="H-ADSS 48C-2024828-02"/>
        <s v="H-ADSS 48C-2024828-03"/>
        <s v="H-ADSS 144C-2024920-01"/>
        <s v="H-ADSS 144C-2024920-02"/>
        <s v="H-ADSS 24C-2024920-01"/>
        <s v="H-ADSS 48C-2024920-01"/>
        <s v="H-ADSS 48C-2024920-02"/>
        <s v="H-ADSS 144C-20241023-01"/>
        <s v="H-ADSS 144C-20241023-02"/>
        <s v="H-ADSS 144C-2024116-01"/>
        <s v="H-ADSS 24C-2024116-03"/>
        <s v="H-ADSS 24C-2024116-04"/>
        <s v="H-ADSS 48C-2024116-03"/>
        <s v="H-ADSS 48C-2024116-04"/>
        <s v="H-ADSS 24C-20241126-01"/>
        <s v="H-ADSS 24C-20241126-02"/>
        <s v="H-ADSS 24C-20241126-03"/>
        <s v="H-ADSS 48C-20241126-01"/>
        <s v="H-ADSS 48C-20241126-02"/>
        <s v="H-ADSS 24C-20241216-01"/>
        <s v="H-ADSS 24C-20241216-02"/>
        <s v="H-ADSS 24C-202525-01"/>
        <s v="H-ADSS 24C-2025220-01"/>
        <s v="H-ADSS 48C-2025220-01"/>
        <s v="H-ADSS 24C-2025527-01"/>
        <s v="H-ADSS 48C-2025613-01"/>
        <s v="H-ADSS 48C-2025613-02"/>
        <s v="H-ADSS 48C-2025613-03"/>
        <s v="H-ADSS 24C-2025613-01"/>
        <s v="H-ADSS 24C-2025613-02"/>
        <s v="H-ADSS 24C-2025613-03"/>
        <s v="H-ADSS 48C-2025618-01"/>
        <s v="H-ADSS 48C-2025618-02"/>
        <s v="H-ADSS 24C-2025624-01"/>
        <s v="H-ADSS 24C-2025624-03"/>
        <s v="H-ADSS 24C-2025627-01"/>
        <s v="H-ADSS 48C-2025712-01"/>
        <s v="H-ADSS 48C-2025712-02"/>
        <s v="H-ADSS 48C-2025712-03"/>
        <s v="H-ADSS 24C-202586-01"/>
        <s v="H-ADSS 24C-202586-02"/>
        <s v="H-ADSS 48C-2025819-01"/>
        <s v="H-ADSS 24C-2025830-01"/>
        <s v="H-ADSS 24C-2025830-02"/>
        <s v="H-ADSS 48C-2025912-01"/>
        <s v="H-ADSS 24C-20251023-01"/>
        <s v="H-ADSS 24C-20251025-01"/>
        <s v="H-ADSS 24C-20251025-02"/>
        <s v="H-ADSS 36C-20251025-01"/>
        <s v="H-ADSS 48C-20251025-01"/>
        <s v="H-ADSS 24C-20251121-01"/>
        <s v="H-ADSS 24C-20251212-01"/>
        <s v="H-ADSS 24C-20251212-02"/>
        <s v="H-ADSS 24C-20251212-03"/>
        <s v="H-ADSS 24C-20251212-04"/>
        <s v="H-ADSS 24C-20251212-05"/>
        <s v="H-ADSS 24C-20251212-06"/>
        <s v="H-ADSS 24C-20251212-07"/>
        <s v="H-ADSS 36C-20251212-01"/>
        <s v="H-ADSS 36C-20251212-02"/>
        <s v="H-ADSS 36C-20251212-03"/>
        <s v="H-ADSS 36C-20251212-04"/>
        <s v="H-ADSS 36C-20251212-05"/>
        <s v="H-ADSS 36C-20251212-06"/>
        <s v="H-ADSS 36C-20251218-01"/>
        <s v="H-ADSS 36C-20251218-02"/>
        <s v="H-ADSS 24C-20251221-01"/>
        <s v="H-ADSS 36C-2026120-01"/>
        <s v="H-ADSS 24C-2026313-01"/>
        <s v="H-ADSS 24C-202659-01"/>
        <s v="H-ADSS 24C-2026522-01"/>
        <s v="H-ADSS 24C-2026627-01"/>
        <s v="H-ADSS 24C-202679-01"/>
        <s v="H-ADSS 24C-2026717-01"/>
        <s v=""/>
        <s v="H-ADSS24C-260814-001"/>
        <s v="H-ADSS24C-260814-002"/>
        <s v="H-ADSS24C-260814-003"/>
        <s v="H-ADSS24C-260814-004"/>
        <s v="H-ADSS36C-260814-001"/>
        <s v="H-ADSS 48C-2024627-02" u="1"/>
        <s v="H-ADSS 48C-2025813-01" u="1"/>
        <s v="H-ADSS 48C-2024321-01" u="1"/>
        <s v="H-ADSS 48C-20231025-01" u="1"/>
        <s v="H-ADSS 144C-2024514-01" u="1"/>
        <s v="H-ADSS 36C-20251216-01" u="1"/>
        <s v="H-ADSS 48C-20251226-01" u="1"/>
        <s v="H-ADSS 36C-20251216-02" u="1"/>
        <s v="H-ADSS 48C-2023927-02" u="1"/>
        <s v="H-ADSS 48C-2024315-01" u="1"/>
        <s v="H-ADSS 48C-2025614-02" u="1"/>
        <s v="H-ADSS 24C-20241217-01" u="1"/>
        <s v="H-ADSS 24C-20241217-02" u="1"/>
        <s v="H-Pole 7M 3&quot;-2026712-01" u="1"/>
        <s v="H-ADSS 48C-2024622-01" u="1"/>
        <s v="H-ADSS 48C-2024627-01" u="1"/>
        <s v="H-ADSS 48C-2025318-01" u="1"/>
        <s v="H-ADSS 36C-20251217-01" u="1"/>
        <s v="H-Pole 7M 3&quot;-202679-01" u="1"/>
        <s v="H-Pole 7M 4&quot;-202679-01" u="1"/>
        <s v="H-ADSS 48C-2025621-01" u="1"/>
        <s v="H-FAT-16-2026714-01" u="1"/>
        <s v="H-ADSS 144C-202484-01" u="1"/>
        <s v="H-ADSS 48C-2025627-01" u="1"/>
        <s v="H-ADSS 24C-2024117-02" u="1"/>
        <s v="H-ADSS 48C-2024117-02" u="1"/>
        <s v="H-ADSS 24C-2023924-01" u="1"/>
        <s v="H-ADSS 48C-2023924-01" u="1"/>
        <s v="H-ADSS 24C-2023925-01" u="1"/>
        <s v="H-ADSS 48C-2023927-01" u="1"/>
        <s v="H-ADSS 48C-2026627-01" u="1"/>
        <s v="H-FAT-16-202674-01" u="1"/>
        <s v="H-FDT-48-2026720-01" u="1"/>
        <s v="H-ADSS 48C-2025614-01" u="1"/>
        <s v="H-ADSS 48C-2024926-01" u="1"/>
        <s v="H-ADSS 48C-2024121-01" u="1"/>
        <s v="H-ADSS 96C-2024122-01" u="1"/>
        <s v="H-ADSS 24C-202437-01" u="1"/>
        <s v="H-ADSS 144C-2025321-01" u="1"/>
        <s v="H-ADSS 24C-2024117-01" u="1"/>
        <s v="H-ADSS 48C-2024117-01" u="1"/>
        <s v="H-ADSS 48C-2024119-01" u="1"/>
        <s v="H-ADSS 96C-2024119-01" u="1"/>
        <s v="H-Pole 7M 3&quot;-2026711-01" u="1"/>
        <s v="H-ADSS 48C-2024422-01" u="1"/>
        <s v="H-ADSS 36C-2025116-01" u="1"/>
        <s v="H-ADSS 48C-2025116-01" u="1"/>
        <s v="H-ADSS 48C-2024730-01" u="1"/>
        <s v="H-FAT-16-202679-01" u="1"/>
        <s v="H-ADSS 144C-2024830-01" u="1"/>
        <s v="H-ADSS 144C-2024921-01" u="1"/>
        <s v="H-ADSS 48C-2024727-01" u="1"/>
        <s v="H-ADSS 48C-202497-01" u="1"/>
        <s v="H-ADSS 48C-202465-01" u="1"/>
        <s v="H-Pole 7M 2.5&quot;-2026711-01" u="1"/>
        <s v="H-Pole 7M 2.5&quot;-2026712-01" u="1"/>
        <s v="H-ADSS 144C-2024831-01" u="1"/>
        <s v="H-ADSS 48C-20241120-01" u="1"/>
        <s v="H-ADSS 144C-2024117-01" u="1"/>
        <s v="H-ADSS 48C-2024527-02" u="1"/>
        <s v="H-ADSS 36C-20251221-01" u="1"/>
        <s v="H-ADSS 48C-2024222-01" u="1"/>
        <s v="H-ADSS 36C-20251221-02" u="1"/>
        <s v="H-ADSS 144C-20241025-01" u="1"/>
        <s v="H-ADSS 48C-20241121-01" u="1"/>
        <s v="H-ADSS 48C-2024530-01" u="1"/>
        <s v="H-Pole 7M 2.5&quot;-202679-01" u="1"/>
        <s v="H-ADSS 36C-20251222-01" u="1"/>
        <s v="H-FAT-16-2026720-01" u="1"/>
        <s v="H-ADSS 48C-20241122-01" u="1"/>
        <s v="H-Pole 9M-202679-01" u="1"/>
        <s v="H-Pole 9M-2026712-01" u="1"/>
        <s v="H-ADSS 48C-2024527-01" u="1"/>
        <s v="H-ADSS 48C-20231012-01" u="1"/>
        <s v="H-ADSS 48C-2024830-01" u="1"/>
        <s v="H-ADSS 144C-20241018-01" u="1"/>
        <s v="H-ADSS 48C-2025525-01" u="1"/>
        <s v="H-ADSS 144C-2024723-01" u="1"/>
        <s v="H-ADSS 24C-202413-01" u="1"/>
        <s v="H-ADSS 48C-2024823-01" u="1"/>
        <s v="H-ADSS 48C-20251123-01" u="1"/>
        <s v="H-ADSS 144C-2024512-01" u="1"/>
        <s v="H-ADSS 144C-20241028-01" u="1"/>
        <s v="H-ADSS 48C-2024829-01" u="1"/>
        <s v="H-FDT-48-202679-01" u="1"/>
        <s v="H-ADSS 48C-20231125-01" u="1"/>
        <s v="H-ADSS 36C-20251215-01" u="1"/>
        <s v="H-ADSS 48C-20251215-01" u="1"/>
        <s v="H-ADSS 24C-20251225-01" u="1"/>
        <s v="H-ADSS 48C-202491-01" u="1"/>
      </sharedItems>
    </cacheField>
    <cacheField name="0" numFmtId="0">
      <sharedItems containsMixedTypes="1" containsNumber="1" containsInteger="1" minValue="0" maxValue="0"/>
    </cacheField>
    <cacheField name="date pick" numFmtId="14">
      <sharedItems containsDate="1" containsMixedTypes="1" minDate="2023-08-04T00:00:00" maxDate="2026-07-18T00:00:00"/>
    </cacheField>
    <cacheField name="cek" numFmtId="0">
      <sharedItems/>
    </cacheField>
    <cacheField name="CEK2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1">
  <r>
    <s v="001"/>
    <s v="B-001-895m"/>
    <m/>
    <x v="0"/>
    <s v="INB-W0012308-7"/>
    <x v="0"/>
    <s v="Oka-0813-2707-1646"/>
    <d v="2023-08-10T00:00:00"/>
    <d v="1900-01-14T16:37:24"/>
    <s v="FIELD TEAM"/>
    <x v="0"/>
    <x v="0"/>
    <s v="ZTE2003"/>
    <x v="0"/>
    <n v="895"/>
    <s v="CLR51-99-004"/>
    <x v="0"/>
    <m/>
    <m/>
    <x v="0"/>
    <s v="Imam Safi'i"/>
    <s v="Febby Supplier"/>
    <s v="`3509040409910004"/>
    <s v="B 9407UT"/>
    <n v="890"/>
    <x v="0"/>
    <m/>
    <x v="0"/>
    <x v="0"/>
    <s v="ADSS 48C_895"/>
    <e v="#N/A"/>
    <s v="ADSS 48C895_1"/>
    <s v="ADSS 48C895_-1"/>
  </r>
  <r>
    <s v="002"/>
    <s v="A-001-1721m"/>
    <m/>
    <x v="0"/>
    <s v="INB-W0012308-7"/>
    <x v="0"/>
    <s v="Oka-0813-2707-1646"/>
    <d v="2023-08-10T00:00:00"/>
    <d v="1900-01-14T16:37:24"/>
    <s v="FIELD TEAM"/>
    <x v="0"/>
    <x v="1"/>
    <s v="ZTE2001"/>
    <x v="0"/>
    <n v="1721"/>
    <s v="CLR51-99-004"/>
    <x v="0"/>
    <m/>
    <m/>
    <x v="0"/>
    <s v="Imam Safi'i"/>
    <s v="Febby Supplier"/>
    <s v="`3509040409910004"/>
    <s v="B 9407UT"/>
    <s v="3000-1279 =1721"/>
    <x v="1"/>
    <m/>
    <x v="0"/>
    <x v="1"/>
    <s v="ADSS 24C_1721"/>
    <e v="#N/A"/>
    <s v="ADSS 24C1721_1"/>
    <s v="ADSS 24C1721_-1"/>
  </r>
  <r>
    <s v="003"/>
    <s v="B-002-895m"/>
    <m/>
    <x v="1"/>
    <s v="TFO-W0012308-8"/>
    <x v="0"/>
    <s v="Oka-0813-2707-1646"/>
    <d v="2023-08-27T00:00:00"/>
    <d v="1900-01-14T16:37:24"/>
    <s v="EJ-KEDIRI-01"/>
    <x v="0"/>
    <x v="0"/>
    <s v="ZTE2003"/>
    <x v="0"/>
    <n v="895"/>
    <s v="CLR51-99-004"/>
    <x v="0"/>
    <m/>
    <m/>
    <x v="0"/>
    <s v="SIGIT"/>
    <m/>
    <m/>
    <m/>
    <n v="890"/>
    <x v="0"/>
    <m/>
    <x v="1"/>
    <x v="0"/>
    <s v="ADSS 48C_895"/>
    <e v="#N/A"/>
    <s v="ADSS 48C895_-1"/>
    <e v="#N/A"/>
  </r>
  <r>
    <s v="004"/>
    <s v="A-002-158m"/>
    <m/>
    <x v="0"/>
    <s v="INB-W0012309-6"/>
    <x v="0"/>
    <s v="Oka-0813-2707-1646"/>
    <d v="2023-09-04T00:00:00"/>
    <d v="1899-12-30T19:00:00"/>
    <s v="FIELD TEAM"/>
    <x v="1"/>
    <x v="1"/>
    <s v="ZTE2001"/>
    <x v="0"/>
    <n v="158"/>
    <s v="CLR51-99-006"/>
    <x v="1"/>
    <m/>
    <m/>
    <x v="0"/>
    <m/>
    <m/>
    <m/>
    <m/>
    <s v="2363 - 2521"/>
    <x v="2"/>
    <s v="2363-2521"/>
    <x v="0"/>
    <x v="2"/>
    <s v="ADSS 24C_158"/>
    <s v="ADSS 24C_158"/>
    <s v="ADSS 24C158_1"/>
    <e v="#N/A"/>
  </r>
  <r>
    <s v="005"/>
    <s v="A-003-55m"/>
    <m/>
    <x v="0"/>
    <s v="INB-W0012309-7"/>
    <x v="0"/>
    <s v="Oka-0813-2707-1646"/>
    <d v="2023-09-04T00:00:00"/>
    <d v="1899-12-30T16:37:00"/>
    <s v="FIELD TEAM"/>
    <x v="1"/>
    <x v="1"/>
    <s v="ZTE2001"/>
    <x v="0"/>
    <n v="55"/>
    <s v="CLR51-99-006"/>
    <x v="1"/>
    <m/>
    <m/>
    <x v="0"/>
    <m/>
    <m/>
    <m/>
    <m/>
    <s v="2524 - 2579"/>
    <x v="2"/>
    <s v="2524-2579"/>
    <x v="0"/>
    <x v="3"/>
    <s v="ADSS 24C_55"/>
    <s v="ADSS 24C_55"/>
    <s v="ADSS 24C55_1"/>
    <e v="#N/A"/>
  </r>
  <r>
    <s v="006"/>
    <s v="A-004-60m"/>
    <m/>
    <x v="0"/>
    <s v="INB-W0012309-7"/>
    <x v="0"/>
    <s v="Oka-0813-2707-1646"/>
    <d v="2023-09-04T00:00:00"/>
    <d v="1899-12-30T16:37:00"/>
    <s v="FIELD TEAM"/>
    <x v="1"/>
    <x v="1"/>
    <s v="ZTE2001"/>
    <x v="0"/>
    <n v="60"/>
    <s v="CLR51-99-006"/>
    <x v="1"/>
    <m/>
    <m/>
    <x v="0"/>
    <m/>
    <m/>
    <m/>
    <m/>
    <s v="1721 - 1781"/>
    <x v="1"/>
    <s v="1721-1781"/>
    <x v="0"/>
    <x v="3"/>
    <s v="ADSS 24C_60"/>
    <s v="ADSS 24C_60"/>
    <s v="ADSS 24C60_1"/>
    <e v="#N/A"/>
  </r>
  <r>
    <s v="007"/>
    <s v="A-005-926m"/>
    <m/>
    <x v="0"/>
    <s v="INB-W0012309-19"/>
    <x v="0"/>
    <s v="Oka-0813-2707-1646"/>
    <d v="2023-09-04T00:00:00"/>
    <d v="1899-12-30T16:37:00"/>
    <s v="FIELD TEAM"/>
    <x v="0"/>
    <x v="1"/>
    <s v="ZTE2001"/>
    <x v="0"/>
    <n v="926"/>
    <s v="CLR51-99-006"/>
    <x v="1"/>
    <m/>
    <m/>
    <x v="0"/>
    <m/>
    <m/>
    <m/>
    <m/>
    <m/>
    <x v="1"/>
    <m/>
    <x v="0"/>
    <x v="0"/>
    <s v="ADSS 24C_926"/>
    <e v="#N/A"/>
    <s v="ADSS 24C926_1"/>
    <s v="ADSS 24C926_-1"/>
  </r>
  <r>
    <s v="008"/>
    <s v="A-006-418m"/>
    <m/>
    <x v="0"/>
    <s v="INB-W0012309-6"/>
    <x v="0"/>
    <s v="Oka-0813-2707-1646"/>
    <d v="2023-09-04T00:00:00"/>
    <d v="1899-12-30T19:00:00"/>
    <s v="FIELD TEAM"/>
    <x v="0"/>
    <x v="1"/>
    <s v="ZTE2001"/>
    <x v="0"/>
    <n v="418"/>
    <s v="CLR51-99-006"/>
    <x v="1"/>
    <m/>
    <m/>
    <x v="0"/>
    <m/>
    <m/>
    <m/>
    <m/>
    <m/>
    <x v="2"/>
    <m/>
    <x v="0"/>
    <x v="4"/>
    <s v="ADSS 24C_418"/>
    <e v="#N/A"/>
    <s v="ADSS 24C418_1"/>
    <s v="ADSS 24C418_-1"/>
  </r>
  <r>
    <s v="009"/>
    <s v="B-003-2395m"/>
    <m/>
    <x v="0"/>
    <s v="INB-W0012309-19"/>
    <x v="0"/>
    <s v="Oka-0813-2707-1646"/>
    <d v="2023-09-04T00:00:00"/>
    <d v="1899-12-30T16:37:00"/>
    <s v="FIELD TEAM"/>
    <x v="0"/>
    <x v="0"/>
    <s v="ZTE2003"/>
    <x v="0"/>
    <n v="2395"/>
    <s v="CLR51-99-006"/>
    <x v="1"/>
    <m/>
    <m/>
    <x v="0"/>
    <m/>
    <m/>
    <m/>
    <m/>
    <m/>
    <x v="3"/>
    <m/>
    <x v="0"/>
    <x v="5"/>
    <s v="ADSS 48C_2395"/>
    <e v="#N/A"/>
    <s v="ADSS 48C2395_1"/>
    <s v="ADSS 48C2395_-1"/>
  </r>
  <r>
    <s v="010"/>
    <s v="B-004-2395m"/>
    <m/>
    <x v="2"/>
    <s v="OUB-W0012309-19"/>
    <x v="0"/>
    <s v="Oka-0813-2707-1646"/>
    <d v="2023-09-04T00:00:00"/>
    <d v="1899-12-30T16:37:00"/>
    <s v="FIELD TEAM"/>
    <x v="0"/>
    <x v="0"/>
    <s v="ZTE2003"/>
    <x v="0"/>
    <n v="2395"/>
    <s v="CLR51-99-006"/>
    <x v="1"/>
    <m/>
    <m/>
    <x v="0"/>
    <m/>
    <m/>
    <m/>
    <m/>
    <m/>
    <x v="3"/>
    <m/>
    <x v="1"/>
    <x v="5"/>
    <s v="ADSS 48C_2395"/>
    <e v="#N/A"/>
    <s v="ADSS 48C2395_-1"/>
    <e v="#N/A"/>
  </r>
  <r>
    <s v="011"/>
    <s v="A-007-1721m"/>
    <m/>
    <x v="2"/>
    <s v="OUB-W0012309-19"/>
    <x v="0"/>
    <s v="Oka-0813-2707-1646"/>
    <d v="2023-09-04T00:00:00"/>
    <d v="1899-12-30T16:37:00"/>
    <s v="FIELD TEAM"/>
    <x v="0"/>
    <x v="1"/>
    <s v="ZTE2001"/>
    <x v="0"/>
    <n v="1721"/>
    <s v="CLR51-99-006"/>
    <x v="1"/>
    <m/>
    <m/>
    <x v="0"/>
    <m/>
    <m/>
    <m/>
    <m/>
    <m/>
    <x v="1"/>
    <m/>
    <x v="1"/>
    <x v="1"/>
    <s v="ADSS 24C_1721"/>
    <e v="#N/A"/>
    <s v="ADSS 24C1721_-1"/>
    <e v="#N/A"/>
  </r>
  <r>
    <s v="012"/>
    <s v="B-005-1128m"/>
    <m/>
    <x v="0"/>
    <s v="INB-W0012309-19"/>
    <x v="0"/>
    <s v="Oka-0813-2707-1646"/>
    <d v="2023-09-04T00:00:00"/>
    <d v="1899-12-30T16:37:00"/>
    <s v="FIELD TEAM"/>
    <x v="0"/>
    <x v="0"/>
    <s v="ZTE2003"/>
    <x v="0"/>
    <n v="1128"/>
    <s v="CLR51-99-006"/>
    <x v="1"/>
    <m/>
    <m/>
    <x v="0"/>
    <m/>
    <m/>
    <m/>
    <m/>
    <m/>
    <x v="3"/>
    <m/>
    <x v="0"/>
    <x v="6"/>
    <s v="ADSS 48C_1128"/>
    <e v="#N/A"/>
    <s v="ADSS 48C1128_1"/>
    <e v="#N/A"/>
  </r>
  <r>
    <s v="013"/>
    <s v="B-006-895m"/>
    <m/>
    <x v="3"/>
    <s v="TFI-W0012309-138"/>
    <x v="0"/>
    <s v="Oka-0813-2707-1646"/>
    <d v="2023-09-15T00:00:00"/>
    <d v="1899-12-30T06:00:00"/>
    <s v="EJ-KEDIRI-01"/>
    <x v="0"/>
    <x v="0"/>
    <s v="ZTE2003"/>
    <x v="0"/>
    <n v="895"/>
    <m/>
    <x v="2"/>
    <m/>
    <m/>
    <x v="0"/>
    <m/>
    <m/>
    <m/>
    <m/>
    <m/>
    <x v="0"/>
    <m/>
    <x v="0"/>
    <x v="0"/>
    <s v="ADSS 48C_895"/>
    <e v="#N/A"/>
    <s v="ADSS 48C895_1"/>
    <s v="ADSS 48C895_-1"/>
  </r>
  <r>
    <s v="014"/>
    <s v="B-007-1250m"/>
    <m/>
    <x v="3"/>
    <s v="TFI-W0012309-138"/>
    <x v="0"/>
    <s v="Oka-0813-2707-1646"/>
    <d v="2023-09-15T00:00:00"/>
    <d v="1899-12-30T06:00:00"/>
    <s v="EJ-KEDIRI-01"/>
    <x v="0"/>
    <x v="0"/>
    <s v="ZTE2003"/>
    <x v="0"/>
    <n v="1250"/>
    <m/>
    <x v="2"/>
    <m/>
    <m/>
    <x v="0"/>
    <m/>
    <m/>
    <m/>
    <m/>
    <m/>
    <x v="4"/>
    <m/>
    <x v="0"/>
    <x v="6"/>
    <s v="ADSS 48C_1250"/>
    <e v="#N/A"/>
    <s v="ADSS 48C1250_1"/>
    <s v="ADSS 48C1250_-1"/>
  </r>
  <r>
    <s v="015"/>
    <s v="A-008-1765m"/>
    <m/>
    <x v="0"/>
    <s v="INB-W0012309-43"/>
    <x v="0"/>
    <s v="Oka-0813-2707-1646"/>
    <d v="2023-09-24T00:00:00"/>
    <d v="1899-12-30T07:36:00"/>
    <s v="FIELD TEAM"/>
    <x v="0"/>
    <x v="1"/>
    <s v="ZTE2001"/>
    <x v="0"/>
    <n v="1765"/>
    <s v="CLR51-99-007"/>
    <x v="3"/>
    <m/>
    <m/>
    <x v="0"/>
    <s v="Khoiri"/>
    <s v="Khoiri Supplier"/>
    <s v="3507330905820002"/>
    <s v="N 8638 ES"/>
    <s v="3000-1235=1765"/>
    <x v="5"/>
    <m/>
    <x v="0"/>
    <x v="1"/>
    <s v="ADSS 24C_1765"/>
    <e v="#N/A"/>
    <s v="ADSS 24C1765_1"/>
    <s v="ADSS 24C1765_-1"/>
  </r>
  <r>
    <s v="016"/>
    <s v="A-009-935m"/>
    <m/>
    <x v="0"/>
    <s v="INB-W0012310-55"/>
    <x v="0"/>
    <s v="Oka-0813-2707-1646"/>
    <d v="2023-10-01T00:00:00"/>
    <d v="1899-12-30T06:30:00"/>
    <s v="EJ-MALANG-01"/>
    <x v="0"/>
    <x v="1"/>
    <s v="ZTE2001"/>
    <x v="0"/>
    <n v="935"/>
    <s v="CLR51-02-001"/>
    <x v="4"/>
    <m/>
    <m/>
    <x v="0"/>
    <m/>
    <m/>
    <m/>
    <m/>
    <m/>
    <x v="6"/>
    <m/>
    <x v="0"/>
    <x v="0"/>
    <s v="ADSS 24C_935"/>
    <e v="#N/A"/>
    <s v="ADSS 24C935_1"/>
    <e v="#N/A"/>
  </r>
  <r>
    <s v="017"/>
    <s v="A-010-215m"/>
    <m/>
    <x v="0"/>
    <s v="INB-W0012310-17"/>
    <x v="0"/>
    <s v="Oka-0813-2707-1646"/>
    <d v="2023-10-01T00:00:00"/>
    <d v="1899-12-30T06:30:00"/>
    <s v="FIELD TEAM"/>
    <x v="0"/>
    <x v="1"/>
    <s v="ZTE2001"/>
    <x v="0"/>
    <n v="215"/>
    <s v="CLR51-02-001"/>
    <x v="4"/>
    <m/>
    <m/>
    <x v="0"/>
    <s v="Khoiri"/>
    <m/>
    <m/>
    <m/>
    <s v="1765-1550=215"/>
    <x v="5"/>
    <s v="0-215"/>
    <x v="0"/>
    <x v="4"/>
    <s v="ADSS 24C_215"/>
    <e v="#N/A"/>
    <s v="ADSS 24C215_1"/>
    <s v="ADSS 24C215_-1"/>
  </r>
  <r>
    <s v="018"/>
    <s v="A-011-1765m"/>
    <m/>
    <x v="2"/>
    <s v="OUB-W0012310-17"/>
    <x v="0"/>
    <s v="Oka-0813-2707-1646"/>
    <d v="2023-10-01T00:00:00"/>
    <d v="1899-12-30T06:30:00"/>
    <s v="FIELD TEAM"/>
    <x v="0"/>
    <x v="1"/>
    <s v="ZTE2001"/>
    <x v="0"/>
    <n v="1765"/>
    <s v="CLR51-02-001"/>
    <x v="4"/>
    <m/>
    <m/>
    <x v="0"/>
    <s v="Khoiri"/>
    <s v="Khoiri Supplier"/>
    <s v="3507330905820002"/>
    <s v="N 8638 ES"/>
    <s v="1765-1550=215"/>
    <x v="5"/>
    <s v="0-215"/>
    <x v="1"/>
    <x v="1"/>
    <s v="ADSS 24C_1765"/>
    <e v="#N/A"/>
    <s v="ADSS 24C1765_-1"/>
    <e v="#N/A"/>
  </r>
  <r>
    <s v="019"/>
    <s v="A-012-772m"/>
    <m/>
    <x v="2"/>
    <s v="OUB-W0012310-87"/>
    <x v="0"/>
    <s v="Oka-0813-2707-1646"/>
    <d v="2023-10-19T00:00:00"/>
    <d v="1899-12-30T07:59:00"/>
    <s v="FIELD TEAM"/>
    <x v="0"/>
    <x v="1"/>
    <s v="ZTE2001"/>
    <x v="0"/>
    <n v="772"/>
    <s v="CLR51-99-021"/>
    <x v="5"/>
    <s v="3000-1260=1740"/>
    <s v="A-012-1740m"/>
    <x v="0"/>
    <s v="H-ADSS 24C-20231014-03"/>
    <m/>
    <m/>
    <m/>
    <m/>
    <x v="7"/>
    <m/>
    <x v="1"/>
    <x v="0"/>
    <s v="ADSS 24C_772"/>
    <e v="#N/A"/>
    <s v="ADSS 24C772_-1"/>
    <e v="#N/A"/>
  </r>
  <r>
    <s v="020"/>
    <s v="A-013-684m"/>
    <m/>
    <x v="2"/>
    <s v="OUB-W0012310-87"/>
    <x v="0"/>
    <s v="Oka-0813-2707-1646"/>
    <d v="2023-10-19T00:00:00"/>
    <d v="1899-12-30T07:59:00"/>
    <s v="FIELD TEAM"/>
    <x v="0"/>
    <x v="1"/>
    <s v="ZTE2001"/>
    <x v="0"/>
    <n v="684"/>
    <s v="CLR51-99-020"/>
    <x v="6"/>
    <m/>
    <m/>
    <x v="0"/>
    <m/>
    <m/>
    <m/>
    <m/>
    <m/>
    <x v="7"/>
    <m/>
    <x v="1"/>
    <x v="0"/>
    <s v="ADSS 24C_684"/>
    <e v="#N/A"/>
    <s v="ADSS 24C684_-1"/>
    <e v="#N/A"/>
  </r>
  <r>
    <s v="021"/>
    <s v="A-014-284m"/>
    <m/>
    <x v="0"/>
    <s v="INB-W0012310-87"/>
    <x v="0"/>
    <s v="Oka-0813-2707-1646"/>
    <d v="2023-10-19T00:00:00"/>
    <d v="1899-12-30T07:59:00"/>
    <s v="FIELD TEAM"/>
    <x v="0"/>
    <x v="1"/>
    <s v="ZTE2001"/>
    <x v="0"/>
    <n v="284"/>
    <s v="CLR51-99-021"/>
    <x v="5"/>
    <m/>
    <m/>
    <x v="0"/>
    <s v="Khoiri"/>
    <s v="Khoiri Supplier"/>
    <s v="3507330905820002"/>
    <s v="N 8408 CB"/>
    <s v="1260 + 884 +772"/>
    <x v="7"/>
    <m/>
    <x v="0"/>
    <x v="4"/>
    <s v="ADSS 24C_284"/>
    <e v="#N/A"/>
    <s v="ADSS 24C284_1"/>
    <e v="#N/A"/>
  </r>
  <r>
    <s v="022"/>
    <s v="A-015-650m"/>
    <m/>
    <x v="2"/>
    <s v="OUB-W0012310-108"/>
    <x v="0"/>
    <s v="Oka-0813-2707-1646"/>
    <d v="2023-10-23T00:00:00"/>
    <d v="1899-12-30T08:19:00"/>
    <s v="EJ-MALANG-01"/>
    <x v="0"/>
    <x v="1"/>
    <s v="ZTE2001"/>
    <x v="0"/>
    <n v="650"/>
    <s v="CLR51-99-018"/>
    <x v="7"/>
    <m/>
    <m/>
    <x v="0"/>
    <m/>
    <m/>
    <m/>
    <m/>
    <m/>
    <x v="8"/>
    <m/>
    <x v="1"/>
    <x v="0"/>
    <s v="ADSS 24C_650"/>
    <e v="#N/A"/>
    <s v="ADSS 24C650_-1"/>
    <e v="#N/A"/>
  </r>
  <r>
    <s v="023"/>
    <s v="A-016-1350m"/>
    <m/>
    <x v="0"/>
    <s v="INB-W0012310-108"/>
    <x v="0"/>
    <s v="Oka-0813-2707-1646"/>
    <d v="2023-10-23T00:00:00"/>
    <d v="1899-12-30T08:19:00"/>
    <s v="EJ-MALANG-01"/>
    <x v="0"/>
    <x v="1"/>
    <s v="ZTE2001"/>
    <x v="0"/>
    <n v="1350"/>
    <s v="CLR51-99-018"/>
    <x v="7"/>
    <s v="USE 1650"/>
    <m/>
    <x v="0"/>
    <m/>
    <m/>
    <m/>
    <m/>
    <m/>
    <x v="8"/>
    <m/>
    <x v="0"/>
    <x v="6"/>
    <s v="ADSS 24C_1350"/>
    <e v="#N/A"/>
    <s v="ADSS 24C1350_1"/>
    <s v="ADSS 24C1350_-1"/>
  </r>
  <r>
    <s v="024"/>
    <s v="B-008-1559m"/>
    <m/>
    <x v="3"/>
    <s v="TFI-W0012311-004"/>
    <x v="0"/>
    <s v="Oka-0813-2707-1646"/>
    <d v="2023-11-26T00:00:00"/>
    <d v="1899-12-30T06:00:00"/>
    <s v="WH-JOMBANG-01"/>
    <x v="0"/>
    <x v="0"/>
    <s v="ZTE2003"/>
    <x v="0"/>
    <n v="1559"/>
    <m/>
    <x v="2"/>
    <m/>
    <m/>
    <x v="0"/>
    <m/>
    <m/>
    <m/>
    <m/>
    <m/>
    <x v="9"/>
    <m/>
    <x v="0"/>
    <x v="1"/>
    <s v="ADSS 48C_1559"/>
    <e v="#N/A"/>
    <s v="ADSS 48C1559_1"/>
    <s v="ADSS 48C1559_-1"/>
  </r>
  <r>
    <s v="025"/>
    <s v="B-009-65m"/>
    <m/>
    <x v="0"/>
    <s v="INB-W0012312-35"/>
    <x v="0"/>
    <s v="Oka-0813-2707-1646"/>
    <d v="2023-12-01T00:00:00"/>
    <d v="1899-12-30T19:00:00"/>
    <s v="FIELD TEAM"/>
    <x v="1"/>
    <x v="0"/>
    <s v="ZTE2003"/>
    <x v="0"/>
    <n v="65"/>
    <s v="CLR51-02-001"/>
    <x v="4"/>
    <m/>
    <m/>
    <x v="0"/>
    <m/>
    <m/>
    <m/>
    <m/>
    <s v="594 - 659"/>
    <x v="2"/>
    <s v="594-659"/>
    <x v="0"/>
    <x v="3"/>
    <s v="ADSS 48C_65"/>
    <e v="#N/A"/>
    <s v="ADSS 48C65_1"/>
    <e v="#N/A"/>
  </r>
  <r>
    <s v="026"/>
    <s v="B-010-115m"/>
    <m/>
    <x v="0"/>
    <s v="INB-W0012312-35"/>
    <x v="0"/>
    <s v="Oka-0813-2707-1646"/>
    <d v="2023-12-01T00:00:00"/>
    <d v="1899-12-30T19:00:00"/>
    <s v="FIELD TEAM"/>
    <x v="1"/>
    <x v="0"/>
    <s v="ZTE2003"/>
    <x v="0"/>
    <n v="115"/>
    <s v="CLR51-02-001"/>
    <x v="4"/>
    <m/>
    <m/>
    <x v="0"/>
    <m/>
    <m/>
    <m/>
    <m/>
    <s v="2602 - 2717"/>
    <x v="2"/>
    <s v="2602-2717"/>
    <x v="0"/>
    <x v="2"/>
    <s v="ADSS 48C_115"/>
    <e v="#N/A"/>
    <s v="ADSS 48C115_1"/>
    <e v="#N/A"/>
  </r>
  <r>
    <s v="027"/>
    <s v="A-017-700m"/>
    <m/>
    <x v="0"/>
    <s v="INB-W0012312-158"/>
    <x v="0"/>
    <s v="Oka-0813-2707-1646"/>
    <d v="2023-12-26T00:00:00"/>
    <d v="1899-12-30T09:25:00"/>
    <s v="FIELD TEAM"/>
    <x v="0"/>
    <x v="1"/>
    <s v="ZTE2001"/>
    <x v="0"/>
    <n v="700"/>
    <s v="CLR32-99-069"/>
    <x v="8"/>
    <m/>
    <m/>
    <x v="0"/>
    <s v="Riki Romansyah"/>
    <s v="Febby Supplier"/>
    <s v="3507050501950006"/>
    <s v="N 8420 EL"/>
    <s v="use 2300. sisa 700"/>
    <x v="10"/>
    <m/>
    <x v="0"/>
    <x v="0"/>
    <s v="ADSS 24C_700"/>
    <e v="#N/A"/>
    <s v="ADSS 24C700_1"/>
    <e v="#N/A"/>
  </r>
  <r>
    <s v="028"/>
    <s v="A-018-418m"/>
    <m/>
    <x v="2"/>
    <s v="OUB-W0012401-1"/>
    <x v="0"/>
    <s v="Oka-0813-2707-1646"/>
    <d v="2024-01-20T00:00:00"/>
    <d v="1899-12-30T19:00:00"/>
    <s v="FIELD TEAM"/>
    <x v="0"/>
    <x v="1"/>
    <s v="ZTE2001"/>
    <x v="0"/>
    <n v="418"/>
    <s v="CLR29-99-153"/>
    <x v="9"/>
    <m/>
    <m/>
    <x v="0"/>
    <m/>
    <m/>
    <m/>
    <m/>
    <m/>
    <x v="2"/>
    <m/>
    <x v="1"/>
    <x v="4"/>
    <s v="ADSS 24C_418"/>
    <e v="#N/A"/>
    <s v="ADSS 24C418_-1"/>
    <e v="#N/A"/>
  </r>
  <r>
    <s v="029"/>
    <s v="C-001-1750m"/>
    <m/>
    <x v="0"/>
    <s v="INB-W0012401-45"/>
    <x v="0"/>
    <s v="Oka-0813-2707-1646"/>
    <d v="2024-01-22T00:00:00"/>
    <d v="1899-12-30T09:13:00"/>
    <s v="FIELD TEAM"/>
    <x v="0"/>
    <x v="2"/>
    <s v="ZTE2013"/>
    <x v="0"/>
    <n v="1750"/>
    <s v="MF51-01"/>
    <x v="10"/>
    <m/>
    <m/>
    <x v="0"/>
    <s v="Riki Romansyah"/>
    <s v="Febby Supplier"/>
    <s v="3507050501950006"/>
    <s v="N 8420 EL"/>
    <s v="0-1750"/>
    <x v="11"/>
    <s v="0-1750"/>
    <x v="0"/>
    <x v="1"/>
    <s v="ADSS 96C_1750"/>
    <e v="#N/A"/>
    <s v="ADSS 96C1750_1"/>
    <s v="ADSS 96C1750_-1"/>
  </r>
  <r>
    <s v="030"/>
    <s v="B-011-2554m"/>
    <m/>
    <x v="3"/>
    <s v="TFI-W0012401-001"/>
    <x v="0"/>
    <s v="Oka-0813-2707-1646"/>
    <d v="2024-01-23T00:00:00"/>
    <d v="1899-12-30T06:00:00"/>
    <s v="WH-JOMBANG-01"/>
    <x v="0"/>
    <x v="0"/>
    <s v="ZTE2003"/>
    <x v="0"/>
    <n v="2554"/>
    <m/>
    <x v="2"/>
    <m/>
    <m/>
    <x v="0"/>
    <m/>
    <m/>
    <m/>
    <m/>
    <m/>
    <x v="12"/>
    <m/>
    <x v="0"/>
    <x v="5"/>
    <s v="ADSS 48C_2554"/>
    <e v="#N/A"/>
    <s v="ADSS 48C2554_1"/>
    <s v="ADSS 48C2554_-1"/>
  </r>
  <r>
    <s v="031"/>
    <s v="B-012-2554m"/>
    <m/>
    <x v="2"/>
    <s v="OUB-W0012401-002"/>
    <x v="0"/>
    <s v="Oka-0813-2707-1646"/>
    <d v="2024-01-23T00:00:00"/>
    <d v="1899-12-30T06:00:00"/>
    <s v="WH-JOMBANG-01"/>
    <x v="0"/>
    <x v="0"/>
    <s v="ZTE2003"/>
    <x v="0"/>
    <n v="2554"/>
    <s v="CLR51-99-038"/>
    <x v="11"/>
    <m/>
    <m/>
    <x v="0"/>
    <m/>
    <m/>
    <m/>
    <m/>
    <m/>
    <x v="12"/>
    <m/>
    <x v="1"/>
    <x v="5"/>
    <s v="ADSS 48C_2554"/>
    <e v="#N/A"/>
    <s v="ADSS 48C2554_-1"/>
    <e v="#N/A"/>
  </r>
  <r>
    <s v="032"/>
    <s v="A-019-1000m"/>
    <m/>
    <x v="0"/>
    <s v="INB-W0012401-46"/>
    <x v="0"/>
    <s v="Oka-0813-2707-1646"/>
    <d v="2024-01-26T00:00:00"/>
    <d v="1899-12-30T09:13:00"/>
    <s v="FIELD TEAM"/>
    <x v="0"/>
    <x v="1"/>
    <s v="ZTE2001"/>
    <x v="0"/>
    <n v="1000"/>
    <s v="CLR51-01-005"/>
    <x v="12"/>
    <s v="1265+735"/>
    <s v="H-ADSS 24C-20231226-01"/>
    <x v="0"/>
    <m/>
    <m/>
    <m/>
    <m/>
    <m/>
    <x v="10"/>
    <m/>
    <x v="0"/>
    <x v="6"/>
    <s v="ADSS 24C_1000"/>
    <e v="#N/A"/>
    <s v="ADSS 24C1000_1"/>
    <s v="ADSS 24C1000_-1"/>
  </r>
  <r>
    <s v="033"/>
    <s v="A-020-300m"/>
    <m/>
    <x v="0"/>
    <s v="INB-W0012402-58"/>
    <x v="0"/>
    <s v="Oka-0813-2707-1646"/>
    <d v="2024-02-22T00:00:00"/>
    <d v="1899-12-30T19:00:00"/>
    <s v="FIELD TEAM"/>
    <x v="0"/>
    <x v="1"/>
    <s v="ZTE2001"/>
    <x v="0"/>
    <n v="300"/>
    <m/>
    <x v="2"/>
    <m/>
    <m/>
    <x v="0"/>
    <m/>
    <m/>
    <m/>
    <m/>
    <s v="- 610 Sisa 300"/>
    <x v="2"/>
    <s v="0-300"/>
    <x v="0"/>
    <x v="4"/>
    <s v="ADSS 24C_300"/>
    <s v="ADSS 24C_300"/>
    <s v="ADSS 24C300_1"/>
    <e v="#N/A"/>
  </r>
  <r>
    <s v="034"/>
    <s v="A-021-1879m"/>
    <m/>
    <x v="3"/>
    <s v="TFI-W0012403-009"/>
    <x v="0"/>
    <s v="Oka-0813-2707-1646"/>
    <d v="2024-03-30T00:00:00"/>
    <d v="1899-12-30T06:00:00"/>
    <s v="WH-JOMBANG-01"/>
    <x v="0"/>
    <x v="1"/>
    <s v="ZTE2001"/>
    <x v="0"/>
    <n v="1879"/>
    <m/>
    <x v="2"/>
    <m/>
    <m/>
    <x v="0"/>
    <m/>
    <m/>
    <m/>
    <m/>
    <m/>
    <x v="13"/>
    <m/>
    <x v="0"/>
    <x v="1"/>
    <s v="ADSS 24C_1879"/>
    <e v="#N/A"/>
    <s v="ADSS 24C1879_1"/>
    <e v="#N/A"/>
  </r>
  <r>
    <s v="035"/>
    <s v="D-001-150m"/>
    <m/>
    <x v="0"/>
    <s v="INB-W0012405-332"/>
    <x v="0"/>
    <s v="Oka-0813-2707-1646"/>
    <d v="2024-05-12T00:00:00"/>
    <d v="1899-12-30T19:30:00"/>
    <s v="FIELD TEAM"/>
    <x v="0"/>
    <x v="3"/>
    <s v="ZTE2004"/>
    <x v="0"/>
    <n v="150"/>
    <s v="MF51-02"/>
    <x v="13"/>
    <m/>
    <m/>
    <x v="0"/>
    <s v="Riki Romansyah"/>
    <s v="Febby Supplier"/>
    <s v="3507050501950006"/>
    <s v="N 8420 EL"/>
    <m/>
    <x v="14"/>
    <m/>
    <x v="0"/>
    <x v="2"/>
    <s v="ADSS 144C_150"/>
    <s v="ADSS 144C_150"/>
    <s v="ADSS 144C150_1"/>
    <s v="ADSS 144C150_-1"/>
  </r>
  <r>
    <s v="036"/>
    <s v="P74-001-1"/>
    <m/>
    <x v="0"/>
    <s v="INB-W0012405-354"/>
    <x v="0"/>
    <s v="Oka-0813-2707-1646"/>
    <d v="2024-05-25T00:00:00"/>
    <d v="1899-12-30T19:00:00"/>
    <s v="FIELD TEAM"/>
    <x v="0"/>
    <x v="4"/>
    <s v="ZTE1001"/>
    <x v="1"/>
    <n v="1"/>
    <s v="MF51-01"/>
    <x v="10"/>
    <m/>
    <m/>
    <x v="1"/>
    <m/>
    <m/>
    <m/>
    <m/>
    <s v="Bengkok"/>
    <x v="2"/>
    <m/>
    <x v="0"/>
    <x v="7"/>
    <s v="Pole 7m 4&quot;_1"/>
    <e v="#N/A"/>
    <s v="Pole 7m 4&quot;1_1"/>
    <s v="Pole 7M 4&quot;1_-1"/>
  </r>
  <r>
    <s v="037"/>
    <s v="A-022-2400m"/>
    <m/>
    <x v="0"/>
    <s v="INB-W0012406-007"/>
    <x v="0"/>
    <s v="Oka-0813-2707-1646"/>
    <d v="2024-06-19T00:00:00"/>
    <d v="1899-12-30T06:00:00"/>
    <s v="FIELD TEAM"/>
    <x v="0"/>
    <x v="1"/>
    <s v="ZTE2001"/>
    <x v="0"/>
    <n v="2400"/>
    <m/>
    <x v="14"/>
    <m/>
    <m/>
    <x v="0"/>
    <m/>
    <m/>
    <m/>
    <m/>
    <s v="Sisa sumberbendo"/>
    <x v="15"/>
    <m/>
    <x v="0"/>
    <x v="5"/>
    <s v="ADSS 24C_2400"/>
    <e v="#N/A"/>
    <s v="ADSS 24C2400_1"/>
    <e v="#N/A"/>
  </r>
  <r>
    <s v="038"/>
    <s v="A-023-926m"/>
    <m/>
    <x v="2"/>
    <s v="OUB-W0012406-19"/>
    <x v="0"/>
    <s v="Oka-0813-2707-1646"/>
    <d v="2024-06-22T00:00:00"/>
    <d v="1899-12-30T16:37:00"/>
    <s v="FIELD TEAM"/>
    <x v="0"/>
    <x v="1"/>
    <s v="ZTE2001"/>
    <x v="0"/>
    <n v="926"/>
    <s v="CLR51-99-044"/>
    <x v="15"/>
    <m/>
    <m/>
    <x v="0"/>
    <m/>
    <m/>
    <m/>
    <m/>
    <m/>
    <x v="1"/>
    <m/>
    <x v="1"/>
    <x v="0"/>
    <s v="ADSS 24C_926"/>
    <e v="#N/A"/>
    <s v="ADSS 24C926_-1"/>
    <e v="#N/A"/>
  </r>
  <r>
    <s v="039"/>
    <s v="A-024-316m"/>
    <m/>
    <x v="0"/>
    <s v="INB-W0012406-19"/>
    <x v="0"/>
    <s v="Oka-0813-2707-1646"/>
    <d v="2024-06-22T00:00:00"/>
    <d v="1899-12-30T16:37:00"/>
    <s v="FIELD TEAM"/>
    <x v="0"/>
    <x v="1"/>
    <s v="ZTE2001"/>
    <x v="0"/>
    <n v="316"/>
    <s v="CLR51-99-044"/>
    <x v="15"/>
    <m/>
    <m/>
    <x v="0"/>
    <m/>
    <m/>
    <m/>
    <m/>
    <m/>
    <x v="1"/>
    <m/>
    <x v="0"/>
    <x v="4"/>
    <s v="ADSS 24C_316"/>
    <e v="#N/A"/>
    <s v="ADSS 24C316_1"/>
    <e v="#N/A"/>
  </r>
  <r>
    <s v="040"/>
    <s v="B-013-700m"/>
    <m/>
    <x v="0"/>
    <s v="INB-W0012406-94"/>
    <x v="0"/>
    <s v="Oka-0813-2707-1646"/>
    <d v="2024-06-25T00:00:00"/>
    <d v="1899-12-30T19:00:00"/>
    <s v="FIELD TEAM"/>
    <x v="0"/>
    <x v="0"/>
    <s v="ZTE2003"/>
    <x v="0"/>
    <n v="700"/>
    <s v="CLR51-02-020"/>
    <x v="16"/>
    <m/>
    <m/>
    <x v="0"/>
    <s v="Riki Romansyah"/>
    <s v="Febby Supplier"/>
    <s v="3507050501950006"/>
    <s v="N 8420 EL"/>
    <s v="0-700"/>
    <x v="2"/>
    <s v="0-700"/>
    <x v="0"/>
    <x v="0"/>
    <s v="ADSS 48C_700"/>
    <s v="ADSS 48C_700"/>
    <s v="ADSS 48C700_1"/>
    <e v="#N/A"/>
  </r>
  <r>
    <s v="041"/>
    <s v="B-014-1250m"/>
    <m/>
    <x v="2"/>
    <s v="OUB-W0012407-138"/>
    <x v="0"/>
    <s v="Oka-0813-2707-1646"/>
    <d v="2024-07-14T00:00:00"/>
    <d v="1899-12-30T06:00:00"/>
    <s v="FIELD TEAM"/>
    <x v="0"/>
    <x v="0"/>
    <s v="ZTE2003"/>
    <x v="0"/>
    <n v="1250"/>
    <s v="CLR51-99-063"/>
    <x v="17"/>
    <m/>
    <m/>
    <x v="0"/>
    <s v="H-ADSS 48C-2023915-01"/>
    <m/>
    <m/>
    <m/>
    <m/>
    <x v="4"/>
    <m/>
    <x v="1"/>
    <x v="6"/>
    <s v="ADSS 48C_1250"/>
    <e v="#N/A"/>
    <s v="ADSS 48C1250_-1"/>
    <e v="#N/A"/>
  </r>
  <r>
    <s v="042"/>
    <s v="D-002-1500m"/>
    <m/>
    <x v="0"/>
    <s v="INB-W0012407-410"/>
    <x v="0"/>
    <s v="Oka-0813-2707-1646"/>
    <d v="2024-07-23T00:00:00"/>
    <d v="1899-12-30T07:00:00"/>
    <s v="FIELD TEAM"/>
    <x v="0"/>
    <x v="3"/>
    <s v="ZTE2004"/>
    <x v="0"/>
    <n v="1500"/>
    <s v="MF51-03"/>
    <x v="18"/>
    <m/>
    <m/>
    <x v="0"/>
    <s v="Riki Romansyah"/>
    <s v="Febby Supplier"/>
    <s v="3507050501950006"/>
    <s v="N 8420 EL"/>
    <s v="use 1500"/>
    <x v="16"/>
    <m/>
    <x v="0"/>
    <x v="1"/>
    <s v="ADSS 144C_1500"/>
    <e v="#N/A"/>
    <s v="ADSS 144C1500_1"/>
    <s v="ADSS 144C1500_-1"/>
  </r>
  <r>
    <s v="043"/>
    <s v="D-003-1500m"/>
    <m/>
    <x v="2"/>
    <s v="OUB-W0012408-431"/>
    <x v="0"/>
    <s v="Oka-0813-2707-1646"/>
    <d v="2024-08-04T00:00:00"/>
    <d v="1899-12-30T17:52:00"/>
    <s v="EJ-MALANG-01"/>
    <x v="0"/>
    <x v="3"/>
    <s v="ZTE2004"/>
    <x v="0"/>
    <n v="1500"/>
    <s v="MF51-04"/>
    <x v="19"/>
    <m/>
    <m/>
    <x v="0"/>
    <s v="Nur Hidayat"/>
    <n v="0"/>
    <s v="3515141305930006"/>
    <s v="S 9102 AE"/>
    <m/>
    <x v="16"/>
    <m/>
    <x v="1"/>
    <x v="1"/>
    <s v="ADSS 144C_1500"/>
    <e v="#N/A"/>
    <s v="ADSS 144C1500_-1"/>
    <e v="#N/A"/>
  </r>
  <r>
    <s v="044"/>
    <s v="A-025-600m"/>
    <m/>
    <x v="0"/>
    <s v="INB-W0012408-477"/>
    <x v="0"/>
    <s v="Oka-0813-2707-1646"/>
    <d v="2024-08-31T00:00:00"/>
    <d v="1899-12-30T12:17:00"/>
    <s v="FIELD TEAM"/>
    <x v="0"/>
    <x v="1"/>
    <s v="ZTE2001"/>
    <x v="0"/>
    <n v="600"/>
    <s v="CLR51-99-115"/>
    <x v="20"/>
    <m/>
    <m/>
    <x v="0"/>
    <s v="Riki Romansyah"/>
    <s v="Febby Supplier"/>
    <s v="3507050501950006"/>
    <s v="N 8420 EL"/>
    <s v="use 1500+900, 600 masuk leftover"/>
    <x v="17"/>
    <m/>
    <x v="0"/>
    <x v="0"/>
    <s v="ADSS 24C_600"/>
    <e v="#N/A"/>
    <s v="ADSS 24C600_1"/>
    <e v="#N/A"/>
  </r>
  <r>
    <s v="045"/>
    <s v="A-026-62m"/>
    <m/>
    <x v="3"/>
    <s v="TFI-W0012409-134"/>
    <x v="0"/>
    <s v="Oka-0813-2707-1646"/>
    <d v="2024-09-19T00:00:00"/>
    <d v="1899-12-30T19:00:00"/>
    <s v="EJ BLITAR-01"/>
    <x v="1"/>
    <x v="1"/>
    <s v="ZTE2001"/>
    <x v="0"/>
    <n v="62"/>
    <n v="0"/>
    <x v="21"/>
    <m/>
    <m/>
    <x v="0"/>
    <m/>
    <m/>
    <m/>
    <m/>
    <s v="0-62"/>
    <x v="2"/>
    <s v="0-62"/>
    <x v="0"/>
    <x v="3"/>
    <s v="ADSS 24C_62"/>
    <s v="ADSS 24C_62"/>
    <s v="ADSS 24C62_1"/>
    <e v="#N/A"/>
  </r>
  <r>
    <s v="046"/>
    <s v="A-027-87m"/>
    <m/>
    <x v="3"/>
    <s v="TFI-W0012409-134"/>
    <x v="0"/>
    <s v="Oka-0813-2707-1646"/>
    <d v="2024-09-19T00:00:00"/>
    <d v="1899-12-30T19:00:00"/>
    <s v="EJ BLITAR-01"/>
    <x v="1"/>
    <x v="1"/>
    <s v="ZTE2001"/>
    <x v="0"/>
    <n v="87"/>
    <n v="0"/>
    <x v="21"/>
    <m/>
    <m/>
    <x v="0"/>
    <m/>
    <m/>
    <m/>
    <m/>
    <s v="0-87"/>
    <x v="2"/>
    <s v="0-87"/>
    <x v="0"/>
    <x v="3"/>
    <s v="ADSS 24C_87"/>
    <s v="ADSS 24C_87"/>
    <s v="ADSS 24C87_1"/>
    <e v="#N/A"/>
  </r>
  <r>
    <s v="047"/>
    <s v="B-015-64m"/>
    <m/>
    <x v="3"/>
    <s v="TFI-W0012409-134"/>
    <x v="0"/>
    <s v="Oka-0813-2707-1646"/>
    <d v="2024-09-19T00:00:00"/>
    <d v="1899-12-30T19:00:00"/>
    <s v="EJ BLITAR-01"/>
    <x v="1"/>
    <x v="0"/>
    <s v="ZTE2003"/>
    <x v="0"/>
    <n v="64"/>
    <n v="0"/>
    <x v="21"/>
    <m/>
    <m/>
    <x v="0"/>
    <m/>
    <m/>
    <m/>
    <m/>
    <s v="0-64"/>
    <x v="2"/>
    <s v="0-64"/>
    <x v="0"/>
    <x v="3"/>
    <s v="ADSS 48C_64"/>
    <s v="ADSS 48C_64"/>
    <s v="ADSS 48C64_1"/>
    <e v="#N/A"/>
  </r>
  <r>
    <s v="048"/>
    <s v="A-028-350m"/>
    <m/>
    <x v="0"/>
    <s v="INB-W0012411-142"/>
    <x v="0"/>
    <s v="Oka-0813-2707-1646"/>
    <d v="2024-11-21T00:00:00"/>
    <d v="1899-12-30T10:35:00"/>
    <s v="FIELD TEAM"/>
    <x v="0"/>
    <x v="1"/>
    <s v="ZTE2001"/>
    <x v="0"/>
    <n v="350"/>
    <m/>
    <x v="2"/>
    <m/>
    <m/>
    <x v="0"/>
    <m/>
    <m/>
    <m/>
    <m/>
    <m/>
    <x v="2"/>
    <s v="0-350"/>
    <x v="0"/>
    <x v="4"/>
    <s v="ADSS 24C_350"/>
    <s v="ADSS 24C_350"/>
    <s v="ADSS 24C350_1"/>
    <s v="ADSS 24C350_-1"/>
  </r>
  <r>
    <s v="049"/>
    <s v="B-016-995m"/>
    <m/>
    <x v="0"/>
    <s v="INB-W0012411-142"/>
    <x v="0"/>
    <s v="Oka-0813-2707-1646"/>
    <d v="2024-11-21T00:00:00"/>
    <d v="1899-12-30T10:35:00"/>
    <s v="FIELD TEAM"/>
    <x v="0"/>
    <x v="0"/>
    <s v="ZTE2003"/>
    <x v="0"/>
    <n v="995"/>
    <s v="CLR51-99-049"/>
    <x v="22"/>
    <m/>
    <m/>
    <x v="0"/>
    <s v="Alexander puji krismanto"/>
    <n v="0"/>
    <s v="1812022707900006"/>
    <s v="AG 8030 KG"/>
    <s v="use 2005 , 995 masuk left over"/>
    <x v="2"/>
    <s v="1355-2350"/>
    <x v="0"/>
    <x v="0"/>
    <s v="ADSS 48C_995"/>
    <e v="#N/A"/>
    <s v="ADSS 48C995_1"/>
    <e v="#N/A"/>
  </r>
  <r>
    <s v="050"/>
    <s v="B-017-770m"/>
    <m/>
    <x v="0"/>
    <s v="INB-W0012503-156"/>
    <x v="0"/>
    <s v="Oka-0813-2707-1646"/>
    <d v="2025-03-21T00:00:00"/>
    <d v="1899-12-30T18:50:00"/>
    <s v="FIELD TEAM"/>
    <x v="0"/>
    <x v="0"/>
    <s v="ZTE2003"/>
    <x v="0"/>
    <n v="770"/>
    <m/>
    <x v="2"/>
    <m/>
    <m/>
    <x v="0"/>
    <m/>
    <m/>
    <m/>
    <m/>
    <m/>
    <x v="2"/>
    <s v="0-770"/>
    <x v="0"/>
    <x v="0"/>
    <s v="ADSS 48C_770"/>
    <e v="#N/A"/>
    <s v="ADSS 48C770_1"/>
    <e v="#N/A"/>
  </r>
  <r>
    <s v="051"/>
    <s v="D-004-2000m"/>
    <m/>
    <x v="0"/>
    <s v="INB-W0012503-156"/>
    <x v="0"/>
    <s v="Oka-0813-2707-1646"/>
    <d v="2025-03-21T00:00:00"/>
    <d v="1899-12-30T18:50:00"/>
    <s v="FIELD TEAM"/>
    <x v="0"/>
    <x v="3"/>
    <s v="ZTE2004"/>
    <x v="0"/>
    <n v="2000"/>
    <s v="MF51-06"/>
    <x v="23"/>
    <m/>
    <m/>
    <x v="0"/>
    <m/>
    <m/>
    <m/>
    <m/>
    <s v="0-2000"/>
    <x v="18"/>
    <s v="0-2000"/>
    <x v="0"/>
    <x v="5"/>
    <s v="ADSS 144C_2000"/>
    <e v="#N/A"/>
    <s v="ADSS 144C2000_1"/>
    <e v="#N/A"/>
  </r>
  <r>
    <s v="052"/>
    <s v="P74-002-1"/>
    <m/>
    <x v="0"/>
    <s v="INB-W0012507-669"/>
    <x v="0"/>
    <s v="Oka-0813-2707-1646"/>
    <d v="2025-07-16T00:00:00"/>
    <d v="1899-12-30T11:14:00"/>
    <s v="FIELD TEAM"/>
    <x v="0"/>
    <x v="4"/>
    <s v="ZTE1001"/>
    <x v="1"/>
    <n v="1"/>
    <s v="MF51-03"/>
    <x v="24"/>
    <m/>
    <m/>
    <x v="1"/>
    <s v="Riki Romansyah"/>
    <n v="0"/>
    <s v="3507050501950006"/>
    <s v="N 8420 EL"/>
    <s v="insiden"/>
    <x v="2"/>
    <m/>
    <x v="0"/>
    <x v="7"/>
    <s v="Pole 7M 4&quot;_1"/>
    <e v="#N/A"/>
    <s v="Pole 7M 4&quot;1_1"/>
    <s v="Pole 7M 4&quot;1_-1"/>
  </r>
  <r>
    <s v="053"/>
    <s v="A-029-150m"/>
    <m/>
    <x v="0"/>
    <s v="INB-W0012507-167"/>
    <x v="0"/>
    <s v="Oka-0813-2707-1646"/>
    <d v="2025-07-18T00:00:00"/>
    <d v="1899-12-30T11:14:00"/>
    <s v="FIELD TEAM"/>
    <x v="0"/>
    <x v="1"/>
    <s v="ZTE2001"/>
    <x v="0"/>
    <n v="150"/>
    <s v="CLR51-99-101"/>
    <x v="25"/>
    <m/>
    <m/>
    <x v="0"/>
    <s v="Riki Romansyah"/>
    <m/>
    <m/>
    <m/>
    <m/>
    <x v="2"/>
    <s v="0-150"/>
    <x v="0"/>
    <x v="2"/>
    <s v="ADSS 24C_150"/>
    <s v="ADSS 24C_150"/>
    <s v="ADSS 24C150_1"/>
    <e v="#N/A"/>
  </r>
  <r>
    <s v="054"/>
    <s v="A-030-291m"/>
    <m/>
    <x v="0"/>
    <s v="INB-W0012507-167"/>
    <x v="0"/>
    <s v="Oka-0813-2707-1646"/>
    <d v="2025-07-18T00:00:00"/>
    <d v="1899-12-30T11:14:00"/>
    <s v="FIELD TEAM"/>
    <x v="1"/>
    <x v="1"/>
    <s v="ZTE2001"/>
    <x v="0"/>
    <n v="291"/>
    <m/>
    <x v="2"/>
    <m/>
    <m/>
    <x v="0"/>
    <s v="Riki Romansyah"/>
    <m/>
    <m/>
    <m/>
    <m/>
    <x v="2"/>
    <s v="445-736"/>
    <x v="0"/>
    <x v="4"/>
    <s v="ADSS 24C_291"/>
    <s v="ADSS 24C_291"/>
    <s v="ADSS 24C291_1"/>
    <e v="#N/A"/>
  </r>
  <r>
    <s v="055"/>
    <s v="A-031-75m"/>
    <m/>
    <x v="0"/>
    <s v="INB-W0012507-167"/>
    <x v="0"/>
    <s v="Oka-0813-2707-1646"/>
    <d v="2025-07-18T00:00:00"/>
    <d v="1899-12-30T11:14:00"/>
    <s v="FIELD TEAM"/>
    <x v="1"/>
    <x v="1"/>
    <s v="ZTE2001"/>
    <x v="0"/>
    <n v="75"/>
    <m/>
    <x v="2"/>
    <m/>
    <m/>
    <x v="0"/>
    <s v="Riki Romansyah"/>
    <m/>
    <m/>
    <m/>
    <m/>
    <x v="2"/>
    <s v="695-770"/>
    <x v="0"/>
    <x v="3"/>
    <s v="ADSS 24C_75"/>
    <s v="ADSS 24C_75"/>
    <s v="ADSS 24C75_1"/>
    <e v="#N/A"/>
  </r>
  <r>
    <s v="056"/>
    <s v="B-018-100m"/>
    <m/>
    <x v="0"/>
    <s v="INB-W0012507-167"/>
    <x v="0"/>
    <s v="Oka-0813-2707-1646"/>
    <d v="2025-07-18T00:00:00"/>
    <d v="1899-12-30T11:14:00"/>
    <s v="FIELD TEAM"/>
    <x v="1"/>
    <x v="0"/>
    <s v="ZTE2003"/>
    <x v="0"/>
    <n v="100"/>
    <m/>
    <x v="2"/>
    <m/>
    <m/>
    <x v="0"/>
    <m/>
    <m/>
    <m/>
    <m/>
    <m/>
    <x v="2"/>
    <s v="0-100"/>
    <x v="0"/>
    <x v="3"/>
    <s v="ADSS 48C_100"/>
    <s v="ADSS 48C_100"/>
    <s v="ADSS 48C100_1"/>
    <e v="#N/A"/>
  </r>
  <r>
    <s v="057"/>
    <s v="B-019-91m"/>
    <m/>
    <x v="0"/>
    <s v="INB-W0012507-167"/>
    <x v="0"/>
    <s v="Oka-0813-2707-1646"/>
    <d v="2025-07-18T00:00:00"/>
    <d v="1899-12-30T11:14:00"/>
    <s v="FIELD TEAM"/>
    <x v="1"/>
    <x v="0"/>
    <s v="ZTE2003"/>
    <x v="0"/>
    <n v="91"/>
    <m/>
    <x v="2"/>
    <m/>
    <m/>
    <x v="0"/>
    <m/>
    <m/>
    <m/>
    <m/>
    <m/>
    <x v="2"/>
    <s v="0-91"/>
    <x v="0"/>
    <x v="3"/>
    <s v="ADSS 48C_91"/>
    <e v="#N/A"/>
    <s v="ADSS 48C91_1"/>
    <e v="#N/A"/>
  </r>
  <r>
    <s v="058"/>
    <s v="B-020-57m"/>
    <m/>
    <x v="0"/>
    <s v="INB-W0012507-167"/>
    <x v="0"/>
    <s v="Oka-0813-2707-1646"/>
    <d v="2025-07-18T00:00:00"/>
    <d v="1899-12-30T11:14:00"/>
    <s v="FIELD TEAM"/>
    <x v="1"/>
    <x v="0"/>
    <s v="ZTE2003"/>
    <x v="0"/>
    <n v="57"/>
    <m/>
    <x v="2"/>
    <m/>
    <m/>
    <x v="0"/>
    <s v="Riki Romansyah"/>
    <m/>
    <m/>
    <m/>
    <m/>
    <x v="2"/>
    <s v="0-57"/>
    <x v="0"/>
    <x v="3"/>
    <s v="ADSS 48C_57"/>
    <e v="#N/A"/>
    <s v="ADSS 48C57_1"/>
    <e v="#N/A"/>
  </r>
  <r>
    <s v="059"/>
    <s v="B-021-49m"/>
    <m/>
    <x v="0"/>
    <s v="INB-W0012507-167"/>
    <x v="0"/>
    <s v="Oka-0813-2707-1646"/>
    <d v="2025-07-18T00:00:00"/>
    <d v="1899-12-30T11:14:00"/>
    <s v="FIELD TEAM"/>
    <x v="1"/>
    <x v="0"/>
    <s v="ZTE2003"/>
    <x v="0"/>
    <n v="49"/>
    <m/>
    <x v="2"/>
    <m/>
    <m/>
    <x v="0"/>
    <m/>
    <m/>
    <m/>
    <m/>
    <m/>
    <x v="2"/>
    <s v="2886-2935"/>
    <x v="0"/>
    <x v="3"/>
    <s v="ADSS 48C_49"/>
    <e v="#N/A"/>
    <s v="ADSS 48C49_1"/>
    <e v="#N/A"/>
  </r>
  <r>
    <s v="060"/>
    <s v="A-032-500m"/>
    <m/>
    <x v="0"/>
    <s v="INB-W0012508-172"/>
    <x v="0"/>
    <s v="Oka-0813-2707-1646"/>
    <d v="2025-08-07T00:00:00"/>
    <d v="1899-12-30T11:21:00"/>
    <s v="FIELD TEAM"/>
    <x v="0"/>
    <x v="1"/>
    <s v="ZTE2001"/>
    <x v="0"/>
    <n v="500"/>
    <s v="CLR51-99-250"/>
    <x v="26"/>
    <m/>
    <m/>
    <x v="0"/>
    <s v="Riki Romansyah"/>
    <n v="0"/>
    <s v="3507050501950006"/>
    <s v="N 8420 EL"/>
    <s v="0-500"/>
    <x v="2"/>
    <s v="0-500"/>
    <x v="0"/>
    <x v="0"/>
    <s v="ADSS 24C_500"/>
    <s v="ADSS 24C_500"/>
    <s v="ADSS 24C500_1"/>
    <s v="ADSS 24C500_-1"/>
  </r>
  <r>
    <s v="061"/>
    <s v="B-022-44m"/>
    <m/>
    <x v="0"/>
    <s v="INB-W0012508-172"/>
    <x v="0"/>
    <s v="Oka-0813-2707-1646"/>
    <d v="2025-08-07T00:00:00"/>
    <d v="1899-12-30T11:21:00"/>
    <s v="FIELD TEAM"/>
    <x v="1"/>
    <x v="0"/>
    <s v="ZTE2003"/>
    <x v="0"/>
    <n v="44"/>
    <m/>
    <x v="2"/>
    <m/>
    <m/>
    <x v="0"/>
    <m/>
    <m/>
    <m/>
    <m/>
    <m/>
    <x v="2"/>
    <s v="2956-3000"/>
    <x v="0"/>
    <x v="3"/>
    <s v="ADSS 48C_44"/>
    <s v="ADSS 48C_44"/>
    <s v="ADSS 48C44_1"/>
    <e v="#N/A"/>
  </r>
  <r>
    <s v="062"/>
    <s v="B-023-4m"/>
    <m/>
    <x v="0"/>
    <s v="INB-W0012508-172"/>
    <x v="0"/>
    <s v="Oka-0813-2707-1646"/>
    <d v="2025-08-07T00:00:00"/>
    <d v="1899-12-30T11:21:00"/>
    <s v="FIELD TEAM"/>
    <x v="1"/>
    <x v="0"/>
    <s v="ZTE2003"/>
    <x v="0"/>
    <n v="4"/>
    <m/>
    <x v="2"/>
    <m/>
    <m/>
    <x v="0"/>
    <m/>
    <m/>
    <m/>
    <m/>
    <m/>
    <x v="2"/>
    <s v="242-246"/>
    <x v="0"/>
    <x v="3"/>
    <s v="ADSS 48C_4"/>
    <e v="#N/A"/>
    <s v="ADSS 48C4_1"/>
    <e v="#N/A"/>
  </r>
  <r>
    <s v="063"/>
    <s v="P94-001-1"/>
    <m/>
    <x v="0"/>
    <s v="INB-W0012508-691"/>
    <x v="0"/>
    <s v="Oka-0813-2707-1646"/>
    <d v="2025-08-20T00:00:00"/>
    <d v="1899-12-30T10:35:00"/>
    <s v="FIELD TEAM"/>
    <x v="0"/>
    <x v="5"/>
    <s v="ZTE1003"/>
    <x v="1"/>
    <n v="1"/>
    <s v="CLR51-99-108"/>
    <x v="27"/>
    <m/>
    <m/>
    <x v="1"/>
    <s v="Riki Romansyah"/>
    <n v="0"/>
    <s v="3507050501950006"/>
    <s v="N 8420 EL"/>
    <s v="insiden"/>
    <x v="2"/>
    <m/>
    <x v="0"/>
    <x v="7"/>
    <s v="Pole 9M_1"/>
    <e v="#N/A"/>
    <s v="Pole 9M1_1"/>
    <e v="#N/A"/>
  </r>
  <r>
    <s v="064"/>
    <s v="D-005-575m"/>
    <n v="1"/>
    <x v="2"/>
    <s v="OUB-W0012509-001"/>
    <x v="0"/>
    <s v="Oka-0813-2707-1646"/>
    <d v="2025-09-03T00:00:00"/>
    <d v="1899-12-30T17:23:30"/>
    <s v="EJ Malang-01"/>
    <x v="0"/>
    <x v="3"/>
    <s v="ZTE2004"/>
    <x v="0"/>
    <n v="575"/>
    <s v="MF51-05"/>
    <x v="28"/>
    <s v="DOEID240918BZ"/>
    <s v="DNWID0342024091808"/>
    <x v="2"/>
    <m/>
    <m/>
    <m/>
    <m/>
    <m/>
    <x v="18"/>
    <m/>
    <x v="1"/>
    <x v="0"/>
    <s v="ADSS 144C_575"/>
    <e v="#N/A"/>
    <s v="ADSS 144C575_-1"/>
    <e v="#N/A"/>
  </r>
  <r>
    <s v="065"/>
    <s v="D-006-685m"/>
    <n v="1"/>
    <x v="2"/>
    <s v="OUB-W0012509-003"/>
    <x v="0"/>
    <s v="Oka-0813-2707-1646"/>
    <d v="2025-09-20T00:00:00"/>
    <d v="1899-12-30T16:10:52"/>
    <s v="EJ Malang-01"/>
    <x v="0"/>
    <x v="3"/>
    <s v="ZTE2004"/>
    <x v="0"/>
    <n v="685"/>
    <s v="MF51-05"/>
    <x v="28"/>
    <s v="DOEID240918BZ"/>
    <s v="DNWID0342024091808"/>
    <x v="2"/>
    <s v="Sumarsono"/>
    <m/>
    <s v="3524052005940001"/>
    <s v="L 9355 BD"/>
    <m/>
    <x v="18"/>
    <m/>
    <x v="1"/>
    <x v="0"/>
    <s v="ADSS 144C_685"/>
    <e v="#N/A"/>
    <s v="ADSS 144C685_-1"/>
    <e v="#N/A"/>
  </r>
  <r>
    <s v="066"/>
    <s v="D-007-375m"/>
    <n v="1"/>
    <x v="2"/>
    <s v="OUB-W0012509-002"/>
    <x v="0"/>
    <s v="Oka-0813-2707-1646"/>
    <d v="2025-09-20T00:00:00"/>
    <d v="1899-12-30T16:10:52"/>
    <s v="EJ Malang-01"/>
    <x v="1"/>
    <x v="3"/>
    <s v="ZTE2004"/>
    <x v="0"/>
    <n v="375"/>
    <s v="MF51-05"/>
    <x v="28"/>
    <s v="DOEID240918BZ"/>
    <s v="DNWID0342024091808"/>
    <x v="2"/>
    <s v="Riki Romansyah"/>
    <n v="0"/>
    <s v="3507050501950006"/>
    <s v="N 8420 EL"/>
    <m/>
    <x v="18"/>
    <m/>
    <x v="1"/>
    <x v="4"/>
    <s v="ADSS 144C_375"/>
    <e v="#N/A"/>
    <s v="ADSS 144C375_-1"/>
    <e v="#N/A"/>
  </r>
  <r>
    <s v="067"/>
    <s v="B-024-1500m"/>
    <n v="2"/>
    <x v="0"/>
    <s v="INB-W0012510-001"/>
    <x v="0"/>
    <s v="Oka-0813-2707-1646"/>
    <d v="2025-10-16T00:00:00"/>
    <d v="1899-12-30T11:10:00"/>
    <s v="FIELD TEAM"/>
    <x v="0"/>
    <x v="0"/>
    <s v="ZTE2003"/>
    <x v="0"/>
    <n v="1500"/>
    <s v="CLR51-99-370"/>
    <x v="29"/>
    <m/>
    <m/>
    <x v="2"/>
    <s v="Riki Romansyah"/>
    <n v="0"/>
    <s v="3507050501950006"/>
    <s v="N 8420 EL"/>
    <m/>
    <x v="2"/>
    <m/>
    <x v="0"/>
    <x v="1"/>
    <s v="ADSS 48C_1500"/>
    <e v="#N/A"/>
    <s v="ADSS 48C1500_1"/>
    <s v="ADSS 48C1500_-1"/>
  </r>
  <r>
    <s v="068"/>
    <s v="B-025-1500m"/>
    <n v="2"/>
    <x v="2"/>
    <s v="OUB-W0012510-001"/>
    <x v="0"/>
    <s v="Oka-0813-2707-1646"/>
    <d v="2025-10-16T00:00:00"/>
    <d v="1899-12-30T11:10:00"/>
    <s v="EJ Malang-01"/>
    <x v="0"/>
    <x v="0"/>
    <s v="ZTE2003"/>
    <x v="0"/>
    <n v="1500"/>
    <s v="CLR51-99-257"/>
    <x v="30"/>
    <m/>
    <m/>
    <x v="2"/>
    <s v="Riki Romansyah"/>
    <n v="0"/>
    <s v="3507050501950006"/>
    <s v="N 8420 EL"/>
    <m/>
    <x v="2"/>
    <m/>
    <x v="1"/>
    <x v="1"/>
    <s v="ADSS 48C_1500"/>
    <e v="#N/A"/>
    <s v="ADSS 48C1500_-1"/>
    <e v="#N/A"/>
  </r>
  <r>
    <s v="069"/>
    <s v="A-033-1150m"/>
    <n v="1"/>
    <x v="0"/>
    <s v="INB-W0012510-001"/>
    <x v="0"/>
    <s v="Oka-0813-2707-1646"/>
    <d v="2025-10-16T00:00:00"/>
    <d v="1899-12-30T11:10:00"/>
    <s v="FIELD TEAM"/>
    <x v="0"/>
    <x v="1"/>
    <s v="ZTE2001"/>
    <x v="0"/>
    <n v="1150"/>
    <s v="CLR51-99-370"/>
    <x v="29"/>
    <m/>
    <m/>
    <x v="2"/>
    <s v="Riki Romansyah"/>
    <n v="0"/>
    <s v="3507050501950006"/>
    <s v="N 8420 EL"/>
    <m/>
    <x v="2"/>
    <m/>
    <x v="0"/>
    <x v="6"/>
    <s v="ADSS 24C_1150"/>
    <e v="#N/A"/>
    <s v="ADSS 24C1150_1"/>
    <s v="ADSS 24C1150_-1"/>
  </r>
  <r>
    <s v="070"/>
    <s v="A-034-1150m"/>
    <n v="1"/>
    <x v="2"/>
    <s v="OUB-W0012510-001"/>
    <x v="0"/>
    <s v="Oka-0813-2707-1646"/>
    <d v="2025-10-16T00:00:00"/>
    <d v="1899-12-30T11:10:00"/>
    <s v="EJ Malang-01"/>
    <x v="0"/>
    <x v="1"/>
    <s v="ZTE2001"/>
    <x v="0"/>
    <n v="1150"/>
    <s v="CLR51-99-257"/>
    <x v="30"/>
    <m/>
    <m/>
    <x v="2"/>
    <s v="Riki Romansyah"/>
    <n v="0"/>
    <s v="3507050501950006"/>
    <s v="N 8420 EL"/>
    <m/>
    <x v="2"/>
    <m/>
    <x v="1"/>
    <x v="6"/>
    <s v="ADSS 24C_1150"/>
    <e v="#N/A"/>
    <s v="ADSS 24C1150_-1"/>
    <e v="#N/A"/>
  </r>
  <r>
    <s v="071"/>
    <s v="A-035-925m"/>
    <n v="2"/>
    <x v="0"/>
    <s v="INB-W0012510-005"/>
    <x v="0"/>
    <s v="Oka-0813-2707-1646"/>
    <d v="2025-10-25T00:00:00"/>
    <d v="1899-12-30T16:00:00"/>
    <s v="FIELD TEAM"/>
    <x v="0"/>
    <x v="1"/>
    <s v="ZTE2001"/>
    <x v="0"/>
    <n v="925"/>
    <s v="CLR51-99-301"/>
    <x v="31"/>
    <m/>
    <m/>
    <x v="2"/>
    <s v="Riki Romansyah"/>
    <n v="0"/>
    <s v="3507050501950006"/>
    <s v="N 8420 EL"/>
    <m/>
    <x v="2"/>
    <m/>
    <x v="0"/>
    <x v="0"/>
    <s v="ADSS 24C_925"/>
    <e v="#N/A"/>
    <s v="ADSS 24C925_1"/>
    <s v="ADSS 24C925_-1"/>
  </r>
  <r>
    <s v="072"/>
    <s v="A-036-1350m"/>
    <n v="1"/>
    <x v="0"/>
    <s v="INB-W0012510-005"/>
    <x v="0"/>
    <s v="Oka-0813-2707-1646"/>
    <d v="2025-10-25T00:00:00"/>
    <d v="1899-12-30T16:00:00"/>
    <s v="FIELD TEAM"/>
    <x v="0"/>
    <x v="1"/>
    <s v="ZTE2001"/>
    <x v="0"/>
    <n v="1350"/>
    <s v="CLR51-99-302"/>
    <x v="32"/>
    <m/>
    <m/>
    <x v="2"/>
    <s v="Riki Romansyah"/>
    <n v="0"/>
    <s v="3507050501950006"/>
    <s v="N 8420 EL"/>
    <m/>
    <x v="2"/>
    <m/>
    <x v="0"/>
    <x v="6"/>
    <s v="ADSS 24C_1350"/>
    <e v="#N/A"/>
    <s v="ADSS 24C1350_1"/>
    <s v="ADSS 24C1350_-1"/>
  </r>
  <r>
    <s v="073"/>
    <s v="A-037-925m"/>
    <n v="1"/>
    <x v="2"/>
    <s v="OUB-W0012511-002"/>
    <x v="0"/>
    <s v="Oka-0813-2707-1646"/>
    <d v="2025-11-09T00:00:00"/>
    <d v="1899-12-30T18:00:00"/>
    <s v="EJ Malang-01"/>
    <x v="0"/>
    <x v="1"/>
    <s v="ZTE2001"/>
    <x v="0"/>
    <n v="925"/>
    <s v="CLR51-99-372"/>
    <x v="33"/>
    <m/>
    <m/>
    <x v="0"/>
    <s v="Riki Romansyah"/>
    <n v="0"/>
    <s v="3507050501950006"/>
    <s v="N 8420 EL"/>
    <m/>
    <x v="2"/>
    <m/>
    <x v="1"/>
    <x v="0"/>
    <s v="ADSS 24C_925"/>
    <e v="#N/A"/>
    <s v="ADSS 24C925_-1"/>
    <e v="#N/A"/>
  </r>
  <r>
    <s v="074"/>
    <s v="A-038-1350m"/>
    <n v="1"/>
    <x v="2"/>
    <s v="OUB-W0012511-006"/>
    <x v="0"/>
    <s v="Oka-0813-2707-1646"/>
    <d v="2025-11-22T00:00:00"/>
    <d v="1899-12-30T13:00:00"/>
    <s v="EJ Malang-01"/>
    <x v="0"/>
    <x v="1"/>
    <s v="ZTE2001"/>
    <x v="0"/>
    <n v="1350"/>
    <s v="CLR51-99-375"/>
    <x v="34"/>
    <m/>
    <m/>
    <x v="0"/>
    <s v="Riki Romansyah"/>
    <n v="0"/>
    <s v="3507050501950006"/>
    <s v="N 8420 EL"/>
    <m/>
    <x v="2"/>
    <m/>
    <x v="1"/>
    <x v="6"/>
    <s v="ADSS 24C_1350"/>
    <e v="#N/A"/>
    <s v="ADSS 24C1350_-1"/>
    <e v="#N/A"/>
  </r>
  <r>
    <s v="075"/>
    <s v="B-026-1559m"/>
    <m/>
    <x v="2"/>
    <s v="OUB-W0012311-008"/>
    <x v="0"/>
    <s v="Oka-0813-2707-1646"/>
    <d v="2025-11-28T00:00:00"/>
    <d v="1899-12-30T16:00:00"/>
    <s v="EJ Malang-01"/>
    <x v="0"/>
    <x v="0"/>
    <s v="ZTE2003"/>
    <x v="0"/>
    <n v="1559"/>
    <s v="CLR51-99-026"/>
    <x v="35"/>
    <m/>
    <m/>
    <x v="0"/>
    <m/>
    <m/>
    <m/>
    <m/>
    <m/>
    <x v="9"/>
    <m/>
    <x v="1"/>
    <x v="1"/>
    <s v="ADSS 48C_1559"/>
    <e v="#N/A"/>
    <s v="ADSS 48C1559_-1"/>
    <e v="#N/A"/>
  </r>
  <r>
    <s v="076"/>
    <s v="A-039-175m"/>
    <n v="1"/>
    <x v="0"/>
    <s v="INB-W0012511-004"/>
    <x v="0"/>
    <s v="Oka-0813-2707-1646"/>
    <d v="2025-11-30T00:00:00"/>
    <d v="1899-12-30T16:00:00"/>
    <s v="FIELD TEAM"/>
    <x v="0"/>
    <x v="1"/>
    <s v="ZTE2001"/>
    <x v="0"/>
    <n v="175"/>
    <s v="CLR51-99-375"/>
    <x v="34"/>
    <m/>
    <m/>
    <x v="2"/>
    <s v="Riki Romansyah"/>
    <n v="0"/>
    <s v="3507050501950006"/>
    <s v="N 8420 EL"/>
    <m/>
    <x v="2"/>
    <m/>
    <x v="0"/>
    <x v="2"/>
    <s v="ADSS 24C_175"/>
    <e v="#N/A"/>
    <s v="ADSS 24C175_1"/>
    <s v="ADSS 24C175_-1"/>
  </r>
  <r>
    <s v="077"/>
    <s v="A-040-175m"/>
    <n v="1"/>
    <x v="2"/>
    <s v="OUB-W0012511-008"/>
    <x v="0"/>
    <s v="Oka-0813-2707-1646"/>
    <d v="2025-11-30T00:00:00"/>
    <d v="1899-12-30T16:00:00"/>
    <s v="EJ Malang-01"/>
    <x v="0"/>
    <x v="1"/>
    <s v="ZTE2001"/>
    <x v="0"/>
    <n v="175"/>
    <s v="CLR51-99-302"/>
    <x v="32"/>
    <m/>
    <m/>
    <x v="2"/>
    <s v="Riki Romansyah"/>
    <n v="0"/>
    <s v="3507050501950006"/>
    <s v="N 8420 EL"/>
    <s v="FO CUT"/>
    <x v="2"/>
    <m/>
    <x v="1"/>
    <x v="2"/>
    <s v="ADSS 24C_175"/>
    <e v="#N/A"/>
    <s v="ADSS 24C175_-1"/>
    <e v="#N/A"/>
  </r>
  <r>
    <s v="078"/>
    <s v="C-002-1750m"/>
    <n v="1"/>
    <x v="1"/>
    <s v="TFO-W0012512-001"/>
    <x v="0"/>
    <s v="Oka-0813-2707-1646"/>
    <d v="2025-12-03T00:00:00"/>
    <d v="1899-12-30T18:15:00"/>
    <s v="EJ-Gresik-01"/>
    <x v="0"/>
    <x v="2"/>
    <s v="ZTE2013"/>
    <x v="0"/>
    <n v="1750"/>
    <m/>
    <x v="2"/>
    <m/>
    <m/>
    <x v="0"/>
    <m/>
    <m/>
    <m/>
    <m/>
    <m/>
    <x v="11"/>
    <s v="0-1750"/>
    <x v="1"/>
    <x v="1"/>
    <s v="ADSS 96C_1750"/>
    <e v="#N/A"/>
    <s v="ADSS 96C1750_-1"/>
    <e v="#N/A"/>
  </r>
  <r>
    <s v="079"/>
    <s v="B-027-385m"/>
    <n v="1"/>
    <x v="0"/>
    <s v="INB-W0012512-004"/>
    <x v="0"/>
    <s v="Oka-0813-2707-1646"/>
    <d v="2025-12-15T00:00:00"/>
    <d v="1899-12-30T16:00:00"/>
    <s v="FIELD TEAM"/>
    <x v="1"/>
    <x v="0"/>
    <s v="ZTE2003"/>
    <x v="0"/>
    <n v="385"/>
    <s v="CLR51-99-382"/>
    <x v="36"/>
    <m/>
    <m/>
    <x v="0"/>
    <m/>
    <m/>
    <m/>
    <m/>
    <s v="FDT 1 Sidoayu Line A"/>
    <x v="2"/>
    <m/>
    <x v="0"/>
    <x v="4"/>
    <s v="ADSS 48C_385"/>
    <e v="#N/A"/>
    <s v="ADSS 48C385_1"/>
    <e v="#N/A"/>
  </r>
  <r>
    <s v="080"/>
    <s v="E-001-1000m"/>
    <n v="2"/>
    <x v="0"/>
    <s v="INB-W0012512-004"/>
    <x v="0"/>
    <s v="Oka-0813-2707-1646"/>
    <d v="2025-12-15T00:00:00"/>
    <d v="1899-12-30T16:00:00"/>
    <s v="FIELD TEAM"/>
    <x v="0"/>
    <x v="6"/>
    <s v="ZTE2002"/>
    <x v="0"/>
    <n v="1000"/>
    <s v="CLR51-99-382"/>
    <x v="36"/>
    <m/>
    <m/>
    <x v="0"/>
    <m/>
    <m/>
    <m/>
    <m/>
    <s v="FDT 1 Sidoayu Line B"/>
    <x v="2"/>
    <m/>
    <x v="0"/>
    <x v="6"/>
    <s v="ADSS 36C_1000"/>
    <e v="#N/A"/>
    <s v="ADSS 36C1000_1"/>
    <s v="ADSS 36C1000_-1"/>
  </r>
  <r>
    <s v="081"/>
    <s v="E-002-1100m"/>
    <n v="2"/>
    <x v="0"/>
    <s v="INB-W0012604-001"/>
    <x v="0"/>
    <s v="Oka-0813-2707-1646"/>
    <d v="2025-12-16T00:00:00"/>
    <d v="1899-12-30T16:00:00"/>
    <s v="FIELD TEAM"/>
    <x v="0"/>
    <x v="6"/>
    <s v="ZTE2002"/>
    <x v="0"/>
    <n v="1100"/>
    <m/>
    <x v="2"/>
    <m/>
    <m/>
    <x v="0"/>
    <m/>
    <m/>
    <m/>
    <m/>
    <m/>
    <x v="2"/>
    <m/>
    <x v="0"/>
    <x v="6"/>
    <s v="ADSS 36C_1100"/>
    <s v="ADSS 36C_1100"/>
    <s v="ADSS 36C1100_1"/>
    <e v="#N/A"/>
  </r>
  <r>
    <s v="082"/>
    <s v="E-003-875m"/>
    <n v="2"/>
    <x v="0"/>
    <s v="INB-W0012512-005"/>
    <x v="0"/>
    <s v="Oka-0813-2707-1646"/>
    <d v="2025-12-16T00:00:00"/>
    <d v="1899-12-30T16:00:00"/>
    <s v="FIELD TEAM"/>
    <x v="0"/>
    <x v="6"/>
    <s v="ZTE2002"/>
    <x v="0"/>
    <n v="875"/>
    <s v="CLR51-99-382"/>
    <x v="36"/>
    <m/>
    <m/>
    <x v="0"/>
    <m/>
    <m/>
    <m/>
    <m/>
    <s v="FDT 2 Sidoayu Line B"/>
    <x v="2"/>
    <m/>
    <x v="0"/>
    <x v="0"/>
    <s v="ADSS 36C_875"/>
    <s v="ADSS 36C_875"/>
    <s v="ADSS 36C875_1"/>
    <e v="#N/A"/>
  </r>
  <r>
    <s v="083"/>
    <s v="E-004-1375m"/>
    <n v="1"/>
    <x v="0"/>
    <s v="INB-W0012512-005"/>
    <x v="0"/>
    <s v="Oka-0813-2707-1646"/>
    <d v="2025-12-16T00:00:00"/>
    <d v="1899-12-30T16:00:00"/>
    <s v="FIELD TEAM"/>
    <x v="0"/>
    <x v="6"/>
    <s v="ZTE2002"/>
    <x v="0"/>
    <n v="1375"/>
    <s v="CLR51-99-382"/>
    <x v="36"/>
    <m/>
    <m/>
    <x v="0"/>
    <m/>
    <m/>
    <m/>
    <m/>
    <s v="FDT 2 Sidoayu Line A"/>
    <x v="2"/>
    <m/>
    <x v="0"/>
    <x v="6"/>
    <s v="ADSS 36C_1375"/>
    <e v="#N/A"/>
    <s v="ADSS 36C1375_1"/>
    <s v="ADSS 36C1375_-1"/>
  </r>
  <r>
    <s v="084"/>
    <s v="E-005-1300m"/>
    <n v="3"/>
    <x v="0"/>
    <s v="INB-W0012512-005"/>
    <x v="0"/>
    <s v="Oka-0813-2707-1646"/>
    <d v="2025-12-16T00:00:00"/>
    <d v="1899-12-30T16:00:00"/>
    <s v="FIELD TEAM"/>
    <x v="0"/>
    <x v="6"/>
    <s v="ZTE2002"/>
    <x v="0"/>
    <n v="1300"/>
    <m/>
    <x v="37"/>
    <m/>
    <m/>
    <x v="0"/>
    <m/>
    <m/>
    <m/>
    <m/>
    <s v="Sisa Palaan"/>
    <x v="2"/>
    <m/>
    <x v="0"/>
    <x v="6"/>
    <s v="ADSS 36C_1300"/>
    <e v="#N/A"/>
    <s v="ADSS 36C1300_1"/>
    <s v="ADSS 36C1300_-1"/>
  </r>
  <r>
    <s v="085"/>
    <s v="E-006-1200m"/>
    <n v="3"/>
    <x v="0"/>
    <s v="INB-W0012512-006"/>
    <x v="0"/>
    <s v="Oka-0813-2707-1646"/>
    <d v="2025-12-17T00:00:00"/>
    <d v="1899-12-30T16:00:00"/>
    <s v="FIELD TEAM"/>
    <x v="0"/>
    <x v="6"/>
    <s v="ZTE2002"/>
    <x v="0"/>
    <n v="1200"/>
    <m/>
    <x v="38"/>
    <m/>
    <m/>
    <x v="0"/>
    <m/>
    <m/>
    <m/>
    <m/>
    <s v="FDT 3 Sidoayu Line C"/>
    <x v="2"/>
    <m/>
    <x v="0"/>
    <x v="6"/>
    <s v="ADSS 36C_1200"/>
    <s v="ADSS 36C_1200"/>
    <s v="ADSS 36C1200_1"/>
    <e v="#N/A"/>
  </r>
  <r>
    <s v="086"/>
    <s v="A-041-500m"/>
    <n v="1"/>
    <x v="0"/>
    <s v="INB-W0012512-008"/>
    <x v="0"/>
    <s v="Oka-0813-2707-1646"/>
    <d v="2025-12-18T00:00:00"/>
    <d v="1899-12-30T16:00:00"/>
    <s v="FIELD TEAM"/>
    <x v="0"/>
    <x v="1"/>
    <s v="ZTE2001"/>
    <x v="0"/>
    <n v="500"/>
    <s v="CLR51-99-382"/>
    <x v="36"/>
    <m/>
    <m/>
    <x v="0"/>
    <s v="Riki Romansyah"/>
    <n v="0"/>
    <s v="3507050501950006"/>
    <s v="N 8420 EL"/>
    <s v="Sisa Sidoayu FDT3"/>
    <x v="2"/>
    <m/>
    <x v="0"/>
    <x v="0"/>
    <s v="ADSS 24C_500"/>
    <s v="ADSS 24C_500"/>
    <s v="ADSS 24C500_1"/>
    <s v="ADSS 24C500_-1"/>
  </r>
  <r>
    <s v="087"/>
    <s v="E-007-1300m"/>
    <n v="2"/>
    <x v="2"/>
    <s v="OUB-W0012512-014"/>
    <x v="0"/>
    <s v="Oka-0813-2707-1646"/>
    <d v="2025-12-20T00:00:00"/>
    <d v="1899-12-30T08:00:00"/>
    <s v="EJ Malang-01"/>
    <x v="0"/>
    <x v="6"/>
    <s v="ZTE2002"/>
    <x v="0"/>
    <n v="1300"/>
    <s v="CLR51-99-381"/>
    <x v="39"/>
    <m/>
    <m/>
    <x v="0"/>
    <m/>
    <m/>
    <m/>
    <m/>
    <s v="fdt2 ardirejo line c"/>
    <x v="2"/>
    <m/>
    <x v="1"/>
    <x v="6"/>
    <s v="ADSS 36C_1300"/>
    <e v="#N/A"/>
    <s v="ADSS 36C1300_-1"/>
    <e v="#N/A"/>
  </r>
  <r>
    <s v="088"/>
    <s v="E-008-450m"/>
    <n v="1"/>
    <x v="0"/>
    <s v="INB-W0012512-009"/>
    <x v="0"/>
    <s v="Oka-0813-2707-1646"/>
    <d v="2025-12-21T00:00:00"/>
    <d v="1899-12-30T16:00:00"/>
    <s v="FIELD TEAM"/>
    <x v="1"/>
    <x v="6"/>
    <s v="ZTE2002"/>
    <x v="0"/>
    <n v="450"/>
    <s v="CLR51-99-381"/>
    <x v="39"/>
    <m/>
    <m/>
    <x v="0"/>
    <m/>
    <m/>
    <m/>
    <m/>
    <s v="FDT 4 Ardirejo Line C"/>
    <x v="2"/>
    <m/>
    <x v="0"/>
    <x v="4"/>
    <s v="ADSS 36C_450"/>
    <e v="#N/A"/>
    <s v="ADSS 36C450_1"/>
    <e v="#N/A"/>
  </r>
  <r>
    <s v="089"/>
    <s v="E-009-275m"/>
    <n v="1"/>
    <x v="0"/>
    <s v="INB-W0012512-009"/>
    <x v="0"/>
    <s v="Oka-0813-2707-1646"/>
    <d v="2025-12-21T00:00:00"/>
    <d v="1899-12-30T16:00:00"/>
    <s v="FIELD TEAM"/>
    <x v="0"/>
    <x v="6"/>
    <s v="ZTE2002"/>
    <x v="0"/>
    <n v="275"/>
    <s v="CLR51-99-381"/>
    <x v="39"/>
    <m/>
    <m/>
    <x v="0"/>
    <s v="Riki Romansyah"/>
    <s v="Suliadi"/>
    <s v="3507050501950006"/>
    <s v="N 8420 EL"/>
    <s v="FDT 3 Ardirejo Line C"/>
    <x v="2"/>
    <s v="0-275"/>
    <x v="0"/>
    <x v="4"/>
    <s v="ADSS 36C_275"/>
    <e v="#N/A"/>
    <s v="ADSS 36C275_1"/>
    <s v="ADSS 36C275_-1"/>
  </r>
  <r>
    <s v="090"/>
    <s v="A-042-1500m"/>
    <n v="2"/>
    <x v="0"/>
    <s v="INB-W0012512-009"/>
    <x v="0"/>
    <s v="Oka-0813-2707-1646"/>
    <d v="2025-12-21T00:00:00"/>
    <d v="1899-12-30T16:00:00"/>
    <s v="FIELD TEAM"/>
    <x v="0"/>
    <x v="1"/>
    <s v="ZTE2001"/>
    <x v="0"/>
    <n v="1500"/>
    <s v="CLR51-99-381"/>
    <x v="39"/>
    <m/>
    <m/>
    <x v="0"/>
    <s v="Riki Romansyah"/>
    <n v="0"/>
    <s v="3507050501950006"/>
    <s v="N 8420 EL"/>
    <s v="FDT 4 Ardirejo Line B"/>
    <x v="2"/>
    <m/>
    <x v="0"/>
    <x v="1"/>
    <s v="ADSS 24C_1500"/>
    <e v="#N/A"/>
    <s v="ADSS 24C1500_1"/>
    <s v="ADSS 24C1500_-1"/>
  </r>
  <r>
    <s v="091"/>
    <s v="A-043-1500m"/>
    <n v="2"/>
    <x v="0"/>
    <s v="INB-W0012601-002"/>
    <x v="0"/>
    <s v="Oka-0813-2707-1646"/>
    <d v="2025-12-21T00:00:00"/>
    <d v="1899-12-30T16:00:00"/>
    <s v="FIELD TEAM"/>
    <x v="0"/>
    <x v="1"/>
    <s v="ZTE2001"/>
    <x v="0"/>
    <n v="1500"/>
    <m/>
    <x v="40"/>
    <m/>
    <m/>
    <x v="0"/>
    <s v="Riki Romansyah"/>
    <n v="0"/>
    <s v="3507050501950006"/>
    <s v="N 8420 EL"/>
    <s v="sf bonangung"/>
    <x v="2"/>
    <m/>
    <x v="0"/>
    <x v="1"/>
    <s v="ADSS 24C_1500"/>
    <e v="#N/A"/>
    <s v="ADSS 24C1500_1"/>
    <s v="ADSS 24C1500_-1"/>
  </r>
  <r>
    <s v="092"/>
    <s v="A-044-500m"/>
    <n v="2"/>
    <x v="2"/>
    <s v="OUB-W0012512-022"/>
    <x v="0"/>
    <s v="Oka-0813-2707-1646"/>
    <d v="2025-12-24T00:00:00"/>
    <d v="1899-12-30T08:00:00"/>
    <s v="EJ Malang-01"/>
    <x v="0"/>
    <x v="1"/>
    <s v="ZTE2001"/>
    <x v="0"/>
    <n v="500"/>
    <s v="CLR51-99-381"/>
    <x v="39"/>
    <m/>
    <m/>
    <x v="0"/>
    <s v="Riki Romansyah"/>
    <n v="0"/>
    <s v="3507050501950006"/>
    <s v="N 8420 EL"/>
    <s v="SF FDT 4 ardirejo"/>
    <x v="2"/>
    <m/>
    <x v="1"/>
    <x v="0"/>
    <s v="ADSS 24C_500"/>
    <s v="ADSS 24C_500"/>
    <s v="ADSS 24C500_-1"/>
    <e v="#N/A"/>
  </r>
  <r>
    <s v="093"/>
    <s v="A-045-1500m"/>
    <n v="1"/>
    <x v="2"/>
    <s v="OUB-W0012512-022"/>
    <x v="0"/>
    <s v="Oka-0813-2707-1646"/>
    <d v="2025-12-24T00:00:00"/>
    <d v="1899-12-30T08:00:00"/>
    <s v="EJ Malang-01"/>
    <x v="0"/>
    <x v="1"/>
    <s v="ZTE2001"/>
    <x v="0"/>
    <n v="1500"/>
    <s v="CLR51-99-381"/>
    <x v="39"/>
    <m/>
    <m/>
    <x v="0"/>
    <s v="Riki Romansyah"/>
    <n v="0"/>
    <s v="3507050501950006"/>
    <s v="N 8420 EL"/>
    <s v="FDT1 ardirejo Line D"/>
    <x v="2"/>
    <m/>
    <x v="1"/>
    <x v="1"/>
    <s v="ADSS 24C_1500"/>
    <e v="#N/A"/>
    <s v="ADSS 24C1500_-1"/>
    <e v="#N/A"/>
  </r>
  <r>
    <s v="094"/>
    <s v="A-046-215m"/>
    <n v="1"/>
    <x v="2"/>
    <s v="OUB-W0012601-001"/>
    <x v="0"/>
    <s v="Oka-0813-2707-1646"/>
    <d v="2026-01-13T00:00:00"/>
    <d v="1899-12-30T10:32:00"/>
    <s v="EJ Malang-01"/>
    <x v="0"/>
    <x v="1"/>
    <s v="ZTE2001"/>
    <x v="0"/>
    <n v="215"/>
    <s v="CLR51-99-381"/>
    <x v="39"/>
    <m/>
    <m/>
    <x v="2"/>
    <s v="Riki Romansyah"/>
    <n v="0"/>
    <s v="3507050501950006"/>
    <s v="N 8420 EL"/>
    <m/>
    <x v="2"/>
    <s v="0-215"/>
    <x v="1"/>
    <x v="4"/>
    <s v="ADSS 24C_215"/>
    <e v="#N/A"/>
    <s v="ADSS 24C215_-1"/>
    <e v="#N/A"/>
  </r>
  <r>
    <s v="095"/>
    <s v="E-010-275m"/>
    <n v="1"/>
    <x v="2"/>
    <s v="OUB-W0012601-004"/>
    <x v="0"/>
    <s v="Oka-0813-2707-1646"/>
    <d v="2026-01-23T00:00:00"/>
    <d v="1899-12-30T16:35:00"/>
    <s v="EJ Malang-01"/>
    <x v="0"/>
    <x v="6"/>
    <s v="ZTE2002"/>
    <x v="0"/>
    <n v="275"/>
    <s v="CLR44-99-155"/>
    <x v="41"/>
    <s v="DOEID260115MQ"/>
    <s v="DNWID1382026011602"/>
    <x v="0"/>
    <s v="Riki Romansyah"/>
    <s v="Suliadi"/>
    <s v="3507050501950006"/>
    <s v="N 8420 EL"/>
    <m/>
    <x v="2"/>
    <s v="0-275"/>
    <x v="1"/>
    <x v="4"/>
    <s v="ADSS 36C_275"/>
    <e v="#N/A"/>
    <s v="ADSS 36C275_-1"/>
    <e v="#N/A"/>
  </r>
  <r>
    <s v="096"/>
    <s v="D-008-150m"/>
    <n v="1"/>
    <x v="2"/>
    <s v="OUB-W0012602-001"/>
    <x v="0"/>
    <s v="Oka-0813-2707-1646"/>
    <d v="2026-02-18T00:00:00"/>
    <d v="1899-12-30T16:10:52"/>
    <s v="EJ Malang-01"/>
    <x v="0"/>
    <x v="3"/>
    <s v="ZTE2004"/>
    <x v="0"/>
    <n v="150"/>
    <s v="MF51-05"/>
    <x v="28"/>
    <m/>
    <m/>
    <x v="0"/>
    <m/>
    <m/>
    <m/>
    <m/>
    <m/>
    <x v="14"/>
    <m/>
    <x v="1"/>
    <x v="2"/>
    <s v="ADSS 144C_150"/>
    <s v="ADSS 144C_150"/>
    <s v="ADSS 144C150_-1"/>
    <e v="#N/A"/>
  </r>
  <r>
    <s v="097"/>
    <s v="A-047-1500m"/>
    <n v="1"/>
    <x v="2"/>
    <s v="OUB-W0012603-002"/>
    <x v="0"/>
    <s v="Oka-0813-2707-1646"/>
    <d v="2026-03-09T00:00:00"/>
    <d v="1899-12-30T08:00:00"/>
    <s v="EJ Malang-01"/>
    <x v="0"/>
    <x v="1"/>
    <s v="ZTE2001"/>
    <x v="0"/>
    <n v="1500"/>
    <s v="CLR51-99-385"/>
    <x v="42"/>
    <m/>
    <m/>
    <x v="0"/>
    <s v="Riki Romansyah"/>
    <n v="0"/>
    <s v="3507050501950006"/>
    <s v="N 8420 EL"/>
    <m/>
    <x v="2"/>
    <m/>
    <x v="1"/>
    <x v="1"/>
    <s v="ADSS 24C_1500"/>
    <e v="#N/A"/>
    <s v="ADSS 24C1500_-1"/>
    <e v="#N/A"/>
  </r>
  <r>
    <s v="098"/>
    <s v="E-011-1000m"/>
    <n v="1"/>
    <x v="2"/>
    <s v="OUB-W0012603-003"/>
    <x v="0"/>
    <s v="Oka-0813-2707-1646"/>
    <d v="2026-03-10T00:00:00"/>
    <d v="1899-12-30T08:00:00"/>
    <s v="EJ Malang-01"/>
    <x v="0"/>
    <x v="6"/>
    <s v="ZTE2002"/>
    <x v="0"/>
    <n v="1000"/>
    <s v="CLR51-99-385"/>
    <x v="42"/>
    <m/>
    <m/>
    <x v="0"/>
    <m/>
    <m/>
    <m/>
    <m/>
    <m/>
    <x v="2"/>
    <m/>
    <x v="1"/>
    <x v="6"/>
    <s v="ADSS 36C_1000"/>
    <e v="#N/A"/>
    <s v="ADSS 36C1000_-1"/>
    <e v="#N/A"/>
  </r>
  <r>
    <s v="099"/>
    <s v="A-048-350m"/>
    <m/>
    <x v="2"/>
    <s v="OUB-W0012603-005"/>
    <x v="0"/>
    <s v="Oka-0813-2707-1646"/>
    <d v="2026-03-14T00:00:00"/>
    <d v="1899-12-30T19:00:00"/>
    <s v="EJ Malang-01"/>
    <x v="0"/>
    <x v="1"/>
    <s v="ZTE2001"/>
    <x v="0"/>
    <n v="350"/>
    <s v="CLR51-99-451"/>
    <x v="43"/>
    <m/>
    <m/>
    <x v="0"/>
    <s v="Riki Romansyah"/>
    <n v="0"/>
    <s v="3507050501950006"/>
    <s v="N 8420 EL"/>
    <m/>
    <x v="2"/>
    <m/>
    <x v="1"/>
    <x v="4"/>
    <s v="ADSS 24C_350"/>
    <s v="ADSS 24C_350"/>
    <s v="ADSS 24C350_-1"/>
    <e v="#N/A"/>
  </r>
  <r>
    <s v="100"/>
    <s v="A-049-1000m"/>
    <m/>
    <x v="0"/>
    <s v="INB-W0012603-005"/>
    <x v="0"/>
    <s v="Oka-0813-2707-1646"/>
    <d v="2026-03-16T00:00:00"/>
    <d v="1899-12-30T19:00:00"/>
    <s v="FIELD TEAM"/>
    <x v="0"/>
    <x v="1"/>
    <s v="ZTE2001"/>
    <x v="0"/>
    <n v="1000"/>
    <s v="CLR51-99-447"/>
    <x v="44"/>
    <m/>
    <m/>
    <x v="0"/>
    <s v="Riki Romansyah"/>
    <n v="0"/>
    <s v="3507050501950006"/>
    <s v="N 8420 EL"/>
    <m/>
    <x v="2"/>
    <m/>
    <x v="0"/>
    <x v="6"/>
    <s v="ADSS 24C_1000"/>
    <e v="#N/A"/>
    <s v="ADSS 24C1000_1"/>
    <s v="ADSS 24C1000_-1"/>
  </r>
  <r>
    <s v="101"/>
    <s v="P74-003-1"/>
    <m/>
    <x v="2"/>
    <s v="OUB-W0012604-001"/>
    <x v="0"/>
    <s v="Oka-0813-2707-1646"/>
    <d v="2026-04-01T00:00:00"/>
    <d v="1899-12-30T19:00:00"/>
    <s v="EJ Malang-01"/>
    <x v="0"/>
    <x v="4"/>
    <s v="ZTE1001"/>
    <x v="1"/>
    <n v="1"/>
    <m/>
    <x v="2"/>
    <m/>
    <m/>
    <x v="0"/>
    <m/>
    <m/>
    <m/>
    <m/>
    <s v="Broken Pole Take out by MSFO"/>
    <x v="2"/>
    <m/>
    <x v="1"/>
    <x v="7"/>
    <s v="Pole 7M 4&quot;_1"/>
    <e v="#N/A"/>
    <s v="Pole 7M 4&quot;1_-1"/>
    <e v="#N/A"/>
  </r>
  <r>
    <s v="102"/>
    <s v="A-050-114m"/>
    <m/>
    <x v="0"/>
    <s v="INB-W0012604-001"/>
    <x v="0"/>
    <s v="Oka-0813-2707-1646"/>
    <d v="2026-04-21T00:00:00"/>
    <d v="1899-12-30T19:00:00"/>
    <s v="FIELD TEAM"/>
    <x v="1"/>
    <x v="1"/>
    <s v="ZTE2001"/>
    <x v="0"/>
    <n v="114"/>
    <m/>
    <x v="2"/>
    <m/>
    <m/>
    <x v="0"/>
    <m/>
    <m/>
    <m/>
    <m/>
    <m/>
    <x v="2"/>
    <s v=" 684m - 798m"/>
    <x v="0"/>
    <x v="2"/>
    <s v="ADSS 24C_114"/>
    <s v="ADSS 24C_114"/>
    <s v="ADSS 24C114_1"/>
    <e v="#N/A"/>
  </r>
  <r>
    <s v="103"/>
    <s v="A-051-125m"/>
    <m/>
    <x v="0"/>
    <s v="INB-W0012604-001"/>
    <x v="0"/>
    <s v="Oka-0813-2707-1646"/>
    <d v="2026-04-21T00:00:00"/>
    <d v="1899-12-30T19:00:00"/>
    <s v="FIELD TEAM"/>
    <x v="1"/>
    <x v="1"/>
    <s v="ZTE2001"/>
    <x v="0"/>
    <n v="125"/>
    <m/>
    <x v="2"/>
    <m/>
    <m/>
    <x v="0"/>
    <m/>
    <m/>
    <m/>
    <m/>
    <m/>
    <x v="2"/>
    <s v="0m - 125m"/>
    <x v="0"/>
    <x v="2"/>
    <s v="ADSS 24C_125"/>
    <s v="ADSS 24C_125"/>
    <s v="ADSS 24C125_1"/>
    <e v="#N/A"/>
  </r>
  <r>
    <s v="104"/>
    <s v="A-052-162m"/>
    <m/>
    <x v="0"/>
    <s v="INB-W0012604-001"/>
    <x v="0"/>
    <s v="Oka-0813-2707-1646"/>
    <d v="2026-04-21T00:00:00"/>
    <d v="1899-12-30T19:00:00"/>
    <s v="FIELD TEAM"/>
    <x v="1"/>
    <x v="1"/>
    <s v="ZTE2001"/>
    <x v="0"/>
    <n v="162"/>
    <m/>
    <x v="2"/>
    <m/>
    <m/>
    <x v="0"/>
    <m/>
    <m/>
    <m/>
    <m/>
    <m/>
    <x v="2"/>
    <s v=" 496m - 334m"/>
    <x v="0"/>
    <x v="2"/>
    <s v="ADSS 24C_162"/>
    <s v="ADSS 24C_162"/>
    <s v="ADSS 24C162_1"/>
    <e v="#N/A"/>
  </r>
  <r>
    <s v="105"/>
    <s v="A-053-68m"/>
    <m/>
    <x v="0"/>
    <s v="INB-W0012604-001"/>
    <x v="0"/>
    <s v="Oka-0813-2707-1646"/>
    <d v="2026-04-21T00:00:00"/>
    <d v="1899-12-30T19:00:00"/>
    <s v="FIELD TEAM"/>
    <x v="1"/>
    <x v="1"/>
    <s v="ZTE2001"/>
    <x v="0"/>
    <n v="68"/>
    <m/>
    <x v="2"/>
    <m/>
    <m/>
    <x v="0"/>
    <m/>
    <m/>
    <m/>
    <m/>
    <m/>
    <x v="2"/>
    <s v="1329m - 1397m"/>
    <x v="0"/>
    <x v="3"/>
    <s v="ADSS 24C_68"/>
    <s v="ADSS 24C_68"/>
    <s v="ADSS 24C68_1"/>
    <e v="#N/A"/>
  </r>
  <r>
    <s v="106"/>
    <s v="A-054-79m"/>
    <m/>
    <x v="0"/>
    <s v="INB-W0012604-001"/>
    <x v="0"/>
    <s v="Oka-0813-2707-1646"/>
    <d v="2026-04-21T00:00:00"/>
    <d v="1899-12-30T19:00:00"/>
    <s v="FIELD TEAM"/>
    <x v="1"/>
    <x v="1"/>
    <s v="ZTE2001"/>
    <x v="0"/>
    <n v="79"/>
    <m/>
    <x v="2"/>
    <m/>
    <m/>
    <x v="0"/>
    <m/>
    <m/>
    <m/>
    <m/>
    <m/>
    <x v="2"/>
    <s v=" 530m - 451m"/>
    <x v="0"/>
    <x v="3"/>
    <s v="ADSS 24C_79"/>
    <e v="#N/A"/>
    <s v="ADSS 24C79_1"/>
    <e v="#N/A"/>
  </r>
  <r>
    <s v="107"/>
    <s v="A-055-185m"/>
    <m/>
    <x v="0"/>
    <s v="INB-W0012604-001"/>
    <x v="0"/>
    <s v="Oka-0813-2707-1646"/>
    <d v="2026-04-21T00:00:00"/>
    <d v="1899-12-30T19:00:00"/>
    <s v="FIELD TEAM"/>
    <x v="0"/>
    <x v="1"/>
    <s v="ZTE2001"/>
    <x v="0"/>
    <n v="185"/>
    <m/>
    <x v="2"/>
    <m/>
    <m/>
    <x v="0"/>
    <m/>
    <m/>
    <m/>
    <m/>
    <m/>
    <x v="2"/>
    <s v="  0m - 185m"/>
    <x v="0"/>
    <x v="2"/>
    <s v="ADSS 24C_185"/>
    <e v="#N/A"/>
    <s v="ADSS 24C185_1"/>
    <s v="ADSS 24C185_-1"/>
  </r>
  <r>
    <s v="108"/>
    <s v="A-056-1000m"/>
    <m/>
    <x v="2"/>
    <s v="OUB-W0012604-001"/>
    <x v="0"/>
    <s v="Oka-0813-2707-1646"/>
    <d v="2026-04-21T00:00:00"/>
    <d v="1899-12-30T19:00:00"/>
    <s v="EJ Malang-01"/>
    <x v="0"/>
    <x v="1"/>
    <s v="ZTE2001"/>
    <x v="0"/>
    <n v="1000"/>
    <s v="CLR51-99-445"/>
    <x v="45"/>
    <m/>
    <m/>
    <x v="0"/>
    <s v="Riki Romansyah"/>
    <n v="0"/>
    <s v="3507050501950006"/>
    <s v="N 8420 EL"/>
    <m/>
    <x v="2"/>
    <m/>
    <x v="1"/>
    <x v="6"/>
    <s v="ADSS 24C_1000"/>
    <e v="#N/A"/>
    <s v="ADSS 24C1000_-1"/>
    <e v="#N/A"/>
  </r>
  <r>
    <s v="109"/>
    <s v="A-057-500m"/>
    <m/>
    <x v="2"/>
    <s v="OUB-W0012604-002"/>
    <x v="0"/>
    <s v="Oka-0813-2707-1646"/>
    <d v="2026-04-22T00:00:00"/>
    <d v="1899-12-30T19:00:00"/>
    <s v="EJ Malang-01"/>
    <x v="0"/>
    <x v="1"/>
    <s v="ZTE2001"/>
    <x v="0"/>
    <n v="500"/>
    <s v="CLR51-99-445"/>
    <x v="45"/>
    <m/>
    <m/>
    <x v="0"/>
    <s v="Riki Romansyah"/>
    <n v="0"/>
    <s v="3507050501950006"/>
    <s v="N 8420 EL"/>
    <m/>
    <x v="2"/>
    <m/>
    <x v="1"/>
    <x v="0"/>
    <s v="ADSS 24C_500"/>
    <s v="ADSS 24C_500"/>
    <s v="ADSS 24C500_-1"/>
    <e v="#N/A"/>
  </r>
  <r>
    <s v="110"/>
    <s v="A-058-185m"/>
    <m/>
    <x v="2"/>
    <s v="OUB-W0012604-002"/>
    <x v="0"/>
    <s v="Oka-0813-2707-1646"/>
    <d v="2026-04-22T00:00:00"/>
    <d v="1899-12-30T19:00:00"/>
    <s v="EJ Malang-01"/>
    <x v="0"/>
    <x v="1"/>
    <s v="ZTE2001"/>
    <x v="0"/>
    <n v="185"/>
    <s v="CLR51-99-445"/>
    <x v="45"/>
    <m/>
    <m/>
    <x v="0"/>
    <s v="Riki Romansyah"/>
    <n v="0"/>
    <s v="3507050501950006"/>
    <s v="N 8420 EL"/>
    <m/>
    <x v="2"/>
    <m/>
    <x v="1"/>
    <x v="2"/>
    <s v="ADSS 24C_185"/>
    <e v="#N/A"/>
    <s v="ADSS 24C185_-1"/>
    <e v="#N/A"/>
  </r>
  <r>
    <s v="111"/>
    <s v="A-059-1300m"/>
    <m/>
    <x v="0"/>
    <s v="INB-W0012605-003"/>
    <x v="0"/>
    <s v="Oka-0813-2707-1646"/>
    <d v="2026-05-23T00:00:00"/>
    <d v="1899-12-30T08:00:00"/>
    <s v="EJ-MALANG-01"/>
    <x v="0"/>
    <x v="1"/>
    <s v="ZTE2001"/>
    <x v="0"/>
    <n v="1300"/>
    <s v="CLR51-99-658"/>
    <x v="46"/>
    <m/>
    <s v="H-ADSS 24C-2026522-01"/>
    <x v="0"/>
    <m/>
    <m/>
    <m/>
    <m/>
    <m/>
    <x v="19"/>
    <m/>
    <x v="0"/>
    <x v="6"/>
    <s v="ADSS 24C_1300"/>
    <e v="#N/A"/>
    <s v="ADSS 24C1300_1"/>
    <s v="ADSS 24C1300_-1"/>
  </r>
  <r>
    <s v="112"/>
    <s v="A-060-300m"/>
    <m/>
    <x v="0"/>
    <s v="INB-W0012606-002"/>
    <x v="0"/>
    <s v="Oka-0813-2707-1646"/>
    <d v="2026-06-20T00:00:00"/>
    <d v="1899-12-30T08:00:00"/>
    <s v="FIELD TEAM"/>
    <x v="0"/>
    <x v="1"/>
    <s v="ZTE2001"/>
    <x v="0"/>
    <n v="300"/>
    <s v="CLR51-99-483"/>
    <x v="47"/>
    <m/>
    <m/>
    <x v="0"/>
    <s v="Riki Romansyah"/>
    <n v="0"/>
    <s v="3507050501950006"/>
    <s v="N 8420 EL"/>
    <m/>
    <x v="2"/>
    <m/>
    <x v="0"/>
    <x v="4"/>
    <s v="ADSS 24C_300"/>
    <s v="ADSS 24C_300"/>
    <s v="ADSS 24C300_1"/>
    <e v="#N/A"/>
  </r>
  <r>
    <s v="113"/>
    <s v="A-061-850m"/>
    <m/>
    <x v="2"/>
    <s v="OUB-W0012606-001"/>
    <x v="0"/>
    <s v="Oka-0813-2707-1646"/>
    <d v="2026-06-20T00:00:00"/>
    <d v="1899-12-30T08:00:00"/>
    <s v="EJ-MALANG-01"/>
    <x v="0"/>
    <x v="1"/>
    <s v="ZTE2001"/>
    <x v="0"/>
    <n v="850"/>
    <s v="CLR51-99-483"/>
    <x v="47"/>
    <m/>
    <m/>
    <x v="0"/>
    <s v="Riki Romansyah"/>
    <n v="0"/>
    <s v="3507050501950006"/>
    <s v="N 8420 EL"/>
    <m/>
    <x v="2"/>
    <m/>
    <x v="1"/>
    <x v="0"/>
    <s v="ADSS 24C_850"/>
    <e v="#N/A"/>
    <s v="ADSS 24C850_-1"/>
    <e v="#N/A"/>
  </r>
  <r>
    <s v="114"/>
    <s v="E-012-1375m"/>
    <m/>
    <x v="2"/>
    <s v="OUB-W0012606-001"/>
    <x v="0"/>
    <s v="Oka-0813-2707-1646"/>
    <d v="2026-06-20T00:00:00"/>
    <d v="1899-12-30T08:00:00"/>
    <s v="EJ-MALANG-01"/>
    <x v="0"/>
    <x v="6"/>
    <s v="ZTE2002"/>
    <x v="0"/>
    <n v="1375"/>
    <s v="CLR51-99-483"/>
    <x v="47"/>
    <m/>
    <m/>
    <x v="0"/>
    <m/>
    <m/>
    <m/>
    <m/>
    <m/>
    <x v="2"/>
    <m/>
    <x v="1"/>
    <x v="6"/>
    <s v="ADSS 36C_1375"/>
    <e v="#N/A"/>
    <s v="ADSS 36C1375_-1"/>
    <e v="#N/A"/>
  </r>
  <r>
    <s v="115"/>
    <s v="A-062-1000m"/>
    <m/>
    <x v="2"/>
    <s v="OUB-W0012606-001"/>
    <x v="0"/>
    <s v="Oka-0813-2707-1646"/>
    <d v="2026-06-20T00:00:00"/>
    <d v="1899-12-30T08:00:00"/>
    <s v="EJ Malang-01"/>
    <x v="0"/>
    <x v="1"/>
    <s v="ZTE2001"/>
    <x v="0"/>
    <n v="1000"/>
    <s v="CLR51-99-483"/>
    <x v="47"/>
    <m/>
    <s v="H-ADSS 24C-2026522-01"/>
    <x v="0"/>
    <m/>
    <m/>
    <m/>
    <m/>
    <m/>
    <x v="19"/>
    <m/>
    <x v="1"/>
    <x v="6"/>
    <s v="ADSS 24C_1000"/>
    <e v="#N/A"/>
    <s v="ADSS 24C1000_-1"/>
    <e v="#N/A"/>
  </r>
  <r>
    <s v="116"/>
    <s v="A-063-1300m"/>
    <m/>
    <x v="0"/>
    <s v="INB-W0012606-003"/>
    <x v="0"/>
    <s v="Oka-0813-2707-1646"/>
    <d v="2026-06-29T00:00:00"/>
    <d v="1899-12-30T08:00:00"/>
    <s v="FIELD TEAM"/>
    <x v="0"/>
    <x v="1"/>
    <s v="ZTE2001"/>
    <x v="0"/>
    <n v="1300"/>
    <s v="CLR51-99-678"/>
    <x v="48"/>
    <m/>
    <m/>
    <x v="0"/>
    <s v="Riki Romansyah"/>
    <s v="Suliadi"/>
    <s v="3507050501950006"/>
    <s v="N 8420 EL"/>
    <s v="use 1700"/>
    <x v="20"/>
    <s v="0-1300m"/>
    <x v="0"/>
    <x v="6"/>
    <s v="ADSS 24C_1300"/>
    <e v="#N/A"/>
    <s v="ADSS 24C1300_1"/>
    <s v="ADSS 24C1300_-1"/>
  </r>
  <r>
    <s v="117"/>
    <s v="B-028-300m"/>
    <m/>
    <x v="0"/>
    <s v="INB-W0012606-004"/>
    <x v="0"/>
    <s v="Oka-0813-2707-1646"/>
    <d v="2026-06-30T00:00:00"/>
    <d v="1899-12-30T08:00:00"/>
    <s v="FIELD TEAM"/>
    <x v="0"/>
    <x v="0"/>
    <s v="ZTE2003"/>
    <x v="0"/>
    <n v="300"/>
    <s v="CLR51-99-678"/>
    <x v="48"/>
    <m/>
    <m/>
    <x v="0"/>
    <s v="Riki Romansyah"/>
    <s v="Suliadi"/>
    <s v="3507050501950006"/>
    <s v="N 8420 EL"/>
    <s v="use 2700"/>
    <x v="21"/>
    <m/>
    <x v="0"/>
    <x v="4"/>
    <s v="ADSS 48C_300"/>
    <e v="#N/A"/>
    <s v="ADSS 48C300_1"/>
    <e v="#N/A"/>
  </r>
  <r>
    <s v="118"/>
    <s v="A-064-1900m"/>
    <m/>
    <x v="0"/>
    <s v="INB-W0012607-002"/>
    <x v="0"/>
    <s v="Oka-0813-2707-1646"/>
    <d v="2026-07-09T00:00:00"/>
    <d v="1899-12-30T06:00:00"/>
    <s v="FIELD TEAM"/>
    <x v="0"/>
    <x v="1"/>
    <s v="ZTE2001"/>
    <x v="0"/>
    <n v="1900"/>
    <s v="CLR51-99-662"/>
    <x v="49"/>
    <m/>
    <m/>
    <x v="0"/>
    <s v="Riki Romansyah"/>
    <s v="Suliadi"/>
    <s v="3507050501950006"/>
    <s v="N 8420 EL"/>
    <m/>
    <x v="22"/>
    <m/>
    <x v="0"/>
    <x v="1"/>
    <s v="ADSS 24C_1900"/>
    <s v="ADSS 24C_1900"/>
    <s v="ADSS 24C1900_1"/>
    <e v="#N/A"/>
  </r>
  <r>
    <s v="119"/>
    <s v="A-065-1300m"/>
    <m/>
    <x v="2"/>
    <s v="OUB-W0012607-003"/>
    <x v="0"/>
    <s v="Oka-0813-2707-1646"/>
    <d v="2026-07-11T00:00:00"/>
    <d v="1899-12-30T06:00:00"/>
    <s v="EJ-MALANG-01"/>
    <x v="0"/>
    <x v="1"/>
    <s v="ZTE2001"/>
    <x v="0"/>
    <n v="1300"/>
    <s v="CLR51-99-662"/>
    <x v="49"/>
    <m/>
    <m/>
    <x v="0"/>
    <s v="Riki Romansyah"/>
    <s v="Suliadi"/>
    <s v="3507050501950006"/>
    <s v="N 8420 EL"/>
    <m/>
    <x v="20"/>
    <m/>
    <x v="1"/>
    <x v="6"/>
    <s v="ADSS 24C_1300"/>
    <e v="#N/A"/>
    <s v="ADSS 24C1300_-1"/>
    <e v="#N/A"/>
  </r>
  <r>
    <s v="120"/>
    <s v="A-066-500m"/>
    <m/>
    <x v="0"/>
    <s v="INB-W0012607-003"/>
    <x v="0"/>
    <s v="Oka-0813-2707-1646"/>
    <d v="2026-07-18T00:00:00"/>
    <d v="1899-12-30T06:00:00"/>
    <s v="FIELD TEAM"/>
    <x v="0"/>
    <x v="1"/>
    <s v="ZTE2001"/>
    <x v="0"/>
    <n v="500"/>
    <s v="CLR51-99-659"/>
    <x v="50"/>
    <m/>
    <m/>
    <x v="0"/>
    <m/>
    <m/>
    <m/>
    <m/>
    <m/>
    <x v="23"/>
    <m/>
    <x v="0"/>
    <x v="0"/>
    <s v="ADSS 24C_500"/>
    <s v="ADSS 24C_500"/>
    <s v="ADSS 24C500_1"/>
    <s v="ADSS 24C500_-1"/>
  </r>
  <r>
    <s v="121"/>
    <s v="B-029-800m"/>
    <m/>
    <x v="0"/>
    <s v="INB-W0012608-001"/>
    <x v="0"/>
    <s v="Oka-0813-2707-1646"/>
    <d v="2026-08-01T00:00:00"/>
    <d v="1899-12-30T10:35:00"/>
    <s v="FIELD TEAM"/>
    <x v="1"/>
    <x v="0"/>
    <s v="ZTE2003"/>
    <x v="0"/>
    <n v="800"/>
    <m/>
    <x v="2"/>
    <m/>
    <m/>
    <x v="0"/>
    <m/>
    <m/>
    <m/>
    <m/>
    <m/>
    <x v="2"/>
    <m/>
    <x v="0"/>
    <x v="0"/>
    <s v="ADSS 48C_800"/>
    <s v="ADSS 48C_800"/>
    <s v="ADSS 48C800_1"/>
    <e v="#N/A"/>
  </r>
  <r>
    <s v="122"/>
    <s v="B-030-750m"/>
    <m/>
    <x v="0"/>
    <s v="INB-W0012608-001"/>
    <x v="0"/>
    <s v="Oka-0813-2707-1646"/>
    <d v="2026-08-01T00:00:00"/>
    <d v="1899-12-30T10:35:00"/>
    <s v="FIELD TEAM"/>
    <x v="1"/>
    <x v="0"/>
    <s v="ZTE2003"/>
    <x v="0"/>
    <n v="750"/>
    <m/>
    <x v="2"/>
    <m/>
    <m/>
    <x v="0"/>
    <m/>
    <m/>
    <m/>
    <m/>
    <m/>
    <x v="2"/>
    <m/>
    <x v="0"/>
    <x v="0"/>
    <s v="ADSS 48C_750"/>
    <s v="ADSS 48C_750"/>
    <s v="ADSS 48C750_1"/>
    <e v="#N/A"/>
  </r>
  <r>
    <s v="123"/>
    <s v="E-013-550m"/>
    <m/>
    <x v="0"/>
    <s v="INB-W0012608-001"/>
    <x v="0"/>
    <s v="Oka-0813-2707-1646"/>
    <d v="2026-08-01T00:00:00"/>
    <d v="1899-12-30T10:35:00"/>
    <s v="FIELD TEAM"/>
    <x v="1"/>
    <x v="6"/>
    <s v="ZTE2002"/>
    <x v="0"/>
    <n v="550"/>
    <m/>
    <x v="2"/>
    <m/>
    <m/>
    <x v="0"/>
    <m/>
    <m/>
    <m/>
    <m/>
    <m/>
    <x v="2"/>
    <m/>
    <x v="0"/>
    <x v="0"/>
    <s v="ADSS 36C_550"/>
    <s v="ADSS 36C_550"/>
    <s v="ADSS 36C550_1"/>
    <e v="#N/A"/>
  </r>
  <r>
    <s v="124"/>
    <s v="B-031-400m"/>
    <m/>
    <x v="0"/>
    <s v="INB-W0012608-001"/>
    <x v="0"/>
    <s v="Oka-0813-2707-1646"/>
    <d v="2026-08-01T00:00:00"/>
    <d v="1899-12-30T10:35:00"/>
    <s v="FIELD TEAM"/>
    <x v="1"/>
    <x v="0"/>
    <s v="ZTE2003"/>
    <x v="0"/>
    <n v="400"/>
    <m/>
    <x v="2"/>
    <m/>
    <m/>
    <x v="0"/>
    <m/>
    <m/>
    <m/>
    <m/>
    <m/>
    <x v="2"/>
    <m/>
    <x v="0"/>
    <x v="4"/>
    <s v="ADSS 48C_400"/>
    <s v="ADSS 48C_400"/>
    <s v="ADSS 48C400_1"/>
    <e v="#N/A"/>
  </r>
  <r>
    <s v="125"/>
    <s v="D-009-365m"/>
    <m/>
    <x v="0"/>
    <s v="INB-W0012608-001"/>
    <x v="0"/>
    <s v="Oka-0813-2707-1646"/>
    <d v="2026-08-01T00:00:00"/>
    <d v="1899-12-30T10:35:00"/>
    <s v="FIELD TEAM"/>
    <x v="1"/>
    <x v="3"/>
    <s v="ZTE2004"/>
    <x v="0"/>
    <n v="365"/>
    <m/>
    <x v="2"/>
    <m/>
    <m/>
    <x v="0"/>
    <m/>
    <m/>
    <m/>
    <m/>
    <m/>
    <x v="2"/>
    <m/>
    <x v="0"/>
    <x v="4"/>
    <s v="ADSS 144C_365"/>
    <s v="ADSS 144C_365"/>
    <s v="ADSS 144C365_1"/>
    <e v="#N/A"/>
  </r>
  <r>
    <s v="126"/>
    <s v="A-067-290m"/>
    <m/>
    <x v="0"/>
    <s v="INB-W0012608-001"/>
    <x v="0"/>
    <s v="Oka-0813-2707-1646"/>
    <d v="2026-08-01T00:00:00"/>
    <d v="1899-12-30T10:35:00"/>
    <s v="FIELD TEAM"/>
    <x v="1"/>
    <x v="1"/>
    <s v="ZTE2001"/>
    <x v="0"/>
    <n v="290"/>
    <m/>
    <x v="2"/>
    <m/>
    <m/>
    <x v="0"/>
    <m/>
    <m/>
    <m/>
    <m/>
    <m/>
    <x v="2"/>
    <m/>
    <x v="0"/>
    <x v="4"/>
    <s v="ADSS 24C_290"/>
    <s v="ADSS 24C_290"/>
    <s v="ADSS 24C290_1"/>
    <e v="#N/A"/>
  </r>
  <r>
    <s v="127"/>
    <s v="A-068-200m"/>
    <m/>
    <x v="0"/>
    <s v="INB-W0012608-001"/>
    <x v="0"/>
    <s v="Oka-0813-2707-1646"/>
    <d v="2026-08-01T00:00:00"/>
    <d v="1899-12-30T10:35:00"/>
    <s v="FIELD TEAM"/>
    <x v="1"/>
    <x v="1"/>
    <s v="ZTE2001"/>
    <x v="0"/>
    <n v="200"/>
    <m/>
    <x v="2"/>
    <m/>
    <m/>
    <x v="0"/>
    <m/>
    <m/>
    <m/>
    <m/>
    <m/>
    <x v="2"/>
    <m/>
    <x v="0"/>
    <x v="4"/>
    <s v="ADSS 24C_200"/>
    <s v="ADSS 24C_200"/>
    <s v="ADSS 24C200_1"/>
    <e v="#N/A"/>
  </r>
  <r>
    <s v="128"/>
    <s v="E-014-116m"/>
    <m/>
    <x v="0"/>
    <s v="INB-W0012608-001"/>
    <x v="0"/>
    <s v="Oka-0813-2707-1646"/>
    <d v="2026-08-01T00:00:00"/>
    <d v="1899-12-30T10:35:00"/>
    <s v="FIELD TEAM"/>
    <x v="1"/>
    <x v="6"/>
    <s v="ZTE2002"/>
    <x v="0"/>
    <n v="116"/>
    <m/>
    <x v="2"/>
    <m/>
    <m/>
    <x v="0"/>
    <m/>
    <m/>
    <m/>
    <m/>
    <m/>
    <x v="2"/>
    <m/>
    <x v="0"/>
    <x v="2"/>
    <s v="ADSS 36C_116"/>
    <s v="ADSS 36C_116"/>
    <s v="ADSS 36C116_1"/>
    <e v="#N/A"/>
  </r>
  <r>
    <s v="129"/>
    <s v="A-069-95m"/>
    <m/>
    <x v="0"/>
    <s v="INB-W0012608-001"/>
    <x v="0"/>
    <s v="Oka-0813-2707-1646"/>
    <d v="2026-08-01T00:00:00"/>
    <d v="1899-12-30T10:35:00"/>
    <s v="FIELD TEAM"/>
    <x v="1"/>
    <x v="1"/>
    <s v="ZTE2001"/>
    <x v="0"/>
    <n v="95"/>
    <m/>
    <x v="2"/>
    <m/>
    <m/>
    <x v="0"/>
    <m/>
    <m/>
    <m/>
    <m/>
    <m/>
    <x v="2"/>
    <m/>
    <x v="0"/>
    <x v="3"/>
    <s v="ADSS 24C_95"/>
    <s v="ADSS 24C_95"/>
    <s v="ADSS 24C95_1"/>
    <e v="#N/A"/>
  </r>
  <r>
    <s v="130"/>
    <s v="A-070-80m"/>
    <m/>
    <x v="0"/>
    <s v="INB-W0012608-001"/>
    <x v="0"/>
    <s v="Oka-0813-2707-1646"/>
    <d v="2026-08-01T00:00:00"/>
    <d v="1899-12-30T10:35:00"/>
    <s v="FIELD TEAM"/>
    <x v="1"/>
    <x v="1"/>
    <s v="ZTE2001"/>
    <x v="0"/>
    <n v="80"/>
    <m/>
    <x v="2"/>
    <m/>
    <m/>
    <x v="0"/>
    <m/>
    <m/>
    <m/>
    <m/>
    <m/>
    <x v="2"/>
    <m/>
    <x v="0"/>
    <x v="3"/>
    <s v="ADSS 24C_80"/>
    <s v="ADSS 24C_80"/>
    <s v="ADSS 24C80_1"/>
    <e v="#N/A"/>
  </r>
  <r>
    <s v="131"/>
    <s v="B-032-70m"/>
    <m/>
    <x v="0"/>
    <s v="INB-W0012608-001"/>
    <x v="0"/>
    <s v="Oka-0813-2707-1646"/>
    <d v="2026-08-01T00:00:00"/>
    <d v="1899-12-30T10:35:00"/>
    <s v="FIELD TEAM"/>
    <x v="1"/>
    <x v="0"/>
    <s v="ZTE2003"/>
    <x v="0"/>
    <n v="70"/>
    <m/>
    <x v="2"/>
    <m/>
    <m/>
    <x v="0"/>
    <m/>
    <m/>
    <m/>
    <m/>
    <m/>
    <x v="2"/>
    <m/>
    <x v="0"/>
    <x v="3"/>
    <s v="ADSS 48C_70"/>
    <s v="ADSS 48C_70"/>
    <s v="ADSS 48C70_1"/>
    <e v="#N/A"/>
  </r>
  <r>
    <s v="132"/>
    <s v="D-010-60m"/>
    <m/>
    <x v="0"/>
    <s v="INB-W0012608-001"/>
    <x v="0"/>
    <s v="Oka-0813-2707-1646"/>
    <d v="2026-08-01T00:00:00"/>
    <d v="1899-12-30T10:35:00"/>
    <s v="FIELD TEAM"/>
    <x v="1"/>
    <x v="3"/>
    <s v="ZTE2004"/>
    <x v="0"/>
    <n v="60"/>
    <m/>
    <x v="2"/>
    <m/>
    <m/>
    <x v="0"/>
    <m/>
    <m/>
    <m/>
    <m/>
    <m/>
    <x v="2"/>
    <m/>
    <x v="0"/>
    <x v="3"/>
    <s v="ADSS 144C_60"/>
    <s v="ADSS 144C_60"/>
    <s v="ADSS 144C60_1"/>
    <e v="#N/A"/>
  </r>
  <r>
    <s v="133"/>
    <s v="B-033-60m"/>
    <m/>
    <x v="0"/>
    <s v="INB-W0012608-001"/>
    <x v="0"/>
    <s v="Oka-0813-2707-1646"/>
    <d v="2026-08-01T00:00:00"/>
    <d v="1899-12-30T10:35:00"/>
    <s v="FIELD TEAM"/>
    <x v="1"/>
    <x v="0"/>
    <s v="ZTE2003"/>
    <x v="0"/>
    <n v="60"/>
    <m/>
    <x v="2"/>
    <m/>
    <m/>
    <x v="0"/>
    <m/>
    <m/>
    <m/>
    <m/>
    <m/>
    <x v="2"/>
    <m/>
    <x v="0"/>
    <x v="3"/>
    <s v="ADSS 48C_60"/>
    <s v="ADSS 48C_60"/>
    <s v="ADSS 48C60_1"/>
    <e v="#N/A"/>
  </r>
  <r>
    <s v="134"/>
    <s v="B-034-58m"/>
    <m/>
    <x v="0"/>
    <s v="INB-W0012608-001"/>
    <x v="0"/>
    <s v="Oka-0813-2707-1646"/>
    <d v="2026-08-01T00:00:00"/>
    <d v="1899-12-30T10:35:00"/>
    <s v="FIELD TEAM"/>
    <x v="1"/>
    <x v="0"/>
    <s v="ZTE2003"/>
    <x v="0"/>
    <n v="58"/>
    <m/>
    <x v="2"/>
    <m/>
    <m/>
    <x v="0"/>
    <m/>
    <m/>
    <m/>
    <m/>
    <m/>
    <x v="2"/>
    <m/>
    <x v="0"/>
    <x v="3"/>
    <s v="ADSS 48C_58"/>
    <s v="ADSS 48C_58"/>
    <s v="ADSS 48C58_1"/>
    <e v="#N/A"/>
  </r>
  <r>
    <s v="135"/>
    <s v="B-035-58m"/>
    <m/>
    <x v="0"/>
    <s v="INB-W0012608-001"/>
    <x v="0"/>
    <s v="Oka-0813-2707-1646"/>
    <d v="2026-08-01T00:00:00"/>
    <d v="1899-12-30T10:35:00"/>
    <s v="FIELD TEAM"/>
    <x v="1"/>
    <x v="0"/>
    <s v="ZTE2003"/>
    <x v="0"/>
    <n v="58"/>
    <m/>
    <x v="2"/>
    <m/>
    <m/>
    <x v="0"/>
    <m/>
    <m/>
    <m/>
    <m/>
    <m/>
    <x v="2"/>
    <m/>
    <x v="0"/>
    <x v="3"/>
    <s v="ADSS 48C_58"/>
    <s v="ADSS 48C_58"/>
    <s v="ADSS 48C58_1"/>
    <e v="#N/A"/>
  </r>
  <r>
    <s v="136"/>
    <s v="A-071-52m"/>
    <m/>
    <x v="0"/>
    <s v="INB-W0012608-001"/>
    <x v="0"/>
    <s v="Oka-0813-2707-1646"/>
    <d v="2026-08-01T00:00:00"/>
    <d v="1899-12-30T10:35:00"/>
    <s v="FIELD TEAM"/>
    <x v="1"/>
    <x v="1"/>
    <s v="ZTE2001"/>
    <x v="0"/>
    <n v="52"/>
    <m/>
    <x v="2"/>
    <m/>
    <m/>
    <x v="0"/>
    <m/>
    <m/>
    <m/>
    <m/>
    <m/>
    <x v="2"/>
    <m/>
    <x v="0"/>
    <x v="3"/>
    <s v="ADSS 24C_52"/>
    <s v="ADSS 24C_52"/>
    <s v="ADSS 24C52_1"/>
    <e v="#N/A"/>
  </r>
  <r>
    <s v="137"/>
    <s v="A-072-48m"/>
    <m/>
    <x v="0"/>
    <s v="INB-W0012608-001"/>
    <x v="0"/>
    <s v="Oka-0813-2707-1646"/>
    <d v="2026-08-01T00:00:00"/>
    <d v="1899-12-30T10:35:00"/>
    <s v="FIELD TEAM"/>
    <x v="1"/>
    <x v="1"/>
    <s v="ZTE2001"/>
    <x v="0"/>
    <n v="48"/>
    <m/>
    <x v="2"/>
    <m/>
    <m/>
    <x v="0"/>
    <m/>
    <m/>
    <m/>
    <m/>
    <m/>
    <x v="2"/>
    <m/>
    <x v="0"/>
    <x v="3"/>
    <s v="ADSS 24C_48"/>
    <s v="ADSS 24C_48"/>
    <s v="ADSS 24C48_1"/>
    <e v="#N/A"/>
  </r>
  <r>
    <s v="138"/>
    <s v="B-036-35m"/>
    <m/>
    <x v="0"/>
    <s v="INB-W0012608-001"/>
    <x v="0"/>
    <s v="Oka-0813-2707-1646"/>
    <d v="2026-08-01T00:00:00"/>
    <d v="1899-12-30T10:35:00"/>
    <s v="FIELD TEAM"/>
    <x v="1"/>
    <x v="0"/>
    <s v="ZTE2003"/>
    <x v="0"/>
    <n v="35"/>
    <m/>
    <x v="2"/>
    <m/>
    <m/>
    <x v="0"/>
    <m/>
    <m/>
    <m/>
    <m/>
    <m/>
    <x v="2"/>
    <m/>
    <x v="0"/>
    <x v="3"/>
    <s v="ADSS 48C_35"/>
    <s v="ADSS 48C_35"/>
    <s v="ADSS 48C35_1"/>
    <e v="#N/A"/>
  </r>
  <r>
    <s v="139"/>
    <s v="B-037-18m"/>
    <m/>
    <x v="0"/>
    <s v="INB-W0012608-001"/>
    <x v="0"/>
    <s v="Oka-0813-2707-1646"/>
    <d v="2026-08-01T00:00:00"/>
    <d v="1899-12-30T10:35:00"/>
    <s v="FIELD TEAM"/>
    <x v="1"/>
    <x v="0"/>
    <s v="ZTE2003"/>
    <x v="0"/>
    <n v="18"/>
    <m/>
    <x v="2"/>
    <m/>
    <m/>
    <x v="0"/>
    <m/>
    <m/>
    <m/>
    <m/>
    <m/>
    <x v="2"/>
    <m/>
    <x v="0"/>
    <x v="3"/>
    <s v="ADSS 48C_18"/>
    <s v="ADSS 48C_18"/>
    <s v="ADSS 48C18_1"/>
    <e v="#N/A"/>
  </r>
  <r>
    <s v="140"/>
    <s v="B-038-1000m"/>
    <m/>
    <x v="0"/>
    <s v="INB-W0012402-61"/>
    <x v="0"/>
    <s v="Oka-0813-2707-1646"/>
    <d v="2024-02-23T00:00:00"/>
    <d v="1899-12-30T19:00:00"/>
    <s v="FIELD TEAM"/>
    <x v="0"/>
    <x v="0"/>
    <s v="ZTE2003"/>
    <x v="0"/>
    <n v="1000"/>
    <s v="CLR51-99-078"/>
    <x v="51"/>
    <m/>
    <m/>
    <x v="0"/>
    <m/>
    <m/>
    <m/>
    <m/>
    <s v="0-1000"/>
    <x v="2"/>
    <s v="0-1000"/>
    <x v="0"/>
    <x v="6"/>
    <s v="ADSS 48C_1000"/>
    <s v="ADSS 48C_1000"/>
    <s v="ADSS 48C1000_1"/>
    <e v="#N/A"/>
  </r>
  <r>
    <s v="141"/>
    <s v="A-073-1000m"/>
    <m/>
    <x v="2"/>
    <s v="OUB-W0012402-002"/>
    <x v="0"/>
    <s v="Oka-0813-2707-1646"/>
    <d v="2024-02-04T00:00:00"/>
    <d v="1899-12-30T06:00:00"/>
    <s v="FIELD TEAM"/>
    <x v="0"/>
    <x v="1"/>
    <s v="ZTE2001"/>
    <x v="0"/>
    <n v="1000"/>
    <s v="CLR51-99-082"/>
    <x v="52"/>
    <m/>
    <m/>
    <x v="0"/>
    <m/>
    <m/>
    <m/>
    <m/>
    <m/>
    <x v="10"/>
    <m/>
    <x v="1"/>
    <x v="6"/>
    <s v="ADSS 24C_1000"/>
    <e v="#N/A"/>
    <s v="ADSS 24C1000_-1"/>
    <e v="#N/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65">
  <r>
    <x v="0"/>
    <x v="0"/>
    <s v="GCI"/>
    <x v="0"/>
    <x v="0"/>
    <x v="0"/>
    <x v="0"/>
    <x v="0"/>
    <x v="0"/>
    <x v="0"/>
    <n v="3000"/>
  </r>
  <r>
    <x v="1"/>
    <x v="1"/>
    <s v="GCI"/>
    <x v="0"/>
    <x v="0"/>
    <x v="0"/>
    <x v="1"/>
    <x v="1"/>
    <x v="0"/>
    <x v="0"/>
    <n v="3000"/>
  </r>
  <r>
    <x v="0"/>
    <x v="0"/>
    <s v="GCI"/>
    <x v="0"/>
    <x v="0"/>
    <x v="0"/>
    <x v="2"/>
    <x v="2"/>
    <x v="0"/>
    <x v="1"/>
    <n v="24"/>
  </r>
  <r>
    <x v="0"/>
    <x v="0"/>
    <s v="GCI"/>
    <x v="0"/>
    <x v="0"/>
    <x v="0"/>
    <x v="2"/>
    <x v="2"/>
    <x v="0"/>
    <x v="2"/>
    <n v="9"/>
  </r>
  <r>
    <x v="0"/>
    <x v="0"/>
    <s v="GCI"/>
    <x v="0"/>
    <x v="0"/>
    <x v="0"/>
    <x v="2"/>
    <x v="2"/>
    <x v="0"/>
    <x v="3"/>
    <n v="8"/>
  </r>
  <r>
    <x v="2"/>
    <x v="2"/>
    <s v="GCI"/>
    <x v="0"/>
    <x v="0"/>
    <x v="0"/>
    <x v="3"/>
    <x v="3"/>
    <x v="0"/>
    <x v="1"/>
    <n v="30"/>
  </r>
  <r>
    <x v="2"/>
    <x v="2"/>
    <s v="GCI"/>
    <x v="0"/>
    <x v="0"/>
    <x v="0"/>
    <x v="3"/>
    <x v="3"/>
    <x v="0"/>
    <x v="2"/>
    <n v="7"/>
  </r>
  <r>
    <x v="2"/>
    <x v="2"/>
    <s v="GCI"/>
    <x v="0"/>
    <x v="0"/>
    <x v="0"/>
    <x v="3"/>
    <x v="3"/>
    <x v="0"/>
    <x v="3"/>
    <n v="4"/>
  </r>
  <r>
    <x v="1"/>
    <x v="1"/>
    <s v="GCI"/>
    <x v="0"/>
    <x v="0"/>
    <x v="0"/>
    <x v="4"/>
    <x v="4"/>
    <x v="0"/>
    <x v="1"/>
    <n v="35"/>
  </r>
  <r>
    <x v="1"/>
    <x v="1"/>
    <s v="GCI"/>
    <x v="0"/>
    <x v="0"/>
    <x v="0"/>
    <x v="4"/>
    <x v="4"/>
    <x v="0"/>
    <x v="2"/>
    <n v="2"/>
  </r>
  <r>
    <x v="1"/>
    <x v="1"/>
    <s v="GCI"/>
    <x v="0"/>
    <x v="0"/>
    <x v="0"/>
    <x v="4"/>
    <x v="4"/>
    <x v="0"/>
    <x v="3"/>
    <n v="4"/>
  </r>
  <r>
    <x v="1"/>
    <x v="1"/>
    <s v="GCI"/>
    <x v="0"/>
    <x v="0"/>
    <x v="0"/>
    <x v="1"/>
    <x v="1"/>
    <x v="0"/>
    <x v="4"/>
    <n v="1"/>
  </r>
  <r>
    <x v="1"/>
    <x v="1"/>
    <s v="GCI"/>
    <x v="0"/>
    <x v="0"/>
    <x v="0"/>
    <x v="1"/>
    <x v="1"/>
    <x v="0"/>
    <x v="5"/>
    <n v="4"/>
  </r>
  <r>
    <x v="0"/>
    <x v="0"/>
    <s v="GCI"/>
    <x v="0"/>
    <x v="0"/>
    <x v="0"/>
    <x v="5"/>
    <x v="5"/>
    <x v="1"/>
    <x v="6"/>
    <n v="8"/>
  </r>
  <r>
    <x v="2"/>
    <x v="2"/>
    <s v="GCI"/>
    <x v="0"/>
    <x v="0"/>
    <x v="0"/>
    <x v="6"/>
    <x v="6"/>
    <x v="1"/>
    <x v="6"/>
    <n v="9"/>
  </r>
  <r>
    <x v="1"/>
    <x v="1"/>
    <s v="GCI"/>
    <x v="0"/>
    <x v="0"/>
    <x v="0"/>
    <x v="7"/>
    <x v="7"/>
    <x v="1"/>
    <x v="6"/>
    <n v="11"/>
  </r>
  <r>
    <x v="3"/>
    <x v="3"/>
    <s v="GCI"/>
    <x v="0"/>
    <x v="0"/>
    <x v="0"/>
    <x v="8"/>
    <x v="8"/>
    <x v="2"/>
    <x v="0"/>
    <n v="3000"/>
  </r>
  <r>
    <x v="4"/>
    <x v="4"/>
    <s v="GCI"/>
    <x v="0"/>
    <x v="0"/>
    <x v="0"/>
    <x v="9"/>
    <x v="9"/>
    <x v="2"/>
    <x v="7"/>
    <n v="3000"/>
  </r>
  <r>
    <x v="5"/>
    <x v="5"/>
    <s v="GCI"/>
    <x v="0"/>
    <x v="0"/>
    <x v="0"/>
    <x v="10"/>
    <x v="10"/>
    <x v="2"/>
    <x v="7"/>
    <n v="3000"/>
  </r>
  <r>
    <x v="6"/>
    <x v="6"/>
    <s v="GCI"/>
    <x v="0"/>
    <x v="0"/>
    <x v="0"/>
    <x v="11"/>
    <x v="11"/>
    <x v="2"/>
    <x v="1"/>
    <n v="38"/>
  </r>
  <r>
    <x v="6"/>
    <x v="6"/>
    <s v="GCI"/>
    <x v="0"/>
    <x v="0"/>
    <x v="0"/>
    <x v="11"/>
    <x v="11"/>
    <x v="2"/>
    <x v="2"/>
    <n v="2"/>
  </r>
  <r>
    <x v="6"/>
    <x v="6"/>
    <s v="GCI"/>
    <x v="0"/>
    <x v="0"/>
    <x v="0"/>
    <x v="11"/>
    <x v="11"/>
    <x v="2"/>
    <x v="3"/>
    <n v="2"/>
  </r>
  <r>
    <x v="6"/>
    <x v="6"/>
    <s v="GCI"/>
    <x v="0"/>
    <x v="0"/>
    <x v="0"/>
    <x v="12"/>
    <x v="12"/>
    <x v="2"/>
    <x v="8"/>
    <n v="1"/>
  </r>
  <r>
    <x v="6"/>
    <x v="6"/>
    <s v="GCI"/>
    <x v="0"/>
    <x v="0"/>
    <x v="0"/>
    <x v="12"/>
    <x v="12"/>
    <x v="2"/>
    <x v="6"/>
    <n v="5"/>
  </r>
  <r>
    <x v="6"/>
    <x v="6"/>
    <s v="GCI"/>
    <x v="0"/>
    <x v="0"/>
    <x v="0"/>
    <x v="12"/>
    <x v="12"/>
    <x v="2"/>
    <x v="5"/>
    <n v="3"/>
  </r>
  <r>
    <x v="3"/>
    <x v="3"/>
    <s v="GCI"/>
    <x v="1"/>
    <x v="0"/>
    <x v="0"/>
    <x v="13"/>
    <x v="13"/>
    <x v="2"/>
    <x v="1"/>
    <n v="14"/>
  </r>
  <r>
    <x v="3"/>
    <x v="3"/>
    <s v="GCI"/>
    <x v="1"/>
    <x v="0"/>
    <x v="0"/>
    <x v="13"/>
    <x v="13"/>
    <x v="2"/>
    <x v="2"/>
    <n v="10"/>
  </r>
  <r>
    <x v="3"/>
    <x v="3"/>
    <s v="GCI"/>
    <x v="0"/>
    <x v="0"/>
    <x v="0"/>
    <x v="8"/>
    <x v="8"/>
    <x v="2"/>
    <x v="8"/>
    <n v="1"/>
  </r>
  <r>
    <x v="3"/>
    <x v="3"/>
    <s v="GCI"/>
    <x v="0"/>
    <x v="0"/>
    <x v="0"/>
    <x v="8"/>
    <x v="8"/>
    <x v="2"/>
    <x v="6"/>
    <n v="8"/>
  </r>
  <r>
    <x v="3"/>
    <x v="3"/>
    <s v="GCI"/>
    <x v="0"/>
    <x v="0"/>
    <x v="0"/>
    <x v="8"/>
    <x v="8"/>
    <x v="2"/>
    <x v="5"/>
    <n v="3"/>
  </r>
  <r>
    <x v="4"/>
    <x v="4"/>
    <s v="GCI"/>
    <x v="0"/>
    <x v="0"/>
    <x v="0"/>
    <x v="14"/>
    <x v="14"/>
    <x v="2"/>
    <x v="1"/>
    <n v="36"/>
  </r>
  <r>
    <x v="4"/>
    <x v="4"/>
    <s v="GCI"/>
    <x v="0"/>
    <x v="0"/>
    <x v="0"/>
    <x v="14"/>
    <x v="14"/>
    <x v="2"/>
    <x v="2"/>
    <n v="8"/>
  </r>
  <r>
    <x v="4"/>
    <x v="4"/>
    <s v="GCI"/>
    <x v="0"/>
    <x v="0"/>
    <x v="0"/>
    <x v="14"/>
    <x v="14"/>
    <x v="2"/>
    <x v="3"/>
    <n v="4"/>
  </r>
  <r>
    <x v="4"/>
    <x v="4"/>
    <s v="GCI"/>
    <x v="0"/>
    <x v="0"/>
    <x v="0"/>
    <x v="9"/>
    <x v="9"/>
    <x v="2"/>
    <x v="6"/>
    <n v="12"/>
  </r>
  <r>
    <x v="5"/>
    <x v="5"/>
    <s v="GCI"/>
    <x v="0"/>
    <x v="0"/>
    <x v="0"/>
    <x v="15"/>
    <x v="15"/>
    <x v="2"/>
    <x v="1"/>
    <n v="45"/>
  </r>
  <r>
    <x v="5"/>
    <x v="5"/>
    <s v="GCI"/>
    <x v="0"/>
    <x v="0"/>
    <x v="0"/>
    <x v="15"/>
    <x v="15"/>
    <x v="2"/>
    <x v="2"/>
    <n v="5"/>
  </r>
  <r>
    <x v="5"/>
    <x v="5"/>
    <s v="GCI"/>
    <x v="0"/>
    <x v="0"/>
    <x v="0"/>
    <x v="10"/>
    <x v="10"/>
    <x v="2"/>
    <x v="6"/>
    <n v="13"/>
  </r>
  <r>
    <x v="6"/>
    <x v="6"/>
    <s v="GCI"/>
    <x v="0"/>
    <x v="0"/>
    <x v="0"/>
    <x v="16"/>
    <x v="16"/>
    <x v="3"/>
    <x v="9"/>
    <n v="1"/>
  </r>
  <r>
    <x v="5"/>
    <x v="5"/>
    <s v="GCI"/>
    <x v="0"/>
    <x v="0"/>
    <x v="0"/>
    <x v="17"/>
    <x v="17"/>
    <x v="3"/>
    <x v="9"/>
    <n v="1"/>
  </r>
  <r>
    <x v="7"/>
    <x v="7"/>
    <s v="GCI"/>
    <x v="0"/>
    <x v="0"/>
    <x v="0"/>
    <x v="18"/>
    <x v="18"/>
    <x v="4"/>
    <x v="0"/>
    <n v="3000"/>
  </r>
  <r>
    <x v="7"/>
    <x v="7"/>
    <s v="GCI"/>
    <x v="0"/>
    <x v="0"/>
    <x v="0"/>
    <x v="19"/>
    <x v="19"/>
    <x v="4"/>
    <x v="1"/>
    <n v="42"/>
  </r>
  <r>
    <x v="7"/>
    <x v="7"/>
    <s v="GCI"/>
    <x v="0"/>
    <x v="0"/>
    <x v="0"/>
    <x v="19"/>
    <x v="19"/>
    <x v="4"/>
    <x v="2"/>
    <n v="10"/>
  </r>
  <r>
    <x v="7"/>
    <x v="7"/>
    <s v="GCI"/>
    <x v="0"/>
    <x v="0"/>
    <x v="0"/>
    <x v="18"/>
    <x v="18"/>
    <x v="4"/>
    <x v="8"/>
    <n v="1"/>
  </r>
  <r>
    <x v="7"/>
    <x v="7"/>
    <s v="GCI"/>
    <x v="0"/>
    <x v="0"/>
    <x v="0"/>
    <x v="18"/>
    <x v="18"/>
    <x v="4"/>
    <x v="6"/>
    <n v="16"/>
  </r>
  <r>
    <x v="7"/>
    <x v="7"/>
    <s v="GCI"/>
    <x v="0"/>
    <x v="0"/>
    <x v="0"/>
    <x v="18"/>
    <x v="18"/>
    <x v="4"/>
    <x v="5"/>
    <n v="3"/>
  </r>
  <r>
    <x v="3"/>
    <x v="3"/>
    <s v="GCI"/>
    <x v="0"/>
    <x v="0"/>
    <x v="0"/>
    <x v="20"/>
    <x v="20"/>
    <x v="4"/>
    <x v="1"/>
    <n v="100"/>
  </r>
  <r>
    <x v="8"/>
    <x v="8"/>
    <s v="GCI"/>
    <x v="0"/>
    <x v="1"/>
    <x v="1"/>
    <x v="21"/>
    <x v="21"/>
    <x v="5"/>
    <x v="1"/>
    <n v="89"/>
  </r>
  <r>
    <x v="8"/>
    <x v="8"/>
    <s v="GCI"/>
    <x v="0"/>
    <x v="1"/>
    <x v="1"/>
    <x v="21"/>
    <x v="21"/>
    <x v="5"/>
    <x v="2"/>
    <n v="10"/>
  </r>
  <r>
    <x v="8"/>
    <x v="8"/>
    <s v="GCI"/>
    <x v="0"/>
    <x v="1"/>
    <x v="1"/>
    <x v="21"/>
    <x v="21"/>
    <x v="5"/>
    <x v="9"/>
    <n v="1"/>
  </r>
  <r>
    <x v="8"/>
    <x v="8"/>
    <s v="GCI"/>
    <x v="0"/>
    <x v="1"/>
    <x v="1"/>
    <x v="22"/>
    <x v="22"/>
    <x v="5"/>
    <x v="6"/>
    <n v="41"/>
  </r>
  <r>
    <x v="8"/>
    <x v="8"/>
    <s v="GCI"/>
    <x v="0"/>
    <x v="1"/>
    <x v="1"/>
    <x v="22"/>
    <x v="22"/>
    <x v="5"/>
    <x v="7"/>
    <n v="6000"/>
  </r>
  <r>
    <x v="8"/>
    <x v="8"/>
    <s v="GCI"/>
    <x v="0"/>
    <x v="1"/>
    <x v="1"/>
    <x v="23"/>
    <x v="23"/>
    <x v="6"/>
    <x v="4"/>
    <n v="1"/>
  </r>
  <r>
    <x v="9"/>
    <x v="9"/>
    <s v="GCI"/>
    <x v="0"/>
    <x v="1"/>
    <x v="1"/>
    <x v="24"/>
    <x v="24"/>
    <x v="7"/>
    <x v="7"/>
    <n v="3000"/>
  </r>
  <r>
    <x v="10"/>
    <x v="10"/>
    <s v="GCI"/>
    <x v="0"/>
    <x v="1"/>
    <x v="1"/>
    <x v="25"/>
    <x v="25"/>
    <x v="7"/>
    <x v="7"/>
    <n v="3000"/>
  </r>
  <r>
    <x v="11"/>
    <x v="11"/>
    <s v="GCI"/>
    <x v="0"/>
    <x v="1"/>
    <x v="1"/>
    <x v="26"/>
    <x v="26"/>
    <x v="7"/>
    <x v="7"/>
    <n v="3000"/>
  </r>
  <r>
    <x v="12"/>
    <x v="12"/>
    <s v="GCI"/>
    <x v="0"/>
    <x v="1"/>
    <x v="1"/>
    <x v="27"/>
    <x v="27"/>
    <x v="7"/>
    <x v="2"/>
    <n v="13"/>
  </r>
  <r>
    <x v="12"/>
    <x v="12"/>
    <s v="GCI"/>
    <x v="0"/>
    <x v="1"/>
    <x v="1"/>
    <x v="27"/>
    <x v="27"/>
    <x v="7"/>
    <x v="3"/>
    <n v="4"/>
  </r>
  <r>
    <x v="12"/>
    <x v="12"/>
    <s v="GCI"/>
    <x v="0"/>
    <x v="1"/>
    <x v="1"/>
    <x v="27"/>
    <x v="27"/>
    <x v="7"/>
    <x v="9"/>
    <n v="1"/>
  </r>
  <r>
    <x v="12"/>
    <x v="12"/>
    <s v="GCI"/>
    <x v="0"/>
    <x v="1"/>
    <x v="1"/>
    <x v="28"/>
    <x v="28"/>
    <x v="7"/>
    <x v="8"/>
    <n v="1"/>
  </r>
  <r>
    <x v="9"/>
    <x v="9"/>
    <s v="GCI"/>
    <x v="0"/>
    <x v="1"/>
    <x v="1"/>
    <x v="29"/>
    <x v="29"/>
    <x v="7"/>
    <x v="2"/>
    <n v="18"/>
  </r>
  <r>
    <x v="9"/>
    <x v="9"/>
    <s v="GCI"/>
    <x v="0"/>
    <x v="1"/>
    <x v="1"/>
    <x v="29"/>
    <x v="29"/>
    <x v="7"/>
    <x v="3"/>
    <n v="1"/>
  </r>
  <r>
    <x v="9"/>
    <x v="9"/>
    <s v="GCI"/>
    <x v="0"/>
    <x v="1"/>
    <x v="1"/>
    <x v="29"/>
    <x v="29"/>
    <x v="7"/>
    <x v="9"/>
    <n v="1"/>
  </r>
  <r>
    <x v="9"/>
    <x v="9"/>
    <s v="GCI"/>
    <x v="0"/>
    <x v="1"/>
    <x v="1"/>
    <x v="24"/>
    <x v="24"/>
    <x v="7"/>
    <x v="8"/>
    <n v="1"/>
  </r>
  <r>
    <x v="13"/>
    <x v="13"/>
    <s v="GCI"/>
    <x v="0"/>
    <x v="1"/>
    <x v="1"/>
    <x v="30"/>
    <x v="30"/>
    <x v="7"/>
    <x v="2"/>
    <n v="5"/>
  </r>
  <r>
    <x v="13"/>
    <x v="13"/>
    <s v="GCI"/>
    <x v="0"/>
    <x v="1"/>
    <x v="1"/>
    <x v="30"/>
    <x v="30"/>
    <x v="7"/>
    <x v="9"/>
    <n v="1"/>
  </r>
  <r>
    <x v="13"/>
    <x v="13"/>
    <s v="GCI"/>
    <x v="0"/>
    <x v="1"/>
    <x v="1"/>
    <x v="31"/>
    <x v="31"/>
    <x v="7"/>
    <x v="8"/>
    <n v="1"/>
  </r>
  <r>
    <x v="14"/>
    <x v="14"/>
    <s v="GCI"/>
    <x v="0"/>
    <x v="1"/>
    <x v="1"/>
    <x v="32"/>
    <x v="32"/>
    <x v="7"/>
    <x v="1"/>
    <n v="20"/>
  </r>
  <r>
    <x v="14"/>
    <x v="14"/>
    <s v="GCI"/>
    <x v="0"/>
    <x v="1"/>
    <x v="1"/>
    <x v="32"/>
    <x v="32"/>
    <x v="7"/>
    <x v="2"/>
    <n v="7"/>
  </r>
  <r>
    <x v="14"/>
    <x v="14"/>
    <s v="GCI"/>
    <x v="0"/>
    <x v="1"/>
    <x v="1"/>
    <x v="32"/>
    <x v="32"/>
    <x v="7"/>
    <x v="9"/>
    <n v="1"/>
  </r>
  <r>
    <x v="14"/>
    <x v="14"/>
    <s v="GCI"/>
    <x v="0"/>
    <x v="1"/>
    <x v="1"/>
    <x v="33"/>
    <x v="33"/>
    <x v="7"/>
    <x v="8"/>
    <n v="1"/>
  </r>
  <r>
    <x v="10"/>
    <x v="10"/>
    <s v="GCI"/>
    <x v="0"/>
    <x v="1"/>
    <x v="1"/>
    <x v="34"/>
    <x v="34"/>
    <x v="7"/>
    <x v="2"/>
    <n v="5"/>
  </r>
  <r>
    <x v="10"/>
    <x v="10"/>
    <s v="GCI"/>
    <x v="0"/>
    <x v="1"/>
    <x v="1"/>
    <x v="25"/>
    <x v="25"/>
    <x v="7"/>
    <x v="8"/>
    <n v="1"/>
  </r>
  <r>
    <x v="11"/>
    <x v="11"/>
    <s v="GCI"/>
    <x v="0"/>
    <x v="1"/>
    <x v="1"/>
    <x v="35"/>
    <x v="35"/>
    <x v="7"/>
    <x v="2"/>
    <n v="6"/>
  </r>
  <r>
    <x v="11"/>
    <x v="11"/>
    <s v="GCI"/>
    <x v="0"/>
    <x v="1"/>
    <x v="1"/>
    <x v="35"/>
    <x v="35"/>
    <x v="7"/>
    <x v="9"/>
    <n v="1"/>
  </r>
  <r>
    <x v="11"/>
    <x v="11"/>
    <s v="GCI"/>
    <x v="0"/>
    <x v="1"/>
    <x v="1"/>
    <x v="26"/>
    <x v="26"/>
    <x v="7"/>
    <x v="8"/>
    <n v="1"/>
  </r>
  <r>
    <x v="15"/>
    <x v="15"/>
    <s v="GCI"/>
    <x v="0"/>
    <x v="1"/>
    <x v="1"/>
    <x v="36"/>
    <x v="36"/>
    <x v="7"/>
    <x v="1"/>
    <n v="40"/>
  </r>
  <r>
    <x v="15"/>
    <x v="15"/>
    <s v="GCI"/>
    <x v="0"/>
    <x v="1"/>
    <x v="1"/>
    <x v="36"/>
    <x v="36"/>
    <x v="7"/>
    <x v="2"/>
    <n v="17"/>
  </r>
  <r>
    <x v="15"/>
    <x v="15"/>
    <s v="GCI"/>
    <x v="0"/>
    <x v="1"/>
    <x v="1"/>
    <x v="37"/>
    <x v="37"/>
    <x v="7"/>
    <x v="8"/>
    <n v="1"/>
  </r>
  <r>
    <x v="12"/>
    <x v="12"/>
    <s v="GCI"/>
    <x v="0"/>
    <x v="1"/>
    <x v="1"/>
    <x v="28"/>
    <x v="28"/>
    <x v="7"/>
    <x v="0"/>
    <n v="6000"/>
  </r>
  <r>
    <x v="11"/>
    <x v="11"/>
    <s v="GCI"/>
    <x v="0"/>
    <x v="1"/>
    <x v="1"/>
    <x v="26"/>
    <x v="26"/>
    <x v="7"/>
    <x v="0"/>
    <n v="6000"/>
  </r>
  <r>
    <x v="12"/>
    <x v="12"/>
    <s v="GCI"/>
    <x v="0"/>
    <x v="1"/>
    <x v="1"/>
    <x v="38"/>
    <x v="38"/>
    <x v="8"/>
    <x v="1"/>
    <n v="44"/>
  </r>
  <r>
    <x v="9"/>
    <x v="9"/>
    <s v="GCI"/>
    <x v="0"/>
    <x v="1"/>
    <x v="1"/>
    <x v="39"/>
    <x v="39"/>
    <x v="8"/>
    <x v="1"/>
    <n v="50"/>
  </r>
  <r>
    <x v="13"/>
    <x v="13"/>
    <s v="GCI"/>
    <x v="0"/>
    <x v="1"/>
    <x v="1"/>
    <x v="40"/>
    <x v="40"/>
    <x v="8"/>
    <x v="1"/>
    <n v="12"/>
  </r>
  <r>
    <x v="10"/>
    <x v="10"/>
    <s v="GCI"/>
    <x v="0"/>
    <x v="1"/>
    <x v="1"/>
    <x v="41"/>
    <x v="41"/>
    <x v="8"/>
    <x v="1"/>
    <n v="22"/>
  </r>
  <r>
    <x v="11"/>
    <x v="11"/>
    <s v="GCI"/>
    <x v="0"/>
    <x v="1"/>
    <x v="1"/>
    <x v="42"/>
    <x v="42"/>
    <x v="8"/>
    <x v="1"/>
    <n v="88"/>
  </r>
  <r>
    <x v="12"/>
    <x v="12"/>
    <s v="GCI"/>
    <x v="0"/>
    <x v="1"/>
    <x v="1"/>
    <x v="43"/>
    <x v="43"/>
    <x v="9"/>
    <x v="6"/>
    <n v="19"/>
  </r>
  <r>
    <x v="9"/>
    <x v="9"/>
    <s v="GCI"/>
    <x v="0"/>
    <x v="1"/>
    <x v="1"/>
    <x v="44"/>
    <x v="44"/>
    <x v="9"/>
    <x v="6"/>
    <n v="22"/>
  </r>
  <r>
    <x v="13"/>
    <x v="13"/>
    <s v="GCI"/>
    <x v="0"/>
    <x v="1"/>
    <x v="1"/>
    <x v="45"/>
    <x v="45"/>
    <x v="9"/>
    <x v="6"/>
    <n v="15"/>
  </r>
  <r>
    <x v="14"/>
    <x v="14"/>
    <s v="GCI"/>
    <x v="0"/>
    <x v="1"/>
    <x v="1"/>
    <x v="46"/>
    <x v="46"/>
    <x v="9"/>
    <x v="6"/>
    <n v="15"/>
  </r>
  <r>
    <x v="10"/>
    <x v="10"/>
    <s v="GCI"/>
    <x v="0"/>
    <x v="1"/>
    <x v="1"/>
    <x v="47"/>
    <x v="47"/>
    <x v="9"/>
    <x v="6"/>
    <n v="24"/>
  </r>
  <r>
    <x v="11"/>
    <x v="11"/>
    <s v="GCI"/>
    <x v="0"/>
    <x v="1"/>
    <x v="1"/>
    <x v="48"/>
    <x v="48"/>
    <x v="9"/>
    <x v="6"/>
    <n v="13"/>
  </r>
  <r>
    <x v="15"/>
    <x v="15"/>
    <s v="GCI"/>
    <x v="0"/>
    <x v="1"/>
    <x v="1"/>
    <x v="49"/>
    <x v="49"/>
    <x v="9"/>
    <x v="6"/>
    <n v="22"/>
  </r>
  <r>
    <x v="16"/>
    <x v="16"/>
    <s v="GCI"/>
    <x v="0"/>
    <x v="1"/>
    <x v="1"/>
    <x v="50"/>
    <x v="50"/>
    <x v="10"/>
    <x v="7"/>
    <n v="3000"/>
  </r>
  <r>
    <x v="17"/>
    <x v="17"/>
    <s v="GCI"/>
    <x v="0"/>
    <x v="1"/>
    <x v="1"/>
    <x v="51"/>
    <x v="51"/>
    <x v="10"/>
    <x v="7"/>
    <n v="3000"/>
  </r>
  <r>
    <x v="18"/>
    <x v="18"/>
    <s v="GCI"/>
    <x v="0"/>
    <x v="1"/>
    <x v="1"/>
    <x v="52"/>
    <x v="52"/>
    <x v="10"/>
    <x v="7"/>
    <n v="3000"/>
  </r>
  <r>
    <x v="19"/>
    <x v="19"/>
    <s v="GCI"/>
    <x v="0"/>
    <x v="1"/>
    <x v="1"/>
    <x v="53"/>
    <x v="53"/>
    <x v="10"/>
    <x v="0"/>
    <n v="3000"/>
  </r>
  <r>
    <x v="20"/>
    <x v="20"/>
    <s v="GCI"/>
    <x v="0"/>
    <x v="1"/>
    <x v="1"/>
    <x v="54"/>
    <x v="54"/>
    <x v="10"/>
    <x v="0"/>
    <n v="3000"/>
  </r>
  <r>
    <x v="16"/>
    <x v="16"/>
    <s v="GCI"/>
    <x v="0"/>
    <x v="1"/>
    <x v="1"/>
    <x v="55"/>
    <x v="55"/>
    <x v="10"/>
    <x v="2"/>
    <n v="8"/>
  </r>
  <r>
    <x v="16"/>
    <x v="16"/>
    <s v="GCI"/>
    <x v="0"/>
    <x v="1"/>
    <x v="1"/>
    <x v="55"/>
    <x v="55"/>
    <x v="10"/>
    <x v="3"/>
    <n v="1"/>
  </r>
  <r>
    <x v="16"/>
    <x v="16"/>
    <s v="GCI"/>
    <x v="0"/>
    <x v="1"/>
    <x v="1"/>
    <x v="50"/>
    <x v="50"/>
    <x v="10"/>
    <x v="8"/>
    <n v="1"/>
  </r>
  <r>
    <x v="17"/>
    <x v="17"/>
    <s v="GCI"/>
    <x v="0"/>
    <x v="1"/>
    <x v="1"/>
    <x v="56"/>
    <x v="56"/>
    <x v="10"/>
    <x v="1"/>
    <n v="34"/>
  </r>
  <r>
    <x v="17"/>
    <x v="17"/>
    <s v="GCI"/>
    <x v="0"/>
    <x v="1"/>
    <x v="1"/>
    <x v="51"/>
    <x v="51"/>
    <x v="10"/>
    <x v="8"/>
    <n v="1"/>
  </r>
  <r>
    <x v="21"/>
    <x v="21"/>
    <s v="GCI"/>
    <x v="0"/>
    <x v="1"/>
    <x v="1"/>
    <x v="57"/>
    <x v="57"/>
    <x v="10"/>
    <x v="2"/>
    <n v="2"/>
  </r>
  <r>
    <x v="18"/>
    <x v="18"/>
    <s v="GCI"/>
    <x v="0"/>
    <x v="1"/>
    <x v="1"/>
    <x v="58"/>
    <x v="58"/>
    <x v="10"/>
    <x v="1"/>
    <n v="47"/>
  </r>
  <r>
    <x v="18"/>
    <x v="18"/>
    <s v="GCI"/>
    <x v="0"/>
    <x v="1"/>
    <x v="1"/>
    <x v="58"/>
    <x v="58"/>
    <x v="10"/>
    <x v="2"/>
    <n v="12"/>
  </r>
  <r>
    <x v="19"/>
    <x v="19"/>
    <s v="GCI"/>
    <x v="0"/>
    <x v="1"/>
    <x v="1"/>
    <x v="59"/>
    <x v="59"/>
    <x v="10"/>
    <x v="1"/>
    <n v="45"/>
  </r>
  <r>
    <x v="19"/>
    <x v="19"/>
    <s v="GCI"/>
    <x v="0"/>
    <x v="1"/>
    <x v="1"/>
    <x v="59"/>
    <x v="59"/>
    <x v="10"/>
    <x v="2"/>
    <n v="8"/>
  </r>
  <r>
    <x v="19"/>
    <x v="19"/>
    <s v="GCI"/>
    <x v="0"/>
    <x v="1"/>
    <x v="1"/>
    <x v="59"/>
    <x v="59"/>
    <x v="10"/>
    <x v="3"/>
    <n v="6"/>
  </r>
  <r>
    <x v="20"/>
    <x v="20"/>
    <s v="GCI"/>
    <x v="0"/>
    <x v="1"/>
    <x v="1"/>
    <x v="60"/>
    <x v="60"/>
    <x v="10"/>
    <x v="1"/>
    <n v="24"/>
  </r>
  <r>
    <x v="20"/>
    <x v="20"/>
    <s v="GCI"/>
    <x v="0"/>
    <x v="1"/>
    <x v="1"/>
    <x v="60"/>
    <x v="60"/>
    <x v="10"/>
    <x v="2"/>
    <n v="11"/>
  </r>
  <r>
    <x v="20"/>
    <x v="20"/>
    <s v="GCI"/>
    <x v="0"/>
    <x v="1"/>
    <x v="1"/>
    <x v="60"/>
    <x v="60"/>
    <x v="10"/>
    <x v="3"/>
    <n v="1"/>
  </r>
  <r>
    <x v="20"/>
    <x v="20"/>
    <s v="GCI"/>
    <x v="0"/>
    <x v="1"/>
    <x v="1"/>
    <x v="54"/>
    <x v="54"/>
    <x v="10"/>
    <x v="8"/>
    <n v="1"/>
  </r>
  <r>
    <x v="22"/>
    <x v="22"/>
    <s v="GCI"/>
    <x v="0"/>
    <x v="1"/>
    <x v="1"/>
    <x v="61"/>
    <x v="61"/>
    <x v="10"/>
    <x v="1"/>
    <n v="14"/>
  </r>
  <r>
    <x v="22"/>
    <x v="22"/>
    <s v="GCI"/>
    <x v="0"/>
    <x v="1"/>
    <x v="1"/>
    <x v="61"/>
    <x v="61"/>
    <x v="10"/>
    <x v="2"/>
    <n v="1"/>
  </r>
  <r>
    <x v="22"/>
    <x v="22"/>
    <s v="GCI"/>
    <x v="0"/>
    <x v="1"/>
    <x v="1"/>
    <x v="62"/>
    <x v="62"/>
    <x v="10"/>
    <x v="8"/>
    <n v="1"/>
  </r>
  <r>
    <x v="16"/>
    <x v="16"/>
    <s v="GCI"/>
    <x v="0"/>
    <x v="1"/>
    <x v="1"/>
    <x v="63"/>
    <x v="63"/>
    <x v="11"/>
    <x v="1"/>
    <n v="50"/>
  </r>
  <r>
    <x v="21"/>
    <x v="21"/>
    <s v="GCI"/>
    <x v="0"/>
    <x v="1"/>
    <x v="1"/>
    <x v="64"/>
    <x v="64"/>
    <x v="11"/>
    <x v="1"/>
    <n v="18"/>
  </r>
  <r>
    <x v="18"/>
    <x v="18"/>
    <s v="GCI"/>
    <x v="0"/>
    <x v="1"/>
    <x v="1"/>
    <x v="65"/>
    <x v="65"/>
    <x v="11"/>
    <x v="4"/>
    <n v="1"/>
  </r>
  <r>
    <x v="18"/>
    <x v="18"/>
    <s v="GCI"/>
    <x v="0"/>
    <x v="1"/>
    <x v="1"/>
    <x v="65"/>
    <x v="65"/>
    <x v="11"/>
    <x v="5"/>
    <n v="4"/>
  </r>
  <r>
    <x v="19"/>
    <x v="19"/>
    <s v="GCI"/>
    <x v="0"/>
    <x v="1"/>
    <x v="1"/>
    <x v="66"/>
    <x v="66"/>
    <x v="11"/>
    <x v="4"/>
    <n v="1"/>
  </r>
  <r>
    <x v="19"/>
    <x v="19"/>
    <s v="GCI"/>
    <x v="0"/>
    <x v="1"/>
    <x v="1"/>
    <x v="66"/>
    <x v="66"/>
    <x v="11"/>
    <x v="5"/>
    <n v="4"/>
  </r>
  <r>
    <x v="22"/>
    <x v="22"/>
    <s v="GCI"/>
    <x v="0"/>
    <x v="1"/>
    <x v="1"/>
    <x v="67"/>
    <x v="67"/>
    <x v="11"/>
    <x v="6"/>
    <n v="7"/>
  </r>
  <r>
    <x v="20"/>
    <x v="20"/>
    <s v="GCI"/>
    <x v="0"/>
    <x v="1"/>
    <x v="1"/>
    <x v="68"/>
    <x v="68"/>
    <x v="11"/>
    <x v="6"/>
    <n v="11"/>
  </r>
  <r>
    <x v="19"/>
    <x v="19"/>
    <s v="GCI"/>
    <x v="0"/>
    <x v="1"/>
    <x v="1"/>
    <x v="69"/>
    <x v="69"/>
    <x v="11"/>
    <x v="6"/>
    <n v="22"/>
  </r>
  <r>
    <x v="18"/>
    <x v="18"/>
    <s v="GCI"/>
    <x v="0"/>
    <x v="1"/>
    <x v="1"/>
    <x v="70"/>
    <x v="70"/>
    <x v="11"/>
    <x v="6"/>
    <n v="27"/>
  </r>
  <r>
    <x v="21"/>
    <x v="21"/>
    <s v="GCI"/>
    <x v="0"/>
    <x v="1"/>
    <x v="1"/>
    <x v="71"/>
    <x v="71"/>
    <x v="11"/>
    <x v="6"/>
    <n v="12"/>
  </r>
  <r>
    <x v="17"/>
    <x v="17"/>
    <s v="GCI"/>
    <x v="0"/>
    <x v="1"/>
    <x v="1"/>
    <x v="72"/>
    <x v="72"/>
    <x v="11"/>
    <x v="6"/>
    <n v="12"/>
  </r>
  <r>
    <x v="16"/>
    <x v="16"/>
    <s v="GCI"/>
    <x v="0"/>
    <x v="1"/>
    <x v="1"/>
    <x v="73"/>
    <x v="73"/>
    <x v="11"/>
    <x v="6"/>
    <n v="24"/>
  </r>
  <r>
    <x v="23"/>
    <x v="23"/>
    <s v="GCI"/>
    <x v="0"/>
    <x v="1"/>
    <x v="1"/>
    <x v="74"/>
    <x v="74"/>
    <x v="12"/>
    <x v="0"/>
    <n v="3000"/>
  </r>
  <r>
    <x v="24"/>
    <x v="24"/>
    <s v="GCI"/>
    <x v="0"/>
    <x v="1"/>
    <x v="1"/>
    <x v="75"/>
    <x v="75"/>
    <x v="12"/>
    <x v="0"/>
    <n v="3000"/>
  </r>
  <r>
    <x v="24"/>
    <x v="24"/>
    <s v="GCI"/>
    <x v="0"/>
    <x v="1"/>
    <x v="1"/>
    <x v="75"/>
    <x v="75"/>
    <x v="12"/>
    <x v="7"/>
    <n v="3000"/>
  </r>
  <r>
    <x v="25"/>
    <x v="25"/>
    <s v="GCI"/>
    <x v="0"/>
    <x v="1"/>
    <x v="1"/>
    <x v="76"/>
    <x v="76"/>
    <x v="12"/>
    <x v="7"/>
    <n v="3000"/>
  </r>
  <r>
    <x v="26"/>
    <x v="26"/>
    <s v="GCI"/>
    <x v="0"/>
    <x v="1"/>
    <x v="1"/>
    <x v="77"/>
    <x v="77"/>
    <x v="12"/>
    <x v="1"/>
    <n v="15"/>
  </r>
  <r>
    <x v="26"/>
    <x v="26"/>
    <s v="GCI"/>
    <x v="0"/>
    <x v="1"/>
    <x v="1"/>
    <x v="77"/>
    <x v="77"/>
    <x v="12"/>
    <x v="3"/>
    <n v="9"/>
  </r>
  <r>
    <x v="26"/>
    <x v="26"/>
    <s v="GCI"/>
    <x v="0"/>
    <x v="1"/>
    <x v="1"/>
    <x v="78"/>
    <x v="78"/>
    <x v="12"/>
    <x v="8"/>
    <n v="1"/>
  </r>
  <r>
    <x v="23"/>
    <x v="23"/>
    <s v="GCI"/>
    <x v="0"/>
    <x v="1"/>
    <x v="1"/>
    <x v="79"/>
    <x v="79"/>
    <x v="12"/>
    <x v="1"/>
    <n v="22"/>
  </r>
  <r>
    <x v="23"/>
    <x v="23"/>
    <s v="GCI"/>
    <x v="0"/>
    <x v="1"/>
    <x v="1"/>
    <x v="74"/>
    <x v="74"/>
    <x v="12"/>
    <x v="8"/>
    <n v="1"/>
  </r>
  <r>
    <x v="27"/>
    <x v="27"/>
    <s v="GCI"/>
    <x v="0"/>
    <x v="1"/>
    <x v="1"/>
    <x v="80"/>
    <x v="80"/>
    <x v="12"/>
    <x v="1"/>
    <n v="22"/>
  </r>
  <r>
    <x v="27"/>
    <x v="27"/>
    <s v="GCI"/>
    <x v="0"/>
    <x v="1"/>
    <x v="1"/>
    <x v="80"/>
    <x v="80"/>
    <x v="12"/>
    <x v="3"/>
    <n v="1"/>
  </r>
  <r>
    <x v="24"/>
    <x v="24"/>
    <s v="GCI"/>
    <x v="0"/>
    <x v="1"/>
    <x v="1"/>
    <x v="81"/>
    <x v="81"/>
    <x v="12"/>
    <x v="1"/>
    <n v="34"/>
  </r>
  <r>
    <x v="24"/>
    <x v="24"/>
    <s v="GCI"/>
    <x v="0"/>
    <x v="1"/>
    <x v="1"/>
    <x v="81"/>
    <x v="81"/>
    <x v="12"/>
    <x v="3"/>
    <n v="4"/>
  </r>
  <r>
    <x v="24"/>
    <x v="24"/>
    <s v="GCI"/>
    <x v="0"/>
    <x v="1"/>
    <x v="1"/>
    <x v="75"/>
    <x v="75"/>
    <x v="12"/>
    <x v="8"/>
    <n v="1"/>
  </r>
  <r>
    <x v="25"/>
    <x v="25"/>
    <s v="GCI"/>
    <x v="0"/>
    <x v="1"/>
    <x v="1"/>
    <x v="82"/>
    <x v="82"/>
    <x v="12"/>
    <x v="1"/>
    <n v="44"/>
  </r>
  <r>
    <x v="28"/>
    <x v="28"/>
    <s v="GCI"/>
    <x v="0"/>
    <x v="1"/>
    <x v="1"/>
    <x v="83"/>
    <x v="83"/>
    <x v="13"/>
    <x v="7"/>
    <n v="3000"/>
  </r>
  <r>
    <x v="29"/>
    <x v="29"/>
    <s v="GCI"/>
    <x v="0"/>
    <x v="1"/>
    <x v="1"/>
    <x v="84"/>
    <x v="84"/>
    <x v="13"/>
    <x v="7"/>
    <n v="3000"/>
  </r>
  <r>
    <x v="30"/>
    <x v="30"/>
    <s v="GCI"/>
    <x v="0"/>
    <x v="1"/>
    <x v="1"/>
    <x v="85"/>
    <x v="85"/>
    <x v="13"/>
    <x v="0"/>
    <n v="3000"/>
  </r>
  <r>
    <x v="31"/>
    <x v="31"/>
    <s v="GCI"/>
    <x v="0"/>
    <x v="1"/>
    <x v="1"/>
    <x v="86"/>
    <x v="86"/>
    <x v="13"/>
    <x v="7"/>
    <n v="3000"/>
  </r>
  <r>
    <x v="32"/>
    <x v="32"/>
    <s v="GCI"/>
    <x v="0"/>
    <x v="1"/>
    <x v="1"/>
    <x v="87"/>
    <x v="87"/>
    <x v="13"/>
    <x v="7"/>
    <n v="3000"/>
  </r>
  <r>
    <x v="28"/>
    <x v="28"/>
    <s v="GCI"/>
    <x v="0"/>
    <x v="1"/>
    <x v="1"/>
    <x v="88"/>
    <x v="88"/>
    <x v="13"/>
    <x v="1"/>
    <n v="15"/>
  </r>
  <r>
    <x v="28"/>
    <x v="28"/>
    <s v="GCI"/>
    <x v="0"/>
    <x v="1"/>
    <x v="1"/>
    <x v="88"/>
    <x v="88"/>
    <x v="13"/>
    <x v="2"/>
    <n v="3"/>
  </r>
  <r>
    <x v="28"/>
    <x v="28"/>
    <s v="GCI"/>
    <x v="0"/>
    <x v="1"/>
    <x v="1"/>
    <x v="83"/>
    <x v="83"/>
    <x v="13"/>
    <x v="8"/>
    <n v="1"/>
  </r>
  <r>
    <x v="29"/>
    <x v="29"/>
    <s v="GCI"/>
    <x v="0"/>
    <x v="1"/>
    <x v="1"/>
    <x v="89"/>
    <x v="89"/>
    <x v="13"/>
    <x v="1"/>
    <n v="74"/>
  </r>
  <r>
    <x v="29"/>
    <x v="29"/>
    <s v="GCI"/>
    <x v="0"/>
    <x v="1"/>
    <x v="1"/>
    <x v="89"/>
    <x v="89"/>
    <x v="13"/>
    <x v="3"/>
    <n v="6"/>
  </r>
  <r>
    <x v="29"/>
    <x v="29"/>
    <s v="GCI"/>
    <x v="0"/>
    <x v="1"/>
    <x v="1"/>
    <x v="84"/>
    <x v="84"/>
    <x v="13"/>
    <x v="4"/>
    <n v="1"/>
  </r>
  <r>
    <x v="30"/>
    <x v="30"/>
    <s v="GCI"/>
    <x v="0"/>
    <x v="1"/>
    <x v="1"/>
    <x v="90"/>
    <x v="90"/>
    <x v="13"/>
    <x v="1"/>
    <n v="34"/>
  </r>
  <r>
    <x v="30"/>
    <x v="30"/>
    <s v="GCI"/>
    <x v="0"/>
    <x v="1"/>
    <x v="1"/>
    <x v="85"/>
    <x v="85"/>
    <x v="13"/>
    <x v="8"/>
    <n v="1"/>
  </r>
  <r>
    <x v="31"/>
    <x v="31"/>
    <s v="GCI"/>
    <x v="0"/>
    <x v="1"/>
    <x v="1"/>
    <x v="91"/>
    <x v="91"/>
    <x v="13"/>
    <x v="1"/>
    <n v="37"/>
  </r>
  <r>
    <x v="31"/>
    <x v="31"/>
    <s v="GCI"/>
    <x v="0"/>
    <x v="1"/>
    <x v="1"/>
    <x v="91"/>
    <x v="91"/>
    <x v="13"/>
    <x v="3"/>
    <n v="6"/>
  </r>
  <r>
    <x v="31"/>
    <x v="31"/>
    <s v="GCI"/>
    <x v="0"/>
    <x v="1"/>
    <x v="1"/>
    <x v="86"/>
    <x v="86"/>
    <x v="13"/>
    <x v="8"/>
    <n v="1"/>
  </r>
  <r>
    <x v="32"/>
    <x v="32"/>
    <s v="GCI"/>
    <x v="0"/>
    <x v="1"/>
    <x v="1"/>
    <x v="92"/>
    <x v="92"/>
    <x v="13"/>
    <x v="1"/>
    <n v="66"/>
  </r>
  <r>
    <x v="32"/>
    <x v="32"/>
    <s v="GCI"/>
    <x v="0"/>
    <x v="1"/>
    <x v="1"/>
    <x v="92"/>
    <x v="92"/>
    <x v="13"/>
    <x v="2"/>
    <n v="24"/>
  </r>
  <r>
    <x v="32"/>
    <x v="32"/>
    <s v="GCI"/>
    <x v="0"/>
    <x v="1"/>
    <x v="1"/>
    <x v="92"/>
    <x v="92"/>
    <x v="13"/>
    <x v="3"/>
    <n v="6"/>
  </r>
  <r>
    <x v="32"/>
    <x v="32"/>
    <s v="GCI"/>
    <x v="0"/>
    <x v="1"/>
    <x v="1"/>
    <x v="87"/>
    <x v="87"/>
    <x v="13"/>
    <x v="4"/>
    <n v="1"/>
  </r>
  <r>
    <x v="32"/>
    <x v="32"/>
    <s v="GCI"/>
    <x v="0"/>
    <x v="1"/>
    <x v="1"/>
    <x v="93"/>
    <x v="93"/>
    <x v="14"/>
    <x v="5"/>
    <n v="4"/>
  </r>
  <r>
    <x v="29"/>
    <x v="29"/>
    <s v="GCI"/>
    <x v="0"/>
    <x v="1"/>
    <x v="1"/>
    <x v="94"/>
    <x v="94"/>
    <x v="14"/>
    <x v="5"/>
    <n v="4"/>
  </r>
  <r>
    <x v="29"/>
    <x v="29"/>
    <s v="GCI"/>
    <x v="0"/>
    <x v="1"/>
    <x v="1"/>
    <x v="95"/>
    <x v="95"/>
    <x v="15"/>
    <x v="6"/>
    <n v="36"/>
  </r>
  <r>
    <x v="31"/>
    <x v="31"/>
    <s v="GCI"/>
    <x v="0"/>
    <x v="1"/>
    <x v="1"/>
    <x v="96"/>
    <x v="96"/>
    <x v="15"/>
    <x v="6"/>
    <n v="21"/>
  </r>
  <r>
    <x v="28"/>
    <x v="28"/>
    <s v="GCI"/>
    <x v="0"/>
    <x v="1"/>
    <x v="1"/>
    <x v="97"/>
    <x v="97"/>
    <x v="15"/>
    <x v="6"/>
    <n v="15"/>
  </r>
  <r>
    <x v="26"/>
    <x v="26"/>
    <s v="GCI"/>
    <x v="0"/>
    <x v="1"/>
    <x v="1"/>
    <x v="98"/>
    <x v="98"/>
    <x v="16"/>
    <x v="6"/>
    <n v="8"/>
  </r>
  <r>
    <x v="23"/>
    <x v="23"/>
    <s v="GCI"/>
    <x v="0"/>
    <x v="1"/>
    <x v="1"/>
    <x v="99"/>
    <x v="99"/>
    <x v="16"/>
    <x v="6"/>
    <n v="12"/>
  </r>
  <r>
    <x v="27"/>
    <x v="27"/>
    <s v="GCI"/>
    <x v="0"/>
    <x v="1"/>
    <x v="1"/>
    <x v="100"/>
    <x v="100"/>
    <x v="16"/>
    <x v="6"/>
    <n v="12"/>
  </r>
  <r>
    <x v="25"/>
    <x v="25"/>
    <s v="GCI"/>
    <x v="0"/>
    <x v="1"/>
    <x v="1"/>
    <x v="101"/>
    <x v="101"/>
    <x v="16"/>
    <x v="6"/>
    <n v="22"/>
  </r>
  <r>
    <x v="24"/>
    <x v="24"/>
    <s v="GCI"/>
    <x v="0"/>
    <x v="1"/>
    <x v="1"/>
    <x v="102"/>
    <x v="102"/>
    <x v="16"/>
    <x v="6"/>
    <n v="16"/>
  </r>
  <r>
    <x v="30"/>
    <x v="30"/>
    <s v="GCI"/>
    <x v="0"/>
    <x v="1"/>
    <x v="1"/>
    <x v="103"/>
    <x v="103"/>
    <x v="17"/>
    <x v="6"/>
    <n v="14"/>
  </r>
  <r>
    <x v="32"/>
    <x v="32"/>
    <s v="GCI"/>
    <x v="0"/>
    <x v="1"/>
    <x v="1"/>
    <x v="104"/>
    <x v="104"/>
    <x v="17"/>
    <x v="6"/>
    <n v="27"/>
  </r>
  <r>
    <x v="25"/>
    <x v="25"/>
    <s v="GCI"/>
    <x v="0"/>
    <x v="1"/>
    <x v="1"/>
    <x v="105"/>
    <x v="105"/>
    <x v="18"/>
    <x v="8"/>
    <n v="1"/>
  </r>
  <r>
    <x v="33"/>
    <x v="33"/>
    <s v="GCI"/>
    <x v="0"/>
    <x v="1"/>
    <x v="1"/>
    <x v="106"/>
    <x v="106"/>
    <x v="19"/>
    <x v="0"/>
    <n v="3000"/>
  </r>
  <r>
    <x v="33"/>
    <x v="33"/>
    <s v="GCI"/>
    <x v="0"/>
    <x v="1"/>
    <x v="1"/>
    <x v="106"/>
    <x v="106"/>
    <x v="19"/>
    <x v="7"/>
    <n v="3000"/>
  </r>
  <r>
    <x v="34"/>
    <x v="34"/>
    <s v="GCI"/>
    <x v="0"/>
    <x v="1"/>
    <x v="1"/>
    <x v="107"/>
    <x v="107"/>
    <x v="19"/>
    <x v="7"/>
    <n v="3000"/>
  </r>
  <r>
    <x v="33"/>
    <x v="33"/>
    <s v="GCI"/>
    <x v="0"/>
    <x v="1"/>
    <x v="1"/>
    <x v="108"/>
    <x v="108"/>
    <x v="19"/>
    <x v="1"/>
    <n v="61"/>
  </r>
  <r>
    <x v="33"/>
    <x v="33"/>
    <s v="GCI"/>
    <x v="0"/>
    <x v="1"/>
    <x v="1"/>
    <x v="108"/>
    <x v="108"/>
    <x v="19"/>
    <x v="2"/>
    <n v="14"/>
  </r>
  <r>
    <x v="33"/>
    <x v="33"/>
    <s v="GCI"/>
    <x v="0"/>
    <x v="1"/>
    <x v="1"/>
    <x v="106"/>
    <x v="106"/>
    <x v="19"/>
    <x v="4"/>
    <n v="1"/>
  </r>
  <r>
    <x v="33"/>
    <x v="33"/>
    <s v="GCI"/>
    <x v="0"/>
    <x v="1"/>
    <x v="1"/>
    <x v="106"/>
    <x v="106"/>
    <x v="19"/>
    <x v="6"/>
    <n v="31"/>
  </r>
  <r>
    <x v="33"/>
    <x v="33"/>
    <s v="GCI"/>
    <x v="0"/>
    <x v="1"/>
    <x v="1"/>
    <x v="106"/>
    <x v="106"/>
    <x v="19"/>
    <x v="5"/>
    <n v="4"/>
  </r>
  <r>
    <x v="34"/>
    <x v="34"/>
    <s v="GCI"/>
    <x v="0"/>
    <x v="1"/>
    <x v="1"/>
    <x v="109"/>
    <x v="109"/>
    <x v="19"/>
    <x v="1"/>
    <n v="40"/>
  </r>
  <r>
    <x v="34"/>
    <x v="34"/>
    <s v="GCI"/>
    <x v="0"/>
    <x v="1"/>
    <x v="1"/>
    <x v="109"/>
    <x v="109"/>
    <x v="19"/>
    <x v="2"/>
    <n v="17"/>
  </r>
  <r>
    <x v="34"/>
    <x v="34"/>
    <s v="GCI"/>
    <x v="0"/>
    <x v="1"/>
    <x v="1"/>
    <x v="107"/>
    <x v="107"/>
    <x v="19"/>
    <x v="6"/>
    <n v="33"/>
  </r>
  <r>
    <x v="35"/>
    <x v="35"/>
    <s v="GCI"/>
    <x v="0"/>
    <x v="1"/>
    <x v="1"/>
    <x v="110"/>
    <x v="110"/>
    <x v="20"/>
    <x v="0"/>
    <n v="3000"/>
  </r>
  <r>
    <x v="35"/>
    <x v="35"/>
    <s v="GCI"/>
    <x v="0"/>
    <x v="1"/>
    <x v="1"/>
    <x v="110"/>
    <x v="110"/>
    <x v="20"/>
    <x v="7"/>
    <n v="3000"/>
  </r>
  <r>
    <x v="35"/>
    <x v="35"/>
    <s v="GCI"/>
    <x v="0"/>
    <x v="1"/>
    <x v="1"/>
    <x v="111"/>
    <x v="111"/>
    <x v="20"/>
    <x v="1"/>
    <n v="84"/>
  </r>
  <r>
    <x v="35"/>
    <x v="35"/>
    <s v="GCI"/>
    <x v="0"/>
    <x v="1"/>
    <x v="1"/>
    <x v="111"/>
    <x v="111"/>
    <x v="20"/>
    <x v="2"/>
    <n v="26"/>
  </r>
  <r>
    <x v="35"/>
    <x v="35"/>
    <s v="GCI"/>
    <x v="0"/>
    <x v="1"/>
    <x v="1"/>
    <x v="111"/>
    <x v="111"/>
    <x v="20"/>
    <x v="9"/>
    <n v="2"/>
  </r>
  <r>
    <x v="35"/>
    <x v="35"/>
    <s v="GCI"/>
    <x v="0"/>
    <x v="1"/>
    <x v="1"/>
    <x v="110"/>
    <x v="110"/>
    <x v="20"/>
    <x v="6"/>
    <n v="43"/>
  </r>
  <r>
    <x v="35"/>
    <x v="35"/>
    <s v="GCI"/>
    <x v="0"/>
    <x v="1"/>
    <x v="1"/>
    <x v="112"/>
    <x v="112"/>
    <x v="21"/>
    <x v="8"/>
    <n v="2"/>
  </r>
  <r>
    <x v="35"/>
    <x v="35"/>
    <s v="GCI"/>
    <x v="0"/>
    <x v="1"/>
    <x v="1"/>
    <x v="112"/>
    <x v="112"/>
    <x v="21"/>
    <x v="5"/>
    <n v="8"/>
  </r>
  <r>
    <x v="36"/>
    <x v="36"/>
    <s v="GCI"/>
    <x v="0"/>
    <x v="1"/>
    <x v="1"/>
    <x v="113"/>
    <x v="113"/>
    <x v="22"/>
    <x v="0"/>
    <n v="3000"/>
  </r>
  <r>
    <x v="37"/>
    <x v="37"/>
    <s v="GCI"/>
    <x v="0"/>
    <x v="1"/>
    <x v="1"/>
    <x v="114"/>
    <x v="114"/>
    <x v="22"/>
    <x v="7"/>
    <n v="3000"/>
  </r>
  <r>
    <x v="36"/>
    <x v="36"/>
    <s v="GCI"/>
    <x v="0"/>
    <x v="1"/>
    <x v="1"/>
    <x v="115"/>
    <x v="115"/>
    <x v="22"/>
    <x v="1"/>
    <n v="21"/>
  </r>
  <r>
    <x v="36"/>
    <x v="36"/>
    <s v="GCI"/>
    <x v="0"/>
    <x v="1"/>
    <x v="1"/>
    <x v="115"/>
    <x v="115"/>
    <x v="22"/>
    <x v="2"/>
    <n v="10"/>
  </r>
  <r>
    <x v="36"/>
    <x v="36"/>
    <s v="GCI"/>
    <x v="0"/>
    <x v="1"/>
    <x v="1"/>
    <x v="113"/>
    <x v="113"/>
    <x v="22"/>
    <x v="4"/>
    <n v="1"/>
  </r>
  <r>
    <x v="36"/>
    <x v="36"/>
    <s v="GCI"/>
    <x v="0"/>
    <x v="1"/>
    <x v="1"/>
    <x v="113"/>
    <x v="113"/>
    <x v="22"/>
    <x v="6"/>
    <n v="12"/>
  </r>
  <r>
    <x v="36"/>
    <x v="36"/>
    <s v="GCI"/>
    <x v="0"/>
    <x v="1"/>
    <x v="1"/>
    <x v="113"/>
    <x v="113"/>
    <x v="22"/>
    <x v="5"/>
    <n v="4"/>
  </r>
  <r>
    <x v="37"/>
    <x v="37"/>
    <s v="GCI"/>
    <x v="0"/>
    <x v="1"/>
    <x v="1"/>
    <x v="116"/>
    <x v="116"/>
    <x v="22"/>
    <x v="1"/>
    <n v="45"/>
  </r>
  <r>
    <x v="37"/>
    <x v="37"/>
    <s v="GCI"/>
    <x v="0"/>
    <x v="1"/>
    <x v="1"/>
    <x v="116"/>
    <x v="116"/>
    <x v="22"/>
    <x v="2"/>
    <n v="25"/>
  </r>
  <r>
    <x v="37"/>
    <x v="37"/>
    <s v="GCI"/>
    <x v="0"/>
    <x v="1"/>
    <x v="1"/>
    <x v="114"/>
    <x v="114"/>
    <x v="22"/>
    <x v="6"/>
    <n v="20"/>
  </r>
  <r>
    <x v="38"/>
    <x v="38"/>
    <s v="GCI"/>
    <x v="0"/>
    <x v="1"/>
    <x v="1"/>
    <x v="117"/>
    <x v="117"/>
    <x v="23"/>
    <x v="0"/>
    <n v="3000"/>
  </r>
  <r>
    <x v="39"/>
    <x v="39"/>
    <s v="GCI"/>
    <x v="0"/>
    <x v="1"/>
    <x v="1"/>
    <x v="118"/>
    <x v="118"/>
    <x v="23"/>
    <x v="0"/>
    <n v="3000"/>
  </r>
  <r>
    <x v="39"/>
    <x v="39"/>
    <s v="GCI"/>
    <x v="0"/>
    <x v="1"/>
    <x v="1"/>
    <x v="118"/>
    <x v="118"/>
    <x v="23"/>
    <x v="7"/>
    <n v="3000"/>
  </r>
  <r>
    <x v="40"/>
    <x v="40"/>
    <s v="GCI"/>
    <x v="0"/>
    <x v="1"/>
    <x v="1"/>
    <x v="119"/>
    <x v="119"/>
    <x v="23"/>
    <x v="0"/>
    <n v="3000"/>
  </r>
  <r>
    <x v="38"/>
    <x v="38"/>
    <s v="GCI"/>
    <x v="0"/>
    <x v="1"/>
    <x v="1"/>
    <x v="120"/>
    <x v="120"/>
    <x v="23"/>
    <x v="1"/>
    <n v="14"/>
  </r>
  <r>
    <x v="38"/>
    <x v="38"/>
    <s v="GCI"/>
    <x v="0"/>
    <x v="1"/>
    <x v="1"/>
    <x v="120"/>
    <x v="120"/>
    <x v="23"/>
    <x v="2"/>
    <n v="1"/>
  </r>
  <r>
    <x v="41"/>
    <x v="41"/>
    <s v="GCI"/>
    <x v="0"/>
    <x v="1"/>
    <x v="1"/>
    <x v="121"/>
    <x v="121"/>
    <x v="23"/>
    <x v="1"/>
    <n v="15"/>
  </r>
  <r>
    <x v="41"/>
    <x v="41"/>
    <s v="GCI"/>
    <x v="0"/>
    <x v="1"/>
    <x v="1"/>
    <x v="121"/>
    <x v="121"/>
    <x v="23"/>
    <x v="2"/>
    <n v="1"/>
  </r>
  <r>
    <x v="39"/>
    <x v="39"/>
    <s v="GCI"/>
    <x v="0"/>
    <x v="1"/>
    <x v="1"/>
    <x v="122"/>
    <x v="122"/>
    <x v="23"/>
    <x v="1"/>
    <n v="23"/>
  </r>
  <r>
    <x v="39"/>
    <x v="39"/>
    <s v="GCI"/>
    <x v="0"/>
    <x v="1"/>
    <x v="1"/>
    <x v="122"/>
    <x v="122"/>
    <x v="23"/>
    <x v="2"/>
    <n v="4"/>
  </r>
  <r>
    <x v="39"/>
    <x v="39"/>
    <s v="GCI"/>
    <x v="0"/>
    <x v="1"/>
    <x v="1"/>
    <x v="122"/>
    <x v="122"/>
    <x v="23"/>
    <x v="9"/>
    <n v="1"/>
  </r>
  <r>
    <x v="39"/>
    <x v="39"/>
    <s v="GCI"/>
    <x v="0"/>
    <x v="1"/>
    <x v="1"/>
    <x v="118"/>
    <x v="118"/>
    <x v="23"/>
    <x v="8"/>
    <n v="1"/>
  </r>
  <r>
    <x v="39"/>
    <x v="39"/>
    <s v="GCI"/>
    <x v="0"/>
    <x v="1"/>
    <x v="1"/>
    <x v="118"/>
    <x v="118"/>
    <x v="23"/>
    <x v="5"/>
    <n v="3"/>
  </r>
  <r>
    <x v="42"/>
    <x v="42"/>
    <s v="GCI"/>
    <x v="0"/>
    <x v="1"/>
    <x v="1"/>
    <x v="123"/>
    <x v="123"/>
    <x v="23"/>
    <x v="1"/>
    <n v="15"/>
  </r>
  <r>
    <x v="42"/>
    <x v="42"/>
    <s v="GCI"/>
    <x v="0"/>
    <x v="1"/>
    <x v="1"/>
    <x v="123"/>
    <x v="123"/>
    <x v="23"/>
    <x v="2"/>
    <n v="2"/>
  </r>
  <r>
    <x v="42"/>
    <x v="42"/>
    <s v="GCI"/>
    <x v="0"/>
    <x v="1"/>
    <x v="1"/>
    <x v="123"/>
    <x v="123"/>
    <x v="23"/>
    <x v="9"/>
    <n v="1"/>
  </r>
  <r>
    <x v="42"/>
    <x v="42"/>
    <s v="GCI"/>
    <x v="0"/>
    <x v="1"/>
    <x v="1"/>
    <x v="124"/>
    <x v="124"/>
    <x v="23"/>
    <x v="8"/>
    <n v="1"/>
  </r>
  <r>
    <x v="42"/>
    <x v="42"/>
    <s v="GCI"/>
    <x v="0"/>
    <x v="1"/>
    <x v="1"/>
    <x v="124"/>
    <x v="124"/>
    <x v="23"/>
    <x v="5"/>
    <n v="3"/>
  </r>
  <r>
    <x v="40"/>
    <x v="40"/>
    <s v="GCI"/>
    <x v="0"/>
    <x v="1"/>
    <x v="1"/>
    <x v="125"/>
    <x v="125"/>
    <x v="23"/>
    <x v="1"/>
    <n v="23"/>
  </r>
  <r>
    <x v="40"/>
    <x v="40"/>
    <s v="GCI"/>
    <x v="0"/>
    <x v="1"/>
    <x v="1"/>
    <x v="125"/>
    <x v="125"/>
    <x v="23"/>
    <x v="2"/>
    <n v="2"/>
  </r>
  <r>
    <x v="43"/>
    <x v="43"/>
    <s v="GCI"/>
    <x v="0"/>
    <x v="1"/>
    <x v="1"/>
    <x v="126"/>
    <x v="126"/>
    <x v="23"/>
    <x v="1"/>
    <n v="13"/>
  </r>
  <r>
    <x v="43"/>
    <x v="43"/>
    <s v="GCI"/>
    <x v="0"/>
    <x v="1"/>
    <x v="1"/>
    <x v="126"/>
    <x v="126"/>
    <x v="23"/>
    <x v="2"/>
    <n v="1"/>
  </r>
  <r>
    <x v="44"/>
    <x v="44"/>
    <s v="GCI"/>
    <x v="0"/>
    <x v="1"/>
    <x v="1"/>
    <x v="127"/>
    <x v="127"/>
    <x v="24"/>
    <x v="0"/>
    <n v="3000"/>
  </r>
  <r>
    <x v="44"/>
    <x v="44"/>
    <s v="GCI"/>
    <x v="0"/>
    <x v="1"/>
    <x v="1"/>
    <x v="128"/>
    <x v="128"/>
    <x v="24"/>
    <x v="1"/>
    <n v="125"/>
  </r>
  <r>
    <x v="44"/>
    <x v="44"/>
    <s v="GCI"/>
    <x v="0"/>
    <x v="1"/>
    <x v="1"/>
    <x v="128"/>
    <x v="128"/>
    <x v="24"/>
    <x v="2"/>
    <n v="41"/>
  </r>
  <r>
    <x v="44"/>
    <x v="44"/>
    <s v="GCI"/>
    <x v="0"/>
    <x v="1"/>
    <x v="1"/>
    <x v="127"/>
    <x v="127"/>
    <x v="24"/>
    <x v="8"/>
    <n v="1"/>
  </r>
  <r>
    <x v="44"/>
    <x v="44"/>
    <s v="GCI"/>
    <x v="0"/>
    <x v="1"/>
    <x v="1"/>
    <x v="127"/>
    <x v="127"/>
    <x v="24"/>
    <x v="4"/>
    <n v="1"/>
  </r>
  <r>
    <x v="44"/>
    <x v="44"/>
    <s v="GCI"/>
    <x v="0"/>
    <x v="1"/>
    <x v="1"/>
    <x v="127"/>
    <x v="127"/>
    <x v="24"/>
    <x v="5"/>
    <n v="7"/>
  </r>
  <r>
    <x v="44"/>
    <x v="44"/>
    <s v="GCI"/>
    <x v="0"/>
    <x v="1"/>
    <x v="1"/>
    <x v="127"/>
    <x v="127"/>
    <x v="24"/>
    <x v="7"/>
    <n v="9000"/>
  </r>
  <r>
    <x v="45"/>
    <x v="45"/>
    <s v="GCI"/>
    <x v="0"/>
    <x v="2"/>
    <x v="1"/>
    <x v="129"/>
    <x v="129"/>
    <x v="0"/>
    <x v="1"/>
    <n v="46"/>
  </r>
  <r>
    <x v="45"/>
    <x v="45"/>
    <s v="GCI"/>
    <x v="0"/>
    <x v="2"/>
    <x v="1"/>
    <x v="130"/>
    <x v="130"/>
    <x v="0"/>
    <x v="8"/>
    <n v="1"/>
  </r>
  <r>
    <x v="45"/>
    <x v="45"/>
    <s v="GCI"/>
    <x v="0"/>
    <x v="2"/>
    <x v="1"/>
    <x v="130"/>
    <x v="130"/>
    <x v="0"/>
    <x v="5"/>
    <n v="3"/>
  </r>
  <r>
    <x v="46"/>
    <x v="46"/>
    <s v="GCI"/>
    <x v="0"/>
    <x v="1"/>
    <x v="1"/>
    <x v="131"/>
    <x v="131"/>
    <x v="0"/>
    <x v="0"/>
    <n v="3000"/>
  </r>
  <r>
    <x v="46"/>
    <x v="46"/>
    <s v="GCI"/>
    <x v="0"/>
    <x v="1"/>
    <x v="1"/>
    <x v="131"/>
    <x v="131"/>
    <x v="0"/>
    <x v="7"/>
    <n v="3000"/>
  </r>
  <r>
    <x v="47"/>
    <x v="47"/>
    <s v="GCI"/>
    <x v="0"/>
    <x v="1"/>
    <x v="1"/>
    <x v="132"/>
    <x v="132"/>
    <x v="0"/>
    <x v="0"/>
    <n v="3000"/>
  </r>
  <r>
    <x v="47"/>
    <x v="47"/>
    <s v="GCI"/>
    <x v="0"/>
    <x v="1"/>
    <x v="1"/>
    <x v="132"/>
    <x v="132"/>
    <x v="0"/>
    <x v="7"/>
    <n v="6000"/>
  </r>
  <r>
    <x v="46"/>
    <x v="46"/>
    <s v="GCI"/>
    <x v="0"/>
    <x v="1"/>
    <x v="1"/>
    <x v="133"/>
    <x v="133"/>
    <x v="0"/>
    <x v="1"/>
    <n v="61"/>
  </r>
  <r>
    <x v="46"/>
    <x v="46"/>
    <s v="GCI"/>
    <x v="0"/>
    <x v="1"/>
    <x v="1"/>
    <x v="133"/>
    <x v="133"/>
    <x v="0"/>
    <x v="2"/>
    <n v="9"/>
  </r>
  <r>
    <x v="46"/>
    <x v="46"/>
    <s v="GCI"/>
    <x v="0"/>
    <x v="1"/>
    <x v="1"/>
    <x v="133"/>
    <x v="133"/>
    <x v="0"/>
    <x v="3"/>
    <n v="1"/>
  </r>
  <r>
    <x v="46"/>
    <x v="46"/>
    <s v="GCI"/>
    <x v="0"/>
    <x v="1"/>
    <x v="1"/>
    <x v="131"/>
    <x v="131"/>
    <x v="0"/>
    <x v="4"/>
    <n v="1"/>
  </r>
  <r>
    <x v="46"/>
    <x v="46"/>
    <s v="GCI"/>
    <x v="0"/>
    <x v="1"/>
    <x v="1"/>
    <x v="131"/>
    <x v="131"/>
    <x v="0"/>
    <x v="5"/>
    <n v="3"/>
  </r>
  <r>
    <x v="47"/>
    <x v="47"/>
    <s v="GCI"/>
    <x v="0"/>
    <x v="1"/>
    <x v="1"/>
    <x v="134"/>
    <x v="134"/>
    <x v="0"/>
    <x v="1"/>
    <n v="97"/>
  </r>
  <r>
    <x v="47"/>
    <x v="47"/>
    <s v="GCI"/>
    <x v="0"/>
    <x v="1"/>
    <x v="1"/>
    <x v="134"/>
    <x v="134"/>
    <x v="0"/>
    <x v="2"/>
    <n v="19"/>
  </r>
  <r>
    <x v="47"/>
    <x v="47"/>
    <s v="GCI"/>
    <x v="0"/>
    <x v="1"/>
    <x v="1"/>
    <x v="134"/>
    <x v="134"/>
    <x v="0"/>
    <x v="3"/>
    <n v="7"/>
  </r>
  <r>
    <x v="47"/>
    <x v="47"/>
    <s v="GCI"/>
    <x v="0"/>
    <x v="1"/>
    <x v="1"/>
    <x v="132"/>
    <x v="132"/>
    <x v="0"/>
    <x v="4"/>
    <n v="2"/>
  </r>
  <r>
    <x v="47"/>
    <x v="47"/>
    <s v="GCI"/>
    <x v="0"/>
    <x v="1"/>
    <x v="1"/>
    <x v="132"/>
    <x v="132"/>
    <x v="0"/>
    <x v="5"/>
    <n v="8"/>
  </r>
  <r>
    <x v="44"/>
    <x v="44"/>
    <s v="GCI"/>
    <x v="0"/>
    <x v="1"/>
    <x v="1"/>
    <x v="135"/>
    <x v="135"/>
    <x v="25"/>
    <x v="6"/>
    <n v="49"/>
  </r>
  <r>
    <x v="43"/>
    <x v="43"/>
    <s v="GCI"/>
    <x v="0"/>
    <x v="1"/>
    <x v="1"/>
    <x v="136"/>
    <x v="136"/>
    <x v="25"/>
    <x v="6"/>
    <n v="8"/>
  </r>
  <r>
    <x v="40"/>
    <x v="40"/>
    <s v="GCI"/>
    <x v="0"/>
    <x v="1"/>
    <x v="1"/>
    <x v="137"/>
    <x v="137"/>
    <x v="25"/>
    <x v="6"/>
    <n v="8"/>
  </r>
  <r>
    <x v="42"/>
    <x v="42"/>
    <s v="GCI"/>
    <x v="0"/>
    <x v="1"/>
    <x v="1"/>
    <x v="138"/>
    <x v="138"/>
    <x v="25"/>
    <x v="6"/>
    <n v="7"/>
  </r>
  <r>
    <x v="39"/>
    <x v="39"/>
    <s v="GCI"/>
    <x v="0"/>
    <x v="1"/>
    <x v="1"/>
    <x v="139"/>
    <x v="139"/>
    <x v="25"/>
    <x v="6"/>
    <n v="9"/>
  </r>
  <r>
    <x v="38"/>
    <x v="38"/>
    <s v="GCI"/>
    <x v="0"/>
    <x v="1"/>
    <x v="1"/>
    <x v="140"/>
    <x v="140"/>
    <x v="25"/>
    <x v="6"/>
    <n v="8"/>
  </r>
  <r>
    <x v="48"/>
    <x v="48"/>
    <s v="GCI"/>
    <x v="0"/>
    <x v="3"/>
    <x v="1"/>
    <x v="141"/>
    <x v="141"/>
    <x v="26"/>
    <x v="6"/>
    <n v="23"/>
  </r>
  <r>
    <x v="49"/>
    <x v="49"/>
    <s v="GCI"/>
    <x v="0"/>
    <x v="4"/>
    <x v="1"/>
    <x v="142"/>
    <x v="142"/>
    <x v="1"/>
    <x v="0"/>
    <n v="3000"/>
  </r>
  <r>
    <x v="50"/>
    <x v="50"/>
    <s v="GCI"/>
    <x v="0"/>
    <x v="4"/>
    <x v="1"/>
    <x v="143"/>
    <x v="143"/>
    <x v="1"/>
    <x v="1"/>
    <n v="38"/>
  </r>
  <r>
    <x v="50"/>
    <x v="50"/>
    <s v="GCI"/>
    <x v="0"/>
    <x v="4"/>
    <x v="1"/>
    <x v="143"/>
    <x v="143"/>
    <x v="1"/>
    <x v="2"/>
    <n v="7"/>
  </r>
  <r>
    <x v="50"/>
    <x v="50"/>
    <s v="GCI"/>
    <x v="0"/>
    <x v="4"/>
    <x v="1"/>
    <x v="144"/>
    <x v="144"/>
    <x v="1"/>
    <x v="8"/>
    <n v="1"/>
  </r>
  <r>
    <x v="50"/>
    <x v="50"/>
    <s v="GCI"/>
    <x v="0"/>
    <x v="4"/>
    <x v="1"/>
    <x v="144"/>
    <x v="144"/>
    <x v="1"/>
    <x v="6"/>
    <n v="15"/>
  </r>
  <r>
    <x v="50"/>
    <x v="50"/>
    <s v="GCI"/>
    <x v="0"/>
    <x v="4"/>
    <x v="1"/>
    <x v="144"/>
    <x v="144"/>
    <x v="1"/>
    <x v="5"/>
    <n v="3"/>
  </r>
  <r>
    <x v="49"/>
    <x v="49"/>
    <s v="GCI"/>
    <x v="0"/>
    <x v="4"/>
    <x v="1"/>
    <x v="145"/>
    <x v="145"/>
    <x v="1"/>
    <x v="1"/>
    <n v="23"/>
  </r>
  <r>
    <x v="49"/>
    <x v="49"/>
    <s v="GCI"/>
    <x v="0"/>
    <x v="4"/>
    <x v="1"/>
    <x v="142"/>
    <x v="142"/>
    <x v="1"/>
    <x v="8"/>
    <n v="1"/>
  </r>
  <r>
    <x v="49"/>
    <x v="49"/>
    <s v="GCI"/>
    <x v="0"/>
    <x v="4"/>
    <x v="1"/>
    <x v="142"/>
    <x v="142"/>
    <x v="1"/>
    <x v="6"/>
    <n v="9"/>
  </r>
  <r>
    <x v="49"/>
    <x v="49"/>
    <s v="GCI"/>
    <x v="0"/>
    <x v="4"/>
    <x v="1"/>
    <x v="142"/>
    <x v="142"/>
    <x v="1"/>
    <x v="5"/>
    <n v="3"/>
  </r>
  <r>
    <x v="51"/>
    <x v="51"/>
    <s v="GCI"/>
    <x v="0"/>
    <x v="4"/>
    <x v="1"/>
    <x v="146"/>
    <x v="146"/>
    <x v="1"/>
    <x v="1"/>
    <n v="38"/>
  </r>
  <r>
    <x v="51"/>
    <x v="51"/>
    <s v="GCI"/>
    <x v="0"/>
    <x v="4"/>
    <x v="1"/>
    <x v="147"/>
    <x v="147"/>
    <x v="1"/>
    <x v="8"/>
    <n v="1"/>
  </r>
  <r>
    <x v="51"/>
    <x v="51"/>
    <s v="GCI"/>
    <x v="0"/>
    <x v="4"/>
    <x v="1"/>
    <x v="147"/>
    <x v="147"/>
    <x v="1"/>
    <x v="6"/>
    <n v="8"/>
  </r>
  <r>
    <x v="51"/>
    <x v="51"/>
    <s v="GCI"/>
    <x v="0"/>
    <x v="4"/>
    <x v="1"/>
    <x v="147"/>
    <x v="147"/>
    <x v="1"/>
    <x v="5"/>
    <n v="3"/>
  </r>
  <r>
    <x v="52"/>
    <x v="52"/>
    <s v="GCI"/>
    <x v="0"/>
    <x v="4"/>
    <x v="1"/>
    <x v="148"/>
    <x v="148"/>
    <x v="1"/>
    <x v="1"/>
    <n v="27"/>
  </r>
  <r>
    <x v="52"/>
    <x v="52"/>
    <s v="GCI"/>
    <x v="0"/>
    <x v="4"/>
    <x v="1"/>
    <x v="148"/>
    <x v="148"/>
    <x v="1"/>
    <x v="2"/>
    <n v="2"/>
  </r>
  <r>
    <x v="52"/>
    <x v="52"/>
    <s v="GCI"/>
    <x v="0"/>
    <x v="4"/>
    <x v="1"/>
    <x v="149"/>
    <x v="149"/>
    <x v="1"/>
    <x v="6"/>
    <n v="10"/>
  </r>
  <r>
    <x v="53"/>
    <x v="53"/>
    <s v="GCI"/>
    <x v="0"/>
    <x v="4"/>
    <x v="1"/>
    <x v="150"/>
    <x v="150"/>
    <x v="1"/>
    <x v="1"/>
    <n v="19"/>
  </r>
  <r>
    <x v="53"/>
    <x v="53"/>
    <s v="GCI"/>
    <x v="0"/>
    <x v="4"/>
    <x v="1"/>
    <x v="150"/>
    <x v="150"/>
    <x v="1"/>
    <x v="2"/>
    <n v="3"/>
  </r>
  <r>
    <x v="53"/>
    <x v="53"/>
    <s v="GCI"/>
    <x v="0"/>
    <x v="4"/>
    <x v="1"/>
    <x v="151"/>
    <x v="151"/>
    <x v="1"/>
    <x v="8"/>
    <n v="1"/>
  </r>
  <r>
    <x v="53"/>
    <x v="53"/>
    <s v="GCI"/>
    <x v="0"/>
    <x v="4"/>
    <x v="1"/>
    <x v="151"/>
    <x v="151"/>
    <x v="1"/>
    <x v="6"/>
    <n v="6"/>
  </r>
  <r>
    <x v="53"/>
    <x v="53"/>
    <s v="GCI"/>
    <x v="0"/>
    <x v="4"/>
    <x v="1"/>
    <x v="151"/>
    <x v="151"/>
    <x v="1"/>
    <x v="5"/>
    <n v="3"/>
  </r>
  <r>
    <x v="54"/>
    <x v="54"/>
    <s v="GCI"/>
    <x v="0"/>
    <x v="4"/>
    <x v="1"/>
    <x v="152"/>
    <x v="152"/>
    <x v="1"/>
    <x v="1"/>
    <n v="20"/>
  </r>
  <r>
    <x v="54"/>
    <x v="54"/>
    <s v="GCI"/>
    <x v="0"/>
    <x v="4"/>
    <x v="1"/>
    <x v="152"/>
    <x v="152"/>
    <x v="1"/>
    <x v="2"/>
    <n v="4"/>
  </r>
  <r>
    <x v="54"/>
    <x v="54"/>
    <s v="GCI"/>
    <x v="0"/>
    <x v="4"/>
    <x v="1"/>
    <x v="153"/>
    <x v="153"/>
    <x v="1"/>
    <x v="6"/>
    <n v="6"/>
  </r>
  <r>
    <x v="55"/>
    <x v="55"/>
    <s v="GCI"/>
    <x v="0"/>
    <x v="1"/>
    <x v="1"/>
    <x v="154"/>
    <x v="154"/>
    <x v="1"/>
    <x v="1"/>
    <n v="24"/>
  </r>
  <r>
    <x v="55"/>
    <x v="55"/>
    <s v="GCI"/>
    <x v="0"/>
    <x v="1"/>
    <x v="1"/>
    <x v="154"/>
    <x v="154"/>
    <x v="1"/>
    <x v="2"/>
    <n v="1"/>
  </r>
  <r>
    <x v="55"/>
    <x v="55"/>
    <s v="GCI"/>
    <x v="0"/>
    <x v="1"/>
    <x v="1"/>
    <x v="155"/>
    <x v="155"/>
    <x v="1"/>
    <x v="9"/>
    <n v="1"/>
  </r>
  <r>
    <x v="55"/>
    <x v="55"/>
    <s v="GCI"/>
    <x v="0"/>
    <x v="1"/>
    <x v="1"/>
    <x v="156"/>
    <x v="156"/>
    <x v="1"/>
    <x v="8"/>
    <n v="1"/>
  </r>
  <r>
    <x v="55"/>
    <x v="55"/>
    <s v="GCI"/>
    <x v="0"/>
    <x v="1"/>
    <x v="1"/>
    <x v="156"/>
    <x v="156"/>
    <x v="1"/>
    <x v="6"/>
    <n v="16"/>
  </r>
  <r>
    <x v="55"/>
    <x v="55"/>
    <s v="GCI"/>
    <x v="0"/>
    <x v="1"/>
    <x v="1"/>
    <x v="156"/>
    <x v="156"/>
    <x v="1"/>
    <x v="5"/>
    <n v="3"/>
  </r>
  <r>
    <x v="56"/>
    <x v="56"/>
    <s v="GCI"/>
    <x v="0"/>
    <x v="1"/>
    <x v="1"/>
    <x v="157"/>
    <x v="157"/>
    <x v="1"/>
    <x v="1"/>
    <n v="14"/>
  </r>
  <r>
    <x v="56"/>
    <x v="56"/>
    <s v="GCI"/>
    <x v="0"/>
    <x v="1"/>
    <x v="1"/>
    <x v="157"/>
    <x v="157"/>
    <x v="1"/>
    <x v="2"/>
    <n v="1"/>
  </r>
  <r>
    <x v="56"/>
    <x v="56"/>
    <s v="GCI"/>
    <x v="0"/>
    <x v="1"/>
    <x v="1"/>
    <x v="158"/>
    <x v="158"/>
    <x v="1"/>
    <x v="9"/>
    <n v="1"/>
  </r>
  <r>
    <x v="56"/>
    <x v="56"/>
    <s v="GCI"/>
    <x v="0"/>
    <x v="1"/>
    <x v="1"/>
    <x v="159"/>
    <x v="159"/>
    <x v="1"/>
    <x v="8"/>
    <n v="1"/>
  </r>
  <r>
    <x v="56"/>
    <x v="56"/>
    <s v="GCI"/>
    <x v="0"/>
    <x v="1"/>
    <x v="1"/>
    <x v="159"/>
    <x v="159"/>
    <x v="1"/>
    <x v="6"/>
    <n v="8"/>
  </r>
  <r>
    <x v="56"/>
    <x v="56"/>
    <s v="GCI"/>
    <x v="0"/>
    <x v="1"/>
    <x v="1"/>
    <x v="159"/>
    <x v="159"/>
    <x v="1"/>
    <x v="5"/>
    <n v="3"/>
  </r>
  <r>
    <x v="34"/>
    <x v="34"/>
    <s v="GCI"/>
    <x v="0"/>
    <x v="1"/>
    <x v="1"/>
    <x v="160"/>
    <x v="160"/>
    <x v="1"/>
    <x v="8"/>
    <n v="2"/>
  </r>
  <r>
    <x v="34"/>
    <x v="34"/>
    <s v="GCI"/>
    <x v="0"/>
    <x v="1"/>
    <x v="1"/>
    <x v="160"/>
    <x v="160"/>
    <x v="1"/>
    <x v="5"/>
    <n v="6"/>
  </r>
  <r>
    <x v="46"/>
    <x v="46"/>
    <s v="GCI"/>
    <x v="0"/>
    <x v="1"/>
    <x v="1"/>
    <x v="161"/>
    <x v="161"/>
    <x v="1"/>
    <x v="6"/>
    <n v="36"/>
  </r>
  <r>
    <x v="47"/>
    <x v="47"/>
    <s v="GCI"/>
    <x v="0"/>
    <x v="1"/>
    <x v="1"/>
    <x v="162"/>
    <x v="162"/>
    <x v="1"/>
    <x v="6"/>
    <n v="55"/>
  </r>
  <r>
    <x v="51"/>
    <x v="51"/>
    <s v="GCI"/>
    <x v="0"/>
    <x v="4"/>
    <x v="1"/>
    <x v="163"/>
    <x v="163"/>
    <x v="27"/>
    <x v="0"/>
    <n v="3000"/>
  </r>
  <r>
    <x v="51"/>
    <x v="51"/>
    <s v="GCI"/>
    <x v="0"/>
    <x v="4"/>
    <x v="1"/>
    <x v="163"/>
    <x v="163"/>
    <x v="27"/>
    <x v="7"/>
    <n v="3000"/>
  </r>
  <r>
    <x v="50"/>
    <x v="50"/>
    <s v="GCI"/>
    <x v="0"/>
    <x v="4"/>
    <x v="1"/>
    <x v="164"/>
    <x v="164"/>
    <x v="27"/>
    <x v="7"/>
    <n v="3000"/>
  </r>
  <r>
    <x v="55"/>
    <x v="55"/>
    <s v="GCI"/>
    <x v="0"/>
    <x v="1"/>
    <x v="1"/>
    <x v="165"/>
    <x v="165"/>
    <x v="28"/>
    <x v="7"/>
    <n v="3000"/>
  </r>
  <r>
    <x v="57"/>
    <x v="57"/>
    <s v="GCI"/>
    <x v="0"/>
    <x v="1"/>
    <x v="1"/>
    <x v="166"/>
    <x v="166"/>
    <x v="28"/>
    <x v="1"/>
    <n v="39"/>
  </r>
  <r>
    <x v="57"/>
    <x v="57"/>
    <s v="GCI"/>
    <x v="0"/>
    <x v="1"/>
    <x v="1"/>
    <x v="166"/>
    <x v="166"/>
    <x v="28"/>
    <x v="2"/>
    <n v="6"/>
  </r>
  <r>
    <x v="57"/>
    <x v="57"/>
    <s v="GCI"/>
    <x v="0"/>
    <x v="1"/>
    <x v="1"/>
    <x v="167"/>
    <x v="167"/>
    <x v="28"/>
    <x v="9"/>
    <n v="1"/>
  </r>
  <r>
    <x v="57"/>
    <x v="57"/>
    <s v="GCI"/>
    <x v="0"/>
    <x v="1"/>
    <x v="1"/>
    <x v="168"/>
    <x v="168"/>
    <x v="28"/>
    <x v="8"/>
    <n v="1"/>
  </r>
  <r>
    <x v="57"/>
    <x v="57"/>
    <s v="GCI"/>
    <x v="0"/>
    <x v="1"/>
    <x v="1"/>
    <x v="168"/>
    <x v="168"/>
    <x v="28"/>
    <x v="6"/>
    <n v="16"/>
  </r>
  <r>
    <x v="57"/>
    <x v="57"/>
    <s v="GCI"/>
    <x v="0"/>
    <x v="1"/>
    <x v="1"/>
    <x v="168"/>
    <x v="168"/>
    <x v="28"/>
    <x v="5"/>
    <n v="3"/>
  </r>
  <r>
    <x v="58"/>
    <x v="58"/>
    <s v="GCI"/>
    <x v="0"/>
    <x v="1"/>
    <x v="1"/>
    <x v="169"/>
    <x v="169"/>
    <x v="28"/>
    <x v="1"/>
    <n v="23"/>
  </r>
  <r>
    <x v="58"/>
    <x v="58"/>
    <s v="GCI"/>
    <x v="0"/>
    <x v="1"/>
    <x v="1"/>
    <x v="169"/>
    <x v="169"/>
    <x v="28"/>
    <x v="2"/>
    <n v="4"/>
  </r>
  <r>
    <x v="58"/>
    <x v="58"/>
    <s v="GCI"/>
    <x v="0"/>
    <x v="1"/>
    <x v="1"/>
    <x v="170"/>
    <x v="170"/>
    <x v="28"/>
    <x v="6"/>
    <n v="10"/>
  </r>
  <r>
    <x v="59"/>
    <x v="59"/>
    <s v="GCI"/>
    <x v="0"/>
    <x v="1"/>
    <x v="1"/>
    <x v="171"/>
    <x v="171"/>
    <x v="28"/>
    <x v="1"/>
    <n v="23"/>
  </r>
  <r>
    <x v="59"/>
    <x v="59"/>
    <s v="GCI"/>
    <x v="0"/>
    <x v="1"/>
    <x v="1"/>
    <x v="171"/>
    <x v="171"/>
    <x v="28"/>
    <x v="2"/>
    <n v="3"/>
  </r>
  <r>
    <x v="59"/>
    <x v="59"/>
    <s v="GCI"/>
    <x v="0"/>
    <x v="1"/>
    <x v="1"/>
    <x v="172"/>
    <x v="172"/>
    <x v="28"/>
    <x v="8"/>
    <n v="1"/>
  </r>
  <r>
    <x v="59"/>
    <x v="59"/>
    <s v="GCI"/>
    <x v="0"/>
    <x v="1"/>
    <x v="1"/>
    <x v="172"/>
    <x v="172"/>
    <x v="28"/>
    <x v="6"/>
    <n v="9"/>
  </r>
  <r>
    <x v="59"/>
    <x v="59"/>
    <s v="GCI"/>
    <x v="0"/>
    <x v="1"/>
    <x v="1"/>
    <x v="172"/>
    <x v="172"/>
    <x v="28"/>
    <x v="5"/>
    <n v="3"/>
  </r>
  <r>
    <x v="60"/>
    <x v="60"/>
    <s v="GCI"/>
    <x v="0"/>
    <x v="1"/>
    <x v="1"/>
    <x v="173"/>
    <x v="173"/>
    <x v="28"/>
    <x v="1"/>
    <n v="11"/>
  </r>
  <r>
    <x v="60"/>
    <x v="60"/>
    <s v="GCI"/>
    <x v="0"/>
    <x v="1"/>
    <x v="1"/>
    <x v="173"/>
    <x v="173"/>
    <x v="28"/>
    <x v="2"/>
    <n v="1"/>
  </r>
  <r>
    <x v="60"/>
    <x v="60"/>
    <s v="GCI"/>
    <x v="0"/>
    <x v="1"/>
    <x v="1"/>
    <x v="174"/>
    <x v="174"/>
    <x v="28"/>
    <x v="9"/>
    <n v="1"/>
  </r>
  <r>
    <x v="60"/>
    <x v="60"/>
    <s v="GCI"/>
    <x v="0"/>
    <x v="1"/>
    <x v="1"/>
    <x v="175"/>
    <x v="175"/>
    <x v="28"/>
    <x v="8"/>
    <n v="1"/>
  </r>
  <r>
    <x v="60"/>
    <x v="60"/>
    <s v="GCI"/>
    <x v="0"/>
    <x v="1"/>
    <x v="1"/>
    <x v="175"/>
    <x v="175"/>
    <x v="28"/>
    <x v="6"/>
    <n v="5"/>
  </r>
  <r>
    <x v="60"/>
    <x v="60"/>
    <s v="GCI"/>
    <x v="0"/>
    <x v="1"/>
    <x v="1"/>
    <x v="175"/>
    <x v="175"/>
    <x v="28"/>
    <x v="5"/>
    <n v="3"/>
  </r>
  <r>
    <x v="61"/>
    <x v="61"/>
    <s v="GCI"/>
    <x v="0"/>
    <x v="1"/>
    <x v="1"/>
    <x v="176"/>
    <x v="176"/>
    <x v="28"/>
    <x v="1"/>
    <n v="10"/>
  </r>
  <r>
    <x v="61"/>
    <x v="61"/>
    <s v="GCI"/>
    <x v="0"/>
    <x v="1"/>
    <x v="1"/>
    <x v="176"/>
    <x v="176"/>
    <x v="28"/>
    <x v="2"/>
    <n v="3"/>
  </r>
  <r>
    <x v="61"/>
    <x v="61"/>
    <s v="GCI"/>
    <x v="0"/>
    <x v="1"/>
    <x v="1"/>
    <x v="177"/>
    <x v="177"/>
    <x v="28"/>
    <x v="6"/>
    <n v="6"/>
  </r>
  <r>
    <x v="62"/>
    <x v="62"/>
    <s v="GCI"/>
    <x v="0"/>
    <x v="1"/>
    <x v="1"/>
    <x v="178"/>
    <x v="178"/>
    <x v="28"/>
    <x v="1"/>
    <n v="9"/>
  </r>
  <r>
    <x v="62"/>
    <x v="62"/>
    <s v="GCI"/>
    <x v="0"/>
    <x v="1"/>
    <x v="1"/>
    <x v="178"/>
    <x v="178"/>
    <x v="28"/>
    <x v="2"/>
    <n v="3"/>
  </r>
  <r>
    <x v="62"/>
    <x v="62"/>
    <s v="GCI"/>
    <x v="0"/>
    <x v="1"/>
    <x v="1"/>
    <x v="179"/>
    <x v="179"/>
    <x v="28"/>
    <x v="6"/>
    <n v="9"/>
  </r>
  <r>
    <x v="63"/>
    <x v="63"/>
    <s v="GCI"/>
    <x v="0"/>
    <x v="1"/>
    <x v="1"/>
    <x v="180"/>
    <x v="180"/>
    <x v="28"/>
    <x v="1"/>
    <n v="44"/>
  </r>
  <r>
    <x v="63"/>
    <x v="63"/>
    <s v="GCI"/>
    <x v="0"/>
    <x v="1"/>
    <x v="1"/>
    <x v="180"/>
    <x v="180"/>
    <x v="28"/>
    <x v="2"/>
    <n v="6"/>
  </r>
  <r>
    <x v="63"/>
    <x v="63"/>
    <s v="GCI"/>
    <x v="0"/>
    <x v="1"/>
    <x v="1"/>
    <x v="181"/>
    <x v="181"/>
    <x v="28"/>
    <x v="8"/>
    <n v="1"/>
  </r>
  <r>
    <x v="63"/>
    <x v="63"/>
    <s v="GCI"/>
    <x v="0"/>
    <x v="1"/>
    <x v="1"/>
    <x v="181"/>
    <x v="181"/>
    <x v="28"/>
    <x v="6"/>
    <n v="4"/>
  </r>
  <r>
    <x v="63"/>
    <x v="63"/>
    <s v="GCI"/>
    <x v="0"/>
    <x v="1"/>
    <x v="1"/>
    <x v="181"/>
    <x v="181"/>
    <x v="28"/>
    <x v="5"/>
    <n v="3"/>
  </r>
  <r>
    <x v="64"/>
    <x v="64"/>
    <s v="GCI"/>
    <x v="0"/>
    <x v="1"/>
    <x v="1"/>
    <x v="182"/>
    <x v="182"/>
    <x v="28"/>
    <x v="1"/>
    <n v="48"/>
  </r>
  <r>
    <x v="64"/>
    <x v="64"/>
    <s v="GCI"/>
    <x v="0"/>
    <x v="1"/>
    <x v="1"/>
    <x v="182"/>
    <x v="182"/>
    <x v="28"/>
    <x v="2"/>
    <n v="2"/>
  </r>
  <r>
    <x v="64"/>
    <x v="64"/>
    <s v="GCI"/>
    <x v="0"/>
    <x v="1"/>
    <x v="1"/>
    <x v="183"/>
    <x v="183"/>
    <x v="28"/>
    <x v="9"/>
    <n v="1"/>
  </r>
  <r>
    <x v="64"/>
    <x v="64"/>
    <s v="GCI"/>
    <x v="0"/>
    <x v="1"/>
    <x v="1"/>
    <x v="184"/>
    <x v="184"/>
    <x v="28"/>
    <x v="8"/>
    <n v="1"/>
  </r>
  <r>
    <x v="64"/>
    <x v="64"/>
    <s v="GCI"/>
    <x v="0"/>
    <x v="1"/>
    <x v="1"/>
    <x v="184"/>
    <x v="184"/>
    <x v="28"/>
    <x v="5"/>
    <n v="3"/>
  </r>
  <r>
    <x v="65"/>
    <x v="65"/>
    <s v="GCI"/>
    <x v="0"/>
    <x v="1"/>
    <x v="1"/>
    <x v="185"/>
    <x v="185"/>
    <x v="28"/>
    <x v="1"/>
    <n v="43"/>
  </r>
  <r>
    <x v="65"/>
    <x v="65"/>
    <s v="GCI"/>
    <x v="0"/>
    <x v="1"/>
    <x v="1"/>
    <x v="185"/>
    <x v="185"/>
    <x v="28"/>
    <x v="2"/>
    <n v="1"/>
  </r>
  <r>
    <x v="65"/>
    <x v="65"/>
    <s v="GCI"/>
    <x v="0"/>
    <x v="1"/>
    <x v="1"/>
    <x v="186"/>
    <x v="186"/>
    <x v="28"/>
    <x v="8"/>
    <n v="1"/>
  </r>
  <r>
    <x v="65"/>
    <x v="65"/>
    <s v="GCI"/>
    <x v="0"/>
    <x v="1"/>
    <x v="1"/>
    <x v="186"/>
    <x v="186"/>
    <x v="28"/>
    <x v="5"/>
    <n v="3"/>
  </r>
  <r>
    <x v="66"/>
    <x v="66"/>
    <s v="GCI"/>
    <x v="0"/>
    <x v="1"/>
    <x v="1"/>
    <x v="187"/>
    <x v="187"/>
    <x v="28"/>
    <x v="1"/>
    <n v="25"/>
  </r>
  <r>
    <x v="66"/>
    <x v="66"/>
    <s v="GCI"/>
    <x v="0"/>
    <x v="1"/>
    <x v="1"/>
    <x v="187"/>
    <x v="187"/>
    <x v="28"/>
    <x v="2"/>
    <n v="4"/>
  </r>
  <r>
    <x v="66"/>
    <x v="66"/>
    <s v="GCI"/>
    <x v="0"/>
    <x v="1"/>
    <x v="1"/>
    <x v="188"/>
    <x v="188"/>
    <x v="28"/>
    <x v="9"/>
    <n v="1"/>
  </r>
  <r>
    <x v="66"/>
    <x v="66"/>
    <s v="GCI"/>
    <x v="0"/>
    <x v="1"/>
    <x v="1"/>
    <x v="189"/>
    <x v="189"/>
    <x v="28"/>
    <x v="8"/>
    <n v="1"/>
  </r>
  <r>
    <x v="66"/>
    <x v="66"/>
    <s v="GCI"/>
    <x v="0"/>
    <x v="1"/>
    <x v="1"/>
    <x v="189"/>
    <x v="189"/>
    <x v="28"/>
    <x v="5"/>
    <n v="3"/>
  </r>
  <r>
    <x v="63"/>
    <x v="63"/>
    <s v="GCI"/>
    <x v="0"/>
    <x v="1"/>
    <x v="1"/>
    <x v="190"/>
    <x v="190"/>
    <x v="29"/>
    <x v="0"/>
    <n v="3000"/>
  </r>
  <r>
    <x v="63"/>
    <x v="63"/>
    <s v="GCI"/>
    <x v="0"/>
    <x v="1"/>
    <x v="1"/>
    <x v="190"/>
    <x v="190"/>
    <x v="29"/>
    <x v="7"/>
    <n v="3000"/>
  </r>
  <r>
    <x v="64"/>
    <x v="64"/>
    <s v="GCI"/>
    <x v="0"/>
    <x v="1"/>
    <x v="1"/>
    <x v="191"/>
    <x v="191"/>
    <x v="29"/>
    <x v="7"/>
    <n v="3000"/>
  </r>
  <r>
    <x v="59"/>
    <x v="59"/>
    <s v="GCI"/>
    <x v="0"/>
    <x v="1"/>
    <x v="1"/>
    <x v="192"/>
    <x v="192"/>
    <x v="29"/>
    <x v="0"/>
    <n v="3000"/>
  </r>
  <r>
    <x v="59"/>
    <x v="59"/>
    <s v="GCI"/>
    <x v="0"/>
    <x v="1"/>
    <x v="1"/>
    <x v="192"/>
    <x v="192"/>
    <x v="29"/>
    <x v="7"/>
    <n v="3000"/>
  </r>
  <r>
    <x v="67"/>
    <x v="67"/>
    <s v="GCI"/>
    <x v="0"/>
    <x v="1"/>
    <x v="1"/>
    <x v="193"/>
    <x v="193"/>
    <x v="29"/>
    <x v="6"/>
    <n v="6"/>
  </r>
  <r>
    <x v="63"/>
    <x v="63"/>
    <s v="GCI"/>
    <x v="0"/>
    <x v="1"/>
    <x v="1"/>
    <x v="190"/>
    <x v="190"/>
    <x v="29"/>
    <x v="6"/>
    <n v="12"/>
  </r>
  <r>
    <x v="64"/>
    <x v="64"/>
    <s v="GCI"/>
    <x v="0"/>
    <x v="1"/>
    <x v="1"/>
    <x v="191"/>
    <x v="191"/>
    <x v="29"/>
    <x v="6"/>
    <n v="24"/>
  </r>
  <r>
    <x v="65"/>
    <x v="65"/>
    <s v="GCI"/>
    <x v="0"/>
    <x v="1"/>
    <x v="1"/>
    <x v="194"/>
    <x v="194"/>
    <x v="29"/>
    <x v="6"/>
    <n v="14"/>
  </r>
  <r>
    <x v="66"/>
    <x v="66"/>
    <s v="GCI"/>
    <x v="0"/>
    <x v="1"/>
    <x v="1"/>
    <x v="195"/>
    <x v="195"/>
    <x v="29"/>
    <x v="6"/>
    <n v="16"/>
  </r>
  <r>
    <x v="58"/>
    <x v="58"/>
    <s v="GCI"/>
    <x v="0"/>
    <x v="1"/>
    <x v="1"/>
    <x v="196"/>
    <x v="196"/>
    <x v="3"/>
    <x v="0"/>
    <n v="3000"/>
  </r>
  <r>
    <x v="64"/>
    <x v="64"/>
    <s v="GCI"/>
    <x v="0"/>
    <x v="1"/>
    <x v="1"/>
    <x v="197"/>
    <x v="197"/>
    <x v="3"/>
    <x v="0"/>
    <n v="3000"/>
  </r>
  <r>
    <x v="57"/>
    <x v="57"/>
    <s v="GCI"/>
    <x v="0"/>
    <x v="1"/>
    <x v="1"/>
    <x v="198"/>
    <x v="198"/>
    <x v="30"/>
    <x v="0"/>
    <n v="3000"/>
  </r>
  <r>
    <x v="57"/>
    <x v="57"/>
    <s v="GCI"/>
    <x v="0"/>
    <x v="1"/>
    <x v="1"/>
    <x v="199"/>
    <x v="199"/>
    <x v="31"/>
    <x v="7"/>
    <n v="3000"/>
  </r>
  <r>
    <x v="68"/>
    <x v="68"/>
    <s v="GCI"/>
    <x v="0"/>
    <x v="1"/>
    <x v="1"/>
    <x v="200"/>
    <x v="200"/>
    <x v="32"/>
    <x v="0"/>
    <n v="3000"/>
  </r>
  <r>
    <x v="69"/>
    <x v="69"/>
    <s v="GCI"/>
    <x v="0"/>
    <x v="1"/>
    <x v="1"/>
    <x v="201"/>
    <x v="201"/>
    <x v="32"/>
    <x v="0"/>
    <n v="3000"/>
  </r>
  <r>
    <x v="70"/>
    <x v="70"/>
    <s v="GCI"/>
    <x v="0"/>
    <x v="1"/>
    <x v="1"/>
    <x v="202"/>
    <x v="202"/>
    <x v="32"/>
    <x v="7"/>
    <n v="3000"/>
  </r>
  <r>
    <x v="71"/>
    <x v="71"/>
    <s v="GCI"/>
    <x v="0"/>
    <x v="1"/>
    <x v="1"/>
    <x v="203"/>
    <x v="203"/>
    <x v="32"/>
    <x v="7"/>
    <n v="3000"/>
  </r>
  <r>
    <x v="71"/>
    <x v="71"/>
    <s v="GCI"/>
    <x v="0"/>
    <x v="1"/>
    <x v="1"/>
    <x v="203"/>
    <x v="203"/>
    <x v="32"/>
    <x v="0"/>
    <n v="6000"/>
  </r>
  <r>
    <x v="68"/>
    <x v="68"/>
    <s v="GCI"/>
    <x v="0"/>
    <x v="1"/>
    <x v="1"/>
    <x v="204"/>
    <x v="204"/>
    <x v="32"/>
    <x v="1"/>
    <n v="31"/>
  </r>
  <r>
    <x v="68"/>
    <x v="68"/>
    <s v="GCI"/>
    <x v="0"/>
    <x v="1"/>
    <x v="1"/>
    <x v="204"/>
    <x v="204"/>
    <x v="32"/>
    <x v="2"/>
    <n v="4"/>
  </r>
  <r>
    <x v="68"/>
    <x v="68"/>
    <s v="GCI"/>
    <x v="0"/>
    <x v="1"/>
    <x v="1"/>
    <x v="200"/>
    <x v="200"/>
    <x v="32"/>
    <x v="8"/>
    <n v="1"/>
  </r>
  <r>
    <x v="68"/>
    <x v="68"/>
    <s v="GCI"/>
    <x v="0"/>
    <x v="1"/>
    <x v="1"/>
    <x v="200"/>
    <x v="200"/>
    <x v="32"/>
    <x v="6"/>
    <n v="18"/>
  </r>
  <r>
    <x v="72"/>
    <x v="72"/>
    <s v="GCI"/>
    <x v="0"/>
    <x v="1"/>
    <x v="1"/>
    <x v="205"/>
    <x v="205"/>
    <x v="32"/>
    <x v="1"/>
    <n v="23"/>
  </r>
  <r>
    <x v="72"/>
    <x v="72"/>
    <s v="GCI"/>
    <x v="0"/>
    <x v="1"/>
    <x v="1"/>
    <x v="205"/>
    <x v="205"/>
    <x v="32"/>
    <x v="2"/>
    <n v="3"/>
  </r>
  <r>
    <x v="72"/>
    <x v="72"/>
    <s v="GCI"/>
    <x v="0"/>
    <x v="1"/>
    <x v="1"/>
    <x v="206"/>
    <x v="206"/>
    <x v="32"/>
    <x v="9"/>
    <n v="1"/>
  </r>
  <r>
    <x v="72"/>
    <x v="72"/>
    <s v="GCI"/>
    <x v="0"/>
    <x v="1"/>
    <x v="1"/>
    <x v="207"/>
    <x v="207"/>
    <x v="32"/>
    <x v="8"/>
    <n v="1"/>
  </r>
  <r>
    <x v="72"/>
    <x v="72"/>
    <s v="GCI"/>
    <x v="0"/>
    <x v="1"/>
    <x v="1"/>
    <x v="207"/>
    <x v="207"/>
    <x v="32"/>
    <x v="6"/>
    <n v="16"/>
  </r>
  <r>
    <x v="69"/>
    <x v="69"/>
    <s v="GCI"/>
    <x v="0"/>
    <x v="1"/>
    <x v="1"/>
    <x v="208"/>
    <x v="208"/>
    <x v="32"/>
    <x v="1"/>
    <n v="20"/>
  </r>
  <r>
    <x v="69"/>
    <x v="69"/>
    <s v="GCI"/>
    <x v="0"/>
    <x v="1"/>
    <x v="1"/>
    <x v="208"/>
    <x v="208"/>
    <x v="32"/>
    <x v="2"/>
    <n v="4"/>
  </r>
  <r>
    <x v="69"/>
    <x v="69"/>
    <s v="GCI"/>
    <x v="0"/>
    <x v="1"/>
    <x v="1"/>
    <x v="201"/>
    <x v="201"/>
    <x v="32"/>
    <x v="8"/>
    <n v="1"/>
  </r>
  <r>
    <x v="69"/>
    <x v="69"/>
    <s v="GCI"/>
    <x v="0"/>
    <x v="1"/>
    <x v="1"/>
    <x v="201"/>
    <x v="201"/>
    <x v="32"/>
    <x v="6"/>
    <n v="10"/>
  </r>
  <r>
    <x v="70"/>
    <x v="70"/>
    <s v="GCI"/>
    <x v="0"/>
    <x v="1"/>
    <x v="1"/>
    <x v="209"/>
    <x v="209"/>
    <x v="32"/>
    <x v="1"/>
    <n v="11"/>
  </r>
  <r>
    <x v="70"/>
    <x v="70"/>
    <s v="GCI"/>
    <x v="0"/>
    <x v="1"/>
    <x v="1"/>
    <x v="209"/>
    <x v="209"/>
    <x v="32"/>
    <x v="2"/>
    <n v="6"/>
  </r>
  <r>
    <x v="70"/>
    <x v="70"/>
    <s v="GCI"/>
    <x v="0"/>
    <x v="1"/>
    <x v="1"/>
    <x v="210"/>
    <x v="210"/>
    <x v="32"/>
    <x v="9"/>
    <n v="1"/>
  </r>
  <r>
    <x v="70"/>
    <x v="70"/>
    <s v="GCI"/>
    <x v="0"/>
    <x v="1"/>
    <x v="1"/>
    <x v="202"/>
    <x v="202"/>
    <x v="32"/>
    <x v="8"/>
    <n v="1"/>
  </r>
  <r>
    <x v="70"/>
    <x v="70"/>
    <s v="GCI"/>
    <x v="0"/>
    <x v="1"/>
    <x v="1"/>
    <x v="202"/>
    <x v="202"/>
    <x v="32"/>
    <x v="6"/>
    <n v="11"/>
  </r>
  <r>
    <x v="71"/>
    <x v="71"/>
    <s v="GCI"/>
    <x v="0"/>
    <x v="1"/>
    <x v="1"/>
    <x v="211"/>
    <x v="211"/>
    <x v="32"/>
    <x v="1"/>
    <n v="123"/>
  </r>
  <r>
    <x v="71"/>
    <x v="71"/>
    <s v="GCI"/>
    <x v="0"/>
    <x v="1"/>
    <x v="1"/>
    <x v="211"/>
    <x v="211"/>
    <x v="32"/>
    <x v="2"/>
    <n v="24"/>
  </r>
  <r>
    <x v="71"/>
    <x v="71"/>
    <s v="GCI"/>
    <x v="0"/>
    <x v="1"/>
    <x v="1"/>
    <x v="212"/>
    <x v="212"/>
    <x v="32"/>
    <x v="9"/>
    <n v="1"/>
  </r>
  <r>
    <x v="71"/>
    <x v="71"/>
    <s v="GCI"/>
    <x v="0"/>
    <x v="1"/>
    <x v="1"/>
    <x v="203"/>
    <x v="203"/>
    <x v="32"/>
    <x v="8"/>
    <n v="3"/>
  </r>
  <r>
    <x v="71"/>
    <x v="71"/>
    <s v="GCI"/>
    <x v="0"/>
    <x v="1"/>
    <x v="1"/>
    <x v="203"/>
    <x v="203"/>
    <x v="32"/>
    <x v="6"/>
    <n v="53"/>
  </r>
  <r>
    <x v="73"/>
    <x v="73"/>
    <s v="GCI"/>
    <x v="0"/>
    <x v="1"/>
    <x v="1"/>
    <x v="213"/>
    <x v="213"/>
    <x v="33"/>
    <x v="1"/>
    <n v="289"/>
  </r>
  <r>
    <x v="73"/>
    <x v="73"/>
    <s v="GCI"/>
    <x v="0"/>
    <x v="1"/>
    <x v="1"/>
    <x v="213"/>
    <x v="213"/>
    <x v="33"/>
    <x v="3"/>
    <n v="11"/>
  </r>
  <r>
    <x v="74"/>
    <x v="74"/>
    <s v="GCI"/>
    <x v="0"/>
    <x v="1"/>
    <x v="1"/>
    <x v="214"/>
    <x v="214"/>
    <x v="34"/>
    <x v="10"/>
    <n v="3000"/>
  </r>
  <r>
    <x v="75"/>
    <x v="75"/>
    <s v="GCI"/>
    <x v="0"/>
    <x v="1"/>
    <x v="1"/>
    <x v="215"/>
    <x v="215"/>
    <x v="34"/>
    <x v="10"/>
    <n v="6000"/>
  </r>
  <r>
    <x v="73"/>
    <x v="73"/>
    <s v="GCI"/>
    <x v="0"/>
    <x v="1"/>
    <x v="1"/>
    <x v="216"/>
    <x v="216"/>
    <x v="34"/>
    <x v="10"/>
    <n v="15000"/>
  </r>
  <r>
    <x v="75"/>
    <x v="75"/>
    <s v="GCI"/>
    <x v="0"/>
    <x v="1"/>
    <x v="1"/>
    <x v="217"/>
    <x v="217"/>
    <x v="34"/>
    <x v="9"/>
    <n v="2"/>
  </r>
  <r>
    <x v="74"/>
    <x v="74"/>
    <s v="GCI"/>
    <x v="0"/>
    <x v="1"/>
    <x v="1"/>
    <x v="218"/>
    <x v="218"/>
    <x v="34"/>
    <x v="9"/>
    <n v="3"/>
  </r>
  <r>
    <x v="73"/>
    <x v="73"/>
    <s v="GCI"/>
    <x v="0"/>
    <x v="1"/>
    <x v="1"/>
    <x v="219"/>
    <x v="219"/>
    <x v="34"/>
    <x v="9"/>
    <n v="5"/>
  </r>
  <r>
    <x v="75"/>
    <x v="75"/>
    <s v="GCI"/>
    <x v="0"/>
    <x v="1"/>
    <x v="1"/>
    <x v="220"/>
    <x v="220"/>
    <x v="35"/>
    <x v="1"/>
    <n v="41"/>
  </r>
  <r>
    <x v="75"/>
    <x v="75"/>
    <s v="GCI"/>
    <x v="0"/>
    <x v="1"/>
    <x v="1"/>
    <x v="220"/>
    <x v="220"/>
    <x v="35"/>
    <x v="3"/>
    <n v="3"/>
  </r>
  <r>
    <x v="74"/>
    <x v="74"/>
    <s v="GCI"/>
    <x v="0"/>
    <x v="1"/>
    <x v="1"/>
    <x v="221"/>
    <x v="221"/>
    <x v="35"/>
    <x v="1"/>
    <n v="183"/>
  </r>
  <r>
    <x v="74"/>
    <x v="74"/>
    <s v="GCI"/>
    <x v="0"/>
    <x v="1"/>
    <x v="1"/>
    <x v="221"/>
    <x v="221"/>
    <x v="35"/>
    <x v="3"/>
    <n v="4"/>
  </r>
  <r>
    <x v="73"/>
    <x v="73"/>
    <s v="GCI"/>
    <x v="0"/>
    <x v="1"/>
    <x v="1"/>
    <x v="222"/>
    <x v="222"/>
    <x v="35"/>
    <x v="3"/>
    <n v="12"/>
  </r>
  <r>
    <x v="76"/>
    <x v="76"/>
    <s v="GCI"/>
    <x v="0"/>
    <x v="5"/>
    <x v="1"/>
    <x v="223"/>
    <x v="223"/>
    <x v="36"/>
    <x v="7"/>
    <n v="3000"/>
  </r>
  <r>
    <x v="76"/>
    <x v="76"/>
    <s v="GCI"/>
    <x v="0"/>
    <x v="5"/>
    <x v="1"/>
    <x v="223"/>
    <x v="223"/>
    <x v="36"/>
    <x v="8"/>
    <n v="1"/>
  </r>
  <r>
    <x v="76"/>
    <x v="76"/>
    <s v="GCI"/>
    <x v="0"/>
    <x v="5"/>
    <x v="1"/>
    <x v="223"/>
    <x v="223"/>
    <x v="36"/>
    <x v="6"/>
    <n v="15"/>
  </r>
  <r>
    <x v="76"/>
    <x v="76"/>
    <s v="GCI"/>
    <x v="0"/>
    <x v="5"/>
    <x v="1"/>
    <x v="223"/>
    <x v="223"/>
    <x v="36"/>
    <x v="5"/>
    <n v="3"/>
  </r>
  <r>
    <x v="77"/>
    <x v="77"/>
    <s v="GCI"/>
    <x v="0"/>
    <x v="5"/>
    <x v="1"/>
    <x v="224"/>
    <x v="224"/>
    <x v="36"/>
    <x v="8"/>
    <n v="1"/>
  </r>
  <r>
    <x v="77"/>
    <x v="77"/>
    <s v="GCI"/>
    <x v="0"/>
    <x v="5"/>
    <x v="1"/>
    <x v="224"/>
    <x v="224"/>
    <x v="36"/>
    <x v="6"/>
    <n v="21"/>
  </r>
  <r>
    <x v="77"/>
    <x v="77"/>
    <s v="GCI"/>
    <x v="0"/>
    <x v="5"/>
    <x v="1"/>
    <x v="224"/>
    <x v="224"/>
    <x v="36"/>
    <x v="5"/>
    <n v="3"/>
  </r>
  <r>
    <x v="78"/>
    <x v="78"/>
    <s v="GCI"/>
    <x v="0"/>
    <x v="2"/>
    <x v="1"/>
    <x v="225"/>
    <x v="225"/>
    <x v="36"/>
    <x v="7"/>
    <n v="3000"/>
  </r>
  <r>
    <x v="79"/>
    <x v="79"/>
    <s v="GCI"/>
    <x v="0"/>
    <x v="2"/>
    <x v="1"/>
    <x v="226"/>
    <x v="226"/>
    <x v="36"/>
    <x v="0"/>
    <n v="3000"/>
  </r>
  <r>
    <x v="80"/>
    <x v="80"/>
    <s v="GCI"/>
    <x v="0"/>
    <x v="2"/>
    <x v="1"/>
    <x v="227"/>
    <x v="227"/>
    <x v="36"/>
    <x v="9"/>
    <n v="1"/>
  </r>
  <r>
    <x v="80"/>
    <x v="80"/>
    <s v="GCI"/>
    <x v="0"/>
    <x v="2"/>
    <x v="1"/>
    <x v="228"/>
    <x v="228"/>
    <x v="36"/>
    <x v="8"/>
    <n v="1"/>
  </r>
  <r>
    <x v="80"/>
    <x v="80"/>
    <s v="GCI"/>
    <x v="0"/>
    <x v="2"/>
    <x v="1"/>
    <x v="228"/>
    <x v="228"/>
    <x v="36"/>
    <x v="6"/>
    <n v="14"/>
  </r>
  <r>
    <x v="80"/>
    <x v="80"/>
    <s v="GCI"/>
    <x v="0"/>
    <x v="2"/>
    <x v="1"/>
    <x v="228"/>
    <x v="228"/>
    <x v="36"/>
    <x v="5"/>
    <n v="3"/>
  </r>
  <r>
    <x v="78"/>
    <x v="78"/>
    <s v="GCI"/>
    <x v="0"/>
    <x v="2"/>
    <x v="1"/>
    <x v="229"/>
    <x v="229"/>
    <x v="36"/>
    <x v="9"/>
    <n v="1"/>
  </r>
  <r>
    <x v="78"/>
    <x v="78"/>
    <s v="GCI"/>
    <x v="0"/>
    <x v="2"/>
    <x v="1"/>
    <x v="225"/>
    <x v="225"/>
    <x v="36"/>
    <x v="8"/>
    <n v="1"/>
  </r>
  <r>
    <x v="78"/>
    <x v="78"/>
    <s v="GCI"/>
    <x v="0"/>
    <x v="2"/>
    <x v="1"/>
    <x v="225"/>
    <x v="225"/>
    <x v="36"/>
    <x v="6"/>
    <n v="16"/>
  </r>
  <r>
    <x v="78"/>
    <x v="78"/>
    <s v="GCI"/>
    <x v="0"/>
    <x v="2"/>
    <x v="1"/>
    <x v="225"/>
    <x v="225"/>
    <x v="36"/>
    <x v="5"/>
    <n v="3"/>
  </r>
  <r>
    <x v="81"/>
    <x v="81"/>
    <s v="GCI"/>
    <x v="0"/>
    <x v="2"/>
    <x v="1"/>
    <x v="230"/>
    <x v="230"/>
    <x v="36"/>
    <x v="1"/>
    <n v="28"/>
  </r>
  <r>
    <x v="81"/>
    <x v="81"/>
    <s v="GCI"/>
    <x v="0"/>
    <x v="2"/>
    <x v="1"/>
    <x v="230"/>
    <x v="230"/>
    <x v="36"/>
    <x v="2"/>
    <n v="5"/>
  </r>
  <r>
    <x v="81"/>
    <x v="81"/>
    <s v="GCI"/>
    <x v="0"/>
    <x v="2"/>
    <x v="1"/>
    <x v="231"/>
    <x v="231"/>
    <x v="36"/>
    <x v="8"/>
    <n v="1"/>
  </r>
  <r>
    <x v="81"/>
    <x v="81"/>
    <s v="GCI"/>
    <x v="0"/>
    <x v="2"/>
    <x v="1"/>
    <x v="231"/>
    <x v="231"/>
    <x v="36"/>
    <x v="6"/>
    <n v="16"/>
  </r>
  <r>
    <x v="81"/>
    <x v="81"/>
    <s v="GCI"/>
    <x v="0"/>
    <x v="2"/>
    <x v="1"/>
    <x v="231"/>
    <x v="231"/>
    <x v="36"/>
    <x v="5"/>
    <n v="3"/>
  </r>
  <r>
    <x v="79"/>
    <x v="79"/>
    <s v="GCI"/>
    <x v="0"/>
    <x v="2"/>
    <x v="1"/>
    <x v="232"/>
    <x v="232"/>
    <x v="36"/>
    <x v="9"/>
    <n v="1"/>
  </r>
  <r>
    <x v="79"/>
    <x v="79"/>
    <s v="GCI"/>
    <x v="0"/>
    <x v="2"/>
    <x v="1"/>
    <x v="226"/>
    <x v="226"/>
    <x v="36"/>
    <x v="8"/>
    <n v="1"/>
  </r>
  <r>
    <x v="79"/>
    <x v="79"/>
    <s v="GCI"/>
    <x v="0"/>
    <x v="2"/>
    <x v="1"/>
    <x v="226"/>
    <x v="226"/>
    <x v="36"/>
    <x v="6"/>
    <n v="16"/>
  </r>
  <r>
    <x v="79"/>
    <x v="79"/>
    <s v="GCI"/>
    <x v="0"/>
    <x v="2"/>
    <x v="1"/>
    <x v="226"/>
    <x v="226"/>
    <x v="36"/>
    <x v="5"/>
    <n v="3"/>
  </r>
  <r>
    <x v="82"/>
    <x v="82"/>
    <s v="GCI"/>
    <x v="0"/>
    <x v="1"/>
    <x v="1"/>
    <x v="233"/>
    <x v="233"/>
    <x v="36"/>
    <x v="7"/>
    <n v="3000"/>
  </r>
  <r>
    <x v="82"/>
    <x v="82"/>
    <s v="GCI"/>
    <x v="0"/>
    <x v="1"/>
    <x v="1"/>
    <x v="234"/>
    <x v="234"/>
    <x v="36"/>
    <x v="1"/>
    <n v="88"/>
  </r>
  <r>
    <x v="82"/>
    <x v="82"/>
    <s v="GCI"/>
    <x v="0"/>
    <x v="1"/>
    <x v="1"/>
    <x v="234"/>
    <x v="234"/>
    <x v="36"/>
    <x v="2"/>
    <n v="24"/>
  </r>
  <r>
    <x v="82"/>
    <x v="82"/>
    <s v="GCI"/>
    <x v="0"/>
    <x v="1"/>
    <x v="1"/>
    <x v="234"/>
    <x v="234"/>
    <x v="36"/>
    <x v="3"/>
    <n v="2"/>
  </r>
  <r>
    <x v="82"/>
    <x v="82"/>
    <s v="GCI"/>
    <x v="0"/>
    <x v="1"/>
    <x v="1"/>
    <x v="233"/>
    <x v="233"/>
    <x v="36"/>
    <x v="8"/>
    <n v="3"/>
  </r>
  <r>
    <x v="82"/>
    <x v="82"/>
    <s v="GCI"/>
    <x v="0"/>
    <x v="1"/>
    <x v="1"/>
    <x v="233"/>
    <x v="233"/>
    <x v="36"/>
    <x v="6"/>
    <n v="30"/>
  </r>
  <r>
    <x v="82"/>
    <x v="82"/>
    <s v="GCI"/>
    <x v="0"/>
    <x v="1"/>
    <x v="1"/>
    <x v="233"/>
    <x v="233"/>
    <x v="36"/>
    <x v="5"/>
    <n v="9"/>
  </r>
  <r>
    <x v="83"/>
    <x v="83"/>
    <s v="GCI"/>
    <x v="0"/>
    <x v="1"/>
    <x v="1"/>
    <x v="235"/>
    <x v="235"/>
    <x v="37"/>
    <x v="10"/>
    <n v="9000"/>
  </r>
  <r>
    <x v="77"/>
    <x v="77"/>
    <s v="GCI"/>
    <x v="0"/>
    <x v="5"/>
    <x v="1"/>
    <x v="236"/>
    <x v="236"/>
    <x v="38"/>
    <x v="0"/>
    <n v="3000"/>
  </r>
  <r>
    <x v="84"/>
    <x v="84"/>
    <s v="GCI"/>
    <x v="0"/>
    <x v="3"/>
    <x v="1"/>
    <x v="237"/>
    <x v="237"/>
    <x v="38"/>
    <x v="0"/>
    <n v="3000"/>
  </r>
  <r>
    <x v="78"/>
    <x v="78"/>
    <s v="GCI"/>
    <x v="0"/>
    <x v="2"/>
    <x v="1"/>
    <x v="238"/>
    <x v="238"/>
    <x v="38"/>
    <x v="0"/>
    <n v="3000"/>
  </r>
  <r>
    <x v="85"/>
    <x v="85"/>
    <s v="GCI"/>
    <x v="0"/>
    <x v="2"/>
    <x v="1"/>
    <x v="239"/>
    <x v="239"/>
    <x v="38"/>
    <x v="7"/>
    <n v="9000"/>
  </r>
  <r>
    <x v="85"/>
    <x v="85"/>
    <s v="GCI"/>
    <x v="0"/>
    <x v="2"/>
    <x v="1"/>
    <x v="239"/>
    <x v="239"/>
    <x v="38"/>
    <x v="6"/>
    <n v="68"/>
  </r>
  <r>
    <x v="85"/>
    <x v="85"/>
    <s v="GCI"/>
    <x v="0"/>
    <x v="2"/>
    <x v="1"/>
    <x v="239"/>
    <x v="239"/>
    <x v="38"/>
    <x v="5"/>
    <n v="9"/>
  </r>
  <r>
    <x v="82"/>
    <x v="82"/>
    <s v="GCI"/>
    <x v="0"/>
    <x v="1"/>
    <x v="1"/>
    <x v="240"/>
    <x v="240"/>
    <x v="38"/>
    <x v="0"/>
    <n v="3000"/>
  </r>
  <r>
    <x v="86"/>
    <x v="86"/>
    <s v="GCI"/>
    <x v="0"/>
    <x v="6"/>
    <x v="1"/>
    <x v="241"/>
    <x v="241"/>
    <x v="39"/>
    <x v="2"/>
    <n v="7"/>
  </r>
  <r>
    <x v="86"/>
    <x v="86"/>
    <s v="GCI"/>
    <x v="0"/>
    <x v="6"/>
    <x v="1"/>
    <x v="241"/>
    <x v="241"/>
    <x v="39"/>
    <x v="9"/>
    <n v="1"/>
  </r>
  <r>
    <x v="87"/>
    <x v="87"/>
    <s v="GCI"/>
    <x v="0"/>
    <x v="4"/>
    <x v="1"/>
    <x v="242"/>
    <x v="242"/>
    <x v="39"/>
    <x v="7"/>
    <n v="3000"/>
  </r>
  <r>
    <x v="88"/>
    <x v="88"/>
    <s v="GCI"/>
    <x v="0"/>
    <x v="4"/>
    <x v="1"/>
    <x v="243"/>
    <x v="243"/>
    <x v="39"/>
    <x v="8"/>
    <n v="1"/>
  </r>
  <r>
    <x v="87"/>
    <x v="87"/>
    <s v="GCI"/>
    <x v="0"/>
    <x v="4"/>
    <x v="1"/>
    <x v="244"/>
    <x v="244"/>
    <x v="39"/>
    <x v="1"/>
    <n v="61"/>
  </r>
  <r>
    <x v="87"/>
    <x v="87"/>
    <s v="GCI"/>
    <x v="0"/>
    <x v="4"/>
    <x v="1"/>
    <x v="244"/>
    <x v="244"/>
    <x v="39"/>
    <x v="2"/>
    <n v="3"/>
  </r>
  <r>
    <x v="87"/>
    <x v="87"/>
    <s v="GCI"/>
    <x v="0"/>
    <x v="4"/>
    <x v="1"/>
    <x v="242"/>
    <x v="242"/>
    <x v="39"/>
    <x v="8"/>
    <n v="2"/>
  </r>
  <r>
    <x v="87"/>
    <x v="87"/>
    <s v="GCI"/>
    <x v="0"/>
    <x v="4"/>
    <x v="1"/>
    <x v="242"/>
    <x v="242"/>
    <x v="39"/>
    <x v="6"/>
    <n v="29"/>
  </r>
  <r>
    <x v="89"/>
    <x v="89"/>
    <s v="GCI"/>
    <x v="0"/>
    <x v="4"/>
    <x v="1"/>
    <x v="245"/>
    <x v="245"/>
    <x v="39"/>
    <x v="1"/>
    <n v="65"/>
  </r>
  <r>
    <x v="89"/>
    <x v="89"/>
    <s v="GCI"/>
    <x v="0"/>
    <x v="4"/>
    <x v="1"/>
    <x v="245"/>
    <x v="245"/>
    <x v="39"/>
    <x v="2"/>
    <n v="4"/>
  </r>
  <r>
    <x v="85"/>
    <x v="85"/>
    <s v="GCI"/>
    <x v="0"/>
    <x v="2"/>
    <x v="1"/>
    <x v="246"/>
    <x v="246"/>
    <x v="39"/>
    <x v="0"/>
    <n v="3000"/>
  </r>
  <r>
    <x v="85"/>
    <x v="85"/>
    <s v="GCI"/>
    <x v="0"/>
    <x v="2"/>
    <x v="1"/>
    <x v="246"/>
    <x v="246"/>
    <x v="39"/>
    <x v="8"/>
    <n v="3"/>
  </r>
  <r>
    <x v="85"/>
    <x v="85"/>
    <s v="GCI"/>
    <x v="0"/>
    <x v="2"/>
    <x v="1"/>
    <x v="247"/>
    <x v="247"/>
    <x v="39"/>
    <x v="9"/>
    <n v="1"/>
  </r>
  <r>
    <x v="90"/>
    <x v="90"/>
    <s v="GCI"/>
    <x v="0"/>
    <x v="1"/>
    <x v="1"/>
    <x v="248"/>
    <x v="248"/>
    <x v="39"/>
    <x v="0"/>
    <n v="3000"/>
  </r>
  <r>
    <x v="90"/>
    <x v="90"/>
    <s v="GCI"/>
    <x v="0"/>
    <x v="1"/>
    <x v="1"/>
    <x v="248"/>
    <x v="248"/>
    <x v="39"/>
    <x v="7"/>
    <n v="9000"/>
  </r>
  <r>
    <x v="90"/>
    <x v="90"/>
    <s v="GCI"/>
    <x v="0"/>
    <x v="1"/>
    <x v="1"/>
    <x v="249"/>
    <x v="249"/>
    <x v="39"/>
    <x v="1"/>
    <n v="208"/>
  </r>
  <r>
    <x v="90"/>
    <x v="90"/>
    <s v="GCI"/>
    <x v="0"/>
    <x v="1"/>
    <x v="1"/>
    <x v="249"/>
    <x v="249"/>
    <x v="39"/>
    <x v="2"/>
    <n v="7"/>
  </r>
  <r>
    <x v="90"/>
    <x v="90"/>
    <s v="GCI"/>
    <x v="0"/>
    <x v="1"/>
    <x v="1"/>
    <x v="249"/>
    <x v="249"/>
    <x v="39"/>
    <x v="9"/>
    <n v="3"/>
  </r>
  <r>
    <x v="90"/>
    <x v="90"/>
    <s v="GCI"/>
    <x v="0"/>
    <x v="1"/>
    <x v="1"/>
    <x v="248"/>
    <x v="248"/>
    <x v="39"/>
    <x v="8"/>
    <n v="4"/>
  </r>
  <r>
    <x v="90"/>
    <x v="90"/>
    <s v="GCI"/>
    <x v="0"/>
    <x v="1"/>
    <x v="1"/>
    <x v="248"/>
    <x v="248"/>
    <x v="39"/>
    <x v="6"/>
    <n v="68"/>
  </r>
  <r>
    <x v="82"/>
    <x v="82"/>
    <s v="GCI"/>
    <x v="0"/>
    <x v="1"/>
    <x v="1"/>
    <x v="250"/>
    <x v="250"/>
    <x v="39"/>
    <x v="9"/>
    <n v="1"/>
  </r>
  <r>
    <x v="91"/>
    <x v="91"/>
    <s v="GCI"/>
    <x v="0"/>
    <x v="2"/>
    <x v="1"/>
    <x v="251"/>
    <x v="251"/>
    <x v="40"/>
    <x v="0"/>
    <n v="3000"/>
  </r>
  <r>
    <x v="91"/>
    <x v="91"/>
    <s v="GCI"/>
    <x v="0"/>
    <x v="2"/>
    <x v="1"/>
    <x v="252"/>
    <x v="252"/>
    <x v="40"/>
    <x v="1"/>
    <n v="32"/>
  </r>
  <r>
    <x v="91"/>
    <x v="91"/>
    <s v="GCI"/>
    <x v="0"/>
    <x v="2"/>
    <x v="1"/>
    <x v="252"/>
    <x v="252"/>
    <x v="40"/>
    <x v="2"/>
    <n v="4"/>
  </r>
  <r>
    <x v="91"/>
    <x v="91"/>
    <s v="GCI"/>
    <x v="0"/>
    <x v="2"/>
    <x v="1"/>
    <x v="251"/>
    <x v="251"/>
    <x v="40"/>
    <x v="8"/>
    <n v="1"/>
  </r>
  <r>
    <x v="91"/>
    <x v="91"/>
    <s v="GCI"/>
    <x v="0"/>
    <x v="2"/>
    <x v="1"/>
    <x v="251"/>
    <x v="251"/>
    <x v="40"/>
    <x v="6"/>
    <n v="18"/>
  </r>
  <r>
    <x v="91"/>
    <x v="91"/>
    <s v="GCI"/>
    <x v="0"/>
    <x v="2"/>
    <x v="1"/>
    <x v="251"/>
    <x v="251"/>
    <x v="40"/>
    <x v="5"/>
    <n v="3"/>
  </r>
  <r>
    <x v="92"/>
    <x v="92"/>
    <s v="GCI"/>
    <x v="0"/>
    <x v="1"/>
    <x v="1"/>
    <x v="253"/>
    <x v="253"/>
    <x v="40"/>
    <x v="0"/>
    <n v="3000"/>
  </r>
  <r>
    <x v="92"/>
    <x v="92"/>
    <s v="GCI"/>
    <x v="0"/>
    <x v="1"/>
    <x v="1"/>
    <x v="253"/>
    <x v="253"/>
    <x v="40"/>
    <x v="7"/>
    <n v="3000"/>
  </r>
  <r>
    <x v="93"/>
    <x v="93"/>
    <s v="GCI"/>
    <x v="0"/>
    <x v="1"/>
    <x v="1"/>
    <x v="254"/>
    <x v="254"/>
    <x v="40"/>
    <x v="1"/>
    <n v="35"/>
  </r>
  <r>
    <x v="93"/>
    <x v="93"/>
    <s v="GCI"/>
    <x v="0"/>
    <x v="1"/>
    <x v="1"/>
    <x v="254"/>
    <x v="254"/>
    <x v="40"/>
    <x v="2"/>
    <n v="7"/>
  </r>
  <r>
    <x v="93"/>
    <x v="93"/>
    <s v="GCI"/>
    <x v="0"/>
    <x v="1"/>
    <x v="1"/>
    <x v="254"/>
    <x v="254"/>
    <x v="40"/>
    <x v="9"/>
    <n v="1"/>
  </r>
  <r>
    <x v="93"/>
    <x v="93"/>
    <s v="GCI"/>
    <x v="0"/>
    <x v="1"/>
    <x v="1"/>
    <x v="255"/>
    <x v="255"/>
    <x v="40"/>
    <x v="8"/>
    <n v="1"/>
  </r>
  <r>
    <x v="93"/>
    <x v="93"/>
    <s v="GCI"/>
    <x v="0"/>
    <x v="1"/>
    <x v="1"/>
    <x v="255"/>
    <x v="255"/>
    <x v="40"/>
    <x v="6"/>
    <n v="18"/>
  </r>
  <r>
    <x v="93"/>
    <x v="93"/>
    <s v="GCI"/>
    <x v="0"/>
    <x v="1"/>
    <x v="1"/>
    <x v="255"/>
    <x v="255"/>
    <x v="40"/>
    <x v="5"/>
    <n v="3"/>
  </r>
  <r>
    <x v="92"/>
    <x v="92"/>
    <s v="GCI"/>
    <x v="0"/>
    <x v="1"/>
    <x v="1"/>
    <x v="256"/>
    <x v="256"/>
    <x v="40"/>
    <x v="1"/>
    <n v="69"/>
  </r>
  <r>
    <x v="92"/>
    <x v="92"/>
    <s v="GCI"/>
    <x v="0"/>
    <x v="1"/>
    <x v="1"/>
    <x v="256"/>
    <x v="256"/>
    <x v="40"/>
    <x v="2"/>
    <n v="8"/>
  </r>
  <r>
    <x v="92"/>
    <x v="92"/>
    <s v="GCI"/>
    <x v="0"/>
    <x v="1"/>
    <x v="1"/>
    <x v="256"/>
    <x v="256"/>
    <x v="40"/>
    <x v="3"/>
    <n v="3"/>
  </r>
  <r>
    <x v="92"/>
    <x v="92"/>
    <s v="GCI"/>
    <x v="0"/>
    <x v="1"/>
    <x v="1"/>
    <x v="256"/>
    <x v="256"/>
    <x v="40"/>
    <x v="9"/>
    <n v="1"/>
  </r>
  <r>
    <x v="92"/>
    <x v="92"/>
    <s v="GCI"/>
    <x v="0"/>
    <x v="1"/>
    <x v="1"/>
    <x v="253"/>
    <x v="253"/>
    <x v="40"/>
    <x v="8"/>
    <n v="1"/>
  </r>
  <r>
    <x v="92"/>
    <x v="92"/>
    <s v="GCI"/>
    <x v="0"/>
    <x v="1"/>
    <x v="1"/>
    <x v="253"/>
    <x v="253"/>
    <x v="40"/>
    <x v="6"/>
    <n v="15"/>
  </r>
  <r>
    <x v="92"/>
    <x v="92"/>
    <s v="GCI"/>
    <x v="0"/>
    <x v="1"/>
    <x v="1"/>
    <x v="253"/>
    <x v="253"/>
    <x v="40"/>
    <x v="5"/>
    <n v="3"/>
  </r>
  <r>
    <x v="94"/>
    <x v="94"/>
    <s v="GCI"/>
    <x v="0"/>
    <x v="2"/>
    <x v="1"/>
    <x v="257"/>
    <x v="257"/>
    <x v="41"/>
    <x v="0"/>
    <n v="3000"/>
  </r>
  <r>
    <x v="95"/>
    <x v="95"/>
    <s v="GCI"/>
    <x v="0"/>
    <x v="2"/>
    <x v="1"/>
    <x v="258"/>
    <x v="258"/>
    <x v="41"/>
    <x v="0"/>
    <n v="3000"/>
  </r>
  <r>
    <x v="94"/>
    <x v="94"/>
    <s v="GCI"/>
    <x v="0"/>
    <x v="2"/>
    <x v="1"/>
    <x v="259"/>
    <x v="259"/>
    <x v="41"/>
    <x v="1"/>
    <n v="23"/>
  </r>
  <r>
    <x v="94"/>
    <x v="94"/>
    <s v="GCI"/>
    <x v="0"/>
    <x v="2"/>
    <x v="1"/>
    <x v="259"/>
    <x v="259"/>
    <x v="41"/>
    <x v="2"/>
    <n v="1"/>
  </r>
  <r>
    <x v="94"/>
    <x v="94"/>
    <s v="GCI"/>
    <x v="0"/>
    <x v="2"/>
    <x v="1"/>
    <x v="257"/>
    <x v="257"/>
    <x v="41"/>
    <x v="4"/>
    <n v="1"/>
  </r>
  <r>
    <x v="94"/>
    <x v="94"/>
    <s v="GCI"/>
    <x v="0"/>
    <x v="2"/>
    <x v="1"/>
    <x v="257"/>
    <x v="257"/>
    <x v="41"/>
    <x v="6"/>
    <n v="10"/>
  </r>
  <r>
    <x v="96"/>
    <x v="96"/>
    <s v="GCI"/>
    <x v="0"/>
    <x v="2"/>
    <x v="1"/>
    <x v="260"/>
    <x v="260"/>
    <x v="41"/>
    <x v="1"/>
    <n v="19"/>
  </r>
  <r>
    <x v="96"/>
    <x v="96"/>
    <s v="GCI"/>
    <x v="0"/>
    <x v="2"/>
    <x v="1"/>
    <x v="260"/>
    <x v="260"/>
    <x v="41"/>
    <x v="2"/>
    <n v="3"/>
  </r>
  <r>
    <x v="96"/>
    <x v="96"/>
    <s v="GCI"/>
    <x v="0"/>
    <x v="2"/>
    <x v="1"/>
    <x v="261"/>
    <x v="261"/>
    <x v="41"/>
    <x v="6"/>
    <n v="7"/>
  </r>
  <r>
    <x v="97"/>
    <x v="97"/>
    <s v="GCI"/>
    <x v="0"/>
    <x v="2"/>
    <x v="1"/>
    <x v="262"/>
    <x v="262"/>
    <x v="41"/>
    <x v="1"/>
    <n v="22"/>
  </r>
  <r>
    <x v="97"/>
    <x v="97"/>
    <s v="GCI"/>
    <x v="0"/>
    <x v="2"/>
    <x v="1"/>
    <x v="262"/>
    <x v="262"/>
    <x v="41"/>
    <x v="2"/>
    <n v="2"/>
  </r>
  <r>
    <x v="97"/>
    <x v="97"/>
    <s v="GCI"/>
    <x v="0"/>
    <x v="2"/>
    <x v="1"/>
    <x v="263"/>
    <x v="263"/>
    <x v="41"/>
    <x v="6"/>
    <n v="6"/>
  </r>
  <r>
    <x v="95"/>
    <x v="95"/>
    <s v="GCI"/>
    <x v="0"/>
    <x v="2"/>
    <x v="1"/>
    <x v="264"/>
    <x v="264"/>
    <x v="41"/>
    <x v="1"/>
    <n v="42"/>
  </r>
  <r>
    <x v="95"/>
    <x v="95"/>
    <s v="GCI"/>
    <x v="0"/>
    <x v="2"/>
    <x v="1"/>
    <x v="264"/>
    <x v="264"/>
    <x v="41"/>
    <x v="2"/>
    <n v="1"/>
  </r>
  <r>
    <x v="95"/>
    <x v="95"/>
    <s v="GCI"/>
    <x v="0"/>
    <x v="2"/>
    <x v="1"/>
    <x v="258"/>
    <x v="258"/>
    <x v="41"/>
    <x v="4"/>
    <n v="1"/>
  </r>
  <r>
    <x v="95"/>
    <x v="95"/>
    <s v="GCI"/>
    <x v="0"/>
    <x v="2"/>
    <x v="1"/>
    <x v="258"/>
    <x v="258"/>
    <x v="41"/>
    <x v="6"/>
    <n v="18"/>
  </r>
  <r>
    <x v="98"/>
    <x v="98"/>
    <s v="GCI"/>
    <x v="0"/>
    <x v="1"/>
    <x v="1"/>
    <x v="265"/>
    <x v="265"/>
    <x v="41"/>
    <x v="0"/>
    <n v="3000"/>
  </r>
  <r>
    <x v="98"/>
    <x v="98"/>
    <s v="GCI"/>
    <x v="0"/>
    <x v="1"/>
    <x v="1"/>
    <x v="265"/>
    <x v="265"/>
    <x v="41"/>
    <x v="7"/>
    <n v="3000"/>
  </r>
  <r>
    <x v="99"/>
    <x v="99"/>
    <s v="GCI"/>
    <x v="0"/>
    <x v="1"/>
    <x v="1"/>
    <x v="266"/>
    <x v="266"/>
    <x v="41"/>
    <x v="0"/>
    <n v="3000"/>
  </r>
  <r>
    <x v="98"/>
    <x v="98"/>
    <s v="GCI"/>
    <x v="0"/>
    <x v="1"/>
    <x v="1"/>
    <x v="267"/>
    <x v="267"/>
    <x v="41"/>
    <x v="1"/>
    <n v="48"/>
  </r>
  <r>
    <x v="98"/>
    <x v="98"/>
    <s v="GCI"/>
    <x v="0"/>
    <x v="1"/>
    <x v="1"/>
    <x v="267"/>
    <x v="267"/>
    <x v="41"/>
    <x v="2"/>
    <n v="14"/>
  </r>
  <r>
    <x v="98"/>
    <x v="98"/>
    <s v="GCI"/>
    <x v="0"/>
    <x v="1"/>
    <x v="1"/>
    <x v="265"/>
    <x v="265"/>
    <x v="41"/>
    <x v="4"/>
    <n v="1"/>
  </r>
  <r>
    <x v="98"/>
    <x v="98"/>
    <s v="GCI"/>
    <x v="0"/>
    <x v="1"/>
    <x v="1"/>
    <x v="265"/>
    <x v="265"/>
    <x v="41"/>
    <x v="6"/>
    <n v="24"/>
  </r>
  <r>
    <x v="99"/>
    <x v="99"/>
    <s v="GCI"/>
    <x v="0"/>
    <x v="1"/>
    <x v="1"/>
    <x v="268"/>
    <x v="268"/>
    <x v="41"/>
    <x v="1"/>
    <n v="20"/>
  </r>
  <r>
    <x v="99"/>
    <x v="99"/>
    <s v="GCI"/>
    <x v="0"/>
    <x v="1"/>
    <x v="1"/>
    <x v="268"/>
    <x v="268"/>
    <x v="41"/>
    <x v="2"/>
    <n v="5"/>
  </r>
  <r>
    <x v="99"/>
    <x v="99"/>
    <s v="GCI"/>
    <x v="0"/>
    <x v="1"/>
    <x v="1"/>
    <x v="268"/>
    <x v="268"/>
    <x v="41"/>
    <x v="3"/>
    <n v="2"/>
  </r>
  <r>
    <x v="99"/>
    <x v="99"/>
    <s v="GCI"/>
    <x v="0"/>
    <x v="1"/>
    <x v="1"/>
    <x v="268"/>
    <x v="268"/>
    <x v="41"/>
    <x v="9"/>
    <n v="2"/>
  </r>
  <r>
    <x v="99"/>
    <x v="99"/>
    <s v="GCI"/>
    <x v="0"/>
    <x v="1"/>
    <x v="1"/>
    <x v="266"/>
    <x v="266"/>
    <x v="41"/>
    <x v="4"/>
    <n v="2"/>
  </r>
  <r>
    <x v="99"/>
    <x v="99"/>
    <s v="GCI"/>
    <x v="0"/>
    <x v="1"/>
    <x v="1"/>
    <x v="266"/>
    <x v="266"/>
    <x v="41"/>
    <x v="6"/>
    <n v="25"/>
  </r>
  <r>
    <x v="74"/>
    <x v="74"/>
    <s v="GCI"/>
    <x v="0"/>
    <x v="1"/>
    <x v="1"/>
    <x v="269"/>
    <x v="269"/>
    <x v="42"/>
    <x v="9"/>
    <n v="1"/>
  </r>
  <r>
    <x v="75"/>
    <x v="75"/>
    <s v="GCI"/>
    <x v="0"/>
    <x v="1"/>
    <x v="1"/>
    <x v="270"/>
    <x v="270"/>
    <x v="42"/>
    <x v="9"/>
    <n v="1"/>
  </r>
  <r>
    <x v="73"/>
    <x v="73"/>
    <s v="GCI"/>
    <x v="0"/>
    <x v="1"/>
    <x v="1"/>
    <x v="271"/>
    <x v="271"/>
    <x v="42"/>
    <x v="9"/>
    <n v="5"/>
  </r>
  <r>
    <x v="83"/>
    <x v="83"/>
    <s v="GCI"/>
    <x v="0"/>
    <x v="1"/>
    <x v="1"/>
    <x v="272"/>
    <x v="272"/>
    <x v="42"/>
    <x v="9"/>
    <n v="1"/>
  </r>
  <r>
    <x v="100"/>
    <x v="100"/>
    <s v="GCI"/>
    <x v="0"/>
    <x v="1"/>
    <x v="1"/>
    <x v="273"/>
    <x v="273"/>
    <x v="42"/>
    <x v="0"/>
    <n v="3000"/>
  </r>
  <r>
    <x v="101"/>
    <x v="101"/>
    <s v="GCI"/>
    <x v="0"/>
    <x v="1"/>
    <x v="1"/>
    <x v="274"/>
    <x v="274"/>
    <x v="42"/>
    <x v="0"/>
    <n v="3000"/>
  </r>
  <r>
    <x v="102"/>
    <x v="102"/>
    <s v="GCI"/>
    <x v="0"/>
    <x v="1"/>
    <x v="1"/>
    <x v="275"/>
    <x v="275"/>
    <x v="42"/>
    <x v="0"/>
    <n v="3000"/>
  </r>
  <r>
    <x v="102"/>
    <x v="102"/>
    <s v="GCI"/>
    <x v="0"/>
    <x v="1"/>
    <x v="1"/>
    <x v="275"/>
    <x v="275"/>
    <x v="42"/>
    <x v="7"/>
    <n v="3000"/>
  </r>
  <r>
    <x v="103"/>
    <x v="103"/>
    <s v="GCI"/>
    <x v="0"/>
    <x v="1"/>
    <x v="1"/>
    <x v="276"/>
    <x v="276"/>
    <x v="42"/>
    <x v="7"/>
    <n v="6000"/>
  </r>
  <r>
    <x v="104"/>
    <x v="104"/>
    <s v="GCI"/>
    <x v="0"/>
    <x v="1"/>
    <x v="1"/>
    <x v="277"/>
    <x v="277"/>
    <x v="42"/>
    <x v="7"/>
    <n v="6000"/>
  </r>
  <r>
    <x v="100"/>
    <x v="100"/>
    <s v="GCI"/>
    <x v="0"/>
    <x v="1"/>
    <x v="1"/>
    <x v="278"/>
    <x v="278"/>
    <x v="42"/>
    <x v="1"/>
    <n v="25"/>
  </r>
  <r>
    <x v="100"/>
    <x v="100"/>
    <s v="GCI"/>
    <x v="0"/>
    <x v="1"/>
    <x v="1"/>
    <x v="278"/>
    <x v="278"/>
    <x v="42"/>
    <x v="9"/>
    <n v="1"/>
  </r>
  <r>
    <x v="100"/>
    <x v="100"/>
    <s v="GCI"/>
    <x v="0"/>
    <x v="1"/>
    <x v="1"/>
    <x v="273"/>
    <x v="273"/>
    <x v="42"/>
    <x v="4"/>
    <n v="1"/>
  </r>
  <r>
    <x v="100"/>
    <x v="100"/>
    <s v="GCI"/>
    <x v="0"/>
    <x v="1"/>
    <x v="1"/>
    <x v="273"/>
    <x v="273"/>
    <x v="42"/>
    <x v="6"/>
    <n v="14"/>
  </r>
  <r>
    <x v="101"/>
    <x v="101"/>
    <s v="GCI"/>
    <x v="0"/>
    <x v="1"/>
    <x v="1"/>
    <x v="279"/>
    <x v="279"/>
    <x v="42"/>
    <x v="1"/>
    <n v="54"/>
  </r>
  <r>
    <x v="101"/>
    <x v="101"/>
    <s v="GCI"/>
    <x v="0"/>
    <x v="1"/>
    <x v="1"/>
    <x v="279"/>
    <x v="279"/>
    <x v="42"/>
    <x v="9"/>
    <n v="1"/>
  </r>
  <r>
    <x v="101"/>
    <x v="101"/>
    <s v="GCI"/>
    <x v="0"/>
    <x v="1"/>
    <x v="1"/>
    <x v="274"/>
    <x v="274"/>
    <x v="42"/>
    <x v="6"/>
    <n v="22"/>
  </r>
  <r>
    <x v="102"/>
    <x v="102"/>
    <s v="GCI"/>
    <x v="0"/>
    <x v="1"/>
    <x v="1"/>
    <x v="280"/>
    <x v="280"/>
    <x v="42"/>
    <x v="1"/>
    <n v="53"/>
  </r>
  <r>
    <x v="102"/>
    <x v="102"/>
    <s v="GCI"/>
    <x v="0"/>
    <x v="1"/>
    <x v="1"/>
    <x v="275"/>
    <x v="275"/>
    <x v="42"/>
    <x v="6"/>
    <n v="23"/>
  </r>
  <r>
    <x v="103"/>
    <x v="103"/>
    <s v="GCI"/>
    <x v="0"/>
    <x v="1"/>
    <x v="1"/>
    <x v="281"/>
    <x v="281"/>
    <x v="42"/>
    <x v="1"/>
    <n v="90"/>
  </r>
  <r>
    <x v="103"/>
    <x v="103"/>
    <s v="GCI"/>
    <x v="0"/>
    <x v="1"/>
    <x v="1"/>
    <x v="281"/>
    <x v="281"/>
    <x v="42"/>
    <x v="9"/>
    <n v="1"/>
  </r>
  <r>
    <x v="103"/>
    <x v="103"/>
    <s v="GCI"/>
    <x v="0"/>
    <x v="1"/>
    <x v="1"/>
    <x v="276"/>
    <x v="276"/>
    <x v="42"/>
    <x v="4"/>
    <n v="1"/>
  </r>
  <r>
    <x v="103"/>
    <x v="103"/>
    <s v="GCI"/>
    <x v="0"/>
    <x v="1"/>
    <x v="1"/>
    <x v="276"/>
    <x v="276"/>
    <x v="42"/>
    <x v="6"/>
    <n v="32"/>
  </r>
  <r>
    <x v="104"/>
    <x v="104"/>
    <s v="GCI"/>
    <x v="0"/>
    <x v="1"/>
    <x v="1"/>
    <x v="282"/>
    <x v="282"/>
    <x v="42"/>
    <x v="1"/>
    <n v="42"/>
  </r>
  <r>
    <x v="104"/>
    <x v="104"/>
    <s v="GCI"/>
    <x v="0"/>
    <x v="1"/>
    <x v="1"/>
    <x v="282"/>
    <x v="282"/>
    <x v="42"/>
    <x v="3"/>
    <n v="2"/>
  </r>
  <r>
    <x v="104"/>
    <x v="104"/>
    <s v="GCI"/>
    <x v="0"/>
    <x v="1"/>
    <x v="1"/>
    <x v="282"/>
    <x v="282"/>
    <x v="42"/>
    <x v="9"/>
    <n v="1"/>
  </r>
  <r>
    <x v="104"/>
    <x v="104"/>
    <s v="GCI"/>
    <x v="0"/>
    <x v="1"/>
    <x v="1"/>
    <x v="277"/>
    <x v="277"/>
    <x v="42"/>
    <x v="6"/>
    <n v="24"/>
  </r>
  <r>
    <x v="105"/>
    <x v="105"/>
    <s v="GCI"/>
    <x v="0"/>
    <x v="2"/>
    <x v="1"/>
    <x v="283"/>
    <x v="283"/>
    <x v="43"/>
    <x v="0"/>
    <n v="3000"/>
  </r>
  <r>
    <x v="105"/>
    <x v="105"/>
    <s v="GCI"/>
    <x v="0"/>
    <x v="2"/>
    <x v="1"/>
    <x v="283"/>
    <x v="283"/>
    <x v="43"/>
    <x v="7"/>
    <n v="3000"/>
  </r>
  <r>
    <x v="105"/>
    <x v="105"/>
    <s v="GCI"/>
    <x v="0"/>
    <x v="2"/>
    <x v="1"/>
    <x v="284"/>
    <x v="284"/>
    <x v="43"/>
    <x v="1"/>
    <n v="51"/>
  </r>
  <r>
    <x v="105"/>
    <x v="105"/>
    <s v="GCI"/>
    <x v="0"/>
    <x v="2"/>
    <x v="1"/>
    <x v="283"/>
    <x v="283"/>
    <x v="43"/>
    <x v="4"/>
    <n v="1"/>
  </r>
  <r>
    <x v="105"/>
    <x v="105"/>
    <s v="GCI"/>
    <x v="0"/>
    <x v="2"/>
    <x v="1"/>
    <x v="283"/>
    <x v="283"/>
    <x v="43"/>
    <x v="6"/>
    <n v="22"/>
  </r>
  <r>
    <x v="106"/>
    <x v="106"/>
    <s v="GCI"/>
    <x v="0"/>
    <x v="2"/>
    <x v="1"/>
    <x v="285"/>
    <x v="285"/>
    <x v="43"/>
    <x v="1"/>
    <n v="16"/>
  </r>
  <r>
    <x v="106"/>
    <x v="106"/>
    <s v="GCI"/>
    <x v="0"/>
    <x v="2"/>
    <x v="1"/>
    <x v="286"/>
    <x v="286"/>
    <x v="43"/>
    <x v="6"/>
    <n v="9"/>
  </r>
  <r>
    <x v="107"/>
    <x v="107"/>
    <s v="GCI"/>
    <x v="0"/>
    <x v="1"/>
    <x v="1"/>
    <x v="287"/>
    <x v="287"/>
    <x v="43"/>
    <x v="0"/>
    <n v="3000"/>
  </r>
  <r>
    <x v="107"/>
    <x v="107"/>
    <s v="GCI"/>
    <x v="0"/>
    <x v="1"/>
    <x v="1"/>
    <x v="287"/>
    <x v="287"/>
    <x v="43"/>
    <x v="7"/>
    <n v="3000"/>
  </r>
  <r>
    <x v="108"/>
    <x v="108"/>
    <s v="GCI"/>
    <x v="0"/>
    <x v="1"/>
    <x v="1"/>
    <x v="288"/>
    <x v="288"/>
    <x v="43"/>
    <x v="7"/>
    <n v="3000"/>
  </r>
  <r>
    <x v="107"/>
    <x v="107"/>
    <s v="GCI"/>
    <x v="0"/>
    <x v="1"/>
    <x v="1"/>
    <x v="289"/>
    <x v="289"/>
    <x v="43"/>
    <x v="1"/>
    <n v="21"/>
  </r>
  <r>
    <x v="107"/>
    <x v="107"/>
    <s v="GCI"/>
    <x v="0"/>
    <x v="1"/>
    <x v="1"/>
    <x v="289"/>
    <x v="289"/>
    <x v="43"/>
    <x v="9"/>
    <n v="1"/>
  </r>
  <r>
    <x v="107"/>
    <x v="107"/>
    <s v="GCI"/>
    <x v="0"/>
    <x v="1"/>
    <x v="1"/>
    <x v="287"/>
    <x v="287"/>
    <x v="43"/>
    <x v="4"/>
    <n v="1"/>
  </r>
  <r>
    <x v="107"/>
    <x v="107"/>
    <s v="GCI"/>
    <x v="0"/>
    <x v="1"/>
    <x v="1"/>
    <x v="287"/>
    <x v="287"/>
    <x v="43"/>
    <x v="6"/>
    <n v="36"/>
  </r>
  <r>
    <x v="108"/>
    <x v="108"/>
    <s v="GCI"/>
    <x v="0"/>
    <x v="1"/>
    <x v="1"/>
    <x v="290"/>
    <x v="290"/>
    <x v="43"/>
    <x v="1"/>
    <n v="67"/>
  </r>
  <r>
    <x v="108"/>
    <x v="108"/>
    <s v="GCI"/>
    <x v="0"/>
    <x v="1"/>
    <x v="1"/>
    <x v="290"/>
    <x v="290"/>
    <x v="43"/>
    <x v="9"/>
    <n v="1"/>
  </r>
  <r>
    <x v="108"/>
    <x v="108"/>
    <s v="GCI"/>
    <x v="0"/>
    <x v="1"/>
    <x v="1"/>
    <x v="288"/>
    <x v="288"/>
    <x v="43"/>
    <x v="4"/>
    <n v="1"/>
  </r>
  <r>
    <x v="108"/>
    <x v="108"/>
    <s v="GCI"/>
    <x v="0"/>
    <x v="1"/>
    <x v="1"/>
    <x v="288"/>
    <x v="288"/>
    <x v="43"/>
    <x v="6"/>
    <n v="26"/>
  </r>
  <r>
    <x v="101"/>
    <x v="101"/>
    <s v="GCI"/>
    <x v="0"/>
    <x v="1"/>
    <x v="1"/>
    <x v="291"/>
    <x v="291"/>
    <x v="44"/>
    <x v="8"/>
    <n v="1"/>
  </r>
  <r>
    <x v="104"/>
    <x v="104"/>
    <s v="GCI"/>
    <x v="0"/>
    <x v="1"/>
    <x v="1"/>
    <x v="292"/>
    <x v="292"/>
    <x v="44"/>
    <x v="8"/>
    <n v="1"/>
  </r>
  <r>
    <x v="109"/>
    <x v="109"/>
    <s v="GCI"/>
    <x v="0"/>
    <x v="2"/>
    <x v="1"/>
    <x v="293"/>
    <x v="293"/>
    <x v="45"/>
    <x v="7"/>
    <n v="3000"/>
  </r>
  <r>
    <x v="110"/>
    <x v="110"/>
    <s v="GCI"/>
    <x v="0"/>
    <x v="2"/>
    <x v="1"/>
    <x v="294"/>
    <x v="294"/>
    <x v="45"/>
    <x v="0"/>
    <n v="3000"/>
  </r>
  <r>
    <x v="110"/>
    <x v="110"/>
    <s v="GCI"/>
    <x v="0"/>
    <x v="2"/>
    <x v="1"/>
    <x v="294"/>
    <x v="294"/>
    <x v="45"/>
    <x v="7"/>
    <n v="3000"/>
  </r>
  <r>
    <x v="111"/>
    <x v="111"/>
    <s v="GCI"/>
    <x v="0"/>
    <x v="2"/>
    <x v="1"/>
    <x v="295"/>
    <x v="295"/>
    <x v="45"/>
    <x v="0"/>
    <n v="3000"/>
  </r>
  <r>
    <x v="109"/>
    <x v="109"/>
    <s v="GCI"/>
    <x v="0"/>
    <x v="2"/>
    <x v="1"/>
    <x v="296"/>
    <x v="296"/>
    <x v="45"/>
    <x v="1"/>
    <n v="56"/>
  </r>
  <r>
    <x v="109"/>
    <x v="109"/>
    <s v="GCI"/>
    <x v="0"/>
    <x v="2"/>
    <x v="1"/>
    <x v="296"/>
    <x v="296"/>
    <x v="45"/>
    <x v="2"/>
    <n v="3"/>
  </r>
  <r>
    <x v="109"/>
    <x v="109"/>
    <s v="GCI"/>
    <x v="0"/>
    <x v="2"/>
    <x v="1"/>
    <x v="296"/>
    <x v="296"/>
    <x v="45"/>
    <x v="3"/>
    <n v="1"/>
  </r>
  <r>
    <x v="109"/>
    <x v="109"/>
    <s v="GCI"/>
    <x v="0"/>
    <x v="2"/>
    <x v="1"/>
    <x v="296"/>
    <x v="296"/>
    <x v="45"/>
    <x v="9"/>
    <n v="1"/>
  </r>
  <r>
    <x v="109"/>
    <x v="109"/>
    <s v="GCI"/>
    <x v="0"/>
    <x v="2"/>
    <x v="1"/>
    <x v="293"/>
    <x v="293"/>
    <x v="45"/>
    <x v="4"/>
    <n v="1"/>
  </r>
  <r>
    <x v="109"/>
    <x v="109"/>
    <s v="GCI"/>
    <x v="0"/>
    <x v="2"/>
    <x v="1"/>
    <x v="293"/>
    <x v="293"/>
    <x v="45"/>
    <x v="6"/>
    <n v="18"/>
  </r>
  <r>
    <x v="110"/>
    <x v="110"/>
    <s v="GCI"/>
    <x v="0"/>
    <x v="2"/>
    <x v="1"/>
    <x v="297"/>
    <x v="297"/>
    <x v="45"/>
    <x v="1"/>
    <n v="35"/>
  </r>
  <r>
    <x v="110"/>
    <x v="110"/>
    <s v="GCI"/>
    <x v="0"/>
    <x v="2"/>
    <x v="1"/>
    <x v="297"/>
    <x v="297"/>
    <x v="45"/>
    <x v="2"/>
    <n v="5"/>
  </r>
  <r>
    <x v="110"/>
    <x v="110"/>
    <s v="GCI"/>
    <x v="0"/>
    <x v="2"/>
    <x v="1"/>
    <x v="297"/>
    <x v="297"/>
    <x v="45"/>
    <x v="9"/>
    <n v="1"/>
  </r>
  <r>
    <x v="110"/>
    <x v="110"/>
    <s v="GCI"/>
    <x v="0"/>
    <x v="2"/>
    <x v="1"/>
    <x v="294"/>
    <x v="294"/>
    <x v="45"/>
    <x v="4"/>
    <n v="1"/>
  </r>
  <r>
    <x v="110"/>
    <x v="110"/>
    <s v="GCI"/>
    <x v="0"/>
    <x v="2"/>
    <x v="1"/>
    <x v="294"/>
    <x v="294"/>
    <x v="45"/>
    <x v="6"/>
    <n v="15"/>
  </r>
  <r>
    <x v="111"/>
    <x v="111"/>
    <s v="GCI"/>
    <x v="0"/>
    <x v="2"/>
    <x v="1"/>
    <x v="298"/>
    <x v="298"/>
    <x v="45"/>
    <x v="1"/>
    <n v="29"/>
  </r>
  <r>
    <x v="111"/>
    <x v="111"/>
    <s v="GCI"/>
    <x v="0"/>
    <x v="2"/>
    <x v="1"/>
    <x v="298"/>
    <x v="298"/>
    <x v="45"/>
    <x v="2"/>
    <n v="7"/>
  </r>
  <r>
    <x v="111"/>
    <x v="111"/>
    <s v="GCI"/>
    <x v="0"/>
    <x v="2"/>
    <x v="1"/>
    <x v="295"/>
    <x v="295"/>
    <x v="45"/>
    <x v="6"/>
    <n v="10"/>
  </r>
  <r>
    <x v="112"/>
    <x v="112"/>
    <s v="GCI"/>
    <x v="0"/>
    <x v="1"/>
    <x v="1"/>
    <x v="299"/>
    <x v="299"/>
    <x v="45"/>
    <x v="0"/>
    <n v="3000"/>
  </r>
  <r>
    <x v="112"/>
    <x v="112"/>
    <s v="GCI"/>
    <x v="0"/>
    <x v="1"/>
    <x v="1"/>
    <x v="299"/>
    <x v="299"/>
    <x v="45"/>
    <x v="7"/>
    <n v="3000"/>
  </r>
  <r>
    <x v="113"/>
    <x v="113"/>
    <s v="GCI"/>
    <x v="0"/>
    <x v="1"/>
    <x v="1"/>
    <x v="300"/>
    <x v="300"/>
    <x v="45"/>
    <x v="0"/>
    <n v="3000"/>
  </r>
  <r>
    <x v="112"/>
    <x v="112"/>
    <s v="GCI"/>
    <x v="0"/>
    <x v="1"/>
    <x v="1"/>
    <x v="301"/>
    <x v="301"/>
    <x v="45"/>
    <x v="1"/>
    <n v="60"/>
  </r>
  <r>
    <x v="112"/>
    <x v="112"/>
    <s v="GCI"/>
    <x v="0"/>
    <x v="1"/>
    <x v="1"/>
    <x v="301"/>
    <x v="301"/>
    <x v="45"/>
    <x v="2"/>
    <n v="14"/>
  </r>
  <r>
    <x v="112"/>
    <x v="112"/>
    <s v="GCI"/>
    <x v="0"/>
    <x v="1"/>
    <x v="1"/>
    <x v="301"/>
    <x v="301"/>
    <x v="45"/>
    <x v="9"/>
    <n v="1"/>
  </r>
  <r>
    <x v="112"/>
    <x v="112"/>
    <s v="GCI"/>
    <x v="0"/>
    <x v="1"/>
    <x v="1"/>
    <x v="299"/>
    <x v="299"/>
    <x v="45"/>
    <x v="4"/>
    <n v="1"/>
  </r>
  <r>
    <x v="112"/>
    <x v="112"/>
    <s v="GCI"/>
    <x v="0"/>
    <x v="1"/>
    <x v="1"/>
    <x v="299"/>
    <x v="299"/>
    <x v="45"/>
    <x v="6"/>
    <n v="36"/>
  </r>
  <r>
    <x v="113"/>
    <x v="113"/>
    <s v="GCI"/>
    <x v="0"/>
    <x v="1"/>
    <x v="1"/>
    <x v="302"/>
    <x v="302"/>
    <x v="45"/>
    <x v="1"/>
    <n v="33"/>
  </r>
  <r>
    <x v="113"/>
    <x v="113"/>
    <s v="GCI"/>
    <x v="0"/>
    <x v="1"/>
    <x v="1"/>
    <x v="302"/>
    <x v="302"/>
    <x v="45"/>
    <x v="2"/>
    <n v="18"/>
  </r>
  <r>
    <x v="113"/>
    <x v="113"/>
    <s v="GCI"/>
    <x v="0"/>
    <x v="1"/>
    <x v="1"/>
    <x v="302"/>
    <x v="302"/>
    <x v="45"/>
    <x v="9"/>
    <n v="1"/>
  </r>
  <r>
    <x v="113"/>
    <x v="113"/>
    <s v="GCI"/>
    <x v="0"/>
    <x v="1"/>
    <x v="1"/>
    <x v="300"/>
    <x v="300"/>
    <x v="45"/>
    <x v="8"/>
    <n v="1"/>
  </r>
  <r>
    <x v="113"/>
    <x v="113"/>
    <s v="GCI"/>
    <x v="0"/>
    <x v="1"/>
    <x v="1"/>
    <x v="300"/>
    <x v="300"/>
    <x v="45"/>
    <x v="6"/>
    <n v="12"/>
  </r>
  <r>
    <x v="114"/>
    <x v="114"/>
    <s v="GCI"/>
    <x v="0"/>
    <x v="2"/>
    <x v="1"/>
    <x v="303"/>
    <x v="303"/>
    <x v="46"/>
    <x v="0"/>
    <n v="3000"/>
  </r>
  <r>
    <x v="115"/>
    <x v="115"/>
    <s v="GCI"/>
    <x v="0"/>
    <x v="2"/>
    <x v="1"/>
    <x v="304"/>
    <x v="304"/>
    <x v="46"/>
    <x v="7"/>
    <n v="3000"/>
  </r>
  <r>
    <x v="116"/>
    <x v="116"/>
    <s v="GCI"/>
    <x v="0"/>
    <x v="2"/>
    <x v="1"/>
    <x v="305"/>
    <x v="305"/>
    <x v="46"/>
    <x v="0"/>
    <n v="3000"/>
  </r>
  <r>
    <x v="117"/>
    <x v="117"/>
    <s v="GCI"/>
    <x v="0"/>
    <x v="2"/>
    <x v="1"/>
    <x v="306"/>
    <x v="306"/>
    <x v="46"/>
    <x v="8"/>
    <n v="1"/>
  </r>
  <r>
    <x v="114"/>
    <x v="114"/>
    <s v="GCI"/>
    <x v="0"/>
    <x v="2"/>
    <x v="1"/>
    <x v="303"/>
    <x v="303"/>
    <x v="46"/>
    <x v="8"/>
    <n v="1"/>
  </r>
  <r>
    <x v="115"/>
    <x v="115"/>
    <s v="GCI"/>
    <x v="0"/>
    <x v="2"/>
    <x v="1"/>
    <x v="304"/>
    <x v="304"/>
    <x v="46"/>
    <x v="8"/>
    <n v="1"/>
  </r>
  <r>
    <x v="116"/>
    <x v="116"/>
    <s v="GCI"/>
    <x v="0"/>
    <x v="2"/>
    <x v="1"/>
    <x v="305"/>
    <x v="305"/>
    <x v="46"/>
    <x v="4"/>
    <n v="1"/>
  </r>
  <r>
    <x v="118"/>
    <x v="118"/>
    <s v="GCI"/>
    <x v="0"/>
    <x v="2"/>
    <x v="1"/>
    <x v="307"/>
    <x v="307"/>
    <x v="47"/>
    <x v="0"/>
    <n v="3000"/>
  </r>
  <r>
    <x v="118"/>
    <x v="118"/>
    <s v="GCI"/>
    <x v="0"/>
    <x v="2"/>
    <x v="1"/>
    <x v="307"/>
    <x v="307"/>
    <x v="47"/>
    <x v="7"/>
    <n v="6000"/>
  </r>
  <r>
    <x v="118"/>
    <x v="118"/>
    <s v="GCI"/>
    <x v="0"/>
    <x v="2"/>
    <x v="1"/>
    <x v="308"/>
    <x v="308"/>
    <x v="47"/>
    <x v="1"/>
    <n v="4"/>
  </r>
  <r>
    <x v="118"/>
    <x v="118"/>
    <s v="GCI"/>
    <x v="0"/>
    <x v="2"/>
    <x v="1"/>
    <x v="308"/>
    <x v="308"/>
    <x v="47"/>
    <x v="2"/>
    <n v="91"/>
  </r>
  <r>
    <x v="118"/>
    <x v="118"/>
    <s v="GCI"/>
    <x v="0"/>
    <x v="2"/>
    <x v="1"/>
    <x v="307"/>
    <x v="307"/>
    <x v="47"/>
    <x v="8"/>
    <n v="1"/>
  </r>
  <r>
    <x v="118"/>
    <x v="118"/>
    <s v="GCI"/>
    <x v="0"/>
    <x v="2"/>
    <x v="1"/>
    <x v="307"/>
    <x v="307"/>
    <x v="47"/>
    <x v="4"/>
    <n v="1"/>
  </r>
  <r>
    <x v="118"/>
    <x v="118"/>
    <s v="GCI"/>
    <x v="0"/>
    <x v="2"/>
    <x v="1"/>
    <x v="307"/>
    <x v="307"/>
    <x v="47"/>
    <x v="6"/>
    <n v="54"/>
  </r>
  <r>
    <x v="113"/>
    <x v="113"/>
    <s v="GCI"/>
    <x v="0"/>
    <x v="1"/>
    <x v="1"/>
    <x v="309"/>
    <x v="309"/>
    <x v="48"/>
    <x v="2"/>
    <n v="150"/>
  </r>
  <r>
    <x v="119"/>
    <x v="119"/>
    <s v="GCI"/>
    <x v="0"/>
    <x v="1"/>
    <x v="1"/>
    <x v="310"/>
    <x v="310"/>
    <x v="49"/>
    <x v="11"/>
    <n v="170"/>
  </r>
  <r>
    <x v="120"/>
    <x v="120"/>
    <s v="GCI"/>
    <x v="0"/>
    <x v="2"/>
    <x v="1"/>
    <x v="311"/>
    <x v="311"/>
    <x v="50"/>
    <x v="4"/>
    <n v="1"/>
  </r>
  <r>
    <x v="121"/>
    <x v="121"/>
    <s v="GCI"/>
    <x v="0"/>
    <x v="2"/>
    <x v="1"/>
    <x v="312"/>
    <x v="312"/>
    <x v="50"/>
    <x v="8"/>
    <n v="1"/>
  </r>
  <r>
    <x v="122"/>
    <x v="122"/>
    <s v="GCI"/>
    <x v="0"/>
    <x v="5"/>
    <x v="1"/>
    <x v="313"/>
    <x v="313"/>
    <x v="51"/>
    <x v="9"/>
    <n v="2"/>
  </r>
  <r>
    <x v="123"/>
    <x v="123"/>
    <s v="GCI"/>
    <x v="0"/>
    <x v="1"/>
    <x v="1"/>
    <x v="314"/>
    <x v="314"/>
    <x v="51"/>
    <x v="1"/>
    <n v="117"/>
  </r>
  <r>
    <x v="123"/>
    <x v="123"/>
    <s v="GCI"/>
    <x v="0"/>
    <x v="1"/>
    <x v="1"/>
    <x v="314"/>
    <x v="314"/>
    <x v="51"/>
    <x v="4"/>
    <n v="3"/>
  </r>
  <r>
    <x v="123"/>
    <x v="123"/>
    <s v="GCI"/>
    <x v="0"/>
    <x v="1"/>
    <x v="1"/>
    <x v="314"/>
    <x v="314"/>
    <x v="51"/>
    <x v="6"/>
    <n v="67"/>
  </r>
  <r>
    <x v="124"/>
    <x v="124"/>
    <s v="GCI"/>
    <x v="0"/>
    <x v="1"/>
    <x v="1"/>
    <x v="315"/>
    <x v="315"/>
    <x v="51"/>
    <x v="8"/>
    <n v="1"/>
  </r>
  <r>
    <x v="124"/>
    <x v="124"/>
    <s v="GCI"/>
    <x v="0"/>
    <x v="1"/>
    <x v="1"/>
    <x v="315"/>
    <x v="315"/>
    <x v="51"/>
    <x v="6"/>
    <n v="11"/>
  </r>
  <r>
    <x v="124"/>
    <x v="124"/>
    <s v="GCI"/>
    <x v="0"/>
    <x v="1"/>
    <x v="1"/>
    <x v="316"/>
    <x v="316"/>
    <x v="52"/>
    <x v="9"/>
    <n v="1"/>
  </r>
  <r>
    <x v="125"/>
    <x v="125"/>
    <s v="GCI"/>
    <x v="0"/>
    <x v="2"/>
    <x v="1"/>
    <x v="317"/>
    <x v="317"/>
    <x v="53"/>
    <x v="2"/>
    <n v="38"/>
  </r>
  <r>
    <x v="125"/>
    <x v="125"/>
    <s v="GCI"/>
    <x v="0"/>
    <x v="2"/>
    <x v="1"/>
    <x v="317"/>
    <x v="317"/>
    <x v="53"/>
    <x v="6"/>
    <n v="16"/>
  </r>
  <r>
    <x v="126"/>
    <x v="126"/>
    <s v="GCI"/>
    <x v="0"/>
    <x v="1"/>
    <x v="1"/>
    <x v="318"/>
    <x v="318"/>
    <x v="53"/>
    <x v="2"/>
    <n v="71"/>
  </r>
  <r>
    <x v="126"/>
    <x v="126"/>
    <s v="GCI"/>
    <x v="0"/>
    <x v="1"/>
    <x v="1"/>
    <x v="318"/>
    <x v="318"/>
    <x v="53"/>
    <x v="8"/>
    <n v="1"/>
  </r>
  <r>
    <x v="126"/>
    <x v="126"/>
    <s v="GCI"/>
    <x v="0"/>
    <x v="1"/>
    <x v="1"/>
    <x v="318"/>
    <x v="318"/>
    <x v="53"/>
    <x v="6"/>
    <n v="24"/>
  </r>
  <r>
    <x v="127"/>
    <x v="127"/>
    <s v="GCI"/>
    <x v="0"/>
    <x v="1"/>
    <x v="1"/>
    <x v="319"/>
    <x v="319"/>
    <x v="54"/>
    <x v="7"/>
    <n v="3000"/>
  </r>
  <r>
    <x v="121"/>
    <x v="121"/>
    <s v="GCI"/>
    <x v="0"/>
    <x v="1"/>
    <x v="1"/>
    <x v="320"/>
    <x v="320"/>
    <x v="54"/>
    <x v="7"/>
    <n v="3000"/>
  </r>
  <r>
    <x v="120"/>
    <x v="120"/>
    <s v="GCI"/>
    <x v="0"/>
    <x v="1"/>
    <x v="1"/>
    <x v="321"/>
    <x v="321"/>
    <x v="54"/>
    <x v="7"/>
    <n v="3000"/>
  </r>
  <r>
    <x v="124"/>
    <x v="124"/>
    <s v="GCI"/>
    <x v="0"/>
    <x v="1"/>
    <x v="1"/>
    <x v="322"/>
    <x v="322"/>
    <x v="54"/>
    <x v="7"/>
    <n v="3000"/>
  </r>
  <r>
    <x v="126"/>
    <x v="126"/>
    <s v="GCI"/>
    <x v="0"/>
    <x v="1"/>
    <x v="1"/>
    <x v="323"/>
    <x v="323"/>
    <x v="54"/>
    <x v="7"/>
    <n v="3000"/>
  </r>
  <r>
    <x v="123"/>
    <x v="123"/>
    <s v="GCI"/>
    <x v="0"/>
    <x v="1"/>
    <x v="1"/>
    <x v="324"/>
    <x v="324"/>
    <x v="54"/>
    <x v="7"/>
    <n v="6000"/>
  </r>
  <r>
    <x v="127"/>
    <x v="127"/>
    <s v="GCI"/>
    <x v="0"/>
    <x v="1"/>
    <x v="1"/>
    <x v="325"/>
    <x v="325"/>
    <x v="54"/>
    <x v="2"/>
    <n v="67"/>
  </r>
  <r>
    <x v="127"/>
    <x v="127"/>
    <s v="GCI"/>
    <x v="0"/>
    <x v="1"/>
    <x v="1"/>
    <x v="325"/>
    <x v="325"/>
    <x v="54"/>
    <x v="4"/>
    <n v="1"/>
  </r>
  <r>
    <x v="127"/>
    <x v="127"/>
    <s v="GCI"/>
    <x v="0"/>
    <x v="1"/>
    <x v="1"/>
    <x v="325"/>
    <x v="325"/>
    <x v="54"/>
    <x v="6"/>
    <n v="29"/>
  </r>
  <r>
    <x v="121"/>
    <x v="121"/>
    <s v="GCI"/>
    <x v="0"/>
    <x v="1"/>
    <x v="1"/>
    <x v="326"/>
    <x v="326"/>
    <x v="54"/>
    <x v="2"/>
    <n v="36"/>
  </r>
  <r>
    <x v="120"/>
    <x v="120"/>
    <s v="GCI"/>
    <x v="0"/>
    <x v="1"/>
    <x v="1"/>
    <x v="327"/>
    <x v="327"/>
    <x v="54"/>
    <x v="2"/>
    <n v="30"/>
  </r>
  <r>
    <x v="124"/>
    <x v="124"/>
    <s v="GCI"/>
    <x v="0"/>
    <x v="1"/>
    <x v="1"/>
    <x v="328"/>
    <x v="328"/>
    <x v="54"/>
    <x v="2"/>
    <n v="16"/>
  </r>
  <r>
    <x v="126"/>
    <x v="126"/>
    <s v="GCI"/>
    <x v="0"/>
    <x v="1"/>
    <x v="1"/>
    <x v="329"/>
    <x v="329"/>
    <x v="55"/>
    <x v="9"/>
    <n v="1"/>
  </r>
  <r>
    <x v="127"/>
    <x v="127"/>
    <s v="GCI"/>
    <x v="0"/>
    <x v="1"/>
    <x v="1"/>
    <x v="330"/>
    <x v="330"/>
    <x v="55"/>
    <x v="9"/>
    <n v="1"/>
  </r>
  <r>
    <x v="128"/>
    <x v="128"/>
    <s v="GCI"/>
    <x v="0"/>
    <x v="1"/>
    <x v="1"/>
    <x v="331"/>
    <x v="331"/>
    <x v="55"/>
    <x v="9"/>
    <n v="2"/>
  </r>
  <r>
    <x v="110"/>
    <x v="110"/>
    <s v="GCI"/>
    <x v="0"/>
    <x v="1"/>
    <x v="1"/>
    <x v="332"/>
    <x v="332"/>
    <x v="55"/>
    <x v="9"/>
    <n v="1"/>
  </r>
  <r>
    <x v="74"/>
    <x v="129"/>
    <s v="GCI"/>
    <x v="0"/>
    <x v="1"/>
    <x v="1"/>
    <x v="333"/>
    <x v="333"/>
    <x v="56"/>
    <x v="9"/>
    <n v="1"/>
  </r>
  <r>
    <x v="129"/>
    <x v="130"/>
    <s v="GCI"/>
    <x v="0"/>
    <x v="1"/>
    <x v="1"/>
    <x v="334"/>
    <x v="334"/>
    <x v="56"/>
    <x v="9"/>
    <n v="1"/>
  </r>
  <r>
    <x v="115"/>
    <x v="115"/>
    <s v="GCI"/>
    <x v="0"/>
    <x v="1"/>
    <x v="1"/>
    <x v="335"/>
    <x v="335"/>
    <x v="56"/>
    <x v="9"/>
    <n v="1"/>
  </r>
  <r>
    <x v="130"/>
    <x v="131"/>
    <s v="GCI"/>
    <x v="0"/>
    <x v="2"/>
    <x v="1"/>
    <x v="336"/>
    <x v="336"/>
    <x v="57"/>
    <x v="8"/>
    <n v="1"/>
  </r>
  <r>
    <x v="131"/>
    <x v="132"/>
    <s v="GCI"/>
    <x v="0"/>
    <x v="2"/>
    <x v="1"/>
    <x v="337"/>
    <x v="337"/>
    <x v="58"/>
    <x v="0"/>
    <n v="3000"/>
  </r>
  <r>
    <x v="132"/>
    <x v="133"/>
    <s v="GCI"/>
    <x v="0"/>
    <x v="2"/>
    <x v="1"/>
    <x v="338"/>
    <x v="338"/>
    <x v="58"/>
    <x v="0"/>
    <n v="3000"/>
  </r>
  <r>
    <x v="133"/>
    <x v="134"/>
    <s v="GCI"/>
    <x v="0"/>
    <x v="2"/>
    <x v="1"/>
    <x v="339"/>
    <x v="339"/>
    <x v="58"/>
    <x v="0"/>
    <n v="3000"/>
  </r>
  <r>
    <x v="134"/>
    <x v="135"/>
    <s v="GCI"/>
    <x v="0"/>
    <x v="2"/>
    <x v="1"/>
    <x v="340"/>
    <x v="340"/>
    <x v="58"/>
    <x v="7"/>
    <n v="3000"/>
  </r>
  <r>
    <x v="135"/>
    <x v="136"/>
    <s v="GCI"/>
    <x v="0"/>
    <x v="2"/>
    <x v="1"/>
    <x v="341"/>
    <x v="341"/>
    <x v="58"/>
    <x v="0"/>
    <n v="3000"/>
  </r>
  <r>
    <x v="131"/>
    <x v="132"/>
    <s v="GCI"/>
    <x v="0"/>
    <x v="2"/>
    <x v="1"/>
    <x v="337"/>
    <x v="337"/>
    <x v="58"/>
    <x v="2"/>
    <n v="34"/>
  </r>
  <r>
    <x v="131"/>
    <x v="132"/>
    <s v="GCI"/>
    <x v="0"/>
    <x v="2"/>
    <x v="1"/>
    <x v="337"/>
    <x v="337"/>
    <x v="58"/>
    <x v="8"/>
    <n v="1"/>
  </r>
  <r>
    <x v="131"/>
    <x v="132"/>
    <s v="GCI"/>
    <x v="0"/>
    <x v="2"/>
    <x v="1"/>
    <x v="337"/>
    <x v="337"/>
    <x v="58"/>
    <x v="6"/>
    <n v="10"/>
  </r>
  <r>
    <x v="132"/>
    <x v="133"/>
    <s v="GCI"/>
    <x v="0"/>
    <x v="2"/>
    <x v="1"/>
    <x v="338"/>
    <x v="338"/>
    <x v="58"/>
    <x v="2"/>
    <n v="52"/>
  </r>
  <r>
    <x v="132"/>
    <x v="133"/>
    <s v="GCI"/>
    <x v="0"/>
    <x v="2"/>
    <x v="1"/>
    <x v="338"/>
    <x v="338"/>
    <x v="58"/>
    <x v="4"/>
    <n v="1"/>
  </r>
  <r>
    <x v="132"/>
    <x v="133"/>
    <s v="GCI"/>
    <x v="0"/>
    <x v="2"/>
    <x v="1"/>
    <x v="338"/>
    <x v="338"/>
    <x v="58"/>
    <x v="6"/>
    <n v="14"/>
  </r>
  <r>
    <x v="133"/>
    <x v="134"/>
    <s v="GCI"/>
    <x v="0"/>
    <x v="2"/>
    <x v="1"/>
    <x v="339"/>
    <x v="339"/>
    <x v="58"/>
    <x v="2"/>
    <n v="34"/>
  </r>
  <r>
    <x v="133"/>
    <x v="134"/>
    <s v="GCI"/>
    <x v="0"/>
    <x v="2"/>
    <x v="1"/>
    <x v="339"/>
    <x v="339"/>
    <x v="58"/>
    <x v="6"/>
    <n v="10"/>
  </r>
  <r>
    <x v="134"/>
    <x v="135"/>
    <s v="GCI"/>
    <x v="0"/>
    <x v="2"/>
    <x v="1"/>
    <x v="340"/>
    <x v="340"/>
    <x v="58"/>
    <x v="2"/>
    <n v="79"/>
  </r>
  <r>
    <x v="134"/>
    <x v="135"/>
    <s v="GCI"/>
    <x v="0"/>
    <x v="2"/>
    <x v="1"/>
    <x v="340"/>
    <x v="340"/>
    <x v="58"/>
    <x v="4"/>
    <n v="1"/>
  </r>
  <r>
    <x v="134"/>
    <x v="135"/>
    <s v="GCI"/>
    <x v="0"/>
    <x v="2"/>
    <x v="1"/>
    <x v="340"/>
    <x v="340"/>
    <x v="58"/>
    <x v="6"/>
    <n v="29"/>
  </r>
  <r>
    <x v="135"/>
    <x v="136"/>
    <s v="GCI"/>
    <x v="0"/>
    <x v="2"/>
    <x v="1"/>
    <x v="341"/>
    <x v="341"/>
    <x v="58"/>
    <x v="2"/>
    <n v="45"/>
  </r>
  <r>
    <x v="135"/>
    <x v="136"/>
    <s v="GCI"/>
    <x v="0"/>
    <x v="2"/>
    <x v="1"/>
    <x v="341"/>
    <x v="341"/>
    <x v="58"/>
    <x v="4"/>
    <n v="1"/>
  </r>
  <r>
    <x v="135"/>
    <x v="136"/>
    <s v="GCI"/>
    <x v="0"/>
    <x v="2"/>
    <x v="1"/>
    <x v="341"/>
    <x v="341"/>
    <x v="58"/>
    <x v="6"/>
    <n v="23"/>
  </r>
  <r>
    <x v="136"/>
    <x v="137"/>
    <s v="GCI"/>
    <x v="0"/>
    <x v="7"/>
    <x v="1"/>
    <x v="342"/>
    <x v="342"/>
    <x v="59"/>
    <x v="0"/>
    <n v="3000"/>
  </r>
  <r>
    <x v="136"/>
    <x v="137"/>
    <s v="GCI"/>
    <x v="0"/>
    <x v="7"/>
    <x v="1"/>
    <x v="342"/>
    <x v="342"/>
    <x v="59"/>
    <x v="12"/>
    <n v="6000"/>
  </r>
  <r>
    <x v="136"/>
    <x v="137"/>
    <s v="GCI"/>
    <x v="0"/>
    <x v="7"/>
    <x v="1"/>
    <x v="342"/>
    <x v="342"/>
    <x v="59"/>
    <x v="1"/>
    <n v="2"/>
  </r>
  <r>
    <x v="136"/>
    <x v="137"/>
    <s v="GCI"/>
    <x v="0"/>
    <x v="7"/>
    <x v="1"/>
    <x v="342"/>
    <x v="342"/>
    <x v="59"/>
    <x v="2"/>
    <n v="118"/>
  </r>
  <r>
    <x v="136"/>
    <x v="137"/>
    <s v="GCI"/>
    <x v="0"/>
    <x v="7"/>
    <x v="1"/>
    <x v="342"/>
    <x v="342"/>
    <x v="59"/>
    <x v="8"/>
    <n v="1"/>
  </r>
  <r>
    <x v="136"/>
    <x v="137"/>
    <s v="GCI"/>
    <x v="0"/>
    <x v="7"/>
    <x v="1"/>
    <x v="342"/>
    <x v="342"/>
    <x v="59"/>
    <x v="4"/>
    <n v="1"/>
  </r>
  <r>
    <x v="136"/>
    <x v="137"/>
    <s v="GCI"/>
    <x v="0"/>
    <x v="7"/>
    <x v="1"/>
    <x v="342"/>
    <x v="342"/>
    <x v="59"/>
    <x v="6"/>
    <n v="39"/>
  </r>
  <r>
    <x v="137"/>
    <x v="138"/>
    <s v="GCI"/>
    <x v="0"/>
    <x v="4"/>
    <x v="1"/>
    <x v="343"/>
    <x v="343"/>
    <x v="59"/>
    <x v="9"/>
    <n v="2"/>
  </r>
  <r>
    <x v="138"/>
    <x v="139"/>
    <s v="GCI"/>
    <x v="0"/>
    <x v="8"/>
    <x v="2"/>
    <x v="344"/>
    <x v="344"/>
    <x v="60"/>
    <x v="1"/>
    <n v="13"/>
  </r>
  <r>
    <x v="138"/>
    <x v="139"/>
    <s v="GCI"/>
    <x v="0"/>
    <x v="8"/>
    <x v="2"/>
    <x v="344"/>
    <x v="344"/>
    <x v="60"/>
    <x v="2"/>
    <n v="7"/>
  </r>
  <r>
    <x v="138"/>
    <x v="139"/>
    <s v="GCI"/>
    <x v="0"/>
    <x v="8"/>
    <x v="2"/>
    <x v="345"/>
    <x v="345"/>
    <x v="60"/>
    <x v="6"/>
    <n v="9"/>
  </r>
  <r>
    <x v="138"/>
    <x v="139"/>
    <s v="GCI"/>
    <x v="0"/>
    <x v="8"/>
    <x v="2"/>
    <x v="346"/>
    <x v="346"/>
    <x v="60"/>
    <x v="0"/>
    <n v="3000"/>
  </r>
  <r>
    <x v="139"/>
    <x v="140"/>
    <s v="GCI"/>
    <x v="0"/>
    <x v="8"/>
    <x v="2"/>
    <x v="347"/>
    <x v="347"/>
    <x v="61"/>
    <x v="1"/>
    <n v="71"/>
  </r>
  <r>
    <x v="139"/>
    <x v="140"/>
    <s v="GCI"/>
    <x v="0"/>
    <x v="8"/>
    <x v="2"/>
    <x v="347"/>
    <x v="347"/>
    <x v="61"/>
    <x v="2"/>
    <n v="9"/>
  </r>
  <r>
    <x v="139"/>
    <x v="140"/>
    <s v="GCI"/>
    <x v="0"/>
    <x v="8"/>
    <x v="2"/>
    <x v="348"/>
    <x v="348"/>
    <x v="61"/>
    <x v="4"/>
    <n v="1"/>
  </r>
  <r>
    <x v="139"/>
    <x v="140"/>
    <s v="GCI"/>
    <x v="0"/>
    <x v="8"/>
    <x v="2"/>
    <x v="348"/>
    <x v="348"/>
    <x v="61"/>
    <x v="6"/>
    <n v="10"/>
  </r>
  <r>
    <x v="139"/>
    <x v="140"/>
    <s v="GCI"/>
    <x v="0"/>
    <x v="8"/>
    <x v="2"/>
    <x v="348"/>
    <x v="348"/>
    <x v="61"/>
    <x v="5"/>
    <n v="4"/>
  </r>
  <r>
    <x v="140"/>
    <x v="141"/>
    <s v="GCI"/>
    <x v="0"/>
    <x v="8"/>
    <x v="2"/>
    <x v="349"/>
    <x v="349"/>
    <x v="61"/>
    <x v="1"/>
    <n v="39"/>
  </r>
  <r>
    <x v="140"/>
    <x v="141"/>
    <s v="GCI"/>
    <x v="0"/>
    <x v="8"/>
    <x v="2"/>
    <x v="349"/>
    <x v="349"/>
    <x v="61"/>
    <x v="2"/>
    <n v="13"/>
  </r>
  <r>
    <x v="140"/>
    <x v="141"/>
    <s v="GCI"/>
    <x v="0"/>
    <x v="8"/>
    <x v="2"/>
    <x v="350"/>
    <x v="350"/>
    <x v="61"/>
    <x v="4"/>
    <n v="1"/>
  </r>
  <r>
    <x v="140"/>
    <x v="141"/>
    <s v="GCI"/>
    <x v="0"/>
    <x v="8"/>
    <x v="2"/>
    <x v="350"/>
    <x v="350"/>
    <x v="61"/>
    <x v="6"/>
    <n v="10"/>
  </r>
  <r>
    <x v="140"/>
    <x v="141"/>
    <s v="GCI"/>
    <x v="0"/>
    <x v="8"/>
    <x v="2"/>
    <x v="350"/>
    <x v="350"/>
    <x v="61"/>
    <x v="5"/>
    <n v="4"/>
  </r>
  <r>
    <x v="139"/>
    <x v="140"/>
    <s v="GCI"/>
    <x v="0"/>
    <x v="8"/>
    <x v="2"/>
    <x v="348"/>
    <x v="348"/>
    <x v="61"/>
    <x v="7"/>
    <n v="6000"/>
  </r>
  <r>
    <x v="140"/>
    <x v="141"/>
    <s v="GCI"/>
    <x v="0"/>
    <x v="8"/>
    <x v="2"/>
    <x v="351"/>
    <x v="351"/>
    <x v="62"/>
    <x v="6"/>
    <n v="15"/>
  </r>
  <r>
    <x v="139"/>
    <x v="140"/>
    <s v="GCI"/>
    <x v="0"/>
    <x v="8"/>
    <x v="2"/>
    <x v="352"/>
    <x v="352"/>
    <x v="62"/>
    <x v="6"/>
    <n v="22"/>
  </r>
  <r>
    <x v="141"/>
    <x v="142"/>
    <s v="GCI"/>
    <x v="0"/>
    <x v="8"/>
    <x v="2"/>
    <x v="353"/>
    <x v="353"/>
    <x v="63"/>
    <x v="1"/>
    <n v="33"/>
  </r>
  <r>
    <x v="141"/>
    <x v="142"/>
    <s v="GCI"/>
    <x v="0"/>
    <x v="8"/>
    <x v="2"/>
    <x v="353"/>
    <x v="353"/>
    <x v="63"/>
    <x v="2"/>
    <n v="5"/>
  </r>
  <r>
    <x v="141"/>
    <x v="142"/>
    <s v="GCI"/>
    <x v="0"/>
    <x v="8"/>
    <x v="2"/>
    <x v="354"/>
    <x v="354"/>
    <x v="63"/>
    <x v="8"/>
    <n v="1"/>
  </r>
  <r>
    <x v="141"/>
    <x v="142"/>
    <s v="GCI"/>
    <x v="0"/>
    <x v="8"/>
    <x v="2"/>
    <x v="354"/>
    <x v="354"/>
    <x v="63"/>
    <x v="6"/>
    <n v="16"/>
  </r>
  <r>
    <x v="142"/>
    <x v="143"/>
    <s v="GCI"/>
    <x v="0"/>
    <x v="8"/>
    <x v="2"/>
    <x v="355"/>
    <x v="355"/>
    <x v="63"/>
    <x v="1"/>
    <n v="46"/>
  </r>
  <r>
    <x v="142"/>
    <x v="143"/>
    <s v="GCI"/>
    <x v="0"/>
    <x v="8"/>
    <x v="2"/>
    <x v="355"/>
    <x v="355"/>
    <x v="63"/>
    <x v="2"/>
    <n v="8"/>
  </r>
  <r>
    <x v="142"/>
    <x v="143"/>
    <s v="GCI"/>
    <x v="0"/>
    <x v="8"/>
    <x v="2"/>
    <x v="356"/>
    <x v="356"/>
    <x v="63"/>
    <x v="8"/>
    <n v="1"/>
  </r>
  <r>
    <x v="142"/>
    <x v="143"/>
    <s v="GCI"/>
    <x v="0"/>
    <x v="8"/>
    <x v="2"/>
    <x v="356"/>
    <x v="356"/>
    <x v="63"/>
    <x v="6"/>
    <n v="24"/>
  </r>
  <r>
    <x v="143"/>
    <x v="144"/>
    <s v="GCI"/>
    <x v="0"/>
    <x v="8"/>
    <x v="2"/>
    <x v="357"/>
    <x v="357"/>
    <x v="63"/>
    <x v="1"/>
    <n v="32"/>
  </r>
  <r>
    <x v="143"/>
    <x v="144"/>
    <s v="GCI"/>
    <x v="0"/>
    <x v="8"/>
    <x v="2"/>
    <x v="357"/>
    <x v="357"/>
    <x v="63"/>
    <x v="2"/>
    <n v="4"/>
  </r>
  <r>
    <x v="143"/>
    <x v="144"/>
    <s v="GCI"/>
    <x v="0"/>
    <x v="8"/>
    <x v="2"/>
    <x v="358"/>
    <x v="358"/>
    <x v="63"/>
    <x v="8"/>
    <n v="1"/>
  </r>
  <r>
    <x v="143"/>
    <x v="144"/>
    <s v="GCI"/>
    <x v="0"/>
    <x v="8"/>
    <x v="2"/>
    <x v="358"/>
    <x v="358"/>
    <x v="63"/>
    <x v="6"/>
    <n v="16"/>
  </r>
  <r>
    <x v="144"/>
    <x v="145"/>
    <s v="GCI"/>
    <x v="0"/>
    <x v="8"/>
    <x v="2"/>
    <x v="359"/>
    <x v="359"/>
    <x v="63"/>
    <x v="1"/>
    <n v="21"/>
  </r>
  <r>
    <x v="144"/>
    <x v="145"/>
    <s v="GCI"/>
    <x v="0"/>
    <x v="8"/>
    <x v="2"/>
    <x v="359"/>
    <x v="359"/>
    <x v="63"/>
    <x v="2"/>
    <n v="5"/>
  </r>
  <r>
    <x v="144"/>
    <x v="145"/>
    <s v="GCI"/>
    <x v="0"/>
    <x v="8"/>
    <x v="2"/>
    <x v="360"/>
    <x v="360"/>
    <x v="63"/>
    <x v="8"/>
    <n v="1"/>
  </r>
  <r>
    <x v="144"/>
    <x v="145"/>
    <s v="GCI"/>
    <x v="0"/>
    <x v="8"/>
    <x v="2"/>
    <x v="360"/>
    <x v="360"/>
    <x v="63"/>
    <x v="6"/>
    <n v="12"/>
  </r>
  <r>
    <x v="145"/>
    <x v="146"/>
    <s v="GCI"/>
    <x v="0"/>
    <x v="8"/>
    <x v="2"/>
    <x v="361"/>
    <x v="361"/>
    <x v="63"/>
    <x v="1"/>
    <n v="40"/>
  </r>
  <r>
    <x v="145"/>
    <x v="146"/>
    <s v="GCI"/>
    <x v="0"/>
    <x v="8"/>
    <x v="2"/>
    <x v="361"/>
    <x v="361"/>
    <x v="63"/>
    <x v="2"/>
    <n v="4"/>
  </r>
  <r>
    <x v="145"/>
    <x v="146"/>
    <s v="GCI"/>
    <x v="0"/>
    <x v="8"/>
    <x v="2"/>
    <x v="361"/>
    <x v="361"/>
    <x v="63"/>
    <x v="3"/>
    <n v="1"/>
  </r>
  <r>
    <x v="145"/>
    <x v="146"/>
    <s v="GCI"/>
    <x v="0"/>
    <x v="8"/>
    <x v="2"/>
    <x v="362"/>
    <x v="362"/>
    <x v="63"/>
    <x v="8"/>
    <n v="1"/>
  </r>
  <r>
    <x v="145"/>
    <x v="146"/>
    <s v="GCI"/>
    <x v="0"/>
    <x v="8"/>
    <x v="2"/>
    <x v="362"/>
    <x v="362"/>
    <x v="63"/>
    <x v="6"/>
    <n v="6"/>
  </r>
  <r>
    <x v="146"/>
    <x v="147"/>
    <s v="GCI"/>
    <x v="0"/>
    <x v="8"/>
    <x v="2"/>
    <x v="363"/>
    <x v="363"/>
    <x v="63"/>
    <x v="1"/>
    <n v="15"/>
  </r>
  <r>
    <x v="146"/>
    <x v="147"/>
    <s v="GCI"/>
    <x v="0"/>
    <x v="8"/>
    <x v="2"/>
    <x v="364"/>
    <x v="364"/>
    <x v="63"/>
    <x v="6"/>
    <n v="3"/>
  </r>
  <r>
    <x v="141"/>
    <x v="142"/>
    <s v="GCI"/>
    <x v="0"/>
    <x v="8"/>
    <x v="2"/>
    <x v="354"/>
    <x v="354"/>
    <x v="63"/>
    <x v="0"/>
    <n v="3000"/>
  </r>
  <r>
    <x v="142"/>
    <x v="143"/>
    <s v="GCI"/>
    <x v="0"/>
    <x v="8"/>
    <x v="2"/>
    <x v="356"/>
    <x v="356"/>
    <x v="63"/>
    <x v="7"/>
    <n v="3000"/>
  </r>
  <r>
    <x v="143"/>
    <x v="144"/>
    <s v="GCI"/>
    <x v="0"/>
    <x v="8"/>
    <x v="2"/>
    <x v="358"/>
    <x v="358"/>
    <x v="63"/>
    <x v="0"/>
    <n v="3000"/>
  </r>
  <r>
    <x v="145"/>
    <x v="146"/>
    <s v="GCI"/>
    <x v="0"/>
    <x v="8"/>
    <x v="2"/>
    <x v="362"/>
    <x v="362"/>
    <x v="63"/>
    <x v="7"/>
    <n v="3000"/>
  </r>
  <r>
    <x v="147"/>
    <x v="148"/>
    <s v="GCI"/>
    <x v="0"/>
    <x v="8"/>
    <x v="2"/>
    <x v="365"/>
    <x v="365"/>
    <x v="64"/>
    <x v="1"/>
    <n v="23"/>
  </r>
  <r>
    <x v="147"/>
    <x v="148"/>
    <s v="GCI"/>
    <x v="0"/>
    <x v="8"/>
    <x v="2"/>
    <x v="365"/>
    <x v="365"/>
    <x v="64"/>
    <x v="2"/>
    <n v="10"/>
  </r>
  <r>
    <x v="147"/>
    <x v="148"/>
    <s v="GCI"/>
    <x v="0"/>
    <x v="8"/>
    <x v="2"/>
    <x v="365"/>
    <x v="365"/>
    <x v="64"/>
    <x v="3"/>
    <n v="8"/>
  </r>
  <r>
    <x v="148"/>
    <x v="149"/>
    <s v="GCI"/>
    <x v="0"/>
    <x v="8"/>
    <x v="2"/>
    <x v="366"/>
    <x v="366"/>
    <x v="64"/>
    <x v="1"/>
    <n v="40"/>
  </r>
  <r>
    <x v="148"/>
    <x v="149"/>
    <s v="GCI"/>
    <x v="0"/>
    <x v="8"/>
    <x v="2"/>
    <x v="366"/>
    <x v="366"/>
    <x v="64"/>
    <x v="2"/>
    <n v="2"/>
  </r>
  <r>
    <x v="148"/>
    <x v="149"/>
    <s v="GCI"/>
    <x v="0"/>
    <x v="8"/>
    <x v="2"/>
    <x v="367"/>
    <x v="367"/>
    <x v="64"/>
    <x v="8"/>
    <n v="1"/>
  </r>
  <r>
    <x v="149"/>
    <x v="150"/>
    <s v="GCI"/>
    <x v="0"/>
    <x v="8"/>
    <x v="2"/>
    <x v="368"/>
    <x v="368"/>
    <x v="64"/>
    <x v="1"/>
    <n v="16"/>
  </r>
  <r>
    <x v="149"/>
    <x v="150"/>
    <s v="GCI"/>
    <x v="0"/>
    <x v="8"/>
    <x v="2"/>
    <x v="368"/>
    <x v="368"/>
    <x v="64"/>
    <x v="2"/>
    <n v="3"/>
  </r>
  <r>
    <x v="149"/>
    <x v="150"/>
    <s v="GCI"/>
    <x v="0"/>
    <x v="8"/>
    <x v="2"/>
    <x v="369"/>
    <x v="369"/>
    <x v="64"/>
    <x v="4"/>
    <n v="1"/>
  </r>
  <r>
    <x v="149"/>
    <x v="150"/>
    <s v="GCI"/>
    <x v="0"/>
    <x v="8"/>
    <x v="2"/>
    <x v="369"/>
    <x v="369"/>
    <x v="64"/>
    <x v="5"/>
    <n v="4"/>
  </r>
  <r>
    <x v="150"/>
    <x v="151"/>
    <s v="GCI"/>
    <x v="0"/>
    <x v="8"/>
    <x v="2"/>
    <x v="370"/>
    <x v="370"/>
    <x v="64"/>
    <x v="1"/>
    <n v="16"/>
  </r>
  <r>
    <x v="150"/>
    <x v="151"/>
    <s v="GCI"/>
    <x v="0"/>
    <x v="8"/>
    <x v="2"/>
    <x v="370"/>
    <x v="370"/>
    <x v="64"/>
    <x v="2"/>
    <n v="2"/>
  </r>
  <r>
    <x v="150"/>
    <x v="151"/>
    <s v="GCI"/>
    <x v="0"/>
    <x v="8"/>
    <x v="2"/>
    <x v="371"/>
    <x v="371"/>
    <x v="64"/>
    <x v="4"/>
    <n v="1"/>
  </r>
  <r>
    <x v="150"/>
    <x v="151"/>
    <s v="GCI"/>
    <x v="0"/>
    <x v="8"/>
    <x v="2"/>
    <x v="371"/>
    <x v="371"/>
    <x v="64"/>
    <x v="5"/>
    <n v="4"/>
  </r>
  <r>
    <x v="147"/>
    <x v="148"/>
    <s v="GCI"/>
    <x v="0"/>
    <x v="8"/>
    <x v="2"/>
    <x v="372"/>
    <x v="372"/>
    <x v="64"/>
    <x v="7"/>
    <n v="3000"/>
  </r>
  <r>
    <x v="148"/>
    <x v="149"/>
    <s v="GCI"/>
    <x v="0"/>
    <x v="8"/>
    <x v="2"/>
    <x v="367"/>
    <x v="367"/>
    <x v="64"/>
    <x v="7"/>
    <n v="3000"/>
  </r>
  <r>
    <x v="150"/>
    <x v="151"/>
    <s v="GCI"/>
    <x v="0"/>
    <x v="8"/>
    <x v="2"/>
    <x v="371"/>
    <x v="371"/>
    <x v="64"/>
    <x v="0"/>
    <n v="3000"/>
  </r>
  <r>
    <x v="151"/>
    <x v="152"/>
    <s v="GCI"/>
    <x v="0"/>
    <x v="8"/>
    <x v="2"/>
    <x v="373"/>
    <x v="373"/>
    <x v="65"/>
    <x v="1"/>
    <n v="79"/>
  </r>
  <r>
    <x v="151"/>
    <x v="152"/>
    <s v="GCI"/>
    <x v="0"/>
    <x v="8"/>
    <x v="2"/>
    <x v="373"/>
    <x v="373"/>
    <x v="65"/>
    <x v="3"/>
    <n v="15"/>
  </r>
  <r>
    <x v="151"/>
    <x v="152"/>
    <s v="GCI"/>
    <x v="0"/>
    <x v="8"/>
    <x v="2"/>
    <x v="374"/>
    <x v="374"/>
    <x v="65"/>
    <x v="13"/>
    <n v="6000"/>
  </r>
  <r>
    <x v="152"/>
    <x v="153"/>
    <s v="GCI"/>
    <x v="0"/>
    <x v="8"/>
    <x v="2"/>
    <x v="375"/>
    <x v="375"/>
    <x v="66"/>
    <x v="1"/>
    <n v="14"/>
  </r>
  <r>
    <x v="152"/>
    <x v="153"/>
    <s v="GCI"/>
    <x v="0"/>
    <x v="8"/>
    <x v="2"/>
    <x v="375"/>
    <x v="375"/>
    <x v="66"/>
    <x v="2"/>
    <n v="3"/>
  </r>
  <r>
    <x v="152"/>
    <x v="153"/>
    <s v="GCI"/>
    <x v="0"/>
    <x v="8"/>
    <x v="2"/>
    <x v="375"/>
    <x v="375"/>
    <x v="66"/>
    <x v="9"/>
    <n v="1"/>
  </r>
  <r>
    <x v="152"/>
    <x v="153"/>
    <s v="GCI"/>
    <x v="0"/>
    <x v="8"/>
    <x v="2"/>
    <x v="376"/>
    <x v="376"/>
    <x v="66"/>
    <x v="8"/>
    <n v="1"/>
  </r>
  <r>
    <x v="153"/>
    <x v="154"/>
    <s v="GCI"/>
    <x v="0"/>
    <x v="8"/>
    <x v="2"/>
    <x v="377"/>
    <x v="377"/>
    <x v="66"/>
    <x v="1"/>
    <n v="13"/>
  </r>
  <r>
    <x v="153"/>
    <x v="154"/>
    <s v="GCI"/>
    <x v="0"/>
    <x v="8"/>
    <x v="2"/>
    <x v="377"/>
    <x v="377"/>
    <x v="66"/>
    <x v="2"/>
    <n v="1"/>
  </r>
  <r>
    <x v="154"/>
    <x v="155"/>
    <s v="GCI"/>
    <x v="0"/>
    <x v="8"/>
    <x v="2"/>
    <x v="378"/>
    <x v="378"/>
    <x v="66"/>
    <x v="1"/>
    <n v="22"/>
  </r>
  <r>
    <x v="154"/>
    <x v="155"/>
    <s v="GCI"/>
    <x v="0"/>
    <x v="8"/>
    <x v="2"/>
    <x v="378"/>
    <x v="378"/>
    <x v="66"/>
    <x v="2"/>
    <n v="1"/>
  </r>
  <r>
    <x v="155"/>
    <x v="156"/>
    <s v="GCI"/>
    <x v="0"/>
    <x v="8"/>
    <x v="2"/>
    <x v="379"/>
    <x v="379"/>
    <x v="66"/>
    <x v="1"/>
    <n v="47"/>
  </r>
  <r>
    <x v="155"/>
    <x v="156"/>
    <s v="GCI"/>
    <x v="0"/>
    <x v="8"/>
    <x v="2"/>
    <x v="379"/>
    <x v="379"/>
    <x v="66"/>
    <x v="2"/>
    <n v="7"/>
  </r>
  <r>
    <x v="155"/>
    <x v="156"/>
    <s v="GCI"/>
    <x v="0"/>
    <x v="8"/>
    <x v="2"/>
    <x v="379"/>
    <x v="379"/>
    <x v="66"/>
    <x v="9"/>
    <n v="1"/>
  </r>
  <r>
    <x v="155"/>
    <x v="156"/>
    <s v="GCI"/>
    <x v="0"/>
    <x v="8"/>
    <x v="2"/>
    <x v="380"/>
    <x v="380"/>
    <x v="66"/>
    <x v="8"/>
    <n v="1"/>
  </r>
  <r>
    <x v="152"/>
    <x v="153"/>
    <s v="GCI"/>
    <x v="0"/>
    <x v="8"/>
    <x v="2"/>
    <x v="381"/>
    <x v="381"/>
    <x v="66"/>
    <x v="6"/>
    <n v="12"/>
  </r>
  <r>
    <x v="153"/>
    <x v="154"/>
    <s v="GCI"/>
    <x v="0"/>
    <x v="8"/>
    <x v="2"/>
    <x v="382"/>
    <x v="382"/>
    <x v="66"/>
    <x v="6"/>
    <n v="9"/>
  </r>
  <r>
    <x v="154"/>
    <x v="155"/>
    <s v="GCI"/>
    <x v="0"/>
    <x v="8"/>
    <x v="2"/>
    <x v="383"/>
    <x v="383"/>
    <x v="66"/>
    <x v="6"/>
    <n v="10"/>
  </r>
  <r>
    <x v="155"/>
    <x v="156"/>
    <s v="GCI"/>
    <x v="0"/>
    <x v="8"/>
    <x v="2"/>
    <x v="384"/>
    <x v="384"/>
    <x v="66"/>
    <x v="6"/>
    <n v="15"/>
  </r>
  <r>
    <x v="147"/>
    <x v="148"/>
    <s v="GCI"/>
    <x v="0"/>
    <x v="8"/>
    <x v="2"/>
    <x v="385"/>
    <x v="385"/>
    <x v="66"/>
    <x v="6"/>
    <n v="13"/>
  </r>
  <r>
    <x v="148"/>
    <x v="149"/>
    <s v="GCI"/>
    <x v="0"/>
    <x v="8"/>
    <x v="2"/>
    <x v="386"/>
    <x v="386"/>
    <x v="66"/>
    <x v="6"/>
    <n v="11"/>
  </r>
  <r>
    <x v="149"/>
    <x v="150"/>
    <s v="GCI"/>
    <x v="0"/>
    <x v="8"/>
    <x v="2"/>
    <x v="387"/>
    <x v="387"/>
    <x v="66"/>
    <x v="6"/>
    <n v="10"/>
  </r>
  <r>
    <x v="150"/>
    <x v="151"/>
    <s v="GCI"/>
    <x v="0"/>
    <x v="8"/>
    <x v="2"/>
    <x v="388"/>
    <x v="388"/>
    <x v="66"/>
    <x v="6"/>
    <n v="11"/>
  </r>
  <r>
    <x v="155"/>
    <x v="156"/>
    <s v="GCI"/>
    <x v="0"/>
    <x v="8"/>
    <x v="2"/>
    <x v="380"/>
    <x v="380"/>
    <x v="66"/>
    <x v="7"/>
    <n v="1150"/>
  </r>
  <r>
    <x v="155"/>
    <x v="156"/>
    <s v="GCI"/>
    <x v="0"/>
    <x v="8"/>
    <x v="2"/>
    <x v="389"/>
    <x v="389"/>
    <x v="67"/>
    <x v="0"/>
    <n v="6000"/>
  </r>
  <r>
    <x v="144"/>
    <x v="145"/>
    <s v="GCI"/>
    <x v="0"/>
    <x v="8"/>
    <x v="2"/>
    <x v="390"/>
    <x v="390"/>
    <x v="68"/>
    <x v="7"/>
    <n v="3000"/>
  </r>
  <r>
    <x v="156"/>
    <x v="157"/>
    <s v="GCI"/>
    <x v="0"/>
    <x v="3"/>
    <x v="2"/>
    <x v="391"/>
    <x v="391"/>
    <x v="21"/>
    <x v="8"/>
    <n v="1"/>
  </r>
  <r>
    <x v="156"/>
    <x v="157"/>
    <s v="GCI"/>
    <x v="0"/>
    <x v="3"/>
    <x v="2"/>
    <x v="391"/>
    <x v="391"/>
    <x v="21"/>
    <x v="5"/>
    <n v="3"/>
  </r>
  <r>
    <x v="157"/>
    <x v="158"/>
    <s v="GCI"/>
    <x v="0"/>
    <x v="3"/>
    <x v="2"/>
    <x v="392"/>
    <x v="392"/>
    <x v="21"/>
    <x v="8"/>
    <n v="1"/>
  </r>
  <r>
    <x v="157"/>
    <x v="158"/>
    <s v="GCI"/>
    <x v="0"/>
    <x v="3"/>
    <x v="2"/>
    <x v="392"/>
    <x v="392"/>
    <x v="21"/>
    <x v="5"/>
    <n v="3"/>
  </r>
  <r>
    <x v="158"/>
    <x v="159"/>
    <s v="GCI"/>
    <x v="0"/>
    <x v="8"/>
    <x v="2"/>
    <x v="393"/>
    <x v="393"/>
    <x v="21"/>
    <x v="1"/>
    <n v="27"/>
  </r>
  <r>
    <x v="158"/>
    <x v="159"/>
    <s v="GCI"/>
    <x v="0"/>
    <x v="8"/>
    <x v="2"/>
    <x v="393"/>
    <x v="393"/>
    <x v="21"/>
    <x v="2"/>
    <n v="3"/>
  </r>
  <r>
    <x v="158"/>
    <x v="159"/>
    <s v="GCI"/>
    <x v="0"/>
    <x v="8"/>
    <x v="2"/>
    <x v="394"/>
    <x v="394"/>
    <x v="21"/>
    <x v="6"/>
    <n v="16"/>
  </r>
  <r>
    <x v="159"/>
    <x v="160"/>
    <s v="GCI"/>
    <x v="0"/>
    <x v="8"/>
    <x v="2"/>
    <x v="395"/>
    <x v="395"/>
    <x v="21"/>
    <x v="1"/>
    <n v="43"/>
  </r>
  <r>
    <x v="159"/>
    <x v="160"/>
    <s v="GCI"/>
    <x v="0"/>
    <x v="8"/>
    <x v="2"/>
    <x v="395"/>
    <x v="395"/>
    <x v="21"/>
    <x v="2"/>
    <n v="9"/>
  </r>
  <r>
    <x v="159"/>
    <x v="160"/>
    <s v="GCI"/>
    <x v="0"/>
    <x v="8"/>
    <x v="2"/>
    <x v="395"/>
    <x v="395"/>
    <x v="21"/>
    <x v="3"/>
    <n v="2"/>
  </r>
  <r>
    <x v="159"/>
    <x v="160"/>
    <s v="GCI"/>
    <x v="0"/>
    <x v="8"/>
    <x v="2"/>
    <x v="395"/>
    <x v="395"/>
    <x v="21"/>
    <x v="9"/>
    <n v="1"/>
  </r>
  <r>
    <x v="159"/>
    <x v="160"/>
    <s v="GCI"/>
    <x v="0"/>
    <x v="8"/>
    <x v="2"/>
    <x v="396"/>
    <x v="396"/>
    <x v="21"/>
    <x v="4"/>
    <n v="1"/>
  </r>
  <r>
    <x v="159"/>
    <x v="160"/>
    <s v="GCI"/>
    <x v="0"/>
    <x v="8"/>
    <x v="2"/>
    <x v="396"/>
    <x v="396"/>
    <x v="21"/>
    <x v="6"/>
    <n v="18"/>
  </r>
  <r>
    <x v="159"/>
    <x v="160"/>
    <s v="GCI"/>
    <x v="0"/>
    <x v="8"/>
    <x v="2"/>
    <x v="396"/>
    <x v="396"/>
    <x v="21"/>
    <x v="5"/>
    <n v="4"/>
  </r>
  <r>
    <x v="160"/>
    <x v="161"/>
    <s v="GCI"/>
    <x v="0"/>
    <x v="8"/>
    <x v="2"/>
    <x v="397"/>
    <x v="397"/>
    <x v="21"/>
    <x v="1"/>
    <n v="19"/>
  </r>
  <r>
    <x v="160"/>
    <x v="161"/>
    <s v="GCI"/>
    <x v="0"/>
    <x v="8"/>
    <x v="2"/>
    <x v="397"/>
    <x v="397"/>
    <x v="21"/>
    <x v="2"/>
    <n v="3"/>
  </r>
  <r>
    <x v="160"/>
    <x v="161"/>
    <s v="GCI"/>
    <x v="0"/>
    <x v="8"/>
    <x v="2"/>
    <x v="397"/>
    <x v="397"/>
    <x v="21"/>
    <x v="3"/>
    <n v="1"/>
  </r>
  <r>
    <x v="160"/>
    <x v="161"/>
    <s v="GCI"/>
    <x v="0"/>
    <x v="8"/>
    <x v="2"/>
    <x v="398"/>
    <x v="398"/>
    <x v="21"/>
    <x v="6"/>
    <n v="7"/>
  </r>
  <r>
    <x v="158"/>
    <x v="159"/>
    <s v="GCI"/>
    <x v="0"/>
    <x v="8"/>
    <x v="2"/>
    <x v="394"/>
    <x v="394"/>
    <x v="21"/>
    <x v="0"/>
    <n v="3000"/>
  </r>
  <r>
    <x v="161"/>
    <x v="162"/>
    <s v="GCI"/>
    <x v="0"/>
    <x v="8"/>
    <x v="2"/>
    <x v="399"/>
    <x v="399"/>
    <x v="69"/>
    <x v="1"/>
    <n v="10"/>
  </r>
  <r>
    <x v="161"/>
    <x v="162"/>
    <s v="GCI"/>
    <x v="0"/>
    <x v="8"/>
    <x v="2"/>
    <x v="399"/>
    <x v="399"/>
    <x v="69"/>
    <x v="2"/>
    <n v="4"/>
  </r>
  <r>
    <x v="161"/>
    <x v="162"/>
    <s v="GCI"/>
    <x v="0"/>
    <x v="8"/>
    <x v="2"/>
    <x v="399"/>
    <x v="399"/>
    <x v="69"/>
    <x v="3"/>
    <n v="1"/>
  </r>
  <r>
    <x v="161"/>
    <x v="162"/>
    <s v="GCI"/>
    <x v="0"/>
    <x v="8"/>
    <x v="2"/>
    <x v="399"/>
    <x v="399"/>
    <x v="69"/>
    <x v="9"/>
    <n v="1"/>
  </r>
  <r>
    <x v="161"/>
    <x v="162"/>
    <s v="GCI"/>
    <x v="0"/>
    <x v="8"/>
    <x v="2"/>
    <x v="400"/>
    <x v="400"/>
    <x v="69"/>
    <x v="8"/>
    <n v="1"/>
  </r>
  <r>
    <x v="161"/>
    <x v="162"/>
    <s v="GCI"/>
    <x v="0"/>
    <x v="8"/>
    <x v="2"/>
    <x v="400"/>
    <x v="400"/>
    <x v="69"/>
    <x v="5"/>
    <n v="3"/>
  </r>
  <r>
    <x v="162"/>
    <x v="163"/>
    <s v="GCI"/>
    <x v="0"/>
    <x v="8"/>
    <x v="2"/>
    <x v="401"/>
    <x v="401"/>
    <x v="69"/>
    <x v="1"/>
    <n v="20"/>
  </r>
  <r>
    <x v="162"/>
    <x v="163"/>
    <s v="GCI"/>
    <x v="0"/>
    <x v="8"/>
    <x v="2"/>
    <x v="401"/>
    <x v="401"/>
    <x v="69"/>
    <x v="2"/>
    <n v="1"/>
  </r>
  <r>
    <x v="161"/>
    <x v="162"/>
    <s v="GCI"/>
    <x v="0"/>
    <x v="8"/>
    <x v="2"/>
    <x v="400"/>
    <x v="400"/>
    <x v="69"/>
    <x v="7"/>
    <n v="3000"/>
  </r>
  <r>
    <x v="162"/>
    <x v="163"/>
    <s v="GCI"/>
    <x v="0"/>
    <x v="8"/>
    <x v="2"/>
    <x v="402"/>
    <x v="402"/>
    <x v="69"/>
    <x v="0"/>
    <n v="3000"/>
  </r>
  <r>
    <x v="163"/>
    <x v="164"/>
    <s v="GCI"/>
    <x v="0"/>
    <x v="9"/>
    <x v="2"/>
    <x v="403"/>
    <x v="403"/>
    <x v="69"/>
    <x v="8"/>
    <n v="1"/>
  </r>
  <r>
    <x v="163"/>
    <x v="164"/>
    <s v="GCI"/>
    <x v="0"/>
    <x v="9"/>
    <x v="2"/>
    <x v="403"/>
    <x v="403"/>
    <x v="69"/>
    <x v="5"/>
    <n v="3"/>
  </r>
  <r>
    <x v="163"/>
    <x v="164"/>
    <s v="GCI"/>
    <x v="0"/>
    <x v="9"/>
    <x v="2"/>
    <x v="403"/>
    <x v="403"/>
    <x v="69"/>
    <x v="7"/>
    <n v="3000"/>
  </r>
  <r>
    <x v="162"/>
    <x v="163"/>
    <s v="GCI"/>
    <x v="0"/>
    <x v="8"/>
    <x v="2"/>
    <x v="404"/>
    <x v="404"/>
    <x v="25"/>
    <x v="6"/>
    <n v="9"/>
  </r>
  <r>
    <x v="161"/>
    <x v="162"/>
    <s v="GCI"/>
    <x v="0"/>
    <x v="8"/>
    <x v="2"/>
    <x v="405"/>
    <x v="405"/>
    <x v="25"/>
    <x v="6"/>
    <n v="7"/>
  </r>
  <r>
    <x v="164"/>
    <x v="165"/>
    <s v="GCI"/>
    <x v="0"/>
    <x v="8"/>
    <x v="2"/>
    <x v="406"/>
    <x v="406"/>
    <x v="70"/>
    <x v="1"/>
    <n v="17"/>
  </r>
  <r>
    <x v="164"/>
    <x v="165"/>
    <s v="GCI"/>
    <x v="0"/>
    <x v="8"/>
    <x v="2"/>
    <x v="406"/>
    <x v="406"/>
    <x v="70"/>
    <x v="2"/>
    <n v="2"/>
  </r>
  <r>
    <x v="164"/>
    <x v="165"/>
    <s v="GCI"/>
    <x v="0"/>
    <x v="8"/>
    <x v="2"/>
    <x v="407"/>
    <x v="407"/>
    <x v="70"/>
    <x v="6"/>
    <n v="11"/>
  </r>
  <r>
    <x v="165"/>
    <x v="166"/>
    <s v="GCI"/>
    <x v="0"/>
    <x v="8"/>
    <x v="2"/>
    <x v="408"/>
    <x v="408"/>
    <x v="70"/>
    <x v="1"/>
    <n v="21"/>
  </r>
  <r>
    <x v="165"/>
    <x v="166"/>
    <s v="GCI"/>
    <x v="0"/>
    <x v="8"/>
    <x v="2"/>
    <x v="408"/>
    <x v="408"/>
    <x v="70"/>
    <x v="2"/>
    <n v="4"/>
  </r>
  <r>
    <x v="165"/>
    <x v="166"/>
    <s v="GCI"/>
    <x v="0"/>
    <x v="8"/>
    <x v="2"/>
    <x v="409"/>
    <x v="409"/>
    <x v="70"/>
    <x v="6"/>
    <n v="10"/>
  </r>
  <r>
    <x v="166"/>
    <x v="167"/>
    <s v="GCI"/>
    <x v="0"/>
    <x v="8"/>
    <x v="2"/>
    <x v="410"/>
    <x v="410"/>
    <x v="70"/>
    <x v="1"/>
    <n v="21"/>
  </r>
  <r>
    <x v="166"/>
    <x v="167"/>
    <s v="GCI"/>
    <x v="0"/>
    <x v="8"/>
    <x v="2"/>
    <x v="410"/>
    <x v="410"/>
    <x v="70"/>
    <x v="2"/>
    <n v="4"/>
  </r>
  <r>
    <x v="166"/>
    <x v="167"/>
    <s v="GCI"/>
    <x v="0"/>
    <x v="8"/>
    <x v="2"/>
    <x v="411"/>
    <x v="411"/>
    <x v="70"/>
    <x v="6"/>
    <n v="13"/>
  </r>
  <r>
    <x v="167"/>
    <x v="168"/>
    <s v="GCI"/>
    <x v="0"/>
    <x v="8"/>
    <x v="2"/>
    <x v="412"/>
    <x v="412"/>
    <x v="70"/>
    <x v="1"/>
    <n v="17"/>
  </r>
  <r>
    <x v="167"/>
    <x v="168"/>
    <s v="GCI"/>
    <x v="0"/>
    <x v="8"/>
    <x v="2"/>
    <x v="412"/>
    <x v="412"/>
    <x v="70"/>
    <x v="2"/>
    <n v="3"/>
  </r>
  <r>
    <x v="167"/>
    <x v="168"/>
    <s v="GCI"/>
    <x v="0"/>
    <x v="8"/>
    <x v="2"/>
    <x v="413"/>
    <x v="413"/>
    <x v="70"/>
    <x v="6"/>
    <n v="11"/>
  </r>
  <r>
    <x v="168"/>
    <x v="169"/>
    <s v="GCI"/>
    <x v="0"/>
    <x v="8"/>
    <x v="2"/>
    <x v="414"/>
    <x v="414"/>
    <x v="70"/>
    <x v="1"/>
    <n v="24"/>
  </r>
  <r>
    <x v="168"/>
    <x v="169"/>
    <s v="GCI"/>
    <x v="0"/>
    <x v="8"/>
    <x v="2"/>
    <x v="414"/>
    <x v="414"/>
    <x v="70"/>
    <x v="2"/>
    <n v="8"/>
  </r>
  <r>
    <x v="168"/>
    <x v="169"/>
    <s v="GCI"/>
    <x v="0"/>
    <x v="8"/>
    <x v="2"/>
    <x v="415"/>
    <x v="415"/>
    <x v="70"/>
    <x v="9"/>
    <n v="1"/>
  </r>
  <r>
    <x v="168"/>
    <x v="169"/>
    <s v="GCI"/>
    <x v="0"/>
    <x v="8"/>
    <x v="2"/>
    <x v="416"/>
    <x v="416"/>
    <x v="70"/>
    <x v="8"/>
    <n v="1"/>
  </r>
  <r>
    <x v="168"/>
    <x v="169"/>
    <s v="GCI"/>
    <x v="0"/>
    <x v="8"/>
    <x v="2"/>
    <x v="416"/>
    <x v="416"/>
    <x v="70"/>
    <x v="6"/>
    <n v="10"/>
  </r>
  <r>
    <x v="168"/>
    <x v="169"/>
    <s v="GCI"/>
    <x v="0"/>
    <x v="8"/>
    <x v="2"/>
    <x v="416"/>
    <x v="416"/>
    <x v="70"/>
    <x v="5"/>
    <n v="3"/>
  </r>
  <r>
    <x v="169"/>
    <x v="170"/>
    <s v="GCI"/>
    <x v="0"/>
    <x v="8"/>
    <x v="2"/>
    <x v="417"/>
    <x v="417"/>
    <x v="70"/>
    <x v="1"/>
    <n v="32"/>
  </r>
  <r>
    <x v="169"/>
    <x v="170"/>
    <s v="GCI"/>
    <x v="0"/>
    <x v="8"/>
    <x v="2"/>
    <x v="417"/>
    <x v="417"/>
    <x v="70"/>
    <x v="2"/>
    <n v="3"/>
  </r>
  <r>
    <x v="169"/>
    <x v="170"/>
    <s v="GCI"/>
    <x v="0"/>
    <x v="8"/>
    <x v="2"/>
    <x v="418"/>
    <x v="418"/>
    <x v="70"/>
    <x v="9"/>
    <n v="1"/>
  </r>
  <r>
    <x v="169"/>
    <x v="170"/>
    <s v="GCI"/>
    <x v="0"/>
    <x v="8"/>
    <x v="2"/>
    <x v="419"/>
    <x v="419"/>
    <x v="70"/>
    <x v="8"/>
    <n v="1"/>
  </r>
  <r>
    <x v="169"/>
    <x v="170"/>
    <s v="GCI"/>
    <x v="0"/>
    <x v="8"/>
    <x v="2"/>
    <x v="419"/>
    <x v="419"/>
    <x v="70"/>
    <x v="6"/>
    <n v="11"/>
  </r>
  <r>
    <x v="169"/>
    <x v="170"/>
    <s v="GCI"/>
    <x v="0"/>
    <x v="8"/>
    <x v="2"/>
    <x v="419"/>
    <x v="419"/>
    <x v="70"/>
    <x v="5"/>
    <n v="3"/>
  </r>
  <r>
    <x v="166"/>
    <x v="167"/>
    <s v="GCI"/>
    <x v="0"/>
    <x v="8"/>
    <x v="2"/>
    <x v="411"/>
    <x v="411"/>
    <x v="70"/>
    <x v="0"/>
    <n v="3000"/>
  </r>
  <r>
    <x v="168"/>
    <x v="169"/>
    <s v="GCI"/>
    <x v="0"/>
    <x v="8"/>
    <x v="2"/>
    <x v="416"/>
    <x v="416"/>
    <x v="70"/>
    <x v="0"/>
    <n v="3000"/>
  </r>
  <r>
    <x v="169"/>
    <x v="170"/>
    <s v="GCI"/>
    <x v="0"/>
    <x v="8"/>
    <x v="2"/>
    <x v="419"/>
    <x v="419"/>
    <x v="70"/>
    <x v="0"/>
    <n v="3000"/>
  </r>
  <r>
    <x v="159"/>
    <x v="160"/>
    <s v="GCI"/>
    <x v="0"/>
    <x v="8"/>
    <x v="2"/>
    <x v="420"/>
    <x v="420"/>
    <x v="29"/>
    <x v="8"/>
    <n v="1"/>
  </r>
  <r>
    <x v="159"/>
    <x v="160"/>
    <s v="GCI"/>
    <x v="0"/>
    <x v="8"/>
    <x v="2"/>
    <x v="421"/>
    <x v="421"/>
    <x v="29"/>
    <x v="5"/>
    <n v="3"/>
  </r>
  <r>
    <x v="170"/>
    <x v="171"/>
    <s v="GCI"/>
    <x v="0"/>
    <x v="10"/>
    <x v="2"/>
    <x v="422"/>
    <x v="422"/>
    <x v="71"/>
    <x v="7"/>
    <n v="6000"/>
  </r>
  <r>
    <x v="170"/>
    <x v="171"/>
    <s v="GCI"/>
    <x v="0"/>
    <x v="10"/>
    <x v="2"/>
    <x v="423"/>
    <x v="423"/>
    <x v="71"/>
    <x v="1"/>
    <n v="163"/>
  </r>
  <r>
    <x v="170"/>
    <x v="171"/>
    <s v="GCI"/>
    <x v="0"/>
    <x v="10"/>
    <x v="2"/>
    <x v="423"/>
    <x v="423"/>
    <x v="71"/>
    <x v="2"/>
    <n v="19"/>
  </r>
  <r>
    <x v="170"/>
    <x v="171"/>
    <s v="GCI"/>
    <x v="0"/>
    <x v="10"/>
    <x v="2"/>
    <x v="424"/>
    <x v="424"/>
    <x v="71"/>
    <x v="9"/>
    <n v="3"/>
  </r>
  <r>
    <x v="171"/>
    <x v="172"/>
    <s v="GCI"/>
    <x v="0"/>
    <x v="8"/>
    <x v="2"/>
    <x v="425"/>
    <x v="425"/>
    <x v="71"/>
    <x v="7"/>
    <n v="3000"/>
  </r>
  <r>
    <x v="171"/>
    <x v="172"/>
    <s v="GCI"/>
    <x v="0"/>
    <x v="8"/>
    <x v="2"/>
    <x v="426"/>
    <x v="426"/>
    <x v="71"/>
    <x v="1"/>
    <n v="116"/>
  </r>
  <r>
    <x v="171"/>
    <x v="172"/>
    <s v="GCI"/>
    <x v="0"/>
    <x v="8"/>
    <x v="2"/>
    <x v="426"/>
    <x v="426"/>
    <x v="71"/>
    <x v="2"/>
    <n v="13"/>
  </r>
  <r>
    <x v="171"/>
    <x v="172"/>
    <s v="GCI"/>
    <x v="0"/>
    <x v="8"/>
    <x v="2"/>
    <x v="426"/>
    <x v="426"/>
    <x v="71"/>
    <x v="3"/>
    <n v="2"/>
  </r>
  <r>
    <x v="171"/>
    <x v="172"/>
    <s v="GCI"/>
    <x v="0"/>
    <x v="8"/>
    <x v="2"/>
    <x v="427"/>
    <x v="427"/>
    <x v="71"/>
    <x v="9"/>
    <n v="2"/>
  </r>
  <r>
    <x v="171"/>
    <x v="172"/>
    <s v="GCI"/>
    <x v="0"/>
    <x v="8"/>
    <x v="2"/>
    <x v="425"/>
    <x v="425"/>
    <x v="71"/>
    <x v="8"/>
    <n v="2"/>
  </r>
  <r>
    <x v="172"/>
    <x v="173"/>
    <s v="GCI"/>
    <x v="0"/>
    <x v="4"/>
    <x v="2"/>
    <x v="428"/>
    <x v="428"/>
    <x v="72"/>
    <x v="6"/>
    <n v="12"/>
  </r>
  <r>
    <x v="172"/>
    <x v="173"/>
    <s v="GCI"/>
    <x v="0"/>
    <x v="4"/>
    <x v="2"/>
    <x v="428"/>
    <x v="428"/>
    <x v="72"/>
    <x v="5"/>
    <n v="3"/>
  </r>
  <r>
    <x v="173"/>
    <x v="174"/>
    <s v="GCI"/>
    <x v="0"/>
    <x v="4"/>
    <x v="2"/>
    <x v="429"/>
    <x v="429"/>
    <x v="72"/>
    <x v="6"/>
    <n v="5"/>
  </r>
  <r>
    <x v="173"/>
    <x v="174"/>
    <s v="GCI"/>
    <x v="0"/>
    <x v="4"/>
    <x v="2"/>
    <x v="430"/>
    <x v="430"/>
    <x v="72"/>
    <x v="6"/>
    <n v="17"/>
  </r>
  <r>
    <x v="173"/>
    <x v="174"/>
    <s v="GCI"/>
    <x v="0"/>
    <x v="4"/>
    <x v="2"/>
    <x v="430"/>
    <x v="430"/>
    <x v="72"/>
    <x v="5"/>
    <n v="3"/>
  </r>
  <r>
    <x v="174"/>
    <x v="175"/>
    <s v="GCI"/>
    <x v="0"/>
    <x v="4"/>
    <x v="2"/>
    <x v="431"/>
    <x v="431"/>
    <x v="72"/>
    <x v="6"/>
    <n v="14"/>
  </r>
  <r>
    <x v="174"/>
    <x v="175"/>
    <s v="GCI"/>
    <x v="0"/>
    <x v="4"/>
    <x v="2"/>
    <x v="431"/>
    <x v="431"/>
    <x v="72"/>
    <x v="5"/>
    <n v="3"/>
  </r>
  <r>
    <x v="175"/>
    <x v="176"/>
    <s v="GCI"/>
    <x v="0"/>
    <x v="4"/>
    <x v="2"/>
    <x v="432"/>
    <x v="432"/>
    <x v="72"/>
    <x v="6"/>
    <n v="5"/>
  </r>
  <r>
    <x v="175"/>
    <x v="176"/>
    <s v="GCI"/>
    <x v="0"/>
    <x v="4"/>
    <x v="2"/>
    <x v="432"/>
    <x v="432"/>
    <x v="72"/>
    <x v="5"/>
    <n v="3"/>
  </r>
  <r>
    <x v="176"/>
    <x v="177"/>
    <s v="GCI"/>
    <x v="0"/>
    <x v="4"/>
    <x v="2"/>
    <x v="433"/>
    <x v="433"/>
    <x v="72"/>
    <x v="6"/>
    <n v="7"/>
  </r>
  <r>
    <x v="177"/>
    <x v="178"/>
    <s v="GCI"/>
    <x v="0"/>
    <x v="4"/>
    <x v="2"/>
    <x v="434"/>
    <x v="434"/>
    <x v="72"/>
    <x v="6"/>
    <n v="15"/>
  </r>
  <r>
    <x v="177"/>
    <x v="178"/>
    <s v="GCI"/>
    <x v="0"/>
    <x v="4"/>
    <x v="2"/>
    <x v="434"/>
    <x v="434"/>
    <x v="72"/>
    <x v="5"/>
    <n v="3"/>
  </r>
  <r>
    <x v="170"/>
    <x v="171"/>
    <s v="GCI"/>
    <x v="0"/>
    <x v="10"/>
    <x v="2"/>
    <x v="435"/>
    <x v="435"/>
    <x v="72"/>
    <x v="0"/>
    <n v="6000"/>
  </r>
  <r>
    <x v="170"/>
    <x v="171"/>
    <s v="GCI"/>
    <x v="0"/>
    <x v="10"/>
    <x v="2"/>
    <x v="435"/>
    <x v="435"/>
    <x v="72"/>
    <x v="8"/>
    <n v="3"/>
  </r>
  <r>
    <x v="170"/>
    <x v="171"/>
    <s v="GCI"/>
    <x v="0"/>
    <x v="10"/>
    <x v="2"/>
    <x v="435"/>
    <x v="435"/>
    <x v="72"/>
    <x v="6"/>
    <n v="39"/>
  </r>
  <r>
    <x v="170"/>
    <x v="171"/>
    <s v="GCI"/>
    <x v="0"/>
    <x v="10"/>
    <x v="2"/>
    <x v="435"/>
    <x v="435"/>
    <x v="72"/>
    <x v="5"/>
    <n v="9"/>
  </r>
  <r>
    <x v="171"/>
    <x v="172"/>
    <s v="GCI"/>
    <x v="0"/>
    <x v="8"/>
    <x v="2"/>
    <x v="436"/>
    <x v="436"/>
    <x v="72"/>
    <x v="0"/>
    <n v="6000"/>
  </r>
  <r>
    <x v="171"/>
    <x v="172"/>
    <s v="GCI"/>
    <x v="0"/>
    <x v="8"/>
    <x v="2"/>
    <x v="436"/>
    <x v="436"/>
    <x v="72"/>
    <x v="8"/>
    <n v="1"/>
  </r>
  <r>
    <x v="171"/>
    <x v="172"/>
    <s v="GCI"/>
    <x v="0"/>
    <x v="8"/>
    <x v="2"/>
    <x v="436"/>
    <x v="436"/>
    <x v="72"/>
    <x v="6"/>
    <n v="34"/>
  </r>
  <r>
    <x v="171"/>
    <x v="172"/>
    <s v="GCI"/>
    <x v="0"/>
    <x v="8"/>
    <x v="2"/>
    <x v="436"/>
    <x v="436"/>
    <x v="72"/>
    <x v="5"/>
    <n v="3"/>
  </r>
  <r>
    <x v="129"/>
    <x v="130"/>
    <s v="GCI"/>
    <x v="0"/>
    <x v="8"/>
    <x v="2"/>
    <x v="437"/>
    <x v="437"/>
    <x v="73"/>
    <x v="0"/>
    <n v="3000"/>
  </r>
  <r>
    <x v="129"/>
    <x v="130"/>
    <s v="GCI"/>
    <x v="0"/>
    <x v="8"/>
    <x v="2"/>
    <x v="437"/>
    <x v="437"/>
    <x v="73"/>
    <x v="7"/>
    <n v="3000"/>
  </r>
  <r>
    <x v="178"/>
    <x v="179"/>
    <s v="GCI"/>
    <x v="0"/>
    <x v="8"/>
    <x v="2"/>
    <x v="438"/>
    <x v="438"/>
    <x v="73"/>
    <x v="7"/>
    <n v="6000"/>
  </r>
  <r>
    <x v="178"/>
    <x v="179"/>
    <s v="GCI"/>
    <x v="0"/>
    <x v="8"/>
    <x v="2"/>
    <x v="439"/>
    <x v="439"/>
    <x v="73"/>
    <x v="1"/>
    <n v="121"/>
  </r>
  <r>
    <x v="178"/>
    <x v="179"/>
    <s v="GCI"/>
    <x v="0"/>
    <x v="8"/>
    <x v="2"/>
    <x v="439"/>
    <x v="439"/>
    <x v="73"/>
    <x v="2"/>
    <n v="34"/>
  </r>
  <r>
    <x v="178"/>
    <x v="179"/>
    <s v="GCI"/>
    <x v="0"/>
    <x v="8"/>
    <x v="2"/>
    <x v="438"/>
    <x v="438"/>
    <x v="73"/>
    <x v="8"/>
    <n v="3"/>
  </r>
  <r>
    <x v="178"/>
    <x v="179"/>
    <s v="GCI"/>
    <x v="0"/>
    <x v="8"/>
    <x v="2"/>
    <x v="438"/>
    <x v="438"/>
    <x v="73"/>
    <x v="6"/>
    <n v="55"/>
  </r>
  <r>
    <x v="129"/>
    <x v="130"/>
    <s v="GCI"/>
    <x v="0"/>
    <x v="8"/>
    <x v="2"/>
    <x v="440"/>
    <x v="440"/>
    <x v="73"/>
    <x v="1"/>
    <n v="53"/>
  </r>
  <r>
    <x v="129"/>
    <x v="130"/>
    <s v="GCI"/>
    <x v="0"/>
    <x v="8"/>
    <x v="2"/>
    <x v="440"/>
    <x v="440"/>
    <x v="73"/>
    <x v="2"/>
    <n v="14"/>
  </r>
  <r>
    <x v="129"/>
    <x v="130"/>
    <s v="GCI"/>
    <x v="0"/>
    <x v="8"/>
    <x v="2"/>
    <x v="437"/>
    <x v="437"/>
    <x v="73"/>
    <x v="8"/>
    <n v="1"/>
  </r>
  <r>
    <x v="129"/>
    <x v="130"/>
    <s v="GCI"/>
    <x v="0"/>
    <x v="8"/>
    <x v="2"/>
    <x v="437"/>
    <x v="437"/>
    <x v="73"/>
    <x v="6"/>
    <n v="19"/>
  </r>
  <r>
    <x v="179"/>
    <x v="180"/>
    <s v="GCI"/>
    <x v="1"/>
    <x v="4"/>
    <x v="2"/>
    <x v="441"/>
    <x v="441"/>
    <x v="74"/>
    <x v="3"/>
    <n v="4"/>
  </r>
  <r>
    <x v="180"/>
    <x v="181"/>
    <s v="GCI"/>
    <x v="1"/>
    <x v="8"/>
    <x v="2"/>
    <x v="442"/>
    <x v="442"/>
    <x v="74"/>
    <x v="0"/>
    <n v="3000"/>
  </r>
  <r>
    <x v="180"/>
    <x v="181"/>
    <s v="GCI"/>
    <x v="1"/>
    <x v="8"/>
    <x v="2"/>
    <x v="442"/>
    <x v="442"/>
    <x v="74"/>
    <x v="7"/>
    <n v="3000"/>
  </r>
  <r>
    <x v="181"/>
    <x v="182"/>
    <s v="GCI"/>
    <x v="0"/>
    <x v="8"/>
    <x v="2"/>
    <x v="443"/>
    <x v="443"/>
    <x v="74"/>
    <x v="7"/>
    <n v="3000"/>
  </r>
  <r>
    <x v="182"/>
    <x v="183"/>
    <s v="GCI"/>
    <x v="1"/>
    <x v="8"/>
    <x v="2"/>
    <x v="444"/>
    <x v="444"/>
    <x v="74"/>
    <x v="0"/>
    <n v="3000"/>
  </r>
  <r>
    <x v="183"/>
    <x v="184"/>
    <s v="GCI"/>
    <x v="0"/>
    <x v="8"/>
    <x v="2"/>
    <x v="445"/>
    <x v="445"/>
    <x v="74"/>
    <x v="0"/>
    <n v="3000"/>
  </r>
  <r>
    <x v="180"/>
    <x v="181"/>
    <s v="GCI"/>
    <x v="0"/>
    <x v="8"/>
    <x v="2"/>
    <x v="446"/>
    <x v="446"/>
    <x v="74"/>
    <x v="1"/>
    <n v="47"/>
  </r>
  <r>
    <x v="180"/>
    <x v="181"/>
    <s v="GCI"/>
    <x v="0"/>
    <x v="8"/>
    <x v="2"/>
    <x v="446"/>
    <x v="446"/>
    <x v="74"/>
    <x v="2"/>
    <n v="6"/>
  </r>
  <r>
    <x v="180"/>
    <x v="181"/>
    <s v="GCI"/>
    <x v="0"/>
    <x v="8"/>
    <x v="2"/>
    <x v="446"/>
    <x v="446"/>
    <x v="74"/>
    <x v="3"/>
    <n v="4"/>
  </r>
  <r>
    <x v="180"/>
    <x v="181"/>
    <s v="GCI"/>
    <x v="0"/>
    <x v="8"/>
    <x v="2"/>
    <x v="446"/>
    <x v="446"/>
    <x v="74"/>
    <x v="9"/>
    <n v="1"/>
  </r>
  <r>
    <x v="180"/>
    <x v="181"/>
    <s v="GCI"/>
    <x v="1"/>
    <x v="8"/>
    <x v="2"/>
    <x v="442"/>
    <x v="442"/>
    <x v="74"/>
    <x v="8"/>
    <n v="1"/>
  </r>
  <r>
    <x v="180"/>
    <x v="181"/>
    <s v="GCI"/>
    <x v="1"/>
    <x v="8"/>
    <x v="2"/>
    <x v="442"/>
    <x v="442"/>
    <x v="74"/>
    <x v="6"/>
    <n v="16"/>
  </r>
  <r>
    <x v="180"/>
    <x v="181"/>
    <s v="GCI"/>
    <x v="1"/>
    <x v="8"/>
    <x v="2"/>
    <x v="442"/>
    <x v="442"/>
    <x v="74"/>
    <x v="5"/>
    <n v="3"/>
  </r>
  <r>
    <x v="181"/>
    <x v="182"/>
    <s v="GCI"/>
    <x v="0"/>
    <x v="8"/>
    <x v="2"/>
    <x v="447"/>
    <x v="447"/>
    <x v="74"/>
    <x v="1"/>
    <n v="30"/>
  </r>
  <r>
    <x v="181"/>
    <x v="182"/>
    <s v="GCI"/>
    <x v="0"/>
    <x v="8"/>
    <x v="2"/>
    <x v="447"/>
    <x v="447"/>
    <x v="74"/>
    <x v="2"/>
    <n v="8"/>
  </r>
  <r>
    <x v="181"/>
    <x v="182"/>
    <s v="GCI"/>
    <x v="0"/>
    <x v="8"/>
    <x v="2"/>
    <x v="443"/>
    <x v="443"/>
    <x v="74"/>
    <x v="6"/>
    <n v="22"/>
  </r>
  <r>
    <x v="182"/>
    <x v="183"/>
    <s v="GCI"/>
    <x v="1"/>
    <x v="8"/>
    <x v="2"/>
    <x v="448"/>
    <x v="448"/>
    <x v="74"/>
    <x v="1"/>
    <n v="33"/>
  </r>
  <r>
    <x v="182"/>
    <x v="183"/>
    <s v="GCI"/>
    <x v="1"/>
    <x v="8"/>
    <x v="2"/>
    <x v="448"/>
    <x v="448"/>
    <x v="74"/>
    <x v="2"/>
    <n v="5"/>
  </r>
  <r>
    <x v="182"/>
    <x v="183"/>
    <s v="GCI"/>
    <x v="1"/>
    <x v="8"/>
    <x v="2"/>
    <x v="444"/>
    <x v="444"/>
    <x v="74"/>
    <x v="4"/>
    <n v="1"/>
  </r>
  <r>
    <x v="182"/>
    <x v="183"/>
    <s v="GCI"/>
    <x v="1"/>
    <x v="8"/>
    <x v="2"/>
    <x v="444"/>
    <x v="444"/>
    <x v="74"/>
    <x v="6"/>
    <n v="13"/>
  </r>
  <r>
    <x v="183"/>
    <x v="184"/>
    <s v="GCI"/>
    <x v="0"/>
    <x v="8"/>
    <x v="2"/>
    <x v="449"/>
    <x v="449"/>
    <x v="74"/>
    <x v="1"/>
    <n v="32"/>
  </r>
  <r>
    <x v="183"/>
    <x v="184"/>
    <s v="GCI"/>
    <x v="0"/>
    <x v="8"/>
    <x v="2"/>
    <x v="449"/>
    <x v="449"/>
    <x v="74"/>
    <x v="2"/>
    <n v="8"/>
  </r>
  <r>
    <x v="183"/>
    <x v="184"/>
    <s v="GCI"/>
    <x v="0"/>
    <x v="8"/>
    <x v="2"/>
    <x v="449"/>
    <x v="449"/>
    <x v="74"/>
    <x v="9"/>
    <n v="1"/>
  </r>
  <r>
    <x v="183"/>
    <x v="184"/>
    <s v="GCI"/>
    <x v="0"/>
    <x v="8"/>
    <x v="2"/>
    <x v="445"/>
    <x v="445"/>
    <x v="74"/>
    <x v="8"/>
    <n v="1"/>
  </r>
  <r>
    <x v="183"/>
    <x v="184"/>
    <s v="GCI"/>
    <x v="0"/>
    <x v="8"/>
    <x v="2"/>
    <x v="445"/>
    <x v="445"/>
    <x v="74"/>
    <x v="6"/>
    <n v="16"/>
  </r>
  <r>
    <x v="182"/>
    <x v="183"/>
    <s v="GCI"/>
    <x v="1"/>
    <x v="8"/>
    <x v="2"/>
    <x v="450"/>
    <x v="450"/>
    <x v="74"/>
    <x v="3"/>
    <n v="2"/>
  </r>
  <r>
    <x v="183"/>
    <x v="184"/>
    <s v="GCI"/>
    <x v="0"/>
    <x v="8"/>
    <x v="2"/>
    <x v="451"/>
    <x v="451"/>
    <x v="74"/>
    <x v="3"/>
    <n v="2"/>
  </r>
  <r>
    <x v="184"/>
    <x v="185"/>
    <s v="GCI"/>
    <x v="0"/>
    <x v="8"/>
    <x v="2"/>
    <x v="452"/>
    <x v="452"/>
    <x v="75"/>
    <x v="7"/>
    <n v="3000"/>
  </r>
  <r>
    <x v="185"/>
    <x v="186"/>
    <s v="GCI"/>
    <x v="0"/>
    <x v="8"/>
    <x v="2"/>
    <x v="453"/>
    <x v="453"/>
    <x v="75"/>
    <x v="0"/>
    <n v="3000"/>
  </r>
  <r>
    <x v="184"/>
    <x v="185"/>
    <s v="GCI"/>
    <x v="0"/>
    <x v="8"/>
    <x v="2"/>
    <x v="452"/>
    <x v="452"/>
    <x v="75"/>
    <x v="0"/>
    <n v="6000"/>
  </r>
  <r>
    <x v="184"/>
    <x v="185"/>
    <s v="GCI"/>
    <x v="0"/>
    <x v="8"/>
    <x v="2"/>
    <x v="454"/>
    <x v="454"/>
    <x v="75"/>
    <x v="1"/>
    <n v="162"/>
  </r>
  <r>
    <x v="184"/>
    <x v="185"/>
    <s v="GCI"/>
    <x v="0"/>
    <x v="8"/>
    <x v="2"/>
    <x v="454"/>
    <x v="454"/>
    <x v="75"/>
    <x v="2"/>
    <n v="21"/>
  </r>
  <r>
    <x v="184"/>
    <x v="185"/>
    <s v="GCI"/>
    <x v="0"/>
    <x v="8"/>
    <x v="2"/>
    <x v="452"/>
    <x v="452"/>
    <x v="75"/>
    <x v="4"/>
    <n v="3"/>
  </r>
  <r>
    <x v="184"/>
    <x v="185"/>
    <s v="GCI"/>
    <x v="0"/>
    <x v="8"/>
    <x v="2"/>
    <x v="452"/>
    <x v="452"/>
    <x v="75"/>
    <x v="6"/>
    <n v="68"/>
  </r>
  <r>
    <x v="185"/>
    <x v="186"/>
    <s v="GCI"/>
    <x v="0"/>
    <x v="8"/>
    <x v="2"/>
    <x v="455"/>
    <x v="455"/>
    <x v="75"/>
    <x v="1"/>
    <n v="18"/>
  </r>
  <r>
    <x v="185"/>
    <x v="186"/>
    <s v="GCI"/>
    <x v="0"/>
    <x v="8"/>
    <x v="2"/>
    <x v="455"/>
    <x v="455"/>
    <x v="75"/>
    <x v="2"/>
    <n v="1"/>
  </r>
  <r>
    <x v="185"/>
    <x v="186"/>
    <s v="GCI"/>
    <x v="0"/>
    <x v="8"/>
    <x v="2"/>
    <x v="453"/>
    <x v="453"/>
    <x v="75"/>
    <x v="4"/>
    <n v="1"/>
  </r>
  <r>
    <x v="185"/>
    <x v="186"/>
    <s v="GCI"/>
    <x v="0"/>
    <x v="8"/>
    <x v="2"/>
    <x v="453"/>
    <x v="453"/>
    <x v="75"/>
    <x v="6"/>
    <n v="8"/>
  </r>
  <r>
    <x v="186"/>
    <x v="187"/>
    <s v="GCI"/>
    <x v="0"/>
    <x v="8"/>
    <x v="2"/>
    <x v="456"/>
    <x v="456"/>
    <x v="76"/>
    <x v="7"/>
    <n v="6000"/>
  </r>
  <r>
    <x v="186"/>
    <x v="187"/>
    <s v="GCI"/>
    <x v="0"/>
    <x v="8"/>
    <x v="2"/>
    <x v="456"/>
    <x v="456"/>
    <x v="76"/>
    <x v="0"/>
    <n v="9000"/>
  </r>
  <r>
    <x v="186"/>
    <x v="187"/>
    <s v="GCI"/>
    <x v="0"/>
    <x v="8"/>
    <x v="2"/>
    <x v="456"/>
    <x v="456"/>
    <x v="76"/>
    <x v="4"/>
    <n v="2"/>
  </r>
  <r>
    <x v="186"/>
    <x v="187"/>
    <s v="GCI"/>
    <x v="0"/>
    <x v="8"/>
    <x v="2"/>
    <x v="456"/>
    <x v="456"/>
    <x v="76"/>
    <x v="6"/>
    <n v="64"/>
  </r>
  <r>
    <x v="186"/>
    <x v="187"/>
    <s v="GCI"/>
    <x v="0"/>
    <x v="8"/>
    <x v="2"/>
    <x v="457"/>
    <x v="457"/>
    <x v="76"/>
    <x v="1"/>
    <n v="131"/>
  </r>
  <r>
    <x v="186"/>
    <x v="187"/>
    <s v="GCI"/>
    <x v="0"/>
    <x v="8"/>
    <x v="2"/>
    <x v="457"/>
    <x v="457"/>
    <x v="76"/>
    <x v="2"/>
    <n v="19"/>
  </r>
  <r>
    <x v="187"/>
    <x v="188"/>
    <s v="GCI"/>
    <x v="0"/>
    <x v="8"/>
    <x v="2"/>
    <x v="458"/>
    <x v="458"/>
    <x v="43"/>
    <x v="1"/>
    <n v="2"/>
  </r>
  <r>
    <x v="187"/>
    <x v="188"/>
    <s v="GCI"/>
    <x v="0"/>
    <x v="8"/>
    <x v="2"/>
    <x v="459"/>
    <x v="459"/>
    <x v="43"/>
    <x v="11"/>
    <n v="30"/>
  </r>
  <r>
    <x v="188"/>
    <x v="189"/>
    <s v="GCI"/>
    <x v="0"/>
    <x v="8"/>
    <x v="2"/>
    <x v="460"/>
    <x v="460"/>
    <x v="44"/>
    <x v="7"/>
    <n v="3000"/>
  </r>
  <r>
    <x v="189"/>
    <x v="190"/>
    <s v="GCI"/>
    <x v="0"/>
    <x v="8"/>
    <x v="2"/>
    <x v="461"/>
    <x v="461"/>
    <x v="44"/>
    <x v="7"/>
    <n v="6000"/>
  </r>
  <r>
    <x v="190"/>
    <x v="191"/>
    <s v="GCI"/>
    <x v="0"/>
    <x v="8"/>
    <x v="2"/>
    <x v="462"/>
    <x v="462"/>
    <x v="44"/>
    <x v="7"/>
    <n v="6000"/>
  </r>
  <r>
    <x v="188"/>
    <x v="189"/>
    <s v="GCI"/>
    <x v="0"/>
    <x v="8"/>
    <x v="2"/>
    <x v="463"/>
    <x v="463"/>
    <x v="44"/>
    <x v="1"/>
    <n v="43"/>
  </r>
  <r>
    <x v="188"/>
    <x v="189"/>
    <s v="GCI"/>
    <x v="0"/>
    <x v="8"/>
    <x v="2"/>
    <x v="463"/>
    <x v="463"/>
    <x v="44"/>
    <x v="2"/>
    <n v="4"/>
  </r>
  <r>
    <x v="188"/>
    <x v="189"/>
    <s v="GCI"/>
    <x v="0"/>
    <x v="8"/>
    <x v="2"/>
    <x v="460"/>
    <x v="460"/>
    <x v="44"/>
    <x v="6"/>
    <n v="14"/>
  </r>
  <r>
    <x v="189"/>
    <x v="190"/>
    <s v="GCI"/>
    <x v="0"/>
    <x v="8"/>
    <x v="2"/>
    <x v="464"/>
    <x v="464"/>
    <x v="44"/>
    <x v="1"/>
    <n v="100"/>
  </r>
  <r>
    <x v="189"/>
    <x v="190"/>
    <s v="GCI"/>
    <x v="0"/>
    <x v="8"/>
    <x v="2"/>
    <x v="464"/>
    <x v="464"/>
    <x v="44"/>
    <x v="2"/>
    <n v="11"/>
  </r>
  <r>
    <x v="189"/>
    <x v="190"/>
    <s v="GCI"/>
    <x v="0"/>
    <x v="8"/>
    <x v="2"/>
    <x v="464"/>
    <x v="464"/>
    <x v="44"/>
    <x v="9"/>
    <n v="1"/>
  </r>
  <r>
    <x v="189"/>
    <x v="190"/>
    <s v="GCI"/>
    <x v="0"/>
    <x v="8"/>
    <x v="2"/>
    <x v="461"/>
    <x v="461"/>
    <x v="44"/>
    <x v="4"/>
    <n v="1"/>
  </r>
  <r>
    <x v="189"/>
    <x v="190"/>
    <s v="GCI"/>
    <x v="0"/>
    <x v="8"/>
    <x v="2"/>
    <x v="461"/>
    <x v="461"/>
    <x v="44"/>
    <x v="6"/>
    <n v="32"/>
  </r>
  <r>
    <x v="190"/>
    <x v="191"/>
    <s v="GCI"/>
    <x v="0"/>
    <x v="8"/>
    <x v="2"/>
    <x v="465"/>
    <x v="465"/>
    <x v="44"/>
    <x v="1"/>
    <n v="67"/>
  </r>
  <r>
    <x v="190"/>
    <x v="191"/>
    <s v="GCI"/>
    <x v="0"/>
    <x v="8"/>
    <x v="2"/>
    <x v="465"/>
    <x v="465"/>
    <x v="44"/>
    <x v="2"/>
    <n v="27"/>
  </r>
  <r>
    <x v="190"/>
    <x v="191"/>
    <s v="GCI"/>
    <x v="0"/>
    <x v="8"/>
    <x v="2"/>
    <x v="462"/>
    <x v="462"/>
    <x v="44"/>
    <x v="4"/>
    <n v="1"/>
  </r>
  <r>
    <x v="190"/>
    <x v="191"/>
    <s v="GCI"/>
    <x v="0"/>
    <x v="8"/>
    <x v="2"/>
    <x v="462"/>
    <x v="462"/>
    <x v="44"/>
    <x v="6"/>
    <n v="22"/>
  </r>
  <r>
    <x v="128"/>
    <x v="128"/>
    <s v="GCI"/>
    <x v="0"/>
    <x v="8"/>
    <x v="2"/>
    <x v="466"/>
    <x v="466"/>
    <x v="45"/>
    <x v="7"/>
    <n v="3000"/>
  </r>
  <r>
    <x v="191"/>
    <x v="192"/>
    <s v="GCI"/>
    <x v="0"/>
    <x v="8"/>
    <x v="2"/>
    <x v="467"/>
    <x v="467"/>
    <x v="45"/>
    <x v="0"/>
    <n v="3000"/>
  </r>
  <r>
    <x v="191"/>
    <x v="192"/>
    <s v="GCI"/>
    <x v="0"/>
    <x v="8"/>
    <x v="2"/>
    <x v="467"/>
    <x v="467"/>
    <x v="45"/>
    <x v="7"/>
    <n v="3000"/>
  </r>
  <r>
    <x v="192"/>
    <x v="193"/>
    <s v="GCI"/>
    <x v="0"/>
    <x v="8"/>
    <x v="2"/>
    <x v="468"/>
    <x v="468"/>
    <x v="45"/>
    <x v="0"/>
    <n v="3000"/>
  </r>
  <r>
    <x v="128"/>
    <x v="128"/>
    <s v="GCI"/>
    <x v="0"/>
    <x v="8"/>
    <x v="2"/>
    <x v="466"/>
    <x v="466"/>
    <x v="45"/>
    <x v="0"/>
    <n v="6000"/>
  </r>
  <r>
    <x v="128"/>
    <x v="128"/>
    <s v="GCI"/>
    <x v="0"/>
    <x v="8"/>
    <x v="2"/>
    <x v="466"/>
    <x v="466"/>
    <x v="45"/>
    <x v="4"/>
    <n v="2"/>
  </r>
  <r>
    <x v="128"/>
    <x v="128"/>
    <s v="GCI"/>
    <x v="0"/>
    <x v="8"/>
    <x v="2"/>
    <x v="466"/>
    <x v="466"/>
    <x v="45"/>
    <x v="6"/>
    <n v="51"/>
  </r>
  <r>
    <x v="191"/>
    <x v="192"/>
    <s v="GCI"/>
    <x v="0"/>
    <x v="8"/>
    <x v="2"/>
    <x v="469"/>
    <x v="469"/>
    <x v="45"/>
    <x v="9"/>
    <n v="1"/>
  </r>
  <r>
    <x v="191"/>
    <x v="192"/>
    <s v="GCI"/>
    <x v="0"/>
    <x v="8"/>
    <x v="2"/>
    <x v="467"/>
    <x v="467"/>
    <x v="45"/>
    <x v="4"/>
    <n v="1"/>
  </r>
  <r>
    <x v="191"/>
    <x v="192"/>
    <s v="GCI"/>
    <x v="0"/>
    <x v="8"/>
    <x v="2"/>
    <x v="467"/>
    <x v="467"/>
    <x v="45"/>
    <x v="6"/>
    <n v="30"/>
  </r>
  <r>
    <x v="192"/>
    <x v="193"/>
    <s v="GCI"/>
    <x v="0"/>
    <x v="8"/>
    <x v="2"/>
    <x v="470"/>
    <x v="470"/>
    <x v="45"/>
    <x v="9"/>
    <n v="1"/>
  </r>
  <r>
    <x v="192"/>
    <x v="193"/>
    <s v="GCI"/>
    <x v="0"/>
    <x v="8"/>
    <x v="2"/>
    <x v="468"/>
    <x v="468"/>
    <x v="45"/>
    <x v="4"/>
    <n v="1"/>
  </r>
  <r>
    <x v="192"/>
    <x v="193"/>
    <s v="GCI"/>
    <x v="0"/>
    <x v="8"/>
    <x v="2"/>
    <x v="468"/>
    <x v="468"/>
    <x v="45"/>
    <x v="6"/>
    <n v="20"/>
  </r>
  <r>
    <x v="193"/>
    <x v="194"/>
    <s v="GCI"/>
    <x v="0"/>
    <x v="9"/>
    <x v="2"/>
    <x v="471"/>
    <x v="471"/>
    <x v="77"/>
    <x v="8"/>
    <n v="1"/>
  </r>
  <r>
    <x v="75"/>
    <x v="75"/>
    <s v="GCI"/>
    <x v="0"/>
    <x v="1"/>
    <x v="2"/>
    <x v="472"/>
    <x v="472"/>
    <x v="77"/>
    <x v="13"/>
    <n v="6000"/>
  </r>
  <r>
    <x v="75"/>
    <x v="75"/>
    <s v="GCI"/>
    <x v="0"/>
    <x v="1"/>
    <x v="2"/>
    <x v="473"/>
    <x v="473"/>
    <x v="77"/>
    <x v="1"/>
    <n v="69"/>
  </r>
  <r>
    <x v="75"/>
    <x v="75"/>
    <s v="GCI"/>
    <x v="0"/>
    <x v="1"/>
    <x v="2"/>
    <x v="473"/>
    <x v="473"/>
    <x v="77"/>
    <x v="3"/>
    <n v="47"/>
  </r>
  <r>
    <x v="75"/>
    <x v="75"/>
    <s v="GCI"/>
    <x v="0"/>
    <x v="1"/>
    <x v="2"/>
    <x v="473"/>
    <x v="473"/>
    <x v="77"/>
    <x v="9"/>
    <n v="17"/>
  </r>
  <r>
    <x v="194"/>
    <x v="195"/>
    <s v="GCI"/>
    <x v="0"/>
    <x v="9"/>
    <x v="3"/>
    <x v="474"/>
    <x v="474"/>
    <x v="78"/>
    <x v="1"/>
    <n v="55"/>
  </r>
  <r>
    <x v="194"/>
    <x v="195"/>
    <s v="GCI"/>
    <x v="0"/>
    <x v="9"/>
    <x v="3"/>
    <x v="474"/>
    <x v="474"/>
    <x v="78"/>
    <x v="2"/>
    <n v="6"/>
  </r>
  <r>
    <x v="194"/>
    <x v="195"/>
    <s v="GCI"/>
    <x v="0"/>
    <x v="9"/>
    <x v="3"/>
    <x v="474"/>
    <x v="474"/>
    <x v="78"/>
    <x v="9"/>
    <n v="1"/>
  </r>
  <r>
    <x v="194"/>
    <x v="195"/>
    <s v="GCI"/>
    <x v="0"/>
    <x v="9"/>
    <x v="3"/>
    <x v="475"/>
    <x v="475"/>
    <x v="78"/>
    <x v="4"/>
    <n v="1"/>
  </r>
  <r>
    <x v="194"/>
    <x v="195"/>
    <s v="GCI"/>
    <x v="0"/>
    <x v="9"/>
    <x v="3"/>
    <x v="475"/>
    <x v="475"/>
    <x v="78"/>
    <x v="6"/>
    <n v="6"/>
  </r>
  <r>
    <x v="194"/>
    <x v="195"/>
    <s v="GCI"/>
    <x v="0"/>
    <x v="9"/>
    <x v="3"/>
    <x v="475"/>
    <x v="475"/>
    <x v="78"/>
    <x v="5"/>
    <n v="4"/>
  </r>
  <r>
    <x v="195"/>
    <x v="196"/>
    <s v="GCI"/>
    <x v="0"/>
    <x v="9"/>
    <x v="3"/>
    <x v="476"/>
    <x v="476"/>
    <x v="78"/>
    <x v="1"/>
    <n v="50"/>
  </r>
  <r>
    <x v="195"/>
    <x v="196"/>
    <s v="GCI"/>
    <x v="0"/>
    <x v="9"/>
    <x v="3"/>
    <x v="476"/>
    <x v="476"/>
    <x v="78"/>
    <x v="2"/>
    <n v="4"/>
  </r>
  <r>
    <x v="195"/>
    <x v="196"/>
    <s v="GCI"/>
    <x v="0"/>
    <x v="9"/>
    <x v="3"/>
    <x v="477"/>
    <x v="477"/>
    <x v="78"/>
    <x v="6"/>
    <n v="20"/>
  </r>
  <r>
    <x v="196"/>
    <x v="197"/>
    <s v="GCI"/>
    <x v="0"/>
    <x v="9"/>
    <x v="3"/>
    <x v="478"/>
    <x v="478"/>
    <x v="78"/>
    <x v="1"/>
    <n v="22"/>
  </r>
  <r>
    <x v="196"/>
    <x v="197"/>
    <s v="GCI"/>
    <x v="0"/>
    <x v="9"/>
    <x v="3"/>
    <x v="478"/>
    <x v="478"/>
    <x v="78"/>
    <x v="2"/>
    <n v="5"/>
  </r>
  <r>
    <x v="196"/>
    <x v="197"/>
    <s v="GCI"/>
    <x v="0"/>
    <x v="9"/>
    <x v="3"/>
    <x v="479"/>
    <x v="479"/>
    <x v="78"/>
    <x v="6"/>
    <n v="12"/>
  </r>
  <r>
    <x v="194"/>
    <x v="195"/>
    <s v="GCI"/>
    <x v="0"/>
    <x v="9"/>
    <x v="3"/>
    <x v="475"/>
    <x v="475"/>
    <x v="78"/>
    <x v="0"/>
    <n v="3000"/>
  </r>
  <r>
    <x v="194"/>
    <x v="195"/>
    <s v="GCI"/>
    <x v="0"/>
    <x v="9"/>
    <x v="3"/>
    <x v="475"/>
    <x v="475"/>
    <x v="78"/>
    <x v="7"/>
    <n v="3000"/>
  </r>
  <r>
    <x v="195"/>
    <x v="196"/>
    <s v="GCI"/>
    <x v="0"/>
    <x v="9"/>
    <x v="3"/>
    <x v="477"/>
    <x v="477"/>
    <x v="78"/>
    <x v="7"/>
    <n v="3000"/>
  </r>
  <r>
    <x v="196"/>
    <x v="197"/>
    <s v="GCI"/>
    <x v="0"/>
    <x v="9"/>
    <x v="3"/>
    <x v="479"/>
    <x v="479"/>
    <x v="78"/>
    <x v="7"/>
    <n v="3000"/>
  </r>
  <r>
    <x v="197"/>
    <x v="198"/>
    <s v="GCI"/>
    <x v="0"/>
    <x v="9"/>
    <x v="3"/>
    <x v="480"/>
    <x v="480"/>
    <x v="79"/>
    <x v="1"/>
    <n v="24"/>
  </r>
  <r>
    <x v="197"/>
    <x v="198"/>
    <s v="GCI"/>
    <x v="0"/>
    <x v="9"/>
    <x v="3"/>
    <x v="480"/>
    <x v="480"/>
    <x v="79"/>
    <x v="2"/>
    <n v="11"/>
  </r>
  <r>
    <x v="197"/>
    <x v="198"/>
    <s v="GCI"/>
    <x v="0"/>
    <x v="9"/>
    <x v="3"/>
    <x v="481"/>
    <x v="481"/>
    <x v="79"/>
    <x v="8"/>
    <n v="1"/>
  </r>
  <r>
    <x v="197"/>
    <x v="198"/>
    <s v="GCI"/>
    <x v="0"/>
    <x v="9"/>
    <x v="3"/>
    <x v="481"/>
    <x v="481"/>
    <x v="79"/>
    <x v="6"/>
    <n v="6"/>
  </r>
  <r>
    <x v="197"/>
    <x v="198"/>
    <s v="GCI"/>
    <x v="0"/>
    <x v="9"/>
    <x v="3"/>
    <x v="481"/>
    <x v="481"/>
    <x v="79"/>
    <x v="5"/>
    <n v="3"/>
  </r>
  <r>
    <x v="198"/>
    <x v="199"/>
    <s v="GCI"/>
    <x v="0"/>
    <x v="9"/>
    <x v="3"/>
    <x v="482"/>
    <x v="482"/>
    <x v="79"/>
    <x v="1"/>
    <n v="12"/>
  </r>
  <r>
    <x v="198"/>
    <x v="199"/>
    <s v="GCI"/>
    <x v="0"/>
    <x v="9"/>
    <x v="3"/>
    <x v="482"/>
    <x v="482"/>
    <x v="79"/>
    <x v="2"/>
    <n v="6"/>
  </r>
  <r>
    <x v="198"/>
    <x v="199"/>
    <s v="GCI"/>
    <x v="0"/>
    <x v="9"/>
    <x v="3"/>
    <x v="483"/>
    <x v="483"/>
    <x v="79"/>
    <x v="8"/>
    <n v="1"/>
  </r>
  <r>
    <x v="198"/>
    <x v="199"/>
    <s v="GCI"/>
    <x v="0"/>
    <x v="9"/>
    <x v="3"/>
    <x v="483"/>
    <x v="483"/>
    <x v="79"/>
    <x v="6"/>
    <n v="6"/>
  </r>
  <r>
    <x v="198"/>
    <x v="199"/>
    <s v="GCI"/>
    <x v="0"/>
    <x v="9"/>
    <x v="3"/>
    <x v="483"/>
    <x v="483"/>
    <x v="79"/>
    <x v="5"/>
    <n v="3"/>
  </r>
  <r>
    <x v="199"/>
    <x v="200"/>
    <s v="GCI"/>
    <x v="0"/>
    <x v="9"/>
    <x v="3"/>
    <x v="484"/>
    <x v="484"/>
    <x v="79"/>
    <x v="1"/>
    <n v="51"/>
  </r>
  <r>
    <x v="199"/>
    <x v="200"/>
    <s v="GCI"/>
    <x v="0"/>
    <x v="9"/>
    <x v="3"/>
    <x v="484"/>
    <x v="484"/>
    <x v="79"/>
    <x v="2"/>
    <n v="2"/>
  </r>
  <r>
    <x v="199"/>
    <x v="200"/>
    <s v="GCI"/>
    <x v="0"/>
    <x v="9"/>
    <x v="3"/>
    <x v="484"/>
    <x v="484"/>
    <x v="79"/>
    <x v="9"/>
    <n v="1"/>
  </r>
  <r>
    <x v="199"/>
    <x v="200"/>
    <s v="GCI"/>
    <x v="0"/>
    <x v="9"/>
    <x v="3"/>
    <x v="485"/>
    <x v="485"/>
    <x v="79"/>
    <x v="8"/>
    <n v="1"/>
  </r>
  <r>
    <x v="199"/>
    <x v="200"/>
    <s v="GCI"/>
    <x v="0"/>
    <x v="9"/>
    <x v="3"/>
    <x v="485"/>
    <x v="485"/>
    <x v="79"/>
    <x v="6"/>
    <n v="10"/>
  </r>
  <r>
    <x v="199"/>
    <x v="200"/>
    <s v="GCI"/>
    <x v="0"/>
    <x v="9"/>
    <x v="3"/>
    <x v="485"/>
    <x v="485"/>
    <x v="79"/>
    <x v="5"/>
    <n v="3"/>
  </r>
  <r>
    <x v="200"/>
    <x v="201"/>
    <s v="GCI"/>
    <x v="0"/>
    <x v="9"/>
    <x v="3"/>
    <x v="486"/>
    <x v="486"/>
    <x v="79"/>
    <x v="1"/>
    <n v="57"/>
  </r>
  <r>
    <x v="200"/>
    <x v="201"/>
    <s v="GCI"/>
    <x v="0"/>
    <x v="9"/>
    <x v="3"/>
    <x v="486"/>
    <x v="486"/>
    <x v="79"/>
    <x v="2"/>
    <n v="2"/>
  </r>
  <r>
    <x v="200"/>
    <x v="201"/>
    <s v="GCI"/>
    <x v="0"/>
    <x v="9"/>
    <x v="3"/>
    <x v="486"/>
    <x v="486"/>
    <x v="79"/>
    <x v="9"/>
    <n v="1"/>
  </r>
  <r>
    <x v="200"/>
    <x v="201"/>
    <s v="GCI"/>
    <x v="0"/>
    <x v="9"/>
    <x v="3"/>
    <x v="487"/>
    <x v="487"/>
    <x v="79"/>
    <x v="8"/>
    <n v="1"/>
  </r>
  <r>
    <x v="200"/>
    <x v="201"/>
    <s v="GCI"/>
    <x v="0"/>
    <x v="9"/>
    <x v="3"/>
    <x v="487"/>
    <x v="487"/>
    <x v="79"/>
    <x v="6"/>
    <n v="14"/>
  </r>
  <r>
    <x v="200"/>
    <x v="201"/>
    <s v="GCI"/>
    <x v="0"/>
    <x v="9"/>
    <x v="3"/>
    <x v="487"/>
    <x v="487"/>
    <x v="79"/>
    <x v="5"/>
    <n v="3"/>
  </r>
  <r>
    <x v="199"/>
    <x v="200"/>
    <s v="GCI"/>
    <x v="0"/>
    <x v="9"/>
    <x v="3"/>
    <x v="485"/>
    <x v="485"/>
    <x v="79"/>
    <x v="0"/>
    <n v="3000"/>
  </r>
  <r>
    <x v="199"/>
    <x v="200"/>
    <s v="GCI"/>
    <x v="0"/>
    <x v="9"/>
    <x v="3"/>
    <x v="485"/>
    <x v="485"/>
    <x v="79"/>
    <x v="7"/>
    <n v="3000"/>
  </r>
  <r>
    <x v="194"/>
    <x v="195"/>
    <s v="GCI"/>
    <x v="0"/>
    <x v="9"/>
    <x v="3"/>
    <x v="488"/>
    <x v="488"/>
    <x v="60"/>
    <x v="1"/>
    <n v="10"/>
  </r>
  <r>
    <x v="199"/>
    <x v="200"/>
    <s v="GCI"/>
    <x v="0"/>
    <x v="9"/>
    <x v="3"/>
    <x v="489"/>
    <x v="489"/>
    <x v="60"/>
    <x v="1"/>
    <n v="8"/>
  </r>
  <r>
    <x v="199"/>
    <x v="200"/>
    <s v="GCI"/>
    <x v="0"/>
    <x v="9"/>
    <x v="3"/>
    <x v="489"/>
    <x v="489"/>
    <x v="60"/>
    <x v="2"/>
    <n v="9"/>
  </r>
  <r>
    <x v="199"/>
    <x v="200"/>
    <s v="GCI"/>
    <x v="0"/>
    <x v="9"/>
    <x v="3"/>
    <x v="490"/>
    <x v="490"/>
    <x v="60"/>
    <x v="6"/>
    <n v="7"/>
  </r>
  <r>
    <x v="200"/>
    <x v="201"/>
    <s v="GCI"/>
    <x v="0"/>
    <x v="9"/>
    <x v="3"/>
    <x v="491"/>
    <x v="491"/>
    <x v="60"/>
    <x v="7"/>
    <n v="3000"/>
  </r>
  <r>
    <x v="201"/>
    <x v="202"/>
    <s v="GCI"/>
    <x v="0"/>
    <x v="9"/>
    <x v="3"/>
    <x v="492"/>
    <x v="492"/>
    <x v="80"/>
    <x v="1"/>
    <n v="23"/>
  </r>
  <r>
    <x v="201"/>
    <x v="202"/>
    <s v="GCI"/>
    <x v="0"/>
    <x v="9"/>
    <x v="3"/>
    <x v="492"/>
    <x v="492"/>
    <x v="80"/>
    <x v="2"/>
    <n v="7"/>
  </r>
  <r>
    <x v="201"/>
    <x v="202"/>
    <s v="GCI"/>
    <x v="0"/>
    <x v="9"/>
    <x v="3"/>
    <x v="492"/>
    <x v="492"/>
    <x v="80"/>
    <x v="9"/>
    <n v="1"/>
  </r>
  <r>
    <x v="201"/>
    <x v="202"/>
    <s v="GCI"/>
    <x v="0"/>
    <x v="9"/>
    <x v="3"/>
    <x v="493"/>
    <x v="493"/>
    <x v="80"/>
    <x v="8"/>
    <n v="1"/>
  </r>
  <r>
    <x v="201"/>
    <x v="202"/>
    <s v="GCI"/>
    <x v="0"/>
    <x v="9"/>
    <x v="3"/>
    <x v="493"/>
    <x v="493"/>
    <x v="80"/>
    <x v="6"/>
    <n v="6"/>
  </r>
  <r>
    <x v="202"/>
    <x v="203"/>
    <s v="GCI"/>
    <x v="0"/>
    <x v="9"/>
    <x v="3"/>
    <x v="494"/>
    <x v="494"/>
    <x v="80"/>
    <x v="1"/>
    <n v="21"/>
  </r>
  <r>
    <x v="202"/>
    <x v="203"/>
    <s v="GCI"/>
    <x v="0"/>
    <x v="9"/>
    <x v="3"/>
    <x v="494"/>
    <x v="494"/>
    <x v="80"/>
    <x v="2"/>
    <n v="5"/>
  </r>
  <r>
    <x v="202"/>
    <x v="203"/>
    <s v="GCI"/>
    <x v="0"/>
    <x v="9"/>
    <x v="3"/>
    <x v="495"/>
    <x v="495"/>
    <x v="80"/>
    <x v="6"/>
    <n v="11"/>
  </r>
  <r>
    <x v="203"/>
    <x v="204"/>
    <s v="GCI"/>
    <x v="0"/>
    <x v="9"/>
    <x v="3"/>
    <x v="496"/>
    <x v="496"/>
    <x v="80"/>
    <x v="1"/>
    <n v="22"/>
  </r>
  <r>
    <x v="203"/>
    <x v="204"/>
    <s v="GCI"/>
    <x v="0"/>
    <x v="9"/>
    <x v="3"/>
    <x v="496"/>
    <x v="496"/>
    <x v="80"/>
    <x v="2"/>
    <n v="16"/>
  </r>
  <r>
    <x v="203"/>
    <x v="204"/>
    <s v="GCI"/>
    <x v="0"/>
    <x v="9"/>
    <x v="3"/>
    <x v="497"/>
    <x v="497"/>
    <x v="80"/>
    <x v="6"/>
    <n v="14"/>
  </r>
  <r>
    <x v="204"/>
    <x v="205"/>
    <s v="GCI"/>
    <x v="0"/>
    <x v="9"/>
    <x v="3"/>
    <x v="498"/>
    <x v="498"/>
    <x v="80"/>
    <x v="1"/>
    <n v="61"/>
  </r>
  <r>
    <x v="204"/>
    <x v="205"/>
    <s v="GCI"/>
    <x v="0"/>
    <x v="9"/>
    <x v="3"/>
    <x v="498"/>
    <x v="498"/>
    <x v="80"/>
    <x v="2"/>
    <n v="20"/>
  </r>
  <r>
    <x v="204"/>
    <x v="205"/>
    <s v="GCI"/>
    <x v="0"/>
    <x v="9"/>
    <x v="3"/>
    <x v="499"/>
    <x v="499"/>
    <x v="80"/>
    <x v="6"/>
    <n v="18"/>
  </r>
  <r>
    <x v="205"/>
    <x v="206"/>
    <s v="GCI"/>
    <x v="0"/>
    <x v="9"/>
    <x v="3"/>
    <x v="500"/>
    <x v="500"/>
    <x v="80"/>
    <x v="1"/>
    <n v="15"/>
  </r>
  <r>
    <x v="205"/>
    <x v="206"/>
    <s v="GCI"/>
    <x v="0"/>
    <x v="9"/>
    <x v="3"/>
    <x v="500"/>
    <x v="500"/>
    <x v="80"/>
    <x v="2"/>
    <n v="5"/>
  </r>
  <r>
    <x v="205"/>
    <x v="206"/>
    <s v="GCI"/>
    <x v="0"/>
    <x v="9"/>
    <x v="3"/>
    <x v="501"/>
    <x v="501"/>
    <x v="80"/>
    <x v="8"/>
    <n v="1"/>
  </r>
  <r>
    <x v="205"/>
    <x v="206"/>
    <s v="GCI"/>
    <x v="0"/>
    <x v="9"/>
    <x v="3"/>
    <x v="501"/>
    <x v="501"/>
    <x v="80"/>
    <x v="6"/>
    <n v="13"/>
  </r>
  <r>
    <x v="206"/>
    <x v="207"/>
    <s v="GCI"/>
    <x v="0"/>
    <x v="9"/>
    <x v="3"/>
    <x v="502"/>
    <x v="502"/>
    <x v="80"/>
    <x v="1"/>
    <n v="13"/>
  </r>
  <r>
    <x v="206"/>
    <x v="207"/>
    <s v="GCI"/>
    <x v="0"/>
    <x v="9"/>
    <x v="3"/>
    <x v="502"/>
    <x v="502"/>
    <x v="80"/>
    <x v="2"/>
    <n v="8"/>
  </r>
  <r>
    <x v="206"/>
    <x v="207"/>
    <s v="GCI"/>
    <x v="0"/>
    <x v="9"/>
    <x v="3"/>
    <x v="503"/>
    <x v="503"/>
    <x v="80"/>
    <x v="6"/>
    <n v="13"/>
  </r>
  <r>
    <x v="202"/>
    <x v="203"/>
    <s v="GCI"/>
    <x v="0"/>
    <x v="9"/>
    <x v="3"/>
    <x v="495"/>
    <x v="495"/>
    <x v="80"/>
    <x v="0"/>
    <n v="3000"/>
  </r>
  <r>
    <x v="205"/>
    <x v="206"/>
    <s v="GCI"/>
    <x v="0"/>
    <x v="9"/>
    <x v="3"/>
    <x v="501"/>
    <x v="501"/>
    <x v="80"/>
    <x v="0"/>
    <n v="3000"/>
  </r>
  <r>
    <x v="204"/>
    <x v="205"/>
    <s v="GCI"/>
    <x v="0"/>
    <x v="9"/>
    <x v="3"/>
    <x v="504"/>
    <x v="504"/>
    <x v="6"/>
    <x v="7"/>
    <n v="6000"/>
  </r>
  <r>
    <x v="204"/>
    <x v="205"/>
    <s v="GCI"/>
    <x v="0"/>
    <x v="9"/>
    <x v="3"/>
    <x v="505"/>
    <x v="505"/>
    <x v="6"/>
    <x v="4"/>
    <n v="1"/>
  </r>
  <r>
    <x v="201"/>
    <x v="202"/>
    <s v="GCI"/>
    <x v="0"/>
    <x v="9"/>
    <x v="3"/>
    <x v="506"/>
    <x v="506"/>
    <x v="6"/>
    <x v="7"/>
    <n v="3000"/>
  </r>
  <r>
    <x v="207"/>
    <x v="208"/>
    <s v="GCI"/>
    <x v="0"/>
    <x v="9"/>
    <x v="3"/>
    <x v="507"/>
    <x v="507"/>
    <x v="81"/>
    <x v="0"/>
    <n v="9000"/>
  </r>
  <r>
    <x v="207"/>
    <x v="208"/>
    <s v="GCI"/>
    <x v="0"/>
    <x v="9"/>
    <x v="3"/>
    <x v="508"/>
    <x v="508"/>
    <x v="81"/>
    <x v="1"/>
    <n v="137"/>
  </r>
  <r>
    <x v="207"/>
    <x v="208"/>
    <s v="GCI"/>
    <x v="0"/>
    <x v="9"/>
    <x v="3"/>
    <x v="508"/>
    <x v="508"/>
    <x v="81"/>
    <x v="2"/>
    <n v="31"/>
  </r>
  <r>
    <x v="207"/>
    <x v="208"/>
    <s v="GCI"/>
    <x v="0"/>
    <x v="9"/>
    <x v="3"/>
    <x v="508"/>
    <x v="508"/>
    <x v="81"/>
    <x v="9"/>
    <n v="2"/>
  </r>
  <r>
    <x v="207"/>
    <x v="208"/>
    <s v="GCI"/>
    <x v="0"/>
    <x v="9"/>
    <x v="3"/>
    <x v="507"/>
    <x v="507"/>
    <x v="81"/>
    <x v="8"/>
    <n v="3"/>
  </r>
  <r>
    <x v="207"/>
    <x v="208"/>
    <s v="GCI"/>
    <x v="0"/>
    <x v="9"/>
    <x v="3"/>
    <x v="507"/>
    <x v="507"/>
    <x v="81"/>
    <x v="6"/>
    <n v="44"/>
  </r>
  <r>
    <x v="196"/>
    <x v="197"/>
    <s v="GCI"/>
    <x v="0"/>
    <x v="9"/>
    <x v="3"/>
    <x v="509"/>
    <x v="509"/>
    <x v="81"/>
    <x v="9"/>
    <n v="30"/>
  </r>
  <r>
    <x v="207"/>
    <x v="208"/>
    <s v="GCI"/>
    <x v="0"/>
    <x v="9"/>
    <x v="3"/>
    <x v="507"/>
    <x v="507"/>
    <x v="81"/>
    <x v="7"/>
    <n v="3000"/>
  </r>
  <r>
    <x v="208"/>
    <x v="209"/>
    <s v="GCI"/>
    <x v="0"/>
    <x v="9"/>
    <x v="3"/>
    <x v="510"/>
    <x v="510"/>
    <x v="82"/>
    <x v="1"/>
    <n v="64"/>
  </r>
  <r>
    <x v="208"/>
    <x v="209"/>
    <s v="GCI"/>
    <x v="0"/>
    <x v="9"/>
    <x v="3"/>
    <x v="510"/>
    <x v="510"/>
    <x v="82"/>
    <x v="9"/>
    <n v="2"/>
  </r>
  <r>
    <x v="208"/>
    <x v="209"/>
    <s v="GCI"/>
    <x v="0"/>
    <x v="9"/>
    <x v="3"/>
    <x v="511"/>
    <x v="511"/>
    <x v="82"/>
    <x v="8"/>
    <n v="1"/>
  </r>
  <r>
    <x v="208"/>
    <x v="209"/>
    <s v="GCI"/>
    <x v="0"/>
    <x v="9"/>
    <x v="3"/>
    <x v="511"/>
    <x v="511"/>
    <x v="82"/>
    <x v="13"/>
    <n v="6000"/>
  </r>
  <r>
    <x v="209"/>
    <x v="210"/>
    <s v="GCI"/>
    <x v="0"/>
    <x v="9"/>
    <x v="3"/>
    <x v="512"/>
    <x v="512"/>
    <x v="83"/>
    <x v="1"/>
    <n v="11"/>
  </r>
  <r>
    <x v="209"/>
    <x v="210"/>
    <s v="GCI"/>
    <x v="0"/>
    <x v="9"/>
    <x v="3"/>
    <x v="512"/>
    <x v="512"/>
    <x v="83"/>
    <x v="2"/>
    <n v="3"/>
  </r>
  <r>
    <x v="209"/>
    <x v="210"/>
    <s v="GCI"/>
    <x v="0"/>
    <x v="9"/>
    <x v="3"/>
    <x v="513"/>
    <x v="513"/>
    <x v="83"/>
    <x v="8"/>
    <n v="1"/>
  </r>
  <r>
    <x v="210"/>
    <x v="211"/>
    <s v="GCI"/>
    <x v="0"/>
    <x v="9"/>
    <x v="3"/>
    <x v="514"/>
    <x v="514"/>
    <x v="83"/>
    <x v="1"/>
    <n v="19"/>
  </r>
  <r>
    <x v="210"/>
    <x v="211"/>
    <s v="GCI"/>
    <x v="0"/>
    <x v="9"/>
    <x v="3"/>
    <x v="514"/>
    <x v="514"/>
    <x v="83"/>
    <x v="2"/>
    <n v="1"/>
  </r>
  <r>
    <x v="211"/>
    <x v="212"/>
    <s v="GCI"/>
    <x v="0"/>
    <x v="9"/>
    <x v="3"/>
    <x v="515"/>
    <x v="515"/>
    <x v="83"/>
    <x v="1"/>
    <n v="8"/>
  </r>
  <r>
    <x v="212"/>
    <x v="213"/>
    <s v="GCI"/>
    <x v="0"/>
    <x v="9"/>
    <x v="3"/>
    <x v="516"/>
    <x v="516"/>
    <x v="83"/>
    <x v="1"/>
    <n v="13"/>
  </r>
  <r>
    <x v="212"/>
    <x v="213"/>
    <s v="GCI"/>
    <x v="0"/>
    <x v="9"/>
    <x v="3"/>
    <x v="516"/>
    <x v="516"/>
    <x v="83"/>
    <x v="2"/>
    <n v="5"/>
  </r>
  <r>
    <x v="209"/>
    <x v="210"/>
    <s v="GCI"/>
    <x v="0"/>
    <x v="9"/>
    <x v="3"/>
    <x v="513"/>
    <x v="513"/>
    <x v="83"/>
    <x v="0"/>
    <n v="3000"/>
  </r>
  <r>
    <x v="210"/>
    <x v="211"/>
    <s v="GCI"/>
    <x v="0"/>
    <x v="9"/>
    <x v="3"/>
    <x v="517"/>
    <x v="517"/>
    <x v="83"/>
    <x v="7"/>
    <n v="3000"/>
  </r>
  <r>
    <x v="212"/>
    <x v="213"/>
    <s v="GCI"/>
    <x v="0"/>
    <x v="9"/>
    <x v="3"/>
    <x v="518"/>
    <x v="518"/>
    <x v="83"/>
    <x v="0"/>
    <n v="3000"/>
  </r>
  <r>
    <x v="212"/>
    <x v="213"/>
    <s v="GCI"/>
    <x v="0"/>
    <x v="9"/>
    <x v="3"/>
    <x v="519"/>
    <x v="519"/>
    <x v="11"/>
    <x v="6"/>
    <n v="6"/>
  </r>
  <r>
    <x v="211"/>
    <x v="212"/>
    <s v="GCI"/>
    <x v="0"/>
    <x v="9"/>
    <x v="3"/>
    <x v="520"/>
    <x v="520"/>
    <x v="11"/>
    <x v="6"/>
    <n v="6"/>
  </r>
  <r>
    <x v="210"/>
    <x v="211"/>
    <s v="GCI"/>
    <x v="0"/>
    <x v="9"/>
    <x v="3"/>
    <x v="521"/>
    <x v="521"/>
    <x v="11"/>
    <x v="6"/>
    <n v="4"/>
  </r>
  <r>
    <x v="209"/>
    <x v="210"/>
    <s v="GCI"/>
    <x v="0"/>
    <x v="9"/>
    <x v="3"/>
    <x v="522"/>
    <x v="522"/>
    <x v="11"/>
    <x v="6"/>
    <n v="9"/>
  </r>
  <r>
    <x v="213"/>
    <x v="214"/>
    <s v="GCI"/>
    <x v="0"/>
    <x v="9"/>
    <x v="3"/>
    <x v="523"/>
    <x v="523"/>
    <x v="64"/>
    <x v="0"/>
    <n v="6000"/>
  </r>
  <r>
    <x v="213"/>
    <x v="214"/>
    <s v="GCI"/>
    <x v="0"/>
    <x v="9"/>
    <x v="3"/>
    <x v="523"/>
    <x v="523"/>
    <x v="64"/>
    <x v="7"/>
    <n v="9000"/>
  </r>
  <r>
    <x v="213"/>
    <x v="214"/>
    <s v="GCI"/>
    <x v="0"/>
    <x v="9"/>
    <x v="3"/>
    <x v="524"/>
    <x v="524"/>
    <x v="64"/>
    <x v="1"/>
    <n v="176"/>
  </r>
  <r>
    <x v="213"/>
    <x v="214"/>
    <s v="GCI"/>
    <x v="0"/>
    <x v="9"/>
    <x v="3"/>
    <x v="524"/>
    <x v="524"/>
    <x v="64"/>
    <x v="2"/>
    <n v="47"/>
  </r>
  <r>
    <x v="213"/>
    <x v="214"/>
    <s v="GCI"/>
    <x v="0"/>
    <x v="9"/>
    <x v="3"/>
    <x v="524"/>
    <x v="524"/>
    <x v="64"/>
    <x v="3"/>
    <n v="11"/>
  </r>
  <r>
    <x v="213"/>
    <x v="214"/>
    <s v="GCI"/>
    <x v="0"/>
    <x v="9"/>
    <x v="3"/>
    <x v="523"/>
    <x v="523"/>
    <x v="64"/>
    <x v="8"/>
    <n v="3"/>
  </r>
  <r>
    <x v="214"/>
    <x v="215"/>
    <s v="GCI"/>
    <x v="0"/>
    <x v="9"/>
    <x v="3"/>
    <x v="525"/>
    <x v="525"/>
    <x v="84"/>
    <x v="7"/>
    <n v="6000"/>
  </r>
  <r>
    <x v="215"/>
    <x v="216"/>
    <s v="GCI"/>
    <x v="0"/>
    <x v="9"/>
    <x v="3"/>
    <x v="526"/>
    <x v="526"/>
    <x v="84"/>
    <x v="0"/>
    <n v="6000"/>
  </r>
  <r>
    <x v="215"/>
    <x v="216"/>
    <s v="GCI"/>
    <x v="0"/>
    <x v="9"/>
    <x v="3"/>
    <x v="526"/>
    <x v="526"/>
    <x v="84"/>
    <x v="7"/>
    <n v="9000"/>
  </r>
  <r>
    <x v="214"/>
    <x v="215"/>
    <s v="GCI"/>
    <x v="0"/>
    <x v="9"/>
    <x v="3"/>
    <x v="527"/>
    <x v="527"/>
    <x v="84"/>
    <x v="1"/>
    <n v="99"/>
  </r>
  <r>
    <x v="214"/>
    <x v="215"/>
    <s v="GCI"/>
    <x v="0"/>
    <x v="9"/>
    <x v="3"/>
    <x v="527"/>
    <x v="527"/>
    <x v="84"/>
    <x v="2"/>
    <n v="25"/>
  </r>
  <r>
    <x v="214"/>
    <x v="215"/>
    <s v="GCI"/>
    <x v="0"/>
    <x v="9"/>
    <x v="3"/>
    <x v="527"/>
    <x v="527"/>
    <x v="84"/>
    <x v="3"/>
    <n v="1"/>
  </r>
  <r>
    <x v="214"/>
    <x v="215"/>
    <s v="GCI"/>
    <x v="0"/>
    <x v="9"/>
    <x v="3"/>
    <x v="525"/>
    <x v="525"/>
    <x v="84"/>
    <x v="8"/>
    <n v="3"/>
  </r>
  <r>
    <x v="215"/>
    <x v="216"/>
    <s v="GCI"/>
    <x v="0"/>
    <x v="9"/>
    <x v="3"/>
    <x v="528"/>
    <x v="528"/>
    <x v="84"/>
    <x v="1"/>
    <n v="57"/>
  </r>
  <r>
    <x v="215"/>
    <x v="216"/>
    <s v="GCI"/>
    <x v="0"/>
    <x v="9"/>
    <x v="3"/>
    <x v="528"/>
    <x v="528"/>
    <x v="84"/>
    <x v="2"/>
    <n v="36"/>
  </r>
  <r>
    <x v="215"/>
    <x v="216"/>
    <s v="GCI"/>
    <x v="0"/>
    <x v="9"/>
    <x v="3"/>
    <x v="528"/>
    <x v="528"/>
    <x v="84"/>
    <x v="3"/>
    <n v="2"/>
  </r>
  <r>
    <x v="215"/>
    <x v="216"/>
    <s v="GCI"/>
    <x v="0"/>
    <x v="9"/>
    <x v="3"/>
    <x v="526"/>
    <x v="526"/>
    <x v="84"/>
    <x v="8"/>
    <n v="6"/>
  </r>
  <r>
    <x v="214"/>
    <x v="215"/>
    <s v="GCI"/>
    <x v="0"/>
    <x v="9"/>
    <x v="3"/>
    <x v="525"/>
    <x v="525"/>
    <x v="84"/>
    <x v="0"/>
    <n v="3000"/>
  </r>
  <r>
    <x v="215"/>
    <x v="216"/>
    <s v="GCI"/>
    <x v="0"/>
    <x v="9"/>
    <x v="3"/>
    <x v="529"/>
    <x v="529"/>
    <x v="85"/>
    <x v="1"/>
    <n v="129"/>
  </r>
  <r>
    <x v="214"/>
    <x v="215"/>
    <s v="GCI"/>
    <x v="0"/>
    <x v="9"/>
    <x v="3"/>
    <x v="530"/>
    <x v="530"/>
    <x v="17"/>
    <x v="6"/>
    <n v="45"/>
  </r>
  <r>
    <x v="215"/>
    <x v="216"/>
    <s v="GCI"/>
    <x v="0"/>
    <x v="9"/>
    <x v="3"/>
    <x v="531"/>
    <x v="531"/>
    <x v="17"/>
    <x v="6"/>
    <n v="85"/>
  </r>
  <r>
    <x v="213"/>
    <x v="214"/>
    <s v="GCI"/>
    <x v="0"/>
    <x v="9"/>
    <x v="3"/>
    <x v="532"/>
    <x v="532"/>
    <x v="17"/>
    <x v="6"/>
    <n v="59"/>
  </r>
  <r>
    <x v="216"/>
    <x v="217"/>
    <s v="GCI"/>
    <x v="0"/>
    <x v="9"/>
    <x v="3"/>
    <x v="533"/>
    <x v="533"/>
    <x v="86"/>
    <x v="1"/>
    <n v="38"/>
  </r>
  <r>
    <x v="216"/>
    <x v="217"/>
    <s v="GCI"/>
    <x v="0"/>
    <x v="9"/>
    <x v="3"/>
    <x v="533"/>
    <x v="533"/>
    <x v="86"/>
    <x v="2"/>
    <n v="7"/>
  </r>
  <r>
    <x v="216"/>
    <x v="217"/>
    <s v="GCI"/>
    <x v="0"/>
    <x v="9"/>
    <x v="3"/>
    <x v="533"/>
    <x v="533"/>
    <x v="86"/>
    <x v="3"/>
    <n v="6"/>
  </r>
  <r>
    <x v="216"/>
    <x v="217"/>
    <s v="GCI"/>
    <x v="0"/>
    <x v="9"/>
    <x v="3"/>
    <x v="533"/>
    <x v="533"/>
    <x v="86"/>
    <x v="9"/>
    <n v="1"/>
  </r>
  <r>
    <x v="216"/>
    <x v="217"/>
    <s v="GCI"/>
    <x v="0"/>
    <x v="9"/>
    <x v="3"/>
    <x v="534"/>
    <x v="534"/>
    <x v="86"/>
    <x v="8"/>
    <n v="1"/>
  </r>
  <r>
    <x v="216"/>
    <x v="217"/>
    <s v="GCI"/>
    <x v="0"/>
    <x v="9"/>
    <x v="3"/>
    <x v="534"/>
    <x v="534"/>
    <x v="86"/>
    <x v="6"/>
    <n v="10"/>
  </r>
  <r>
    <x v="217"/>
    <x v="218"/>
    <s v="GCI"/>
    <x v="0"/>
    <x v="9"/>
    <x v="3"/>
    <x v="535"/>
    <x v="535"/>
    <x v="86"/>
    <x v="1"/>
    <n v="12"/>
  </r>
  <r>
    <x v="217"/>
    <x v="218"/>
    <s v="GCI"/>
    <x v="0"/>
    <x v="9"/>
    <x v="3"/>
    <x v="535"/>
    <x v="535"/>
    <x v="86"/>
    <x v="2"/>
    <n v="3"/>
  </r>
  <r>
    <x v="217"/>
    <x v="218"/>
    <s v="GCI"/>
    <x v="0"/>
    <x v="9"/>
    <x v="3"/>
    <x v="535"/>
    <x v="535"/>
    <x v="86"/>
    <x v="3"/>
    <n v="2"/>
  </r>
  <r>
    <x v="217"/>
    <x v="218"/>
    <s v="GCI"/>
    <x v="0"/>
    <x v="9"/>
    <x v="3"/>
    <x v="536"/>
    <x v="536"/>
    <x v="86"/>
    <x v="6"/>
    <n v="5"/>
  </r>
  <r>
    <x v="218"/>
    <x v="219"/>
    <s v="GCI"/>
    <x v="0"/>
    <x v="9"/>
    <x v="3"/>
    <x v="537"/>
    <x v="537"/>
    <x v="86"/>
    <x v="1"/>
    <n v="32"/>
  </r>
  <r>
    <x v="218"/>
    <x v="219"/>
    <s v="GCI"/>
    <x v="0"/>
    <x v="9"/>
    <x v="3"/>
    <x v="537"/>
    <x v="537"/>
    <x v="86"/>
    <x v="2"/>
    <n v="10"/>
  </r>
  <r>
    <x v="218"/>
    <x v="219"/>
    <s v="GCI"/>
    <x v="0"/>
    <x v="9"/>
    <x v="3"/>
    <x v="538"/>
    <x v="538"/>
    <x v="86"/>
    <x v="8"/>
    <n v="1"/>
  </r>
  <r>
    <x v="218"/>
    <x v="219"/>
    <s v="GCI"/>
    <x v="0"/>
    <x v="9"/>
    <x v="3"/>
    <x v="538"/>
    <x v="538"/>
    <x v="86"/>
    <x v="6"/>
    <n v="9"/>
  </r>
  <r>
    <x v="219"/>
    <x v="220"/>
    <s v="GCI"/>
    <x v="0"/>
    <x v="9"/>
    <x v="3"/>
    <x v="539"/>
    <x v="539"/>
    <x v="86"/>
    <x v="1"/>
    <n v="16"/>
  </r>
  <r>
    <x v="219"/>
    <x v="220"/>
    <s v="GCI"/>
    <x v="0"/>
    <x v="9"/>
    <x v="3"/>
    <x v="539"/>
    <x v="539"/>
    <x v="86"/>
    <x v="2"/>
    <n v="2"/>
  </r>
  <r>
    <x v="219"/>
    <x v="220"/>
    <s v="GCI"/>
    <x v="0"/>
    <x v="9"/>
    <x v="3"/>
    <x v="540"/>
    <x v="540"/>
    <x v="86"/>
    <x v="6"/>
    <n v="5"/>
  </r>
  <r>
    <x v="220"/>
    <x v="221"/>
    <s v="GCI"/>
    <x v="0"/>
    <x v="9"/>
    <x v="3"/>
    <x v="541"/>
    <x v="541"/>
    <x v="86"/>
    <x v="1"/>
    <n v="56"/>
  </r>
  <r>
    <x v="220"/>
    <x v="221"/>
    <s v="GCI"/>
    <x v="0"/>
    <x v="9"/>
    <x v="3"/>
    <x v="541"/>
    <x v="541"/>
    <x v="86"/>
    <x v="3"/>
    <n v="3"/>
  </r>
  <r>
    <x v="220"/>
    <x v="221"/>
    <s v="GCI"/>
    <x v="0"/>
    <x v="9"/>
    <x v="3"/>
    <x v="542"/>
    <x v="542"/>
    <x v="86"/>
    <x v="8"/>
    <n v="2"/>
  </r>
  <r>
    <x v="220"/>
    <x v="221"/>
    <s v="GCI"/>
    <x v="0"/>
    <x v="9"/>
    <x v="3"/>
    <x v="542"/>
    <x v="542"/>
    <x v="86"/>
    <x v="6"/>
    <n v="35"/>
  </r>
  <r>
    <x v="221"/>
    <x v="222"/>
    <s v="GCI"/>
    <x v="0"/>
    <x v="9"/>
    <x v="3"/>
    <x v="543"/>
    <x v="543"/>
    <x v="86"/>
    <x v="1"/>
    <n v="53"/>
  </r>
  <r>
    <x v="221"/>
    <x v="222"/>
    <s v="GCI"/>
    <x v="0"/>
    <x v="9"/>
    <x v="3"/>
    <x v="543"/>
    <x v="543"/>
    <x v="86"/>
    <x v="2"/>
    <n v="20"/>
  </r>
  <r>
    <x v="221"/>
    <x v="222"/>
    <s v="GCI"/>
    <x v="0"/>
    <x v="9"/>
    <x v="3"/>
    <x v="544"/>
    <x v="544"/>
    <x v="86"/>
    <x v="8"/>
    <n v="2"/>
  </r>
  <r>
    <x v="221"/>
    <x v="222"/>
    <s v="GCI"/>
    <x v="0"/>
    <x v="9"/>
    <x v="3"/>
    <x v="544"/>
    <x v="544"/>
    <x v="86"/>
    <x v="6"/>
    <n v="26"/>
  </r>
  <r>
    <x v="222"/>
    <x v="223"/>
    <s v="GCI"/>
    <x v="0"/>
    <x v="9"/>
    <x v="3"/>
    <x v="545"/>
    <x v="545"/>
    <x v="86"/>
    <x v="1"/>
    <n v="91"/>
  </r>
  <r>
    <x v="222"/>
    <x v="223"/>
    <s v="GCI"/>
    <x v="0"/>
    <x v="9"/>
    <x v="3"/>
    <x v="545"/>
    <x v="545"/>
    <x v="86"/>
    <x v="3"/>
    <n v="4"/>
  </r>
  <r>
    <x v="222"/>
    <x v="223"/>
    <s v="GCI"/>
    <x v="0"/>
    <x v="9"/>
    <x v="3"/>
    <x v="546"/>
    <x v="546"/>
    <x v="86"/>
    <x v="8"/>
    <n v="2"/>
  </r>
  <r>
    <x v="222"/>
    <x v="223"/>
    <s v="GCI"/>
    <x v="0"/>
    <x v="9"/>
    <x v="3"/>
    <x v="546"/>
    <x v="546"/>
    <x v="86"/>
    <x v="6"/>
    <n v="33"/>
  </r>
  <r>
    <x v="216"/>
    <x v="217"/>
    <s v="GCI"/>
    <x v="0"/>
    <x v="9"/>
    <x v="3"/>
    <x v="534"/>
    <x v="534"/>
    <x v="86"/>
    <x v="0"/>
    <n v="3000"/>
  </r>
  <r>
    <x v="218"/>
    <x v="219"/>
    <s v="GCI"/>
    <x v="0"/>
    <x v="9"/>
    <x v="3"/>
    <x v="538"/>
    <x v="538"/>
    <x v="86"/>
    <x v="0"/>
    <n v="3000"/>
  </r>
  <r>
    <x v="220"/>
    <x v="221"/>
    <s v="GCI"/>
    <x v="0"/>
    <x v="9"/>
    <x v="3"/>
    <x v="542"/>
    <x v="542"/>
    <x v="86"/>
    <x v="0"/>
    <n v="3000"/>
  </r>
  <r>
    <x v="220"/>
    <x v="221"/>
    <s v="GCI"/>
    <x v="0"/>
    <x v="9"/>
    <x v="3"/>
    <x v="542"/>
    <x v="542"/>
    <x v="86"/>
    <x v="7"/>
    <n v="3000"/>
  </r>
  <r>
    <x v="221"/>
    <x v="222"/>
    <s v="GCI"/>
    <x v="0"/>
    <x v="9"/>
    <x v="3"/>
    <x v="544"/>
    <x v="544"/>
    <x v="86"/>
    <x v="0"/>
    <n v="3000"/>
  </r>
  <r>
    <x v="221"/>
    <x v="222"/>
    <s v="GCI"/>
    <x v="0"/>
    <x v="9"/>
    <x v="3"/>
    <x v="544"/>
    <x v="544"/>
    <x v="86"/>
    <x v="7"/>
    <n v="3000"/>
  </r>
  <r>
    <x v="222"/>
    <x v="223"/>
    <s v="GCI"/>
    <x v="0"/>
    <x v="9"/>
    <x v="3"/>
    <x v="546"/>
    <x v="546"/>
    <x v="86"/>
    <x v="0"/>
    <n v="3000"/>
  </r>
  <r>
    <x v="222"/>
    <x v="223"/>
    <s v="GCI"/>
    <x v="0"/>
    <x v="9"/>
    <x v="3"/>
    <x v="546"/>
    <x v="546"/>
    <x v="86"/>
    <x v="7"/>
    <n v="3000"/>
  </r>
  <r>
    <x v="223"/>
    <x v="224"/>
    <s v="GCI"/>
    <x v="0"/>
    <x v="9"/>
    <x v="3"/>
    <x v="547"/>
    <x v="547"/>
    <x v="31"/>
    <x v="1"/>
    <n v="13"/>
  </r>
  <r>
    <x v="223"/>
    <x v="224"/>
    <s v="GCI"/>
    <x v="0"/>
    <x v="9"/>
    <x v="3"/>
    <x v="547"/>
    <x v="547"/>
    <x v="31"/>
    <x v="2"/>
    <n v="1"/>
  </r>
  <r>
    <x v="223"/>
    <x v="224"/>
    <s v="GCI"/>
    <x v="0"/>
    <x v="9"/>
    <x v="3"/>
    <x v="548"/>
    <x v="548"/>
    <x v="31"/>
    <x v="6"/>
    <n v="5"/>
  </r>
  <r>
    <x v="224"/>
    <x v="225"/>
    <s v="GCI"/>
    <x v="0"/>
    <x v="9"/>
    <x v="3"/>
    <x v="549"/>
    <x v="549"/>
    <x v="31"/>
    <x v="1"/>
    <n v="33"/>
  </r>
  <r>
    <x v="224"/>
    <x v="225"/>
    <s v="GCI"/>
    <x v="0"/>
    <x v="9"/>
    <x v="3"/>
    <x v="549"/>
    <x v="549"/>
    <x v="31"/>
    <x v="2"/>
    <n v="1"/>
  </r>
  <r>
    <x v="224"/>
    <x v="225"/>
    <s v="GCI"/>
    <x v="0"/>
    <x v="9"/>
    <x v="3"/>
    <x v="549"/>
    <x v="549"/>
    <x v="31"/>
    <x v="3"/>
    <n v="3"/>
  </r>
  <r>
    <x v="224"/>
    <x v="225"/>
    <s v="GCI"/>
    <x v="0"/>
    <x v="9"/>
    <x v="3"/>
    <x v="549"/>
    <x v="549"/>
    <x v="31"/>
    <x v="9"/>
    <n v="1"/>
  </r>
  <r>
    <x v="224"/>
    <x v="225"/>
    <s v="GCI"/>
    <x v="0"/>
    <x v="9"/>
    <x v="3"/>
    <x v="550"/>
    <x v="550"/>
    <x v="31"/>
    <x v="8"/>
    <n v="1"/>
  </r>
  <r>
    <x v="224"/>
    <x v="225"/>
    <s v="GCI"/>
    <x v="0"/>
    <x v="9"/>
    <x v="3"/>
    <x v="550"/>
    <x v="550"/>
    <x v="31"/>
    <x v="6"/>
    <n v="8"/>
  </r>
  <r>
    <x v="224"/>
    <x v="225"/>
    <s v="GCI"/>
    <x v="0"/>
    <x v="9"/>
    <x v="3"/>
    <x v="550"/>
    <x v="550"/>
    <x v="31"/>
    <x v="5"/>
    <n v="3"/>
  </r>
  <r>
    <x v="224"/>
    <x v="225"/>
    <s v="GCI"/>
    <x v="0"/>
    <x v="9"/>
    <x v="3"/>
    <x v="550"/>
    <x v="550"/>
    <x v="31"/>
    <x v="0"/>
    <n v="3000"/>
  </r>
  <r>
    <x v="225"/>
    <x v="226"/>
    <s v="GCI"/>
    <x v="0"/>
    <x v="9"/>
    <x v="3"/>
    <x v="551"/>
    <x v="551"/>
    <x v="87"/>
    <x v="0"/>
    <n v="6000"/>
  </r>
  <r>
    <x v="226"/>
    <x v="227"/>
    <s v="GCI"/>
    <x v="0"/>
    <x v="9"/>
    <x v="3"/>
    <x v="552"/>
    <x v="552"/>
    <x v="87"/>
    <x v="1"/>
    <n v="45"/>
  </r>
  <r>
    <x v="226"/>
    <x v="227"/>
    <s v="GCI"/>
    <x v="0"/>
    <x v="9"/>
    <x v="3"/>
    <x v="552"/>
    <x v="552"/>
    <x v="87"/>
    <x v="2"/>
    <n v="8"/>
  </r>
  <r>
    <x v="226"/>
    <x v="227"/>
    <s v="GCI"/>
    <x v="0"/>
    <x v="9"/>
    <x v="3"/>
    <x v="552"/>
    <x v="552"/>
    <x v="87"/>
    <x v="3"/>
    <n v="2"/>
  </r>
  <r>
    <x v="226"/>
    <x v="227"/>
    <s v="GCI"/>
    <x v="0"/>
    <x v="9"/>
    <x v="3"/>
    <x v="552"/>
    <x v="552"/>
    <x v="87"/>
    <x v="9"/>
    <n v="1"/>
  </r>
  <r>
    <x v="226"/>
    <x v="227"/>
    <s v="GCI"/>
    <x v="0"/>
    <x v="9"/>
    <x v="3"/>
    <x v="553"/>
    <x v="553"/>
    <x v="87"/>
    <x v="8"/>
    <n v="1"/>
  </r>
  <r>
    <x v="226"/>
    <x v="227"/>
    <s v="GCI"/>
    <x v="0"/>
    <x v="9"/>
    <x v="3"/>
    <x v="553"/>
    <x v="553"/>
    <x v="87"/>
    <x v="6"/>
    <n v="12"/>
  </r>
  <r>
    <x v="225"/>
    <x v="226"/>
    <s v="GCI"/>
    <x v="0"/>
    <x v="9"/>
    <x v="3"/>
    <x v="554"/>
    <x v="554"/>
    <x v="87"/>
    <x v="1"/>
    <n v="82"/>
  </r>
  <r>
    <x v="225"/>
    <x v="226"/>
    <s v="GCI"/>
    <x v="0"/>
    <x v="9"/>
    <x v="3"/>
    <x v="554"/>
    <x v="554"/>
    <x v="87"/>
    <x v="2"/>
    <n v="12"/>
  </r>
  <r>
    <x v="225"/>
    <x v="226"/>
    <s v="GCI"/>
    <x v="0"/>
    <x v="9"/>
    <x v="3"/>
    <x v="554"/>
    <x v="554"/>
    <x v="87"/>
    <x v="3"/>
    <n v="1"/>
  </r>
  <r>
    <x v="225"/>
    <x v="226"/>
    <s v="GCI"/>
    <x v="0"/>
    <x v="9"/>
    <x v="3"/>
    <x v="554"/>
    <x v="554"/>
    <x v="87"/>
    <x v="9"/>
    <n v="1"/>
  </r>
  <r>
    <x v="225"/>
    <x v="226"/>
    <s v="GCI"/>
    <x v="0"/>
    <x v="9"/>
    <x v="3"/>
    <x v="551"/>
    <x v="551"/>
    <x v="87"/>
    <x v="8"/>
    <n v="2"/>
  </r>
  <r>
    <x v="225"/>
    <x v="226"/>
    <s v="GCI"/>
    <x v="0"/>
    <x v="9"/>
    <x v="3"/>
    <x v="551"/>
    <x v="551"/>
    <x v="87"/>
    <x v="6"/>
    <n v="33"/>
  </r>
  <r>
    <x v="226"/>
    <x v="227"/>
    <s v="GCI"/>
    <x v="0"/>
    <x v="9"/>
    <x v="3"/>
    <x v="553"/>
    <x v="553"/>
    <x v="87"/>
    <x v="0"/>
    <n v="3000"/>
  </r>
  <r>
    <x v="226"/>
    <x v="227"/>
    <s v="GCI"/>
    <x v="0"/>
    <x v="9"/>
    <x v="3"/>
    <x v="553"/>
    <x v="553"/>
    <x v="87"/>
    <x v="7"/>
    <n v="3000"/>
  </r>
  <r>
    <x v="227"/>
    <x v="228"/>
    <s v="GCI"/>
    <x v="0"/>
    <x v="9"/>
    <x v="3"/>
    <x v="555"/>
    <x v="555"/>
    <x v="88"/>
    <x v="1"/>
    <n v="69"/>
  </r>
  <r>
    <x v="227"/>
    <x v="228"/>
    <s v="GCI"/>
    <x v="0"/>
    <x v="9"/>
    <x v="3"/>
    <x v="555"/>
    <x v="555"/>
    <x v="88"/>
    <x v="2"/>
    <n v="2"/>
  </r>
  <r>
    <x v="227"/>
    <x v="228"/>
    <s v="GCI"/>
    <x v="0"/>
    <x v="9"/>
    <x v="3"/>
    <x v="555"/>
    <x v="555"/>
    <x v="88"/>
    <x v="3"/>
    <n v="2"/>
  </r>
  <r>
    <x v="227"/>
    <x v="228"/>
    <s v="GCI"/>
    <x v="0"/>
    <x v="9"/>
    <x v="3"/>
    <x v="555"/>
    <x v="555"/>
    <x v="88"/>
    <x v="9"/>
    <n v="1"/>
  </r>
  <r>
    <x v="227"/>
    <x v="228"/>
    <s v="GCI"/>
    <x v="0"/>
    <x v="9"/>
    <x v="3"/>
    <x v="556"/>
    <x v="556"/>
    <x v="88"/>
    <x v="8"/>
    <n v="1"/>
  </r>
  <r>
    <x v="227"/>
    <x v="228"/>
    <s v="GCI"/>
    <x v="0"/>
    <x v="9"/>
    <x v="3"/>
    <x v="556"/>
    <x v="556"/>
    <x v="88"/>
    <x v="6"/>
    <n v="22"/>
  </r>
  <r>
    <x v="228"/>
    <x v="229"/>
    <s v="GCI"/>
    <x v="0"/>
    <x v="9"/>
    <x v="3"/>
    <x v="557"/>
    <x v="557"/>
    <x v="88"/>
    <x v="1"/>
    <n v="91"/>
  </r>
  <r>
    <x v="228"/>
    <x v="229"/>
    <s v="GCI"/>
    <x v="0"/>
    <x v="9"/>
    <x v="3"/>
    <x v="557"/>
    <x v="557"/>
    <x v="88"/>
    <x v="2"/>
    <n v="16"/>
  </r>
  <r>
    <x v="228"/>
    <x v="229"/>
    <s v="GCI"/>
    <x v="0"/>
    <x v="9"/>
    <x v="3"/>
    <x v="557"/>
    <x v="557"/>
    <x v="88"/>
    <x v="3"/>
    <n v="26"/>
  </r>
  <r>
    <x v="228"/>
    <x v="229"/>
    <s v="GCI"/>
    <x v="0"/>
    <x v="9"/>
    <x v="3"/>
    <x v="557"/>
    <x v="557"/>
    <x v="88"/>
    <x v="9"/>
    <n v="2"/>
  </r>
  <r>
    <x v="228"/>
    <x v="229"/>
    <s v="GCI"/>
    <x v="0"/>
    <x v="9"/>
    <x v="3"/>
    <x v="558"/>
    <x v="558"/>
    <x v="88"/>
    <x v="8"/>
    <n v="2"/>
  </r>
  <r>
    <x v="228"/>
    <x v="229"/>
    <s v="GCI"/>
    <x v="0"/>
    <x v="9"/>
    <x v="3"/>
    <x v="558"/>
    <x v="558"/>
    <x v="88"/>
    <x v="6"/>
    <n v="41"/>
  </r>
  <r>
    <x v="227"/>
    <x v="228"/>
    <s v="GCI"/>
    <x v="0"/>
    <x v="9"/>
    <x v="3"/>
    <x v="556"/>
    <x v="556"/>
    <x v="88"/>
    <x v="0"/>
    <n v="3000"/>
  </r>
  <r>
    <x v="228"/>
    <x v="229"/>
    <s v="GCI"/>
    <x v="0"/>
    <x v="9"/>
    <x v="3"/>
    <x v="558"/>
    <x v="558"/>
    <x v="88"/>
    <x v="0"/>
    <n v="3000"/>
  </r>
  <r>
    <x v="228"/>
    <x v="229"/>
    <s v="GCI"/>
    <x v="0"/>
    <x v="9"/>
    <x v="3"/>
    <x v="558"/>
    <x v="558"/>
    <x v="88"/>
    <x v="7"/>
    <n v="3000"/>
  </r>
  <r>
    <x v="229"/>
    <x v="230"/>
    <s v="GCI"/>
    <x v="0"/>
    <x v="9"/>
    <x v="3"/>
    <x v="559"/>
    <x v="559"/>
    <x v="40"/>
    <x v="8"/>
    <n v="1"/>
  </r>
  <r>
    <x v="229"/>
    <x v="230"/>
    <s v="GCI"/>
    <x v="0"/>
    <x v="9"/>
    <x v="3"/>
    <x v="559"/>
    <x v="559"/>
    <x v="40"/>
    <x v="6"/>
    <n v="7"/>
  </r>
  <r>
    <x v="229"/>
    <x v="230"/>
    <s v="GCI"/>
    <x v="0"/>
    <x v="9"/>
    <x v="3"/>
    <x v="559"/>
    <x v="559"/>
    <x v="40"/>
    <x v="5"/>
    <n v="3"/>
  </r>
  <r>
    <x v="230"/>
    <x v="231"/>
    <s v="GCI"/>
    <x v="0"/>
    <x v="0"/>
    <x v="3"/>
    <x v="560"/>
    <x v="560"/>
    <x v="40"/>
    <x v="0"/>
    <n v="3000"/>
  </r>
  <r>
    <x v="231"/>
    <x v="232"/>
    <s v="GCI"/>
    <x v="0"/>
    <x v="0"/>
    <x v="3"/>
    <x v="561"/>
    <x v="561"/>
    <x v="40"/>
    <x v="6"/>
    <n v="10"/>
  </r>
  <r>
    <x v="230"/>
    <x v="231"/>
    <s v="GCI"/>
    <x v="0"/>
    <x v="0"/>
    <x v="3"/>
    <x v="560"/>
    <x v="560"/>
    <x v="40"/>
    <x v="8"/>
    <n v="1"/>
  </r>
  <r>
    <x v="230"/>
    <x v="231"/>
    <s v="GCI"/>
    <x v="0"/>
    <x v="0"/>
    <x v="3"/>
    <x v="560"/>
    <x v="560"/>
    <x v="40"/>
    <x v="6"/>
    <n v="12"/>
  </r>
  <r>
    <x v="230"/>
    <x v="231"/>
    <s v="GCI"/>
    <x v="0"/>
    <x v="0"/>
    <x v="3"/>
    <x v="560"/>
    <x v="560"/>
    <x v="40"/>
    <x v="5"/>
    <n v="3"/>
  </r>
  <r>
    <x v="232"/>
    <x v="233"/>
    <s v="GCI"/>
    <x v="0"/>
    <x v="9"/>
    <x v="3"/>
    <x v="562"/>
    <x v="562"/>
    <x v="75"/>
    <x v="0"/>
    <n v="3000"/>
  </r>
  <r>
    <x v="233"/>
    <x v="234"/>
    <s v="GCI"/>
    <x v="0"/>
    <x v="9"/>
    <x v="3"/>
    <x v="563"/>
    <x v="563"/>
    <x v="75"/>
    <x v="7"/>
    <n v="3000"/>
  </r>
  <r>
    <x v="234"/>
    <x v="235"/>
    <s v="GCI"/>
    <x v="0"/>
    <x v="9"/>
    <x v="3"/>
    <x v="564"/>
    <x v="564"/>
    <x v="75"/>
    <x v="7"/>
    <n v="3000"/>
  </r>
  <r>
    <x v="235"/>
    <x v="236"/>
    <s v="GCI"/>
    <x v="0"/>
    <x v="9"/>
    <x v="3"/>
    <x v="565"/>
    <x v="565"/>
    <x v="75"/>
    <x v="0"/>
    <n v="6000"/>
  </r>
  <r>
    <x v="236"/>
    <x v="237"/>
    <s v="GCI"/>
    <x v="0"/>
    <x v="9"/>
    <x v="3"/>
    <x v="566"/>
    <x v="566"/>
    <x v="75"/>
    <x v="1"/>
    <n v="31"/>
  </r>
  <r>
    <x v="236"/>
    <x v="237"/>
    <s v="GCI"/>
    <x v="0"/>
    <x v="9"/>
    <x v="3"/>
    <x v="566"/>
    <x v="566"/>
    <x v="75"/>
    <x v="2"/>
    <n v="1"/>
  </r>
  <r>
    <x v="236"/>
    <x v="237"/>
    <s v="GCI"/>
    <x v="0"/>
    <x v="9"/>
    <x v="3"/>
    <x v="567"/>
    <x v="567"/>
    <x v="75"/>
    <x v="6"/>
    <n v="11"/>
  </r>
  <r>
    <x v="237"/>
    <x v="238"/>
    <s v="GCI"/>
    <x v="0"/>
    <x v="9"/>
    <x v="3"/>
    <x v="568"/>
    <x v="568"/>
    <x v="75"/>
    <x v="1"/>
    <n v="28"/>
  </r>
  <r>
    <x v="237"/>
    <x v="238"/>
    <s v="GCI"/>
    <x v="0"/>
    <x v="9"/>
    <x v="3"/>
    <x v="568"/>
    <x v="568"/>
    <x v="75"/>
    <x v="2"/>
    <n v="1"/>
  </r>
  <r>
    <x v="237"/>
    <x v="238"/>
    <s v="GCI"/>
    <x v="0"/>
    <x v="9"/>
    <x v="3"/>
    <x v="568"/>
    <x v="568"/>
    <x v="75"/>
    <x v="9"/>
    <n v="1"/>
  </r>
  <r>
    <x v="237"/>
    <x v="238"/>
    <s v="GCI"/>
    <x v="0"/>
    <x v="9"/>
    <x v="3"/>
    <x v="569"/>
    <x v="569"/>
    <x v="75"/>
    <x v="4"/>
    <n v="1"/>
  </r>
  <r>
    <x v="237"/>
    <x v="238"/>
    <s v="GCI"/>
    <x v="0"/>
    <x v="9"/>
    <x v="3"/>
    <x v="569"/>
    <x v="569"/>
    <x v="75"/>
    <x v="6"/>
    <n v="15"/>
  </r>
  <r>
    <x v="235"/>
    <x v="236"/>
    <s v="GCI"/>
    <x v="0"/>
    <x v="9"/>
    <x v="3"/>
    <x v="570"/>
    <x v="570"/>
    <x v="75"/>
    <x v="1"/>
    <n v="62"/>
  </r>
  <r>
    <x v="235"/>
    <x v="236"/>
    <s v="GCI"/>
    <x v="0"/>
    <x v="9"/>
    <x v="3"/>
    <x v="570"/>
    <x v="570"/>
    <x v="75"/>
    <x v="2"/>
    <n v="10"/>
  </r>
  <r>
    <x v="235"/>
    <x v="236"/>
    <s v="GCI"/>
    <x v="0"/>
    <x v="9"/>
    <x v="3"/>
    <x v="570"/>
    <x v="570"/>
    <x v="75"/>
    <x v="9"/>
    <n v="1"/>
  </r>
  <r>
    <x v="235"/>
    <x v="236"/>
    <s v="GCI"/>
    <x v="0"/>
    <x v="9"/>
    <x v="3"/>
    <x v="565"/>
    <x v="565"/>
    <x v="75"/>
    <x v="4"/>
    <n v="1"/>
  </r>
  <r>
    <x v="235"/>
    <x v="236"/>
    <s v="GCI"/>
    <x v="0"/>
    <x v="9"/>
    <x v="3"/>
    <x v="565"/>
    <x v="565"/>
    <x v="75"/>
    <x v="6"/>
    <n v="30"/>
  </r>
  <r>
    <x v="238"/>
    <x v="239"/>
    <s v="GCI"/>
    <x v="0"/>
    <x v="9"/>
    <x v="3"/>
    <x v="571"/>
    <x v="571"/>
    <x v="75"/>
    <x v="1"/>
    <n v="42"/>
  </r>
  <r>
    <x v="238"/>
    <x v="239"/>
    <s v="GCI"/>
    <x v="0"/>
    <x v="9"/>
    <x v="3"/>
    <x v="571"/>
    <x v="571"/>
    <x v="75"/>
    <x v="2"/>
    <n v="5"/>
  </r>
  <r>
    <x v="238"/>
    <x v="239"/>
    <s v="GCI"/>
    <x v="0"/>
    <x v="9"/>
    <x v="3"/>
    <x v="572"/>
    <x v="572"/>
    <x v="75"/>
    <x v="4"/>
    <n v="1"/>
  </r>
  <r>
    <x v="238"/>
    <x v="239"/>
    <s v="GCI"/>
    <x v="0"/>
    <x v="9"/>
    <x v="3"/>
    <x v="572"/>
    <x v="572"/>
    <x v="75"/>
    <x v="6"/>
    <n v="22"/>
  </r>
  <r>
    <x v="239"/>
    <x v="240"/>
    <s v="GCI"/>
    <x v="0"/>
    <x v="9"/>
    <x v="3"/>
    <x v="573"/>
    <x v="573"/>
    <x v="75"/>
    <x v="1"/>
    <n v="13"/>
  </r>
  <r>
    <x v="239"/>
    <x v="240"/>
    <s v="GCI"/>
    <x v="0"/>
    <x v="9"/>
    <x v="3"/>
    <x v="573"/>
    <x v="573"/>
    <x v="75"/>
    <x v="2"/>
    <n v="5"/>
  </r>
  <r>
    <x v="239"/>
    <x v="240"/>
    <s v="GCI"/>
    <x v="0"/>
    <x v="9"/>
    <x v="3"/>
    <x v="574"/>
    <x v="574"/>
    <x v="75"/>
    <x v="4"/>
    <n v="1"/>
  </r>
  <r>
    <x v="239"/>
    <x v="240"/>
    <s v="GCI"/>
    <x v="0"/>
    <x v="9"/>
    <x v="3"/>
    <x v="574"/>
    <x v="574"/>
    <x v="75"/>
    <x v="6"/>
    <n v="14"/>
  </r>
  <r>
    <x v="232"/>
    <x v="233"/>
    <s v="GCI"/>
    <x v="0"/>
    <x v="9"/>
    <x v="3"/>
    <x v="575"/>
    <x v="575"/>
    <x v="75"/>
    <x v="1"/>
    <n v="32"/>
  </r>
  <r>
    <x v="232"/>
    <x v="233"/>
    <s v="GCI"/>
    <x v="0"/>
    <x v="9"/>
    <x v="3"/>
    <x v="575"/>
    <x v="575"/>
    <x v="75"/>
    <x v="2"/>
    <n v="1"/>
  </r>
  <r>
    <x v="232"/>
    <x v="233"/>
    <s v="GCI"/>
    <x v="0"/>
    <x v="9"/>
    <x v="3"/>
    <x v="575"/>
    <x v="575"/>
    <x v="75"/>
    <x v="9"/>
    <n v="1"/>
  </r>
  <r>
    <x v="232"/>
    <x v="233"/>
    <s v="GCI"/>
    <x v="0"/>
    <x v="9"/>
    <x v="3"/>
    <x v="562"/>
    <x v="562"/>
    <x v="75"/>
    <x v="4"/>
    <n v="1"/>
  </r>
  <r>
    <x v="232"/>
    <x v="233"/>
    <s v="GCI"/>
    <x v="0"/>
    <x v="9"/>
    <x v="3"/>
    <x v="562"/>
    <x v="562"/>
    <x v="75"/>
    <x v="6"/>
    <n v="13"/>
  </r>
  <r>
    <x v="233"/>
    <x v="234"/>
    <s v="GCI"/>
    <x v="0"/>
    <x v="9"/>
    <x v="3"/>
    <x v="576"/>
    <x v="576"/>
    <x v="75"/>
    <x v="1"/>
    <n v="41"/>
  </r>
  <r>
    <x v="233"/>
    <x v="234"/>
    <s v="GCI"/>
    <x v="0"/>
    <x v="9"/>
    <x v="3"/>
    <x v="576"/>
    <x v="576"/>
    <x v="75"/>
    <x v="2"/>
    <n v="7"/>
  </r>
  <r>
    <x v="233"/>
    <x v="234"/>
    <s v="GCI"/>
    <x v="0"/>
    <x v="9"/>
    <x v="3"/>
    <x v="576"/>
    <x v="576"/>
    <x v="75"/>
    <x v="9"/>
    <n v="1"/>
  </r>
  <r>
    <x v="233"/>
    <x v="234"/>
    <s v="GCI"/>
    <x v="0"/>
    <x v="9"/>
    <x v="3"/>
    <x v="563"/>
    <x v="563"/>
    <x v="75"/>
    <x v="4"/>
    <n v="1"/>
  </r>
  <r>
    <x v="233"/>
    <x v="234"/>
    <s v="GCI"/>
    <x v="0"/>
    <x v="9"/>
    <x v="3"/>
    <x v="563"/>
    <x v="563"/>
    <x v="75"/>
    <x v="6"/>
    <n v="22"/>
  </r>
  <r>
    <x v="234"/>
    <x v="235"/>
    <s v="GCI"/>
    <x v="0"/>
    <x v="9"/>
    <x v="3"/>
    <x v="577"/>
    <x v="577"/>
    <x v="75"/>
    <x v="1"/>
    <n v="59"/>
  </r>
  <r>
    <x v="234"/>
    <x v="235"/>
    <s v="GCI"/>
    <x v="0"/>
    <x v="9"/>
    <x v="3"/>
    <x v="577"/>
    <x v="577"/>
    <x v="75"/>
    <x v="2"/>
    <n v="5"/>
  </r>
  <r>
    <x v="234"/>
    <x v="235"/>
    <s v="GCI"/>
    <x v="0"/>
    <x v="9"/>
    <x v="3"/>
    <x v="564"/>
    <x v="564"/>
    <x v="75"/>
    <x v="4"/>
    <n v="1"/>
  </r>
  <r>
    <x v="234"/>
    <x v="235"/>
    <s v="GCI"/>
    <x v="0"/>
    <x v="9"/>
    <x v="3"/>
    <x v="564"/>
    <x v="564"/>
    <x v="75"/>
    <x v="6"/>
    <n v="33"/>
  </r>
  <r>
    <x v="236"/>
    <x v="237"/>
    <s v="GCI"/>
    <x v="0"/>
    <x v="9"/>
    <x v="3"/>
    <x v="567"/>
    <x v="567"/>
    <x v="75"/>
    <x v="7"/>
    <n v="3000"/>
  </r>
  <r>
    <x v="238"/>
    <x v="239"/>
    <s v="GCI"/>
    <x v="0"/>
    <x v="9"/>
    <x v="3"/>
    <x v="572"/>
    <x v="572"/>
    <x v="75"/>
    <x v="0"/>
    <n v="3000"/>
  </r>
  <r>
    <x v="238"/>
    <x v="239"/>
    <s v="GCI"/>
    <x v="0"/>
    <x v="9"/>
    <x v="3"/>
    <x v="572"/>
    <x v="572"/>
    <x v="75"/>
    <x v="7"/>
    <n v="3000"/>
  </r>
  <r>
    <x v="239"/>
    <x v="240"/>
    <s v="GCI"/>
    <x v="0"/>
    <x v="9"/>
    <x v="3"/>
    <x v="574"/>
    <x v="574"/>
    <x v="75"/>
    <x v="0"/>
    <n v="3000"/>
  </r>
  <r>
    <x v="240"/>
    <x v="241"/>
    <s v="GCI"/>
    <x v="0"/>
    <x v="9"/>
    <x v="3"/>
    <x v="578"/>
    <x v="578"/>
    <x v="89"/>
    <x v="0"/>
    <n v="3000"/>
  </r>
  <r>
    <x v="241"/>
    <x v="242"/>
    <s v="GCI"/>
    <x v="0"/>
    <x v="9"/>
    <x v="3"/>
    <x v="579"/>
    <x v="579"/>
    <x v="89"/>
    <x v="0"/>
    <n v="3000"/>
  </r>
  <r>
    <x v="241"/>
    <x v="242"/>
    <s v="GCI"/>
    <x v="0"/>
    <x v="9"/>
    <x v="3"/>
    <x v="579"/>
    <x v="579"/>
    <x v="89"/>
    <x v="7"/>
    <n v="3000"/>
  </r>
  <r>
    <x v="240"/>
    <x v="241"/>
    <s v="GCI"/>
    <x v="0"/>
    <x v="9"/>
    <x v="3"/>
    <x v="580"/>
    <x v="580"/>
    <x v="89"/>
    <x v="1"/>
    <n v="57"/>
  </r>
  <r>
    <x v="240"/>
    <x v="241"/>
    <s v="GCI"/>
    <x v="0"/>
    <x v="9"/>
    <x v="3"/>
    <x v="580"/>
    <x v="580"/>
    <x v="89"/>
    <x v="2"/>
    <n v="5"/>
  </r>
  <r>
    <x v="240"/>
    <x v="241"/>
    <s v="GCI"/>
    <x v="0"/>
    <x v="9"/>
    <x v="3"/>
    <x v="580"/>
    <x v="580"/>
    <x v="89"/>
    <x v="3"/>
    <n v="2"/>
  </r>
  <r>
    <x v="240"/>
    <x v="241"/>
    <s v="GCI"/>
    <x v="0"/>
    <x v="9"/>
    <x v="3"/>
    <x v="580"/>
    <x v="580"/>
    <x v="89"/>
    <x v="9"/>
    <n v="1"/>
  </r>
  <r>
    <x v="240"/>
    <x v="241"/>
    <s v="GCI"/>
    <x v="0"/>
    <x v="9"/>
    <x v="3"/>
    <x v="578"/>
    <x v="578"/>
    <x v="89"/>
    <x v="4"/>
    <n v="2"/>
  </r>
  <r>
    <x v="240"/>
    <x v="241"/>
    <s v="GCI"/>
    <x v="0"/>
    <x v="9"/>
    <x v="3"/>
    <x v="578"/>
    <x v="578"/>
    <x v="89"/>
    <x v="6"/>
    <n v="17"/>
  </r>
  <r>
    <x v="241"/>
    <x v="242"/>
    <s v="GCI"/>
    <x v="0"/>
    <x v="9"/>
    <x v="3"/>
    <x v="581"/>
    <x v="581"/>
    <x v="89"/>
    <x v="1"/>
    <n v="33"/>
  </r>
  <r>
    <x v="241"/>
    <x v="242"/>
    <s v="GCI"/>
    <x v="0"/>
    <x v="9"/>
    <x v="3"/>
    <x v="581"/>
    <x v="581"/>
    <x v="89"/>
    <x v="2"/>
    <n v="5"/>
  </r>
  <r>
    <x v="241"/>
    <x v="242"/>
    <s v="GCI"/>
    <x v="0"/>
    <x v="9"/>
    <x v="3"/>
    <x v="579"/>
    <x v="579"/>
    <x v="89"/>
    <x v="4"/>
    <n v="1"/>
  </r>
  <r>
    <x v="241"/>
    <x v="242"/>
    <s v="GCI"/>
    <x v="0"/>
    <x v="9"/>
    <x v="3"/>
    <x v="579"/>
    <x v="579"/>
    <x v="89"/>
    <x v="6"/>
    <n v="15"/>
  </r>
  <r>
    <x v="242"/>
    <x v="243"/>
    <s v="GCI"/>
    <x v="0"/>
    <x v="9"/>
    <x v="3"/>
    <x v="582"/>
    <x v="582"/>
    <x v="89"/>
    <x v="1"/>
    <n v="16"/>
  </r>
  <r>
    <x v="242"/>
    <x v="243"/>
    <s v="GCI"/>
    <x v="0"/>
    <x v="9"/>
    <x v="3"/>
    <x v="582"/>
    <x v="582"/>
    <x v="89"/>
    <x v="2"/>
    <n v="5"/>
  </r>
  <r>
    <x v="242"/>
    <x v="243"/>
    <s v="GCI"/>
    <x v="0"/>
    <x v="9"/>
    <x v="3"/>
    <x v="583"/>
    <x v="583"/>
    <x v="89"/>
    <x v="6"/>
    <n v="7"/>
  </r>
  <r>
    <x v="243"/>
    <x v="244"/>
    <s v="GCI"/>
    <x v="0"/>
    <x v="5"/>
    <x v="3"/>
    <x v="584"/>
    <x v="584"/>
    <x v="89"/>
    <x v="3"/>
    <n v="2"/>
  </r>
  <r>
    <x v="244"/>
    <x v="245"/>
    <s v="GCI"/>
    <x v="0"/>
    <x v="5"/>
    <x v="3"/>
    <x v="585"/>
    <x v="585"/>
    <x v="89"/>
    <x v="3"/>
    <n v="1"/>
  </r>
  <r>
    <x v="245"/>
    <x v="246"/>
    <s v="GCI"/>
    <x v="0"/>
    <x v="5"/>
    <x v="3"/>
    <x v="586"/>
    <x v="586"/>
    <x v="89"/>
    <x v="3"/>
    <n v="1"/>
  </r>
  <r>
    <x v="246"/>
    <x v="247"/>
    <s v="GCI"/>
    <x v="0"/>
    <x v="9"/>
    <x v="3"/>
    <x v="587"/>
    <x v="587"/>
    <x v="44"/>
    <x v="0"/>
    <n v="3000"/>
  </r>
  <r>
    <x v="247"/>
    <x v="248"/>
    <s v="GCI"/>
    <x v="0"/>
    <x v="9"/>
    <x v="3"/>
    <x v="588"/>
    <x v="588"/>
    <x v="44"/>
    <x v="0"/>
    <n v="3000"/>
  </r>
  <r>
    <x v="248"/>
    <x v="249"/>
    <s v="GCI"/>
    <x v="0"/>
    <x v="9"/>
    <x v="3"/>
    <x v="589"/>
    <x v="589"/>
    <x v="44"/>
    <x v="7"/>
    <n v="6000"/>
  </r>
  <r>
    <x v="246"/>
    <x v="247"/>
    <s v="GCI"/>
    <x v="0"/>
    <x v="9"/>
    <x v="3"/>
    <x v="587"/>
    <x v="587"/>
    <x v="44"/>
    <x v="7"/>
    <n v="6000"/>
  </r>
  <r>
    <x v="248"/>
    <x v="249"/>
    <s v="GCI"/>
    <x v="0"/>
    <x v="9"/>
    <x v="3"/>
    <x v="590"/>
    <x v="590"/>
    <x v="44"/>
    <x v="1"/>
    <n v="91"/>
  </r>
  <r>
    <x v="248"/>
    <x v="249"/>
    <s v="GCI"/>
    <x v="0"/>
    <x v="9"/>
    <x v="3"/>
    <x v="590"/>
    <x v="590"/>
    <x v="44"/>
    <x v="2"/>
    <n v="12"/>
  </r>
  <r>
    <x v="248"/>
    <x v="249"/>
    <s v="GCI"/>
    <x v="0"/>
    <x v="9"/>
    <x v="3"/>
    <x v="589"/>
    <x v="589"/>
    <x v="44"/>
    <x v="4"/>
    <n v="1"/>
  </r>
  <r>
    <x v="248"/>
    <x v="249"/>
    <s v="GCI"/>
    <x v="0"/>
    <x v="9"/>
    <x v="3"/>
    <x v="589"/>
    <x v="589"/>
    <x v="44"/>
    <x v="6"/>
    <n v="30"/>
  </r>
  <r>
    <x v="246"/>
    <x v="247"/>
    <s v="GCI"/>
    <x v="0"/>
    <x v="9"/>
    <x v="3"/>
    <x v="591"/>
    <x v="591"/>
    <x v="44"/>
    <x v="1"/>
    <n v="136"/>
  </r>
  <r>
    <x v="246"/>
    <x v="247"/>
    <s v="GCI"/>
    <x v="0"/>
    <x v="9"/>
    <x v="3"/>
    <x v="591"/>
    <x v="591"/>
    <x v="44"/>
    <x v="2"/>
    <n v="20"/>
  </r>
  <r>
    <x v="246"/>
    <x v="247"/>
    <s v="GCI"/>
    <x v="0"/>
    <x v="9"/>
    <x v="3"/>
    <x v="591"/>
    <x v="591"/>
    <x v="44"/>
    <x v="9"/>
    <n v="1"/>
  </r>
  <r>
    <x v="246"/>
    <x v="247"/>
    <s v="GCI"/>
    <x v="0"/>
    <x v="9"/>
    <x v="3"/>
    <x v="587"/>
    <x v="587"/>
    <x v="44"/>
    <x v="4"/>
    <n v="1"/>
  </r>
  <r>
    <x v="246"/>
    <x v="247"/>
    <s v="GCI"/>
    <x v="0"/>
    <x v="9"/>
    <x v="3"/>
    <x v="587"/>
    <x v="587"/>
    <x v="44"/>
    <x v="6"/>
    <n v="32"/>
  </r>
  <r>
    <x v="247"/>
    <x v="248"/>
    <s v="GCI"/>
    <x v="0"/>
    <x v="9"/>
    <x v="3"/>
    <x v="592"/>
    <x v="592"/>
    <x v="44"/>
    <x v="1"/>
    <n v="68"/>
  </r>
  <r>
    <x v="247"/>
    <x v="248"/>
    <s v="GCI"/>
    <x v="0"/>
    <x v="9"/>
    <x v="3"/>
    <x v="592"/>
    <x v="592"/>
    <x v="44"/>
    <x v="2"/>
    <n v="12"/>
  </r>
  <r>
    <x v="247"/>
    <x v="248"/>
    <s v="GCI"/>
    <x v="0"/>
    <x v="9"/>
    <x v="3"/>
    <x v="592"/>
    <x v="592"/>
    <x v="44"/>
    <x v="9"/>
    <n v="1"/>
  </r>
  <r>
    <x v="247"/>
    <x v="248"/>
    <s v="GCI"/>
    <x v="0"/>
    <x v="9"/>
    <x v="3"/>
    <x v="588"/>
    <x v="588"/>
    <x v="44"/>
    <x v="4"/>
    <n v="1"/>
  </r>
  <r>
    <x v="247"/>
    <x v="248"/>
    <s v="GCI"/>
    <x v="0"/>
    <x v="9"/>
    <x v="3"/>
    <x v="588"/>
    <x v="588"/>
    <x v="44"/>
    <x v="6"/>
    <n v="19"/>
  </r>
  <r>
    <x v="249"/>
    <x v="250"/>
    <s v="GCI"/>
    <x v="0"/>
    <x v="6"/>
    <x v="3"/>
    <x v="593"/>
    <x v="593"/>
    <x v="90"/>
    <x v="3"/>
    <n v="2"/>
  </r>
  <r>
    <x v="250"/>
    <x v="251"/>
    <s v="GCI"/>
    <x v="0"/>
    <x v="4"/>
    <x v="3"/>
    <x v="594"/>
    <x v="594"/>
    <x v="90"/>
    <x v="3"/>
    <n v="2"/>
  </r>
  <r>
    <x v="251"/>
    <x v="252"/>
    <s v="GCI"/>
    <x v="0"/>
    <x v="3"/>
    <x v="3"/>
    <x v="595"/>
    <x v="595"/>
    <x v="90"/>
    <x v="3"/>
    <n v="8"/>
  </r>
  <r>
    <x v="252"/>
    <x v="253"/>
    <s v="GCI"/>
    <x v="0"/>
    <x v="9"/>
    <x v="3"/>
    <x v="596"/>
    <x v="596"/>
    <x v="91"/>
    <x v="0"/>
    <n v="3000"/>
  </r>
  <r>
    <x v="253"/>
    <x v="254"/>
    <s v="GCI"/>
    <x v="0"/>
    <x v="9"/>
    <x v="3"/>
    <x v="597"/>
    <x v="597"/>
    <x v="91"/>
    <x v="0"/>
    <n v="3000"/>
  </r>
  <r>
    <x v="254"/>
    <x v="255"/>
    <s v="GCI"/>
    <x v="0"/>
    <x v="9"/>
    <x v="3"/>
    <x v="598"/>
    <x v="598"/>
    <x v="91"/>
    <x v="7"/>
    <n v="6000"/>
  </r>
  <r>
    <x v="252"/>
    <x v="253"/>
    <s v="GCI"/>
    <x v="0"/>
    <x v="9"/>
    <x v="3"/>
    <x v="599"/>
    <x v="599"/>
    <x v="91"/>
    <x v="1"/>
    <n v="2"/>
  </r>
  <r>
    <x v="252"/>
    <x v="253"/>
    <s v="GCI"/>
    <x v="0"/>
    <x v="9"/>
    <x v="3"/>
    <x v="599"/>
    <x v="599"/>
    <x v="91"/>
    <x v="2"/>
    <n v="39"/>
  </r>
  <r>
    <x v="252"/>
    <x v="253"/>
    <s v="GCI"/>
    <x v="0"/>
    <x v="9"/>
    <x v="3"/>
    <x v="599"/>
    <x v="599"/>
    <x v="91"/>
    <x v="9"/>
    <n v="1"/>
  </r>
  <r>
    <x v="252"/>
    <x v="253"/>
    <s v="GCI"/>
    <x v="0"/>
    <x v="9"/>
    <x v="3"/>
    <x v="596"/>
    <x v="596"/>
    <x v="91"/>
    <x v="4"/>
    <n v="1"/>
  </r>
  <r>
    <x v="252"/>
    <x v="253"/>
    <s v="GCI"/>
    <x v="0"/>
    <x v="9"/>
    <x v="3"/>
    <x v="596"/>
    <x v="596"/>
    <x v="91"/>
    <x v="6"/>
    <n v="12"/>
  </r>
  <r>
    <x v="255"/>
    <x v="256"/>
    <s v="GCI"/>
    <x v="0"/>
    <x v="9"/>
    <x v="3"/>
    <x v="600"/>
    <x v="600"/>
    <x v="91"/>
    <x v="1"/>
    <n v="6"/>
  </r>
  <r>
    <x v="255"/>
    <x v="256"/>
    <s v="GCI"/>
    <x v="0"/>
    <x v="9"/>
    <x v="3"/>
    <x v="600"/>
    <x v="600"/>
    <x v="91"/>
    <x v="2"/>
    <n v="29"/>
  </r>
  <r>
    <x v="255"/>
    <x v="256"/>
    <s v="GCI"/>
    <x v="0"/>
    <x v="9"/>
    <x v="3"/>
    <x v="601"/>
    <x v="601"/>
    <x v="91"/>
    <x v="6"/>
    <n v="10"/>
  </r>
  <r>
    <x v="253"/>
    <x v="254"/>
    <s v="GCI"/>
    <x v="0"/>
    <x v="9"/>
    <x v="3"/>
    <x v="602"/>
    <x v="602"/>
    <x v="91"/>
    <x v="2"/>
    <n v="14"/>
  </r>
  <r>
    <x v="253"/>
    <x v="254"/>
    <s v="GCI"/>
    <x v="0"/>
    <x v="9"/>
    <x v="3"/>
    <x v="597"/>
    <x v="597"/>
    <x v="91"/>
    <x v="6"/>
    <n v="8"/>
  </r>
  <r>
    <x v="254"/>
    <x v="255"/>
    <s v="GCI"/>
    <x v="0"/>
    <x v="9"/>
    <x v="3"/>
    <x v="603"/>
    <x v="603"/>
    <x v="91"/>
    <x v="2"/>
    <n v="35"/>
  </r>
  <r>
    <x v="254"/>
    <x v="255"/>
    <s v="GCI"/>
    <x v="0"/>
    <x v="9"/>
    <x v="3"/>
    <x v="598"/>
    <x v="598"/>
    <x v="91"/>
    <x v="4"/>
    <n v="1"/>
  </r>
  <r>
    <x v="254"/>
    <x v="255"/>
    <s v="GCI"/>
    <x v="0"/>
    <x v="9"/>
    <x v="3"/>
    <x v="598"/>
    <x v="598"/>
    <x v="91"/>
    <x v="6"/>
    <n v="16"/>
  </r>
  <r>
    <x v="256"/>
    <x v="257"/>
    <s v="GCI"/>
    <x v="0"/>
    <x v="6"/>
    <x v="4"/>
    <x v="604"/>
    <x v="604"/>
    <x v="35"/>
    <x v="1"/>
    <n v="60"/>
  </r>
  <r>
    <x v="256"/>
    <x v="257"/>
    <s v="GCI"/>
    <x v="0"/>
    <x v="6"/>
    <x v="4"/>
    <x v="604"/>
    <x v="604"/>
    <x v="35"/>
    <x v="2"/>
    <n v="6"/>
  </r>
  <r>
    <x v="256"/>
    <x v="257"/>
    <s v="GCI"/>
    <x v="0"/>
    <x v="6"/>
    <x v="4"/>
    <x v="604"/>
    <x v="604"/>
    <x v="35"/>
    <x v="3"/>
    <n v="2"/>
  </r>
  <r>
    <x v="256"/>
    <x v="257"/>
    <s v="GCI"/>
    <x v="0"/>
    <x v="6"/>
    <x v="4"/>
    <x v="605"/>
    <x v="605"/>
    <x v="35"/>
    <x v="9"/>
    <n v="1"/>
  </r>
  <r>
    <x v="256"/>
    <x v="257"/>
    <s v="GCI"/>
    <x v="0"/>
    <x v="6"/>
    <x v="4"/>
    <x v="606"/>
    <x v="606"/>
    <x v="35"/>
    <x v="8"/>
    <n v="1"/>
  </r>
  <r>
    <x v="256"/>
    <x v="257"/>
    <s v="GCI"/>
    <x v="0"/>
    <x v="6"/>
    <x v="4"/>
    <x v="606"/>
    <x v="606"/>
    <x v="35"/>
    <x v="6"/>
    <n v="16"/>
  </r>
  <r>
    <x v="257"/>
    <x v="258"/>
    <s v="GCI"/>
    <x v="0"/>
    <x v="6"/>
    <x v="4"/>
    <x v="607"/>
    <x v="607"/>
    <x v="35"/>
    <x v="1"/>
    <n v="71"/>
  </r>
  <r>
    <x v="257"/>
    <x v="258"/>
    <s v="GCI"/>
    <x v="0"/>
    <x v="6"/>
    <x v="4"/>
    <x v="607"/>
    <x v="607"/>
    <x v="35"/>
    <x v="3"/>
    <n v="8"/>
  </r>
  <r>
    <x v="257"/>
    <x v="258"/>
    <s v="GCI"/>
    <x v="0"/>
    <x v="6"/>
    <x v="4"/>
    <x v="608"/>
    <x v="608"/>
    <x v="35"/>
    <x v="9"/>
    <n v="1"/>
  </r>
  <r>
    <x v="257"/>
    <x v="258"/>
    <s v="GCI"/>
    <x v="0"/>
    <x v="6"/>
    <x v="4"/>
    <x v="609"/>
    <x v="609"/>
    <x v="35"/>
    <x v="8"/>
    <n v="2"/>
  </r>
  <r>
    <x v="257"/>
    <x v="258"/>
    <s v="GCI"/>
    <x v="0"/>
    <x v="6"/>
    <x v="4"/>
    <x v="609"/>
    <x v="609"/>
    <x v="35"/>
    <x v="6"/>
    <n v="47"/>
  </r>
  <r>
    <x v="257"/>
    <x v="258"/>
    <s v="GCI"/>
    <x v="0"/>
    <x v="6"/>
    <x v="4"/>
    <x v="609"/>
    <x v="609"/>
    <x v="35"/>
    <x v="5"/>
    <n v="6"/>
  </r>
  <r>
    <x v="258"/>
    <x v="259"/>
    <s v="GCI"/>
    <x v="0"/>
    <x v="6"/>
    <x v="4"/>
    <x v="610"/>
    <x v="610"/>
    <x v="35"/>
    <x v="1"/>
    <n v="71"/>
  </r>
  <r>
    <x v="258"/>
    <x v="259"/>
    <s v="GCI"/>
    <x v="0"/>
    <x v="6"/>
    <x v="4"/>
    <x v="610"/>
    <x v="610"/>
    <x v="35"/>
    <x v="2"/>
    <n v="2"/>
  </r>
  <r>
    <x v="258"/>
    <x v="259"/>
    <s v="GCI"/>
    <x v="0"/>
    <x v="6"/>
    <x v="4"/>
    <x v="610"/>
    <x v="610"/>
    <x v="35"/>
    <x v="3"/>
    <n v="1"/>
  </r>
  <r>
    <x v="258"/>
    <x v="259"/>
    <s v="GCI"/>
    <x v="0"/>
    <x v="6"/>
    <x v="4"/>
    <x v="611"/>
    <x v="611"/>
    <x v="35"/>
    <x v="9"/>
    <n v="1"/>
  </r>
  <r>
    <x v="258"/>
    <x v="259"/>
    <s v="GCI"/>
    <x v="0"/>
    <x v="6"/>
    <x v="4"/>
    <x v="612"/>
    <x v="612"/>
    <x v="35"/>
    <x v="8"/>
    <n v="1"/>
  </r>
  <r>
    <x v="258"/>
    <x v="259"/>
    <s v="GCI"/>
    <x v="0"/>
    <x v="6"/>
    <x v="4"/>
    <x v="612"/>
    <x v="612"/>
    <x v="35"/>
    <x v="6"/>
    <n v="21"/>
  </r>
  <r>
    <x v="258"/>
    <x v="259"/>
    <s v="GCI"/>
    <x v="0"/>
    <x v="6"/>
    <x v="4"/>
    <x v="612"/>
    <x v="612"/>
    <x v="35"/>
    <x v="5"/>
    <n v="3"/>
  </r>
  <r>
    <x v="86"/>
    <x v="86"/>
    <s v="GCI"/>
    <x v="0"/>
    <x v="6"/>
    <x v="4"/>
    <x v="613"/>
    <x v="613"/>
    <x v="35"/>
    <x v="1"/>
    <n v="70"/>
  </r>
  <r>
    <x v="86"/>
    <x v="86"/>
    <s v="GCI"/>
    <x v="0"/>
    <x v="6"/>
    <x v="4"/>
    <x v="613"/>
    <x v="613"/>
    <x v="35"/>
    <x v="2"/>
    <n v="4"/>
  </r>
  <r>
    <x v="86"/>
    <x v="86"/>
    <s v="GCI"/>
    <x v="0"/>
    <x v="6"/>
    <x v="4"/>
    <x v="613"/>
    <x v="613"/>
    <x v="35"/>
    <x v="3"/>
    <n v="9"/>
  </r>
  <r>
    <x v="86"/>
    <x v="86"/>
    <s v="GCI"/>
    <x v="0"/>
    <x v="6"/>
    <x v="4"/>
    <x v="614"/>
    <x v="614"/>
    <x v="35"/>
    <x v="8"/>
    <n v="1"/>
  </r>
  <r>
    <x v="86"/>
    <x v="86"/>
    <s v="GCI"/>
    <x v="0"/>
    <x v="6"/>
    <x v="4"/>
    <x v="614"/>
    <x v="614"/>
    <x v="35"/>
    <x v="6"/>
    <n v="21"/>
  </r>
  <r>
    <x v="86"/>
    <x v="86"/>
    <s v="GCI"/>
    <x v="0"/>
    <x v="6"/>
    <x v="4"/>
    <x v="614"/>
    <x v="614"/>
    <x v="35"/>
    <x v="5"/>
    <n v="3"/>
  </r>
  <r>
    <x v="256"/>
    <x v="257"/>
    <s v="GCI"/>
    <x v="0"/>
    <x v="6"/>
    <x v="4"/>
    <x v="606"/>
    <x v="606"/>
    <x v="35"/>
    <x v="0"/>
    <n v="230"/>
  </r>
  <r>
    <x v="256"/>
    <x v="257"/>
    <s v="GCI"/>
    <x v="0"/>
    <x v="6"/>
    <x v="4"/>
    <x v="606"/>
    <x v="606"/>
    <x v="35"/>
    <x v="7"/>
    <n v="3000"/>
  </r>
  <r>
    <x v="257"/>
    <x v="258"/>
    <s v="GCI"/>
    <x v="0"/>
    <x v="6"/>
    <x v="4"/>
    <x v="609"/>
    <x v="609"/>
    <x v="35"/>
    <x v="0"/>
    <n v="3000"/>
  </r>
  <r>
    <x v="257"/>
    <x v="258"/>
    <s v="GCI"/>
    <x v="0"/>
    <x v="6"/>
    <x v="4"/>
    <x v="609"/>
    <x v="609"/>
    <x v="35"/>
    <x v="7"/>
    <n v="3000"/>
  </r>
  <r>
    <x v="258"/>
    <x v="259"/>
    <s v="GCI"/>
    <x v="0"/>
    <x v="6"/>
    <x v="4"/>
    <x v="612"/>
    <x v="612"/>
    <x v="35"/>
    <x v="7"/>
    <n v="3000"/>
  </r>
  <r>
    <x v="86"/>
    <x v="86"/>
    <s v="GCI"/>
    <x v="0"/>
    <x v="6"/>
    <x v="4"/>
    <x v="614"/>
    <x v="614"/>
    <x v="35"/>
    <x v="7"/>
    <n v="3000"/>
  </r>
  <r>
    <x v="256"/>
    <x v="257"/>
    <s v="GCI"/>
    <x v="0"/>
    <x v="6"/>
    <x v="4"/>
    <x v="615"/>
    <x v="615"/>
    <x v="38"/>
    <x v="0"/>
    <n v="3000"/>
  </r>
  <r>
    <x v="259"/>
    <x v="260"/>
    <s v="GCI"/>
    <x v="0"/>
    <x v="6"/>
    <x v="4"/>
    <x v="616"/>
    <x v="616"/>
    <x v="92"/>
    <x v="1"/>
    <n v="49"/>
  </r>
  <r>
    <x v="259"/>
    <x v="260"/>
    <s v="GCI"/>
    <x v="0"/>
    <x v="6"/>
    <x v="4"/>
    <x v="616"/>
    <x v="616"/>
    <x v="92"/>
    <x v="2"/>
    <n v="4"/>
  </r>
  <r>
    <x v="259"/>
    <x v="260"/>
    <s v="GCI"/>
    <x v="0"/>
    <x v="6"/>
    <x v="4"/>
    <x v="616"/>
    <x v="616"/>
    <x v="92"/>
    <x v="9"/>
    <n v="1"/>
  </r>
  <r>
    <x v="259"/>
    <x v="260"/>
    <s v="GCI"/>
    <x v="0"/>
    <x v="6"/>
    <x v="4"/>
    <x v="617"/>
    <x v="617"/>
    <x v="92"/>
    <x v="8"/>
    <n v="1"/>
  </r>
  <r>
    <x v="259"/>
    <x v="260"/>
    <s v="GCI"/>
    <x v="0"/>
    <x v="6"/>
    <x v="4"/>
    <x v="617"/>
    <x v="617"/>
    <x v="92"/>
    <x v="6"/>
    <n v="24"/>
  </r>
  <r>
    <x v="260"/>
    <x v="261"/>
    <s v="GCI"/>
    <x v="0"/>
    <x v="6"/>
    <x v="4"/>
    <x v="618"/>
    <x v="618"/>
    <x v="92"/>
    <x v="1"/>
    <n v="24"/>
  </r>
  <r>
    <x v="260"/>
    <x v="261"/>
    <s v="GCI"/>
    <x v="0"/>
    <x v="6"/>
    <x v="4"/>
    <x v="618"/>
    <x v="618"/>
    <x v="92"/>
    <x v="2"/>
    <n v="5"/>
  </r>
  <r>
    <x v="260"/>
    <x v="261"/>
    <s v="GCI"/>
    <x v="0"/>
    <x v="6"/>
    <x v="4"/>
    <x v="619"/>
    <x v="619"/>
    <x v="92"/>
    <x v="8"/>
    <n v="1"/>
  </r>
  <r>
    <x v="260"/>
    <x v="261"/>
    <s v="GCI"/>
    <x v="0"/>
    <x v="6"/>
    <x v="4"/>
    <x v="619"/>
    <x v="619"/>
    <x v="92"/>
    <x v="6"/>
    <n v="15"/>
  </r>
  <r>
    <x v="261"/>
    <x v="262"/>
    <s v="GCI"/>
    <x v="0"/>
    <x v="6"/>
    <x v="4"/>
    <x v="620"/>
    <x v="620"/>
    <x v="92"/>
    <x v="1"/>
    <n v="47"/>
  </r>
  <r>
    <x v="261"/>
    <x v="262"/>
    <s v="GCI"/>
    <x v="0"/>
    <x v="6"/>
    <x v="4"/>
    <x v="620"/>
    <x v="620"/>
    <x v="92"/>
    <x v="2"/>
    <n v="3"/>
  </r>
  <r>
    <x v="261"/>
    <x v="262"/>
    <s v="GCI"/>
    <x v="0"/>
    <x v="6"/>
    <x v="4"/>
    <x v="621"/>
    <x v="621"/>
    <x v="92"/>
    <x v="8"/>
    <n v="1"/>
  </r>
  <r>
    <x v="261"/>
    <x v="262"/>
    <s v="GCI"/>
    <x v="0"/>
    <x v="6"/>
    <x v="4"/>
    <x v="621"/>
    <x v="621"/>
    <x v="92"/>
    <x v="6"/>
    <n v="16"/>
  </r>
  <r>
    <x v="262"/>
    <x v="263"/>
    <s v="GCI"/>
    <x v="0"/>
    <x v="6"/>
    <x v="4"/>
    <x v="622"/>
    <x v="622"/>
    <x v="92"/>
    <x v="1"/>
    <n v="23"/>
  </r>
  <r>
    <x v="262"/>
    <x v="263"/>
    <s v="GCI"/>
    <x v="0"/>
    <x v="6"/>
    <x v="4"/>
    <x v="622"/>
    <x v="622"/>
    <x v="92"/>
    <x v="2"/>
    <n v="4"/>
  </r>
  <r>
    <x v="262"/>
    <x v="263"/>
    <s v="GCI"/>
    <x v="0"/>
    <x v="6"/>
    <x v="4"/>
    <x v="623"/>
    <x v="623"/>
    <x v="92"/>
    <x v="8"/>
    <n v="1"/>
  </r>
  <r>
    <x v="262"/>
    <x v="263"/>
    <s v="GCI"/>
    <x v="0"/>
    <x v="6"/>
    <x v="4"/>
    <x v="623"/>
    <x v="623"/>
    <x v="92"/>
    <x v="6"/>
    <n v="15"/>
  </r>
  <r>
    <x v="259"/>
    <x v="260"/>
    <s v="GCI"/>
    <x v="0"/>
    <x v="6"/>
    <x v="4"/>
    <x v="617"/>
    <x v="617"/>
    <x v="92"/>
    <x v="7"/>
    <n v="3000"/>
  </r>
  <r>
    <x v="260"/>
    <x v="261"/>
    <s v="GCI"/>
    <x v="0"/>
    <x v="6"/>
    <x v="4"/>
    <x v="619"/>
    <x v="619"/>
    <x v="92"/>
    <x v="0"/>
    <n v="3000"/>
  </r>
  <r>
    <x v="261"/>
    <x v="262"/>
    <s v="GCI"/>
    <x v="0"/>
    <x v="6"/>
    <x v="4"/>
    <x v="621"/>
    <x v="621"/>
    <x v="92"/>
    <x v="0"/>
    <n v="3000"/>
  </r>
  <r>
    <x v="179"/>
    <x v="180"/>
    <s v="GCI"/>
    <x v="0"/>
    <x v="4"/>
    <x v="4"/>
    <x v="624"/>
    <x v="624"/>
    <x v="93"/>
    <x v="7"/>
    <n v="3000"/>
  </r>
  <r>
    <x v="263"/>
    <x v="264"/>
    <s v="GCI"/>
    <x v="0"/>
    <x v="4"/>
    <x v="4"/>
    <x v="625"/>
    <x v="625"/>
    <x v="93"/>
    <x v="7"/>
    <n v="3000"/>
  </r>
  <r>
    <x v="264"/>
    <x v="265"/>
    <s v="GCI"/>
    <x v="0"/>
    <x v="4"/>
    <x v="4"/>
    <x v="626"/>
    <x v="626"/>
    <x v="93"/>
    <x v="1"/>
    <n v="97"/>
  </r>
  <r>
    <x v="264"/>
    <x v="265"/>
    <s v="GCI"/>
    <x v="0"/>
    <x v="4"/>
    <x v="4"/>
    <x v="626"/>
    <x v="626"/>
    <x v="93"/>
    <x v="2"/>
    <n v="4"/>
  </r>
  <r>
    <x v="179"/>
    <x v="180"/>
    <s v="GCI"/>
    <x v="0"/>
    <x v="4"/>
    <x v="4"/>
    <x v="627"/>
    <x v="627"/>
    <x v="93"/>
    <x v="1"/>
    <n v="26"/>
  </r>
  <r>
    <x v="179"/>
    <x v="180"/>
    <s v="GCI"/>
    <x v="0"/>
    <x v="4"/>
    <x v="4"/>
    <x v="627"/>
    <x v="627"/>
    <x v="93"/>
    <x v="2"/>
    <n v="2"/>
  </r>
  <r>
    <x v="179"/>
    <x v="180"/>
    <s v="GCI"/>
    <x v="0"/>
    <x v="4"/>
    <x v="4"/>
    <x v="627"/>
    <x v="627"/>
    <x v="93"/>
    <x v="9"/>
    <n v="1"/>
  </r>
  <r>
    <x v="179"/>
    <x v="180"/>
    <s v="GCI"/>
    <x v="0"/>
    <x v="4"/>
    <x v="4"/>
    <x v="624"/>
    <x v="624"/>
    <x v="93"/>
    <x v="8"/>
    <n v="1"/>
  </r>
  <r>
    <x v="179"/>
    <x v="180"/>
    <s v="GCI"/>
    <x v="0"/>
    <x v="4"/>
    <x v="4"/>
    <x v="624"/>
    <x v="624"/>
    <x v="93"/>
    <x v="6"/>
    <n v="13"/>
  </r>
  <r>
    <x v="179"/>
    <x v="180"/>
    <s v="GCI"/>
    <x v="0"/>
    <x v="4"/>
    <x v="4"/>
    <x v="624"/>
    <x v="624"/>
    <x v="93"/>
    <x v="5"/>
    <n v="3"/>
  </r>
  <r>
    <x v="263"/>
    <x v="264"/>
    <s v="GCI"/>
    <x v="0"/>
    <x v="4"/>
    <x v="4"/>
    <x v="628"/>
    <x v="628"/>
    <x v="93"/>
    <x v="1"/>
    <n v="26"/>
  </r>
  <r>
    <x v="263"/>
    <x v="264"/>
    <s v="GCI"/>
    <x v="0"/>
    <x v="4"/>
    <x v="4"/>
    <x v="628"/>
    <x v="628"/>
    <x v="93"/>
    <x v="2"/>
    <n v="3"/>
  </r>
  <r>
    <x v="263"/>
    <x v="264"/>
    <s v="GCI"/>
    <x v="0"/>
    <x v="4"/>
    <x v="4"/>
    <x v="625"/>
    <x v="625"/>
    <x v="93"/>
    <x v="6"/>
    <n v="11"/>
  </r>
  <r>
    <x v="265"/>
    <x v="266"/>
    <s v="GCI"/>
    <x v="0"/>
    <x v="6"/>
    <x v="4"/>
    <x v="629"/>
    <x v="629"/>
    <x v="94"/>
    <x v="7"/>
    <n v="3000"/>
  </r>
  <r>
    <x v="265"/>
    <x v="266"/>
    <s v="GCI"/>
    <x v="0"/>
    <x v="6"/>
    <x v="4"/>
    <x v="630"/>
    <x v="630"/>
    <x v="94"/>
    <x v="1"/>
    <n v="130"/>
  </r>
  <r>
    <x v="265"/>
    <x v="266"/>
    <s v="GCI"/>
    <x v="0"/>
    <x v="6"/>
    <x v="4"/>
    <x v="630"/>
    <x v="630"/>
    <x v="94"/>
    <x v="2"/>
    <n v="22"/>
  </r>
  <r>
    <x v="265"/>
    <x v="266"/>
    <s v="GCI"/>
    <x v="0"/>
    <x v="6"/>
    <x v="4"/>
    <x v="629"/>
    <x v="629"/>
    <x v="94"/>
    <x v="8"/>
    <n v="4"/>
  </r>
  <r>
    <x v="265"/>
    <x v="266"/>
    <s v="GCI"/>
    <x v="0"/>
    <x v="6"/>
    <x v="4"/>
    <x v="629"/>
    <x v="629"/>
    <x v="94"/>
    <x v="6"/>
    <n v="70"/>
  </r>
  <r>
    <x v="265"/>
    <x v="266"/>
    <s v="GCI"/>
    <x v="0"/>
    <x v="6"/>
    <x v="4"/>
    <x v="629"/>
    <x v="629"/>
    <x v="94"/>
    <x v="0"/>
    <n v="6000"/>
  </r>
  <r>
    <x v="266"/>
    <x v="267"/>
    <s v="GCI"/>
    <x v="0"/>
    <x v="6"/>
    <x v="4"/>
    <x v="631"/>
    <x v="631"/>
    <x v="95"/>
    <x v="1"/>
    <n v="148"/>
  </r>
  <r>
    <x v="266"/>
    <x v="267"/>
    <s v="GCI"/>
    <x v="0"/>
    <x v="6"/>
    <x v="4"/>
    <x v="631"/>
    <x v="631"/>
    <x v="95"/>
    <x v="2"/>
    <n v="13"/>
  </r>
  <r>
    <x v="266"/>
    <x v="267"/>
    <s v="GCI"/>
    <x v="0"/>
    <x v="6"/>
    <x v="4"/>
    <x v="631"/>
    <x v="631"/>
    <x v="95"/>
    <x v="9"/>
    <n v="1"/>
  </r>
  <r>
    <x v="266"/>
    <x v="267"/>
    <s v="GCI"/>
    <x v="0"/>
    <x v="6"/>
    <x v="4"/>
    <x v="632"/>
    <x v="632"/>
    <x v="95"/>
    <x v="8"/>
    <n v="3"/>
  </r>
  <r>
    <x v="266"/>
    <x v="267"/>
    <s v="GCI"/>
    <x v="0"/>
    <x v="6"/>
    <x v="4"/>
    <x v="632"/>
    <x v="632"/>
    <x v="95"/>
    <x v="6"/>
    <n v="49"/>
  </r>
  <r>
    <x v="266"/>
    <x v="267"/>
    <s v="GCI"/>
    <x v="0"/>
    <x v="6"/>
    <x v="4"/>
    <x v="633"/>
    <x v="633"/>
    <x v="95"/>
    <x v="3"/>
    <n v="2"/>
  </r>
  <r>
    <x v="266"/>
    <x v="267"/>
    <s v="GCI"/>
    <x v="0"/>
    <x v="6"/>
    <x v="4"/>
    <x v="634"/>
    <x v="634"/>
    <x v="95"/>
    <x v="5"/>
    <n v="5"/>
  </r>
  <r>
    <x v="266"/>
    <x v="267"/>
    <s v="GCI"/>
    <x v="0"/>
    <x v="6"/>
    <x v="4"/>
    <x v="632"/>
    <x v="632"/>
    <x v="95"/>
    <x v="0"/>
    <n v="6000"/>
  </r>
  <r>
    <x v="266"/>
    <x v="267"/>
    <s v="GCI"/>
    <x v="0"/>
    <x v="6"/>
    <x v="4"/>
    <x v="632"/>
    <x v="632"/>
    <x v="95"/>
    <x v="7"/>
    <n v="6000"/>
  </r>
  <r>
    <x v="267"/>
    <x v="268"/>
    <s v="GCI"/>
    <x v="0"/>
    <x v="6"/>
    <x v="4"/>
    <x v="635"/>
    <x v="635"/>
    <x v="96"/>
    <x v="0"/>
    <n v="3000"/>
  </r>
  <r>
    <x v="267"/>
    <x v="268"/>
    <s v="GCI"/>
    <x v="0"/>
    <x v="6"/>
    <x v="4"/>
    <x v="636"/>
    <x v="636"/>
    <x v="96"/>
    <x v="1"/>
    <n v="181"/>
  </r>
  <r>
    <x v="267"/>
    <x v="268"/>
    <s v="GCI"/>
    <x v="0"/>
    <x v="6"/>
    <x v="4"/>
    <x v="636"/>
    <x v="636"/>
    <x v="96"/>
    <x v="2"/>
    <n v="21"/>
  </r>
  <r>
    <x v="267"/>
    <x v="268"/>
    <s v="GCI"/>
    <x v="0"/>
    <x v="6"/>
    <x v="4"/>
    <x v="635"/>
    <x v="635"/>
    <x v="96"/>
    <x v="4"/>
    <n v="1"/>
  </r>
  <r>
    <x v="267"/>
    <x v="268"/>
    <s v="GCI"/>
    <x v="0"/>
    <x v="6"/>
    <x v="4"/>
    <x v="635"/>
    <x v="635"/>
    <x v="96"/>
    <x v="6"/>
    <n v="63"/>
  </r>
  <r>
    <x v="267"/>
    <x v="268"/>
    <s v="GCI"/>
    <x v="0"/>
    <x v="6"/>
    <x v="4"/>
    <x v="635"/>
    <x v="635"/>
    <x v="96"/>
    <x v="7"/>
    <n v="9000"/>
  </r>
  <r>
    <x v="268"/>
    <x v="269"/>
    <s v="GCI"/>
    <x v="0"/>
    <x v="6"/>
    <x v="4"/>
    <x v="637"/>
    <x v="637"/>
    <x v="97"/>
    <x v="1"/>
    <n v="89"/>
  </r>
  <r>
    <x v="268"/>
    <x v="269"/>
    <s v="GCI"/>
    <x v="0"/>
    <x v="6"/>
    <x v="4"/>
    <x v="637"/>
    <x v="637"/>
    <x v="97"/>
    <x v="2"/>
    <n v="7"/>
  </r>
  <r>
    <x v="268"/>
    <x v="269"/>
    <s v="GCI"/>
    <x v="0"/>
    <x v="6"/>
    <x v="4"/>
    <x v="637"/>
    <x v="637"/>
    <x v="97"/>
    <x v="9"/>
    <n v="1"/>
  </r>
  <r>
    <x v="268"/>
    <x v="269"/>
    <s v="GCI"/>
    <x v="0"/>
    <x v="6"/>
    <x v="4"/>
    <x v="638"/>
    <x v="638"/>
    <x v="97"/>
    <x v="4"/>
    <n v="1"/>
  </r>
  <r>
    <x v="268"/>
    <x v="269"/>
    <s v="GCI"/>
    <x v="0"/>
    <x v="6"/>
    <x v="4"/>
    <x v="638"/>
    <x v="638"/>
    <x v="97"/>
    <x v="6"/>
    <n v="29"/>
  </r>
  <r>
    <x v="268"/>
    <x v="269"/>
    <s v="GCI"/>
    <x v="0"/>
    <x v="6"/>
    <x v="4"/>
    <x v="638"/>
    <x v="638"/>
    <x v="97"/>
    <x v="7"/>
    <n v="6000"/>
  </r>
  <r>
    <x v="269"/>
    <x v="270"/>
    <s v="GCI"/>
    <x v="0"/>
    <x v="6"/>
    <x v="4"/>
    <x v="639"/>
    <x v="639"/>
    <x v="98"/>
    <x v="10"/>
    <n v="6000"/>
  </r>
  <r>
    <x v="269"/>
    <x v="270"/>
    <s v="GCI"/>
    <x v="0"/>
    <x v="6"/>
    <x v="4"/>
    <x v="640"/>
    <x v="640"/>
    <x v="98"/>
    <x v="1"/>
    <n v="92"/>
  </r>
  <r>
    <x v="269"/>
    <x v="270"/>
    <s v="GCI"/>
    <x v="0"/>
    <x v="6"/>
    <x v="4"/>
    <x v="640"/>
    <x v="640"/>
    <x v="98"/>
    <x v="3"/>
    <n v="4"/>
  </r>
  <r>
    <x v="269"/>
    <x v="270"/>
    <s v="GCI"/>
    <x v="0"/>
    <x v="6"/>
    <x v="4"/>
    <x v="640"/>
    <x v="640"/>
    <x v="98"/>
    <x v="9"/>
    <n v="2"/>
  </r>
  <r>
    <x v="186"/>
    <x v="187"/>
    <s v="GCI"/>
    <x v="0"/>
    <x v="8"/>
    <x v="4"/>
    <x v="641"/>
    <x v="641"/>
    <x v="98"/>
    <x v="9"/>
    <n v="1"/>
  </r>
  <r>
    <x v="265"/>
    <x v="266"/>
    <s v="GCI"/>
    <x v="0"/>
    <x v="6"/>
    <x v="4"/>
    <x v="642"/>
    <x v="642"/>
    <x v="43"/>
    <x v="0"/>
    <n v="3000"/>
  </r>
  <r>
    <x v="265"/>
    <x v="266"/>
    <s v="GCI"/>
    <x v="0"/>
    <x v="6"/>
    <x v="4"/>
    <x v="642"/>
    <x v="642"/>
    <x v="43"/>
    <x v="7"/>
    <n v="3000"/>
  </r>
  <r>
    <x v="270"/>
    <x v="271"/>
    <s v="GCI"/>
    <x v="0"/>
    <x v="6"/>
    <x v="4"/>
    <x v="643"/>
    <x v="643"/>
    <x v="43"/>
    <x v="7"/>
    <n v="6000"/>
  </r>
  <r>
    <x v="267"/>
    <x v="268"/>
    <s v="GCI"/>
    <x v="0"/>
    <x v="6"/>
    <x v="4"/>
    <x v="644"/>
    <x v="644"/>
    <x v="43"/>
    <x v="7"/>
    <n v="6000"/>
  </r>
  <r>
    <x v="270"/>
    <x v="271"/>
    <s v="GCI"/>
    <x v="0"/>
    <x v="6"/>
    <x v="4"/>
    <x v="645"/>
    <x v="645"/>
    <x v="43"/>
    <x v="1"/>
    <n v="49"/>
  </r>
  <r>
    <x v="270"/>
    <x v="271"/>
    <s v="GCI"/>
    <x v="0"/>
    <x v="6"/>
    <x v="4"/>
    <x v="645"/>
    <x v="645"/>
    <x v="43"/>
    <x v="9"/>
    <n v="4"/>
  </r>
  <r>
    <x v="265"/>
    <x v="266"/>
    <s v="GCI"/>
    <x v="0"/>
    <x v="6"/>
    <x v="4"/>
    <x v="646"/>
    <x v="646"/>
    <x v="43"/>
    <x v="1"/>
    <n v="39"/>
  </r>
  <r>
    <x v="267"/>
    <x v="268"/>
    <s v="GCI"/>
    <x v="0"/>
    <x v="6"/>
    <x v="4"/>
    <x v="647"/>
    <x v="647"/>
    <x v="43"/>
    <x v="1"/>
    <n v="38"/>
  </r>
  <r>
    <x v="267"/>
    <x v="268"/>
    <s v="GCI"/>
    <x v="0"/>
    <x v="6"/>
    <x v="4"/>
    <x v="644"/>
    <x v="644"/>
    <x v="43"/>
    <x v="8"/>
    <n v="2"/>
  </r>
  <r>
    <x v="269"/>
    <x v="270"/>
    <s v="GCI"/>
    <x v="0"/>
    <x v="6"/>
    <x v="4"/>
    <x v="648"/>
    <x v="648"/>
    <x v="43"/>
    <x v="10"/>
    <n v="3000"/>
  </r>
  <r>
    <x v="271"/>
    <x v="272"/>
    <s v="GCI"/>
    <x v="0"/>
    <x v="6"/>
    <x v="4"/>
    <x v="649"/>
    <x v="649"/>
    <x v="44"/>
    <x v="0"/>
    <n v="3000"/>
  </r>
  <r>
    <x v="249"/>
    <x v="250"/>
    <s v="GCI"/>
    <x v="0"/>
    <x v="6"/>
    <x v="4"/>
    <x v="650"/>
    <x v="650"/>
    <x v="44"/>
    <x v="0"/>
    <n v="3000"/>
  </r>
  <r>
    <x v="271"/>
    <x v="272"/>
    <s v="GCI"/>
    <x v="0"/>
    <x v="6"/>
    <x v="4"/>
    <x v="649"/>
    <x v="649"/>
    <x v="44"/>
    <x v="7"/>
    <n v="6000"/>
  </r>
  <r>
    <x v="267"/>
    <x v="268"/>
    <s v="GCI"/>
    <x v="0"/>
    <x v="6"/>
    <x v="4"/>
    <x v="651"/>
    <x v="651"/>
    <x v="44"/>
    <x v="9"/>
    <n v="2"/>
  </r>
  <r>
    <x v="265"/>
    <x v="266"/>
    <s v="GCI"/>
    <x v="0"/>
    <x v="6"/>
    <x v="4"/>
    <x v="652"/>
    <x v="652"/>
    <x v="44"/>
    <x v="9"/>
    <n v="4"/>
  </r>
  <r>
    <x v="271"/>
    <x v="272"/>
    <s v="GCI"/>
    <x v="0"/>
    <x v="6"/>
    <x v="4"/>
    <x v="653"/>
    <x v="653"/>
    <x v="44"/>
    <x v="1"/>
    <n v="69"/>
  </r>
  <r>
    <x v="271"/>
    <x v="272"/>
    <s v="GCI"/>
    <x v="0"/>
    <x v="6"/>
    <x v="4"/>
    <x v="653"/>
    <x v="653"/>
    <x v="44"/>
    <x v="2"/>
    <n v="7"/>
  </r>
  <r>
    <x v="271"/>
    <x v="272"/>
    <s v="GCI"/>
    <x v="0"/>
    <x v="6"/>
    <x v="4"/>
    <x v="653"/>
    <x v="653"/>
    <x v="44"/>
    <x v="9"/>
    <n v="2"/>
  </r>
  <r>
    <x v="271"/>
    <x v="272"/>
    <s v="GCI"/>
    <x v="0"/>
    <x v="6"/>
    <x v="4"/>
    <x v="649"/>
    <x v="649"/>
    <x v="44"/>
    <x v="8"/>
    <n v="2"/>
  </r>
  <r>
    <x v="271"/>
    <x v="272"/>
    <s v="GCI"/>
    <x v="0"/>
    <x v="6"/>
    <x v="4"/>
    <x v="649"/>
    <x v="649"/>
    <x v="44"/>
    <x v="6"/>
    <n v="42"/>
  </r>
  <r>
    <x v="249"/>
    <x v="250"/>
    <s v="GCI"/>
    <x v="0"/>
    <x v="6"/>
    <x v="4"/>
    <x v="654"/>
    <x v="654"/>
    <x v="44"/>
    <x v="1"/>
    <n v="46"/>
  </r>
  <r>
    <x v="249"/>
    <x v="250"/>
    <s v="GCI"/>
    <x v="0"/>
    <x v="6"/>
    <x v="4"/>
    <x v="654"/>
    <x v="654"/>
    <x v="44"/>
    <x v="2"/>
    <n v="10"/>
  </r>
  <r>
    <x v="249"/>
    <x v="250"/>
    <s v="GCI"/>
    <x v="0"/>
    <x v="6"/>
    <x v="4"/>
    <x v="654"/>
    <x v="654"/>
    <x v="44"/>
    <x v="9"/>
    <n v="1"/>
  </r>
  <r>
    <x v="249"/>
    <x v="250"/>
    <s v="GCI"/>
    <x v="0"/>
    <x v="6"/>
    <x v="4"/>
    <x v="650"/>
    <x v="650"/>
    <x v="44"/>
    <x v="8"/>
    <n v="1"/>
  </r>
  <r>
    <x v="249"/>
    <x v="250"/>
    <s v="GCI"/>
    <x v="0"/>
    <x v="6"/>
    <x v="4"/>
    <x v="650"/>
    <x v="650"/>
    <x v="44"/>
    <x v="4"/>
    <n v="1"/>
  </r>
  <r>
    <x v="249"/>
    <x v="250"/>
    <s v="GCI"/>
    <x v="0"/>
    <x v="6"/>
    <x v="4"/>
    <x v="650"/>
    <x v="650"/>
    <x v="44"/>
    <x v="6"/>
    <n v="24"/>
  </r>
  <r>
    <x v="272"/>
    <x v="273"/>
    <s v="GCI"/>
    <x v="0"/>
    <x v="6"/>
    <x v="4"/>
    <x v="655"/>
    <x v="655"/>
    <x v="99"/>
    <x v="0"/>
    <n v="3000"/>
  </r>
  <r>
    <x v="272"/>
    <x v="273"/>
    <s v="GCI"/>
    <x v="0"/>
    <x v="6"/>
    <x v="4"/>
    <x v="655"/>
    <x v="655"/>
    <x v="99"/>
    <x v="7"/>
    <n v="6000"/>
  </r>
  <r>
    <x v="272"/>
    <x v="273"/>
    <s v="GCI"/>
    <x v="0"/>
    <x v="6"/>
    <x v="4"/>
    <x v="656"/>
    <x v="656"/>
    <x v="99"/>
    <x v="1"/>
    <n v="180"/>
  </r>
  <r>
    <x v="272"/>
    <x v="273"/>
    <s v="GCI"/>
    <x v="0"/>
    <x v="6"/>
    <x v="4"/>
    <x v="656"/>
    <x v="656"/>
    <x v="99"/>
    <x v="2"/>
    <n v="29"/>
  </r>
  <r>
    <x v="272"/>
    <x v="273"/>
    <s v="GCI"/>
    <x v="0"/>
    <x v="6"/>
    <x v="4"/>
    <x v="656"/>
    <x v="656"/>
    <x v="99"/>
    <x v="9"/>
    <n v="2"/>
  </r>
  <r>
    <x v="272"/>
    <x v="273"/>
    <s v="GCI"/>
    <x v="0"/>
    <x v="6"/>
    <x v="4"/>
    <x v="655"/>
    <x v="655"/>
    <x v="99"/>
    <x v="8"/>
    <n v="3"/>
  </r>
  <r>
    <x v="272"/>
    <x v="273"/>
    <s v="GCI"/>
    <x v="0"/>
    <x v="6"/>
    <x v="4"/>
    <x v="655"/>
    <x v="655"/>
    <x v="99"/>
    <x v="6"/>
    <n v="64"/>
  </r>
  <r>
    <x v="273"/>
    <x v="274"/>
    <s v="GCI"/>
    <x v="0"/>
    <x v="5"/>
    <x v="4"/>
    <x v="657"/>
    <x v="657"/>
    <x v="99"/>
    <x v="9"/>
    <n v="1"/>
  </r>
  <r>
    <x v="73"/>
    <x v="73"/>
    <s v="GCI"/>
    <x v="0"/>
    <x v="1"/>
    <x v="4"/>
    <x v="658"/>
    <x v="658"/>
    <x v="99"/>
    <x v="9"/>
    <n v="4"/>
  </r>
  <r>
    <x v="274"/>
    <x v="275"/>
    <s v="GCI"/>
    <x v="0"/>
    <x v="6"/>
    <x v="4"/>
    <x v="659"/>
    <x v="659"/>
    <x v="100"/>
    <x v="0"/>
    <n v="3000"/>
  </r>
  <r>
    <x v="274"/>
    <x v="275"/>
    <s v="GCI"/>
    <x v="0"/>
    <x v="6"/>
    <x v="4"/>
    <x v="659"/>
    <x v="659"/>
    <x v="100"/>
    <x v="7"/>
    <n v="3000"/>
  </r>
  <r>
    <x v="275"/>
    <x v="276"/>
    <s v="GCI"/>
    <x v="0"/>
    <x v="6"/>
    <x v="4"/>
    <x v="660"/>
    <x v="660"/>
    <x v="100"/>
    <x v="0"/>
    <n v="6000"/>
  </r>
  <r>
    <x v="275"/>
    <x v="276"/>
    <s v="GCI"/>
    <x v="0"/>
    <x v="6"/>
    <x v="4"/>
    <x v="660"/>
    <x v="660"/>
    <x v="100"/>
    <x v="7"/>
    <n v="6000"/>
  </r>
  <r>
    <x v="275"/>
    <x v="276"/>
    <s v="GCI"/>
    <x v="0"/>
    <x v="6"/>
    <x v="4"/>
    <x v="661"/>
    <x v="661"/>
    <x v="100"/>
    <x v="2"/>
    <n v="136"/>
  </r>
  <r>
    <x v="275"/>
    <x v="276"/>
    <s v="GCI"/>
    <x v="0"/>
    <x v="6"/>
    <x v="4"/>
    <x v="661"/>
    <x v="661"/>
    <x v="100"/>
    <x v="9"/>
    <n v="1"/>
  </r>
  <r>
    <x v="275"/>
    <x v="276"/>
    <s v="GCI"/>
    <x v="0"/>
    <x v="6"/>
    <x v="4"/>
    <x v="660"/>
    <x v="660"/>
    <x v="100"/>
    <x v="8"/>
    <n v="2"/>
  </r>
  <r>
    <x v="275"/>
    <x v="276"/>
    <s v="GCI"/>
    <x v="0"/>
    <x v="6"/>
    <x v="4"/>
    <x v="660"/>
    <x v="660"/>
    <x v="100"/>
    <x v="6"/>
    <n v="42"/>
  </r>
  <r>
    <x v="274"/>
    <x v="275"/>
    <s v="GCI"/>
    <x v="0"/>
    <x v="6"/>
    <x v="4"/>
    <x v="662"/>
    <x v="662"/>
    <x v="100"/>
    <x v="2"/>
    <n v="65"/>
  </r>
  <r>
    <x v="274"/>
    <x v="275"/>
    <s v="GCI"/>
    <x v="0"/>
    <x v="6"/>
    <x v="4"/>
    <x v="662"/>
    <x v="662"/>
    <x v="100"/>
    <x v="9"/>
    <n v="1"/>
  </r>
  <r>
    <x v="274"/>
    <x v="275"/>
    <s v="GCI"/>
    <x v="0"/>
    <x v="6"/>
    <x v="4"/>
    <x v="659"/>
    <x v="659"/>
    <x v="100"/>
    <x v="8"/>
    <n v="1"/>
  </r>
  <r>
    <x v="274"/>
    <x v="275"/>
    <s v="GCI"/>
    <x v="0"/>
    <x v="6"/>
    <x v="4"/>
    <x v="659"/>
    <x v="659"/>
    <x v="100"/>
    <x v="6"/>
    <n v="20"/>
  </r>
  <r>
    <x v="274"/>
    <x v="275"/>
    <s v="GCI"/>
    <x v="0"/>
    <x v="6"/>
    <x v="4"/>
    <x v="663"/>
    <x v="663"/>
    <x v="101"/>
    <x v="2"/>
    <n v="270"/>
  </r>
  <r>
    <x v="274"/>
    <x v="275"/>
    <s v="GCI"/>
    <x v="0"/>
    <x v="6"/>
    <x v="4"/>
    <x v="663"/>
    <x v="663"/>
    <x v="101"/>
    <x v="3"/>
    <n v="15"/>
  </r>
  <r>
    <x v="276"/>
    <x v="277"/>
    <s v="GCI"/>
    <x v="0"/>
    <x v="6"/>
    <x v="4"/>
    <x v="664"/>
    <x v="664"/>
    <x v="102"/>
    <x v="7"/>
    <n v="3000"/>
  </r>
  <r>
    <x v="277"/>
    <x v="278"/>
    <s v="GCI"/>
    <x v="0"/>
    <x v="6"/>
    <x v="4"/>
    <x v="665"/>
    <x v="665"/>
    <x v="102"/>
    <x v="7"/>
    <n v="3000"/>
  </r>
  <r>
    <x v="278"/>
    <x v="279"/>
    <s v="GCI"/>
    <x v="0"/>
    <x v="6"/>
    <x v="4"/>
    <x v="666"/>
    <x v="666"/>
    <x v="102"/>
    <x v="0"/>
    <n v="3000"/>
  </r>
  <r>
    <x v="277"/>
    <x v="278"/>
    <s v="GCI"/>
    <x v="0"/>
    <x v="6"/>
    <x v="4"/>
    <x v="665"/>
    <x v="665"/>
    <x v="102"/>
    <x v="0"/>
    <n v="6000"/>
  </r>
  <r>
    <x v="276"/>
    <x v="277"/>
    <s v="GCI"/>
    <x v="0"/>
    <x v="6"/>
    <x v="4"/>
    <x v="667"/>
    <x v="667"/>
    <x v="102"/>
    <x v="4"/>
    <n v="1"/>
  </r>
  <r>
    <x v="276"/>
    <x v="277"/>
    <s v="GCI"/>
    <x v="0"/>
    <x v="6"/>
    <x v="4"/>
    <x v="667"/>
    <x v="667"/>
    <x v="102"/>
    <x v="6"/>
    <n v="32"/>
  </r>
  <r>
    <x v="277"/>
    <x v="278"/>
    <s v="GCI"/>
    <x v="0"/>
    <x v="6"/>
    <x v="4"/>
    <x v="668"/>
    <x v="668"/>
    <x v="102"/>
    <x v="8"/>
    <n v="1"/>
  </r>
  <r>
    <x v="277"/>
    <x v="278"/>
    <s v="GCI"/>
    <x v="0"/>
    <x v="6"/>
    <x v="4"/>
    <x v="668"/>
    <x v="668"/>
    <x v="102"/>
    <x v="4"/>
    <n v="1"/>
  </r>
  <r>
    <x v="277"/>
    <x v="278"/>
    <s v="GCI"/>
    <x v="0"/>
    <x v="6"/>
    <x v="4"/>
    <x v="668"/>
    <x v="668"/>
    <x v="102"/>
    <x v="6"/>
    <n v="44"/>
  </r>
  <r>
    <x v="278"/>
    <x v="279"/>
    <s v="GCI"/>
    <x v="0"/>
    <x v="6"/>
    <x v="4"/>
    <x v="669"/>
    <x v="669"/>
    <x v="102"/>
    <x v="8"/>
    <n v="1"/>
  </r>
  <r>
    <x v="278"/>
    <x v="279"/>
    <s v="GCI"/>
    <x v="0"/>
    <x v="6"/>
    <x v="4"/>
    <x v="669"/>
    <x v="669"/>
    <x v="102"/>
    <x v="4"/>
    <n v="1"/>
  </r>
  <r>
    <x v="278"/>
    <x v="279"/>
    <s v="GCI"/>
    <x v="0"/>
    <x v="6"/>
    <x v="4"/>
    <x v="669"/>
    <x v="669"/>
    <x v="102"/>
    <x v="6"/>
    <n v="31"/>
  </r>
  <r>
    <x v="279"/>
    <x v="280"/>
    <s v="GCI"/>
    <x v="0"/>
    <x v="6"/>
    <x v="4"/>
    <x v="670"/>
    <x v="670"/>
    <x v="102"/>
    <x v="1"/>
    <n v="25"/>
  </r>
  <r>
    <x v="279"/>
    <x v="280"/>
    <s v="GCI"/>
    <x v="0"/>
    <x v="6"/>
    <x v="4"/>
    <x v="670"/>
    <x v="670"/>
    <x v="102"/>
    <x v="3"/>
    <n v="7"/>
  </r>
  <r>
    <x v="280"/>
    <x v="281"/>
    <s v="GCI"/>
    <x v="0"/>
    <x v="6"/>
    <x v="4"/>
    <x v="671"/>
    <x v="671"/>
    <x v="102"/>
    <x v="1"/>
    <n v="30"/>
  </r>
  <r>
    <x v="280"/>
    <x v="281"/>
    <s v="GCI"/>
    <x v="0"/>
    <x v="6"/>
    <x v="4"/>
    <x v="671"/>
    <x v="671"/>
    <x v="102"/>
    <x v="3"/>
    <n v="7"/>
  </r>
  <r>
    <x v="281"/>
    <x v="282"/>
    <s v="GCI"/>
    <x v="0"/>
    <x v="6"/>
    <x v="4"/>
    <x v="672"/>
    <x v="672"/>
    <x v="102"/>
    <x v="1"/>
    <n v="25"/>
  </r>
  <r>
    <x v="281"/>
    <x v="282"/>
    <s v="GCI"/>
    <x v="0"/>
    <x v="6"/>
    <x v="4"/>
    <x v="672"/>
    <x v="672"/>
    <x v="102"/>
    <x v="3"/>
    <n v="6"/>
  </r>
  <r>
    <x v="282"/>
    <x v="283"/>
    <s v="GCI"/>
    <x v="0"/>
    <x v="6"/>
    <x v="4"/>
    <x v="673"/>
    <x v="673"/>
    <x v="53"/>
    <x v="0"/>
    <n v="3000"/>
  </r>
  <r>
    <x v="282"/>
    <x v="283"/>
    <s v="GCI"/>
    <x v="0"/>
    <x v="6"/>
    <x v="4"/>
    <x v="673"/>
    <x v="673"/>
    <x v="53"/>
    <x v="7"/>
    <n v="3000"/>
  </r>
  <r>
    <x v="282"/>
    <x v="283"/>
    <s v="GCI"/>
    <x v="0"/>
    <x v="6"/>
    <x v="4"/>
    <x v="674"/>
    <x v="674"/>
    <x v="53"/>
    <x v="2"/>
    <n v="27"/>
  </r>
  <r>
    <x v="282"/>
    <x v="283"/>
    <s v="GCI"/>
    <x v="0"/>
    <x v="6"/>
    <x v="4"/>
    <x v="674"/>
    <x v="674"/>
    <x v="53"/>
    <x v="3"/>
    <n v="2"/>
  </r>
  <r>
    <x v="282"/>
    <x v="283"/>
    <s v="GCI"/>
    <x v="0"/>
    <x v="6"/>
    <x v="4"/>
    <x v="674"/>
    <x v="674"/>
    <x v="53"/>
    <x v="8"/>
    <n v="1"/>
  </r>
  <r>
    <x v="282"/>
    <x v="283"/>
    <s v="GCI"/>
    <x v="0"/>
    <x v="6"/>
    <x v="4"/>
    <x v="674"/>
    <x v="674"/>
    <x v="53"/>
    <x v="6"/>
    <n v="18"/>
  </r>
  <r>
    <x v="277"/>
    <x v="278"/>
    <s v="GCI"/>
    <x v="0"/>
    <x v="6"/>
    <x v="4"/>
    <x v="675"/>
    <x v="675"/>
    <x v="53"/>
    <x v="2"/>
    <n v="81"/>
  </r>
  <r>
    <x v="277"/>
    <x v="278"/>
    <s v="GCI"/>
    <x v="0"/>
    <x v="6"/>
    <x v="4"/>
    <x v="675"/>
    <x v="675"/>
    <x v="53"/>
    <x v="3"/>
    <n v="4"/>
  </r>
  <r>
    <x v="278"/>
    <x v="279"/>
    <s v="GCI"/>
    <x v="0"/>
    <x v="6"/>
    <x v="4"/>
    <x v="676"/>
    <x v="676"/>
    <x v="53"/>
    <x v="2"/>
    <n v="60"/>
  </r>
  <r>
    <x v="278"/>
    <x v="279"/>
    <s v="GCI"/>
    <x v="0"/>
    <x v="6"/>
    <x v="4"/>
    <x v="676"/>
    <x v="676"/>
    <x v="53"/>
    <x v="3"/>
    <n v="2"/>
  </r>
  <r>
    <x v="276"/>
    <x v="277"/>
    <s v="GCI"/>
    <x v="0"/>
    <x v="6"/>
    <x v="4"/>
    <x v="677"/>
    <x v="677"/>
    <x v="53"/>
    <x v="2"/>
    <n v="49"/>
  </r>
  <r>
    <x v="279"/>
    <x v="280"/>
    <s v="GCI"/>
    <x v="0"/>
    <x v="6"/>
    <x v="4"/>
    <x v="678"/>
    <x v="678"/>
    <x v="103"/>
    <x v="7"/>
    <n v="3000"/>
  </r>
  <r>
    <x v="283"/>
    <x v="284"/>
    <s v="GCI"/>
    <x v="0"/>
    <x v="6"/>
    <x v="4"/>
    <x v="679"/>
    <x v="679"/>
    <x v="103"/>
    <x v="0"/>
    <n v="3000"/>
  </r>
  <r>
    <x v="284"/>
    <x v="285"/>
    <s v="GCI"/>
    <x v="0"/>
    <x v="6"/>
    <x v="4"/>
    <x v="680"/>
    <x v="680"/>
    <x v="103"/>
    <x v="0"/>
    <n v="3000"/>
  </r>
  <r>
    <x v="285"/>
    <x v="286"/>
    <s v="GCI"/>
    <x v="0"/>
    <x v="6"/>
    <x v="4"/>
    <x v="681"/>
    <x v="681"/>
    <x v="103"/>
    <x v="7"/>
    <n v="3000"/>
  </r>
  <r>
    <x v="286"/>
    <x v="287"/>
    <s v="GCI"/>
    <x v="0"/>
    <x v="6"/>
    <x v="4"/>
    <x v="682"/>
    <x v="682"/>
    <x v="103"/>
    <x v="7"/>
    <n v="3000"/>
  </r>
  <r>
    <x v="283"/>
    <x v="284"/>
    <s v="GCI"/>
    <x v="0"/>
    <x v="6"/>
    <x v="4"/>
    <x v="679"/>
    <x v="679"/>
    <x v="103"/>
    <x v="7"/>
    <n v="6000"/>
  </r>
  <r>
    <x v="279"/>
    <x v="280"/>
    <s v="GCI"/>
    <x v="0"/>
    <x v="6"/>
    <x v="4"/>
    <x v="683"/>
    <x v="683"/>
    <x v="103"/>
    <x v="8"/>
    <n v="2"/>
  </r>
  <r>
    <x v="279"/>
    <x v="280"/>
    <s v="GCI"/>
    <x v="0"/>
    <x v="6"/>
    <x v="4"/>
    <x v="683"/>
    <x v="683"/>
    <x v="103"/>
    <x v="6"/>
    <n v="38"/>
  </r>
  <r>
    <x v="283"/>
    <x v="284"/>
    <s v="GCI"/>
    <x v="0"/>
    <x v="6"/>
    <x v="4"/>
    <x v="684"/>
    <x v="684"/>
    <x v="103"/>
    <x v="2"/>
    <n v="94"/>
  </r>
  <r>
    <x v="283"/>
    <x v="284"/>
    <s v="GCI"/>
    <x v="0"/>
    <x v="6"/>
    <x v="4"/>
    <x v="684"/>
    <x v="684"/>
    <x v="103"/>
    <x v="8"/>
    <n v="2"/>
  </r>
  <r>
    <x v="283"/>
    <x v="284"/>
    <s v="GCI"/>
    <x v="0"/>
    <x v="6"/>
    <x v="4"/>
    <x v="684"/>
    <x v="684"/>
    <x v="103"/>
    <x v="6"/>
    <n v="43"/>
  </r>
  <r>
    <x v="284"/>
    <x v="285"/>
    <s v="GCI"/>
    <x v="0"/>
    <x v="6"/>
    <x v="4"/>
    <x v="685"/>
    <x v="685"/>
    <x v="103"/>
    <x v="2"/>
    <n v="68"/>
  </r>
  <r>
    <x v="284"/>
    <x v="285"/>
    <s v="GCI"/>
    <x v="0"/>
    <x v="6"/>
    <x v="4"/>
    <x v="685"/>
    <x v="685"/>
    <x v="103"/>
    <x v="8"/>
    <n v="1"/>
  </r>
  <r>
    <x v="284"/>
    <x v="285"/>
    <s v="GCI"/>
    <x v="0"/>
    <x v="6"/>
    <x v="4"/>
    <x v="685"/>
    <x v="685"/>
    <x v="103"/>
    <x v="6"/>
    <n v="23"/>
  </r>
  <r>
    <x v="285"/>
    <x v="286"/>
    <s v="GCI"/>
    <x v="0"/>
    <x v="6"/>
    <x v="4"/>
    <x v="686"/>
    <x v="686"/>
    <x v="103"/>
    <x v="2"/>
    <n v="78"/>
  </r>
  <r>
    <x v="285"/>
    <x v="286"/>
    <s v="GCI"/>
    <x v="0"/>
    <x v="6"/>
    <x v="4"/>
    <x v="686"/>
    <x v="686"/>
    <x v="103"/>
    <x v="8"/>
    <n v="1"/>
  </r>
  <r>
    <x v="285"/>
    <x v="286"/>
    <s v="GCI"/>
    <x v="0"/>
    <x v="6"/>
    <x v="4"/>
    <x v="686"/>
    <x v="686"/>
    <x v="103"/>
    <x v="6"/>
    <n v="18"/>
  </r>
  <r>
    <x v="286"/>
    <x v="287"/>
    <s v="GCI"/>
    <x v="0"/>
    <x v="6"/>
    <x v="4"/>
    <x v="687"/>
    <x v="687"/>
    <x v="103"/>
    <x v="2"/>
    <n v="44"/>
  </r>
  <r>
    <x v="286"/>
    <x v="287"/>
    <s v="GCI"/>
    <x v="0"/>
    <x v="6"/>
    <x v="4"/>
    <x v="687"/>
    <x v="687"/>
    <x v="103"/>
    <x v="8"/>
    <n v="1"/>
  </r>
  <r>
    <x v="286"/>
    <x v="287"/>
    <s v="GCI"/>
    <x v="0"/>
    <x v="6"/>
    <x v="4"/>
    <x v="687"/>
    <x v="687"/>
    <x v="103"/>
    <x v="6"/>
    <n v="17"/>
  </r>
  <r>
    <x v="266"/>
    <x v="267"/>
    <s v="GCI"/>
    <x v="0"/>
    <x v="6"/>
    <x v="4"/>
    <x v="688"/>
    <x v="688"/>
    <x v="103"/>
    <x v="9"/>
    <n v="2"/>
  </r>
  <r>
    <x v="287"/>
    <x v="288"/>
    <s v="GCI"/>
    <x v="0"/>
    <x v="6"/>
    <x v="4"/>
    <x v="689"/>
    <x v="689"/>
    <x v="104"/>
    <x v="0"/>
    <n v="2991"/>
  </r>
  <r>
    <x v="288"/>
    <x v="289"/>
    <s v="GCI"/>
    <x v="0"/>
    <x v="6"/>
    <x v="4"/>
    <x v="690"/>
    <x v="690"/>
    <x v="104"/>
    <x v="0"/>
    <n v="6000"/>
  </r>
  <r>
    <x v="287"/>
    <x v="288"/>
    <s v="GCI"/>
    <x v="0"/>
    <x v="6"/>
    <x v="4"/>
    <x v="689"/>
    <x v="689"/>
    <x v="104"/>
    <x v="7"/>
    <n v="9000"/>
  </r>
  <r>
    <x v="287"/>
    <x v="288"/>
    <s v="GCI"/>
    <x v="0"/>
    <x v="6"/>
    <x v="4"/>
    <x v="691"/>
    <x v="691"/>
    <x v="104"/>
    <x v="2"/>
    <n v="216"/>
  </r>
  <r>
    <x v="287"/>
    <x v="288"/>
    <s v="GCI"/>
    <x v="0"/>
    <x v="6"/>
    <x v="4"/>
    <x v="691"/>
    <x v="691"/>
    <x v="104"/>
    <x v="8"/>
    <n v="2"/>
  </r>
  <r>
    <x v="287"/>
    <x v="288"/>
    <s v="GCI"/>
    <x v="0"/>
    <x v="6"/>
    <x v="4"/>
    <x v="691"/>
    <x v="691"/>
    <x v="104"/>
    <x v="4"/>
    <n v="2"/>
  </r>
  <r>
    <x v="287"/>
    <x v="288"/>
    <s v="GCI"/>
    <x v="0"/>
    <x v="6"/>
    <x v="4"/>
    <x v="691"/>
    <x v="691"/>
    <x v="104"/>
    <x v="6"/>
    <n v="100"/>
  </r>
  <r>
    <x v="288"/>
    <x v="289"/>
    <s v="GCI"/>
    <x v="0"/>
    <x v="6"/>
    <x v="4"/>
    <x v="692"/>
    <x v="692"/>
    <x v="104"/>
    <x v="2"/>
    <n v="86"/>
  </r>
  <r>
    <x v="288"/>
    <x v="289"/>
    <s v="GCI"/>
    <x v="0"/>
    <x v="6"/>
    <x v="4"/>
    <x v="692"/>
    <x v="692"/>
    <x v="104"/>
    <x v="8"/>
    <n v="3"/>
  </r>
  <r>
    <x v="288"/>
    <x v="289"/>
    <s v="GCI"/>
    <x v="0"/>
    <x v="6"/>
    <x v="4"/>
    <x v="692"/>
    <x v="692"/>
    <x v="104"/>
    <x v="6"/>
    <n v="40"/>
  </r>
  <r>
    <x v="289"/>
    <x v="290"/>
    <s v="GCI"/>
    <x v="0"/>
    <x v="4"/>
    <x v="4"/>
    <x v="693"/>
    <x v="693"/>
    <x v="105"/>
    <x v="0"/>
    <n v="3000"/>
  </r>
  <r>
    <x v="290"/>
    <x v="291"/>
    <s v="GCI"/>
    <x v="0"/>
    <x v="4"/>
    <x v="4"/>
    <x v="694"/>
    <x v="694"/>
    <x v="105"/>
    <x v="0"/>
    <n v="3000"/>
  </r>
  <r>
    <x v="291"/>
    <x v="292"/>
    <s v="GCI"/>
    <x v="0"/>
    <x v="4"/>
    <x v="4"/>
    <x v="695"/>
    <x v="695"/>
    <x v="105"/>
    <x v="0"/>
    <n v="3000"/>
  </r>
  <r>
    <x v="280"/>
    <x v="281"/>
    <s v="GCI"/>
    <x v="0"/>
    <x v="4"/>
    <x v="4"/>
    <x v="696"/>
    <x v="696"/>
    <x v="57"/>
    <x v="1"/>
    <n v="100"/>
  </r>
  <r>
    <x v="280"/>
    <x v="281"/>
    <s v="GCI"/>
    <x v="0"/>
    <x v="4"/>
    <x v="4"/>
    <x v="696"/>
    <x v="696"/>
    <x v="57"/>
    <x v="9"/>
    <n v="10"/>
  </r>
  <r>
    <x v="292"/>
    <x v="293"/>
    <s v="GCI"/>
    <x v="0"/>
    <x v="6"/>
    <x v="4"/>
    <x v="697"/>
    <x v="697"/>
    <x v="106"/>
    <x v="0"/>
    <n v="3000"/>
  </r>
  <r>
    <x v="293"/>
    <x v="294"/>
    <s v="GCI"/>
    <x v="0"/>
    <x v="6"/>
    <x v="4"/>
    <x v="698"/>
    <x v="698"/>
    <x v="106"/>
    <x v="0"/>
    <n v="3000"/>
  </r>
  <r>
    <x v="294"/>
    <x v="295"/>
    <s v="GCI"/>
    <x v="0"/>
    <x v="6"/>
    <x v="4"/>
    <x v="699"/>
    <x v="699"/>
    <x v="106"/>
    <x v="0"/>
    <n v="3000"/>
  </r>
  <r>
    <x v="295"/>
    <x v="296"/>
    <s v="GCI"/>
    <x v="0"/>
    <x v="6"/>
    <x v="4"/>
    <x v="700"/>
    <x v="700"/>
    <x v="106"/>
    <x v="0"/>
    <n v="3000"/>
  </r>
  <r>
    <x v="296"/>
    <x v="297"/>
    <s v="GCI"/>
    <x v="0"/>
    <x v="6"/>
    <x v="4"/>
    <x v="701"/>
    <x v="701"/>
    <x v="106"/>
    <x v="0"/>
    <n v="6000"/>
  </r>
  <r>
    <x v="296"/>
    <x v="297"/>
    <s v="GCI"/>
    <x v="0"/>
    <x v="6"/>
    <x v="4"/>
    <x v="702"/>
    <x v="702"/>
    <x v="106"/>
    <x v="2"/>
    <n v="140"/>
  </r>
  <r>
    <x v="296"/>
    <x v="297"/>
    <s v="GCI"/>
    <x v="0"/>
    <x v="6"/>
    <x v="4"/>
    <x v="702"/>
    <x v="702"/>
    <x v="106"/>
    <x v="8"/>
    <n v="2"/>
  </r>
  <r>
    <x v="296"/>
    <x v="297"/>
    <s v="GCI"/>
    <x v="0"/>
    <x v="6"/>
    <x v="4"/>
    <x v="702"/>
    <x v="702"/>
    <x v="106"/>
    <x v="4"/>
    <n v="1"/>
  </r>
  <r>
    <x v="296"/>
    <x v="297"/>
    <s v="GCI"/>
    <x v="0"/>
    <x v="6"/>
    <x v="4"/>
    <x v="702"/>
    <x v="702"/>
    <x v="106"/>
    <x v="6"/>
    <n v="56"/>
  </r>
  <r>
    <x v="295"/>
    <x v="296"/>
    <s v="GCI"/>
    <x v="0"/>
    <x v="6"/>
    <x v="4"/>
    <x v="703"/>
    <x v="703"/>
    <x v="106"/>
    <x v="2"/>
    <n v="104"/>
  </r>
  <r>
    <x v="295"/>
    <x v="296"/>
    <s v="GCI"/>
    <x v="0"/>
    <x v="6"/>
    <x v="4"/>
    <x v="703"/>
    <x v="703"/>
    <x v="106"/>
    <x v="3"/>
    <n v="2"/>
  </r>
  <r>
    <x v="295"/>
    <x v="296"/>
    <s v="GCI"/>
    <x v="0"/>
    <x v="6"/>
    <x v="4"/>
    <x v="703"/>
    <x v="703"/>
    <x v="106"/>
    <x v="8"/>
    <n v="1"/>
  </r>
  <r>
    <x v="295"/>
    <x v="296"/>
    <s v="GCI"/>
    <x v="0"/>
    <x v="6"/>
    <x v="4"/>
    <x v="703"/>
    <x v="703"/>
    <x v="106"/>
    <x v="4"/>
    <n v="1"/>
  </r>
  <r>
    <x v="295"/>
    <x v="296"/>
    <s v="GCI"/>
    <x v="0"/>
    <x v="6"/>
    <x v="4"/>
    <x v="703"/>
    <x v="703"/>
    <x v="106"/>
    <x v="6"/>
    <n v="45"/>
  </r>
  <r>
    <x v="293"/>
    <x v="294"/>
    <s v="GCI"/>
    <x v="0"/>
    <x v="6"/>
    <x v="4"/>
    <x v="704"/>
    <x v="704"/>
    <x v="107"/>
    <x v="7"/>
    <n v="3000"/>
  </r>
  <r>
    <x v="294"/>
    <x v="295"/>
    <s v="GCI"/>
    <x v="0"/>
    <x v="6"/>
    <x v="4"/>
    <x v="705"/>
    <x v="705"/>
    <x v="107"/>
    <x v="7"/>
    <n v="3000"/>
  </r>
  <r>
    <x v="297"/>
    <x v="298"/>
    <s v="GCI"/>
    <x v="0"/>
    <x v="6"/>
    <x v="4"/>
    <x v="706"/>
    <x v="706"/>
    <x v="107"/>
    <x v="7"/>
    <n v="3000"/>
  </r>
  <r>
    <x v="298"/>
    <x v="299"/>
    <s v="GCI"/>
    <x v="0"/>
    <x v="6"/>
    <x v="4"/>
    <x v="707"/>
    <x v="707"/>
    <x v="107"/>
    <x v="7"/>
    <n v="3000"/>
  </r>
  <r>
    <x v="281"/>
    <x v="282"/>
    <s v="GCI"/>
    <x v="0"/>
    <x v="6"/>
    <x v="4"/>
    <x v="708"/>
    <x v="708"/>
    <x v="107"/>
    <x v="0"/>
    <n v="6000"/>
  </r>
  <r>
    <x v="292"/>
    <x v="300"/>
    <s v="GCI"/>
    <x v="0"/>
    <x v="6"/>
    <x v="4"/>
    <x v="709"/>
    <x v="709"/>
    <x v="107"/>
    <x v="1"/>
    <n v="1"/>
  </r>
  <r>
    <x v="292"/>
    <x v="300"/>
    <s v="GCI"/>
    <x v="0"/>
    <x v="6"/>
    <x v="4"/>
    <x v="709"/>
    <x v="709"/>
    <x v="107"/>
    <x v="2"/>
    <n v="67"/>
  </r>
  <r>
    <x v="292"/>
    <x v="300"/>
    <s v="GCI"/>
    <x v="0"/>
    <x v="6"/>
    <x v="4"/>
    <x v="709"/>
    <x v="709"/>
    <x v="107"/>
    <x v="8"/>
    <n v="2"/>
  </r>
  <r>
    <x v="292"/>
    <x v="300"/>
    <s v="GCI"/>
    <x v="0"/>
    <x v="6"/>
    <x v="4"/>
    <x v="709"/>
    <x v="709"/>
    <x v="107"/>
    <x v="6"/>
    <n v="37"/>
  </r>
  <r>
    <x v="293"/>
    <x v="294"/>
    <s v="GCI"/>
    <x v="0"/>
    <x v="6"/>
    <x v="4"/>
    <x v="710"/>
    <x v="710"/>
    <x v="107"/>
    <x v="1"/>
    <n v="2"/>
  </r>
  <r>
    <x v="293"/>
    <x v="294"/>
    <s v="GCI"/>
    <x v="0"/>
    <x v="6"/>
    <x v="4"/>
    <x v="710"/>
    <x v="710"/>
    <x v="107"/>
    <x v="2"/>
    <n v="77"/>
  </r>
  <r>
    <x v="293"/>
    <x v="294"/>
    <s v="GCI"/>
    <x v="0"/>
    <x v="6"/>
    <x v="4"/>
    <x v="710"/>
    <x v="710"/>
    <x v="107"/>
    <x v="8"/>
    <n v="2"/>
  </r>
  <r>
    <x v="293"/>
    <x v="294"/>
    <s v="GCI"/>
    <x v="0"/>
    <x v="6"/>
    <x v="4"/>
    <x v="710"/>
    <x v="710"/>
    <x v="107"/>
    <x v="6"/>
    <n v="35"/>
  </r>
  <r>
    <x v="297"/>
    <x v="298"/>
    <s v="GCI"/>
    <x v="0"/>
    <x v="6"/>
    <x v="4"/>
    <x v="711"/>
    <x v="711"/>
    <x v="107"/>
    <x v="2"/>
    <n v="31"/>
  </r>
  <r>
    <x v="297"/>
    <x v="298"/>
    <s v="GCI"/>
    <x v="0"/>
    <x v="6"/>
    <x v="4"/>
    <x v="711"/>
    <x v="711"/>
    <x v="107"/>
    <x v="6"/>
    <n v="16"/>
  </r>
  <r>
    <x v="299"/>
    <x v="301"/>
    <s v="GCI"/>
    <x v="0"/>
    <x v="6"/>
    <x v="4"/>
    <x v="712"/>
    <x v="712"/>
    <x v="107"/>
    <x v="1"/>
    <n v="1"/>
  </r>
  <r>
    <x v="299"/>
    <x v="301"/>
    <s v="GCI"/>
    <x v="0"/>
    <x v="6"/>
    <x v="4"/>
    <x v="712"/>
    <x v="712"/>
    <x v="107"/>
    <x v="2"/>
    <n v="24"/>
  </r>
  <r>
    <x v="299"/>
    <x v="301"/>
    <s v="GCI"/>
    <x v="0"/>
    <x v="6"/>
    <x v="4"/>
    <x v="712"/>
    <x v="712"/>
    <x v="107"/>
    <x v="8"/>
    <n v="1"/>
  </r>
  <r>
    <x v="299"/>
    <x v="301"/>
    <s v="GCI"/>
    <x v="0"/>
    <x v="6"/>
    <x v="4"/>
    <x v="712"/>
    <x v="712"/>
    <x v="107"/>
    <x v="6"/>
    <n v="9"/>
  </r>
  <r>
    <x v="298"/>
    <x v="299"/>
    <s v="GCI"/>
    <x v="0"/>
    <x v="6"/>
    <x v="4"/>
    <x v="713"/>
    <x v="713"/>
    <x v="107"/>
    <x v="1"/>
    <n v="1"/>
  </r>
  <r>
    <x v="298"/>
    <x v="299"/>
    <s v="GCI"/>
    <x v="0"/>
    <x v="6"/>
    <x v="4"/>
    <x v="713"/>
    <x v="713"/>
    <x v="107"/>
    <x v="2"/>
    <n v="34"/>
  </r>
  <r>
    <x v="298"/>
    <x v="299"/>
    <s v="GCI"/>
    <x v="0"/>
    <x v="6"/>
    <x v="4"/>
    <x v="713"/>
    <x v="713"/>
    <x v="107"/>
    <x v="4"/>
    <n v="1"/>
  </r>
  <r>
    <x v="298"/>
    <x v="299"/>
    <s v="GCI"/>
    <x v="0"/>
    <x v="6"/>
    <x v="4"/>
    <x v="713"/>
    <x v="713"/>
    <x v="107"/>
    <x v="6"/>
    <n v="14"/>
  </r>
  <r>
    <x v="280"/>
    <x v="281"/>
    <s v="GCI"/>
    <x v="0"/>
    <x v="6"/>
    <x v="4"/>
    <x v="714"/>
    <x v="714"/>
    <x v="107"/>
    <x v="8"/>
    <n v="3"/>
  </r>
  <r>
    <x v="280"/>
    <x v="281"/>
    <s v="GCI"/>
    <x v="0"/>
    <x v="6"/>
    <x v="4"/>
    <x v="714"/>
    <x v="714"/>
    <x v="107"/>
    <x v="6"/>
    <n v="40"/>
  </r>
  <r>
    <x v="281"/>
    <x v="282"/>
    <s v="GCI"/>
    <x v="0"/>
    <x v="6"/>
    <x v="4"/>
    <x v="715"/>
    <x v="715"/>
    <x v="107"/>
    <x v="8"/>
    <n v="3"/>
  </r>
  <r>
    <x v="281"/>
    <x v="282"/>
    <s v="GCI"/>
    <x v="0"/>
    <x v="6"/>
    <x v="4"/>
    <x v="715"/>
    <x v="715"/>
    <x v="107"/>
    <x v="6"/>
    <n v="52"/>
  </r>
  <r>
    <x v="300"/>
    <x v="302"/>
    <s v="GCI"/>
    <x v="0"/>
    <x v="4"/>
    <x v="4"/>
    <x v="716"/>
    <x v="716"/>
    <x v="107"/>
    <x v="0"/>
    <n v="3000"/>
  </r>
  <r>
    <x v="124"/>
    <x v="124"/>
    <s v="GCI"/>
    <x v="0"/>
    <x v="1"/>
    <x v="4"/>
    <x v="717"/>
    <x v="717"/>
    <x v="107"/>
    <x v="9"/>
    <n v="2"/>
  </r>
  <r>
    <x v="123"/>
    <x v="123"/>
    <s v="GCI"/>
    <x v="0"/>
    <x v="2"/>
    <x v="4"/>
    <x v="718"/>
    <x v="718"/>
    <x v="108"/>
    <x v="0"/>
    <n v="3000"/>
  </r>
  <r>
    <x v="130"/>
    <x v="131"/>
    <s v="GCI"/>
    <x v="0"/>
    <x v="2"/>
    <x v="4"/>
    <x v="719"/>
    <x v="719"/>
    <x v="108"/>
    <x v="0"/>
    <n v="3000"/>
  </r>
  <r>
    <x v="301"/>
    <x v="303"/>
    <s v="GCI"/>
    <x v="0"/>
    <x v="2"/>
    <x v="4"/>
    <x v="720"/>
    <x v="720"/>
    <x v="108"/>
    <x v="0"/>
    <n v="3000"/>
  </r>
  <r>
    <x v="302"/>
    <x v="304"/>
    <s v="GCI"/>
    <x v="0"/>
    <x v="2"/>
    <x v="4"/>
    <x v="721"/>
    <x v="721"/>
    <x v="108"/>
    <x v="0"/>
    <n v="3000"/>
  </r>
  <r>
    <x v="301"/>
    <x v="303"/>
    <s v="GCI"/>
    <x v="0"/>
    <x v="2"/>
    <x v="4"/>
    <x v="722"/>
    <x v="722"/>
    <x v="108"/>
    <x v="8"/>
    <n v="1"/>
  </r>
  <r>
    <x v="301"/>
    <x v="303"/>
    <s v="GCI"/>
    <x v="0"/>
    <x v="2"/>
    <x v="4"/>
    <x v="722"/>
    <x v="722"/>
    <x v="108"/>
    <x v="9"/>
    <n v="1"/>
  </r>
  <r>
    <x v="302"/>
    <x v="304"/>
    <s v="GCI"/>
    <x v="0"/>
    <x v="2"/>
    <x v="4"/>
    <x v="723"/>
    <x v="723"/>
    <x v="108"/>
    <x v="8"/>
    <n v="1"/>
  </r>
  <r>
    <x v="288"/>
    <x v="289"/>
    <s v="GCI"/>
    <x v="0"/>
    <x v="6"/>
    <x v="4"/>
    <x v="724"/>
    <x v="724"/>
    <x v="109"/>
    <x v="1"/>
    <n v="70"/>
  </r>
  <r>
    <x v="288"/>
    <x v="289"/>
    <s v="GCI"/>
    <x v="0"/>
    <x v="6"/>
    <x v="4"/>
    <x v="724"/>
    <x v="724"/>
    <x v="109"/>
    <x v="9"/>
    <n v="6"/>
  </r>
  <r>
    <x v="303"/>
    <x v="305"/>
    <s v="GCI"/>
    <x v="0"/>
    <x v="2"/>
    <x v="4"/>
    <x v="725"/>
    <x v="725"/>
    <x v="109"/>
    <x v="2"/>
    <n v="16"/>
  </r>
  <r>
    <x v="130"/>
    <x v="131"/>
    <s v="GCI"/>
    <x v="0"/>
    <x v="2"/>
    <x v="4"/>
    <x v="726"/>
    <x v="726"/>
    <x v="109"/>
    <x v="2"/>
    <n v="11"/>
  </r>
  <r>
    <x v="301"/>
    <x v="303"/>
    <s v="GCI"/>
    <x v="0"/>
    <x v="2"/>
    <x v="4"/>
    <x v="727"/>
    <x v="727"/>
    <x v="109"/>
    <x v="2"/>
    <n v="40"/>
  </r>
  <r>
    <x v="302"/>
    <x v="304"/>
    <s v="GCI"/>
    <x v="0"/>
    <x v="2"/>
    <x v="4"/>
    <x v="728"/>
    <x v="728"/>
    <x v="109"/>
    <x v="2"/>
    <n v="26"/>
  </r>
  <r>
    <x v="288"/>
    <x v="289"/>
    <s v="GCI"/>
    <x v="0"/>
    <x v="6"/>
    <x v="4"/>
    <x v="729"/>
    <x v="729"/>
    <x v="110"/>
    <x v="0"/>
    <n v="3000"/>
  </r>
  <r>
    <x v="293"/>
    <x v="306"/>
    <s v="GCI"/>
    <x v="0"/>
    <x v="6"/>
    <x v="4"/>
    <x v="730"/>
    <x v="730"/>
    <x v="110"/>
    <x v="0"/>
    <n v="3000"/>
  </r>
  <r>
    <x v="280"/>
    <x v="281"/>
    <s v="GCI"/>
    <x v="0"/>
    <x v="6"/>
    <x v="4"/>
    <x v="731"/>
    <x v="731"/>
    <x v="110"/>
    <x v="0"/>
    <n v="3000"/>
  </r>
  <r>
    <x v="304"/>
    <x v="307"/>
    <s v="GCI"/>
    <x v="0"/>
    <x v="6"/>
    <x v="4"/>
    <x v="732"/>
    <x v="732"/>
    <x v="110"/>
    <x v="6"/>
    <n v="9"/>
  </r>
  <r>
    <x v="305"/>
    <x v="308"/>
    <s v="GCI"/>
    <x v="0"/>
    <x v="6"/>
    <x v="4"/>
    <x v="733"/>
    <x v="733"/>
    <x v="110"/>
    <x v="2"/>
    <n v="15"/>
  </r>
  <r>
    <x v="305"/>
    <x v="308"/>
    <s v="GCI"/>
    <x v="0"/>
    <x v="6"/>
    <x v="4"/>
    <x v="734"/>
    <x v="734"/>
    <x v="110"/>
    <x v="6"/>
    <n v="6"/>
  </r>
  <r>
    <x v="306"/>
    <x v="309"/>
    <s v="GCI"/>
    <x v="0"/>
    <x v="6"/>
    <x v="4"/>
    <x v="735"/>
    <x v="735"/>
    <x v="110"/>
    <x v="1"/>
    <n v="1"/>
  </r>
  <r>
    <x v="306"/>
    <x v="309"/>
    <s v="GCI"/>
    <x v="0"/>
    <x v="6"/>
    <x v="4"/>
    <x v="735"/>
    <x v="735"/>
    <x v="110"/>
    <x v="2"/>
    <n v="17"/>
  </r>
  <r>
    <x v="306"/>
    <x v="309"/>
    <s v="GCI"/>
    <x v="0"/>
    <x v="6"/>
    <x v="4"/>
    <x v="735"/>
    <x v="735"/>
    <x v="110"/>
    <x v="8"/>
    <n v="1"/>
  </r>
  <r>
    <x v="306"/>
    <x v="309"/>
    <s v="GCI"/>
    <x v="0"/>
    <x v="6"/>
    <x v="4"/>
    <x v="736"/>
    <x v="736"/>
    <x v="110"/>
    <x v="6"/>
    <n v="8"/>
  </r>
  <r>
    <x v="293"/>
    <x v="306"/>
    <s v="GCI"/>
    <x v="0"/>
    <x v="6"/>
    <x v="4"/>
    <x v="730"/>
    <x v="730"/>
    <x v="110"/>
    <x v="1"/>
    <n v="27"/>
  </r>
  <r>
    <x v="293"/>
    <x v="306"/>
    <s v="GCI"/>
    <x v="0"/>
    <x v="6"/>
    <x v="4"/>
    <x v="730"/>
    <x v="730"/>
    <x v="110"/>
    <x v="9"/>
    <n v="1"/>
  </r>
  <r>
    <x v="307"/>
    <x v="310"/>
    <s v="GCI"/>
    <x v="0"/>
    <x v="6"/>
    <x v="4"/>
    <x v="737"/>
    <x v="737"/>
    <x v="110"/>
    <x v="2"/>
    <n v="38"/>
  </r>
  <r>
    <x v="307"/>
    <x v="310"/>
    <s v="GCI"/>
    <x v="0"/>
    <x v="6"/>
    <x v="4"/>
    <x v="737"/>
    <x v="737"/>
    <x v="110"/>
    <x v="6"/>
    <n v="11"/>
  </r>
  <r>
    <x v="308"/>
    <x v="311"/>
    <s v="GCI"/>
    <x v="0"/>
    <x v="6"/>
    <x v="4"/>
    <x v="738"/>
    <x v="738"/>
    <x v="111"/>
    <x v="7"/>
    <n v="3000"/>
  </r>
  <r>
    <x v="308"/>
    <x v="311"/>
    <s v="GCI"/>
    <x v="0"/>
    <x v="6"/>
    <x v="4"/>
    <x v="738"/>
    <x v="738"/>
    <x v="111"/>
    <x v="0"/>
    <n v="9000"/>
  </r>
  <r>
    <x v="308"/>
    <x v="311"/>
    <s v="GCI"/>
    <x v="0"/>
    <x v="6"/>
    <x v="4"/>
    <x v="738"/>
    <x v="738"/>
    <x v="111"/>
    <x v="1"/>
    <n v="3"/>
  </r>
  <r>
    <x v="308"/>
    <x v="311"/>
    <s v="GCI"/>
    <x v="0"/>
    <x v="6"/>
    <x v="4"/>
    <x v="738"/>
    <x v="738"/>
    <x v="111"/>
    <x v="2"/>
    <n v="178"/>
  </r>
  <r>
    <x v="308"/>
    <x v="311"/>
    <s v="GCI"/>
    <x v="0"/>
    <x v="6"/>
    <x v="4"/>
    <x v="738"/>
    <x v="738"/>
    <x v="111"/>
    <x v="8"/>
    <n v="3"/>
  </r>
  <r>
    <x v="308"/>
    <x v="311"/>
    <s v="GCI"/>
    <x v="0"/>
    <x v="6"/>
    <x v="4"/>
    <x v="738"/>
    <x v="738"/>
    <x v="111"/>
    <x v="4"/>
    <n v="1"/>
  </r>
  <r>
    <x v="308"/>
    <x v="311"/>
    <s v="GCI"/>
    <x v="0"/>
    <x v="6"/>
    <x v="4"/>
    <x v="738"/>
    <x v="738"/>
    <x v="111"/>
    <x v="6"/>
    <n v="77"/>
  </r>
  <r>
    <x v="309"/>
    <x v="312"/>
    <s v="GCI"/>
    <x v="0"/>
    <x v="4"/>
    <x v="4"/>
    <x v="739"/>
    <x v="739"/>
    <x v="112"/>
    <x v="6"/>
    <n v="21"/>
  </r>
  <r>
    <x v="310"/>
    <x v="313"/>
    <s v="GCI"/>
    <x v="0"/>
    <x v="4"/>
    <x v="4"/>
    <x v="740"/>
    <x v="740"/>
    <x v="112"/>
    <x v="6"/>
    <n v="9"/>
  </r>
  <r>
    <x v="311"/>
    <x v="314"/>
    <s v="GCI"/>
    <x v="0"/>
    <x v="4"/>
    <x v="4"/>
    <x v="741"/>
    <x v="741"/>
    <x v="112"/>
    <x v="6"/>
    <n v="27"/>
  </r>
  <r>
    <x v="312"/>
    <x v="315"/>
    <s v="GCI"/>
    <x v="0"/>
    <x v="5"/>
    <x v="5"/>
    <x v="742"/>
    <x v="742"/>
    <x v="113"/>
    <x v="1"/>
    <n v="25"/>
  </r>
  <r>
    <x v="312"/>
    <x v="315"/>
    <s v="GCI"/>
    <x v="0"/>
    <x v="5"/>
    <x v="5"/>
    <x v="742"/>
    <x v="742"/>
    <x v="113"/>
    <x v="2"/>
    <n v="2"/>
  </r>
  <r>
    <x v="312"/>
    <x v="315"/>
    <s v="GCI"/>
    <x v="0"/>
    <x v="5"/>
    <x v="5"/>
    <x v="743"/>
    <x v="743"/>
    <x v="113"/>
    <x v="4"/>
    <n v="1"/>
  </r>
  <r>
    <x v="312"/>
    <x v="315"/>
    <s v="GCI"/>
    <x v="0"/>
    <x v="5"/>
    <x v="5"/>
    <x v="743"/>
    <x v="743"/>
    <x v="113"/>
    <x v="6"/>
    <n v="12"/>
  </r>
  <r>
    <x v="312"/>
    <x v="315"/>
    <s v="GCI"/>
    <x v="0"/>
    <x v="5"/>
    <x v="5"/>
    <x v="743"/>
    <x v="743"/>
    <x v="113"/>
    <x v="5"/>
    <n v="4"/>
  </r>
  <r>
    <x v="313"/>
    <x v="316"/>
    <s v="GCI"/>
    <x v="0"/>
    <x v="5"/>
    <x v="5"/>
    <x v="744"/>
    <x v="744"/>
    <x v="113"/>
    <x v="1"/>
    <n v="24"/>
  </r>
  <r>
    <x v="313"/>
    <x v="316"/>
    <s v="GCI"/>
    <x v="0"/>
    <x v="5"/>
    <x v="5"/>
    <x v="745"/>
    <x v="745"/>
    <x v="113"/>
    <x v="6"/>
    <n v="10"/>
  </r>
  <r>
    <x v="314"/>
    <x v="317"/>
    <s v="GCI"/>
    <x v="0"/>
    <x v="5"/>
    <x v="5"/>
    <x v="746"/>
    <x v="746"/>
    <x v="113"/>
    <x v="1"/>
    <n v="33"/>
  </r>
  <r>
    <x v="314"/>
    <x v="317"/>
    <s v="GCI"/>
    <x v="0"/>
    <x v="5"/>
    <x v="5"/>
    <x v="746"/>
    <x v="746"/>
    <x v="113"/>
    <x v="2"/>
    <n v="6"/>
  </r>
  <r>
    <x v="314"/>
    <x v="317"/>
    <s v="GCI"/>
    <x v="0"/>
    <x v="5"/>
    <x v="5"/>
    <x v="746"/>
    <x v="746"/>
    <x v="113"/>
    <x v="9"/>
    <n v="1"/>
  </r>
  <r>
    <x v="314"/>
    <x v="317"/>
    <s v="GCI"/>
    <x v="0"/>
    <x v="5"/>
    <x v="5"/>
    <x v="747"/>
    <x v="747"/>
    <x v="113"/>
    <x v="6"/>
    <n v="13"/>
  </r>
  <r>
    <x v="312"/>
    <x v="315"/>
    <s v="GCI"/>
    <x v="0"/>
    <x v="5"/>
    <x v="5"/>
    <x v="743"/>
    <x v="743"/>
    <x v="113"/>
    <x v="7"/>
    <n v="3000"/>
  </r>
  <r>
    <x v="313"/>
    <x v="316"/>
    <s v="GCI"/>
    <x v="0"/>
    <x v="5"/>
    <x v="5"/>
    <x v="745"/>
    <x v="745"/>
    <x v="113"/>
    <x v="0"/>
    <n v="3000"/>
  </r>
  <r>
    <x v="314"/>
    <x v="317"/>
    <s v="GCI"/>
    <x v="0"/>
    <x v="5"/>
    <x v="5"/>
    <x v="747"/>
    <x v="747"/>
    <x v="113"/>
    <x v="7"/>
    <n v="3000"/>
  </r>
  <r>
    <x v="314"/>
    <x v="317"/>
    <s v="GCI"/>
    <x v="0"/>
    <x v="5"/>
    <x v="5"/>
    <x v="748"/>
    <x v="748"/>
    <x v="114"/>
    <x v="8"/>
    <n v="1"/>
  </r>
  <r>
    <x v="312"/>
    <x v="315"/>
    <s v="GCI"/>
    <x v="0"/>
    <x v="5"/>
    <x v="5"/>
    <x v="749"/>
    <x v="749"/>
    <x v="67"/>
    <x v="1"/>
    <n v="23"/>
  </r>
  <r>
    <x v="312"/>
    <x v="315"/>
    <s v="GCI"/>
    <x v="0"/>
    <x v="5"/>
    <x v="5"/>
    <x v="749"/>
    <x v="749"/>
    <x v="67"/>
    <x v="9"/>
    <n v="1"/>
  </r>
  <r>
    <x v="312"/>
    <x v="315"/>
    <s v="GCI"/>
    <x v="0"/>
    <x v="5"/>
    <x v="5"/>
    <x v="750"/>
    <x v="750"/>
    <x v="67"/>
    <x v="7"/>
    <n v="3000"/>
  </r>
  <r>
    <x v="315"/>
    <x v="318"/>
    <s v="GCI"/>
    <x v="0"/>
    <x v="4"/>
    <x v="5"/>
    <x v="751"/>
    <x v="751"/>
    <x v="67"/>
    <x v="1"/>
    <n v="30"/>
  </r>
  <r>
    <x v="315"/>
    <x v="318"/>
    <s v="GCI"/>
    <x v="0"/>
    <x v="4"/>
    <x v="5"/>
    <x v="751"/>
    <x v="751"/>
    <x v="67"/>
    <x v="2"/>
    <n v="7"/>
  </r>
  <r>
    <x v="315"/>
    <x v="318"/>
    <s v="GCI"/>
    <x v="0"/>
    <x v="4"/>
    <x v="5"/>
    <x v="751"/>
    <x v="751"/>
    <x v="67"/>
    <x v="9"/>
    <n v="1"/>
  </r>
  <r>
    <x v="316"/>
    <x v="319"/>
    <s v="GCI"/>
    <x v="0"/>
    <x v="5"/>
    <x v="5"/>
    <x v="752"/>
    <x v="752"/>
    <x v="115"/>
    <x v="1"/>
    <n v="21"/>
  </r>
  <r>
    <x v="316"/>
    <x v="319"/>
    <s v="GCI"/>
    <x v="0"/>
    <x v="5"/>
    <x v="5"/>
    <x v="752"/>
    <x v="752"/>
    <x v="115"/>
    <x v="2"/>
    <n v="4"/>
  </r>
  <r>
    <x v="316"/>
    <x v="319"/>
    <s v="GCI"/>
    <x v="0"/>
    <x v="5"/>
    <x v="5"/>
    <x v="752"/>
    <x v="752"/>
    <x v="115"/>
    <x v="9"/>
    <n v="1"/>
  </r>
  <r>
    <x v="316"/>
    <x v="319"/>
    <s v="GCI"/>
    <x v="0"/>
    <x v="5"/>
    <x v="5"/>
    <x v="753"/>
    <x v="753"/>
    <x v="115"/>
    <x v="4"/>
    <n v="1"/>
  </r>
  <r>
    <x v="316"/>
    <x v="319"/>
    <s v="GCI"/>
    <x v="0"/>
    <x v="5"/>
    <x v="5"/>
    <x v="753"/>
    <x v="753"/>
    <x v="115"/>
    <x v="6"/>
    <n v="10"/>
  </r>
  <r>
    <x v="316"/>
    <x v="319"/>
    <s v="GCI"/>
    <x v="0"/>
    <x v="5"/>
    <x v="5"/>
    <x v="753"/>
    <x v="753"/>
    <x v="115"/>
    <x v="5"/>
    <n v="4"/>
  </r>
  <r>
    <x v="317"/>
    <x v="320"/>
    <s v="GCI"/>
    <x v="0"/>
    <x v="5"/>
    <x v="5"/>
    <x v="754"/>
    <x v="754"/>
    <x v="115"/>
    <x v="1"/>
    <n v="17"/>
  </r>
  <r>
    <x v="317"/>
    <x v="320"/>
    <s v="GCI"/>
    <x v="0"/>
    <x v="5"/>
    <x v="5"/>
    <x v="754"/>
    <x v="754"/>
    <x v="115"/>
    <x v="2"/>
    <n v="5"/>
  </r>
  <r>
    <x v="317"/>
    <x v="320"/>
    <s v="GCI"/>
    <x v="0"/>
    <x v="5"/>
    <x v="5"/>
    <x v="755"/>
    <x v="755"/>
    <x v="115"/>
    <x v="6"/>
    <n v="10"/>
  </r>
  <r>
    <x v="318"/>
    <x v="321"/>
    <s v="GCI"/>
    <x v="0"/>
    <x v="5"/>
    <x v="5"/>
    <x v="756"/>
    <x v="756"/>
    <x v="115"/>
    <x v="1"/>
    <n v="36"/>
  </r>
  <r>
    <x v="318"/>
    <x v="321"/>
    <s v="GCI"/>
    <x v="0"/>
    <x v="5"/>
    <x v="5"/>
    <x v="756"/>
    <x v="756"/>
    <x v="115"/>
    <x v="2"/>
    <n v="5"/>
  </r>
  <r>
    <x v="318"/>
    <x v="321"/>
    <s v="GCI"/>
    <x v="0"/>
    <x v="5"/>
    <x v="5"/>
    <x v="757"/>
    <x v="757"/>
    <x v="115"/>
    <x v="6"/>
    <n v="15"/>
  </r>
  <r>
    <x v="319"/>
    <x v="322"/>
    <s v="GCI"/>
    <x v="0"/>
    <x v="5"/>
    <x v="5"/>
    <x v="758"/>
    <x v="758"/>
    <x v="115"/>
    <x v="1"/>
    <n v="35"/>
  </r>
  <r>
    <x v="319"/>
    <x v="322"/>
    <s v="GCI"/>
    <x v="0"/>
    <x v="5"/>
    <x v="5"/>
    <x v="758"/>
    <x v="758"/>
    <x v="115"/>
    <x v="2"/>
    <n v="3"/>
  </r>
  <r>
    <x v="319"/>
    <x v="322"/>
    <s v="GCI"/>
    <x v="0"/>
    <x v="5"/>
    <x v="5"/>
    <x v="758"/>
    <x v="758"/>
    <x v="115"/>
    <x v="9"/>
    <n v="1"/>
  </r>
  <r>
    <x v="319"/>
    <x v="322"/>
    <s v="GCI"/>
    <x v="0"/>
    <x v="5"/>
    <x v="5"/>
    <x v="759"/>
    <x v="759"/>
    <x v="115"/>
    <x v="4"/>
    <n v="1"/>
  </r>
  <r>
    <x v="319"/>
    <x v="322"/>
    <s v="GCI"/>
    <x v="0"/>
    <x v="5"/>
    <x v="5"/>
    <x v="759"/>
    <x v="759"/>
    <x v="115"/>
    <x v="6"/>
    <n v="12"/>
  </r>
  <r>
    <x v="319"/>
    <x v="322"/>
    <s v="GCI"/>
    <x v="0"/>
    <x v="5"/>
    <x v="5"/>
    <x v="759"/>
    <x v="759"/>
    <x v="115"/>
    <x v="5"/>
    <n v="4"/>
  </r>
  <r>
    <x v="320"/>
    <x v="323"/>
    <s v="GCI"/>
    <x v="0"/>
    <x v="5"/>
    <x v="5"/>
    <x v="760"/>
    <x v="760"/>
    <x v="115"/>
    <x v="1"/>
    <n v="26"/>
  </r>
  <r>
    <x v="320"/>
    <x v="323"/>
    <s v="GCI"/>
    <x v="0"/>
    <x v="5"/>
    <x v="5"/>
    <x v="760"/>
    <x v="760"/>
    <x v="115"/>
    <x v="2"/>
    <n v="6"/>
  </r>
  <r>
    <x v="320"/>
    <x v="323"/>
    <s v="GCI"/>
    <x v="0"/>
    <x v="5"/>
    <x v="5"/>
    <x v="761"/>
    <x v="761"/>
    <x v="115"/>
    <x v="6"/>
    <n v="9"/>
  </r>
  <r>
    <x v="314"/>
    <x v="317"/>
    <s v="GCI"/>
    <x v="0"/>
    <x v="5"/>
    <x v="5"/>
    <x v="762"/>
    <x v="762"/>
    <x v="115"/>
    <x v="1"/>
    <n v="2"/>
  </r>
  <r>
    <x v="317"/>
    <x v="320"/>
    <s v="GCI"/>
    <x v="0"/>
    <x v="5"/>
    <x v="5"/>
    <x v="755"/>
    <x v="755"/>
    <x v="115"/>
    <x v="0"/>
    <n v="3000"/>
  </r>
  <r>
    <x v="318"/>
    <x v="321"/>
    <s v="GCI"/>
    <x v="0"/>
    <x v="5"/>
    <x v="5"/>
    <x v="757"/>
    <x v="757"/>
    <x v="115"/>
    <x v="7"/>
    <n v="3000"/>
  </r>
  <r>
    <x v="319"/>
    <x v="322"/>
    <s v="GCI"/>
    <x v="0"/>
    <x v="5"/>
    <x v="5"/>
    <x v="759"/>
    <x v="759"/>
    <x v="115"/>
    <x v="7"/>
    <n v="3000"/>
  </r>
  <r>
    <x v="320"/>
    <x v="323"/>
    <s v="GCI"/>
    <x v="0"/>
    <x v="5"/>
    <x v="5"/>
    <x v="761"/>
    <x v="761"/>
    <x v="115"/>
    <x v="0"/>
    <n v="3000"/>
  </r>
  <r>
    <x v="157"/>
    <x v="158"/>
    <s v="GCI"/>
    <x v="0"/>
    <x v="3"/>
    <x v="5"/>
    <x v="763"/>
    <x v="763"/>
    <x v="20"/>
    <x v="1"/>
    <n v="36"/>
  </r>
  <r>
    <x v="157"/>
    <x v="158"/>
    <s v="GCI"/>
    <x v="0"/>
    <x v="3"/>
    <x v="5"/>
    <x v="763"/>
    <x v="763"/>
    <x v="20"/>
    <x v="2"/>
    <n v="15"/>
  </r>
  <r>
    <x v="157"/>
    <x v="158"/>
    <s v="GCI"/>
    <x v="0"/>
    <x v="3"/>
    <x v="5"/>
    <x v="764"/>
    <x v="764"/>
    <x v="20"/>
    <x v="6"/>
    <n v="15"/>
  </r>
  <r>
    <x v="156"/>
    <x v="157"/>
    <s v="GCI"/>
    <x v="0"/>
    <x v="3"/>
    <x v="5"/>
    <x v="765"/>
    <x v="765"/>
    <x v="20"/>
    <x v="1"/>
    <n v="33"/>
  </r>
  <r>
    <x v="156"/>
    <x v="157"/>
    <s v="GCI"/>
    <x v="0"/>
    <x v="3"/>
    <x v="5"/>
    <x v="765"/>
    <x v="765"/>
    <x v="20"/>
    <x v="2"/>
    <n v="3"/>
  </r>
  <r>
    <x v="156"/>
    <x v="157"/>
    <s v="GCI"/>
    <x v="0"/>
    <x v="3"/>
    <x v="5"/>
    <x v="766"/>
    <x v="766"/>
    <x v="20"/>
    <x v="6"/>
    <n v="16"/>
  </r>
  <r>
    <x v="157"/>
    <x v="158"/>
    <s v="GCI"/>
    <x v="0"/>
    <x v="3"/>
    <x v="5"/>
    <x v="764"/>
    <x v="764"/>
    <x v="20"/>
    <x v="0"/>
    <n v="3000"/>
  </r>
  <r>
    <x v="321"/>
    <x v="324"/>
    <s v="GCI"/>
    <x v="0"/>
    <x v="3"/>
    <x v="5"/>
    <x v="767"/>
    <x v="767"/>
    <x v="69"/>
    <x v="1"/>
    <n v="19"/>
  </r>
  <r>
    <x v="321"/>
    <x v="324"/>
    <s v="GCI"/>
    <x v="0"/>
    <x v="3"/>
    <x v="5"/>
    <x v="767"/>
    <x v="767"/>
    <x v="69"/>
    <x v="2"/>
    <n v="4"/>
  </r>
  <r>
    <x v="48"/>
    <x v="48"/>
    <s v="GCI"/>
    <x v="0"/>
    <x v="3"/>
    <x v="5"/>
    <x v="768"/>
    <x v="768"/>
    <x v="69"/>
    <x v="1"/>
    <n v="60"/>
  </r>
  <r>
    <x v="48"/>
    <x v="48"/>
    <s v="GCI"/>
    <x v="0"/>
    <x v="3"/>
    <x v="5"/>
    <x v="768"/>
    <x v="768"/>
    <x v="69"/>
    <x v="2"/>
    <n v="3"/>
  </r>
  <r>
    <x v="48"/>
    <x v="48"/>
    <s v="GCI"/>
    <x v="0"/>
    <x v="3"/>
    <x v="5"/>
    <x v="769"/>
    <x v="769"/>
    <x v="69"/>
    <x v="8"/>
    <n v="1"/>
  </r>
  <r>
    <x v="48"/>
    <x v="48"/>
    <s v="GCI"/>
    <x v="0"/>
    <x v="3"/>
    <x v="5"/>
    <x v="769"/>
    <x v="769"/>
    <x v="69"/>
    <x v="5"/>
    <n v="3"/>
  </r>
  <r>
    <x v="321"/>
    <x v="324"/>
    <s v="GCI"/>
    <x v="0"/>
    <x v="3"/>
    <x v="5"/>
    <x v="770"/>
    <x v="770"/>
    <x v="69"/>
    <x v="0"/>
    <n v="3000"/>
  </r>
  <r>
    <x v="48"/>
    <x v="48"/>
    <s v="GCI"/>
    <x v="0"/>
    <x v="3"/>
    <x v="5"/>
    <x v="769"/>
    <x v="769"/>
    <x v="69"/>
    <x v="7"/>
    <n v="3000"/>
  </r>
  <r>
    <x v="163"/>
    <x v="164"/>
    <s v="GCI"/>
    <x v="0"/>
    <x v="9"/>
    <x v="5"/>
    <x v="771"/>
    <x v="771"/>
    <x v="69"/>
    <x v="1"/>
    <n v="13"/>
  </r>
  <r>
    <x v="163"/>
    <x v="164"/>
    <s v="GCI"/>
    <x v="0"/>
    <x v="9"/>
    <x v="5"/>
    <x v="771"/>
    <x v="771"/>
    <x v="69"/>
    <x v="2"/>
    <n v="2"/>
  </r>
  <r>
    <x v="321"/>
    <x v="324"/>
    <s v="GCI"/>
    <x v="0"/>
    <x v="3"/>
    <x v="5"/>
    <x v="772"/>
    <x v="772"/>
    <x v="25"/>
    <x v="6"/>
    <n v="9"/>
  </r>
  <r>
    <x v="48"/>
    <x v="48"/>
    <s v="GCI"/>
    <x v="0"/>
    <x v="3"/>
    <x v="5"/>
    <x v="773"/>
    <x v="773"/>
    <x v="1"/>
    <x v="1"/>
    <n v="20"/>
  </r>
  <r>
    <x v="48"/>
    <x v="48"/>
    <s v="GCI"/>
    <x v="0"/>
    <x v="3"/>
    <x v="5"/>
    <x v="773"/>
    <x v="773"/>
    <x v="1"/>
    <x v="3"/>
    <n v="1"/>
  </r>
  <r>
    <x v="48"/>
    <x v="48"/>
    <s v="GCI"/>
    <x v="0"/>
    <x v="3"/>
    <x v="5"/>
    <x v="773"/>
    <x v="773"/>
    <x v="1"/>
    <x v="9"/>
    <n v="1"/>
  </r>
  <r>
    <x v="156"/>
    <x v="157"/>
    <s v="GCI"/>
    <x v="0"/>
    <x v="3"/>
    <x v="5"/>
    <x v="774"/>
    <x v="774"/>
    <x v="1"/>
    <x v="14"/>
    <n v="109"/>
  </r>
  <r>
    <x v="156"/>
    <x v="157"/>
    <s v="GCI"/>
    <x v="0"/>
    <x v="3"/>
    <x v="5"/>
    <x v="775"/>
    <x v="775"/>
    <x v="1"/>
    <x v="1"/>
    <n v="71"/>
  </r>
  <r>
    <x v="156"/>
    <x v="157"/>
    <s v="GCI"/>
    <x v="0"/>
    <x v="3"/>
    <x v="5"/>
    <x v="775"/>
    <x v="775"/>
    <x v="1"/>
    <x v="3"/>
    <n v="13"/>
  </r>
  <r>
    <x v="156"/>
    <x v="157"/>
    <s v="GCI"/>
    <x v="0"/>
    <x v="3"/>
    <x v="5"/>
    <x v="774"/>
    <x v="774"/>
    <x v="1"/>
    <x v="7"/>
    <n v="3000"/>
  </r>
  <r>
    <x v="322"/>
    <x v="325"/>
    <s v="GCI"/>
    <x v="0"/>
    <x v="5"/>
    <x v="5"/>
    <x v="776"/>
    <x v="776"/>
    <x v="4"/>
    <x v="1"/>
    <n v="60"/>
  </r>
  <r>
    <x v="322"/>
    <x v="325"/>
    <s v="GCI"/>
    <x v="0"/>
    <x v="5"/>
    <x v="5"/>
    <x v="776"/>
    <x v="776"/>
    <x v="4"/>
    <x v="2"/>
    <n v="5"/>
  </r>
  <r>
    <x v="322"/>
    <x v="325"/>
    <s v="GCI"/>
    <x v="0"/>
    <x v="5"/>
    <x v="5"/>
    <x v="777"/>
    <x v="777"/>
    <x v="4"/>
    <x v="8"/>
    <n v="1"/>
  </r>
  <r>
    <x v="322"/>
    <x v="325"/>
    <s v="GCI"/>
    <x v="0"/>
    <x v="5"/>
    <x v="5"/>
    <x v="777"/>
    <x v="777"/>
    <x v="4"/>
    <x v="6"/>
    <n v="24"/>
  </r>
  <r>
    <x v="322"/>
    <x v="325"/>
    <s v="GCI"/>
    <x v="0"/>
    <x v="5"/>
    <x v="5"/>
    <x v="777"/>
    <x v="777"/>
    <x v="4"/>
    <x v="5"/>
    <n v="3"/>
  </r>
  <r>
    <x v="323"/>
    <x v="326"/>
    <s v="GCI"/>
    <x v="0"/>
    <x v="5"/>
    <x v="5"/>
    <x v="778"/>
    <x v="778"/>
    <x v="4"/>
    <x v="1"/>
    <n v="58"/>
  </r>
  <r>
    <x v="323"/>
    <x v="326"/>
    <s v="GCI"/>
    <x v="0"/>
    <x v="5"/>
    <x v="5"/>
    <x v="778"/>
    <x v="778"/>
    <x v="4"/>
    <x v="2"/>
    <n v="6"/>
  </r>
  <r>
    <x v="323"/>
    <x v="326"/>
    <s v="GCI"/>
    <x v="0"/>
    <x v="5"/>
    <x v="5"/>
    <x v="779"/>
    <x v="779"/>
    <x v="4"/>
    <x v="8"/>
    <n v="1"/>
  </r>
  <r>
    <x v="323"/>
    <x v="326"/>
    <s v="GCI"/>
    <x v="0"/>
    <x v="5"/>
    <x v="5"/>
    <x v="779"/>
    <x v="779"/>
    <x v="4"/>
    <x v="6"/>
    <n v="21"/>
  </r>
  <r>
    <x v="323"/>
    <x v="326"/>
    <s v="GCI"/>
    <x v="0"/>
    <x v="5"/>
    <x v="5"/>
    <x v="779"/>
    <x v="779"/>
    <x v="4"/>
    <x v="5"/>
    <n v="3"/>
  </r>
  <r>
    <x v="324"/>
    <x v="327"/>
    <s v="GCI"/>
    <x v="0"/>
    <x v="5"/>
    <x v="5"/>
    <x v="780"/>
    <x v="780"/>
    <x v="4"/>
    <x v="1"/>
    <n v="55"/>
  </r>
  <r>
    <x v="324"/>
    <x v="327"/>
    <s v="GCI"/>
    <x v="0"/>
    <x v="5"/>
    <x v="5"/>
    <x v="780"/>
    <x v="780"/>
    <x v="4"/>
    <x v="2"/>
    <n v="9"/>
  </r>
  <r>
    <x v="324"/>
    <x v="327"/>
    <s v="GCI"/>
    <x v="0"/>
    <x v="5"/>
    <x v="5"/>
    <x v="780"/>
    <x v="780"/>
    <x v="4"/>
    <x v="9"/>
    <n v="1"/>
  </r>
  <r>
    <x v="324"/>
    <x v="327"/>
    <s v="GCI"/>
    <x v="0"/>
    <x v="5"/>
    <x v="5"/>
    <x v="781"/>
    <x v="781"/>
    <x v="4"/>
    <x v="8"/>
    <n v="1"/>
  </r>
  <r>
    <x v="324"/>
    <x v="327"/>
    <s v="GCI"/>
    <x v="0"/>
    <x v="5"/>
    <x v="5"/>
    <x v="781"/>
    <x v="781"/>
    <x v="4"/>
    <x v="6"/>
    <n v="21"/>
  </r>
  <r>
    <x v="324"/>
    <x v="327"/>
    <s v="GCI"/>
    <x v="0"/>
    <x v="5"/>
    <x v="5"/>
    <x v="781"/>
    <x v="781"/>
    <x v="4"/>
    <x v="5"/>
    <n v="3"/>
  </r>
  <r>
    <x v="312"/>
    <x v="315"/>
    <s v="GCI"/>
    <x v="0"/>
    <x v="5"/>
    <x v="5"/>
    <x v="782"/>
    <x v="782"/>
    <x v="4"/>
    <x v="1"/>
    <n v="100"/>
  </r>
  <r>
    <x v="322"/>
    <x v="325"/>
    <s v="GCI"/>
    <x v="0"/>
    <x v="5"/>
    <x v="5"/>
    <x v="777"/>
    <x v="777"/>
    <x v="4"/>
    <x v="0"/>
    <n v="3000"/>
  </r>
  <r>
    <x v="324"/>
    <x v="327"/>
    <s v="GCI"/>
    <x v="0"/>
    <x v="5"/>
    <x v="5"/>
    <x v="781"/>
    <x v="781"/>
    <x v="4"/>
    <x v="0"/>
    <n v="3000"/>
  </r>
  <r>
    <x v="323"/>
    <x v="326"/>
    <s v="GCI"/>
    <x v="0"/>
    <x v="5"/>
    <x v="5"/>
    <x v="779"/>
    <x v="779"/>
    <x v="4"/>
    <x v="0"/>
    <n v="6000"/>
  </r>
  <r>
    <x v="322"/>
    <x v="325"/>
    <s v="GCI"/>
    <x v="0"/>
    <x v="5"/>
    <x v="5"/>
    <x v="783"/>
    <x v="783"/>
    <x v="116"/>
    <x v="1"/>
    <n v="250"/>
  </r>
  <r>
    <x v="322"/>
    <x v="325"/>
    <s v="GCI"/>
    <x v="0"/>
    <x v="5"/>
    <x v="5"/>
    <x v="783"/>
    <x v="783"/>
    <x v="116"/>
    <x v="2"/>
    <n v="40"/>
  </r>
  <r>
    <x v="322"/>
    <x v="325"/>
    <s v="GCI"/>
    <x v="0"/>
    <x v="5"/>
    <x v="5"/>
    <x v="783"/>
    <x v="783"/>
    <x v="116"/>
    <x v="3"/>
    <n v="10"/>
  </r>
  <r>
    <x v="325"/>
    <x v="328"/>
    <s v="GCI"/>
    <x v="0"/>
    <x v="5"/>
    <x v="5"/>
    <x v="784"/>
    <x v="784"/>
    <x v="117"/>
    <x v="1"/>
    <n v="35"/>
  </r>
  <r>
    <x v="325"/>
    <x v="328"/>
    <s v="GCI"/>
    <x v="0"/>
    <x v="5"/>
    <x v="5"/>
    <x v="784"/>
    <x v="784"/>
    <x v="117"/>
    <x v="2"/>
    <n v="6"/>
  </r>
  <r>
    <x v="325"/>
    <x v="328"/>
    <s v="GCI"/>
    <x v="0"/>
    <x v="5"/>
    <x v="5"/>
    <x v="785"/>
    <x v="785"/>
    <x v="117"/>
    <x v="6"/>
    <n v="16"/>
  </r>
  <r>
    <x v="122"/>
    <x v="122"/>
    <s v="GCI"/>
    <x v="0"/>
    <x v="5"/>
    <x v="5"/>
    <x v="786"/>
    <x v="786"/>
    <x v="117"/>
    <x v="2"/>
    <n v="9"/>
  </r>
  <r>
    <x v="122"/>
    <x v="122"/>
    <s v="GCI"/>
    <x v="0"/>
    <x v="5"/>
    <x v="5"/>
    <x v="787"/>
    <x v="787"/>
    <x v="117"/>
    <x v="6"/>
    <n v="19"/>
  </r>
  <r>
    <x v="326"/>
    <x v="329"/>
    <s v="GCI"/>
    <x v="0"/>
    <x v="5"/>
    <x v="5"/>
    <x v="788"/>
    <x v="788"/>
    <x v="117"/>
    <x v="2"/>
    <n v="4"/>
  </r>
  <r>
    <x v="326"/>
    <x v="329"/>
    <s v="GCI"/>
    <x v="0"/>
    <x v="5"/>
    <x v="5"/>
    <x v="789"/>
    <x v="789"/>
    <x v="117"/>
    <x v="6"/>
    <n v="19"/>
  </r>
  <r>
    <x v="327"/>
    <x v="330"/>
    <s v="GCI"/>
    <x v="0"/>
    <x v="5"/>
    <x v="5"/>
    <x v="790"/>
    <x v="790"/>
    <x v="117"/>
    <x v="1"/>
    <n v="9"/>
  </r>
  <r>
    <x v="327"/>
    <x v="330"/>
    <s v="GCI"/>
    <x v="0"/>
    <x v="5"/>
    <x v="5"/>
    <x v="790"/>
    <x v="790"/>
    <x v="117"/>
    <x v="2"/>
    <n v="1"/>
  </r>
  <r>
    <x v="327"/>
    <x v="330"/>
    <s v="GCI"/>
    <x v="0"/>
    <x v="5"/>
    <x v="5"/>
    <x v="791"/>
    <x v="791"/>
    <x v="117"/>
    <x v="6"/>
    <n v="22"/>
  </r>
  <r>
    <x v="325"/>
    <x v="328"/>
    <s v="GCI"/>
    <x v="0"/>
    <x v="5"/>
    <x v="5"/>
    <x v="785"/>
    <x v="785"/>
    <x v="117"/>
    <x v="7"/>
    <n v="3000"/>
  </r>
  <r>
    <x v="84"/>
    <x v="84"/>
    <s v="GCI"/>
    <x v="0"/>
    <x v="3"/>
    <x v="5"/>
    <x v="792"/>
    <x v="792"/>
    <x v="117"/>
    <x v="1"/>
    <n v="66"/>
  </r>
  <r>
    <x v="84"/>
    <x v="84"/>
    <s v="GCI"/>
    <x v="0"/>
    <x v="3"/>
    <x v="5"/>
    <x v="792"/>
    <x v="792"/>
    <x v="117"/>
    <x v="2"/>
    <n v="12"/>
  </r>
  <r>
    <x v="84"/>
    <x v="84"/>
    <s v="GCI"/>
    <x v="0"/>
    <x v="3"/>
    <x v="5"/>
    <x v="793"/>
    <x v="793"/>
    <x v="117"/>
    <x v="4"/>
    <n v="1"/>
  </r>
  <r>
    <x v="84"/>
    <x v="84"/>
    <s v="GCI"/>
    <x v="0"/>
    <x v="3"/>
    <x v="5"/>
    <x v="793"/>
    <x v="793"/>
    <x v="117"/>
    <x v="6"/>
    <n v="31"/>
  </r>
  <r>
    <x v="84"/>
    <x v="84"/>
    <s v="GCI"/>
    <x v="0"/>
    <x v="3"/>
    <x v="5"/>
    <x v="793"/>
    <x v="793"/>
    <x v="117"/>
    <x v="5"/>
    <n v="4"/>
  </r>
  <r>
    <x v="84"/>
    <x v="84"/>
    <s v="GCI"/>
    <x v="0"/>
    <x v="3"/>
    <x v="5"/>
    <x v="793"/>
    <x v="793"/>
    <x v="117"/>
    <x v="7"/>
    <n v="3000"/>
  </r>
  <r>
    <x v="80"/>
    <x v="80"/>
    <s v="GCI"/>
    <x v="0"/>
    <x v="2"/>
    <x v="5"/>
    <x v="794"/>
    <x v="794"/>
    <x v="117"/>
    <x v="1"/>
    <n v="24"/>
  </r>
  <r>
    <x v="80"/>
    <x v="80"/>
    <s v="GCI"/>
    <x v="0"/>
    <x v="2"/>
    <x v="5"/>
    <x v="794"/>
    <x v="794"/>
    <x v="117"/>
    <x v="2"/>
    <n v="3"/>
  </r>
  <r>
    <x v="78"/>
    <x v="78"/>
    <s v="GCI"/>
    <x v="0"/>
    <x v="2"/>
    <x v="5"/>
    <x v="795"/>
    <x v="795"/>
    <x v="117"/>
    <x v="1"/>
    <n v="48"/>
  </r>
  <r>
    <x v="78"/>
    <x v="78"/>
    <s v="GCI"/>
    <x v="0"/>
    <x v="2"/>
    <x v="5"/>
    <x v="795"/>
    <x v="795"/>
    <x v="117"/>
    <x v="2"/>
    <n v="4"/>
  </r>
  <r>
    <x v="78"/>
    <x v="78"/>
    <s v="GCI"/>
    <x v="0"/>
    <x v="2"/>
    <x v="5"/>
    <x v="795"/>
    <x v="795"/>
    <x v="117"/>
    <x v="3"/>
    <n v="3"/>
  </r>
  <r>
    <x v="83"/>
    <x v="83"/>
    <s v="GCI"/>
    <x v="0"/>
    <x v="1"/>
    <x v="5"/>
    <x v="796"/>
    <x v="796"/>
    <x v="117"/>
    <x v="1"/>
    <n v="69"/>
  </r>
  <r>
    <x v="326"/>
    <x v="329"/>
    <s v="GCI"/>
    <x v="0"/>
    <x v="5"/>
    <x v="5"/>
    <x v="797"/>
    <x v="797"/>
    <x v="38"/>
    <x v="8"/>
    <n v="1"/>
  </r>
  <r>
    <x v="326"/>
    <x v="329"/>
    <s v="GCI"/>
    <x v="0"/>
    <x v="5"/>
    <x v="5"/>
    <x v="797"/>
    <x v="797"/>
    <x v="38"/>
    <x v="5"/>
    <n v="3"/>
  </r>
  <r>
    <x v="326"/>
    <x v="329"/>
    <s v="GCI"/>
    <x v="0"/>
    <x v="5"/>
    <x v="5"/>
    <x v="797"/>
    <x v="797"/>
    <x v="38"/>
    <x v="0"/>
    <n v="3000"/>
  </r>
  <r>
    <x v="327"/>
    <x v="330"/>
    <s v="GCI"/>
    <x v="0"/>
    <x v="5"/>
    <x v="5"/>
    <x v="798"/>
    <x v="798"/>
    <x v="38"/>
    <x v="0"/>
    <n v="3000"/>
  </r>
  <r>
    <x v="325"/>
    <x v="328"/>
    <s v="GCI"/>
    <x v="0"/>
    <x v="5"/>
    <x v="5"/>
    <x v="799"/>
    <x v="799"/>
    <x v="39"/>
    <x v="8"/>
    <n v="1"/>
  </r>
  <r>
    <x v="122"/>
    <x v="122"/>
    <s v="GCI"/>
    <x v="0"/>
    <x v="5"/>
    <x v="5"/>
    <x v="800"/>
    <x v="800"/>
    <x v="39"/>
    <x v="8"/>
    <n v="1"/>
  </r>
  <r>
    <x v="327"/>
    <x v="330"/>
    <s v="GCI"/>
    <x v="0"/>
    <x v="5"/>
    <x v="5"/>
    <x v="801"/>
    <x v="801"/>
    <x v="39"/>
    <x v="8"/>
    <n v="1"/>
  </r>
  <r>
    <x v="327"/>
    <x v="330"/>
    <s v="GCI"/>
    <x v="0"/>
    <x v="5"/>
    <x v="5"/>
    <x v="802"/>
    <x v="802"/>
    <x v="39"/>
    <x v="1"/>
    <n v="41"/>
  </r>
  <r>
    <x v="122"/>
    <x v="122"/>
    <s v="GCI"/>
    <x v="0"/>
    <x v="5"/>
    <x v="5"/>
    <x v="803"/>
    <x v="803"/>
    <x v="39"/>
    <x v="1"/>
    <n v="52"/>
  </r>
  <r>
    <x v="326"/>
    <x v="329"/>
    <s v="GCI"/>
    <x v="0"/>
    <x v="5"/>
    <x v="5"/>
    <x v="804"/>
    <x v="804"/>
    <x v="39"/>
    <x v="1"/>
    <n v="49"/>
  </r>
  <r>
    <x v="326"/>
    <x v="329"/>
    <s v="GCI"/>
    <x v="0"/>
    <x v="5"/>
    <x v="5"/>
    <x v="804"/>
    <x v="804"/>
    <x v="39"/>
    <x v="9"/>
    <n v="1"/>
  </r>
  <r>
    <x v="77"/>
    <x v="77"/>
    <s v="GCI"/>
    <x v="0"/>
    <x v="5"/>
    <x v="5"/>
    <x v="805"/>
    <x v="805"/>
    <x v="39"/>
    <x v="9"/>
    <n v="1"/>
  </r>
  <r>
    <x v="325"/>
    <x v="328"/>
    <s v="GCI"/>
    <x v="0"/>
    <x v="5"/>
    <x v="5"/>
    <x v="806"/>
    <x v="806"/>
    <x v="39"/>
    <x v="9"/>
    <n v="1"/>
  </r>
  <r>
    <x v="76"/>
    <x v="76"/>
    <s v="GCI"/>
    <x v="0"/>
    <x v="5"/>
    <x v="5"/>
    <x v="807"/>
    <x v="807"/>
    <x v="39"/>
    <x v="0"/>
    <n v="3000"/>
  </r>
  <r>
    <x v="176"/>
    <x v="177"/>
    <s v="GCI"/>
    <x v="0"/>
    <x v="4"/>
    <x v="5"/>
    <x v="808"/>
    <x v="808"/>
    <x v="39"/>
    <x v="2"/>
    <n v="3"/>
  </r>
  <r>
    <x v="328"/>
    <x v="331"/>
    <s v="GCI"/>
    <x v="0"/>
    <x v="3"/>
    <x v="5"/>
    <x v="809"/>
    <x v="809"/>
    <x v="39"/>
    <x v="8"/>
    <n v="3"/>
  </r>
  <r>
    <x v="328"/>
    <x v="331"/>
    <s v="GCI"/>
    <x v="0"/>
    <x v="3"/>
    <x v="5"/>
    <x v="809"/>
    <x v="809"/>
    <x v="39"/>
    <x v="4"/>
    <n v="2"/>
  </r>
  <r>
    <x v="328"/>
    <x v="331"/>
    <s v="GCI"/>
    <x v="0"/>
    <x v="3"/>
    <x v="5"/>
    <x v="809"/>
    <x v="809"/>
    <x v="39"/>
    <x v="6"/>
    <n v="116"/>
  </r>
  <r>
    <x v="328"/>
    <x v="331"/>
    <s v="GCI"/>
    <x v="0"/>
    <x v="3"/>
    <x v="5"/>
    <x v="809"/>
    <x v="809"/>
    <x v="39"/>
    <x v="5"/>
    <n v="8"/>
  </r>
  <r>
    <x v="328"/>
    <x v="331"/>
    <s v="GCI"/>
    <x v="0"/>
    <x v="3"/>
    <x v="5"/>
    <x v="809"/>
    <x v="809"/>
    <x v="39"/>
    <x v="7"/>
    <n v="6000"/>
  </r>
  <r>
    <x v="328"/>
    <x v="331"/>
    <s v="GCI"/>
    <x v="0"/>
    <x v="3"/>
    <x v="5"/>
    <x v="809"/>
    <x v="809"/>
    <x v="39"/>
    <x v="0"/>
    <n v="15000"/>
  </r>
  <r>
    <x v="329"/>
    <x v="332"/>
    <s v="GCI"/>
    <x v="0"/>
    <x v="5"/>
    <x v="5"/>
    <x v="810"/>
    <x v="810"/>
    <x v="92"/>
    <x v="1"/>
    <n v="27"/>
  </r>
  <r>
    <x v="329"/>
    <x v="332"/>
    <s v="GCI"/>
    <x v="0"/>
    <x v="5"/>
    <x v="5"/>
    <x v="810"/>
    <x v="810"/>
    <x v="92"/>
    <x v="2"/>
    <n v="2"/>
  </r>
  <r>
    <x v="329"/>
    <x v="332"/>
    <s v="GCI"/>
    <x v="0"/>
    <x v="5"/>
    <x v="5"/>
    <x v="810"/>
    <x v="810"/>
    <x v="92"/>
    <x v="9"/>
    <n v="1"/>
  </r>
  <r>
    <x v="329"/>
    <x v="332"/>
    <s v="GCI"/>
    <x v="0"/>
    <x v="5"/>
    <x v="5"/>
    <x v="811"/>
    <x v="811"/>
    <x v="92"/>
    <x v="8"/>
    <n v="1"/>
  </r>
  <r>
    <x v="329"/>
    <x v="332"/>
    <s v="GCI"/>
    <x v="0"/>
    <x v="5"/>
    <x v="5"/>
    <x v="811"/>
    <x v="811"/>
    <x v="92"/>
    <x v="6"/>
    <n v="8"/>
  </r>
  <r>
    <x v="330"/>
    <x v="333"/>
    <s v="GCI"/>
    <x v="0"/>
    <x v="5"/>
    <x v="5"/>
    <x v="812"/>
    <x v="812"/>
    <x v="92"/>
    <x v="1"/>
    <n v="32"/>
  </r>
  <r>
    <x v="330"/>
    <x v="333"/>
    <s v="GCI"/>
    <x v="0"/>
    <x v="5"/>
    <x v="5"/>
    <x v="812"/>
    <x v="812"/>
    <x v="92"/>
    <x v="2"/>
    <n v="1"/>
  </r>
  <r>
    <x v="330"/>
    <x v="333"/>
    <s v="GCI"/>
    <x v="0"/>
    <x v="5"/>
    <x v="5"/>
    <x v="812"/>
    <x v="812"/>
    <x v="92"/>
    <x v="3"/>
    <n v="1"/>
  </r>
  <r>
    <x v="330"/>
    <x v="333"/>
    <s v="GCI"/>
    <x v="0"/>
    <x v="5"/>
    <x v="5"/>
    <x v="812"/>
    <x v="812"/>
    <x v="92"/>
    <x v="9"/>
    <n v="1"/>
  </r>
  <r>
    <x v="330"/>
    <x v="333"/>
    <s v="GCI"/>
    <x v="0"/>
    <x v="5"/>
    <x v="5"/>
    <x v="813"/>
    <x v="813"/>
    <x v="92"/>
    <x v="8"/>
    <n v="1"/>
  </r>
  <r>
    <x v="330"/>
    <x v="333"/>
    <s v="GCI"/>
    <x v="0"/>
    <x v="5"/>
    <x v="5"/>
    <x v="813"/>
    <x v="813"/>
    <x v="92"/>
    <x v="6"/>
    <n v="11"/>
  </r>
  <r>
    <x v="331"/>
    <x v="334"/>
    <s v="GCI"/>
    <x v="0"/>
    <x v="5"/>
    <x v="5"/>
    <x v="814"/>
    <x v="814"/>
    <x v="92"/>
    <x v="1"/>
    <n v="27"/>
  </r>
  <r>
    <x v="331"/>
    <x v="334"/>
    <s v="GCI"/>
    <x v="0"/>
    <x v="5"/>
    <x v="5"/>
    <x v="814"/>
    <x v="814"/>
    <x v="92"/>
    <x v="2"/>
    <n v="2"/>
  </r>
  <r>
    <x v="331"/>
    <x v="334"/>
    <s v="GCI"/>
    <x v="0"/>
    <x v="5"/>
    <x v="5"/>
    <x v="815"/>
    <x v="815"/>
    <x v="92"/>
    <x v="6"/>
    <n v="10"/>
  </r>
  <r>
    <x v="332"/>
    <x v="335"/>
    <s v="GCI"/>
    <x v="0"/>
    <x v="5"/>
    <x v="5"/>
    <x v="816"/>
    <x v="816"/>
    <x v="92"/>
    <x v="1"/>
    <n v="8"/>
  </r>
  <r>
    <x v="332"/>
    <x v="335"/>
    <s v="GCI"/>
    <x v="0"/>
    <x v="5"/>
    <x v="5"/>
    <x v="816"/>
    <x v="816"/>
    <x v="92"/>
    <x v="3"/>
    <n v="1"/>
  </r>
  <r>
    <x v="332"/>
    <x v="335"/>
    <s v="GCI"/>
    <x v="0"/>
    <x v="5"/>
    <x v="5"/>
    <x v="817"/>
    <x v="817"/>
    <x v="92"/>
    <x v="8"/>
    <n v="1"/>
  </r>
  <r>
    <x v="332"/>
    <x v="335"/>
    <s v="GCI"/>
    <x v="0"/>
    <x v="5"/>
    <x v="5"/>
    <x v="817"/>
    <x v="817"/>
    <x v="92"/>
    <x v="6"/>
    <n v="6"/>
  </r>
  <r>
    <x v="330"/>
    <x v="333"/>
    <s v="GCI"/>
    <x v="0"/>
    <x v="5"/>
    <x v="5"/>
    <x v="813"/>
    <x v="813"/>
    <x v="92"/>
    <x v="0"/>
    <n v="3000"/>
  </r>
  <r>
    <x v="330"/>
    <x v="333"/>
    <s v="GCI"/>
    <x v="0"/>
    <x v="5"/>
    <x v="5"/>
    <x v="813"/>
    <x v="813"/>
    <x v="92"/>
    <x v="7"/>
    <n v="3000"/>
  </r>
  <r>
    <x v="331"/>
    <x v="334"/>
    <s v="GCI"/>
    <x v="0"/>
    <x v="5"/>
    <x v="5"/>
    <x v="815"/>
    <x v="815"/>
    <x v="92"/>
    <x v="0"/>
    <n v="3000"/>
  </r>
  <r>
    <x v="333"/>
    <x v="336"/>
    <s v="GCI"/>
    <x v="0"/>
    <x v="5"/>
    <x v="5"/>
    <x v="818"/>
    <x v="818"/>
    <x v="73"/>
    <x v="1"/>
    <n v="32"/>
  </r>
  <r>
    <x v="333"/>
    <x v="336"/>
    <s v="GCI"/>
    <x v="0"/>
    <x v="5"/>
    <x v="5"/>
    <x v="818"/>
    <x v="818"/>
    <x v="73"/>
    <x v="2"/>
    <n v="6"/>
  </r>
  <r>
    <x v="333"/>
    <x v="336"/>
    <s v="GCI"/>
    <x v="0"/>
    <x v="5"/>
    <x v="5"/>
    <x v="818"/>
    <x v="818"/>
    <x v="73"/>
    <x v="9"/>
    <n v="1"/>
  </r>
  <r>
    <x v="333"/>
    <x v="336"/>
    <s v="GCI"/>
    <x v="0"/>
    <x v="5"/>
    <x v="5"/>
    <x v="819"/>
    <x v="819"/>
    <x v="73"/>
    <x v="8"/>
    <n v="1"/>
  </r>
  <r>
    <x v="333"/>
    <x v="336"/>
    <s v="GCI"/>
    <x v="0"/>
    <x v="5"/>
    <x v="5"/>
    <x v="819"/>
    <x v="819"/>
    <x v="73"/>
    <x v="6"/>
    <n v="12"/>
  </r>
  <r>
    <x v="334"/>
    <x v="337"/>
    <s v="GCI"/>
    <x v="0"/>
    <x v="5"/>
    <x v="5"/>
    <x v="820"/>
    <x v="820"/>
    <x v="73"/>
    <x v="1"/>
    <n v="44"/>
  </r>
  <r>
    <x v="334"/>
    <x v="337"/>
    <s v="GCI"/>
    <x v="0"/>
    <x v="5"/>
    <x v="5"/>
    <x v="820"/>
    <x v="820"/>
    <x v="73"/>
    <x v="2"/>
    <n v="12"/>
  </r>
  <r>
    <x v="334"/>
    <x v="337"/>
    <s v="GCI"/>
    <x v="0"/>
    <x v="5"/>
    <x v="5"/>
    <x v="820"/>
    <x v="820"/>
    <x v="73"/>
    <x v="9"/>
    <n v="1"/>
  </r>
  <r>
    <x v="334"/>
    <x v="337"/>
    <s v="GCI"/>
    <x v="0"/>
    <x v="5"/>
    <x v="5"/>
    <x v="821"/>
    <x v="821"/>
    <x v="73"/>
    <x v="8"/>
    <n v="1"/>
  </r>
  <r>
    <x v="334"/>
    <x v="337"/>
    <s v="GCI"/>
    <x v="0"/>
    <x v="5"/>
    <x v="5"/>
    <x v="821"/>
    <x v="821"/>
    <x v="73"/>
    <x v="6"/>
    <n v="20"/>
  </r>
  <r>
    <x v="335"/>
    <x v="338"/>
    <s v="GCI"/>
    <x v="0"/>
    <x v="5"/>
    <x v="5"/>
    <x v="822"/>
    <x v="822"/>
    <x v="73"/>
    <x v="1"/>
    <n v="48"/>
  </r>
  <r>
    <x v="335"/>
    <x v="338"/>
    <s v="GCI"/>
    <x v="0"/>
    <x v="5"/>
    <x v="5"/>
    <x v="822"/>
    <x v="822"/>
    <x v="73"/>
    <x v="2"/>
    <n v="14"/>
  </r>
  <r>
    <x v="335"/>
    <x v="338"/>
    <s v="GCI"/>
    <x v="0"/>
    <x v="5"/>
    <x v="5"/>
    <x v="823"/>
    <x v="823"/>
    <x v="73"/>
    <x v="8"/>
    <n v="1"/>
  </r>
  <r>
    <x v="335"/>
    <x v="338"/>
    <s v="GCI"/>
    <x v="0"/>
    <x v="5"/>
    <x v="5"/>
    <x v="823"/>
    <x v="823"/>
    <x v="73"/>
    <x v="6"/>
    <n v="16"/>
  </r>
  <r>
    <x v="336"/>
    <x v="339"/>
    <s v="GCI"/>
    <x v="0"/>
    <x v="5"/>
    <x v="5"/>
    <x v="824"/>
    <x v="824"/>
    <x v="73"/>
    <x v="1"/>
    <n v="21"/>
  </r>
  <r>
    <x v="336"/>
    <x v="339"/>
    <s v="GCI"/>
    <x v="0"/>
    <x v="5"/>
    <x v="5"/>
    <x v="824"/>
    <x v="824"/>
    <x v="73"/>
    <x v="2"/>
    <n v="4"/>
  </r>
  <r>
    <x v="336"/>
    <x v="339"/>
    <s v="GCI"/>
    <x v="0"/>
    <x v="5"/>
    <x v="5"/>
    <x v="825"/>
    <x v="825"/>
    <x v="73"/>
    <x v="6"/>
    <n v="7"/>
  </r>
  <r>
    <x v="337"/>
    <x v="340"/>
    <s v="GCI"/>
    <x v="0"/>
    <x v="5"/>
    <x v="5"/>
    <x v="826"/>
    <x v="826"/>
    <x v="73"/>
    <x v="1"/>
    <n v="55"/>
  </r>
  <r>
    <x v="337"/>
    <x v="340"/>
    <s v="GCI"/>
    <x v="0"/>
    <x v="5"/>
    <x v="5"/>
    <x v="826"/>
    <x v="826"/>
    <x v="73"/>
    <x v="2"/>
    <n v="16"/>
  </r>
  <r>
    <x v="337"/>
    <x v="340"/>
    <s v="GCI"/>
    <x v="0"/>
    <x v="5"/>
    <x v="5"/>
    <x v="826"/>
    <x v="826"/>
    <x v="73"/>
    <x v="9"/>
    <n v="1"/>
  </r>
  <r>
    <x v="337"/>
    <x v="340"/>
    <s v="GCI"/>
    <x v="0"/>
    <x v="5"/>
    <x v="5"/>
    <x v="827"/>
    <x v="827"/>
    <x v="73"/>
    <x v="8"/>
    <n v="1"/>
  </r>
  <r>
    <x v="337"/>
    <x v="340"/>
    <s v="GCI"/>
    <x v="0"/>
    <x v="5"/>
    <x v="5"/>
    <x v="827"/>
    <x v="827"/>
    <x v="73"/>
    <x v="6"/>
    <n v="18"/>
  </r>
  <r>
    <x v="333"/>
    <x v="336"/>
    <s v="GCI"/>
    <x v="0"/>
    <x v="5"/>
    <x v="5"/>
    <x v="828"/>
    <x v="828"/>
    <x v="73"/>
    <x v="5"/>
    <n v="3"/>
  </r>
  <r>
    <x v="334"/>
    <x v="337"/>
    <s v="GCI"/>
    <x v="0"/>
    <x v="5"/>
    <x v="5"/>
    <x v="829"/>
    <x v="829"/>
    <x v="73"/>
    <x v="5"/>
    <n v="3"/>
  </r>
  <r>
    <x v="335"/>
    <x v="338"/>
    <s v="GCI"/>
    <x v="0"/>
    <x v="5"/>
    <x v="5"/>
    <x v="830"/>
    <x v="830"/>
    <x v="73"/>
    <x v="5"/>
    <n v="3"/>
  </r>
  <r>
    <x v="333"/>
    <x v="336"/>
    <s v="GCI"/>
    <x v="0"/>
    <x v="5"/>
    <x v="5"/>
    <x v="819"/>
    <x v="819"/>
    <x v="73"/>
    <x v="0"/>
    <n v="3000"/>
  </r>
  <r>
    <x v="334"/>
    <x v="337"/>
    <s v="GCI"/>
    <x v="0"/>
    <x v="5"/>
    <x v="5"/>
    <x v="821"/>
    <x v="821"/>
    <x v="73"/>
    <x v="0"/>
    <n v="3000"/>
  </r>
  <r>
    <x v="335"/>
    <x v="338"/>
    <s v="GCI"/>
    <x v="0"/>
    <x v="5"/>
    <x v="5"/>
    <x v="823"/>
    <x v="823"/>
    <x v="73"/>
    <x v="7"/>
    <n v="3000"/>
  </r>
  <r>
    <x v="337"/>
    <x v="340"/>
    <s v="GCI"/>
    <x v="0"/>
    <x v="5"/>
    <x v="5"/>
    <x v="827"/>
    <x v="827"/>
    <x v="73"/>
    <x v="7"/>
    <n v="3000"/>
  </r>
  <r>
    <x v="243"/>
    <x v="244"/>
    <s v="GCI"/>
    <x v="0"/>
    <x v="5"/>
    <x v="5"/>
    <x v="831"/>
    <x v="831"/>
    <x v="118"/>
    <x v="1"/>
    <n v="40"/>
  </r>
  <r>
    <x v="243"/>
    <x v="244"/>
    <s v="GCI"/>
    <x v="0"/>
    <x v="5"/>
    <x v="5"/>
    <x v="831"/>
    <x v="831"/>
    <x v="118"/>
    <x v="2"/>
    <n v="5"/>
  </r>
  <r>
    <x v="243"/>
    <x v="244"/>
    <s v="GCI"/>
    <x v="0"/>
    <x v="5"/>
    <x v="5"/>
    <x v="832"/>
    <x v="832"/>
    <x v="118"/>
    <x v="8"/>
    <n v="1"/>
  </r>
  <r>
    <x v="243"/>
    <x v="244"/>
    <s v="GCI"/>
    <x v="0"/>
    <x v="5"/>
    <x v="5"/>
    <x v="832"/>
    <x v="832"/>
    <x v="118"/>
    <x v="6"/>
    <n v="17"/>
  </r>
  <r>
    <x v="244"/>
    <x v="245"/>
    <s v="GCI"/>
    <x v="0"/>
    <x v="5"/>
    <x v="5"/>
    <x v="833"/>
    <x v="833"/>
    <x v="118"/>
    <x v="1"/>
    <n v="40"/>
  </r>
  <r>
    <x v="244"/>
    <x v="245"/>
    <s v="GCI"/>
    <x v="0"/>
    <x v="5"/>
    <x v="5"/>
    <x v="833"/>
    <x v="833"/>
    <x v="118"/>
    <x v="2"/>
    <n v="3"/>
  </r>
  <r>
    <x v="244"/>
    <x v="245"/>
    <s v="GCI"/>
    <x v="0"/>
    <x v="5"/>
    <x v="5"/>
    <x v="834"/>
    <x v="834"/>
    <x v="118"/>
    <x v="8"/>
    <n v="1"/>
  </r>
  <r>
    <x v="244"/>
    <x v="245"/>
    <s v="GCI"/>
    <x v="0"/>
    <x v="5"/>
    <x v="5"/>
    <x v="834"/>
    <x v="834"/>
    <x v="118"/>
    <x v="6"/>
    <n v="14"/>
  </r>
  <r>
    <x v="338"/>
    <x v="341"/>
    <s v="GCI"/>
    <x v="0"/>
    <x v="5"/>
    <x v="5"/>
    <x v="835"/>
    <x v="835"/>
    <x v="118"/>
    <x v="1"/>
    <n v="25"/>
  </r>
  <r>
    <x v="338"/>
    <x v="341"/>
    <s v="GCI"/>
    <x v="0"/>
    <x v="5"/>
    <x v="5"/>
    <x v="835"/>
    <x v="835"/>
    <x v="118"/>
    <x v="2"/>
    <n v="8"/>
  </r>
  <r>
    <x v="338"/>
    <x v="341"/>
    <s v="GCI"/>
    <x v="0"/>
    <x v="5"/>
    <x v="5"/>
    <x v="836"/>
    <x v="836"/>
    <x v="118"/>
    <x v="8"/>
    <n v="1"/>
  </r>
  <r>
    <x v="338"/>
    <x v="341"/>
    <s v="GCI"/>
    <x v="0"/>
    <x v="5"/>
    <x v="5"/>
    <x v="836"/>
    <x v="836"/>
    <x v="118"/>
    <x v="6"/>
    <n v="14"/>
  </r>
  <r>
    <x v="339"/>
    <x v="342"/>
    <s v="GCI"/>
    <x v="0"/>
    <x v="5"/>
    <x v="5"/>
    <x v="837"/>
    <x v="837"/>
    <x v="118"/>
    <x v="1"/>
    <n v="29"/>
  </r>
  <r>
    <x v="339"/>
    <x v="342"/>
    <s v="GCI"/>
    <x v="0"/>
    <x v="5"/>
    <x v="5"/>
    <x v="837"/>
    <x v="837"/>
    <x v="118"/>
    <x v="2"/>
    <n v="5"/>
  </r>
  <r>
    <x v="339"/>
    <x v="342"/>
    <s v="GCI"/>
    <x v="0"/>
    <x v="5"/>
    <x v="5"/>
    <x v="838"/>
    <x v="838"/>
    <x v="118"/>
    <x v="8"/>
    <n v="1"/>
  </r>
  <r>
    <x v="339"/>
    <x v="342"/>
    <s v="GCI"/>
    <x v="0"/>
    <x v="5"/>
    <x v="5"/>
    <x v="838"/>
    <x v="838"/>
    <x v="118"/>
    <x v="6"/>
    <n v="14"/>
  </r>
  <r>
    <x v="340"/>
    <x v="343"/>
    <s v="GCI"/>
    <x v="0"/>
    <x v="5"/>
    <x v="5"/>
    <x v="839"/>
    <x v="839"/>
    <x v="118"/>
    <x v="1"/>
    <n v="36"/>
  </r>
  <r>
    <x v="340"/>
    <x v="343"/>
    <s v="GCI"/>
    <x v="0"/>
    <x v="5"/>
    <x v="5"/>
    <x v="839"/>
    <x v="839"/>
    <x v="118"/>
    <x v="2"/>
    <n v="3"/>
  </r>
  <r>
    <x v="340"/>
    <x v="343"/>
    <s v="GCI"/>
    <x v="0"/>
    <x v="5"/>
    <x v="5"/>
    <x v="840"/>
    <x v="840"/>
    <x v="118"/>
    <x v="8"/>
    <n v="1"/>
  </r>
  <r>
    <x v="340"/>
    <x v="343"/>
    <s v="GCI"/>
    <x v="0"/>
    <x v="5"/>
    <x v="5"/>
    <x v="840"/>
    <x v="840"/>
    <x v="118"/>
    <x v="6"/>
    <n v="12"/>
  </r>
  <r>
    <x v="245"/>
    <x v="246"/>
    <s v="GCI"/>
    <x v="0"/>
    <x v="5"/>
    <x v="5"/>
    <x v="841"/>
    <x v="841"/>
    <x v="118"/>
    <x v="1"/>
    <n v="12"/>
  </r>
  <r>
    <x v="245"/>
    <x v="246"/>
    <s v="GCI"/>
    <x v="0"/>
    <x v="5"/>
    <x v="5"/>
    <x v="841"/>
    <x v="841"/>
    <x v="118"/>
    <x v="2"/>
    <n v="3"/>
  </r>
  <r>
    <x v="245"/>
    <x v="246"/>
    <s v="GCI"/>
    <x v="0"/>
    <x v="5"/>
    <x v="5"/>
    <x v="842"/>
    <x v="842"/>
    <x v="118"/>
    <x v="6"/>
    <n v="5"/>
  </r>
  <r>
    <x v="243"/>
    <x v="244"/>
    <s v="GCI"/>
    <x v="0"/>
    <x v="5"/>
    <x v="5"/>
    <x v="832"/>
    <x v="832"/>
    <x v="118"/>
    <x v="0"/>
    <n v="3000"/>
  </r>
  <r>
    <x v="244"/>
    <x v="245"/>
    <s v="GCI"/>
    <x v="0"/>
    <x v="5"/>
    <x v="5"/>
    <x v="834"/>
    <x v="834"/>
    <x v="118"/>
    <x v="0"/>
    <n v="3000"/>
  </r>
  <r>
    <x v="338"/>
    <x v="341"/>
    <s v="GCI"/>
    <x v="0"/>
    <x v="5"/>
    <x v="5"/>
    <x v="836"/>
    <x v="836"/>
    <x v="118"/>
    <x v="0"/>
    <n v="3000"/>
  </r>
  <r>
    <x v="340"/>
    <x v="343"/>
    <s v="GCI"/>
    <x v="0"/>
    <x v="5"/>
    <x v="5"/>
    <x v="840"/>
    <x v="840"/>
    <x v="118"/>
    <x v="0"/>
    <n v="3000"/>
  </r>
  <r>
    <x v="341"/>
    <x v="344"/>
    <s v="GCI"/>
    <x v="0"/>
    <x v="5"/>
    <x v="5"/>
    <x v="843"/>
    <x v="843"/>
    <x v="98"/>
    <x v="1"/>
    <n v="49"/>
  </r>
  <r>
    <x v="341"/>
    <x v="344"/>
    <s v="GCI"/>
    <x v="0"/>
    <x v="5"/>
    <x v="5"/>
    <x v="843"/>
    <x v="843"/>
    <x v="98"/>
    <x v="2"/>
    <n v="6"/>
  </r>
  <r>
    <x v="341"/>
    <x v="344"/>
    <s v="GCI"/>
    <x v="0"/>
    <x v="5"/>
    <x v="5"/>
    <x v="843"/>
    <x v="843"/>
    <x v="98"/>
    <x v="9"/>
    <n v="1"/>
  </r>
  <r>
    <x v="341"/>
    <x v="344"/>
    <s v="GCI"/>
    <x v="0"/>
    <x v="5"/>
    <x v="5"/>
    <x v="844"/>
    <x v="844"/>
    <x v="98"/>
    <x v="4"/>
    <n v="1"/>
  </r>
  <r>
    <x v="341"/>
    <x v="344"/>
    <s v="GCI"/>
    <x v="0"/>
    <x v="5"/>
    <x v="5"/>
    <x v="844"/>
    <x v="844"/>
    <x v="98"/>
    <x v="6"/>
    <n v="17"/>
  </r>
  <r>
    <x v="342"/>
    <x v="345"/>
    <s v="GCI"/>
    <x v="0"/>
    <x v="5"/>
    <x v="5"/>
    <x v="845"/>
    <x v="845"/>
    <x v="98"/>
    <x v="1"/>
    <n v="37"/>
  </r>
  <r>
    <x v="342"/>
    <x v="345"/>
    <s v="GCI"/>
    <x v="0"/>
    <x v="5"/>
    <x v="5"/>
    <x v="845"/>
    <x v="845"/>
    <x v="98"/>
    <x v="2"/>
    <n v="5"/>
  </r>
  <r>
    <x v="342"/>
    <x v="345"/>
    <s v="GCI"/>
    <x v="0"/>
    <x v="5"/>
    <x v="5"/>
    <x v="845"/>
    <x v="845"/>
    <x v="98"/>
    <x v="9"/>
    <n v="1"/>
  </r>
  <r>
    <x v="342"/>
    <x v="345"/>
    <s v="GCI"/>
    <x v="0"/>
    <x v="5"/>
    <x v="5"/>
    <x v="846"/>
    <x v="846"/>
    <x v="98"/>
    <x v="4"/>
    <n v="1"/>
  </r>
  <r>
    <x v="342"/>
    <x v="345"/>
    <s v="GCI"/>
    <x v="0"/>
    <x v="5"/>
    <x v="5"/>
    <x v="846"/>
    <x v="846"/>
    <x v="98"/>
    <x v="6"/>
    <n v="14"/>
  </r>
  <r>
    <x v="343"/>
    <x v="346"/>
    <s v="GCI"/>
    <x v="0"/>
    <x v="5"/>
    <x v="5"/>
    <x v="847"/>
    <x v="847"/>
    <x v="98"/>
    <x v="1"/>
    <n v="44"/>
  </r>
  <r>
    <x v="343"/>
    <x v="346"/>
    <s v="GCI"/>
    <x v="0"/>
    <x v="5"/>
    <x v="5"/>
    <x v="847"/>
    <x v="847"/>
    <x v="98"/>
    <x v="2"/>
    <n v="3"/>
  </r>
  <r>
    <x v="343"/>
    <x v="346"/>
    <s v="GCI"/>
    <x v="0"/>
    <x v="5"/>
    <x v="5"/>
    <x v="847"/>
    <x v="847"/>
    <x v="98"/>
    <x v="9"/>
    <n v="1"/>
  </r>
  <r>
    <x v="343"/>
    <x v="346"/>
    <s v="GCI"/>
    <x v="0"/>
    <x v="5"/>
    <x v="5"/>
    <x v="848"/>
    <x v="848"/>
    <x v="98"/>
    <x v="4"/>
    <n v="1"/>
  </r>
  <r>
    <x v="343"/>
    <x v="346"/>
    <s v="GCI"/>
    <x v="0"/>
    <x v="5"/>
    <x v="5"/>
    <x v="848"/>
    <x v="848"/>
    <x v="98"/>
    <x v="6"/>
    <n v="12"/>
  </r>
  <r>
    <x v="341"/>
    <x v="344"/>
    <s v="GCI"/>
    <x v="0"/>
    <x v="5"/>
    <x v="5"/>
    <x v="844"/>
    <x v="844"/>
    <x v="98"/>
    <x v="0"/>
    <n v="3000"/>
  </r>
  <r>
    <x v="343"/>
    <x v="346"/>
    <s v="GCI"/>
    <x v="0"/>
    <x v="5"/>
    <x v="5"/>
    <x v="848"/>
    <x v="848"/>
    <x v="98"/>
    <x v="0"/>
    <n v="3000"/>
  </r>
  <r>
    <x v="343"/>
    <x v="346"/>
    <s v="GCI"/>
    <x v="0"/>
    <x v="5"/>
    <x v="5"/>
    <x v="848"/>
    <x v="848"/>
    <x v="98"/>
    <x v="7"/>
    <n v="3000"/>
  </r>
  <r>
    <x v="344"/>
    <x v="347"/>
    <s v="GCI"/>
    <x v="0"/>
    <x v="5"/>
    <x v="5"/>
    <x v="849"/>
    <x v="849"/>
    <x v="44"/>
    <x v="9"/>
    <n v="1"/>
  </r>
  <r>
    <x v="344"/>
    <x v="347"/>
    <s v="GCI"/>
    <x v="0"/>
    <x v="5"/>
    <x v="5"/>
    <x v="850"/>
    <x v="850"/>
    <x v="44"/>
    <x v="4"/>
    <n v="1"/>
  </r>
  <r>
    <x v="344"/>
    <x v="347"/>
    <s v="GCI"/>
    <x v="0"/>
    <x v="5"/>
    <x v="5"/>
    <x v="850"/>
    <x v="850"/>
    <x v="44"/>
    <x v="6"/>
    <n v="19"/>
  </r>
  <r>
    <x v="338"/>
    <x v="341"/>
    <s v="GCI"/>
    <x v="0"/>
    <x v="5"/>
    <x v="5"/>
    <x v="851"/>
    <x v="851"/>
    <x v="44"/>
    <x v="9"/>
    <n v="1"/>
  </r>
  <r>
    <x v="339"/>
    <x v="342"/>
    <s v="GCI"/>
    <x v="0"/>
    <x v="5"/>
    <x v="5"/>
    <x v="852"/>
    <x v="852"/>
    <x v="44"/>
    <x v="9"/>
    <n v="1"/>
  </r>
  <r>
    <x v="340"/>
    <x v="343"/>
    <s v="GCI"/>
    <x v="0"/>
    <x v="5"/>
    <x v="5"/>
    <x v="853"/>
    <x v="853"/>
    <x v="44"/>
    <x v="9"/>
    <n v="1"/>
  </r>
  <r>
    <x v="320"/>
    <x v="323"/>
    <s v="GCI"/>
    <x v="0"/>
    <x v="5"/>
    <x v="5"/>
    <x v="854"/>
    <x v="854"/>
    <x v="44"/>
    <x v="9"/>
    <n v="1"/>
  </r>
  <r>
    <x v="344"/>
    <x v="347"/>
    <s v="GCI"/>
    <x v="0"/>
    <x v="5"/>
    <x v="5"/>
    <x v="850"/>
    <x v="850"/>
    <x v="44"/>
    <x v="7"/>
    <n v="3000"/>
  </r>
  <r>
    <x v="251"/>
    <x v="252"/>
    <s v="GCI"/>
    <x v="0"/>
    <x v="3"/>
    <x v="5"/>
    <x v="855"/>
    <x v="855"/>
    <x v="44"/>
    <x v="1"/>
    <n v="310"/>
  </r>
  <r>
    <x v="251"/>
    <x v="252"/>
    <s v="GCI"/>
    <x v="0"/>
    <x v="3"/>
    <x v="5"/>
    <x v="855"/>
    <x v="855"/>
    <x v="44"/>
    <x v="2"/>
    <n v="51"/>
  </r>
  <r>
    <x v="251"/>
    <x v="252"/>
    <s v="GCI"/>
    <x v="0"/>
    <x v="3"/>
    <x v="5"/>
    <x v="856"/>
    <x v="856"/>
    <x v="44"/>
    <x v="4"/>
    <n v="5"/>
  </r>
  <r>
    <x v="251"/>
    <x v="252"/>
    <s v="GCI"/>
    <x v="0"/>
    <x v="3"/>
    <x v="5"/>
    <x v="856"/>
    <x v="856"/>
    <x v="44"/>
    <x v="6"/>
    <n v="107"/>
  </r>
  <r>
    <x v="251"/>
    <x v="252"/>
    <s v="GCI"/>
    <x v="0"/>
    <x v="3"/>
    <x v="5"/>
    <x v="856"/>
    <x v="856"/>
    <x v="44"/>
    <x v="7"/>
    <n v="6000"/>
  </r>
  <r>
    <x v="251"/>
    <x v="252"/>
    <s v="GCI"/>
    <x v="0"/>
    <x v="3"/>
    <x v="5"/>
    <x v="856"/>
    <x v="856"/>
    <x v="44"/>
    <x v="0"/>
    <n v="12000"/>
  </r>
  <r>
    <x v="345"/>
    <x v="348"/>
    <s v="GCI"/>
    <x v="0"/>
    <x v="11"/>
    <x v="5"/>
    <x v="857"/>
    <x v="857"/>
    <x v="119"/>
    <x v="11"/>
    <n v="30"/>
  </r>
  <r>
    <x v="346"/>
    <x v="349"/>
    <s v="GCI"/>
    <x v="0"/>
    <x v="3"/>
    <x v="5"/>
    <x v="858"/>
    <x v="858"/>
    <x v="120"/>
    <x v="0"/>
    <n v="3000"/>
  </r>
  <r>
    <x v="346"/>
    <x v="349"/>
    <s v="GCI"/>
    <x v="0"/>
    <x v="3"/>
    <x v="5"/>
    <x v="858"/>
    <x v="858"/>
    <x v="120"/>
    <x v="7"/>
    <n v="12000"/>
  </r>
  <r>
    <x v="346"/>
    <x v="349"/>
    <s v="GCI"/>
    <x v="0"/>
    <x v="3"/>
    <x v="5"/>
    <x v="858"/>
    <x v="858"/>
    <x v="120"/>
    <x v="4"/>
    <n v="2"/>
  </r>
  <r>
    <x v="346"/>
    <x v="349"/>
    <s v="GCI"/>
    <x v="0"/>
    <x v="3"/>
    <x v="5"/>
    <x v="858"/>
    <x v="858"/>
    <x v="120"/>
    <x v="6"/>
    <n v="70"/>
  </r>
  <r>
    <x v="346"/>
    <x v="349"/>
    <s v="GCI"/>
    <x v="0"/>
    <x v="3"/>
    <x v="5"/>
    <x v="859"/>
    <x v="859"/>
    <x v="121"/>
    <x v="1"/>
    <n v="195"/>
  </r>
  <r>
    <x v="346"/>
    <x v="349"/>
    <s v="GCI"/>
    <x v="0"/>
    <x v="3"/>
    <x v="5"/>
    <x v="859"/>
    <x v="859"/>
    <x v="121"/>
    <x v="2"/>
    <n v="34"/>
  </r>
  <r>
    <x v="346"/>
    <x v="349"/>
    <s v="GCI"/>
    <x v="0"/>
    <x v="3"/>
    <x v="5"/>
    <x v="859"/>
    <x v="859"/>
    <x v="121"/>
    <x v="3"/>
    <n v="2"/>
  </r>
  <r>
    <x v="347"/>
    <x v="350"/>
    <s v="GCI"/>
    <x v="0"/>
    <x v="4"/>
    <x v="6"/>
    <x v="860"/>
    <x v="860"/>
    <x v="122"/>
    <x v="5"/>
    <n v="3"/>
  </r>
  <r>
    <x v="348"/>
    <x v="351"/>
    <s v="GCI"/>
    <x v="0"/>
    <x v="4"/>
    <x v="6"/>
    <x v="861"/>
    <x v="861"/>
    <x v="60"/>
    <x v="5"/>
    <n v="3"/>
  </r>
  <r>
    <x v="349"/>
    <x v="352"/>
    <s v="GCI"/>
    <x v="0"/>
    <x v="4"/>
    <x v="6"/>
    <x v="862"/>
    <x v="862"/>
    <x v="123"/>
    <x v="5"/>
    <n v="3"/>
  </r>
  <r>
    <x v="350"/>
    <x v="353"/>
    <s v="GCI"/>
    <x v="0"/>
    <x v="4"/>
    <x v="6"/>
    <x v="863"/>
    <x v="863"/>
    <x v="123"/>
    <x v="5"/>
    <n v="6"/>
  </r>
  <r>
    <x v="351"/>
    <x v="354"/>
    <s v="GCI"/>
    <x v="0"/>
    <x v="4"/>
    <x v="6"/>
    <x v="864"/>
    <x v="864"/>
    <x v="24"/>
    <x v="5"/>
    <n v="3"/>
  </r>
  <r>
    <x v="352"/>
    <x v="355"/>
    <s v="GCI"/>
    <x v="0"/>
    <x v="4"/>
    <x v="6"/>
    <x v="865"/>
    <x v="865"/>
    <x v="2"/>
    <x v="5"/>
    <n v="3"/>
  </r>
  <r>
    <x v="353"/>
    <x v="356"/>
    <s v="GCI"/>
    <x v="0"/>
    <x v="4"/>
    <x v="6"/>
    <x v="866"/>
    <x v="866"/>
    <x v="2"/>
    <x v="5"/>
    <n v="3"/>
  </r>
  <r>
    <x v="354"/>
    <x v="357"/>
    <s v="GCI"/>
    <x v="0"/>
    <x v="4"/>
    <x v="6"/>
    <x v="867"/>
    <x v="867"/>
    <x v="28"/>
    <x v="5"/>
    <n v="3"/>
  </r>
  <r>
    <x v="355"/>
    <x v="358"/>
    <s v="GCI"/>
    <x v="0"/>
    <x v="4"/>
    <x v="6"/>
    <x v="868"/>
    <x v="868"/>
    <x v="124"/>
    <x v="5"/>
    <n v="3"/>
  </r>
  <r>
    <x v="356"/>
    <x v="359"/>
    <s v="GCI"/>
    <x v="0"/>
    <x v="4"/>
    <x v="6"/>
    <x v="869"/>
    <x v="869"/>
    <x v="124"/>
    <x v="5"/>
    <n v="3"/>
  </r>
  <r>
    <x v="357"/>
    <x v="360"/>
    <s v="GCI"/>
    <x v="0"/>
    <x v="4"/>
    <x v="6"/>
    <x v="870"/>
    <x v="870"/>
    <x v="124"/>
    <x v="5"/>
    <n v="3"/>
  </r>
  <r>
    <x v="358"/>
    <x v="361"/>
    <s v="GCI"/>
    <x v="0"/>
    <x v="4"/>
    <x v="6"/>
    <x v="871"/>
    <x v="871"/>
    <x v="40"/>
    <x v="5"/>
    <n v="3"/>
  </r>
  <r>
    <x v="359"/>
    <x v="362"/>
    <s v="GCI"/>
    <x v="0"/>
    <x v="4"/>
    <x v="6"/>
    <x v="872"/>
    <x v="872"/>
    <x v="40"/>
    <x v="5"/>
    <n v="3"/>
  </r>
  <r>
    <x v="360"/>
    <x v="363"/>
    <s v="GCI"/>
    <x v="0"/>
    <x v="4"/>
    <x v="6"/>
    <x v="873"/>
    <x v="873"/>
    <x v="40"/>
    <x v="5"/>
    <n v="3"/>
  </r>
  <r>
    <x v="361"/>
    <x v="364"/>
    <s v="GCI"/>
    <x v="0"/>
    <x v="4"/>
    <x v="6"/>
    <x v="874"/>
    <x v="874"/>
    <x v="40"/>
    <x v="5"/>
    <n v="6"/>
  </r>
  <r>
    <x v="264"/>
    <x v="265"/>
    <s v="GCI"/>
    <x v="0"/>
    <x v="4"/>
    <x v="6"/>
    <x v="875"/>
    <x v="875"/>
    <x v="74"/>
    <x v="5"/>
    <n v="4"/>
  </r>
  <r>
    <x v="362"/>
    <x v="365"/>
    <s v="GCI"/>
    <x v="0"/>
    <x v="4"/>
    <x v="6"/>
    <x v="876"/>
    <x v="876"/>
    <x v="74"/>
    <x v="5"/>
    <n v="3"/>
  </r>
  <r>
    <x v="347"/>
    <x v="350"/>
    <s v="GCI"/>
    <x v="0"/>
    <x v="4"/>
    <x v="6"/>
    <x v="860"/>
    <x v="860"/>
    <x v="122"/>
    <x v="0"/>
    <n v="3000"/>
  </r>
  <r>
    <x v="347"/>
    <x v="350"/>
    <s v="GCI"/>
    <x v="0"/>
    <x v="4"/>
    <x v="6"/>
    <x v="860"/>
    <x v="860"/>
    <x v="122"/>
    <x v="7"/>
    <n v="3000"/>
  </r>
  <r>
    <x v="348"/>
    <x v="351"/>
    <s v="GCI"/>
    <x v="0"/>
    <x v="4"/>
    <x v="6"/>
    <x v="877"/>
    <x v="877"/>
    <x v="60"/>
    <x v="7"/>
    <n v="3000"/>
  </r>
  <r>
    <x v="363"/>
    <x v="366"/>
    <s v="GCI"/>
    <x v="0"/>
    <x v="4"/>
    <x v="6"/>
    <x v="878"/>
    <x v="878"/>
    <x v="125"/>
    <x v="7"/>
    <n v="3000"/>
  </r>
  <r>
    <x v="364"/>
    <x v="367"/>
    <s v="GCI"/>
    <x v="0"/>
    <x v="4"/>
    <x v="6"/>
    <x v="879"/>
    <x v="879"/>
    <x v="126"/>
    <x v="0"/>
    <n v="3000"/>
  </r>
  <r>
    <x v="365"/>
    <x v="368"/>
    <s v="GCI"/>
    <x v="0"/>
    <x v="4"/>
    <x v="6"/>
    <x v="880"/>
    <x v="880"/>
    <x v="80"/>
    <x v="0"/>
    <n v="3000"/>
  </r>
  <r>
    <x v="365"/>
    <x v="368"/>
    <s v="GCI"/>
    <x v="0"/>
    <x v="4"/>
    <x v="6"/>
    <x v="881"/>
    <x v="881"/>
    <x v="127"/>
    <x v="0"/>
    <n v="3000"/>
  </r>
  <r>
    <x v="366"/>
    <x v="369"/>
    <s v="GCI"/>
    <x v="0"/>
    <x v="4"/>
    <x v="6"/>
    <x v="882"/>
    <x v="882"/>
    <x v="127"/>
    <x v="7"/>
    <n v="3000"/>
  </r>
  <r>
    <x v="365"/>
    <x v="368"/>
    <s v="GCI"/>
    <x v="0"/>
    <x v="4"/>
    <x v="6"/>
    <x v="881"/>
    <x v="881"/>
    <x v="127"/>
    <x v="7"/>
    <n v="3000"/>
  </r>
  <r>
    <x v="367"/>
    <x v="370"/>
    <s v="GCI"/>
    <x v="0"/>
    <x v="4"/>
    <x v="6"/>
    <x v="883"/>
    <x v="883"/>
    <x v="128"/>
    <x v="0"/>
    <n v="3000"/>
  </r>
  <r>
    <x v="368"/>
    <x v="371"/>
    <s v="GCI"/>
    <x v="0"/>
    <x v="4"/>
    <x v="6"/>
    <x v="884"/>
    <x v="884"/>
    <x v="128"/>
    <x v="0"/>
    <n v="3000"/>
  </r>
  <r>
    <x v="369"/>
    <x v="372"/>
    <s v="GCI"/>
    <x v="0"/>
    <x v="4"/>
    <x v="6"/>
    <x v="885"/>
    <x v="885"/>
    <x v="128"/>
    <x v="0"/>
    <n v="3000"/>
  </r>
  <r>
    <x v="370"/>
    <x v="373"/>
    <s v="GCI"/>
    <x v="0"/>
    <x v="4"/>
    <x v="6"/>
    <x v="886"/>
    <x v="886"/>
    <x v="128"/>
    <x v="7"/>
    <n v="3000"/>
  </r>
  <r>
    <x v="369"/>
    <x v="372"/>
    <s v="GCI"/>
    <x v="0"/>
    <x v="4"/>
    <x v="6"/>
    <x v="885"/>
    <x v="885"/>
    <x v="128"/>
    <x v="7"/>
    <n v="3000"/>
  </r>
  <r>
    <x v="371"/>
    <x v="374"/>
    <s v="GCI"/>
    <x v="0"/>
    <x v="4"/>
    <x v="6"/>
    <x v="887"/>
    <x v="887"/>
    <x v="129"/>
    <x v="0"/>
    <n v="3000"/>
  </r>
  <r>
    <x v="371"/>
    <x v="374"/>
    <s v="GCI"/>
    <x v="0"/>
    <x v="4"/>
    <x v="6"/>
    <x v="887"/>
    <x v="887"/>
    <x v="129"/>
    <x v="7"/>
    <n v="3000"/>
  </r>
  <r>
    <x v="372"/>
    <x v="375"/>
    <s v="GCI"/>
    <x v="0"/>
    <x v="4"/>
    <x v="6"/>
    <x v="888"/>
    <x v="888"/>
    <x v="67"/>
    <x v="0"/>
    <n v="3000"/>
  </r>
  <r>
    <x v="315"/>
    <x v="318"/>
    <s v="GCI"/>
    <x v="0"/>
    <x v="4"/>
    <x v="6"/>
    <x v="889"/>
    <x v="889"/>
    <x v="67"/>
    <x v="0"/>
    <n v="3000"/>
  </r>
  <r>
    <x v="373"/>
    <x v="376"/>
    <s v="GCI"/>
    <x v="0"/>
    <x v="4"/>
    <x v="6"/>
    <x v="890"/>
    <x v="890"/>
    <x v="18"/>
    <x v="0"/>
    <n v="6000"/>
  </r>
  <r>
    <x v="373"/>
    <x v="376"/>
    <s v="GCI"/>
    <x v="0"/>
    <x v="4"/>
    <x v="6"/>
    <x v="890"/>
    <x v="890"/>
    <x v="18"/>
    <x v="7"/>
    <n v="3000"/>
  </r>
  <r>
    <x v="374"/>
    <x v="377"/>
    <s v="GCI"/>
    <x v="0"/>
    <x v="4"/>
    <x v="6"/>
    <x v="891"/>
    <x v="891"/>
    <x v="18"/>
    <x v="7"/>
    <n v="3000"/>
  </r>
  <r>
    <x v="375"/>
    <x v="378"/>
    <s v="GCI"/>
    <x v="0"/>
    <x v="4"/>
    <x v="6"/>
    <x v="892"/>
    <x v="892"/>
    <x v="18"/>
    <x v="13"/>
    <n v="6000"/>
  </r>
  <r>
    <x v="350"/>
    <x v="353"/>
    <s v="GCI"/>
    <x v="0"/>
    <x v="4"/>
    <x v="6"/>
    <x v="863"/>
    <x v="863"/>
    <x v="123"/>
    <x v="0"/>
    <n v="3000"/>
  </r>
  <r>
    <x v="350"/>
    <x v="353"/>
    <s v="GCI"/>
    <x v="0"/>
    <x v="4"/>
    <x v="6"/>
    <x v="863"/>
    <x v="863"/>
    <x v="123"/>
    <x v="7"/>
    <n v="6000"/>
  </r>
  <r>
    <x v="351"/>
    <x v="354"/>
    <s v="GCI"/>
    <x v="0"/>
    <x v="4"/>
    <x v="6"/>
    <x v="864"/>
    <x v="864"/>
    <x v="24"/>
    <x v="7"/>
    <n v="3000"/>
  </r>
  <r>
    <x v="350"/>
    <x v="353"/>
    <s v="GCI"/>
    <x v="0"/>
    <x v="4"/>
    <x v="6"/>
    <x v="893"/>
    <x v="893"/>
    <x v="24"/>
    <x v="7"/>
    <n v="3000"/>
  </r>
  <r>
    <x v="353"/>
    <x v="356"/>
    <s v="GCI"/>
    <x v="0"/>
    <x v="4"/>
    <x v="6"/>
    <x v="866"/>
    <x v="866"/>
    <x v="2"/>
    <x v="0"/>
    <n v="3000"/>
  </r>
  <r>
    <x v="376"/>
    <x v="379"/>
    <s v="GCI"/>
    <x v="0"/>
    <x v="4"/>
    <x v="6"/>
    <x v="894"/>
    <x v="894"/>
    <x v="2"/>
    <x v="7"/>
    <n v="3000"/>
  </r>
  <r>
    <x v="52"/>
    <x v="52"/>
    <s v="GCI"/>
    <x v="0"/>
    <x v="4"/>
    <x v="6"/>
    <x v="895"/>
    <x v="895"/>
    <x v="130"/>
    <x v="0"/>
    <n v="3000"/>
  </r>
  <r>
    <x v="54"/>
    <x v="54"/>
    <s v="GCI"/>
    <x v="0"/>
    <x v="4"/>
    <x v="6"/>
    <x v="896"/>
    <x v="896"/>
    <x v="130"/>
    <x v="0"/>
    <n v="3000"/>
  </r>
  <r>
    <x v="377"/>
    <x v="380"/>
    <s v="GCI"/>
    <x v="0"/>
    <x v="4"/>
    <x v="6"/>
    <x v="897"/>
    <x v="897"/>
    <x v="29"/>
    <x v="0"/>
    <n v="3000"/>
  </r>
  <r>
    <x v="354"/>
    <x v="357"/>
    <s v="GCI"/>
    <x v="0"/>
    <x v="4"/>
    <x v="6"/>
    <x v="898"/>
    <x v="898"/>
    <x v="30"/>
    <x v="0"/>
    <n v="3000"/>
  </r>
  <r>
    <x v="356"/>
    <x v="359"/>
    <s v="GCI"/>
    <x v="0"/>
    <x v="4"/>
    <x v="6"/>
    <x v="869"/>
    <x v="869"/>
    <x v="124"/>
    <x v="0"/>
    <n v="3000"/>
  </r>
  <r>
    <x v="357"/>
    <x v="360"/>
    <s v="GCI"/>
    <x v="0"/>
    <x v="4"/>
    <x v="6"/>
    <x v="870"/>
    <x v="870"/>
    <x v="124"/>
    <x v="0"/>
    <n v="3000"/>
  </r>
  <r>
    <x v="378"/>
    <x v="381"/>
    <s v="GCI"/>
    <x v="0"/>
    <x v="4"/>
    <x v="6"/>
    <x v="899"/>
    <x v="899"/>
    <x v="124"/>
    <x v="7"/>
    <n v="3000"/>
  </r>
  <r>
    <x v="172"/>
    <x v="173"/>
    <s v="GCI"/>
    <x v="0"/>
    <x v="4"/>
    <x v="6"/>
    <x v="900"/>
    <x v="900"/>
    <x v="131"/>
    <x v="7"/>
    <n v="3000"/>
  </r>
  <r>
    <x v="173"/>
    <x v="174"/>
    <s v="GCI"/>
    <x v="0"/>
    <x v="4"/>
    <x v="6"/>
    <x v="901"/>
    <x v="901"/>
    <x v="131"/>
    <x v="7"/>
    <n v="6000"/>
  </r>
  <r>
    <x v="174"/>
    <x v="175"/>
    <s v="GCI"/>
    <x v="0"/>
    <x v="4"/>
    <x v="6"/>
    <x v="902"/>
    <x v="902"/>
    <x v="132"/>
    <x v="0"/>
    <n v="3000"/>
  </r>
  <r>
    <x v="172"/>
    <x v="173"/>
    <s v="GCI"/>
    <x v="0"/>
    <x v="4"/>
    <x v="6"/>
    <x v="903"/>
    <x v="903"/>
    <x v="132"/>
    <x v="0"/>
    <n v="3000"/>
  </r>
  <r>
    <x v="177"/>
    <x v="178"/>
    <s v="GCI"/>
    <x v="0"/>
    <x v="4"/>
    <x v="6"/>
    <x v="904"/>
    <x v="904"/>
    <x v="132"/>
    <x v="0"/>
    <n v="6000"/>
  </r>
  <r>
    <x v="88"/>
    <x v="88"/>
    <s v="GCI"/>
    <x v="0"/>
    <x v="4"/>
    <x v="6"/>
    <x v="905"/>
    <x v="905"/>
    <x v="37"/>
    <x v="7"/>
    <n v="3000"/>
  </r>
  <r>
    <x v="379"/>
    <x v="382"/>
    <s v="GCI"/>
    <x v="0"/>
    <x v="4"/>
    <x v="6"/>
    <x v="906"/>
    <x v="906"/>
    <x v="38"/>
    <x v="0"/>
    <n v="3000"/>
  </r>
  <r>
    <x v="176"/>
    <x v="177"/>
    <s v="GCI"/>
    <x v="0"/>
    <x v="4"/>
    <x v="6"/>
    <x v="907"/>
    <x v="907"/>
    <x v="39"/>
    <x v="0"/>
    <n v="3000"/>
  </r>
  <r>
    <x v="89"/>
    <x v="89"/>
    <s v="GCI"/>
    <x v="0"/>
    <x v="4"/>
    <x v="6"/>
    <x v="908"/>
    <x v="908"/>
    <x v="39"/>
    <x v="7"/>
    <n v="3000"/>
  </r>
  <r>
    <x v="380"/>
    <x v="383"/>
    <s v="GCI"/>
    <x v="0"/>
    <x v="4"/>
    <x v="6"/>
    <x v="909"/>
    <x v="909"/>
    <x v="92"/>
    <x v="0"/>
    <n v="3000"/>
  </r>
  <r>
    <x v="380"/>
    <x v="383"/>
    <s v="GCI"/>
    <x v="0"/>
    <x v="4"/>
    <x v="6"/>
    <x v="909"/>
    <x v="909"/>
    <x v="92"/>
    <x v="7"/>
    <n v="6000"/>
  </r>
  <r>
    <x v="381"/>
    <x v="384"/>
    <s v="GCI"/>
    <x v="0"/>
    <x v="4"/>
    <x v="6"/>
    <x v="910"/>
    <x v="910"/>
    <x v="133"/>
    <x v="10"/>
    <n v="3000"/>
  </r>
  <r>
    <x v="382"/>
    <x v="385"/>
    <s v="GCI"/>
    <x v="0"/>
    <x v="4"/>
    <x v="6"/>
    <x v="911"/>
    <x v="911"/>
    <x v="133"/>
    <x v="10"/>
    <n v="6000"/>
  </r>
  <r>
    <x v="358"/>
    <x v="361"/>
    <s v="GCI"/>
    <x v="0"/>
    <x v="4"/>
    <x v="6"/>
    <x v="871"/>
    <x v="871"/>
    <x v="40"/>
    <x v="0"/>
    <n v="3000"/>
  </r>
  <r>
    <x v="359"/>
    <x v="362"/>
    <s v="GCI"/>
    <x v="0"/>
    <x v="4"/>
    <x v="6"/>
    <x v="872"/>
    <x v="872"/>
    <x v="40"/>
    <x v="0"/>
    <n v="3000"/>
  </r>
  <r>
    <x v="360"/>
    <x v="363"/>
    <s v="GCI"/>
    <x v="0"/>
    <x v="4"/>
    <x v="6"/>
    <x v="873"/>
    <x v="873"/>
    <x v="40"/>
    <x v="0"/>
    <n v="3000"/>
  </r>
  <r>
    <x v="359"/>
    <x v="362"/>
    <s v="GCI"/>
    <x v="0"/>
    <x v="4"/>
    <x v="6"/>
    <x v="872"/>
    <x v="872"/>
    <x v="40"/>
    <x v="7"/>
    <n v="3000"/>
  </r>
  <r>
    <x v="361"/>
    <x v="364"/>
    <s v="GCI"/>
    <x v="0"/>
    <x v="4"/>
    <x v="6"/>
    <x v="874"/>
    <x v="874"/>
    <x v="40"/>
    <x v="7"/>
    <n v="3000"/>
  </r>
  <r>
    <x v="383"/>
    <x v="386"/>
    <s v="GCI"/>
    <x v="0"/>
    <x v="4"/>
    <x v="6"/>
    <x v="912"/>
    <x v="912"/>
    <x v="74"/>
    <x v="10"/>
    <n v="6000"/>
  </r>
  <r>
    <x v="264"/>
    <x v="265"/>
    <s v="GCI"/>
    <x v="0"/>
    <x v="4"/>
    <x v="6"/>
    <x v="875"/>
    <x v="875"/>
    <x v="74"/>
    <x v="0"/>
    <n v="3000"/>
  </r>
  <r>
    <x v="384"/>
    <x v="387"/>
    <s v="GCI"/>
    <x v="0"/>
    <x v="4"/>
    <x v="6"/>
    <x v="913"/>
    <x v="913"/>
    <x v="74"/>
    <x v="0"/>
    <n v="3000"/>
  </r>
  <r>
    <x v="264"/>
    <x v="265"/>
    <s v="GCI"/>
    <x v="0"/>
    <x v="4"/>
    <x v="6"/>
    <x v="875"/>
    <x v="875"/>
    <x v="74"/>
    <x v="7"/>
    <n v="3000"/>
  </r>
  <r>
    <x v="362"/>
    <x v="365"/>
    <s v="GCI"/>
    <x v="0"/>
    <x v="4"/>
    <x v="6"/>
    <x v="876"/>
    <x v="876"/>
    <x v="74"/>
    <x v="7"/>
    <n v="3000"/>
  </r>
  <r>
    <x v="385"/>
    <x v="388"/>
    <s v="GCI"/>
    <x v="0"/>
    <x v="6"/>
    <x v="6"/>
    <x v="914"/>
    <x v="914"/>
    <x v="74"/>
    <x v="7"/>
    <n v="3000"/>
  </r>
  <r>
    <x v="137"/>
    <x v="389"/>
    <s v="GCI"/>
    <x v="0"/>
    <x v="4"/>
    <x v="6"/>
    <x v="915"/>
    <x v="915"/>
    <x v="96"/>
    <x v="10"/>
    <n v="12000"/>
  </r>
  <r>
    <x v="386"/>
    <x v="390"/>
    <s v="GCI"/>
    <x v="0"/>
    <x v="4"/>
    <x v="6"/>
    <x v="916"/>
    <x v="916"/>
    <x v="96"/>
    <x v="0"/>
    <n v="3000"/>
  </r>
  <r>
    <x v="386"/>
    <x v="390"/>
    <s v="GCI"/>
    <x v="0"/>
    <x v="4"/>
    <x v="6"/>
    <x v="916"/>
    <x v="916"/>
    <x v="96"/>
    <x v="7"/>
    <n v="6000"/>
  </r>
  <r>
    <x v="387"/>
    <x v="391"/>
    <s v="GCI"/>
    <x v="0"/>
    <x v="4"/>
    <x v="6"/>
    <x v="917"/>
    <x v="917"/>
    <x v="43"/>
    <x v="10"/>
    <n v="6000"/>
  </r>
  <r>
    <x v="388"/>
    <x v="392"/>
    <s v="GCI"/>
    <x v="0"/>
    <x v="4"/>
    <x v="6"/>
    <x v="918"/>
    <x v="918"/>
    <x v="44"/>
    <x v="10"/>
    <n v="3000"/>
  </r>
  <r>
    <x v="389"/>
    <x v="393"/>
    <s v="GCI"/>
    <x v="0"/>
    <x v="4"/>
    <x v="6"/>
    <x v="919"/>
    <x v="919"/>
    <x v="44"/>
    <x v="0"/>
    <n v="3000"/>
  </r>
  <r>
    <x v="250"/>
    <x v="251"/>
    <s v="GCI"/>
    <x v="0"/>
    <x v="4"/>
    <x v="6"/>
    <x v="920"/>
    <x v="920"/>
    <x v="44"/>
    <x v="0"/>
    <n v="3000"/>
  </r>
  <r>
    <x v="389"/>
    <x v="393"/>
    <s v="GCI"/>
    <x v="0"/>
    <x v="4"/>
    <x v="6"/>
    <x v="919"/>
    <x v="919"/>
    <x v="44"/>
    <x v="7"/>
    <n v="6000"/>
  </r>
  <r>
    <x v="390"/>
    <x v="394"/>
    <s v="GCI"/>
    <x v="0"/>
    <x v="4"/>
    <x v="6"/>
    <x v="921"/>
    <x v="921"/>
    <x v="45"/>
    <x v="0"/>
    <n v="3000"/>
  </r>
  <r>
    <x v="391"/>
    <x v="395"/>
    <s v="GCI"/>
    <x v="0"/>
    <x v="4"/>
    <x v="6"/>
    <x v="922"/>
    <x v="922"/>
    <x v="45"/>
    <x v="0"/>
    <n v="3000"/>
  </r>
  <r>
    <x v="392"/>
    <x v="396"/>
    <s v="GCI"/>
    <x v="0"/>
    <x v="4"/>
    <x v="6"/>
    <x v="923"/>
    <x v="923"/>
    <x v="45"/>
    <x v="0"/>
    <n v="3000"/>
  </r>
  <r>
    <x v="391"/>
    <x v="395"/>
    <s v="GCI"/>
    <x v="0"/>
    <x v="4"/>
    <x v="6"/>
    <x v="922"/>
    <x v="922"/>
    <x v="45"/>
    <x v="7"/>
    <n v="3000"/>
  </r>
  <r>
    <x v="393"/>
    <x v="397"/>
    <s v="GCI"/>
    <x v="0"/>
    <x v="4"/>
    <x v="6"/>
    <x v="924"/>
    <x v="924"/>
    <x v="45"/>
    <x v="7"/>
    <n v="3000"/>
  </r>
  <r>
    <x v="394"/>
    <x v="398"/>
    <s v="GCI"/>
    <x v="0"/>
    <x v="4"/>
    <x v="6"/>
    <x v="925"/>
    <x v="925"/>
    <x v="120"/>
    <x v="0"/>
    <n v="3000"/>
  </r>
  <r>
    <x v="395"/>
    <x v="399"/>
    <s v="GCI"/>
    <x v="0"/>
    <x v="4"/>
    <x v="6"/>
    <x v="926"/>
    <x v="926"/>
    <x v="120"/>
    <x v="0"/>
    <n v="3000"/>
  </r>
  <r>
    <x v="396"/>
    <x v="400"/>
    <s v="GCI"/>
    <x v="0"/>
    <x v="4"/>
    <x v="6"/>
    <x v="927"/>
    <x v="927"/>
    <x v="134"/>
    <x v="0"/>
    <n v="3000"/>
  </r>
  <r>
    <x v="397"/>
    <x v="401"/>
    <s v="GCI"/>
    <x v="0"/>
    <x v="4"/>
    <x v="6"/>
    <x v="928"/>
    <x v="928"/>
    <x v="135"/>
    <x v="0"/>
    <n v="3000"/>
  </r>
  <r>
    <x v="397"/>
    <x v="401"/>
    <s v="GCI"/>
    <x v="0"/>
    <x v="4"/>
    <x v="6"/>
    <x v="928"/>
    <x v="928"/>
    <x v="135"/>
    <x v="7"/>
    <n v="3000"/>
  </r>
  <r>
    <x v="398"/>
    <x v="402"/>
    <s v="GCI"/>
    <x v="0"/>
    <x v="4"/>
    <x v="6"/>
    <x v="929"/>
    <x v="929"/>
    <x v="136"/>
    <x v="0"/>
    <n v="3000"/>
  </r>
  <r>
    <x v="399"/>
    <x v="403"/>
    <s v="GCI"/>
    <x v="0"/>
    <x v="4"/>
    <x v="6"/>
    <x v="930"/>
    <x v="930"/>
    <x v="136"/>
    <x v="0"/>
    <n v="3000"/>
  </r>
  <r>
    <x v="400"/>
    <x v="404"/>
    <s v="GCI"/>
    <x v="0"/>
    <x v="4"/>
    <x v="6"/>
    <x v="931"/>
    <x v="931"/>
    <x v="136"/>
    <x v="0"/>
    <n v="3000"/>
  </r>
  <r>
    <x v="400"/>
    <x v="404"/>
    <s v="GCI"/>
    <x v="0"/>
    <x v="4"/>
    <x v="6"/>
    <x v="931"/>
    <x v="931"/>
    <x v="136"/>
    <x v="7"/>
    <n v="1019"/>
  </r>
  <r>
    <x v="398"/>
    <x v="402"/>
    <s v="GCI"/>
    <x v="0"/>
    <x v="4"/>
    <x v="6"/>
    <x v="929"/>
    <x v="929"/>
    <x v="136"/>
    <x v="7"/>
    <n v="6000"/>
  </r>
  <r>
    <x v="289"/>
    <x v="290"/>
    <s v="GCI"/>
    <x v="0"/>
    <x v="4"/>
    <x v="6"/>
    <x v="932"/>
    <x v="932"/>
    <x v="137"/>
    <x v="7"/>
    <n v="3000"/>
  </r>
  <r>
    <x v="401"/>
    <x v="405"/>
    <s v="GCI"/>
    <x v="0"/>
    <x v="4"/>
    <x v="6"/>
    <x v="933"/>
    <x v="933"/>
    <x v="137"/>
    <x v="7"/>
    <n v="3000"/>
  </r>
  <r>
    <x v="402"/>
    <x v="406"/>
    <s v="GCI"/>
    <x v="0"/>
    <x v="4"/>
    <x v="6"/>
    <x v="934"/>
    <x v="934"/>
    <x v="138"/>
    <x v="7"/>
    <n v="3000"/>
  </r>
  <r>
    <x v="403"/>
    <x v="407"/>
    <s v="GCI"/>
    <x v="0"/>
    <x v="4"/>
    <x v="6"/>
    <x v="935"/>
    <x v="935"/>
    <x v="138"/>
    <x v="7"/>
    <n v="3000"/>
  </r>
  <r>
    <x v="404"/>
    <x v="408"/>
    <s v="GCI"/>
    <x v="0"/>
    <x v="4"/>
    <x v="6"/>
    <x v="936"/>
    <x v="936"/>
    <x v="138"/>
    <x v="7"/>
    <n v="3000"/>
  </r>
  <r>
    <x v="405"/>
    <x v="409"/>
    <s v="GCI"/>
    <x v="0"/>
    <x v="4"/>
    <x v="6"/>
    <x v="937"/>
    <x v="937"/>
    <x v="139"/>
    <x v="0"/>
    <n v="1440"/>
  </r>
  <r>
    <x v="406"/>
    <x v="410"/>
    <s v="GCI"/>
    <x v="0"/>
    <x v="4"/>
    <x v="6"/>
    <x v="938"/>
    <x v="938"/>
    <x v="139"/>
    <x v="0"/>
    <n v="3000"/>
  </r>
  <r>
    <x v="407"/>
    <x v="411"/>
    <s v="GCI"/>
    <x v="0"/>
    <x v="4"/>
    <x v="6"/>
    <x v="939"/>
    <x v="939"/>
    <x v="140"/>
    <x v="7"/>
    <n v="3000"/>
  </r>
  <r>
    <x v="408"/>
    <x v="412"/>
    <s v="GCI"/>
    <x v="0"/>
    <x v="4"/>
    <x v="6"/>
    <x v="940"/>
    <x v="940"/>
    <x v="110"/>
    <x v="0"/>
    <n v="3000"/>
  </r>
  <r>
    <x v="409"/>
    <x v="413"/>
    <s v="GCI"/>
    <x v="0"/>
    <x v="4"/>
    <x v="6"/>
    <x v="941"/>
    <x v="941"/>
    <x v="110"/>
    <x v="0"/>
    <n v="3000"/>
  </r>
  <r>
    <x v="309"/>
    <x v="312"/>
    <s v="GCI"/>
    <x v="0"/>
    <x v="4"/>
    <x v="6"/>
    <x v="942"/>
    <x v="942"/>
    <x v="141"/>
    <x v="0"/>
    <n v="3000"/>
  </r>
  <r>
    <x v="310"/>
    <x v="313"/>
    <s v="GCI"/>
    <x v="0"/>
    <x v="4"/>
    <x v="6"/>
    <x v="943"/>
    <x v="943"/>
    <x v="141"/>
    <x v="0"/>
    <n v="3000"/>
  </r>
  <r>
    <x v="309"/>
    <x v="312"/>
    <s v="GCI"/>
    <x v="0"/>
    <x v="4"/>
    <x v="6"/>
    <x v="942"/>
    <x v="942"/>
    <x v="141"/>
    <x v="12"/>
    <n v="3000"/>
  </r>
  <r>
    <x v="311"/>
    <x v="314"/>
    <s v="GCI"/>
    <x v="0"/>
    <x v="4"/>
    <x v="6"/>
    <x v="944"/>
    <x v="944"/>
    <x v="141"/>
    <x v="7"/>
    <n v="3000"/>
  </r>
  <r>
    <x v="309"/>
    <x v="312"/>
    <s v="GCI"/>
    <x v="0"/>
    <x v="4"/>
    <x v="6"/>
    <x v="945"/>
    <x v="945"/>
    <x v="142"/>
    <x v="0"/>
    <n v="3000"/>
  </r>
  <r>
    <x v="410"/>
    <x v="414"/>
    <s v="GCI"/>
    <x v="1"/>
    <x v="4"/>
    <x v="6"/>
    <x v="946"/>
    <x v="946"/>
    <x v="143"/>
    <x v="0"/>
    <n v="6000"/>
  </r>
  <r>
    <x v="411"/>
    <x v="415"/>
    <s v="GCI"/>
    <x v="1"/>
    <x v="4"/>
    <x v="6"/>
    <x v="947"/>
    <x v="947"/>
    <x v="143"/>
    <x v="0"/>
    <n v="15000"/>
  </r>
  <r>
    <x v="411"/>
    <x v="415"/>
    <s v="GCI"/>
    <x v="1"/>
    <x v="4"/>
    <x v="6"/>
    <x v="947"/>
    <x v="947"/>
    <x v="143"/>
    <x v="12"/>
    <n v="9000"/>
  </r>
  <r>
    <x v="410"/>
    <x v="414"/>
    <s v="GCI"/>
    <x v="1"/>
    <x v="4"/>
    <x v="6"/>
    <x v="946"/>
    <x v="946"/>
    <x v="143"/>
    <x v="12"/>
    <n v="9000"/>
  </r>
  <r>
    <x v="410"/>
    <x v="414"/>
    <s v="GCI"/>
    <x v="1"/>
    <x v="4"/>
    <x v="6"/>
    <x v="948"/>
    <x v="948"/>
    <x v="144"/>
    <x v="12"/>
    <n v="3000"/>
  </r>
  <r>
    <x v="411"/>
    <x v="415"/>
    <s v="GCI"/>
    <x v="1"/>
    <x v="4"/>
    <x v="6"/>
    <x v="949"/>
    <x v="949"/>
    <x v="144"/>
    <x v="12"/>
    <n v="3000"/>
  </r>
  <r>
    <x v="412"/>
    <x v="416"/>
    <s v="GCI"/>
    <x v="1"/>
    <x v="4"/>
    <x v="6"/>
    <x v="950"/>
    <x v="950"/>
    <x v="145"/>
    <x v="12"/>
    <n v="3000"/>
  </r>
  <r>
    <x v="413"/>
    <x v="417"/>
    <s v="GCI"/>
    <x v="1"/>
    <x v="4"/>
    <x v="6"/>
    <x v="951"/>
    <x v="951"/>
    <x v="146"/>
    <x v="0"/>
    <n v="3000"/>
  </r>
  <r>
    <x v="414"/>
    <x v="418"/>
    <s v="GCI"/>
    <x v="1"/>
    <x v="4"/>
    <x v="6"/>
    <x v="952"/>
    <x v="952"/>
    <x v="147"/>
    <x v="0"/>
    <n v="3000"/>
  </r>
  <r>
    <x v="415"/>
    <x v="419"/>
    <s v="GCI"/>
    <x v="1"/>
    <x v="4"/>
    <x v="6"/>
    <x v="953"/>
    <x v="953"/>
    <x v="148"/>
    <x v="0"/>
    <n v="3000"/>
  </r>
  <r>
    <x v="416"/>
    <x v="420"/>
    <s v="GCI"/>
    <x v="1"/>
    <x v="4"/>
    <x v="6"/>
    <x v="954"/>
    <x v="954"/>
    <x v="149"/>
    <x v="0"/>
    <n v="3000"/>
  </r>
  <r>
    <x v="417"/>
    <x v="421"/>
    <s v="GCI"/>
    <x v="1"/>
    <x v="4"/>
    <x v="6"/>
    <x v="955"/>
    <x v="955"/>
    <x v="150"/>
    <x v="0"/>
    <n v="3000"/>
  </r>
  <r>
    <x v="347"/>
    <x v="350"/>
    <s v="GCI"/>
    <x v="0"/>
    <x v="4"/>
    <x v="6"/>
    <x v="860"/>
    <x v="860"/>
    <x v="122"/>
    <x v="6"/>
    <n v="16"/>
  </r>
  <r>
    <x v="348"/>
    <x v="351"/>
    <s v="GCI"/>
    <x v="0"/>
    <x v="4"/>
    <x v="6"/>
    <x v="861"/>
    <x v="861"/>
    <x v="60"/>
    <x v="6"/>
    <n v="17"/>
  </r>
  <r>
    <x v="363"/>
    <x v="366"/>
    <s v="GCI"/>
    <x v="0"/>
    <x v="4"/>
    <x v="6"/>
    <x v="878"/>
    <x v="878"/>
    <x v="125"/>
    <x v="6"/>
    <n v="11"/>
  </r>
  <r>
    <x v="363"/>
    <x v="366"/>
    <s v="GCI"/>
    <x v="0"/>
    <x v="4"/>
    <x v="6"/>
    <x v="956"/>
    <x v="956"/>
    <x v="126"/>
    <x v="6"/>
    <n v="1"/>
  </r>
  <r>
    <x v="366"/>
    <x v="369"/>
    <s v="GCI"/>
    <x v="0"/>
    <x v="4"/>
    <x v="6"/>
    <x v="957"/>
    <x v="957"/>
    <x v="126"/>
    <x v="6"/>
    <n v="16"/>
  </r>
  <r>
    <x v="364"/>
    <x v="367"/>
    <s v="GCI"/>
    <x v="0"/>
    <x v="4"/>
    <x v="6"/>
    <x v="879"/>
    <x v="879"/>
    <x v="126"/>
    <x v="6"/>
    <n v="11"/>
  </r>
  <r>
    <x v="365"/>
    <x v="368"/>
    <s v="GCI"/>
    <x v="0"/>
    <x v="4"/>
    <x v="6"/>
    <x v="880"/>
    <x v="880"/>
    <x v="80"/>
    <x v="6"/>
    <n v="11"/>
  </r>
  <r>
    <x v="365"/>
    <x v="368"/>
    <s v="GCI"/>
    <x v="0"/>
    <x v="4"/>
    <x v="6"/>
    <x v="958"/>
    <x v="958"/>
    <x v="127"/>
    <x v="6"/>
    <n v="7"/>
  </r>
  <r>
    <x v="365"/>
    <x v="368"/>
    <s v="GCI"/>
    <x v="0"/>
    <x v="4"/>
    <x v="6"/>
    <x v="959"/>
    <x v="959"/>
    <x v="9"/>
    <x v="6"/>
    <n v="15"/>
  </r>
  <r>
    <x v="367"/>
    <x v="370"/>
    <s v="GCI"/>
    <x v="0"/>
    <x v="4"/>
    <x v="6"/>
    <x v="883"/>
    <x v="883"/>
    <x v="128"/>
    <x v="6"/>
    <n v="6"/>
  </r>
  <r>
    <x v="370"/>
    <x v="373"/>
    <s v="GCI"/>
    <x v="0"/>
    <x v="4"/>
    <x v="6"/>
    <x v="886"/>
    <x v="886"/>
    <x v="128"/>
    <x v="6"/>
    <n v="5"/>
  </r>
  <r>
    <x v="368"/>
    <x v="371"/>
    <s v="GCI"/>
    <x v="0"/>
    <x v="4"/>
    <x v="6"/>
    <x v="884"/>
    <x v="884"/>
    <x v="128"/>
    <x v="6"/>
    <n v="14"/>
  </r>
  <r>
    <x v="369"/>
    <x v="372"/>
    <s v="GCI"/>
    <x v="0"/>
    <x v="4"/>
    <x v="6"/>
    <x v="885"/>
    <x v="885"/>
    <x v="128"/>
    <x v="6"/>
    <n v="8"/>
  </r>
  <r>
    <x v="418"/>
    <x v="422"/>
    <s v="GCI"/>
    <x v="0"/>
    <x v="4"/>
    <x v="6"/>
    <x v="960"/>
    <x v="960"/>
    <x v="128"/>
    <x v="6"/>
    <n v="8"/>
  </r>
  <r>
    <x v="371"/>
    <x v="374"/>
    <s v="GCI"/>
    <x v="0"/>
    <x v="4"/>
    <x v="6"/>
    <x v="961"/>
    <x v="961"/>
    <x v="151"/>
    <x v="6"/>
    <n v="85"/>
  </r>
  <r>
    <x v="419"/>
    <x v="423"/>
    <s v="GCI"/>
    <x v="0"/>
    <x v="4"/>
    <x v="6"/>
    <x v="962"/>
    <x v="962"/>
    <x v="18"/>
    <x v="6"/>
    <n v="24"/>
  </r>
  <r>
    <x v="315"/>
    <x v="318"/>
    <s v="GCI"/>
    <x v="0"/>
    <x v="4"/>
    <x v="6"/>
    <x v="963"/>
    <x v="963"/>
    <x v="18"/>
    <x v="6"/>
    <n v="17"/>
  </r>
  <r>
    <x v="372"/>
    <x v="375"/>
    <s v="GCI"/>
    <x v="0"/>
    <x v="4"/>
    <x v="6"/>
    <x v="964"/>
    <x v="964"/>
    <x v="18"/>
    <x v="6"/>
    <n v="19"/>
  </r>
  <r>
    <x v="373"/>
    <x v="376"/>
    <s v="GCI"/>
    <x v="0"/>
    <x v="4"/>
    <x v="6"/>
    <x v="890"/>
    <x v="890"/>
    <x v="18"/>
    <x v="6"/>
    <n v="65"/>
  </r>
  <r>
    <x v="374"/>
    <x v="377"/>
    <s v="GCI"/>
    <x v="0"/>
    <x v="4"/>
    <x v="6"/>
    <x v="891"/>
    <x v="891"/>
    <x v="18"/>
    <x v="6"/>
    <n v="19"/>
  </r>
  <r>
    <x v="349"/>
    <x v="352"/>
    <s v="GCI"/>
    <x v="0"/>
    <x v="4"/>
    <x v="6"/>
    <x v="862"/>
    <x v="862"/>
    <x v="123"/>
    <x v="6"/>
    <n v="7"/>
  </r>
  <r>
    <x v="350"/>
    <x v="353"/>
    <s v="GCI"/>
    <x v="0"/>
    <x v="4"/>
    <x v="6"/>
    <x v="863"/>
    <x v="863"/>
    <x v="123"/>
    <x v="6"/>
    <n v="45"/>
  </r>
  <r>
    <x v="420"/>
    <x v="424"/>
    <s v="GCI"/>
    <x v="0"/>
    <x v="4"/>
    <x v="6"/>
    <x v="965"/>
    <x v="965"/>
    <x v="123"/>
    <x v="6"/>
    <n v="3"/>
  </r>
  <r>
    <x v="421"/>
    <x v="425"/>
    <s v="GCI"/>
    <x v="0"/>
    <x v="4"/>
    <x v="6"/>
    <x v="966"/>
    <x v="966"/>
    <x v="123"/>
    <x v="6"/>
    <n v="2"/>
  </r>
  <r>
    <x v="351"/>
    <x v="354"/>
    <s v="GCI"/>
    <x v="0"/>
    <x v="4"/>
    <x v="6"/>
    <x v="967"/>
    <x v="967"/>
    <x v="25"/>
    <x v="6"/>
    <n v="21"/>
  </r>
  <r>
    <x v="352"/>
    <x v="355"/>
    <s v="GCI"/>
    <x v="0"/>
    <x v="4"/>
    <x v="6"/>
    <x v="865"/>
    <x v="865"/>
    <x v="2"/>
    <x v="6"/>
    <n v="10"/>
  </r>
  <r>
    <x v="376"/>
    <x v="379"/>
    <s v="GCI"/>
    <x v="0"/>
    <x v="4"/>
    <x v="6"/>
    <x v="894"/>
    <x v="894"/>
    <x v="2"/>
    <x v="6"/>
    <n v="11"/>
  </r>
  <r>
    <x v="353"/>
    <x v="356"/>
    <s v="GCI"/>
    <x v="0"/>
    <x v="4"/>
    <x v="6"/>
    <x v="866"/>
    <x v="866"/>
    <x v="2"/>
    <x v="6"/>
    <n v="7"/>
  </r>
  <r>
    <x v="377"/>
    <x v="380"/>
    <s v="GCI"/>
    <x v="0"/>
    <x v="4"/>
    <x v="6"/>
    <x v="968"/>
    <x v="968"/>
    <x v="28"/>
    <x v="6"/>
    <n v="13"/>
  </r>
  <r>
    <x v="354"/>
    <x v="357"/>
    <s v="GCI"/>
    <x v="0"/>
    <x v="4"/>
    <x v="6"/>
    <x v="867"/>
    <x v="867"/>
    <x v="28"/>
    <x v="6"/>
    <n v="10"/>
  </r>
  <r>
    <x v="422"/>
    <x v="426"/>
    <s v="GCI"/>
    <x v="0"/>
    <x v="4"/>
    <x v="6"/>
    <x v="969"/>
    <x v="969"/>
    <x v="28"/>
    <x v="6"/>
    <n v="5"/>
  </r>
  <r>
    <x v="355"/>
    <x v="358"/>
    <s v="GCI"/>
    <x v="0"/>
    <x v="4"/>
    <x v="6"/>
    <x v="868"/>
    <x v="868"/>
    <x v="124"/>
    <x v="6"/>
    <n v="14"/>
  </r>
  <r>
    <x v="356"/>
    <x v="359"/>
    <s v="GCI"/>
    <x v="0"/>
    <x v="4"/>
    <x v="6"/>
    <x v="869"/>
    <x v="869"/>
    <x v="124"/>
    <x v="6"/>
    <n v="13"/>
  </r>
  <r>
    <x v="357"/>
    <x v="360"/>
    <s v="GCI"/>
    <x v="0"/>
    <x v="4"/>
    <x v="6"/>
    <x v="870"/>
    <x v="870"/>
    <x v="124"/>
    <x v="6"/>
    <n v="10"/>
  </r>
  <r>
    <x v="378"/>
    <x v="381"/>
    <s v="GCI"/>
    <x v="0"/>
    <x v="4"/>
    <x v="6"/>
    <x v="899"/>
    <x v="899"/>
    <x v="124"/>
    <x v="6"/>
    <n v="10"/>
  </r>
  <r>
    <x v="379"/>
    <x v="382"/>
    <s v="GCI"/>
    <x v="0"/>
    <x v="4"/>
    <x v="6"/>
    <x v="970"/>
    <x v="970"/>
    <x v="37"/>
    <x v="6"/>
    <n v="10"/>
  </r>
  <r>
    <x v="88"/>
    <x v="88"/>
    <s v="GCI"/>
    <x v="0"/>
    <x v="4"/>
    <x v="6"/>
    <x v="905"/>
    <x v="905"/>
    <x v="37"/>
    <x v="6"/>
    <n v="20"/>
  </r>
  <r>
    <x v="89"/>
    <x v="89"/>
    <s v="GCI"/>
    <x v="0"/>
    <x v="4"/>
    <x v="6"/>
    <x v="908"/>
    <x v="908"/>
    <x v="39"/>
    <x v="6"/>
    <n v="31"/>
  </r>
  <r>
    <x v="380"/>
    <x v="383"/>
    <s v="GCI"/>
    <x v="0"/>
    <x v="4"/>
    <x v="6"/>
    <x v="909"/>
    <x v="909"/>
    <x v="92"/>
    <x v="6"/>
    <n v="37"/>
  </r>
  <r>
    <x v="358"/>
    <x v="361"/>
    <s v="GCI"/>
    <x v="0"/>
    <x v="4"/>
    <x v="6"/>
    <x v="871"/>
    <x v="871"/>
    <x v="40"/>
    <x v="6"/>
    <n v="22"/>
  </r>
  <r>
    <x v="359"/>
    <x v="362"/>
    <s v="GCI"/>
    <x v="0"/>
    <x v="4"/>
    <x v="6"/>
    <x v="872"/>
    <x v="872"/>
    <x v="40"/>
    <x v="6"/>
    <n v="15"/>
  </r>
  <r>
    <x v="360"/>
    <x v="363"/>
    <s v="GCI"/>
    <x v="0"/>
    <x v="4"/>
    <x v="6"/>
    <x v="873"/>
    <x v="873"/>
    <x v="40"/>
    <x v="6"/>
    <n v="15"/>
  </r>
  <r>
    <x v="361"/>
    <x v="364"/>
    <s v="GCI"/>
    <x v="0"/>
    <x v="4"/>
    <x v="6"/>
    <x v="874"/>
    <x v="874"/>
    <x v="40"/>
    <x v="6"/>
    <n v="38"/>
  </r>
  <r>
    <x v="264"/>
    <x v="265"/>
    <s v="GCI"/>
    <x v="0"/>
    <x v="4"/>
    <x v="6"/>
    <x v="875"/>
    <x v="875"/>
    <x v="74"/>
    <x v="6"/>
    <n v="26"/>
  </r>
  <r>
    <x v="384"/>
    <x v="387"/>
    <s v="GCI"/>
    <x v="0"/>
    <x v="4"/>
    <x v="6"/>
    <x v="913"/>
    <x v="913"/>
    <x v="74"/>
    <x v="6"/>
    <n v="13"/>
  </r>
  <r>
    <x v="362"/>
    <x v="365"/>
    <s v="GCI"/>
    <x v="0"/>
    <x v="4"/>
    <x v="6"/>
    <x v="876"/>
    <x v="876"/>
    <x v="74"/>
    <x v="6"/>
    <n v="7"/>
  </r>
  <r>
    <x v="423"/>
    <x v="427"/>
    <s v="GCI"/>
    <x v="0"/>
    <x v="4"/>
    <x v="6"/>
    <x v="971"/>
    <x v="971"/>
    <x v="74"/>
    <x v="6"/>
    <n v="7"/>
  </r>
  <r>
    <x v="424"/>
    <x v="428"/>
    <s v="GCI"/>
    <x v="0"/>
    <x v="4"/>
    <x v="6"/>
    <x v="972"/>
    <x v="972"/>
    <x v="74"/>
    <x v="6"/>
    <n v="5"/>
  </r>
  <r>
    <x v="385"/>
    <x v="388"/>
    <s v="GCI"/>
    <x v="0"/>
    <x v="6"/>
    <x v="6"/>
    <x v="914"/>
    <x v="914"/>
    <x v="74"/>
    <x v="6"/>
    <n v="36"/>
  </r>
  <r>
    <x v="386"/>
    <x v="390"/>
    <s v="GCI"/>
    <x v="0"/>
    <x v="4"/>
    <x v="6"/>
    <x v="916"/>
    <x v="916"/>
    <x v="96"/>
    <x v="6"/>
    <n v="22"/>
  </r>
  <r>
    <x v="425"/>
    <x v="429"/>
    <s v="GCI"/>
    <x v="0"/>
    <x v="4"/>
    <x v="6"/>
    <x v="973"/>
    <x v="973"/>
    <x v="96"/>
    <x v="6"/>
    <n v="10"/>
  </r>
  <r>
    <x v="389"/>
    <x v="393"/>
    <s v="GCI"/>
    <x v="0"/>
    <x v="4"/>
    <x v="6"/>
    <x v="919"/>
    <x v="919"/>
    <x v="44"/>
    <x v="6"/>
    <n v="10"/>
  </r>
  <r>
    <x v="250"/>
    <x v="251"/>
    <s v="GCI"/>
    <x v="0"/>
    <x v="4"/>
    <x v="6"/>
    <x v="920"/>
    <x v="920"/>
    <x v="44"/>
    <x v="6"/>
    <n v="29"/>
  </r>
  <r>
    <x v="390"/>
    <x v="394"/>
    <s v="GCI"/>
    <x v="0"/>
    <x v="4"/>
    <x v="6"/>
    <x v="921"/>
    <x v="921"/>
    <x v="45"/>
    <x v="6"/>
    <n v="14"/>
  </r>
  <r>
    <x v="391"/>
    <x v="395"/>
    <s v="GCI"/>
    <x v="0"/>
    <x v="4"/>
    <x v="6"/>
    <x v="922"/>
    <x v="922"/>
    <x v="45"/>
    <x v="6"/>
    <n v="11"/>
  </r>
  <r>
    <x v="392"/>
    <x v="396"/>
    <s v="GCI"/>
    <x v="0"/>
    <x v="4"/>
    <x v="6"/>
    <x v="923"/>
    <x v="923"/>
    <x v="45"/>
    <x v="6"/>
    <n v="17"/>
  </r>
  <r>
    <x v="393"/>
    <x v="397"/>
    <s v="GCI"/>
    <x v="0"/>
    <x v="4"/>
    <x v="6"/>
    <x v="924"/>
    <x v="924"/>
    <x v="45"/>
    <x v="6"/>
    <n v="12"/>
  </r>
  <r>
    <x v="426"/>
    <x v="430"/>
    <s v="GCI"/>
    <x v="0"/>
    <x v="4"/>
    <x v="6"/>
    <x v="974"/>
    <x v="974"/>
    <x v="120"/>
    <x v="6"/>
    <n v="12"/>
  </r>
  <r>
    <x v="427"/>
    <x v="431"/>
    <s v="GCI"/>
    <x v="0"/>
    <x v="4"/>
    <x v="6"/>
    <x v="975"/>
    <x v="975"/>
    <x v="120"/>
    <x v="6"/>
    <n v="6"/>
  </r>
  <r>
    <x v="394"/>
    <x v="398"/>
    <s v="GCI"/>
    <x v="0"/>
    <x v="4"/>
    <x v="6"/>
    <x v="925"/>
    <x v="925"/>
    <x v="120"/>
    <x v="6"/>
    <n v="18"/>
  </r>
  <r>
    <x v="395"/>
    <x v="399"/>
    <s v="GCI"/>
    <x v="0"/>
    <x v="4"/>
    <x v="6"/>
    <x v="926"/>
    <x v="926"/>
    <x v="120"/>
    <x v="6"/>
    <n v="13"/>
  </r>
  <r>
    <x v="396"/>
    <x v="400"/>
    <s v="GCI"/>
    <x v="0"/>
    <x v="4"/>
    <x v="6"/>
    <x v="927"/>
    <x v="927"/>
    <x v="134"/>
    <x v="6"/>
    <n v="7"/>
  </r>
  <r>
    <x v="397"/>
    <x v="401"/>
    <s v="GCI"/>
    <x v="0"/>
    <x v="4"/>
    <x v="6"/>
    <x v="928"/>
    <x v="928"/>
    <x v="135"/>
    <x v="6"/>
    <n v="20"/>
  </r>
  <r>
    <x v="428"/>
    <x v="432"/>
    <s v="GCI"/>
    <x v="0"/>
    <x v="4"/>
    <x v="6"/>
    <x v="976"/>
    <x v="976"/>
    <x v="50"/>
    <x v="6"/>
    <n v="17"/>
  </r>
  <r>
    <x v="429"/>
    <x v="433"/>
    <s v="GCI"/>
    <x v="0"/>
    <x v="4"/>
    <x v="6"/>
    <x v="977"/>
    <x v="977"/>
    <x v="50"/>
    <x v="6"/>
    <n v="15"/>
  </r>
  <r>
    <x v="430"/>
    <x v="434"/>
    <s v="GCI"/>
    <x v="0"/>
    <x v="10"/>
    <x v="6"/>
    <x v="978"/>
    <x v="978"/>
    <x v="50"/>
    <x v="6"/>
    <n v="10"/>
  </r>
  <r>
    <x v="398"/>
    <x v="402"/>
    <s v="GCI"/>
    <x v="0"/>
    <x v="4"/>
    <x v="6"/>
    <x v="979"/>
    <x v="979"/>
    <x v="136"/>
    <x v="6"/>
    <n v="55"/>
  </r>
  <r>
    <x v="399"/>
    <x v="403"/>
    <s v="GCI"/>
    <x v="0"/>
    <x v="4"/>
    <x v="6"/>
    <x v="980"/>
    <x v="980"/>
    <x v="136"/>
    <x v="6"/>
    <n v="8"/>
  </r>
  <r>
    <x v="431"/>
    <x v="435"/>
    <s v="GCI"/>
    <x v="0"/>
    <x v="4"/>
    <x v="6"/>
    <x v="981"/>
    <x v="981"/>
    <x v="136"/>
    <x v="6"/>
    <n v="7"/>
  </r>
  <r>
    <x v="400"/>
    <x v="404"/>
    <s v="GCI"/>
    <x v="0"/>
    <x v="4"/>
    <x v="6"/>
    <x v="982"/>
    <x v="982"/>
    <x v="136"/>
    <x v="6"/>
    <n v="10"/>
  </r>
  <r>
    <x v="289"/>
    <x v="290"/>
    <s v="GCI"/>
    <x v="0"/>
    <x v="4"/>
    <x v="6"/>
    <x v="983"/>
    <x v="983"/>
    <x v="137"/>
    <x v="6"/>
    <n v="26"/>
  </r>
  <r>
    <x v="401"/>
    <x v="405"/>
    <s v="GCI"/>
    <x v="0"/>
    <x v="4"/>
    <x v="6"/>
    <x v="984"/>
    <x v="984"/>
    <x v="137"/>
    <x v="6"/>
    <n v="16"/>
  </r>
  <r>
    <x v="290"/>
    <x v="291"/>
    <s v="GCI"/>
    <x v="0"/>
    <x v="4"/>
    <x v="6"/>
    <x v="985"/>
    <x v="985"/>
    <x v="137"/>
    <x v="6"/>
    <n v="14"/>
  </r>
  <r>
    <x v="291"/>
    <x v="292"/>
    <s v="GCI"/>
    <x v="0"/>
    <x v="4"/>
    <x v="6"/>
    <x v="986"/>
    <x v="986"/>
    <x v="137"/>
    <x v="6"/>
    <n v="9"/>
  </r>
  <r>
    <x v="432"/>
    <x v="302"/>
    <s v="GCI"/>
    <x v="0"/>
    <x v="4"/>
    <x v="6"/>
    <x v="987"/>
    <x v="987"/>
    <x v="137"/>
    <x v="6"/>
    <n v="7"/>
  </r>
  <r>
    <x v="402"/>
    <x v="406"/>
    <s v="GCI"/>
    <x v="0"/>
    <x v="4"/>
    <x v="6"/>
    <x v="988"/>
    <x v="988"/>
    <x v="138"/>
    <x v="6"/>
    <n v="13"/>
  </r>
  <r>
    <x v="403"/>
    <x v="407"/>
    <s v="GCI"/>
    <x v="0"/>
    <x v="4"/>
    <x v="6"/>
    <x v="989"/>
    <x v="989"/>
    <x v="138"/>
    <x v="6"/>
    <n v="15"/>
  </r>
  <r>
    <x v="433"/>
    <x v="436"/>
    <s v="GCI"/>
    <x v="0"/>
    <x v="4"/>
    <x v="6"/>
    <x v="990"/>
    <x v="990"/>
    <x v="138"/>
    <x v="6"/>
    <n v="7"/>
  </r>
  <r>
    <x v="404"/>
    <x v="408"/>
    <s v="GCI"/>
    <x v="0"/>
    <x v="4"/>
    <x v="6"/>
    <x v="991"/>
    <x v="991"/>
    <x v="138"/>
    <x v="6"/>
    <n v="13"/>
  </r>
  <r>
    <x v="300"/>
    <x v="437"/>
    <s v="GCI"/>
    <x v="0"/>
    <x v="4"/>
    <x v="6"/>
    <x v="992"/>
    <x v="992"/>
    <x v="138"/>
    <x v="6"/>
    <n v="16"/>
  </r>
  <r>
    <x v="407"/>
    <x v="411"/>
    <s v="GCI"/>
    <x v="0"/>
    <x v="4"/>
    <x v="6"/>
    <x v="939"/>
    <x v="939"/>
    <x v="140"/>
    <x v="6"/>
    <n v="19"/>
  </r>
  <r>
    <x v="408"/>
    <x v="412"/>
    <s v="GCI"/>
    <x v="0"/>
    <x v="4"/>
    <x v="6"/>
    <x v="993"/>
    <x v="993"/>
    <x v="110"/>
    <x v="6"/>
    <n v="10"/>
  </r>
  <r>
    <x v="409"/>
    <x v="413"/>
    <s v="GCI"/>
    <x v="0"/>
    <x v="4"/>
    <x v="6"/>
    <x v="994"/>
    <x v="994"/>
    <x v="110"/>
    <x v="6"/>
    <n v="9"/>
  </r>
  <r>
    <x v="434"/>
    <x v="438"/>
    <s v="GCI"/>
    <x v="0"/>
    <x v="4"/>
    <x v="6"/>
    <x v="995"/>
    <x v="995"/>
    <x v="152"/>
    <x v="6"/>
    <n v="15"/>
  </r>
  <r>
    <x v="435"/>
    <x v="439"/>
    <s v="GCI"/>
    <x v="0"/>
    <x v="4"/>
    <x v="6"/>
    <x v="996"/>
    <x v="996"/>
    <x v="152"/>
    <x v="6"/>
    <n v="17"/>
  </r>
  <r>
    <x v="410"/>
    <x v="414"/>
    <s v="GCI"/>
    <x v="1"/>
    <x v="4"/>
    <x v="6"/>
    <x v="997"/>
    <x v="946"/>
    <x v="153"/>
    <x v="6"/>
    <n v="20"/>
  </r>
  <r>
    <x v="411"/>
    <x v="415"/>
    <s v="GCI"/>
    <x v="1"/>
    <x v="4"/>
    <x v="6"/>
    <x v="998"/>
    <x v="997"/>
    <x v="143"/>
    <x v="6"/>
    <n v="20"/>
  </r>
  <r>
    <x v="411"/>
    <x v="415"/>
    <s v="GCI"/>
    <x v="1"/>
    <x v="4"/>
    <x v="6"/>
    <x v="999"/>
    <x v="998"/>
    <x v="144"/>
    <x v="6"/>
    <n v="51"/>
  </r>
  <r>
    <x v="410"/>
    <x v="414"/>
    <s v="GCI"/>
    <x v="1"/>
    <x v="4"/>
    <x v="6"/>
    <x v="1000"/>
    <x v="999"/>
    <x v="144"/>
    <x v="6"/>
    <n v="59"/>
  </r>
  <r>
    <x v="436"/>
    <x v="440"/>
    <s v="GCI"/>
    <x v="1"/>
    <x v="4"/>
    <x v="6"/>
    <x v="1001"/>
    <x v="1000"/>
    <x v="145"/>
    <x v="6"/>
    <n v="13"/>
  </r>
  <r>
    <x v="412"/>
    <x v="416"/>
    <s v="GCI"/>
    <x v="1"/>
    <x v="4"/>
    <x v="6"/>
    <x v="950"/>
    <x v="950"/>
    <x v="145"/>
    <x v="6"/>
    <n v="15"/>
  </r>
  <r>
    <x v="437"/>
    <x v="441"/>
    <s v="GCI"/>
    <x v="1"/>
    <x v="4"/>
    <x v="6"/>
    <x v="1002"/>
    <x v="1001"/>
    <x v="154"/>
    <x v="6"/>
    <n v="21"/>
  </r>
  <r>
    <x v="438"/>
    <x v="442"/>
    <s v="GCI"/>
    <x v="1"/>
    <x v="4"/>
    <x v="6"/>
    <x v="1003"/>
    <x v="1002"/>
    <x v="155"/>
    <x v="6"/>
    <n v="14"/>
  </r>
  <r>
    <x v="415"/>
    <x v="419"/>
    <s v="GCI"/>
    <x v="1"/>
    <x v="4"/>
    <x v="6"/>
    <x v="953"/>
    <x v="953"/>
    <x v="148"/>
    <x v="6"/>
    <n v="11"/>
  </r>
  <r>
    <x v="439"/>
    <x v="443"/>
    <s v="GCI"/>
    <x v="1"/>
    <x v="4"/>
    <x v="6"/>
    <x v="1004"/>
    <x v="1003"/>
    <x v="156"/>
    <x v="6"/>
    <n v="25"/>
  </r>
  <r>
    <x v="416"/>
    <x v="420"/>
    <s v="GCI"/>
    <x v="1"/>
    <x v="4"/>
    <x v="6"/>
    <x v="954"/>
    <x v="954"/>
    <x v="149"/>
    <x v="6"/>
    <n v="19"/>
  </r>
  <r>
    <x v="417"/>
    <x v="421"/>
    <s v="GCI"/>
    <x v="1"/>
    <x v="4"/>
    <x v="6"/>
    <x v="955"/>
    <x v="955"/>
    <x v="150"/>
    <x v="6"/>
    <n v="9"/>
  </r>
  <r>
    <x v="347"/>
    <x v="350"/>
    <s v="GCI"/>
    <x v="0"/>
    <x v="4"/>
    <x v="6"/>
    <x v="860"/>
    <x v="860"/>
    <x v="122"/>
    <x v="8"/>
    <n v="1"/>
  </r>
  <r>
    <x v="348"/>
    <x v="351"/>
    <s v="GCI"/>
    <x v="0"/>
    <x v="4"/>
    <x v="6"/>
    <x v="861"/>
    <x v="861"/>
    <x v="60"/>
    <x v="8"/>
    <n v="1"/>
  </r>
  <r>
    <x v="363"/>
    <x v="366"/>
    <s v="GCI"/>
    <x v="0"/>
    <x v="4"/>
    <x v="6"/>
    <x v="956"/>
    <x v="956"/>
    <x v="126"/>
    <x v="8"/>
    <n v="1"/>
  </r>
  <r>
    <x v="364"/>
    <x v="367"/>
    <s v="GCI"/>
    <x v="0"/>
    <x v="4"/>
    <x v="6"/>
    <x v="879"/>
    <x v="879"/>
    <x v="126"/>
    <x v="8"/>
    <n v="1"/>
  </r>
  <r>
    <x v="365"/>
    <x v="368"/>
    <s v="GCI"/>
    <x v="0"/>
    <x v="4"/>
    <x v="6"/>
    <x v="880"/>
    <x v="880"/>
    <x v="80"/>
    <x v="8"/>
    <n v="1"/>
  </r>
  <r>
    <x v="365"/>
    <x v="368"/>
    <s v="GCI"/>
    <x v="0"/>
    <x v="4"/>
    <x v="6"/>
    <x v="881"/>
    <x v="881"/>
    <x v="127"/>
    <x v="8"/>
    <n v="1"/>
  </r>
  <r>
    <x v="366"/>
    <x v="369"/>
    <s v="GCI"/>
    <x v="0"/>
    <x v="4"/>
    <x v="6"/>
    <x v="1005"/>
    <x v="1004"/>
    <x v="9"/>
    <x v="8"/>
    <n v="1"/>
  </r>
  <r>
    <x v="370"/>
    <x v="373"/>
    <s v="GCI"/>
    <x v="0"/>
    <x v="4"/>
    <x v="6"/>
    <x v="886"/>
    <x v="886"/>
    <x v="128"/>
    <x v="8"/>
    <n v="1"/>
  </r>
  <r>
    <x v="369"/>
    <x v="372"/>
    <s v="GCI"/>
    <x v="0"/>
    <x v="4"/>
    <x v="6"/>
    <x v="885"/>
    <x v="885"/>
    <x v="128"/>
    <x v="8"/>
    <n v="1"/>
  </r>
  <r>
    <x v="418"/>
    <x v="422"/>
    <s v="GCI"/>
    <x v="0"/>
    <x v="4"/>
    <x v="6"/>
    <x v="960"/>
    <x v="960"/>
    <x v="128"/>
    <x v="8"/>
    <n v="1"/>
  </r>
  <r>
    <x v="371"/>
    <x v="374"/>
    <s v="GCI"/>
    <x v="0"/>
    <x v="4"/>
    <x v="6"/>
    <x v="887"/>
    <x v="887"/>
    <x v="129"/>
    <x v="8"/>
    <n v="1"/>
  </r>
  <r>
    <x v="372"/>
    <x v="375"/>
    <s v="GCI"/>
    <x v="0"/>
    <x v="4"/>
    <x v="6"/>
    <x v="888"/>
    <x v="888"/>
    <x v="67"/>
    <x v="8"/>
    <n v="1"/>
  </r>
  <r>
    <x v="315"/>
    <x v="318"/>
    <s v="GCI"/>
    <x v="0"/>
    <x v="4"/>
    <x v="6"/>
    <x v="889"/>
    <x v="889"/>
    <x v="67"/>
    <x v="8"/>
    <n v="1"/>
  </r>
  <r>
    <x v="419"/>
    <x v="423"/>
    <s v="GCI"/>
    <x v="0"/>
    <x v="4"/>
    <x v="6"/>
    <x v="1006"/>
    <x v="1005"/>
    <x v="67"/>
    <x v="8"/>
    <n v="1"/>
  </r>
  <r>
    <x v="373"/>
    <x v="376"/>
    <s v="GCI"/>
    <x v="0"/>
    <x v="4"/>
    <x v="6"/>
    <x v="890"/>
    <x v="890"/>
    <x v="18"/>
    <x v="8"/>
    <n v="3"/>
  </r>
  <r>
    <x v="374"/>
    <x v="377"/>
    <s v="GCI"/>
    <x v="0"/>
    <x v="4"/>
    <x v="6"/>
    <x v="891"/>
    <x v="891"/>
    <x v="18"/>
    <x v="8"/>
    <n v="1"/>
  </r>
  <r>
    <x v="349"/>
    <x v="352"/>
    <s v="GCI"/>
    <x v="0"/>
    <x v="4"/>
    <x v="6"/>
    <x v="862"/>
    <x v="862"/>
    <x v="123"/>
    <x v="8"/>
    <n v="1"/>
  </r>
  <r>
    <x v="350"/>
    <x v="353"/>
    <s v="GCI"/>
    <x v="0"/>
    <x v="4"/>
    <x v="6"/>
    <x v="863"/>
    <x v="863"/>
    <x v="123"/>
    <x v="8"/>
    <n v="2"/>
  </r>
  <r>
    <x v="351"/>
    <x v="354"/>
    <s v="GCI"/>
    <x v="0"/>
    <x v="4"/>
    <x v="6"/>
    <x v="864"/>
    <x v="864"/>
    <x v="24"/>
    <x v="8"/>
    <n v="1"/>
  </r>
  <r>
    <x v="352"/>
    <x v="355"/>
    <s v="GCI"/>
    <x v="0"/>
    <x v="4"/>
    <x v="6"/>
    <x v="865"/>
    <x v="865"/>
    <x v="2"/>
    <x v="8"/>
    <n v="1"/>
  </r>
  <r>
    <x v="353"/>
    <x v="356"/>
    <s v="GCI"/>
    <x v="0"/>
    <x v="4"/>
    <x v="6"/>
    <x v="866"/>
    <x v="866"/>
    <x v="2"/>
    <x v="8"/>
    <n v="1"/>
  </r>
  <r>
    <x v="354"/>
    <x v="357"/>
    <s v="GCI"/>
    <x v="0"/>
    <x v="4"/>
    <x v="6"/>
    <x v="867"/>
    <x v="867"/>
    <x v="28"/>
    <x v="8"/>
    <n v="1"/>
  </r>
  <r>
    <x v="355"/>
    <x v="358"/>
    <s v="GCI"/>
    <x v="0"/>
    <x v="4"/>
    <x v="6"/>
    <x v="868"/>
    <x v="868"/>
    <x v="124"/>
    <x v="8"/>
    <n v="1"/>
  </r>
  <r>
    <x v="356"/>
    <x v="359"/>
    <s v="GCI"/>
    <x v="0"/>
    <x v="4"/>
    <x v="6"/>
    <x v="869"/>
    <x v="869"/>
    <x v="124"/>
    <x v="8"/>
    <n v="1"/>
  </r>
  <r>
    <x v="357"/>
    <x v="360"/>
    <s v="GCI"/>
    <x v="0"/>
    <x v="4"/>
    <x v="6"/>
    <x v="870"/>
    <x v="870"/>
    <x v="124"/>
    <x v="8"/>
    <n v="1"/>
  </r>
  <r>
    <x v="378"/>
    <x v="381"/>
    <s v="GCI"/>
    <x v="0"/>
    <x v="4"/>
    <x v="6"/>
    <x v="899"/>
    <x v="899"/>
    <x v="124"/>
    <x v="8"/>
    <n v="1"/>
  </r>
  <r>
    <x v="177"/>
    <x v="178"/>
    <s v="GCI"/>
    <x v="0"/>
    <x v="4"/>
    <x v="6"/>
    <x v="904"/>
    <x v="904"/>
    <x v="132"/>
    <x v="8"/>
    <n v="1"/>
  </r>
  <r>
    <x v="175"/>
    <x v="176"/>
    <s v="GCI"/>
    <x v="0"/>
    <x v="4"/>
    <x v="6"/>
    <x v="1007"/>
    <x v="1006"/>
    <x v="132"/>
    <x v="8"/>
    <n v="1"/>
  </r>
  <r>
    <x v="174"/>
    <x v="175"/>
    <s v="GCI"/>
    <x v="0"/>
    <x v="4"/>
    <x v="6"/>
    <x v="902"/>
    <x v="902"/>
    <x v="132"/>
    <x v="8"/>
    <n v="1"/>
  </r>
  <r>
    <x v="173"/>
    <x v="174"/>
    <s v="GCI"/>
    <x v="0"/>
    <x v="4"/>
    <x v="6"/>
    <x v="1008"/>
    <x v="1007"/>
    <x v="132"/>
    <x v="8"/>
    <n v="1"/>
  </r>
  <r>
    <x v="172"/>
    <x v="173"/>
    <s v="GCI"/>
    <x v="0"/>
    <x v="4"/>
    <x v="6"/>
    <x v="903"/>
    <x v="903"/>
    <x v="132"/>
    <x v="8"/>
    <n v="1"/>
  </r>
  <r>
    <x v="379"/>
    <x v="382"/>
    <s v="GCI"/>
    <x v="0"/>
    <x v="4"/>
    <x v="6"/>
    <x v="1009"/>
    <x v="1008"/>
    <x v="39"/>
    <x v="8"/>
    <n v="1"/>
  </r>
  <r>
    <x v="89"/>
    <x v="89"/>
    <s v="GCI"/>
    <x v="0"/>
    <x v="4"/>
    <x v="6"/>
    <x v="908"/>
    <x v="908"/>
    <x v="39"/>
    <x v="8"/>
    <n v="2"/>
  </r>
  <r>
    <x v="380"/>
    <x v="383"/>
    <s v="GCI"/>
    <x v="0"/>
    <x v="4"/>
    <x v="6"/>
    <x v="909"/>
    <x v="909"/>
    <x v="92"/>
    <x v="8"/>
    <n v="2"/>
  </r>
  <r>
    <x v="358"/>
    <x v="361"/>
    <s v="GCI"/>
    <x v="0"/>
    <x v="4"/>
    <x v="6"/>
    <x v="871"/>
    <x v="871"/>
    <x v="40"/>
    <x v="8"/>
    <n v="1"/>
  </r>
  <r>
    <x v="359"/>
    <x v="362"/>
    <s v="GCI"/>
    <x v="0"/>
    <x v="4"/>
    <x v="6"/>
    <x v="872"/>
    <x v="872"/>
    <x v="40"/>
    <x v="8"/>
    <n v="1"/>
  </r>
  <r>
    <x v="360"/>
    <x v="363"/>
    <s v="GCI"/>
    <x v="0"/>
    <x v="4"/>
    <x v="6"/>
    <x v="873"/>
    <x v="873"/>
    <x v="40"/>
    <x v="8"/>
    <n v="1"/>
  </r>
  <r>
    <x v="361"/>
    <x v="364"/>
    <s v="GCI"/>
    <x v="0"/>
    <x v="4"/>
    <x v="6"/>
    <x v="874"/>
    <x v="874"/>
    <x v="40"/>
    <x v="8"/>
    <n v="2"/>
  </r>
  <r>
    <x v="385"/>
    <x v="388"/>
    <s v="GCI"/>
    <x v="0"/>
    <x v="6"/>
    <x v="6"/>
    <x v="914"/>
    <x v="914"/>
    <x v="74"/>
    <x v="8"/>
    <n v="2"/>
  </r>
  <r>
    <x v="384"/>
    <x v="387"/>
    <s v="GCI"/>
    <x v="0"/>
    <x v="4"/>
    <x v="6"/>
    <x v="913"/>
    <x v="913"/>
    <x v="74"/>
    <x v="8"/>
    <n v="1"/>
  </r>
  <r>
    <x v="362"/>
    <x v="365"/>
    <s v="GCI"/>
    <x v="0"/>
    <x v="4"/>
    <x v="6"/>
    <x v="876"/>
    <x v="876"/>
    <x v="74"/>
    <x v="8"/>
    <n v="1"/>
  </r>
  <r>
    <x v="390"/>
    <x v="394"/>
    <s v="GCI"/>
    <x v="0"/>
    <x v="4"/>
    <x v="6"/>
    <x v="921"/>
    <x v="921"/>
    <x v="45"/>
    <x v="8"/>
    <n v="1"/>
  </r>
  <r>
    <x v="391"/>
    <x v="395"/>
    <s v="GCI"/>
    <x v="0"/>
    <x v="4"/>
    <x v="6"/>
    <x v="922"/>
    <x v="922"/>
    <x v="45"/>
    <x v="8"/>
    <n v="1"/>
  </r>
  <r>
    <x v="392"/>
    <x v="396"/>
    <s v="GCI"/>
    <x v="0"/>
    <x v="4"/>
    <x v="6"/>
    <x v="923"/>
    <x v="923"/>
    <x v="45"/>
    <x v="8"/>
    <n v="1"/>
  </r>
  <r>
    <x v="393"/>
    <x v="397"/>
    <s v="GCI"/>
    <x v="0"/>
    <x v="4"/>
    <x v="6"/>
    <x v="924"/>
    <x v="924"/>
    <x v="45"/>
    <x v="8"/>
    <n v="1"/>
  </r>
  <r>
    <x v="426"/>
    <x v="430"/>
    <s v="GCI"/>
    <x v="0"/>
    <x v="4"/>
    <x v="6"/>
    <x v="974"/>
    <x v="974"/>
    <x v="120"/>
    <x v="8"/>
    <n v="1"/>
  </r>
  <r>
    <x v="394"/>
    <x v="398"/>
    <s v="GCI"/>
    <x v="0"/>
    <x v="4"/>
    <x v="6"/>
    <x v="925"/>
    <x v="925"/>
    <x v="120"/>
    <x v="8"/>
    <n v="1"/>
  </r>
  <r>
    <x v="395"/>
    <x v="399"/>
    <s v="GCI"/>
    <x v="0"/>
    <x v="4"/>
    <x v="6"/>
    <x v="926"/>
    <x v="926"/>
    <x v="120"/>
    <x v="8"/>
    <n v="1"/>
  </r>
  <r>
    <x v="396"/>
    <x v="400"/>
    <s v="GCI"/>
    <x v="0"/>
    <x v="4"/>
    <x v="6"/>
    <x v="927"/>
    <x v="927"/>
    <x v="134"/>
    <x v="8"/>
    <n v="1"/>
  </r>
  <r>
    <x v="397"/>
    <x v="401"/>
    <s v="GCI"/>
    <x v="0"/>
    <x v="4"/>
    <x v="6"/>
    <x v="928"/>
    <x v="928"/>
    <x v="135"/>
    <x v="8"/>
    <n v="1"/>
  </r>
  <r>
    <x v="429"/>
    <x v="433"/>
    <s v="GCI"/>
    <x v="0"/>
    <x v="4"/>
    <x v="6"/>
    <x v="977"/>
    <x v="977"/>
    <x v="50"/>
    <x v="8"/>
    <n v="1"/>
  </r>
  <r>
    <x v="430"/>
    <x v="434"/>
    <s v="GCI"/>
    <x v="0"/>
    <x v="10"/>
    <x v="6"/>
    <x v="978"/>
    <x v="978"/>
    <x v="50"/>
    <x v="8"/>
    <n v="1"/>
  </r>
  <r>
    <x v="399"/>
    <x v="403"/>
    <s v="GCI"/>
    <x v="0"/>
    <x v="4"/>
    <x v="6"/>
    <x v="980"/>
    <x v="980"/>
    <x v="136"/>
    <x v="8"/>
    <n v="1"/>
  </r>
  <r>
    <x v="431"/>
    <x v="435"/>
    <s v="GCI"/>
    <x v="0"/>
    <x v="4"/>
    <x v="6"/>
    <x v="981"/>
    <x v="981"/>
    <x v="136"/>
    <x v="8"/>
    <n v="1"/>
  </r>
  <r>
    <x v="400"/>
    <x v="404"/>
    <s v="GCI"/>
    <x v="0"/>
    <x v="4"/>
    <x v="6"/>
    <x v="982"/>
    <x v="982"/>
    <x v="136"/>
    <x v="8"/>
    <n v="1"/>
  </r>
  <r>
    <x v="401"/>
    <x v="405"/>
    <s v="GCI"/>
    <x v="0"/>
    <x v="4"/>
    <x v="6"/>
    <x v="984"/>
    <x v="984"/>
    <x v="137"/>
    <x v="8"/>
    <n v="1"/>
  </r>
  <r>
    <x v="403"/>
    <x v="407"/>
    <s v="GCI"/>
    <x v="0"/>
    <x v="4"/>
    <x v="6"/>
    <x v="989"/>
    <x v="989"/>
    <x v="138"/>
    <x v="8"/>
    <n v="1"/>
  </r>
  <r>
    <x v="300"/>
    <x v="437"/>
    <s v="GCI"/>
    <x v="0"/>
    <x v="4"/>
    <x v="6"/>
    <x v="992"/>
    <x v="992"/>
    <x v="138"/>
    <x v="8"/>
    <n v="1"/>
  </r>
  <r>
    <x v="407"/>
    <x v="411"/>
    <s v="GCI"/>
    <x v="0"/>
    <x v="4"/>
    <x v="6"/>
    <x v="939"/>
    <x v="939"/>
    <x v="140"/>
    <x v="8"/>
    <n v="1"/>
  </r>
  <r>
    <x v="409"/>
    <x v="413"/>
    <s v="GCI"/>
    <x v="0"/>
    <x v="4"/>
    <x v="6"/>
    <x v="941"/>
    <x v="941"/>
    <x v="110"/>
    <x v="8"/>
    <n v="1"/>
  </r>
  <r>
    <x v="435"/>
    <x v="439"/>
    <s v="GCI"/>
    <x v="0"/>
    <x v="4"/>
    <x v="6"/>
    <x v="1010"/>
    <x v="1009"/>
    <x v="157"/>
    <x v="8"/>
    <n v="1"/>
  </r>
  <r>
    <x v="309"/>
    <x v="312"/>
    <s v="GCI"/>
    <x v="0"/>
    <x v="4"/>
    <x v="6"/>
    <x v="942"/>
    <x v="942"/>
    <x v="141"/>
    <x v="8"/>
    <n v="1"/>
  </r>
  <r>
    <x v="411"/>
    <x v="415"/>
    <s v="GCI"/>
    <x v="1"/>
    <x v="4"/>
    <x v="6"/>
    <x v="998"/>
    <x v="997"/>
    <x v="143"/>
    <x v="8"/>
    <n v="1"/>
  </r>
  <r>
    <x v="438"/>
    <x v="442"/>
    <s v="GCI"/>
    <x v="1"/>
    <x v="4"/>
    <x v="6"/>
    <x v="1003"/>
    <x v="1002"/>
    <x v="155"/>
    <x v="8"/>
    <n v="1"/>
  </r>
  <r>
    <x v="414"/>
    <x v="418"/>
    <s v="GCI"/>
    <x v="1"/>
    <x v="4"/>
    <x v="6"/>
    <x v="952"/>
    <x v="952"/>
    <x v="147"/>
    <x v="8"/>
    <n v="1"/>
  </r>
  <r>
    <x v="415"/>
    <x v="419"/>
    <s v="GCI"/>
    <x v="1"/>
    <x v="4"/>
    <x v="6"/>
    <x v="953"/>
    <x v="953"/>
    <x v="148"/>
    <x v="8"/>
    <n v="1"/>
  </r>
  <r>
    <x v="416"/>
    <x v="420"/>
    <s v="GCI"/>
    <x v="1"/>
    <x v="4"/>
    <x v="6"/>
    <x v="954"/>
    <x v="954"/>
    <x v="149"/>
    <x v="8"/>
    <n v="1"/>
  </r>
  <r>
    <x v="417"/>
    <x v="421"/>
    <s v="GCI"/>
    <x v="1"/>
    <x v="4"/>
    <x v="6"/>
    <x v="955"/>
    <x v="955"/>
    <x v="150"/>
    <x v="8"/>
    <n v="1"/>
  </r>
  <r>
    <x v="264"/>
    <x v="265"/>
    <s v="GCI"/>
    <x v="0"/>
    <x v="4"/>
    <x v="6"/>
    <x v="875"/>
    <x v="875"/>
    <x v="74"/>
    <x v="4"/>
    <n v="1"/>
  </r>
  <r>
    <x v="386"/>
    <x v="390"/>
    <s v="GCI"/>
    <x v="0"/>
    <x v="4"/>
    <x v="6"/>
    <x v="916"/>
    <x v="916"/>
    <x v="96"/>
    <x v="4"/>
    <n v="1"/>
  </r>
  <r>
    <x v="250"/>
    <x v="251"/>
    <s v="GCI"/>
    <x v="0"/>
    <x v="4"/>
    <x v="6"/>
    <x v="920"/>
    <x v="920"/>
    <x v="44"/>
    <x v="4"/>
    <n v="1"/>
  </r>
  <r>
    <x v="428"/>
    <x v="432"/>
    <s v="GCI"/>
    <x v="0"/>
    <x v="4"/>
    <x v="6"/>
    <x v="976"/>
    <x v="976"/>
    <x v="50"/>
    <x v="4"/>
    <n v="1"/>
  </r>
  <r>
    <x v="398"/>
    <x v="402"/>
    <s v="GCI"/>
    <x v="0"/>
    <x v="4"/>
    <x v="6"/>
    <x v="979"/>
    <x v="979"/>
    <x v="136"/>
    <x v="4"/>
    <n v="2"/>
  </r>
  <r>
    <x v="289"/>
    <x v="290"/>
    <s v="GCI"/>
    <x v="0"/>
    <x v="4"/>
    <x v="6"/>
    <x v="983"/>
    <x v="983"/>
    <x v="137"/>
    <x v="4"/>
    <n v="1"/>
  </r>
  <r>
    <x v="290"/>
    <x v="291"/>
    <s v="GCI"/>
    <x v="0"/>
    <x v="4"/>
    <x v="6"/>
    <x v="985"/>
    <x v="985"/>
    <x v="137"/>
    <x v="4"/>
    <n v="1"/>
  </r>
  <r>
    <x v="404"/>
    <x v="408"/>
    <s v="GCI"/>
    <x v="0"/>
    <x v="4"/>
    <x v="6"/>
    <x v="991"/>
    <x v="991"/>
    <x v="138"/>
    <x v="4"/>
    <n v="1"/>
  </r>
  <r>
    <x v="434"/>
    <x v="438"/>
    <s v="GCI"/>
    <x v="0"/>
    <x v="4"/>
    <x v="6"/>
    <x v="1011"/>
    <x v="1010"/>
    <x v="157"/>
    <x v="4"/>
    <n v="1"/>
  </r>
  <r>
    <x v="311"/>
    <x v="314"/>
    <s v="GCI"/>
    <x v="0"/>
    <x v="4"/>
    <x v="6"/>
    <x v="944"/>
    <x v="944"/>
    <x v="141"/>
    <x v="4"/>
    <n v="1"/>
  </r>
  <r>
    <x v="410"/>
    <x v="414"/>
    <s v="GCI"/>
    <x v="1"/>
    <x v="4"/>
    <x v="6"/>
    <x v="997"/>
    <x v="946"/>
    <x v="153"/>
    <x v="4"/>
    <n v="3"/>
  </r>
  <r>
    <x v="411"/>
    <x v="415"/>
    <s v="GCI"/>
    <x v="1"/>
    <x v="4"/>
    <x v="6"/>
    <x v="1012"/>
    <x v="1011"/>
    <x v="143"/>
    <x v="4"/>
    <n v="3"/>
  </r>
  <r>
    <x v="412"/>
    <x v="416"/>
    <s v="GCI"/>
    <x v="1"/>
    <x v="4"/>
    <x v="6"/>
    <x v="950"/>
    <x v="950"/>
    <x v="145"/>
    <x v="4"/>
    <n v="1"/>
  </r>
  <r>
    <x v="437"/>
    <x v="441"/>
    <s v="GCI"/>
    <x v="1"/>
    <x v="4"/>
    <x v="6"/>
    <x v="1002"/>
    <x v="1001"/>
    <x v="154"/>
    <x v="4"/>
    <n v="1"/>
  </r>
  <r>
    <x v="439"/>
    <x v="443"/>
    <s v="GCI"/>
    <x v="1"/>
    <x v="4"/>
    <x v="6"/>
    <x v="1004"/>
    <x v="1003"/>
    <x v="156"/>
    <x v="4"/>
    <n v="1"/>
  </r>
  <r>
    <x v="137"/>
    <x v="389"/>
    <s v="GCI"/>
    <x v="0"/>
    <x v="4"/>
    <x v="6"/>
    <x v="915"/>
    <x v="915"/>
    <x v="96"/>
    <x v="11"/>
    <n v="380"/>
  </r>
  <r>
    <x v="363"/>
    <x v="366"/>
    <s v="GCI"/>
    <x v="0"/>
    <x v="4"/>
    <x v="6"/>
    <x v="1013"/>
    <x v="1012"/>
    <x v="125"/>
    <x v="9"/>
    <n v="1"/>
  </r>
  <r>
    <x v="366"/>
    <x v="369"/>
    <s v="GCI"/>
    <x v="0"/>
    <x v="4"/>
    <x v="6"/>
    <x v="1014"/>
    <x v="1013"/>
    <x v="125"/>
    <x v="9"/>
    <n v="1"/>
  </r>
  <r>
    <x v="365"/>
    <x v="368"/>
    <s v="GCI"/>
    <x v="0"/>
    <x v="4"/>
    <x v="6"/>
    <x v="1015"/>
    <x v="1014"/>
    <x v="9"/>
    <x v="9"/>
    <n v="2"/>
  </r>
  <r>
    <x v="347"/>
    <x v="350"/>
    <s v="GCI"/>
    <x v="0"/>
    <x v="4"/>
    <x v="6"/>
    <x v="1016"/>
    <x v="1015"/>
    <x v="81"/>
    <x v="9"/>
    <n v="28"/>
  </r>
  <r>
    <x v="369"/>
    <x v="372"/>
    <s v="GCI"/>
    <x v="0"/>
    <x v="4"/>
    <x v="6"/>
    <x v="1017"/>
    <x v="1016"/>
    <x v="128"/>
    <x v="9"/>
    <n v="1"/>
  </r>
  <r>
    <x v="375"/>
    <x v="378"/>
    <s v="GCI"/>
    <x v="0"/>
    <x v="4"/>
    <x v="6"/>
    <x v="1018"/>
    <x v="1017"/>
    <x v="18"/>
    <x v="9"/>
    <n v="2"/>
  </r>
  <r>
    <x v="373"/>
    <x v="376"/>
    <s v="GCI"/>
    <x v="0"/>
    <x v="4"/>
    <x v="6"/>
    <x v="1019"/>
    <x v="1018"/>
    <x v="18"/>
    <x v="9"/>
    <n v="1"/>
  </r>
  <r>
    <x v="374"/>
    <x v="377"/>
    <s v="GCI"/>
    <x v="0"/>
    <x v="4"/>
    <x v="6"/>
    <x v="1020"/>
    <x v="1019"/>
    <x v="18"/>
    <x v="9"/>
    <n v="1"/>
  </r>
  <r>
    <x v="3"/>
    <x v="3"/>
    <s v="GCI"/>
    <x v="0"/>
    <x v="0"/>
    <x v="6"/>
    <x v="1021"/>
    <x v="1020"/>
    <x v="3"/>
    <x v="9"/>
    <n v="1"/>
  </r>
  <r>
    <x v="353"/>
    <x v="356"/>
    <s v="GCI"/>
    <x v="0"/>
    <x v="4"/>
    <x v="6"/>
    <x v="1022"/>
    <x v="1021"/>
    <x v="3"/>
    <x v="9"/>
    <n v="1"/>
  </r>
  <r>
    <x v="352"/>
    <x v="355"/>
    <s v="GCI"/>
    <x v="0"/>
    <x v="4"/>
    <x v="6"/>
    <x v="1023"/>
    <x v="1022"/>
    <x v="3"/>
    <x v="9"/>
    <n v="1"/>
  </r>
  <r>
    <x v="177"/>
    <x v="178"/>
    <s v="GCI"/>
    <x v="0"/>
    <x v="4"/>
    <x v="6"/>
    <x v="1024"/>
    <x v="1023"/>
    <x v="132"/>
    <x v="9"/>
    <n v="1"/>
  </r>
  <r>
    <x v="174"/>
    <x v="175"/>
    <s v="GCI"/>
    <x v="0"/>
    <x v="4"/>
    <x v="6"/>
    <x v="1025"/>
    <x v="1024"/>
    <x v="132"/>
    <x v="9"/>
    <n v="1"/>
  </r>
  <r>
    <x v="173"/>
    <x v="174"/>
    <s v="GCI"/>
    <x v="0"/>
    <x v="4"/>
    <x v="6"/>
    <x v="1026"/>
    <x v="1025"/>
    <x v="132"/>
    <x v="9"/>
    <n v="1"/>
  </r>
  <r>
    <x v="382"/>
    <x v="385"/>
    <s v="GCI"/>
    <x v="0"/>
    <x v="4"/>
    <x v="6"/>
    <x v="1027"/>
    <x v="1026"/>
    <x v="92"/>
    <x v="9"/>
    <n v="2"/>
  </r>
  <r>
    <x v="381"/>
    <x v="384"/>
    <s v="GCI"/>
    <x v="0"/>
    <x v="4"/>
    <x v="6"/>
    <x v="1028"/>
    <x v="1027"/>
    <x v="92"/>
    <x v="9"/>
    <n v="3"/>
  </r>
  <r>
    <x v="380"/>
    <x v="383"/>
    <s v="GCI"/>
    <x v="0"/>
    <x v="4"/>
    <x v="6"/>
    <x v="1029"/>
    <x v="1028"/>
    <x v="92"/>
    <x v="9"/>
    <n v="1"/>
  </r>
  <r>
    <x v="360"/>
    <x v="363"/>
    <s v="GCI"/>
    <x v="0"/>
    <x v="4"/>
    <x v="6"/>
    <x v="1030"/>
    <x v="1029"/>
    <x v="40"/>
    <x v="9"/>
    <n v="1"/>
  </r>
  <r>
    <x v="385"/>
    <x v="388"/>
    <s v="GCI"/>
    <x v="0"/>
    <x v="6"/>
    <x v="6"/>
    <x v="1031"/>
    <x v="1030"/>
    <x v="74"/>
    <x v="9"/>
    <n v="1"/>
  </r>
  <r>
    <x v="383"/>
    <x v="386"/>
    <s v="GCI"/>
    <x v="0"/>
    <x v="4"/>
    <x v="6"/>
    <x v="1032"/>
    <x v="1031"/>
    <x v="74"/>
    <x v="9"/>
    <n v="2"/>
  </r>
  <r>
    <x v="137"/>
    <x v="389"/>
    <s v="GCI"/>
    <x v="0"/>
    <x v="4"/>
    <x v="6"/>
    <x v="1033"/>
    <x v="1032"/>
    <x v="96"/>
    <x v="9"/>
    <n v="4"/>
  </r>
  <r>
    <x v="387"/>
    <x v="391"/>
    <s v="GCI"/>
    <x v="0"/>
    <x v="4"/>
    <x v="6"/>
    <x v="1034"/>
    <x v="1033"/>
    <x v="43"/>
    <x v="9"/>
    <n v="3"/>
  </r>
  <r>
    <x v="388"/>
    <x v="392"/>
    <s v="GCI"/>
    <x v="0"/>
    <x v="4"/>
    <x v="6"/>
    <x v="1035"/>
    <x v="1034"/>
    <x v="44"/>
    <x v="9"/>
    <n v="1"/>
  </r>
  <r>
    <x v="393"/>
    <x v="397"/>
    <s v="GCI"/>
    <x v="0"/>
    <x v="4"/>
    <x v="6"/>
    <x v="1036"/>
    <x v="1035"/>
    <x v="45"/>
    <x v="9"/>
    <n v="1"/>
  </r>
  <r>
    <x v="426"/>
    <x v="430"/>
    <s v="GCI"/>
    <x v="0"/>
    <x v="4"/>
    <x v="6"/>
    <x v="1037"/>
    <x v="1036"/>
    <x v="120"/>
    <x v="9"/>
    <n v="1"/>
  </r>
  <r>
    <x v="401"/>
    <x v="405"/>
    <s v="GCI"/>
    <x v="0"/>
    <x v="4"/>
    <x v="6"/>
    <x v="984"/>
    <x v="984"/>
    <x v="137"/>
    <x v="9"/>
    <n v="1"/>
  </r>
  <r>
    <x v="404"/>
    <x v="408"/>
    <s v="GCI"/>
    <x v="0"/>
    <x v="4"/>
    <x v="6"/>
    <x v="991"/>
    <x v="991"/>
    <x v="138"/>
    <x v="9"/>
    <n v="1"/>
  </r>
  <r>
    <x v="407"/>
    <x v="411"/>
    <s v="GCI"/>
    <x v="0"/>
    <x v="4"/>
    <x v="6"/>
    <x v="939"/>
    <x v="939"/>
    <x v="140"/>
    <x v="9"/>
    <n v="1"/>
  </r>
  <r>
    <x v="410"/>
    <x v="414"/>
    <s v="GCI"/>
    <x v="1"/>
    <x v="4"/>
    <x v="6"/>
    <x v="997"/>
    <x v="946"/>
    <x v="153"/>
    <x v="9"/>
    <n v="2"/>
  </r>
  <r>
    <x v="411"/>
    <x v="415"/>
    <s v="GCI"/>
    <x v="1"/>
    <x v="4"/>
    <x v="6"/>
    <x v="998"/>
    <x v="997"/>
    <x v="143"/>
    <x v="9"/>
    <n v="2"/>
  </r>
  <r>
    <x v="437"/>
    <x v="441"/>
    <s v="GCI"/>
    <x v="1"/>
    <x v="4"/>
    <x v="6"/>
    <x v="1002"/>
    <x v="1001"/>
    <x v="154"/>
    <x v="9"/>
    <n v="1"/>
  </r>
  <r>
    <x v="413"/>
    <x v="417"/>
    <s v="GCI"/>
    <x v="1"/>
    <x v="4"/>
    <x v="6"/>
    <x v="951"/>
    <x v="951"/>
    <x v="146"/>
    <x v="9"/>
    <n v="1"/>
  </r>
  <r>
    <x v="411"/>
    <x v="415"/>
    <s v="GCI"/>
    <x v="1"/>
    <x v="4"/>
    <x v="6"/>
    <x v="1038"/>
    <x v="1037"/>
    <x v="143"/>
    <x v="15"/>
    <n v="119"/>
  </r>
  <r>
    <x v="411"/>
    <x v="415"/>
    <s v="GCI"/>
    <x v="1"/>
    <x v="4"/>
    <x v="6"/>
    <x v="999"/>
    <x v="998"/>
    <x v="144"/>
    <x v="15"/>
    <n v="92"/>
  </r>
  <r>
    <x v="410"/>
    <x v="414"/>
    <s v="GCI"/>
    <x v="1"/>
    <x v="4"/>
    <x v="6"/>
    <x v="1000"/>
    <x v="999"/>
    <x v="144"/>
    <x v="15"/>
    <n v="134"/>
  </r>
  <r>
    <x v="412"/>
    <x v="416"/>
    <s v="GCI"/>
    <x v="1"/>
    <x v="4"/>
    <x v="6"/>
    <x v="950"/>
    <x v="950"/>
    <x v="145"/>
    <x v="15"/>
    <n v="6"/>
  </r>
  <r>
    <x v="436"/>
    <x v="440"/>
    <s v="GCI"/>
    <x v="1"/>
    <x v="4"/>
    <x v="6"/>
    <x v="1001"/>
    <x v="1000"/>
    <x v="145"/>
    <x v="15"/>
    <n v="12"/>
  </r>
  <r>
    <x v="437"/>
    <x v="441"/>
    <s v="GCI"/>
    <x v="1"/>
    <x v="4"/>
    <x v="6"/>
    <x v="1002"/>
    <x v="1001"/>
    <x v="154"/>
    <x v="15"/>
    <n v="13"/>
  </r>
  <r>
    <x v="440"/>
    <x v="444"/>
    <s v="GCI"/>
    <x v="1"/>
    <x v="4"/>
    <x v="6"/>
    <x v="1039"/>
    <x v="1038"/>
    <x v="146"/>
    <x v="15"/>
    <n v="2"/>
  </r>
  <r>
    <x v="413"/>
    <x v="417"/>
    <s v="GCI"/>
    <x v="1"/>
    <x v="4"/>
    <x v="6"/>
    <x v="951"/>
    <x v="951"/>
    <x v="146"/>
    <x v="15"/>
    <n v="9"/>
  </r>
  <r>
    <x v="414"/>
    <x v="418"/>
    <s v="GCI"/>
    <x v="1"/>
    <x v="4"/>
    <x v="6"/>
    <x v="952"/>
    <x v="952"/>
    <x v="147"/>
    <x v="15"/>
    <n v="14"/>
  </r>
  <r>
    <x v="415"/>
    <x v="419"/>
    <s v="GCI"/>
    <x v="1"/>
    <x v="4"/>
    <x v="6"/>
    <x v="953"/>
    <x v="953"/>
    <x v="148"/>
    <x v="15"/>
    <n v="8"/>
  </r>
  <r>
    <x v="439"/>
    <x v="443"/>
    <s v="GCI"/>
    <x v="1"/>
    <x v="4"/>
    <x v="6"/>
    <x v="1004"/>
    <x v="1003"/>
    <x v="156"/>
    <x v="15"/>
    <n v="34"/>
  </r>
  <r>
    <x v="416"/>
    <x v="420"/>
    <s v="GCI"/>
    <x v="1"/>
    <x v="4"/>
    <x v="6"/>
    <x v="954"/>
    <x v="954"/>
    <x v="149"/>
    <x v="15"/>
    <n v="24"/>
  </r>
  <r>
    <x v="417"/>
    <x v="421"/>
    <s v="GCI"/>
    <x v="1"/>
    <x v="4"/>
    <x v="6"/>
    <x v="955"/>
    <x v="955"/>
    <x v="150"/>
    <x v="15"/>
    <n v="9"/>
  </r>
  <r>
    <x v="347"/>
    <x v="350"/>
    <s v="GCI"/>
    <x v="0"/>
    <x v="4"/>
    <x v="6"/>
    <x v="1040"/>
    <x v="1039"/>
    <x v="122"/>
    <x v="2"/>
    <n v="7"/>
  </r>
  <r>
    <x v="348"/>
    <x v="351"/>
    <s v="GCI"/>
    <x v="0"/>
    <x v="4"/>
    <x v="6"/>
    <x v="1041"/>
    <x v="1040"/>
    <x v="60"/>
    <x v="2"/>
    <n v="8"/>
  </r>
  <r>
    <x v="363"/>
    <x v="366"/>
    <s v="GCI"/>
    <x v="0"/>
    <x v="4"/>
    <x v="6"/>
    <x v="1013"/>
    <x v="1012"/>
    <x v="125"/>
    <x v="2"/>
    <n v="4"/>
  </r>
  <r>
    <x v="366"/>
    <x v="369"/>
    <s v="GCI"/>
    <x v="0"/>
    <x v="4"/>
    <x v="6"/>
    <x v="1014"/>
    <x v="1013"/>
    <x v="125"/>
    <x v="2"/>
    <n v="3"/>
  </r>
  <r>
    <x v="364"/>
    <x v="367"/>
    <s v="GCI"/>
    <x v="0"/>
    <x v="4"/>
    <x v="6"/>
    <x v="1042"/>
    <x v="1041"/>
    <x v="126"/>
    <x v="2"/>
    <n v="3"/>
  </r>
  <r>
    <x v="365"/>
    <x v="368"/>
    <s v="GCI"/>
    <x v="0"/>
    <x v="4"/>
    <x v="6"/>
    <x v="1043"/>
    <x v="1042"/>
    <x v="80"/>
    <x v="2"/>
    <n v="18"/>
  </r>
  <r>
    <x v="367"/>
    <x v="370"/>
    <s v="GCI"/>
    <x v="0"/>
    <x v="4"/>
    <x v="6"/>
    <x v="1044"/>
    <x v="1043"/>
    <x v="128"/>
    <x v="2"/>
    <n v="4"/>
  </r>
  <r>
    <x v="370"/>
    <x v="373"/>
    <s v="GCI"/>
    <x v="0"/>
    <x v="4"/>
    <x v="6"/>
    <x v="1045"/>
    <x v="1044"/>
    <x v="128"/>
    <x v="2"/>
    <n v="2"/>
  </r>
  <r>
    <x v="368"/>
    <x v="371"/>
    <s v="GCI"/>
    <x v="0"/>
    <x v="4"/>
    <x v="6"/>
    <x v="1046"/>
    <x v="1045"/>
    <x v="128"/>
    <x v="2"/>
    <n v="2"/>
  </r>
  <r>
    <x v="418"/>
    <x v="422"/>
    <s v="GCI"/>
    <x v="0"/>
    <x v="4"/>
    <x v="6"/>
    <x v="1047"/>
    <x v="1046"/>
    <x v="128"/>
    <x v="2"/>
    <n v="2"/>
  </r>
  <r>
    <x v="371"/>
    <x v="374"/>
    <s v="GCI"/>
    <x v="0"/>
    <x v="4"/>
    <x v="6"/>
    <x v="1048"/>
    <x v="1047"/>
    <x v="129"/>
    <x v="2"/>
    <n v="26"/>
  </r>
  <r>
    <x v="372"/>
    <x v="375"/>
    <s v="GCI"/>
    <x v="0"/>
    <x v="4"/>
    <x v="6"/>
    <x v="1049"/>
    <x v="1048"/>
    <x v="67"/>
    <x v="2"/>
    <n v="6"/>
  </r>
  <r>
    <x v="419"/>
    <x v="423"/>
    <s v="GCI"/>
    <x v="0"/>
    <x v="4"/>
    <x v="6"/>
    <x v="1050"/>
    <x v="1049"/>
    <x v="67"/>
    <x v="2"/>
    <n v="14"/>
  </r>
  <r>
    <x v="373"/>
    <x v="376"/>
    <s v="GCI"/>
    <x v="0"/>
    <x v="4"/>
    <x v="6"/>
    <x v="1019"/>
    <x v="1018"/>
    <x v="18"/>
    <x v="2"/>
    <n v="21"/>
  </r>
  <r>
    <x v="374"/>
    <x v="377"/>
    <s v="GCI"/>
    <x v="0"/>
    <x v="4"/>
    <x v="6"/>
    <x v="1020"/>
    <x v="1019"/>
    <x v="18"/>
    <x v="2"/>
    <n v="17"/>
  </r>
  <r>
    <x v="349"/>
    <x v="352"/>
    <s v="GCI"/>
    <x v="0"/>
    <x v="4"/>
    <x v="6"/>
    <x v="1051"/>
    <x v="1050"/>
    <x v="123"/>
    <x v="2"/>
    <n v="7"/>
  </r>
  <r>
    <x v="350"/>
    <x v="353"/>
    <s v="GCI"/>
    <x v="0"/>
    <x v="4"/>
    <x v="6"/>
    <x v="1052"/>
    <x v="1051"/>
    <x v="123"/>
    <x v="2"/>
    <n v="15"/>
  </r>
  <r>
    <x v="351"/>
    <x v="354"/>
    <s v="GCI"/>
    <x v="0"/>
    <x v="4"/>
    <x v="6"/>
    <x v="1053"/>
    <x v="1052"/>
    <x v="24"/>
    <x v="2"/>
    <n v="17"/>
  </r>
  <r>
    <x v="352"/>
    <x v="355"/>
    <s v="GCI"/>
    <x v="0"/>
    <x v="4"/>
    <x v="6"/>
    <x v="1054"/>
    <x v="1053"/>
    <x v="2"/>
    <x v="2"/>
    <n v="4"/>
  </r>
  <r>
    <x v="376"/>
    <x v="379"/>
    <s v="GCI"/>
    <x v="0"/>
    <x v="4"/>
    <x v="6"/>
    <x v="1055"/>
    <x v="1054"/>
    <x v="2"/>
    <x v="2"/>
    <n v="2"/>
  </r>
  <r>
    <x v="353"/>
    <x v="356"/>
    <s v="GCI"/>
    <x v="0"/>
    <x v="4"/>
    <x v="6"/>
    <x v="1056"/>
    <x v="1055"/>
    <x v="2"/>
    <x v="2"/>
    <n v="1"/>
  </r>
  <r>
    <x v="357"/>
    <x v="360"/>
    <s v="GCI"/>
    <x v="0"/>
    <x v="4"/>
    <x v="6"/>
    <x v="1057"/>
    <x v="1056"/>
    <x v="124"/>
    <x v="2"/>
    <n v="7"/>
  </r>
  <r>
    <x v="85"/>
    <x v="85"/>
    <s v="GCI"/>
    <x v="0"/>
    <x v="2"/>
    <x v="6"/>
    <x v="1058"/>
    <x v="1057"/>
    <x v="37"/>
    <x v="2"/>
    <n v="13"/>
  </r>
  <r>
    <x v="358"/>
    <x v="361"/>
    <s v="GCI"/>
    <x v="0"/>
    <x v="4"/>
    <x v="6"/>
    <x v="1059"/>
    <x v="1058"/>
    <x v="40"/>
    <x v="2"/>
    <n v="3"/>
  </r>
  <r>
    <x v="359"/>
    <x v="362"/>
    <s v="GCI"/>
    <x v="0"/>
    <x v="4"/>
    <x v="6"/>
    <x v="1060"/>
    <x v="1059"/>
    <x v="40"/>
    <x v="2"/>
    <n v="6"/>
  </r>
  <r>
    <x v="360"/>
    <x v="363"/>
    <s v="GCI"/>
    <x v="0"/>
    <x v="4"/>
    <x v="6"/>
    <x v="1030"/>
    <x v="1029"/>
    <x v="40"/>
    <x v="2"/>
    <n v="2"/>
  </r>
  <r>
    <x v="361"/>
    <x v="364"/>
    <s v="GCI"/>
    <x v="0"/>
    <x v="4"/>
    <x v="6"/>
    <x v="1061"/>
    <x v="1060"/>
    <x v="40"/>
    <x v="2"/>
    <n v="8"/>
  </r>
  <r>
    <x v="385"/>
    <x v="388"/>
    <s v="GCI"/>
    <x v="0"/>
    <x v="6"/>
    <x v="6"/>
    <x v="1031"/>
    <x v="1030"/>
    <x v="74"/>
    <x v="2"/>
    <n v="14"/>
  </r>
  <r>
    <x v="386"/>
    <x v="390"/>
    <s v="GCI"/>
    <x v="0"/>
    <x v="4"/>
    <x v="6"/>
    <x v="1062"/>
    <x v="1061"/>
    <x v="96"/>
    <x v="2"/>
    <n v="3"/>
  </r>
  <r>
    <x v="425"/>
    <x v="429"/>
    <s v="GCI"/>
    <x v="0"/>
    <x v="4"/>
    <x v="6"/>
    <x v="1063"/>
    <x v="1062"/>
    <x v="96"/>
    <x v="2"/>
    <n v="1"/>
  </r>
  <r>
    <x v="384"/>
    <x v="387"/>
    <s v="GCI"/>
    <x v="0"/>
    <x v="4"/>
    <x v="6"/>
    <x v="1064"/>
    <x v="1063"/>
    <x v="96"/>
    <x v="2"/>
    <n v="10"/>
  </r>
  <r>
    <x v="388"/>
    <x v="392"/>
    <s v="GCI"/>
    <x v="0"/>
    <x v="4"/>
    <x v="6"/>
    <x v="1035"/>
    <x v="1034"/>
    <x v="44"/>
    <x v="2"/>
    <n v="8"/>
  </r>
  <r>
    <x v="389"/>
    <x v="393"/>
    <s v="GCI"/>
    <x v="0"/>
    <x v="4"/>
    <x v="6"/>
    <x v="1065"/>
    <x v="1064"/>
    <x v="44"/>
    <x v="2"/>
    <n v="5"/>
  </r>
  <r>
    <x v="250"/>
    <x v="251"/>
    <s v="GCI"/>
    <x v="0"/>
    <x v="4"/>
    <x v="6"/>
    <x v="1066"/>
    <x v="1065"/>
    <x v="44"/>
    <x v="2"/>
    <n v="10"/>
  </r>
  <r>
    <x v="390"/>
    <x v="394"/>
    <s v="GCI"/>
    <x v="0"/>
    <x v="4"/>
    <x v="6"/>
    <x v="1067"/>
    <x v="1066"/>
    <x v="45"/>
    <x v="2"/>
    <n v="4"/>
  </r>
  <r>
    <x v="392"/>
    <x v="396"/>
    <s v="GCI"/>
    <x v="0"/>
    <x v="4"/>
    <x v="6"/>
    <x v="1068"/>
    <x v="1067"/>
    <x v="45"/>
    <x v="2"/>
    <n v="7"/>
  </r>
  <r>
    <x v="393"/>
    <x v="397"/>
    <s v="GCI"/>
    <x v="0"/>
    <x v="4"/>
    <x v="6"/>
    <x v="1036"/>
    <x v="1035"/>
    <x v="45"/>
    <x v="2"/>
    <n v="2"/>
  </r>
  <r>
    <x v="426"/>
    <x v="430"/>
    <s v="GCI"/>
    <x v="0"/>
    <x v="4"/>
    <x v="6"/>
    <x v="1037"/>
    <x v="1036"/>
    <x v="120"/>
    <x v="2"/>
    <n v="4"/>
  </r>
  <r>
    <x v="427"/>
    <x v="431"/>
    <s v="GCI"/>
    <x v="0"/>
    <x v="4"/>
    <x v="6"/>
    <x v="1069"/>
    <x v="1068"/>
    <x v="120"/>
    <x v="2"/>
    <n v="3"/>
  </r>
  <r>
    <x v="394"/>
    <x v="398"/>
    <s v="GCI"/>
    <x v="0"/>
    <x v="4"/>
    <x v="6"/>
    <x v="1070"/>
    <x v="1069"/>
    <x v="120"/>
    <x v="2"/>
    <n v="3"/>
  </r>
  <r>
    <x v="395"/>
    <x v="399"/>
    <s v="GCI"/>
    <x v="0"/>
    <x v="4"/>
    <x v="6"/>
    <x v="1071"/>
    <x v="1070"/>
    <x v="120"/>
    <x v="2"/>
    <n v="6"/>
  </r>
  <r>
    <x v="272"/>
    <x v="273"/>
    <s v="GCI"/>
    <x v="0"/>
    <x v="6"/>
    <x v="6"/>
    <x v="1072"/>
    <x v="1071"/>
    <x v="135"/>
    <x v="2"/>
    <n v="96"/>
  </r>
  <r>
    <x v="397"/>
    <x v="401"/>
    <s v="GCI"/>
    <x v="0"/>
    <x v="4"/>
    <x v="6"/>
    <x v="1073"/>
    <x v="1072"/>
    <x v="135"/>
    <x v="2"/>
    <n v="57"/>
  </r>
  <r>
    <x v="398"/>
    <x v="402"/>
    <s v="GCI"/>
    <x v="0"/>
    <x v="4"/>
    <x v="6"/>
    <x v="979"/>
    <x v="979"/>
    <x v="136"/>
    <x v="2"/>
    <n v="98"/>
  </r>
  <r>
    <x v="399"/>
    <x v="403"/>
    <s v="GCI"/>
    <x v="0"/>
    <x v="4"/>
    <x v="6"/>
    <x v="980"/>
    <x v="980"/>
    <x v="136"/>
    <x v="2"/>
    <n v="14"/>
  </r>
  <r>
    <x v="431"/>
    <x v="435"/>
    <s v="GCI"/>
    <x v="0"/>
    <x v="4"/>
    <x v="6"/>
    <x v="981"/>
    <x v="981"/>
    <x v="136"/>
    <x v="2"/>
    <n v="26"/>
  </r>
  <r>
    <x v="400"/>
    <x v="404"/>
    <s v="GCI"/>
    <x v="0"/>
    <x v="4"/>
    <x v="6"/>
    <x v="982"/>
    <x v="982"/>
    <x v="136"/>
    <x v="2"/>
    <n v="21"/>
  </r>
  <r>
    <x v="289"/>
    <x v="290"/>
    <s v="GCI"/>
    <x v="0"/>
    <x v="4"/>
    <x v="6"/>
    <x v="983"/>
    <x v="983"/>
    <x v="137"/>
    <x v="2"/>
    <n v="73"/>
  </r>
  <r>
    <x v="401"/>
    <x v="405"/>
    <s v="GCI"/>
    <x v="0"/>
    <x v="4"/>
    <x v="6"/>
    <x v="984"/>
    <x v="984"/>
    <x v="137"/>
    <x v="2"/>
    <n v="41"/>
  </r>
  <r>
    <x v="290"/>
    <x v="291"/>
    <s v="GCI"/>
    <x v="0"/>
    <x v="4"/>
    <x v="6"/>
    <x v="985"/>
    <x v="985"/>
    <x v="137"/>
    <x v="2"/>
    <n v="36"/>
  </r>
  <r>
    <x v="291"/>
    <x v="292"/>
    <s v="GCI"/>
    <x v="0"/>
    <x v="4"/>
    <x v="6"/>
    <x v="986"/>
    <x v="986"/>
    <x v="137"/>
    <x v="2"/>
    <n v="24"/>
  </r>
  <r>
    <x v="432"/>
    <x v="302"/>
    <s v="GCI"/>
    <x v="0"/>
    <x v="4"/>
    <x v="6"/>
    <x v="987"/>
    <x v="987"/>
    <x v="137"/>
    <x v="2"/>
    <n v="18"/>
  </r>
  <r>
    <x v="402"/>
    <x v="406"/>
    <s v="GCI"/>
    <x v="0"/>
    <x v="4"/>
    <x v="6"/>
    <x v="988"/>
    <x v="988"/>
    <x v="138"/>
    <x v="2"/>
    <n v="39"/>
  </r>
  <r>
    <x v="403"/>
    <x v="407"/>
    <s v="GCI"/>
    <x v="0"/>
    <x v="4"/>
    <x v="6"/>
    <x v="989"/>
    <x v="989"/>
    <x v="138"/>
    <x v="2"/>
    <n v="27"/>
  </r>
  <r>
    <x v="433"/>
    <x v="436"/>
    <s v="GCI"/>
    <x v="0"/>
    <x v="4"/>
    <x v="6"/>
    <x v="990"/>
    <x v="990"/>
    <x v="138"/>
    <x v="2"/>
    <n v="18"/>
  </r>
  <r>
    <x v="404"/>
    <x v="408"/>
    <s v="GCI"/>
    <x v="0"/>
    <x v="4"/>
    <x v="6"/>
    <x v="991"/>
    <x v="991"/>
    <x v="138"/>
    <x v="2"/>
    <n v="33"/>
  </r>
  <r>
    <x v="300"/>
    <x v="437"/>
    <s v="GCI"/>
    <x v="0"/>
    <x v="4"/>
    <x v="6"/>
    <x v="992"/>
    <x v="992"/>
    <x v="138"/>
    <x v="2"/>
    <n v="39"/>
  </r>
  <r>
    <x v="280"/>
    <x v="281"/>
    <s v="GCI"/>
    <x v="0"/>
    <x v="4"/>
    <x v="6"/>
    <x v="1074"/>
    <x v="1073"/>
    <x v="140"/>
    <x v="2"/>
    <n v="101"/>
  </r>
  <r>
    <x v="407"/>
    <x v="411"/>
    <s v="GCI"/>
    <x v="0"/>
    <x v="4"/>
    <x v="6"/>
    <x v="939"/>
    <x v="939"/>
    <x v="140"/>
    <x v="2"/>
    <n v="44"/>
  </r>
  <r>
    <x v="408"/>
    <x v="412"/>
    <s v="GCI"/>
    <x v="0"/>
    <x v="4"/>
    <x v="6"/>
    <x v="940"/>
    <x v="940"/>
    <x v="110"/>
    <x v="2"/>
    <n v="34"/>
  </r>
  <r>
    <x v="409"/>
    <x v="413"/>
    <s v="GCI"/>
    <x v="0"/>
    <x v="4"/>
    <x v="6"/>
    <x v="941"/>
    <x v="941"/>
    <x v="110"/>
    <x v="2"/>
    <n v="15"/>
  </r>
  <r>
    <x v="435"/>
    <x v="439"/>
    <s v="GCI"/>
    <x v="0"/>
    <x v="4"/>
    <x v="6"/>
    <x v="1010"/>
    <x v="1009"/>
    <x v="157"/>
    <x v="2"/>
    <n v="24"/>
  </r>
  <r>
    <x v="434"/>
    <x v="438"/>
    <s v="GCI"/>
    <x v="0"/>
    <x v="4"/>
    <x v="6"/>
    <x v="1075"/>
    <x v="1074"/>
    <x v="157"/>
    <x v="2"/>
    <n v="37"/>
  </r>
  <r>
    <x v="309"/>
    <x v="312"/>
    <s v="GCI"/>
    <x v="0"/>
    <x v="4"/>
    <x v="6"/>
    <x v="942"/>
    <x v="942"/>
    <x v="141"/>
    <x v="2"/>
    <n v="58"/>
  </r>
  <r>
    <x v="310"/>
    <x v="313"/>
    <s v="GCI"/>
    <x v="0"/>
    <x v="4"/>
    <x v="6"/>
    <x v="943"/>
    <x v="943"/>
    <x v="141"/>
    <x v="2"/>
    <n v="7"/>
  </r>
  <r>
    <x v="311"/>
    <x v="314"/>
    <s v="GCI"/>
    <x v="0"/>
    <x v="4"/>
    <x v="6"/>
    <x v="944"/>
    <x v="944"/>
    <x v="141"/>
    <x v="2"/>
    <n v="52"/>
  </r>
  <r>
    <x v="410"/>
    <x v="414"/>
    <s v="GCI"/>
    <x v="1"/>
    <x v="4"/>
    <x v="6"/>
    <x v="1076"/>
    <x v="1075"/>
    <x v="153"/>
    <x v="2"/>
    <n v="86"/>
  </r>
  <r>
    <x v="411"/>
    <x v="415"/>
    <s v="GCI"/>
    <x v="1"/>
    <x v="4"/>
    <x v="6"/>
    <x v="1077"/>
    <x v="1076"/>
    <x v="153"/>
    <x v="2"/>
    <n v="134"/>
  </r>
  <r>
    <x v="412"/>
    <x v="416"/>
    <s v="GCI"/>
    <x v="1"/>
    <x v="4"/>
    <x v="6"/>
    <x v="950"/>
    <x v="950"/>
    <x v="145"/>
    <x v="2"/>
    <n v="25"/>
  </r>
  <r>
    <x v="436"/>
    <x v="440"/>
    <s v="GCI"/>
    <x v="1"/>
    <x v="4"/>
    <x v="6"/>
    <x v="1001"/>
    <x v="1000"/>
    <x v="145"/>
    <x v="2"/>
    <n v="13"/>
  </r>
  <r>
    <x v="415"/>
    <x v="419"/>
    <s v="GCI"/>
    <x v="1"/>
    <x v="4"/>
    <x v="6"/>
    <x v="953"/>
    <x v="953"/>
    <x v="148"/>
    <x v="2"/>
    <n v="8"/>
  </r>
  <r>
    <x v="439"/>
    <x v="443"/>
    <s v="GCI"/>
    <x v="1"/>
    <x v="4"/>
    <x v="6"/>
    <x v="1004"/>
    <x v="1003"/>
    <x v="156"/>
    <x v="2"/>
    <n v="18"/>
  </r>
  <r>
    <x v="417"/>
    <x v="421"/>
    <s v="GCI"/>
    <x v="1"/>
    <x v="4"/>
    <x v="6"/>
    <x v="955"/>
    <x v="955"/>
    <x v="150"/>
    <x v="2"/>
    <n v="23"/>
  </r>
  <r>
    <x v="347"/>
    <x v="350"/>
    <s v="GCI"/>
    <x v="0"/>
    <x v="4"/>
    <x v="6"/>
    <x v="1040"/>
    <x v="1039"/>
    <x v="122"/>
    <x v="1"/>
    <n v="56"/>
  </r>
  <r>
    <x v="348"/>
    <x v="351"/>
    <s v="GCI"/>
    <x v="0"/>
    <x v="4"/>
    <x v="6"/>
    <x v="1041"/>
    <x v="1040"/>
    <x v="60"/>
    <x v="1"/>
    <n v="30"/>
  </r>
  <r>
    <x v="363"/>
    <x v="366"/>
    <s v="GCI"/>
    <x v="0"/>
    <x v="4"/>
    <x v="6"/>
    <x v="1013"/>
    <x v="1012"/>
    <x v="125"/>
    <x v="1"/>
    <n v="42"/>
  </r>
  <r>
    <x v="366"/>
    <x v="369"/>
    <s v="GCI"/>
    <x v="0"/>
    <x v="4"/>
    <x v="6"/>
    <x v="1014"/>
    <x v="1013"/>
    <x v="125"/>
    <x v="1"/>
    <n v="23"/>
  </r>
  <r>
    <x v="364"/>
    <x v="367"/>
    <s v="GCI"/>
    <x v="0"/>
    <x v="4"/>
    <x v="6"/>
    <x v="1042"/>
    <x v="1041"/>
    <x v="126"/>
    <x v="1"/>
    <n v="18"/>
  </r>
  <r>
    <x v="365"/>
    <x v="368"/>
    <s v="GCI"/>
    <x v="0"/>
    <x v="4"/>
    <x v="6"/>
    <x v="1043"/>
    <x v="1042"/>
    <x v="80"/>
    <x v="1"/>
    <n v="120"/>
  </r>
  <r>
    <x v="367"/>
    <x v="370"/>
    <s v="GCI"/>
    <x v="0"/>
    <x v="4"/>
    <x v="6"/>
    <x v="1044"/>
    <x v="1043"/>
    <x v="128"/>
    <x v="1"/>
    <n v="4"/>
  </r>
  <r>
    <x v="370"/>
    <x v="373"/>
    <s v="GCI"/>
    <x v="0"/>
    <x v="4"/>
    <x v="6"/>
    <x v="1045"/>
    <x v="1044"/>
    <x v="128"/>
    <x v="1"/>
    <n v="38"/>
  </r>
  <r>
    <x v="368"/>
    <x v="371"/>
    <s v="GCI"/>
    <x v="0"/>
    <x v="4"/>
    <x v="6"/>
    <x v="1046"/>
    <x v="1045"/>
    <x v="128"/>
    <x v="1"/>
    <n v="36"/>
  </r>
  <r>
    <x v="369"/>
    <x v="372"/>
    <s v="GCI"/>
    <x v="0"/>
    <x v="4"/>
    <x v="6"/>
    <x v="1017"/>
    <x v="1016"/>
    <x v="128"/>
    <x v="1"/>
    <n v="54"/>
  </r>
  <r>
    <x v="418"/>
    <x v="422"/>
    <s v="GCI"/>
    <x v="0"/>
    <x v="4"/>
    <x v="6"/>
    <x v="1047"/>
    <x v="1046"/>
    <x v="128"/>
    <x v="1"/>
    <n v="50"/>
  </r>
  <r>
    <x v="371"/>
    <x v="374"/>
    <s v="GCI"/>
    <x v="0"/>
    <x v="4"/>
    <x v="6"/>
    <x v="1048"/>
    <x v="1047"/>
    <x v="129"/>
    <x v="1"/>
    <n v="48"/>
  </r>
  <r>
    <x v="372"/>
    <x v="375"/>
    <s v="GCI"/>
    <x v="0"/>
    <x v="4"/>
    <x v="6"/>
    <x v="1049"/>
    <x v="1048"/>
    <x v="67"/>
    <x v="1"/>
    <n v="50"/>
  </r>
  <r>
    <x v="419"/>
    <x v="423"/>
    <s v="GCI"/>
    <x v="0"/>
    <x v="4"/>
    <x v="6"/>
    <x v="1050"/>
    <x v="1049"/>
    <x v="67"/>
    <x v="1"/>
    <n v="62"/>
  </r>
  <r>
    <x v="375"/>
    <x v="378"/>
    <s v="GCI"/>
    <x v="0"/>
    <x v="4"/>
    <x v="6"/>
    <x v="1018"/>
    <x v="1017"/>
    <x v="18"/>
    <x v="1"/>
    <n v="61"/>
  </r>
  <r>
    <x v="373"/>
    <x v="376"/>
    <s v="GCI"/>
    <x v="0"/>
    <x v="4"/>
    <x v="6"/>
    <x v="1019"/>
    <x v="1018"/>
    <x v="18"/>
    <x v="1"/>
    <n v="173"/>
  </r>
  <r>
    <x v="374"/>
    <x v="377"/>
    <s v="GCI"/>
    <x v="0"/>
    <x v="4"/>
    <x v="6"/>
    <x v="1020"/>
    <x v="1019"/>
    <x v="18"/>
    <x v="1"/>
    <n v="33"/>
  </r>
  <r>
    <x v="349"/>
    <x v="352"/>
    <s v="GCI"/>
    <x v="0"/>
    <x v="4"/>
    <x v="6"/>
    <x v="1051"/>
    <x v="1050"/>
    <x v="123"/>
    <x v="1"/>
    <n v="15"/>
  </r>
  <r>
    <x v="350"/>
    <x v="353"/>
    <s v="GCI"/>
    <x v="0"/>
    <x v="4"/>
    <x v="6"/>
    <x v="1052"/>
    <x v="1051"/>
    <x v="123"/>
    <x v="1"/>
    <n v="113"/>
  </r>
  <r>
    <x v="351"/>
    <x v="354"/>
    <s v="GCI"/>
    <x v="0"/>
    <x v="4"/>
    <x v="6"/>
    <x v="1053"/>
    <x v="1052"/>
    <x v="24"/>
    <x v="1"/>
    <n v="51"/>
  </r>
  <r>
    <x v="352"/>
    <x v="355"/>
    <s v="GCI"/>
    <x v="0"/>
    <x v="4"/>
    <x v="6"/>
    <x v="1054"/>
    <x v="1053"/>
    <x v="2"/>
    <x v="1"/>
    <n v="20"/>
  </r>
  <r>
    <x v="376"/>
    <x v="379"/>
    <s v="GCI"/>
    <x v="0"/>
    <x v="4"/>
    <x v="6"/>
    <x v="1055"/>
    <x v="1054"/>
    <x v="2"/>
    <x v="1"/>
    <n v="22"/>
  </r>
  <r>
    <x v="353"/>
    <x v="356"/>
    <s v="GCI"/>
    <x v="0"/>
    <x v="4"/>
    <x v="6"/>
    <x v="1056"/>
    <x v="1055"/>
    <x v="2"/>
    <x v="1"/>
    <n v="11"/>
  </r>
  <r>
    <x v="355"/>
    <x v="358"/>
    <s v="GCI"/>
    <x v="0"/>
    <x v="4"/>
    <x v="6"/>
    <x v="1078"/>
    <x v="1077"/>
    <x v="124"/>
    <x v="1"/>
    <n v="30"/>
  </r>
  <r>
    <x v="357"/>
    <x v="360"/>
    <s v="GCI"/>
    <x v="0"/>
    <x v="4"/>
    <x v="6"/>
    <x v="1057"/>
    <x v="1056"/>
    <x v="124"/>
    <x v="1"/>
    <n v="36"/>
  </r>
  <r>
    <x v="420"/>
    <x v="424"/>
    <s v="GCI"/>
    <x v="0"/>
    <x v="4"/>
    <x v="6"/>
    <x v="1079"/>
    <x v="1078"/>
    <x v="124"/>
    <x v="1"/>
    <n v="150"/>
  </r>
  <r>
    <x v="175"/>
    <x v="176"/>
    <s v="GCI"/>
    <x v="0"/>
    <x v="4"/>
    <x v="6"/>
    <x v="1080"/>
    <x v="1079"/>
    <x v="131"/>
    <x v="1"/>
    <n v="23"/>
  </r>
  <r>
    <x v="176"/>
    <x v="177"/>
    <s v="GCI"/>
    <x v="0"/>
    <x v="4"/>
    <x v="6"/>
    <x v="1081"/>
    <x v="1080"/>
    <x v="131"/>
    <x v="1"/>
    <n v="29"/>
  </r>
  <r>
    <x v="177"/>
    <x v="178"/>
    <s v="GCI"/>
    <x v="0"/>
    <x v="4"/>
    <x v="6"/>
    <x v="1082"/>
    <x v="1081"/>
    <x v="131"/>
    <x v="1"/>
    <n v="42"/>
  </r>
  <r>
    <x v="441"/>
    <x v="445"/>
    <s v="GCI"/>
    <x v="0"/>
    <x v="4"/>
    <x v="6"/>
    <x v="1083"/>
    <x v="1082"/>
    <x v="131"/>
    <x v="1"/>
    <n v="17"/>
  </r>
  <r>
    <x v="173"/>
    <x v="174"/>
    <s v="GCI"/>
    <x v="0"/>
    <x v="4"/>
    <x v="6"/>
    <x v="1084"/>
    <x v="1083"/>
    <x v="131"/>
    <x v="1"/>
    <n v="53"/>
  </r>
  <r>
    <x v="174"/>
    <x v="175"/>
    <s v="GCI"/>
    <x v="0"/>
    <x v="4"/>
    <x v="6"/>
    <x v="1085"/>
    <x v="1084"/>
    <x v="131"/>
    <x v="1"/>
    <n v="57"/>
  </r>
  <r>
    <x v="172"/>
    <x v="173"/>
    <s v="GCI"/>
    <x v="0"/>
    <x v="4"/>
    <x v="6"/>
    <x v="1086"/>
    <x v="1085"/>
    <x v="131"/>
    <x v="1"/>
    <n v="64"/>
  </r>
  <r>
    <x v="85"/>
    <x v="85"/>
    <s v="GCI"/>
    <x v="0"/>
    <x v="2"/>
    <x v="6"/>
    <x v="1058"/>
    <x v="1057"/>
    <x v="37"/>
    <x v="1"/>
    <n v="165"/>
  </r>
  <r>
    <x v="382"/>
    <x v="385"/>
    <s v="GCI"/>
    <x v="0"/>
    <x v="4"/>
    <x v="6"/>
    <x v="1027"/>
    <x v="1026"/>
    <x v="92"/>
    <x v="1"/>
    <n v="79"/>
  </r>
  <r>
    <x v="381"/>
    <x v="384"/>
    <s v="GCI"/>
    <x v="0"/>
    <x v="4"/>
    <x v="6"/>
    <x v="1028"/>
    <x v="1027"/>
    <x v="92"/>
    <x v="1"/>
    <n v="82"/>
  </r>
  <r>
    <x v="380"/>
    <x v="383"/>
    <s v="GCI"/>
    <x v="0"/>
    <x v="4"/>
    <x v="6"/>
    <x v="1029"/>
    <x v="1028"/>
    <x v="92"/>
    <x v="1"/>
    <n v="95"/>
  </r>
  <r>
    <x v="358"/>
    <x v="361"/>
    <s v="GCI"/>
    <x v="0"/>
    <x v="4"/>
    <x v="6"/>
    <x v="1059"/>
    <x v="1058"/>
    <x v="40"/>
    <x v="1"/>
    <n v="41"/>
  </r>
  <r>
    <x v="359"/>
    <x v="362"/>
    <s v="GCI"/>
    <x v="0"/>
    <x v="4"/>
    <x v="6"/>
    <x v="1060"/>
    <x v="1059"/>
    <x v="40"/>
    <x v="1"/>
    <n v="28"/>
  </r>
  <r>
    <x v="360"/>
    <x v="363"/>
    <s v="GCI"/>
    <x v="0"/>
    <x v="4"/>
    <x v="6"/>
    <x v="1030"/>
    <x v="1029"/>
    <x v="40"/>
    <x v="1"/>
    <n v="23"/>
  </r>
  <r>
    <x v="361"/>
    <x v="364"/>
    <s v="GCI"/>
    <x v="0"/>
    <x v="4"/>
    <x v="6"/>
    <x v="1061"/>
    <x v="1060"/>
    <x v="40"/>
    <x v="1"/>
    <n v="83"/>
  </r>
  <r>
    <x v="385"/>
    <x v="388"/>
    <s v="GCI"/>
    <x v="0"/>
    <x v="6"/>
    <x v="6"/>
    <x v="1031"/>
    <x v="1030"/>
    <x v="74"/>
    <x v="1"/>
    <n v="77"/>
  </r>
  <r>
    <x v="386"/>
    <x v="390"/>
    <s v="GCI"/>
    <x v="0"/>
    <x v="4"/>
    <x v="6"/>
    <x v="1062"/>
    <x v="1061"/>
    <x v="96"/>
    <x v="1"/>
    <n v="69"/>
  </r>
  <r>
    <x v="425"/>
    <x v="429"/>
    <s v="GCI"/>
    <x v="0"/>
    <x v="4"/>
    <x v="6"/>
    <x v="1063"/>
    <x v="1062"/>
    <x v="96"/>
    <x v="1"/>
    <n v="32"/>
  </r>
  <r>
    <x v="384"/>
    <x v="387"/>
    <s v="GCI"/>
    <x v="0"/>
    <x v="4"/>
    <x v="6"/>
    <x v="1064"/>
    <x v="1063"/>
    <x v="96"/>
    <x v="1"/>
    <n v="25"/>
  </r>
  <r>
    <x v="388"/>
    <x v="392"/>
    <s v="GCI"/>
    <x v="0"/>
    <x v="4"/>
    <x v="6"/>
    <x v="1035"/>
    <x v="1034"/>
    <x v="44"/>
    <x v="1"/>
    <n v="25"/>
  </r>
  <r>
    <x v="389"/>
    <x v="393"/>
    <s v="GCI"/>
    <x v="0"/>
    <x v="4"/>
    <x v="6"/>
    <x v="1065"/>
    <x v="1064"/>
    <x v="44"/>
    <x v="1"/>
    <n v="20"/>
  </r>
  <r>
    <x v="250"/>
    <x v="251"/>
    <s v="GCI"/>
    <x v="0"/>
    <x v="4"/>
    <x v="6"/>
    <x v="1066"/>
    <x v="1065"/>
    <x v="44"/>
    <x v="1"/>
    <n v="81"/>
  </r>
  <r>
    <x v="390"/>
    <x v="394"/>
    <s v="GCI"/>
    <x v="0"/>
    <x v="4"/>
    <x v="6"/>
    <x v="1067"/>
    <x v="1066"/>
    <x v="45"/>
    <x v="1"/>
    <n v="36"/>
  </r>
  <r>
    <x v="391"/>
    <x v="395"/>
    <s v="GCI"/>
    <x v="0"/>
    <x v="4"/>
    <x v="6"/>
    <x v="1087"/>
    <x v="1086"/>
    <x v="45"/>
    <x v="1"/>
    <n v="21"/>
  </r>
  <r>
    <x v="392"/>
    <x v="396"/>
    <s v="GCI"/>
    <x v="0"/>
    <x v="4"/>
    <x v="6"/>
    <x v="1068"/>
    <x v="1067"/>
    <x v="45"/>
    <x v="1"/>
    <n v="55"/>
  </r>
  <r>
    <x v="393"/>
    <x v="397"/>
    <s v="GCI"/>
    <x v="0"/>
    <x v="4"/>
    <x v="6"/>
    <x v="1036"/>
    <x v="1035"/>
    <x v="45"/>
    <x v="1"/>
    <n v="40"/>
  </r>
  <r>
    <x v="426"/>
    <x v="430"/>
    <s v="GCI"/>
    <x v="0"/>
    <x v="4"/>
    <x v="6"/>
    <x v="1037"/>
    <x v="1036"/>
    <x v="120"/>
    <x v="1"/>
    <n v="22"/>
  </r>
  <r>
    <x v="427"/>
    <x v="431"/>
    <s v="GCI"/>
    <x v="0"/>
    <x v="4"/>
    <x v="6"/>
    <x v="1069"/>
    <x v="1068"/>
    <x v="120"/>
    <x v="1"/>
    <n v="15"/>
  </r>
  <r>
    <x v="394"/>
    <x v="398"/>
    <s v="GCI"/>
    <x v="0"/>
    <x v="4"/>
    <x v="6"/>
    <x v="1070"/>
    <x v="1069"/>
    <x v="120"/>
    <x v="1"/>
    <n v="46"/>
  </r>
  <r>
    <x v="395"/>
    <x v="399"/>
    <s v="GCI"/>
    <x v="0"/>
    <x v="4"/>
    <x v="6"/>
    <x v="1071"/>
    <x v="1070"/>
    <x v="120"/>
    <x v="1"/>
    <n v="30"/>
  </r>
  <r>
    <x v="407"/>
    <x v="411"/>
    <s v="GCI"/>
    <x v="0"/>
    <x v="4"/>
    <x v="6"/>
    <x v="939"/>
    <x v="939"/>
    <x v="140"/>
    <x v="1"/>
    <n v="1"/>
  </r>
  <r>
    <x v="409"/>
    <x v="413"/>
    <s v="GCI"/>
    <x v="0"/>
    <x v="4"/>
    <x v="6"/>
    <x v="941"/>
    <x v="941"/>
    <x v="110"/>
    <x v="1"/>
    <n v="21"/>
  </r>
  <r>
    <x v="435"/>
    <x v="439"/>
    <s v="GCI"/>
    <x v="0"/>
    <x v="4"/>
    <x v="6"/>
    <x v="1010"/>
    <x v="1009"/>
    <x v="157"/>
    <x v="1"/>
    <n v="1"/>
  </r>
  <r>
    <x v="434"/>
    <x v="438"/>
    <s v="GCI"/>
    <x v="0"/>
    <x v="4"/>
    <x v="6"/>
    <x v="1075"/>
    <x v="1074"/>
    <x v="157"/>
    <x v="1"/>
    <n v="1"/>
  </r>
  <r>
    <x v="434"/>
    <x v="438"/>
    <s v="GCI"/>
    <x v="0"/>
    <x v="4"/>
    <x v="6"/>
    <x v="1088"/>
    <x v="1087"/>
    <x v="141"/>
    <x v="1"/>
    <n v="32"/>
  </r>
  <r>
    <x v="311"/>
    <x v="314"/>
    <s v="GCI"/>
    <x v="0"/>
    <x v="4"/>
    <x v="6"/>
    <x v="944"/>
    <x v="944"/>
    <x v="141"/>
    <x v="1"/>
    <n v="1"/>
  </r>
  <r>
    <x v="309"/>
    <x v="312"/>
    <s v="GCI"/>
    <x v="0"/>
    <x v="4"/>
    <x v="6"/>
    <x v="945"/>
    <x v="945"/>
    <x v="142"/>
    <x v="1"/>
    <n v="37"/>
  </r>
  <r>
    <x v="311"/>
    <x v="314"/>
    <s v="GCI"/>
    <x v="0"/>
    <x v="4"/>
    <x v="6"/>
    <x v="1089"/>
    <x v="1088"/>
    <x v="142"/>
    <x v="1"/>
    <m/>
  </r>
  <r>
    <x v="411"/>
    <x v="415"/>
    <s v="GCI"/>
    <x v="1"/>
    <x v="4"/>
    <x v="6"/>
    <x v="1077"/>
    <x v="1076"/>
    <x v="153"/>
    <x v="1"/>
    <n v="50"/>
  </r>
  <r>
    <x v="410"/>
    <x v="414"/>
    <s v="GCI"/>
    <x v="1"/>
    <x v="4"/>
    <x v="6"/>
    <x v="1076"/>
    <x v="1075"/>
    <x v="153"/>
    <x v="1"/>
    <n v="50"/>
  </r>
  <r>
    <x v="436"/>
    <x v="440"/>
    <s v="GCI"/>
    <x v="1"/>
    <x v="4"/>
    <x v="6"/>
    <x v="1001"/>
    <x v="1000"/>
    <x v="145"/>
    <x v="1"/>
    <n v="1"/>
  </r>
  <r>
    <x v="440"/>
    <x v="444"/>
    <s v="GCI"/>
    <x v="1"/>
    <x v="4"/>
    <x v="6"/>
    <x v="1039"/>
    <x v="1038"/>
    <x v="146"/>
    <x v="1"/>
    <n v="6"/>
  </r>
  <r>
    <x v="413"/>
    <x v="417"/>
    <s v="GCI"/>
    <x v="1"/>
    <x v="4"/>
    <x v="6"/>
    <x v="951"/>
    <x v="951"/>
    <x v="146"/>
    <x v="1"/>
    <n v="1"/>
  </r>
  <r>
    <x v="414"/>
    <x v="418"/>
    <s v="GCI"/>
    <x v="1"/>
    <x v="4"/>
    <x v="6"/>
    <x v="952"/>
    <x v="952"/>
    <x v="147"/>
    <x v="1"/>
    <n v="1"/>
  </r>
  <r>
    <x v="415"/>
    <x v="419"/>
    <s v="GCI"/>
    <x v="1"/>
    <x v="4"/>
    <x v="6"/>
    <x v="953"/>
    <x v="953"/>
    <x v="148"/>
    <x v="1"/>
    <n v="9"/>
  </r>
  <r>
    <x v="439"/>
    <x v="443"/>
    <s v="GCI"/>
    <x v="1"/>
    <x v="4"/>
    <x v="6"/>
    <x v="1090"/>
    <x v="1089"/>
    <x v="149"/>
    <x v="1"/>
    <n v="10"/>
  </r>
  <r>
    <x v="416"/>
    <x v="420"/>
    <s v="GCI"/>
    <x v="1"/>
    <x v="4"/>
    <x v="6"/>
    <x v="954"/>
    <x v="954"/>
    <x v="149"/>
    <x v="1"/>
    <n v="23"/>
  </r>
  <r>
    <x v="417"/>
    <x v="421"/>
    <s v="GCI"/>
    <x v="1"/>
    <x v="4"/>
    <x v="6"/>
    <x v="955"/>
    <x v="955"/>
    <x v="150"/>
    <x v="1"/>
    <n v="1"/>
  </r>
  <r>
    <x v="348"/>
    <x v="351"/>
    <s v="GCI"/>
    <x v="0"/>
    <x v="4"/>
    <x v="6"/>
    <x v="1041"/>
    <x v="1040"/>
    <x v="60"/>
    <x v="3"/>
    <n v="3"/>
  </r>
  <r>
    <x v="347"/>
    <x v="350"/>
    <s v="GCI"/>
    <x v="0"/>
    <x v="4"/>
    <x v="6"/>
    <x v="1091"/>
    <x v="1090"/>
    <x v="125"/>
    <x v="3"/>
    <n v="1"/>
  </r>
  <r>
    <x v="363"/>
    <x v="366"/>
    <s v="GCI"/>
    <x v="0"/>
    <x v="4"/>
    <x v="6"/>
    <x v="1013"/>
    <x v="1012"/>
    <x v="125"/>
    <x v="3"/>
    <n v="2"/>
  </r>
  <r>
    <x v="364"/>
    <x v="367"/>
    <s v="GCI"/>
    <x v="0"/>
    <x v="4"/>
    <x v="6"/>
    <x v="1042"/>
    <x v="1041"/>
    <x v="126"/>
    <x v="3"/>
    <n v="5"/>
  </r>
  <r>
    <x v="365"/>
    <x v="368"/>
    <s v="GCI"/>
    <x v="0"/>
    <x v="4"/>
    <x v="6"/>
    <x v="1043"/>
    <x v="1042"/>
    <x v="80"/>
    <x v="3"/>
    <n v="9"/>
  </r>
  <r>
    <x v="368"/>
    <x v="371"/>
    <s v="GCI"/>
    <x v="0"/>
    <x v="4"/>
    <x v="6"/>
    <x v="1046"/>
    <x v="1045"/>
    <x v="128"/>
    <x v="3"/>
    <n v="4"/>
  </r>
  <r>
    <x v="369"/>
    <x v="372"/>
    <s v="GCI"/>
    <x v="0"/>
    <x v="4"/>
    <x v="6"/>
    <x v="1017"/>
    <x v="1016"/>
    <x v="128"/>
    <x v="3"/>
    <n v="2"/>
  </r>
  <r>
    <x v="366"/>
    <x v="369"/>
    <s v="GCI"/>
    <x v="0"/>
    <x v="4"/>
    <x v="6"/>
    <x v="1092"/>
    <x v="1091"/>
    <x v="63"/>
    <x v="3"/>
    <n v="7"/>
  </r>
  <r>
    <x v="372"/>
    <x v="375"/>
    <s v="GCI"/>
    <x v="0"/>
    <x v="4"/>
    <x v="6"/>
    <x v="1049"/>
    <x v="1048"/>
    <x v="67"/>
    <x v="3"/>
    <n v="2"/>
  </r>
  <r>
    <x v="375"/>
    <x v="378"/>
    <s v="GCI"/>
    <x v="0"/>
    <x v="4"/>
    <x v="6"/>
    <x v="1018"/>
    <x v="1017"/>
    <x v="18"/>
    <x v="3"/>
    <n v="9"/>
  </r>
  <r>
    <x v="419"/>
    <x v="423"/>
    <s v="GCI"/>
    <x v="0"/>
    <x v="4"/>
    <x v="6"/>
    <x v="1093"/>
    <x v="1092"/>
    <x v="18"/>
    <x v="3"/>
    <n v="10"/>
  </r>
  <r>
    <x v="353"/>
    <x v="356"/>
    <s v="GCI"/>
    <x v="0"/>
    <x v="4"/>
    <x v="6"/>
    <x v="1056"/>
    <x v="1055"/>
    <x v="2"/>
    <x v="3"/>
    <n v="1"/>
  </r>
  <r>
    <x v="382"/>
    <x v="385"/>
    <s v="GCI"/>
    <x v="0"/>
    <x v="4"/>
    <x v="6"/>
    <x v="1027"/>
    <x v="1026"/>
    <x v="92"/>
    <x v="3"/>
    <n v="4"/>
  </r>
  <r>
    <x v="381"/>
    <x v="384"/>
    <s v="GCI"/>
    <x v="0"/>
    <x v="4"/>
    <x v="6"/>
    <x v="1028"/>
    <x v="1027"/>
    <x v="92"/>
    <x v="3"/>
    <n v="5"/>
  </r>
  <r>
    <x v="382"/>
    <x v="385"/>
    <s v="GCI"/>
    <x v="0"/>
    <x v="4"/>
    <x v="6"/>
    <x v="1094"/>
    <x v="1093"/>
    <x v="40"/>
    <x v="3"/>
    <n v="4"/>
  </r>
  <r>
    <x v="358"/>
    <x v="361"/>
    <s v="GCI"/>
    <x v="0"/>
    <x v="4"/>
    <x v="6"/>
    <x v="1059"/>
    <x v="1058"/>
    <x v="40"/>
    <x v="3"/>
    <n v="2"/>
  </r>
  <r>
    <x v="359"/>
    <x v="362"/>
    <s v="GCI"/>
    <x v="0"/>
    <x v="4"/>
    <x v="6"/>
    <x v="1060"/>
    <x v="1059"/>
    <x v="40"/>
    <x v="3"/>
    <n v="2"/>
  </r>
  <r>
    <x v="360"/>
    <x v="363"/>
    <s v="GCI"/>
    <x v="0"/>
    <x v="4"/>
    <x v="6"/>
    <x v="1030"/>
    <x v="1029"/>
    <x v="40"/>
    <x v="3"/>
    <n v="6"/>
  </r>
  <r>
    <x v="89"/>
    <x v="89"/>
    <s v="GCI"/>
    <x v="0"/>
    <x v="4"/>
    <x v="6"/>
    <x v="1095"/>
    <x v="1094"/>
    <x v="40"/>
    <x v="3"/>
    <n v="1"/>
  </r>
  <r>
    <x v="264"/>
    <x v="265"/>
    <s v="GCI"/>
    <x v="0"/>
    <x v="4"/>
    <x v="6"/>
    <x v="1096"/>
    <x v="1095"/>
    <x v="74"/>
    <x v="3"/>
    <n v="2"/>
  </r>
  <r>
    <x v="384"/>
    <x v="387"/>
    <s v="GCI"/>
    <x v="0"/>
    <x v="4"/>
    <x v="6"/>
    <x v="1064"/>
    <x v="1063"/>
    <x v="96"/>
    <x v="3"/>
    <n v="10"/>
  </r>
  <r>
    <x v="387"/>
    <x v="391"/>
    <s v="GCI"/>
    <x v="0"/>
    <x v="4"/>
    <x v="6"/>
    <x v="1034"/>
    <x v="1033"/>
    <x v="43"/>
    <x v="3"/>
    <n v="1"/>
  </r>
  <r>
    <x v="391"/>
    <x v="395"/>
    <s v="GCI"/>
    <x v="0"/>
    <x v="4"/>
    <x v="6"/>
    <x v="1087"/>
    <x v="1086"/>
    <x v="45"/>
    <x v="3"/>
    <n v="2"/>
  </r>
  <r>
    <x v="392"/>
    <x v="396"/>
    <s v="GCI"/>
    <x v="0"/>
    <x v="4"/>
    <x v="6"/>
    <x v="1068"/>
    <x v="1067"/>
    <x v="45"/>
    <x v="3"/>
    <n v="1"/>
  </r>
  <r>
    <x v="398"/>
    <x v="402"/>
    <s v="GCI"/>
    <x v="0"/>
    <x v="4"/>
    <x v="6"/>
    <x v="979"/>
    <x v="979"/>
    <x v="136"/>
    <x v="3"/>
    <n v="7"/>
  </r>
  <r>
    <x v="400"/>
    <x v="404"/>
    <s v="GCI"/>
    <x v="0"/>
    <x v="4"/>
    <x v="6"/>
    <x v="982"/>
    <x v="982"/>
    <x v="136"/>
    <x v="3"/>
    <n v="3"/>
  </r>
  <r>
    <x v="289"/>
    <x v="290"/>
    <s v="GCI"/>
    <x v="0"/>
    <x v="4"/>
    <x v="6"/>
    <x v="983"/>
    <x v="983"/>
    <x v="137"/>
    <x v="3"/>
    <n v="6"/>
  </r>
  <r>
    <x v="401"/>
    <x v="405"/>
    <s v="GCI"/>
    <x v="0"/>
    <x v="4"/>
    <x v="6"/>
    <x v="984"/>
    <x v="984"/>
    <x v="137"/>
    <x v="3"/>
    <n v="2"/>
  </r>
  <r>
    <x v="290"/>
    <x v="291"/>
    <s v="GCI"/>
    <x v="0"/>
    <x v="4"/>
    <x v="6"/>
    <x v="985"/>
    <x v="985"/>
    <x v="137"/>
    <x v="3"/>
    <n v="4"/>
  </r>
  <r>
    <x v="402"/>
    <x v="406"/>
    <s v="GCI"/>
    <x v="0"/>
    <x v="4"/>
    <x v="6"/>
    <x v="988"/>
    <x v="988"/>
    <x v="138"/>
    <x v="3"/>
    <n v="2"/>
  </r>
  <r>
    <x v="403"/>
    <x v="407"/>
    <s v="GCI"/>
    <x v="0"/>
    <x v="4"/>
    <x v="6"/>
    <x v="989"/>
    <x v="989"/>
    <x v="138"/>
    <x v="3"/>
    <n v="5"/>
  </r>
  <r>
    <x v="404"/>
    <x v="408"/>
    <s v="GCI"/>
    <x v="0"/>
    <x v="4"/>
    <x v="6"/>
    <x v="991"/>
    <x v="991"/>
    <x v="138"/>
    <x v="3"/>
    <n v="4"/>
  </r>
  <r>
    <x v="300"/>
    <x v="437"/>
    <s v="GCI"/>
    <x v="0"/>
    <x v="4"/>
    <x v="6"/>
    <x v="992"/>
    <x v="992"/>
    <x v="138"/>
    <x v="3"/>
    <n v="5"/>
  </r>
  <r>
    <x v="309"/>
    <x v="312"/>
    <s v="GCI"/>
    <x v="0"/>
    <x v="4"/>
    <x v="6"/>
    <x v="942"/>
    <x v="942"/>
    <x v="141"/>
    <x v="3"/>
    <n v="8"/>
  </r>
  <r>
    <x v="309"/>
    <x v="312"/>
    <s v="GCI"/>
    <x v="0"/>
    <x v="4"/>
    <x v="6"/>
    <x v="945"/>
    <x v="945"/>
    <x v="142"/>
    <x v="3"/>
    <n v="5"/>
  </r>
  <r>
    <x v="311"/>
    <x v="314"/>
    <s v="GCI"/>
    <x v="0"/>
    <x v="4"/>
    <x v="6"/>
    <x v="1089"/>
    <x v="1088"/>
    <x v="142"/>
    <x v="3"/>
    <m/>
  </r>
  <r>
    <x v="411"/>
    <x v="415"/>
    <s v="GCI"/>
    <x v="1"/>
    <x v="4"/>
    <x v="6"/>
    <x v="1077"/>
    <x v="1076"/>
    <x v="153"/>
    <x v="3"/>
    <n v="3"/>
  </r>
  <r>
    <x v="410"/>
    <x v="414"/>
    <s v="GCI"/>
    <x v="1"/>
    <x v="4"/>
    <x v="6"/>
    <x v="1076"/>
    <x v="1075"/>
    <x v="153"/>
    <x v="3"/>
    <n v="2"/>
  </r>
  <r>
    <x v="417"/>
    <x v="421"/>
    <s v="GCI"/>
    <x v="1"/>
    <x v="4"/>
    <x v="6"/>
    <x v="955"/>
    <x v="955"/>
    <x v="150"/>
    <x v="3"/>
    <n v="4"/>
  </r>
  <r>
    <x v="442"/>
    <x v="446"/>
    <s v="GCI"/>
    <x v="0"/>
    <x v="2"/>
    <x v="7"/>
    <x v="1097"/>
    <x v="1096"/>
    <x v="66"/>
    <x v="1"/>
    <n v="49"/>
  </r>
  <r>
    <x v="442"/>
    <x v="446"/>
    <s v="GCI"/>
    <x v="0"/>
    <x v="2"/>
    <x v="7"/>
    <x v="1097"/>
    <x v="1096"/>
    <x v="66"/>
    <x v="2"/>
    <n v="5"/>
  </r>
  <r>
    <x v="442"/>
    <x v="446"/>
    <s v="GCI"/>
    <x v="0"/>
    <x v="2"/>
    <x v="7"/>
    <x v="1098"/>
    <x v="1097"/>
    <x v="66"/>
    <x v="4"/>
    <n v="1"/>
  </r>
  <r>
    <x v="442"/>
    <x v="446"/>
    <s v="GCI"/>
    <x v="0"/>
    <x v="2"/>
    <x v="7"/>
    <x v="1098"/>
    <x v="1097"/>
    <x v="66"/>
    <x v="5"/>
    <n v="4"/>
  </r>
  <r>
    <x v="443"/>
    <x v="447"/>
    <s v="GCI"/>
    <x v="0"/>
    <x v="2"/>
    <x v="7"/>
    <x v="1099"/>
    <x v="1098"/>
    <x v="66"/>
    <x v="1"/>
    <n v="45"/>
  </r>
  <r>
    <x v="443"/>
    <x v="447"/>
    <s v="GCI"/>
    <x v="0"/>
    <x v="2"/>
    <x v="7"/>
    <x v="1099"/>
    <x v="1098"/>
    <x v="66"/>
    <x v="2"/>
    <n v="6"/>
  </r>
  <r>
    <x v="443"/>
    <x v="447"/>
    <s v="GCI"/>
    <x v="0"/>
    <x v="2"/>
    <x v="7"/>
    <x v="1100"/>
    <x v="1099"/>
    <x v="66"/>
    <x v="4"/>
    <n v="1"/>
  </r>
  <r>
    <x v="443"/>
    <x v="447"/>
    <s v="GCI"/>
    <x v="0"/>
    <x v="2"/>
    <x v="7"/>
    <x v="1100"/>
    <x v="1099"/>
    <x v="66"/>
    <x v="5"/>
    <n v="4"/>
  </r>
  <r>
    <x v="442"/>
    <x v="446"/>
    <s v="GCI"/>
    <x v="0"/>
    <x v="2"/>
    <x v="7"/>
    <x v="1101"/>
    <x v="1100"/>
    <x v="66"/>
    <x v="6"/>
    <n v="22"/>
  </r>
  <r>
    <x v="443"/>
    <x v="447"/>
    <s v="GCI"/>
    <x v="0"/>
    <x v="2"/>
    <x v="7"/>
    <x v="1102"/>
    <x v="1101"/>
    <x v="66"/>
    <x v="6"/>
    <n v="23"/>
  </r>
  <r>
    <x v="443"/>
    <x v="447"/>
    <s v="GCI"/>
    <x v="0"/>
    <x v="2"/>
    <x v="7"/>
    <x v="1103"/>
    <x v="1102"/>
    <x v="67"/>
    <x v="0"/>
    <n v="6000"/>
  </r>
  <r>
    <x v="45"/>
    <x v="45"/>
    <s v="GCI"/>
    <x v="0"/>
    <x v="2"/>
    <x v="7"/>
    <x v="1104"/>
    <x v="1103"/>
    <x v="1"/>
    <x v="6"/>
    <n v="7"/>
  </r>
  <r>
    <x v="444"/>
    <x v="448"/>
    <s v="GCI"/>
    <x v="0"/>
    <x v="2"/>
    <x v="7"/>
    <x v="1105"/>
    <x v="1104"/>
    <x v="4"/>
    <x v="1"/>
    <n v="35"/>
  </r>
  <r>
    <x v="444"/>
    <x v="448"/>
    <s v="GCI"/>
    <x v="0"/>
    <x v="2"/>
    <x v="7"/>
    <x v="1105"/>
    <x v="1104"/>
    <x v="4"/>
    <x v="2"/>
    <n v="7"/>
  </r>
  <r>
    <x v="444"/>
    <x v="448"/>
    <s v="GCI"/>
    <x v="0"/>
    <x v="2"/>
    <x v="7"/>
    <x v="1105"/>
    <x v="1104"/>
    <x v="4"/>
    <x v="3"/>
    <n v="3"/>
  </r>
  <r>
    <x v="444"/>
    <x v="448"/>
    <s v="GCI"/>
    <x v="0"/>
    <x v="2"/>
    <x v="7"/>
    <x v="1106"/>
    <x v="1105"/>
    <x v="4"/>
    <x v="8"/>
    <n v="1"/>
  </r>
  <r>
    <x v="444"/>
    <x v="448"/>
    <s v="GCI"/>
    <x v="0"/>
    <x v="2"/>
    <x v="7"/>
    <x v="1106"/>
    <x v="1105"/>
    <x v="4"/>
    <x v="6"/>
    <n v="17"/>
  </r>
  <r>
    <x v="444"/>
    <x v="448"/>
    <s v="GCI"/>
    <x v="0"/>
    <x v="2"/>
    <x v="7"/>
    <x v="1106"/>
    <x v="1105"/>
    <x v="4"/>
    <x v="5"/>
    <n v="3"/>
  </r>
  <r>
    <x v="445"/>
    <x v="449"/>
    <s v="GCI"/>
    <x v="0"/>
    <x v="2"/>
    <x v="7"/>
    <x v="1107"/>
    <x v="1106"/>
    <x v="4"/>
    <x v="1"/>
    <n v="25"/>
  </r>
  <r>
    <x v="445"/>
    <x v="449"/>
    <s v="GCI"/>
    <x v="0"/>
    <x v="2"/>
    <x v="7"/>
    <x v="1107"/>
    <x v="1106"/>
    <x v="4"/>
    <x v="2"/>
    <n v="3"/>
  </r>
  <r>
    <x v="445"/>
    <x v="449"/>
    <s v="GCI"/>
    <x v="0"/>
    <x v="2"/>
    <x v="7"/>
    <x v="1108"/>
    <x v="1107"/>
    <x v="4"/>
    <x v="8"/>
    <n v="1"/>
  </r>
  <r>
    <x v="445"/>
    <x v="449"/>
    <s v="GCI"/>
    <x v="0"/>
    <x v="2"/>
    <x v="7"/>
    <x v="1108"/>
    <x v="1107"/>
    <x v="4"/>
    <x v="6"/>
    <n v="12"/>
  </r>
  <r>
    <x v="445"/>
    <x v="449"/>
    <s v="GCI"/>
    <x v="0"/>
    <x v="2"/>
    <x v="7"/>
    <x v="1108"/>
    <x v="1107"/>
    <x v="4"/>
    <x v="5"/>
    <n v="3"/>
  </r>
  <r>
    <x v="442"/>
    <x v="446"/>
    <s v="GCI"/>
    <x v="0"/>
    <x v="2"/>
    <x v="7"/>
    <x v="1109"/>
    <x v="1108"/>
    <x v="4"/>
    <x v="1"/>
    <n v="100"/>
  </r>
  <r>
    <x v="444"/>
    <x v="448"/>
    <s v="GCI"/>
    <x v="0"/>
    <x v="2"/>
    <x v="7"/>
    <x v="1106"/>
    <x v="1105"/>
    <x v="4"/>
    <x v="0"/>
    <n v="3000"/>
  </r>
  <r>
    <x v="446"/>
    <x v="450"/>
    <s v="GCI"/>
    <x v="1"/>
    <x v="4"/>
    <x v="6"/>
    <x v="1110"/>
    <x v="1109"/>
    <x v="158"/>
    <x v="2"/>
    <n v="14"/>
  </r>
  <r>
    <x v="446"/>
    <x v="450"/>
    <s v="GCI"/>
    <x v="1"/>
    <x v="4"/>
    <x v="6"/>
    <x v="1110"/>
    <x v="1109"/>
    <x v="158"/>
    <x v="15"/>
    <n v="7"/>
  </r>
  <r>
    <x v="446"/>
    <x v="450"/>
    <s v="GCI"/>
    <x v="1"/>
    <x v="4"/>
    <x v="6"/>
    <x v="1110"/>
    <x v="1109"/>
    <x v="158"/>
    <x v="0"/>
    <n v="3000"/>
  </r>
  <r>
    <x v="446"/>
    <x v="450"/>
    <s v="GCI"/>
    <x v="1"/>
    <x v="4"/>
    <x v="6"/>
    <x v="1110"/>
    <x v="1109"/>
    <x v="158"/>
    <x v="8"/>
    <n v="1"/>
  </r>
  <r>
    <x v="446"/>
    <x v="450"/>
    <s v="GCI"/>
    <x v="1"/>
    <x v="4"/>
    <x v="6"/>
    <x v="1110"/>
    <x v="1109"/>
    <x v="158"/>
    <x v="6"/>
    <n v="13"/>
  </r>
  <r>
    <x v="447"/>
    <x v="451"/>
    <s v="GCI"/>
    <x v="1"/>
    <x v="4"/>
    <x v="6"/>
    <x v="1111"/>
    <x v="1002"/>
    <x v="159"/>
    <x v="16"/>
    <m/>
  </r>
  <r>
    <x v="448"/>
    <x v="452"/>
    <s v="GCI"/>
    <x v="1"/>
    <x v="4"/>
    <x v="6"/>
    <x v="1111"/>
    <x v="1002"/>
    <x v="159"/>
    <x v="16"/>
    <m/>
  </r>
  <r>
    <x v="449"/>
    <x v="453"/>
    <s v="GCI"/>
    <x v="1"/>
    <x v="4"/>
    <x v="6"/>
    <x v="1111"/>
    <x v="1002"/>
    <x v="159"/>
    <x v="16"/>
    <m/>
  </r>
  <r>
    <x v="450"/>
    <x v="454"/>
    <s v="GCI"/>
    <x v="1"/>
    <x v="4"/>
    <x v="6"/>
    <x v="1111"/>
    <x v="1002"/>
    <x v="159"/>
    <x v="16"/>
    <m/>
  </r>
  <r>
    <x v="451"/>
    <x v="455"/>
    <s v="GCI"/>
    <x v="1"/>
    <x v="4"/>
    <x v="6"/>
    <x v="1111"/>
    <x v="1002"/>
    <x v="159"/>
    <x v="16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07">
  <r>
    <s v="001"/>
    <m/>
    <x v="0"/>
    <s v="INB-W0012402-224"/>
    <s v="EJ-Malang-01"/>
    <s v="Oka-0813-2707-1646"/>
    <d v="2024-02-15T00:00:00"/>
    <d v="1900-01-14T07:00:00"/>
    <s v="ZTE Warehouse"/>
    <x v="0"/>
    <x v="0"/>
    <s v="ZTE2010"/>
    <s v="Pcs"/>
    <n v="3"/>
    <s v="CLR51-99-067"/>
    <x v="0"/>
    <s v="DOEID24021519"/>
    <s v="DNWID0342024021506"/>
    <m/>
    <m/>
    <m/>
    <m/>
    <m/>
    <m/>
    <m/>
    <s v="Bandulan RW 08 Sukun"/>
    <d v="2024-02-15T00:00:00"/>
    <b v="1"/>
    <s v="OUTBOUND_"/>
  </r>
  <r>
    <s v="002"/>
    <m/>
    <x v="0"/>
    <s v="INB-W0012402-226"/>
    <s v="EJ-Malang-01"/>
    <s v="Oka-0813-2707-1646"/>
    <d v="2024-02-15T00:00:00"/>
    <d v="1900-01-14T07:00:00"/>
    <s v="ZTE Warehouse"/>
    <x v="0"/>
    <x v="0"/>
    <s v="ZTE2010"/>
    <s v="Pcs"/>
    <n v="6"/>
    <s v="CLR51-99-078"/>
    <x v="1"/>
    <s v="DOEID24021521"/>
    <s v="DNWID0342024021507"/>
    <m/>
    <m/>
    <m/>
    <m/>
    <m/>
    <m/>
    <m/>
    <s v="Bumiayu RW 03 Kedungkandang"/>
    <d v="2024-02-15T00:00:00"/>
    <b v="1"/>
    <s v="OUTBOUND_"/>
  </r>
  <r>
    <s v="003"/>
    <m/>
    <x v="0"/>
    <s v="INB-W0012402-259"/>
    <s v="EJ-Malang-01"/>
    <s v="Oka-0813-2707-1646"/>
    <d v="2024-02-29T00:00:00"/>
    <d v="1900-01-14T07:00:00"/>
    <s v="ZTE Warehouse"/>
    <x v="0"/>
    <x v="0"/>
    <s v="ZTE2010"/>
    <s v="Pcs"/>
    <n v="3"/>
    <s v="CLR51-99-079"/>
    <x v="2"/>
    <s v="DOEID240226C9"/>
    <s v="DNWID0342024022616"/>
    <m/>
    <m/>
    <m/>
    <m/>
    <m/>
    <m/>
    <m/>
    <s v="Bumiayu RW 05 Kedungkandang"/>
    <d v="2024-02-29T00:00:00"/>
    <b v="1"/>
    <s v="OUTBOUND_"/>
  </r>
  <r>
    <s v="004"/>
    <m/>
    <x v="1"/>
    <s v="OUB-W0012402-258"/>
    <s v="EJ-Malang-01"/>
    <s v="Oka-0813-2707-1646"/>
    <d v="2024-02-29T00:00:00"/>
    <d v="1899-12-30T13:20:00"/>
    <s v="EJ-MALANG-01"/>
    <x v="0"/>
    <x v="0"/>
    <s v="ZTE2010"/>
    <s v="Pcs"/>
    <n v="3"/>
    <s v="CLR51-99-079"/>
    <x v="2"/>
    <m/>
    <m/>
    <m/>
    <s v="Fatur"/>
    <s v="Febby Supplier"/>
    <s v="3515082712870005"/>
    <s v="W 1130 NQ"/>
    <m/>
    <m/>
    <s v="Bumiayu RW 05 Kedungkandang"/>
    <e v="#N/A"/>
    <e v="#N/A"/>
    <s v="OUTBOUND_"/>
  </r>
  <r>
    <s v="005"/>
    <m/>
    <x v="0"/>
    <s v="INB-W0012403-263"/>
    <s v="EJ-Malang-01"/>
    <s v="Oka-0813-2707-1646"/>
    <d v="2024-03-01T00:00:00"/>
    <d v="1900-01-14T07:00:00"/>
    <s v="ZTE Warehouse"/>
    <x v="0"/>
    <x v="0"/>
    <s v="ZTE2010"/>
    <s v="Pcs"/>
    <n v="14"/>
    <m/>
    <x v="3"/>
    <n v="0"/>
    <n v="0"/>
    <m/>
    <m/>
    <m/>
    <m/>
    <m/>
    <m/>
    <m/>
    <n v="0"/>
    <e v="#N/A"/>
    <e v="#N/A"/>
    <s v="OUTBOUND_"/>
  </r>
  <r>
    <s v="006"/>
    <m/>
    <x v="2"/>
    <s v="TFO-W0012403-275"/>
    <s v="EJ-Malang-01"/>
    <s v="Oka-0813-2707-1646"/>
    <d v="2024-03-08T00:00:00"/>
    <d v="1899-12-30T10:28:00"/>
    <s v="EJ-MALANG-01"/>
    <x v="0"/>
    <x v="0"/>
    <s v="ZTE2010"/>
    <s v="Pcs"/>
    <n v="14"/>
    <s v="TRF"/>
    <x v="4"/>
    <m/>
    <m/>
    <m/>
    <s v="Fatur"/>
    <s v="Febby Supplier"/>
    <s v="3515082712870005"/>
    <s v="W 1130 NQ"/>
    <m/>
    <m/>
    <s v="Transfer Gudang"/>
    <e v="#N/A"/>
    <e v="#N/A"/>
    <s v="TRANSFER OUT_"/>
  </r>
  <r>
    <s v="007"/>
    <m/>
    <x v="3"/>
    <s v="TFI-W0012403-279"/>
    <s v="EJ-Malang-01"/>
    <s v="Oka-0813-2707-1646"/>
    <d v="2024-03-19T00:00:00"/>
    <d v="1900-01-14T07:00:00"/>
    <s v="ZTE Warehouse"/>
    <x v="0"/>
    <x v="0"/>
    <s v="ZTE2010"/>
    <s v="Pcs"/>
    <n v="3"/>
    <s v="TRF"/>
    <x v="5"/>
    <n v="0"/>
    <n v="0"/>
    <m/>
    <m/>
    <m/>
    <m/>
    <m/>
    <s v="TRANSFER GUDANG"/>
    <m/>
    <n v="0"/>
    <e v="#N/A"/>
    <e v="#N/A"/>
    <s v="OUTBOUND_"/>
  </r>
  <r>
    <s v="008"/>
    <m/>
    <x v="3"/>
    <s v="TFI-W0012403-279"/>
    <s v="EJ-Malang-01"/>
    <s v="Oka-0813-2707-1646"/>
    <d v="2024-03-19T00:00:00"/>
    <d v="1900-01-14T07:00:00"/>
    <s v="ZTE Warehouse"/>
    <x v="0"/>
    <x v="0"/>
    <s v="ZTE2010"/>
    <s v="Pcs"/>
    <n v="6"/>
    <s v="TRF"/>
    <x v="5"/>
    <n v="0"/>
    <n v="0"/>
    <m/>
    <m/>
    <m/>
    <m/>
    <m/>
    <s v="TRANSFER GUDANG"/>
    <m/>
    <n v="0"/>
    <e v="#N/A"/>
    <e v="#N/A"/>
    <s v="OUTBOUND_"/>
  </r>
  <r>
    <s v="009"/>
    <m/>
    <x v="1"/>
    <s v="OUB-W0012403-287"/>
    <s v="EJ-Malang-01"/>
    <s v="Oka-0813-2707-1646"/>
    <d v="2024-03-25T00:00:00"/>
    <d v="1899-12-30T10:28:00"/>
    <s v="EJ-MALANG-01"/>
    <x v="0"/>
    <x v="0"/>
    <s v="ZTE2010"/>
    <s v="Pcs"/>
    <n v="2"/>
    <s v="CLR51-99-076"/>
    <x v="6"/>
    <m/>
    <m/>
    <m/>
    <s v="Fatur"/>
    <n v="0"/>
    <s v="3515082712870005"/>
    <s v="W 1130 NQ"/>
    <m/>
    <m/>
    <s v="Dalisodo RW 04 Wagir"/>
    <e v="#N/A"/>
    <e v="#N/A"/>
    <s v="OUTBOUND_"/>
  </r>
  <r>
    <s v="010"/>
    <m/>
    <x v="1"/>
    <s v="OUB-W0012403-287"/>
    <s v="EJ-Malang-01"/>
    <s v="Oka-0813-2707-1646"/>
    <d v="2024-03-25T00:00:00"/>
    <d v="1899-12-30T10:28:00"/>
    <s v="EJ-MALANG-01"/>
    <x v="0"/>
    <x v="0"/>
    <s v="ZTE2010"/>
    <s v="Pcs"/>
    <n v="3"/>
    <s v="CLR51-99-039"/>
    <x v="7"/>
    <m/>
    <m/>
    <m/>
    <s v="Fatur"/>
    <n v="0"/>
    <s v="3515082712870005"/>
    <s v="W 1130 NQ"/>
    <m/>
    <m/>
    <s v="Tunjungtirto RW 01 Singosari"/>
    <e v="#N/A"/>
    <e v="#N/A"/>
    <s v="OUTBOUND_"/>
  </r>
  <r>
    <s v="011"/>
    <m/>
    <x v="1"/>
    <s v="OUB-W0012404-303"/>
    <s v="EJ-Malang-01"/>
    <s v="Oka-0813-2707-1646"/>
    <d v="2024-04-05T00:00:00"/>
    <d v="1899-12-30T10:28:00"/>
    <s v="EJ-MALANG-01"/>
    <x v="0"/>
    <x v="0"/>
    <s v="ZTE2010"/>
    <s v="Pcs"/>
    <n v="5"/>
    <s v="CLR51-99-075"/>
    <x v="8"/>
    <m/>
    <m/>
    <m/>
    <s v="Fatur"/>
    <n v="0"/>
    <s v="3515082712870005"/>
    <s v="W 1130 NQ"/>
    <m/>
    <m/>
    <s v="Dalisodo RW 03 Wagir"/>
    <e v="#N/A"/>
    <e v="#N/A"/>
    <s v="OUTBOUND_"/>
  </r>
  <r>
    <s v="012"/>
    <m/>
    <x v="1"/>
    <s v="OUB-W0012404-309"/>
    <s v="EJ-Malang-01"/>
    <s v="Oka-0813-2707-1646"/>
    <d v="2024-04-19T00:00:00"/>
    <d v="1899-12-30T17:21:00"/>
    <s v="EJ-MALANG-01"/>
    <x v="0"/>
    <x v="0"/>
    <s v="ZTE2010"/>
    <s v="Pcs"/>
    <n v="1"/>
    <s v="CLR51-99-034"/>
    <x v="9"/>
    <m/>
    <m/>
    <m/>
    <s v="Fatur"/>
    <n v="0"/>
    <s v="3515082712870005"/>
    <s v="W 1130 NQ"/>
    <m/>
    <m/>
    <s v="Tanjungtirto RW 05 Singosari"/>
    <e v="#N/A"/>
    <e v="#N/A"/>
    <s v="OUTBOUND_"/>
  </r>
  <r>
    <s v="013"/>
    <m/>
    <x v="2"/>
    <s v="TFO-W0012404-309"/>
    <s v="EJ-Malang-01"/>
    <s v="Oka-0813-2707-1646"/>
    <d v="2024-04-19T00:00:00"/>
    <d v="1899-12-30T17:21:00"/>
    <s v="EJ-MALANG-01"/>
    <x v="0"/>
    <x v="0"/>
    <s v="ZTE2010"/>
    <s v="Pcs"/>
    <n v="1"/>
    <s v="TRF"/>
    <x v="4"/>
    <m/>
    <m/>
    <m/>
    <s v="Fatur"/>
    <n v="0"/>
    <s v="3515082712870005"/>
    <s v="W 1130 NQ"/>
    <s v="Transfer"/>
    <m/>
    <s v="Transfer Gudang"/>
    <e v="#N/A"/>
    <e v="#N/A"/>
    <s v="TRANSFER OUT_"/>
  </r>
  <r>
    <s v="014"/>
    <m/>
    <x v="3"/>
    <s v="TFI-W0012404-314"/>
    <s v="EJ-Malang-01"/>
    <s v="Oka-0813-2707-1646"/>
    <d v="2024-04-22T00:00:00"/>
    <d v="1900-01-14T07:00:00"/>
    <s v="ZTE Warehouse"/>
    <x v="0"/>
    <x v="0"/>
    <s v="ZTE2010"/>
    <s v="Pcs"/>
    <n v="9"/>
    <s v="TRF"/>
    <x v="5"/>
    <n v="0"/>
    <n v="0"/>
    <m/>
    <m/>
    <m/>
    <m/>
    <m/>
    <s v="TRANSFER GUDANG"/>
    <m/>
    <n v="0"/>
    <e v="#N/A"/>
    <e v="#N/A"/>
    <s v="OUTBOUND_"/>
  </r>
  <r>
    <s v="015"/>
    <m/>
    <x v="1"/>
    <s v="OUB-W0012404-319"/>
    <s v="EJ-Malang-01"/>
    <s v="Oka-0813-2707-1646"/>
    <d v="2024-04-24T00:00:00"/>
    <d v="1899-12-30T10:00:00"/>
    <s v="EJ-MALANG-01"/>
    <x v="0"/>
    <x v="0"/>
    <s v="ZTE2010"/>
    <s v="Pcs"/>
    <n v="9"/>
    <s v="CLR51-99-010"/>
    <x v="10"/>
    <m/>
    <m/>
    <m/>
    <s v="Fahrudin"/>
    <s v="Febby Supplier"/>
    <s v="3507131605830004"/>
    <s v="N 1383 G"/>
    <m/>
    <m/>
    <s v="Pandan Landung RW 05 Wagir"/>
    <e v="#N/A"/>
    <e v="#N/A"/>
    <s v="OUTBOUND_"/>
  </r>
  <r>
    <s v="016"/>
    <m/>
    <x v="3"/>
    <s v="TFI-W0012405-344"/>
    <s v="EJ-Malang-01"/>
    <s v="Oka-0813-2707-1646"/>
    <d v="2024-05-21T00:00:00"/>
    <d v="1900-01-14T07:00:00"/>
    <s v="ZTE Warehouse"/>
    <x v="0"/>
    <x v="0"/>
    <s v="ZTE2010"/>
    <s v="Pcs"/>
    <n v="9"/>
    <s v="TRF"/>
    <x v="5"/>
    <n v="0"/>
    <n v="0"/>
    <m/>
    <m/>
    <m/>
    <m/>
    <m/>
    <s v="TRANSFER GUDANG"/>
    <m/>
    <n v="0"/>
    <e v="#N/A"/>
    <e v="#N/A"/>
    <s v="OUTBOUND_"/>
  </r>
  <r>
    <s v="017"/>
    <m/>
    <x v="1"/>
    <s v="OUB-W0012405-348"/>
    <s v="EJ-Malang-01"/>
    <s v="Oka-0813-2707-1646"/>
    <d v="2024-05-23T00:00:00"/>
    <d v="1899-12-30T11:22:00"/>
    <s v="EJ-MALANG-01"/>
    <x v="0"/>
    <x v="0"/>
    <s v="ZTE2010"/>
    <s v="Pcs"/>
    <n v="2"/>
    <s v="CLR51-99-087"/>
    <x v="11"/>
    <m/>
    <m/>
    <m/>
    <s v="Fatur"/>
    <n v="0"/>
    <s v="3515082712870005"/>
    <s v="W 1130 NQ"/>
    <m/>
    <m/>
    <s v="Lawang RW 06 Malang"/>
    <e v="#N/A"/>
    <e v="#N/A"/>
    <s v="OUTBOUND_"/>
  </r>
  <r>
    <s v="018"/>
    <m/>
    <x v="1"/>
    <s v="OUB-W0012405-351"/>
    <s v="EJ-Malang-01"/>
    <s v="Oka-0813-2707-1646"/>
    <d v="2024-05-25T00:00:00"/>
    <d v="1899-12-30T11:22:00"/>
    <s v="EJ-MALANG-01"/>
    <x v="0"/>
    <x v="0"/>
    <s v="ZTE2010"/>
    <s v="Pcs"/>
    <n v="2"/>
    <s v="CLR51-99-099"/>
    <x v="12"/>
    <m/>
    <m/>
    <m/>
    <s v="Fatur"/>
    <n v="0"/>
    <s v="3515082712870005"/>
    <s v="W 1130 NQ"/>
    <m/>
    <m/>
    <s v="Dusun Klaseman Kucur"/>
    <e v="#N/A"/>
    <e v="#N/A"/>
    <s v="OUTBOUND_"/>
  </r>
  <r>
    <s v="019"/>
    <m/>
    <x v="1"/>
    <s v="OUB-W0012405-357"/>
    <s v="EJ-Malang-01"/>
    <s v="Oka-0813-2707-1646"/>
    <d v="2024-05-28T00:00:00"/>
    <d v="1899-12-30T12:45:00"/>
    <s v="EJ-MALANG-01"/>
    <x v="0"/>
    <x v="0"/>
    <s v="ZTE2010"/>
    <s v="Pcs"/>
    <n v="2"/>
    <s v="CLR51-99-097"/>
    <x v="13"/>
    <m/>
    <m/>
    <m/>
    <s v="Fahrudin"/>
    <s v="Febby Supplier"/>
    <s v="3507131605830004"/>
    <s v="N 1383 G"/>
    <m/>
    <m/>
    <s v="Dusun Krajan Kucur"/>
    <e v="#N/A"/>
    <e v="#N/A"/>
    <s v="OUTBOUND_"/>
  </r>
  <r>
    <s v="020"/>
    <m/>
    <x v="2"/>
    <s v="TFO-W0012405-359"/>
    <s v="EJ-Malang-01"/>
    <s v="Oka-0813-2707-1646"/>
    <d v="2024-05-30T00:00:00"/>
    <d v="1899-12-30T11:30:00"/>
    <s v="EJ-MALANG-01"/>
    <x v="0"/>
    <x v="0"/>
    <s v="ZTE2010"/>
    <s v="Pcs"/>
    <n v="2"/>
    <s v="TRF"/>
    <x v="4"/>
    <m/>
    <m/>
    <m/>
    <s v="Riki Romansyah"/>
    <s v="Febby Supplier"/>
    <s v="3507050501950006"/>
    <s v="N 8420 EL"/>
    <s v="Transfer"/>
    <m/>
    <s v="Transfer Gudang"/>
    <e v="#N/A"/>
    <e v="#N/A"/>
    <s v="TRANSFER OUT_"/>
  </r>
  <r>
    <s v="021"/>
    <m/>
    <x v="1"/>
    <s v="OUB-W0012406-374"/>
    <s v="EJ-Malang-01"/>
    <s v="Oka-0813-2707-1646"/>
    <d v="2024-06-11T00:00:00"/>
    <d v="1899-12-30T14:01:00"/>
    <s v="EJ-MALANG-01"/>
    <x v="0"/>
    <x v="0"/>
    <s v="ZTE2010"/>
    <s v="Pcs"/>
    <n v="2"/>
    <s v="CLR51-02-014"/>
    <x v="14"/>
    <m/>
    <m/>
    <m/>
    <s v="Deny Indra"/>
    <n v="0"/>
    <n v="0"/>
    <s v="N 1547 IR"/>
    <s v="Transfer"/>
    <m/>
    <s v="Dusun Klampok Kucur"/>
    <e v="#N/A"/>
    <e v="#N/A"/>
    <s v="OUTBOUND_"/>
  </r>
  <r>
    <s v="022"/>
    <m/>
    <x v="1"/>
    <s v="OUB-W0012406-374"/>
    <s v="EJ-Malang-01"/>
    <s v="Oka-0813-2707-1646"/>
    <d v="2024-06-11T00:00:00"/>
    <d v="1899-12-30T14:01:00"/>
    <s v="EJ-MALANG-01"/>
    <x v="0"/>
    <x v="0"/>
    <s v="ZTE2010"/>
    <s v="Pcs"/>
    <n v="3"/>
    <s v="CLR51-02-015"/>
    <x v="15"/>
    <m/>
    <m/>
    <m/>
    <s v="Deny Indra"/>
    <n v="0"/>
    <n v="0"/>
    <s v="N 1547 IR"/>
    <s v="Transfer"/>
    <m/>
    <s v="Dusun Sumber Bendo Kucur"/>
    <e v="#N/A"/>
    <e v="#N/A"/>
    <s v="OUTBOUND_"/>
  </r>
  <r>
    <s v="023"/>
    <m/>
    <x v="3"/>
    <s v="TFI-W0012406-384"/>
    <s v="EJ-Malang-01"/>
    <s v="Oka-0813-2707-1646"/>
    <d v="2024-06-20T00:00:00"/>
    <d v="1900-01-14T07:00:00"/>
    <s v="ZTE Warehouse"/>
    <x v="0"/>
    <x v="0"/>
    <s v="ZTE2010"/>
    <s v="Pcs"/>
    <n v="12"/>
    <s v="TRF"/>
    <x v="5"/>
    <n v="0"/>
    <n v="0"/>
    <m/>
    <m/>
    <m/>
    <m/>
    <m/>
    <s v="TRANSFER GUDANG"/>
    <m/>
    <n v="0"/>
    <e v="#N/A"/>
    <e v="#N/A"/>
    <s v="OUTBOUND_"/>
  </r>
  <r>
    <s v="024"/>
    <m/>
    <x v="3"/>
    <s v="TFI-W0012406-390"/>
    <s v="EJ-Malang-01"/>
    <s v="Oka-0813-2707-1646"/>
    <d v="2024-06-25T00:00:00"/>
    <d v="1900-01-14T07:00:00"/>
    <s v="ZTE Warehouse"/>
    <x v="0"/>
    <x v="0"/>
    <s v="ZTE2010"/>
    <s v="Pcs"/>
    <n v="3"/>
    <s v="TRF"/>
    <x v="5"/>
    <n v="0"/>
    <n v="0"/>
    <m/>
    <m/>
    <m/>
    <m/>
    <m/>
    <s v="TRANSFER GUDANG"/>
    <m/>
    <n v="0"/>
    <e v="#N/A"/>
    <e v="#N/A"/>
    <s v="OUTBOUND_"/>
  </r>
  <r>
    <s v="025"/>
    <m/>
    <x v="2"/>
    <s v="TFO-W0012406-389"/>
    <s v="EJ-Malang-01"/>
    <s v="Oka-0813-2707-1646"/>
    <d v="2024-06-25T00:00:00"/>
    <d v="1899-12-30T12:54:00"/>
    <s v="EJ-MALANG-01"/>
    <x v="0"/>
    <x v="0"/>
    <s v="ZTE2010"/>
    <s v="Pcs"/>
    <n v="2"/>
    <s v="TRF"/>
    <x v="4"/>
    <m/>
    <m/>
    <m/>
    <s v="Riki Romansyah"/>
    <s v="Febby Supplier"/>
    <s v="3507050501950006"/>
    <s v="N 8420 EL"/>
    <s v="Transfer"/>
    <m/>
    <s v="Transfer Gudang"/>
    <e v="#N/A"/>
    <e v="#N/A"/>
    <s v="TRANSFER OUT_"/>
  </r>
  <r>
    <s v="026"/>
    <m/>
    <x v="2"/>
    <s v="TFO-W0012406-392"/>
    <s v="EJ-Malang-01"/>
    <s v="Oka-0813-2707-1646"/>
    <d v="2024-06-26T00:00:00"/>
    <d v="1899-12-30T21:14:00"/>
    <s v="EJ-MALANG-01"/>
    <x v="0"/>
    <x v="0"/>
    <s v="ZTE2010"/>
    <s v="Pcs"/>
    <n v="3"/>
    <s v="TRF"/>
    <x v="4"/>
    <m/>
    <m/>
    <m/>
    <s v="Sifak"/>
    <n v="0"/>
    <s v="3507312107950002"/>
    <s v="N 1969 FF"/>
    <s v="Transfer"/>
    <m/>
    <s v="Transfer Gudang"/>
    <e v="#N/A"/>
    <e v="#N/A"/>
    <s v="TRANSFER OUT_"/>
  </r>
  <r>
    <s v="027"/>
    <m/>
    <x v="2"/>
    <s v="TFO-W0012407-401"/>
    <s v="EJ-Malang-01"/>
    <s v="Oka-0813-2707-1646"/>
    <d v="2024-07-10T00:00:00"/>
    <d v="1899-12-30T09:40:00"/>
    <s v="EJ-MALANG-01"/>
    <x v="0"/>
    <x v="0"/>
    <s v="ZTE2010"/>
    <s v="Pcs"/>
    <n v="4"/>
    <s v="TRF"/>
    <x v="4"/>
    <m/>
    <m/>
    <m/>
    <s v="Fatur"/>
    <n v="0"/>
    <s v="3515082712870005"/>
    <s v="W 3265 OH"/>
    <s v="Transfer"/>
    <m/>
    <s v="Transfer Gudang"/>
    <e v="#N/A"/>
    <e v="#N/A"/>
    <s v="TRANSFER OUT_"/>
  </r>
  <r>
    <s v="028"/>
    <m/>
    <x v="2"/>
    <s v="TFO-W0012407-402"/>
    <s v="EJ-Malang-01"/>
    <s v="Oka-0813-2707-1646"/>
    <d v="2024-07-10T00:00:00"/>
    <d v="1899-12-30T15:41:00"/>
    <s v="EJ-MALANG-01"/>
    <x v="0"/>
    <x v="0"/>
    <s v="ZTE2010"/>
    <s v="Pcs"/>
    <n v="4"/>
    <s v="TRF"/>
    <x v="4"/>
    <m/>
    <m/>
    <m/>
    <s v="Sifak"/>
    <n v="0"/>
    <s v="3507312107950002"/>
    <s v="N 1969 FF"/>
    <s v="Transfer"/>
    <m/>
    <s v="Transfer Gudang"/>
    <e v="#N/A"/>
    <e v="#N/A"/>
    <s v="TRANSFER OUT_"/>
  </r>
  <r>
    <s v="029"/>
    <m/>
    <x v="2"/>
    <s v="TFO-W0012407-405"/>
    <s v="EJ-Malang-01"/>
    <s v="Oka-0813-2707-1646"/>
    <d v="2024-07-14T00:00:00"/>
    <d v="1899-12-30T16:08:00"/>
    <s v="EJ-MALANG-01"/>
    <x v="0"/>
    <x v="0"/>
    <s v="ZTE2010"/>
    <s v="Pcs"/>
    <n v="2"/>
    <s v="TRF"/>
    <x v="4"/>
    <m/>
    <m/>
    <m/>
    <s v="Riki Romansyah"/>
    <s v="Febby Supplier"/>
    <s v="3507050501950006"/>
    <s v="N 8420 EL"/>
    <s v="Transfer"/>
    <m/>
    <s v="Transfer Gudang"/>
    <e v="#N/A"/>
    <e v="#N/A"/>
    <s v="TRANSFER OUT_"/>
  </r>
  <r>
    <s v="030"/>
    <m/>
    <x v="3"/>
    <s v="TFI-W0012407-412"/>
    <s v="EJ-Malang-01"/>
    <s v="Oka-0813-2707-1646"/>
    <d v="2024-07-23T00:00:00"/>
    <d v="1900-01-14T07:00:00"/>
    <s v="ZTE Warehouse"/>
    <x v="0"/>
    <x v="0"/>
    <s v="ZTE2010"/>
    <s v="Pcs"/>
    <n v="6"/>
    <s v="TRF"/>
    <x v="5"/>
    <n v="0"/>
    <n v="0"/>
    <m/>
    <m/>
    <m/>
    <m/>
    <m/>
    <s v="TRANSFER GUDANG"/>
    <m/>
    <n v="0"/>
    <e v="#N/A"/>
    <e v="#N/A"/>
    <s v="OUTBOUND_"/>
  </r>
  <r>
    <s v="031"/>
    <m/>
    <x v="3"/>
    <s v="TFI-W0012408-453"/>
    <s v="EJ-Malang-01"/>
    <s v="Oka-0813-2707-1646"/>
    <d v="2024-08-22T00:00:00"/>
    <d v="1900-01-14T07:00:00"/>
    <s v="ZTE Warehouse"/>
    <x v="0"/>
    <x v="0"/>
    <s v="ZTE2010"/>
    <s v="Pcs"/>
    <n v="15"/>
    <s v="TRF"/>
    <x v="5"/>
    <n v="0"/>
    <n v="0"/>
    <m/>
    <m/>
    <m/>
    <m/>
    <m/>
    <s v="TRANSFER GUDANG"/>
    <m/>
    <n v="0"/>
    <e v="#N/A"/>
    <e v="#N/A"/>
    <s v="OUTBOUND_"/>
  </r>
  <r>
    <s v="032"/>
    <m/>
    <x v="2"/>
    <s v="TFO-W0012408-461"/>
    <s v="EJ-Malang-01"/>
    <s v="Oka-0813-2707-1646"/>
    <d v="2024-08-27T00:00:00"/>
    <d v="1899-12-30T15:34:00"/>
    <s v="EJ-MALANG-01"/>
    <x v="0"/>
    <x v="0"/>
    <s v="ZTE2010"/>
    <s v="Pcs"/>
    <n v="2"/>
    <s v="TRF"/>
    <x v="4"/>
    <m/>
    <m/>
    <m/>
    <s v="Sifak"/>
    <n v="0"/>
    <s v="3507312107950002"/>
    <s v="N 1969 FF"/>
    <s v="Transfer"/>
    <m/>
    <s v="Transfer Gudang"/>
    <e v="#N/A"/>
    <e v="#N/A"/>
    <s v="TRANSFER OUT_"/>
  </r>
  <r>
    <s v="033"/>
    <m/>
    <x v="3"/>
    <s v="TFI-W0012408-467"/>
    <s v="EJ-Malang-01"/>
    <s v="Oka-0813-2707-1646"/>
    <d v="2024-08-28T00:00:00"/>
    <d v="1900-01-14T07:00:00"/>
    <s v="ZTE Warehouse"/>
    <x v="0"/>
    <x v="0"/>
    <s v="ZTE2010"/>
    <s v="Pcs"/>
    <n v="10"/>
    <s v="TRF"/>
    <x v="5"/>
    <n v="0"/>
    <n v="0"/>
    <m/>
    <m/>
    <m/>
    <m/>
    <m/>
    <s v="TRANSFER GUDANG"/>
    <m/>
    <n v="0"/>
    <e v="#N/A"/>
    <e v="#N/A"/>
    <s v="OUTBOUND_"/>
  </r>
  <r>
    <s v="034"/>
    <m/>
    <x v="2"/>
    <s v="TFO-W0012408-466"/>
    <s v="EJ-Malang-01"/>
    <s v="Oka-0813-2707-1646"/>
    <d v="2024-08-28T00:00:00"/>
    <d v="1899-12-30T11:29:00"/>
    <s v="EJ-MALANG-01"/>
    <x v="0"/>
    <x v="0"/>
    <s v="ZTE2010"/>
    <s v="Pcs"/>
    <n v="4"/>
    <s v="TRF"/>
    <x v="4"/>
    <m/>
    <m/>
    <m/>
    <s v="Sifak"/>
    <n v="0"/>
    <s v="3507312107950002"/>
    <s v="N 1969 FF"/>
    <s v="Transfer"/>
    <m/>
    <s v="Transfer Gudang"/>
    <e v="#N/A"/>
    <e v="#N/A"/>
    <s v="TRANSFER OUT_"/>
  </r>
  <r>
    <s v="035"/>
    <m/>
    <x v="2"/>
    <s v="TFO-W0012408-475"/>
    <s v="EJ-Malang-01"/>
    <s v="Oka-0813-2707-1646"/>
    <d v="2024-08-31T00:00:00"/>
    <d v="1899-12-30T12:30:00"/>
    <s v="EJ-MALANG-01"/>
    <x v="0"/>
    <x v="0"/>
    <s v="ZTE2010"/>
    <s v="Pcs"/>
    <n v="6"/>
    <s v="TRF"/>
    <x v="4"/>
    <m/>
    <m/>
    <m/>
    <s v="Nur Hidayat"/>
    <n v="0"/>
    <s v="3515141305930006"/>
    <s v="S 9102 AE"/>
    <s v="Transfer"/>
    <m/>
    <s v="Transfer Gudang"/>
    <e v="#N/A"/>
    <e v="#N/A"/>
    <s v="TRANSFER OUT_"/>
  </r>
  <r>
    <s v="036"/>
    <m/>
    <x v="2"/>
    <s v="TFO-W0012409-478"/>
    <s v="EJ-Malang-01"/>
    <s v="Oka-0813-2707-1646"/>
    <d v="2024-09-01T00:00:00"/>
    <d v="1899-12-30T01:58:00"/>
    <s v="EJ-MALANG-01"/>
    <x v="0"/>
    <x v="0"/>
    <s v="ZTE2010"/>
    <s v="Pcs"/>
    <n v="5"/>
    <s v="TRF"/>
    <x v="4"/>
    <m/>
    <m/>
    <m/>
    <s v="Fatur"/>
    <n v="0"/>
    <s v="3515082712870005"/>
    <s v="W 3265 OH"/>
    <s v="Transfer"/>
    <m/>
    <s v="Transfer Gudang"/>
    <e v="#N/A"/>
    <e v="#N/A"/>
    <s v="TRANSFER OUT_"/>
  </r>
  <r>
    <s v="037"/>
    <m/>
    <x v="2"/>
    <s v="TFO-W0012409-487"/>
    <s v="EJ-Malang-01"/>
    <s v="Oka-0813-2707-1646"/>
    <d v="2024-09-05T00:00:00"/>
    <d v="1899-12-30T01:58:00"/>
    <s v="EJ-MALANG-01"/>
    <x v="0"/>
    <x v="0"/>
    <s v="ZTE2010"/>
    <s v="Pcs"/>
    <n v="3"/>
    <s v="TRF"/>
    <x v="4"/>
    <m/>
    <m/>
    <m/>
    <s v="Fatur"/>
    <n v="0"/>
    <s v="3515082712870005"/>
    <s v="W 3265 OH"/>
    <s v="Transfer"/>
    <m/>
    <s v="Transfer Gudang"/>
    <e v="#N/A"/>
    <e v="#N/A"/>
    <s v="TRANSFER OUT_"/>
  </r>
  <r>
    <s v="038"/>
    <m/>
    <x v="3"/>
    <s v="TFI-W0012409-507"/>
    <s v="EJ-Malang-01"/>
    <s v="Oka-0813-2707-1646"/>
    <d v="2024-09-20T00:00:00"/>
    <d v="1900-01-14T07:00:00"/>
    <s v="ZTE Warehouse"/>
    <x v="0"/>
    <x v="0"/>
    <s v="ZTE2010"/>
    <s v="Pcs"/>
    <n v="4"/>
    <s v="TRF"/>
    <x v="5"/>
    <n v="0"/>
    <n v="0"/>
    <m/>
    <m/>
    <m/>
    <m/>
    <m/>
    <s v="TRANSFER GUDANG"/>
    <m/>
    <n v="0"/>
    <e v="#N/A"/>
    <e v="#N/A"/>
    <s v="OUTBOUND_"/>
  </r>
  <r>
    <s v="039"/>
    <m/>
    <x v="2"/>
    <s v="TFO-W0012409-515"/>
    <s v="EJ-Malang-01"/>
    <s v="Oka-0813-2707-1646"/>
    <d v="2024-09-26T00:00:00"/>
    <d v="1899-12-30T18:58:00"/>
    <s v="EJ-MALANG-01"/>
    <x v="0"/>
    <x v="0"/>
    <s v="ZTE2010"/>
    <s v="Pcs"/>
    <n v="5"/>
    <s v="TRF"/>
    <x v="4"/>
    <m/>
    <m/>
    <m/>
    <s v="Zainal Abidin"/>
    <n v="0"/>
    <s v="3519010810930003"/>
    <s v="W 1074 XF"/>
    <s v="Transfer"/>
    <m/>
    <s v="Transfer Gudang"/>
    <e v="#N/A"/>
    <e v="#N/A"/>
    <s v="TRANSFER OUT_"/>
  </r>
  <r>
    <s v="040"/>
    <m/>
    <x v="2"/>
    <s v="TFO-W0012409-522"/>
    <s v="EJ-Malang-01"/>
    <s v="Oka-0813-2707-1646"/>
    <d v="2024-09-30T00:00:00"/>
    <d v="1899-12-30T17:35:00"/>
    <s v="EJ-NGAWI-01"/>
    <x v="0"/>
    <x v="0"/>
    <s v="ZTE2010"/>
    <s v="Pcs"/>
    <n v="2"/>
    <s v="TRF"/>
    <x v="4"/>
    <m/>
    <m/>
    <m/>
    <s v="Fatkur"/>
    <n v="0"/>
    <s v="1812010507910004"/>
    <s v="AE 8322  NH"/>
    <s v="to Ngawi"/>
    <m/>
    <s v="Transfer Gudang"/>
    <e v="#N/A"/>
    <e v="#N/A"/>
    <s v="TRANSFER OUT_"/>
  </r>
  <r>
    <s v="041"/>
    <m/>
    <x v="2"/>
    <s v="TFO-W0012410-524"/>
    <s v="EJ-Malang-01"/>
    <s v="Oka-0813-2707-1646"/>
    <d v="2024-10-05T00:00:00"/>
    <d v="1899-12-30T18:58:00"/>
    <s v="EJ-MALANG-01"/>
    <x v="0"/>
    <x v="0"/>
    <s v="ZTE2010"/>
    <s v="Pcs"/>
    <n v="3"/>
    <s v="TRF"/>
    <x v="4"/>
    <m/>
    <m/>
    <m/>
    <s v="Fahrudin"/>
    <n v="0"/>
    <s v="3507131605830004"/>
    <s v="N 1383 G"/>
    <s v="Transfer"/>
    <m/>
    <s v="Transfer Gudang"/>
    <e v="#N/A"/>
    <e v="#N/A"/>
    <s v="TRANSFER OUT_"/>
  </r>
  <r>
    <s v="042"/>
    <m/>
    <x v="1"/>
    <s v="OUB-W0012411-549"/>
    <s v="EJ-Malang-01"/>
    <s v="Oka-0813-2707-1646"/>
    <d v="2024-11-08T00:00:00"/>
    <d v="1899-12-30T13:43:00"/>
    <s v="EJ-MALANG-01"/>
    <x v="0"/>
    <x v="0"/>
    <s v="ZTE2010"/>
    <s v="Pcs"/>
    <n v="2"/>
    <s v="CLR51-99-095"/>
    <x v="16"/>
    <m/>
    <m/>
    <m/>
    <s v="Fatur"/>
    <n v="0"/>
    <s v="3515082712870005"/>
    <s v="W 3265 OH"/>
    <m/>
    <m/>
    <s v="Candirenggo RW 10 Singosari"/>
    <e v="#N/A"/>
    <e v="#N/A"/>
    <s v="OUTBOUND_"/>
  </r>
  <r>
    <s v="043"/>
    <m/>
    <x v="1"/>
    <s v="OUB-W0012411-560"/>
    <s v="EJ-Malang-01"/>
    <s v="Oka-0813-2707-1646"/>
    <d v="2024-11-24T00:00:00"/>
    <d v="1899-12-30T18:58:00"/>
    <s v="EJ-MALANG-01"/>
    <x v="0"/>
    <x v="0"/>
    <s v="ZTE2010"/>
    <s v="Pcs"/>
    <n v="2"/>
    <s v="CLR51-99-124"/>
    <x v="17"/>
    <m/>
    <m/>
    <m/>
    <s v="Fatur"/>
    <n v="0"/>
    <s v="3515082712870005"/>
    <s v="W 3265 OH"/>
    <m/>
    <m/>
    <s v="Perumahan Bukit Lawang Indah Malang"/>
    <e v="#N/A"/>
    <e v="#N/A"/>
    <s v="OUTBOUND_"/>
  </r>
  <r>
    <s v="044"/>
    <m/>
    <x v="1"/>
    <s v="OUB-W0012411-561"/>
    <s v="EJ-Malang-01"/>
    <s v="Oka-0813-2707-1646"/>
    <d v="2024-11-25T00:00:00"/>
    <d v="1899-12-30T18:58:00"/>
    <s v="EJ-MALANG-01"/>
    <x v="0"/>
    <x v="0"/>
    <s v="ZTE2010"/>
    <s v="Pcs"/>
    <n v="1"/>
    <s v="CLR51-99-124"/>
    <x v="17"/>
    <m/>
    <m/>
    <m/>
    <s v="Sifak"/>
    <n v="0"/>
    <s v="3507312107950002"/>
    <s v="N 1969 FF"/>
    <m/>
    <m/>
    <s v="Perumahan Bukit Lawang Indah Malang"/>
    <e v="#N/A"/>
    <e v="#N/A"/>
    <s v="OUTBOUND_"/>
  </r>
  <r>
    <s v="045"/>
    <n v="2"/>
    <x v="0"/>
    <s v="INB-W0012604-001"/>
    <s v="EJ-Malang-01"/>
    <s v="Oka-0813-2707-1646"/>
    <d v="2026-04-22T00:00:00"/>
    <d v="1899-12-30T06:00:00"/>
    <s v="ZTE Warehouse"/>
    <x v="0"/>
    <x v="0"/>
    <s v="ZTE2010"/>
    <s v="Pcs"/>
    <n v="9"/>
    <s v="ADJUSTMENT"/>
    <x v="18"/>
    <m/>
    <m/>
    <m/>
    <m/>
    <m/>
    <m/>
    <m/>
    <s v="ADJUSTMENT"/>
    <m/>
    <s v="ADJUSTMENT"/>
    <e v="#N/A"/>
    <e v="#N/A"/>
    <s v="OUTBOUND_"/>
  </r>
  <r>
    <s v="046"/>
    <n v="1"/>
    <x v="0"/>
    <s v="INB-W0012308-1"/>
    <s v="EJ-Malang-01"/>
    <s v="Oka-0813-2707-1646"/>
    <d v="2023-08-04T00:00:00"/>
    <d v="1900-01-14T07:00:00"/>
    <s v="ZTE Warehouse"/>
    <x v="0"/>
    <x v="1"/>
    <s v="ZTE2001"/>
    <s v="Meter"/>
    <n v="3000"/>
    <s v="CLR51-99-004"/>
    <x v="19"/>
    <s v="DOEID23080182"/>
    <s v="DNWID0342023080312"/>
    <m/>
    <m/>
    <m/>
    <m/>
    <m/>
    <m/>
    <s v="H-ADSS 24C-202384-01"/>
    <s v="Perumahan Bumi Podo Rukun Dau"/>
    <d v="2023-08-04T00:00:00"/>
    <b v="1"/>
    <s v="OUTBOUND_H-ADSS 24C-202384-01"/>
  </r>
  <r>
    <s v="047"/>
    <m/>
    <x v="0"/>
    <s v="INB-W0012312-35"/>
    <s v="EJ-Malang-01"/>
    <s v="Oka-0813-2707-1646"/>
    <d v="2023-12-01T00:00:00"/>
    <d v="1899-12-30T19:00:00"/>
    <s v="FIELD TEAM"/>
    <x v="1"/>
    <x v="2"/>
    <s v="ZTE2003"/>
    <s v="Meter"/>
    <n v="115"/>
    <s v="CLR51-02-001"/>
    <x v="20"/>
    <m/>
    <m/>
    <m/>
    <m/>
    <m/>
    <m/>
    <m/>
    <s v="2602 - 2717"/>
    <s v="B-015-115m"/>
    <s v="2602-2717"/>
    <e v="#N/A"/>
    <e v="#N/A"/>
    <s v="OUTBOUND_B-015-115m"/>
  </r>
  <r>
    <s v="048"/>
    <m/>
    <x v="0"/>
    <s v="INB-W0012308-7"/>
    <s v="EJ-Malang-01"/>
    <s v="Oka-0813-2707-1646"/>
    <d v="2023-08-10T00:00:00"/>
    <d v="1900-01-14T16:37:24"/>
    <s v="FIELD TEAM"/>
    <x v="1"/>
    <x v="1"/>
    <s v="ZTE2001"/>
    <s v="Meter"/>
    <n v="1721"/>
    <s v="CLR51-99-004"/>
    <x v="19"/>
    <m/>
    <m/>
    <m/>
    <s v="Imam Safi'i"/>
    <s v="Febby Supplier"/>
    <s v="`3509040409910004"/>
    <s v="B 9407UT"/>
    <s v="3000-1279 =1721"/>
    <s v="H-ADSS 24C-202384-01"/>
    <s v="Perumahan Bumi Podo Rukun Dau"/>
    <e v="#N/A"/>
    <e v="#N/A"/>
    <s v="OUTBOUND_H-ADSS 24C-202384-01"/>
  </r>
  <r>
    <s v="049"/>
    <m/>
    <x v="1"/>
    <s v="OUB-W0012308-7"/>
    <s v="EJ-Malang-01"/>
    <s v="Oka-0813-2707-1646"/>
    <d v="2023-08-10T00:00:00"/>
    <d v="1900-01-14T16:37:24"/>
    <s v="EJ-MALANG-01"/>
    <x v="0"/>
    <x v="1"/>
    <s v="ZTE2001"/>
    <s v="Meter"/>
    <n v="3000"/>
    <s v="CLR51-99-004"/>
    <x v="19"/>
    <m/>
    <m/>
    <m/>
    <s v="Imam Safi'i"/>
    <s v="Febby Supplier"/>
    <s v="`3509040409910004"/>
    <s v="B 9407UT"/>
    <s v="3000-1279 =1721"/>
    <s v="H-ADSS 24C-202384-01"/>
    <s v="Perumahan Bumi Podo Rukun Dau"/>
    <e v="#N/A"/>
    <e v="#N/A"/>
    <s v="OUTBOUND_H-ADSS 24C-202384-01"/>
  </r>
  <r>
    <s v="050"/>
    <m/>
    <x v="0"/>
    <s v="INB-W0012312-35"/>
    <s v="EJ-Malang-01"/>
    <s v="Oka-0813-2707-1646"/>
    <d v="2023-12-01T00:00:00"/>
    <d v="1899-12-30T19:00:00"/>
    <s v="FIELD TEAM"/>
    <x v="1"/>
    <x v="2"/>
    <s v="ZTE2003"/>
    <s v="Meter"/>
    <n v="65"/>
    <s v="CLR51-02-001"/>
    <x v="20"/>
    <m/>
    <m/>
    <m/>
    <m/>
    <m/>
    <m/>
    <m/>
    <s v="594 - 659"/>
    <s v="B-016-65m"/>
    <s v="594-659"/>
    <e v="#N/A"/>
    <e v="#N/A"/>
    <s v="OUTBOUND_B-016-65m"/>
  </r>
  <r>
    <s v="051"/>
    <m/>
    <x v="0"/>
    <s v="INB-W0012310-75"/>
    <s v="EJ-Malang-01"/>
    <s v="Oka-0813-2707-1646"/>
    <d v="2023-10-14T00:00:00"/>
    <d v="1900-01-14T07:00:00"/>
    <s v="ZTE Warehouse"/>
    <x v="0"/>
    <x v="2"/>
    <s v="ZTE2003"/>
    <s v="Meter"/>
    <n v="3000"/>
    <s v="CLR51-99-017"/>
    <x v="21"/>
    <s v="DOEID23101403"/>
    <s v="DNWID0342023101406"/>
    <m/>
    <m/>
    <m/>
    <m/>
    <m/>
    <m/>
    <s v="H-ADSS 48C-20231014-01"/>
    <s v="Sukodadi RW 01 Wagir"/>
    <d v="2023-10-14T00:00:00"/>
    <b v="1"/>
    <s v="OUTBOUND_H-ADSS 48C-20231014-01"/>
  </r>
  <r>
    <s v="052"/>
    <m/>
    <x v="1"/>
    <s v="OUB-W0012310-112"/>
    <s v="EJ-Malang-01"/>
    <s v="Oka-0813-2707-1646"/>
    <d v="2023-10-25T00:00:00"/>
    <d v="1899-12-30T12:30:00"/>
    <s v="EJ-MALANG-01"/>
    <x v="0"/>
    <x v="2"/>
    <s v="ZTE2003"/>
    <s v="Meter"/>
    <n v="3000"/>
    <s v="CLR51-99-017"/>
    <x v="21"/>
    <m/>
    <m/>
    <m/>
    <s v="Ahmad Subari"/>
    <s v="Mustofa"/>
    <s v="3507150401800010"/>
    <s v="N 9795 EM"/>
    <m/>
    <s v="H-ADSS 48C-20231014-01"/>
    <s v="Sukodadi RW 01 Wagir"/>
    <e v="#N/A"/>
    <e v="#N/A"/>
    <s v="OUTBOUND_H-ADSS 48C-20231014-01"/>
  </r>
  <r>
    <s v="053"/>
    <m/>
    <x v="0"/>
    <s v="INB-W0012310-75"/>
    <s v="EJ-Malang-01"/>
    <s v="Oka-0813-2707-1646"/>
    <d v="2023-10-14T00:00:00"/>
    <d v="1900-01-14T07:00:00"/>
    <s v="ZTE Warehouse"/>
    <x v="0"/>
    <x v="2"/>
    <s v="ZTE2003"/>
    <s v="Meter"/>
    <n v="3000"/>
    <s v="CLR51-99-020"/>
    <x v="22"/>
    <s v="DOEID231013AV"/>
    <s v="DNWID0342023101409"/>
    <m/>
    <m/>
    <m/>
    <m/>
    <m/>
    <m/>
    <s v="H-ADSS 48C-20231014-02"/>
    <s v="Jedong RW 08 Wagir"/>
    <d v="2023-10-14T00:00:00"/>
    <b v="1"/>
    <s v="OUTBOUND_H-ADSS 48C-20231014-02"/>
  </r>
  <r>
    <s v="054"/>
    <m/>
    <x v="0"/>
    <s v="INB-W0012309-7"/>
    <s v="EJ-Malang-01"/>
    <s v="Oka-0813-2707-1646"/>
    <d v="2023-09-04T00:00:00"/>
    <d v="1899-12-30T16:37:00"/>
    <s v="FIELD TEAM"/>
    <x v="1"/>
    <x v="1"/>
    <s v="ZTE2001"/>
    <s v="Meter"/>
    <n v="60"/>
    <s v="CLR51-99-006"/>
    <x v="23"/>
    <m/>
    <m/>
    <m/>
    <m/>
    <m/>
    <m/>
    <m/>
    <s v="1721 - 1781"/>
    <s v="H-ADSS 24C-202384-01"/>
    <s v="1721-1781"/>
    <e v="#N/A"/>
    <e v="#N/A"/>
    <s v="OUTBOUND_H-ADSS 24C-202384-01"/>
  </r>
  <r>
    <s v="055"/>
    <m/>
    <x v="1"/>
    <s v="OUB-W0012309-19"/>
    <s v="EJ-Malang-01"/>
    <s v="Oka-0813-2707-1646"/>
    <d v="2023-09-04T00:00:00"/>
    <d v="1899-12-30T16:37:00"/>
    <s v="FIELD TEAM"/>
    <x v="1"/>
    <x v="1"/>
    <s v="ZTE2001"/>
    <s v="Meter"/>
    <n v="1721"/>
    <s v="CLR51-99-006"/>
    <x v="23"/>
    <m/>
    <m/>
    <m/>
    <m/>
    <m/>
    <m/>
    <m/>
    <m/>
    <s v="H-ADSS 24C-202384-01"/>
    <s v="Mulyorejo RW 04 Sukun"/>
    <e v="#N/A"/>
    <e v="#N/A"/>
    <s v="OUTBOUND_H-ADSS 24C-202384-01"/>
  </r>
  <r>
    <s v="056"/>
    <m/>
    <x v="0"/>
    <s v="INB-W0012309-19"/>
    <s v="EJ-Malang-01"/>
    <s v="Oka-0813-2707-1646"/>
    <d v="2023-09-04T00:00:00"/>
    <d v="1899-12-30T16:37:00"/>
    <s v="FIELD TEAM"/>
    <x v="1"/>
    <x v="1"/>
    <s v="ZTE2001"/>
    <s v="Meter"/>
    <n v="926"/>
    <s v="CLR51-99-006"/>
    <x v="23"/>
    <m/>
    <m/>
    <m/>
    <m/>
    <m/>
    <m/>
    <m/>
    <m/>
    <s v="H-ADSS 24C-202384-01"/>
    <s v="Mulyorejo RW 04 Sukun"/>
    <e v="#N/A"/>
    <e v="#N/A"/>
    <s v="OUTBOUND_H-ADSS 24C-202384-01"/>
  </r>
  <r>
    <s v="057"/>
    <m/>
    <x v="0"/>
    <s v="INB-W0012309-6"/>
    <s v="EJ-Malang-01"/>
    <s v="Oka-0813-2707-1646"/>
    <d v="2023-09-04T00:00:00"/>
    <d v="1899-12-30T19:00:00"/>
    <s v="FIELD TEAM"/>
    <x v="1"/>
    <x v="1"/>
    <s v="ZTE2001"/>
    <s v="Meter"/>
    <n v="158"/>
    <s v="CLR51-99-006"/>
    <x v="23"/>
    <m/>
    <m/>
    <m/>
    <m/>
    <m/>
    <m/>
    <m/>
    <s v="2363 - 2521"/>
    <s v="A-019-158m"/>
    <s v="2363-2521"/>
    <e v="#N/A"/>
    <e v="#N/A"/>
    <s v="OUTBOUND_A-019-158m"/>
  </r>
  <r>
    <s v="058"/>
    <m/>
    <x v="0"/>
    <s v="INB-W0012309-6"/>
    <s v="EJ-Malang-01"/>
    <s v="Oka-0813-2707-1646"/>
    <d v="2023-09-04T00:00:00"/>
    <d v="1899-12-30T19:00:00"/>
    <s v="FIELD TEAM"/>
    <x v="1"/>
    <x v="1"/>
    <s v="ZTE2001"/>
    <s v="Meter"/>
    <n v="418"/>
    <s v="CLR51-99-006"/>
    <x v="23"/>
    <m/>
    <m/>
    <m/>
    <m/>
    <m/>
    <m/>
    <m/>
    <m/>
    <s v="A-020-418m"/>
    <s v="Mulyorejo RW 04 Sukun"/>
    <e v="#N/A"/>
    <e v="#N/A"/>
    <s v="OUTBOUND_A-020-418m"/>
  </r>
  <r>
    <s v="059"/>
    <m/>
    <x v="0"/>
    <s v="INB-W0012309-7"/>
    <s v="EJ-Malang-01"/>
    <s v="Oka-0813-2707-1646"/>
    <d v="2023-09-04T00:00:00"/>
    <d v="1899-12-30T16:37:00"/>
    <s v="FIELD TEAM"/>
    <x v="1"/>
    <x v="1"/>
    <s v="ZTE2001"/>
    <s v="Meter"/>
    <n v="55"/>
    <s v="CLR51-99-006"/>
    <x v="23"/>
    <m/>
    <m/>
    <m/>
    <m/>
    <m/>
    <m/>
    <m/>
    <s v="2524 - 2579"/>
    <s v="A-021-55m"/>
    <s v="2524-2579"/>
    <e v="#N/A"/>
    <e v="#N/A"/>
    <s v="OUTBOUND_A-021-55m"/>
  </r>
  <r>
    <s v="060"/>
    <m/>
    <x v="0"/>
    <s v="INB-W0012311-121"/>
    <s v="EJ-Malang-01"/>
    <s v="Oka-0813-2707-1646"/>
    <d v="2023-11-15T00:00:00"/>
    <d v="1900-01-14T07:00:00"/>
    <s v="ZTE Warehouse"/>
    <x v="0"/>
    <x v="2"/>
    <s v="ZTE2003"/>
    <s v="Meter"/>
    <n v="3000"/>
    <s v="CLR51-99-026"/>
    <x v="24"/>
    <s v="DOEID231113AY"/>
    <s v="DNWID0342023111301"/>
    <m/>
    <m/>
    <m/>
    <m/>
    <m/>
    <m/>
    <s v="H-ADSS 48C-20231115-01"/>
    <s v="Jedong RW 07 Wagir"/>
    <d v="2023-11-15T00:00:00"/>
    <b v="1"/>
    <s v="OUTBOUND_H-ADSS 48C-20231115-01"/>
  </r>
  <r>
    <s v="061"/>
    <m/>
    <x v="1"/>
    <s v="OUB-W0012311-127"/>
    <s v="EJ-Malang-01"/>
    <s v="Oka-0813-2707-1646"/>
    <d v="2023-11-25T00:00:00"/>
    <d v="1899-12-30T09:06:00"/>
    <s v="EJ-MALANG-01"/>
    <x v="0"/>
    <x v="2"/>
    <s v="ZTE2003"/>
    <s v="Meter"/>
    <n v="3000"/>
    <s v="CLR51-99-026"/>
    <x v="24"/>
    <m/>
    <m/>
    <m/>
    <s v="Ahmad Subari"/>
    <s v="Mustofa"/>
    <s v="3507150401800010"/>
    <s v="N 9609 EF"/>
    <m/>
    <s v="H-ADSS 48C-20231115-01"/>
    <s v="Jedong RW 07 Wagir"/>
    <e v="#N/A"/>
    <e v="#N/A"/>
    <s v="OUTBOUND_H-ADSS 48C-20231115-01"/>
  </r>
  <r>
    <s v="062"/>
    <m/>
    <x v="3"/>
    <s v="TFI-W0012311-004"/>
    <s v="EJ-Malang-01"/>
    <s v="Oka-0813-2707-1646"/>
    <d v="2023-11-26T00:00:00"/>
    <d v="1899-12-30T06:00:00"/>
    <s v="FIELD TEAM"/>
    <x v="1"/>
    <x v="2"/>
    <s v="ZTE2003"/>
    <s v="Meter"/>
    <n v="1559"/>
    <m/>
    <x v="3"/>
    <m/>
    <m/>
    <m/>
    <m/>
    <m/>
    <m/>
    <m/>
    <m/>
    <s v="H-ADSS 48C-20231126-01"/>
    <n v="0"/>
    <e v="#N/A"/>
    <e v="#N/A"/>
    <s v="OUTBOUND_H-ADSS 48C-20231126-01"/>
  </r>
  <r>
    <s v="063"/>
    <n v="2"/>
    <x v="0"/>
    <s v="INB-W0012308-1"/>
    <s v="EJ-Malang-01"/>
    <s v="Oka-0813-2707-1646"/>
    <d v="2023-08-04T00:00:00"/>
    <d v="1900-01-14T07:00:00"/>
    <s v="ZTE Warehouse"/>
    <x v="0"/>
    <x v="2"/>
    <s v="ZTE2003"/>
    <s v="Meter"/>
    <n v="3000"/>
    <s v="CLR51-99-004"/>
    <x v="19"/>
    <s v="DOEID23080182"/>
    <s v="DNWID0342023080312"/>
    <m/>
    <m/>
    <m/>
    <m/>
    <m/>
    <m/>
    <s v="H-ADSS 48C-202384-01"/>
    <s v="Perumahan Bumi Podo Rukun Dau"/>
    <d v="2023-08-04T00:00:00"/>
    <b v="1"/>
    <s v="OUTBOUND_H-ADSS 48C-202384-01"/>
  </r>
  <r>
    <s v="064"/>
    <m/>
    <x v="0"/>
    <s v="INB-W0012308-7"/>
    <s v="EJ-Malang-01"/>
    <s v="Oka-0813-2707-1646"/>
    <d v="2023-08-10T00:00:00"/>
    <d v="1900-01-14T16:37:24"/>
    <s v="FIELD TEAM"/>
    <x v="1"/>
    <x v="2"/>
    <s v="ZTE2003"/>
    <s v="Meter"/>
    <n v="895"/>
    <s v="CLR51-99-004"/>
    <x v="19"/>
    <m/>
    <m/>
    <m/>
    <s v="Imam Safi'i"/>
    <s v="Febby Supplier"/>
    <s v="`3509040409910004"/>
    <s v="B 9407UT"/>
    <n v="890"/>
    <s v="H-ADSS 48C-202384-01"/>
    <s v="Perumahan Bumi Podo Rukun Dau"/>
    <e v="#N/A"/>
    <e v="#N/A"/>
    <s v="OUTBOUND_H-ADSS 48C-202384-01"/>
  </r>
  <r>
    <s v="065"/>
    <m/>
    <x v="1"/>
    <s v="OUB-W0012308-7"/>
    <s v="EJ-Malang-01"/>
    <s v="Oka-0813-2707-1646"/>
    <d v="2023-08-10T00:00:00"/>
    <d v="1900-01-14T16:37:24"/>
    <s v="EJ-MALANG-01"/>
    <x v="0"/>
    <x v="2"/>
    <s v="ZTE2003"/>
    <s v="Meter"/>
    <n v="3000"/>
    <s v="CLR51-99-004"/>
    <x v="19"/>
    <m/>
    <m/>
    <m/>
    <s v="Imam Safi'i"/>
    <s v="Febby Supplier"/>
    <s v="`3509040409910004"/>
    <s v="B 9407UT"/>
    <n v="890"/>
    <s v="H-ADSS 48C-202384-01"/>
    <s v="Perumahan Bumi Podo Rukun Dau"/>
    <e v="#N/A"/>
    <e v="#N/A"/>
    <s v="OUTBOUND_H-ADSS 48C-202384-01"/>
  </r>
  <r>
    <s v="066"/>
    <m/>
    <x v="2"/>
    <s v="TFO-W0012308-8"/>
    <s v="EJ-Malang-01"/>
    <s v="Oka-0813-2707-1646"/>
    <d v="2023-08-27T00:00:00"/>
    <d v="1900-01-14T16:37:24"/>
    <s v="FIELD TEAM"/>
    <x v="1"/>
    <x v="2"/>
    <s v="ZTE2003"/>
    <s v="Meter"/>
    <n v="895"/>
    <s v="CLR51-99-004"/>
    <x v="19"/>
    <m/>
    <m/>
    <m/>
    <s v="SIGIT"/>
    <m/>
    <m/>
    <m/>
    <n v="890"/>
    <s v="H-ADSS 48C-202384-01"/>
    <s v="Perumahan Bumi Podo Rukun Dau"/>
    <e v="#N/A"/>
    <e v="#N/A"/>
    <s v="TRANSFER OUT_H-ADSS 48C-202384-01"/>
  </r>
  <r>
    <s v="067"/>
    <m/>
    <x v="0"/>
    <s v="INB-W0012309-31"/>
    <s v="EJ-Malang-01"/>
    <s v="Oka-0813-2707-1646"/>
    <d v="2023-09-19T00:00:00"/>
    <d v="1900-01-14T07:00:00"/>
    <s v="ZTE Warehouse"/>
    <x v="0"/>
    <x v="1"/>
    <s v="ZTE2001"/>
    <s v="Meter"/>
    <n v="3000"/>
    <s v="CLR51-99-007"/>
    <x v="25"/>
    <s v="DOEID230918DY"/>
    <s v="DNWID0342023091808"/>
    <m/>
    <m/>
    <m/>
    <m/>
    <m/>
    <m/>
    <s v="H-ADSS 24C-2023919-01"/>
    <s v="Mulyorejo RW 06 Sukun"/>
    <d v="2023-09-19T00:00:00"/>
    <b v="1"/>
    <s v="OUTBOUND_H-ADSS 24C-2023919-01"/>
  </r>
  <r>
    <s v="068"/>
    <m/>
    <x v="0"/>
    <s v="INB-W0012309-32"/>
    <s v="EJ-Malang-01"/>
    <s v="Oka-0813-2707-1646"/>
    <d v="2023-09-20T00:00:00"/>
    <d v="1900-01-14T07:00:00"/>
    <s v="ZTE Warehouse"/>
    <x v="0"/>
    <x v="1"/>
    <s v="ZTE2001"/>
    <s v="Meter"/>
    <n v="3000"/>
    <s v="CLR51-02-001"/>
    <x v="20"/>
    <s v="DOEID230919BH"/>
    <s v="DNWID0342023091906"/>
    <m/>
    <m/>
    <m/>
    <m/>
    <m/>
    <m/>
    <s v="H-ADSS 24C-2023920-01"/>
    <s v="Puncak Dieng Exlusif"/>
    <d v="2023-09-20T00:00:00"/>
    <b v="1"/>
    <s v="OUTBOUND_H-ADSS 24C-2023920-01"/>
  </r>
  <r>
    <s v="069"/>
    <m/>
    <x v="0"/>
    <s v="INB-W0012309-43"/>
    <s v="EJ-Malang-01"/>
    <s v="Oka-0813-2707-1646"/>
    <d v="2023-09-24T00:00:00"/>
    <d v="1899-12-30T07:36:00"/>
    <s v="FIELD TEAM"/>
    <x v="1"/>
    <x v="1"/>
    <s v="ZTE2001"/>
    <s v="Meter"/>
    <n v="1765"/>
    <s v="CLR51-99-007"/>
    <x v="25"/>
    <m/>
    <m/>
    <m/>
    <s v="Khoiri"/>
    <s v="Khoiri Supplier"/>
    <s v="3507330905820002"/>
    <s v="N 8638 ES"/>
    <s v="3000-1235=1765"/>
    <s v="H-ADSS 24C-2023919-01"/>
    <s v="Mulyorejo RW 06 Sukun"/>
    <e v="#N/A"/>
    <e v="#N/A"/>
    <s v="OUTBOUND_H-ADSS 24C-2023919-01"/>
  </r>
  <r>
    <s v="070"/>
    <m/>
    <x v="1"/>
    <s v="OUB-W0012309-43"/>
    <s v="EJ-Malang-01"/>
    <s v="Oka-0813-2707-1646"/>
    <d v="2023-09-24T00:00:00"/>
    <d v="1899-12-30T07:36:00"/>
    <s v="EJ-MALANG-01"/>
    <x v="0"/>
    <x v="1"/>
    <s v="ZTE2001"/>
    <s v="Meter"/>
    <n v="3000"/>
    <s v="CLR51-99-007"/>
    <x v="25"/>
    <m/>
    <m/>
    <m/>
    <s v="Khoiri"/>
    <s v="Khoiri Supplier"/>
    <s v="3507330905820002"/>
    <s v="N 8638 ES"/>
    <s v="3000-1235=1765"/>
    <s v="H-ADSS 24C-2023919-01"/>
    <s v="Mulyorejo RW 06 Sukun"/>
    <e v="#N/A"/>
    <e v="#N/A"/>
    <s v="OUTBOUND_H-ADSS 24C-2023919-01"/>
  </r>
  <r>
    <s v="071"/>
    <m/>
    <x v="3"/>
    <s v="TFI-W0012309-138"/>
    <s v="EJ-Malang-01"/>
    <s v="Oka-0813-2707-1646"/>
    <d v="2023-09-15T00:00:00"/>
    <d v="1899-12-30T06:00:00"/>
    <s v="FIELD TEAM"/>
    <x v="1"/>
    <x v="2"/>
    <s v="ZTE2003"/>
    <s v="Meter"/>
    <n v="895"/>
    <m/>
    <x v="3"/>
    <m/>
    <m/>
    <m/>
    <m/>
    <m/>
    <m/>
    <m/>
    <m/>
    <s v="H-ADSS 48C-202384-01"/>
    <n v="0"/>
    <e v="#N/A"/>
    <e v="#N/A"/>
    <s v="OUTBOUND_H-ADSS 48C-202384-01"/>
  </r>
  <r>
    <s v="072"/>
    <m/>
    <x v="1"/>
    <s v="OUB-W0012309-44"/>
    <s v="EJ-Malang-01"/>
    <s v="Oka-0813-2707-1646"/>
    <d v="2023-09-25T00:00:00"/>
    <d v="1899-12-30T06:30:00"/>
    <s v="EJ-MALANG-01"/>
    <x v="0"/>
    <x v="1"/>
    <s v="ZTE2001"/>
    <s v="Meter"/>
    <n v="3000"/>
    <s v="CLR51-02-001"/>
    <x v="20"/>
    <m/>
    <m/>
    <m/>
    <s v="Khoiri"/>
    <s v="Khoiri Supplier"/>
    <s v="3507330905820002"/>
    <s v="N 8408 CB"/>
    <s v="1100&amp;1900"/>
    <s v="H-ADSS 24C-2023920-01"/>
    <s v="Puncak Dieng Exlusif"/>
    <e v="#N/A"/>
    <e v="#N/A"/>
    <s v="OUTBOUND_H-ADSS 24C-2023920-01"/>
  </r>
  <r>
    <s v="073"/>
    <m/>
    <x v="0"/>
    <s v="INB-W0012309-45"/>
    <s v="EJ-Malang-01"/>
    <s v="Oka-0813-2707-1646"/>
    <d v="2023-09-26T00:00:00"/>
    <d v="1900-01-14T07:00:00"/>
    <s v="ZTE Warehouse"/>
    <x v="0"/>
    <x v="1"/>
    <s v="ZTE2001"/>
    <s v="Meter"/>
    <n v="3000"/>
    <s v="CLR51-99-013"/>
    <x v="26"/>
    <s v="DOEID23092445"/>
    <s v="DNWID0342023092505"/>
    <m/>
    <m/>
    <m/>
    <m/>
    <m/>
    <m/>
    <s v="H-ADSS 24C-2023926-01"/>
    <s v="Pandan Landung RW 03 Wagir"/>
    <d v="2023-09-26T00:00:00"/>
    <b v="1"/>
    <s v="OUTBOUND_H-ADSS 24C-2023926-01"/>
  </r>
  <r>
    <s v="074"/>
    <m/>
    <x v="0"/>
    <s v="INB-W0012309-15"/>
    <s v="EJ-Malang-01"/>
    <s v="Oka-0813-2707-1646"/>
    <d v="2023-09-01T00:00:00"/>
    <d v="1900-01-14T07:00:00"/>
    <s v="ZTE Warehouse"/>
    <x v="0"/>
    <x v="2"/>
    <s v="ZTE2003"/>
    <s v="Meter"/>
    <n v="3000"/>
    <s v="CLR51-99-006"/>
    <x v="23"/>
    <s v="DOEID23083120"/>
    <s v="DNWID0342023083103"/>
    <m/>
    <m/>
    <m/>
    <m/>
    <m/>
    <m/>
    <s v="H-ADSS 48C-202391-01"/>
    <s v="Mulyorejo RW 04 Sukun"/>
    <d v="2023-09-01T00:00:00"/>
    <b v="1"/>
    <s v="OUTBOUND_H-ADSS 48C-202391-01"/>
  </r>
  <r>
    <s v="075"/>
    <m/>
    <x v="0"/>
    <s v="INB-W0012309-19"/>
    <s v="EJ-Malang-01"/>
    <s v="Oka-0813-2707-1646"/>
    <d v="2023-09-04T00:00:00"/>
    <d v="1899-12-30T16:37:00"/>
    <s v="FIELD TEAM"/>
    <x v="1"/>
    <x v="2"/>
    <s v="ZTE2003"/>
    <s v="Meter"/>
    <n v="2395"/>
    <s v="CLR51-99-006"/>
    <x v="23"/>
    <m/>
    <m/>
    <m/>
    <m/>
    <m/>
    <m/>
    <m/>
    <m/>
    <s v="H-ADSS 48C-202391-01"/>
    <s v="Mulyorejo RW 04 Sukun"/>
    <e v="#N/A"/>
    <e v="#N/A"/>
    <s v="OUTBOUND_H-ADSS 48C-202391-01"/>
  </r>
  <r>
    <s v="076"/>
    <m/>
    <x v="1"/>
    <s v="OUB-W0012309-19"/>
    <s v="EJ-Malang-01"/>
    <s v="Oka-0813-2707-1646"/>
    <d v="2023-09-04T00:00:00"/>
    <d v="1899-12-30T16:37:00"/>
    <s v="FIELD TEAM"/>
    <x v="1"/>
    <x v="2"/>
    <s v="ZTE2003"/>
    <s v="Meter"/>
    <n v="2395"/>
    <s v="CLR51-99-006"/>
    <x v="23"/>
    <m/>
    <m/>
    <m/>
    <m/>
    <m/>
    <m/>
    <m/>
    <m/>
    <s v="H-ADSS 48C-202391-01"/>
    <s v="Mulyorejo RW 04 Sukun"/>
    <e v="#N/A"/>
    <e v="#N/A"/>
    <s v="OUTBOUND_H-ADSS 48C-202391-01"/>
  </r>
  <r>
    <s v="077"/>
    <m/>
    <x v="0"/>
    <s v="INB-W0012309-19"/>
    <s v="EJ-Malang-01"/>
    <s v="Oka-0813-2707-1646"/>
    <d v="2023-09-04T00:00:00"/>
    <d v="1899-12-30T16:37:00"/>
    <s v="FIELD TEAM"/>
    <x v="1"/>
    <x v="2"/>
    <s v="ZTE2003"/>
    <s v="Meter"/>
    <n v="1128"/>
    <s v="CLR51-99-006"/>
    <x v="23"/>
    <m/>
    <m/>
    <m/>
    <m/>
    <m/>
    <m/>
    <m/>
    <m/>
    <s v="H-ADSS 48C-202391-01"/>
    <s v="Mulyorejo RW 04 Sukun"/>
    <e v="#N/A"/>
    <e v="#N/A"/>
    <s v="OUTBOUND_H-ADSS 48C-202391-01"/>
  </r>
  <r>
    <s v="078"/>
    <m/>
    <x v="0"/>
    <s v="INB-W0012310-17"/>
    <s v="EJ-Malang-01"/>
    <s v="Oka-0813-2707-1646"/>
    <d v="2023-10-01T00:00:00"/>
    <d v="1899-12-30T06:30:00"/>
    <s v="FIELD TEAM"/>
    <x v="1"/>
    <x v="1"/>
    <s v="ZTE2001"/>
    <s v="Meter"/>
    <n v="215"/>
    <s v="CLR51-02-001"/>
    <x v="20"/>
    <m/>
    <m/>
    <m/>
    <s v="Khoiri"/>
    <m/>
    <m/>
    <m/>
    <s v="1765-1550=215"/>
    <s v="H-ADSS 24C-2023919-01"/>
    <s v="0-215"/>
    <e v="#N/A"/>
    <e v="#N/A"/>
    <s v="OUTBOUND_H-ADSS 24C-2023919-01"/>
  </r>
  <r>
    <s v="079"/>
    <m/>
    <x v="1"/>
    <s v="OUB-W0012310-17"/>
    <s v="EJ-Malang-01"/>
    <s v="Oka-0813-2707-1646"/>
    <d v="2023-10-01T00:00:00"/>
    <d v="1899-12-30T06:30:00"/>
    <s v="FIELD TEAM"/>
    <x v="1"/>
    <x v="1"/>
    <s v="ZTE2001"/>
    <s v="Meter"/>
    <n v="1765"/>
    <s v="CLR51-02-001"/>
    <x v="20"/>
    <m/>
    <m/>
    <m/>
    <s v="Khoiri"/>
    <s v="Khoiri Supplier"/>
    <s v="3507330905820002"/>
    <s v="N 8638 ES"/>
    <s v="1765-1550=215"/>
    <s v="H-ADSS 24C-2023919-01"/>
    <s v="0-215"/>
    <e v="#N/A"/>
    <e v="#N/A"/>
    <s v="OUTBOUND_H-ADSS 24C-2023919-01"/>
  </r>
  <r>
    <s v="080"/>
    <m/>
    <x v="0"/>
    <s v="INB-W0012310-55"/>
    <s v="EJ-Malang-01"/>
    <s v="Oka-0813-2707-1646"/>
    <d v="2023-10-01T00:00:00"/>
    <d v="1899-12-30T06:30:00"/>
    <s v="FIELD TEAM"/>
    <x v="1"/>
    <x v="1"/>
    <s v="ZTE2001"/>
    <s v="Meter"/>
    <n v="935"/>
    <s v="CLR51-02-001"/>
    <x v="20"/>
    <m/>
    <m/>
    <m/>
    <m/>
    <m/>
    <m/>
    <m/>
    <m/>
    <s v="H-ADSS 24C-2023926-01"/>
    <s v="Puncak Dieng Exlusif"/>
    <e v="#N/A"/>
    <e v="#N/A"/>
    <s v="OUTBOUND_H-ADSS 24C-2023926-01"/>
  </r>
  <r>
    <s v="081"/>
    <m/>
    <x v="1"/>
    <s v="OUB-W0012310-55"/>
    <s v="EJ-Malang-01"/>
    <s v="Oka-0813-2707-1646"/>
    <d v="2023-10-01T00:00:00"/>
    <d v="1899-12-30T06:30:00"/>
    <s v="EJ-MALANG-01"/>
    <x v="0"/>
    <x v="1"/>
    <s v="ZTE2001"/>
    <s v="Meter"/>
    <n v="3000"/>
    <s v="CLR51-02-001"/>
    <x v="20"/>
    <m/>
    <m/>
    <m/>
    <s v="Khoiri"/>
    <s v="Khoiri Supplier"/>
    <s v="3507330905820002"/>
    <s v="N 8638 ES"/>
    <s v="3000-2065=935"/>
    <s v="H-ADSS 24C-2023926-01"/>
    <s v="Puncak Dieng Exlusif"/>
    <e v="#N/A"/>
    <e v="#N/A"/>
    <s v="OUTBOUND_H-ADSS 24C-2023926-01"/>
  </r>
  <r>
    <s v="082"/>
    <m/>
    <x v="1"/>
    <s v="OUB-W0012309-19"/>
    <s v="EJ-Malang-01"/>
    <s v="Oka-0813-2707-1646"/>
    <d v="2023-09-04T00:00:00"/>
    <d v="1899-12-30T16:37:00"/>
    <s v="EJ-MALANG-01"/>
    <x v="0"/>
    <x v="2"/>
    <s v="ZTE2003"/>
    <s v="Meter"/>
    <n v="3000"/>
    <s v="CLR51-99-006"/>
    <x v="23"/>
    <m/>
    <m/>
    <m/>
    <s v="Asmat"/>
    <s v="Febby Supplier"/>
    <s v="3509041306820004"/>
    <s v="N 8267TE"/>
    <s v="new hasbelUSE 605, sisa 2395"/>
    <s v="H-ADSS 48C-202391-01"/>
    <s v="Mulyorejo RW 04 Sukun"/>
    <e v="#N/A"/>
    <e v="#N/A"/>
    <s v="OUTBOUND_H-ADSS 48C-202391-01"/>
  </r>
  <r>
    <s v="083"/>
    <m/>
    <x v="0"/>
    <s v="INB-W0012310-75"/>
    <s v="EJ-Malang-01"/>
    <s v="Oka-0813-2707-1646"/>
    <d v="2023-10-14T00:00:00"/>
    <d v="1900-01-14T07:00:00"/>
    <s v="ZTE Warehouse"/>
    <x v="0"/>
    <x v="1"/>
    <s v="ZTE2001"/>
    <s v="Meter"/>
    <n v="3000"/>
    <s v="CLR51-99-021"/>
    <x v="27"/>
    <s v="DOEID231013AX"/>
    <s v="DNWID0342023101405"/>
    <m/>
    <m/>
    <m/>
    <m/>
    <m/>
    <m/>
    <s v="H-ADSS 24C-20231014-03"/>
    <s v="Jedong RW 09 Wagir"/>
    <d v="2023-10-14T00:00:00"/>
    <b v="1"/>
    <s v="OUTBOUND_H-ADSS 24C-20231014-03"/>
  </r>
  <r>
    <s v="084"/>
    <m/>
    <x v="0"/>
    <s v="INB-W0012310-75"/>
    <s v="EJ-Malang-01"/>
    <s v="Oka-0813-2707-1646"/>
    <d v="2023-10-14T00:00:00"/>
    <d v="1900-01-14T07:00:00"/>
    <s v="ZTE Warehouse"/>
    <x v="0"/>
    <x v="1"/>
    <s v="ZTE2001"/>
    <s v="Meter"/>
    <n v="3000"/>
    <s v="CLR51-99-019"/>
    <x v="28"/>
    <s v="DOEID231013AT"/>
    <s v="DNWID0342023101408"/>
    <m/>
    <m/>
    <m/>
    <m/>
    <m/>
    <m/>
    <s v="H-ADSS 24C-20231014-02"/>
    <s v="Sidorahayu RW 02 Wagir"/>
    <d v="2023-10-14T00:00:00"/>
    <b v="1"/>
    <s v="OUTBOUND_H-ADSS 24C-20231014-02"/>
  </r>
  <r>
    <s v="085"/>
    <m/>
    <x v="0"/>
    <s v="INB-W0012310-75"/>
    <s v="EJ-Malang-01"/>
    <s v="Oka-0813-2707-1646"/>
    <d v="2023-10-14T00:00:00"/>
    <d v="1900-01-14T07:00:00"/>
    <s v="ZTE Warehouse"/>
    <x v="0"/>
    <x v="1"/>
    <s v="ZTE2001"/>
    <s v="Meter"/>
    <n v="3000"/>
    <s v="CLR51-99-017"/>
    <x v="21"/>
    <s v="DOEID23101403"/>
    <s v="DNWID0342023101406"/>
    <m/>
    <m/>
    <m/>
    <m/>
    <m/>
    <m/>
    <s v="H-ADSS 24C-20231014-01"/>
    <s v="Sukodadi RW 01 Wagir"/>
    <d v="2023-10-14T00:00:00"/>
    <b v="1"/>
    <s v="OUTBOUND_H-ADSS 24C-20231014-01"/>
  </r>
  <r>
    <s v="086"/>
    <m/>
    <x v="3"/>
    <s v="TFI-W0012309-138"/>
    <s v="EJ-Malang-01"/>
    <s v="Oka-0813-2707-1646"/>
    <d v="2023-09-15T00:00:00"/>
    <d v="1899-12-30T06:00:00"/>
    <s v="FIELD TEAM"/>
    <x v="1"/>
    <x v="2"/>
    <s v="ZTE2003"/>
    <s v="Meter"/>
    <n v="1250"/>
    <m/>
    <x v="3"/>
    <m/>
    <m/>
    <m/>
    <m/>
    <m/>
    <m/>
    <m/>
    <m/>
    <s v="H-ADSS 48C-2023915-01"/>
    <n v="0"/>
    <e v="#N/A"/>
    <e v="#N/A"/>
    <s v="OUTBOUND_H-ADSS 48C-2023915-01"/>
  </r>
  <r>
    <s v="087"/>
    <m/>
    <x v="0"/>
    <s v="INB-W0012309-30"/>
    <s v="EJ-Malang-01"/>
    <s v="Oka-0813-2707-1646"/>
    <d v="2023-09-16T00:00:00"/>
    <d v="1900-01-14T07:00:00"/>
    <s v="ZTE Warehouse"/>
    <x v="0"/>
    <x v="2"/>
    <s v="ZTE2003"/>
    <s v="Meter"/>
    <n v="3000"/>
    <s v="CLR51-99-014"/>
    <x v="29"/>
    <s v="DOEID23091556"/>
    <s v="DNWID0342023091501"/>
    <m/>
    <m/>
    <m/>
    <m/>
    <m/>
    <m/>
    <s v="H-ADSS 48C-2023916-01"/>
    <s v="Pandan Landung RW 04 Wagir"/>
    <d v="2023-09-16T00:00:00"/>
    <b v="1"/>
    <s v="OUTBOUND_H-ADSS 48C-2023916-01"/>
  </r>
  <r>
    <s v="088"/>
    <m/>
    <x v="1"/>
    <s v="OUB-W0012310-87"/>
    <s v="EJ-Malang-01"/>
    <s v="Oka-0813-2707-1646"/>
    <d v="2023-10-19T00:00:00"/>
    <d v="1899-12-30T07:59:00"/>
    <s v="FIELD TEAM"/>
    <x v="1"/>
    <x v="1"/>
    <s v="ZTE2001"/>
    <s v="Meter"/>
    <n v="684"/>
    <s v="CLR51-99-020"/>
    <x v="22"/>
    <m/>
    <m/>
    <m/>
    <m/>
    <m/>
    <m/>
    <m/>
    <m/>
    <s v="H-ADSS 24C-20231014-03"/>
    <s v="Jedong RW 08 Wagir"/>
    <e v="#N/A"/>
    <e v="#N/A"/>
    <s v="OUTBOUND_H-ADSS 24C-20231014-03"/>
  </r>
  <r>
    <s v="089"/>
    <m/>
    <x v="0"/>
    <s v="INB-W0012310-87"/>
    <s v="EJ-Malang-01"/>
    <s v="Oka-0813-2707-1646"/>
    <d v="2023-10-19T00:00:00"/>
    <d v="1899-12-30T07:59:00"/>
    <s v="FIELD TEAM"/>
    <x v="1"/>
    <x v="1"/>
    <s v="ZTE2001"/>
    <s v="Meter"/>
    <n v="1740"/>
    <s v="CLR51-99-021"/>
    <x v="27"/>
    <m/>
    <m/>
    <m/>
    <s v="Khoiri"/>
    <s v="Khoiri Supplier"/>
    <s v="3507330905820002"/>
    <s v="N 8408 CB"/>
    <s v="3000-1260=1740"/>
    <s v="H-ADSS 24C-20231014-03"/>
    <s v="Jedong RW 09 Wagir"/>
    <e v="#N/A"/>
    <e v="#N/A"/>
    <s v="OUTBOUND_H-ADSS 24C-20231014-03"/>
  </r>
  <r>
    <s v="090"/>
    <m/>
    <x v="1"/>
    <s v="OUB-W0012310-87"/>
    <s v="EJ-Malang-01"/>
    <s v="Oka-0813-2707-1646"/>
    <d v="2023-10-19T00:00:00"/>
    <d v="1899-12-30T07:59:00"/>
    <s v="FIELD TEAM"/>
    <x v="1"/>
    <x v="1"/>
    <s v="ZTE2001"/>
    <s v="Meter"/>
    <n v="772"/>
    <s v="CLR51-99-021"/>
    <x v="27"/>
    <s v="3000-1260=1740"/>
    <s v="A-012-1740m"/>
    <m/>
    <s v="H-ADSS 24C-20231014-03"/>
    <m/>
    <m/>
    <m/>
    <m/>
    <s v="H-ADSS 24C-20231014-03"/>
    <s v="Jedong RW 09 Wagir"/>
    <e v="#N/A"/>
    <e v="#N/A"/>
    <s v="OUTBOUND_H-ADSS 24C-20231014-03"/>
  </r>
  <r>
    <s v="091"/>
    <m/>
    <x v="1"/>
    <s v="OUB-W0012310-87"/>
    <s v="EJ-Malang-01"/>
    <s v="Oka-0813-2707-1646"/>
    <d v="2023-10-19T00:00:00"/>
    <d v="1899-12-30T07:59:00"/>
    <s v="EJ-MALANG-01"/>
    <x v="0"/>
    <x v="1"/>
    <s v="ZTE2001"/>
    <s v="Meter"/>
    <n v="3000"/>
    <s v="CLR51-99-021"/>
    <x v="27"/>
    <m/>
    <m/>
    <m/>
    <s v="Khoiri"/>
    <s v="Khoiri Supplier"/>
    <s v="3507330905820002"/>
    <s v="N 8408 CB"/>
    <s v="3000-1260=1740"/>
    <s v="H-ADSS 24C-20231014-03"/>
    <s v="Jedong RW 09 Wagir"/>
    <e v="#N/A"/>
    <e v="#N/A"/>
    <s v="OUTBOUND_H-ADSS 24C-20231014-03"/>
  </r>
  <r>
    <s v="092"/>
    <m/>
    <x v="0"/>
    <s v="INB-W0012310-108"/>
    <s v="EJ-Malang-01"/>
    <s v="Oka-0813-2707-1646"/>
    <d v="2023-10-23T00:00:00"/>
    <d v="1899-12-30T08:19:00"/>
    <s v="FIELD TEAM"/>
    <x v="1"/>
    <x v="1"/>
    <s v="ZTE2001"/>
    <s v="Meter"/>
    <n v="1350"/>
    <s v="CLR51-99-018"/>
    <x v="28"/>
    <s v="USE 1650"/>
    <m/>
    <m/>
    <m/>
    <m/>
    <m/>
    <m/>
    <m/>
    <s v="H-ADSS 24C-20231014-02"/>
    <s v="Sidorahayu RW 02 Wagir"/>
    <e v="#N/A"/>
    <e v="#N/A"/>
    <s v="OUTBOUND_H-ADSS 24C-20231014-02"/>
  </r>
  <r>
    <s v="093"/>
    <m/>
    <x v="1"/>
    <s v="OUB-W0012310-108"/>
    <s v="EJ-Malang-01"/>
    <s v="Oka-0813-2707-1646"/>
    <d v="2023-10-23T00:00:00"/>
    <d v="1899-12-30T08:19:00"/>
    <s v="FIELD TEAM"/>
    <x v="1"/>
    <x v="1"/>
    <s v="ZTE2001"/>
    <s v="Meter"/>
    <n v="650"/>
    <s v="CLR51-99-018"/>
    <x v="28"/>
    <m/>
    <m/>
    <m/>
    <m/>
    <m/>
    <m/>
    <m/>
    <m/>
    <s v="H-ADSS 24C-20231014-02"/>
    <s v="Sidorahayu RW 02 Wagir"/>
    <e v="#N/A"/>
    <e v="#N/A"/>
    <s v="OUTBOUND_H-ADSS 24C-20231014-02"/>
  </r>
  <r>
    <s v="094"/>
    <m/>
    <x v="1"/>
    <s v="OUB-W0012310-108"/>
    <s v="EJ-Malang-01"/>
    <s v="Oka-0813-2707-1646"/>
    <d v="2023-10-23T00:00:00"/>
    <d v="1899-12-30T08:19:00"/>
    <s v="EJ-MALANG-01"/>
    <x v="0"/>
    <x v="1"/>
    <s v="ZTE2001"/>
    <s v="Meter"/>
    <n v="3000"/>
    <s v="CLR51-99-018"/>
    <x v="28"/>
    <m/>
    <m/>
    <m/>
    <s v="Mail"/>
    <s v="Mustofa"/>
    <s v="507180502880002"/>
    <s v="N 8546 ED"/>
    <s v="USE 1650"/>
    <s v="H-ADSS 24C-20231014-02"/>
    <s v="Sidorahayu RW 02 Wagir"/>
    <e v="#N/A"/>
    <e v="#N/A"/>
    <s v="OUTBOUND_H-ADSS 24C-20231014-02"/>
  </r>
  <r>
    <s v="095"/>
    <m/>
    <x v="1"/>
    <s v="OUB-W0012310-107"/>
    <s v="EJ-Malang-01"/>
    <s v="Oka-0813-2707-1646"/>
    <d v="2023-10-23T00:00:00"/>
    <d v="1899-12-30T08:19:00"/>
    <s v="EJ-MALANG-01"/>
    <x v="0"/>
    <x v="1"/>
    <s v="ZTE2001"/>
    <s v="Meter"/>
    <n v="3000"/>
    <s v="CLR51-99-017"/>
    <x v="21"/>
    <m/>
    <m/>
    <m/>
    <s v="Mail"/>
    <s v="Mustofa"/>
    <s v="507180502880002"/>
    <s v="N 8546 ED"/>
    <s v="USE 1200"/>
    <s v="H-ADSS 24C-20231014-01"/>
    <s v="Sukodadi RW 01 Wagir"/>
    <e v="#N/A"/>
    <e v="#N/A"/>
    <s v="OUTBOUND_H-ADSS 24C-20231014-01"/>
  </r>
  <r>
    <s v="096"/>
    <m/>
    <x v="1"/>
    <s v="OUB-W0012310-71"/>
    <s v="EJ-Malang-01"/>
    <s v="Oka-0813-2707-1646"/>
    <d v="2023-10-12T00:00:00"/>
    <d v="1899-12-30T12:30:00"/>
    <s v="EJ-MALANG-01"/>
    <x v="0"/>
    <x v="2"/>
    <s v="ZTE2003"/>
    <s v="Meter"/>
    <n v="3000"/>
    <s v="CLR51-99-014"/>
    <x v="29"/>
    <m/>
    <m/>
    <m/>
    <s v="Ahmad Subari"/>
    <s v="Khoiri Supplier"/>
    <s v="3507150401800010"/>
    <s v="N 9795 EM"/>
    <m/>
    <s v="H-ADSS 48C-2023916-01"/>
    <s v="Pandan Landung RW 04 Wagir"/>
    <e v="#N/A"/>
    <e v="#N/A"/>
    <s v="OUTBOUND_H-ADSS 48C-2023916-01"/>
  </r>
  <r>
    <s v="097"/>
    <m/>
    <x v="0"/>
    <s v="INB-W0012311-121"/>
    <s v="EJ-Malang-01"/>
    <s v="Oka-0813-2707-1646"/>
    <d v="2023-11-15T00:00:00"/>
    <d v="1900-01-14T07:00:00"/>
    <s v="ZTE Warehouse"/>
    <x v="0"/>
    <x v="1"/>
    <s v="ZTE2001"/>
    <s v="Meter"/>
    <n v="3000"/>
    <s v="CLR51-99-026"/>
    <x v="24"/>
    <s v="DOEID231113AY"/>
    <s v="DNWID0342023111301"/>
    <m/>
    <m/>
    <m/>
    <m/>
    <m/>
    <m/>
    <s v="H-ADSS 24C-20231115-01"/>
    <s v="Jedong RW 07 Wagir"/>
    <d v="2023-11-15T00:00:00"/>
    <b v="1"/>
    <s v="OUTBOUND_H-ADSS 24C-20231115-01"/>
  </r>
  <r>
    <s v="098"/>
    <m/>
    <x v="0"/>
    <s v="INB-W0012309-45"/>
    <s v="EJ-Malang-01"/>
    <s v="Oka-0813-2707-1646"/>
    <d v="2023-09-26T00:00:00"/>
    <d v="1900-01-14T07:00:00"/>
    <s v="ZTE Warehouse"/>
    <x v="0"/>
    <x v="2"/>
    <s v="ZTE2003"/>
    <s v="Meter"/>
    <n v="3000"/>
    <s v="CLR51-02-001"/>
    <x v="20"/>
    <s v="DOEID23092543"/>
    <s v="DNWID0342023092512"/>
    <m/>
    <m/>
    <m/>
    <m/>
    <m/>
    <m/>
    <s v="H-ADSS 48C-2023926-01"/>
    <s v="Puncak Dieng Exlusif"/>
    <d v="2023-09-26T00:00:00"/>
    <b v="1"/>
    <s v="OUTBOUND_H-ADSS 48C-2023926-01"/>
  </r>
  <r>
    <s v="099"/>
    <m/>
    <x v="1"/>
    <s v="OUB-W0012311-129"/>
    <s v="EJ-Malang-01"/>
    <s v="Oka-0813-2707-1646"/>
    <d v="2023-11-25T00:00:00"/>
    <d v="1899-12-30T09:06:00"/>
    <s v="EJ-MALANG-01"/>
    <x v="0"/>
    <x v="1"/>
    <s v="ZTE2001"/>
    <s v="Meter"/>
    <n v="3000"/>
    <s v="CLR51-99-026"/>
    <x v="24"/>
    <m/>
    <m/>
    <m/>
    <s v="Ahmad Subari"/>
    <s v="Mustofa"/>
    <s v="3507150401800010"/>
    <s v="N 9609 EF"/>
    <m/>
    <m/>
    <s v="Jedong RW 07 Wagir"/>
    <e v="#N/A"/>
    <e v="#N/A"/>
    <s v="OUTBOUND_"/>
  </r>
  <r>
    <s v="100"/>
    <m/>
    <x v="1"/>
    <s v="OUB-W0012309-49"/>
    <s v="EJ-Malang-01"/>
    <s v="Oka-0813-2707-1646"/>
    <d v="2023-09-27T00:00:00"/>
    <d v="1899-12-30T06:37:00"/>
    <s v="EJ-MALANG-01"/>
    <x v="0"/>
    <x v="2"/>
    <s v="ZTE2003"/>
    <s v="Meter"/>
    <n v="3000"/>
    <s v="CLR51-02-001"/>
    <x v="20"/>
    <m/>
    <m/>
    <m/>
    <s v="Khoiri "/>
    <s v="Khoiri Supplier"/>
    <s v="3507330905820002"/>
    <s v="N 8638 ES"/>
    <m/>
    <s v="H-ADSS 48C-2023926-01"/>
    <s v="Puncak Dieng Exlusif"/>
    <e v="#N/A"/>
    <e v="#N/A"/>
    <s v="OUTBOUND_H-ADSS 48C-2023926-01"/>
  </r>
  <r>
    <s v="101"/>
    <m/>
    <x v="0"/>
    <s v="INB-W0012309-45"/>
    <s v="EJ-Malang-01"/>
    <s v="Oka-0813-2707-1646"/>
    <d v="2023-09-26T00:00:00"/>
    <d v="1900-01-14T07:00:00"/>
    <s v="ZTE Warehouse"/>
    <x v="0"/>
    <x v="2"/>
    <s v="ZTE2003"/>
    <s v="Meter"/>
    <n v="3000"/>
    <s v="CLR51-02-001"/>
    <x v="20"/>
    <s v="DOEID23092543"/>
    <s v="DNWID0342023092512"/>
    <m/>
    <m/>
    <m/>
    <m/>
    <m/>
    <m/>
    <s v="H-ADSS 48C-2023926-02"/>
    <s v="Puncak Dieng Exlusif"/>
    <d v="2023-09-26T00:00:00"/>
    <b v="1"/>
    <s v="OUTBOUND_H-ADSS 48C-2023926-02"/>
  </r>
  <r>
    <s v="102"/>
    <m/>
    <x v="1"/>
    <s v="OUB-W0012309-42"/>
    <s v="EJ-Malang-01"/>
    <s v="Oka-0813-2707-1646"/>
    <d v="2023-09-24T00:00:00"/>
    <d v="1899-12-30T16:05:00"/>
    <s v="EJ-MALANG-01"/>
    <x v="0"/>
    <x v="2"/>
    <s v="ZTE2003"/>
    <s v="Meter"/>
    <n v="3000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103"/>
    <m/>
    <x v="1"/>
    <s v="OUB-W0012309-51"/>
    <s v="EJ-Malang-01"/>
    <s v="Oka-0813-2707-1646"/>
    <d v="2023-09-27T00:00:00"/>
    <d v="1899-12-30T12:30:00"/>
    <s v="EJ-MALANG-01"/>
    <x v="0"/>
    <x v="2"/>
    <s v="ZTE2003"/>
    <s v="Meter"/>
    <n v="3000"/>
    <s v="CLR51-99-013"/>
    <x v="26"/>
    <m/>
    <m/>
    <m/>
    <s v="Ahmad Subari"/>
    <s v="Khoiri Supplier"/>
    <s v="3507150401800010"/>
    <s v="N 9795 EM"/>
    <m/>
    <m/>
    <s v="Pandan Landung RW 03 Wagir"/>
    <e v="#N/A"/>
    <e v="#N/A"/>
    <s v="OUTBOUND_"/>
  </r>
  <r>
    <s v="104"/>
    <m/>
    <x v="0"/>
    <s v="INB-W0012312-158"/>
    <s v="EJ-Malang-01"/>
    <s v="Oka-0813-2707-1646"/>
    <d v="2023-12-26T00:00:00"/>
    <d v="1899-12-30T09:25:00"/>
    <s v="FIELD TEAM"/>
    <x v="1"/>
    <x v="1"/>
    <s v="ZTE2001"/>
    <s v="Meter"/>
    <n v="700"/>
    <s v="CLR32-99-069"/>
    <x v="30"/>
    <m/>
    <m/>
    <m/>
    <s v="Riki Romansyah"/>
    <s v="Febby Supplier"/>
    <s v="3507050501950006"/>
    <s v="N 8420 EL"/>
    <s v="use 2300. sisa 700"/>
    <s v="H-ADSS 24C-20231226-01"/>
    <s v="Sitirejo RW 01 Wagir"/>
    <e v="#N/A"/>
    <e v="#N/A"/>
    <s v="OUTBOUND_H-ADSS 24C-20231226-01"/>
  </r>
  <r>
    <s v="105"/>
    <m/>
    <x v="4"/>
    <s v="BOI-W0012312-156"/>
    <s v="EJ-Malang-01"/>
    <s v="Oka-0813-2707-1646"/>
    <d v="2023-12-26T00:00:00"/>
    <d v="1900-01-14T07:00:00"/>
    <s v="Other Subcon"/>
    <x v="0"/>
    <x v="1"/>
    <s v="ZTE2001"/>
    <s v="Meter"/>
    <n v="3000"/>
    <s v="BR004"/>
    <x v="31"/>
    <s v="Borrow"/>
    <n v="0"/>
    <m/>
    <s v="Riki Romansyah"/>
    <s v="Febby Supplier"/>
    <s v="3507050501950006"/>
    <s v="N 8420 EL"/>
    <s v="Borrow From YPTT"/>
    <s v="H-ADSS 24C-20231226-01"/>
    <s v="YPTT"/>
    <e v="#N/A"/>
    <e v="#N/A"/>
    <s v="OUTBOUND_H-ADSS 24C-20231226-01"/>
  </r>
  <r>
    <s v="106"/>
    <m/>
    <x v="1"/>
    <s v="OUB-W0012312-158"/>
    <s v="EJ-Malang-01"/>
    <s v="Oka-0813-2707-1646"/>
    <d v="2023-12-26T00:00:00"/>
    <d v="1899-12-30T09:25:00"/>
    <s v="EJ-MALANG-01"/>
    <x v="0"/>
    <x v="1"/>
    <s v="ZTE2001"/>
    <s v="Meter"/>
    <n v="3000"/>
    <s v="CLR32-99-069"/>
    <x v="30"/>
    <m/>
    <m/>
    <m/>
    <s v="Riki Romansyah"/>
    <s v="Febby Supplier"/>
    <s v="3507050501950006"/>
    <s v="N 8420 EL"/>
    <s v="use 2300. sisa 700"/>
    <s v="H-ADSS 24C-20231226-01"/>
    <s v="Sitirejo RW 01 Wagir"/>
    <e v="#N/A"/>
    <e v="#N/A"/>
    <s v="OUTBOUND_H-ADSS 24C-20231226-01"/>
  </r>
  <r>
    <s v="107"/>
    <m/>
    <x v="5"/>
    <s v="BOO-W0012312-160"/>
    <s v="EJ-Malang-01"/>
    <s v="Oka-0813-2707-1646"/>
    <d v="2023-12-27T00:00:00"/>
    <d v="1899-12-30T08:00:00"/>
    <s v="Other Subcon"/>
    <x v="0"/>
    <x v="1"/>
    <s v="ZTE2001"/>
    <s v="Meter"/>
    <n v="3000"/>
    <s v="BR004"/>
    <x v="31"/>
    <m/>
    <m/>
    <m/>
    <s v="Wawan Setiawan"/>
    <n v="0"/>
    <n v="0"/>
    <n v="0"/>
    <s v="Return to YPTT"/>
    <m/>
    <s v="YPTT"/>
    <e v="#N/A"/>
    <e v="#N/A"/>
    <s v="BORROW OUT_"/>
  </r>
  <r>
    <s v="108"/>
    <m/>
    <x v="0"/>
    <s v="INB-W0012312-159"/>
    <s v="EJ-Malang-01"/>
    <s v="Oka-0813-2707-1646"/>
    <d v="2023-12-27T00:00:00"/>
    <d v="1900-01-14T07:00:00"/>
    <s v="ZTE Warehouse"/>
    <x v="0"/>
    <x v="1"/>
    <s v="ZTE2001"/>
    <s v="Meter"/>
    <n v="3000"/>
    <s v="CLR51-99-038"/>
    <x v="32"/>
    <m/>
    <m/>
    <m/>
    <m/>
    <m/>
    <m/>
    <m/>
    <s v="Diambil Bayu"/>
    <s v="H-ADSS 24C-20231227-01"/>
    <s v="Baturetno RW 03 Singosari"/>
    <e v="#N/A"/>
    <e v="#N/A"/>
    <s v="OUTBOUND_H-ADSS 24C-20231227-01"/>
  </r>
  <r>
    <s v="109"/>
    <m/>
    <x v="0"/>
    <s v="INB-W0012312-159"/>
    <s v="EJ-Malang-01"/>
    <s v="Oka-0813-2707-1646"/>
    <d v="2023-12-27T00:00:00"/>
    <d v="1900-01-14T07:00:00"/>
    <s v="ZTE Warehouse"/>
    <x v="0"/>
    <x v="1"/>
    <s v="ZTE2001"/>
    <s v="Meter"/>
    <n v="3000"/>
    <s v="CLR51-99-038"/>
    <x v="32"/>
    <m/>
    <m/>
    <m/>
    <m/>
    <m/>
    <m/>
    <m/>
    <m/>
    <s v="H-ADSS 24C-20231227-02"/>
    <s v="Baturetno RW 03 Singosari"/>
    <e v="#N/A"/>
    <e v="#N/A"/>
    <s v="OUTBOUND_H-ADSS 24C-20231227-02"/>
  </r>
  <r>
    <s v="110"/>
    <m/>
    <x v="0"/>
    <s v="INB-W0012312-159"/>
    <s v="EJ-Malang-01"/>
    <s v="Oka-0813-2707-1646"/>
    <d v="2023-12-27T00:00:00"/>
    <d v="1900-01-14T07:00:00"/>
    <s v="ZTE Warehouse"/>
    <x v="0"/>
    <x v="1"/>
    <s v="ZTE2001"/>
    <s v="Meter"/>
    <n v="3000"/>
    <s v="CLR51-99-038"/>
    <x v="32"/>
    <m/>
    <m/>
    <m/>
    <m/>
    <m/>
    <m/>
    <m/>
    <m/>
    <s v="H-ADSS 24C-20231227-03"/>
    <s v="Baturetno RW 03 Singosari"/>
    <e v="#N/A"/>
    <e v="#N/A"/>
    <s v="OUTBOUND_H-ADSS 24C-20231227-03"/>
  </r>
  <r>
    <s v="111"/>
    <m/>
    <x v="2"/>
    <s v="TFO-W0012401-163"/>
    <s v="EJ-Malang-01"/>
    <s v="Oka-0813-2707-1646"/>
    <d v="2024-01-03T00:00:00"/>
    <d v="1899-12-30T21:27:00"/>
    <s v="EJ-KEDIRI-01"/>
    <x v="0"/>
    <x v="1"/>
    <s v="ZTE2001"/>
    <s v="Meter"/>
    <n v="3000"/>
    <s v="TRF"/>
    <x v="33"/>
    <m/>
    <m/>
    <m/>
    <s v="nadiyin"/>
    <n v="0"/>
    <n v="0"/>
    <s v="S 9794 JC"/>
    <s v="WH MALANG KE WH JOMBANG"/>
    <s v="H-ADSS 24C-20231227-02"/>
    <s v="Transfer Gudang TO KEDIRI"/>
    <e v="#N/A"/>
    <e v="#N/A"/>
    <s v="TRANSFER OUT_H-ADSS 24C-20231227-02"/>
  </r>
  <r>
    <s v="112"/>
    <m/>
    <x v="2"/>
    <s v="TFO-W0012401-163"/>
    <s v="EJ-Malang-01"/>
    <s v="Oka-0813-2707-1646"/>
    <d v="2024-01-03T00:00:00"/>
    <d v="1899-12-30T21:27:00"/>
    <s v="EJ-KEDIRI-01"/>
    <x v="0"/>
    <x v="1"/>
    <s v="ZTE2001"/>
    <s v="Meter"/>
    <n v="3000"/>
    <s v="TRF"/>
    <x v="33"/>
    <m/>
    <m/>
    <m/>
    <s v="nadiyin"/>
    <n v="0"/>
    <n v="0"/>
    <s v="S 9794 JC"/>
    <s v="WH MALANG KE WH JOMBANG"/>
    <s v="H-ADSS 24C-20231227-03"/>
    <s v="Transfer Gudang TO KEDIRI"/>
    <e v="#N/A"/>
    <e v="#N/A"/>
    <s v="TRANSFER OUT_H-ADSS 24C-20231227-03"/>
  </r>
  <r>
    <s v="113"/>
    <m/>
    <x v="0"/>
    <s v="INB-W0012401-172"/>
    <s v="EJ-Malang-01"/>
    <s v="Oka-0813-2707-1646"/>
    <d v="2024-01-16T00:00:00"/>
    <d v="1900-01-14T07:00:00"/>
    <s v="ZTE Warehouse"/>
    <x v="0"/>
    <x v="1"/>
    <s v="ZTE2001"/>
    <s v="Meter"/>
    <n v="3000"/>
    <s v="CLR29-99-153"/>
    <x v="34"/>
    <s v="DOEID24011540"/>
    <s v="DNWID0342024011501"/>
    <m/>
    <m/>
    <m/>
    <m/>
    <m/>
    <s v="Diambil Bayu"/>
    <s v="H-ADSS 24C-2024116-01"/>
    <s v="Perumahan Pondok Mutiara Malang"/>
    <d v="2024-01-16T00:00:00"/>
    <b v="1"/>
    <s v="OUTBOUND_H-ADSS 24C-2024116-01"/>
  </r>
  <r>
    <s v="114"/>
    <m/>
    <x v="0"/>
    <s v="INB-W0012401-172"/>
    <s v="EJ-Malang-01"/>
    <s v="Oka-0813-2707-1646"/>
    <d v="2024-01-16T00:00:00"/>
    <d v="1900-01-14T07:00:00"/>
    <s v="ZTE Warehouse"/>
    <x v="0"/>
    <x v="1"/>
    <s v="ZTE2001"/>
    <s v="Meter"/>
    <n v="3000"/>
    <s v="CLR29-99-153"/>
    <x v="34"/>
    <s v="DOEID24011540"/>
    <s v="DNWID0342024011501"/>
    <m/>
    <m/>
    <m/>
    <m/>
    <m/>
    <s v="Diambil Bayu"/>
    <s v="H-ADSS 24C-2024116-02"/>
    <s v="Perumahan Pondok Mutiara Malang"/>
    <d v="2024-01-16T00:00:00"/>
    <b v="1"/>
    <s v="OUTBOUND_H-ADSS 24C-2024116-02"/>
  </r>
  <r>
    <s v="115"/>
    <m/>
    <x v="0"/>
    <s v="INB-W0012401-172"/>
    <s v="EJ-Malang-01"/>
    <s v="Oka-0813-2707-1646"/>
    <d v="2024-01-16T00:00:00"/>
    <d v="1900-01-14T07:00:00"/>
    <s v="ZTE Warehouse"/>
    <x v="0"/>
    <x v="2"/>
    <s v="ZTE2003"/>
    <s v="Meter"/>
    <n v="3000"/>
    <s v="CLR29-99-153"/>
    <x v="34"/>
    <s v="DOEID24011540"/>
    <s v="DNWID0342024011501"/>
    <m/>
    <m/>
    <m/>
    <m/>
    <m/>
    <s v="Diambil Bayu"/>
    <s v="H-ADSS 48C-2024116-01"/>
    <s v="Perumahan Pondok Mutiara Malang"/>
    <d v="2024-01-16T00:00:00"/>
    <b v="1"/>
    <s v="OUTBOUND_H-ADSS 48C-2024116-01"/>
  </r>
  <r>
    <s v="116"/>
    <m/>
    <x v="0"/>
    <s v="INB-W0012401-172"/>
    <s v="EJ-Malang-01"/>
    <s v="Oka-0813-2707-1646"/>
    <d v="2024-01-16T00:00:00"/>
    <d v="1900-01-14T07:00:00"/>
    <s v="ZTE Warehouse"/>
    <x v="0"/>
    <x v="2"/>
    <s v="ZTE2003"/>
    <s v="Meter"/>
    <n v="3000"/>
    <s v="CLR51-99-066"/>
    <x v="35"/>
    <s v="DOEID24011542"/>
    <s v="DNWID0342024011502"/>
    <m/>
    <m/>
    <m/>
    <m/>
    <m/>
    <m/>
    <s v="H-ADSS 48C-2024116-02"/>
    <s v="TAMANHARJO RW 04 SINGOSARI"/>
    <d v="2024-01-16T00:00:00"/>
    <b v="1"/>
    <s v="OUTBOUND_H-ADSS 48C-2024116-02"/>
  </r>
  <r>
    <s v="117"/>
    <m/>
    <x v="0"/>
    <s v="INB-W0012401-172"/>
    <s v="EJ-Malang-01"/>
    <s v="Oka-0813-2707-1646"/>
    <d v="2024-01-16T00:00:00"/>
    <d v="1900-01-14T07:00:00"/>
    <s v="ZTE Warehouse"/>
    <x v="0"/>
    <x v="3"/>
    <s v="ZTE2013"/>
    <s v="Meter"/>
    <n v="3000"/>
    <s v="MF51-01"/>
    <x v="36"/>
    <s v="DOEID24011537"/>
    <s v="DNWID0342024011503"/>
    <m/>
    <m/>
    <m/>
    <m/>
    <m/>
    <s v="Diambil Bayu"/>
    <s v="H-ADSS 96C-2024116-01"/>
    <s v="HUBFEEDER BATURETNO RW 02"/>
    <d v="2024-01-16T00:00:00"/>
    <b v="1"/>
    <s v="OUTBOUND_H-ADSS 96C-2024116-01"/>
  </r>
  <r>
    <s v="118"/>
    <m/>
    <x v="0"/>
    <s v="INB-W0012401-172"/>
    <s v="EJ-Malang-01"/>
    <s v="Oka-0813-2707-1646"/>
    <d v="2024-01-16T00:00:00"/>
    <d v="1900-01-14T07:00:00"/>
    <s v="ZTE Warehouse"/>
    <x v="0"/>
    <x v="3"/>
    <s v="ZTE2013"/>
    <s v="Meter"/>
    <n v="3000"/>
    <s v="MF51-01"/>
    <x v="36"/>
    <s v="DOEID24011537"/>
    <s v="DNWID0342024011503"/>
    <m/>
    <m/>
    <m/>
    <m/>
    <m/>
    <m/>
    <s v="H-ADSS 96C-2024116-02"/>
    <s v="HUBFEEDER BATURETNO RW 02"/>
    <d v="2024-01-16T00:00:00"/>
    <b v="1"/>
    <s v="OUTBOUND_H-ADSS 96C-2024116-02"/>
  </r>
  <r>
    <s v="119"/>
    <m/>
    <x v="1"/>
    <s v="OUB-W0012401-184"/>
    <s v="EJ-Malang-01"/>
    <s v="Oka-0813-2707-1646"/>
    <d v="2024-01-19T00:00:00"/>
    <d v="1899-12-30T08:30:00"/>
    <s v="EJ-MALANG-01"/>
    <x v="0"/>
    <x v="2"/>
    <s v="ZTE2003"/>
    <s v="Meter"/>
    <n v="3000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20"/>
    <m/>
    <x v="1"/>
    <s v="OUB-W0012401-186"/>
    <s v="EJ-Malang-01"/>
    <s v="Oka-0813-2707-1646"/>
    <d v="2024-01-19T00:00:00"/>
    <d v="1899-12-30T17:36:00"/>
    <s v="EJ-MALANG-01"/>
    <x v="0"/>
    <x v="3"/>
    <s v="ZTE2013"/>
    <s v="Meter"/>
    <n v="3000"/>
    <s v="MF51-01"/>
    <x v="36"/>
    <m/>
    <m/>
    <m/>
    <s v="Riki Romansyah"/>
    <s v="Febby Supplier"/>
    <s v="3507050501950006"/>
    <s v="N 8420 EL"/>
    <m/>
    <s v="H-ADSS 96C-2024116-01"/>
    <s v="HUBFEEDER BATURETNO RW 02"/>
    <e v="#N/A"/>
    <e v="#N/A"/>
    <s v="OUTBOUND_H-ADSS 96C-2024116-01"/>
  </r>
  <r>
    <s v="121"/>
    <m/>
    <x v="1"/>
    <s v="OUB-W0012401-188"/>
    <s v="EJ-Malang-01"/>
    <s v="Oka-0813-2707-1646"/>
    <d v="2024-01-20T00:00:00"/>
    <d v="1899-12-30T08:18:00"/>
    <s v="EJ-MALANG-01"/>
    <x v="0"/>
    <x v="1"/>
    <s v="ZTE2001"/>
    <s v="Meter"/>
    <n v="3000"/>
    <s v="CLR29-99-153"/>
    <x v="34"/>
    <m/>
    <m/>
    <m/>
    <s v="Agus Suyoto"/>
    <s v="Febby Supplier"/>
    <s v="3515171206680002"/>
    <s v="S 9345 WB"/>
    <s v="+410 dari kabel potongan (leftover)"/>
    <m/>
    <s v="Perumahan Pondok Mutiara Malang"/>
    <e v="#N/A"/>
    <e v="#N/A"/>
    <s v="OUTBOUND_"/>
  </r>
  <r>
    <s v="122"/>
    <m/>
    <x v="1"/>
    <s v="OUB-W0012401-1"/>
    <s v="EJ-Malang-01"/>
    <s v="Oka-0813-2707-1646"/>
    <d v="2024-01-20T00:00:00"/>
    <d v="1899-12-30T19:00:00"/>
    <s v="FIELD TEAM"/>
    <x v="1"/>
    <x v="1"/>
    <s v="ZTE2001"/>
    <s v="Meter"/>
    <n v="418"/>
    <s v="CLR29-99-153"/>
    <x v="34"/>
    <m/>
    <m/>
    <m/>
    <m/>
    <m/>
    <m/>
    <m/>
    <m/>
    <s v="A-033-418m"/>
    <s v="Perumahan Pondok Mutiara Malang"/>
    <e v="#N/A"/>
    <e v="#N/A"/>
    <s v="OUTBOUND_A-033-418m"/>
  </r>
  <r>
    <s v="123"/>
    <m/>
    <x v="1"/>
    <s v="OUB-W0012401-190"/>
    <s v="EJ-Malang-01"/>
    <s v="Oka-0813-2707-1646"/>
    <d v="2024-01-21T00:00:00"/>
    <d v="1899-12-30T08:34:00"/>
    <s v="EJ-MALANG-01"/>
    <x v="0"/>
    <x v="1"/>
    <s v="ZTE2001"/>
    <s v="Meter"/>
    <n v="3000"/>
    <s v="CLR29-99-153"/>
    <x v="34"/>
    <m/>
    <m/>
    <m/>
    <s v="Agus Suyoto"/>
    <s v="Febby Supplier"/>
    <s v="3515171206680002"/>
    <s v="S 9345 WB"/>
    <s v="1000+1363"/>
    <m/>
    <s v="Perumahan Pondok Mutiara Malang"/>
    <e v="#N/A"/>
    <e v="#N/A"/>
    <s v="OUTBOUND_"/>
  </r>
  <r>
    <s v="124"/>
    <m/>
    <x v="1"/>
    <s v="OUB-W0012401-189"/>
    <s v="EJ-Malang-01"/>
    <s v="Oka-0813-2707-1646"/>
    <d v="2024-01-21T00:00:00"/>
    <d v="1899-12-30T08:34:00"/>
    <s v="EJ-MALANG-01"/>
    <x v="0"/>
    <x v="2"/>
    <s v="ZTE2003"/>
    <s v="Meter"/>
    <n v="3000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25"/>
    <m/>
    <x v="0"/>
    <s v="INB-W0012401-45"/>
    <s v="EJ-Malang-01"/>
    <s v="Oka-0813-2707-1646"/>
    <d v="2024-01-22T00:00:00"/>
    <d v="1899-12-30T09:13:00"/>
    <s v="FIELD TEAM"/>
    <x v="1"/>
    <x v="3"/>
    <s v="ZTE2013"/>
    <s v="Meter"/>
    <n v="1750"/>
    <s v="MF51-01"/>
    <x v="36"/>
    <m/>
    <m/>
    <m/>
    <s v="Riki Romansyah"/>
    <s v="Febby Supplier"/>
    <s v="3507050501950006"/>
    <s v="N 8420 EL"/>
    <s v="0-1750"/>
    <s v="H-ADSS 96C-2024116-02"/>
    <s v="0-1750"/>
    <e v="#N/A"/>
    <e v="#N/A"/>
    <s v="OUTBOUND_H-ADSS 96C-2024116-02"/>
  </r>
  <r>
    <s v="126"/>
    <m/>
    <x v="1"/>
    <s v="OUB-W0012401-191"/>
    <s v="EJ-Malang-01"/>
    <s v="Oka-0813-2707-1646"/>
    <d v="2024-01-22T00:00:00"/>
    <d v="1899-12-30T09:13:00"/>
    <s v="EJ-MALANG-01"/>
    <x v="0"/>
    <x v="3"/>
    <s v="ZTE2013"/>
    <s v="Meter"/>
    <n v="3000"/>
    <s v="MF51-01"/>
    <x v="36"/>
    <m/>
    <m/>
    <m/>
    <s v="Riki Romansyah"/>
    <s v="Febby Supplier"/>
    <s v="3507050501950006"/>
    <s v="N 8420 EL"/>
    <s v="USE 1250"/>
    <s v="H-ADSS 96C-2024116-02"/>
    <s v="HUBFEEDER BATURETNO RW 02"/>
    <e v="#N/A"/>
    <e v="#N/A"/>
    <s v="OUTBOUND_H-ADSS 96C-2024116-02"/>
  </r>
  <r>
    <s v="127"/>
    <m/>
    <x v="3"/>
    <s v="TFI-W0012401-001"/>
    <s v="EJ-Malang-01"/>
    <s v="Oka-0813-2707-1646"/>
    <d v="2024-01-23T00:00:00"/>
    <d v="1899-12-30T06:00:00"/>
    <s v="FIELD TEAM"/>
    <x v="1"/>
    <x v="2"/>
    <s v="ZTE2003"/>
    <s v="Meter"/>
    <n v="2554"/>
    <m/>
    <x v="3"/>
    <m/>
    <m/>
    <m/>
    <m/>
    <m/>
    <m/>
    <m/>
    <m/>
    <s v="H-ADSS 48C-2024123-01"/>
    <n v="0"/>
    <e v="#N/A"/>
    <e v="#N/A"/>
    <s v="OUTBOUND_H-ADSS 48C-2024123-01"/>
  </r>
  <r>
    <s v="128"/>
    <m/>
    <x v="1"/>
    <s v="OUB-W0012401-208"/>
    <s v="EJ-Malang-01"/>
    <s v="Oka-0813-2707-1646"/>
    <d v="2024-01-26T00:00:00"/>
    <d v="1899-12-30T09:49:00"/>
    <s v="EJ-MALANG-01"/>
    <x v="0"/>
    <x v="1"/>
    <s v="ZTE2001"/>
    <s v="Meter"/>
    <n v="3000"/>
    <s v="CLR51-01-005"/>
    <x v="37"/>
    <m/>
    <m/>
    <m/>
    <s v="Riki Romansyah"/>
    <s v="Febby Supplier"/>
    <s v="3507050501950006"/>
    <s v="N 8420 EL"/>
    <s v="1265+735"/>
    <m/>
    <s v="Baturetno RW 02 Singosari "/>
    <e v="#N/A"/>
    <e v="#N/A"/>
    <s v="OUTBOUND_"/>
  </r>
  <r>
    <s v="129"/>
    <m/>
    <x v="0"/>
    <s v="INB-W0012402-224"/>
    <s v="EJ-Malang-01"/>
    <s v="Oka-0813-2707-1646"/>
    <d v="2024-02-15T00:00:00"/>
    <d v="1900-01-14T07:00:00"/>
    <s v="ZTE Warehouse"/>
    <x v="0"/>
    <x v="1"/>
    <s v="ZTE2001"/>
    <s v="Meter"/>
    <n v="3000"/>
    <s v="CLR51-99-078"/>
    <x v="1"/>
    <s v="DOEID24021521"/>
    <s v="DNWID0342024021507"/>
    <m/>
    <m/>
    <m/>
    <m/>
    <m/>
    <m/>
    <s v="H-ADSS 24C-2024215-01"/>
    <s v="Bumiayu RW 03 Kedungkandang"/>
    <d v="2024-02-15T00:00:00"/>
    <b v="1"/>
    <s v="OUTBOUND_H-ADSS 24C-2024215-01"/>
  </r>
  <r>
    <s v="130"/>
    <m/>
    <x v="0"/>
    <s v="INB-W0012402-224"/>
    <s v="EJ-Malang-01"/>
    <s v="Oka-0813-2707-1646"/>
    <d v="2024-02-15T00:00:00"/>
    <d v="1900-01-14T07:00:00"/>
    <s v="ZTE Warehouse"/>
    <x v="0"/>
    <x v="2"/>
    <s v="ZTE2003"/>
    <s v="Meter"/>
    <n v="3000"/>
    <s v="CLR51-99-078"/>
    <x v="1"/>
    <s v="DOEID24021521"/>
    <s v="DNWID0342024021507"/>
    <m/>
    <m/>
    <m/>
    <m/>
    <m/>
    <m/>
    <s v="H-ADSS 48C-2024215-01"/>
    <s v="Bumiayu RW 03 Kedungkandang"/>
    <d v="2024-02-15T00:00:00"/>
    <b v="1"/>
    <s v="OUTBOUND_H-ADSS 48C-2024215-01"/>
  </r>
  <r>
    <s v="131"/>
    <m/>
    <x v="0"/>
    <s v="INB-W0012402-224"/>
    <s v="EJ-Malang-01"/>
    <s v="Oka-0813-2707-1646"/>
    <d v="2024-02-15T00:00:00"/>
    <d v="1900-01-14T07:00:00"/>
    <s v="ZTE Warehouse"/>
    <x v="0"/>
    <x v="2"/>
    <s v="ZTE2003"/>
    <s v="Meter"/>
    <n v="3000"/>
    <s v="CLR51-99-078"/>
    <x v="1"/>
    <s v="DOEID24021521"/>
    <s v="DNWID0342024021507"/>
    <m/>
    <m/>
    <m/>
    <m/>
    <m/>
    <m/>
    <s v="H-ADSS 48C-2024215-02"/>
    <s v="Bumiayu RW 03 Kedungkandang"/>
    <d v="2024-02-15T00:00:00"/>
    <b v="1"/>
    <s v="OUTBOUND_H-ADSS 48C-2024215-02"/>
  </r>
  <r>
    <s v="132"/>
    <m/>
    <x v="1"/>
    <s v="OUB-W0012402-228"/>
    <s v="EJ-Malang-01"/>
    <s v="Oka-0813-2707-1646"/>
    <d v="2024-02-16T00:00:00"/>
    <d v="1899-12-30T13:01:00"/>
    <s v="EJ-MALANG-01"/>
    <x v="0"/>
    <x v="1"/>
    <s v="ZTE2001"/>
    <s v="Meter"/>
    <n v="3000"/>
    <s v="CLR51-99-067"/>
    <x v="0"/>
    <m/>
    <m/>
    <m/>
    <s v="Riki Romansyah"/>
    <s v="Febby Supplier"/>
    <s v="3507050501950006"/>
    <s v="N 8420 EL"/>
    <m/>
    <m/>
    <s v="Bandulan RW 08 Sukun"/>
    <e v="#N/A"/>
    <e v="#N/A"/>
    <s v="OUTBOUND_"/>
  </r>
  <r>
    <s v="133"/>
    <m/>
    <x v="0"/>
    <s v="INB-W0012402-58"/>
    <s v="EJ-Malang-01"/>
    <s v="Oka-0813-2707-1646"/>
    <d v="2024-02-22T00:00:00"/>
    <d v="1899-12-30T19:00:00"/>
    <s v="FIELD TEAM"/>
    <x v="1"/>
    <x v="1"/>
    <s v="ZTE2001"/>
    <s v="Meter"/>
    <n v="300"/>
    <m/>
    <x v="3"/>
    <m/>
    <m/>
    <m/>
    <m/>
    <m/>
    <m/>
    <m/>
    <s v="- 610 Sisa 300"/>
    <s v="A-052-300m"/>
    <s v="0-300"/>
    <e v="#N/A"/>
    <e v="#N/A"/>
    <s v="OUTBOUND_A-052-300m"/>
  </r>
  <r>
    <s v="134"/>
    <m/>
    <x v="1"/>
    <s v="OUB-W0012402-241"/>
    <s v="EJ-Malang-01"/>
    <s v="Oka-0813-2707-1646"/>
    <d v="2024-02-22T00:00:00"/>
    <d v="1899-12-30T15:15:00"/>
    <s v="EJ-MALANG-01"/>
    <x v="0"/>
    <x v="2"/>
    <s v="ZTE2003"/>
    <s v="Meter"/>
    <n v="3000"/>
    <s v="CLR51-99-066"/>
    <x v="35"/>
    <m/>
    <m/>
    <m/>
    <s v="Riki Romansyah"/>
    <s v="Febby Supplier"/>
    <s v="3507050501950006"/>
    <s v="N 8420 EL"/>
    <s v="uses 1670, 1330 left over"/>
    <m/>
    <s v="TAMANHARJO RW 04 SINGOSARI"/>
    <e v="#N/A"/>
    <e v="#N/A"/>
    <s v="OUTBOUND_"/>
  </r>
  <r>
    <s v="135"/>
    <m/>
    <x v="4"/>
    <s v="BOI-W0012402-243"/>
    <s v="EJ-Malang-01"/>
    <s v="Oka-0813-2707-1646"/>
    <d v="2024-02-23T00:00:00"/>
    <d v="1900-01-14T07:00:00"/>
    <s v="Other Subcon"/>
    <x v="0"/>
    <x v="2"/>
    <s v="ZTE2003"/>
    <s v="Meter"/>
    <n v="3000"/>
    <s v="BR005"/>
    <x v="38"/>
    <s v="Pinjem MORASA"/>
    <n v="0"/>
    <m/>
    <m/>
    <m/>
    <m/>
    <m/>
    <s v="Borrow From Morasa"/>
    <s v="H-ADSS 48C-2024223-01"/>
    <s v="MORASHA"/>
    <e v="#N/A"/>
    <e v="#N/A"/>
    <s v="OUTBOUND_H-ADSS 48C-2024223-01"/>
  </r>
  <r>
    <s v="136"/>
    <m/>
    <x v="4"/>
    <s v="BOI-W0012402-243"/>
    <s v="EJ-Malang-01"/>
    <s v="Oka-0813-2707-1646"/>
    <d v="2024-02-23T00:00:00"/>
    <d v="1900-01-14T07:00:00"/>
    <s v="Other Subcon"/>
    <x v="0"/>
    <x v="2"/>
    <s v="ZTE2003"/>
    <s v="Meter"/>
    <n v="3000"/>
    <s v="BR005"/>
    <x v="38"/>
    <s v="Pinjem MORASA"/>
    <n v="0"/>
    <m/>
    <m/>
    <m/>
    <m/>
    <m/>
    <m/>
    <s v="H-ADSS 48C-2024223-02"/>
    <s v="MORASHA"/>
    <e v="#N/A"/>
    <e v="#N/A"/>
    <s v="OUTBOUND_H-ADSS 48C-2024223-02"/>
  </r>
  <r>
    <s v="137"/>
    <m/>
    <x v="1"/>
    <s v="OUB-W0012402-245"/>
    <s v="EJ-Malang-01"/>
    <s v="Oka-0813-2707-1646"/>
    <d v="2024-02-23T00:00:00"/>
    <d v="1899-12-30T18:47:00"/>
    <s v="EJ-MALANG-01"/>
    <x v="0"/>
    <x v="2"/>
    <s v="ZTE2003"/>
    <s v="Meter"/>
    <n v="3000"/>
    <s v="CLR51-99-078"/>
    <x v="1"/>
    <m/>
    <m/>
    <m/>
    <s v="Dimas"/>
    <s v="Febby Supplier"/>
    <s v="3573032509800005"/>
    <s v="N 9454 BA"/>
    <s v="use 2075, 925 leftover"/>
    <m/>
    <s v="Bumiayu RW 03 Kedungkandang"/>
    <e v="#N/A"/>
    <e v="#N/A"/>
    <s v="OUTBOUND_"/>
  </r>
  <r>
    <s v="138"/>
    <m/>
    <x v="1"/>
    <s v="OUB-W0012402-247"/>
    <s v="EJ-Malang-01"/>
    <s v="Oka-0813-2707-1646"/>
    <d v="2024-02-23T00:00:00"/>
    <d v="1899-12-30T20:47:00"/>
    <s v="EJ-MALANG-01"/>
    <x v="0"/>
    <x v="2"/>
    <s v="ZTE2003"/>
    <s v="Meter"/>
    <n v="3000"/>
    <s v="CLR51-99-078"/>
    <x v="1"/>
    <m/>
    <m/>
    <m/>
    <s v="Dimas"/>
    <s v="Febby Supplier"/>
    <s v="3573032509800005"/>
    <s v="N 9454 BA"/>
    <s v="drmorasa"/>
    <m/>
    <s v="Bumiayu RW 03 Kedungkandang"/>
    <e v="#N/A"/>
    <e v="#N/A"/>
    <s v="OUTBOUND_"/>
  </r>
  <r>
    <s v="139"/>
    <m/>
    <x v="1"/>
    <s v="OUB-W0012402-247"/>
    <s v="EJ-Malang-01"/>
    <s v="Oka-0813-2707-1646"/>
    <d v="2024-02-23T00:00:00"/>
    <d v="1899-12-30T20:47:00"/>
    <s v="EJ-MALANG-01"/>
    <x v="0"/>
    <x v="2"/>
    <s v="ZTE2003"/>
    <s v="Meter"/>
    <n v="3000"/>
    <s v="CLR51-99-078"/>
    <x v="1"/>
    <m/>
    <m/>
    <m/>
    <s v="Dimas"/>
    <s v="Febby Supplier"/>
    <s v="3573032509800005"/>
    <s v="N 9454 BA"/>
    <s v="drmorasa"/>
    <m/>
    <s v="Bumiayu RW 03 Kedungkandang"/>
    <e v="#N/A"/>
    <e v="#N/A"/>
    <s v="OUTBOUND_"/>
  </r>
  <r>
    <s v="140"/>
    <m/>
    <x v="0"/>
    <s v="INB-W0012402-61"/>
    <s v="EJ-Malang-01"/>
    <s v="Oka-0813-2707-1646"/>
    <d v="2024-02-23T00:00:00"/>
    <d v="1899-12-30T19:00:00"/>
    <s v="FIELD TEAM"/>
    <x v="1"/>
    <x v="2"/>
    <s v="ZTE2003"/>
    <s v="Meter"/>
    <n v="1000"/>
    <s v="CLR51-99-078"/>
    <x v="1"/>
    <m/>
    <m/>
    <m/>
    <m/>
    <m/>
    <m/>
    <m/>
    <s v="0-1000"/>
    <s v="B-001-1000m"/>
    <s v="0-1000"/>
    <e v="#N/A"/>
    <e v="#N/A"/>
    <s v="OUTBOUND_B-001-1000m"/>
  </r>
  <r>
    <s v="141"/>
    <m/>
    <x v="0"/>
    <s v="INB-W0012402-257"/>
    <s v="EJ-Malang-01"/>
    <s v="Oka-0813-2707-1646"/>
    <d v="2024-02-29T00:00:00"/>
    <d v="1900-01-14T07:00:00"/>
    <s v="ZTE Warehouse"/>
    <x v="0"/>
    <x v="2"/>
    <s v="ZTE2003"/>
    <s v="Meter"/>
    <n v="3000"/>
    <s v="CLR51-99-078"/>
    <x v="1"/>
    <s v="DOEID24021521"/>
    <s v="DNWID0342024021507"/>
    <m/>
    <m/>
    <m/>
    <m/>
    <m/>
    <m/>
    <s v="H-ADSS 48C-2024229-01"/>
    <s v="Bumiayu RW 03 Kedungkandang"/>
    <d v="2024-02-15T00:00:00"/>
    <b v="0"/>
    <s v="OUTBOUND_H-ADSS 48C-2024229-01"/>
  </r>
  <r>
    <s v="142"/>
    <m/>
    <x v="0"/>
    <s v="INB-W0012402-257"/>
    <s v="EJ-Malang-01"/>
    <s v="Oka-0813-2707-1646"/>
    <d v="2024-02-29T00:00:00"/>
    <d v="1900-01-14T07:00:00"/>
    <s v="ZTE Warehouse"/>
    <x v="0"/>
    <x v="2"/>
    <s v="ZTE2003"/>
    <s v="Meter"/>
    <n v="3000"/>
    <s v="CLR51-99-079"/>
    <x v="2"/>
    <s v="DOEID240226C9"/>
    <s v="DNWID0342024022616"/>
    <m/>
    <m/>
    <m/>
    <m/>
    <m/>
    <m/>
    <s v="H-ADSS 48C-2024229-02"/>
    <s v="Bumiayu RW 05 Kedungkandang"/>
    <d v="2024-02-29T00:00:00"/>
    <b v="1"/>
    <s v="OUTBOUND_H-ADSS 48C-2024229-02"/>
  </r>
  <r>
    <s v="143"/>
    <m/>
    <x v="0"/>
    <s v="INB-W0012403-260"/>
    <s v="EJ-Malang-01"/>
    <s v="Oka-0813-2707-1646"/>
    <d v="2024-03-01T00:00:00"/>
    <d v="1900-01-14T07:00:00"/>
    <s v="ZTE Warehouse"/>
    <x v="0"/>
    <x v="1"/>
    <s v="ZTE2001"/>
    <s v="Meter"/>
    <n v="3000"/>
    <s v="CLR51-99-075"/>
    <x v="8"/>
    <s v="DOEID240322BC"/>
    <s v="DNWID0342024032220"/>
    <m/>
    <m/>
    <m/>
    <m/>
    <m/>
    <m/>
    <s v="H-ADSS 24C-202431-01"/>
    <s v="Dalisodo RW 03 Wagir"/>
    <d v="2024-03-23T00:00:00"/>
    <b v="0"/>
    <s v="OUTBOUND_H-ADSS 24C-202431-01"/>
  </r>
  <r>
    <s v="144"/>
    <m/>
    <x v="0"/>
    <s v="INB-W0012403-260"/>
    <s v="EJ-Malang-01"/>
    <s v="Oka-0813-2707-1646"/>
    <d v="2024-03-01T00:00:00"/>
    <d v="1900-01-14T07:00:00"/>
    <s v="ZTE Warehouse"/>
    <x v="0"/>
    <x v="1"/>
    <s v="ZTE2001"/>
    <s v="Meter"/>
    <n v="3000"/>
    <s v="CLR51-99-075"/>
    <x v="8"/>
    <s v="DOEID240322BC"/>
    <s v="DNWID0342024032220"/>
    <m/>
    <m/>
    <m/>
    <m/>
    <m/>
    <m/>
    <s v="H-ADSS 24C-202431-02"/>
    <s v="Dalisodo RW 03 Wagir"/>
    <d v="2024-03-23T00:00:00"/>
    <b v="0"/>
    <s v="OUTBOUND_H-ADSS 24C-202431-02"/>
  </r>
  <r>
    <s v="145"/>
    <m/>
    <x v="1"/>
    <s v="OUB-W0012403-261"/>
    <s v="EJ-Malang-01"/>
    <s v="Oka-0813-2707-1646"/>
    <d v="2024-03-01T00:00:00"/>
    <d v="1899-12-30T09:23:00"/>
    <s v="EJ-MALANG-01"/>
    <x v="0"/>
    <x v="2"/>
    <s v="ZTE2003"/>
    <s v="Meter"/>
    <n v="3000"/>
    <s v="CLR51-99-079"/>
    <x v="2"/>
    <m/>
    <m/>
    <m/>
    <s v="Riki Romansyah"/>
    <s v="Febby Supplier"/>
    <s v="3507050501950006"/>
    <s v="N 9454 BA"/>
    <s v="use 2480 , 520 leftover"/>
    <m/>
    <s v="Bumiayu RW 05 Kedungkandang"/>
    <e v="#N/A"/>
    <e v="#N/A"/>
    <s v="OUTBOUND_"/>
  </r>
  <r>
    <s v="146"/>
    <m/>
    <x v="3"/>
    <s v="TFI-W0012403-260"/>
    <s v="EJ-Malang-01"/>
    <s v="Oka-0813-2707-1646"/>
    <d v="2024-03-01T00:00:00"/>
    <d v="1900-01-14T07:00:00"/>
    <s v="ZTE Warehouse"/>
    <x v="0"/>
    <x v="2"/>
    <s v="ZTE2003"/>
    <s v="Meter"/>
    <n v="3000"/>
    <s v="TRF"/>
    <x v="5"/>
    <n v="0"/>
    <s v="TRANSFER GUDANG"/>
    <m/>
    <m/>
    <m/>
    <m/>
    <m/>
    <m/>
    <s v="H-ADSS 48C-202431-01"/>
    <n v="0"/>
    <e v="#N/A"/>
    <e v="#N/A"/>
    <s v="OUTBOUND_H-ADSS 48C-202431-01"/>
  </r>
  <r>
    <s v="147"/>
    <m/>
    <x v="3"/>
    <s v="TFI-W0012403-260"/>
    <s v="EJ-Malang-01"/>
    <s v="Oka-0813-2707-1646"/>
    <d v="2024-03-01T00:00:00"/>
    <d v="1900-01-14T07:00:00"/>
    <s v="ZTE Warehouse"/>
    <x v="0"/>
    <x v="2"/>
    <s v="ZTE2003"/>
    <s v="Meter"/>
    <n v="3000"/>
    <s v="TRF"/>
    <x v="5"/>
    <n v="0"/>
    <s v="TRANSFER GUDANG"/>
    <m/>
    <m/>
    <m/>
    <m/>
    <m/>
    <m/>
    <s v="H-ADSS 48C-202431-02"/>
    <n v="0"/>
    <e v="#N/A"/>
    <e v="#N/A"/>
    <s v="OUTBOUND_H-ADSS 48C-202431-02"/>
  </r>
  <r>
    <s v="148"/>
    <m/>
    <x v="3"/>
    <s v="TFI-W0012403-260"/>
    <s v="EJ-Malang-01"/>
    <s v="Oka-0813-2707-1646"/>
    <d v="2024-03-01T00:00:00"/>
    <d v="1900-01-14T07:00:00"/>
    <s v="ZTE Warehouse"/>
    <x v="0"/>
    <x v="2"/>
    <s v="ZTE2003"/>
    <s v="Meter"/>
    <n v="3000"/>
    <s v="TRF"/>
    <x v="5"/>
    <n v="0"/>
    <s v="TRANSFER GUDANG"/>
    <m/>
    <m/>
    <m/>
    <m/>
    <m/>
    <m/>
    <s v="H-ADSS 48C-202431-03"/>
    <n v="0"/>
    <e v="#N/A"/>
    <e v="#N/A"/>
    <s v="OUTBOUND_H-ADSS 48C-202431-03"/>
  </r>
  <r>
    <s v="149"/>
    <m/>
    <x v="2"/>
    <s v="TFO-W0012403-273"/>
    <s v="EJ-Malang-01"/>
    <s v="Oka-0813-2707-1646"/>
    <d v="2024-03-07T00:00:00"/>
    <d v="1899-12-30T21:01:00"/>
    <s v="EJ-GRESIK-01"/>
    <x v="0"/>
    <x v="1"/>
    <s v="ZTE2001"/>
    <s v="Meter"/>
    <n v="3000"/>
    <s v="TRF"/>
    <x v="39"/>
    <m/>
    <m/>
    <m/>
    <s v="Jamil"/>
    <n v="0"/>
    <n v="0"/>
    <n v="0"/>
    <s v="WH MALANg ke Wh Gresik"/>
    <s v="H-ADSS 24C-202431-01"/>
    <s v="Transfer Gudang TO GRESIK"/>
    <e v="#N/A"/>
    <e v="#N/A"/>
    <s v="TRANSFER OUT_H-ADSS 24C-202431-01"/>
  </r>
  <r>
    <s v="150"/>
    <m/>
    <x v="2"/>
    <s v="TFO-W0012403-273"/>
    <s v="EJ-Malang-01"/>
    <s v="Oka-0813-2707-1646"/>
    <d v="2024-03-07T00:00:00"/>
    <d v="1899-12-30T21:01:00"/>
    <s v="EJ-GRESIK-01"/>
    <x v="0"/>
    <x v="1"/>
    <s v="ZTE2001"/>
    <s v="Meter"/>
    <n v="3000"/>
    <s v="TRF"/>
    <x v="39"/>
    <m/>
    <m/>
    <m/>
    <s v="Jamil"/>
    <n v="0"/>
    <n v="0"/>
    <n v="0"/>
    <s v="WH MALANg ke Wh Gresik"/>
    <s v="H-ADSS 24C-202431-02"/>
    <s v="Transfer Gudang TO GRESIK"/>
    <e v="#N/A"/>
    <e v="#N/A"/>
    <s v="TRANSFER OUT_H-ADSS 24C-202431-02"/>
  </r>
  <r>
    <s v="151"/>
    <m/>
    <x v="1"/>
    <s v="OUB-W0012403-277"/>
    <s v="EJ-Malang-01"/>
    <s v="Oka-0813-2707-1646"/>
    <d v="2024-03-15T00:00:00"/>
    <d v="1899-12-30T17:12:00"/>
    <s v="EJ-MALANG-01"/>
    <x v="0"/>
    <x v="2"/>
    <s v="ZTE2003"/>
    <s v="Meter"/>
    <n v="3000"/>
    <s v="CLR51-99-073"/>
    <x v="40"/>
    <m/>
    <m/>
    <m/>
    <s v="Riki Romansyah"/>
    <s v="Febby Supplier"/>
    <s v="3507050501950006"/>
    <s v="N 8420 EL"/>
    <n v="320"/>
    <m/>
    <s v="Dalisodo RW 01 Wagir"/>
    <e v="#N/A"/>
    <e v="#N/A"/>
    <s v="OUTBOUND_"/>
  </r>
  <r>
    <s v="152"/>
    <m/>
    <x v="0"/>
    <s v="INB-W0012403-279"/>
    <s v="EJ-Malang-01"/>
    <s v="Oka-0813-2707-1646"/>
    <d v="2024-03-19T00:00:00"/>
    <d v="1900-01-14T07:00:00"/>
    <s v="ZTE Warehouse"/>
    <x v="0"/>
    <x v="1"/>
    <s v="ZTE2001"/>
    <s v="Meter"/>
    <n v="3000"/>
    <s v="CLR51-99-040"/>
    <x v="41"/>
    <s v="DOEID24031923"/>
    <s v="DNWID0342024031908"/>
    <m/>
    <m/>
    <m/>
    <m/>
    <m/>
    <m/>
    <s v="H-ADSS 24C-2024319-01"/>
    <s v="Tunjungtirto RW 08 Singosari"/>
    <d v="2024-03-19T00:00:00"/>
    <b v="1"/>
    <s v="OUTBOUND_H-ADSS 24C-2024319-01"/>
  </r>
  <r>
    <s v="153"/>
    <m/>
    <x v="3"/>
    <s v="TFI-W0012403-279"/>
    <s v="EJ-Malang-01"/>
    <s v="Oka-0813-2707-1646"/>
    <d v="2024-03-19T00:00:00"/>
    <d v="1900-01-14T07:00:00"/>
    <s v="ZTE Warehouse"/>
    <x v="0"/>
    <x v="2"/>
    <s v="ZTE2003"/>
    <s v="Meter"/>
    <n v="3000"/>
    <s v="TRF"/>
    <x v="5"/>
    <n v="0"/>
    <s v="TRANSFER GUDANG"/>
    <m/>
    <m/>
    <m/>
    <m/>
    <m/>
    <m/>
    <s v="H-ADSS 48C-2024319-01"/>
    <n v="0"/>
    <e v="#N/A"/>
    <e v="#N/A"/>
    <s v="OUTBOUND_H-ADSS 48C-2024319-01"/>
  </r>
  <r>
    <s v="154"/>
    <m/>
    <x v="2"/>
    <s v="TFO-W0012403-282"/>
    <s v="EJ-Malang-01"/>
    <s v="Oka-0813-2707-1646"/>
    <d v="2024-03-21T00:00:00"/>
    <d v="1899-12-30T21:01:00"/>
    <s v="EJ-MALANG-01"/>
    <x v="0"/>
    <x v="2"/>
    <s v="ZTE2003"/>
    <s v="Meter"/>
    <n v="3000"/>
    <n v="0"/>
    <x v="4"/>
    <m/>
    <m/>
    <m/>
    <s v="Jamil"/>
    <n v="0"/>
    <n v="0"/>
    <n v="0"/>
    <m/>
    <m/>
    <s v="Transfer Gudang"/>
    <e v="#N/A"/>
    <e v="#N/A"/>
    <s v="TRANSFER OUT_"/>
  </r>
  <r>
    <s v="155"/>
    <m/>
    <x v="2"/>
    <s v="TFO-W0012403-282"/>
    <s v="EJ-Malang-01"/>
    <s v="Oka-0813-2707-1646"/>
    <d v="2024-03-21T00:00:00"/>
    <d v="1899-12-30T21:01:00"/>
    <s v="EJ-MALANG-01"/>
    <x v="0"/>
    <x v="2"/>
    <s v="ZTE2003"/>
    <s v="Meter"/>
    <n v="3000"/>
    <n v="0"/>
    <x v="4"/>
    <m/>
    <m/>
    <m/>
    <s v="Jamil"/>
    <n v="0"/>
    <n v="0"/>
    <n v="0"/>
    <m/>
    <m/>
    <s v="Transfer Gudang"/>
    <e v="#N/A"/>
    <e v="#N/A"/>
    <s v="TRANSFER OUT_"/>
  </r>
  <r>
    <s v="156"/>
    <m/>
    <x v="0"/>
    <s v="INB-W0012403-284"/>
    <s v="EJ-Malang-01"/>
    <s v="Oka-0813-2707-1646"/>
    <d v="2024-03-23T00:00:00"/>
    <d v="1900-01-14T07:00:00"/>
    <s v="ZTE Warehouse"/>
    <x v="0"/>
    <x v="1"/>
    <s v="ZTE2001"/>
    <s v="Meter"/>
    <n v="3000"/>
    <s v="CLR51-99-075"/>
    <x v="8"/>
    <s v="DOEID240322BC"/>
    <s v="DNWID0342024032220"/>
    <m/>
    <m/>
    <m/>
    <m/>
    <m/>
    <m/>
    <s v="H-ADSS 24C-2024323-01"/>
    <s v="Dalisodo RW 03 Wagir"/>
    <d v="2024-03-23T00:00:00"/>
    <b v="1"/>
    <s v="OUTBOUND_H-ADSS 24C-2024323-01"/>
  </r>
  <r>
    <s v="157"/>
    <m/>
    <x v="0"/>
    <s v="INB-W0012403-284"/>
    <s v="EJ-Malang-01"/>
    <s v="Oka-0813-2707-1646"/>
    <d v="2024-03-23T00:00:00"/>
    <d v="1900-01-14T07:00:00"/>
    <s v="ZTE Warehouse"/>
    <x v="0"/>
    <x v="1"/>
    <s v="ZTE2001"/>
    <s v="Meter"/>
    <n v="3000"/>
    <s v="CLR51-99-077"/>
    <x v="42"/>
    <s v="DOEID240322BD"/>
    <s v="DNWID0342024032219"/>
    <m/>
    <m/>
    <m/>
    <m/>
    <m/>
    <m/>
    <s v="H-ADSS 24C-2024323-02"/>
    <s v="Dalisodo RW 05 Wagir"/>
    <d v="2024-03-23T00:00:00"/>
    <b v="1"/>
    <s v="OUTBOUND_H-ADSS 24C-2024323-02"/>
  </r>
  <r>
    <s v="158"/>
    <m/>
    <x v="1"/>
    <s v="OUB-W0012403-286"/>
    <s v="EJ-Malang-01"/>
    <s v="Oka-0813-2707-1646"/>
    <d v="2024-03-23T00:00:00"/>
    <d v="1899-12-30T18:24:00"/>
    <s v="EJ-MALANG-01"/>
    <x v="0"/>
    <x v="1"/>
    <s v="ZTE2001"/>
    <s v="Meter"/>
    <n v="3000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159"/>
    <m/>
    <x v="1"/>
    <s v="OUB-W0012403-286"/>
    <s v="EJ-Malang-01"/>
    <s v="Oka-0813-2707-1646"/>
    <d v="2024-03-23T00:00:00"/>
    <d v="1899-12-30T18:24:00"/>
    <s v="EJ-MALANG-01"/>
    <x v="0"/>
    <x v="1"/>
    <s v="ZTE2001"/>
    <s v="Meter"/>
    <n v="3000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160"/>
    <m/>
    <x v="3"/>
    <s v="TFI-W0012403-009"/>
    <s v="EJ-Malang-01"/>
    <s v="Oka-0813-2707-1646"/>
    <d v="2024-03-30T00:00:00"/>
    <d v="1899-12-30T06:00:00"/>
    <s v="FIELD TEAM"/>
    <x v="1"/>
    <x v="1"/>
    <s v="ZTE2001"/>
    <s v="Meter"/>
    <n v="1879"/>
    <m/>
    <x v="3"/>
    <m/>
    <m/>
    <m/>
    <m/>
    <m/>
    <m/>
    <m/>
    <m/>
    <s v="H-ADSS 24C-2024330-01"/>
    <n v="0"/>
    <e v="#N/A"/>
    <e v="#N/A"/>
    <s v="OUTBOUND_H-ADSS 24C-2024330-01"/>
  </r>
  <r>
    <s v="161"/>
    <m/>
    <x v="3"/>
    <s v="TFI-W0012404-299"/>
    <s v="EJ-Malang-01"/>
    <s v="Oka-0813-2707-1646"/>
    <d v="2024-04-03T00:00:00"/>
    <d v="1900-01-14T07:00:00"/>
    <s v="ZTE Warehouse"/>
    <x v="0"/>
    <x v="4"/>
    <s v="ZTE2004"/>
    <s v="Meter"/>
    <n v="3000"/>
    <s v="TRF"/>
    <x v="5"/>
    <n v="0"/>
    <s v="TRANSFER GUDANG"/>
    <m/>
    <m/>
    <m/>
    <m/>
    <m/>
    <m/>
    <s v="H-ADSS 144C-202443-01"/>
    <n v="0"/>
    <e v="#N/A"/>
    <e v="#N/A"/>
    <s v="OUTBOUND_H-ADSS 144C-202443-01"/>
  </r>
  <r>
    <s v="162"/>
    <m/>
    <x v="3"/>
    <s v="TFI-W0012404-299"/>
    <s v="EJ-Malang-01"/>
    <s v="Oka-0813-2707-1646"/>
    <d v="2024-04-03T00:00:00"/>
    <d v="1900-01-14T07:00:00"/>
    <s v="ZTE Warehouse"/>
    <x v="0"/>
    <x v="4"/>
    <s v="ZTE2004"/>
    <s v="Meter"/>
    <n v="3000"/>
    <s v="TRF"/>
    <x v="5"/>
    <n v="0"/>
    <s v="TRANSFER GUDANG"/>
    <m/>
    <m/>
    <m/>
    <m/>
    <m/>
    <m/>
    <s v="H-ADSS 144C-202443-02"/>
    <n v="0"/>
    <e v="#N/A"/>
    <e v="#N/A"/>
    <s v="OUTBOUND_H-ADSS 144C-202443-02"/>
  </r>
  <r>
    <s v="163"/>
    <m/>
    <x v="1"/>
    <s v="OUB-W0012404-302"/>
    <s v="EJ-Malang-01"/>
    <s v="Oka-0813-2707-1646"/>
    <d v="2024-04-04T00:00:00"/>
    <d v="1899-12-30T15:39:00"/>
    <s v="EJ-MALANG-01"/>
    <x v="0"/>
    <x v="1"/>
    <s v="ZTE2001"/>
    <s v="Meter"/>
    <n v="3000"/>
    <s v="CLR51-99-040"/>
    <x v="41"/>
    <m/>
    <m/>
    <m/>
    <s v="Dimas"/>
    <s v="Febby Supplier"/>
    <s v="3573032509800005"/>
    <s v="N 9454 BA"/>
    <m/>
    <m/>
    <s v="Tunjungtirto RW 08 Singosari"/>
    <e v="#N/A"/>
    <e v="#N/A"/>
    <s v="OUTBOUND_"/>
  </r>
  <r>
    <s v="164"/>
    <m/>
    <x v="4"/>
    <s v="BOI-W0012404-307"/>
    <s v="EJ-Malang-01"/>
    <s v="Oka-0813-2707-1646"/>
    <d v="2024-04-19T00:00:00"/>
    <d v="1900-01-14T07:00:00"/>
    <s v="Other Subcon"/>
    <x v="0"/>
    <x v="1"/>
    <s v="ZTE2001"/>
    <s v="Meter"/>
    <n v="4000"/>
    <s v="FH2HASBEL@4000"/>
    <x v="43"/>
    <n v="0"/>
    <s v="TRANSFER GUDANG"/>
    <m/>
    <m/>
    <m/>
    <m/>
    <m/>
    <s v="FH 2 HASBEL @4000"/>
    <s v="H-ADSS 24C-2024419-01"/>
    <s v="FH 2 HASBEL @4000"/>
    <e v="#N/A"/>
    <e v="#N/A"/>
    <s v="OUTBOUND_H-ADSS 24C-2024419-01"/>
  </r>
  <r>
    <s v="165"/>
    <m/>
    <x v="4"/>
    <s v="BOI-W0012404-307"/>
    <s v="EJ-Malang-01"/>
    <s v="Oka-0813-2707-1646"/>
    <d v="2024-04-19T00:00:00"/>
    <d v="1900-01-14T07:00:00"/>
    <s v="Other Subcon"/>
    <x v="0"/>
    <x v="1"/>
    <s v="ZTE2001"/>
    <s v="Meter"/>
    <n v="4000"/>
    <s v="FH2HASBEL@4000"/>
    <x v="43"/>
    <m/>
    <m/>
    <m/>
    <m/>
    <m/>
    <m/>
    <m/>
    <m/>
    <s v="H-ADSS 24C-2024419-02"/>
    <s v="FH 2 HASBEL @4000"/>
    <e v="#N/A"/>
    <e v="#N/A"/>
    <s v="OUTBOUND_H-ADSS 24C-2024419-02"/>
  </r>
  <r>
    <s v="166"/>
    <m/>
    <x v="1"/>
    <s v="OUB-W0012404-313"/>
    <s v="EJ-Malang-01"/>
    <s v="Oka-0813-2707-1646"/>
    <d v="2024-04-22T00:00:00"/>
    <d v="1899-12-30T18:35:00"/>
    <s v="EJ-MALANG-01"/>
    <x v="0"/>
    <x v="2"/>
    <s v="ZTE2003"/>
    <s v="Meter"/>
    <n v="3000"/>
    <s v="CLR51-99-010"/>
    <x v="44"/>
    <m/>
    <m/>
    <m/>
    <s v="Riki Romansyah"/>
    <s v="Febby Supplier"/>
    <s v="3507050501950006"/>
    <s v="N 8420 EL"/>
    <m/>
    <m/>
    <s v="Pandan Landung RW 01 Wagir"/>
    <e v="#N/A"/>
    <e v="#N/A"/>
    <s v="OUTBOUND_"/>
  </r>
  <r>
    <s v="167"/>
    <m/>
    <x v="1"/>
    <s v="OUB-W0012404-318"/>
    <s v="EJ-Malang-01"/>
    <s v="Oka-0813-2707-1646"/>
    <d v="2024-04-23T00:00:00"/>
    <d v="1899-12-30T17:12:00"/>
    <s v="EJ-MALANG-01"/>
    <x v="0"/>
    <x v="1"/>
    <s v="ZTE2001"/>
    <s v="Meter"/>
    <n v="4000"/>
    <s v="CLR51-99-012"/>
    <x v="45"/>
    <m/>
    <m/>
    <m/>
    <s v="Riki Romansyah"/>
    <s v="Febby Supplier"/>
    <s v="3507050501950006"/>
    <s v="N 8420 EL"/>
    <s v="1200+750+1350"/>
    <m/>
    <s v="Pandanlandung RW 01 Wagir"/>
    <e v="#N/A"/>
    <e v="#N/A"/>
    <s v="OUTBOUND_"/>
  </r>
  <r>
    <s v="168"/>
    <m/>
    <x v="0"/>
    <s v="INB-W0012405-332"/>
    <s v="EJ-Malang-01"/>
    <s v="Oka-0813-2707-1646"/>
    <d v="2024-05-12T00:00:00"/>
    <d v="1899-12-30T19:30:00"/>
    <s v="FIELD TEAM"/>
    <x v="1"/>
    <x v="4"/>
    <s v="ZTE2004"/>
    <s v="Meter"/>
    <n v="150"/>
    <s v="MF51-02"/>
    <x v="46"/>
    <m/>
    <m/>
    <m/>
    <s v="Riki Romansyah"/>
    <s v="Febby Supplier"/>
    <s v="3507050501950006"/>
    <s v="N 8420 EL"/>
    <m/>
    <s v="H-ADSS 144C-202443-01"/>
    <s v="HUBFEEDER DALISODO"/>
    <e v="#N/A"/>
    <e v="#N/A"/>
    <s v="OUTBOUND_H-ADSS 144C-202443-01"/>
  </r>
  <r>
    <s v="169"/>
    <m/>
    <x v="1"/>
    <s v="OUB-W0012405-332"/>
    <s v="EJ-Malang-01"/>
    <s v="Oka-0813-2707-1646"/>
    <d v="2024-05-12T00:00:00"/>
    <d v="1899-12-30T19:30:00"/>
    <s v="EJ-MALANG-01"/>
    <x v="0"/>
    <x v="4"/>
    <s v="ZTE2004"/>
    <s v="Meter"/>
    <n v="3000"/>
    <s v="MF51-02"/>
    <x v="46"/>
    <m/>
    <m/>
    <m/>
    <s v="Riki Romansyah"/>
    <s v="Febby Supplier"/>
    <s v="3507050501950006"/>
    <s v="N 8420 EL"/>
    <m/>
    <s v="H-ADSS 144C-202443-01"/>
    <s v="HUBFEEDER DALISODO"/>
    <e v="#N/A"/>
    <e v="#N/A"/>
    <s v="OUTBOUND_H-ADSS 144C-202443-01"/>
  </r>
  <r>
    <s v="170"/>
    <m/>
    <x v="1"/>
    <s v="OUB-W0012405-333"/>
    <s v="EJ-Malang-01"/>
    <s v="Oka-0813-2707-1646"/>
    <d v="2024-05-14T00:00:00"/>
    <d v="1899-12-30T14:09:00"/>
    <s v="EJ-MALANG-01"/>
    <x v="0"/>
    <x v="4"/>
    <s v="ZTE2004"/>
    <s v="Meter"/>
    <n v="3000"/>
    <s v="MF51-02"/>
    <x v="46"/>
    <m/>
    <m/>
    <m/>
    <s v="Riki Romansyah"/>
    <s v="Febby Supplier"/>
    <s v="3507050501950006"/>
    <s v="N 8420 EL"/>
    <m/>
    <s v="H-ADSS 144C-202443-02"/>
    <s v="HUBFEEDER DALISODO"/>
    <e v="#N/A"/>
    <e v="#N/A"/>
    <s v="OUTBOUND_H-ADSS 144C-202443-02"/>
  </r>
  <r>
    <s v="171"/>
    <m/>
    <x v="0"/>
    <s v="INB-W0012405-339"/>
    <s v="EJ-Malang-01"/>
    <s v="Oka-0813-2707-1646"/>
    <d v="2024-05-20T00:00:00"/>
    <d v="1900-01-14T07:00:00"/>
    <s v="ZTE Warehouse"/>
    <x v="0"/>
    <x v="1"/>
    <s v="ZTE2001"/>
    <s v="Meter"/>
    <n v="3000"/>
    <s v="CLR51-99-086"/>
    <x v="47"/>
    <s v="DOEID240517C6"/>
    <s v="DNWID0342024051708"/>
    <m/>
    <m/>
    <m/>
    <m/>
    <m/>
    <m/>
    <s v="H-ADSS 24C-2024520-01"/>
    <s v="Klampok RW 01 Singosari"/>
    <d v="2024-05-20T00:00:00"/>
    <b v="1"/>
    <s v="OUTBOUND_H-ADSS 24C-2024520-01"/>
  </r>
  <r>
    <s v="172"/>
    <m/>
    <x v="0"/>
    <s v="INB-W0012405-339"/>
    <s v="EJ-Malang-01"/>
    <s v="Oka-0813-2707-1646"/>
    <d v="2024-05-20T00:00:00"/>
    <d v="1900-01-14T07:00:00"/>
    <s v="ZTE Warehouse"/>
    <x v="0"/>
    <x v="1"/>
    <s v="ZTE2001"/>
    <s v="Meter"/>
    <n v="3000"/>
    <s v="CLR51-99-087"/>
    <x v="11"/>
    <s v="DOEID240517DK"/>
    <s v="DNWID0342024051713"/>
    <m/>
    <m/>
    <m/>
    <m/>
    <m/>
    <m/>
    <s v="H-ADSS 24C-2024520-02"/>
    <s v="Lawang RW 06 Malang"/>
    <d v="2024-05-20T00:00:00"/>
    <b v="1"/>
    <s v="OUTBOUND_H-ADSS 24C-2024520-02"/>
  </r>
  <r>
    <s v="173"/>
    <m/>
    <x v="1"/>
    <s v="OUB-W0012405-345"/>
    <s v="EJ-Malang-01"/>
    <s v="Oka-0813-2707-1646"/>
    <d v="2024-05-21T00:00:00"/>
    <d v="1899-12-30T09:03:00"/>
    <s v="EJ-MALANG-01"/>
    <x v="0"/>
    <x v="1"/>
    <s v="ZTE2001"/>
    <s v="Meter"/>
    <n v="4000"/>
    <s v="CLR51-99-087"/>
    <x v="11"/>
    <m/>
    <m/>
    <m/>
    <s v="Riki Romansyah"/>
    <s v="Febby Supplier"/>
    <s v="3507050501950006"/>
    <s v="N 8420 EL"/>
    <s v="dari hasbel fh (4000-1950) sisa 2050"/>
    <s v="H-ADSS 24C-2024419-01"/>
    <s v="Lawang RW 06 Malang"/>
    <e v="#N/A"/>
    <e v="#N/A"/>
    <s v="OUTBOUND_H-ADSS 24C-2024419-01"/>
  </r>
  <r>
    <s v="174"/>
    <m/>
    <x v="3"/>
    <s v="TFI-W0012405-342"/>
    <s v="EJ-Malang-01"/>
    <s v="Oka-0813-2707-1646"/>
    <d v="2024-05-21T00:00:00"/>
    <d v="1900-01-14T07:00:00"/>
    <s v="ZTE Warehouse"/>
    <x v="0"/>
    <x v="2"/>
    <s v="ZTE2003"/>
    <s v="Meter"/>
    <n v="3000"/>
    <s v="TRF"/>
    <x v="5"/>
    <n v="0"/>
    <s v="TRANSFER GUDANG"/>
    <m/>
    <m/>
    <m/>
    <m/>
    <m/>
    <m/>
    <s v="H-ADSS 48C-2024521-01"/>
    <n v="0"/>
    <e v="#N/A"/>
    <e v="#N/A"/>
    <s v="OUTBOUND_H-ADSS 48C-2024521-01"/>
  </r>
  <r>
    <s v="175"/>
    <m/>
    <x v="1"/>
    <s v="OUB-W0012405-355"/>
    <s v="EJ-Malang-01"/>
    <s v="Oka-0813-2707-1646"/>
    <d v="2024-05-25T00:00:00"/>
    <d v="1899-12-30T09:40:00"/>
    <s v="EJ-MALANG-01"/>
    <x v="0"/>
    <x v="1"/>
    <s v="ZTE2001"/>
    <s v="Meter"/>
    <n v="3000"/>
    <s v="CLR51-99-099"/>
    <x v="12"/>
    <m/>
    <m/>
    <m/>
    <s v="Riki Romansyah"/>
    <s v="Febby Supplier"/>
    <s v="3507050501950006"/>
    <s v="N 8420 EL"/>
    <s v="line A 1000, line B 2000"/>
    <m/>
    <s v="Dusun Klaseman Kucur"/>
    <e v="#N/A"/>
    <e v="#N/A"/>
    <s v="OUTBOUND_"/>
  </r>
  <r>
    <s v="176"/>
    <m/>
    <x v="1"/>
    <s v="OUB-W0012405-356"/>
    <s v="EJ-Malang-01"/>
    <s v="Oka-0813-2707-1646"/>
    <d v="2024-05-27T00:00:00"/>
    <d v="1899-12-30T19:00:00"/>
    <s v="EJ-MALANG-01"/>
    <x v="0"/>
    <x v="1"/>
    <s v="ZTE2001"/>
    <s v="Meter"/>
    <n v="3000"/>
    <s v="CLR51-99-097"/>
    <x v="13"/>
    <m/>
    <m/>
    <m/>
    <s v="Riki Romansyah"/>
    <s v="Febby Supplier"/>
    <s v="3507050501950006"/>
    <s v="N 8420 EL"/>
    <s v="Line A Krajan"/>
    <m/>
    <s v="Dusun Krajan Kucur"/>
    <e v="#N/A"/>
    <e v="#N/A"/>
    <s v="OUTBOUND_"/>
  </r>
  <r>
    <s v="177"/>
    <m/>
    <x v="1"/>
    <s v="OUB-W0012405-356"/>
    <s v="EJ-Malang-01"/>
    <s v="Oka-0813-2707-1646"/>
    <d v="2024-05-27T00:00:00"/>
    <d v="1899-12-30T19:00:00"/>
    <s v="EJ-MALANG-01"/>
    <x v="0"/>
    <x v="2"/>
    <s v="ZTE2003"/>
    <s v="Meter"/>
    <n v="3000"/>
    <s v="CLR51-99-097"/>
    <x v="15"/>
    <m/>
    <m/>
    <m/>
    <s v="Riki Romansyah"/>
    <s v="Febby Supplier"/>
    <s v="3507050501950006"/>
    <s v="N 8420 EL"/>
    <s v="sf ketohan 600, sf sumerbedno 2400"/>
    <m/>
    <s v="Dusun Sumber Bendo Kucur"/>
    <e v="#N/A"/>
    <e v="#N/A"/>
    <s v="OUTBOUND_"/>
  </r>
  <r>
    <s v="178"/>
    <m/>
    <x v="1"/>
    <s v="OUB-W0012405-356"/>
    <s v="EJ-Malang-01"/>
    <s v="Oka-0813-2707-1646"/>
    <d v="2024-05-27T00:00:00"/>
    <d v="1899-12-30T19:00:00"/>
    <s v="EJ-MALANG-01"/>
    <x v="0"/>
    <x v="2"/>
    <s v="ZTE2003"/>
    <s v="Meter"/>
    <n v="3000"/>
    <s v="CLR51-99-097"/>
    <x v="13"/>
    <m/>
    <m/>
    <m/>
    <s v="Riki Romansyah"/>
    <s v="Febby Supplier"/>
    <s v="3507050501950006"/>
    <s v="N 8420 EL"/>
    <s v="sf klampok (1000), SF krajan  (1600) Sisa 400"/>
    <m/>
    <s v="Dusun Krajan Kucur"/>
    <e v="#N/A"/>
    <e v="#N/A"/>
    <s v="OUTBOUND_"/>
  </r>
  <r>
    <s v="179"/>
    <m/>
    <x v="1"/>
    <s v="OUB-W0012405-359"/>
    <s v="EJ-Malang-01"/>
    <s v="Oka-0813-2707-1646"/>
    <d v="2024-05-30T00:00:00"/>
    <d v="1899-12-30T11:30:00"/>
    <s v="EJ-MALANG-01"/>
    <x v="0"/>
    <x v="1"/>
    <s v="ZTE2001"/>
    <s v="Meter"/>
    <n v="3000"/>
    <s v="CLR51-99-098"/>
    <x v="48"/>
    <m/>
    <m/>
    <m/>
    <s v="Riki Romansyah"/>
    <s v="Febby Supplier"/>
    <s v="3507050501950006"/>
    <s v="N 8420 EL"/>
    <s v="Ketohan 1100, Godehan 1050, sisa 850"/>
    <m/>
    <s v="Dusun Ketohan Kucur"/>
    <e v="#N/A"/>
    <e v="#N/A"/>
    <s v="OUTBOUND_"/>
  </r>
  <r>
    <s v="180"/>
    <m/>
    <x v="1"/>
    <s v="OUB-W0012405-359"/>
    <s v="EJ-Malang-01"/>
    <s v="Oka-0813-2707-1646"/>
    <d v="2024-05-30T00:00:00"/>
    <d v="1899-12-30T11:30:00"/>
    <s v="EJ-MALANG-01"/>
    <x v="0"/>
    <x v="2"/>
    <s v="ZTE2003"/>
    <s v="Meter"/>
    <n v="3000"/>
    <s v="CLR51-02-014"/>
    <x v="14"/>
    <m/>
    <m/>
    <m/>
    <s v="Riki Romansyah"/>
    <s v="Febby Supplier"/>
    <s v="3507050501950006"/>
    <s v="N 8420 EL"/>
    <s v="Cluster klampok 17fat 2750, sisa 250"/>
    <m/>
    <s v="Dusun Klampok Kucur"/>
    <e v="#N/A"/>
    <e v="#N/A"/>
    <s v="OUTBOUND_"/>
  </r>
  <r>
    <s v="181"/>
    <m/>
    <x v="0"/>
    <s v="INB-W0012406-360"/>
    <s v="EJ-Malang-01"/>
    <s v="Oka-0813-2707-1646"/>
    <d v="2024-05-31T00:00:00"/>
    <d v="1900-01-14T07:00:00"/>
    <s v="ZTE Warehouse"/>
    <x v="0"/>
    <x v="2"/>
    <s v="ZTE2003"/>
    <s v="Meter"/>
    <n v="3000"/>
    <s v="CLR51-02-014"/>
    <x v="14"/>
    <s v="DOEID24053159"/>
    <s v="DNWID0342024053102"/>
    <m/>
    <m/>
    <m/>
    <m/>
    <m/>
    <m/>
    <s v="H-ADSS 48C-202461-01"/>
    <s v="Dusun Klampok Kucur"/>
    <d v="2024-05-31T00:00:00"/>
    <b v="1"/>
    <s v="OUTBOUND_H-ADSS 48C-202461-01"/>
  </r>
  <r>
    <s v="182"/>
    <m/>
    <x v="0"/>
    <s v="INB-W0012406-360"/>
    <s v="EJ-Malang-01"/>
    <s v="Oka-0813-2707-1646"/>
    <d v="2024-05-31T00:00:00"/>
    <d v="1900-01-14T07:00:00"/>
    <s v="ZTE Warehouse"/>
    <x v="0"/>
    <x v="2"/>
    <s v="ZTE2003"/>
    <s v="Meter"/>
    <n v="3000"/>
    <s v="CLR51-02-014"/>
    <x v="14"/>
    <s v="DOEID24053159"/>
    <s v="DNWID0342024053102"/>
    <m/>
    <m/>
    <m/>
    <m/>
    <m/>
    <m/>
    <s v="H-ADSS 48C-202461-02"/>
    <s v="Dusun Klampok Kucur"/>
    <d v="2024-05-31T00:00:00"/>
    <b v="1"/>
    <s v="OUTBOUND_H-ADSS 48C-202461-02"/>
  </r>
  <r>
    <s v="183"/>
    <m/>
    <x v="3"/>
    <s v="TFI-W0012406-360"/>
    <s v="EJ-Malang-01"/>
    <s v="Oka-0813-2707-1646"/>
    <d v="2024-06-01T00:00:00"/>
    <d v="1900-01-14T07:00:00"/>
    <s v="ZTE Warehouse"/>
    <x v="0"/>
    <x v="2"/>
    <s v="ZTE2003"/>
    <s v="Meter"/>
    <n v="3000"/>
    <s v="CLR51-02-014"/>
    <x v="14"/>
    <n v="0"/>
    <s v="TRANSFER GUDANG"/>
    <m/>
    <m/>
    <m/>
    <m/>
    <m/>
    <m/>
    <s v="H-ADSS 48C-202461-03"/>
    <s v="Dusun Klampok Kucur"/>
    <e v="#N/A"/>
    <e v="#N/A"/>
    <s v="OUTBOUND_H-ADSS 48C-202461-03"/>
  </r>
  <r>
    <s v="184"/>
    <m/>
    <x v="0"/>
    <s v="INB-W0012406-363"/>
    <s v="EJ-Malang-01"/>
    <s v="Oka-0813-2707-1646"/>
    <d v="2024-06-05T00:00:00"/>
    <d v="1900-01-14T07:00:00"/>
    <s v="ZTE Warehouse"/>
    <x v="0"/>
    <x v="1"/>
    <s v="ZTE2001"/>
    <s v="Meter"/>
    <n v="3000"/>
    <s v="CLR51-03-014"/>
    <x v="49"/>
    <m/>
    <m/>
    <m/>
    <m/>
    <m/>
    <m/>
    <m/>
    <m/>
    <s v="H-ADSS 24C-202465-01"/>
    <s v="Dusun Godehan RW 10 Kucur"/>
    <e v="#N/A"/>
    <e v="#N/A"/>
    <s v="OUTBOUND_H-ADSS 24C-202465-01"/>
  </r>
  <r>
    <s v="185"/>
    <m/>
    <x v="0"/>
    <s v="INB-W0012406-363"/>
    <s v="EJ-Malang-01"/>
    <s v="Oka-0813-2707-1646"/>
    <d v="2024-06-05T00:00:00"/>
    <d v="1900-01-14T07:00:00"/>
    <s v="ZTE Warehouse"/>
    <x v="0"/>
    <x v="1"/>
    <s v="ZTE2001"/>
    <s v="Meter"/>
    <n v="3000"/>
    <s v="CLR51-03-014"/>
    <x v="49"/>
    <m/>
    <m/>
    <m/>
    <m/>
    <m/>
    <m/>
    <m/>
    <m/>
    <s v="H-ADSS 24C-202465-02"/>
    <s v="Dusun Godehan RW 10 Kucur"/>
    <e v="#N/A"/>
    <e v="#N/A"/>
    <s v="OUTBOUND_H-ADSS 24C-202465-02"/>
  </r>
  <r>
    <s v="186"/>
    <m/>
    <x v="1"/>
    <s v="OUB-W0012406-368"/>
    <s v="EJ-Malang-01"/>
    <s v="Oka-0813-2707-1646"/>
    <d v="2024-06-05T00:00:00"/>
    <d v="1899-12-30T17:51:00"/>
    <s v="EJ-MALANG-01"/>
    <x v="0"/>
    <x v="1"/>
    <s v="ZTE2001"/>
    <s v="Meter"/>
    <n v="3000"/>
    <s v="CLR51-02-015"/>
    <x v="15"/>
    <m/>
    <m/>
    <m/>
    <s v="Riki Romansyah"/>
    <s v="Febby Supplier"/>
    <s v="3507050501950006"/>
    <s v="N 9068 EC"/>
    <m/>
    <m/>
    <s v="Dusun Sumber Bendo Kucur"/>
    <e v="#N/A"/>
    <e v="#N/A"/>
    <s v="OUTBOUND_"/>
  </r>
  <r>
    <s v="187"/>
    <m/>
    <x v="1"/>
    <s v="OUB-W0012406-368"/>
    <s v="EJ-Malang-01"/>
    <s v="Oka-0813-2707-1646"/>
    <d v="2024-06-05T00:00:00"/>
    <d v="1899-12-30T17:51:00"/>
    <s v="EJ-MALANG-01"/>
    <x v="0"/>
    <x v="1"/>
    <s v="ZTE2001"/>
    <s v="Meter"/>
    <n v="3000"/>
    <s v="CLR51-99-096"/>
    <x v="50"/>
    <m/>
    <m/>
    <m/>
    <s v="Riki Romansyah"/>
    <s v="Febby Supplier"/>
    <s v="3507050501950006"/>
    <s v="N 9068 EC"/>
    <m/>
    <m/>
    <s v="Dusun Turi Kucur"/>
    <e v="#N/A"/>
    <e v="#N/A"/>
    <s v="OUTBOUND_"/>
  </r>
  <r>
    <s v="188"/>
    <m/>
    <x v="5"/>
    <s v="BOO-W0012406-366"/>
    <s v="EJ-Malang-01"/>
    <s v="Oka-0813-2707-1646"/>
    <d v="2024-06-05T00:00:00"/>
    <d v="1899-12-30T17:51:00"/>
    <s v="Other Subcon"/>
    <x v="0"/>
    <x v="2"/>
    <s v="ZTE2003"/>
    <s v="Meter"/>
    <n v="3000"/>
    <s v="BR005"/>
    <x v="38"/>
    <m/>
    <m/>
    <m/>
    <s v="Riki Romansyah"/>
    <s v="Febby Supplier"/>
    <s v="3507050501950006"/>
    <s v="N 9068 EC"/>
    <s v="TO MORASHA"/>
    <m/>
    <s v="MORASHA"/>
    <e v="#N/A"/>
    <e v="#N/A"/>
    <s v="BORROW OUT_"/>
  </r>
  <r>
    <s v="189"/>
    <m/>
    <x v="5"/>
    <s v="BOO-W0012406-366"/>
    <s v="EJ-Malang-01"/>
    <s v="Oka-0813-2707-1646"/>
    <d v="2024-06-05T00:00:00"/>
    <d v="1899-12-30T17:51:00"/>
    <s v="Other Subcon"/>
    <x v="0"/>
    <x v="2"/>
    <s v="ZTE2003"/>
    <s v="Meter"/>
    <n v="3000"/>
    <s v="BR005"/>
    <x v="38"/>
    <m/>
    <m/>
    <m/>
    <s v="Riki Romansyah"/>
    <s v="Febby Supplier"/>
    <s v="3507050501950006"/>
    <s v="N 9068 EC"/>
    <s v="TO MORASHA"/>
    <m/>
    <s v="MORASHA"/>
    <e v="#N/A"/>
    <e v="#N/A"/>
    <s v="BORROW OUT_"/>
  </r>
  <r>
    <s v="190"/>
    <m/>
    <x v="0"/>
    <s v="INB-W0012406-007"/>
    <s v="EJ-Malang-01"/>
    <s v="Oka-0813-2707-1646"/>
    <d v="2024-06-19T00:00:00"/>
    <d v="1899-12-30T06:00:00"/>
    <s v="FIELD TEAM"/>
    <x v="1"/>
    <x v="1"/>
    <s v="ZTE2001"/>
    <s v="Meter"/>
    <n v="2400"/>
    <m/>
    <x v="51"/>
    <m/>
    <m/>
    <m/>
    <m/>
    <m/>
    <m/>
    <m/>
    <s v="Sisa sumberbendo"/>
    <s v="H-ADSS 24C-2024619-01"/>
    <s v="Sisa sumberbendo"/>
    <e v="#N/A"/>
    <e v="#N/A"/>
    <s v="OUTBOUND_H-ADSS 24C-2024619-01"/>
  </r>
  <r>
    <s v="191"/>
    <m/>
    <x v="1"/>
    <s v="OUB-W0012406-19"/>
    <s v="EJ-Malang-01"/>
    <s v="Oka-0813-2707-1646"/>
    <d v="2024-06-22T00:00:00"/>
    <d v="1899-12-30T16:37:00"/>
    <s v="FIELD TEAM"/>
    <x v="1"/>
    <x v="1"/>
    <s v="ZTE2001"/>
    <s v="Meter"/>
    <n v="926"/>
    <s v="CLR51-99-044"/>
    <x v="52"/>
    <m/>
    <m/>
    <m/>
    <m/>
    <m/>
    <m/>
    <m/>
    <m/>
    <s v="H-ADSS 24C-202384-01"/>
    <s v="Kebonagung RW 13 Pakisaji"/>
    <e v="#N/A"/>
    <e v="#N/A"/>
    <s v="OUTBOUND_H-ADSS 24C-202384-01"/>
  </r>
  <r>
    <s v="192"/>
    <m/>
    <x v="0"/>
    <s v="INB-W0012406-19"/>
    <s v="EJ-Malang-01"/>
    <s v="Oka-0813-2707-1646"/>
    <d v="2024-06-22T00:00:00"/>
    <d v="1899-12-30T16:37:00"/>
    <s v="FIELD TEAM"/>
    <x v="1"/>
    <x v="1"/>
    <s v="ZTE2001"/>
    <s v="Meter"/>
    <n v="316"/>
    <s v="CLR51-99-044"/>
    <x v="52"/>
    <m/>
    <m/>
    <m/>
    <m/>
    <m/>
    <m/>
    <m/>
    <m/>
    <s v="H-ADSS 24C-202384-01"/>
    <s v="Kebonagung RW 13 Pakisaji"/>
    <e v="#N/A"/>
    <e v="#N/A"/>
    <s v="OUTBOUND_H-ADSS 24C-202384-01"/>
  </r>
  <r>
    <s v="193"/>
    <m/>
    <x v="1"/>
    <s v="OUB-W0012406-386"/>
    <s v="EJ-Malang-01"/>
    <s v="Oka-0813-2707-1646"/>
    <d v="2024-06-22T00:00:00"/>
    <d v="1899-12-30T15:01:00"/>
    <s v="EJ-MALANG-01"/>
    <x v="0"/>
    <x v="2"/>
    <s v="ZTE2003"/>
    <s v="Meter"/>
    <n v="3000"/>
    <s v="CLR51-99-044"/>
    <x v="52"/>
    <m/>
    <m/>
    <m/>
    <s v="Riki Romansyah"/>
    <s v="Febby Supplier"/>
    <s v="3507050501950006"/>
    <s v="N 8420 EL"/>
    <s v="kepake 1700, 1300 lefover"/>
    <m/>
    <s v="Kebonagung RW 13 Pakisaji"/>
    <e v="#N/A"/>
    <e v="#N/A"/>
    <s v="OUTBOUND_"/>
  </r>
  <r>
    <s v="194"/>
    <m/>
    <x v="0"/>
    <s v="INB-W0012406-387"/>
    <s v="EJ-Malang-01"/>
    <s v="Oka-0813-2707-1646"/>
    <d v="2024-06-24T00:00:00"/>
    <d v="1900-01-14T07:00:00"/>
    <s v="ZTE Warehouse"/>
    <x v="0"/>
    <x v="2"/>
    <s v="ZTE2003"/>
    <s v="Meter"/>
    <n v="3000"/>
    <s v="CLR51-99-044"/>
    <x v="52"/>
    <s v="DOEID240620EP"/>
    <s v="DNWID0342024062018"/>
    <m/>
    <m/>
    <m/>
    <m/>
    <m/>
    <m/>
    <s v="H-ADSS 48C-2024624-01"/>
    <s v="Kebonagung RW 13 Pakisaji"/>
    <d v="2024-06-24T00:00:00"/>
    <b v="1"/>
    <s v="OUTBOUND_H-ADSS 48C-2024624-01"/>
  </r>
  <r>
    <s v="195"/>
    <m/>
    <x v="0"/>
    <s v="INB-W0012406-388"/>
    <s v="EJ-Malang-01"/>
    <s v="Oka-0813-2707-1646"/>
    <d v="2024-06-25T00:00:00"/>
    <d v="1900-01-14T07:00:00"/>
    <s v="ZTE Warehouse"/>
    <x v="0"/>
    <x v="1"/>
    <s v="ZTE2001"/>
    <s v="Meter"/>
    <n v="3000"/>
    <m/>
    <x v="3"/>
    <n v="0"/>
    <n v="0"/>
    <m/>
    <m/>
    <m/>
    <m/>
    <m/>
    <m/>
    <s v="H-ADSS 24C-2024625-01"/>
    <n v="0"/>
    <e v="#N/A"/>
    <e v="#N/A"/>
    <s v="OUTBOUND_H-ADSS 24C-2024625-01"/>
  </r>
  <r>
    <s v="196"/>
    <m/>
    <x v="3"/>
    <s v="TFI-W0012406-388"/>
    <s v="EJ-Malang-01"/>
    <s v="Oka-0813-2707-1646"/>
    <d v="2024-06-25T00:00:00"/>
    <d v="1900-01-14T07:00:00"/>
    <s v="ZTE Warehouse"/>
    <x v="0"/>
    <x v="2"/>
    <s v="ZTE2003"/>
    <s v="Meter"/>
    <n v="3000"/>
    <s v="TRF"/>
    <x v="5"/>
    <n v="0"/>
    <s v="TRANSFER GUDANG"/>
    <m/>
    <m/>
    <m/>
    <m/>
    <m/>
    <m/>
    <s v="H-ADSS 48C-2024625-01"/>
    <n v="0"/>
    <e v="#N/A"/>
    <e v="#N/A"/>
    <s v="OUTBOUND_H-ADSS 48C-2024625-01"/>
  </r>
  <r>
    <s v="197"/>
    <m/>
    <x v="3"/>
    <s v="TFI-W0012406-388"/>
    <s v="EJ-Malang-01"/>
    <s v="Oka-0813-2707-1646"/>
    <d v="2024-06-25T00:00:00"/>
    <d v="1900-01-14T07:00:00"/>
    <s v="ZTE Warehouse"/>
    <x v="0"/>
    <x v="2"/>
    <s v="ZTE2003"/>
    <s v="Meter"/>
    <n v="3000"/>
    <s v="TRF"/>
    <x v="5"/>
    <n v="0"/>
    <s v="TRANSFER GUDANG"/>
    <m/>
    <m/>
    <m/>
    <m/>
    <m/>
    <m/>
    <s v="H-ADSS 48C-2024625-02"/>
    <n v="0"/>
    <e v="#N/A"/>
    <e v="#N/A"/>
    <s v="OUTBOUND_H-ADSS 48C-2024625-02"/>
  </r>
  <r>
    <s v="198"/>
    <m/>
    <x v="3"/>
    <s v="TFI-W0012406-388"/>
    <s v="EJ-Malang-01"/>
    <s v="Oka-0813-2707-1646"/>
    <d v="2024-06-25T00:00:00"/>
    <d v="1900-01-14T07:00:00"/>
    <s v="ZTE Warehouse"/>
    <x v="0"/>
    <x v="2"/>
    <s v="ZTE2003"/>
    <s v="Meter"/>
    <n v="3000"/>
    <s v="TRF"/>
    <x v="5"/>
    <n v="0"/>
    <s v="TRANSFER GUDANG"/>
    <m/>
    <m/>
    <m/>
    <m/>
    <m/>
    <m/>
    <s v="H-ADSS 48C-2024625-03"/>
    <n v="0"/>
    <e v="#N/A"/>
    <e v="#N/A"/>
    <s v="OUTBOUND_H-ADSS 48C-2024625-03"/>
  </r>
  <r>
    <s v="199"/>
    <m/>
    <x v="0"/>
    <s v="INB-W0012406-94"/>
    <s v="EJ-Malang-01"/>
    <s v="Oka-0813-2707-1646"/>
    <d v="2024-06-25T00:00:00"/>
    <d v="1899-12-30T19:00:00"/>
    <s v="FIELD TEAM"/>
    <x v="1"/>
    <x v="2"/>
    <s v="ZTE2003"/>
    <s v="Meter"/>
    <n v="700"/>
    <s v="CLR51-02-020"/>
    <x v="53"/>
    <m/>
    <m/>
    <m/>
    <s v="Riki Romansyah"/>
    <s v="Febby Supplier"/>
    <s v="3507050501950006"/>
    <s v="N 8420 EL"/>
    <s v="0-700"/>
    <s v="B-005-700m"/>
    <s v="0-700"/>
    <e v="#N/A"/>
    <e v="#N/A"/>
    <s v="OUTBOUND_B-005-700m"/>
  </r>
  <r>
    <s v="200"/>
    <m/>
    <x v="1"/>
    <s v="OUB-W0012406-393"/>
    <s v="EJ-Malang-01"/>
    <s v="Oka-0813-2707-1646"/>
    <d v="2024-06-27T00:00:00"/>
    <d v="1899-12-30T12:53:00"/>
    <s v="EJ-MALANG-01"/>
    <x v="0"/>
    <x v="2"/>
    <s v="ZTE2003"/>
    <s v="Meter"/>
    <n v="3000"/>
    <s v="CLR51-99-061"/>
    <x v="54"/>
    <m/>
    <m/>
    <m/>
    <s v="Riki Romansyah"/>
    <s v="Febby Supplier"/>
    <s v="3507050501950006"/>
    <s v="N 8420 EL"/>
    <n v="2875"/>
    <m/>
    <s v="Perumahan Perumnas Talangagung I Malang"/>
    <e v="#N/A"/>
    <e v="#N/A"/>
    <s v="OUTBOUND_"/>
  </r>
  <r>
    <s v="201"/>
    <m/>
    <x v="1"/>
    <s v="OUB-W0012406-393"/>
    <s v="EJ-Malang-01"/>
    <s v="Oka-0813-2707-1646"/>
    <d v="2024-06-27T00:00:00"/>
    <d v="1899-12-30T12:53:00"/>
    <s v="EJ-MALANG-01"/>
    <x v="0"/>
    <x v="2"/>
    <s v="ZTE2003"/>
    <s v="Meter"/>
    <n v="3000"/>
    <s v="CLR51-99-063"/>
    <x v="55"/>
    <m/>
    <m/>
    <m/>
    <s v="Riki Romansyah"/>
    <s v="Febby Supplier"/>
    <s v="3507050501950006"/>
    <s v="N 8420 EL"/>
    <n v="2725"/>
    <m/>
    <s v="Perumahan Kepanjen Permai II"/>
    <e v="#N/A"/>
    <e v="#N/A"/>
    <s v="OUTBOUND_"/>
  </r>
  <r>
    <s v="202"/>
    <m/>
    <x v="0"/>
    <s v="INB-W0012407-400"/>
    <s v="EJ-Malang-01"/>
    <s v="Oka-0813-2707-1646"/>
    <d v="2024-07-08T00:00:00"/>
    <d v="1900-01-14T07:00:00"/>
    <s v="ZTE Warehouse"/>
    <x v="0"/>
    <x v="1"/>
    <s v="ZTE2001"/>
    <s v="Meter"/>
    <n v="3000"/>
    <m/>
    <x v="3"/>
    <n v="0"/>
    <n v="0"/>
    <m/>
    <m/>
    <m/>
    <m/>
    <m/>
    <m/>
    <s v="H-ADSS 24C-202478-01"/>
    <n v="0"/>
    <e v="#N/A"/>
    <e v="#N/A"/>
    <s v="OUTBOUND_H-ADSS 24C-202478-01"/>
  </r>
  <r>
    <s v="203"/>
    <m/>
    <x v="0"/>
    <s v="INB-W0012407-400"/>
    <s v="EJ-Malang-01"/>
    <s v="Oka-0813-2707-1646"/>
    <d v="2024-07-08T00:00:00"/>
    <d v="1900-01-14T07:00:00"/>
    <s v="ZTE Warehouse"/>
    <x v="0"/>
    <x v="2"/>
    <s v="ZTE2003"/>
    <s v="Meter"/>
    <n v="3000"/>
    <s v="CLR51-99-063"/>
    <x v="55"/>
    <s v="DOEID24070182"/>
    <s v="DNWID0342024070103"/>
    <m/>
    <m/>
    <m/>
    <m/>
    <m/>
    <m/>
    <s v="H-ADSS 48C-202478-01"/>
    <s v="Perumahan Kepanjen Permai II"/>
    <d v="2024-07-08T00:00:00"/>
    <b v="1"/>
    <s v="OUTBOUND_H-ADSS 48C-202478-01"/>
  </r>
  <r>
    <s v="204"/>
    <m/>
    <x v="1"/>
    <s v="OUB-W0012407-404"/>
    <s v="EJ-Malang-01"/>
    <s v="Oka-0813-2707-1646"/>
    <d v="2024-07-12T00:00:00"/>
    <d v="1899-12-30T09:36:00"/>
    <s v="EJ-MALANG-01"/>
    <x v="0"/>
    <x v="1"/>
    <s v="ZTE2001"/>
    <s v="Meter"/>
    <n v="3000"/>
    <s v="CLR51-02-017"/>
    <x v="56"/>
    <m/>
    <m/>
    <m/>
    <s v="Riki Romansyah"/>
    <s v="Febby Supplier"/>
    <s v="3507050501950006"/>
    <s v="N 8420 EL"/>
    <m/>
    <m/>
    <s v="Ngenep RW 04 Karang Ploso"/>
    <e v="#N/A"/>
    <e v="#N/A"/>
    <s v="OUTBOUND_"/>
  </r>
  <r>
    <s v="205"/>
    <m/>
    <x v="1"/>
    <s v="OUB-W0012407-138"/>
    <s v="EJ-Malang-01"/>
    <s v="Oka-0813-2707-1646"/>
    <d v="2024-07-14T00:00:00"/>
    <d v="1899-12-30T06:00:00"/>
    <s v="FIELD TEAM"/>
    <x v="1"/>
    <x v="2"/>
    <s v="ZTE2003"/>
    <s v="Meter"/>
    <n v="1250"/>
    <s v="CLR51-99-063"/>
    <x v="55"/>
    <m/>
    <m/>
    <m/>
    <s v="H-ADSS 48C-2023915-01"/>
    <m/>
    <m/>
    <m/>
    <m/>
    <s v="H-ADSS 48C-2023915-01"/>
    <s v="Perumahan Kepanjen Permai II"/>
    <e v="#N/A"/>
    <e v="#N/A"/>
    <s v="OUTBOUND_H-ADSS 48C-2023915-01"/>
  </r>
  <r>
    <s v="206"/>
    <m/>
    <x v="4"/>
    <s v="BOI-W0012407-408"/>
    <s v="EJ-Malang-01"/>
    <s v="Oka-0813-2707-1646"/>
    <d v="2024-07-22T00:00:00"/>
    <d v="1900-01-14T07:00:00"/>
    <s v="Other Subcon"/>
    <x v="0"/>
    <x v="4"/>
    <s v="ZTE2004"/>
    <s v="Meter"/>
    <n v="3000"/>
    <s v="BR005"/>
    <x v="38"/>
    <n v="0"/>
    <n v="0"/>
    <m/>
    <m/>
    <m/>
    <m/>
    <m/>
    <s v="Borrow From Morasa"/>
    <s v="H-ADSS 144C-2024722-01"/>
    <s v="MORASHA"/>
    <e v="#N/A"/>
    <e v="#N/A"/>
    <s v="OUTBOUND_H-ADSS 144C-2024722-01"/>
  </r>
  <r>
    <s v="207"/>
    <m/>
    <x v="4"/>
    <s v="BOI-W0012407-408"/>
    <s v="EJ-Malang-01"/>
    <s v="Oka-0813-2707-1646"/>
    <d v="2024-07-22T00:00:00"/>
    <d v="1900-01-14T07:00:00"/>
    <s v="Other Subcon"/>
    <x v="0"/>
    <x v="4"/>
    <s v="ZTE2004"/>
    <s v="Meter"/>
    <n v="3000"/>
    <s v="BR005"/>
    <x v="38"/>
    <n v="0"/>
    <n v="0"/>
    <m/>
    <m/>
    <m/>
    <m/>
    <m/>
    <m/>
    <s v="H-ADSS 144C-2024722-02"/>
    <s v="MORASHA"/>
    <e v="#N/A"/>
    <e v="#N/A"/>
    <s v="OUTBOUND_H-ADSS 144C-2024722-02"/>
  </r>
  <r>
    <s v="208"/>
    <m/>
    <x v="0"/>
    <s v="INB-W0012407-410"/>
    <s v="EJ-Malang-01"/>
    <s v="Oka-0813-2707-1646"/>
    <d v="2024-07-23T00:00:00"/>
    <d v="1899-12-30T07:00:00"/>
    <s v="FIELD TEAM"/>
    <x v="1"/>
    <x v="4"/>
    <s v="ZTE2004"/>
    <s v="Meter"/>
    <n v="1500"/>
    <s v="MF51-03"/>
    <x v="57"/>
    <m/>
    <m/>
    <m/>
    <s v="Riki Romansyah"/>
    <s v="Febby Supplier"/>
    <s v="3507050501950006"/>
    <s v="N 8420 EL"/>
    <s v="use 1500"/>
    <s v="H-ADSS 144C-2024722-02"/>
    <s v="HUBFEEDER KEPANJEN TO JATIKERTO"/>
    <e v="#N/A"/>
    <e v="#N/A"/>
    <s v="OUTBOUND_H-ADSS 144C-2024722-02"/>
  </r>
  <r>
    <s v="209"/>
    <m/>
    <x v="1"/>
    <s v="OUB-W0012407-410"/>
    <s v="EJ-Malang-01"/>
    <s v="Oka-0813-2707-1646"/>
    <d v="2024-07-23T00:00:00"/>
    <d v="1899-12-30T07:00:00"/>
    <s v="EJ-MALANG-01"/>
    <x v="0"/>
    <x v="4"/>
    <s v="ZTE2004"/>
    <s v="Meter"/>
    <n v="3000"/>
    <s v="MF51-03"/>
    <x v="57"/>
    <m/>
    <m/>
    <m/>
    <s v="Riki Romansyah"/>
    <s v="Febby Supplier"/>
    <s v="3507050501950006"/>
    <s v="N 8420 EL"/>
    <m/>
    <s v="H-ADSS 144C-2024722-01"/>
    <s v="HUBFEEDER KEPANJEN TO JATIKERTO"/>
    <e v="#N/A"/>
    <e v="#N/A"/>
    <s v="OUTBOUND_H-ADSS 144C-2024722-01"/>
  </r>
  <r>
    <s v="210"/>
    <m/>
    <x v="1"/>
    <s v="OUB-W0012407-410"/>
    <s v="EJ-Malang-01"/>
    <s v="Oka-0813-2707-1646"/>
    <d v="2024-07-23T00:00:00"/>
    <d v="1899-12-30T07:00:00"/>
    <s v="EJ-MALANG-01"/>
    <x v="0"/>
    <x v="4"/>
    <s v="ZTE2004"/>
    <s v="Meter"/>
    <n v="3000"/>
    <s v="MF51-03"/>
    <x v="57"/>
    <m/>
    <m/>
    <m/>
    <s v="Riki Romansyah"/>
    <s v="Febby Supplier"/>
    <s v="3507050501950006"/>
    <s v="N 8420 EL"/>
    <s v="use 1500"/>
    <s v="H-ADSS 144C-2024722-02"/>
    <s v="HUBFEEDER KEPANJEN TO JATIKERTO"/>
    <e v="#N/A"/>
    <e v="#N/A"/>
    <s v="OUTBOUND_H-ADSS 144C-2024722-02"/>
  </r>
  <r>
    <s v="211"/>
    <m/>
    <x v="0"/>
    <s v="INB-W0012407-409"/>
    <s v="EJ-Malang-01"/>
    <s v="Oka-0813-2707-1646"/>
    <d v="2024-07-23T00:00:00"/>
    <d v="1900-01-14T07:00:00"/>
    <s v="ZTE Warehouse"/>
    <x v="0"/>
    <x v="1"/>
    <s v="ZTE2001"/>
    <s v="Meter"/>
    <n v="3000"/>
    <m/>
    <x v="3"/>
    <n v="0"/>
    <n v="0"/>
    <m/>
    <m/>
    <m/>
    <m/>
    <m/>
    <m/>
    <s v="H-ADSS 24C-2024723-01"/>
    <n v="0"/>
    <e v="#N/A"/>
    <e v="#N/A"/>
    <s v="OUTBOUND_H-ADSS 24C-2024723-01"/>
  </r>
  <r>
    <s v="212"/>
    <m/>
    <x v="0"/>
    <s v="INB-W0012407-409"/>
    <s v="EJ-Malang-01"/>
    <s v="Oka-0813-2707-1646"/>
    <d v="2024-07-23T00:00:00"/>
    <d v="1900-01-14T07:00:00"/>
    <s v="ZTE Warehouse"/>
    <x v="0"/>
    <x v="1"/>
    <s v="ZTE2001"/>
    <s v="Meter"/>
    <n v="3000"/>
    <m/>
    <x v="3"/>
    <n v="0"/>
    <n v="0"/>
    <m/>
    <m/>
    <m/>
    <m/>
    <m/>
    <m/>
    <s v="H-ADSS 24C-2024723-02"/>
    <n v="0"/>
    <e v="#N/A"/>
    <e v="#N/A"/>
    <s v="OUTBOUND_H-ADSS 24C-2024723-02"/>
  </r>
  <r>
    <s v="213"/>
    <m/>
    <x v="0"/>
    <s v="INB-W0012407-409"/>
    <s v="EJ-Malang-01"/>
    <s v="Oka-0813-2707-1646"/>
    <d v="2024-07-23T00:00:00"/>
    <d v="1900-01-14T07:00:00"/>
    <s v="ZTE Warehouse"/>
    <x v="0"/>
    <x v="2"/>
    <s v="ZTE2003"/>
    <s v="Meter"/>
    <n v="3000"/>
    <s v="CLR51-03-005"/>
    <x v="58"/>
    <s v="DOEID240722D0"/>
    <s v="DNWID0342024072313"/>
    <m/>
    <m/>
    <m/>
    <m/>
    <m/>
    <m/>
    <s v="H-ADSS 48C-2024723-01"/>
    <s v="Dusun Langlang IV Singosari"/>
    <d v="2024-07-23T00:00:00"/>
    <b v="1"/>
    <s v="OUTBOUND_H-ADSS 48C-2024723-01"/>
  </r>
  <r>
    <s v="214"/>
    <m/>
    <x v="1"/>
    <s v="OUB-W0012407-417"/>
    <s v="EJ-Malang-01"/>
    <s v="Oka-0813-2707-1646"/>
    <d v="2024-07-27T00:00:00"/>
    <d v="1899-12-30T15:05:00"/>
    <s v="EJ-MALANG-01"/>
    <x v="0"/>
    <x v="1"/>
    <s v="ZTE2001"/>
    <s v="Meter"/>
    <n v="3000"/>
    <s v="CLR51-03-005"/>
    <x v="58"/>
    <m/>
    <m/>
    <m/>
    <s v="Riki Romansyah"/>
    <s v="Febby Supplier"/>
    <s v="3507050501950006"/>
    <s v="N 8420 EL"/>
    <s v="used (1250+900) , 850 masuk leftover"/>
    <m/>
    <s v="Dusun Langlang IV Singosari"/>
    <e v="#N/A"/>
    <e v="#N/A"/>
    <s v="OUTBOUND_"/>
  </r>
  <r>
    <s v="215"/>
    <m/>
    <x v="1"/>
    <s v="OUB-W0012407-417"/>
    <s v="EJ-Malang-01"/>
    <s v="Oka-0813-2707-1646"/>
    <d v="2024-07-27T00:00:00"/>
    <d v="1899-12-30T15:05:00"/>
    <s v="EJ-MALANG-01"/>
    <x v="0"/>
    <x v="2"/>
    <s v="ZTE2003"/>
    <s v="Meter"/>
    <n v="3000"/>
    <s v="CLR51-03-005"/>
    <x v="58"/>
    <m/>
    <m/>
    <m/>
    <s v="Riki Romansyah"/>
    <s v="Febby Supplier"/>
    <s v="3507050501950006"/>
    <s v="N 8420 EL"/>
    <s v="Transfer"/>
    <m/>
    <s v="Dusun Langlang IV Singosari"/>
    <e v="#N/A"/>
    <e v="#N/A"/>
    <s v="OUTBOUND_"/>
  </r>
  <r>
    <s v="216"/>
    <m/>
    <x v="5"/>
    <s v="BOO-W0012407-421"/>
    <s v="EJ-Malang-01"/>
    <s v="Oka-0813-2707-1646"/>
    <d v="2024-07-30T00:00:00"/>
    <d v="1899-12-30T18:00:00"/>
    <s v="Other Subcon"/>
    <x v="0"/>
    <x v="4"/>
    <s v="ZTE2004"/>
    <s v="Meter"/>
    <n v="3000"/>
    <s v="BR005"/>
    <x v="38"/>
    <m/>
    <m/>
    <m/>
    <s v="Nur Hidayat"/>
    <n v="0"/>
    <s v="3515141305930006"/>
    <s v="S 9102 AE"/>
    <s v="Return to Morasa"/>
    <s v="H-ADSS 144C-2024730-01"/>
    <s v="MORASHA"/>
    <e v="#N/A"/>
    <e v="#N/A"/>
    <s v="BORROW OUT_H-ADSS 144C-2024730-01"/>
  </r>
  <r>
    <s v="217"/>
    <m/>
    <x v="5"/>
    <s v="BOO-W0012407-421"/>
    <s v="EJ-Malang-01"/>
    <s v="Oka-0813-2707-1646"/>
    <d v="2024-07-30T00:00:00"/>
    <d v="1899-12-30T18:00:00"/>
    <s v="Other Subcon"/>
    <x v="0"/>
    <x v="4"/>
    <s v="ZTE2004"/>
    <s v="Meter"/>
    <n v="3000"/>
    <s v="BR005"/>
    <x v="38"/>
    <m/>
    <m/>
    <m/>
    <s v="Nur Hidayat"/>
    <n v="0"/>
    <s v="3515141305930006"/>
    <s v="S 9102 AE"/>
    <s v="Return to Morasa"/>
    <s v="H-ADSS 144C-2024730-02"/>
    <s v="MORASHA"/>
    <e v="#N/A"/>
    <e v="#N/A"/>
    <s v="BORROW OUT_H-ADSS 144C-2024730-02"/>
  </r>
  <r>
    <s v="218"/>
    <m/>
    <x v="0"/>
    <s v="INB-W0012407-419"/>
    <s v="EJ-Malang-01"/>
    <s v="Oka-0813-2707-1646"/>
    <d v="2024-07-30T00:00:00"/>
    <d v="1900-01-14T07:00:00"/>
    <s v="ZTE Warehouse"/>
    <x v="0"/>
    <x v="4"/>
    <s v="ZTE2004"/>
    <s v="Meter"/>
    <n v="3000"/>
    <s v="MF51-04"/>
    <x v="59"/>
    <n v="0"/>
    <n v="0"/>
    <m/>
    <m/>
    <m/>
    <m/>
    <m/>
    <m/>
    <s v="H-ADSS 144C-2024730-01"/>
    <s v="Hub Feeder Segment 1 OLT Singosari to Girimoyo"/>
    <e v="#N/A"/>
    <e v="#N/A"/>
    <s v="OUTBOUND_H-ADSS 144C-2024730-01"/>
  </r>
  <r>
    <s v="219"/>
    <m/>
    <x v="0"/>
    <s v="INB-W0012407-419"/>
    <s v="EJ-Malang-01"/>
    <s v="Oka-0813-2707-1646"/>
    <d v="2024-07-30T00:00:00"/>
    <d v="1900-01-14T07:00:00"/>
    <s v="ZTE Warehouse"/>
    <x v="0"/>
    <x v="4"/>
    <s v="ZTE2004"/>
    <s v="Meter"/>
    <n v="3000"/>
    <s v="MF51-04"/>
    <x v="59"/>
    <m/>
    <m/>
    <m/>
    <m/>
    <m/>
    <m/>
    <m/>
    <m/>
    <s v="H-ADSS 144C-2024730-02"/>
    <s v="Hub Feeder Segment 1 OLT Singosari to Girimoyo"/>
    <e v="#N/A"/>
    <e v="#N/A"/>
    <s v="OUTBOUND_H-ADSS 144C-2024730-02"/>
  </r>
  <r>
    <s v="220"/>
    <m/>
    <x v="0"/>
    <s v="INB-W0012407-419"/>
    <s v="EJ-Malang-01"/>
    <s v="Oka-0813-2707-1646"/>
    <d v="2024-07-30T00:00:00"/>
    <d v="1900-01-14T07:00:00"/>
    <s v="ZTE Warehouse"/>
    <x v="0"/>
    <x v="4"/>
    <s v="ZTE2004"/>
    <s v="Meter"/>
    <n v="3000"/>
    <s v="MF51-04"/>
    <x v="59"/>
    <m/>
    <m/>
    <m/>
    <m/>
    <m/>
    <m/>
    <m/>
    <m/>
    <s v="H-ADSS 144C-2024730-03"/>
    <s v="Hub Feeder Segment 1 OLT Singosari to Girimoyo"/>
    <e v="#N/A"/>
    <e v="#N/A"/>
    <s v="OUTBOUND_H-ADSS 144C-2024730-03"/>
  </r>
  <r>
    <s v="221"/>
    <m/>
    <x v="1"/>
    <s v="OUB-W0012407-422"/>
    <s v="EJ-Malang-01"/>
    <s v="Oka-0813-2707-1646"/>
    <d v="2024-07-30T00:00:00"/>
    <d v="1899-12-30T10:24:00"/>
    <s v="EJ-MALANG-01"/>
    <x v="0"/>
    <x v="1"/>
    <s v="ZTE2001"/>
    <s v="Meter"/>
    <n v="3000"/>
    <s v="CLR51-03-005"/>
    <x v="58"/>
    <m/>
    <m/>
    <m/>
    <s v="Riki Romansyah"/>
    <s v="Febby Supplier"/>
    <s v="3507050501950006"/>
    <s v="N 8420 EL"/>
    <s v="used (950+700)1650, 1350 masuk Leftover"/>
    <m/>
    <s v="Dusun Langlang IV Singosari"/>
    <e v="#N/A"/>
    <e v="#N/A"/>
    <s v="OUTBOUND_"/>
  </r>
  <r>
    <s v="222"/>
    <m/>
    <x v="1"/>
    <s v="OUB-W0012407-420"/>
    <s v="EJ-Malang-01"/>
    <s v="Oka-0813-2707-1646"/>
    <d v="2024-07-30T00:00:00"/>
    <d v="1899-12-30T10:24:00"/>
    <s v="EJ-MALANG-01"/>
    <x v="0"/>
    <x v="2"/>
    <s v="ZTE2003"/>
    <s v="Meter"/>
    <n v="3000"/>
    <s v="CLR51-03-005"/>
    <x v="58"/>
    <m/>
    <m/>
    <m/>
    <s v="Riki Romansyah"/>
    <s v="Febby Supplier"/>
    <s v="3507050501950006"/>
    <s v="N 8420 EL"/>
    <s v="Transfer"/>
    <m/>
    <s v="Dusun Langlang IV Singosari"/>
    <e v="#N/A"/>
    <e v="#N/A"/>
    <s v="OUTBOUND_"/>
  </r>
  <r>
    <s v="223"/>
    <m/>
    <x v="1"/>
    <s v="OUB-W0012408-431"/>
    <s v="EJ-Malang-01"/>
    <s v="Oka-0813-2707-1646"/>
    <d v="2024-08-04T00:00:00"/>
    <d v="1899-12-30T17:52:00"/>
    <s v="FIELD TEAM"/>
    <x v="1"/>
    <x v="4"/>
    <s v="ZTE2004"/>
    <s v="Meter"/>
    <n v="1500"/>
    <s v="MF51-04"/>
    <x v="60"/>
    <m/>
    <m/>
    <m/>
    <s v="Nur Hidayat"/>
    <n v="0"/>
    <s v="3515141305930006"/>
    <s v="S 9102 AE"/>
    <m/>
    <s v="H-ADSS 144C-2024722-02"/>
    <s v="HUBFEEDER TIRTASANI TO GIRIMOYO"/>
    <e v="#N/A"/>
    <e v="#N/A"/>
    <s v="OUTBOUND_H-ADSS 144C-2024722-02"/>
  </r>
  <r>
    <s v="224"/>
    <m/>
    <x v="1"/>
    <s v="OUB-W0012408-431"/>
    <s v="EJ-Malang-01"/>
    <s v="Oka-0813-2707-1646"/>
    <d v="2024-08-04T00:00:00"/>
    <d v="1899-12-30T17:52:00"/>
    <s v="EJ-MALANG-01"/>
    <x v="0"/>
    <x v="4"/>
    <s v="ZTE2004"/>
    <s v="Meter"/>
    <n v="3000"/>
    <s v="MF51-04"/>
    <x v="60"/>
    <m/>
    <m/>
    <m/>
    <s v="Nur Hidayat"/>
    <s v="Febby Supplier"/>
    <s v="3515141305930006"/>
    <s v="S 9102 AE"/>
    <m/>
    <s v="H-ADSS 144C-2024730-03"/>
    <s v="HUBFEEDER TIRTASANI TO GIRIMOYO"/>
    <e v="#N/A"/>
    <e v="#N/A"/>
    <s v="OUTBOUND_H-ADSS 144C-2024730-03"/>
  </r>
  <r>
    <s v="225"/>
    <m/>
    <x v="0"/>
    <s v="INB-W0012408-450"/>
    <s v="EJ-Malang-01"/>
    <s v="Oka-0813-2707-1646"/>
    <d v="2024-08-22T00:00:00"/>
    <d v="1900-01-14T07:00:00"/>
    <s v="ZTE Warehouse"/>
    <x v="0"/>
    <x v="1"/>
    <s v="ZTE2001"/>
    <s v="Meter"/>
    <n v="3000"/>
    <m/>
    <x v="3"/>
    <n v="0"/>
    <n v="0"/>
    <m/>
    <m/>
    <m/>
    <m/>
    <m/>
    <m/>
    <s v="H-ADSS 24C-2024822-01"/>
    <n v="0"/>
    <e v="#N/A"/>
    <e v="#N/A"/>
    <s v="OUTBOUND_H-ADSS 24C-2024822-01"/>
  </r>
  <r>
    <s v="226"/>
    <m/>
    <x v="0"/>
    <s v="INB-W0012408-450"/>
    <s v="EJ-Malang-01"/>
    <s v="Oka-0813-2707-1646"/>
    <d v="2024-08-22T00:00:00"/>
    <d v="1900-01-14T07:00:00"/>
    <s v="ZTE Warehouse"/>
    <x v="0"/>
    <x v="1"/>
    <s v="ZTE2001"/>
    <s v="Meter"/>
    <n v="3000"/>
    <m/>
    <x v="3"/>
    <m/>
    <m/>
    <m/>
    <m/>
    <m/>
    <m/>
    <m/>
    <m/>
    <s v="H-ADSS 24C-2024822-02"/>
    <n v="0"/>
    <e v="#N/A"/>
    <e v="#N/A"/>
    <s v="OUTBOUND_H-ADSS 24C-2024822-02"/>
  </r>
  <r>
    <s v="227"/>
    <m/>
    <x v="0"/>
    <s v="INB-W0012408-450"/>
    <s v="EJ-Malang-01"/>
    <s v="Oka-0813-2707-1646"/>
    <d v="2024-08-22T00:00:00"/>
    <d v="1900-01-14T07:00:00"/>
    <s v="ZTE Warehouse"/>
    <x v="0"/>
    <x v="1"/>
    <s v="ZTE2001"/>
    <s v="Meter"/>
    <n v="3000"/>
    <m/>
    <x v="3"/>
    <m/>
    <m/>
    <m/>
    <m/>
    <m/>
    <m/>
    <m/>
    <m/>
    <s v="H-ADSS 24C-2024822-03"/>
    <n v="0"/>
    <e v="#N/A"/>
    <e v="#N/A"/>
    <s v="OUTBOUND_H-ADSS 24C-2024822-03"/>
  </r>
  <r>
    <s v="228"/>
    <m/>
    <x v="0"/>
    <s v="INB-W0012408-450"/>
    <s v="EJ-Malang-01"/>
    <s v="Oka-0813-2707-1646"/>
    <d v="2024-08-22T00:00:00"/>
    <d v="1900-01-14T07:00:00"/>
    <s v="ZTE Warehouse"/>
    <x v="0"/>
    <x v="2"/>
    <s v="ZTE2003"/>
    <s v="Meter"/>
    <n v="3000"/>
    <s v="CLR51-03-010"/>
    <x v="61"/>
    <s v="DOEID24081996"/>
    <s v="DNWID0342024081910"/>
    <m/>
    <m/>
    <m/>
    <m/>
    <m/>
    <m/>
    <s v="H-ADSS 48C-2024822-01"/>
    <s v="Dusun Krajan Sumbersekar"/>
    <d v="2024-08-22T00:00:00"/>
    <b v="1"/>
    <s v="OUTBOUND_H-ADSS 48C-2024822-01"/>
  </r>
  <r>
    <s v="229"/>
    <m/>
    <x v="0"/>
    <s v="INB-W0012408-450"/>
    <s v="EJ-Malang-01"/>
    <s v="Oka-0813-2707-1646"/>
    <d v="2024-08-22T00:00:00"/>
    <d v="1900-01-14T07:00:00"/>
    <s v="ZTE Warehouse"/>
    <x v="0"/>
    <x v="2"/>
    <s v="ZTE2003"/>
    <s v="Meter"/>
    <n v="3000"/>
    <s v="CLR51-09-009"/>
    <x v="62"/>
    <s v="DOEID24081989"/>
    <s v="DNWID0342024081905"/>
    <m/>
    <m/>
    <m/>
    <m/>
    <m/>
    <m/>
    <s v="H-ADSS 48C-2024822-02"/>
    <s v="Dilem RW 03 Kepanjen"/>
    <d v="2024-08-22T00:00:00"/>
    <b v="1"/>
    <s v="OUTBOUND_H-ADSS 48C-2024822-02"/>
  </r>
  <r>
    <s v="230"/>
    <m/>
    <x v="1"/>
    <s v="OUB-W0012408-457"/>
    <s v="EJ-Malang-01"/>
    <s v="Oka-0813-2707-1646"/>
    <d v="2024-08-23T00:00:00"/>
    <d v="1899-12-30T11:13:00"/>
    <s v="EJ-MALANG-01"/>
    <x v="0"/>
    <x v="1"/>
    <s v="ZTE2001"/>
    <s v="Meter"/>
    <n v="3000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231"/>
    <m/>
    <x v="2"/>
    <s v="TFO-W0012408-456"/>
    <s v="EJ-Malang-01"/>
    <s v="Oka-0813-2707-1646"/>
    <d v="2024-08-23T00:00:00"/>
    <d v="1899-12-30T18:59:00"/>
    <s v="EJ-MALANG-01"/>
    <x v="0"/>
    <x v="2"/>
    <s v="ZTE2003"/>
    <s v="Meter"/>
    <n v="3000"/>
    <s v="CLR51-99-086"/>
    <x v="4"/>
    <m/>
    <m/>
    <m/>
    <s v="Nur Hidayat"/>
    <n v="0"/>
    <s v="3515141305930006"/>
    <s v="S 9102 AE"/>
    <s v="Transfer"/>
    <m/>
    <s v="Transfer Gudang"/>
    <e v="#N/A"/>
    <e v="#N/A"/>
    <s v="TRANSFER OUT_"/>
  </r>
  <r>
    <s v="232"/>
    <m/>
    <x v="4"/>
    <s v="BOI-W0012408-458"/>
    <s v="EJ-Malang-01"/>
    <s v="Oka-0813-2707-1646"/>
    <d v="2024-08-26T00:00:00"/>
    <d v="1900-01-14T07:00:00"/>
    <s v="Other Subcon"/>
    <x v="0"/>
    <x v="4"/>
    <s v="ZTE2004"/>
    <s v="Meter"/>
    <n v="3000"/>
    <s v="BR006"/>
    <x v="63"/>
    <n v="0"/>
    <n v="0"/>
    <m/>
    <m/>
    <m/>
    <m/>
    <m/>
    <s v="Borrow From Midgo"/>
    <s v="H-ADSS 144C-2024826-01"/>
    <s v="MIDGO"/>
    <e v="#N/A"/>
    <e v="#N/A"/>
    <s v="OUTBOUND_H-ADSS 144C-2024826-01"/>
  </r>
  <r>
    <s v="233"/>
    <m/>
    <x v="0"/>
    <s v="INB-W0012408-459"/>
    <s v="EJ-Malang-01"/>
    <s v="Oka-0813-2707-1646"/>
    <d v="2024-08-27T00:00:00"/>
    <d v="1900-01-14T07:00:00"/>
    <s v="ZTE Warehouse"/>
    <x v="0"/>
    <x v="4"/>
    <s v="ZTE2004"/>
    <s v="Meter"/>
    <n v="3000"/>
    <s v="MF51-02"/>
    <x v="64"/>
    <n v="0"/>
    <n v="0"/>
    <m/>
    <m/>
    <m/>
    <m/>
    <m/>
    <m/>
    <s v="H-ADSS 144C-2024827-01"/>
    <s v="HUBFEEDER DALISODO WAGIR MALANG"/>
    <e v="#N/A"/>
    <e v="#N/A"/>
    <s v="OUTBOUND_H-ADSS 144C-2024827-01"/>
  </r>
  <r>
    <s v="234"/>
    <m/>
    <x v="0"/>
    <s v="INB-W0012408-459"/>
    <s v="EJ-Malang-01"/>
    <s v="Oka-0813-2707-1646"/>
    <d v="2024-08-27T00:00:00"/>
    <d v="1900-01-14T07:00:00"/>
    <s v="ZTE Warehouse"/>
    <x v="0"/>
    <x v="4"/>
    <s v="ZTE2004"/>
    <s v="Meter"/>
    <n v="3000"/>
    <s v="MF51-02"/>
    <x v="64"/>
    <m/>
    <m/>
    <m/>
    <m/>
    <m/>
    <m/>
    <m/>
    <m/>
    <s v="H-ADSS 144C-2024827-02"/>
    <s v="HUBFEEDER DALISODO WAGIR MALANG"/>
    <e v="#N/A"/>
    <e v="#N/A"/>
    <s v="OUTBOUND_H-ADSS 144C-2024827-02"/>
  </r>
  <r>
    <s v="235"/>
    <m/>
    <x v="0"/>
    <s v="INB-W0012408-464"/>
    <s v="EJ-Malang-01"/>
    <s v="Oka-0813-2707-1646"/>
    <d v="2024-08-27T00:00:00"/>
    <d v="1900-01-14T07:00:00"/>
    <s v="ZTE Warehouse"/>
    <x v="0"/>
    <x v="1"/>
    <s v="ZTE2001"/>
    <s v="Meter"/>
    <n v="3000"/>
    <m/>
    <x v="3"/>
    <n v="0"/>
    <n v="0"/>
    <m/>
    <m/>
    <m/>
    <m/>
    <m/>
    <m/>
    <s v="H-ADSS 24C-2024827-01"/>
    <n v="0"/>
    <e v="#N/A"/>
    <e v="#N/A"/>
    <s v="OUTBOUND_H-ADSS 24C-2024827-01"/>
  </r>
  <r>
    <s v="236"/>
    <m/>
    <x v="0"/>
    <s v="INB-W0012408-464"/>
    <s v="EJ-Malang-01"/>
    <s v="Oka-0813-2707-1646"/>
    <d v="2024-08-27T00:00:00"/>
    <d v="1900-01-14T07:00:00"/>
    <s v="ZTE Warehouse"/>
    <x v="0"/>
    <x v="1"/>
    <s v="ZTE2001"/>
    <s v="Meter"/>
    <n v="3000"/>
    <m/>
    <x v="3"/>
    <n v="0"/>
    <n v="0"/>
    <m/>
    <m/>
    <m/>
    <m/>
    <m/>
    <m/>
    <s v="H-ADSS 24C-2024827-02"/>
    <n v="0"/>
    <e v="#N/A"/>
    <e v="#N/A"/>
    <s v="OUTBOUND_H-ADSS 24C-2024827-02"/>
  </r>
  <r>
    <s v="237"/>
    <m/>
    <x v="0"/>
    <s v="INB-W0012408-464"/>
    <s v="EJ-Malang-01"/>
    <s v="Oka-0813-2707-1646"/>
    <d v="2024-08-27T00:00:00"/>
    <d v="1900-01-14T07:00:00"/>
    <s v="ZTE Warehouse"/>
    <x v="0"/>
    <x v="2"/>
    <s v="ZTE2003"/>
    <s v="Meter"/>
    <n v="3000"/>
    <s v="CLR51-99-115"/>
    <x v="65"/>
    <s v="DOEID240822C5"/>
    <s v="DNWID0342024082301"/>
    <m/>
    <m/>
    <m/>
    <m/>
    <m/>
    <m/>
    <s v="H-ADSS 48C-2024828-01"/>
    <s v="Sengguruh RW 01 Malang"/>
    <d v="2024-08-27T00:00:00"/>
    <b v="1"/>
    <s v="OUTBOUND_H-ADSS 48C-2024828-01"/>
  </r>
  <r>
    <s v="238"/>
    <m/>
    <x v="0"/>
    <s v="INB-W0012408-464"/>
    <s v="EJ-Malang-01"/>
    <s v="Oka-0813-2707-1646"/>
    <d v="2024-08-27T00:00:00"/>
    <d v="1900-01-14T07:00:00"/>
    <s v="ZTE Warehouse"/>
    <x v="0"/>
    <x v="2"/>
    <s v="ZTE2003"/>
    <s v="Meter"/>
    <n v="3000"/>
    <s v="CLR51-99-115"/>
    <x v="65"/>
    <s v="DOEID240822C5"/>
    <s v="DNWID0342024082301"/>
    <m/>
    <m/>
    <m/>
    <m/>
    <m/>
    <m/>
    <s v="H-ADSS 48C-2024828-02"/>
    <s v="Sengguruh RW 01 Malang"/>
    <d v="2024-08-27T00:00:00"/>
    <b v="1"/>
    <s v="OUTBOUND_H-ADSS 48C-2024828-02"/>
  </r>
  <r>
    <s v="239"/>
    <m/>
    <x v="0"/>
    <s v="INB-W0012408-464"/>
    <s v="EJ-Malang-01"/>
    <s v="Oka-0813-2707-1646"/>
    <d v="2024-08-27T00:00:00"/>
    <d v="1900-01-14T07:00:00"/>
    <s v="ZTE Warehouse"/>
    <x v="0"/>
    <x v="2"/>
    <s v="ZTE2003"/>
    <s v="Meter"/>
    <n v="3000"/>
    <s v="CLR51-99-115"/>
    <x v="65"/>
    <s v="DOEID240822C5"/>
    <s v="DNWID0342024082301"/>
    <m/>
    <m/>
    <m/>
    <m/>
    <m/>
    <m/>
    <s v="H-ADSS 48C-2024828-03"/>
    <s v="Sengguruh RW 01 Malang"/>
    <d v="2024-08-27T00:00:00"/>
    <b v="1"/>
    <s v="OUTBOUND_H-ADSS 48C-2024828-03"/>
  </r>
  <r>
    <s v="240"/>
    <m/>
    <x v="1"/>
    <s v="OUB-W0012408-469"/>
    <s v="EJ-Malang-01"/>
    <s v="Oka-0813-2707-1646"/>
    <d v="2024-08-29T00:00:00"/>
    <d v="1899-12-30T08:19:00"/>
    <s v="EJ-MALANG-01"/>
    <x v="0"/>
    <x v="2"/>
    <s v="ZTE2003"/>
    <s v="Meter"/>
    <n v="3000"/>
    <s v="CLR51-03-010"/>
    <x v="61"/>
    <m/>
    <m/>
    <m/>
    <s v="Nur Hidayat"/>
    <s v="Febby Supplier"/>
    <s v="3515141305930006"/>
    <s v="S 9102 AE"/>
    <s v="use 1400. 1600 masuk leftofer"/>
    <m/>
    <s v="Dusun Krajan Sumbersekar"/>
    <e v="#N/A"/>
    <e v="#N/A"/>
    <s v="OUTBOUND_"/>
  </r>
  <r>
    <s v="241"/>
    <m/>
    <x v="1"/>
    <s v="OUB-W0012408-471"/>
    <s v="EJ-Malang-01"/>
    <s v="Oka-0813-2707-1646"/>
    <d v="2024-08-30T00:00:00"/>
    <d v="1899-12-30T14:46:00"/>
    <s v="EJ-MALANG-01"/>
    <x v="0"/>
    <x v="4"/>
    <s v="ZTE2004"/>
    <s v="Meter"/>
    <n v="3000"/>
    <s v="MF51-05"/>
    <x v="66"/>
    <m/>
    <m/>
    <m/>
    <s v="Nur Hidayat"/>
    <s v="Febby Supplier"/>
    <s v="3515141305930006"/>
    <s v="S 9102 AE"/>
    <m/>
    <s v="H-ADSS 144C-2024826-01"/>
    <s v="HUBFEEDER DINOYO SUMBERSEKAR"/>
    <e v="#N/A"/>
    <e v="#N/A"/>
    <s v="OUTBOUND_H-ADSS 144C-2024826-01"/>
  </r>
  <r>
    <s v="242"/>
    <m/>
    <x v="1"/>
    <s v="OUB-W0012408-471"/>
    <s v="EJ-Malang-01"/>
    <s v="Oka-0813-2707-1646"/>
    <d v="2024-08-30T00:00:00"/>
    <d v="1899-12-30T14:46:00"/>
    <s v="EJ-MALANG-01"/>
    <x v="0"/>
    <x v="4"/>
    <s v="ZTE2004"/>
    <s v="Meter"/>
    <n v="3000"/>
    <s v="MF51-05"/>
    <x v="66"/>
    <m/>
    <m/>
    <m/>
    <s v="Nur Hidayat"/>
    <s v="Febby Supplier"/>
    <s v="3515141305930006"/>
    <s v="S 9102 AE"/>
    <m/>
    <s v="H-ADSS 144C-2024827-01"/>
    <s v="HUBFEEDER DINOYO SUMBERSEKAR"/>
    <e v="#N/A"/>
    <e v="#N/A"/>
    <s v="OUTBOUND_H-ADSS 144C-2024827-01"/>
  </r>
  <r>
    <s v="243"/>
    <m/>
    <x v="1"/>
    <s v="OUB-W0012408-470"/>
    <s v="EJ-Malang-01"/>
    <s v="Oka-0813-2707-1646"/>
    <d v="2024-08-30T00:00:00"/>
    <d v="1899-12-30T06:37:00"/>
    <s v="EJ-MALANG-01"/>
    <x v="0"/>
    <x v="2"/>
    <s v="ZTE2003"/>
    <s v="Meter"/>
    <n v="3000"/>
    <s v="CLR51-99-115"/>
    <x v="65"/>
    <m/>
    <m/>
    <m/>
    <s v="Riki Romansyah"/>
    <s v="Febby Supplier"/>
    <s v="3507050501950006"/>
    <s v="N 8420 EL"/>
    <s v="use 2525 , 475 masuk leftover"/>
    <m/>
    <s v="SENGGURUH RW 01 MALANG"/>
    <e v="#N/A"/>
    <e v="#N/A"/>
    <s v="OUTBOUND_"/>
  </r>
  <r>
    <s v="244"/>
    <m/>
    <x v="1"/>
    <s v="OUB-W0012408-473"/>
    <s v="EJ-Malang-01"/>
    <s v="Oka-0813-2707-1646"/>
    <d v="2024-08-31T00:00:00"/>
    <d v="1899-12-30T09:56:00"/>
    <s v="EJ-MALANG-01"/>
    <x v="0"/>
    <x v="4"/>
    <s v="ZTE2004"/>
    <s v="Meter"/>
    <n v="3000"/>
    <s v="MF51-05"/>
    <x v="66"/>
    <m/>
    <m/>
    <m/>
    <s v="Nur Hidayat"/>
    <s v="Febby Supplier"/>
    <s v="3515141305930006"/>
    <s v="S 9102 AE"/>
    <m/>
    <s v="H-ADSS 144C-2024827-02"/>
    <s v="HUBFEEDER DINOYO SUMBERSEKAR"/>
    <e v="#N/A"/>
    <e v="#N/A"/>
    <s v="OUTBOUND_H-ADSS 144C-2024827-02"/>
  </r>
  <r>
    <s v="245"/>
    <m/>
    <x v="0"/>
    <s v="INB-W0012408-477"/>
    <s v="EJ-Malang-01"/>
    <s v="Oka-0813-2707-1646"/>
    <d v="2024-08-31T00:00:00"/>
    <d v="1899-12-30T12:17:00"/>
    <s v="FIELD TEAM"/>
    <x v="1"/>
    <x v="1"/>
    <s v="ZTE2001"/>
    <s v="Meter"/>
    <n v="600"/>
    <s v="CLR51-99-115"/>
    <x v="65"/>
    <m/>
    <m/>
    <m/>
    <s v="Riki Romansyah"/>
    <s v="Febby Supplier"/>
    <s v="3507050501950006"/>
    <s v="N 8420 EL"/>
    <s v="use 1500+900, 600 masuk leftover"/>
    <s v="H-ADSS 24C-2024827-01"/>
    <s v="SENGGURUH RW 01 MALANG"/>
    <e v="#N/A"/>
    <e v="#N/A"/>
    <s v="OUTBOUND_H-ADSS 24C-2024827-01"/>
  </r>
  <r>
    <s v="246"/>
    <m/>
    <x v="1"/>
    <s v="OUB-W0012408-477"/>
    <s v="EJ-Malang-01"/>
    <s v="Oka-0813-2707-1646"/>
    <d v="2024-08-31T00:00:00"/>
    <d v="1899-12-30T12:17:00"/>
    <s v="EJ-MALANG-01"/>
    <x v="0"/>
    <x v="1"/>
    <s v="ZTE2001"/>
    <s v="Meter"/>
    <n v="3000"/>
    <s v="CLR51-99-115"/>
    <x v="65"/>
    <m/>
    <m/>
    <m/>
    <s v="Riki Romansyah"/>
    <s v="Febby Supplier"/>
    <s v="3507050501950006"/>
    <s v="N 8420 EL"/>
    <s v="use 1500+900, 600 masuk leftover"/>
    <s v="H-ADSS 24C-2024827-01"/>
    <s v="SENGGURUH RW 01 MALANG"/>
    <e v="#N/A"/>
    <e v="#N/A"/>
    <s v="OUTBOUND_H-ADSS 24C-2024827-01"/>
  </r>
  <r>
    <s v="247"/>
    <m/>
    <x v="1"/>
    <s v="OUB-W0012409-479"/>
    <s v="EJ-Malang-01"/>
    <s v="Oka-0813-2707-1646"/>
    <d v="2024-09-01T00:00:00"/>
    <d v="1899-12-30T14:17:00"/>
    <s v="EJ-MALANG-01"/>
    <x v="0"/>
    <x v="2"/>
    <s v="ZTE2003"/>
    <s v="Meter"/>
    <n v="3000"/>
    <s v="CLR51-99-115"/>
    <x v="65"/>
    <m/>
    <m/>
    <m/>
    <s v="Riki Romansyah"/>
    <s v="Febby Supplier"/>
    <s v="3507050501950006"/>
    <s v="N 8420 EL"/>
    <s v="use 1850 sisa 1150 masuk leftover"/>
    <m/>
    <s v="SENGGURUH RW 01 MALANG"/>
    <e v="#N/A"/>
    <e v="#N/A"/>
    <s v="OUTBOUND_"/>
  </r>
  <r>
    <s v="248"/>
    <m/>
    <x v="1"/>
    <s v="OUB-W0012409-483"/>
    <s v="EJ-Malang-01"/>
    <s v="Oka-0813-2707-1646"/>
    <d v="2024-09-03T00:00:00"/>
    <d v="1899-12-30T14:17:00"/>
    <s v="EJ-MALANG-01"/>
    <x v="0"/>
    <x v="1"/>
    <s v="ZTE2001"/>
    <s v="Meter"/>
    <n v="3000"/>
    <s v="CLR51-99-116"/>
    <x v="67"/>
    <m/>
    <m/>
    <m/>
    <s v="Riki Romansyah"/>
    <s v="Febby Supplier"/>
    <s v="3507050501950006"/>
    <s v="N 8420 EL"/>
    <n v="1025"/>
    <m/>
    <s v="SENGGURUH RW 02 MALANG"/>
    <e v="#N/A"/>
    <e v="#N/A"/>
    <s v="OUTBOUND_"/>
  </r>
  <r>
    <s v="249"/>
    <m/>
    <x v="1"/>
    <s v="OUB-W0012409-490"/>
    <s v="EJ-Malang-01"/>
    <s v="Oka-0813-2707-1646"/>
    <d v="2024-09-05T00:00:00"/>
    <d v="1899-12-30T14:17:00"/>
    <s v="EJ-MALANG-01"/>
    <x v="0"/>
    <x v="1"/>
    <s v="ZTE2001"/>
    <s v="Meter"/>
    <n v="3000"/>
    <s v="CLR51-99-118"/>
    <x v="68"/>
    <m/>
    <m/>
    <m/>
    <s v="Nur Hidayat"/>
    <s v="Febby Supplier"/>
    <s v="3515141305930006"/>
    <s v="S 9102 AE"/>
    <s v="975, 2025 masuk left over"/>
    <m/>
    <s v="NGENEP UTARA RW 03 MALANG"/>
    <e v="#N/A"/>
    <e v="#N/A"/>
    <s v="OUTBOUND_"/>
  </r>
  <r>
    <s v="250"/>
    <m/>
    <x v="1"/>
    <s v="OUB-W0012409-489"/>
    <s v="EJ-Malang-01"/>
    <s v="Oka-0813-2707-1646"/>
    <d v="2024-09-05T00:00:00"/>
    <d v="1899-12-30T10:07:00"/>
    <s v="EJ-MALANG-01"/>
    <x v="0"/>
    <x v="1"/>
    <s v="ZTE2001"/>
    <s v="Meter"/>
    <n v="3000"/>
    <s v="CLR51-99-116"/>
    <x v="67"/>
    <m/>
    <m/>
    <m/>
    <s v="Riki Romansyah"/>
    <s v="Febby Supplier"/>
    <s v="3507050501950006"/>
    <s v="N 8420 EL"/>
    <s v="use 1025, 1975 leftover"/>
    <m/>
    <s v="SENGGURUH RW 02 MALANG"/>
    <e v="#N/A"/>
    <e v="#N/A"/>
    <s v="OUTBOUND_"/>
  </r>
  <r>
    <s v="251"/>
    <m/>
    <x v="1"/>
    <s v="OUB-W0012409-496"/>
    <s v="EJ-Malang-01"/>
    <s v="Oka-0813-2707-1646"/>
    <d v="2024-09-07T00:00:00"/>
    <d v="1899-12-30T08:17:00"/>
    <s v="EJ-MALANG-01"/>
    <x v="0"/>
    <x v="2"/>
    <s v="ZTE2003"/>
    <s v="Meter"/>
    <n v="3000"/>
    <s v="CLR51-99-117"/>
    <x v="69"/>
    <m/>
    <m/>
    <m/>
    <s v="Riki Romansyah"/>
    <s v="Febby Supplier"/>
    <s v="3507050501950006"/>
    <s v="N 8420 EL"/>
    <s v="use 1750 sisa 1250 masuk leftover"/>
    <m/>
    <s v="SENGGURUH RW 03 MALANG"/>
    <e v="#N/A"/>
    <e v="#N/A"/>
    <s v="OUTBOUND_"/>
  </r>
  <r>
    <s v="252"/>
    <m/>
    <x v="3"/>
    <s v="TFI-W0012409-134"/>
    <s v="EJ-Malang-01"/>
    <s v="Oka-0813-2707-1646"/>
    <d v="2024-09-19T00:00:00"/>
    <d v="1899-12-30T19:00:00"/>
    <s v="FIELD TEAM"/>
    <x v="1"/>
    <x v="1"/>
    <s v="ZTE2001"/>
    <s v="Meter"/>
    <n v="62"/>
    <n v="0"/>
    <x v="70"/>
    <m/>
    <m/>
    <m/>
    <m/>
    <m/>
    <m/>
    <m/>
    <s v="0-62"/>
    <s v="A-005-62m"/>
    <s v="0-62"/>
    <e v="#N/A"/>
    <e v="#N/A"/>
    <s v="OUTBOUND_A-005-62m"/>
  </r>
  <r>
    <s v="253"/>
    <m/>
    <x v="3"/>
    <s v="TFI-W0012409-134"/>
    <s v="EJ-Malang-01"/>
    <s v="Oka-0813-2707-1646"/>
    <d v="2024-09-19T00:00:00"/>
    <d v="1899-12-30T19:00:00"/>
    <s v="FIELD TEAM"/>
    <x v="1"/>
    <x v="1"/>
    <s v="ZTE2001"/>
    <s v="Meter"/>
    <n v="87"/>
    <n v="0"/>
    <x v="70"/>
    <m/>
    <m/>
    <m/>
    <m/>
    <m/>
    <m/>
    <m/>
    <s v="0-87"/>
    <s v="A-006-87m"/>
    <s v="0-87"/>
    <e v="#N/A"/>
    <e v="#N/A"/>
    <s v="OUTBOUND_A-006-87m"/>
  </r>
  <r>
    <s v="254"/>
    <m/>
    <x v="3"/>
    <s v="TFI-W0012409-134"/>
    <s v="EJ-Malang-01"/>
    <s v="Oka-0813-2707-1646"/>
    <d v="2024-09-19T00:00:00"/>
    <d v="1899-12-30T19:00:00"/>
    <s v="FIELD TEAM"/>
    <x v="1"/>
    <x v="2"/>
    <s v="ZTE2003"/>
    <s v="Meter"/>
    <n v="64"/>
    <n v="0"/>
    <x v="70"/>
    <m/>
    <m/>
    <m/>
    <m/>
    <m/>
    <m/>
    <m/>
    <s v="0-64"/>
    <s v="B-003-64m"/>
    <s v="0-64"/>
    <e v="#N/A"/>
    <e v="#N/A"/>
    <s v="OUTBOUND_B-003-64m"/>
  </r>
  <r>
    <s v="255"/>
    <m/>
    <x v="0"/>
    <s v="INB-W0012409-505"/>
    <s v="EJ-Malang-01"/>
    <s v="Oka-0813-2707-1646"/>
    <d v="2024-09-20T00:00:00"/>
    <d v="1900-01-14T07:00:00"/>
    <s v="ZTE Warehouse"/>
    <x v="0"/>
    <x v="4"/>
    <s v="ZTE2004"/>
    <s v="Meter"/>
    <n v="3000"/>
    <s v="MF51-05"/>
    <x v="71"/>
    <n v="0"/>
    <n v="0"/>
    <m/>
    <m/>
    <m/>
    <m/>
    <m/>
    <m/>
    <s v="H-ADSS 144C-2024920-01"/>
    <s v="Main Feeder - OLT Smart Malang   Segment 8 to Sumbersekar"/>
    <e v="#N/A"/>
    <e v="#N/A"/>
    <s v="OUTBOUND_H-ADSS 144C-2024920-01"/>
  </r>
  <r>
    <s v="256"/>
    <m/>
    <x v="0"/>
    <s v="INB-W0012409-505"/>
    <s v="EJ-Malang-01"/>
    <s v="Oka-0813-2707-1646"/>
    <d v="2024-09-20T00:00:00"/>
    <d v="1900-01-14T07:00:00"/>
    <s v="ZTE Warehouse"/>
    <x v="0"/>
    <x v="4"/>
    <s v="ZTE2004"/>
    <s v="Meter"/>
    <n v="3000"/>
    <s v="MF51-05"/>
    <x v="71"/>
    <m/>
    <m/>
    <m/>
    <m/>
    <m/>
    <m/>
    <m/>
    <m/>
    <s v="H-ADSS 144C-2024920-02"/>
    <s v="Main Feeder - OLT Smart Malang   Segment 8 to Sumbersekar"/>
    <e v="#N/A"/>
    <e v="#N/A"/>
    <s v="OUTBOUND_H-ADSS 144C-2024920-02"/>
  </r>
  <r>
    <s v="257"/>
    <m/>
    <x v="0"/>
    <s v="INB-W0012409-505"/>
    <s v="EJ-Malang-01"/>
    <s v="Oka-0813-2707-1646"/>
    <d v="2024-09-20T00:00:00"/>
    <d v="1900-01-14T07:00:00"/>
    <s v="ZTE Warehouse"/>
    <x v="0"/>
    <x v="1"/>
    <s v="ZTE2001"/>
    <s v="Meter"/>
    <n v="3000"/>
    <m/>
    <x v="3"/>
    <n v="0"/>
    <n v="0"/>
    <m/>
    <m/>
    <m/>
    <m/>
    <m/>
    <m/>
    <s v="H-ADSS 24C-2024920-01"/>
    <n v="0"/>
    <e v="#N/A"/>
    <e v="#N/A"/>
    <s v="OUTBOUND_H-ADSS 24C-2024920-01"/>
  </r>
  <r>
    <s v="258"/>
    <m/>
    <x v="0"/>
    <s v="INB-W0012409-505"/>
    <s v="EJ-Malang-01"/>
    <s v="Oka-0813-2707-1646"/>
    <d v="2024-09-20T00:00:00"/>
    <d v="1900-01-14T07:00:00"/>
    <s v="ZTE Warehouse"/>
    <x v="0"/>
    <x v="2"/>
    <s v="ZTE2003"/>
    <s v="Meter"/>
    <n v="3000"/>
    <s v="CLR51-03-006"/>
    <x v="72"/>
    <s v="DOEID24092015"/>
    <s v="DNWID0342024092001"/>
    <m/>
    <m/>
    <m/>
    <m/>
    <m/>
    <m/>
    <s v="H-ADSS 48C-2024920-01"/>
    <s v="Dusun Mojosari Ngenep"/>
    <d v="2024-09-20T00:00:00"/>
    <b v="1"/>
    <s v="OUTBOUND_H-ADSS 48C-2024920-01"/>
  </r>
  <r>
    <s v="259"/>
    <m/>
    <x v="0"/>
    <s v="INB-W0012409-505"/>
    <s v="EJ-Malang-01"/>
    <s v="Oka-0813-2707-1646"/>
    <d v="2024-09-20T00:00:00"/>
    <d v="1900-01-14T07:00:00"/>
    <s v="ZTE Warehouse"/>
    <x v="0"/>
    <x v="2"/>
    <s v="ZTE2003"/>
    <s v="Meter"/>
    <n v="3000"/>
    <s v="CLR51-03-006"/>
    <x v="72"/>
    <s v="DOEID24092015"/>
    <s v="DNWID0342024092001"/>
    <m/>
    <m/>
    <m/>
    <m/>
    <m/>
    <m/>
    <s v="H-ADSS 48C-2024920-02"/>
    <s v="Dusun Mojosari Ngenep"/>
    <d v="2024-09-20T00:00:00"/>
    <b v="1"/>
    <s v="OUTBOUND_H-ADSS 48C-2024920-02"/>
  </r>
  <r>
    <s v="260"/>
    <m/>
    <x v="1"/>
    <s v="OUB-W0012409-508"/>
    <s v="EJ-Malang-01"/>
    <s v="Oka-0813-2707-1646"/>
    <d v="2024-09-21T00:00:00"/>
    <d v="1899-12-30T17:10:00"/>
    <s v="EJ-MALANG-01"/>
    <x v="0"/>
    <x v="4"/>
    <s v="ZTE2004"/>
    <s v="Meter"/>
    <n v="3000"/>
    <s v="MF51-05"/>
    <x v="66"/>
    <m/>
    <m/>
    <m/>
    <s v="Dimas"/>
    <s v="Febby Supplier"/>
    <s v="3573032509800005"/>
    <s v="N 9454 BA"/>
    <s v="Transfer"/>
    <s v="H-ADSS 144C-2024920-01"/>
    <s v="HUBFEEDER DINOYO SUMBERSEKAR"/>
    <e v="#N/A"/>
    <e v="#N/A"/>
    <s v="OUTBOUND_H-ADSS 144C-2024920-01"/>
  </r>
  <r>
    <s v="261"/>
    <m/>
    <x v="1"/>
    <s v="OUB-W0012409-517"/>
    <s v="EJ-Malang-01"/>
    <s v="Oka-0813-2707-1646"/>
    <d v="2024-09-26T00:00:00"/>
    <d v="1899-12-30T15:23:00"/>
    <s v="EJ-MALANG-01"/>
    <x v="0"/>
    <x v="1"/>
    <s v="ZTE2001"/>
    <s v="Meter"/>
    <n v="3000"/>
    <s v="CLR51-03-006"/>
    <x v="72"/>
    <m/>
    <m/>
    <m/>
    <s v="Fatkur"/>
    <s v="Fatkur"/>
    <s v="1812010507910004"/>
    <s v="AE 8322  NH"/>
    <m/>
    <m/>
    <s v="Dusun Mojosari Ngenep"/>
    <e v="#N/A"/>
    <e v="#N/A"/>
    <s v="OUTBOUND_"/>
  </r>
  <r>
    <s v="262"/>
    <m/>
    <x v="1"/>
    <s v="OUB-W0012409-517"/>
    <s v="EJ-Malang-01"/>
    <s v="Oka-0813-2707-1646"/>
    <d v="2024-09-26T00:00:00"/>
    <d v="1899-12-30T15:23:00"/>
    <s v="EJ-MALANG-01"/>
    <x v="0"/>
    <x v="1"/>
    <s v="ZTE2001"/>
    <s v="Meter"/>
    <n v="3000"/>
    <s v="CLR51-99-122"/>
    <x v="73"/>
    <m/>
    <m/>
    <m/>
    <s v="Fatkur"/>
    <s v="Fatkur"/>
    <s v="1812010507910004"/>
    <s v="AE 8322  NH"/>
    <m/>
    <m/>
    <s v="Ngenep RW 10 Malang"/>
    <e v="#N/A"/>
    <e v="#N/A"/>
    <s v="OUTBOUND_"/>
  </r>
  <r>
    <s v="263"/>
    <m/>
    <x v="1"/>
    <s v="OUB-W0012409-513"/>
    <s v="EJ-Malang-01"/>
    <s v="Oka-0813-2707-1646"/>
    <d v="2024-09-26T00:00:00"/>
    <d v="1899-12-30T16:21:00"/>
    <s v="EJ-MALANG-01"/>
    <x v="0"/>
    <x v="2"/>
    <s v="ZTE2003"/>
    <s v="Meter"/>
    <n v="3000"/>
    <s v="CLR51-03-006"/>
    <x v="72"/>
    <m/>
    <m/>
    <m/>
    <s v="Fatkur"/>
    <s v="Fatkur"/>
    <s v="1812010507910004"/>
    <s v="AE 8322  NH"/>
    <m/>
    <m/>
    <s v="Dusun Mojosari Ngenep"/>
    <e v="#N/A"/>
    <e v="#N/A"/>
    <s v="OUTBOUND_"/>
  </r>
  <r>
    <s v="264"/>
    <m/>
    <x v="1"/>
    <s v="OUB-W0012410-527"/>
    <s v="EJ-Malang-01"/>
    <s v="Oka-0813-2707-1646"/>
    <d v="2024-10-18T00:00:00"/>
    <d v="1899-12-30T09:10:00"/>
    <s v="EJ-MALANG-01"/>
    <x v="0"/>
    <x v="4"/>
    <s v="ZTE2004"/>
    <s v="Meter"/>
    <n v="3000"/>
    <s v="MF51-06"/>
    <x v="74"/>
    <m/>
    <m/>
    <m/>
    <s v="Sulistiono"/>
    <s v="Susilo"/>
    <s v="3575032104720001"/>
    <s v="N 9586 WC"/>
    <m/>
    <s v="H-ADSS 144C-2024920-02"/>
    <s v="Mainfeeder Singosari Segment 3"/>
    <e v="#N/A"/>
    <e v="#N/A"/>
    <s v="OUTBOUND_H-ADSS 144C-2024920-02"/>
  </r>
  <r>
    <s v="265"/>
    <m/>
    <x v="0"/>
    <s v="INB-W0012410-529"/>
    <s v="EJ-Malang-01"/>
    <s v="Oka-0813-2707-1646"/>
    <d v="2024-10-23T00:00:00"/>
    <d v="1900-01-14T07:00:00"/>
    <s v="ZTE Warehouse"/>
    <x v="0"/>
    <x v="4"/>
    <s v="ZTE2004"/>
    <s v="Meter"/>
    <n v="3000"/>
    <s v="MF51-06"/>
    <x v="74"/>
    <s v="DOEID24102314"/>
    <s v="DNWID0342024102301"/>
    <m/>
    <m/>
    <m/>
    <m/>
    <m/>
    <m/>
    <s v="H-ADSS 144C-20241023-01"/>
    <s v="Mainfeeder Singosari Segment 3"/>
    <d v="2024-10-23T00:00:00"/>
    <b v="1"/>
    <s v="OUTBOUND_H-ADSS 144C-20241023-01"/>
  </r>
  <r>
    <s v="266"/>
    <m/>
    <x v="0"/>
    <s v="INB-W0012410-529"/>
    <s v="EJ-Malang-01"/>
    <s v="Oka-0813-2707-1646"/>
    <d v="2024-10-23T00:00:00"/>
    <d v="1900-01-14T07:00:00"/>
    <s v="ZTE Warehouse"/>
    <x v="0"/>
    <x v="4"/>
    <s v="ZTE2004"/>
    <s v="Meter"/>
    <n v="3000"/>
    <s v="MF51-06"/>
    <x v="74"/>
    <s v="DOEID24102314"/>
    <s v="DNWID0342024102301"/>
    <m/>
    <m/>
    <m/>
    <m/>
    <m/>
    <m/>
    <s v="H-ADSS 144C-20241023-02"/>
    <s v="Mainfeeder Singosari Segment 3"/>
    <d v="2024-10-23T00:00:00"/>
    <b v="1"/>
    <s v="OUTBOUND_H-ADSS 144C-20241023-02"/>
  </r>
  <r>
    <s v="267"/>
    <m/>
    <x v="1"/>
    <s v="OUB-W0012410-532"/>
    <s v="EJ-Malang-01"/>
    <s v="Oka-0813-2707-1646"/>
    <d v="2024-10-25T00:00:00"/>
    <d v="1899-12-30T19:09:00"/>
    <s v="EJ-MALANG-01"/>
    <x v="0"/>
    <x v="4"/>
    <s v="ZTE2004"/>
    <s v="Meter"/>
    <n v="3000"/>
    <s v="MF51-07"/>
    <x v="75"/>
    <m/>
    <m/>
    <m/>
    <s v="Sulistiono"/>
    <s v="Susilo"/>
    <s v="3575032104720001"/>
    <s v="N 9586 WC"/>
    <m/>
    <s v="H-ADSS 144C-20241023-01"/>
    <s v="HUBFEEDER KLAMPOK"/>
    <e v="#N/A"/>
    <e v="#N/A"/>
    <s v="OUTBOUND_H-ADSS 144C-20241023-01"/>
  </r>
  <r>
    <s v="268"/>
    <m/>
    <x v="1"/>
    <s v="OUB-W0012410-533"/>
    <s v="EJ-Malang-01"/>
    <s v="Oka-0813-2707-1646"/>
    <d v="2024-10-28T00:00:00"/>
    <d v="1899-12-30T09:10:00"/>
    <s v="EJ-MALANG-01"/>
    <x v="0"/>
    <x v="4"/>
    <s v="ZTE2004"/>
    <s v="Meter"/>
    <n v="3000"/>
    <s v="MF51-06"/>
    <x v="74"/>
    <m/>
    <m/>
    <m/>
    <s v="Sulistiono"/>
    <s v="Susilo"/>
    <s v="3575032104720001"/>
    <s v="N 9586 WC"/>
    <m/>
    <s v="H-ADSS 144C-20241023-02"/>
    <s v="Mainfeeder Singosari Segment 3"/>
    <e v="#N/A"/>
    <e v="#N/A"/>
    <s v="OUTBOUND_H-ADSS 144C-20241023-02"/>
  </r>
  <r>
    <s v="269"/>
    <m/>
    <x v="0"/>
    <s v="INB-W0012411-548"/>
    <s v="EJ-Malang-01"/>
    <s v="Oka-0813-2707-1646"/>
    <d v="2024-11-06T00:00:00"/>
    <d v="1900-01-14T07:00:00"/>
    <s v="ZTE Warehouse"/>
    <x v="0"/>
    <x v="4"/>
    <s v="ZTE2004"/>
    <s v="Meter"/>
    <n v="3000"/>
    <s v="MF51-07"/>
    <x v="75"/>
    <s v="DOEID241029AJ"/>
    <s v="DNWID0342024102907"/>
    <m/>
    <m/>
    <m/>
    <m/>
    <m/>
    <m/>
    <s v="H-ADSS 144C-2024117-01"/>
    <s v="HUBFEEDER KLAMPOK"/>
    <d v="2024-11-06T00:00:00"/>
    <b v="1"/>
    <s v="OUTBOUND_H-ADSS 144C-2024117-01"/>
  </r>
  <r>
    <s v="270"/>
    <m/>
    <x v="0"/>
    <s v="INB-W0012411-548"/>
    <s v="EJ-Malang-01"/>
    <s v="Oka-0813-2707-1646"/>
    <d v="2024-11-06T00:00:00"/>
    <d v="1900-01-14T07:00:00"/>
    <s v="ZTE Warehouse"/>
    <x v="0"/>
    <x v="1"/>
    <s v="ZTE2001"/>
    <s v="Meter"/>
    <n v="3000"/>
    <s v="CLR51-01-009"/>
    <x v="76"/>
    <s v="DOEID24110550"/>
    <s v="DNWID0342024110505"/>
    <m/>
    <m/>
    <m/>
    <m/>
    <m/>
    <m/>
    <s v="H-ADSS 24C-2024117-02"/>
    <s v="Kalirejo RW 13 Lawang"/>
    <d v="2024-11-06T00:00:00"/>
    <b v="1"/>
    <s v="OUTBOUND_H-ADSS 24C-2024117-02"/>
  </r>
  <r>
    <s v="271"/>
    <m/>
    <x v="0"/>
    <s v="INB-W0012411-548"/>
    <s v="EJ-Malang-01"/>
    <s v="Oka-0813-2707-1646"/>
    <d v="2024-11-06T00:00:00"/>
    <d v="1900-01-14T07:00:00"/>
    <s v="ZTE Warehouse"/>
    <x v="0"/>
    <x v="1"/>
    <s v="ZTE2001"/>
    <s v="Meter"/>
    <n v="3000"/>
    <s v="CLR51-99-123"/>
    <x v="77"/>
    <s v="DOEID24110552"/>
    <s v="DNWID0342024110504"/>
    <m/>
    <m/>
    <m/>
    <m/>
    <m/>
    <m/>
    <s v="H-ADSS 24C-2024117-01"/>
    <s v="Tambakasri RW 02 Tajinan"/>
    <d v="2024-11-06T00:00:00"/>
    <b v="1"/>
    <s v="OUTBOUND_H-ADSS 24C-2024117-01"/>
  </r>
  <r>
    <s v="272"/>
    <m/>
    <x v="0"/>
    <s v="INB-W0012411-548"/>
    <s v="EJ-Malang-01"/>
    <s v="Oka-0813-2707-1646"/>
    <d v="2024-11-06T00:00:00"/>
    <d v="1900-01-14T07:00:00"/>
    <s v="ZTE Warehouse"/>
    <x v="0"/>
    <x v="2"/>
    <s v="ZTE2003"/>
    <s v="Meter"/>
    <n v="3000"/>
    <s v="CLR51-01-009"/>
    <x v="76"/>
    <s v="DOEID24110550"/>
    <s v="DNWID0342024110505"/>
    <m/>
    <m/>
    <m/>
    <m/>
    <m/>
    <m/>
    <s v="H-ADSS 48C-2024117-01"/>
    <s v="Kalirejo RW 13 Lawang"/>
    <d v="2024-11-06T00:00:00"/>
    <b v="1"/>
    <s v="OUTBOUND_H-ADSS 48C-2024117-01"/>
  </r>
  <r>
    <s v="273"/>
    <m/>
    <x v="0"/>
    <s v="INB-W0012411-548"/>
    <s v="EJ-Malang-01"/>
    <s v="Oka-0813-2707-1646"/>
    <d v="2024-11-06T00:00:00"/>
    <d v="1900-01-14T07:00:00"/>
    <s v="ZTE Warehouse"/>
    <x v="0"/>
    <x v="2"/>
    <s v="ZTE2003"/>
    <s v="Meter"/>
    <n v="3000"/>
    <s v="CLR51-01-009"/>
    <x v="76"/>
    <s v="DOEID24110550"/>
    <s v="DNWID0342024110505"/>
    <m/>
    <m/>
    <m/>
    <m/>
    <m/>
    <m/>
    <s v="H-ADSS 48C-2024117-02"/>
    <s v="Kalirejo RW 13 Lawang"/>
    <d v="2024-11-06T00:00:00"/>
    <b v="1"/>
    <s v="OUTBOUND_H-ADSS 48C-2024117-02"/>
  </r>
  <r>
    <s v="274"/>
    <m/>
    <x v="2"/>
    <s v="TFO-W0012411-555"/>
    <s v="EJ-Malang-01"/>
    <s v="Oka-0813-2707-1646"/>
    <d v="2024-11-20T00:00:00"/>
    <d v="1899-12-30T22:10:00"/>
    <s v="EJ-KEDIRI-01"/>
    <x v="0"/>
    <x v="2"/>
    <s v="ZTE2003"/>
    <s v="Meter"/>
    <n v="3000"/>
    <s v="T001"/>
    <x v="78"/>
    <m/>
    <m/>
    <m/>
    <s v="Gunawanto"/>
    <n v="0"/>
    <s v="3506152909920001"/>
    <s v="AG 8016 EN"/>
    <m/>
    <m/>
    <s v="Kediri"/>
    <e v="#N/A"/>
    <e v="#N/A"/>
    <s v="TRANSFER OUT_"/>
  </r>
  <r>
    <s v="275"/>
    <m/>
    <x v="1"/>
    <s v="OUB-W0012411-557"/>
    <s v="EJ-Malang-01"/>
    <s v="Oka-0813-2707-1646"/>
    <d v="2024-11-21T00:00:00"/>
    <d v="1899-12-30T14:07:00"/>
    <s v="EJ-MALANG-01"/>
    <x v="0"/>
    <x v="1"/>
    <s v="ZTE2001"/>
    <s v="Meter"/>
    <n v="3000"/>
    <s v="CLR51-01-009"/>
    <x v="79"/>
    <m/>
    <m/>
    <m/>
    <s v="Riki Romansyah"/>
    <s v="Susilo"/>
    <s v="3507050501950006"/>
    <s v="N 8420 EL"/>
    <m/>
    <m/>
    <s v="Kalirejo RW 13 Lawang Malang"/>
    <e v="#N/A"/>
    <e v="#N/A"/>
    <s v="OUTBOUND_"/>
  </r>
  <r>
    <s v="276"/>
    <m/>
    <x v="0"/>
    <s v="INB-W0012411-142"/>
    <s v="EJ-Malang-01"/>
    <s v="Oka-0813-2707-1646"/>
    <d v="2024-11-21T00:00:00"/>
    <d v="1899-12-30T10:35:00"/>
    <s v="FIELD TEAM"/>
    <x v="1"/>
    <x v="1"/>
    <s v="ZTE2001"/>
    <s v="Meter"/>
    <n v="350"/>
    <m/>
    <x v="3"/>
    <m/>
    <m/>
    <m/>
    <m/>
    <m/>
    <m/>
    <m/>
    <m/>
    <s v="A-054-350m"/>
    <s v="0-350"/>
    <e v="#N/A"/>
    <e v="#N/A"/>
    <s v="OUTBOUND_A-054-350m"/>
  </r>
  <r>
    <s v="277"/>
    <m/>
    <x v="1"/>
    <s v="OUB-W0012411-556"/>
    <s v="EJ-Malang-01"/>
    <s v="Oka-0813-2707-1646"/>
    <d v="2024-11-21T00:00:00"/>
    <d v="1899-12-30T10:35:00"/>
    <s v="EJ-MALANG-01"/>
    <x v="0"/>
    <x v="2"/>
    <s v="ZTE2003"/>
    <s v="Meter"/>
    <n v="3000"/>
    <s v="CLR51-99-049"/>
    <x v="80"/>
    <m/>
    <m/>
    <m/>
    <s v="Alexander puji krismanto"/>
    <s v="Fatkur"/>
    <s v="1812022707900006"/>
    <s v="AG 8030 KG"/>
    <s v="use 2005 , 995 masuk left over"/>
    <m/>
    <s v="Perumahan Panca Garden"/>
    <e v="#N/A"/>
    <e v="#N/A"/>
    <s v="OUTBOUND_"/>
  </r>
  <r>
    <s v="278"/>
    <m/>
    <x v="0"/>
    <s v="INB-W0012411-142"/>
    <s v="EJ-Malang-01"/>
    <s v="Oka-0813-2707-1646"/>
    <d v="2024-11-21T00:00:00"/>
    <d v="1899-12-30T10:35:00"/>
    <s v="FIELD TEAM"/>
    <x v="1"/>
    <x v="2"/>
    <s v="ZTE2003"/>
    <s v="Meter"/>
    <n v="995"/>
    <s v="CLR51-99-049"/>
    <x v="80"/>
    <m/>
    <m/>
    <m/>
    <s v="Alexander puji krismanto"/>
    <n v="0"/>
    <s v="1812022707900006"/>
    <s v="AG 8030 KG"/>
    <s v="use 2005 , 995 masuk left over"/>
    <s v="B-014-995m"/>
    <s v="1355-2350"/>
    <e v="#N/A"/>
    <e v="#N/A"/>
    <s v="OUTBOUND_B-014-995m"/>
  </r>
  <r>
    <s v="279"/>
    <m/>
    <x v="1"/>
    <s v="OUB-W0012411-558"/>
    <s v="EJ-Malang-01"/>
    <s v="Oka-0813-2707-1646"/>
    <d v="2024-11-22T00:00:00"/>
    <d v="1899-12-30T09:30:00"/>
    <s v="EJ-MALANG-01"/>
    <x v="0"/>
    <x v="2"/>
    <s v="ZTE2003"/>
    <s v="Meter"/>
    <n v="3000"/>
    <s v="CLR51-99-124"/>
    <x v="17"/>
    <m/>
    <m/>
    <m/>
    <s v="Riki Romansyah"/>
    <s v="Susilo"/>
    <s v="3507050501950006"/>
    <s v="N 8420 EL"/>
    <m/>
    <m/>
    <s v="Perumahan Bukit Lawang Indah Malang"/>
    <e v="#N/A"/>
    <e v="#N/A"/>
    <s v="OUTBOUND_"/>
  </r>
  <r>
    <s v="280"/>
    <m/>
    <x v="0"/>
    <s v="INB-W0012411-563"/>
    <s v="EJ-Malang-01"/>
    <s v="Oka-0813-2707-1646"/>
    <d v="2024-11-26T00:00:00"/>
    <d v="1900-01-14T07:00:00"/>
    <s v="ZTE Warehouse"/>
    <x v="0"/>
    <x v="1"/>
    <s v="ZTE2001"/>
    <s v="Meter"/>
    <n v="3000"/>
    <s v="CLR51-09-010"/>
    <x v="81"/>
    <s v="DOEID241121BN"/>
    <s v="DNWID0342024112205"/>
    <m/>
    <m/>
    <m/>
    <m/>
    <m/>
    <m/>
    <s v="H-ADSS 24C-20241126-02"/>
    <s v="Bedali RW 03 Kromengan"/>
    <d v="2024-11-26T00:00:00"/>
    <b v="1"/>
    <s v="OUTBOUND_H-ADSS 24C-20241126-02"/>
  </r>
  <r>
    <s v="281"/>
    <m/>
    <x v="0"/>
    <s v="INB-W0012411-563"/>
    <s v="EJ-Malang-01"/>
    <s v="Oka-0813-2707-1646"/>
    <d v="2024-11-26T00:00:00"/>
    <d v="1900-01-14T07:00:00"/>
    <s v="ZTE Warehouse"/>
    <x v="0"/>
    <x v="1"/>
    <s v="ZTE2001"/>
    <s v="Meter"/>
    <n v="3000"/>
    <s v="CLR51-09-011"/>
    <x v="82"/>
    <s v="DOEID241121BP"/>
    <s v="DNWID0342024112204"/>
    <m/>
    <m/>
    <m/>
    <m/>
    <m/>
    <m/>
    <s v="H-ADSS 24C-20241126-03"/>
    <s v="BEDALI RW 04 MALANG"/>
    <d v="2024-11-26T00:00:00"/>
    <b v="1"/>
    <s v="OUTBOUND_H-ADSS 24C-20241126-03"/>
  </r>
  <r>
    <s v="282"/>
    <m/>
    <x v="0"/>
    <s v="INB-W0012411-563"/>
    <s v="EJ-Malang-01"/>
    <s v="Oka-0813-2707-1646"/>
    <d v="2024-11-26T00:00:00"/>
    <d v="1900-01-14T07:00:00"/>
    <s v="ZTE Warehouse"/>
    <x v="0"/>
    <x v="1"/>
    <s v="ZTE2001"/>
    <s v="Meter"/>
    <n v="3000"/>
    <s v="CLR51-09-012"/>
    <x v="83"/>
    <s v="DOEID241121BR"/>
    <s v="DNWID0342024112203"/>
    <m/>
    <m/>
    <m/>
    <m/>
    <m/>
    <m/>
    <s v="H-ADSS 24C-20241126-01"/>
    <s v="Bedali RW 05 Kromengan"/>
    <d v="2024-11-26T00:00:00"/>
    <b v="1"/>
    <s v="OUTBOUND_H-ADSS 24C-20241126-01"/>
  </r>
  <r>
    <s v="283"/>
    <m/>
    <x v="1"/>
    <s v="OUB-W0012411-566"/>
    <s v="EJ-Malang-01"/>
    <s v="Oka-0813-2707-1646"/>
    <d v="2024-11-26T00:00:00"/>
    <d v="1899-12-30T09:30:00"/>
    <s v="EJ-MALANG-01"/>
    <x v="0"/>
    <x v="1"/>
    <s v="ZTE2001"/>
    <s v="Meter"/>
    <n v="3000"/>
    <s v="CLR51-09-010"/>
    <x v="81"/>
    <m/>
    <m/>
    <m/>
    <s v="Riki Romansyah"/>
    <s v="Susilo"/>
    <s v="3507050501950006"/>
    <s v="N 8420 EL"/>
    <m/>
    <m/>
    <s v="Bedali RW 03 Kromengan"/>
    <e v="#N/A"/>
    <e v="#N/A"/>
    <s v="OUTBOUND_"/>
  </r>
  <r>
    <s v="284"/>
    <m/>
    <x v="0"/>
    <s v="INB-W0012411-563"/>
    <s v="EJ-Malang-01"/>
    <s v="Oka-0813-2707-1646"/>
    <d v="2024-11-26T00:00:00"/>
    <d v="1900-01-14T07:00:00"/>
    <s v="ZTE Warehouse"/>
    <x v="0"/>
    <x v="2"/>
    <s v="ZTE2003"/>
    <s v="Meter"/>
    <n v="3000"/>
    <s v="CLR51-09-011"/>
    <x v="84"/>
    <s v="DOEID241121BP"/>
    <s v="DNWID0342024112204"/>
    <m/>
    <m/>
    <m/>
    <m/>
    <m/>
    <m/>
    <s v="H-ADSS 48C-20241126-01"/>
    <s v="Bedali RW 04 Kromengan"/>
    <d v="2024-11-26T00:00:00"/>
    <b v="1"/>
    <s v="OUTBOUND_H-ADSS 48C-20241126-01"/>
  </r>
  <r>
    <s v="285"/>
    <m/>
    <x v="0"/>
    <s v="INB-W0012411-563"/>
    <s v="EJ-Malang-01"/>
    <s v="Oka-0813-2707-1646"/>
    <d v="2024-11-26T00:00:00"/>
    <d v="1900-01-14T07:00:00"/>
    <s v="ZTE Warehouse"/>
    <x v="0"/>
    <x v="2"/>
    <s v="ZTE2003"/>
    <s v="Meter"/>
    <n v="3000"/>
    <s v="CLR51-99-124"/>
    <x v="85"/>
    <s v="DOEID24112584"/>
    <s v="DNWID0342024112505"/>
    <m/>
    <m/>
    <m/>
    <m/>
    <m/>
    <m/>
    <s v="H-ADSS 48C-20241126-02"/>
    <s v="Perumahan Bukit Lawang Indah Malang"/>
    <d v="2024-11-26T00:00:00"/>
    <b v="1"/>
    <s v="OUTBOUND_H-ADSS 48C-20241126-02"/>
  </r>
  <r>
    <s v="286"/>
    <m/>
    <x v="1"/>
    <s v="OUB-W0012412-571"/>
    <s v="EJ-Malang-01"/>
    <s v="Oka-0813-2707-1646"/>
    <d v="2024-12-01T00:00:00"/>
    <d v="1899-12-30T09:30:00"/>
    <s v="EJ-MALANG-01"/>
    <x v="0"/>
    <x v="1"/>
    <s v="ZTE2001"/>
    <s v="Meter"/>
    <n v="3000"/>
    <s v="CLR51-09-011"/>
    <x v="82"/>
    <m/>
    <m/>
    <m/>
    <s v="Riki Romansyah"/>
    <s v="Susilo"/>
    <s v="3507050501950006"/>
    <s v="N 8420 EL"/>
    <m/>
    <m/>
    <s v="BEDALI RW 04 MALANG"/>
    <e v="#N/A"/>
    <e v="#N/A"/>
    <s v="OUTBOUND_"/>
  </r>
  <r>
    <s v="287"/>
    <m/>
    <x v="1"/>
    <s v="OUB-W0012412-571"/>
    <s v="EJ-Malang-01"/>
    <s v="Oka-0813-2707-1646"/>
    <d v="2024-12-01T00:00:00"/>
    <d v="1899-12-30T09:30:00"/>
    <s v="EJ-MALANG-01"/>
    <x v="0"/>
    <x v="1"/>
    <s v="ZTE2001"/>
    <s v="Meter"/>
    <n v="3000"/>
    <s v="CLR51-09-012"/>
    <x v="83"/>
    <m/>
    <m/>
    <m/>
    <s v="Riki Romansyah"/>
    <s v="Susilo"/>
    <s v="3507050501950006"/>
    <s v="N 8420 EL"/>
    <m/>
    <m/>
    <s v="Bedali RW 05 Kromengan"/>
    <e v="#N/A"/>
    <e v="#N/A"/>
    <s v="OUTBOUND_"/>
  </r>
  <r>
    <s v="288"/>
    <m/>
    <x v="1"/>
    <s v="OUB-W0012412-575"/>
    <s v="EJ-Malang-01"/>
    <s v="Oka-0813-2707-1646"/>
    <d v="2024-12-14T00:00:00"/>
    <d v="1899-12-30T11:39:00"/>
    <s v="EJ-MALANG-01"/>
    <x v="0"/>
    <x v="1"/>
    <s v="ZTE2001"/>
    <s v="Meter"/>
    <n v="3000"/>
    <s v="CLR51-09-004"/>
    <x v="86"/>
    <m/>
    <m/>
    <m/>
    <s v="Riki Romansyah"/>
    <s v="Susilo"/>
    <s v="3507050501950006"/>
    <s v="N 8420 EL"/>
    <s v="+560 leftover"/>
    <m/>
    <s v="Permanu RW 02 Pakisaji"/>
    <e v="#N/A"/>
    <e v="#N/A"/>
    <s v="OUTBOUND_"/>
  </r>
  <r>
    <s v="289"/>
    <m/>
    <x v="0"/>
    <s v="INB-W0012412-579"/>
    <s v="EJ-Malang-01"/>
    <s v="Oka-0813-2707-1646"/>
    <d v="2024-12-17T00:00:00"/>
    <d v="1900-01-14T07:00:00"/>
    <s v="ZTE Warehouse"/>
    <x v="0"/>
    <x v="1"/>
    <s v="ZTE2001"/>
    <s v="Meter"/>
    <n v="3000"/>
    <m/>
    <x v="3"/>
    <n v="0"/>
    <n v="0"/>
    <m/>
    <m/>
    <m/>
    <m/>
    <m/>
    <m/>
    <s v="H-ADSS 24C-20241217-01"/>
    <n v="0"/>
    <e v="#N/A"/>
    <e v="#N/A"/>
    <s v="OUTBOUND_H-ADSS 24C-20241217-01"/>
  </r>
  <r>
    <s v="290"/>
    <m/>
    <x v="0"/>
    <s v="INB-W0012412-579"/>
    <s v="EJ-Malang-01"/>
    <s v="Oka-0813-2707-1646"/>
    <d v="2024-12-17T00:00:00"/>
    <d v="1900-01-14T07:00:00"/>
    <s v="ZTE Warehouse"/>
    <x v="0"/>
    <x v="1"/>
    <s v="ZTE2001"/>
    <s v="Meter"/>
    <n v="3000"/>
    <m/>
    <x v="3"/>
    <n v="0"/>
    <n v="0"/>
    <m/>
    <m/>
    <m/>
    <m/>
    <m/>
    <m/>
    <s v="H-ADSS 24C-20241217-02"/>
    <n v="0"/>
    <e v="#N/A"/>
    <e v="#N/A"/>
    <s v="OUTBOUND_H-ADSS 24C-20241217-02"/>
  </r>
  <r>
    <s v="291"/>
    <m/>
    <x v="1"/>
    <s v="OUB-W0012412-583"/>
    <s v="EJ-Malang-01"/>
    <s v="Oka-0813-2707-1646"/>
    <d v="2024-12-18T00:00:00"/>
    <d v="1899-12-30T21:03:00"/>
    <s v="EJ-MALANG-01"/>
    <x v="0"/>
    <x v="1"/>
    <s v="ZTE2001"/>
    <s v="Meter"/>
    <n v="3000"/>
    <s v="CLR51-99-058"/>
    <x v="87"/>
    <m/>
    <m/>
    <m/>
    <s v="Riki Romansyah"/>
    <s v="Susilo"/>
    <s v="3507050501950006"/>
    <s v="N 8420 EL"/>
    <m/>
    <m/>
    <s v="Dusun Cupak RW 02"/>
    <e v="#N/A"/>
    <e v="#N/A"/>
    <s v="OUTBOUND_"/>
  </r>
  <r>
    <s v="292"/>
    <m/>
    <x v="1"/>
    <s v="OUB-W0012501-594"/>
    <s v="EJ-Malang-01"/>
    <s v="Oka-0813-2707-1646"/>
    <d v="2025-01-08T00:00:00"/>
    <d v="1899-12-30T16:39:00"/>
    <s v="EJ-MALANG-01"/>
    <x v="0"/>
    <x v="1"/>
    <s v="ZTE2001"/>
    <s v="Meter"/>
    <n v="3000"/>
    <s v="CLR51-99-123"/>
    <x v="77"/>
    <m/>
    <m/>
    <m/>
    <s v="Riki Romansyah"/>
    <s v="Susilo"/>
    <s v="3507050501950006"/>
    <s v="N 8420 EL"/>
    <m/>
    <m/>
    <s v="Tambakasri RW 02 Tajinan"/>
    <e v="#N/A"/>
    <e v="#N/A"/>
    <s v="OUTBOUND_"/>
  </r>
  <r>
    <s v="293"/>
    <m/>
    <x v="0"/>
    <s v="INB-W0012502-603"/>
    <s v="EJ-Malang-01"/>
    <s v="Oka-0813-2707-1646"/>
    <d v="2025-02-05T00:00:00"/>
    <d v="1900-01-14T07:00:00"/>
    <s v="ZTE Warehouse"/>
    <x v="0"/>
    <x v="1"/>
    <s v="ZTE2001"/>
    <s v="Meter"/>
    <n v="3000"/>
    <s v="CLR51-99-050"/>
    <x v="88"/>
    <n v="0"/>
    <n v="0"/>
    <m/>
    <m/>
    <m/>
    <m/>
    <m/>
    <m/>
    <s v="H-ADSS 24C-202525-01"/>
    <s v="Perumahan De Wira Green View"/>
    <e v="#N/A"/>
    <e v="#N/A"/>
    <s v="OUTBOUND_H-ADSS 24C-202525-01"/>
  </r>
  <r>
    <s v="294"/>
    <m/>
    <x v="0"/>
    <s v="INB-W0012502-608"/>
    <s v="EJ-Malang-01"/>
    <s v="Oka-0813-2707-1646"/>
    <d v="2025-02-19T00:00:00"/>
    <d v="1900-01-14T07:00:00"/>
    <s v="ZTE Warehouse"/>
    <x v="0"/>
    <x v="1"/>
    <s v="ZTE2001"/>
    <s v="Meter"/>
    <n v="3000"/>
    <s v="CLR51-08-007"/>
    <x v="89"/>
    <s v="DOEID25021852"/>
    <n v="0"/>
    <m/>
    <m/>
    <m/>
    <m/>
    <m/>
    <m/>
    <s v="H-ADSS 24C-2025220-01"/>
    <s v="Sitirejo RW 04 Wagir"/>
    <d v="2025-02-19T00:00:00"/>
    <b v="1"/>
    <s v="OUTBOUND_H-ADSS 24C-2025220-01"/>
  </r>
  <r>
    <s v="295"/>
    <m/>
    <x v="0"/>
    <s v="INB-W0012502-608"/>
    <s v="EJ-Malang-01"/>
    <s v="Oka-0813-2707-1646"/>
    <d v="2025-02-19T00:00:00"/>
    <d v="1900-01-14T07:00:00"/>
    <s v="ZTE Warehouse"/>
    <x v="0"/>
    <x v="2"/>
    <s v="ZTE2003"/>
    <s v="Meter"/>
    <n v="3000"/>
    <s v="CLR51-08-007"/>
    <x v="89"/>
    <s v="DOEID25021853"/>
    <n v="0"/>
    <m/>
    <m/>
    <m/>
    <m/>
    <m/>
    <m/>
    <s v="H-ADSS 48C-2025220-01"/>
    <s v="Sitirejo RW 04 Wagir"/>
    <d v="2025-02-19T00:00:00"/>
    <b v="1"/>
    <s v="OUTBOUND_H-ADSS 48C-2025220-01"/>
  </r>
  <r>
    <s v="296"/>
    <m/>
    <x v="1"/>
    <s v="OUB-W0012502-611"/>
    <s v="EJ-Malang-01"/>
    <s v="Oka-0813-2707-1646"/>
    <d v="2025-02-20T00:00:00"/>
    <d v="1899-12-30T09:35:00"/>
    <s v="EJ-MALANG-01"/>
    <x v="0"/>
    <x v="1"/>
    <s v="ZTE2001"/>
    <s v="Meter"/>
    <n v="3000"/>
    <s v="CLR51-08-007"/>
    <x v="89"/>
    <m/>
    <m/>
    <m/>
    <s v="Riki Romansyah"/>
    <s v="Susilo"/>
    <s v="3507050501950006"/>
    <s v="N 8420 EL"/>
    <m/>
    <m/>
    <s v="Sitirejo RW 04 Wagir"/>
    <e v="#N/A"/>
    <e v="#N/A"/>
    <s v="OUTBOUND_"/>
  </r>
  <r>
    <s v="297"/>
    <m/>
    <x v="1"/>
    <s v="OUB-W0012503-624"/>
    <s v="EJ-Malang-01"/>
    <s v="Oka-0813-2707-1646"/>
    <d v="2025-03-18T00:00:00"/>
    <d v="1899-12-30T16:09:00"/>
    <s v="EJ-MALANG-01"/>
    <x v="0"/>
    <x v="1"/>
    <s v="ZTE2001"/>
    <s v="Meter"/>
    <n v="3000"/>
    <s v="CLR51-99-141"/>
    <x v="90"/>
    <m/>
    <m/>
    <m/>
    <s v="Riki Romansyah"/>
    <s v="Susilo"/>
    <s v="3507050501950006"/>
    <s v="N 8420 EL"/>
    <m/>
    <m/>
    <s v="Temas RW 05"/>
    <e v="#N/A"/>
    <e v="#N/A"/>
    <s v="OUTBOUND_"/>
  </r>
  <r>
    <s v="298"/>
    <m/>
    <x v="1"/>
    <s v="OUB-W0012503-624"/>
    <s v="EJ-Malang-01"/>
    <s v="Oka-0813-2707-1646"/>
    <d v="2025-03-18T00:00:00"/>
    <d v="1899-12-30T16:09:00"/>
    <s v="EJ-MALANG-01"/>
    <x v="0"/>
    <x v="2"/>
    <s v="ZTE2003"/>
    <s v="Meter"/>
    <n v="3000"/>
    <s v="CLR51-99-140"/>
    <x v="91"/>
    <m/>
    <m/>
    <m/>
    <s v="Riki Romansyah"/>
    <s v="Susilo"/>
    <s v="3507050501950006"/>
    <s v="N 8420 EL"/>
    <m/>
    <m/>
    <s v="Temas RW 04"/>
    <e v="#N/A"/>
    <e v="#N/A"/>
    <s v="OUTBOUND_"/>
  </r>
  <r>
    <s v="299"/>
    <m/>
    <x v="0"/>
    <s v="INB-W0012503-156"/>
    <s v="EJ-Malang-01"/>
    <s v="Oka-0813-2707-1646"/>
    <d v="2025-03-21T00:00:00"/>
    <d v="1899-12-30T18:50:00"/>
    <s v="FIELD TEAM"/>
    <x v="1"/>
    <x v="4"/>
    <s v="ZTE2004"/>
    <s v="Meter"/>
    <n v="2000"/>
    <s v="MF51-06"/>
    <x v="74"/>
    <m/>
    <m/>
    <m/>
    <m/>
    <m/>
    <m/>
    <m/>
    <s v="0-2000"/>
    <s v="H-ADSS 144C-2024117-01"/>
    <s v="0-2000"/>
    <e v="#N/A"/>
    <e v="#N/A"/>
    <s v="OUTBOUND_H-ADSS 144C-2024117-01"/>
  </r>
  <r>
    <s v="300"/>
    <m/>
    <x v="1"/>
    <s v="OUB-W0012503-627"/>
    <s v="EJ-Malang-01"/>
    <s v="Oka-0813-2707-1646"/>
    <d v="2025-03-21T00:00:00"/>
    <d v="1899-12-30T18:50:00"/>
    <s v="EJ-MALANG-01"/>
    <x v="0"/>
    <x v="4"/>
    <s v="ZTE2004"/>
    <s v="Meter"/>
    <n v="3000"/>
    <s v="MF51-06"/>
    <x v="74"/>
    <m/>
    <m/>
    <m/>
    <s v="Sulistiono"/>
    <s v="Susilo"/>
    <s v="3575032104720001"/>
    <s v="N 9586 WC"/>
    <s v="FO CUT, PULL 1000M"/>
    <s v="H-ADSS 144C-2024117-01"/>
    <s v="Mainfeeder Singosari Segment 3"/>
    <e v="#N/A"/>
    <e v="#N/A"/>
    <s v="OUTBOUND_H-ADSS 144C-2024117-01"/>
  </r>
  <r>
    <s v="301"/>
    <m/>
    <x v="0"/>
    <s v="INB-W0012503-156"/>
    <s v="EJ-Malang-01"/>
    <s v="Oka-0813-2707-1646"/>
    <d v="2025-03-21T00:00:00"/>
    <d v="1899-12-30T18:50:00"/>
    <s v="FIELD TEAM"/>
    <x v="1"/>
    <x v="2"/>
    <s v="ZTE2003"/>
    <s v="Meter"/>
    <n v="770"/>
    <m/>
    <x v="3"/>
    <m/>
    <m/>
    <m/>
    <m/>
    <m/>
    <m/>
    <m/>
    <m/>
    <s v="B-021-770m"/>
    <s v="0-770"/>
    <e v="#N/A"/>
    <e v="#N/A"/>
    <s v="OUTBOUND_B-021-770m"/>
  </r>
  <r>
    <s v="302"/>
    <m/>
    <x v="5"/>
    <s v="BOO-W0012505-639"/>
    <s v="EJ-Malang-01"/>
    <s v="Oka-0813-2707-1646"/>
    <d v="2025-05-25T00:00:00"/>
    <d v="1899-12-30T09:37:00"/>
    <s v="Other Subcon"/>
    <x v="0"/>
    <x v="2"/>
    <s v="ZTE2003"/>
    <s v="Meter"/>
    <n v="3000"/>
    <s v="BR002"/>
    <x v="92"/>
    <m/>
    <m/>
    <m/>
    <s v="Deni Indra"/>
    <n v="0"/>
    <s v="3507330905820002"/>
    <s v="N 8408 CB"/>
    <s v="AIA Borrow"/>
    <m/>
    <s v="AIA"/>
    <e v="#N/A"/>
    <e v="#N/A"/>
    <s v="BORROW OUT_"/>
  </r>
  <r>
    <s v="303"/>
    <m/>
    <x v="3"/>
    <s v="TFI-W0012505-642"/>
    <s v="EJ-Malang-01"/>
    <s v="Oka-0813-2707-1646"/>
    <d v="2025-05-27T00:00:00"/>
    <d v="1900-01-14T07:00:00"/>
    <s v="EJ-GRESIK-01"/>
    <x v="0"/>
    <x v="1"/>
    <s v="ZTE2001"/>
    <s v="Meter"/>
    <n v="3000"/>
    <s v="TRF"/>
    <x v="93"/>
    <n v="0"/>
    <n v="0"/>
    <m/>
    <m/>
    <m/>
    <m/>
    <m/>
    <m/>
    <s v="H-ADSS 24C-2025527-01"/>
    <s v="GRESIK"/>
    <e v="#N/A"/>
    <e v="#N/A"/>
    <s v="OUTBOUND_H-ADSS 24C-2025527-01"/>
  </r>
  <r>
    <s v="304"/>
    <m/>
    <x v="0"/>
    <s v="INB-W0012506-646"/>
    <s v="EJ-Malang-01"/>
    <s v="Oka-0813-2707-1646"/>
    <d v="2025-06-12T00:00:00"/>
    <d v="1900-01-14T07:00:00"/>
    <s v="ZTE Warehouse"/>
    <x v="0"/>
    <x v="2"/>
    <s v="ZTE2003"/>
    <s v="Meter"/>
    <n v="1019"/>
    <s v="CLR51-99-238"/>
    <x v="94"/>
    <s v="DOEID250610PK"/>
    <s v="DNWID1372025061202"/>
    <m/>
    <m/>
    <m/>
    <m/>
    <m/>
    <m/>
    <s v="H-ADSS 48C-2025613-02"/>
    <s v="ARJOWINANGUN RW 01 MALANG"/>
    <d v="2025-06-12T00:00:00"/>
    <b v="1"/>
    <s v="OUTBOUND_H-ADSS 48C-2025613-02"/>
  </r>
  <r>
    <s v="305"/>
    <m/>
    <x v="0"/>
    <s v="INB-W0012506-646"/>
    <s v="EJ-Malang-01"/>
    <s v="Oka-0813-2707-1646"/>
    <d v="2025-06-12T00:00:00"/>
    <d v="1900-01-14T07:00:00"/>
    <s v="ZTE Warehouse"/>
    <x v="0"/>
    <x v="2"/>
    <s v="ZTE2003"/>
    <s v="Meter"/>
    <n v="3000"/>
    <s v="CLR51-99-101"/>
    <x v="95"/>
    <s v="DOEID250610PF"/>
    <s v="DNWID1372025061201"/>
    <m/>
    <m/>
    <m/>
    <m/>
    <m/>
    <m/>
    <s v="H-ADSS 48C-2025613-01"/>
    <s v="BULULAWANG RW 01, 02, 03, 04, 06   MALANG"/>
    <d v="2025-06-12T00:00:00"/>
    <b v="1"/>
    <s v="OUTBOUND_H-ADSS 48C-2025613-01"/>
  </r>
  <r>
    <s v="306"/>
    <m/>
    <x v="0"/>
    <s v="INB-W0012506-646"/>
    <s v="EJ-Malang-01"/>
    <s v="Oka-0813-2707-1646"/>
    <d v="2025-06-12T00:00:00"/>
    <d v="1900-01-14T07:00:00"/>
    <s v="ZTE Warehouse"/>
    <x v="0"/>
    <x v="2"/>
    <s v="ZTE2003"/>
    <s v="Meter"/>
    <n v="3000"/>
    <s v="CLR51-99-101"/>
    <x v="95"/>
    <s v="DOEID250610PF"/>
    <s v="DNWID1372025061201"/>
    <m/>
    <m/>
    <m/>
    <m/>
    <m/>
    <m/>
    <s v="H-ADSS 48C-2025613-03"/>
    <s v="BULULAWANG RW 01, 02, 03, 04, 06   MALANG"/>
    <d v="2025-06-12T00:00:00"/>
    <b v="1"/>
    <s v="OUTBOUND_H-ADSS 48C-2025613-03"/>
  </r>
  <r>
    <s v="307"/>
    <m/>
    <x v="0"/>
    <s v="INB-W0012506-646"/>
    <s v="EJ-Malang-01"/>
    <s v="Oka-0813-2707-1646"/>
    <d v="2025-06-13T00:00:00"/>
    <d v="1900-01-14T07:00:00"/>
    <s v="ZTE Warehouse"/>
    <x v="0"/>
    <x v="1"/>
    <s v="ZTE2001"/>
    <s v="Meter"/>
    <n v="3000"/>
    <m/>
    <x v="3"/>
    <n v="0"/>
    <n v="0"/>
    <m/>
    <m/>
    <m/>
    <m/>
    <m/>
    <m/>
    <s v="H-ADSS 24C-2025613-01"/>
    <n v="0"/>
    <e v="#N/A"/>
    <e v="#N/A"/>
    <s v="OUTBOUND_H-ADSS 24C-2025613-01"/>
  </r>
  <r>
    <s v="308"/>
    <m/>
    <x v="0"/>
    <s v="INB-W0012506-646"/>
    <s v="EJ-Malang-01"/>
    <s v="Oka-0813-2707-1646"/>
    <d v="2025-06-13T00:00:00"/>
    <d v="1900-01-14T07:00:00"/>
    <s v="ZTE Warehouse"/>
    <x v="0"/>
    <x v="1"/>
    <s v="ZTE2001"/>
    <s v="Meter"/>
    <n v="3000"/>
    <m/>
    <x v="3"/>
    <m/>
    <m/>
    <m/>
    <m/>
    <m/>
    <m/>
    <m/>
    <m/>
    <s v="H-ADSS 24C-2025613-02"/>
    <n v="0"/>
    <e v="#N/A"/>
    <e v="#N/A"/>
    <s v="OUTBOUND_H-ADSS 24C-2025613-02"/>
  </r>
  <r>
    <s v="309"/>
    <m/>
    <x v="0"/>
    <s v="INB-W0012506-646"/>
    <s v="EJ-Malang-01"/>
    <s v="Oka-0813-2707-1646"/>
    <d v="2025-06-13T00:00:00"/>
    <d v="1900-01-14T07:00:00"/>
    <s v="ZTE Warehouse"/>
    <x v="0"/>
    <x v="1"/>
    <s v="ZTE2001"/>
    <s v="Meter"/>
    <n v="3000"/>
    <m/>
    <x v="3"/>
    <m/>
    <m/>
    <m/>
    <m/>
    <m/>
    <m/>
    <m/>
    <m/>
    <s v="H-ADSS 24C-2025613-03"/>
    <n v="0"/>
    <e v="#N/A"/>
    <e v="#N/A"/>
    <s v="OUTBOUND_H-ADSS 24C-2025613-03"/>
  </r>
  <r>
    <s v="310"/>
    <m/>
    <x v="1"/>
    <s v="OUB-W0012506-647"/>
    <s v="EJ-Malang-01"/>
    <s v="Oka-0813-2707-1646"/>
    <d v="2025-06-14T00:00:00"/>
    <d v="1899-12-30T12:57:00"/>
    <s v="EJ-MALANG-01"/>
    <x v="0"/>
    <x v="1"/>
    <s v="ZTE2001"/>
    <s v="Meter"/>
    <n v="3000"/>
    <s v="CLR51-99-101"/>
    <x v="95"/>
    <m/>
    <m/>
    <m/>
    <s v="Riki Romansyah"/>
    <s v="Susilo"/>
    <s v="3507050501950006"/>
    <s v="N 8420 EL"/>
    <s v="+leftover 967"/>
    <m/>
    <s v="BULULAWANG RW 01, 02, 03, 04, 06   MALANG"/>
    <e v="#N/A"/>
    <e v="#N/A"/>
    <s v="OUTBOUND_"/>
  </r>
  <r>
    <s v="311"/>
    <m/>
    <x v="1"/>
    <s v="OUB-W0012506-647"/>
    <s v="EJ-Malang-01"/>
    <s v="Oka-0813-2707-1646"/>
    <d v="2025-06-14T00:00:00"/>
    <d v="1899-12-30T12:57:00"/>
    <s v="EJ-MALANG-01"/>
    <x v="0"/>
    <x v="2"/>
    <s v="ZTE2003"/>
    <s v="Meter"/>
    <n v="1019"/>
    <s v="CLR51-99-101"/>
    <x v="95"/>
    <m/>
    <m/>
    <m/>
    <s v="Riki Romansyah"/>
    <s v="Susilo"/>
    <s v="3507050501950006"/>
    <s v="N 8420 EL"/>
    <m/>
    <m/>
    <s v="BULULAWANG RW 01, 02, 03, 04, 06   MALANG"/>
    <e v="#N/A"/>
    <e v="#N/A"/>
    <s v="OUTBOUND_"/>
  </r>
  <r>
    <s v="312"/>
    <m/>
    <x v="1"/>
    <s v="OUB-W0012506-647"/>
    <s v="EJ-Malang-01"/>
    <s v="Oka-0813-2707-1646"/>
    <d v="2025-06-14T00:00:00"/>
    <d v="1899-12-30T12:57:00"/>
    <s v="EJ-MALANG-01"/>
    <x v="0"/>
    <x v="2"/>
    <s v="ZTE2003"/>
    <s v="Meter"/>
    <n v="3000"/>
    <s v="CLR51-99-101"/>
    <x v="95"/>
    <m/>
    <m/>
    <m/>
    <s v="Riki Romansyah"/>
    <s v="Susilo"/>
    <s v="3507050501950006"/>
    <s v="N 8420 EL"/>
    <m/>
    <m/>
    <s v="BULULAWANG RW 01, 02, 03, 04, 06   MALANG"/>
    <e v="#N/A"/>
    <e v="#N/A"/>
    <s v="OUTBOUND_"/>
  </r>
  <r>
    <s v="313"/>
    <m/>
    <x v="1"/>
    <s v="OUB-W0012506-647"/>
    <s v="EJ-Malang-01"/>
    <s v="Oka-0813-2707-1646"/>
    <d v="2025-06-14T00:00:00"/>
    <d v="1899-12-30T12:57:00"/>
    <s v="EJ-MALANG-01"/>
    <x v="0"/>
    <x v="2"/>
    <s v="ZTE2003"/>
    <s v="Meter"/>
    <n v="3000"/>
    <s v="CLR51-99-101"/>
    <x v="95"/>
    <m/>
    <m/>
    <m/>
    <s v="Riki Romansyah"/>
    <s v="Susilo"/>
    <s v="3507050501950006"/>
    <s v="N 8420 EL"/>
    <m/>
    <m/>
    <s v="BULULAWANG RW 01, 02, 03, 04, 06   MALANG"/>
    <e v="#N/A"/>
    <e v="#N/A"/>
    <s v="OUTBOUND_"/>
  </r>
  <r>
    <s v="314"/>
    <m/>
    <x v="0"/>
    <s v="INB-W0012506-649"/>
    <s v="EJ-Malang-01"/>
    <s v="Oka-0813-2707-1646"/>
    <d v="2025-06-17T00:00:00"/>
    <d v="1900-01-14T07:00:00"/>
    <s v="ZTE Warehouse"/>
    <x v="0"/>
    <x v="2"/>
    <s v="ZTE2003"/>
    <s v="Meter"/>
    <n v="3000"/>
    <s v="CLR51-99-242"/>
    <x v="96"/>
    <s v="DOEID250613BN"/>
    <s v="DNWID1372025061605"/>
    <m/>
    <m/>
    <m/>
    <m/>
    <m/>
    <m/>
    <s v="H-ADSS 48C-2025618-01"/>
    <s v="DESA GADUNGAN PONCOKUSUMO MALANG"/>
    <d v="2025-06-17T00:00:00"/>
    <b v="1"/>
    <s v="OUTBOUND_H-ADSS 48C-2025618-01"/>
  </r>
  <r>
    <s v="315"/>
    <m/>
    <x v="0"/>
    <s v="INB-W0012506-649"/>
    <s v="EJ-Malang-01"/>
    <s v="Oka-0813-2707-1646"/>
    <d v="2025-06-17T00:00:00"/>
    <d v="1900-01-14T07:00:00"/>
    <s v="ZTE Warehouse"/>
    <x v="0"/>
    <x v="2"/>
    <s v="ZTE2003"/>
    <s v="Meter"/>
    <n v="3000"/>
    <s v="CLR51-99-243"/>
    <x v="97"/>
    <s v="DOEID250613BP"/>
    <s v="DNWID1372025061606"/>
    <m/>
    <m/>
    <m/>
    <m/>
    <m/>
    <m/>
    <s v="H-ADSS 48C-2025618-02"/>
    <s v="DESA KARANGANYAR KIDUL PONCOKUSUMO   MALANG"/>
    <d v="2025-06-17T00:00:00"/>
    <b v="1"/>
    <s v="OUTBOUND_H-ADSS 48C-2025618-02"/>
  </r>
  <r>
    <s v="316"/>
    <m/>
    <x v="1"/>
    <s v="OUB-W0012506-652"/>
    <s v="EJ-Malang-01"/>
    <s v="Oka-0813-2707-1646"/>
    <d v="2025-06-21T00:00:00"/>
    <d v="1899-12-30T14:18:00"/>
    <s v="EJ-MALANG-01"/>
    <x v="0"/>
    <x v="1"/>
    <s v="ZTE2001"/>
    <s v="Meter"/>
    <n v="3000"/>
    <s v="CLR51-99-244"/>
    <x v="98"/>
    <m/>
    <m/>
    <m/>
    <s v="Fatkur"/>
    <s v="Fatkur"/>
    <s v="1812010507910004"/>
    <s v="L 9221 K"/>
    <m/>
    <m/>
    <s v="DESA KRAJANI PONCOKUSUMO MALANG"/>
    <e v="#N/A"/>
    <e v="#N/A"/>
    <s v="OUTBOUND_"/>
  </r>
  <r>
    <s v="317"/>
    <m/>
    <x v="1"/>
    <s v="OUB-W0012506-652"/>
    <s v="EJ-Malang-01"/>
    <s v="Oka-0813-2707-1646"/>
    <d v="2025-06-21T00:00:00"/>
    <d v="1899-12-30T14:18:00"/>
    <s v="EJ-MALANG-01"/>
    <x v="0"/>
    <x v="1"/>
    <s v="ZTE2001"/>
    <s v="Meter"/>
    <n v="3000"/>
    <s v="CLR51-99-245"/>
    <x v="99"/>
    <m/>
    <m/>
    <m/>
    <s v="Fatkur"/>
    <s v="Fatkur"/>
    <s v="1812010507910004"/>
    <s v="L 9221 K"/>
    <m/>
    <m/>
    <s v="DESA PANCURAN PONCOKUSUMO MALANG"/>
    <e v="#N/A"/>
    <e v="#N/A"/>
    <s v="OUTBOUND_"/>
  </r>
  <r>
    <s v="318"/>
    <m/>
    <x v="1"/>
    <s v="OUB-W0012506-652"/>
    <s v="EJ-Malang-01"/>
    <s v="Oka-0813-2707-1646"/>
    <d v="2025-06-21T00:00:00"/>
    <d v="1899-12-30T14:18:00"/>
    <s v="EJ-MALANG-01"/>
    <x v="0"/>
    <x v="2"/>
    <s v="ZTE2003"/>
    <s v="Meter"/>
    <n v="3000"/>
    <s v="CLR51-99-243"/>
    <x v="97"/>
    <m/>
    <m/>
    <m/>
    <s v="Fatkur"/>
    <s v="Fatkur"/>
    <s v="1812010507910004"/>
    <s v="L 9221 K"/>
    <m/>
    <m/>
    <s v="DESA KARANGANYAR KIDUL PONCOKUSUMO   MALANG"/>
    <e v="#N/A"/>
    <e v="#N/A"/>
    <s v="OUTBOUND_"/>
  </r>
  <r>
    <s v="319"/>
    <m/>
    <x v="1"/>
    <s v="OUB-W0012506-659"/>
    <s v="EJ-Malang-01"/>
    <s v="Oka-0813-2707-1646"/>
    <d v="2025-06-24T00:00:00"/>
    <d v="1899-12-30T15:30:00"/>
    <s v="EJ-MALANG-01"/>
    <x v="0"/>
    <x v="1"/>
    <s v="ZTE2001"/>
    <s v="Meter"/>
    <n v="3000"/>
    <s v="CLR51-99-242"/>
    <x v="96"/>
    <m/>
    <m/>
    <m/>
    <s v="Fatkur"/>
    <s v="Fatkur"/>
    <s v="1812010507910004"/>
    <s v="L 9221 K"/>
    <m/>
    <m/>
    <s v="DESA GADUNGAN PONCOKUSUMO MALANG"/>
    <e v="#N/A"/>
    <e v="#N/A"/>
    <s v="OUTBOUND_"/>
  </r>
  <r>
    <s v="320"/>
    <m/>
    <x v="1"/>
    <s v="OUB-W0012506-659"/>
    <s v="EJ-Malang-01"/>
    <s v="Oka-0813-2707-1646"/>
    <d v="2025-06-24T00:00:00"/>
    <d v="1899-12-30T15:30:00"/>
    <s v="EJ-MALANG-01"/>
    <x v="0"/>
    <x v="1"/>
    <s v="ZTE2001"/>
    <s v="Meter"/>
    <n v="3000"/>
    <s v="CLR51-99-243"/>
    <x v="97"/>
    <m/>
    <m/>
    <m/>
    <s v="Fatkur"/>
    <s v="Fatkur"/>
    <s v="1812010507910004"/>
    <s v="L 9221 K"/>
    <m/>
    <m/>
    <s v="DESA KARANGANYAR KIDUL PONCOKUSUMO   MALANG"/>
    <e v="#N/A"/>
    <e v="#N/A"/>
    <s v="OUTBOUND_"/>
  </r>
  <r>
    <s v="321"/>
    <m/>
    <x v="3"/>
    <s v="TFI-W0012506-656"/>
    <s v="EJ-Malang-01"/>
    <s v="Oka-0813-2707-1646"/>
    <d v="2025-06-24T00:00:00"/>
    <d v="1900-01-14T07:00:00"/>
    <s v="EJ-GRESIK-01"/>
    <x v="0"/>
    <x v="1"/>
    <s v="ZTE2001"/>
    <s v="Meter"/>
    <n v="3000"/>
    <s v="TRF"/>
    <x v="93"/>
    <n v="0"/>
    <n v="0"/>
    <m/>
    <m/>
    <m/>
    <m/>
    <m/>
    <m/>
    <s v="H-ADSS 24C-2025624-01"/>
    <s v="GRESIK"/>
    <e v="#N/A"/>
    <e v="#N/A"/>
    <s v="OUTBOUND_H-ADSS 24C-2025624-01"/>
  </r>
  <r>
    <s v="322"/>
    <m/>
    <x v="3"/>
    <s v="TFI-W0012506-656"/>
    <s v="EJ-Malang-01"/>
    <s v="Oka-0813-2707-1646"/>
    <d v="2025-06-24T00:00:00"/>
    <d v="1900-01-14T07:00:00"/>
    <s v="EJ-GRESIK-01"/>
    <x v="0"/>
    <x v="1"/>
    <s v="ZTE2001"/>
    <s v="Meter"/>
    <n v="3000"/>
    <s v="TRF"/>
    <x v="93"/>
    <m/>
    <m/>
    <m/>
    <m/>
    <m/>
    <m/>
    <m/>
    <m/>
    <s v="H-ADSS 24C-2025624-03"/>
    <s v="GRESIK"/>
    <e v="#N/A"/>
    <e v="#N/A"/>
    <s v="OUTBOUND_H-ADSS 24C-2025624-03"/>
  </r>
  <r>
    <s v="323"/>
    <m/>
    <x v="0"/>
    <s v="INB-W0012506-662"/>
    <s v="EJ-Malang-01"/>
    <s v="Oka-0813-2707-1646"/>
    <d v="2025-06-27T00:00:00"/>
    <d v="1900-01-14T07:00:00"/>
    <s v="ZTE Warehouse"/>
    <x v="0"/>
    <x v="1"/>
    <s v="ZTE2001"/>
    <s v="Meter"/>
    <n v="3000"/>
    <s v="CLR51-99-242"/>
    <x v="96"/>
    <s v="DOEID25062216"/>
    <s v="DNWID1372025062203"/>
    <m/>
    <m/>
    <m/>
    <m/>
    <m/>
    <m/>
    <s v="H-ADSS 24C-2025627-01"/>
    <s v="DESA GADUNGAN PONCOKUSUMO MALANG"/>
    <d v="2025-06-24T00:00:00"/>
    <b v="0"/>
    <s v="OUTBOUND_H-ADSS 24C-2025627-01"/>
  </r>
  <r>
    <s v="324"/>
    <m/>
    <x v="1"/>
    <s v="OUB-W0012506-664"/>
    <s v="EJ-Malang-01"/>
    <s v="Oka-0813-2707-1646"/>
    <d v="2025-06-27T00:00:00"/>
    <d v="1899-12-30T14:18:00"/>
    <s v="EJ-MALANG-01"/>
    <x v="0"/>
    <x v="2"/>
    <s v="ZTE2003"/>
    <s v="Meter"/>
    <n v="3000"/>
    <s v="CLR51-99-242"/>
    <x v="96"/>
    <m/>
    <m/>
    <m/>
    <s v="Fatkur"/>
    <s v="Fatkur"/>
    <s v="1812010507910004"/>
    <s v="L 9221 K"/>
    <m/>
    <m/>
    <s v="DESA GADUNGAN PONCOKUSUMO MALANG"/>
    <e v="#N/A"/>
    <e v="#N/A"/>
    <s v="OUTBOUND_"/>
  </r>
  <r>
    <s v="325"/>
    <m/>
    <x v="0"/>
    <s v="INB-W0012507-668"/>
    <s v="EJ-Malang-01"/>
    <s v="Oka-0813-2707-1646"/>
    <d v="2025-07-12T00:00:00"/>
    <d v="1900-01-14T07:00:00"/>
    <s v="ZTE Warehouse"/>
    <x v="0"/>
    <x v="2"/>
    <s v="ZTE2003"/>
    <s v="Meter"/>
    <n v="3000"/>
    <s v="CLR51-99-106"/>
    <x v="100"/>
    <s v="DOEID250711EE"/>
    <s v="DNWID1372025071104"/>
    <m/>
    <m/>
    <m/>
    <m/>
    <m/>
    <m/>
    <s v="H-ADSS 48C-2025712-01"/>
    <s v="KREBET SENGGRONG RW 04"/>
    <d v="2025-07-12T00:00:00"/>
    <b v="1"/>
    <s v="OUTBOUND_H-ADSS 48C-2025712-01"/>
  </r>
  <r>
    <s v="326"/>
    <m/>
    <x v="0"/>
    <s v="INB-W0012507-668"/>
    <s v="EJ-Malang-01"/>
    <s v="Oka-0813-2707-1646"/>
    <d v="2025-07-12T00:00:00"/>
    <d v="1900-01-14T07:00:00"/>
    <s v="ZTE Warehouse"/>
    <x v="0"/>
    <x v="2"/>
    <s v="ZTE2003"/>
    <s v="Meter"/>
    <n v="3000"/>
    <s v="CLR51-99-107"/>
    <x v="101"/>
    <s v="DOEID250711EG"/>
    <s v="DNWID1372025071101"/>
    <m/>
    <m/>
    <m/>
    <m/>
    <m/>
    <m/>
    <s v="H-ADSS 48C-2025712-02"/>
    <s v="KREBET RW 03"/>
    <d v="2025-07-12T00:00:00"/>
    <b v="1"/>
    <s v="OUTBOUND_H-ADSS 48C-2025712-02"/>
  </r>
  <r>
    <s v="327"/>
    <m/>
    <x v="0"/>
    <s v="INB-W0012507-668"/>
    <s v="EJ-Malang-01"/>
    <s v="Oka-0813-2707-1646"/>
    <d v="2025-07-12T00:00:00"/>
    <d v="1900-01-14T07:00:00"/>
    <s v="ZTE Warehouse"/>
    <x v="0"/>
    <x v="2"/>
    <s v="ZTE2003"/>
    <s v="Meter"/>
    <n v="3000"/>
    <s v="CLR51-99-108"/>
    <x v="102"/>
    <s v="DOEID250711EJ"/>
    <s v="DNWID1372025071102"/>
    <m/>
    <m/>
    <m/>
    <m/>
    <m/>
    <m/>
    <s v="H-ADSS 48C-2025712-03"/>
    <s v="KREBET RW 05"/>
    <d v="2025-07-12T00:00:00"/>
    <b v="1"/>
    <s v="OUTBOUND_H-ADSS 48C-2025712-03"/>
  </r>
  <r>
    <s v="328"/>
    <m/>
    <x v="1"/>
    <s v="OUB-W0012507-670"/>
    <s v="EJ-Malang-01"/>
    <s v="Oka-0813-2707-1646"/>
    <d v="2025-07-18T00:00:00"/>
    <d v="1899-12-30T11:14:00"/>
    <s v="EJ-MALANG-01"/>
    <x v="0"/>
    <x v="1"/>
    <s v="ZTE2001"/>
    <s v="Meter"/>
    <n v="3000"/>
    <s v="CLR51-99-107"/>
    <x v="101"/>
    <m/>
    <m/>
    <m/>
    <s v="Riki Romansyah"/>
    <s v="Susilo"/>
    <s v="3507050501950006"/>
    <s v="N 8420 EL"/>
    <m/>
    <m/>
    <s v="KREBET RW 03"/>
    <e v="#N/A"/>
    <e v="#N/A"/>
    <s v="OUTBOUND_"/>
  </r>
  <r>
    <s v="329"/>
    <m/>
    <x v="0"/>
    <s v="INB-W0012507-167"/>
    <s v="EJ-Malang-01"/>
    <s v="Oka-0813-2707-1646"/>
    <d v="2025-07-18T00:00:00"/>
    <d v="1899-12-30T11:14:00"/>
    <s v="FIELD TEAM"/>
    <x v="1"/>
    <x v="1"/>
    <s v="ZTE2001"/>
    <s v="Meter"/>
    <n v="150"/>
    <s v="CLR51-99-101"/>
    <x v="95"/>
    <m/>
    <m/>
    <m/>
    <s v="Riki Romansyah"/>
    <m/>
    <m/>
    <m/>
    <m/>
    <s v="A-001-150m"/>
    <s v="0-150"/>
    <e v="#N/A"/>
    <e v="#N/A"/>
    <s v="OUTBOUND_A-001-150m"/>
  </r>
  <r>
    <s v="330"/>
    <m/>
    <x v="0"/>
    <s v="INB-W0012507-167"/>
    <s v="EJ-Malang-01"/>
    <s v="Oka-0813-2707-1646"/>
    <d v="2025-07-18T00:00:00"/>
    <d v="1899-12-30T11:14:00"/>
    <s v="FIELD TEAM"/>
    <x v="1"/>
    <x v="1"/>
    <s v="ZTE2001"/>
    <s v="Meter"/>
    <n v="75"/>
    <m/>
    <x v="3"/>
    <m/>
    <m/>
    <m/>
    <s v="Riki Romansyah"/>
    <m/>
    <m/>
    <m/>
    <m/>
    <s v="A-055-75m"/>
    <s v="695-770"/>
    <e v="#N/A"/>
    <e v="#N/A"/>
    <s v="OUTBOUND_A-055-75m"/>
  </r>
  <r>
    <s v="331"/>
    <m/>
    <x v="0"/>
    <s v="INB-W0012507-167"/>
    <s v="EJ-Malang-01"/>
    <s v="Oka-0813-2707-1646"/>
    <d v="2025-07-18T00:00:00"/>
    <d v="1899-12-30T11:14:00"/>
    <s v="FIELD TEAM"/>
    <x v="1"/>
    <x v="1"/>
    <s v="ZTE2001"/>
    <s v="Meter"/>
    <n v="291"/>
    <m/>
    <x v="3"/>
    <m/>
    <m/>
    <m/>
    <s v="Riki Romansyah"/>
    <m/>
    <m/>
    <m/>
    <m/>
    <s v="A-056-291m"/>
    <s v="445-736"/>
    <e v="#N/A"/>
    <e v="#N/A"/>
    <s v="OUTBOUND_A-056-291m"/>
  </r>
  <r>
    <s v="332"/>
    <m/>
    <x v="0"/>
    <s v="INB-W0012507-167"/>
    <s v="EJ-Malang-01"/>
    <s v="Oka-0813-2707-1646"/>
    <d v="2025-07-18T00:00:00"/>
    <d v="1899-12-30T11:14:00"/>
    <s v="FIELD TEAM"/>
    <x v="1"/>
    <x v="2"/>
    <s v="ZTE2003"/>
    <s v="Meter"/>
    <n v="100"/>
    <m/>
    <x v="3"/>
    <m/>
    <m/>
    <m/>
    <m/>
    <m/>
    <m/>
    <m/>
    <m/>
    <s v="B-022-100m"/>
    <s v="0-100"/>
    <e v="#N/A"/>
    <e v="#N/A"/>
    <s v="OUTBOUND_B-022-100m"/>
  </r>
  <r>
    <s v="333"/>
    <m/>
    <x v="0"/>
    <s v="INB-W0012507-167"/>
    <s v="EJ-Malang-01"/>
    <s v="Oka-0813-2707-1646"/>
    <d v="2025-07-18T00:00:00"/>
    <d v="1899-12-30T11:14:00"/>
    <s v="FIELD TEAM"/>
    <x v="1"/>
    <x v="2"/>
    <s v="ZTE2003"/>
    <s v="Meter"/>
    <n v="91"/>
    <m/>
    <x v="3"/>
    <m/>
    <m/>
    <m/>
    <m/>
    <m/>
    <m/>
    <m/>
    <m/>
    <s v="B-023-91m"/>
    <s v="0-91"/>
    <e v="#N/A"/>
    <e v="#N/A"/>
    <s v="OUTBOUND_B-023-91m"/>
  </r>
  <r>
    <s v="334"/>
    <m/>
    <x v="0"/>
    <s v="INB-W0012507-167"/>
    <s v="EJ-Malang-01"/>
    <s v="Oka-0813-2707-1646"/>
    <d v="2025-07-18T00:00:00"/>
    <d v="1899-12-30T11:14:00"/>
    <s v="FIELD TEAM"/>
    <x v="1"/>
    <x v="2"/>
    <s v="ZTE2003"/>
    <s v="Meter"/>
    <n v="57"/>
    <m/>
    <x v="3"/>
    <m/>
    <m/>
    <m/>
    <s v="Riki Romansyah"/>
    <m/>
    <m/>
    <m/>
    <m/>
    <s v="B-024-57m"/>
    <s v="0-57"/>
    <e v="#N/A"/>
    <e v="#N/A"/>
    <s v="OUTBOUND_B-024-57m"/>
  </r>
  <r>
    <s v="335"/>
    <m/>
    <x v="0"/>
    <s v="INB-W0012507-167"/>
    <s v="EJ-Malang-01"/>
    <s v="Oka-0813-2707-1646"/>
    <d v="2025-07-18T00:00:00"/>
    <d v="1899-12-30T11:14:00"/>
    <s v="FIELD TEAM"/>
    <x v="1"/>
    <x v="2"/>
    <s v="ZTE2003"/>
    <s v="Meter"/>
    <n v="49"/>
    <m/>
    <x v="3"/>
    <m/>
    <m/>
    <m/>
    <m/>
    <m/>
    <m/>
    <m/>
    <m/>
    <s v="B-025-49m"/>
    <s v="2886-2935"/>
    <e v="#N/A"/>
    <e v="#N/A"/>
    <s v="OUTBOUND_B-025-49m"/>
  </r>
  <r>
    <s v="336"/>
    <m/>
    <x v="0"/>
    <s v="INB-W0012508-678"/>
    <s v="EJ-Malang-01"/>
    <s v="Oka-0813-2707-1646"/>
    <d v="2025-08-06T00:00:00"/>
    <d v="1900-01-14T07:00:00"/>
    <s v="ZTE Warehouse"/>
    <x v="0"/>
    <x v="1"/>
    <s v="ZTE2001"/>
    <s v="Meter"/>
    <n v="3000"/>
    <s v="CLR51-99-250"/>
    <x v="103"/>
    <s v="DOEID250804CD"/>
    <s v="DNWID1372025080402"/>
    <m/>
    <m/>
    <m/>
    <m/>
    <m/>
    <m/>
    <s v="H-ADSS 24C-202586-02"/>
    <s v="PERMANU RW 03 MALANG"/>
    <d v="2025-08-06T00:00:00"/>
    <b v="1"/>
    <s v="OUTBOUND_H-ADSS 24C-202586-02"/>
  </r>
  <r>
    <s v="337"/>
    <m/>
    <x v="0"/>
    <s v="INB-W0012508-678"/>
    <s v="EJ-Malang-01"/>
    <s v="Oka-0813-2707-1646"/>
    <d v="2025-08-06T00:00:00"/>
    <d v="1900-01-14T07:00:00"/>
    <s v="ZTE Warehouse"/>
    <x v="0"/>
    <x v="1"/>
    <s v="ZTE2001"/>
    <s v="Meter"/>
    <n v="1440"/>
    <s v="CLR51-99-249"/>
    <x v="104"/>
    <s v="DOEID250804CC"/>
    <s v="DNWID1372025080401"/>
    <m/>
    <m/>
    <m/>
    <m/>
    <m/>
    <m/>
    <s v="H-ADSS 24C-202586-01"/>
    <s v="PERMANU RW 04 MALANG"/>
    <d v="2025-08-06T00:00:00"/>
    <b v="1"/>
    <s v="OUTBOUND_H-ADSS 24C-202586-01"/>
  </r>
  <r>
    <s v="338"/>
    <m/>
    <x v="1"/>
    <s v="OUB-W0012508-678"/>
    <s v="EJ-Malang-01"/>
    <s v="Oka-0813-2707-1646"/>
    <d v="2025-08-06T00:00:00"/>
    <d v="1900-01-14T07:00:00"/>
    <s v="ZTE Warehouse"/>
    <x v="0"/>
    <x v="1"/>
    <s v="ZTE2001"/>
    <s v="Meter"/>
    <n v="3000"/>
    <s v="CLR51-99-250"/>
    <x v="103"/>
    <m/>
    <m/>
    <m/>
    <s v="Riki Romansyah"/>
    <s v="Susilo"/>
    <s v="3507050501950006"/>
    <m/>
    <m/>
    <m/>
    <s v="PERMANU RW 03 MALANG"/>
    <e v="#N/A"/>
    <e v="#N/A"/>
    <s v="OUTBOUND_"/>
  </r>
  <r>
    <s v="339"/>
    <m/>
    <x v="1"/>
    <s v="OUB-W0012508-678"/>
    <s v="EJ-Malang-01"/>
    <s v="Oka-0813-2707-1646"/>
    <d v="2025-08-06T00:00:00"/>
    <d v="1900-01-14T07:00:00"/>
    <s v="ZTE Warehouse"/>
    <x v="0"/>
    <x v="1"/>
    <s v="ZTE2001"/>
    <s v="Meter"/>
    <n v="1440"/>
    <s v="CLR51-99-249"/>
    <x v="104"/>
    <m/>
    <m/>
    <m/>
    <s v="Riki Romansyah"/>
    <s v="Susilo"/>
    <s v="3507050501950006"/>
    <m/>
    <m/>
    <m/>
    <s v="PERMANU RW 04 MALANG"/>
    <e v="#N/A"/>
    <e v="#N/A"/>
    <s v="OUTBOUND_"/>
  </r>
  <r>
    <s v="340"/>
    <m/>
    <x v="0"/>
    <s v="INB-W0012508-172"/>
    <s v="EJ-Malang-01"/>
    <s v="Oka-0813-2707-1646"/>
    <d v="2025-08-07T00:00:00"/>
    <d v="1899-12-30T11:21:00"/>
    <s v="FIELD TEAM"/>
    <x v="1"/>
    <x v="1"/>
    <s v="ZTE2001"/>
    <s v="Meter"/>
    <n v="500"/>
    <s v="CLR51-99-250"/>
    <x v="103"/>
    <m/>
    <m/>
    <m/>
    <s v="Riki Romansyah"/>
    <n v="0"/>
    <s v="3507050501950006"/>
    <s v="N 8420 EL"/>
    <s v="0-500"/>
    <s v="A-029-500m"/>
    <s v="0-500"/>
    <e v="#N/A"/>
    <e v="#N/A"/>
    <s v="OUTBOUND_A-029-500m"/>
  </r>
  <r>
    <s v="341"/>
    <m/>
    <x v="0"/>
    <s v="INB-W0012508-172"/>
    <s v="EJ-Malang-01"/>
    <s v="Oka-0813-2707-1646"/>
    <d v="2025-08-07T00:00:00"/>
    <d v="1899-12-30T11:21:00"/>
    <s v="FIELD TEAM"/>
    <x v="1"/>
    <x v="2"/>
    <s v="ZTE2003"/>
    <s v="Meter"/>
    <n v="44"/>
    <m/>
    <x v="3"/>
    <m/>
    <m/>
    <m/>
    <m/>
    <m/>
    <m/>
    <m/>
    <m/>
    <s v="B-026-44m"/>
    <s v="2956-3000"/>
    <e v="#N/A"/>
    <e v="#N/A"/>
    <s v="OUTBOUND_B-026-44m"/>
  </r>
  <r>
    <s v="342"/>
    <m/>
    <x v="0"/>
    <s v="INB-W0012508-172"/>
    <s v="EJ-Malang-01"/>
    <s v="Oka-0813-2707-1646"/>
    <d v="2025-08-07T00:00:00"/>
    <d v="1899-12-30T11:21:00"/>
    <s v="FIELD TEAM"/>
    <x v="1"/>
    <x v="2"/>
    <s v="ZTE2003"/>
    <s v="Meter"/>
    <n v="4"/>
    <m/>
    <x v="3"/>
    <m/>
    <m/>
    <m/>
    <m/>
    <m/>
    <m/>
    <m/>
    <m/>
    <s v="B-027-4m"/>
    <s v="242-246"/>
    <e v="#N/A"/>
    <e v="#N/A"/>
    <s v="OUTBOUND_B-027-4m"/>
  </r>
  <r>
    <s v="343"/>
    <m/>
    <x v="1"/>
    <s v="OUB-W0012508-686"/>
    <s v="EJ-Malang-01"/>
    <s v="Oka-0813-2707-1646"/>
    <d v="2025-08-13T00:00:00"/>
    <d v="1899-12-30T15:37:00"/>
    <s v="EJ-MALANG-01"/>
    <x v="0"/>
    <x v="2"/>
    <s v="ZTE2003"/>
    <s v="Meter"/>
    <n v="3000"/>
    <s v="CLR51-99-106"/>
    <x v="100"/>
    <m/>
    <m/>
    <m/>
    <s v="Riki Romansyah"/>
    <s v="Susilo"/>
    <s v="3507050501950006"/>
    <s v="N 8420 EL"/>
    <m/>
    <m/>
    <s v="KREBET SENGGRONG RW 04"/>
    <e v="#N/A"/>
    <e v="#N/A"/>
    <s v="OUTBOUND_"/>
  </r>
  <r>
    <s v="344"/>
    <m/>
    <x v="0"/>
    <s v="INB-W0012508-688"/>
    <s v="EJ-Malang-01"/>
    <s v="Oka-0813-2707-1646"/>
    <d v="2025-08-19T00:00:00"/>
    <d v="1900-01-14T07:00:00"/>
    <s v="ZTE Warehouse"/>
    <x v="0"/>
    <x v="2"/>
    <s v="ZTE2003"/>
    <s v="Meter"/>
    <n v="3000"/>
    <s v="CLR51-99-370"/>
    <x v="105"/>
    <s v="DOEID25081590"/>
    <s v="DNWID1382025081505"/>
    <m/>
    <m/>
    <m/>
    <m/>
    <m/>
    <m/>
    <s v="H-ADSS 48C-2025819-01"/>
    <s v="PERUMAHAN BULULAWANG PERMAI RW 02"/>
    <d v="2025-08-19T00:00:00"/>
    <b v="1"/>
    <s v="OUTBOUND_H-ADSS 48C-2025819-01"/>
  </r>
  <r>
    <s v="345"/>
    <m/>
    <x v="1"/>
    <s v="OUB-W0012508-689"/>
    <s v="EJ-Malang-01"/>
    <s v="Oka-0813-2707-1646"/>
    <d v="2025-08-19T00:00:00"/>
    <d v="1899-12-30T10:31:00"/>
    <s v="EJ-MALANG-01"/>
    <x v="0"/>
    <x v="2"/>
    <s v="ZTE2003"/>
    <s v="Meter"/>
    <n v="3000"/>
    <s v="CLR51-99-370"/>
    <x v="105"/>
    <m/>
    <m/>
    <m/>
    <s v="Riki Romansyah"/>
    <s v="Susilo"/>
    <s v="3507050501950006"/>
    <s v="N 8420 EL"/>
    <m/>
    <m/>
    <s v="PERUMAHAN BULULAWANG PERMAI RW 02"/>
    <e v="#N/A"/>
    <e v="#N/A"/>
    <s v="OUTBOUND_"/>
  </r>
  <r>
    <s v="346"/>
    <m/>
    <x v="0"/>
    <s v="INB-W0012508-695"/>
    <s v="EJ-Malang-01"/>
    <s v="Oka-0813-2707-1646"/>
    <d v="2025-08-30T00:00:00"/>
    <d v="1899-12-30T15:30:47"/>
    <s v="ZTE Warehouse"/>
    <x v="0"/>
    <x v="1"/>
    <s v="ZTE2001"/>
    <s v="Meter"/>
    <n v="3000"/>
    <m/>
    <x v="3"/>
    <s v="-"/>
    <s v="-"/>
    <m/>
    <m/>
    <m/>
    <m/>
    <m/>
    <m/>
    <s v="H-ADSS 24C-2025830-01"/>
    <n v="0"/>
    <e v="#N/A"/>
    <e v="#N/A"/>
    <s v="OUTBOUND_H-ADSS 24C-2025830-01"/>
  </r>
  <r>
    <s v="347"/>
    <m/>
    <x v="0"/>
    <s v="INB-W0012508-695"/>
    <s v="EJ-Malang-01"/>
    <s v="Oka-0813-2707-1646"/>
    <d v="2025-08-30T00:00:00"/>
    <d v="1899-12-30T15:30:47"/>
    <s v="ZTE Warehouse"/>
    <x v="0"/>
    <x v="1"/>
    <s v="ZTE2001"/>
    <s v="Meter"/>
    <n v="3000"/>
    <m/>
    <x v="3"/>
    <s v="-"/>
    <s v="-"/>
    <m/>
    <m/>
    <m/>
    <m/>
    <m/>
    <m/>
    <s v="H-ADSS 24C-2025830-02"/>
    <n v="0"/>
    <e v="#N/A"/>
    <e v="#N/A"/>
    <s v="OUTBOUND_H-ADSS 24C-2025830-02"/>
  </r>
  <r>
    <s v="348"/>
    <m/>
    <x v="1"/>
    <s v="OUB-W0012509-001"/>
    <s v="EJ-Malang-01"/>
    <s v="Oka-0813-2707-1646"/>
    <d v="2025-09-03T00:00:00"/>
    <d v="1899-12-30T17:23:30"/>
    <s v="FIELD TEAM"/>
    <x v="1"/>
    <x v="4"/>
    <s v="ZTE2004"/>
    <s v="Meter"/>
    <n v="575"/>
    <s v="MF51-05"/>
    <x v="106"/>
    <s v="DOEID240918BZ"/>
    <s v="DNWID0342024091808"/>
    <s v="A-Good"/>
    <m/>
    <m/>
    <m/>
    <m/>
    <m/>
    <s v="H-ADSS 144C-2024117-01"/>
    <s v="Main Feeder - OLT Smart Malang Segment 8 to Sumbersekar"/>
    <d v="2024-09-20T00:00:00"/>
    <b v="0"/>
    <s v="OUTBOUND_H-ADSS 144C-2024117-01"/>
  </r>
  <r>
    <s v="349"/>
    <n v="3"/>
    <x v="1"/>
    <s v="OUB-W0012509-002"/>
    <s v="EJ-Malang-01"/>
    <s v="Oka-0813-2707-1646"/>
    <d v="2025-09-09T00:00:00"/>
    <d v="1899-12-30T10:39:39"/>
    <s v="EJ-MALANG-01"/>
    <x v="0"/>
    <x v="1"/>
    <s v="ZTE2001"/>
    <s v="Meter"/>
    <n v="3000"/>
    <s v="CLR51-99-252"/>
    <x v="107"/>
    <s v="DOEID25082611"/>
    <s v="DNWID1382025082607"/>
    <m/>
    <s v="Riki Romansyah"/>
    <s v="Susilo"/>
    <s v="3507050501950006"/>
    <m/>
    <m/>
    <m/>
    <s v="KREBET SENGGRONG RW 03 MALANG"/>
    <d v="2025-08-27T00:00:00"/>
    <b v="0"/>
    <s v="OUTBOUND_"/>
  </r>
  <r>
    <s v="350"/>
    <n v="1"/>
    <x v="1"/>
    <s v="OUB-W0012509-003"/>
    <s v="EJ-Malang-01"/>
    <s v="Oka-0813-2707-1646"/>
    <d v="2025-09-10T00:00:00"/>
    <d v="1899-12-30T18:54:30"/>
    <s v="EJ-MALANG-01"/>
    <x v="0"/>
    <x v="1"/>
    <s v="ZTE2001"/>
    <s v="Meter"/>
    <n v="3000"/>
    <s v="CLR51-99-103"/>
    <x v="108"/>
    <s v="DOEID25082609"/>
    <s v="DNWID1382025082604"/>
    <m/>
    <s v="Riki Romansyah"/>
    <s v="Susilo"/>
    <s v="3507050501950006"/>
    <m/>
    <m/>
    <m/>
    <s v="KREBET SENGGRONG RW 02 MALANG"/>
    <d v="2025-08-27T00:00:00"/>
    <b v="0"/>
    <s v="OUTBOUND_"/>
  </r>
  <r>
    <s v="351"/>
    <n v="1"/>
    <x v="4"/>
    <s v="BOI-W0012509-001"/>
    <s v="EJ-Malang-01"/>
    <s v="Oka-0813-2707-1646"/>
    <d v="2025-09-12T00:00:00"/>
    <d v="1899-12-30T09:46:13"/>
    <s v="Other Subcon"/>
    <x v="0"/>
    <x v="2"/>
    <s v="ZTE2003"/>
    <s v="Meter"/>
    <n v="3000"/>
    <s v="BR003"/>
    <x v="109"/>
    <s v="-"/>
    <s v="-"/>
    <m/>
    <m/>
    <m/>
    <m/>
    <m/>
    <s v="DCIT Borrow"/>
    <s v="H-ADSS 48C-2025912-01"/>
    <s v="DCIT"/>
    <e v="#N/A"/>
    <e v="#N/A"/>
    <s v="OUTBOUND_H-ADSS 48C-2025912-01"/>
  </r>
  <r>
    <s v="352"/>
    <m/>
    <x v="1"/>
    <s v="OUB-W0012509-002"/>
    <s v="EJ-Malang-01"/>
    <s v="Oka-0813-2707-1646"/>
    <d v="2025-09-20T00:00:00"/>
    <d v="1899-12-30T16:10:52"/>
    <s v="FIELD TEAM"/>
    <x v="1"/>
    <x v="4"/>
    <s v="ZTE2004"/>
    <s v="Meter"/>
    <n v="375"/>
    <s v="MF51-05"/>
    <x v="106"/>
    <s v="DOEID240918BZ"/>
    <s v="DNWID0342024091808"/>
    <s v="A-Good"/>
    <s v="Riki Romansyah"/>
    <n v="0"/>
    <s v="3507050501950006"/>
    <s v="N 8420 EL"/>
    <m/>
    <s v="H-ADSS 144C-2024117-01"/>
    <s v="Main Feeder - OLT Smart Malang Segment 8 to Sumbersekar"/>
    <d v="2024-09-20T00:00:00"/>
    <b v="0"/>
    <s v="OUTBOUND_H-ADSS 144C-2024117-01"/>
  </r>
  <r>
    <s v="353"/>
    <m/>
    <x v="1"/>
    <s v="OUB-W0012509-003"/>
    <s v="EJ-Malang-01"/>
    <s v="Oka-0813-2707-1646"/>
    <d v="2025-09-20T00:00:00"/>
    <d v="1899-12-30T16:10:52"/>
    <s v="FIELD TEAM"/>
    <x v="1"/>
    <x v="4"/>
    <s v="ZTE2004"/>
    <s v="Meter"/>
    <n v="685"/>
    <s v="MF51-05"/>
    <x v="106"/>
    <s v="DOEID240918BZ"/>
    <s v="DNWID0342024091808"/>
    <s v="A-Good"/>
    <s v="Sumarsono"/>
    <m/>
    <s v="3524052005940001"/>
    <s v="L 9355 BD"/>
    <m/>
    <s v="H-ADSS 144C-2024117-01"/>
    <s v="Main Feeder - OLT Smart Malang Segment 8 to Sumbersekar"/>
    <d v="2024-09-20T00:00:00"/>
    <b v="0"/>
    <s v="OUTBOUND_H-ADSS 144C-2024117-01"/>
  </r>
  <r>
    <s v="354"/>
    <m/>
    <x v="1"/>
    <s v="OUB-W0012510-001"/>
    <s v="EJ-Malang-01"/>
    <s v="Oka-0813-2707-1646"/>
    <d v="2025-10-16T00:00:00"/>
    <d v="1899-12-30T11:10:00"/>
    <s v="FIELD TEAM"/>
    <x v="1"/>
    <x v="1"/>
    <s v="ZTE2001"/>
    <s v="Meter"/>
    <n v="1150"/>
    <s v="CLR51-99-257"/>
    <x v="110"/>
    <m/>
    <m/>
    <s v="A-Good"/>
    <s v="Riki Romansyah"/>
    <n v="0"/>
    <s v="3507050501950006"/>
    <s v="N 8420 EL"/>
    <m/>
    <s v="A-030-1150m"/>
    <s v="Perumahan Asshofa Residence"/>
    <e v="#N/A"/>
    <e v="#N/A"/>
    <s v="OUTBOUND_A-030-1150m"/>
  </r>
  <r>
    <s v="355"/>
    <m/>
    <x v="0"/>
    <s v="INB-W0012510-001"/>
    <s v="EJ-Malang-01"/>
    <s v="Oka-0813-2707-1646"/>
    <d v="2025-10-16T00:00:00"/>
    <d v="1899-12-30T11:10:00"/>
    <s v="FIELD TEAM"/>
    <x v="1"/>
    <x v="1"/>
    <s v="ZTE2001"/>
    <s v="Meter"/>
    <n v="1150"/>
    <s v="CLR51-99-370"/>
    <x v="111"/>
    <m/>
    <m/>
    <s v="A-Good"/>
    <s v="Riki Romansyah"/>
    <n v="0"/>
    <s v="3507050501950006"/>
    <s v="N 8420 EL"/>
    <m/>
    <s v="A-031-1150m"/>
    <s v="PERUMAHAN BULULAWANG PERMAI RW 02"/>
    <e v="#N/A"/>
    <e v="#N/A"/>
    <s v="OUTBOUND_A-031-1150m"/>
  </r>
  <r>
    <s v="356"/>
    <m/>
    <x v="1"/>
    <s v="OUB-W0012510-001"/>
    <s v="EJ-Malang-01"/>
    <s v="Oka-0813-2707-1646"/>
    <d v="2025-10-16T00:00:00"/>
    <d v="1899-12-30T11:10:00"/>
    <s v="FIELD TEAM"/>
    <x v="1"/>
    <x v="2"/>
    <s v="ZTE2003"/>
    <s v="Meter"/>
    <n v="1500"/>
    <s v="CLR51-99-257"/>
    <x v="110"/>
    <m/>
    <m/>
    <s v="A-Good"/>
    <s v="Riki Romansyah"/>
    <n v="0"/>
    <s v="3507050501950006"/>
    <s v="N 8420 EL"/>
    <m/>
    <s v="B-009-1500m"/>
    <s v="Perumahan Asshofa Residence"/>
    <e v="#N/A"/>
    <e v="#N/A"/>
    <s v="OUTBOUND_B-009-1500m"/>
  </r>
  <r>
    <s v="357"/>
    <m/>
    <x v="0"/>
    <s v="INB-W0012510-001"/>
    <s v="EJ-Malang-01"/>
    <s v="Oka-0813-2707-1646"/>
    <d v="2025-10-16T00:00:00"/>
    <d v="1899-12-30T11:10:00"/>
    <s v="FIELD TEAM"/>
    <x v="1"/>
    <x v="2"/>
    <s v="ZTE2003"/>
    <s v="Meter"/>
    <n v="1500"/>
    <s v="CLR51-99-370"/>
    <x v="111"/>
    <m/>
    <m/>
    <s v="A-Good"/>
    <s v="Riki Romansyah"/>
    <n v="0"/>
    <s v="3507050501950006"/>
    <s v="N 8420 EL"/>
    <m/>
    <s v="B-010-1500m"/>
    <s v="PERUMAHAN BULULAWANG PERMAI RW 02"/>
    <e v="#N/A"/>
    <e v="#N/A"/>
    <s v="OUTBOUND_B-010-1500m"/>
  </r>
  <r>
    <s v="358"/>
    <n v="6"/>
    <x v="0"/>
    <s v="INB-W0012510-002"/>
    <s v="EJ-Malang-01"/>
    <s v="Oka-0813-2707-1646"/>
    <d v="2025-10-23T00:00:00"/>
    <d v="1899-12-30T08:00:00"/>
    <s v="ZTE Warehouse"/>
    <x v="0"/>
    <x v="1"/>
    <s v="ZTE2001"/>
    <s v="Meter"/>
    <n v="3000"/>
    <s v="CLR51-99-302"/>
    <x v="112"/>
    <m/>
    <m/>
    <m/>
    <s v="Riki Romansyah"/>
    <n v="0"/>
    <s v="3507050501950006"/>
    <s v="N 8420 EL"/>
    <m/>
    <s v="H-ADSS 24C-20251023-01"/>
    <s v="LESANPURO RW 06 MALANG"/>
    <e v="#N/A"/>
    <e v="#N/A"/>
    <s v="OUTBOUND_H-ADSS 24C-20251023-01"/>
  </r>
  <r>
    <s v="359"/>
    <n v="2"/>
    <x v="1"/>
    <s v="OUB-W0012510-002"/>
    <s v="EJ-Malang-01"/>
    <s v="Oka-0813-2707-1646"/>
    <d v="2025-10-23T00:00:00"/>
    <d v="1899-12-30T14:35:00"/>
    <s v="EJ-MALANG-01"/>
    <x v="0"/>
    <x v="1"/>
    <s v="ZTE2001"/>
    <s v="Meter"/>
    <n v="3000"/>
    <s v="CLR51-99-302"/>
    <x v="112"/>
    <m/>
    <m/>
    <m/>
    <s v="Riki Romansyah"/>
    <s v="Susilo"/>
    <s v="3507050501950006"/>
    <s v="N 8420 EL"/>
    <m/>
    <m/>
    <s v="LESANPURO RW 06 MALANG"/>
    <e v="#N/A"/>
    <e v="#N/A"/>
    <s v="OUTBOUND_"/>
  </r>
  <r>
    <s v="360"/>
    <n v="8"/>
    <x v="0"/>
    <s v="INB-W0012510-004"/>
    <s v="EJ-Malang-01"/>
    <s v="Oka-0813-2707-1646"/>
    <d v="2025-10-25T00:00:00"/>
    <d v="1899-12-30T08:00:00"/>
    <s v="ZTE Warehouse"/>
    <x v="0"/>
    <x v="1"/>
    <s v="ZTE2001"/>
    <s v="Meter"/>
    <n v="3000"/>
    <s v="CLR51-99-302"/>
    <x v="112"/>
    <m/>
    <m/>
    <m/>
    <m/>
    <m/>
    <m/>
    <m/>
    <m/>
    <s v="H-ADSS 24C-20251025-01"/>
    <s v="LESANPURO RW 06 MALANG"/>
    <e v="#N/A"/>
    <e v="#N/A"/>
    <s v="OUTBOUND_H-ADSS 24C-20251025-01"/>
  </r>
  <r>
    <s v="361"/>
    <n v="8"/>
    <x v="0"/>
    <s v="INB-W0012510-004"/>
    <s v="EJ-Malang-01"/>
    <s v="Oka-0813-2707-1646"/>
    <d v="2025-10-25T00:00:00"/>
    <d v="1899-12-30T08:00:00"/>
    <s v="ZTE Warehouse"/>
    <x v="0"/>
    <x v="1"/>
    <s v="ZTE2001"/>
    <s v="Meter"/>
    <n v="3000"/>
    <s v="CLR51-99-302"/>
    <x v="112"/>
    <m/>
    <m/>
    <m/>
    <m/>
    <m/>
    <m/>
    <m/>
    <m/>
    <s v="H-ADSS 24C-20251025-02"/>
    <s v="LESANPURO RW 06 MALANG"/>
    <e v="#N/A"/>
    <e v="#N/A"/>
    <s v="OUTBOUND_H-ADSS 24C-20251025-02"/>
  </r>
  <r>
    <s v="362"/>
    <n v="3"/>
    <x v="1"/>
    <s v="OUB-W0012510-005"/>
    <s v="EJ-Malang-01"/>
    <s v="Oka-0813-2707-1646"/>
    <d v="2025-10-25T00:00:00"/>
    <d v="1899-12-30T11:00:00"/>
    <s v="EJ-MALANG-01"/>
    <x v="0"/>
    <x v="1"/>
    <s v="ZTE2001"/>
    <s v="Meter"/>
    <n v="3000"/>
    <s v="CLR51-99-302"/>
    <x v="112"/>
    <m/>
    <m/>
    <m/>
    <s v="Riki Romansyah"/>
    <s v="Susilo"/>
    <s v="3507050501950006"/>
    <s v="N 8420 EL"/>
    <m/>
    <m/>
    <s v="LESANPURO RW 06 MALANG"/>
    <e v="#N/A"/>
    <e v="#N/A"/>
    <s v="OUTBOUND_"/>
  </r>
  <r>
    <s v="363"/>
    <n v="7"/>
    <x v="1"/>
    <s v="OUB-W0012510-005"/>
    <s v="EJ-Malang-01"/>
    <s v="Oka-0813-2707-1646"/>
    <d v="2025-10-25T00:00:00"/>
    <d v="1899-12-30T11:00:00"/>
    <s v="EJ-MALANG-01"/>
    <x v="0"/>
    <x v="1"/>
    <s v="ZTE2001"/>
    <s v="Meter"/>
    <n v="3000"/>
    <s v="CLR51-99-301"/>
    <x v="113"/>
    <m/>
    <m/>
    <m/>
    <s v="Riki Romansyah"/>
    <s v="Susilo"/>
    <s v="3507050501950006"/>
    <s v="N 8420 EL"/>
    <m/>
    <m/>
    <s v="MADYOPURO RW 05 MALANG"/>
    <e v="#N/A"/>
    <e v="#N/A"/>
    <s v="OUTBOUND_"/>
  </r>
  <r>
    <s v="364"/>
    <m/>
    <x v="0"/>
    <s v="INB-W0012510-005"/>
    <s v="EJ-Malang-01"/>
    <s v="Oka-0813-2707-1646"/>
    <d v="2025-10-25T00:00:00"/>
    <d v="1899-12-30T16:00:00"/>
    <s v="FIELD TEAM"/>
    <x v="1"/>
    <x v="1"/>
    <s v="ZTE2001"/>
    <s v="Meter"/>
    <n v="1350"/>
    <s v="CLR51-99-302"/>
    <x v="112"/>
    <m/>
    <m/>
    <s v="A-Good"/>
    <s v="Riki Romansyah"/>
    <n v="0"/>
    <s v="3507050501950006"/>
    <s v="N 8420 EL"/>
    <m/>
    <s v="A-016-1350m"/>
    <s v="LESANPURO RW 06 MALANG"/>
    <e v="#N/A"/>
    <e v="#N/A"/>
    <s v="OUTBOUND_A-016-1350m"/>
  </r>
  <r>
    <s v="365"/>
    <m/>
    <x v="0"/>
    <s v="INB-W0012510-005"/>
    <s v="EJ-Malang-01"/>
    <s v="Oka-0813-2707-1646"/>
    <d v="2025-10-25T00:00:00"/>
    <d v="1899-12-30T16:00:00"/>
    <s v="FIELD TEAM"/>
    <x v="1"/>
    <x v="1"/>
    <s v="ZTE2001"/>
    <s v="Meter"/>
    <n v="925"/>
    <s v="CLR51-99-301"/>
    <x v="113"/>
    <m/>
    <m/>
    <s v="A-Good"/>
    <s v="Riki Romansyah"/>
    <n v="0"/>
    <s v="3507050501950006"/>
    <s v="N 8420 EL"/>
    <m/>
    <s v="A-018-925m"/>
    <s v="MADYOPURO RW 05 MALANG"/>
    <e v="#N/A"/>
    <e v="#N/A"/>
    <s v="OUTBOUND_A-018-925m"/>
  </r>
  <r>
    <s v="366"/>
    <n v="7"/>
    <x v="0"/>
    <s v="INB-W0012510-004"/>
    <s v="EJ-Malang-01"/>
    <s v="Oka-0813-2707-1646"/>
    <d v="2025-10-25T00:00:00"/>
    <d v="1899-12-30T08:00:00"/>
    <s v="ZTE Warehouse"/>
    <x v="0"/>
    <x v="5"/>
    <s v="ZTE2002"/>
    <s v="Meter"/>
    <n v="3000"/>
    <s v="CLR51-99-302"/>
    <x v="112"/>
    <m/>
    <m/>
    <m/>
    <m/>
    <m/>
    <m/>
    <m/>
    <m/>
    <s v="H-ADSS 36C-20251025-01"/>
    <s v="LESANPURO RW 06 MALANG"/>
    <e v="#N/A"/>
    <e v="#N/A"/>
    <s v="OUTBOUND_H-ADSS 36C-20251025-01"/>
  </r>
  <r>
    <s v="367"/>
    <n v="6"/>
    <x v="0"/>
    <s v="INB-W0012510-004"/>
    <s v="EJ-Malang-01"/>
    <s v="Oka-0813-2707-1646"/>
    <d v="2025-10-25T00:00:00"/>
    <d v="1899-12-30T08:00:00"/>
    <s v="ZTE Warehouse"/>
    <x v="0"/>
    <x v="2"/>
    <s v="ZTE2003"/>
    <s v="Meter"/>
    <n v="3000"/>
    <s v="CLR51-99-302"/>
    <x v="112"/>
    <m/>
    <m/>
    <m/>
    <m/>
    <m/>
    <m/>
    <m/>
    <m/>
    <s v="H-ADSS 48C-20251025-01"/>
    <s v="LESANPURO RW 06 MALANG"/>
    <e v="#N/A"/>
    <e v="#N/A"/>
    <s v="OUTBOUND_H-ADSS 48C-20251025-01"/>
  </r>
  <r>
    <s v="368"/>
    <n v="4"/>
    <x v="1"/>
    <s v="OUB-W0012511-001"/>
    <s v="EJ-Malang-01"/>
    <s v="Oka-0813-2707-1646"/>
    <d v="2025-11-06T00:00:00"/>
    <d v="1899-12-30T17:00:00"/>
    <s v="EJ-MALANG-01"/>
    <x v="0"/>
    <x v="5"/>
    <s v="ZTE2002"/>
    <s v="Meter"/>
    <n v="3000"/>
    <s v="CLR51-99-372"/>
    <x v="114"/>
    <s v="-"/>
    <s v="-"/>
    <m/>
    <s v="Riki Romansyah"/>
    <s v="Suliadi"/>
    <s v="3507050501950006"/>
    <s v="N 8420 EL"/>
    <m/>
    <m/>
    <s v="PALAAN RW 01 SAMPAI 05 MALANG"/>
    <e v="#N/A"/>
    <e v="#N/A"/>
    <s v="OUTBOUND_"/>
  </r>
  <r>
    <s v="369"/>
    <n v="5"/>
    <x v="1"/>
    <s v="OUB-W0012511-001"/>
    <s v="EJ-Malang-01"/>
    <s v="Oka-0813-2707-1646"/>
    <d v="2025-11-06T00:00:00"/>
    <d v="1899-12-30T17:00:00"/>
    <s v="EJ-MALANG-01"/>
    <x v="0"/>
    <x v="2"/>
    <s v="ZTE2003"/>
    <s v="Meter"/>
    <n v="3000"/>
    <s v="CLR51-99-372"/>
    <x v="114"/>
    <s v="-"/>
    <s v="-"/>
    <m/>
    <s v="Riki Romansyah"/>
    <s v="Suliadi"/>
    <s v="3507050501950006"/>
    <s v="N 8420 EL"/>
    <m/>
    <m/>
    <s v="PALAAN RW 01 SAMPAI 05 MALANG"/>
    <e v="#N/A"/>
    <e v="#N/A"/>
    <s v="OUTBOUND_"/>
  </r>
  <r>
    <s v="370"/>
    <m/>
    <x v="1"/>
    <s v="OUB-W0012511-002"/>
    <s v="EJ-Malang-01"/>
    <s v="Oka-0813-2707-1646"/>
    <d v="2025-11-09T00:00:00"/>
    <d v="1899-12-30T18:00:00"/>
    <s v="FIELD TEAM"/>
    <x v="1"/>
    <x v="1"/>
    <s v="ZTE2001"/>
    <s v="Meter"/>
    <n v="925"/>
    <s v="CLR51-99-372"/>
    <x v="114"/>
    <m/>
    <m/>
    <m/>
    <s v="Riki Romansyah"/>
    <n v="0"/>
    <s v="3507050501950006"/>
    <s v="N 8420 EL"/>
    <m/>
    <s v="A-028-925m"/>
    <s v="PALAAN RW 01 SAMPAI 05 MALANG"/>
    <e v="#N/A"/>
    <e v="#N/A"/>
    <s v="OUTBOUND_A-028-925m"/>
  </r>
  <r>
    <s v="371"/>
    <n v="3"/>
    <x v="0"/>
    <s v="INB-W0012511-002"/>
    <s v="EJ-Malang-01"/>
    <s v="Oka-0813-2707-1646"/>
    <d v="2025-11-21T00:00:00"/>
    <d v="1899-12-30T08:00:00"/>
    <s v="ZTE Warehouse"/>
    <x v="0"/>
    <x v="1"/>
    <s v="ZTE2001"/>
    <s v="Meter"/>
    <n v="3000"/>
    <s v="CLR51-99-372"/>
    <x v="114"/>
    <s v="DOEID251024G5"/>
    <s v="DNWID1382025102406"/>
    <m/>
    <m/>
    <m/>
    <m/>
    <m/>
    <m/>
    <s v="H-ADSS 24C-20251121-01"/>
    <s v="PALAAN RW 01 SAMPAI 05 MALANG"/>
    <d v="2025-10-25T00:00:00"/>
    <b v="0"/>
    <s v="OUTBOUND_H-ADSS 24C-20251121-01"/>
  </r>
  <r>
    <s v="372"/>
    <n v="4"/>
    <x v="1"/>
    <s v="OUB-W0012511-006"/>
    <s v="EJ-Malang-01"/>
    <s v="Oka-0813-2707-1646"/>
    <d v="2025-11-22T00:00:00"/>
    <d v="1899-12-30T13:00:00"/>
    <s v="EJ-MALANG-01"/>
    <x v="0"/>
    <x v="1"/>
    <s v="ZTE2001"/>
    <s v="Meter"/>
    <n v="3000"/>
    <s v="CLR51-99-375"/>
    <x v="115"/>
    <s v="DOEID251024K3"/>
    <s v="DNWID1382025102408"/>
    <m/>
    <s v="Riki Romansyah"/>
    <s v="Suliadi"/>
    <s v="3507050501950006"/>
    <s v="N 8420 EL"/>
    <m/>
    <m/>
    <s v="PALAAN RW 06 SAMPAI 10 MALANG"/>
    <d v="2025-10-25T00:00:00"/>
    <b v="0"/>
    <s v="OUTBOUND_"/>
  </r>
  <r>
    <s v="373"/>
    <m/>
    <x v="1"/>
    <s v="OUB-W0012511-006"/>
    <s v="EJ-Malang-01"/>
    <s v="Oka-0813-2707-1646"/>
    <d v="2025-11-22T00:00:00"/>
    <d v="1899-12-30T13:00:00"/>
    <s v="FIELD TEAM"/>
    <x v="1"/>
    <x v="1"/>
    <s v="ZTE2001"/>
    <s v="Meter"/>
    <n v="1350"/>
    <s v="CLR51-99-375"/>
    <x v="115"/>
    <m/>
    <m/>
    <m/>
    <s v="Riki Romansyah"/>
    <n v="0"/>
    <s v="3507050501950006"/>
    <s v="N 8420 EL"/>
    <m/>
    <s v="A-026-1350m"/>
    <s v="PALAAN RW 06 SAMPAI 10 MALANG"/>
    <e v="#N/A"/>
    <e v="#N/A"/>
    <s v="OUTBOUND_A-026-1350m"/>
  </r>
  <r>
    <s v="374"/>
    <n v="2"/>
    <x v="1"/>
    <s v="OUB-W0012511-007"/>
    <s v="EJ-Malang-01"/>
    <s v="Oka-0813-2707-1646"/>
    <d v="2025-11-23T00:00:00"/>
    <d v="1899-12-30T13:00:00"/>
    <s v="EJ-MALANG-01"/>
    <x v="0"/>
    <x v="2"/>
    <s v="ZTE2003"/>
    <s v="Meter"/>
    <n v="3000"/>
    <s v="CLR51-99-375"/>
    <x v="115"/>
    <s v="DOEID251024K3"/>
    <s v="DNWID1382025102408"/>
    <m/>
    <s v="Riki Romansyah"/>
    <s v="Suliadi"/>
    <s v="3507050501950006"/>
    <s v="N 8420 EL"/>
    <m/>
    <m/>
    <s v="PALAAN RW 06 SAMPAI 10 MALANG"/>
    <d v="2025-10-25T00:00:00"/>
    <b v="0"/>
    <s v="OUTBOUND_"/>
  </r>
  <r>
    <s v="375"/>
    <m/>
    <x v="1"/>
    <s v="OUB-W0012511-008"/>
    <s v="EJ-Malang-01"/>
    <s v="Oka-0813-2707-1646"/>
    <d v="2025-11-30T00:00:00"/>
    <d v="1899-12-30T16:00:00"/>
    <s v="FIELD TEAM"/>
    <x v="1"/>
    <x v="1"/>
    <s v="ZTE2001"/>
    <s v="Meter"/>
    <n v="175"/>
    <s v="CLR51-99-302"/>
    <x v="112"/>
    <m/>
    <m/>
    <s v="A-Good"/>
    <s v="Riki Romansyah"/>
    <n v="0"/>
    <s v="3507050501950006"/>
    <s v="N 8420 EL"/>
    <s v="FO CUT"/>
    <s v="A-017-175m"/>
    <s v="LESANPURO RW 06 MALANG"/>
    <e v="#N/A"/>
    <e v="#N/A"/>
    <s v="OUTBOUND_A-017-175m"/>
  </r>
  <r>
    <s v="376"/>
    <m/>
    <x v="0"/>
    <s v="INB-W0012511-004"/>
    <s v="EJ-Malang-01"/>
    <s v="Oka-0813-2707-1646"/>
    <d v="2025-11-30T00:00:00"/>
    <d v="1899-12-30T16:00:00"/>
    <s v="FIELD TEAM"/>
    <x v="1"/>
    <x v="1"/>
    <s v="ZTE2001"/>
    <s v="Meter"/>
    <n v="175"/>
    <s v="CLR51-99-375"/>
    <x v="115"/>
    <m/>
    <m/>
    <s v="A-Good"/>
    <s v="Riki Romansyah"/>
    <n v="0"/>
    <s v="3507050501950006"/>
    <s v="N 8420 EL"/>
    <m/>
    <s v="A-027-175m"/>
    <s v="PALAAN RW 06 SAMPAI 10 MALANG"/>
    <e v="#N/A"/>
    <e v="#N/A"/>
    <s v="OUTBOUND_A-027-175m"/>
  </r>
  <r>
    <s v="377"/>
    <m/>
    <x v="2"/>
    <s v="TFO-W0012512-001"/>
    <s v="EJ-Malang-01"/>
    <s v="Oka-0813-2707-1646"/>
    <d v="2025-12-03T00:00:00"/>
    <d v="1899-12-30T18:15:00"/>
    <s v="FIELD TEAM"/>
    <x v="1"/>
    <x v="3"/>
    <s v="ZTE2013"/>
    <s v="Meter"/>
    <n v="1750"/>
    <m/>
    <x v="3"/>
    <m/>
    <m/>
    <m/>
    <m/>
    <m/>
    <m/>
    <m/>
    <m/>
    <s v="H-ADSS 96C-2024116-02"/>
    <s v="0-1750"/>
    <e v="#N/A"/>
    <e v="#N/A"/>
    <s v="TRANSFER OUT_H-ADSS 96C-2024116-02"/>
  </r>
  <r>
    <s v="378"/>
    <n v="5"/>
    <x v="0"/>
    <s v="INB-W0012512-001"/>
    <s v="EJ-Malang-01"/>
    <s v="Oka-0813-2707-1646"/>
    <d v="2025-12-12T00:00:00"/>
    <d v="1899-12-30T13:00:00"/>
    <s v="ZTE Warehouse"/>
    <x v="0"/>
    <x v="1"/>
    <s v="ZTE2001"/>
    <s v="Meter"/>
    <n v="3000"/>
    <s v="CLR51-99-382"/>
    <x v="116"/>
    <s v="-"/>
    <s v="-"/>
    <m/>
    <m/>
    <m/>
    <m/>
    <m/>
    <m/>
    <s v="H-ADSS 24C-20251212-01"/>
    <s v="DUSUN SIDOAYU KELURAHAN SIDEREJO MALANG"/>
    <e v="#N/A"/>
    <e v="#N/A"/>
    <s v="OUTBOUND_H-ADSS 24C-20251212-01"/>
  </r>
  <r>
    <s v="379"/>
    <n v="1"/>
    <x v="0"/>
    <s v="INB-W0012512-001"/>
    <s v="EJ-Malang-01"/>
    <s v="Oka-0813-2707-1646"/>
    <d v="2025-12-12T00:00:00"/>
    <d v="1899-12-30T13:00:00"/>
    <s v="ZTE Warehouse"/>
    <x v="0"/>
    <x v="1"/>
    <s v="ZTE2001"/>
    <s v="Meter"/>
    <n v="3000"/>
    <s v="CLR51-99-382"/>
    <x v="116"/>
    <m/>
    <m/>
    <m/>
    <m/>
    <m/>
    <m/>
    <m/>
    <m/>
    <s v="H-ADSS 24C-20251212-02"/>
    <s v="DUSUN SIDOAYU KELURAHAN SIDEREJO MALANG"/>
    <e v="#N/A"/>
    <e v="#N/A"/>
    <s v="OUTBOUND_H-ADSS 24C-20251212-02"/>
  </r>
  <r>
    <s v="380"/>
    <n v="1"/>
    <x v="0"/>
    <s v="INB-W0012512-001"/>
    <s v="EJ-Malang-01"/>
    <s v="Oka-0813-2707-1646"/>
    <d v="2025-12-12T00:00:00"/>
    <d v="1899-12-30T13:00:00"/>
    <s v="ZTE Warehouse"/>
    <x v="0"/>
    <x v="1"/>
    <s v="ZTE2001"/>
    <s v="Meter"/>
    <n v="3000"/>
    <s v="CLR51-99-382"/>
    <x v="116"/>
    <m/>
    <m/>
    <m/>
    <m/>
    <m/>
    <m/>
    <m/>
    <m/>
    <s v="H-ADSS 24C-20251212-03"/>
    <s v="DUSUN SIDOAYU KELURAHAN SIDEREJO MALANG"/>
    <e v="#N/A"/>
    <e v="#N/A"/>
    <s v="OUTBOUND_H-ADSS 24C-20251212-03"/>
  </r>
  <r>
    <s v="381"/>
    <n v="1"/>
    <x v="0"/>
    <s v="INB-W0012512-001"/>
    <s v="EJ-Malang-01"/>
    <s v="Oka-0813-2707-1646"/>
    <d v="2025-12-12T00:00:00"/>
    <d v="1899-12-30T13:00:00"/>
    <s v="ZTE Warehouse"/>
    <x v="0"/>
    <x v="1"/>
    <s v="ZTE2001"/>
    <s v="Meter"/>
    <n v="3000"/>
    <s v="CLR51-99-382"/>
    <x v="116"/>
    <m/>
    <m/>
    <m/>
    <m/>
    <m/>
    <m/>
    <m/>
    <m/>
    <s v="H-ADSS 24C-20251212-04"/>
    <s v="DUSUN SIDOAYU KELURAHAN SIDEREJO MALANG"/>
    <e v="#N/A"/>
    <e v="#N/A"/>
    <s v="OUTBOUND_H-ADSS 24C-20251212-04"/>
  </r>
  <r>
    <s v="382"/>
    <n v="1"/>
    <x v="0"/>
    <s v="INB-W0012512-001"/>
    <s v="EJ-Malang-01"/>
    <s v="Oka-0813-2707-1646"/>
    <d v="2025-12-12T00:00:00"/>
    <d v="1899-12-30T13:00:00"/>
    <s v="ZTE Warehouse"/>
    <x v="0"/>
    <x v="1"/>
    <s v="ZTE2001"/>
    <s v="Meter"/>
    <n v="3000"/>
    <s v="CLR51-99-382"/>
    <x v="116"/>
    <m/>
    <m/>
    <m/>
    <m/>
    <m/>
    <m/>
    <m/>
    <m/>
    <s v="H-ADSS 24C-20251212-05"/>
    <s v="DUSUN SIDOAYU KELURAHAN SIDEREJO MALANG"/>
    <e v="#N/A"/>
    <e v="#N/A"/>
    <s v="OUTBOUND_H-ADSS 24C-20251212-05"/>
  </r>
  <r>
    <s v="383"/>
    <n v="1"/>
    <x v="0"/>
    <s v="INB-W0012512-001"/>
    <s v="EJ-Malang-01"/>
    <s v="Oka-0813-2707-1646"/>
    <d v="2025-12-12T00:00:00"/>
    <d v="1899-12-30T13:00:00"/>
    <s v="ZTE Warehouse"/>
    <x v="0"/>
    <x v="1"/>
    <s v="ZTE2001"/>
    <s v="Meter"/>
    <n v="3000"/>
    <s v="CLR51-99-382"/>
    <x v="116"/>
    <m/>
    <m/>
    <m/>
    <m/>
    <m/>
    <m/>
    <m/>
    <m/>
    <s v="H-ADSS 24C-20251212-06"/>
    <s v="DUSUN SIDOAYU KELURAHAN SIDEREJO MALANG"/>
    <e v="#N/A"/>
    <e v="#N/A"/>
    <s v="OUTBOUND_H-ADSS 24C-20251212-06"/>
  </r>
  <r>
    <s v="384"/>
    <n v="1"/>
    <x v="0"/>
    <s v="INB-W0012512-001"/>
    <s v="EJ-Malang-01"/>
    <s v="Oka-0813-2707-1646"/>
    <d v="2025-12-12T00:00:00"/>
    <d v="1899-12-30T13:00:00"/>
    <s v="ZTE Warehouse"/>
    <x v="0"/>
    <x v="1"/>
    <s v="ZTE2001"/>
    <s v="Meter"/>
    <n v="3000"/>
    <s v="CLR51-99-382"/>
    <x v="116"/>
    <m/>
    <m/>
    <m/>
    <m/>
    <m/>
    <m/>
    <m/>
    <m/>
    <s v="H-ADSS 24C-20251212-07"/>
    <s v="DUSUN SIDOAYU KELURAHAN SIDEREJO MALANG"/>
    <e v="#N/A"/>
    <e v="#N/A"/>
    <s v="OUTBOUND_H-ADSS 24C-20251212-07"/>
  </r>
  <r>
    <s v="385"/>
    <n v="4"/>
    <x v="0"/>
    <s v="INB-W0012512-001"/>
    <s v="EJ-Malang-01"/>
    <s v="Oka-0813-2707-1646"/>
    <d v="2025-12-12T00:00:00"/>
    <d v="1899-12-30T13:00:00"/>
    <s v="ZTE Warehouse"/>
    <x v="0"/>
    <x v="5"/>
    <s v="ZTE2002"/>
    <s v="Meter"/>
    <n v="3000"/>
    <s v="CLR51-99-381"/>
    <x v="117"/>
    <s v="-"/>
    <s v="-"/>
    <m/>
    <m/>
    <m/>
    <m/>
    <m/>
    <m/>
    <s v="H-ADSS 36C-20251212-01"/>
    <s v="DUSUN ARDIREJO KELURAHAN SIDEREJO MALANG"/>
    <e v="#N/A"/>
    <e v="#N/A"/>
    <s v="OUTBOUND_H-ADSS 36C-20251212-01"/>
  </r>
  <r>
    <s v="386"/>
    <m/>
    <x v="0"/>
    <s v="INB-W0012512-001"/>
    <s v="EJ-Malang-01"/>
    <s v="Oka-0813-2707-1646"/>
    <d v="2025-12-12T00:00:00"/>
    <d v="1899-12-30T13:00:00"/>
    <s v="ZTE Warehouse"/>
    <x v="0"/>
    <x v="5"/>
    <s v="ZTE2002"/>
    <s v="Meter"/>
    <n v="3000"/>
    <s v="CLR51-99-381"/>
    <x v="117"/>
    <m/>
    <m/>
    <m/>
    <m/>
    <m/>
    <m/>
    <m/>
    <m/>
    <s v="H-ADSS 36C-20251212-02"/>
    <s v="DUSUN ARDIREJO KELURAHAN SIDEREJO MALANG"/>
    <e v="#N/A"/>
    <e v="#N/A"/>
    <s v="OUTBOUND_H-ADSS 36C-20251212-02"/>
  </r>
  <r>
    <s v="387"/>
    <m/>
    <x v="0"/>
    <s v="INB-W0012512-001"/>
    <s v="EJ-Malang-01"/>
    <s v="Oka-0813-2707-1646"/>
    <d v="2025-12-12T00:00:00"/>
    <d v="1899-12-30T13:00:00"/>
    <s v="ZTE Warehouse"/>
    <x v="0"/>
    <x v="5"/>
    <s v="ZTE2002"/>
    <s v="Meter"/>
    <n v="3000"/>
    <s v="CLR51-99-381"/>
    <x v="117"/>
    <m/>
    <m/>
    <m/>
    <m/>
    <m/>
    <m/>
    <m/>
    <m/>
    <s v="H-ADSS 36C-20251212-03"/>
    <s v="DUSUN ARDIREJO KELURAHAN SIDEREJO MALANG"/>
    <e v="#N/A"/>
    <e v="#N/A"/>
    <s v="OUTBOUND_H-ADSS 36C-20251212-03"/>
  </r>
  <r>
    <s v="388"/>
    <m/>
    <x v="0"/>
    <s v="INB-W0012512-001"/>
    <s v="EJ-Malang-01"/>
    <s v="Oka-0813-2707-1646"/>
    <d v="2025-12-12T00:00:00"/>
    <d v="1899-12-30T13:00:00"/>
    <s v="ZTE Warehouse"/>
    <x v="0"/>
    <x v="5"/>
    <s v="ZTE2002"/>
    <s v="Meter"/>
    <n v="3000"/>
    <s v="CLR51-99-381"/>
    <x v="117"/>
    <m/>
    <m/>
    <m/>
    <m/>
    <m/>
    <m/>
    <m/>
    <m/>
    <s v="H-ADSS 36C-20251212-04"/>
    <s v="DUSUN ARDIREJO KELURAHAN SIDEREJO MALANG"/>
    <e v="#N/A"/>
    <e v="#N/A"/>
    <s v="OUTBOUND_H-ADSS 36C-20251212-04"/>
  </r>
  <r>
    <s v="389"/>
    <m/>
    <x v="0"/>
    <s v="INB-W0012512-001"/>
    <s v="EJ-Malang-01"/>
    <s v="Oka-0813-2707-1646"/>
    <d v="2025-12-12T00:00:00"/>
    <d v="1899-12-30T13:00:00"/>
    <s v="ZTE Warehouse"/>
    <x v="0"/>
    <x v="5"/>
    <s v="ZTE2002"/>
    <s v="Meter"/>
    <n v="3000"/>
    <s v="CLR51-99-381"/>
    <x v="117"/>
    <m/>
    <m/>
    <m/>
    <m/>
    <m/>
    <m/>
    <m/>
    <m/>
    <s v="H-ADSS 36C-20251212-05"/>
    <s v="DUSUN ARDIREJO KELURAHAN SIDEREJO MALANG"/>
    <e v="#N/A"/>
    <e v="#N/A"/>
    <s v="OUTBOUND_H-ADSS 36C-20251212-05"/>
  </r>
  <r>
    <s v="390"/>
    <m/>
    <x v="0"/>
    <s v="INB-W0012512-001"/>
    <s v="EJ-Malang-01"/>
    <s v="Oka-0813-2707-1646"/>
    <d v="2025-12-12T00:00:00"/>
    <d v="1899-12-30T13:00:00"/>
    <s v="ZTE Warehouse"/>
    <x v="0"/>
    <x v="5"/>
    <s v="ZTE2002"/>
    <s v="Meter"/>
    <n v="3000"/>
    <s v="CLR51-99-381"/>
    <x v="117"/>
    <m/>
    <m/>
    <m/>
    <m/>
    <m/>
    <m/>
    <m/>
    <m/>
    <s v="H-ADSS 36C-20251212-06"/>
    <s v="DUSUN ARDIREJO KELURAHAN SIDEREJO MALANG"/>
    <e v="#N/A"/>
    <e v="#N/A"/>
    <s v="OUTBOUND_H-ADSS 36C-20251212-06"/>
  </r>
  <r>
    <s v="391"/>
    <n v="10"/>
    <x v="1"/>
    <s v="OUB-W0012512-006"/>
    <s v="EJ-Malang-01"/>
    <s v="Oka-0813-2707-1646"/>
    <d v="2025-12-15T00:00:00"/>
    <d v="1899-12-30T11:50:00"/>
    <s v="EJ-MALANG-01"/>
    <x v="0"/>
    <x v="5"/>
    <s v="ZTE2002"/>
    <s v="Meter"/>
    <n v="3000"/>
    <s v="-"/>
    <x v="3"/>
    <m/>
    <m/>
    <m/>
    <s v="Riki Romansyah"/>
    <s v="Suliadi"/>
    <s v="3507050501950006"/>
    <s v="N 8420 EL"/>
    <m/>
    <m/>
    <n v="0"/>
    <e v="#N/A"/>
    <e v="#N/A"/>
    <s v="OUTBOUND_"/>
  </r>
  <r>
    <s v="392"/>
    <m/>
    <x v="0"/>
    <s v="INB-W0012512-004"/>
    <s v="EJ-Malang-01"/>
    <s v="Oka-0813-2707-1646"/>
    <d v="2025-12-15T00:00:00"/>
    <d v="1899-12-30T16:00:00"/>
    <s v="FIELD TEAM"/>
    <x v="1"/>
    <x v="5"/>
    <s v="ZTE2002"/>
    <s v="Meter"/>
    <n v="1000"/>
    <s v="CLR51-99-382"/>
    <x v="116"/>
    <m/>
    <m/>
    <m/>
    <m/>
    <m/>
    <m/>
    <m/>
    <s v="FDT 1 Sidoayu Line B"/>
    <s v="E-001-1000m"/>
    <s v="DUSUN SIDOAYU KELURAHAN SIDEREJO MALANG"/>
    <e v="#N/A"/>
    <e v="#N/A"/>
    <s v="OUTBOUND_E-001-1000m"/>
  </r>
  <r>
    <s v="393"/>
    <n v="1"/>
    <x v="1"/>
    <s v="OUB-W0012512-005"/>
    <s v="EJ-Malang-01"/>
    <s v="Oka-0813-2707-1646"/>
    <d v="2025-12-15T00:00:00"/>
    <d v="1899-12-30T08:50:00"/>
    <s v="EJ-MALANG-01"/>
    <x v="0"/>
    <x v="2"/>
    <s v="ZTE2003"/>
    <s v="Meter"/>
    <n v="3000"/>
    <s v="-"/>
    <x v="3"/>
    <s v="-"/>
    <s v="-"/>
    <m/>
    <s v="Riki Romansyah"/>
    <s v="Suliadi"/>
    <s v="3507050501950006"/>
    <s v="N 8420 EL"/>
    <m/>
    <m/>
    <n v="0"/>
    <e v="#N/A"/>
    <e v="#N/A"/>
    <s v="OUTBOUND_"/>
  </r>
  <r>
    <s v="394"/>
    <m/>
    <x v="0"/>
    <s v="INB-W0012512-004"/>
    <s v="EJ-Malang-01"/>
    <s v="Oka-0813-2707-1646"/>
    <d v="2025-12-15T00:00:00"/>
    <d v="1899-12-30T16:00:00"/>
    <s v="FIELD TEAM"/>
    <x v="1"/>
    <x v="2"/>
    <s v="ZTE2003"/>
    <s v="Meter"/>
    <n v="385"/>
    <s v="CLR51-99-382"/>
    <x v="116"/>
    <m/>
    <m/>
    <m/>
    <m/>
    <m/>
    <m/>
    <m/>
    <s v="FDT 1 Sidoayu Line A"/>
    <s v="B-002-385m"/>
    <s v="DUSUN SIDOAYU KELURAHAN SIDEREJO MALANG"/>
    <e v="#N/A"/>
    <e v="#N/A"/>
    <s v="OUTBOUND_B-002-385m"/>
  </r>
  <r>
    <s v="395"/>
    <n v="1"/>
    <x v="1"/>
    <s v="OUB-W0012512-008"/>
    <s v="EJ-Malang-01"/>
    <s v="Oka-0813-2707-1646"/>
    <d v="2025-12-16T00:00:00"/>
    <d v="1899-12-30T08:00:00"/>
    <s v="EJ-MALANG-01"/>
    <x v="0"/>
    <x v="5"/>
    <s v="ZTE2002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396"/>
    <n v="2"/>
    <x v="1"/>
    <s v="OUB-W0012512-008"/>
    <s v="EJ-Malang-01"/>
    <s v="Oka-0813-2707-1646"/>
    <d v="2025-12-16T00:00:00"/>
    <d v="1899-12-30T08:00:00"/>
    <s v="EJ-MALANG-01"/>
    <x v="0"/>
    <x v="5"/>
    <s v="ZTE2002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397"/>
    <m/>
    <x v="0"/>
    <s v="INB-W0012512-005"/>
    <s v="EJ-Malang-01"/>
    <s v="Oka-0813-2707-1646"/>
    <d v="2025-12-16T00:00:00"/>
    <d v="1899-12-30T16:00:00"/>
    <s v="FIELD TEAM"/>
    <x v="1"/>
    <x v="5"/>
    <s v="ZTE2002"/>
    <s v="Meter"/>
    <n v="1375"/>
    <s v="CLR51-99-382"/>
    <x v="116"/>
    <m/>
    <m/>
    <m/>
    <m/>
    <m/>
    <m/>
    <m/>
    <s v="FDT 2 Sidoayu Line A"/>
    <s v="E-002-1375m"/>
    <s v="DUSUN SIDOAYU KELURAHAN SIDEREJO MALANG"/>
    <e v="#N/A"/>
    <e v="#N/A"/>
    <s v="OUTBOUND_E-002-1375m"/>
  </r>
  <r>
    <s v="398"/>
    <m/>
    <x v="0"/>
    <s v="INB-W0012512-005"/>
    <s v="EJ-Malang-01"/>
    <s v="Oka-0813-2707-1646"/>
    <d v="2025-12-16T00:00:00"/>
    <d v="1899-12-30T16:00:00"/>
    <s v="FIELD TEAM"/>
    <x v="1"/>
    <x v="5"/>
    <s v="ZTE2002"/>
    <s v="Meter"/>
    <n v="875"/>
    <s v="CLR51-99-382"/>
    <x v="116"/>
    <m/>
    <m/>
    <m/>
    <m/>
    <m/>
    <m/>
    <m/>
    <s v="FDT 2 Sidoayu Line B"/>
    <s v="E-003-875m"/>
    <s v="DUSUN SIDOAYU KELURAHAN SIDEREJO MALANG"/>
    <e v="#N/A"/>
    <e v="#N/A"/>
    <s v="OUTBOUND_E-003-875m"/>
  </r>
  <r>
    <s v="399"/>
    <m/>
    <x v="0"/>
    <s v="INB-W0012512-005"/>
    <s v="EJ-Malang-01"/>
    <s v="Oka-0813-2707-1646"/>
    <d v="2025-12-16T00:00:00"/>
    <d v="1899-12-30T16:00:00"/>
    <s v="FIELD TEAM"/>
    <x v="1"/>
    <x v="5"/>
    <s v="ZTE2002"/>
    <s v="Meter"/>
    <n v="1300"/>
    <m/>
    <x v="118"/>
    <m/>
    <m/>
    <m/>
    <m/>
    <m/>
    <m/>
    <m/>
    <s v="Sisa Palaan"/>
    <s v="E-011-1300m"/>
    <s v="Sisa Palaan"/>
    <e v="#N/A"/>
    <e v="#N/A"/>
    <s v="OUTBOUND_E-011-1300m"/>
  </r>
  <r>
    <s v="400"/>
    <m/>
    <x v="0"/>
    <s v="INB-W0012604-001"/>
    <s v="EJ-Malang-01"/>
    <s v="Oka-0813-2707-1646"/>
    <d v="2025-12-16T00:00:00"/>
    <d v="1899-12-30T16:00:00"/>
    <s v="FIELD TEAM"/>
    <x v="1"/>
    <x v="5"/>
    <s v="ZTE2002"/>
    <s v="Meter"/>
    <n v="1100"/>
    <m/>
    <x v="3"/>
    <m/>
    <m/>
    <m/>
    <m/>
    <m/>
    <m/>
    <m/>
    <m/>
    <s v="E-012-1100m"/>
    <n v="0"/>
    <e v="#N/A"/>
    <e v="#N/A"/>
    <s v="OUTBOUND_E-012-1100m"/>
  </r>
  <r>
    <s v="401"/>
    <n v="1"/>
    <x v="1"/>
    <s v="OUB-W0012512-009"/>
    <s v="EJ-Malang-01"/>
    <s v="Oka-0813-2707-1646"/>
    <d v="2025-12-17T00:00:00"/>
    <d v="1899-12-30T08:00:00"/>
    <s v="EJ-MALANG-01"/>
    <x v="0"/>
    <x v="1"/>
    <s v="ZTE2001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402"/>
    <n v="2"/>
    <x v="1"/>
    <s v="OUB-W0012512-009"/>
    <s v="EJ-Malang-01"/>
    <s v="Oka-0813-2707-1646"/>
    <d v="2025-12-17T00:00:00"/>
    <d v="1899-12-30T08:00:00"/>
    <s v="EJ-MALANG-01"/>
    <x v="0"/>
    <x v="5"/>
    <s v="ZTE2002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403"/>
    <m/>
    <x v="0"/>
    <s v="INB-W0012512-006"/>
    <s v="EJ-Malang-01"/>
    <s v="Oka-0813-2707-1646"/>
    <d v="2025-12-17T00:00:00"/>
    <d v="1899-12-30T16:00:00"/>
    <s v="FIELD TEAM"/>
    <x v="1"/>
    <x v="5"/>
    <s v="ZTE2002"/>
    <s v="Meter"/>
    <n v="1200"/>
    <m/>
    <x v="119"/>
    <m/>
    <m/>
    <m/>
    <m/>
    <m/>
    <m/>
    <m/>
    <s v="FDT 3 Sidoayu Line C"/>
    <s v="E-005-1200m"/>
    <s v="FDT 3 Sidoayu Line C"/>
    <e v="#N/A"/>
    <e v="#N/A"/>
    <s v="OUTBOUND_E-005-1200m"/>
  </r>
  <r>
    <s v="404"/>
    <m/>
    <x v="0"/>
    <s v="INB-W0012512-008"/>
    <s v="EJ-Malang-01"/>
    <s v="Oka-0813-2707-1646"/>
    <d v="2025-12-18T00:00:00"/>
    <d v="1899-12-30T16:00:00"/>
    <s v="FIELD TEAM"/>
    <x v="1"/>
    <x v="1"/>
    <s v="ZTE2001"/>
    <s v="Meter"/>
    <n v="500"/>
    <m/>
    <x v="120"/>
    <m/>
    <m/>
    <m/>
    <s v="Riki Romansyah"/>
    <n v="0"/>
    <s v="3507050501950006"/>
    <s v="N 8420 EL"/>
    <s v="Sisa Sidoayu FDT3"/>
    <s v="A-049-500m"/>
    <s v="Sisa Sidoayu FDT3"/>
    <e v="#N/A"/>
    <e v="#N/A"/>
    <s v="OUTBOUND_A-049-500m"/>
  </r>
  <r>
    <s v="405"/>
    <n v="3"/>
    <x v="0"/>
    <s v="INB-W0012512-007"/>
    <s v="EJ-Malang-01"/>
    <s v="Oka-0813-2707-1646"/>
    <d v="2025-12-18T00:00:00"/>
    <d v="1899-12-30T13:00:00"/>
    <s v="ZTE Warehouse"/>
    <x v="0"/>
    <x v="5"/>
    <s v="ZTE2002"/>
    <s v="Meter"/>
    <n v="3000"/>
    <m/>
    <x v="3"/>
    <m/>
    <m/>
    <m/>
    <m/>
    <m/>
    <m/>
    <m/>
    <m/>
    <s v="H-ADSS 36C-20251218-01"/>
    <n v="0"/>
    <e v="#N/A"/>
    <e v="#N/A"/>
    <s v="OUTBOUND_H-ADSS 36C-20251218-01"/>
  </r>
  <r>
    <s v="406"/>
    <m/>
    <x v="0"/>
    <s v="INB-W0012512-007"/>
    <s v="EJ-Malang-01"/>
    <s v="Oka-0813-2707-1646"/>
    <d v="2025-12-18T00:00:00"/>
    <d v="1899-12-30T13:00:00"/>
    <s v="ZTE Warehouse"/>
    <x v="0"/>
    <x v="5"/>
    <s v="ZTE2002"/>
    <s v="Meter"/>
    <n v="3000"/>
    <m/>
    <x v="3"/>
    <m/>
    <m/>
    <m/>
    <m/>
    <m/>
    <m/>
    <m/>
    <m/>
    <s v="H-ADSS 36C-20251218-02"/>
    <n v="0"/>
    <e v="#N/A"/>
    <e v="#N/A"/>
    <s v="OUTBOUND_H-ADSS 36C-20251218-02"/>
  </r>
  <r>
    <s v="407"/>
    <n v="1"/>
    <x v="1"/>
    <s v="OUB-W0012512-014"/>
    <s v="EJ-Malang-01"/>
    <s v="Oka-0813-2707-1646"/>
    <d v="2025-12-20T00:00:00"/>
    <d v="1899-12-30T08:00:00"/>
    <s v="EJ-MALANG-01"/>
    <x v="0"/>
    <x v="1"/>
    <s v="ZTE2001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408"/>
    <m/>
    <x v="1"/>
    <s v="OUB-W0012512-014"/>
    <s v="EJ-Malang-01"/>
    <s v="Oka-0813-2707-1646"/>
    <d v="2025-12-20T00:00:00"/>
    <d v="1899-12-30T08:00:00"/>
    <s v="FIELD TEAM"/>
    <x v="1"/>
    <x v="5"/>
    <s v="ZTE2002"/>
    <s v="Meter"/>
    <n v="1300"/>
    <s v="CLR51-99-381"/>
    <x v="117"/>
    <m/>
    <m/>
    <m/>
    <m/>
    <m/>
    <m/>
    <m/>
    <s v="fdt2 ardirejo line c"/>
    <s v="E-007-1300m"/>
    <s v="DUSUN ARDIREJO KELURAHAN SIDEREJO MALANG"/>
    <e v="#N/A"/>
    <e v="#N/A"/>
    <s v="OUTBOUND_E-007-1300m"/>
  </r>
  <r>
    <s v="409"/>
    <n v="3"/>
    <x v="0"/>
    <s v="INB-W0012512-009"/>
    <s v="EJ-Malang-01"/>
    <s v="Oka-0813-2707-1646"/>
    <d v="2025-12-21T00:00:00"/>
    <d v="1899-12-30T16:00:00"/>
    <s v="FIELD TEAM"/>
    <x v="0"/>
    <x v="1"/>
    <s v="ZTE2001"/>
    <s v="Meter"/>
    <n v="3000"/>
    <m/>
    <x v="121"/>
    <m/>
    <m/>
    <m/>
    <m/>
    <m/>
    <m/>
    <m/>
    <m/>
    <s v="H-ADSS 24C-20251221-01"/>
    <s v="FDT 3 Ardirejo Line C"/>
    <e v="#N/A"/>
    <e v="#N/A"/>
    <s v="OUTBOUND_H-ADSS 24C-20251221-01"/>
  </r>
  <r>
    <s v="410"/>
    <n v="1"/>
    <x v="1"/>
    <s v="OUB-W0012512-015"/>
    <s v="EJ-Malang-01"/>
    <s v="Oka-0813-2707-1646"/>
    <d v="2025-12-21T00:00:00"/>
    <d v="1899-12-30T08:00:00"/>
    <s v="EJ-MALANG-01"/>
    <x v="0"/>
    <x v="1"/>
    <s v="ZTE2001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411"/>
    <n v="1"/>
    <x v="1"/>
    <s v="OUB-W0012512-016"/>
    <s v="EJ-Malang-01"/>
    <s v="Oka-0813-2707-1646"/>
    <d v="2025-12-21T00:00:00"/>
    <d v="1899-12-30T08:00:00"/>
    <s v="EJ-MALANG-01"/>
    <x v="0"/>
    <x v="1"/>
    <s v="ZTE2001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412"/>
    <m/>
    <x v="0"/>
    <s v="INB-W0012512-009"/>
    <s v="EJ-Malang-01"/>
    <s v="Oka-0813-2707-1646"/>
    <d v="2025-12-21T00:00:00"/>
    <d v="1899-12-30T16:00:00"/>
    <s v="FIELD TEAM"/>
    <x v="1"/>
    <x v="1"/>
    <s v="ZTE2001"/>
    <s v="Meter"/>
    <n v="1500"/>
    <s v="CLR51-99-381"/>
    <x v="117"/>
    <m/>
    <m/>
    <m/>
    <s v="Riki Romansyah"/>
    <n v="0"/>
    <s v="3507050501950006"/>
    <s v="N 8420 EL"/>
    <s v="FDT 4 Ardirejo Line B"/>
    <s v="A-003-1500m"/>
    <s v="DUSUN ARDIREJO KELURAHAN SIDEREJO MALANG"/>
    <e v="#N/A"/>
    <e v="#N/A"/>
    <s v="OUTBOUND_A-003-1500m"/>
  </r>
  <r>
    <s v="413"/>
    <m/>
    <x v="0"/>
    <s v="INB-W0012601-002"/>
    <s v="EJ-Malang-01"/>
    <s v="Oka-0813-2707-1646"/>
    <d v="2025-12-21T00:00:00"/>
    <d v="1899-12-30T16:00:00"/>
    <s v="FIELD TEAM"/>
    <x v="1"/>
    <x v="1"/>
    <s v="ZTE2001"/>
    <s v="Meter"/>
    <n v="1500"/>
    <m/>
    <x v="122"/>
    <m/>
    <m/>
    <m/>
    <s v="Riki Romansyah"/>
    <n v="0"/>
    <s v="3507050501950006"/>
    <s v="N 8420 EL"/>
    <s v="sf bonangung"/>
    <s v="A-045-1500m"/>
    <s v="sf bonangung"/>
    <e v="#N/A"/>
    <e v="#N/A"/>
    <s v="OUTBOUND_A-045-1500m"/>
  </r>
  <r>
    <s v="414"/>
    <n v="2"/>
    <x v="1"/>
    <s v="OUB-W0012512-015"/>
    <s v="EJ-Malang-01"/>
    <s v="Oka-0813-2707-1646"/>
    <d v="2025-12-21T00:00:00"/>
    <d v="1899-12-30T08:00:00"/>
    <s v="EJ-MALANG-01"/>
    <x v="0"/>
    <x v="5"/>
    <s v="ZTE2002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415"/>
    <n v="2"/>
    <x v="1"/>
    <s v="OUB-W0012512-016"/>
    <s v="EJ-Malang-01"/>
    <s v="Oka-0813-2707-1646"/>
    <d v="2025-12-21T00:00:00"/>
    <d v="1899-12-30T08:00:00"/>
    <s v="EJ-MALANG-01"/>
    <x v="0"/>
    <x v="5"/>
    <s v="ZTE2002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416"/>
    <m/>
    <x v="0"/>
    <s v="INB-W0012512-009"/>
    <s v="EJ-Malang-01"/>
    <s v="Oka-0813-2707-1646"/>
    <d v="2025-12-21T00:00:00"/>
    <d v="1899-12-30T16:00:00"/>
    <s v="FIELD TEAM"/>
    <x v="1"/>
    <x v="5"/>
    <s v="ZTE2002"/>
    <s v="Meter"/>
    <n v="275"/>
    <s v="CLR51-99-381"/>
    <x v="117"/>
    <m/>
    <m/>
    <m/>
    <s v="Riki Romansyah"/>
    <s v="Suliadi"/>
    <s v="3507050501950006"/>
    <s v="N 8420 EL"/>
    <s v="FDT 3 Ardirejo Line C"/>
    <s v="E-004-275m"/>
    <s v="0-275"/>
    <e v="#N/A"/>
    <e v="#N/A"/>
    <s v="OUTBOUND_E-004-275m"/>
  </r>
  <r>
    <s v="417"/>
    <m/>
    <x v="0"/>
    <s v="INB-W0012512-009"/>
    <s v="EJ-Malang-01"/>
    <s v="Oka-0813-2707-1646"/>
    <d v="2025-12-21T00:00:00"/>
    <d v="1899-12-30T16:00:00"/>
    <s v="FIELD TEAM"/>
    <x v="1"/>
    <x v="5"/>
    <s v="ZTE2002"/>
    <s v="Meter"/>
    <n v="450"/>
    <s v="CLR51-99-381"/>
    <x v="117"/>
    <m/>
    <m/>
    <m/>
    <m/>
    <m/>
    <m/>
    <m/>
    <s v="FDT 4 Ardirejo Line C"/>
    <s v="E-006-450m"/>
    <s v="DUSUN ARDIREJO KELURAHAN SIDEREJO MALANG"/>
    <e v="#N/A"/>
    <e v="#N/A"/>
    <s v="OUTBOUND_E-006-450m"/>
  </r>
  <r>
    <s v="418"/>
    <n v="1"/>
    <x v="1"/>
    <s v="OUB-W0012512-017"/>
    <s v="EJ-Malang-01"/>
    <s v="Oka-0813-2707-1646"/>
    <d v="2025-12-22T00:00:00"/>
    <d v="1899-12-30T08:00:00"/>
    <s v="EJ-MALANG-01"/>
    <x v="0"/>
    <x v="1"/>
    <s v="ZTE2001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419"/>
    <n v="2"/>
    <x v="1"/>
    <s v="OUB-W0012512-017"/>
    <s v="EJ-Malang-01"/>
    <s v="Oka-0813-2707-1646"/>
    <d v="2025-12-22T00:00:00"/>
    <d v="1899-12-30T08:00:00"/>
    <s v="EJ-MALANG-01"/>
    <x v="0"/>
    <x v="5"/>
    <s v="ZTE2002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420"/>
    <m/>
    <x v="1"/>
    <s v="OUB-W0012512-022"/>
    <s v="EJ-Malang-01"/>
    <s v="Oka-0813-2707-1646"/>
    <d v="2025-12-24T00:00:00"/>
    <d v="1899-12-30T08:00:00"/>
    <s v="FIELD TEAM"/>
    <x v="1"/>
    <x v="1"/>
    <s v="ZTE2001"/>
    <s v="Meter"/>
    <n v="1500"/>
    <s v="CLR51-99-381"/>
    <x v="117"/>
    <m/>
    <m/>
    <m/>
    <s v="Riki Romansyah"/>
    <n v="0"/>
    <s v="3507050501950006"/>
    <s v="N 8420 EL"/>
    <s v="FDT1 ardirejo Line D"/>
    <s v="A-004-1500m"/>
    <s v="DUSUN ARDIREJO KELURAHAN SIDEREJO MALANG"/>
    <e v="#N/A"/>
    <e v="#N/A"/>
    <s v="OUTBOUND_A-004-1500m"/>
  </r>
  <r>
    <s v="421"/>
    <m/>
    <x v="1"/>
    <s v="OUB-W0012512-022"/>
    <s v="EJ-Malang-01"/>
    <s v="Oka-0813-2707-1646"/>
    <d v="2025-12-24T00:00:00"/>
    <d v="1899-12-30T08:00:00"/>
    <s v="FIELD TEAM"/>
    <x v="1"/>
    <x v="1"/>
    <s v="ZTE2001"/>
    <s v="Meter"/>
    <n v="500"/>
    <m/>
    <x v="123"/>
    <m/>
    <m/>
    <m/>
    <s v="Riki Romansyah"/>
    <n v="0"/>
    <s v="3507050501950006"/>
    <s v="N 8420 EL"/>
    <s v="SF FDT 4 ardirejo"/>
    <s v="A-046-500m"/>
    <s v="SF FDT 4 ardirejo"/>
    <e v="#N/A"/>
    <e v="#N/A"/>
    <s v="OUTBOUND_A-046-500m"/>
  </r>
  <r>
    <s v="422"/>
    <n v="3"/>
    <x v="1"/>
    <s v="OUB-W0012512-024"/>
    <s v="EJ-Malang-01"/>
    <s v="Oka-0813-2707-1646"/>
    <d v="2025-12-25T00:00:00"/>
    <d v="1899-12-30T12:13:00"/>
    <s v="EJ-MALANG-01"/>
    <x v="0"/>
    <x v="1"/>
    <s v="ZTE2001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423"/>
    <m/>
    <x v="1"/>
    <s v="OUB-W0012512-024"/>
    <s v="EJ-Malang-01"/>
    <s v="Oka-0813-2707-1646"/>
    <d v="2025-12-25T00:00:00"/>
    <d v="1899-12-30T12:13:00"/>
    <s v="EJ-MALANG-01"/>
    <x v="0"/>
    <x v="1"/>
    <s v="ZTE2001"/>
    <s v="Meter"/>
    <n v="3000"/>
    <m/>
    <x v="3"/>
    <m/>
    <m/>
    <m/>
    <s v="Riki Romansyah"/>
    <s v="Suliadi"/>
    <s v="3507050501950006"/>
    <s v="N 8420 EL"/>
    <m/>
    <m/>
    <n v="0"/>
    <e v="#N/A"/>
    <e v="#N/A"/>
    <s v="OUTBOUND_"/>
  </r>
  <r>
    <s v="424"/>
    <n v="1"/>
    <x v="2"/>
    <s v="TFO-W0012512-025"/>
    <s v="EJ-Malang-01"/>
    <s v="Oka-0813-2707-1646"/>
    <d v="2025-12-26T00:00:00"/>
    <d v="1899-12-30T13:00:00"/>
    <s v="EJ-MOJOKERTO-01"/>
    <x v="0"/>
    <x v="2"/>
    <s v="ZTE2003"/>
    <s v="Meter"/>
    <n v="3000"/>
    <s v="TO MOJOKERTO"/>
    <x v="3"/>
    <m/>
    <m/>
    <m/>
    <m/>
    <m/>
    <m/>
    <m/>
    <m/>
    <m/>
    <n v="0"/>
    <e v="#N/A"/>
    <e v="#N/A"/>
    <s v="TRANSFER OUT_"/>
  </r>
  <r>
    <s v="425"/>
    <m/>
    <x v="1"/>
    <s v="OUB-W0012601-001"/>
    <s v="EJ-Malang-01"/>
    <s v="Oka-0813-2707-1646"/>
    <d v="2026-01-13T00:00:00"/>
    <d v="1899-12-30T10:32:00"/>
    <s v="FIELD TEAM"/>
    <x v="1"/>
    <x v="1"/>
    <s v="ZTE2001"/>
    <s v="Meter"/>
    <n v="215"/>
    <s v="CLR51-99-381"/>
    <x v="117"/>
    <m/>
    <m/>
    <s v="A-Good"/>
    <s v="Riki Romansyah"/>
    <n v="0"/>
    <s v="3507050501950006"/>
    <s v="N 8420 EL"/>
    <m/>
    <s v="A-002-215m"/>
    <s v="0-215"/>
    <e v="#N/A"/>
    <e v="#N/A"/>
    <s v="OUTBOUND_A-002-215m"/>
  </r>
  <r>
    <s v="426"/>
    <n v="7"/>
    <x v="0"/>
    <s v="INB-W0012601-001"/>
    <s v="EJ-Malang-01"/>
    <s v="Oka-0813-2707-1646"/>
    <d v="2026-01-19T00:00:00"/>
    <d v="1899-12-30T06:02:00"/>
    <s v="ZTE Warehouse"/>
    <x v="0"/>
    <x v="5"/>
    <s v="ZTE2002"/>
    <s v="Meter"/>
    <n v="3000"/>
    <s v="CLR51-99-196"/>
    <x v="124"/>
    <s v="DOEID260115MP"/>
    <s v="DNWID1382026011601"/>
    <m/>
    <s v="Riki Romansyah"/>
    <s v="Suliadi"/>
    <s v="3507050501950006"/>
    <s v="N 8420 EL"/>
    <m/>
    <s v="H-ADSS 36C-2026120-01"/>
    <s v="Griya Kebon Agung Indah"/>
    <d v="2026-01-19T00:00:00"/>
    <b v="1"/>
    <s v="OUTBOUND_H-ADSS 36C-2026120-01"/>
  </r>
  <r>
    <s v="427"/>
    <n v="3"/>
    <x v="1"/>
    <s v="OUB-W0012601-003"/>
    <s v="EJ-Malang-01"/>
    <s v="Oka-0813-2707-1646"/>
    <d v="2026-01-20T00:00:00"/>
    <d v="1899-12-30T16:32:00"/>
    <s v="EJ-MALANG-01"/>
    <x v="0"/>
    <x v="1"/>
    <s v="ZTE2001"/>
    <s v="Meter"/>
    <n v="3000"/>
    <s v="CLR44-99-155"/>
    <x v="125"/>
    <s v="DOEID260115MQ"/>
    <s v="DNWID1382026011602"/>
    <m/>
    <s v="Riki Romansyah"/>
    <s v="Suliadi"/>
    <s v="3507050501950006"/>
    <s v="N 8420 EL"/>
    <m/>
    <m/>
    <s v="KEBONAGUNG RW 06 PAKISAJI"/>
    <d v="2026-01-19T00:00:00"/>
    <b v="0"/>
    <s v="OUTBOUND_"/>
  </r>
  <r>
    <s v="428"/>
    <n v="4"/>
    <x v="1"/>
    <s v="OUB-W0012601-002"/>
    <s v="EJ-Malang-01"/>
    <s v="Oka-0813-2707-1646"/>
    <d v="2026-01-20T00:00:00"/>
    <d v="1899-12-30T16:32:00"/>
    <s v="EJ-MALANG-01"/>
    <x v="0"/>
    <x v="5"/>
    <s v="ZTE2002"/>
    <s v="Meter"/>
    <n v="3000"/>
    <s v="CLR44-99-155"/>
    <x v="125"/>
    <s v="DOEID260115MQ"/>
    <s v="DNWID1382026011602"/>
    <m/>
    <s v="Riki Romansyah"/>
    <s v="Suliadi"/>
    <s v="3507050501950006"/>
    <s v="N 8420 EL"/>
    <m/>
    <m/>
    <s v="KEBONAGUNG RW 06 PAKISAJI"/>
    <d v="2026-01-19T00:00:00"/>
    <b v="0"/>
    <s v="OUTBOUND_"/>
  </r>
  <r>
    <s v="429"/>
    <m/>
    <x v="1"/>
    <s v="OUB-W0012601-004"/>
    <s v="EJ-Malang-01"/>
    <s v="Oka-0813-2707-1646"/>
    <d v="2026-01-23T00:00:00"/>
    <d v="1899-12-30T16:35:00"/>
    <s v="FIELD TEAM"/>
    <x v="1"/>
    <x v="5"/>
    <s v="ZTE2002"/>
    <s v="Meter"/>
    <n v="275"/>
    <s v="CLR44-99-155"/>
    <x v="125"/>
    <s v="DOEID260115MQ"/>
    <s v="DNWID1382026011602"/>
    <m/>
    <s v="Riki Romansyah"/>
    <s v="Suliadi"/>
    <s v="3507050501950006"/>
    <s v="N 8420 EL"/>
    <m/>
    <s v="E-008-275m"/>
    <s v="0-275"/>
    <d v="2026-01-19T00:00:00"/>
    <b v="0"/>
    <s v="OUTBOUND_E-008-275m"/>
  </r>
  <r>
    <s v="430"/>
    <m/>
    <x v="1"/>
    <s v="OUB-W0012602-001"/>
    <s v="EJ-Malang-01"/>
    <s v="Oka-0813-2707-1646"/>
    <d v="2026-02-18T00:00:00"/>
    <d v="1899-12-30T16:10:52"/>
    <s v="FIELD TEAM"/>
    <x v="1"/>
    <x v="4"/>
    <s v="ZTE2004"/>
    <s v="Meter"/>
    <n v="150"/>
    <s v="MF51-05"/>
    <x v="106"/>
    <m/>
    <m/>
    <m/>
    <m/>
    <m/>
    <m/>
    <m/>
    <m/>
    <s v="H-ADSS 144C-202443-01"/>
    <s v="Main Feeder - OLT Smart Malang Segment 8 to Sumbersekar"/>
    <e v="#N/A"/>
    <e v="#N/A"/>
    <s v="OUTBOUND_H-ADSS 144C-202443-01"/>
  </r>
  <r>
    <s v="431"/>
    <m/>
    <x v="1"/>
    <s v="OUB-W0012603-002"/>
    <s v="EJ-Malang-01"/>
    <s v="Oka-0813-2707-1646"/>
    <d v="2026-03-09T00:00:00"/>
    <d v="1899-12-30T08:00:00"/>
    <s v="FIELD TEAM"/>
    <x v="1"/>
    <x v="1"/>
    <s v="ZTE2001"/>
    <s v="Meter"/>
    <n v="1500"/>
    <s v="CLR51-99-385"/>
    <x v="126"/>
    <m/>
    <m/>
    <m/>
    <s v="Riki Romansyah"/>
    <n v="0"/>
    <s v="3507050501950006"/>
    <s v="N 8420 EL"/>
    <m/>
    <s v="A-015-1500m"/>
    <s v="LESANPURO RW 01 MALANG"/>
    <e v="#N/A"/>
    <e v="#N/A"/>
    <s v="OUTBOUND_A-015-1500m"/>
  </r>
  <r>
    <s v="432"/>
    <m/>
    <x v="1"/>
    <s v="OUB-W0012603-003"/>
    <s v="EJ-Malang-01"/>
    <s v="Oka-0813-2707-1646"/>
    <d v="2026-03-10T00:00:00"/>
    <d v="1899-12-30T08:00:00"/>
    <s v="FIELD TEAM"/>
    <x v="1"/>
    <x v="5"/>
    <s v="ZTE2002"/>
    <s v="Meter"/>
    <n v="1000"/>
    <s v="CLR51-99-385"/>
    <x v="126"/>
    <m/>
    <m/>
    <m/>
    <m/>
    <m/>
    <m/>
    <m/>
    <m/>
    <s v="E-009-1000m"/>
    <s v="LESANPURO RW 01 MALANG"/>
    <e v="#N/A"/>
    <e v="#N/A"/>
    <s v="OUTBOUND_E-009-1000m"/>
  </r>
  <r>
    <s v="433"/>
    <n v="4"/>
    <x v="0"/>
    <s v="INB-W0012603-003"/>
    <s v="EJ-Malang-01"/>
    <s v="Oka-0813-2707-1646"/>
    <d v="2026-03-12T00:00:00"/>
    <d v="1899-12-30T19:00:00"/>
    <s v="ZTE Warehouse"/>
    <x v="0"/>
    <x v="1"/>
    <s v="ZTE2001"/>
    <s v="Pcs"/>
    <n v="3000"/>
    <s v="CLR51-99-447"/>
    <x v="127"/>
    <s v="DOEID260312F8"/>
    <s v="DNWID1382026031207"/>
    <m/>
    <m/>
    <m/>
    <m/>
    <m/>
    <m/>
    <s v="H-ADSS 24C-2026313-01"/>
    <s v="SEKARPURO RW 05 MALANG"/>
    <d v="2026-03-12T00:00:00"/>
    <b v="1"/>
    <s v="OUTBOUND_H-ADSS 24C-2026313-01"/>
  </r>
  <r>
    <s v="434"/>
    <n v="4"/>
    <x v="1"/>
    <s v="OUB-W0012603-005"/>
    <s v="EJ-Malang-01"/>
    <s v="Oka-0813-2707-1646"/>
    <d v="2026-03-14T00:00:00"/>
    <d v="1899-12-30T19:00:00"/>
    <s v="EJ-MALANG-01"/>
    <x v="0"/>
    <x v="1"/>
    <s v="ZTE2001"/>
    <s v="Meter"/>
    <n v="3000"/>
    <s v="CLR51-99-447"/>
    <x v="127"/>
    <m/>
    <m/>
    <m/>
    <s v="Riki Romansyah"/>
    <s v="Suliadi"/>
    <s v="3507050501950006"/>
    <s v="N 8420 EL"/>
    <m/>
    <m/>
    <s v="SEKARPURO RW 05 MALANG"/>
    <e v="#N/A"/>
    <e v="#N/A"/>
    <s v="OUTBOUND_"/>
  </r>
  <r>
    <s v="435"/>
    <m/>
    <x v="1"/>
    <s v="OUB-W0012603-005"/>
    <s v="EJ-Malang-01"/>
    <s v="Oka-0813-2707-1646"/>
    <d v="2026-03-14T00:00:00"/>
    <d v="1899-12-30T19:00:00"/>
    <s v="FIELD TEAM"/>
    <x v="1"/>
    <x v="1"/>
    <s v="ZTE2001"/>
    <s v="Meter"/>
    <n v="350"/>
    <s v="CLR51-99-451"/>
    <x v="128"/>
    <m/>
    <m/>
    <m/>
    <s v="Riki Romansyah"/>
    <n v="0"/>
    <s v="3507050501950006"/>
    <s v="N 8420 EL"/>
    <m/>
    <s v="A-043-350m"/>
    <s v="SEKARPURO RW 08 MALANG"/>
    <e v="#N/A"/>
    <e v="#N/A"/>
    <s v="OUTBOUND_A-043-350m"/>
  </r>
  <r>
    <s v="436"/>
    <m/>
    <x v="0"/>
    <s v="INB-W0012603-005"/>
    <s v="EJ-Malang-01"/>
    <s v="Oka-0813-2707-1646"/>
    <d v="2026-03-16T00:00:00"/>
    <d v="1899-12-30T19:00:00"/>
    <s v="FIELD TEAM"/>
    <x v="1"/>
    <x v="1"/>
    <s v="ZTE2001"/>
    <s v="Meter"/>
    <n v="1000"/>
    <s v="CLR51-99-447"/>
    <x v="127"/>
    <m/>
    <m/>
    <m/>
    <s v="Riki Romansyah"/>
    <n v="0"/>
    <s v="3507050501950006"/>
    <s v="N 8420 EL"/>
    <m/>
    <s v="A-042-1000m"/>
    <s v="SEKARPURO RW 05 MALANG"/>
    <e v="#N/A"/>
    <e v="#N/A"/>
    <s v="OUTBOUND_A-042-1000m"/>
  </r>
  <r>
    <s v="437"/>
    <m/>
    <x v="1"/>
    <s v="OUB-W0012604-001"/>
    <s v="EJ-Malang-01"/>
    <s v="Oka-0813-2707-1646"/>
    <d v="2026-04-21T00:00:00"/>
    <d v="1899-12-30T19:00:00"/>
    <s v="FIELD TEAM"/>
    <x v="1"/>
    <x v="1"/>
    <s v="ZTE2001"/>
    <s v="Meter"/>
    <n v="1000"/>
    <s v="CLR51-99-445"/>
    <x v="129"/>
    <m/>
    <m/>
    <m/>
    <s v="Riki Romansyah"/>
    <n v="0"/>
    <s v="3507050501950006"/>
    <s v="N 8420 EL"/>
    <m/>
    <s v="A-039-1000m"/>
    <s v="SEKARPURO RW 04 MALANG"/>
    <e v="#N/A"/>
    <e v="#N/A"/>
    <s v="OUTBOUND_A-039-1000m"/>
  </r>
  <r>
    <s v="438"/>
    <m/>
    <x v="0"/>
    <s v="INB-W0012604-001"/>
    <s v="EJ-Malang-01"/>
    <s v="Oka-0813-2707-1646"/>
    <d v="2026-04-21T00:00:00"/>
    <d v="1899-12-30T19:00:00"/>
    <s v="FIELD TEAM"/>
    <x v="1"/>
    <x v="1"/>
    <s v="ZTE2001"/>
    <s v="Meter"/>
    <n v="68"/>
    <m/>
    <x v="3"/>
    <m/>
    <m/>
    <m/>
    <m/>
    <m/>
    <m/>
    <m/>
    <m/>
    <s v="A-057-68m"/>
    <s v="1329m - 1397m"/>
    <e v="#N/A"/>
    <e v="#N/A"/>
    <s v="OUTBOUND_A-057-68m"/>
  </r>
  <r>
    <s v="439"/>
    <m/>
    <x v="0"/>
    <s v="INB-W0012604-001"/>
    <s v="EJ-Malang-01"/>
    <s v="Oka-0813-2707-1646"/>
    <d v="2026-04-21T00:00:00"/>
    <d v="1899-12-30T19:00:00"/>
    <s v="FIELD TEAM"/>
    <x v="1"/>
    <x v="1"/>
    <s v="ZTE2001"/>
    <s v="Meter"/>
    <n v="79"/>
    <m/>
    <x v="3"/>
    <m/>
    <m/>
    <m/>
    <m/>
    <m/>
    <m/>
    <m/>
    <m/>
    <s v="A-058-79m"/>
    <s v=" 530m - 451m"/>
    <e v="#N/A"/>
    <e v="#N/A"/>
    <s v="OUTBOUND_A-058-79m"/>
  </r>
  <r>
    <s v="440"/>
    <m/>
    <x v="0"/>
    <s v="INB-W0012604-001"/>
    <s v="EJ-Malang-01"/>
    <s v="Oka-0813-2707-1646"/>
    <d v="2026-04-21T00:00:00"/>
    <d v="1899-12-30T19:00:00"/>
    <s v="FIELD TEAM"/>
    <x v="1"/>
    <x v="1"/>
    <s v="ZTE2001"/>
    <s v="Meter"/>
    <n v="114"/>
    <m/>
    <x v="3"/>
    <m/>
    <m/>
    <m/>
    <m/>
    <m/>
    <m/>
    <m/>
    <m/>
    <s v="A-059-114m"/>
    <s v=" 684m - 798m"/>
    <e v="#N/A"/>
    <e v="#N/A"/>
    <s v="OUTBOUND_A-059-114m"/>
  </r>
  <r>
    <s v="441"/>
    <m/>
    <x v="0"/>
    <s v="INB-W0012604-001"/>
    <s v="EJ-Malang-01"/>
    <s v="Oka-0813-2707-1646"/>
    <d v="2026-04-21T00:00:00"/>
    <d v="1899-12-30T19:00:00"/>
    <s v="FIELD TEAM"/>
    <x v="1"/>
    <x v="1"/>
    <s v="ZTE2001"/>
    <s v="Meter"/>
    <n v="125"/>
    <m/>
    <x v="3"/>
    <m/>
    <m/>
    <m/>
    <m/>
    <m/>
    <m/>
    <m/>
    <m/>
    <s v="A-060-125m"/>
    <s v="0m - 125m"/>
    <e v="#N/A"/>
    <e v="#N/A"/>
    <s v="OUTBOUND_A-060-125m"/>
  </r>
  <r>
    <s v="442"/>
    <m/>
    <x v="0"/>
    <s v="INB-W0012604-001"/>
    <s v="EJ-Malang-01"/>
    <s v="Oka-0813-2707-1646"/>
    <d v="2026-04-21T00:00:00"/>
    <d v="1899-12-30T19:00:00"/>
    <s v="FIELD TEAM"/>
    <x v="1"/>
    <x v="1"/>
    <s v="ZTE2001"/>
    <s v="Meter"/>
    <n v="162"/>
    <m/>
    <x v="3"/>
    <m/>
    <m/>
    <m/>
    <m/>
    <m/>
    <m/>
    <m/>
    <m/>
    <s v="A-061-162m"/>
    <s v=" 496m - 334m"/>
    <e v="#N/A"/>
    <e v="#N/A"/>
    <s v="OUTBOUND_A-061-162m"/>
  </r>
  <r>
    <s v="443"/>
    <m/>
    <x v="0"/>
    <s v="INB-W0012604-001"/>
    <s v="EJ-Malang-01"/>
    <s v="Oka-0813-2707-1646"/>
    <d v="2026-04-21T00:00:00"/>
    <d v="1899-12-30T19:00:00"/>
    <s v="FIELD TEAM"/>
    <x v="1"/>
    <x v="1"/>
    <s v="ZTE2001"/>
    <s v="Meter"/>
    <n v="185"/>
    <m/>
    <x v="3"/>
    <m/>
    <m/>
    <m/>
    <m/>
    <m/>
    <m/>
    <m/>
    <m/>
    <s v="A-062-185m"/>
    <s v="  0m - 185m"/>
    <e v="#N/A"/>
    <e v="#N/A"/>
    <s v="OUTBOUND_A-062-185m"/>
  </r>
  <r>
    <s v="444"/>
    <m/>
    <x v="1"/>
    <s v="OUB-W0012604-002"/>
    <s v="EJ-Malang-01"/>
    <s v="Oka-0813-2707-1646"/>
    <d v="2026-04-22T00:00:00"/>
    <d v="1899-12-30T19:00:00"/>
    <s v="FIELD TEAM"/>
    <x v="1"/>
    <x v="1"/>
    <s v="ZTE2001"/>
    <s v="Meter"/>
    <n v="185"/>
    <s v="CLR51-99-445"/>
    <x v="129"/>
    <m/>
    <m/>
    <m/>
    <s v="Riki Romansyah"/>
    <n v="0"/>
    <s v="3507050501950006"/>
    <s v="N 8420 EL"/>
    <m/>
    <s v="A-040-185m"/>
    <s v="SEKARPURO RW 04 MALANG"/>
    <e v="#N/A"/>
    <e v="#N/A"/>
    <s v="OUTBOUND_A-040-185m"/>
  </r>
  <r>
    <s v="445"/>
    <m/>
    <x v="1"/>
    <s v="OUB-W0012604-002"/>
    <s v="EJ-Malang-01"/>
    <s v="Oka-0813-2707-1646"/>
    <d v="2026-04-22T00:00:00"/>
    <d v="1899-12-30T19:00:00"/>
    <s v="FIELD TEAM"/>
    <x v="1"/>
    <x v="1"/>
    <s v="ZTE2001"/>
    <s v="Meter"/>
    <n v="500"/>
    <s v="CLR51-99-445"/>
    <x v="129"/>
    <m/>
    <m/>
    <m/>
    <s v="Riki Romansyah"/>
    <n v="0"/>
    <s v="3507050501950006"/>
    <s v="N 8420 EL"/>
    <m/>
    <s v="A-041-500m"/>
    <s v="SEKARPURO RW 04 MALANG"/>
    <e v="#N/A"/>
    <e v="#N/A"/>
    <s v="OUTBOUND_A-041-500m"/>
  </r>
  <r>
    <s v="446"/>
    <n v="3"/>
    <x v="0"/>
    <s v="INB-W0012605-001"/>
    <s v="EJ-Malang-01"/>
    <s v="Oka-0813-2707-1646"/>
    <d v="2026-05-09T00:00:00"/>
    <d v="1899-12-30T14:46:00"/>
    <s v="ZTE Warehouse"/>
    <x v="0"/>
    <x v="1"/>
    <s v="ZTE2001"/>
    <s v="Meter"/>
    <n v="3000"/>
    <s v="CLR51-99-506"/>
    <x v="130"/>
    <s v="DOEID260509BX"/>
    <s v="DNWID03620260509DY"/>
    <m/>
    <m/>
    <m/>
    <m/>
    <m/>
    <m/>
    <s v="H-ADSS 24C-202659-01"/>
    <s v="WONOKOYO RW 05 KEDUNGKANDANG"/>
    <d v="2026-05-09T00:00:00"/>
    <b v="1"/>
    <s v="OUTBOUND_H-ADSS 24C-202659-01"/>
  </r>
  <r>
    <s v="447"/>
    <n v="5"/>
    <x v="0"/>
    <s v="INB-W0012605-002"/>
    <s v="EJ-Malang-01"/>
    <s v="Oka-0813-2707-1646"/>
    <d v="2026-05-22T00:00:00"/>
    <d v="1899-12-30T17:49:00"/>
    <s v="ZTE Warehouse"/>
    <x v="0"/>
    <x v="1"/>
    <s v="ZTE2001"/>
    <s v="Meter"/>
    <n v="3000"/>
    <s v="CLR51-99-658"/>
    <x v="131"/>
    <s v="DOEID260522B7"/>
    <n v="0"/>
    <m/>
    <m/>
    <m/>
    <m/>
    <m/>
    <m/>
    <s v="H-ADSS 24C-2026522-01"/>
    <s v="SUMBERSEKAR RT 07 RW 04 MALANG"/>
    <d v="2026-05-22T00:00:00"/>
    <b v="1"/>
    <s v="OUTBOUND_H-ADSS 24C-2026522-01"/>
  </r>
  <r>
    <s v="448"/>
    <m/>
    <x v="1"/>
    <s v="OUB-W0012606-001"/>
    <s v="EJ-Malang-01"/>
    <s v="Oka-0813-2707-1646"/>
    <d v="2026-06-20T00:00:00"/>
    <d v="1899-12-30T08:00:00"/>
    <s v="EJ-MALANG-01"/>
    <x v="0"/>
    <x v="1"/>
    <s v="ZTE2001"/>
    <s v="Meter"/>
    <n v="3000"/>
    <s v="CLR51-99-483"/>
    <x v="132"/>
    <m/>
    <m/>
    <m/>
    <s v="Riki Romansyah"/>
    <s v="Suliadi"/>
    <s v="3507050501950006"/>
    <s v="N 8420 EL"/>
    <m/>
    <m/>
    <s v="RANDUANGUNG RW 04 SINGOSARI MALANG"/>
    <e v="#N/A"/>
    <e v="#N/A"/>
    <s v="OUTBOUND_"/>
  </r>
  <r>
    <s v="449"/>
    <m/>
    <x v="0"/>
    <s v="INB-W0012606-002"/>
    <s v="EJ-Malang-01"/>
    <s v="Oka-0813-2707-1646"/>
    <d v="2026-06-20T00:00:00"/>
    <d v="1899-12-30T08:00:00"/>
    <s v="FIELD TEAM"/>
    <x v="1"/>
    <x v="1"/>
    <s v="ZTE2001"/>
    <s v="Meter"/>
    <n v="300"/>
    <s v="CLR51-99-483"/>
    <x v="132"/>
    <m/>
    <m/>
    <m/>
    <s v="Riki Romansyah"/>
    <n v="0"/>
    <s v="3507050501950006"/>
    <s v="N 8420 EL"/>
    <m/>
    <s v="A-037-300m"/>
    <s v="RANDUANGUNG RW 04 SINGOSARI MALANG"/>
    <e v="#N/A"/>
    <e v="#N/A"/>
    <s v="OUTBOUND_A-037-300m"/>
  </r>
  <r>
    <s v="450"/>
    <m/>
    <x v="1"/>
    <s v="OUB-W0012606-001"/>
    <s v="EJ-Malang-01"/>
    <s v="Oka-0813-2707-1646"/>
    <d v="2026-06-20T00:00:00"/>
    <d v="1899-12-30T08:00:00"/>
    <s v="FIELD TEAM"/>
    <x v="1"/>
    <x v="1"/>
    <s v="ZTE2001"/>
    <s v="Meter"/>
    <n v="850"/>
    <s v="CLR51-99-483"/>
    <x v="132"/>
    <m/>
    <m/>
    <m/>
    <s v="Riki Romansyah"/>
    <n v="0"/>
    <s v="3507050501950006"/>
    <s v="N 8420 EL"/>
    <m/>
    <s v="A-038-850m"/>
    <s v="RANDUANGUNG RW 04 SINGOSARI MALANG"/>
    <e v="#N/A"/>
    <e v="#N/A"/>
    <s v="OUTBOUND_A-038-850m"/>
  </r>
  <r>
    <s v="451"/>
    <m/>
    <x v="1"/>
    <s v="OUB-W0012606-001"/>
    <s v="EJ-Malang-01"/>
    <s v="Oka-0813-2707-1646"/>
    <d v="2026-06-20T00:00:00"/>
    <d v="1899-12-30T08:00:00"/>
    <s v="FIELD TEAM"/>
    <x v="1"/>
    <x v="5"/>
    <s v="ZTE2002"/>
    <s v="Meter"/>
    <n v="1375"/>
    <s v="CLR51-99-483"/>
    <x v="132"/>
    <m/>
    <m/>
    <m/>
    <m/>
    <m/>
    <m/>
    <m/>
    <m/>
    <s v="E-010-1375m"/>
    <s v="RANDUANGUNG RW 04 SINGOSARI MALANG"/>
    <e v="#N/A"/>
    <e v="#N/A"/>
    <s v="OUTBOUND_E-010-1375m"/>
  </r>
  <r>
    <s v="452"/>
    <n v="1"/>
    <x v="0"/>
    <s v="INB-W0012606-002"/>
    <s v="EJ-Malang-01"/>
    <s v="Oka-0813-2707-1646"/>
    <d v="2026-06-27T00:00:00"/>
    <d v="1899-12-30T08:00:00"/>
    <s v="ZTE Warehouse"/>
    <x v="0"/>
    <x v="1"/>
    <s v="ZTE2001"/>
    <s v="Meter"/>
    <n v="3000"/>
    <s v="CLR51-99-678"/>
    <x v="133"/>
    <s v="DOEID26062559"/>
    <n v="0"/>
    <m/>
    <m/>
    <m/>
    <m/>
    <m/>
    <m/>
    <s v="H-ADSS 24C-2026627-01"/>
    <s v="KAMBINGAN RW 04 MALANG"/>
    <d v="2026-06-27T00:00:00"/>
    <b v="1"/>
    <s v="OUTBOUND_H-ADSS 24C-2026627-01"/>
  </r>
  <r>
    <s v="453"/>
    <m/>
    <x v="1"/>
    <s v="OUB-W0012606-005"/>
    <s v="EJ-Malang-01"/>
    <s v="Oka-0813-2707-1647"/>
    <d v="2026-06-27T00:00:00"/>
    <d v="1899-12-30T21:00:00"/>
    <s v="EJ-MALANG-01"/>
    <x v="0"/>
    <x v="1"/>
    <s v="ZTE2001"/>
    <s v="Meter"/>
    <n v="3000"/>
    <s v="CLR51-99-678"/>
    <x v="133"/>
    <m/>
    <m/>
    <m/>
    <s v="Riki Romansyah"/>
    <s v="Suliadi"/>
    <s v="3507050501950006"/>
    <s v="N 8420 EL"/>
    <m/>
    <s v="H-ADSS 24C-2026627-01"/>
    <s v="KAMBINGAN RW 04 MALANG"/>
    <e v="#N/A"/>
    <e v="#N/A"/>
    <s v="OUTBOUND_H-ADSS 24C-2026627-01"/>
  </r>
  <r>
    <s v="454"/>
    <m/>
    <x v="1"/>
    <s v="OUB-W0012606-005"/>
    <s v="EJ-Malang-01"/>
    <s v="Oka-0813-2707-1647"/>
    <d v="2026-06-27T00:00:00"/>
    <d v="1899-12-30T21:00:00"/>
    <s v="EJ-MALANG-01"/>
    <x v="0"/>
    <x v="2"/>
    <s v="ZTE2003"/>
    <s v="Meter"/>
    <n v="3000"/>
    <s v="CLR51-99-678"/>
    <x v="133"/>
    <m/>
    <m/>
    <m/>
    <s v="Riki Romansyah"/>
    <s v="Suliadi"/>
    <s v="3507050501950006"/>
    <s v="N 8420 EL"/>
    <m/>
    <s v="H-ADSS 48C-2025912-01"/>
    <s v="KAMBINGAN RW 04 MALANG"/>
    <e v="#N/A"/>
    <e v="#N/A"/>
    <s v="OUTBOUND_H-ADSS 48C-2025912-01"/>
  </r>
  <r>
    <s v="455"/>
    <m/>
    <x v="0"/>
    <s v="INB-W0012606-003"/>
    <s v="EJ-Malang-01"/>
    <s v="Oka-0813-2707-1646"/>
    <d v="2026-06-29T00:00:00"/>
    <d v="1899-12-30T08:00:00"/>
    <s v="FIELD TEAM"/>
    <x v="1"/>
    <x v="1"/>
    <s v="ZTE2001"/>
    <s v="Meter"/>
    <n v="1300"/>
    <s v="CLR51-99-678"/>
    <x v="133"/>
    <m/>
    <m/>
    <m/>
    <s v="Riki Romansyah"/>
    <s v="Suliadi"/>
    <s v="3507050501950006"/>
    <s v="N 8420 EL"/>
    <s v="use 1700"/>
    <s v="H-ADSS 24C-2026627-01"/>
    <s v="0-1300m"/>
    <e v="#N/A"/>
    <e v="#N/A"/>
    <s v="OUTBOUND_H-ADSS 24C-2026627-01"/>
  </r>
  <r>
    <s v="456"/>
    <m/>
    <x v="0"/>
    <s v="INB-W0012606-004"/>
    <s v="EJ-Malang-01"/>
    <s v="Oka-0813-2707-1646"/>
    <d v="2026-06-30T00:00:00"/>
    <d v="1899-12-30T08:00:00"/>
    <s v="FIELD TEAM"/>
    <x v="1"/>
    <x v="2"/>
    <s v="ZTE2003"/>
    <s v="Meter"/>
    <n v="300"/>
    <s v="CLR51-99-678"/>
    <x v="133"/>
    <m/>
    <m/>
    <m/>
    <s v="Riki Romansyah"/>
    <s v="Suliadi"/>
    <s v="3507050501950006"/>
    <s v="N 8420 EL"/>
    <s v="use 2700"/>
    <s v="H-ADSS 48C-2025912-01"/>
    <s v="KAMBINGAN RW 04 MALANG"/>
    <e v="#N/A"/>
    <e v="#N/A"/>
    <s v="OUTBOUND_H-ADSS 48C-2025912-01"/>
  </r>
  <r>
    <s v="457"/>
    <m/>
    <x v="0"/>
    <s v="INB-W0012607-001"/>
    <s v="EJ-Malang-01"/>
    <s v="Oka-0813-2707-1646"/>
    <d v="2026-07-09T00:00:00"/>
    <d v="1899-12-30T06:00:00"/>
    <s v="ZTE Warehouse"/>
    <x v="0"/>
    <x v="1"/>
    <s v="ZTE2001"/>
    <s v="Meter"/>
    <n v="3000"/>
    <s v="CLR51-99-662"/>
    <x v="134"/>
    <s v="DOEID260708AM"/>
    <s v="DNWID0362026070821"/>
    <m/>
    <m/>
    <m/>
    <m/>
    <m/>
    <m/>
    <s v="H-ADSS 24C-202679-01"/>
    <s v="KESATRIAN RW 09 MALANG"/>
    <d v="2026-07-09T00:00:00"/>
    <b v="1"/>
    <s v="OUTBOUND_H-ADSS 24C-202679-01"/>
  </r>
  <r>
    <s v="458"/>
    <m/>
    <x v="0"/>
    <s v="INB-W0012607-002"/>
    <s v="EJ-Malang-01"/>
    <s v="Oka-0813-2707-1646"/>
    <d v="2026-07-09T00:00:00"/>
    <d v="1899-12-30T06:00:00"/>
    <s v="FIELD TEAM"/>
    <x v="1"/>
    <x v="1"/>
    <s v="ZTE2001"/>
    <s v="Meter"/>
    <n v="1900"/>
    <s v="CLR51-99-662"/>
    <x v="134"/>
    <m/>
    <m/>
    <m/>
    <s v="Riki Romansyah"/>
    <s v="Suliadi"/>
    <s v="3507050501950006"/>
    <s v="N 8420 EL"/>
    <m/>
    <s v="H-ADSS 24C-202679-01"/>
    <s v="KESATRIAN RW 09 MALANG"/>
    <e v="#N/A"/>
    <e v="#N/A"/>
    <s v="OUTBOUND_H-ADSS 24C-202679-01"/>
  </r>
  <r>
    <s v="459"/>
    <m/>
    <x v="1"/>
    <s v="OUB-W0012607-003"/>
    <s v="EJ-Malang-01"/>
    <s v="Oka-0813-2707-1646"/>
    <d v="2026-07-11T00:00:00"/>
    <d v="1899-12-30T06:00:00"/>
    <s v="FIELD TEAM"/>
    <x v="1"/>
    <x v="1"/>
    <s v="ZTE2001"/>
    <s v="Meter"/>
    <n v="1300"/>
    <s v="CLR51-99-662"/>
    <x v="134"/>
    <m/>
    <m/>
    <m/>
    <s v="Riki Romansyah"/>
    <s v="Suliadi"/>
    <s v="3507050501950006"/>
    <s v="N 8420 EL"/>
    <m/>
    <s v="H-ADSS 24C-2026627-01"/>
    <s v="KESATRIAN RW 09 MALANG"/>
    <e v="#N/A"/>
    <e v="#N/A"/>
    <s v="OUTBOUND_H-ADSS 24C-2026627-01"/>
  </r>
  <r>
    <s v="460"/>
    <m/>
    <x v="1"/>
    <s v="OUB-W0012607-004"/>
    <s v="EJ-Malang-01"/>
    <s v="Oka-0813-2707-1646"/>
    <d v="2026-07-12T00:00:00"/>
    <d v="1899-12-30T06:00:00"/>
    <s v="EJ-MALANG-01"/>
    <x v="0"/>
    <x v="1"/>
    <s v="ZTE2001"/>
    <s v="Meter"/>
    <n v="3000"/>
    <s v="CLR51-99-662"/>
    <x v="134"/>
    <m/>
    <m/>
    <m/>
    <s v="Riki Romansyah"/>
    <s v="Suliadi"/>
    <s v="3507050501950006"/>
    <s v="N 8420 EL"/>
    <m/>
    <s v="H-ADSS 24C-202679-01"/>
    <s v="KESATRIAN RW 09 MALANG"/>
    <e v="#N/A"/>
    <e v="#N/A"/>
    <s v="OUTBOUND_H-ADSS 24C-202679-01"/>
  </r>
  <r>
    <s v="461"/>
    <m/>
    <x v="0"/>
    <s v="INB-W0012308-11"/>
    <s v="EJ-Malang-01"/>
    <s v="Oka-0813-2707-1646"/>
    <d v="2023-08-16T00:00:00"/>
    <d v="1900-01-14T07:00:00"/>
    <s v="GCI Procurement"/>
    <x v="2"/>
    <x v="6"/>
    <s v="GCI1012"/>
    <s v="Pcs"/>
    <n v="153"/>
    <s v="CLR51-99-004"/>
    <x v="19"/>
    <n v="0"/>
    <n v="0"/>
    <m/>
    <m/>
    <m/>
    <m/>
    <m/>
    <m/>
    <m/>
    <s v="Perumahan Bumi Podo Rukun Dau"/>
    <e v="#N/A"/>
    <e v="#N/A"/>
    <s v="OUTBOUND_"/>
  </r>
  <r>
    <s v="462"/>
    <m/>
    <x v="1"/>
    <s v="OUB-W0012308-10"/>
    <s v="EJ-Malang-01"/>
    <s v="Oka-0813-2707-1646"/>
    <d v="2023-08-16T00:00:00"/>
    <d v="1900-01-14T08:56:24"/>
    <s v="EJ-MALANG-01"/>
    <x v="2"/>
    <x v="6"/>
    <s v="GCI1012"/>
    <s v="Pcs"/>
    <n v="153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463"/>
    <m/>
    <x v="0"/>
    <s v="INB-W0012309-22"/>
    <s v="EJ-Malang-01"/>
    <s v="Oka-0813-2707-1646"/>
    <d v="2023-09-05T00:00:00"/>
    <d v="1900-01-14T07:00:00"/>
    <s v="GCI Procurement"/>
    <x v="2"/>
    <x v="6"/>
    <s v="GCI1012"/>
    <s v="Pcs"/>
    <n v="113"/>
    <s v="CLR51-99-006"/>
    <x v="23"/>
    <n v="0"/>
    <n v="0"/>
    <m/>
    <m/>
    <m/>
    <m/>
    <m/>
    <s v="Note cek di supplier kurang 13pcs"/>
    <m/>
    <s v="Mulyorejo RW 04 Sukun"/>
    <e v="#N/A"/>
    <e v="#N/A"/>
    <s v="OUTBOUND_"/>
  </r>
  <r>
    <s v="464"/>
    <m/>
    <x v="1"/>
    <s v="OUB-W0012309-21"/>
    <s v="EJ-Malang-01"/>
    <s v="Oka-0813-2707-1646"/>
    <d v="2023-09-05T00:00:00"/>
    <d v="1899-12-30T08:38:00"/>
    <s v="EJ-MALANG-01"/>
    <x v="2"/>
    <x v="6"/>
    <s v="GCI1012"/>
    <s v="Pcs"/>
    <n v="113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465"/>
    <m/>
    <x v="0"/>
    <s v="INB-W0012309-27"/>
    <s v="EJ-Malang-01"/>
    <s v="Oka-0813-2707-1646"/>
    <d v="2023-09-08T00:00:00"/>
    <d v="1900-01-14T07:00:00"/>
    <s v="GCI Procurement"/>
    <x v="2"/>
    <x v="6"/>
    <s v="GCI1012"/>
    <s v="Pcs"/>
    <n v="13"/>
    <s v="CLR51-99-006"/>
    <x v="23"/>
    <n v="0"/>
    <n v="0"/>
    <m/>
    <m/>
    <m/>
    <m/>
    <m/>
    <s v="kekurangan 13 pcs di kirim supplier via bus tentrem"/>
    <m/>
    <s v="Mulyorejo RW 04 Sukun"/>
    <e v="#N/A"/>
    <e v="#N/A"/>
    <s v="OUTBOUND_"/>
  </r>
  <r>
    <s v="466"/>
    <m/>
    <x v="1"/>
    <s v="OUB-W0012309-24"/>
    <s v="EJ-Malang-01"/>
    <s v="Oka-0813-2707-1646"/>
    <d v="2023-09-08T00:00:00"/>
    <d v="1899-12-30T08:54:00"/>
    <s v="EJ-MALANG-01"/>
    <x v="2"/>
    <x v="6"/>
    <s v="GCI1012"/>
    <s v="Pcs"/>
    <n v="13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467"/>
    <m/>
    <x v="3"/>
    <s v="TFI-W0012309-29"/>
    <s v="EJ-Malang-01"/>
    <s v="Oka-0813-2707-1646"/>
    <d v="2023-09-14T00:00:00"/>
    <d v="1900-01-14T07:00:00"/>
    <s v="EJ-KEDIRI-01"/>
    <x v="2"/>
    <x v="6"/>
    <s v="GCI1012"/>
    <s v="Pcs"/>
    <n v="8"/>
    <s v="TRF"/>
    <x v="78"/>
    <n v="0"/>
    <n v="0"/>
    <m/>
    <m/>
    <m/>
    <m/>
    <m/>
    <s v="exwonocatur untuk kekurangan bumi podo rukun"/>
    <m/>
    <s v="KEDIRI"/>
    <e v="#N/A"/>
    <e v="#N/A"/>
    <s v="OUTBOUND_"/>
  </r>
  <r>
    <s v="468"/>
    <m/>
    <x v="0"/>
    <s v="INB-W0012309-48"/>
    <s v="EJ-Malang-01"/>
    <s v="Oka-0813-2707-1646"/>
    <d v="2023-09-26T00:00:00"/>
    <d v="1900-01-14T07:00:00"/>
    <s v="GCI Procurement"/>
    <x v="2"/>
    <x v="6"/>
    <s v="GCI1012"/>
    <s v="Pcs"/>
    <n v="384"/>
    <s v="CLR51-02-001"/>
    <x v="20"/>
    <n v="0"/>
    <n v="0"/>
    <m/>
    <m/>
    <m/>
    <m/>
    <m/>
    <s v="Akrilik Distribusi "/>
    <m/>
    <s v="Puncak Dieng Exlusif"/>
    <e v="#N/A"/>
    <e v="#N/A"/>
    <s v="OUTBOUND_"/>
  </r>
  <r>
    <s v="469"/>
    <m/>
    <x v="0"/>
    <s v="INB-W0012310-61"/>
    <s v="EJ-Malang-01"/>
    <s v="Oka-0813-2707-1646"/>
    <d v="2023-10-05T00:00:00"/>
    <d v="1900-01-14T07:00:00"/>
    <s v="GCI Procurement"/>
    <x v="2"/>
    <x v="6"/>
    <s v="GCI1012"/>
    <s v="Pcs"/>
    <n v="38"/>
    <s v="CLR51-99-004"/>
    <x v="19"/>
    <n v="0"/>
    <n v="0"/>
    <m/>
    <m/>
    <m/>
    <m/>
    <m/>
    <s v="Punchlist Arkilik Bumi Podo Rukun"/>
    <m/>
    <s v="Perumahan Bumi Podo Rukun Dau"/>
    <e v="#N/A"/>
    <e v="#N/A"/>
    <s v="OUTBOUND_"/>
  </r>
  <r>
    <s v="470"/>
    <m/>
    <x v="0"/>
    <s v="INB-W0012310-61"/>
    <s v="EJ-Malang-01"/>
    <s v="Oka-0813-2707-1646"/>
    <d v="2023-10-05T00:00:00"/>
    <d v="1900-01-14T07:00:00"/>
    <s v="GCI Procurement"/>
    <x v="2"/>
    <x v="6"/>
    <s v="GCI1012"/>
    <s v="Pcs"/>
    <n v="60"/>
    <s v="CLR51-99-014"/>
    <x v="29"/>
    <n v="0"/>
    <n v="0"/>
    <m/>
    <m/>
    <m/>
    <m/>
    <m/>
    <m/>
    <m/>
    <s v="Pandan Landung RW 04 Wagir"/>
    <e v="#N/A"/>
    <e v="#N/A"/>
    <s v="OUTBOUND_"/>
  </r>
  <r>
    <s v="471"/>
    <m/>
    <x v="0"/>
    <s v="INB-W0012310-61"/>
    <s v="EJ-Malang-01"/>
    <s v="Oka-0813-2707-1646"/>
    <d v="2023-10-05T00:00:00"/>
    <d v="1900-01-14T07:00:00"/>
    <s v="GCI Procurement"/>
    <x v="2"/>
    <x v="6"/>
    <s v="GCI1012"/>
    <s v="Pcs"/>
    <n v="72"/>
    <s v="CLR51-99-007"/>
    <x v="25"/>
    <n v="0"/>
    <n v="0"/>
    <m/>
    <m/>
    <m/>
    <m/>
    <m/>
    <m/>
    <m/>
    <s v="Mulyorejo RW 06 Sukun"/>
    <e v="#N/A"/>
    <e v="#N/A"/>
    <s v="OUTBOUND_"/>
  </r>
  <r>
    <s v="472"/>
    <m/>
    <x v="0"/>
    <s v="INB-W0012310-61"/>
    <s v="EJ-Malang-01"/>
    <s v="Oka-0813-2707-1646"/>
    <d v="2023-10-05T00:00:00"/>
    <d v="1900-01-14T07:00:00"/>
    <s v="GCI Procurement"/>
    <x v="2"/>
    <x v="6"/>
    <s v="GCI1012"/>
    <s v="Pcs"/>
    <n v="74"/>
    <s v="CLR51-99-013"/>
    <x v="26"/>
    <n v="0"/>
    <n v="0"/>
    <m/>
    <m/>
    <m/>
    <m/>
    <m/>
    <m/>
    <m/>
    <s v="Pandan Landung RW 03 Wagir"/>
    <e v="#N/A"/>
    <e v="#N/A"/>
    <s v="OUTBOUND_"/>
  </r>
  <r>
    <s v="473"/>
    <m/>
    <x v="0"/>
    <s v="INB-W0012310-61"/>
    <s v="EJ-Malang-01"/>
    <s v="Oka-0813-2707-1646"/>
    <d v="2023-10-05T00:00:00"/>
    <d v="1900-01-14T07:00:00"/>
    <s v="GCI Procurement"/>
    <x v="2"/>
    <x v="6"/>
    <s v="GCI1012"/>
    <s v="Pcs"/>
    <n v="83"/>
    <s v="CLR51-02-001"/>
    <x v="20"/>
    <n v="0"/>
    <n v="0"/>
    <m/>
    <m/>
    <m/>
    <m/>
    <m/>
    <s v="Akrilik Subfeeder"/>
    <m/>
    <s v="Puncak Dieng Exlusif"/>
    <e v="#N/A"/>
    <e v="#N/A"/>
    <s v="OUTBOUND_"/>
  </r>
  <r>
    <s v="474"/>
    <m/>
    <x v="1"/>
    <s v="OUB-W0012310-62"/>
    <s v="EJ-Malang-01"/>
    <s v="Oka-0813-2707-1646"/>
    <d v="2023-10-06T00:00:00"/>
    <d v="1899-12-30T09:27:00"/>
    <s v="EJ-MALANG-01"/>
    <x v="2"/>
    <x v="6"/>
    <s v="GCI1012"/>
    <s v="Pcs"/>
    <n v="83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475"/>
    <m/>
    <x v="1"/>
    <s v="OUB-W0012310-62"/>
    <s v="EJ-Malang-01"/>
    <s v="Oka-0813-2707-1646"/>
    <d v="2023-10-06T00:00:00"/>
    <d v="1899-12-30T09:27:00"/>
    <s v="EJ-MALANG-01"/>
    <x v="2"/>
    <x v="6"/>
    <s v="GCI1012"/>
    <s v="Pcs"/>
    <n v="384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476"/>
    <m/>
    <x v="1"/>
    <s v="OUB-W0012310-73"/>
    <s v="EJ-Malang-01"/>
    <s v="Oka-0813-2707-1646"/>
    <d v="2023-10-12T00:00:00"/>
    <d v="1899-12-30T20:31:00"/>
    <s v="EJ-MALANG-01"/>
    <x v="2"/>
    <x v="6"/>
    <s v="GCI1012"/>
    <s v="Pcs"/>
    <n v="59"/>
    <s v="CLR51-99-014"/>
    <x v="29"/>
    <m/>
    <m/>
    <m/>
    <s v="NASRUL"/>
    <n v="0"/>
    <s v="3573042706820008"/>
    <s v="N 4292 DT"/>
    <m/>
    <m/>
    <s v="Pandan Landung RW 04 Wagir"/>
    <e v="#N/A"/>
    <e v="#N/A"/>
    <s v="OUTBOUND_"/>
  </r>
  <r>
    <s v="477"/>
    <m/>
    <x v="1"/>
    <s v="OUB-W0012310-73"/>
    <s v="EJ-Malang-01"/>
    <s v="Oka-0813-2707-1646"/>
    <d v="2023-10-12T00:00:00"/>
    <d v="1899-12-30T20:31:00"/>
    <s v="EJ-MALANG-01"/>
    <x v="2"/>
    <x v="6"/>
    <s v="GCI1012"/>
    <s v="Pcs"/>
    <n v="73"/>
    <s v="CLR51-99-013"/>
    <x v="26"/>
    <m/>
    <m/>
    <m/>
    <s v="NASRUL"/>
    <n v="0"/>
    <s v="3573042706820008"/>
    <s v="N 4292 DT"/>
    <m/>
    <m/>
    <s v="Pandan Landung RW 03 Wagir"/>
    <e v="#N/A"/>
    <e v="#N/A"/>
    <s v="OUTBOUND_"/>
  </r>
  <r>
    <s v="478"/>
    <m/>
    <x v="1"/>
    <s v="OUB-W0012310-81"/>
    <s v="EJ-Malang-01"/>
    <s v="Oka-0813-2707-1646"/>
    <d v="2023-10-17T00:00:00"/>
    <d v="1899-12-30T14:11:00"/>
    <s v="EJ-MALANG-01"/>
    <x v="2"/>
    <x v="6"/>
    <s v="GCI1012"/>
    <s v="Pcs"/>
    <n v="38"/>
    <s v="CLR51-99-004"/>
    <x v="19"/>
    <m/>
    <m/>
    <m/>
    <s v="Mohammad Febbi H"/>
    <s v="Febby Supplier"/>
    <s v="3524052002930003"/>
    <s v=" W 8940 PC"/>
    <m/>
    <m/>
    <s v="Perumahan Bumi Podo Rukun Dau"/>
    <e v="#N/A"/>
    <e v="#N/A"/>
    <s v="OUTBOUND_"/>
  </r>
  <r>
    <s v="479"/>
    <m/>
    <x v="1"/>
    <s v="OUB-W0012310-90"/>
    <s v="EJ-Malang-01"/>
    <s v="Oka-0813-2707-1646"/>
    <d v="2023-10-21T00:00:00"/>
    <d v="1899-12-30T23:24:00"/>
    <s v="EJ-MALANG-01"/>
    <x v="2"/>
    <x v="6"/>
    <s v="GCI1012"/>
    <s v="Pcs"/>
    <n v="82"/>
    <n v="0"/>
    <x v="5"/>
    <m/>
    <m/>
    <m/>
    <s v="Mustofa"/>
    <n v="0"/>
    <s v="3209140803860003"/>
    <s v="N 9609 EF"/>
    <m/>
    <m/>
    <n v="0"/>
    <e v="#N/A"/>
    <e v="#N/A"/>
    <s v="OUTBOUND_"/>
  </r>
  <r>
    <s v="480"/>
    <m/>
    <x v="0"/>
    <s v="INB-W0012402-222"/>
    <s v="EJ-Malang-01"/>
    <s v="Oka-0813-2707-1646"/>
    <d v="2024-02-09T00:00:00"/>
    <d v="1900-01-14T07:00:00"/>
    <s v="GCI Procurement"/>
    <x v="2"/>
    <x v="6"/>
    <s v="GCI1012"/>
    <s v="Pcs"/>
    <n v="110"/>
    <s v="MF51-01"/>
    <x v="36"/>
    <n v="0"/>
    <n v="0"/>
    <m/>
    <m/>
    <m/>
    <m/>
    <m/>
    <s v="dari Fahrudin"/>
    <m/>
    <s v="HUBFEEDER BATURETNO RW 02"/>
    <e v="#N/A"/>
    <e v="#N/A"/>
    <s v="OUTBOUND_"/>
  </r>
  <r>
    <s v="481"/>
    <m/>
    <x v="1"/>
    <s v="OUB-W0012402-230"/>
    <s v="EJ-Malang-01"/>
    <s v="Oka-0813-2707-1646"/>
    <d v="2024-02-19T00:00:00"/>
    <d v="1899-12-30T15:10:00"/>
    <s v="EJ-MALANG-01"/>
    <x v="2"/>
    <x v="6"/>
    <s v="GCI1012"/>
    <s v="Pcs"/>
    <n v="110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482"/>
    <m/>
    <x v="0"/>
    <s v="INB-W0012308-6"/>
    <s v="EJ-Malang-01"/>
    <s v="Oka-0813-2707-1646"/>
    <d v="2023-08-09T00:00:00"/>
    <d v="1900-01-14T07:00:00"/>
    <s v="GCI Procurement"/>
    <x v="2"/>
    <x v="7"/>
    <s v="GCI1014"/>
    <s v="Pcs"/>
    <n v="35"/>
    <s v="CLR51-99-004"/>
    <x v="19"/>
    <n v="0"/>
    <n v="0"/>
    <m/>
    <m/>
    <m/>
    <m/>
    <m/>
    <m/>
    <m/>
    <s v="Perumahan Bumi Podo Rukun Dau"/>
    <e v="#N/A"/>
    <e v="#N/A"/>
    <s v="OUTBOUND_"/>
  </r>
  <r>
    <s v="483"/>
    <m/>
    <x v="1"/>
    <s v="OUB-W0012308-7"/>
    <s v="EJ-Malang-01"/>
    <s v="Oka-0813-2707-1646"/>
    <d v="2023-08-10T00:00:00"/>
    <d v="1900-01-14T16:37:24"/>
    <s v="EJ-MALANG-01"/>
    <x v="2"/>
    <x v="7"/>
    <s v="GCI1014"/>
    <s v="Pcs"/>
    <n v="35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484"/>
    <m/>
    <x v="0"/>
    <s v="INB-W0012308-9"/>
    <s v="EJ-Malang-01"/>
    <s v="Oka-0813-2707-1646"/>
    <d v="2023-08-14T00:00:00"/>
    <d v="1900-01-14T07:00:00"/>
    <s v="GCI Procurement"/>
    <x v="2"/>
    <x v="7"/>
    <s v="GCI1014"/>
    <s v="Pcs"/>
    <n v="60"/>
    <s v="CLR51-99-004"/>
    <x v="19"/>
    <n v="0"/>
    <n v="0"/>
    <m/>
    <m/>
    <m/>
    <m/>
    <m/>
    <m/>
    <m/>
    <s v="Perumahan Bumi Podo Rukun Dau"/>
    <e v="#N/A"/>
    <e v="#N/A"/>
    <s v="OUTBOUND_"/>
  </r>
  <r>
    <s v="485"/>
    <m/>
    <x v="1"/>
    <s v="OUB-W0012308-10"/>
    <s v="EJ-Malang-01"/>
    <s v="Oka-0813-2707-1646"/>
    <d v="2023-08-16T00:00:00"/>
    <d v="1900-01-14T08:56:24"/>
    <s v="EJ-MALANG-01"/>
    <x v="2"/>
    <x v="7"/>
    <s v="GCI1014"/>
    <s v="Pcs"/>
    <n v="60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486"/>
    <m/>
    <x v="0"/>
    <s v="INB-W0012308-12"/>
    <s v="EJ-Malang-01"/>
    <s v="Oka-0813-2707-1646"/>
    <d v="2023-08-19T00:00:00"/>
    <d v="1900-01-14T07:00:00"/>
    <s v="GCI Procurement"/>
    <x v="2"/>
    <x v="7"/>
    <s v="GCI1014"/>
    <s v="Pcs"/>
    <n v="45"/>
    <s v="CLR51-99-004"/>
    <x v="19"/>
    <n v="0"/>
    <n v="0"/>
    <m/>
    <m/>
    <m/>
    <m/>
    <m/>
    <m/>
    <m/>
    <s v="Perumahan Bumi Podo Rukun Dau"/>
    <e v="#N/A"/>
    <e v="#N/A"/>
    <s v="OUTBOUND_"/>
  </r>
  <r>
    <s v="487"/>
    <m/>
    <x v="1"/>
    <s v="OUB-W0012308-13"/>
    <s v="EJ-Malang-01"/>
    <s v="Oka-0813-2707-1646"/>
    <d v="2023-08-20T00:00:00"/>
    <d v="1899-12-30T08:28:00"/>
    <s v="EJ-MALANG-01"/>
    <x v="2"/>
    <x v="7"/>
    <s v="GCI1014"/>
    <s v="Pcs"/>
    <n v="45"/>
    <s v="CLR51-99-004"/>
    <x v="19"/>
    <m/>
    <m/>
    <m/>
    <s v="Agus Suyoto"/>
    <s v="Febby Supplier"/>
    <s v="3515171206680002"/>
    <s v="B-9407-UT"/>
    <m/>
    <m/>
    <s v="Perumahan Bumi Podo Rukun Dau"/>
    <e v="#N/A"/>
    <e v="#N/A"/>
    <s v="OUTBOUND_"/>
  </r>
  <r>
    <s v="488"/>
    <m/>
    <x v="0"/>
    <s v="INB-W0012308-14"/>
    <s v="EJ-Malang-01"/>
    <s v="Oka-0813-2707-1646"/>
    <d v="2023-08-24T00:00:00"/>
    <d v="1900-01-14T07:00:00"/>
    <s v="GCI Procurement"/>
    <x v="2"/>
    <x v="7"/>
    <s v="GCI1014"/>
    <s v="Pcs"/>
    <n v="104"/>
    <s v="CLR51-99-006"/>
    <x v="23"/>
    <n v="0"/>
    <n v="0"/>
    <m/>
    <m/>
    <m/>
    <m/>
    <m/>
    <m/>
    <m/>
    <s v="Mulyorejo RW 04 Sukun"/>
    <e v="#N/A"/>
    <e v="#N/A"/>
    <s v="OUTBOUND_"/>
  </r>
  <r>
    <s v="489"/>
    <m/>
    <x v="0"/>
    <s v="INB-W0012309-20"/>
    <s v="EJ-Malang-01"/>
    <s v="Oka-0813-2707-1646"/>
    <d v="2023-09-04T00:00:00"/>
    <d v="1900-01-14T07:00:00"/>
    <s v="FIELD TEAM"/>
    <x v="2"/>
    <x v="7"/>
    <s v="GCI1014"/>
    <s v="Pcs"/>
    <n v="82"/>
    <s v="CLR51-99-004"/>
    <x v="19"/>
    <n v="0"/>
    <n v="0"/>
    <m/>
    <m/>
    <m/>
    <m/>
    <m/>
    <s v="Pengembalian Perumahan Bumi Podo Rukun Dau"/>
    <m/>
    <s v="Perumahan Bumi Podo Rukun Dau"/>
    <e v="#N/A"/>
    <e v="#N/A"/>
    <s v="OUTBOUND_"/>
  </r>
  <r>
    <s v="490"/>
    <m/>
    <x v="1"/>
    <s v="OUB-W0012310-90"/>
    <s v="EJ-Malang-01"/>
    <s v="Oka-0813-2707-1646"/>
    <d v="2023-10-21T00:00:00"/>
    <d v="1899-12-30T23:24:00"/>
    <s v="EJ-MALANG-01"/>
    <x v="2"/>
    <x v="7"/>
    <s v="GCI1014"/>
    <s v="Pcs"/>
    <n v="186"/>
    <n v="0"/>
    <x v="5"/>
    <m/>
    <m/>
    <m/>
    <s v="Mustofa"/>
    <n v="0"/>
    <s v="3209140803860003"/>
    <s v="N 9609 EF"/>
    <m/>
    <m/>
    <n v="0"/>
    <e v="#N/A"/>
    <e v="#N/A"/>
    <s v="OUTBOUND_"/>
  </r>
  <r>
    <s v="491"/>
    <m/>
    <x v="0"/>
    <s v="INB-W0012308-6"/>
    <s v="EJ-Malang-01"/>
    <s v="Oka-0813-2707-1646"/>
    <d v="2023-08-09T00:00:00"/>
    <d v="1900-01-14T07:00:00"/>
    <s v="GCI Procurement"/>
    <x v="2"/>
    <x v="8"/>
    <s v="GCI1005"/>
    <s v="Pcs"/>
    <n v="60"/>
    <s v="CLR51-99-004"/>
    <x v="19"/>
    <n v="0"/>
    <n v="0"/>
    <m/>
    <m/>
    <m/>
    <m/>
    <m/>
    <m/>
    <m/>
    <s v="Perumahan Bumi Podo Rukun Dau"/>
    <e v="#N/A"/>
    <e v="#N/A"/>
    <s v="OUTBOUND_"/>
  </r>
  <r>
    <s v="492"/>
    <m/>
    <x v="1"/>
    <s v="OUB-W0012308-7"/>
    <s v="EJ-Malang-01"/>
    <s v="Oka-0813-2707-1646"/>
    <d v="2023-08-10T00:00:00"/>
    <d v="1900-01-14T16:37:24"/>
    <s v="EJ-MALANG-01"/>
    <x v="2"/>
    <x v="8"/>
    <s v="GCI1005"/>
    <s v="Pcs"/>
    <n v="60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493"/>
    <m/>
    <x v="0"/>
    <s v="INB-W0012308-14"/>
    <s v="EJ-Malang-01"/>
    <s v="Oka-0813-2707-1646"/>
    <d v="2023-08-24T00:00:00"/>
    <d v="1900-01-14T07:00:00"/>
    <s v="GCI Procurement"/>
    <x v="2"/>
    <x v="8"/>
    <s v="GCI1005"/>
    <s v="Pcs"/>
    <n v="68"/>
    <s v="CLR51-99-006"/>
    <x v="23"/>
    <n v="0"/>
    <n v="0"/>
    <m/>
    <m/>
    <m/>
    <m/>
    <m/>
    <m/>
    <m/>
    <s v="Mulyorejo RW 04 Sukun"/>
    <e v="#N/A"/>
    <e v="#N/A"/>
    <s v="OUTBOUND_"/>
  </r>
  <r>
    <s v="494"/>
    <m/>
    <x v="1"/>
    <s v="OUB-W0012309-23"/>
    <s v="EJ-Malang-01"/>
    <s v="Oka-0813-2707-1646"/>
    <d v="2023-09-06T00:00:00"/>
    <d v="1899-12-30T08:08:00"/>
    <s v="EJ-MALANG-01"/>
    <x v="2"/>
    <x v="8"/>
    <s v="GCI1005"/>
    <s v="Pcs"/>
    <n v="68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495"/>
    <m/>
    <x v="0"/>
    <s v="INB-W0012309-37"/>
    <s v="EJ-Malang-01"/>
    <s v="Oka-0813-2707-1646"/>
    <d v="2023-09-22T00:00:00"/>
    <d v="1900-01-14T07:00:00"/>
    <s v="GCI Procurement"/>
    <x v="2"/>
    <x v="8"/>
    <s v="GCI1005"/>
    <s v="Pcs"/>
    <n v="72"/>
    <s v="CLR51-02-001"/>
    <x v="20"/>
    <n v="0"/>
    <n v="0"/>
    <m/>
    <m/>
    <m/>
    <m/>
    <m/>
    <s v="Di antar ke Khoiri Supplier "/>
    <m/>
    <s v="Puncak Dieng Exlusif"/>
    <e v="#N/A"/>
    <e v="#N/A"/>
    <s v="OUTBOUND_"/>
  </r>
  <r>
    <s v="496"/>
    <m/>
    <x v="0"/>
    <s v="INB-W0012310-58"/>
    <s v="EJ-Malang-01"/>
    <s v="Oka-0813-2707-1646"/>
    <d v="2023-10-02T00:00:00"/>
    <d v="1900-01-14T07:00:00"/>
    <s v="GCI Procurement"/>
    <x v="2"/>
    <x v="8"/>
    <s v="GCI1005"/>
    <s v="Pcs"/>
    <n v="44"/>
    <s v="PRC"/>
    <x v="135"/>
    <n v="0"/>
    <n v="0"/>
    <m/>
    <m/>
    <m/>
    <m/>
    <m/>
    <m/>
    <m/>
    <s v="Purchase"/>
    <e v="#N/A"/>
    <e v="#N/A"/>
    <s v="OUTBOUND_"/>
  </r>
  <r>
    <s v="497"/>
    <m/>
    <x v="1"/>
    <s v="OUB-W0012310-59"/>
    <s v="EJ-Malang-01"/>
    <s v="Oka-0813-2707-1646"/>
    <d v="2023-10-04T00:00:00"/>
    <d v="1899-12-30T09:40:00"/>
    <s v="EJ-MALANG-01"/>
    <x v="2"/>
    <x v="8"/>
    <s v="GCI1005"/>
    <s v="Pcs"/>
    <n v="44"/>
    <s v="CLR51-99-014"/>
    <x v="29"/>
    <m/>
    <m/>
    <m/>
    <s v="Ahmad Subari"/>
    <n v="0"/>
    <s v="3507150401800010"/>
    <s v="N 9609 EF"/>
    <m/>
    <m/>
    <s v="Pandan Landung RW 04 Wagir"/>
    <e v="#N/A"/>
    <e v="#N/A"/>
    <s v="OUTBOUND_"/>
  </r>
  <r>
    <s v="498"/>
    <m/>
    <x v="3"/>
    <s v="TFI-W0012310-65"/>
    <s v="EJ-Malang-01"/>
    <s v="Oka-0813-2707-1646"/>
    <d v="2023-10-09T00:00:00"/>
    <d v="1900-01-14T07:00:00"/>
    <s v="EJ-KEDIRI-01"/>
    <x v="2"/>
    <x v="8"/>
    <s v="GCI1005"/>
    <s v="Pcs"/>
    <n v="50"/>
    <s v="TRF"/>
    <x v="78"/>
    <n v="0"/>
    <n v="0"/>
    <m/>
    <m/>
    <m/>
    <m/>
    <m/>
    <s v="Transfer dari Kediri ke malang pak munip"/>
    <m/>
    <s v="KEDIRI"/>
    <e v="#N/A"/>
    <e v="#N/A"/>
    <s v="OUTBOUND_"/>
  </r>
  <r>
    <s v="499"/>
    <m/>
    <x v="1"/>
    <s v="OUB-W0012310-66"/>
    <s v="EJ-Malang-01"/>
    <s v="Oka-0813-2707-1646"/>
    <d v="2023-10-11T00:00:00"/>
    <d v="1899-12-30T10:57:00"/>
    <s v="EJ-MALANG-01"/>
    <x v="2"/>
    <x v="8"/>
    <s v="GCI1005"/>
    <s v="Pcs"/>
    <n v="50"/>
    <s v="CLR51-02-001"/>
    <x v="20"/>
    <m/>
    <m/>
    <m/>
    <s v="Khoiri"/>
    <s v="Khoiri Supplier"/>
    <s v="3507330905820002"/>
    <s v="N 3408 ECP"/>
    <m/>
    <m/>
    <s v="Puncak Dieng Exlusif"/>
    <e v="#N/A"/>
    <e v="#N/A"/>
    <s v="OUTBOUND_"/>
  </r>
  <r>
    <s v="500"/>
    <m/>
    <x v="1"/>
    <s v="OUB-W0012310-70"/>
    <s v="EJ-Malang-01"/>
    <s v="Oka-0813-2707-1646"/>
    <d v="2023-10-12T00:00:00"/>
    <d v="1899-12-30T10:57:00"/>
    <s v="EJ-MALANG-01"/>
    <x v="2"/>
    <x v="8"/>
    <s v="GCI1005"/>
    <s v="Pcs"/>
    <n v="72"/>
    <s v="CLR51-02-001"/>
    <x v="20"/>
    <m/>
    <m/>
    <m/>
    <s v="Khoiri"/>
    <s v="Khoiri Supplier"/>
    <s v="3507330905820002"/>
    <s v="N 3408 ECP"/>
    <m/>
    <m/>
    <s v="Puncak Dieng Exlusif"/>
    <e v="#N/A"/>
    <e v="#N/A"/>
    <s v="OUTBOUND_"/>
  </r>
  <r>
    <s v="501"/>
    <m/>
    <x v="0"/>
    <s v="INB-W0012310-104"/>
    <s v="EJ-Malang-01"/>
    <s v="Oka-0813-2707-1646"/>
    <d v="2023-10-21T00:00:00"/>
    <d v="1900-01-14T07:00:00"/>
    <s v="GCI Procurement"/>
    <x v="2"/>
    <x v="8"/>
    <s v="GCI1005"/>
    <s v="Pcs"/>
    <n v="143"/>
    <s v="PRC"/>
    <x v="135"/>
    <n v="0"/>
    <n v="0"/>
    <m/>
    <m/>
    <m/>
    <m/>
    <m/>
    <s v="Pengambilan Oleh Sigit Pamungkas di UD HALIM JAYA"/>
    <m/>
    <s v="Purchase"/>
    <e v="#N/A"/>
    <e v="#N/A"/>
    <s v="OUTBOUND_"/>
  </r>
  <r>
    <s v="502"/>
    <m/>
    <x v="1"/>
    <s v="OUB-W0012310-91"/>
    <s v="EJ-Malang-01"/>
    <s v="Oka-0813-2707-1646"/>
    <d v="2023-10-21T00:00:00"/>
    <d v="1899-12-30T23:24:00"/>
    <s v="EJ-MALANG-01"/>
    <x v="2"/>
    <x v="8"/>
    <s v="GCI1005"/>
    <s v="Pcs"/>
    <n v="22"/>
    <s v="CLR51-99-020"/>
    <x v="22"/>
    <m/>
    <m/>
    <m/>
    <s v="Khoiri"/>
    <s v="Khoiri Supplier"/>
    <s v="3507330905820002"/>
    <s v="N 8408 CB"/>
    <m/>
    <m/>
    <s v="Jedong RW 08 Wagir"/>
    <e v="#N/A"/>
    <e v="#N/A"/>
    <s v="OUTBOUND_"/>
  </r>
  <r>
    <s v="503"/>
    <m/>
    <x v="1"/>
    <s v="OUB-W0012310-91"/>
    <s v="EJ-Malang-01"/>
    <s v="Oka-0813-2707-1646"/>
    <d v="2023-10-21T00:00:00"/>
    <d v="1899-12-30T23:24:00"/>
    <s v="EJ-MALANG-01"/>
    <x v="2"/>
    <x v="8"/>
    <s v="GCI1005"/>
    <s v="Pcs"/>
    <n v="60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504"/>
    <m/>
    <x v="1"/>
    <s v="OUB-W0012310-105"/>
    <s v="EJ-Malang-01"/>
    <s v="Oka-0813-2707-1646"/>
    <d v="2023-10-22T00:00:00"/>
    <d v="1899-12-30T22:30:00"/>
    <s v="EJ-MALANG-01"/>
    <x v="2"/>
    <x v="8"/>
    <s v="GCI1005"/>
    <s v="Pcs"/>
    <n v="17"/>
    <s v="CLR51-99-017"/>
    <x v="21"/>
    <m/>
    <m/>
    <m/>
    <s v="Mustofa"/>
    <n v="0"/>
    <s v="3209140803860003"/>
    <s v="N 9609 EF"/>
    <m/>
    <m/>
    <s v="Sukodadi RW 01 Wagir"/>
    <e v="#N/A"/>
    <e v="#N/A"/>
    <s v="OUTBOUND_"/>
  </r>
  <r>
    <s v="505"/>
    <m/>
    <x v="1"/>
    <s v="OUB-W0012310-105"/>
    <s v="EJ-Malang-01"/>
    <s v="Oka-0813-2707-1646"/>
    <d v="2023-10-22T00:00:00"/>
    <d v="1899-12-30T22:30:00"/>
    <s v="EJ-MALANG-01"/>
    <x v="2"/>
    <x v="8"/>
    <s v="GCI1005"/>
    <s v="Pcs"/>
    <n v="44"/>
    <s v="CLR51-99-019"/>
    <x v="28"/>
    <m/>
    <m/>
    <m/>
    <s v="Mustofa"/>
    <n v="0"/>
    <s v="3209140803860003"/>
    <s v="N 9609 EF"/>
    <m/>
    <m/>
    <s v="Sidorahayu RW 02 Wagir"/>
    <e v="#N/A"/>
    <e v="#N/A"/>
    <s v="OUTBOUND_"/>
  </r>
  <r>
    <s v="506"/>
    <m/>
    <x v="0"/>
    <s v="INB-W0012311-132"/>
    <s v="EJ-Malang-01"/>
    <s v="Oka-0813-2707-1646"/>
    <d v="2023-11-26T00:00:00"/>
    <d v="1900-01-14T07:00:00"/>
    <s v="GCI Procurement"/>
    <x v="2"/>
    <x v="8"/>
    <s v="GCI1005"/>
    <s v="Pcs"/>
    <n v="20"/>
    <s v="PRC"/>
    <x v="135"/>
    <n v="0"/>
    <n v="0"/>
    <m/>
    <m/>
    <m/>
    <m/>
    <m/>
    <m/>
    <m/>
    <s v="Purchase"/>
    <e v="#N/A"/>
    <e v="#N/A"/>
    <s v="OUTBOUND_"/>
  </r>
  <r>
    <s v="507"/>
    <m/>
    <x v="1"/>
    <s v="OUB-W0012312-147"/>
    <s v="EJ-Malang-01"/>
    <s v="Oka-0813-2707-1646"/>
    <d v="2023-12-15T00:00:00"/>
    <d v="1899-12-30T10:35:00"/>
    <s v="EJ-MALANG-01"/>
    <x v="2"/>
    <x v="8"/>
    <s v="GCI1005"/>
    <s v="Pcs"/>
    <n v="20"/>
    <s v="CLR51-99-017"/>
    <x v="21"/>
    <m/>
    <m/>
    <m/>
    <s v="Heri Susanto"/>
    <n v="0"/>
    <s v="3506220807870002"/>
    <s v="S 9794 JC"/>
    <m/>
    <m/>
    <s v="Sukodadi RW 01 Wagir"/>
    <e v="#N/A"/>
    <e v="#N/A"/>
    <s v="OUTBOUND_"/>
  </r>
  <r>
    <s v="508"/>
    <m/>
    <x v="3"/>
    <s v="TFI-W0012312-155"/>
    <s v="EJ-Malang-01"/>
    <s v="Oka-0813-2707-1646"/>
    <d v="2023-12-25T00:00:00"/>
    <d v="1900-01-14T07:00:00"/>
    <s v="EJ-KEDIRI-01"/>
    <x v="2"/>
    <x v="8"/>
    <s v="GCI1005"/>
    <s v="Pcs"/>
    <n v="22"/>
    <s v="TRF"/>
    <x v="78"/>
    <n v="0"/>
    <n v="0"/>
    <m/>
    <m/>
    <m/>
    <m/>
    <m/>
    <s v="WH JOMBANG KE WH MALANG"/>
    <m/>
    <s v="KEDIRI"/>
    <e v="#N/A"/>
    <e v="#N/A"/>
    <s v="OUTBOUND_"/>
  </r>
  <r>
    <s v="509"/>
    <m/>
    <x v="1"/>
    <s v="OUB-W0012312-157"/>
    <s v="EJ-Malang-01"/>
    <s v="Oka-0813-2707-1646"/>
    <d v="2023-12-26T00:00:00"/>
    <d v="1899-12-30T09:25:00"/>
    <s v="EJ-MALANG-01"/>
    <x v="2"/>
    <x v="8"/>
    <s v="GCI1005"/>
    <s v="Pcs"/>
    <n v="22"/>
    <s v="CLR32-99-069"/>
    <x v="30"/>
    <m/>
    <m/>
    <m/>
    <s v="Fatur"/>
    <s v="Febby Supplier"/>
    <s v="3515082712870005"/>
    <s v="L 9340 BM"/>
    <m/>
    <m/>
    <s v="Sitirejo RW 01 Wagir"/>
    <e v="#N/A"/>
    <e v="#N/A"/>
    <s v="OUTBOUND_"/>
  </r>
  <r>
    <s v="510"/>
    <m/>
    <x v="0"/>
    <s v="INB-W0012401-164"/>
    <s v="EJ-Malang-01"/>
    <s v="Oka-0813-2707-1646"/>
    <d v="2024-01-04T00:00:00"/>
    <d v="1900-01-14T07:00:00"/>
    <s v="GCI Procurement"/>
    <x v="2"/>
    <x v="8"/>
    <s v="GCI1005"/>
    <s v="Pcs"/>
    <n v="140"/>
    <s v="PRC"/>
    <x v="135"/>
    <n v="0"/>
    <n v="0"/>
    <m/>
    <m/>
    <m/>
    <m/>
    <m/>
    <s v="UD Putra Cipta Karya"/>
    <m/>
    <s v="Purchase"/>
    <e v="#N/A"/>
    <e v="#N/A"/>
    <s v="OUTBOUND_"/>
  </r>
  <r>
    <s v="511"/>
    <m/>
    <x v="1"/>
    <s v="OUB-W0012401-175"/>
    <s v="EJ-Malang-01"/>
    <s v="Oka-0813-2707-1646"/>
    <d v="2024-01-16T00:00:00"/>
    <d v="1899-12-30T09:25:00"/>
    <s v="EJ-MALANG-01"/>
    <x v="2"/>
    <x v="8"/>
    <s v="GCI1005"/>
    <s v="Pcs"/>
    <n v="30"/>
    <s v="CLR32-99-069"/>
    <x v="30"/>
    <m/>
    <m/>
    <m/>
    <s v="Fahrudin"/>
    <s v="Febby Supplier"/>
    <s v="3507131605830004"/>
    <s v="N 1383 G"/>
    <m/>
    <m/>
    <s v="Sitirejo RW 01 Wagir"/>
    <e v="#N/A"/>
    <e v="#N/A"/>
    <s v="OUTBOUND_"/>
  </r>
  <r>
    <s v="512"/>
    <m/>
    <x v="0"/>
    <s v="INB-W0012401-183"/>
    <s v="EJ-Malang-01"/>
    <s v="Oka-0813-2707-1646"/>
    <d v="2024-01-18T00:00:00"/>
    <d v="1900-01-14T07:00:00"/>
    <s v="GCI Procurement"/>
    <x v="2"/>
    <x v="8"/>
    <s v="GCI1005"/>
    <s v="Pcs"/>
    <n v="205"/>
    <s v="PRC"/>
    <x v="135"/>
    <n v="0"/>
    <n v="0"/>
    <m/>
    <m/>
    <m/>
    <m/>
    <m/>
    <s v="UD Putra Cipta Karya"/>
    <m/>
    <s v="Purchase"/>
    <e v="#N/A"/>
    <e v="#N/A"/>
    <s v="OUTBOUND_"/>
  </r>
  <r>
    <s v="513"/>
    <m/>
    <x v="1"/>
    <s v="OUB-W0012401-197"/>
    <s v="EJ-Malang-01"/>
    <s v="Oka-0813-2707-1646"/>
    <d v="2024-01-23T00:00:00"/>
    <d v="1899-12-30T14:19:00"/>
    <s v="EJ-MALANG-01"/>
    <x v="2"/>
    <x v="8"/>
    <s v="GCI1005"/>
    <s v="Pcs"/>
    <n v="160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514"/>
    <m/>
    <x v="0"/>
    <s v="INB-W0012401-209"/>
    <s v="EJ-Malang-01"/>
    <s v="Oka-0813-2707-1646"/>
    <d v="2024-01-27T00:00:00"/>
    <d v="1900-01-14T07:00:00"/>
    <s v="FIELD TEAM"/>
    <x v="2"/>
    <x v="8"/>
    <s v="GCI1005"/>
    <s v="Pcs"/>
    <n v="30"/>
    <s v="CLR29-99-153"/>
    <x v="34"/>
    <s v="RETURN"/>
    <n v="0"/>
    <m/>
    <m/>
    <m/>
    <m/>
    <m/>
    <m/>
    <m/>
    <s v="Perumahan Pondok Mutiara Malang"/>
    <e v="#N/A"/>
    <e v="#N/A"/>
    <s v="OUTBOUND_"/>
  </r>
  <r>
    <s v="515"/>
    <m/>
    <x v="1"/>
    <s v="OUB-W0012401-210"/>
    <s v="EJ-Malang-01"/>
    <s v="Oka-0813-2707-1646"/>
    <d v="2024-01-28T00:00:00"/>
    <d v="1899-12-30T14:58:00"/>
    <s v="EJ-MALANG-01"/>
    <x v="2"/>
    <x v="8"/>
    <s v="GCI1005"/>
    <s v="Pcs"/>
    <n v="110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516"/>
    <m/>
    <x v="1"/>
    <s v="OUB-W0012402-225"/>
    <s v="EJ-Malang-01"/>
    <s v="Oka-0813-2707-1646"/>
    <d v="2024-02-15T00:00:00"/>
    <d v="1899-12-30T11:04:00"/>
    <s v="EJ-MALANG-01"/>
    <x v="2"/>
    <x v="8"/>
    <s v="GCI1005"/>
    <s v="Pcs"/>
    <n v="25"/>
    <s v="CLR51-99-067"/>
    <x v="0"/>
    <m/>
    <m/>
    <m/>
    <s v="Riki Romansyah"/>
    <s v="Febby Supplier"/>
    <s v="3507050501950006"/>
    <s v="N 8420 EL"/>
    <m/>
    <m/>
    <s v="Bandulan RW 08 Sukun"/>
    <e v="#N/A"/>
    <e v="#N/A"/>
    <s v="OUTBOUND_"/>
  </r>
  <r>
    <s v="517"/>
    <m/>
    <x v="0"/>
    <s v="INB-W0012402-242"/>
    <s v="EJ-Malang-01"/>
    <s v="Oka-0813-2707-1646"/>
    <d v="2024-02-22T00:00:00"/>
    <d v="1900-01-14T07:00:00"/>
    <s v="GCI Procurement"/>
    <x v="2"/>
    <x v="8"/>
    <s v="GCI1005"/>
    <s v="Pcs"/>
    <n v="54"/>
    <s v="CLR51-99-078"/>
    <x v="1"/>
    <n v="0"/>
    <n v="0"/>
    <m/>
    <m/>
    <m/>
    <m/>
    <m/>
    <s v="JNT Cargo"/>
    <m/>
    <s v="Bumiayu RW 03 Kedungkandang"/>
    <e v="#N/A"/>
    <e v="#N/A"/>
    <s v="OUTBOUND_"/>
  </r>
  <r>
    <s v="518"/>
    <m/>
    <x v="1"/>
    <s v="OUB-W0012402-248"/>
    <s v="EJ-Malang-01"/>
    <s v="Oka-0813-2707-1646"/>
    <d v="2024-02-24T00:00:00"/>
    <d v="1899-12-30T15:15:00"/>
    <s v="EJ-MALANG-01"/>
    <x v="2"/>
    <x v="8"/>
    <s v="GCI1005"/>
    <s v="Pcs"/>
    <n v="40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519"/>
    <m/>
    <x v="0"/>
    <s v="INB-W0012402-252"/>
    <s v="EJ-Malang-01"/>
    <s v="Oka-0813-2707-1646"/>
    <d v="2024-02-27T00:00:00"/>
    <d v="1900-01-14T07:00:00"/>
    <s v="GCI Procurement"/>
    <x v="2"/>
    <x v="8"/>
    <s v="GCI1005"/>
    <s v="Pcs"/>
    <n v="141"/>
    <n v="0"/>
    <x v="136"/>
    <n v="0"/>
    <n v="0"/>
    <m/>
    <m/>
    <m/>
    <m/>
    <m/>
    <m/>
    <m/>
    <s v="UD RIZQI JAYA PRATAMA "/>
    <e v="#N/A"/>
    <e v="#N/A"/>
    <s v="OUTBOUND_"/>
  </r>
  <r>
    <s v="520"/>
    <m/>
    <x v="1"/>
    <s v="OUB-W0012402-253"/>
    <s v="EJ-Malang-01"/>
    <s v="Oka-0813-2707-1646"/>
    <d v="2024-02-28T00:00:00"/>
    <d v="1899-12-30T09:12:00"/>
    <s v="EJ-MALANG-01"/>
    <x v="2"/>
    <x v="8"/>
    <s v="GCI1005"/>
    <s v="Pcs"/>
    <n v="50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521"/>
    <m/>
    <x v="1"/>
    <s v="OUB-W0012403-267"/>
    <s v="EJ-Malang-01"/>
    <s v="Oka-0813-2707-1646"/>
    <d v="2024-03-04T00:00:00"/>
    <d v="1899-12-30T13:54:00"/>
    <s v="EJ-MALANG-01"/>
    <x v="2"/>
    <x v="8"/>
    <s v="GCI1005"/>
    <s v="Pcs"/>
    <n v="50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522"/>
    <m/>
    <x v="1"/>
    <s v="OUB-W0012403-277"/>
    <s v="EJ-Malang-01"/>
    <s v="Oka-0813-2707-1646"/>
    <d v="2024-03-15T00:00:00"/>
    <d v="1899-12-30T17:12:00"/>
    <s v="EJ-MALANG-01"/>
    <x v="2"/>
    <x v="8"/>
    <s v="GCI1005"/>
    <s v="Pcs"/>
    <n v="42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523"/>
    <m/>
    <x v="0"/>
    <s v="INB-W0012403-283"/>
    <s v="EJ-Malang-01"/>
    <s v="Oka-0813-2707-1646"/>
    <d v="2024-03-22T00:00:00"/>
    <d v="1900-01-14T07:00:00"/>
    <s v="GCI Procurement"/>
    <x v="2"/>
    <x v="8"/>
    <s v="GCI1005"/>
    <s v="Pcs"/>
    <n v="230"/>
    <n v="0"/>
    <x v="137"/>
    <n v="0"/>
    <n v="0"/>
    <m/>
    <m/>
    <m/>
    <m/>
    <m/>
    <m/>
    <m/>
    <s v="UD HALIM"/>
    <e v="#N/A"/>
    <e v="#N/A"/>
    <s v="OUTBOUND_"/>
  </r>
  <r>
    <s v="524"/>
    <m/>
    <x v="2"/>
    <s v="TFO-W0012403-288"/>
    <s v="EJ-Malang-01"/>
    <s v="Oka-0813-2707-1646"/>
    <d v="2024-03-25T00:00:00"/>
    <d v="1899-12-30T15:21:00"/>
    <s v="EJ-MALANG-01"/>
    <x v="2"/>
    <x v="8"/>
    <s v="GCI1005"/>
    <s v="Pcs"/>
    <n v="230"/>
    <s v="trf"/>
    <x v="4"/>
    <m/>
    <m/>
    <m/>
    <s v="Munip"/>
    <n v="0"/>
    <s v="3509090107770266"/>
    <s v="L 1962 QM"/>
    <m/>
    <m/>
    <s v="Transfer Gudang"/>
    <e v="#N/A"/>
    <e v="#N/A"/>
    <s v="TRANSFER OUT_"/>
  </r>
  <r>
    <s v="525"/>
    <m/>
    <x v="1"/>
    <s v="OUB-W0012403-290"/>
    <s v="EJ-Malang-01"/>
    <s v="Oka-0813-2707-1646"/>
    <d v="2024-03-26T00:00:00"/>
    <d v="1899-12-30T22:31:00"/>
    <s v="EJ-MALANG-01"/>
    <x v="2"/>
    <x v="8"/>
    <s v="GCI1005"/>
    <s v="Pcs"/>
    <n v="20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526"/>
    <m/>
    <x v="1"/>
    <s v="OUB-W0012404-295"/>
    <s v="EJ-Malang-01"/>
    <s v="Oka-0813-2707-1646"/>
    <d v="2024-04-01T00:00:00"/>
    <d v="1899-12-30T09:14:00"/>
    <s v="EJ-MALANG-01"/>
    <x v="2"/>
    <x v="8"/>
    <s v="GCI1005"/>
    <s v="Pcs"/>
    <n v="22"/>
    <s v="CLR51-99-040"/>
    <x v="41"/>
    <m/>
    <m/>
    <m/>
    <s v="Dimas"/>
    <s v="Febby Supplier"/>
    <s v="3573032509800005"/>
    <s v="N 9454 BA"/>
    <m/>
    <m/>
    <s v="Tunjungtirto RW 08 Singosari"/>
    <e v="#N/A"/>
    <e v="#N/A"/>
    <s v="OUTBOUND_"/>
  </r>
  <r>
    <s v="527"/>
    <m/>
    <x v="3"/>
    <s v="TFI-W0012404-298"/>
    <s v="EJ-Malang-01"/>
    <s v="Oka-0813-2707-1646"/>
    <d v="2024-04-01T00:00:00"/>
    <d v="1900-01-14T07:00:00"/>
    <s v="EJ-JOMBANG-01"/>
    <x v="2"/>
    <x v="8"/>
    <s v="GCI1005"/>
    <s v="Pcs"/>
    <n v="300"/>
    <s v="TRF"/>
    <x v="138"/>
    <n v="0"/>
    <n v="0"/>
    <m/>
    <m/>
    <m/>
    <m/>
    <m/>
    <m/>
    <m/>
    <s v="JOMBANG"/>
    <e v="#N/A"/>
    <e v="#N/A"/>
    <s v="OUTBOUND_"/>
  </r>
  <r>
    <s v="528"/>
    <m/>
    <x v="0"/>
    <s v="INB-W0012404-323"/>
    <s v="EJ-Malang-01"/>
    <s v="Oka-0813-2707-1646"/>
    <d v="2024-04-25T00:00:00"/>
    <d v="1900-01-14T07:00:00"/>
    <s v="GCI Procurement"/>
    <x v="2"/>
    <x v="8"/>
    <s v="GCI1005"/>
    <s v="Pcs"/>
    <n v="84"/>
    <n v="0"/>
    <x v="5"/>
    <n v="0"/>
    <n v="0"/>
    <m/>
    <m/>
    <m/>
    <m/>
    <m/>
    <m/>
    <m/>
    <n v="0"/>
    <e v="#N/A"/>
    <e v="#N/A"/>
    <s v="OUTBOUND_"/>
  </r>
  <r>
    <s v="529"/>
    <m/>
    <x v="1"/>
    <s v="OUB-W0012404-324"/>
    <s v="EJ-Malang-01"/>
    <s v="Oka-0813-2707-1646"/>
    <d v="2024-04-26T00:00:00"/>
    <d v="1899-12-30T09:24:00"/>
    <s v="EJ-MALANG-01"/>
    <x v="2"/>
    <x v="8"/>
    <s v="GCI1005"/>
    <s v="Pcs"/>
    <n v="100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530"/>
    <m/>
    <x v="1"/>
    <s v="OUB-W0012404-325"/>
    <s v="EJ-Malang-01"/>
    <s v="Oka-0813-2707-1646"/>
    <d v="2024-04-30T00:00:00"/>
    <d v="1899-12-30T10:15:00"/>
    <s v="EJ-MALANG-01"/>
    <x v="2"/>
    <x v="8"/>
    <s v="GCI1005"/>
    <s v="Pcs"/>
    <n v="30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531"/>
    <m/>
    <x v="0"/>
    <s v="INB-W0012405-331"/>
    <s v="EJ-Malang-01"/>
    <s v="Oka-0813-2707-1646"/>
    <d v="2024-05-08T00:00:00"/>
    <d v="1900-01-14T07:00:00"/>
    <s v="GCI Procurement"/>
    <x v="2"/>
    <x v="8"/>
    <s v="GCI1005"/>
    <s v="Pcs"/>
    <n v="52"/>
    <n v="0"/>
    <x v="5"/>
    <n v="0"/>
    <n v="0"/>
    <m/>
    <m/>
    <m/>
    <m/>
    <m/>
    <m/>
    <m/>
    <n v="0"/>
    <e v="#N/A"/>
    <e v="#N/A"/>
    <s v="OUTBOUND_"/>
  </r>
  <r>
    <s v="532"/>
    <m/>
    <x v="1"/>
    <s v="OUB-W0012406-361"/>
    <s v="EJ-Malang-01"/>
    <s v="Oka-0813-2707-1646"/>
    <d v="2024-06-03T00:00:00"/>
    <d v="1899-12-30T10:08:00"/>
    <s v="EJ-MALANG-01"/>
    <x v="2"/>
    <x v="8"/>
    <s v="GCI1005"/>
    <s v="Pcs"/>
    <n v="100"/>
    <s v="CLR51-99-095"/>
    <x v="16"/>
    <m/>
    <m/>
    <m/>
    <s v="Riki Romansyah"/>
    <s v="Febby Supplier"/>
    <s v="3507050501950006"/>
    <s v="N 8420 EL"/>
    <m/>
    <m/>
    <s v="Candirenggo RW 10 Singosari"/>
    <e v="#N/A"/>
    <e v="#N/A"/>
    <s v="OUTBOUND_"/>
  </r>
  <r>
    <s v="533"/>
    <m/>
    <x v="0"/>
    <s v="INB-W0012406-370"/>
    <s v="EJ-Malang-01"/>
    <s v="Oka-0813-2707-1646"/>
    <d v="2024-06-06T00:00:00"/>
    <d v="1900-01-14T07:00:00"/>
    <s v="GCI Procurement"/>
    <x v="2"/>
    <x v="8"/>
    <s v="GCI1005"/>
    <s v="Pcs"/>
    <n v="145"/>
    <n v="0"/>
    <x v="5"/>
    <n v="0"/>
    <n v="0"/>
    <m/>
    <m/>
    <m/>
    <m/>
    <m/>
    <m/>
    <m/>
    <n v="0"/>
    <e v="#N/A"/>
    <e v="#N/A"/>
    <s v="OUTBOUND_"/>
  </r>
  <r>
    <s v="534"/>
    <m/>
    <x v="1"/>
    <s v="OUB-W0012406-371"/>
    <s v="EJ-Malang-01"/>
    <s v="Oka-0813-2707-1646"/>
    <d v="2024-06-07T00:00:00"/>
    <d v="1899-12-30T17:21:00"/>
    <s v="EJ-MALANG-01"/>
    <x v="2"/>
    <x v="8"/>
    <s v="GCI1005"/>
    <s v="Pcs"/>
    <n v="12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535"/>
    <m/>
    <x v="1"/>
    <s v="OUB-W0012406-383"/>
    <s v="EJ-Malang-01"/>
    <s v="Oka-0813-2707-1646"/>
    <d v="2024-06-20T00:00:00"/>
    <d v="1899-12-30T10:40:00"/>
    <s v="EJ-MALANG-01"/>
    <x v="2"/>
    <x v="8"/>
    <s v="GCI1005"/>
    <s v="Pcs"/>
    <n v="23"/>
    <s v="CLR51-02-020"/>
    <x v="53"/>
    <m/>
    <m/>
    <m/>
    <s v="Riki Romansyah"/>
    <s v="Febby Supplier"/>
    <s v="3507050501950006"/>
    <s v="N 8420 EL"/>
    <m/>
    <m/>
    <s v="Lowokwaru RW 04"/>
    <e v="#N/A"/>
    <e v="#N/A"/>
    <s v="OUTBOUND_"/>
  </r>
  <r>
    <s v="536"/>
    <m/>
    <x v="1"/>
    <s v="OUB-W0012406-386"/>
    <s v="EJ-Malang-01"/>
    <s v="Oka-0813-2707-1646"/>
    <d v="2024-06-22T00:00:00"/>
    <d v="1899-12-30T15:01:00"/>
    <s v="EJ-MALANG-01"/>
    <x v="2"/>
    <x v="8"/>
    <s v="GCI1005"/>
    <s v="Pcs"/>
    <n v="40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537"/>
    <m/>
    <x v="0"/>
    <s v="INB-W0012406-390"/>
    <s v="EJ-Malang-01"/>
    <s v="Oka-0813-2707-1646"/>
    <d v="2024-06-25T00:00:00"/>
    <d v="1900-01-14T07:00:00"/>
    <s v="GCI Procurement"/>
    <x v="2"/>
    <x v="8"/>
    <s v="GCI1005"/>
    <s v="Pcs"/>
    <n v="288"/>
    <n v="0"/>
    <x v="5"/>
    <n v="0"/>
    <n v="0"/>
    <m/>
    <m/>
    <m/>
    <m/>
    <m/>
    <m/>
    <m/>
    <n v="0"/>
    <e v="#N/A"/>
    <e v="#N/A"/>
    <s v="OUTBOUND_"/>
  </r>
  <r>
    <s v="538"/>
    <m/>
    <x v="0"/>
    <s v="INB-W0012407-395"/>
    <s v="EJ-Malang-01"/>
    <s v="Oka-0813-2707-1646"/>
    <d v="2024-07-03T00:00:00"/>
    <d v="1900-01-14T07:00:00"/>
    <s v="GCI Procurement"/>
    <x v="2"/>
    <x v="8"/>
    <s v="GCI1005"/>
    <s v="Pcs"/>
    <n v="287"/>
    <n v="0"/>
    <x v="140"/>
    <n v="0"/>
    <n v="0"/>
    <m/>
    <m/>
    <m/>
    <m/>
    <m/>
    <m/>
    <m/>
    <s v="HALIM JAYA"/>
    <e v="#N/A"/>
    <e v="#N/A"/>
    <s v="OUTBOUND_"/>
  </r>
  <r>
    <s v="539"/>
    <m/>
    <x v="1"/>
    <s v="OUB-W0012407-398"/>
    <s v="EJ-Malang-01"/>
    <s v="Oka-0813-2707-1646"/>
    <d v="2024-07-05T00:00:00"/>
    <d v="1899-12-30T13:09:00"/>
    <s v="EJ-MALANG-01"/>
    <x v="2"/>
    <x v="8"/>
    <s v="GCI1005"/>
    <s v="Pcs"/>
    <n v="100"/>
    <s v="CLR51-99-061"/>
    <x v="54"/>
    <m/>
    <m/>
    <m/>
    <s v="Riki Romansyah"/>
    <s v="Febby Supplier"/>
    <s v="3507050501950006"/>
    <s v="N 8420 EL"/>
    <m/>
    <m/>
    <s v="Perumahan Perumnas Talangagung I Malang"/>
    <e v="#N/A"/>
    <e v="#N/A"/>
    <s v="OUTBOUND_"/>
  </r>
  <r>
    <s v="540"/>
    <m/>
    <x v="1"/>
    <s v="OUB-W0012407-404"/>
    <s v="EJ-Malang-01"/>
    <s v="Oka-0813-2707-1646"/>
    <d v="2024-07-12T00:00:00"/>
    <d v="1899-12-30T09:36:00"/>
    <s v="EJ-MALANG-01"/>
    <x v="2"/>
    <x v="8"/>
    <s v="GCI1005"/>
    <s v="Pcs"/>
    <n v="30"/>
    <s v="CLR51-02-016"/>
    <x v="141"/>
    <m/>
    <m/>
    <m/>
    <s v="Riki Romansyah"/>
    <s v="Febby Supplier"/>
    <s v="3507050501950006"/>
    <s v="N 8420 EL"/>
    <m/>
    <m/>
    <s v="Ngenep RW 06 Karang Ploso"/>
    <e v="#N/A"/>
    <e v="#N/A"/>
    <s v="OUTBOUND_"/>
  </r>
  <r>
    <s v="541"/>
    <m/>
    <x v="1"/>
    <s v="OUB-W0012407-407"/>
    <s v="EJ-Malang-01"/>
    <s v="Oka-0813-2707-1646"/>
    <d v="2024-07-19T00:00:00"/>
    <d v="1899-12-30T09:40:00"/>
    <s v="EJ-MALANG-01"/>
    <x v="2"/>
    <x v="8"/>
    <s v="GCI1005"/>
    <s v="Pcs"/>
    <n v="15"/>
    <s v="CLR51-02-016"/>
    <x v="141"/>
    <m/>
    <m/>
    <m/>
    <s v="Riki Romansyah"/>
    <s v="Febby Supplier"/>
    <s v="3507050501950006"/>
    <s v="N 8420 EL"/>
    <m/>
    <m/>
    <s v="Ngenep RW 06 Karang Ploso"/>
    <e v="#N/A"/>
    <e v="#N/A"/>
    <s v="OUTBOUND_"/>
  </r>
  <r>
    <s v="542"/>
    <m/>
    <x v="0"/>
    <s v="INB-W0012408-426"/>
    <s v="EJ-Malang-01"/>
    <s v="Oka-0813-2707-1646"/>
    <d v="2024-08-02T00:00:00"/>
    <d v="1900-01-14T07:00:00"/>
    <s v="GCI Procurement"/>
    <x v="2"/>
    <x v="8"/>
    <s v="GCI1005"/>
    <s v="Pcs"/>
    <n v="193"/>
    <n v="0"/>
    <x v="5"/>
    <n v="0"/>
    <n v="0"/>
    <m/>
    <m/>
    <m/>
    <m/>
    <m/>
    <m/>
    <m/>
    <n v="0"/>
    <e v="#N/A"/>
    <e v="#N/A"/>
    <s v="OUTBOUND_"/>
  </r>
  <r>
    <s v="543"/>
    <m/>
    <x v="1"/>
    <s v="OUB-W0012408-427"/>
    <s v="EJ-Malang-01"/>
    <s v="Oka-0813-2707-1646"/>
    <d v="2024-08-03T00:00:00"/>
    <d v="1899-12-30T09:36:00"/>
    <s v="EJ-MALANG-01"/>
    <x v="2"/>
    <x v="8"/>
    <s v="GCI1005"/>
    <s v="Pcs"/>
    <n v="54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544"/>
    <m/>
    <x v="1"/>
    <s v="OUB-W0012408-448"/>
    <s v="EJ-Malang-01"/>
    <s v="Oka-0813-2707-1646"/>
    <d v="2024-08-20T00:00:00"/>
    <d v="1899-12-30T16:54:00"/>
    <s v="EJ-MALANG-01"/>
    <x v="2"/>
    <x v="8"/>
    <s v="GCI1005"/>
    <s v="Pcs"/>
    <n v="25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545"/>
    <m/>
    <x v="1"/>
    <s v="OUB-W0012408-455"/>
    <s v="EJ-Malang-01"/>
    <s v="Oka-0813-2707-1646"/>
    <d v="2024-08-23T00:00:00"/>
    <d v="1899-12-30T11:13:00"/>
    <s v="EJ-MALANG-01"/>
    <x v="2"/>
    <x v="8"/>
    <s v="GCI1005"/>
    <s v="Pcs"/>
    <n v="30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546"/>
    <m/>
    <x v="1"/>
    <s v="OUB-W0012408-469"/>
    <s v="EJ-Malang-01"/>
    <s v="Oka-0813-2707-1646"/>
    <d v="2024-08-29T00:00:00"/>
    <d v="1899-12-30T08:19:00"/>
    <s v="EJ-MALANG-01"/>
    <x v="2"/>
    <x v="8"/>
    <s v="GCI1005"/>
    <s v="Pcs"/>
    <n v="40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547"/>
    <m/>
    <x v="0"/>
    <s v="INB-W0012409-494"/>
    <s v="EJ-Malang-01"/>
    <s v="Oka-0813-2707-1646"/>
    <d v="2024-09-06T00:00:00"/>
    <d v="1900-01-14T07:00:00"/>
    <s v="GCI Procurement"/>
    <x v="2"/>
    <x v="8"/>
    <s v="GCI1005"/>
    <s v="Pcs"/>
    <n v="189"/>
    <n v="0"/>
    <x v="5"/>
    <n v="0"/>
    <n v="0"/>
    <m/>
    <m/>
    <m/>
    <m/>
    <m/>
    <m/>
    <m/>
    <n v="0"/>
    <e v="#N/A"/>
    <e v="#N/A"/>
    <s v="OUTBOUND_"/>
  </r>
  <r>
    <s v="548"/>
    <m/>
    <x v="1"/>
    <s v="OUB-W0012409-493"/>
    <s v="EJ-Malang-01"/>
    <s v="Oka-0813-2707-1646"/>
    <d v="2024-09-06T00:00:00"/>
    <d v="1899-12-30T19:13:00"/>
    <s v="EJ-MALANG-01"/>
    <x v="2"/>
    <x v="8"/>
    <s v="GCI1005"/>
    <s v="Pcs"/>
    <n v="12"/>
    <s v="CLR51-99-118"/>
    <x v="68"/>
    <m/>
    <m/>
    <m/>
    <s v="Nur Hidayat"/>
    <n v="0"/>
    <s v="3515141305930006"/>
    <s v="S 9102 AE"/>
    <m/>
    <m/>
    <s v="NGENEP UTARA RW 03 MALANG"/>
    <e v="#N/A"/>
    <e v="#N/A"/>
    <s v="OUTBOUND_"/>
  </r>
  <r>
    <s v="549"/>
    <m/>
    <x v="1"/>
    <s v="OUB-W0012409-497"/>
    <s v="EJ-Malang-01"/>
    <s v="Oka-0813-2707-1646"/>
    <d v="2024-09-07T00:00:00"/>
    <d v="1899-12-30T17:42:00"/>
    <s v="EJ-MALANG-01"/>
    <x v="2"/>
    <x v="8"/>
    <s v="GCI1005"/>
    <s v="Pcs"/>
    <n v="100"/>
    <s v="CLR51-99-115"/>
    <x v="65"/>
    <m/>
    <m/>
    <m/>
    <s v="Riki Romansyah"/>
    <n v="0"/>
    <s v="3507050501950006"/>
    <s v="N 8420 EL"/>
    <m/>
    <m/>
    <s v="SENGGURUH RW 01 MALANG"/>
    <e v="#N/A"/>
    <e v="#N/A"/>
    <s v="OUTBOUND_"/>
  </r>
  <r>
    <s v="550"/>
    <m/>
    <x v="1"/>
    <s v="OUB-W0012409-503"/>
    <s v="EJ-Malang-01"/>
    <s v="Oka-0813-2707-1646"/>
    <d v="2024-09-18T00:00:00"/>
    <d v="1899-12-30T10:21:00"/>
    <s v="EJ-MALANG-01"/>
    <x v="2"/>
    <x v="8"/>
    <s v="GCI1005"/>
    <s v="Pcs"/>
    <n v="50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551"/>
    <m/>
    <x v="1"/>
    <s v="OUB-W0012409-513"/>
    <s v="EJ-Malang-01"/>
    <s v="Oka-0813-2707-1646"/>
    <d v="2024-09-26T00:00:00"/>
    <d v="1899-12-30T16:21:00"/>
    <s v="EJ-MALANG-01"/>
    <x v="2"/>
    <x v="8"/>
    <s v="GCI1005"/>
    <s v="Pcs"/>
    <n v="30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552"/>
    <m/>
    <x v="1"/>
    <s v="OUB-W0012410-534"/>
    <s v="EJ-Malang-01"/>
    <s v="Oka-0813-2707-1646"/>
    <d v="2024-10-30T00:00:00"/>
    <d v="1899-12-30T23:25:00"/>
    <s v="EJ-MALANG-01"/>
    <x v="2"/>
    <x v="8"/>
    <s v="GCI1005"/>
    <s v="Pcs"/>
    <n v="6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553"/>
    <m/>
    <x v="1"/>
    <s v="OUB-W0012411-547"/>
    <s v="EJ-Malang-01"/>
    <s v="Oka-0813-2707-1646"/>
    <d v="2024-11-06T00:00:00"/>
    <d v="1899-12-30T08:25:00"/>
    <s v="EJ-MALANG-01"/>
    <x v="2"/>
    <x v="8"/>
    <s v="GCI1005"/>
    <s v="Pcs"/>
    <n v="28"/>
    <s v="CLR51-99-095"/>
    <x v="16"/>
    <m/>
    <m/>
    <m/>
    <s v="Riki Romansyah"/>
    <n v="0"/>
    <s v="3507050501950006"/>
    <s v="N 8420 EL"/>
    <m/>
    <m/>
    <s v="Candirenggo RW 10 Singosari"/>
    <e v="#N/A"/>
    <e v="#N/A"/>
    <s v="OUTBOUND_"/>
  </r>
  <r>
    <s v="554"/>
    <m/>
    <x v="1"/>
    <s v="OUB-W0012411-564"/>
    <s v="EJ-Malang-01"/>
    <s v="Oka-0813-2707-1646"/>
    <d v="2024-11-26T00:00:00"/>
    <d v="1899-12-30T09:30:00"/>
    <s v="EJ-MALANG-01"/>
    <x v="2"/>
    <x v="8"/>
    <s v="GCI1005"/>
    <s v="Pcs"/>
    <n v="50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555"/>
    <m/>
    <x v="0"/>
    <s v="INB-W0012411-570"/>
    <s v="EJ-Malang-01"/>
    <s v="Oka-0813-2707-1646"/>
    <d v="2024-11-30T00:00:00"/>
    <d v="1900-01-14T07:00:00"/>
    <s v="GCI Procurement"/>
    <x v="2"/>
    <x v="8"/>
    <s v="GCI1005"/>
    <s v="Pcs"/>
    <n v="96"/>
    <n v="0"/>
    <x v="5"/>
    <n v="0"/>
    <n v="0"/>
    <m/>
    <m/>
    <m/>
    <m/>
    <m/>
    <m/>
    <m/>
    <n v="0"/>
    <e v="#N/A"/>
    <e v="#N/A"/>
    <s v="OUTBOUND_"/>
  </r>
  <r>
    <s v="556"/>
    <m/>
    <x v="1"/>
    <s v="OUB-W0012412-571"/>
    <s v="EJ-Malang-01"/>
    <s v="Oka-0813-2707-1646"/>
    <d v="2024-12-01T00:00:00"/>
    <d v="1899-12-30T09:30:00"/>
    <s v="EJ-MALANG-01"/>
    <x v="2"/>
    <x v="8"/>
    <s v="GCI1005"/>
    <s v="Pcs"/>
    <n v="40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557"/>
    <m/>
    <x v="1"/>
    <s v="OUB-W0012412-578"/>
    <s v="EJ-Malang-01"/>
    <s v="Oka-0813-2707-1646"/>
    <d v="2024-12-16T00:00:00"/>
    <d v="1899-12-30T17:12:00"/>
    <s v="EJ-MALANG-01"/>
    <x v="2"/>
    <x v="8"/>
    <s v="GCI1005"/>
    <s v="Pcs"/>
    <n v="42"/>
    <s v="CLR51-09-007"/>
    <x v="143"/>
    <m/>
    <m/>
    <m/>
    <s v="Riki Romansyah"/>
    <n v="0"/>
    <s v="3507050501950006"/>
    <s v="N 8420 EL"/>
    <m/>
    <m/>
    <s v="PERMANU RW 01 MALANG"/>
    <e v="#N/A"/>
    <e v="#N/A"/>
    <s v="OUTBOUND_"/>
  </r>
  <r>
    <s v="558"/>
    <m/>
    <x v="0"/>
    <s v="INB-W0012412-593"/>
    <s v="EJ-Malang-01"/>
    <s v="Oka-0813-2707-1646"/>
    <d v="2024-12-30T00:00:00"/>
    <d v="1900-01-14T07:00:00"/>
    <s v="GCI Procurement"/>
    <x v="2"/>
    <x v="8"/>
    <s v="GCI1005"/>
    <s v="Pcs"/>
    <n v="69"/>
    <n v="0"/>
    <x v="5"/>
    <n v="0"/>
    <n v="0"/>
    <m/>
    <m/>
    <m/>
    <m/>
    <m/>
    <m/>
    <m/>
    <n v="0"/>
    <e v="#N/A"/>
    <e v="#N/A"/>
    <s v="OUTBOUND_"/>
  </r>
  <r>
    <s v="559"/>
    <m/>
    <x v="1"/>
    <s v="OUB-W0012412-591"/>
    <s v="EJ-Malang-01"/>
    <s v="Oka-0813-2707-1646"/>
    <d v="2024-12-30T00:00:00"/>
    <d v="1899-12-30T09:45:00"/>
    <s v="EJ-MALANG-01"/>
    <x v="2"/>
    <x v="8"/>
    <s v="GCI1005"/>
    <s v="Pcs"/>
    <n v="69"/>
    <s v="CLR51-09-013"/>
    <x v="144"/>
    <m/>
    <m/>
    <m/>
    <s v="Riki Romansyah"/>
    <n v="0"/>
    <s v="3507050501950006"/>
    <s v="N 8420 EL"/>
    <m/>
    <m/>
    <s v="Perum Chandra Kirana Watugede"/>
    <e v="#N/A"/>
    <e v="#N/A"/>
    <s v="OUTBOUND_"/>
  </r>
  <r>
    <s v="560"/>
    <m/>
    <x v="1"/>
    <s v="OUB-W0012501-596"/>
    <s v="EJ-Malang-01"/>
    <s v="Oka-0813-2707-1646"/>
    <d v="2025-01-13T00:00:00"/>
    <d v="1899-12-30T13:00:00"/>
    <s v="EJ-MALANG-01"/>
    <x v="2"/>
    <x v="8"/>
    <s v="GCI1005"/>
    <s v="Pcs"/>
    <n v="20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561"/>
    <m/>
    <x v="1"/>
    <s v="OUB-W0012501-600"/>
    <s v="EJ-Malang-01"/>
    <s v="Oka-0813-2707-1646"/>
    <d v="2025-01-21T00:00:00"/>
    <d v="1899-12-30T13:40:00"/>
    <s v="EJ-MALANG-01"/>
    <x v="2"/>
    <x v="8"/>
    <s v="GCI1005"/>
    <s v="Pcs"/>
    <n v="40"/>
    <s v="CLR51-03-016"/>
    <x v="145"/>
    <m/>
    <m/>
    <m/>
    <s v="Riki Romansyah"/>
    <n v="0"/>
    <s v="3507050501950006"/>
    <s v="N 8420 EL"/>
    <m/>
    <m/>
    <s v="Citra Kayane Residence"/>
    <e v="#N/A"/>
    <e v="#N/A"/>
    <s v="OUTBOUND_"/>
  </r>
  <r>
    <s v="562"/>
    <m/>
    <x v="1"/>
    <s v="OUB-W0012502-607"/>
    <s v="EJ-Malang-01"/>
    <s v="Oka-0813-2707-1646"/>
    <d v="2025-02-19T00:00:00"/>
    <d v="1899-12-30T09:35:00"/>
    <s v="EJ-MALANG-01"/>
    <x v="2"/>
    <x v="8"/>
    <s v="GCI1005"/>
    <s v="Pcs"/>
    <n v="50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563"/>
    <m/>
    <x v="1"/>
    <s v="OUB-W0012503-636"/>
    <s v="EJ-Malang-01"/>
    <s v="Oka-0813-2707-1646"/>
    <d v="2025-03-26T00:00:00"/>
    <d v="1899-12-30T19:57:00"/>
    <s v="EJ-MALANG-01"/>
    <x v="2"/>
    <x v="8"/>
    <s v="GCI1005"/>
    <s v="Pcs"/>
    <n v="60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564"/>
    <m/>
    <x v="1"/>
    <s v="OUB-W0012505-640"/>
    <s v="EJ-Malang-01"/>
    <s v="Oka-0813-2707-1646"/>
    <d v="2025-05-25T00:00:00"/>
    <d v="1899-12-30T12:57:00"/>
    <s v="EJ-MALANG-01"/>
    <x v="2"/>
    <x v="8"/>
    <s v="GCI1005"/>
    <s v="Pcs"/>
    <n v="30"/>
    <s v="CLR51-99-212"/>
    <x v="146"/>
    <m/>
    <m/>
    <m/>
    <s v="Riki Romansyah"/>
    <n v="0"/>
    <s v="3507050501950006"/>
    <s v="N 8420 EL"/>
    <m/>
    <m/>
    <s v="KEBONAGUNG RW 01 MALANG"/>
    <e v="#N/A"/>
    <e v="#N/A"/>
    <s v="OUTBOUND_"/>
  </r>
  <r>
    <s v="565"/>
    <m/>
    <x v="0"/>
    <s v="INB-W0012506-655"/>
    <s v="EJ-Malang-01"/>
    <s v="Oka-0813-2707-1646"/>
    <d v="2025-06-23T00:00:00"/>
    <d v="1900-01-14T07:00:00"/>
    <s v="GCI Procurement"/>
    <x v="2"/>
    <x v="8"/>
    <s v="GCI1005"/>
    <s v="Pcs"/>
    <n v="381"/>
    <n v="0"/>
    <x v="5"/>
    <n v="0"/>
    <n v="0"/>
    <m/>
    <m/>
    <m/>
    <m/>
    <m/>
    <m/>
    <m/>
    <n v="0"/>
    <e v="#N/A"/>
    <e v="#N/A"/>
    <s v="OUTBOUND_"/>
  </r>
  <r>
    <s v="566"/>
    <m/>
    <x v="1"/>
    <s v="OUB-W0012506-654"/>
    <s v="EJ-Malang-01"/>
    <s v="Oka-0813-2707-1646"/>
    <d v="2025-06-23T00:00:00"/>
    <d v="1899-12-30T15:30:00"/>
    <s v="EJ-MALANG-01"/>
    <x v="2"/>
    <x v="8"/>
    <s v="GCI1005"/>
    <s v="Pcs"/>
    <n v="381"/>
    <n v="0"/>
    <x v="147"/>
    <m/>
    <m/>
    <m/>
    <s v="Fatur"/>
    <n v="0"/>
    <s v="1812010507910004"/>
    <s v="L 9221 K"/>
    <m/>
    <m/>
    <s v="Pncokusumo"/>
    <e v="#N/A"/>
    <e v="#N/A"/>
    <s v="OUTBOUND_"/>
  </r>
  <r>
    <s v="567"/>
    <m/>
    <x v="1"/>
    <s v="OUB-W0012507-672"/>
    <s v="EJ-Malang-01"/>
    <s v="Oka-0813-2707-1646"/>
    <d v="2025-07-23T00:00:00"/>
    <d v="1899-12-30T11:14:00"/>
    <s v="EJ-MALANG-01"/>
    <x v="2"/>
    <x v="8"/>
    <s v="GCI1005"/>
    <s v="Pcs"/>
    <n v="300"/>
    <n v="0"/>
    <x v="148"/>
    <m/>
    <m/>
    <m/>
    <s v="Riki Romansyah"/>
    <n v="0"/>
    <s v="1812010507910004"/>
    <s v="L 9221 K"/>
    <m/>
    <m/>
    <s v="Bululawang"/>
    <e v="#N/A"/>
    <e v="#N/A"/>
    <s v="OUTBOUND_"/>
  </r>
  <r>
    <s v="568"/>
    <m/>
    <x v="0"/>
    <s v="INB-W0012508-680"/>
    <s v="EJ-Malang-01"/>
    <s v="Oka-0813-2707-1646"/>
    <d v="2025-08-06T00:00:00"/>
    <d v="1900-01-14T07:00:00"/>
    <s v="GCI Procurement"/>
    <x v="2"/>
    <x v="8"/>
    <s v="GCI1005"/>
    <s v="Pcs"/>
    <n v="111"/>
    <n v="0"/>
    <x v="93"/>
    <n v="0"/>
    <n v="0"/>
    <m/>
    <m/>
    <m/>
    <m/>
    <m/>
    <m/>
    <m/>
    <s v="GRESIK"/>
    <e v="#N/A"/>
    <e v="#N/A"/>
    <s v="OUTBOUND_"/>
  </r>
  <r>
    <s v="569"/>
    <m/>
    <x v="1"/>
    <s v="OUB-W0012508-681"/>
    <s v="EJ-Malang-01"/>
    <s v="Oka-0813-2707-1646"/>
    <d v="2025-08-07T00:00:00"/>
    <d v="1899-12-30T11:21:00"/>
    <s v="EJ-MALANG-01"/>
    <x v="2"/>
    <x v="8"/>
    <s v="GCI1005"/>
    <s v="Pcs"/>
    <n v="50"/>
    <s v="CLR51-99-250"/>
    <x v="103"/>
    <m/>
    <m/>
    <m/>
    <s v="Riki Romansyah"/>
    <n v="0"/>
    <s v="3507050501950006"/>
    <s v="N 8420 EL"/>
    <m/>
    <m/>
    <s v="PERMANU RW 03 MALANG"/>
    <e v="#N/A"/>
    <e v="#N/A"/>
    <s v="OUTBOUND_"/>
  </r>
  <r>
    <s v="570"/>
    <m/>
    <x v="0"/>
    <s v="INB-W0012508-693"/>
    <s v="EJ-Malang-01"/>
    <s v="Oka-0813-2707-1646"/>
    <d v="2025-08-21T00:00:00"/>
    <d v="1900-01-14T07:00:00"/>
    <s v="GCI Procurement"/>
    <x v="2"/>
    <x v="8"/>
    <s v="GCI1005"/>
    <s v="Pcs"/>
    <n v="131"/>
    <n v="0"/>
    <x v="5"/>
    <n v="0"/>
    <n v="0"/>
    <m/>
    <m/>
    <m/>
    <m/>
    <m/>
    <m/>
    <m/>
    <n v="0"/>
    <e v="#N/A"/>
    <e v="#N/A"/>
    <s v="OUTBOUND_"/>
  </r>
  <r>
    <s v="571"/>
    <m/>
    <x v="1"/>
    <s v="OUB-W0012508-694"/>
    <s v="EJ-Malang-01"/>
    <s v="Oka-0813-2707-1646"/>
    <d v="2025-08-23T00:00:00"/>
    <d v="1899-12-30T10:17:00"/>
    <s v="EJ-MALANG-01"/>
    <x v="2"/>
    <x v="8"/>
    <s v="GCI1005"/>
    <s v="Pcs"/>
    <n v="131"/>
    <n v="0"/>
    <x v="149"/>
    <m/>
    <m/>
    <m/>
    <s v="Riki Romansyah"/>
    <n v="0"/>
    <s v="3507050501950006"/>
    <s v="N 8420 EL"/>
    <m/>
    <m/>
    <s v="Bululawang Permai"/>
    <e v="#N/A"/>
    <e v="#N/A"/>
    <s v="OUTBOUND_"/>
  </r>
  <r>
    <s v="572"/>
    <m/>
    <x v="1"/>
    <s v="OUB-W0012508-702"/>
    <s v="EJ-Malang-01"/>
    <s v="Oka-0813-2707-1646"/>
    <d v="2025-08-31T00:00:00"/>
    <d v="1899-12-30T21:36:25"/>
    <s v="EJ-MALANG-01"/>
    <x v="2"/>
    <x v="8"/>
    <s v="GCI1005"/>
    <s v="Pcs"/>
    <n v="230"/>
    <s v="ADJUSTMENT"/>
    <x v="18"/>
    <m/>
    <m/>
    <m/>
    <m/>
    <m/>
    <m/>
    <m/>
    <s v="ADJUSTMENT"/>
    <m/>
    <s v="ADJUSTMENT"/>
    <e v="#N/A"/>
    <e v="#N/A"/>
    <s v="OUTBOUND_"/>
  </r>
  <r>
    <s v="573"/>
    <n v="4"/>
    <x v="0"/>
    <s v="INB-W0012510-001"/>
    <s v="EJ-Malang-01"/>
    <s v="Oka-0813-2707-1646"/>
    <d v="2025-10-14T00:00:00"/>
    <d v="1899-12-30T15:21:00"/>
    <s v="GCI Procurement"/>
    <x v="2"/>
    <x v="8"/>
    <s v="GCI1005"/>
    <s v="Pcs"/>
    <n v="85"/>
    <s v="CLR51-99-370"/>
    <x v="111"/>
    <s v="DOEID25081590"/>
    <s v="DNWID1382025081505"/>
    <m/>
    <m/>
    <m/>
    <m/>
    <m/>
    <m/>
    <m/>
    <s v="Perumahan Bululawang Permai RW 02"/>
    <d v="2025-08-19T00:00:00"/>
    <b v="0"/>
    <s v="OUTBOUND_"/>
  </r>
  <r>
    <s v="574"/>
    <n v="4"/>
    <x v="1"/>
    <s v="OUB-W0012510-001"/>
    <s v="EJ-Malang-01"/>
    <s v="Oka-0813-2707-1646"/>
    <d v="2025-10-16T00:00:00"/>
    <d v="1899-12-30T10:21:00"/>
    <s v="EJ-MALANG-01"/>
    <x v="2"/>
    <x v="8"/>
    <s v="GCI1005"/>
    <s v="Pcs"/>
    <n v="85"/>
    <s v="CLR51-99-257"/>
    <x v="150"/>
    <m/>
    <m/>
    <m/>
    <s v="Riki Romansyah"/>
    <n v="0"/>
    <s v="3507050501950006"/>
    <s v="N 8420 EL"/>
    <m/>
    <m/>
    <s v="Asshofa Residence"/>
    <e v="#N/A"/>
    <e v="#N/A"/>
    <s v="OUTBOUND_"/>
  </r>
  <r>
    <s v="575"/>
    <n v="5"/>
    <x v="0"/>
    <s v="INB-W0012511-004"/>
    <s v="EJ-Malang-01"/>
    <s v="Oka-0813-2707-1646"/>
    <d v="2025-11-26T00:00:00"/>
    <d v="1899-12-30T16:01:00"/>
    <s v="GCI Procurement"/>
    <x v="2"/>
    <x v="8"/>
    <s v="GCI1005"/>
    <s v="Pcs"/>
    <n v="199"/>
    <s v="-"/>
    <x v="3"/>
    <s v="-"/>
    <s v="-"/>
    <m/>
    <m/>
    <m/>
    <m/>
    <m/>
    <m/>
    <m/>
    <n v="0"/>
    <e v="#N/A"/>
    <e v="#N/A"/>
    <s v="OUTBOUND_"/>
  </r>
  <r>
    <s v="576"/>
    <n v="7"/>
    <x v="1"/>
    <s v="OUB-W0012512-005"/>
    <s v="EJ-Malang-01"/>
    <s v="Oka-0813-2707-1646"/>
    <d v="2025-12-15T00:00:00"/>
    <d v="1899-12-30T08:50:00"/>
    <s v="EJ-MALANG-01"/>
    <x v="2"/>
    <x v="8"/>
    <s v="GCI1005"/>
    <s v="Pcs"/>
    <n v="339"/>
    <s v="-"/>
    <x v="3"/>
    <s v="-"/>
    <s v="-"/>
    <m/>
    <s v="Riki Romansyah"/>
    <s v="Suliadi"/>
    <s v="3507050501950006"/>
    <s v="N 8420 EL"/>
    <m/>
    <m/>
    <n v="0"/>
    <e v="#N/A"/>
    <e v="#N/A"/>
    <s v="OUTBOUND_"/>
  </r>
  <r>
    <s v="577"/>
    <n v="3"/>
    <x v="0"/>
    <s v="INB-W0012512-018"/>
    <s v="EJ-Malang-01"/>
    <s v="Oka-0813-2707-1646"/>
    <d v="2025-12-22T00:00:00"/>
    <d v="1899-12-30T08:00:00"/>
    <s v="GCI Procurement"/>
    <x v="2"/>
    <x v="8"/>
    <s v="GCI1005"/>
    <s v="Pcs"/>
    <n v="111"/>
    <s v="ADJUSTMENT"/>
    <x v="18"/>
    <m/>
    <m/>
    <m/>
    <m/>
    <m/>
    <m/>
    <m/>
    <s v="ADJUSTMENT"/>
    <m/>
    <s v="ADJUSTMENT"/>
    <e v="#N/A"/>
    <e v="#N/A"/>
    <s v="OUTBOUND_"/>
  </r>
  <r>
    <s v="578"/>
    <n v="5"/>
    <x v="0"/>
    <s v="INB-W0012512-019"/>
    <s v="EJ-Malang-01"/>
    <s v="Oka-0813-2707-1646"/>
    <d v="2025-12-23T00:00:00"/>
    <d v="1899-12-30T08:00:00"/>
    <s v="GCI Procurement"/>
    <x v="2"/>
    <x v="8"/>
    <s v="GCI1005"/>
    <s v="Pcs"/>
    <n v="666"/>
    <m/>
    <x v="3"/>
    <m/>
    <m/>
    <m/>
    <m/>
    <m/>
    <m/>
    <m/>
    <m/>
    <m/>
    <n v="0"/>
    <e v="#N/A"/>
    <e v="#N/A"/>
    <s v="OUTBOUND_"/>
  </r>
  <r>
    <s v="579"/>
    <n v="8"/>
    <x v="1"/>
    <s v="OUB-W0012512-024"/>
    <s v="EJ-Malang-01"/>
    <s v="Oka-0813-2707-1646"/>
    <d v="2025-12-25T00:00:00"/>
    <d v="1899-12-30T12:13:00"/>
    <s v="EJ-MALANG-01"/>
    <x v="2"/>
    <x v="8"/>
    <s v="GCI1005"/>
    <s v="Pcs"/>
    <n v="666"/>
    <m/>
    <x v="3"/>
    <m/>
    <m/>
    <m/>
    <s v="Riki Romansyah"/>
    <s v="Suliadi"/>
    <s v="3507050501950006"/>
    <s v="N 8420 EL"/>
    <m/>
    <m/>
    <n v="0"/>
    <e v="#N/A"/>
    <e v="#N/A"/>
    <s v="OUTBOUND_"/>
  </r>
  <r>
    <s v="580"/>
    <m/>
    <x v="0"/>
    <s v="INB-W0012308-6"/>
    <s v="EJ-Malang-01"/>
    <s v="Oka-0813-2707-1646"/>
    <d v="2023-08-09T00:00:00"/>
    <d v="1900-01-14T07:00:00"/>
    <s v="GCI Procurement"/>
    <x v="2"/>
    <x v="9"/>
    <s v="GCI1001"/>
    <s v="Pcs"/>
    <n v="35"/>
    <s v="CLR51-99-004"/>
    <x v="19"/>
    <n v="0"/>
    <n v="0"/>
    <m/>
    <m/>
    <m/>
    <m/>
    <m/>
    <m/>
    <m/>
    <s v="Perumahan Bumi Podo Rukun Dau"/>
    <e v="#N/A"/>
    <e v="#N/A"/>
    <s v="OUTBOUND_"/>
  </r>
  <r>
    <s v="581"/>
    <m/>
    <x v="1"/>
    <s v="OUB-W0012308-7"/>
    <s v="EJ-Malang-01"/>
    <s v="Oka-0813-2707-1646"/>
    <d v="2023-08-10T00:00:00"/>
    <d v="1900-01-14T16:37:24"/>
    <s v="EJ-MALANG-01"/>
    <x v="2"/>
    <x v="9"/>
    <s v="GCI1001"/>
    <s v="Pcs"/>
    <n v="24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582"/>
    <m/>
    <x v="0"/>
    <s v="INB-W0012308-14"/>
    <s v="EJ-Malang-01"/>
    <s v="Oka-0813-2707-1646"/>
    <d v="2023-08-24T00:00:00"/>
    <d v="1900-01-14T07:00:00"/>
    <s v="GCI Procurement"/>
    <x v="2"/>
    <x v="9"/>
    <s v="GCI1001"/>
    <s v="Pcs"/>
    <n v="27"/>
    <s v="CLR51-99-006"/>
    <x v="23"/>
    <n v="0"/>
    <n v="0"/>
    <m/>
    <m/>
    <m/>
    <m/>
    <m/>
    <m/>
    <m/>
    <s v="Mulyorejo RW 04 Sukun"/>
    <e v="#N/A"/>
    <e v="#N/A"/>
    <s v="OUTBOUND_"/>
  </r>
  <r>
    <s v="583"/>
    <m/>
    <x v="0"/>
    <s v="INB-W0012309-20"/>
    <s v="EJ-Malang-01"/>
    <s v="Oka-0813-2707-1646"/>
    <d v="2023-09-04T00:00:00"/>
    <d v="1900-01-14T07:00:00"/>
    <s v="FIELD TEAM"/>
    <x v="2"/>
    <x v="9"/>
    <s v="GCI1001"/>
    <s v="Pcs"/>
    <n v="1"/>
    <s v="CLR51-99-004"/>
    <x v="19"/>
    <n v="0"/>
    <n v="0"/>
    <m/>
    <m/>
    <m/>
    <m/>
    <m/>
    <s v="Pengembalian Perumahan Bumi Podo Rukun Dau"/>
    <m/>
    <s v="Perumahan Bumi Podo Rukun Dau"/>
    <e v="#N/A"/>
    <e v="#N/A"/>
    <s v="OUTBOUND_"/>
  </r>
  <r>
    <s v="584"/>
    <m/>
    <x v="0"/>
    <s v="INB-W0012309-37"/>
    <s v="EJ-Malang-01"/>
    <s v="Oka-0813-2707-1646"/>
    <d v="2023-09-22T00:00:00"/>
    <d v="1900-01-14T07:00:00"/>
    <s v="GCI Procurement"/>
    <x v="2"/>
    <x v="9"/>
    <s v="GCI1001"/>
    <s v="Pcs"/>
    <n v="59"/>
    <s v="CLR51-02-001"/>
    <x v="20"/>
    <n v="0"/>
    <n v="0"/>
    <m/>
    <m/>
    <m/>
    <m/>
    <m/>
    <s v="Di antar ke Khoiri Supplier "/>
    <m/>
    <s v="Puncak Dieng Exlusif"/>
    <e v="#N/A"/>
    <e v="#N/A"/>
    <s v="OUTBOUND_"/>
  </r>
  <r>
    <s v="585"/>
    <m/>
    <x v="1"/>
    <s v="OUB-W0012309-41"/>
    <s v="EJ-Malang-01"/>
    <s v="Oka-0813-2707-1646"/>
    <d v="2023-09-24T00:00:00"/>
    <d v="1899-12-30T07:36:00"/>
    <s v="EJ-MALANG-01"/>
    <x v="2"/>
    <x v="9"/>
    <s v="GCI1001"/>
    <s v="Pcs"/>
    <n v="12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586"/>
    <m/>
    <x v="1"/>
    <s v="OUB-W0012309-44"/>
    <s v="EJ-Malang-01"/>
    <s v="Oka-0813-2707-1646"/>
    <d v="2023-09-25T00:00:00"/>
    <d v="1899-12-30T06:30:00"/>
    <s v="EJ-MALANG-01"/>
    <x v="2"/>
    <x v="9"/>
    <s v="GCI1001"/>
    <s v="Pcs"/>
    <n v="11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587"/>
    <m/>
    <x v="1"/>
    <s v="OUB-W0012309-46"/>
    <s v="EJ-Malang-01"/>
    <s v="Oka-0813-2707-1646"/>
    <d v="2023-09-26T00:00:00"/>
    <d v="1899-12-30T06:30:00"/>
    <s v="EJ-MALANG-01"/>
    <x v="2"/>
    <x v="9"/>
    <s v="GCI1001"/>
    <s v="Pcs"/>
    <n v="10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588"/>
    <m/>
    <x v="1"/>
    <s v="OUB-W0012309-51"/>
    <s v="EJ-Malang-01"/>
    <s v="Oka-0813-2707-1646"/>
    <d v="2023-09-27T00:00:00"/>
    <d v="1899-12-30T12:30:00"/>
    <s v="EJ-MALANG-01"/>
    <x v="2"/>
    <x v="9"/>
    <s v="GCI1001"/>
    <s v="Pcs"/>
    <n v="17"/>
    <s v="CLR51-99-013"/>
    <x v="26"/>
    <m/>
    <m/>
    <m/>
    <s v="Ahmad Subari"/>
    <n v="0"/>
    <s v="3507150401800010"/>
    <s v="N 9795 EM"/>
    <m/>
    <m/>
    <s v="Pandan Landung RW 03 Wagir"/>
    <e v="#N/A"/>
    <e v="#N/A"/>
    <s v="OUTBOUND_"/>
  </r>
  <r>
    <s v="589"/>
    <m/>
    <x v="1"/>
    <s v="OUB-W0012310-55"/>
    <s v="EJ-Malang-01"/>
    <s v="Oka-0813-2707-1646"/>
    <d v="2023-10-01T00:00:00"/>
    <d v="1899-12-30T06:30:00"/>
    <s v="EJ-MALANG-01"/>
    <x v="2"/>
    <x v="9"/>
    <s v="GCI1001"/>
    <s v="Pcs"/>
    <n v="20"/>
    <s v="CLR51-02-001"/>
    <x v="20"/>
    <m/>
    <m/>
    <m/>
    <s v="Khoiri"/>
    <s v="Khoiri Supplier"/>
    <s v="3507330905820002"/>
    <s v="N 8638 ES"/>
    <m/>
    <m/>
    <s v="Puncak Dieng Exlusif"/>
    <e v="#N/A"/>
    <e v="#N/A"/>
    <s v="OUTBOUND_"/>
  </r>
  <r>
    <s v="590"/>
    <m/>
    <x v="0"/>
    <s v="INB-W0012310-58"/>
    <s v="EJ-Malang-01"/>
    <s v="Oka-0813-2707-1646"/>
    <d v="2023-10-02T00:00:00"/>
    <d v="1900-01-14T07:00:00"/>
    <s v="GCI Procurement"/>
    <x v="2"/>
    <x v="9"/>
    <s v="GCI1001"/>
    <s v="Pcs"/>
    <n v="21"/>
    <s v="PRC"/>
    <x v="135"/>
    <n v="0"/>
    <n v="0"/>
    <m/>
    <m/>
    <m/>
    <m/>
    <m/>
    <m/>
    <m/>
    <s v="Purchase"/>
    <e v="#N/A"/>
    <e v="#N/A"/>
    <s v="OUTBOUND_"/>
  </r>
  <r>
    <s v="591"/>
    <m/>
    <x v="2"/>
    <s v="TFO-W0012310-57"/>
    <s v="EJ-Malang-01"/>
    <s v="Oka-0813-2707-1646"/>
    <d v="2023-10-02T00:00:00"/>
    <d v="1899-12-30T20:58:00"/>
    <s v="EJ-MALANG-01"/>
    <x v="2"/>
    <x v="9"/>
    <s v="GCI1001"/>
    <s v="Pcs"/>
    <n v="6"/>
    <s v="TRF"/>
    <x v="4"/>
    <m/>
    <m/>
    <m/>
    <s v="Sigit Pamungkas"/>
    <n v="0"/>
    <n v="0"/>
    <n v="0"/>
    <m/>
    <m/>
    <s v="Transfer Gudang"/>
    <e v="#N/A"/>
    <e v="#N/A"/>
    <s v="TRANSFER OUT_"/>
  </r>
  <r>
    <s v="592"/>
    <m/>
    <x v="1"/>
    <s v="OUB-W0012310-59"/>
    <s v="EJ-Malang-01"/>
    <s v="Oka-0813-2707-1646"/>
    <d v="2023-10-04T00:00:00"/>
    <d v="1899-12-30T09:40:00"/>
    <s v="EJ-MALANG-01"/>
    <x v="2"/>
    <x v="9"/>
    <s v="GCI1001"/>
    <s v="Pcs"/>
    <n v="8"/>
    <s v="CLR51-99-014"/>
    <x v="29"/>
    <m/>
    <m/>
    <m/>
    <s v="Ahmad Subari"/>
    <n v="0"/>
    <s v="3507150401800010"/>
    <s v="N 9609 EF"/>
    <m/>
    <m/>
    <s v="Pandan Landung RW 04 Wagir"/>
    <e v="#N/A"/>
    <e v="#N/A"/>
    <s v="OUTBOUND_"/>
  </r>
  <r>
    <s v="593"/>
    <m/>
    <x v="1"/>
    <s v="OUB-W0012310-84"/>
    <s v="EJ-Malang-01"/>
    <s v="Oka-0813-2707-1646"/>
    <d v="2023-10-18T00:00:00"/>
    <d v="1899-12-30T14:05:00"/>
    <s v="EJ-MALANG-01"/>
    <x v="2"/>
    <x v="9"/>
    <s v="GCI1001"/>
    <s v="Pcs"/>
    <n v="6"/>
    <s v="CLR51-99-013"/>
    <x v="26"/>
    <m/>
    <m/>
    <m/>
    <s v="Ahmad Subari"/>
    <n v="0"/>
    <s v="3507150401800010"/>
    <s v="N 9609 EF"/>
    <m/>
    <m/>
    <s v="Pandan Landung RW 03 Wagir"/>
    <e v="#N/A"/>
    <e v="#N/A"/>
    <s v="OUTBOUND_"/>
  </r>
  <r>
    <s v="594"/>
    <m/>
    <x v="0"/>
    <s v="INB-W0012310-104"/>
    <s v="EJ-Malang-01"/>
    <s v="Oka-0813-2707-1646"/>
    <d v="2023-10-21T00:00:00"/>
    <d v="1900-01-14T07:00:00"/>
    <s v="GCI Procurement"/>
    <x v="2"/>
    <x v="9"/>
    <s v="GCI1001"/>
    <s v="Pcs"/>
    <n v="88"/>
    <s v="PRC"/>
    <x v="135"/>
    <n v="0"/>
    <n v="0"/>
    <m/>
    <m/>
    <m/>
    <m/>
    <m/>
    <s v="Pengambilan Oleh Sigit Pamungkas di UD HALIM JAYA"/>
    <m/>
    <s v="Purchase"/>
    <e v="#N/A"/>
    <e v="#N/A"/>
    <s v="OUTBOUND_"/>
  </r>
  <r>
    <s v="595"/>
    <m/>
    <x v="1"/>
    <s v="OUB-W0012310-92"/>
    <s v="EJ-Malang-01"/>
    <s v="Oka-0813-2707-1646"/>
    <d v="2023-10-21T00:00:00"/>
    <d v="1899-12-30T23:24:00"/>
    <s v="EJ-MALANG-01"/>
    <x v="2"/>
    <x v="9"/>
    <s v="GCI1001"/>
    <s v="Pcs"/>
    <n v="2"/>
    <n v="0"/>
    <x v="5"/>
    <m/>
    <m/>
    <m/>
    <s v="Mustofa"/>
    <n v="0"/>
    <s v="3209140803860003"/>
    <s v="N 9609 EF"/>
    <m/>
    <m/>
    <n v="0"/>
    <e v="#N/A"/>
    <e v="#N/A"/>
    <s v="OUTBOUND_"/>
  </r>
  <r>
    <s v="596"/>
    <m/>
    <x v="1"/>
    <s v="OUB-W0012310-91"/>
    <s v="EJ-Malang-01"/>
    <s v="Oka-0813-2707-1646"/>
    <d v="2023-10-21T00:00:00"/>
    <d v="1899-12-30T23:24:00"/>
    <s v="EJ-MALANG-01"/>
    <x v="2"/>
    <x v="9"/>
    <s v="GCI1001"/>
    <s v="Pcs"/>
    <n v="18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597"/>
    <m/>
    <x v="1"/>
    <s v="OUB-W0012310-93"/>
    <s v="EJ-Malang-01"/>
    <s v="Oka-0813-2707-1646"/>
    <d v="2023-10-21T00:00:00"/>
    <d v="1899-12-30T23:24:00"/>
    <s v="EJ-MALANG-01"/>
    <x v="2"/>
    <x v="9"/>
    <s v="GCI1001"/>
    <s v="Pcs"/>
    <n v="26"/>
    <s v="CLR51-99-020"/>
    <x v="22"/>
    <m/>
    <m/>
    <m/>
    <s v="Khoiri"/>
    <s v="Khoiri Supplier"/>
    <s v="3507330905820002"/>
    <s v="N 8408 CB"/>
    <m/>
    <m/>
    <s v="Jedong RW 08 Wagir"/>
    <e v="#N/A"/>
    <e v="#N/A"/>
    <s v="OUTBOUND_"/>
  </r>
  <r>
    <s v="598"/>
    <m/>
    <x v="0"/>
    <s v="INB-W0012310-106"/>
    <s v="EJ-Malang-01"/>
    <s v="Oka-0813-2707-1646"/>
    <d v="2023-10-22T00:00:00"/>
    <d v="1900-01-14T07:00:00"/>
    <s v="GCI Procurement"/>
    <x v="2"/>
    <x v="9"/>
    <s v="GCI1001"/>
    <s v="Pcs"/>
    <n v="10"/>
    <s v="CLR51-99-019"/>
    <x v="28"/>
    <n v="0"/>
    <n v="0"/>
    <m/>
    <m/>
    <m/>
    <m/>
    <m/>
    <m/>
    <m/>
    <s v="Sidorahayu RW 02 Wagir"/>
    <e v="#N/A"/>
    <e v="#N/A"/>
    <s v="OUTBOUND_"/>
  </r>
  <r>
    <s v="599"/>
    <m/>
    <x v="1"/>
    <s v="OUB-W0012310-105"/>
    <s v="EJ-Malang-01"/>
    <s v="Oka-0813-2707-1646"/>
    <d v="2023-10-22T00:00:00"/>
    <d v="1899-12-30T22:30:00"/>
    <s v="EJ-MALANG-01"/>
    <x v="2"/>
    <x v="9"/>
    <s v="GCI1001"/>
    <s v="Pcs"/>
    <n v="14"/>
    <s v="CLR51-99-017"/>
    <x v="21"/>
    <m/>
    <m/>
    <m/>
    <s v="Mustofa"/>
    <n v="0"/>
    <s v="3209140803860003"/>
    <s v="N 9609 EF"/>
    <m/>
    <m/>
    <s v="Sukodadi RW 01 Wagir"/>
    <e v="#N/A"/>
    <e v="#N/A"/>
    <s v="OUTBOUND_"/>
  </r>
  <r>
    <s v="600"/>
    <m/>
    <x v="1"/>
    <s v="OUB-W0012310-105"/>
    <s v="EJ-Malang-01"/>
    <s v="Oka-0813-2707-1646"/>
    <d v="2023-10-22T00:00:00"/>
    <d v="1899-12-30T22:30:00"/>
    <s v="EJ-MALANG-01"/>
    <x v="2"/>
    <x v="9"/>
    <s v="GCI1001"/>
    <s v="Pcs"/>
    <n v="15"/>
    <s v="CLR51-99-018"/>
    <x v="151"/>
    <m/>
    <m/>
    <m/>
    <s v="Mustofa"/>
    <n v="0"/>
    <s v="3209140803860003"/>
    <s v="N 9609 EF"/>
    <m/>
    <m/>
    <s v="Sukodadi RW 02 Wagir"/>
    <e v="#N/A"/>
    <e v="#N/A"/>
    <s v="OUTBOUND_"/>
  </r>
  <r>
    <s v="601"/>
    <m/>
    <x v="1"/>
    <s v="OUB-W0012310-105"/>
    <s v="EJ-Malang-01"/>
    <s v="Oka-0813-2707-1646"/>
    <d v="2023-10-22T00:00:00"/>
    <d v="1899-12-30T22:30:00"/>
    <s v="EJ-MALANG-01"/>
    <x v="2"/>
    <x v="9"/>
    <s v="GCI1001"/>
    <s v="Pcs"/>
    <n v="15"/>
    <s v="CLR51-99-019"/>
    <x v="28"/>
    <m/>
    <m/>
    <m/>
    <s v="Mustofa"/>
    <n v="0"/>
    <s v="3209140803860003"/>
    <s v="N 9609 EF"/>
    <m/>
    <m/>
    <s v="Sidorahayu RW 02 Wagir"/>
    <e v="#N/A"/>
    <e v="#N/A"/>
    <s v="OUTBOUND_"/>
  </r>
  <r>
    <s v="602"/>
    <m/>
    <x v="1"/>
    <s v="OUB-W0012311-125"/>
    <s v="EJ-Malang-01"/>
    <s v="Oka-0813-2707-1646"/>
    <d v="2023-11-24T00:00:00"/>
    <d v="1899-12-30T11:00:00"/>
    <s v="EJ-MALANG-01"/>
    <x v="2"/>
    <x v="9"/>
    <s v="GCI1001"/>
    <s v="Pcs"/>
    <n v="1"/>
    <s v="CLR51-99-020"/>
    <x v="22"/>
    <m/>
    <m/>
    <m/>
    <s v="Agus Oka"/>
    <n v="0"/>
    <s v="3503011606970003"/>
    <s v="AG 2455 YBO"/>
    <m/>
    <m/>
    <s v="Jedong RW 08 Wagir"/>
    <e v="#N/A"/>
    <e v="#N/A"/>
    <s v="OUTBOUND_"/>
  </r>
  <r>
    <s v="603"/>
    <m/>
    <x v="1"/>
    <s v="OUB-W0012311-130"/>
    <s v="EJ-Malang-01"/>
    <s v="Oka-0813-2707-1646"/>
    <d v="2023-11-26T00:00:00"/>
    <d v="1899-12-30T07:35:00"/>
    <s v="EJ-MALANG-01"/>
    <x v="2"/>
    <x v="9"/>
    <s v="GCI1001"/>
    <s v="Pcs"/>
    <n v="1"/>
    <s v="CLR51-99-020"/>
    <x v="22"/>
    <m/>
    <m/>
    <m/>
    <s v="Heri Susanto"/>
    <n v="0"/>
    <s v="3506220807870002"/>
    <s v="S 9794 JC"/>
    <m/>
    <m/>
    <s v="Jedong RW 08 Wagir"/>
    <e v="#N/A"/>
    <e v="#N/A"/>
    <s v="OUTBOUND_"/>
  </r>
  <r>
    <s v="604"/>
    <m/>
    <x v="0"/>
    <s v="INB-W0012311-137"/>
    <s v="EJ-Malang-01"/>
    <s v="Oka-0813-2707-1646"/>
    <d v="2023-11-28T00:00:00"/>
    <d v="1900-01-14T07:00:00"/>
    <s v="GCI Procurement"/>
    <x v="2"/>
    <x v="9"/>
    <s v="GCI1001"/>
    <s v="Pcs"/>
    <n v="27"/>
    <s v="PRC"/>
    <x v="135"/>
    <n v="0"/>
    <n v="0"/>
    <m/>
    <m/>
    <m/>
    <m/>
    <m/>
    <m/>
    <m/>
    <s v="Purchase"/>
    <e v="#N/A"/>
    <e v="#N/A"/>
    <s v="OUTBOUND_"/>
  </r>
  <r>
    <s v="605"/>
    <m/>
    <x v="1"/>
    <s v="OUB-W0012312-142"/>
    <s v="EJ-Malang-01"/>
    <s v="Oka-0813-2707-1646"/>
    <d v="2023-12-06T00:00:00"/>
    <d v="1899-12-30T09:36:00"/>
    <s v="EJ-MALANG-01"/>
    <x v="2"/>
    <x v="9"/>
    <s v="GCI1001"/>
    <s v="Pcs"/>
    <n v="4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606"/>
    <m/>
    <x v="1"/>
    <s v="OUB-W0012312-142"/>
    <s v="EJ-Malang-01"/>
    <s v="Oka-0813-2707-1646"/>
    <d v="2023-12-06T00:00:00"/>
    <d v="1899-12-30T09:36:00"/>
    <s v="EJ-MALANG-01"/>
    <x v="2"/>
    <x v="9"/>
    <s v="GCI1001"/>
    <s v="Pcs"/>
    <n v="18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607"/>
    <m/>
    <x v="1"/>
    <s v="OUB-W0012312-146"/>
    <s v="EJ-Malang-01"/>
    <s v="Oka-0813-2707-1646"/>
    <d v="2023-12-11T00:00:00"/>
    <d v="1899-12-30T11:30:00"/>
    <s v="EJ-MALANG-01"/>
    <x v="2"/>
    <x v="9"/>
    <s v="GCI1001"/>
    <s v="Pcs"/>
    <n v="3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608"/>
    <m/>
    <x v="1"/>
    <s v="OUB-W0012312-151"/>
    <s v="EJ-Malang-01"/>
    <s v="Oka-0813-2707-1646"/>
    <d v="2023-12-22T00:00:00"/>
    <d v="1899-12-30T13:27:00"/>
    <s v="EJ-MALANG-01"/>
    <x v="2"/>
    <x v="9"/>
    <s v="GCI1001"/>
    <s v="Pcs"/>
    <n v="17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609"/>
    <m/>
    <x v="0"/>
    <s v="INB-W0012401-164"/>
    <s v="EJ-Malang-01"/>
    <s v="Oka-0813-2707-1646"/>
    <d v="2024-01-04T00:00:00"/>
    <d v="1900-01-14T07:00:00"/>
    <s v="GCI Procurement"/>
    <x v="2"/>
    <x v="9"/>
    <s v="GCI1001"/>
    <s v="Pcs"/>
    <n v="32"/>
    <s v="PRC"/>
    <x v="135"/>
    <n v="0"/>
    <n v="0"/>
    <m/>
    <m/>
    <m/>
    <m/>
    <m/>
    <s v="UD Putra Cipta Karya"/>
    <m/>
    <s v="Purchase"/>
    <e v="#N/A"/>
    <e v="#N/A"/>
    <s v="OUTBOUND_"/>
  </r>
  <r>
    <s v="610"/>
    <m/>
    <x v="0"/>
    <s v="INB-W0012401-183"/>
    <s v="EJ-Malang-01"/>
    <s v="Oka-0813-2707-1646"/>
    <d v="2024-01-18T00:00:00"/>
    <d v="1900-01-14T07:00:00"/>
    <s v="GCI Procurement"/>
    <x v="2"/>
    <x v="9"/>
    <s v="GCI1001"/>
    <s v="Pcs"/>
    <n v="131"/>
    <s v="PRC"/>
    <x v="135"/>
    <n v="0"/>
    <n v="0"/>
    <m/>
    <m/>
    <m/>
    <m/>
    <m/>
    <s v="UD Putra Cipta Karya"/>
    <m/>
    <s v="Purchase"/>
    <e v="#N/A"/>
    <e v="#N/A"/>
    <s v="OUTBOUND_"/>
  </r>
  <r>
    <s v="611"/>
    <m/>
    <x v="1"/>
    <s v="OUB-W0012401-186"/>
    <s v="EJ-Malang-01"/>
    <s v="Oka-0813-2707-1646"/>
    <d v="2024-01-19T00:00:00"/>
    <d v="1899-12-30T17:36:00"/>
    <s v="EJ-MALANG-01"/>
    <x v="2"/>
    <x v="9"/>
    <s v="GCI1001"/>
    <s v="Pcs"/>
    <n v="7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612"/>
    <m/>
    <x v="0"/>
    <s v="INB-W0012401-187"/>
    <s v="EJ-Malang-01"/>
    <s v="Oka-0813-2707-1646"/>
    <d v="2024-01-20T00:00:00"/>
    <d v="1900-01-14T07:00:00"/>
    <s v="GCI Procurement"/>
    <x v="2"/>
    <x v="9"/>
    <s v="GCI1001"/>
    <s v="Pcs"/>
    <n v="1"/>
    <s v="MF51-01"/>
    <x v="36"/>
    <n v="0"/>
    <n v="0"/>
    <m/>
    <m/>
    <m/>
    <m/>
    <m/>
    <m/>
    <s v="H-ADSS 96C-2024116-02"/>
    <s v="HUBFEEDER BATURETNO RW 02"/>
    <e v="#N/A"/>
    <e v="#N/A"/>
    <s v="OUTBOUND_H-ADSS 96C-2024116-02"/>
  </r>
  <r>
    <s v="613"/>
    <m/>
    <x v="1"/>
    <s v="OUB-W0012401-191"/>
    <s v="EJ-Malang-01"/>
    <s v="Oka-0813-2707-1646"/>
    <d v="2024-01-22T00:00:00"/>
    <d v="1899-12-30T09:13:00"/>
    <s v="EJ-MALANG-01"/>
    <x v="2"/>
    <x v="9"/>
    <s v="GCI1001"/>
    <s v="Pcs"/>
    <n v="4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614"/>
    <m/>
    <x v="1"/>
    <s v="OUB-W0012401-195"/>
    <s v="EJ-Malang-01"/>
    <s v="Oka-0813-2707-1646"/>
    <d v="2024-01-22T00:00:00"/>
    <d v="1899-12-30T19:27:00"/>
    <s v="EJ-MALANG-01"/>
    <x v="2"/>
    <x v="9"/>
    <s v="GCI1001"/>
    <s v="Pcs"/>
    <n v="27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615"/>
    <m/>
    <x v="1"/>
    <s v="OUB-W0012401-192"/>
    <s v="EJ-Malang-01"/>
    <s v="Oka-0813-2707-1646"/>
    <d v="2024-01-22T00:00:00"/>
    <d v="1899-12-30T09:18:00"/>
    <s v="EJ-MALANG-01"/>
    <x v="2"/>
    <x v="9"/>
    <s v="GCI1001"/>
    <s v="Pcs"/>
    <n v="51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616"/>
    <m/>
    <x v="1"/>
    <s v="OUB-W0012401-197"/>
    <s v="EJ-Malang-01"/>
    <s v="Oka-0813-2707-1646"/>
    <d v="2024-01-23T00:00:00"/>
    <d v="1899-12-30T14:19:00"/>
    <s v="EJ-MALANG-01"/>
    <x v="2"/>
    <x v="9"/>
    <s v="GCI1001"/>
    <s v="Pcs"/>
    <n v="32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617"/>
    <m/>
    <x v="0"/>
    <s v="INB-W0012401-204"/>
    <s v="EJ-Malang-01"/>
    <s v="Oka-0813-2707-1646"/>
    <d v="2024-01-25T00:00:00"/>
    <d v="1900-01-14T07:00:00"/>
    <s v="GCI Procurement"/>
    <x v="2"/>
    <x v="9"/>
    <s v="GCI1001"/>
    <s v="Pcs"/>
    <n v="2"/>
    <s v="CLR51-99-038"/>
    <x v="32"/>
    <n v="0"/>
    <n v="0"/>
    <m/>
    <m/>
    <m/>
    <m/>
    <m/>
    <m/>
    <m/>
    <s v="Baturetno RW 03 Singosari"/>
    <e v="#N/A"/>
    <e v="#N/A"/>
    <s v="OUTBOUND_"/>
  </r>
  <r>
    <s v="618"/>
    <m/>
    <x v="1"/>
    <s v="OUB-W0012401-206"/>
    <s v="EJ-Malang-01"/>
    <s v="Oka-0813-2707-1646"/>
    <d v="2024-01-26T00:00:00"/>
    <d v="1899-12-30T09:49:00"/>
    <s v="EJ-MALANG-01"/>
    <x v="2"/>
    <x v="9"/>
    <s v="GCI1001"/>
    <s v="Pcs"/>
    <n v="15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619"/>
    <m/>
    <x v="0"/>
    <s v="INB-W0012401-209"/>
    <s v="EJ-Malang-01"/>
    <s v="Oka-0813-2707-1646"/>
    <d v="2024-01-27T00:00:00"/>
    <d v="1900-01-14T07:00:00"/>
    <s v="FIELD TEAM"/>
    <x v="2"/>
    <x v="9"/>
    <s v="GCI1001"/>
    <s v="Pcs"/>
    <n v="12"/>
    <s v="CLR29-99-153"/>
    <x v="34"/>
    <s v="RETURN"/>
    <n v="0"/>
    <m/>
    <m/>
    <m/>
    <m/>
    <m/>
    <m/>
    <m/>
    <s v="Perumahan Pondok Mutiara Malang"/>
    <e v="#N/A"/>
    <e v="#N/A"/>
    <s v="OUTBOUND_"/>
  </r>
  <r>
    <s v="620"/>
    <m/>
    <x v="1"/>
    <s v="OUB-W0012402-213"/>
    <s v="EJ-Malang-01"/>
    <s v="Oka-0813-2707-1646"/>
    <d v="2024-02-02T00:00:00"/>
    <d v="1899-12-30T15:10:00"/>
    <s v="EJ-MALANG-01"/>
    <x v="2"/>
    <x v="9"/>
    <s v="GCI1001"/>
    <s v="Pcs"/>
    <n v="1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621"/>
    <m/>
    <x v="0"/>
    <s v="INB-W0012402-214"/>
    <s v="EJ-Malang-01"/>
    <s v="Oka-0813-2707-1646"/>
    <d v="2024-02-06T00:00:00"/>
    <d v="1900-01-14T07:00:00"/>
    <s v="FIELD TEAM"/>
    <x v="2"/>
    <x v="9"/>
    <s v="GCI1001"/>
    <s v="Pcs"/>
    <n v="1"/>
    <s v="CLR51-99-026"/>
    <x v="24"/>
    <s v="RETURN"/>
    <n v="0"/>
    <m/>
    <m/>
    <m/>
    <m/>
    <m/>
    <m/>
    <m/>
    <s v="Jedong RW 07 Wagir"/>
    <e v="#N/A"/>
    <e v="#N/A"/>
    <s v="OUTBOUND_"/>
  </r>
  <r>
    <s v="622"/>
    <m/>
    <x v="1"/>
    <s v="OUB-W0012402-219"/>
    <s v="EJ-Malang-01"/>
    <s v="Oka-0813-2707-1646"/>
    <d v="2024-02-09T00:00:00"/>
    <d v="1899-12-30T10:13:00"/>
    <s v="EJ-MALANG-01"/>
    <x v="2"/>
    <x v="9"/>
    <s v="GCI1001"/>
    <s v="Pcs"/>
    <n v="5"/>
    <s v="CLR51-99-082"/>
    <x v="152"/>
    <m/>
    <m/>
    <m/>
    <s v="Riki Romansyah"/>
    <s v="Febby Supplier"/>
    <s v="3507050501950006"/>
    <s v="N 8420 EL"/>
    <m/>
    <m/>
    <s v="Dengkol RW 02 Singosari Malang"/>
    <e v="#N/A"/>
    <e v="#N/A"/>
    <s v="OUTBOUND_"/>
  </r>
  <r>
    <s v="623"/>
    <m/>
    <x v="1"/>
    <s v="OUB-W0012402-225"/>
    <s v="EJ-Malang-01"/>
    <s v="Oka-0813-2707-1646"/>
    <d v="2024-02-15T00:00:00"/>
    <d v="1899-12-30T11:04:00"/>
    <s v="EJ-MALANG-01"/>
    <x v="2"/>
    <x v="9"/>
    <s v="GCI1001"/>
    <s v="Pcs"/>
    <n v="6"/>
    <s v="CLR51-99-067"/>
    <x v="0"/>
    <m/>
    <m/>
    <m/>
    <s v="Riki Romansyah"/>
    <s v="Febby Supplier"/>
    <s v="3507050501950006"/>
    <s v="N 8420 EL"/>
    <m/>
    <m/>
    <s v="Bandulan RW 08 Sukun"/>
    <e v="#N/A"/>
    <e v="#N/A"/>
    <s v="OUTBOUND_"/>
  </r>
  <r>
    <s v="624"/>
    <m/>
    <x v="1"/>
    <s v="OUB-W0012402-229"/>
    <s v="EJ-Malang-01"/>
    <s v="Oka-0813-2707-1646"/>
    <d v="2024-02-19T00:00:00"/>
    <d v="1899-12-30T10:54:00"/>
    <s v="EJ-MALANG-01"/>
    <x v="2"/>
    <x v="9"/>
    <s v="GCI1001"/>
    <s v="Pcs"/>
    <n v="7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625"/>
    <m/>
    <x v="1"/>
    <s v="OUB-W0012402-239"/>
    <s v="EJ-Malang-01"/>
    <s v="Oka-0813-2707-1646"/>
    <d v="2024-02-21T00:00:00"/>
    <d v="1899-12-30T18:56:00"/>
    <s v="EJ-MALANG-01"/>
    <x v="2"/>
    <x v="9"/>
    <s v="GCI1001"/>
    <s v="Pcs"/>
    <n v="7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626"/>
    <m/>
    <x v="0"/>
    <s v="INB-W0012402-242"/>
    <s v="EJ-Malang-01"/>
    <s v="Oka-0813-2707-1646"/>
    <d v="2024-02-22T00:00:00"/>
    <d v="1900-01-14T07:00:00"/>
    <s v="GCI Procurement"/>
    <x v="2"/>
    <x v="9"/>
    <s v="GCI1001"/>
    <s v="Pcs"/>
    <n v="10"/>
    <s v="CLR51-99-078"/>
    <x v="1"/>
    <n v="0"/>
    <n v="0"/>
    <m/>
    <m/>
    <m/>
    <m/>
    <m/>
    <s v="JNT Cargo"/>
    <m/>
    <s v="Bumiayu RW 03 Kedungkandang"/>
    <e v="#N/A"/>
    <e v="#N/A"/>
    <s v="OUTBOUND_"/>
  </r>
  <r>
    <s v="627"/>
    <m/>
    <x v="1"/>
    <s v="OUB-W0012402-241"/>
    <s v="EJ-Malang-01"/>
    <s v="Oka-0813-2707-1646"/>
    <d v="2024-02-22T00:00:00"/>
    <d v="1899-12-30T15:15:00"/>
    <s v="EJ-MALANG-01"/>
    <x v="2"/>
    <x v="9"/>
    <s v="GCI1001"/>
    <s v="Pcs"/>
    <n v="13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628"/>
    <m/>
    <x v="1"/>
    <s v="OUB-W0012402-248"/>
    <s v="EJ-Malang-01"/>
    <s v="Oka-0813-2707-1646"/>
    <d v="2024-02-24T00:00:00"/>
    <d v="1899-12-30T15:15:00"/>
    <s v="EJ-MALANG-01"/>
    <x v="2"/>
    <x v="9"/>
    <s v="GCI1001"/>
    <s v="Pcs"/>
    <n v="3"/>
    <s v="CLR51-99-067"/>
    <x v="0"/>
    <m/>
    <m/>
    <m/>
    <s v="Riki Romansyah"/>
    <s v="Febby Supplier"/>
    <s v="3507050501950006"/>
    <s v="N 8420 EL"/>
    <m/>
    <m/>
    <s v="Bandulan RW 08 Sukun"/>
    <e v="#N/A"/>
    <e v="#N/A"/>
    <s v="OUTBOUND_"/>
  </r>
  <r>
    <s v="629"/>
    <m/>
    <x v="1"/>
    <s v="OUB-W0012402-249"/>
    <s v="EJ-Malang-01"/>
    <s v="Oka-0813-2707-1646"/>
    <d v="2024-02-26T00:00:00"/>
    <d v="1899-12-30T08:37:00"/>
    <s v="EJ-MALANG-01"/>
    <x v="2"/>
    <x v="9"/>
    <s v="GCI1001"/>
    <s v="Pcs"/>
    <n v="22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630"/>
    <m/>
    <x v="0"/>
    <s v="INB-W0012402-252"/>
    <s v="EJ-Malang-01"/>
    <s v="Oka-0813-2707-1646"/>
    <d v="2024-02-27T00:00:00"/>
    <d v="1900-01-14T07:00:00"/>
    <s v="GCI Procurement"/>
    <x v="2"/>
    <x v="9"/>
    <s v="GCI1001"/>
    <s v="Pcs"/>
    <n v="83"/>
    <n v="0"/>
    <x v="136"/>
    <n v="0"/>
    <n v="0"/>
    <m/>
    <m/>
    <m/>
    <m/>
    <m/>
    <m/>
    <m/>
    <s v="UD RIZQI JAYA PRATAMA "/>
    <e v="#N/A"/>
    <e v="#N/A"/>
    <s v="OUTBOUND_"/>
  </r>
  <r>
    <s v="631"/>
    <m/>
    <x v="1"/>
    <s v="OUB-W0012403-261"/>
    <s v="EJ-Malang-01"/>
    <s v="Oka-0813-2707-1646"/>
    <d v="2024-03-01T00:00:00"/>
    <d v="1899-12-30T09:23:00"/>
    <s v="EJ-MALANG-01"/>
    <x v="2"/>
    <x v="9"/>
    <s v="GCI1001"/>
    <s v="Pcs"/>
    <n v="23"/>
    <s v="CLR51-99-078"/>
    <x v="1"/>
    <m/>
    <m/>
    <m/>
    <s v="Riki Romansyah"/>
    <s v="Febby Supplier"/>
    <s v="3507050501950006"/>
    <s v="N 9454 BA"/>
    <m/>
    <m/>
    <s v="Bumiayu RW 03 Kedungkandang"/>
    <e v="#N/A"/>
    <e v="#N/A"/>
    <s v="OUTBOUND_"/>
  </r>
  <r>
    <s v="632"/>
    <m/>
    <x v="0"/>
    <s v="INB-W0012403-289"/>
    <s v="EJ-Malang-01"/>
    <s v="Oka-0813-2707-1646"/>
    <d v="2024-03-25T00:00:00"/>
    <d v="1900-01-14T07:00:00"/>
    <s v="GCI Procurement"/>
    <x v="2"/>
    <x v="9"/>
    <s v="GCI1001"/>
    <s v="Pcs"/>
    <n v="53"/>
    <n v="0"/>
    <x v="153"/>
    <n v="0"/>
    <n v="0"/>
    <m/>
    <m/>
    <m/>
    <m/>
    <m/>
    <m/>
    <m/>
    <s v="TEGAL"/>
    <e v="#N/A"/>
    <e v="#N/A"/>
    <s v="OUTBOUND_"/>
  </r>
  <r>
    <s v="633"/>
    <m/>
    <x v="1"/>
    <s v="OUB-W0012403-290"/>
    <s v="EJ-Malang-01"/>
    <s v="Oka-0813-2707-1646"/>
    <d v="2024-03-26T00:00:00"/>
    <d v="1899-12-30T22:31:00"/>
    <s v="EJ-MALANG-01"/>
    <x v="2"/>
    <x v="9"/>
    <s v="GCI1001"/>
    <s v="Pcs"/>
    <n v="45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634"/>
    <m/>
    <x v="1"/>
    <s v="OUB-W0012403-292"/>
    <s v="EJ-Malang-01"/>
    <s v="Oka-0813-2707-1646"/>
    <d v="2024-03-28T00:00:00"/>
    <d v="1899-12-30T09:57:00"/>
    <s v="EJ-MALANG-01"/>
    <x v="2"/>
    <x v="9"/>
    <s v="GCI1001"/>
    <s v="Pcs"/>
    <n v="17"/>
    <s v="CLR51-99-039"/>
    <x v="7"/>
    <m/>
    <m/>
    <m/>
    <s v="Dimas"/>
    <s v="Febby Supplier"/>
    <s v="3573032509800005"/>
    <s v="N 9454 BA"/>
    <m/>
    <m/>
    <s v="Tunjungtirto RW 01 Singosari"/>
    <e v="#N/A"/>
    <e v="#N/A"/>
    <s v="OUTBOUND_"/>
  </r>
  <r>
    <s v="635"/>
    <m/>
    <x v="1"/>
    <s v="OUB-W0012404-300"/>
    <s v="EJ-Malang-01"/>
    <s v="Oka-0813-2707-1646"/>
    <d v="2024-04-04T00:00:00"/>
    <d v="1899-12-30T15:39:00"/>
    <s v="EJ-MALANG-01"/>
    <x v="2"/>
    <x v="9"/>
    <s v="GCI1001"/>
    <s v="Pcs"/>
    <n v="14"/>
    <s v="CLR51-99-040"/>
    <x v="41"/>
    <m/>
    <m/>
    <m/>
    <s v="Dimas"/>
    <s v="Febby Supplier"/>
    <s v="3573032509800005"/>
    <s v="N 9454 BA"/>
    <m/>
    <m/>
    <s v="Tunjungtirto RW 08 Singosari"/>
    <e v="#N/A"/>
    <e v="#N/A"/>
    <s v="OUTBOUND_"/>
  </r>
  <r>
    <s v="636"/>
    <m/>
    <x v="1"/>
    <s v="OUB-W0012404-304"/>
    <s v="EJ-Malang-01"/>
    <s v="Oka-0813-2707-1646"/>
    <d v="2024-04-18T00:00:00"/>
    <d v="1899-12-30T09:29:00"/>
    <s v="EJ-MALANG-01"/>
    <x v="2"/>
    <x v="9"/>
    <s v="GCI1001"/>
    <s v="Pcs"/>
    <n v="5"/>
    <s v="CLR51-99-094"/>
    <x v="154"/>
    <m/>
    <m/>
    <m/>
    <s v="Riki Romansyah"/>
    <s v="Febby Supplier"/>
    <s v="3507050501950006"/>
    <s v="N 8420 EL"/>
    <m/>
    <m/>
    <s v="Tunjungtirto RW 06 Singosari"/>
    <e v="#N/A"/>
    <e v="#N/A"/>
    <s v="OUTBOUND_"/>
  </r>
  <r>
    <s v="637"/>
    <m/>
    <x v="1"/>
    <s v="OUB-W0012404-315"/>
    <s v="EJ-Malang-01"/>
    <s v="Oka-0813-2707-1646"/>
    <d v="2024-04-23T00:00:00"/>
    <d v="1899-12-30T09:01:00"/>
    <s v="EJ-MALANG-01"/>
    <x v="2"/>
    <x v="9"/>
    <s v="GCI1001"/>
    <s v="Pcs"/>
    <n v="2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638"/>
    <m/>
    <x v="1"/>
    <s v="OUB-W0012404-316"/>
    <s v="EJ-Malang-01"/>
    <s v="Oka-0813-2707-1646"/>
    <d v="2024-04-23T00:00:00"/>
    <d v="1899-12-30T17:12:00"/>
    <s v="EJ-MALANG-01"/>
    <x v="2"/>
    <x v="9"/>
    <s v="GCI1001"/>
    <s v="Pcs"/>
    <n v="43"/>
    <s v="CLR51-99-010"/>
    <x v="10"/>
    <m/>
    <m/>
    <m/>
    <s v="Riki Romansyah"/>
    <s v="Febby Supplier"/>
    <s v="3573032509800005"/>
    <s v="N8283EK"/>
    <m/>
    <m/>
    <s v="Pandan Landung RW 05 Wagir"/>
    <e v="#N/A"/>
    <e v="#N/A"/>
    <s v="OUTBOUND_"/>
  </r>
  <r>
    <s v="639"/>
    <m/>
    <x v="3"/>
    <s v="TFI-W0012404-317"/>
    <s v="EJ-Malang-01"/>
    <s v="Oka-0813-2707-1646"/>
    <d v="2024-04-23T00:00:00"/>
    <d v="1900-01-14T07:00:00"/>
    <s v="EJ-NGAWI-01"/>
    <x v="2"/>
    <x v="9"/>
    <s v="GCI1001"/>
    <s v="Pcs"/>
    <n v="75"/>
    <s v="TRF"/>
    <x v="155"/>
    <n v="0"/>
    <n v="0"/>
    <m/>
    <m/>
    <m/>
    <m/>
    <m/>
    <m/>
    <m/>
    <s v="NGAWI"/>
    <e v="#N/A"/>
    <e v="#N/A"/>
    <s v="OUTBOUND_"/>
  </r>
  <r>
    <s v="640"/>
    <m/>
    <x v="1"/>
    <s v="OUB-W0012404-325"/>
    <s v="EJ-Malang-01"/>
    <s v="Oka-0813-2707-1646"/>
    <d v="2024-04-30T00:00:00"/>
    <d v="1899-12-30T10:15:00"/>
    <s v="EJ-MALANG-01"/>
    <x v="2"/>
    <x v="9"/>
    <s v="GCI1001"/>
    <s v="Pcs"/>
    <n v="10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641"/>
    <m/>
    <x v="0"/>
    <s v="INB-W0012405-337"/>
    <s v="EJ-Malang-01"/>
    <s v="Oka-0813-2707-1646"/>
    <d v="2024-05-17T00:00:00"/>
    <d v="1900-01-14T07:00:00"/>
    <s v="GCI Procurement"/>
    <x v="2"/>
    <x v="9"/>
    <s v="GCI1001"/>
    <s v="Pcs"/>
    <n v="16"/>
    <n v="0"/>
    <x v="5"/>
    <n v="0"/>
    <n v="0"/>
    <m/>
    <m/>
    <m/>
    <m/>
    <m/>
    <m/>
    <m/>
    <n v="0"/>
    <e v="#N/A"/>
    <e v="#N/A"/>
    <s v="OUTBOUND_"/>
  </r>
  <r>
    <s v="642"/>
    <m/>
    <x v="1"/>
    <s v="OUB-W0012405-335"/>
    <s v="EJ-Malang-01"/>
    <s v="Oka-0813-2707-1646"/>
    <d v="2024-05-17T00:00:00"/>
    <d v="1899-12-30T10:43:00"/>
    <s v="EJ-MALANG-01"/>
    <x v="2"/>
    <x v="9"/>
    <s v="GCI1001"/>
    <s v="Pcs"/>
    <n v="17"/>
    <s v="MF51-02"/>
    <x v="46"/>
    <m/>
    <m/>
    <m/>
    <s v="Riki Romansyah"/>
    <s v="Febby Supplier"/>
    <s v="3507050501950006"/>
    <s v="N 8420 EL"/>
    <m/>
    <m/>
    <s v="HUBFEEDER DALISODO"/>
    <e v="#N/A"/>
    <e v="#N/A"/>
    <s v="OUTBOUND_"/>
  </r>
  <r>
    <s v="643"/>
    <m/>
    <x v="1"/>
    <s v="OUB-W0012405-343"/>
    <s v="EJ-Malang-01"/>
    <s v="Oka-0813-2707-1646"/>
    <d v="2024-05-21T00:00:00"/>
    <d v="1899-12-30T09:03:00"/>
    <s v="EJ-MALANG-01"/>
    <x v="2"/>
    <x v="9"/>
    <s v="GCI1001"/>
    <s v="Pcs"/>
    <n v="6"/>
    <s v="CLR51-99-087"/>
    <x v="11"/>
    <m/>
    <m/>
    <m/>
    <s v="Riki Romansyah"/>
    <s v="Febby Supplier"/>
    <s v="3507050501950006"/>
    <s v="N 8420 EL"/>
    <m/>
    <m/>
    <s v="Lawang RW 06 Malang"/>
    <e v="#N/A"/>
    <e v="#N/A"/>
    <s v="OUTBOUND_"/>
  </r>
  <r>
    <s v="644"/>
    <m/>
    <x v="1"/>
    <s v="OUB-W0012405-346"/>
    <s v="EJ-Malang-01"/>
    <s v="Oka-0813-2707-1646"/>
    <d v="2024-05-22T00:00:00"/>
    <d v="1899-12-30T09:24:00"/>
    <s v="EJ-MALANG-01"/>
    <x v="2"/>
    <x v="9"/>
    <s v="GCI1001"/>
    <s v="Pcs"/>
    <n v="18"/>
    <s v="CLR51-99-095"/>
    <x v="16"/>
    <m/>
    <m/>
    <m/>
    <s v="Riki Romansyah"/>
    <s v="Febby Supplier"/>
    <s v="3507050501950006"/>
    <s v="N 8420 EL"/>
    <m/>
    <m/>
    <s v="Candirenggo RW 10 Singosari"/>
    <e v="#N/A"/>
    <e v="#N/A"/>
    <s v="OUTBOUND_"/>
  </r>
  <r>
    <s v="645"/>
    <m/>
    <x v="1"/>
    <s v="OUB-W0012405-358"/>
    <s v="EJ-Malang-01"/>
    <s v="Oka-0813-2707-1646"/>
    <d v="2024-05-29T00:00:00"/>
    <d v="1899-12-30T12:09:00"/>
    <s v="EJ-MALANG-01"/>
    <x v="2"/>
    <x v="9"/>
    <s v="GCI1001"/>
    <s v="Pcs"/>
    <n v="25"/>
    <s v="CLR51-99-097"/>
    <x v="13"/>
    <m/>
    <m/>
    <m/>
    <s v="Fatur"/>
    <n v="0"/>
    <s v="3515082712870005"/>
    <s v="W 1130 NQ"/>
    <m/>
    <m/>
    <s v="Dusun Krajan Kucur"/>
    <e v="#N/A"/>
    <e v="#N/A"/>
    <s v="OUTBOUND_"/>
  </r>
  <r>
    <s v="646"/>
    <m/>
    <x v="1"/>
    <s v="OUB-W0012405-359"/>
    <s v="EJ-Malang-01"/>
    <s v="Oka-0813-2707-1646"/>
    <d v="2024-05-30T00:00:00"/>
    <d v="1899-12-30T11:30:00"/>
    <s v="EJ-MALANG-01"/>
    <x v="2"/>
    <x v="9"/>
    <s v="GCI1001"/>
    <s v="Pcs"/>
    <n v="10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647"/>
    <m/>
    <x v="0"/>
    <s v="INB-W0012406-362"/>
    <s v="EJ-Malang-01"/>
    <s v="Oka-0813-2707-1646"/>
    <d v="2024-06-04T00:00:00"/>
    <d v="1900-01-14T07:00:00"/>
    <s v="GCI Procurement"/>
    <x v="2"/>
    <x v="9"/>
    <s v="GCI1001"/>
    <s v="Pcs"/>
    <n v="58"/>
    <n v="0"/>
    <x v="5"/>
    <n v="0"/>
    <n v="0"/>
    <m/>
    <m/>
    <m/>
    <m/>
    <m/>
    <m/>
    <m/>
    <n v="0"/>
    <e v="#N/A"/>
    <e v="#N/A"/>
    <s v="OUTBOUND_"/>
  </r>
  <r>
    <s v="648"/>
    <m/>
    <x v="1"/>
    <s v="OUB-W0012406-371"/>
    <s v="EJ-Malang-01"/>
    <s v="Oka-0813-2707-1646"/>
    <d v="2024-06-07T00:00:00"/>
    <d v="1899-12-30T17:21:00"/>
    <s v="EJ-MALANG-01"/>
    <x v="2"/>
    <x v="9"/>
    <s v="GCI1001"/>
    <s v="Pcs"/>
    <n v="42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649"/>
    <m/>
    <x v="1"/>
    <s v="OUB-W0012406-375"/>
    <s v="EJ-Malang-01"/>
    <s v="Oka-0813-2707-1646"/>
    <d v="2024-06-11T00:00:00"/>
    <d v="1899-12-30T18:40:00"/>
    <s v="EJ-MALANG-01"/>
    <x v="2"/>
    <x v="9"/>
    <s v="GCI1001"/>
    <s v="Pcs"/>
    <n v="1"/>
    <s v="CLR51-02-015"/>
    <x v="15"/>
    <m/>
    <m/>
    <m/>
    <s v="Riki Romansyah"/>
    <s v="Febby Supplier"/>
    <s v="3507050501950006"/>
    <s v="N 8420 EL"/>
    <m/>
    <m/>
    <s v="Dusun Sumber Bendo Kucur"/>
    <e v="#N/A"/>
    <e v="#N/A"/>
    <s v="OUTBOUND_"/>
  </r>
  <r>
    <s v="650"/>
    <m/>
    <x v="0"/>
    <s v="INB-W0012406-382"/>
    <s v="EJ-Malang-01"/>
    <s v="Oka-0813-2707-1646"/>
    <d v="2024-06-19T00:00:00"/>
    <d v="1900-01-14T07:00:00"/>
    <s v="GCI Procurement"/>
    <x v="2"/>
    <x v="9"/>
    <s v="GCI1001"/>
    <s v="Pcs"/>
    <n v="13"/>
    <s v="RTN"/>
    <x v="156"/>
    <n v="0"/>
    <n v="0"/>
    <m/>
    <m/>
    <m/>
    <m/>
    <m/>
    <m/>
    <m/>
    <s v="Pengembalian"/>
    <e v="#N/A"/>
    <e v="#N/A"/>
    <s v="OUTBOUND_"/>
  </r>
  <r>
    <s v="651"/>
    <m/>
    <x v="1"/>
    <s v="OUB-W0012406-383"/>
    <s v="EJ-Malang-01"/>
    <s v="Oka-0813-2707-1646"/>
    <d v="2024-06-20T00:00:00"/>
    <d v="1899-12-30T10:40:00"/>
    <s v="EJ-MALANG-01"/>
    <x v="2"/>
    <x v="9"/>
    <s v="GCI1001"/>
    <s v="Pcs"/>
    <n v="11"/>
    <s v="CLR51-02-020"/>
    <x v="53"/>
    <m/>
    <m/>
    <m/>
    <s v="Riki Romansyah"/>
    <s v="Febby Supplier"/>
    <s v="3507050501950006"/>
    <s v="N 8420 EL"/>
    <m/>
    <m/>
    <s v="Lowokwaru RW 04"/>
    <e v="#N/A"/>
    <e v="#N/A"/>
    <s v="OUTBOUND_"/>
  </r>
  <r>
    <s v="652"/>
    <m/>
    <x v="1"/>
    <s v="OUB-W0012406-385"/>
    <s v="EJ-Malang-01"/>
    <s v="Oka-0813-2707-1646"/>
    <d v="2024-06-21T00:00:00"/>
    <d v="1899-12-30T12:17:00"/>
    <s v="EJ-MALANG-01"/>
    <x v="2"/>
    <x v="9"/>
    <s v="GCI1001"/>
    <s v="Pcs"/>
    <n v="10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653"/>
    <m/>
    <x v="1"/>
    <s v="OUB-W0012406-386"/>
    <s v="EJ-Malang-01"/>
    <s v="Oka-0813-2707-1646"/>
    <d v="2024-06-22T00:00:00"/>
    <d v="1899-12-30T15:01:00"/>
    <s v="EJ-MALANG-01"/>
    <x v="2"/>
    <x v="9"/>
    <s v="GCI1001"/>
    <s v="Pcs"/>
    <n v="7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654"/>
    <m/>
    <x v="0"/>
    <s v="INB-W0012407-399"/>
    <s v="EJ-Malang-01"/>
    <s v="Oka-0813-2707-1646"/>
    <d v="2024-07-05T00:00:00"/>
    <d v="1900-01-14T07:00:00"/>
    <s v="GCI Procurement"/>
    <x v="2"/>
    <x v="9"/>
    <s v="GCI1001"/>
    <s v="Pcs"/>
    <n v="133"/>
    <n v="0"/>
    <x v="5"/>
    <n v="0"/>
    <n v="0"/>
    <m/>
    <m/>
    <m/>
    <m/>
    <m/>
    <m/>
    <m/>
    <n v="0"/>
    <e v="#N/A"/>
    <e v="#N/A"/>
    <s v="OUTBOUND_"/>
  </r>
  <r>
    <s v="655"/>
    <m/>
    <x v="1"/>
    <s v="OUB-W0012407-398"/>
    <s v="EJ-Malang-01"/>
    <s v="Oka-0813-2707-1646"/>
    <d v="2024-07-05T00:00:00"/>
    <d v="1899-12-30T13:09:00"/>
    <s v="EJ-MALANG-01"/>
    <x v="2"/>
    <x v="9"/>
    <s v="GCI1001"/>
    <s v="Pcs"/>
    <n v="89"/>
    <s v="CLR51-99-061"/>
    <x v="54"/>
    <m/>
    <m/>
    <m/>
    <s v="Riki Romansyah"/>
    <s v="Febby Supplier"/>
    <s v="3507050501950006"/>
    <s v="N 8420 EL"/>
    <m/>
    <m/>
    <s v="Perumahan Perumnas Talangagung I Malang"/>
    <e v="#N/A"/>
    <e v="#N/A"/>
    <s v="OUTBOUND_"/>
  </r>
  <r>
    <s v="656"/>
    <m/>
    <x v="1"/>
    <s v="OUB-W0012407-404"/>
    <s v="EJ-Malang-01"/>
    <s v="Oka-0813-2707-1646"/>
    <d v="2024-07-12T00:00:00"/>
    <d v="1899-12-30T09:36:00"/>
    <s v="EJ-MALANG-01"/>
    <x v="2"/>
    <x v="9"/>
    <s v="GCI1001"/>
    <s v="Pcs"/>
    <n v="6"/>
    <s v="CLR51-02-016"/>
    <x v="141"/>
    <m/>
    <m/>
    <m/>
    <s v="Riki Romansyah"/>
    <s v="Febby Supplier"/>
    <s v="3507050501950006"/>
    <s v="N 8420 EL"/>
    <m/>
    <m/>
    <s v="Ngenep RW 06 Karang Ploso"/>
    <e v="#N/A"/>
    <e v="#N/A"/>
    <s v="OUTBOUND_"/>
  </r>
  <r>
    <s v="657"/>
    <m/>
    <x v="1"/>
    <s v="OUB-W0012407-407"/>
    <s v="EJ-Malang-01"/>
    <s v="Oka-0813-2707-1646"/>
    <d v="2024-07-19T00:00:00"/>
    <d v="1899-12-30T09:40:00"/>
    <s v="EJ-MALANG-01"/>
    <x v="2"/>
    <x v="9"/>
    <s v="GCI1001"/>
    <s v="Pcs"/>
    <n v="3"/>
    <s v="CLR51-02-016"/>
    <x v="141"/>
    <m/>
    <m/>
    <m/>
    <s v="Riki Romansyah"/>
    <s v="Febby Supplier"/>
    <s v="3507050501950006"/>
    <s v="N 8420 EL"/>
    <m/>
    <m/>
    <s v="Ngenep RW 06 Karang Ploso"/>
    <e v="#N/A"/>
    <e v="#N/A"/>
    <s v="OUTBOUND_"/>
  </r>
  <r>
    <s v="658"/>
    <m/>
    <x v="1"/>
    <s v="OUB-W0012407-413"/>
    <s v="EJ-Malang-01"/>
    <s v="Oka-0813-2707-1646"/>
    <d v="2024-07-24T00:00:00"/>
    <d v="1899-12-30T15:20:00"/>
    <s v="EJ-MALANG-01"/>
    <x v="2"/>
    <x v="9"/>
    <s v="GCI1001"/>
    <s v="Pcs"/>
    <n v="13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659"/>
    <m/>
    <x v="1"/>
    <s v="OUB-W0012407-415"/>
    <s v="EJ-Malang-01"/>
    <s v="Oka-0813-2707-1646"/>
    <d v="2024-07-26T00:00:00"/>
    <d v="1899-12-30T13:30:00"/>
    <s v="EJ-MALANG-01"/>
    <x v="2"/>
    <x v="9"/>
    <s v="GCI1001"/>
    <s v="Pcs"/>
    <n v="12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660"/>
    <m/>
    <x v="1"/>
    <s v="OUB-W0012407-418"/>
    <s v="EJ-Malang-01"/>
    <s v="Oka-0813-2707-1646"/>
    <d v="2024-07-29T00:00:00"/>
    <d v="1899-12-30T14:10:00"/>
    <s v="EJ-MALANG-01"/>
    <x v="2"/>
    <x v="9"/>
    <s v="GCI1001"/>
    <s v="Pcs"/>
    <n v="5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661"/>
    <m/>
    <x v="1"/>
    <s v="OUB-W0012408-424"/>
    <s v="EJ-Malang-01"/>
    <s v="Oka-0813-2707-1646"/>
    <d v="2024-08-01T00:00:00"/>
    <d v="1899-12-30T16:17:00"/>
    <s v="EJ-MALANG-01"/>
    <x v="2"/>
    <x v="9"/>
    <s v="GCI1001"/>
    <s v="Pcs"/>
    <n v="5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662"/>
    <m/>
    <x v="0"/>
    <s v="INB-W0012408-426"/>
    <s v="EJ-Malang-01"/>
    <s v="Oka-0813-2707-1646"/>
    <d v="2024-08-02T00:00:00"/>
    <d v="1900-01-14T07:00:00"/>
    <s v="GCI Procurement"/>
    <x v="2"/>
    <x v="9"/>
    <s v="GCI1001"/>
    <s v="Pcs"/>
    <n v="158"/>
    <n v="0"/>
    <x v="5"/>
    <n v="0"/>
    <n v="0"/>
    <m/>
    <m/>
    <m/>
    <m/>
    <m/>
    <m/>
    <m/>
    <n v="0"/>
    <e v="#N/A"/>
    <e v="#N/A"/>
    <s v="OUTBOUND_"/>
  </r>
  <r>
    <s v="663"/>
    <m/>
    <x v="1"/>
    <s v="OUB-W0012408-427"/>
    <s v="EJ-Malang-01"/>
    <s v="Oka-0813-2707-1646"/>
    <d v="2024-08-03T00:00:00"/>
    <d v="1899-12-30T09:36:00"/>
    <s v="EJ-MALANG-01"/>
    <x v="2"/>
    <x v="9"/>
    <s v="GCI1001"/>
    <s v="Pcs"/>
    <n v="10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664"/>
    <m/>
    <x v="1"/>
    <s v="OUB-W0012408-433"/>
    <s v="EJ-Malang-01"/>
    <s v="Oka-0813-2707-1646"/>
    <d v="2024-08-07T00:00:00"/>
    <d v="1899-12-30T10:46:00"/>
    <s v="EJ-MALANG-01"/>
    <x v="2"/>
    <x v="9"/>
    <s v="GCI1001"/>
    <s v="Pcs"/>
    <n v="8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665"/>
    <m/>
    <x v="1"/>
    <s v="OUB-W0012408-435"/>
    <s v="EJ-Malang-01"/>
    <s v="Oka-0813-2707-1646"/>
    <d v="2024-08-07T00:00:00"/>
    <d v="1899-12-30T19:39:00"/>
    <s v="EJ-MALANG-01"/>
    <x v="2"/>
    <x v="9"/>
    <s v="GCI1001"/>
    <s v="Pcs"/>
    <n v="12"/>
    <s v="MF51-03"/>
    <x v="57"/>
    <m/>
    <m/>
    <m/>
    <s v="Riki Romansyah"/>
    <s v="Febby Supplier"/>
    <s v="3507050501950006"/>
    <s v="N 8420 EL"/>
    <m/>
    <m/>
    <s v="HUBFEEDER KEPANJEN TO JATIKERTO"/>
    <e v="#N/A"/>
    <e v="#N/A"/>
    <s v="OUTBOUND_"/>
  </r>
  <r>
    <s v="666"/>
    <m/>
    <x v="1"/>
    <s v="OUB-W0012408-442"/>
    <s v="EJ-Malang-01"/>
    <s v="Oka-0813-2707-1646"/>
    <d v="2024-08-14T00:00:00"/>
    <d v="1899-12-30T10:00:00"/>
    <s v="EJ-MALANG-01"/>
    <x v="2"/>
    <x v="9"/>
    <s v="GCI1001"/>
    <s v="Pcs"/>
    <n v="5"/>
    <s v="MF51-04"/>
    <x v="60"/>
    <m/>
    <m/>
    <m/>
    <s v="Riki Romansyah"/>
    <s v="Febby Supplier"/>
    <s v="3507050501950006"/>
    <s v="N 8420 EL"/>
    <m/>
    <m/>
    <s v="HUBFEEDER TIRTASANI TO GIRIMOYO"/>
    <e v="#N/A"/>
    <e v="#N/A"/>
    <s v="OUTBOUND_"/>
  </r>
  <r>
    <s v="667"/>
    <m/>
    <x v="1"/>
    <s v="OUB-W0012408-448"/>
    <s v="EJ-Malang-01"/>
    <s v="Oka-0813-2707-1646"/>
    <d v="2024-08-20T00:00:00"/>
    <d v="1899-12-30T16:54:00"/>
    <s v="EJ-MALANG-01"/>
    <x v="2"/>
    <x v="9"/>
    <s v="GCI1001"/>
    <s v="Pcs"/>
    <n v="14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668"/>
    <m/>
    <x v="1"/>
    <s v="OUB-W0012408-455"/>
    <s v="EJ-Malang-01"/>
    <s v="Oka-0813-2707-1646"/>
    <d v="2024-08-23T00:00:00"/>
    <d v="1899-12-30T11:13:00"/>
    <s v="EJ-MALANG-01"/>
    <x v="2"/>
    <x v="9"/>
    <s v="GCI1001"/>
    <s v="Pcs"/>
    <n v="14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669"/>
    <m/>
    <x v="1"/>
    <s v="OUB-W0012408-462"/>
    <s v="EJ-Malang-01"/>
    <s v="Oka-0813-2707-1646"/>
    <d v="2024-08-27T00:00:00"/>
    <d v="1899-12-30T21:22:00"/>
    <s v="EJ-MALANG-01"/>
    <x v="2"/>
    <x v="9"/>
    <s v="GCI1001"/>
    <s v="Pcs"/>
    <n v="4"/>
    <s v="MF51-05"/>
    <x v="66"/>
    <m/>
    <m/>
    <m/>
    <s v="Nur Hidayat"/>
    <n v="0"/>
    <s v="3515141305930006"/>
    <s v="S 9102 AE"/>
    <m/>
    <m/>
    <s v="HUBFEEDER DINOYO SUMBERSEKAR"/>
    <e v="#N/A"/>
    <e v="#N/A"/>
    <s v="OUTBOUND_"/>
  </r>
  <r>
    <s v="670"/>
    <m/>
    <x v="1"/>
    <s v="OUB-W0012408-471"/>
    <s v="EJ-Malang-01"/>
    <s v="Oka-0813-2707-1646"/>
    <d v="2024-08-30T00:00:00"/>
    <d v="1899-12-30T14:46:00"/>
    <s v="EJ-MALANG-01"/>
    <x v="2"/>
    <x v="9"/>
    <s v="GCI1001"/>
    <s v="Pcs"/>
    <n v="40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671"/>
    <m/>
    <x v="1"/>
    <s v="OUB-W0012408-475"/>
    <s v="EJ-Malang-01"/>
    <s v="Oka-0813-2707-1646"/>
    <d v="2024-08-31T00:00:00"/>
    <d v="1899-12-30T12:30:00"/>
    <s v="EJ-MALANG-01"/>
    <x v="2"/>
    <x v="9"/>
    <s v="GCI1001"/>
    <s v="Pcs"/>
    <n v="2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672"/>
    <m/>
    <x v="1"/>
    <s v="OUB-W0012408-473"/>
    <s v="EJ-Malang-01"/>
    <s v="Oka-0813-2707-1646"/>
    <d v="2024-08-31T00:00:00"/>
    <d v="1899-12-30T09:56:00"/>
    <s v="EJ-MALANG-01"/>
    <x v="2"/>
    <x v="9"/>
    <s v="GCI1001"/>
    <s v="Pcs"/>
    <n v="25"/>
    <s v="MF51-05"/>
    <x v="66"/>
    <m/>
    <m/>
    <m/>
    <s v="Nur Hidayat"/>
    <n v="0"/>
    <s v="3515141305930006"/>
    <s v="S 9102 AE"/>
    <m/>
    <m/>
    <s v="HUBFEEDER DINOYO SUMBERSEKAR"/>
    <e v="#N/A"/>
    <e v="#N/A"/>
    <s v="OUTBOUND_"/>
  </r>
  <r>
    <s v="673"/>
    <m/>
    <x v="1"/>
    <s v="OUB-W0012409-480"/>
    <s v="EJ-Malang-01"/>
    <s v="Oka-0813-2707-1646"/>
    <d v="2024-09-02T00:00:00"/>
    <d v="1899-12-30T07:53:00"/>
    <s v="EJ-MALANG-01"/>
    <x v="2"/>
    <x v="9"/>
    <s v="GCI1001"/>
    <s v="Pcs"/>
    <n v="1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674"/>
    <m/>
    <x v="1"/>
    <s v="OUB-W0012409-485"/>
    <s v="EJ-Malang-01"/>
    <s v="Oka-0813-2707-1646"/>
    <d v="2024-09-04T00:00:00"/>
    <d v="1899-12-30T09:46:00"/>
    <s v="EJ-MALANG-01"/>
    <x v="2"/>
    <x v="9"/>
    <s v="GCI1001"/>
    <s v="Pcs"/>
    <n v="22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675"/>
    <m/>
    <x v="0"/>
    <s v="INB-W0012409-494"/>
    <s v="EJ-Malang-01"/>
    <s v="Oka-0813-2707-1646"/>
    <d v="2024-09-06T00:00:00"/>
    <d v="1900-01-14T07:00:00"/>
    <s v="GCI Procurement"/>
    <x v="2"/>
    <x v="9"/>
    <s v="GCI1001"/>
    <s v="Pcs"/>
    <n v="107"/>
    <n v="0"/>
    <x v="5"/>
    <n v="0"/>
    <n v="0"/>
    <m/>
    <m/>
    <m/>
    <m/>
    <m/>
    <m/>
    <m/>
    <n v="0"/>
    <e v="#N/A"/>
    <e v="#N/A"/>
    <s v="OUTBOUND_"/>
  </r>
  <r>
    <s v="676"/>
    <m/>
    <x v="1"/>
    <s v="OUB-W0012409-493"/>
    <s v="EJ-Malang-01"/>
    <s v="Oka-0813-2707-1646"/>
    <d v="2024-09-06T00:00:00"/>
    <d v="1899-12-30T19:13:00"/>
    <s v="EJ-MALANG-01"/>
    <x v="2"/>
    <x v="9"/>
    <s v="GCI1001"/>
    <s v="Pcs"/>
    <n v="8"/>
    <s v="CLR51-99-118"/>
    <x v="68"/>
    <m/>
    <m/>
    <m/>
    <s v="Nur Hidayat"/>
    <n v="0"/>
    <s v="3515141305930006"/>
    <s v="S 9102 AE"/>
    <m/>
    <m/>
    <s v="NGENEP UTARA RW 03 MALANG"/>
    <e v="#N/A"/>
    <e v="#N/A"/>
    <s v="OUTBOUND_"/>
  </r>
  <r>
    <s v="677"/>
    <m/>
    <x v="1"/>
    <s v="OUB-W0012409-497"/>
    <s v="EJ-Malang-01"/>
    <s v="Oka-0813-2707-1646"/>
    <d v="2024-09-07T00:00:00"/>
    <d v="1899-12-30T17:42:00"/>
    <s v="EJ-MALANG-01"/>
    <x v="2"/>
    <x v="9"/>
    <s v="GCI1001"/>
    <s v="Pcs"/>
    <n v="20"/>
    <s v="CLR51-99-115"/>
    <x v="65"/>
    <m/>
    <m/>
    <m/>
    <s v="Riki Romansyah"/>
    <n v="0"/>
    <s v="3507050501950006"/>
    <s v="N 8420 EL"/>
    <m/>
    <m/>
    <s v="SENGGURUH RW 01 MALANG"/>
    <e v="#N/A"/>
    <e v="#N/A"/>
    <s v="OUTBOUND_"/>
  </r>
  <r>
    <s v="678"/>
    <m/>
    <x v="1"/>
    <s v="OUB-W0012409-500"/>
    <s v="EJ-Malang-01"/>
    <s v="Oka-0813-2707-1646"/>
    <d v="2024-09-10T00:00:00"/>
    <d v="1899-12-30T17:56:00"/>
    <s v="EJ-MALANG-01"/>
    <x v="2"/>
    <x v="9"/>
    <s v="GCI1001"/>
    <s v="Pcs"/>
    <n v="43"/>
    <s v="CLR51-09-009"/>
    <x v="62"/>
    <m/>
    <m/>
    <m/>
    <s v="Riki Romansyah"/>
    <n v="0"/>
    <s v="3507050501950006"/>
    <s v="N 8420 EL"/>
    <m/>
    <m/>
    <s v="Dilem RW 03 Kepanjen"/>
    <e v="#N/A"/>
    <e v="#N/A"/>
    <s v="OUTBOUND_"/>
  </r>
  <r>
    <s v="679"/>
    <m/>
    <x v="1"/>
    <s v="OUB-W0012409-503"/>
    <s v="EJ-Malang-01"/>
    <s v="Oka-0813-2707-1646"/>
    <d v="2024-09-18T00:00:00"/>
    <d v="1899-12-30T10:21:00"/>
    <s v="EJ-MALANG-01"/>
    <x v="2"/>
    <x v="9"/>
    <s v="GCI1001"/>
    <s v="Pcs"/>
    <n v="8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680"/>
    <m/>
    <x v="0"/>
    <s v="INB-W0012409-504"/>
    <s v="EJ-Malang-01"/>
    <s v="Oka-0813-2707-1646"/>
    <d v="2024-09-19T00:00:00"/>
    <d v="1900-01-14T07:00:00"/>
    <s v="FIELD TEAM"/>
    <x v="2"/>
    <x v="9"/>
    <s v="GCI1001"/>
    <s v="Pcs"/>
    <n v="3"/>
    <s v="RTN"/>
    <x v="157"/>
    <n v="0"/>
    <n v="0"/>
    <m/>
    <m/>
    <m/>
    <m/>
    <m/>
    <m/>
    <m/>
    <s v="MF Sumbersekar"/>
    <e v="#N/A"/>
    <e v="#N/A"/>
    <s v="OUTBOUND_"/>
  </r>
  <r>
    <s v="681"/>
    <m/>
    <x v="3"/>
    <s v="TFI-W0012409-504"/>
    <s v="EJ-Malang-01"/>
    <s v="Oka-0813-2707-1646"/>
    <d v="2024-09-19T00:00:00"/>
    <d v="1900-01-14T07:00:00"/>
    <s v="EJ-BLITAR-01"/>
    <x v="2"/>
    <x v="9"/>
    <s v="GCI1001"/>
    <s v="Pcs"/>
    <n v="25"/>
    <s v="TRF"/>
    <x v="158"/>
    <n v="0"/>
    <n v="0"/>
    <m/>
    <m/>
    <m/>
    <m/>
    <m/>
    <m/>
    <m/>
    <s v="Blitar"/>
    <e v="#N/A"/>
    <e v="#N/A"/>
    <s v="OUTBOUND_"/>
  </r>
  <r>
    <s v="682"/>
    <m/>
    <x v="1"/>
    <s v="OUB-W0012409-506"/>
    <s v="EJ-Malang-01"/>
    <s v="Oka-0813-2707-1646"/>
    <d v="2024-09-20T00:00:00"/>
    <d v="1899-12-30T15:26:00"/>
    <s v="EJ-MALANG-01"/>
    <x v="2"/>
    <x v="9"/>
    <s v="GCI1001"/>
    <s v="Pcs"/>
    <n v="8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683"/>
    <m/>
    <x v="1"/>
    <s v="OUB-W0012409-508"/>
    <s v="EJ-Malang-01"/>
    <s v="Oka-0813-2707-1646"/>
    <d v="2024-09-21T00:00:00"/>
    <d v="1899-12-30T17:10:00"/>
    <s v="EJ-MALANG-01"/>
    <x v="2"/>
    <x v="9"/>
    <s v="GCI1001"/>
    <s v="Pcs"/>
    <n v="12"/>
    <s v="MF51-05"/>
    <x v="66"/>
    <m/>
    <m/>
    <m/>
    <s v="Dimas"/>
    <s v="Febby Supplier"/>
    <s v="3573032509800005"/>
    <s v="N 9454 BA"/>
    <m/>
    <m/>
    <s v="HUBFEEDER DINOYO SUMBERSEKAR"/>
    <e v="#N/A"/>
    <e v="#N/A"/>
    <s v="OUTBOUND_"/>
  </r>
  <r>
    <s v="684"/>
    <m/>
    <x v="1"/>
    <s v="OUB-W0012409-512"/>
    <s v="EJ-Malang-01"/>
    <s v="Oka-0813-2707-1646"/>
    <d v="2024-09-26T00:00:00"/>
    <d v="1899-12-30T15:23:00"/>
    <s v="EJ-MALANG-01"/>
    <x v="2"/>
    <x v="9"/>
    <s v="GCI1001"/>
    <s v="Pcs"/>
    <n v="33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685"/>
    <m/>
    <x v="0"/>
    <s v="INB-W0012410-523"/>
    <s v="EJ-Malang-01"/>
    <s v="Oka-0813-2707-1646"/>
    <d v="2024-10-01T00:00:00"/>
    <d v="1900-01-14T07:00:00"/>
    <s v="FIELD TEAM"/>
    <x v="2"/>
    <x v="9"/>
    <s v="GCI1001"/>
    <s v="Pcs"/>
    <n v="7"/>
    <s v="RTN"/>
    <x v="159"/>
    <n v="0"/>
    <n v="0"/>
    <m/>
    <m/>
    <m/>
    <m/>
    <m/>
    <m/>
    <m/>
    <s v="Mojosari Ngenep"/>
    <e v="#N/A"/>
    <e v="#N/A"/>
    <s v="OUTBOUND_"/>
  </r>
  <r>
    <s v="686"/>
    <m/>
    <x v="1"/>
    <s v="OUB-W0012410-526"/>
    <s v="EJ-Malang-01"/>
    <s v="Oka-0813-2707-1646"/>
    <d v="2024-10-10T00:00:00"/>
    <d v="1899-12-30T13:33:00"/>
    <s v="EJ-MALANG-01"/>
    <x v="2"/>
    <x v="9"/>
    <s v="GCI1001"/>
    <s v="Pcs"/>
    <n v="6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687"/>
    <m/>
    <x v="0"/>
    <s v="INB-W0012410-542"/>
    <s v="EJ-Malang-01"/>
    <s v="Oka-0813-2707-1646"/>
    <d v="2024-10-30T00:00:00"/>
    <d v="1900-01-14T07:00:00"/>
    <s v="GCI Procurement"/>
    <x v="2"/>
    <x v="9"/>
    <s v="GCI1001"/>
    <s v="Pcs"/>
    <n v="7"/>
    <n v="0"/>
    <x v="5"/>
    <n v="0"/>
    <n v="0"/>
    <m/>
    <m/>
    <m/>
    <m/>
    <m/>
    <m/>
    <m/>
    <n v="0"/>
    <e v="#N/A"/>
    <e v="#N/A"/>
    <s v="OUTBOUND_"/>
  </r>
  <r>
    <s v="688"/>
    <m/>
    <x v="0"/>
    <s v="INB-W0012410-542"/>
    <s v="EJ-Malang-01"/>
    <s v="Oka-0813-2707-1646"/>
    <d v="2024-10-30T00:00:00"/>
    <d v="1900-01-14T07:00:00"/>
    <s v="GCI Procurement"/>
    <x v="2"/>
    <x v="9"/>
    <s v="GCI1001"/>
    <s v="Pcs"/>
    <n v="25"/>
    <n v="0"/>
    <x v="5"/>
    <n v="0"/>
    <n v="0"/>
    <m/>
    <m/>
    <m/>
    <m/>
    <m/>
    <m/>
    <m/>
    <n v="0"/>
    <e v="#N/A"/>
    <e v="#N/A"/>
    <s v="OUTBOUND_"/>
  </r>
  <r>
    <s v="689"/>
    <m/>
    <x v="1"/>
    <s v="OUB-W0012410-535"/>
    <s v="EJ-Malang-01"/>
    <s v="Oka-0813-2707-1646"/>
    <d v="2024-10-30T00:00:00"/>
    <d v="1899-12-30T23:25:00"/>
    <s v="EJ-MALANG-01"/>
    <x v="2"/>
    <x v="9"/>
    <s v="GCI1001"/>
    <s v="Pcs"/>
    <n v="24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690"/>
    <m/>
    <x v="1"/>
    <s v="OUB-W0012411-546"/>
    <s v="EJ-Malang-01"/>
    <s v="Oka-0813-2707-1646"/>
    <d v="2024-11-01T00:00:00"/>
    <d v="1899-12-30T23:25:00"/>
    <s v="EJ-MALANG-01"/>
    <x v="2"/>
    <x v="9"/>
    <s v="GCI1001"/>
    <s v="Pcs"/>
    <n v="4"/>
    <s v="MF51-07"/>
    <x v="75"/>
    <m/>
    <m/>
    <m/>
    <s v="Sulistiono"/>
    <n v="0"/>
    <s v="3575032104720001"/>
    <s v="N 9586 WC"/>
    <m/>
    <m/>
    <s v="HUBFEEDER KLAMPOK"/>
    <e v="#N/A"/>
    <e v="#N/A"/>
    <s v="OUTBOUND_"/>
  </r>
  <r>
    <s v="691"/>
    <m/>
    <x v="1"/>
    <s v="OUB-W0012411-547"/>
    <s v="EJ-Malang-01"/>
    <s v="Oka-0813-2707-1646"/>
    <d v="2024-11-06T00:00:00"/>
    <d v="1899-12-30T08:25:00"/>
    <s v="EJ-MALANG-01"/>
    <x v="2"/>
    <x v="9"/>
    <s v="GCI1001"/>
    <s v="Pcs"/>
    <n v="5"/>
    <s v="CLR51-99-095"/>
    <x v="16"/>
    <m/>
    <m/>
    <m/>
    <s v="Riki Romansyah"/>
    <n v="0"/>
    <s v="3507050501950006"/>
    <s v="N 8420 EL"/>
    <m/>
    <m/>
    <s v="Candirenggo RW 10 Singosari"/>
    <e v="#N/A"/>
    <e v="#N/A"/>
    <s v="OUTBOUND_"/>
  </r>
  <r>
    <s v="692"/>
    <m/>
    <x v="1"/>
    <s v="OUB-W0012411-550"/>
    <s v="EJ-Malang-01"/>
    <s v="Oka-0813-2707-1646"/>
    <d v="2024-11-09T00:00:00"/>
    <d v="1899-12-30T08:25:00"/>
    <s v="EJ-MALANG-01"/>
    <x v="2"/>
    <x v="9"/>
    <s v="GCI1001"/>
    <s v="Pcs"/>
    <n v="5"/>
    <s v="CLR51-99-095"/>
    <x v="16"/>
    <m/>
    <m/>
    <m/>
    <s v="Riki Romansyah"/>
    <n v="0"/>
    <s v="3507050501950006"/>
    <s v="N 8420 EL"/>
    <m/>
    <m/>
    <s v="Candirenggo RW 10 Singosari"/>
    <e v="#N/A"/>
    <e v="#N/A"/>
    <s v="OUTBOUND_"/>
  </r>
  <r>
    <s v="693"/>
    <m/>
    <x v="0"/>
    <s v="INB-W0012411-570"/>
    <s v="EJ-Malang-01"/>
    <s v="Oka-0813-2707-1646"/>
    <d v="2024-11-30T00:00:00"/>
    <d v="1900-01-14T07:00:00"/>
    <s v="GCI Procurement"/>
    <x v="2"/>
    <x v="9"/>
    <s v="GCI1001"/>
    <s v="Pcs"/>
    <n v="52"/>
    <n v="0"/>
    <x v="5"/>
    <n v="0"/>
    <n v="0"/>
    <m/>
    <m/>
    <m/>
    <m/>
    <m/>
    <m/>
    <m/>
    <n v="0"/>
    <e v="#N/A"/>
    <e v="#N/A"/>
    <s v="OUTBOUND_"/>
  </r>
  <r>
    <s v="694"/>
    <m/>
    <x v="1"/>
    <s v="OUB-W0012412-571"/>
    <s v="EJ-Malang-01"/>
    <s v="Oka-0813-2707-1646"/>
    <d v="2024-12-01T00:00:00"/>
    <d v="1899-12-30T09:30:00"/>
    <s v="EJ-MALANG-01"/>
    <x v="2"/>
    <x v="9"/>
    <s v="GCI1001"/>
    <s v="Pcs"/>
    <n v="52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695"/>
    <m/>
    <x v="3"/>
    <s v="TFI-W0012412-572"/>
    <s v="EJ-Malang-01"/>
    <s v="Oka-0813-2707-1646"/>
    <d v="2024-12-08T00:00:00"/>
    <d v="1900-01-14T07:00:00"/>
    <s v="EJ-MADIUN-01"/>
    <x v="2"/>
    <x v="9"/>
    <s v="GCI1001"/>
    <s v="Pcs"/>
    <n v="25"/>
    <s v="TRF"/>
    <x v="160"/>
    <n v="0"/>
    <n v="0"/>
    <m/>
    <m/>
    <m/>
    <m/>
    <m/>
    <m/>
    <m/>
    <s v="MADIUN"/>
    <e v="#N/A"/>
    <e v="#N/A"/>
    <s v="OUTBOUND_"/>
  </r>
  <r>
    <s v="696"/>
    <m/>
    <x v="3"/>
    <s v="TFI-W0012412-572"/>
    <s v="EJ-Malang-01"/>
    <s v="Oka-0813-2707-1646"/>
    <d v="2024-12-08T00:00:00"/>
    <d v="1900-01-14T07:00:00"/>
    <s v="EJ-KEDIRI-01"/>
    <x v="2"/>
    <x v="9"/>
    <s v="GCI1001"/>
    <s v="Pcs"/>
    <n v="50"/>
    <s v="TRF"/>
    <x v="78"/>
    <n v="0"/>
    <n v="0"/>
    <m/>
    <m/>
    <m/>
    <m/>
    <m/>
    <m/>
    <m/>
    <s v="KEDIRI"/>
    <e v="#N/A"/>
    <e v="#N/A"/>
    <s v="OUTBOUND_"/>
  </r>
  <r>
    <s v="697"/>
    <m/>
    <x v="1"/>
    <s v="OUB-W0012412-574"/>
    <s v="EJ-Malang-01"/>
    <s v="Oka-0813-2707-1646"/>
    <d v="2024-12-11T00:00:00"/>
    <d v="1899-12-30T13:53:00"/>
    <s v="EJ-MALANG-01"/>
    <x v="2"/>
    <x v="9"/>
    <s v="GCI1001"/>
    <s v="Pcs"/>
    <n v="24"/>
    <s v="CLR51-01-009"/>
    <x v="79"/>
    <m/>
    <m/>
    <m/>
    <s v="Riki Romansyah"/>
    <n v="0"/>
    <s v="3507050501950006"/>
    <s v="N 8420 EL"/>
    <m/>
    <m/>
    <s v="Kalirejo RW 13 Lawang Malang"/>
    <e v="#N/A"/>
    <e v="#N/A"/>
    <s v="OUTBOUND_"/>
  </r>
  <r>
    <s v="698"/>
    <m/>
    <x v="1"/>
    <s v="OUB-W0012412-575"/>
    <s v="EJ-Malang-01"/>
    <s v="Oka-0813-2707-1646"/>
    <d v="2024-12-14T00:00:00"/>
    <d v="1899-12-30T11:39:00"/>
    <s v="EJ-MALANG-01"/>
    <x v="2"/>
    <x v="9"/>
    <s v="GCI1001"/>
    <s v="Pcs"/>
    <n v="46"/>
    <s v="CLR51-09-007"/>
    <x v="143"/>
    <m/>
    <m/>
    <m/>
    <s v="Riki Romansyah"/>
    <n v="0"/>
    <s v="3507050501950006"/>
    <s v="N 8420 EL"/>
    <m/>
    <m/>
    <s v="PERMANU RW 01 MALANG"/>
    <e v="#N/A"/>
    <e v="#N/A"/>
    <s v="OUTBOUND_"/>
  </r>
  <r>
    <s v="699"/>
    <m/>
    <x v="1"/>
    <s v="OUB-W0012412-576"/>
    <s v="EJ-Malang-01"/>
    <s v="Oka-0813-2707-1646"/>
    <d v="2024-12-15T00:00:00"/>
    <d v="1899-12-30T15:29:00"/>
    <s v="EJ-MALANG-01"/>
    <x v="2"/>
    <x v="9"/>
    <s v="GCI1001"/>
    <s v="Pcs"/>
    <n v="3"/>
    <s v="CLR51-99-049"/>
    <x v="80"/>
    <m/>
    <m/>
    <m/>
    <s v="Fatur"/>
    <n v="0"/>
    <s v="1812010507910004"/>
    <s v="L 9221 K"/>
    <m/>
    <m/>
    <s v="Perumahan Panca Garden"/>
    <e v="#N/A"/>
    <e v="#N/A"/>
    <s v="OUTBOUND_"/>
  </r>
  <r>
    <s v="700"/>
    <m/>
    <x v="1"/>
    <s v="OUB-W0012412-577"/>
    <s v="EJ-Malang-01"/>
    <s v="Oka-0813-2707-1646"/>
    <d v="2024-12-16T00:00:00"/>
    <d v="1899-12-30T14:37:00"/>
    <s v="EJ-MALANG-01"/>
    <x v="2"/>
    <x v="9"/>
    <s v="GCI1001"/>
    <s v="Pcs"/>
    <n v="1"/>
    <s v="CLR51-99-049"/>
    <x v="80"/>
    <m/>
    <m/>
    <m/>
    <s v="Fatur"/>
    <n v="0"/>
    <s v="1812010507910004"/>
    <s v="L 9221 K"/>
    <m/>
    <m/>
    <s v="Perumahan Panca Garden"/>
    <e v="#N/A"/>
    <e v="#N/A"/>
    <s v="OUTBOUND_"/>
  </r>
  <r>
    <s v="701"/>
    <m/>
    <x v="0"/>
    <s v="INB-W0012412-593"/>
    <s v="EJ-Malang-01"/>
    <s v="Oka-0813-2707-1646"/>
    <d v="2024-12-30T00:00:00"/>
    <d v="1900-01-14T07:00:00"/>
    <s v="GCI Procurement"/>
    <x v="2"/>
    <x v="9"/>
    <s v="GCI1001"/>
    <s v="Pcs"/>
    <n v="123"/>
    <n v="0"/>
    <x v="5"/>
    <n v="0"/>
    <n v="0"/>
    <m/>
    <m/>
    <m/>
    <m/>
    <m/>
    <m/>
    <m/>
    <n v="0"/>
    <e v="#N/A"/>
    <e v="#N/A"/>
    <s v="OUTBOUND_"/>
  </r>
  <r>
    <s v="702"/>
    <m/>
    <x v="1"/>
    <s v="OUB-W0012412-591"/>
    <s v="EJ-Malang-01"/>
    <s v="Oka-0813-2707-1646"/>
    <d v="2024-12-30T00:00:00"/>
    <d v="1899-12-30T09:45:00"/>
    <s v="EJ-MALANG-01"/>
    <x v="2"/>
    <x v="9"/>
    <s v="GCI1001"/>
    <s v="Pcs"/>
    <n v="20"/>
    <s v="CLR51-09-013"/>
    <x v="144"/>
    <m/>
    <m/>
    <m/>
    <s v="Riki Romansyah"/>
    <n v="0"/>
    <s v="3507050501950006"/>
    <s v="N 8420 EL"/>
    <m/>
    <m/>
    <s v="Perum Chandra Kirana Watugede"/>
    <e v="#N/A"/>
    <e v="#N/A"/>
    <s v="OUTBOUND_"/>
  </r>
  <r>
    <s v="703"/>
    <m/>
    <x v="1"/>
    <s v="OUB-W0012501-594"/>
    <s v="EJ-Malang-01"/>
    <s v="Oka-0813-2707-1646"/>
    <d v="2025-01-08T00:00:00"/>
    <d v="1899-12-30T16:39:00"/>
    <s v="EJ-MALANG-01"/>
    <x v="2"/>
    <x v="9"/>
    <s v="GCI1001"/>
    <s v="Pcs"/>
    <n v="20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704"/>
    <m/>
    <x v="1"/>
    <s v="OUB-W0012501-596"/>
    <s v="EJ-Malang-01"/>
    <s v="Oka-0813-2707-1646"/>
    <d v="2025-01-13T00:00:00"/>
    <d v="1899-12-30T13:00:00"/>
    <s v="EJ-MALANG-01"/>
    <x v="2"/>
    <x v="9"/>
    <s v="GCI1001"/>
    <s v="Pcs"/>
    <n v="3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705"/>
    <m/>
    <x v="1"/>
    <s v="OUB-W0012501-600"/>
    <s v="EJ-Malang-01"/>
    <s v="Oka-0813-2707-1646"/>
    <d v="2025-01-21T00:00:00"/>
    <d v="1899-12-30T13:40:00"/>
    <s v="EJ-MALANG-01"/>
    <x v="2"/>
    <x v="9"/>
    <s v="GCI1001"/>
    <s v="Pcs"/>
    <n v="8"/>
    <s v="CLR51-03-016"/>
    <x v="145"/>
    <m/>
    <m/>
    <m/>
    <s v="Riki Romansyah"/>
    <n v="0"/>
    <s v="3507050501950006"/>
    <s v="N 8420 EL"/>
    <m/>
    <m/>
    <s v="Citra Kayane Residence"/>
    <e v="#N/A"/>
    <e v="#N/A"/>
    <s v="OUTBOUND_"/>
  </r>
  <r>
    <s v="706"/>
    <m/>
    <x v="1"/>
    <s v="OUB-W0012502-604"/>
    <s v="EJ-Malang-01"/>
    <s v="Oka-0813-2707-1646"/>
    <d v="2025-02-06T00:00:00"/>
    <d v="1899-12-30T09:35:00"/>
    <s v="EJ-MALANG-01"/>
    <x v="2"/>
    <x v="9"/>
    <s v="GCI1001"/>
    <s v="Pcs"/>
    <n v="7"/>
    <s v="CLR51-99-050"/>
    <x v="88"/>
    <m/>
    <m/>
    <m/>
    <s v="Riki Romansyah"/>
    <n v="0"/>
    <s v="3507050501950006"/>
    <s v="N 8420 EL"/>
    <m/>
    <m/>
    <s v="PERUMAHAN DE WIRA GREEN VIEW"/>
    <e v="#N/A"/>
    <e v="#N/A"/>
    <s v="OUTBOUND_"/>
  </r>
  <r>
    <s v="707"/>
    <m/>
    <x v="1"/>
    <s v="OUB-W0012502-605"/>
    <s v="EJ-Malang-01"/>
    <s v="Oka-0813-2707-1646"/>
    <d v="2025-02-10T00:00:00"/>
    <d v="1899-12-30T11:01:00"/>
    <s v="EJ-MALANG-01"/>
    <x v="2"/>
    <x v="9"/>
    <s v="GCI1001"/>
    <s v="Pcs"/>
    <n v="1"/>
    <s v="CLR51-99-050"/>
    <x v="88"/>
    <m/>
    <m/>
    <m/>
    <s v="Deny Indra"/>
    <n v="0"/>
    <n v="0"/>
    <s v="N 1547 IR"/>
    <m/>
    <m/>
    <s v="PERUMAHAN DE WIRA GREEN VIEW"/>
    <e v="#N/A"/>
    <e v="#N/A"/>
    <s v="OUTBOUND_"/>
  </r>
  <r>
    <s v="708"/>
    <m/>
    <x v="1"/>
    <s v="OUB-W0012502-607"/>
    <s v="EJ-Malang-01"/>
    <s v="Oka-0813-2707-1646"/>
    <d v="2025-02-19T00:00:00"/>
    <d v="1899-12-30T09:35:00"/>
    <s v="EJ-MALANG-01"/>
    <x v="2"/>
    <x v="9"/>
    <s v="GCI1001"/>
    <s v="Pcs"/>
    <n v="1"/>
    <s v="CLR51-03-016"/>
    <x v="145"/>
    <m/>
    <m/>
    <m/>
    <s v="Riki Romansyah"/>
    <n v="0"/>
    <s v="3507050501950006"/>
    <s v="N 8420 EL"/>
    <m/>
    <m/>
    <s v="Citra Kayane Residence"/>
    <e v="#N/A"/>
    <e v="#N/A"/>
    <s v="OUTBOUND_"/>
  </r>
  <r>
    <s v="709"/>
    <m/>
    <x v="1"/>
    <s v="OUB-W0012502-613"/>
    <s v="EJ-Malang-01"/>
    <s v="Oka-0813-2707-1646"/>
    <d v="2025-02-21T00:00:00"/>
    <d v="1899-12-30T09:35:00"/>
    <s v="EJ-MALANG-01"/>
    <x v="2"/>
    <x v="9"/>
    <s v="GCI1001"/>
    <s v="Pcs"/>
    <n v="1"/>
    <s v="CLR51-02-016"/>
    <x v="141"/>
    <m/>
    <m/>
    <m/>
    <s v="Fatur"/>
    <n v="0"/>
    <s v="1812010507910004"/>
    <s v="L 9221 K"/>
    <m/>
    <m/>
    <s v="Ngenep RW 06 Karang Ploso"/>
    <e v="#N/A"/>
    <e v="#N/A"/>
    <s v="OUTBOUND_"/>
  </r>
  <r>
    <s v="710"/>
    <m/>
    <x v="1"/>
    <s v="OUB-W0012502-614"/>
    <s v="EJ-Malang-01"/>
    <s v="Oka-0813-2707-1646"/>
    <d v="2025-02-21T00:00:00"/>
    <d v="1899-12-30T15:09:00"/>
    <s v="EJ-MALANG-01"/>
    <x v="2"/>
    <x v="9"/>
    <s v="GCI1001"/>
    <s v="Pcs"/>
    <n v="22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711"/>
    <m/>
    <x v="1"/>
    <s v="OUB-W0012502-618"/>
    <s v="EJ-Malang-01"/>
    <s v="Oka-0813-2707-1646"/>
    <d v="2025-02-24T00:00:00"/>
    <d v="1899-12-30T15:09:00"/>
    <s v="EJ-MALANG-01"/>
    <x v="2"/>
    <x v="9"/>
    <s v="GCI1001"/>
    <s v="Pcs"/>
    <n v="1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712"/>
    <m/>
    <x v="1"/>
    <s v="OUB-W0012503-636"/>
    <s v="EJ-Malang-01"/>
    <s v="Oka-0813-2707-1646"/>
    <d v="2025-03-26T00:00:00"/>
    <d v="1899-12-30T19:57:00"/>
    <s v="EJ-MALANG-01"/>
    <x v="2"/>
    <x v="9"/>
    <s v="GCI1001"/>
    <s v="Pcs"/>
    <n v="33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713"/>
    <m/>
    <x v="3"/>
    <s v="TFI-W0012506-645"/>
    <s v="EJ-Malang-01"/>
    <s v="Oka-0813-2707-1646"/>
    <d v="2025-06-11T00:00:00"/>
    <d v="1900-01-14T07:00:00"/>
    <s v="EJ-GRESIK-01"/>
    <x v="2"/>
    <x v="9"/>
    <s v="GCI1001"/>
    <s v="Pcs"/>
    <n v="20"/>
    <s v="TRF"/>
    <x v="93"/>
    <n v="0"/>
    <n v="0"/>
    <m/>
    <m/>
    <m/>
    <m/>
    <m/>
    <m/>
    <m/>
    <s v="GRESIK"/>
    <e v="#N/A"/>
    <e v="#N/A"/>
    <s v="OUTBOUND_"/>
  </r>
  <r>
    <s v="714"/>
    <m/>
    <x v="1"/>
    <s v="OUB-W0012506-647"/>
    <s v="EJ-Malang-01"/>
    <s v="Oka-0813-2707-1646"/>
    <d v="2025-06-14T00:00:00"/>
    <d v="1899-12-30T12:57:00"/>
    <s v="EJ-MALANG-01"/>
    <x v="2"/>
    <x v="9"/>
    <s v="GCI1001"/>
    <s v="Pcs"/>
    <n v="20"/>
    <n v="0"/>
    <x v="161"/>
    <m/>
    <m/>
    <m/>
    <s v="Riki Romansyah"/>
    <n v="0"/>
    <s v="3507050501950006"/>
    <s v="N 8420 EL"/>
    <m/>
    <m/>
    <s v="Kebonagung RW 01"/>
    <e v="#N/A"/>
    <e v="#N/A"/>
    <s v="OUTBOUND_"/>
  </r>
  <r>
    <s v="715"/>
    <m/>
    <x v="0"/>
    <s v="INB-W0012506-655"/>
    <s v="EJ-Malang-01"/>
    <s v="Oka-0813-2707-1646"/>
    <d v="2025-06-23T00:00:00"/>
    <d v="1900-01-14T07:00:00"/>
    <s v="GCI Procurement"/>
    <x v="2"/>
    <x v="9"/>
    <s v="GCI1001"/>
    <s v="Pcs"/>
    <n v="147"/>
    <n v="0"/>
    <x v="5"/>
    <n v="0"/>
    <n v="0"/>
    <m/>
    <m/>
    <m/>
    <m/>
    <m/>
    <m/>
    <m/>
    <n v="0"/>
    <e v="#N/A"/>
    <e v="#N/A"/>
    <s v="OUTBOUND_"/>
  </r>
  <r>
    <s v="716"/>
    <m/>
    <x v="1"/>
    <s v="OUB-W0012506-654"/>
    <s v="EJ-Malang-01"/>
    <s v="Oka-0813-2707-1646"/>
    <d v="2025-06-23T00:00:00"/>
    <d v="1899-12-30T15:30:00"/>
    <s v="EJ-MALANG-01"/>
    <x v="2"/>
    <x v="9"/>
    <s v="GCI1001"/>
    <s v="Pcs"/>
    <n v="75"/>
    <n v="0"/>
    <x v="147"/>
    <m/>
    <m/>
    <m/>
    <s v="Fatur"/>
    <n v="0"/>
    <s v="1812010507910004"/>
    <s v="L 9221 K"/>
    <m/>
    <m/>
    <s v="Pncokusumo"/>
    <e v="#N/A"/>
    <e v="#N/A"/>
    <s v="OUTBOUND_"/>
  </r>
  <r>
    <s v="717"/>
    <m/>
    <x v="1"/>
    <s v="OUB-W0012506-663"/>
    <s v="EJ-Malang-01"/>
    <s v="Oka-0813-2707-1646"/>
    <d v="2025-06-27T00:00:00"/>
    <d v="1899-12-30T12:57:00"/>
    <s v="EJ-MALANG-01"/>
    <x v="2"/>
    <x v="9"/>
    <s v="GCI1001"/>
    <s v="Pcs"/>
    <n v="72"/>
    <n v="0"/>
    <x v="148"/>
    <m/>
    <m/>
    <m/>
    <s v="Riki Romansyah"/>
    <n v="0"/>
    <s v="3507050501950006"/>
    <s v="N 8420 EL"/>
    <m/>
    <m/>
    <s v="Bululawang"/>
    <e v="#N/A"/>
    <e v="#N/A"/>
    <s v="OUTBOUND_"/>
  </r>
  <r>
    <s v="718"/>
    <m/>
    <x v="0"/>
    <s v="INB-W0012507-676"/>
    <s v="EJ-Malang-01"/>
    <s v="Oka-0813-2707-1646"/>
    <d v="2025-07-30T00:00:00"/>
    <d v="1900-01-14T07:00:00"/>
    <s v="GCI Procurement"/>
    <x v="2"/>
    <x v="9"/>
    <s v="GCI1001"/>
    <s v="Pcs"/>
    <n v="39"/>
    <n v="0"/>
    <x v="5"/>
    <n v="0"/>
    <n v="0"/>
    <m/>
    <m/>
    <m/>
    <m/>
    <m/>
    <m/>
    <m/>
    <n v="0"/>
    <e v="#N/A"/>
    <e v="#N/A"/>
    <s v="OUTBOUND_"/>
  </r>
  <r>
    <s v="719"/>
    <m/>
    <x v="1"/>
    <s v="OUB-W0012507-677"/>
    <s v="EJ-Malang-01"/>
    <s v="Oka-0813-2707-1646"/>
    <d v="2025-07-31T00:00:00"/>
    <d v="1899-12-30T11:21:00"/>
    <s v="EJ-MALANG-01"/>
    <x v="2"/>
    <x v="9"/>
    <s v="GCI1001"/>
    <s v="Pcs"/>
    <n v="39"/>
    <n v="0"/>
    <x v="162"/>
    <m/>
    <m/>
    <m/>
    <s v="Riki Romansyah"/>
    <n v="0"/>
    <s v="3507050501950006"/>
    <s v="N 8420 EL"/>
    <m/>
    <m/>
    <s v="Krebet"/>
    <e v="#N/A"/>
    <e v="#N/A"/>
    <s v="OUTBOUND_"/>
  </r>
  <r>
    <s v="720"/>
    <m/>
    <x v="0"/>
    <s v="INB-W0012508-680"/>
    <s v="EJ-Malang-01"/>
    <s v="Oka-0813-2707-1646"/>
    <d v="2025-08-06T00:00:00"/>
    <d v="1900-01-14T07:00:00"/>
    <s v="GCI Procurement"/>
    <x v="2"/>
    <x v="9"/>
    <s v="GCI1001"/>
    <s v="Pcs"/>
    <n v="50"/>
    <n v="0"/>
    <x v="93"/>
    <n v="0"/>
    <n v="0"/>
    <m/>
    <m/>
    <m/>
    <m/>
    <m/>
    <m/>
    <m/>
    <s v="GRESIK"/>
    <e v="#N/A"/>
    <e v="#N/A"/>
    <s v="OUTBOUND_"/>
  </r>
  <r>
    <s v="721"/>
    <m/>
    <x v="1"/>
    <s v="OUB-W0012508-681"/>
    <s v="EJ-Malang-01"/>
    <s v="Oka-0813-2707-1646"/>
    <d v="2025-08-07T00:00:00"/>
    <d v="1899-12-30T11:21:00"/>
    <s v="EJ-MALANG-01"/>
    <x v="2"/>
    <x v="9"/>
    <s v="GCI1001"/>
    <s v="Pcs"/>
    <n v="50"/>
    <s v="CLR51-99-250"/>
    <x v="103"/>
    <m/>
    <m/>
    <m/>
    <s v="Riki Romansyah"/>
    <n v="0"/>
    <s v="3507050501950006"/>
    <s v="N 8420 EL"/>
    <m/>
    <m/>
    <s v="PERMANU RW 03 MALANG"/>
    <e v="#N/A"/>
    <e v="#N/A"/>
    <s v="OUTBOUND_"/>
  </r>
  <r>
    <s v="722"/>
    <m/>
    <x v="0"/>
    <s v="INB-W0012508-693"/>
    <s v="EJ-Malang-01"/>
    <s v="Oka-0813-2707-1646"/>
    <d v="2025-08-21T00:00:00"/>
    <d v="1900-01-14T07:00:00"/>
    <s v="GCI Procurement"/>
    <x v="2"/>
    <x v="9"/>
    <s v="GCI1001"/>
    <s v="Pcs"/>
    <n v="35"/>
    <n v="0"/>
    <x v="5"/>
    <n v="0"/>
    <n v="0"/>
    <m/>
    <m/>
    <m/>
    <m/>
    <m/>
    <m/>
    <m/>
    <n v="0"/>
    <e v="#N/A"/>
    <e v="#N/A"/>
    <s v="OUTBOUND_"/>
  </r>
  <r>
    <s v="723"/>
    <m/>
    <x v="1"/>
    <s v="OUB-W0012508-694"/>
    <s v="EJ-Malang-01"/>
    <s v="Oka-0813-2707-1646"/>
    <d v="2025-08-23T00:00:00"/>
    <d v="1899-12-30T10:17:00"/>
    <s v="EJ-MALANG-01"/>
    <x v="2"/>
    <x v="9"/>
    <s v="GCI1001"/>
    <s v="Pcs"/>
    <n v="15"/>
    <n v="0"/>
    <x v="149"/>
    <m/>
    <m/>
    <m/>
    <s v="Riki Romansyah"/>
    <n v="0"/>
    <s v="3507050501950006"/>
    <s v="N 8420 EL"/>
    <m/>
    <m/>
    <s v="Bululawang Permai"/>
    <e v="#N/A"/>
    <e v="#N/A"/>
    <s v="OUTBOUND_"/>
  </r>
  <r>
    <s v="724"/>
    <m/>
    <x v="1"/>
    <s v="OUB-W0012508-697"/>
    <s v="EJ-Malang-01"/>
    <s v="Oka-0813-2707-1646"/>
    <d v="2025-08-30T00:00:00"/>
    <d v="1899-12-30T09:12:24"/>
    <s v="EJ-MALANG-01"/>
    <x v="2"/>
    <x v="9"/>
    <s v="GCI1001"/>
    <s v="Pcs"/>
    <n v="2"/>
    <s v="MF51-05"/>
    <x v="106"/>
    <s v="DOEID240918BZ"/>
    <s v="DNWID0342024091808"/>
    <s v="A-Good"/>
    <s v="Riki Romansyah"/>
    <m/>
    <n v="3507050501950000"/>
    <s v="N 8420 EL"/>
    <s v="Repair MF , Insiden FO Cut"/>
    <m/>
    <s v="Main Feeder - OLT Smart Malang Segment 8 to Sumbersekar"/>
    <d v="2024-09-20T00:00:00"/>
    <b v="0"/>
    <s v="OUTBOUND_"/>
  </r>
  <r>
    <s v="725"/>
    <m/>
    <x v="1"/>
    <s v="OUB-W0012508-702"/>
    <s v="EJ-Malang-01"/>
    <s v="Oka-0813-2707-1646"/>
    <d v="2025-08-31T00:00:00"/>
    <d v="1899-12-30T21:36:25"/>
    <s v="EJ-MALANG-01"/>
    <x v="2"/>
    <x v="9"/>
    <s v="GCI1001"/>
    <s v="Pcs"/>
    <n v="7"/>
    <s v="ADJUSTMENT"/>
    <x v="18"/>
    <m/>
    <m/>
    <m/>
    <m/>
    <m/>
    <m/>
    <m/>
    <s v="ADJUSTMENT"/>
    <m/>
    <s v="ADJUSTMENT"/>
    <e v="#N/A"/>
    <e v="#N/A"/>
    <s v="OUTBOUND_"/>
  </r>
  <r>
    <s v="726"/>
    <n v="1"/>
    <x v="1"/>
    <s v="OUB-W0012509-006"/>
    <s v="EJ-Malang-01"/>
    <s v="Oka-0813-2707-1646"/>
    <d v="2025-09-18T00:00:00"/>
    <d v="1899-12-30T12:34:48"/>
    <s v="EJ-MALANG-01"/>
    <x v="2"/>
    <x v="9"/>
    <s v="GCI1001"/>
    <s v="Pcs"/>
    <n v="7"/>
    <s v="CLR51-99-103"/>
    <x v="108"/>
    <s v="DOEID25082609"/>
    <s v="DNWID1382025082604"/>
    <m/>
    <s v="Riki Romansyah"/>
    <m/>
    <s v="3507050501950006"/>
    <s v="N 8420 EL"/>
    <m/>
    <m/>
    <s v="KREBET SENGGRONG RW 02 MALANG"/>
    <d v="2025-08-27T00:00:00"/>
    <b v="0"/>
    <s v="OUTBOUND_"/>
  </r>
  <r>
    <s v="727"/>
    <n v="2"/>
    <x v="1"/>
    <s v="OUB-W0012509-006"/>
    <s v="EJ-Malang-01"/>
    <s v="Oka-0813-2707-1646"/>
    <d v="2025-09-18T00:00:00"/>
    <d v="1899-12-30T12:35:17"/>
    <s v="EJ-MALANG-01"/>
    <x v="2"/>
    <x v="9"/>
    <s v="GCI1001"/>
    <s v="Pcs"/>
    <n v="8"/>
    <s v="CLR51-99-252"/>
    <x v="107"/>
    <s v="DOEID25082611"/>
    <s v="DNWID1382025082607"/>
    <m/>
    <s v="Riki Romansyah"/>
    <m/>
    <s v="3507050501950006"/>
    <s v="N 8420 EL"/>
    <m/>
    <m/>
    <s v="KREBET SENGGRONG RW 03 MALANG"/>
    <d v="2025-08-27T00:00:00"/>
    <b v="0"/>
    <s v="OUTBOUND_"/>
  </r>
  <r>
    <s v="728"/>
    <n v="2"/>
    <x v="1"/>
    <s v="OUB-W0012509-007"/>
    <s v="EJ-Malang-01"/>
    <s v="Oka-0813-2707-1646"/>
    <d v="2025-09-20T00:00:00"/>
    <d v="1899-12-30T16:10:52"/>
    <s v="EJ-MALANG-01"/>
    <x v="2"/>
    <x v="9"/>
    <s v="GCI1001"/>
    <s v="Pcs"/>
    <n v="1"/>
    <s v="MF51-05"/>
    <x v="106"/>
    <s v="DOEID240918BZ"/>
    <s v="DNWID0342024091808"/>
    <s v="A-Good"/>
    <s v="Riki Romansyah"/>
    <m/>
    <s v="3507050501950006"/>
    <s v="N 8420 EL"/>
    <s v="Repair MF , Insiden FO Cut"/>
    <m/>
    <s v="Main Feeder - OLT Smart Malang Segment 8 to Sumbersekar"/>
    <d v="2024-09-20T00:00:00"/>
    <b v="0"/>
    <s v="OUTBOUND_"/>
  </r>
  <r>
    <s v="729"/>
    <n v="1"/>
    <x v="0"/>
    <s v="INB-W0012510-001"/>
    <s v="EJ-Malang-01"/>
    <s v="Oka-0813-2707-1646"/>
    <d v="2025-10-14T00:00:00"/>
    <d v="1899-12-30T15:21:00"/>
    <s v="GCI Procurement"/>
    <x v="2"/>
    <x v="9"/>
    <s v="GCI1001"/>
    <s v="Pcs"/>
    <n v="28"/>
    <s v="CLR51-99-370"/>
    <x v="111"/>
    <s v="DOEID25081590"/>
    <s v="DNWID1382025081505"/>
    <m/>
    <m/>
    <m/>
    <m/>
    <m/>
    <m/>
    <m/>
    <s v="Perumahan Bululawang Permai RW 02"/>
    <d v="2025-08-19T00:00:00"/>
    <b v="0"/>
    <s v="OUTBOUND_"/>
  </r>
  <r>
    <s v="730"/>
    <n v="1"/>
    <x v="1"/>
    <s v="OUB-W0012510-001"/>
    <s v="EJ-Malang-01"/>
    <s v="Oka-0813-2707-1646"/>
    <d v="2025-10-16T00:00:00"/>
    <d v="1899-12-30T10:21:00"/>
    <s v="EJ-MALANG-01"/>
    <x v="2"/>
    <x v="9"/>
    <s v="GCI1001"/>
    <s v="Pcs"/>
    <n v="28"/>
    <s v="CLR51-99-257"/>
    <x v="150"/>
    <m/>
    <m/>
    <m/>
    <s v="Riki Romansyah"/>
    <n v="0"/>
    <s v="3507050501950006"/>
    <s v="N 8420 EL"/>
    <m/>
    <m/>
    <s v="Asshofa Residence"/>
    <e v="#N/A"/>
    <e v="#N/A"/>
    <s v="OUTBOUND_"/>
  </r>
  <r>
    <s v="731"/>
    <n v="4"/>
    <x v="1"/>
    <s v="OUB-W0012510-005"/>
    <s v="EJ-Malang-01"/>
    <s v="Oka-0813-2707-1646"/>
    <d v="2025-10-25T00:00:00"/>
    <d v="1899-12-30T11:00:00"/>
    <s v="EJ-MALANG-01"/>
    <x v="2"/>
    <x v="9"/>
    <s v="GCI1001"/>
    <s v="Pcs"/>
    <n v="23"/>
    <s v="CLR51-99-302"/>
    <x v="112"/>
    <m/>
    <m/>
    <m/>
    <s v="Riki Romansyah"/>
    <n v="0"/>
    <s v="3507050501950006"/>
    <s v="N 8420 EL"/>
    <m/>
    <m/>
    <s v="LESANPURO RW 06 MALANG"/>
    <e v="#N/A"/>
    <e v="#N/A"/>
    <s v="OUTBOUND_"/>
  </r>
  <r>
    <s v="732"/>
    <n v="3"/>
    <x v="0"/>
    <s v="INB-W0012510-005"/>
    <s v="EJ-Malang-01"/>
    <s v="Oka-0813-2707-1646"/>
    <d v="2025-10-26T00:00:00"/>
    <d v="1899-12-30T08:00:00"/>
    <s v="GCI Procurement"/>
    <x v="2"/>
    <x v="9"/>
    <s v="GCI1001"/>
    <s v="Pcs"/>
    <n v="23"/>
    <s v="ADJUSTMENT"/>
    <x v="18"/>
    <m/>
    <m/>
    <m/>
    <m/>
    <m/>
    <m/>
    <m/>
    <s v="ADJUSTMENT"/>
    <m/>
    <s v="ADJUSTMENT"/>
    <e v="#N/A"/>
    <e v="#N/A"/>
    <s v="OUTBOUND_"/>
  </r>
  <r>
    <s v="733"/>
    <n v="1"/>
    <x v="0"/>
    <s v="INB-W0012512-018"/>
    <s v="EJ-Malang-01"/>
    <s v="Oka-0813-2707-1646"/>
    <d v="2025-11-06T00:00:00"/>
    <d v="1899-12-30T08:00:00"/>
    <s v="GCI Procurement"/>
    <x v="2"/>
    <x v="9"/>
    <s v="GCI1001"/>
    <s v="Pcs"/>
    <n v="2"/>
    <s v="ADJUSTMENT"/>
    <x v="18"/>
    <m/>
    <m/>
    <m/>
    <m/>
    <m/>
    <m/>
    <m/>
    <s v="ADJUSTMENT"/>
    <m/>
    <s v="ADJUSTMENT"/>
    <e v="#N/A"/>
    <e v="#N/A"/>
    <s v="OUTBOUND_"/>
  </r>
  <r>
    <s v="734"/>
    <n v="1"/>
    <x v="0"/>
    <s v="INB-W0012511-001"/>
    <s v="EJ-Malang-01"/>
    <s v="Oka-0813-2707-1646"/>
    <d v="2025-11-06T00:00:00"/>
    <d v="1899-12-30T08:00:00"/>
    <s v="GCI Procurement"/>
    <x v="2"/>
    <x v="9"/>
    <s v="GCI1001"/>
    <s v="Pcs"/>
    <n v="51"/>
    <s v="ADJUSTMENT"/>
    <x v="18"/>
    <m/>
    <m/>
    <m/>
    <m/>
    <m/>
    <m/>
    <m/>
    <s v="ADJUSTMENT"/>
    <m/>
    <s v="ADJUSTMENT"/>
    <e v="#N/A"/>
    <e v="#N/A"/>
    <s v="OUTBOUND_"/>
  </r>
  <r>
    <s v="735"/>
    <n v="2"/>
    <x v="1"/>
    <s v="OUB-W0012511-003"/>
    <s v="EJ-Malang-01"/>
    <s v="Oka-0813-2707-1646"/>
    <d v="2025-11-09T00:00:00"/>
    <d v="1899-12-30T19:20:00"/>
    <s v="EJ-MALANG-01"/>
    <x v="2"/>
    <x v="9"/>
    <s v="GCI1001"/>
    <s v="Pcs"/>
    <n v="53"/>
    <s v="-"/>
    <x v="3"/>
    <s v="-"/>
    <s v="-"/>
    <m/>
    <s v="Riki Romansyah"/>
    <n v="0"/>
    <s v="3507050501950006"/>
    <s v="N 8420 EL"/>
    <m/>
    <m/>
    <n v="0"/>
    <e v="#N/A"/>
    <e v="#N/A"/>
    <s v="OUTBOUND_"/>
  </r>
  <r>
    <s v="736"/>
    <n v="2"/>
    <x v="0"/>
    <s v="INB-W0012511-004"/>
    <s v="EJ-Malang-01"/>
    <s v="Oka-0813-2707-1646"/>
    <d v="2025-11-26T00:00:00"/>
    <d v="1899-12-30T16:01:00"/>
    <s v="GCI Procurement"/>
    <x v="2"/>
    <x v="9"/>
    <s v="GCI1001"/>
    <s v="Pcs"/>
    <n v="52"/>
    <s v="-"/>
    <x v="3"/>
    <s v="-"/>
    <s v="-"/>
    <m/>
    <m/>
    <m/>
    <m/>
    <m/>
    <m/>
    <m/>
    <n v="0"/>
    <e v="#N/A"/>
    <e v="#N/A"/>
    <s v="OUTBOUND_"/>
  </r>
  <r>
    <s v="737"/>
    <n v="1"/>
    <x v="1"/>
    <s v="OUB-W0012511-008"/>
    <s v="EJ-Malang-01"/>
    <s v="Oka-0813-2707-1646"/>
    <d v="2025-11-30T00:00:00"/>
    <d v="1899-12-30T16:00:00"/>
    <s v="EJ-MALANG-01"/>
    <x v="2"/>
    <x v="9"/>
    <s v="GCI1001"/>
    <s v="Pcs"/>
    <n v="2"/>
    <s v="CLR51-99-302"/>
    <x v="112"/>
    <m/>
    <m/>
    <m/>
    <s v="Riki Romansyah"/>
    <s v="Suliadi"/>
    <s v="3507050501950006"/>
    <s v="N 8420 EL"/>
    <s v="FO CUT Lesanpuro"/>
    <m/>
    <s v="LESANPURO RW 06 MALANG"/>
    <e v="#N/A"/>
    <e v="#N/A"/>
    <s v="OUTBOUND_"/>
  </r>
  <r>
    <s v="738"/>
    <n v="3"/>
    <x v="1"/>
    <s v="OUB-W0012512-005"/>
    <s v="EJ-Malang-01"/>
    <s v="Oka-0813-2707-1646"/>
    <d v="2025-12-15T00:00:00"/>
    <d v="1899-12-30T08:50:00"/>
    <s v="EJ-MALANG-01"/>
    <x v="2"/>
    <x v="9"/>
    <s v="GCI1001"/>
    <s v="Pcs"/>
    <n v="52"/>
    <s v="-"/>
    <x v="3"/>
    <s v="-"/>
    <s v="-"/>
    <m/>
    <s v="Riki Romansyah"/>
    <s v="Suliadi"/>
    <s v="3507050501950006"/>
    <s v="N 8420 EL"/>
    <m/>
    <m/>
    <n v="0"/>
    <e v="#N/A"/>
    <e v="#N/A"/>
    <s v="OUTBOUND_"/>
  </r>
  <r>
    <s v="739"/>
    <n v="1"/>
    <x v="0"/>
    <s v="INB-W0012512-019"/>
    <s v="EJ-Malang-01"/>
    <s v="Oka-0813-2707-1646"/>
    <d v="2025-12-23T00:00:00"/>
    <d v="1899-12-30T08:00:00"/>
    <s v="GCI Procurement"/>
    <x v="2"/>
    <x v="9"/>
    <s v="GCI1001"/>
    <s v="Pcs"/>
    <n v="234"/>
    <m/>
    <x v="3"/>
    <m/>
    <m/>
    <m/>
    <m/>
    <m/>
    <m/>
    <m/>
    <m/>
    <m/>
    <n v="0"/>
    <e v="#N/A"/>
    <e v="#N/A"/>
    <s v="OUTBOUND_"/>
  </r>
  <r>
    <s v="740"/>
    <n v="4"/>
    <x v="1"/>
    <s v="OUB-W0012512-024"/>
    <s v="EJ-Malang-01"/>
    <s v="Oka-0813-2707-1646"/>
    <d v="2025-12-25T00:00:00"/>
    <d v="1899-12-30T12:13:00"/>
    <s v="EJ-MALANG-01"/>
    <x v="2"/>
    <x v="9"/>
    <s v="GCI1001"/>
    <s v="Pcs"/>
    <n v="234"/>
    <m/>
    <x v="3"/>
    <m/>
    <m/>
    <m/>
    <s v="Riki Romansyah"/>
    <s v="Suliadi"/>
    <s v="3507050501950006"/>
    <s v="N 8420 EL"/>
    <m/>
    <m/>
    <n v="0"/>
    <e v="#N/A"/>
    <e v="#N/A"/>
    <s v="OUTBOUND_"/>
  </r>
  <r>
    <s v="741"/>
    <m/>
    <x v="0"/>
    <s v="INB-W0012308-6"/>
    <s v="EJ-Malang-01"/>
    <s v="Oka-0813-2707-1646"/>
    <d v="2023-08-09T00:00:00"/>
    <d v="1900-01-14T07:00:00"/>
    <s v="GCI Procurement"/>
    <x v="2"/>
    <x v="10"/>
    <s v="GCI1009"/>
    <s v="Pcs"/>
    <n v="35"/>
    <s v="CLR51-99-004"/>
    <x v="19"/>
    <n v="0"/>
    <n v="0"/>
    <m/>
    <m/>
    <m/>
    <m/>
    <m/>
    <m/>
    <m/>
    <s v="Perumahan Bumi Podo Rukun Dau"/>
    <e v="#N/A"/>
    <e v="#N/A"/>
    <s v="OUTBOUND_"/>
  </r>
  <r>
    <s v="742"/>
    <m/>
    <x v="1"/>
    <s v="OUB-W0012308-7"/>
    <s v="EJ-Malang-01"/>
    <s v="Oka-0813-2707-1646"/>
    <d v="2023-08-10T00:00:00"/>
    <d v="1900-01-14T16:37:24"/>
    <s v="EJ-MALANG-01"/>
    <x v="2"/>
    <x v="10"/>
    <s v="GCI1009"/>
    <s v="Pcs"/>
    <n v="35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743"/>
    <m/>
    <x v="0"/>
    <s v="INB-W0012308-9"/>
    <s v="EJ-Malang-01"/>
    <s v="Oka-0813-2707-1646"/>
    <d v="2023-08-14T00:00:00"/>
    <d v="1900-01-14T07:00:00"/>
    <s v="GCI Procurement"/>
    <x v="2"/>
    <x v="10"/>
    <s v="GCI1009"/>
    <s v="Pcs"/>
    <n v="60"/>
    <s v="CLR51-99-004"/>
    <x v="19"/>
    <n v="0"/>
    <n v="0"/>
    <m/>
    <m/>
    <m/>
    <m/>
    <m/>
    <m/>
    <m/>
    <s v="Perumahan Bumi Podo Rukun Dau"/>
    <e v="#N/A"/>
    <e v="#N/A"/>
    <s v="OUTBOUND_"/>
  </r>
  <r>
    <s v="744"/>
    <m/>
    <x v="1"/>
    <s v="OUB-W0012308-10"/>
    <s v="EJ-Malang-01"/>
    <s v="Oka-0813-2707-1646"/>
    <d v="2023-08-16T00:00:00"/>
    <d v="1900-01-14T08:56:24"/>
    <s v="EJ-MALANG-01"/>
    <x v="2"/>
    <x v="10"/>
    <s v="GCI1009"/>
    <s v="Pcs"/>
    <n v="60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745"/>
    <m/>
    <x v="0"/>
    <s v="INB-W0012308-12"/>
    <s v="EJ-Malang-01"/>
    <s v="Oka-0813-2707-1646"/>
    <d v="2023-08-19T00:00:00"/>
    <d v="1900-01-14T07:00:00"/>
    <s v="GCI Procurement"/>
    <x v="2"/>
    <x v="10"/>
    <s v="GCI1009"/>
    <s v="Pcs"/>
    <n v="45"/>
    <s v="CLR51-99-004"/>
    <x v="19"/>
    <n v="0"/>
    <n v="0"/>
    <m/>
    <m/>
    <m/>
    <m/>
    <m/>
    <m/>
    <m/>
    <s v="Perumahan Bumi Podo Rukun Dau"/>
    <e v="#N/A"/>
    <e v="#N/A"/>
    <s v="OUTBOUND_"/>
  </r>
  <r>
    <s v="746"/>
    <m/>
    <x v="1"/>
    <s v="OUB-W0012308-13"/>
    <s v="EJ-Malang-01"/>
    <s v="Oka-0813-2707-1646"/>
    <d v="2023-08-20T00:00:00"/>
    <d v="1899-12-30T08:28:00"/>
    <s v="EJ-MALANG-01"/>
    <x v="2"/>
    <x v="10"/>
    <s v="GCI1009"/>
    <s v="Pcs"/>
    <n v="45"/>
    <s v="CLR51-99-004"/>
    <x v="19"/>
    <m/>
    <m/>
    <m/>
    <s v="Agus Suyoto"/>
    <s v="Febby Supplier"/>
    <s v="3515171206680002"/>
    <s v="B-9407-UT"/>
    <m/>
    <m/>
    <s v="Perumahan Bumi Podo Rukun Dau"/>
    <e v="#N/A"/>
    <e v="#N/A"/>
    <s v="OUTBOUND_"/>
  </r>
  <r>
    <s v="747"/>
    <m/>
    <x v="0"/>
    <s v="INB-W0012308-14"/>
    <s v="EJ-Malang-01"/>
    <s v="Oka-0813-2707-1646"/>
    <d v="2023-08-24T00:00:00"/>
    <d v="1900-01-14T07:00:00"/>
    <s v="GCI Procurement"/>
    <x v="2"/>
    <x v="10"/>
    <s v="GCI1009"/>
    <s v="Pcs"/>
    <n v="104"/>
    <s v="CLR51-99-006"/>
    <x v="23"/>
    <n v="0"/>
    <n v="0"/>
    <m/>
    <m/>
    <m/>
    <m/>
    <m/>
    <m/>
    <m/>
    <s v="Mulyorejo RW 04 Sukun"/>
    <e v="#N/A"/>
    <e v="#N/A"/>
    <s v="OUTBOUND_"/>
  </r>
  <r>
    <s v="748"/>
    <m/>
    <x v="0"/>
    <s v="INB-W0012309-20"/>
    <s v="EJ-Malang-01"/>
    <s v="Oka-0813-2707-1646"/>
    <d v="2023-09-04T00:00:00"/>
    <d v="1900-01-14T07:00:00"/>
    <s v="FIELD TEAM"/>
    <x v="2"/>
    <x v="10"/>
    <s v="GCI1009"/>
    <s v="Pcs"/>
    <n v="32"/>
    <s v="CLR51-99-004"/>
    <x v="19"/>
    <n v="0"/>
    <n v="0"/>
    <m/>
    <m/>
    <m/>
    <m/>
    <m/>
    <s v="Pengembalian Perumahan Bumi Podo Rukun Dau"/>
    <m/>
    <s v="Perumahan Bumi Podo Rukun Dau"/>
    <e v="#N/A"/>
    <e v="#N/A"/>
    <s v="OUTBOUND_"/>
  </r>
  <r>
    <s v="749"/>
    <m/>
    <x v="1"/>
    <s v="OUB-W0012309-19"/>
    <s v="EJ-Malang-01"/>
    <s v="Oka-0813-2707-1646"/>
    <d v="2023-09-04T00:00:00"/>
    <d v="1899-12-30T16:37:00"/>
    <s v="EJ-MALANG-01"/>
    <x v="2"/>
    <x v="10"/>
    <s v="GCI1009"/>
    <s v="Pcs"/>
    <n v="32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750"/>
    <m/>
    <x v="1"/>
    <s v="OUB-W0012309-23"/>
    <s v="EJ-Malang-01"/>
    <s v="Oka-0813-2707-1646"/>
    <d v="2023-09-06T00:00:00"/>
    <d v="1899-12-30T08:08:00"/>
    <s v="EJ-MALANG-01"/>
    <x v="2"/>
    <x v="10"/>
    <s v="GCI1009"/>
    <s v="Pcs"/>
    <n v="30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751"/>
    <m/>
    <x v="0"/>
    <s v="INB-W0012309-26"/>
    <s v="EJ-Malang-01"/>
    <s v="Oka-0813-2707-1646"/>
    <d v="2023-09-08T00:00:00"/>
    <d v="1899-12-30T16:14:00"/>
    <s v="FIELD TEAM"/>
    <x v="2"/>
    <x v="10"/>
    <s v="GCI1009"/>
    <s v="Pcs"/>
    <n v="8"/>
    <s v="CLR51-99-006"/>
    <x v="23"/>
    <n v="0"/>
    <n v="0"/>
    <m/>
    <m/>
    <m/>
    <m/>
    <m/>
    <s v="Pengembalian dari Mulyorejo RW 04 Sukun"/>
    <m/>
    <s v="Mulyorejo RW 04 Sukun"/>
    <e v="#N/A"/>
    <e v="#N/A"/>
    <s v="OUTBOUND_"/>
  </r>
  <r>
    <s v="752"/>
    <m/>
    <x v="1"/>
    <s v="OUB-W0012309-24"/>
    <s v="EJ-Malang-01"/>
    <s v="Oka-0813-2707-1646"/>
    <d v="2023-09-08T00:00:00"/>
    <d v="1899-12-30T08:54:00"/>
    <s v="EJ-MALANG-01"/>
    <x v="2"/>
    <x v="10"/>
    <s v="GCI1009"/>
    <s v="Pcs"/>
    <n v="20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753"/>
    <m/>
    <x v="0"/>
    <s v="INB-W0012309-37"/>
    <s v="EJ-Malang-01"/>
    <s v="Oka-0813-2707-1646"/>
    <d v="2023-09-22T00:00:00"/>
    <d v="1900-01-14T07:00:00"/>
    <s v="GCI Procurement"/>
    <x v="2"/>
    <x v="10"/>
    <s v="GCI1009"/>
    <s v="Pcs"/>
    <n v="272"/>
    <s v="CLR51-02-001"/>
    <x v="20"/>
    <n v="0"/>
    <n v="0"/>
    <m/>
    <m/>
    <m/>
    <m/>
    <m/>
    <s v="Di antar ke Khoiri Supplier "/>
    <m/>
    <s v="Puncak Dieng Exlusif"/>
    <e v="#N/A"/>
    <e v="#N/A"/>
    <s v="OUTBOUND_"/>
  </r>
  <r>
    <s v="754"/>
    <m/>
    <x v="1"/>
    <s v="OUB-W0012309-41"/>
    <s v="EJ-Malang-01"/>
    <s v="Oka-0813-2707-1646"/>
    <d v="2023-09-24T00:00:00"/>
    <d v="1899-12-30T07:36:00"/>
    <s v="EJ-MALANG-01"/>
    <x v="2"/>
    <x v="10"/>
    <s v="GCI1009"/>
    <s v="Pcs"/>
    <n v="37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755"/>
    <m/>
    <x v="1"/>
    <s v="OUB-W0012309-44"/>
    <s v="EJ-Malang-01"/>
    <s v="Oka-0813-2707-1646"/>
    <d v="2023-09-25T00:00:00"/>
    <d v="1899-12-30T06:30:00"/>
    <s v="EJ-MALANG-01"/>
    <x v="2"/>
    <x v="10"/>
    <s v="GCI1009"/>
    <s v="Pcs"/>
    <n v="10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756"/>
    <m/>
    <x v="1"/>
    <s v="OUB-W0012309-44"/>
    <s v="EJ-Malang-01"/>
    <s v="Oka-0813-2707-1646"/>
    <d v="2023-09-25T00:00:00"/>
    <d v="1899-12-30T06:30:00"/>
    <s v="EJ-MALANG-01"/>
    <x v="2"/>
    <x v="10"/>
    <s v="GCI1009"/>
    <s v="Pcs"/>
    <n v="30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757"/>
    <m/>
    <x v="1"/>
    <s v="OUB-W0012309-46"/>
    <s v="EJ-Malang-01"/>
    <s v="Oka-0813-2707-1646"/>
    <d v="2023-09-26T00:00:00"/>
    <d v="1899-12-30T06:30:00"/>
    <s v="EJ-MALANG-01"/>
    <x v="2"/>
    <x v="10"/>
    <s v="GCI1009"/>
    <s v="Pcs"/>
    <n v="50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758"/>
    <m/>
    <x v="1"/>
    <s v="OUB-W0012309-51"/>
    <s v="EJ-Malang-01"/>
    <s v="Oka-0813-2707-1646"/>
    <d v="2023-09-27T00:00:00"/>
    <d v="1899-12-30T12:30:00"/>
    <s v="EJ-MALANG-01"/>
    <x v="2"/>
    <x v="10"/>
    <s v="GCI1009"/>
    <s v="Pcs"/>
    <n v="44"/>
    <s v="CLR51-99-013"/>
    <x v="26"/>
    <m/>
    <m/>
    <m/>
    <s v="Ahmad Subari"/>
    <s v="Khoiri Supplier"/>
    <s v="3507150401800010"/>
    <s v="N 9795 EM"/>
    <m/>
    <m/>
    <s v="Pandan Landung RW 03 Wagir"/>
    <e v="#N/A"/>
    <e v="#N/A"/>
    <s v="OUTBOUND_"/>
  </r>
  <r>
    <s v="759"/>
    <m/>
    <x v="1"/>
    <s v="OUB-W0012310-55"/>
    <s v="EJ-Malang-01"/>
    <s v="Oka-0813-2707-1646"/>
    <d v="2023-10-01T00:00:00"/>
    <d v="1899-12-30T06:30:00"/>
    <s v="EJ-MALANG-01"/>
    <x v="2"/>
    <x v="10"/>
    <s v="GCI1009"/>
    <s v="Pcs"/>
    <n v="75"/>
    <s v="CLR51-02-001"/>
    <x v="20"/>
    <m/>
    <m/>
    <m/>
    <s v="Khoiri"/>
    <s v="Khoiri Supplier"/>
    <s v="3507330905820002"/>
    <s v="N 8638 ES"/>
    <m/>
    <m/>
    <s v="Puncak Dieng Exlusif"/>
    <e v="#N/A"/>
    <e v="#N/A"/>
    <s v="OUTBOUND_"/>
  </r>
  <r>
    <s v="760"/>
    <m/>
    <x v="0"/>
    <s v="INB-W0012310-58"/>
    <s v="EJ-Malang-01"/>
    <s v="Oka-0813-2707-1646"/>
    <d v="2023-10-02T00:00:00"/>
    <d v="1900-01-14T07:00:00"/>
    <s v="GCI Procurement"/>
    <x v="2"/>
    <x v="10"/>
    <s v="GCI1009"/>
    <s v="Pcs"/>
    <n v="125"/>
    <s v="PRC"/>
    <x v="135"/>
    <n v="0"/>
    <n v="0"/>
    <m/>
    <m/>
    <m/>
    <m/>
    <m/>
    <m/>
    <m/>
    <s v="Purchase"/>
    <e v="#N/A"/>
    <e v="#N/A"/>
    <s v="OUTBOUND_"/>
  </r>
  <r>
    <s v="761"/>
    <m/>
    <x v="1"/>
    <s v="OUB-W0012310-59"/>
    <s v="EJ-Malang-01"/>
    <s v="Oka-0813-2707-1646"/>
    <d v="2023-10-04T00:00:00"/>
    <d v="1899-12-30T09:40:00"/>
    <s v="EJ-MALANG-01"/>
    <x v="2"/>
    <x v="10"/>
    <s v="GCI1009"/>
    <s v="Pcs"/>
    <n v="10"/>
    <s v="CLR51-99-014"/>
    <x v="29"/>
    <m/>
    <m/>
    <m/>
    <s v="Ahmad Subari"/>
    <n v="0"/>
    <s v="3507150401800010"/>
    <s v="N 9609 EF"/>
    <m/>
    <m/>
    <s v="Pandan Landung RW 04 Wagir"/>
    <e v="#N/A"/>
    <e v="#N/A"/>
    <s v="OUTBOUND_"/>
  </r>
  <r>
    <s v="762"/>
    <m/>
    <x v="1"/>
    <s v="OUB-W0012310-62"/>
    <s v="EJ-Malang-01"/>
    <s v="Oka-0813-2707-1646"/>
    <d v="2023-10-06T00:00:00"/>
    <d v="1899-12-30T09:27:00"/>
    <s v="EJ-MALANG-01"/>
    <x v="2"/>
    <x v="10"/>
    <s v="GCI1009"/>
    <s v="Pcs"/>
    <n v="60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763"/>
    <m/>
    <x v="1"/>
    <s v="OUB-W0012310-63"/>
    <s v="EJ-Malang-01"/>
    <s v="Oka-0813-2707-1646"/>
    <d v="2023-10-08T00:00:00"/>
    <d v="1899-12-30T09:22:00"/>
    <s v="EJ-MALANG-01"/>
    <x v="2"/>
    <x v="10"/>
    <s v="GCI1009"/>
    <s v="Pcs"/>
    <n v="35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764"/>
    <m/>
    <x v="1"/>
    <s v="OUB-W0012310-66"/>
    <s v="EJ-Malang-01"/>
    <s v="Oka-0813-2707-1646"/>
    <d v="2023-10-11T00:00:00"/>
    <d v="1899-12-30T10:57:00"/>
    <s v="EJ-MALANG-01"/>
    <x v="2"/>
    <x v="10"/>
    <s v="GCI1009"/>
    <s v="Pcs"/>
    <n v="30"/>
    <s v="CLR51-02-001"/>
    <x v="20"/>
    <m/>
    <m/>
    <m/>
    <s v="Khoiri"/>
    <s v="Khoiri Supplier"/>
    <s v="3507330905820002"/>
    <s v="N 3408 ECP"/>
    <m/>
    <m/>
    <s v="Puncak Dieng Exlusif"/>
    <e v="#N/A"/>
    <e v="#N/A"/>
    <s v="OUTBOUND_"/>
  </r>
  <r>
    <s v="765"/>
    <m/>
    <x v="1"/>
    <s v="OUB-W0012310-84"/>
    <s v="EJ-Malang-01"/>
    <s v="Oka-0813-2707-1646"/>
    <d v="2023-10-18T00:00:00"/>
    <d v="1899-12-30T14:05:00"/>
    <s v="EJ-MALANG-01"/>
    <x v="2"/>
    <x v="10"/>
    <s v="GCI1009"/>
    <s v="Pcs"/>
    <n v="50"/>
    <s v="CLR51-99-013"/>
    <x v="26"/>
    <m/>
    <m/>
    <m/>
    <s v="Ahmad Subari"/>
    <n v="0"/>
    <s v="3507150401800010"/>
    <s v="N 9609 EF"/>
    <m/>
    <m/>
    <s v="Pandan Landung RW 03 Wagir"/>
    <e v="#N/A"/>
    <e v="#N/A"/>
    <s v="OUTBOUND_"/>
  </r>
  <r>
    <s v="766"/>
    <m/>
    <x v="0"/>
    <s v="INB-W0012310-104"/>
    <s v="EJ-Malang-01"/>
    <s v="Oka-0813-2707-1646"/>
    <d v="2023-10-21T00:00:00"/>
    <d v="1900-01-14T07:00:00"/>
    <s v="GCI Procurement"/>
    <x v="2"/>
    <x v="10"/>
    <s v="GCI1009"/>
    <s v="Pcs"/>
    <n v="310"/>
    <s v="PRC"/>
    <x v="135"/>
    <n v="0"/>
    <n v="0"/>
    <m/>
    <m/>
    <m/>
    <m/>
    <m/>
    <s v="Pengambilan Oleh Sigit Pamungkas di UD HALIM JAYA"/>
    <m/>
    <s v="Purchase"/>
    <e v="#N/A"/>
    <e v="#N/A"/>
    <s v="OUTBOUND_"/>
  </r>
  <r>
    <s v="767"/>
    <m/>
    <x v="1"/>
    <s v="OUB-W0012310-95"/>
    <s v="EJ-Malang-01"/>
    <s v="Oka-0813-2707-1646"/>
    <d v="2023-10-21T00:00:00"/>
    <d v="1899-12-30T23:24:00"/>
    <s v="EJ-MALANG-01"/>
    <x v="2"/>
    <x v="10"/>
    <s v="GCI1009"/>
    <s v="Pcs"/>
    <n v="60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768"/>
    <m/>
    <x v="1"/>
    <s v="OUB-W0012310-95"/>
    <s v="EJ-Malang-01"/>
    <s v="Oka-0813-2707-1646"/>
    <d v="2023-10-21T00:00:00"/>
    <d v="1899-12-30T23:24:00"/>
    <s v="EJ-MALANG-01"/>
    <x v="2"/>
    <x v="10"/>
    <s v="GCI1009"/>
    <s v="Pcs"/>
    <n v="72"/>
    <s v="CLR51-99-020"/>
    <x v="22"/>
    <m/>
    <m/>
    <m/>
    <s v="Khoiri"/>
    <s v="Khoiri Supplier"/>
    <s v="3507330905820002"/>
    <s v="N 8408 CB"/>
    <m/>
    <m/>
    <s v="Jedong RW 08 Wagir"/>
    <e v="#N/A"/>
    <e v="#N/A"/>
    <s v="OUTBOUND_"/>
  </r>
  <r>
    <s v="769"/>
    <m/>
    <x v="1"/>
    <s v="OUB-W0012310-94"/>
    <s v="EJ-Malang-01"/>
    <s v="Oka-0813-2707-1646"/>
    <d v="2023-10-21T00:00:00"/>
    <d v="1899-12-30T23:24:00"/>
    <s v="EJ-MALANG-01"/>
    <x v="2"/>
    <x v="10"/>
    <s v="GCI1009"/>
    <s v="Pcs"/>
    <n v="136"/>
    <n v="0"/>
    <x v="5"/>
    <m/>
    <m/>
    <m/>
    <s v="Mustofa"/>
    <n v="0"/>
    <s v="3209140803860003"/>
    <s v="N 9609 EF"/>
    <m/>
    <m/>
    <n v="0"/>
    <e v="#N/A"/>
    <e v="#N/A"/>
    <s v="OUTBOUND_"/>
  </r>
  <r>
    <s v="770"/>
    <m/>
    <x v="1"/>
    <s v="OUB-W0012310-105"/>
    <s v="EJ-Malang-01"/>
    <s v="Oka-0813-2707-1646"/>
    <d v="2023-10-22T00:00:00"/>
    <d v="1899-12-30T22:30:00"/>
    <s v="EJ-MALANG-01"/>
    <x v="2"/>
    <x v="10"/>
    <s v="GCI1009"/>
    <s v="Pcs"/>
    <n v="36"/>
    <s v="CLR51-99-019"/>
    <x v="28"/>
    <m/>
    <m/>
    <m/>
    <s v="Mustofa"/>
    <n v="0"/>
    <s v="3209140803860003"/>
    <s v="N 9609 EF"/>
    <m/>
    <m/>
    <s v="Sidorahayu RW 02 Wagir"/>
    <e v="#N/A"/>
    <e v="#N/A"/>
    <s v="OUTBOUND_"/>
  </r>
  <r>
    <s v="771"/>
    <m/>
    <x v="1"/>
    <s v="OUB-W0012310-105"/>
    <s v="EJ-Malang-01"/>
    <s v="Oka-0813-2707-1646"/>
    <d v="2023-10-22T00:00:00"/>
    <d v="1899-12-30T22:30:00"/>
    <s v="EJ-MALANG-01"/>
    <x v="2"/>
    <x v="10"/>
    <s v="GCI1009"/>
    <s v="Pcs"/>
    <n v="42"/>
    <s v="CLR51-99-017"/>
    <x v="21"/>
    <m/>
    <m/>
    <m/>
    <s v="Mustofa"/>
    <n v="0"/>
    <s v="3209140803860003"/>
    <s v="N 9609 EF"/>
    <m/>
    <m/>
    <s v="Sukodadi RW 01 Wagir"/>
    <e v="#N/A"/>
    <e v="#N/A"/>
    <s v="OUTBOUND_"/>
  </r>
  <r>
    <s v="772"/>
    <m/>
    <x v="1"/>
    <s v="OUB-W0012310-105"/>
    <s v="EJ-Malang-01"/>
    <s v="Oka-0813-2707-1646"/>
    <d v="2023-10-22T00:00:00"/>
    <d v="1899-12-30T22:30:00"/>
    <s v="EJ-MALANG-01"/>
    <x v="2"/>
    <x v="10"/>
    <s v="GCI1009"/>
    <s v="Pcs"/>
    <n v="100"/>
    <s v="CLR51-99-018"/>
    <x v="151"/>
    <m/>
    <m/>
    <m/>
    <s v="Mustofa"/>
    <n v="0"/>
    <s v="3209140803860003"/>
    <s v="N 9609 EF"/>
    <m/>
    <m/>
    <s v="Sukodadi RW 02 Wagir"/>
    <e v="#N/A"/>
    <e v="#N/A"/>
    <s v="OUTBOUND_"/>
  </r>
  <r>
    <s v="773"/>
    <m/>
    <x v="1"/>
    <s v="OUB-W0012310-110"/>
    <s v="EJ-Malang-01"/>
    <s v="Oka-0813-2707-1646"/>
    <d v="2023-10-24T00:00:00"/>
    <d v="1899-12-30T13:37:00"/>
    <s v="EJ-MALANG-01"/>
    <x v="2"/>
    <x v="10"/>
    <s v="GCI1009"/>
    <s v="Pcs"/>
    <n v="2"/>
    <s v="CLR51-99-006"/>
    <x v="23"/>
    <m/>
    <m/>
    <m/>
    <s v="Mohammad Febbi H"/>
    <n v="0"/>
    <s v="3524052002930003"/>
    <s v="L 9740 NM"/>
    <m/>
    <m/>
    <s v="Mulyorejo RW 04 Sukun"/>
    <e v="#N/A"/>
    <e v="#N/A"/>
    <s v="OUTBOUND_"/>
  </r>
  <r>
    <s v="774"/>
    <m/>
    <x v="1"/>
    <s v="OUB-W0012311-125"/>
    <s v="EJ-Malang-01"/>
    <s v="Oka-0813-2707-1646"/>
    <d v="2023-11-24T00:00:00"/>
    <d v="1899-12-30T11:00:00"/>
    <s v="EJ-MALANG-01"/>
    <x v="2"/>
    <x v="10"/>
    <s v="GCI1009"/>
    <s v="Pcs"/>
    <n v="10"/>
    <s v="CLR51-99-020"/>
    <x v="22"/>
    <m/>
    <m/>
    <m/>
    <s v="Agus Oka"/>
    <n v="0"/>
    <s v="3503011606970003"/>
    <s v="AG 2455 YBO"/>
    <m/>
    <m/>
    <s v="Jedong RW 08 Wagir"/>
    <e v="#N/A"/>
    <e v="#N/A"/>
    <s v="OUTBOUND_"/>
  </r>
  <r>
    <s v="775"/>
    <m/>
    <x v="0"/>
    <s v="INB-W0012311-137"/>
    <s v="EJ-Malang-01"/>
    <s v="Oka-0813-2707-1646"/>
    <d v="2023-11-28T00:00:00"/>
    <d v="1900-01-14T07:00:00"/>
    <s v="GCI Procurement"/>
    <x v="2"/>
    <x v="10"/>
    <s v="GCI1009"/>
    <s v="Pcs"/>
    <n v="240"/>
    <s v="PRC"/>
    <x v="135"/>
    <n v="0"/>
    <n v="0"/>
    <m/>
    <m/>
    <m/>
    <m/>
    <m/>
    <m/>
    <m/>
    <s v="Purchase"/>
    <e v="#N/A"/>
    <e v="#N/A"/>
    <s v="OUTBOUND_"/>
  </r>
  <r>
    <s v="776"/>
    <m/>
    <x v="1"/>
    <s v="OUB-W0012312-143"/>
    <s v="EJ-Malang-01"/>
    <s v="Oka-0813-2707-1646"/>
    <d v="2023-12-07T00:00:00"/>
    <d v="1899-12-30T21:30:00"/>
    <s v="EJ-MALANG-01"/>
    <x v="2"/>
    <x v="10"/>
    <s v="GCI1009"/>
    <s v="Pcs"/>
    <n v="46"/>
    <s v="CLR51-99-013"/>
    <x v="26"/>
    <m/>
    <m/>
    <m/>
    <s v="Fatur"/>
    <n v="0"/>
    <s v="1812010507910004"/>
    <s v="L 9221 K"/>
    <m/>
    <m/>
    <s v="Pandan Landung RW 03 Wagir"/>
    <e v="#N/A"/>
    <e v="#N/A"/>
    <s v="OUTBOUND_"/>
  </r>
  <r>
    <s v="777"/>
    <m/>
    <x v="2"/>
    <s v="TFO-W0012312-145"/>
    <s v="EJ-Malang-01"/>
    <s v="Oka-0813-2707-1646"/>
    <d v="2023-12-10T00:00:00"/>
    <d v="1899-12-30T22:10:00"/>
    <s v="EJ-MADIUN-01"/>
    <x v="2"/>
    <x v="10"/>
    <s v="GCI1009"/>
    <s v="Pcs"/>
    <n v="95"/>
    <s v="TRF"/>
    <x v="4"/>
    <m/>
    <m/>
    <m/>
    <s v="Fatur Rohman"/>
    <n v="0"/>
    <s v="1812010507910004"/>
    <s v="L 9221K"/>
    <s v="WH Malang ke WH Madiun"/>
    <m/>
    <s v="Transfer Gudang"/>
    <e v="#N/A"/>
    <e v="#N/A"/>
    <s v="TRANSFER OUT_"/>
  </r>
  <r>
    <s v="778"/>
    <m/>
    <x v="1"/>
    <s v="OUB-W0012312-147"/>
    <s v="EJ-Malang-01"/>
    <s v="Oka-0813-2707-1646"/>
    <d v="2023-12-15T00:00:00"/>
    <d v="1899-12-30T10:35:00"/>
    <s v="EJ-MALANG-01"/>
    <x v="2"/>
    <x v="10"/>
    <s v="GCI1009"/>
    <s v="Pcs"/>
    <n v="5"/>
    <s v="CLR51-99-017"/>
    <x v="21"/>
    <m/>
    <m/>
    <m/>
    <s v="Heri Susanto"/>
    <n v="0"/>
    <s v="3506220807870002"/>
    <s v="S 9794 JC"/>
    <m/>
    <m/>
    <s v="Sukodadi RW 01 Wagir"/>
    <e v="#N/A"/>
    <e v="#N/A"/>
    <s v="OUTBOUND_"/>
  </r>
  <r>
    <s v="779"/>
    <m/>
    <x v="3"/>
    <s v="TFI-W0012312-148"/>
    <s v="EJ-Malang-01"/>
    <s v="Oka-0813-2707-1646"/>
    <d v="2023-12-15T00:00:00"/>
    <d v="1900-01-14T07:00:00"/>
    <s v="EJ-KEDIRI-01"/>
    <x v="2"/>
    <x v="10"/>
    <s v="GCI1009"/>
    <s v="Pcs"/>
    <n v="188"/>
    <s v="TRF"/>
    <x v="78"/>
    <n v="0"/>
    <n v="0"/>
    <m/>
    <m/>
    <m/>
    <m/>
    <m/>
    <s v="WH KEDIRI KE WH MALANG"/>
    <m/>
    <s v="KEDIRI"/>
    <e v="#N/A"/>
    <e v="#N/A"/>
    <s v="OUTBOUND_"/>
  </r>
  <r>
    <s v="780"/>
    <m/>
    <x v="1"/>
    <s v="OUB-W0012312-149"/>
    <s v="EJ-Malang-01"/>
    <s v="Oka-0813-2707-1646"/>
    <d v="2023-12-16T00:00:00"/>
    <d v="1899-12-30T07:51:00"/>
    <s v="EJ-MALANG-01"/>
    <x v="2"/>
    <x v="10"/>
    <s v="GCI1009"/>
    <s v="Pcs"/>
    <n v="20"/>
    <s v="CLR51-99-019"/>
    <x v="28"/>
    <m/>
    <m/>
    <m/>
    <s v="Heri Susanto"/>
    <n v="0"/>
    <s v="3506220807870002"/>
    <s v="S 9794 JC"/>
    <m/>
    <m/>
    <s v="Sidorahayu RW 02 Wagir"/>
    <e v="#N/A"/>
    <e v="#N/A"/>
    <s v="OUTBOUND_"/>
  </r>
  <r>
    <s v="781"/>
    <m/>
    <x v="0"/>
    <s v="INB-W0012312-150"/>
    <s v="EJ-Malang-01"/>
    <s v="Oka-0813-2707-1646"/>
    <d v="2023-12-18T00:00:00"/>
    <d v="1900-01-14T07:00:00"/>
    <s v="FIELD TEAM"/>
    <x v="2"/>
    <x v="10"/>
    <s v="GCI1009"/>
    <s v="Pcs"/>
    <n v="185"/>
    <s v="RTN"/>
    <x v="156"/>
    <n v="0"/>
    <n v="0"/>
    <m/>
    <m/>
    <m/>
    <m/>
    <m/>
    <s v="Fahrudin sisa"/>
    <m/>
    <s v="Pengembalian"/>
    <e v="#N/A"/>
    <e v="#N/A"/>
    <s v="OUTBOUND_"/>
  </r>
  <r>
    <s v="782"/>
    <m/>
    <x v="1"/>
    <s v="OUB-W0012312-151"/>
    <s v="EJ-Malang-01"/>
    <s v="Oka-0813-2707-1646"/>
    <d v="2023-12-22T00:00:00"/>
    <d v="1899-12-30T13:27:00"/>
    <s v="EJ-MALANG-01"/>
    <x v="2"/>
    <x v="10"/>
    <s v="GCI1009"/>
    <s v="Pcs"/>
    <n v="40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783"/>
    <m/>
    <x v="1"/>
    <s v="OUB-W0012312-154"/>
    <s v="EJ-Malang-01"/>
    <s v="Oka-0813-2707-1646"/>
    <d v="2023-12-25T00:00:00"/>
    <d v="1899-12-30T09:25:00"/>
    <s v="EJ-MALANG-01"/>
    <x v="2"/>
    <x v="10"/>
    <s v="GCI1009"/>
    <s v="Pcs"/>
    <n v="10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784"/>
    <m/>
    <x v="1"/>
    <s v="OUB-W0012312-157"/>
    <s v="EJ-Malang-01"/>
    <s v="Oka-0813-2707-1646"/>
    <d v="2023-12-26T00:00:00"/>
    <d v="1899-12-30T09:25:00"/>
    <s v="EJ-MALANG-01"/>
    <x v="2"/>
    <x v="10"/>
    <s v="GCI1009"/>
    <s v="Pcs"/>
    <n v="6"/>
    <s v="CLR32-99-069"/>
    <x v="30"/>
    <m/>
    <m/>
    <m/>
    <s v="Fatur"/>
    <s v="Febby Supplier"/>
    <s v="3515082712870005"/>
    <s v="L 9340 BM"/>
    <m/>
    <m/>
    <s v="Sitirejo RW 01 Wagir"/>
    <e v="#N/A"/>
    <e v="#N/A"/>
    <s v="OUTBOUND_"/>
  </r>
  <r>
    <s v="785"/>
    <m/>
    <x v="0"/>
    <s v="INB-W0012401-183"/>
    <s v="EJ-Malang-01"/>
    <s v="Oka-0813-2707-1646"/>
    <d v="2024-01-18T00:00:00"/>
    <d v="1900-01-14T07:00:00"/>
    <s v="GCI Procurement"/>
    <x v="2"/>
    <x v="10"/>
    <s v="GCI1009"/>
    <s v="Pcs"/>
    <n v="252"/>
    <s v="PRC"/>
    <x v="135"/>
    <n v="0"/>
    <n v="0"/>
    <m/>
    <m/>
    <m/>
    <m/>
    <m/>
    <s v="UD Putra Cipta Karya"/>
    <m/>
    <s v="Purchase"/>
    <e v="#N/A"/>
    <e v="#N/A"/>
    <s v="OUTBOUND_"/>
  </r>
  <r>
    <s v="786"/>
    <m/>
    <x v="1"/>
    <s v="OUB-W0012401-186"/>
    <s v="EJ-Malang-01"/>
    <s v="Oka-0813-2707-1646"/>
    <d v="2024-01-19T00:00:00"/>
    <d v="1899-12-30T17:36:00"/>
    <s v="EJ-MALANG-01"/>
    <x v="2"/>
    <x v="10"/>
    <s v="GCI1009"/>
    <s v="Pcs"/>
    <n v="16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787"/>
    <m/>
    <x v="1"/>
    <s v="OUB-W0012401-195"/>
    <s v="EJ-Malang-01"/>
    <s v="Oka-0813-2707-1646"/>
    <d v="2024-01-22T00:00:00"/>
    <d v="1899-12-30T19:27:00"/>
    <s v="EJ-MALANG-01"/>
    <x v="2"/>
    <x v="10"/>
    <s v="GCI1009"/>
    <s v="Pcs"/>
    <n v="100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788"/>
    <m/>
    <x v="1"/>
    <s v="OUB-W0012401-192"/>
    <s v="EJ-Malang-01"/>
    <s v="Oka-0813-2707-1646"/>
    <d v="2024-01-22T00:00:00"/>
    <d v="1899-12-30T09:18:00"/>
    <s v="EJ-MALANG-01"/>
    <x v="2"/>
    <x v="10"/>
    <s v="GCI1009"/>
    <s v="Pcs"/>
    <n v="200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789"/>
    <m/>
    <x v="1"/>
    <s v="OUB-W0012401-198"/>
    <s v="EJ-Malang-01"/>
    <s v="Oka-0813-2707-1646"/>
    <d v="2024-01-23T00:00:00"/>
    <d v="1899-12-30T20:11:00"/>
    <s v="EJ-MALANG-01"/>
    <x v="2"/>
    <x v="10"/>
    <s v="GCI1009"/>
    <s v="Pcs"/>
    <n v="20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790"/>
    <m/>
    <x v="1"/>
    <s v="OUB-W0012401-197"/>
    <s v="EJ-Malang-01"/>
    <s v="Oka-0813-2707-1646"/>
    <d v="2024-01-23T00:00:00"/>
    <d v="1899-12-30T14:19:00"/>
    <s v="EJ-MALANG-01"/>
    <x v="2"/>
    <x v="10"/>
    <s v="GCI1009"/>
    <s v="Pcs"/>
    <n v="50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791"/>
    <m/>
    <x v="0"/>
    <s v="INB-W0012401-204"/>
    <s v="EJ-Malang-01"/>
    <s v="Oka-0813-2707-1646"/>
    <d v="2024-01-25T00:00:00"/>
    <d v="1900-01-14T07:00:00"/>
    <s v="GCI Procurement"/>
    <x v="2"/>
    <x v="10"/>
    <s v="GCI1009"/>
    <s v="Pcs"/>
    <n v="20"/>
    <s v="CLR51-99-038"/>
    <x v="32"/>
    <n v="0"/>
    <n v="0"/>
    <m/>
    <m/>
    <m/>
    <m/>
    <m/>
    <m/>
    <m/>
    <s v="Baturetno RW 03 Singosari"/>
    <e v="#N/A"/>
    <e v="#N/A"/>
    <s v="OUTBOUND_"/>
  </r>
  <r>
    <s v="792"/>
    <m/>
    <x v="1"/>
    <s v="OUB-W0012401-203"/>
    <s v="EJ-Malang-01"/>
    <s v="Oka-0813-2707-1646"/>
    <d v="2024-01-25T00:00:00"/>
    <d v="1899-12-30T14:58:00"/>
    <s v="EJ-MALANG-01"/>
    <x v="2"/>
    <x v="10"/>
    <s v="GCI1009"/>
    <s v="Pcs"/>
    <n v="4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793"/>
    <m/>
    <x v="1"/>
    <s v="OUB-W0012401-206"/>
    <s v="EJ-Malang-01"/>
    <s v="Oka-0813-2707-1646"/>
    <d v="2024-01-26T00:00:00"/>
    <d v="1899-12-30T09:49:00"/>
    <s v="EJ-MALANG-01"/>
    <x v="2"/>
    <x v="10"/>
    <s v="GCI1009"/>
    <s v="Pcs"/>
    <n v="50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794"/>
    <m/>
    <x v="0"/>
    <s v="INB-W0012401-209"/>
    <s v="EJ-Malang-01"/>
    <s v="Oka-0813-2707-1646"/>
    <d v="2024-01-27T00:00:00"/>
    <d v="1900-01-14T07:00:00"/>
    <s v="FIELD TEAM"/>
    <x v="2"/>
    <x v="10"/>
    <s v="GCI1009"/>
    <s v="Pcs"/>
    <n v="22"/>
    <s v="CLR29-99-153"/>
    <x v="34"/>
    <s v="RETURN"/>
    <n v="0"/>
    <m/>
    <m/>
    <m/>
    <m/>
    <m/>
    <m/>
    <m/>
    <s v="Perumahan Pondok Mutiara Malang"/>
    <e v="#N/A"/>
    <e v="#N/A"/>
    <s v="OUTBOUND_"/>
  </r>
  <r>
    <s v="795"/>
    <m/>
    <x v="1"/>
    <s v="OUB-W0012402-213"/>
    <s v="EJ-Malang-01"/>
    <s v="Oka-0813-2707-1646"/>
    <d v="2024-02-02T00:00:00"/>
    <d v="1899-12-30T15:10:00"/>
    <s v="EJ-MALANG-01"/>
    <x v="2"/>
    <x v="10"/>
    <s v="GCI1009"/>
    <s v="Pcs"/>
    <n v="10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796"/>
    <m/>
    <x v="1"/>
    <s v="OUB-W0012402-220"/>
    <s v="EJ-Malang-01"/>
    <s v="Oka-0813-2707-1646"/>
    <d v="2024-02-09T00:00:00"/>
    <d v="1899-12-30T15:13:00"/>
    <s v="EJ-MALANG-01"/>
    <x v="2"/>
    <x v="10"/>
    <s v="GCI1009"/>
    <s v="Pcs"/>
    <n v="11"/>
    <s v="CLR29-99-153"/>
    <x v="34"/>
    <m/>
    <m/>
    <m/>
    <s v="Riki Romansyah"/>
    <s v="Febby Supplier"/>
    <s v="3507050501950006"/>
    <s v="N 8420 EL"/>
    <m/>
    <m/>
    <s v="Perumahan Pondok Mutiara Malang"/>
    <e v="#N/A"/>
    <e v="#N/A"/>
    <s v="OUTBOUND_"/>
  </r>
  <r>
    <s v="797"/>
    <m/>
    <x v="1"/>
    <s v="OUB-W0012402-219"/>
    <s v="EJ-Malang-01"/>
    <s v="Oka-0813-2707-1646"/>
    <d v="2024-02-09T00:00:00"/>
    <d v="1899-12-30T10:13:00"/>
    <s v="EJ-MALANG-01"/>
    <x v="2"/>
    <x v="10"/>
    <s v="GCI1009"/>
    <s v="Pcs"/>
    <n v="16"/>
    <s v="CLR51-99-082"/>
    <x v="152"/>
    <m/>
    <m/>
    <m/>
    <s v="Riki Romansyah"/>
    <s v="Febby Supplier"/>
    <s v="3507050501950006"/>
    <s v="N 8420 EL"/>
    <m/>
    <m/>
    <s v="Dengkol RW 02 Singosari Malang"/>
    <e v="#N/A"/>
    <e v="#N/A"/>
    <s v="OUTBOUND_"/>
  </r>
  <r>
    <s v="798"/>
    <m/>
    <x v="1"/>
    <s v="OUB-W0012402-225"/>
    <s v="EJ-Malang-01"/>
    <s v="Oka-0813-2707-1646"/>
    <d v="2024-02-15T00:00:00"/>
    <d v="1899-12-30T11:04:00"/>
    <s v="EJ-MALANG-01"/>
    <x v="2"/>
    <x v="10"/>
    <s v="GCI1009"/>
    <s v="Pcs"/>
    <n v="50"/>
    <s v="CLR51-99-067"/>
    <x v="0"/>
    <m/>
    <m/>
    <m/>
    <s v="Riki Romansyah"/>
    <s v="Febby Supplier"/>
    <s v="3507050501950006"/>
    <s v="N 8420 EL"/>
    <m/>
    <m/>
    <s v="Bandulan RW 08 Sukun"/>
    <e v="#N/A"/>
    <e v="#N/A"/>
    <s v="OUTBOUND_"/>
  </r>
  <r>
    <s v="799"/>
    <m/>
    <x v="0"/>
    <s v="INB-W0012402-232"/>
    <s v="EJ-Malang-01"/>
    <s v="Oka-0813-2707-1646"/>
    <d v="2024-02-19T00:00:00"/>
    <d v="1900-01-14T07:00:00"/>
    <s v="FIELD TEAM"/>
    <x v="2"/>
    <x v="10"/>
    <s v="GCI1009"/>
    <s v="Pcs"/>
    <n v="50"/>
    <s v="CLR51-99-067"/>
    <x v="0"/>
    <s v="RETURN"/>
    <n v="0"/>
    <m/>
    <m/>
    <m/>
    <m/>
    <m/>
    <m/>
    <m/>
    <s v="Bandulan RW 08 Sukun"/>
    <e v="#N/A"/>
    <e v="#N/A"/>
    <s v="OUTBOUND_"/>
  </r>
  <r>
    <s v="800"/>
    <m/>
    <x v="1"/>
    <s v="OUB-W0012402-239"/>
    <s v="EJ-Malang-01"/>
    <s v="Oka-0813-2707-1646"/>
    <d v="2024-02-21T00:00:00"/>
    <d v="1899-12-30T18:56:00"/>
    <s v="EJ-MALANG-01"/>
    <x v="2"/>
    <x v="10"/>
    <s v="GCI1009"/>
    <s v="Pcs"/>
    <n v="50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801"/>
    <m/>
    <x v="0"/>
    <s v="INB-W0012402-242"/>
    <s v="EJ-Malang-01"/>
    <s v="Oka-0813-2707-1646"/>
    <d v="2024-02-22T00:00:00"/>
    <d v="1900-01-14T07:00:00"/>
    <s v="GCI Procurement"/>
    <x v="2"/>
    <x v="10"/>
    <s v="GCI1009"/>
    <s v="Pcs"/>
    <n v="86"/>
    <s v="CLR51-99-078"/>
    <x v="1"/>
    <n v="0"/>
    <n v="0"/>
    <m/>
    <m/>
    <m/>
    <m/>
    <m/>
    <s v="JNT Cargo"/>
    <m/>
    <s v="Bumiayu RW 03 Kedungkandang"/>
    <e v="#N/A"/>
    <e v="#N/A"/>
    <s v="OUTBOUND_"/>
  </r>
  <r>
    <s v="802"/>
    <m/>
    <x v="1"/>
    <s v="OUB-W0012402-241"/>
    <s v="EJ-Malang-01"/>
    <s v="Oka-0813-2707-1646"/>
    <d v="2024-02-22T00:00:00"/>
    <d v="1899-12-30T15:15:00"/>
    <s v="EJ-MALANG-01"/>
    <x v="2"/>
    <x v="10"/>
    <s v="GCI1009"/>
    <s v="Pcs"/>
    <n v="38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803"/>
    <m/>
    <x v="0"/>
    <s v="INB-W0012402-252"/>
    <s v="EJ-Malang-01"/>
    <s v="Oka-0813-2707-1646"/>
    <d v="2024-02-27T00:00:00"/>
    <d v="1900-01-14T07:00:00"/>
    <s v="GCI Procurement"/>
    <x v="2"/>
    <x v="10"/>
    <s v="GCI1009"/>
    <s v="Pcs"/>
    <n v="314"/>
    <n v="0"/>
    <x v="136"/>
    <n v="0"/>
    <n v="0"/>
    <m/>
    <m/>
    <m/>
    <m/>
    <m/>
    <m/>
    <m/>
    <s v="UD RIZQI JAYA PRATAMA "/>
    <e v="#N/A"/>
    <e v="#N/A"/>
    <s v="OUTBOUND_"/>
  </r>
  <r>
    <s v="804"/>
    <m/>
    <x v="1"/>
    <s v="OUB-W0012402-254"/>
    <s v="EJ-Malang-01"/>
    <s v="Oka-0813-2707-1646"/>
    <d v="2024-02-28T00:00:00"/>
    <d v="1899-12-30T11:40:00"/>
    <s v="EJ-MALANG-01"/>
    <x v="2"/>
    <x v="10"/>
    <s v="GCI1009"/>
    <s v="Pcs"/>
    <n v="14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805"/>
    <m/>
    <x v="1"/>
    <s v="OUB-W0012402-253"/>
    <s v="EJ-Malang-01"/>
    <s v="Oka-0813-2707-1646"/>
    <d v="2024-02-28T00:00:00"/>
    <d v="1899-12-30T09:12:00"/>
    <s v="EJ-MALANG-01"/>
    <x v="2"/>
    <x v="10"/>
    <s v="GCI1009"/>
    <s v="Pcs"/>
    <n v="220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806"/>
    <m/>
    <x v="1"/>
    <s v="OUB-W0012403-261"/>
    <s v="EJ-Malang-01"/>
    <s v="Oka-0813-2707-1646"/>
    <d v="2024-03-01T00:00:00"/>
    <d v="1899-12-30T09:23:00"/>
    <s v="EJ-MALANG-01"/>
    <x v="2"/>
    <x v="10"/>
    <s v="GCI1009"/>
    <s v="Pcs"/>
    <n v="14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807"/>
    <m/>
    <x v="1"/>
    <s v="OUB-W0012403-262"/>
    <s v="EJ-Malang-01"/>
    <s v="Oka-0813-2707-1646"/>
    <d v="2024-03-01T00:00:00"/>
    <d v="1899-12-30T10:12:00"/>
    <s v="EJ-MALANG-01"/>
    <x v="2"/>
    <x v="10"/>
    <s v="GCI1009"/>
    <s v="Pcs"/>
    <n v="40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808"/>
    <m/>
    <x v="1"/>
    <s v="OUB-W0012403-265"/>
    <s v="EJ-Malang-01"/>
    <s v="Oka-0813-2707-1646"/>
    <d v="2024-03-02T00:00:00"/>
    <d v="1899-12-30T10:12:00"/>
    <s v="EJ-MALANG-01"/>
    <x v="2"/>
    <x v="10"/>
    <s v="GCI1009"/>
    <s v="Pcs"/>
    <n v="40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809"/>
    <m/>
    <x v="1"/>
    <s v="OUB-W0012403-267"/>
    <s v="EJ-Malang-01"/>
    <s v="Oka-0813-2707-1646"/>
    <d v="2024-03-04T00:00:00"/>
    <d v="1899-12-30T13:54:00"/>
    <s v="EJ-MALANG-01"/>
    <x v="2"/>
    <x v="10"/>
    <s v="GCI1009"/>
    <s v="Pcs"/>
    <n v="12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810"/>
    <m/>
    <x v="1"/>
    <s v="OUB-W0012403-269"/>
    <s v="EJ-Malang-01"/>
    <s v="Oka-0813-2707-1646"/>
    <d v="2024-03-06T00:00:00"/>
    <d v="1899-12-30T09:24:00"/>
    <s v="EJ-MALANG-01"/>
    <x v="2"/>
    <x v="10"/>
    <s v="GCI1009"/>
    <s v="Pcs"/>
    <n v="10"/>
    <s v="CLR29-99-153"/>
    <x v="34"/>
    <m/>
    <m/>
    <m/>
    <s v="Riki Romansyah"/>
    <s v="Febby Supplier"/>
    <s v="3507050501950006"/>
    <s v="N 8420 EL"/>
    <m/>
    <m/>
    <s v="Perumahan Pondok Mutiara Malang"/>
    <e v="#N/A"/>
    <e v="#N/A"/>
    <s v="OUTBOUND_"/>
  </r>
  <r>
    <s v="811"/>
    <m/>
    <x v="1"/>
    <s v="OUB-W0012403-277"/>
    <s v="EJ-Malang-01"/>
    <s v="Oka-0813-2707-1646"/>
    <d v="2024-03-15T00:00:00"/>
    <d v="1899-12-30T17:12:00"/>
    <s v="EJ-MALANG-01"/>
    <x v="2"/>
    <x v="10"/>
    <s v="GCI1009"/>
    <s v="Pcs"/>
    <n v="50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812"/>
    <m/>
    <x v="0"/>
    <s v="INB-W0012403-289"/>
    <s v="EJ-Malang-01"/>
    <s v="Oka-0813-2707-1646"/>
    <d v="2024-03-25T00:00:00"/>
    <d v="1900-01-14T07:00:00"/>
    <s v="GCI Procurement"/>
    <x v="2"/>
    <x v="10"/>
    <s v="GCI1009"/>
    <s v="Pcs"/>
    <n v="412"/>
    <n v="0"/>
    <x v="153"/>
    <n v="0"/>
    <n v="0"/>
    <m/>
    <m/>
    <m/>
    <m/>
    <m/>
    <m/>
    <m/>
    <s v="TEGAL"/>
    <e v="#N/A"/>
    <e v="#N/A"/>
    <s v="OUTBOUND_"/>
  </r>
  <r>
    <s v="813"/>
    <m/>
    <x v="1"/>
    <s v="OUB-W0012403-290"/>
    <s v="EJ-Malang-01"/>
    <s v="Oka-0813-2707-1646"/>
    <d v="2024-03-26T00:00:00"/>
    <d v="1899-12-30T22:31:00"/>
    <s v="EJ-MALANG-01"/>
    <x v="2"/>
    <x v="10"/>
    <s v="GCI1009"/>
    <s v="Pcs"/>
    <n v="200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814"/>
    <m/>
    <x v="1"/>
    <s v="OUB-W0012403-292"/>
    <s v="EJ-Malang-01"/>
    <s v="Oka-0813-2707-1646"/>
    <d v="2024-03-28T00:00:00"/>
    <d v="1899-12-30T09:57:00"/>
    <s v="EJ-MALANG-01"/>
    <x v="2"/>
    <x v="10"/>
    <s v="GCI1009"/>
    <s v="Pcs"/>
    <n v="150"/>
    <s v="CLR51-99-039"/>
    <x v="7"/>
    <m/>
    <m/>
    <m/>
    <s v="Dimas"/>
    <s v="Febby Supplier"/>
    <s v="3573032509800005"/>
    <s v="N 9454 BA"/>
    <m/>
    <m/>
    <s v="Tunjungtirto RW 01 Singosari"/>
    <e v="#N/A"/>
    <e v="#N/A"/>
    <s v="OUTBOUND_"/>
  </r>
  <r>
    <s v="815"/>
    <m/>
    <x v="1"/>
    <s v="OUB-W0012404-295"/>
    <s v="EJ-Malang-01"/>
    <s v="Oka-0813-2707-1646"/>
    <d v="2024-04-01T00:00:00"/>
    <d v="1899-12-30T09:14:00"/>
    <s v="EJ-MALANG-01"/>
    <x v="2"/>
    <x v="10"/>
    <s v="GCI1009"/>
    <s v="Pcs"/>
    <n v="25"/>
    <s v="CLR51-99-040"/>
    <x v="41"/>
    <m/>
    <m/>
    <m/>
    <s v="Dimas"/>
    <s v="Febby Supplier"/>
    <s v="3573032509800005"/>
    <s v="N 9454 BA"/>
    <m/>
    <m/>
    <s v="Tunjungtirto RW 08 Singosari"/>
    <e v="#N/A"/>
    <e v="#N/A"/>
    <s v="OUTBOUND_"/>
  </r>
  <r>
    <s v="816"/>
    <m/>
    <x v="1"/>
    <s v="OUB-W0012404-315"/>
    <s v="EJ-Malang-01"/>
    <s v="Oka-0813-2707-1646"/>
    <d v="2024-04-23T00:00:00"/>
    <d v="1899-12-30T09:01:00"/>
    <s v="EJ-MALANG-01"/>
    <x v="2"/>
    <x v="10"/>
    <s v="GCI1009"/>
    <s v="Pcs"/>
    <n v="30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817"/>
    <m/>
    <x v="3"/>
    <s v="TFI-W0012404-317"/>
    <s v="EJ-Malang-01"/>
    <s v="Oka-0813-2707-1646"/>
    <d v="2024-04-23T00:00:00"/>
    <d v="1900-01-14T07:00:00"/>
    <s v="EJ-NGAWI-01"/>
    <x v="2"/>
    <x v="10"/>
    <s v="GCI1009"/>
    <s v="Pcs"/>
    <n v="291"/>
    <s v="TRF"/>
    <x v="155"/>
    <n v="0"/>
    <n v="0"/>
    <m/>
    <m/>
    <m/>
    <m/>
    <m/>
    <m/>
    <m/>
    <s v="NGAWI"/>
    <e v="#N/A"/>
    <e v="#N/A"/>
    <s v="OUTBOUND_"/>
  </r>
  <r>
    <s v="818"/>
    <m/>
    <x v="1"/>
    <s v="OUB-W0012404-324"/>
    <s v="EJ-Malang-01"/>
    <s v="Oka-0813-2707-1646"/>
    <d v="2024-04-26T00:00:00"/>
    <d v="1899-12-30T09:24:00"/>
    <s v="EJ-MALANG-01"/>
    <x v="2"/>
    <x v="10"/>
    <s v="GCI1009"/>
    <s v="Pcs"/>
    <n v="68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819"/>
    <m/>
    <x v="1"/>
    <s v="OUB-W0012404-325"/>
    <s v="EJ-Malang-01"/>
    <s v="Oka-0813-2707-1646"/>
    <d v="2024-04-30T00:00:00"/>
    <d v="1899-12-30T10:15:00"/>
    <s v="EJ-MALANG-01"/>
    <x v="2"/>
    <x v="10"/>
    <s v="GCI1009"/>
    <s v="Pcs"/>
    <n v="30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820"/>
    <m/>
    <x v="0"/>
    <s v="INB-W0012405-331"/>
    <s v="EJ-Malang-01"/>
    <s v="Oka-0813-2707-1646"/>
    <d v="2024-05-08T00:00:00"/>
    <d v="1900-01-14T07:00:00"/>
    <s v="GCI Procurement"/>
    <x v="2"/>
    <x v="10"/>
    <s v="GCI1009"/>
    <s v="Pcs"/>
    <n v="310"/>
    <n v="0"/>
    <x v="5"/>
    <n v="0"/>
    <n v="0"/>
    <m/>
    <m/>
    <m/>
    <m/>
    <m/>
    <m/>
    <m/>
    <n v="0"/>
    <e v="#N/A"/>
    <e v="#N/A"/>
    <s v="OUTBOUND_"/>
  </r>
  <r>
    <s v="821"/>
    <m/>
    <x v="1"/>
    <s v="OUB-W0012405-334"/>
    <s v="EJ-Malang-01"/>
    <s v="Oka-0813-2707-1646"/>
    <d v="2024-05-16T00:00:00"/>
    <d v="1899-12-30T12:56:00"/>
    <s v="EJ-MALANG-01"/>
    <x v="2"/>
    <x v="10"/>
    <s v="GCI1009"/>
    <s v="Pcs"/>
    <n v="12"/>
    <s v="CLR51-99-075"/>
    <x v="8"/>
    <m/>
    <m/>
    <m/>
    <s v="Riki Romansyah"/>
    <s v="Febby Supplier"/>
    <s v="3507050501950006"/>
    <s v="N 8420 EL"/>
    <m/>
    <m/>
    <s v="Dalisodo RW 03 Wagir"/>
    <e v="#N/A"/>
    <e v="#N/A"/>
    <s v="OUTBOUND_"/>
  </r>
  <r>
    <s v="822"/>
    <m/>
    <x v="0"/>
    <s v="INB-W0012405-337"/>
    <s v="EJ-Malang-01"/>
    <s v="Oka-0813-2707-1646"/>
    <d v="2024-05-17T00:00:00"/>
    <d v="1900-01-14T07:00:00"/>
    <s v="FIELD TEAM"/>
    <x v="2"/>
    <x v="10"/>
    <s v="GCI1009"/>
    <s v="Pcs"/>
    <n v="19"/>
    <s v="RTN"/>
    <x v="5"/>
    <n v="0"/>
    <n v="0"/>
    <m/>
    <m/>
    <m/>
    <m/>
    <m/>
    <m/>
    <m/>
    <n v="0"/>
    <e v="#N/A"/>
    <e v="#N/A"/>
    <s v="OUTBOUND_"/>
  </r>
  <r>
    <s v="823"/>
    <m/>
    <x v="1"/>
    <s v="OUB-W0012405-340"/>
    <s v="EJ-Malang-01"/>
    <s v="Oka-0813-2707-1646"/>
    <d v="2024-05-20T00:00:00"/>
    <d v="1899-12-30T09:33:00"/>
    <s v="EJ-MALANG-01"/>
    <x v="2"/>
    <x v="10"/>
    <s v="GCI1009"/>
    <s v="Pcs"/>
    <n v="40"/>
    <s v="CLR51-99-087"/>
    <x v="11"/>
    <m/>
    <m/>
    <m/>
    <s v="Riki Romansyah"/>
    <s v="Febby Supplier"/>
    <s v="3507050501950006"/>
    <s v="N 8420 EL"/>
    <m/>
    <m/>
    <s v="Lawang RW 06 Malang"/>
    <e v="#N/A"/>
    <e v="#N/A"/>
    <s v="OUTBOUND_"/>
  </r>
  <r>
    <s v="824"/>
    <m/>
    <x v="1"/>
    <s v="OUB-W0012405-346"/>
    <s v="EJ-Malang-01"/>
    <s v="Oka-0813-2707-1646"/>
    <d v="2024-05-22T00:00:00"/>
    <d v="1899-12-30T09:24:00"/>
    <s v="EJ-MALANG-01"/>
    <x v="2"/>
    <x v="10"/>
    <s v="GCI1009"/>
    <s v="Pcs"/>
    <n v="70"/>
    <s v="CLR51-99-095"/>
    <x v="16"/>
    <m/>
    <m/>
    <m/>
    <s v="Riki Romansyah"/>
    <s v="Febby Supplier"/>
    <s v="3507050501950006"/>
    <s v="N 8420 EL"/>
    <m/>
    <m/>
    <s v="Candirenggo RW 10 Singosari"/>
    <e v="#N/A"/>
    <e v="#N/A"/>
    <s v="OUTBOUND_"/>
  </r>
  <r>
    <s v="825"/>
    <m/>
    <x v="1"/>
    <s v="OUB-W0012405-350"/>
    <s v="EJ-Malang-01"/>
    <s v="Oka-0813-2707-1646"/>
    <d v="2024-05-25T00:00:00"/>
    <d v="1899-12-30T09:40:00"/>
    <s v="EJ-MALANG-01"/>
    <x v="2"/>
    <x v="10"/>
    <s v="GCI1009"/>
    <s v="Pcs"/>
    <n v="162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826"/>
    <m/>
    <x v="1"/>
    <s v="OUB-W0012405-359"/>
    <s v="EJ-Malang-01"/>
    <s v="Oka-0813-2707-1646"/>
    <d v="2024-05-30T00:00:00"/>
    <d v="1899-12-30T11:30:00"/>
    <s v="EJ-MALANG-01"/>
    <x v="2"/>
    <x v="10"/>
    <s v="GCI1009"/>
    <s v="Pcs"/>
    <n v="73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827"/>
    <m/>
    <x v="0"/>
    <s v="INB-W0012406-362"/>
    <s v="EJ-Malang-01"/>
    <s v="Oka-0813-2707-1646"/>
    <d v="2024-06-04T00:00:00"/>
    <d v="1900-01-14T07:00:00"/>
    <s v="GCI Procurement"/>
    <x v="2"/>
    <x v="10"/>
    <s v="GCI1009"/>
    <s v="Pcs"/>
    <n v="202"/>
    <n v="0"/>
    <x v="5"/>
    <n v="0"/>
    <n v="0"/>
    <m/>
    <m/>
    <m/>
    <m/>
    <m/>
    <m/>
    <m/>
    <n v="0"/>
    <e v="#N/A"/>
    <e v="#N/A"/>
    <s v="OUTBOUND_"/>
  </r>
  <r>
    <s v="828"/>
    <m/>
    <x v="1"/>
    <s v="OUB-W0012406-371"/>
    <s v="EJ-Malang-01"/>
    <s v="Oka-0813-2707-1646"/>
    <d v="2024-06-07T00:00:00"/>
    <d v="1899-12-30T17:21:00"/>
    <s v="EJ-MALANG-01"/>
    <x v="2"/>
    <x v="10"/>
    <s v="GCI1009"/>
    <s v="Pcs"/>
    <n v="202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829"/>
    <m/>
    <x v="1"/>
    <s v="OUB-W0012406-373"/>
    <s v="EJ-Malang-01"/>
    <s v="Oka-0813-2707-1646"/>
    <d v="2024-06-10T00:00:00"/>
    <d v="1899-12-30T13:27:00"/>
    <s v="EJ-MALANG-01"/>
    <x v="2"/>
    <x v="10"/>
    <s v="GCI1009"/>
    <s v="Pcs"/>
    <n v="10"/>
    <s v="CLR51-02-015"/>
    <x v="15"/>
    <m/>
    <m/>
    <m/>
    <s v="Riki Romansyah"/>
    <s v="Febby Supplier"/>
    <s v="3507050501950006"/>
    <s v="N 8420 EL"/>
    <m/>
    <m/>
    <s v="Dusun Sumber Bendo Kucur"/>
    <e v="#N/A"/>
    <e v="#N/A"/>
    <s v="OUTBOUND_"/>
  </r>
  <r>
    <s v="830"/>
    <m/>
    <x v="1"/>
    <s v="OUB-W0012406-376"/>
    <s v="EJ-Malang-01"/>
    <s v="Oka-0813-2707-1646"/>
    <d v="2024-06-14T00:00:00"/>
    <d v="1899-12-30T13:51:00"/>
    <s v="EJ-MALANG-01"/>
    <x v="2"/>
    <x v="10"/>
    <s v="GCI1009"/>
    <s v="Pcs"/>
    <n v="6"/>
    <s v="CLR51-02-015"/>
    <x v="15"/>
    <m/>
    <m/>
    <m/>
    <s v="Fahrudin"/>
    <s v="Febby Supplier"/>
    <s v="3507131605830004"/>
    <s v="N 1383 G"/>
    <m/>
    <m/>
    <s v="Dusun Sumber Bendo Kucur"/>
    <e v="#N/A"/>
    <e v="#N/A"/>
    <s v="OUTBOUND_"/>
  </r>
  <r>
    <s v="831"/>
    <m/>
    <x v="1"/>
    <s v="OUB-W0012406-377"/>
    <s v="EJ-Malang-01"/>
    <s v="Oka-0813-2707-1646"/>
    <d v="2024-06-19T00:00:00"/>
    <d v="1899-12-30T12:43:00"/>
    <s v="EJ-MALANG-01"/>
    <x v="2"/>
    <x v="10"/>
    <s v="GCI1009"/>
    <s v="Pcs"/>
    <n v="10"/>
    <s v="CLR51-02-020"/>
    <x v="53"/>
    <m/>
    <m/>
    <m/>
    <s v="Riki Romansyah"/>
    <s v="Febby Supplier"/>
    <s v="3507050501950006"/>
    <s v="N 8420 EL"/>
    <m/>
    <m/>
    <s v="Lowokwaru RW 04"/>
    <e v="#N/A"/>
    <e v="#N/A"/>
    <s v="OUTBOUND_"/>
  </r>
  <r>
    <s v="832"/>
    <m/>
    <x v="1"/>
    <s v="OUB-W0012406-383"/>
    <s v="EJ-Malang-01"/>
    <s v="Oka-0813-2707-1646"/>
    <d v="2024-06-20T00:00:00"/>
    <d v="1899-12-30T10:40:00"/>
    <s v="EJ-MALANG-01"/>
    <x v="2"/>
    <x v="10"/>
    <s v="GCI1009"/>
    <s v="Pcs"/>
    <n v="20"/>
    <s v="CLR51-02-020"/>
    <x v="53"/>
    <m/>
    <m/>
    <m/>
    <s v="Riki Romansyah"/>
    <s v="Febby Supplier"/>
    <s v="3507050501950006"/>
    <s v="N 8420 EL"/>
    <m/>
    <m/>
    <s v="Lowokwaru RW 04"/>
    <e v="#N/A"/>
    <e v="#N/A"/>
    <s v="OUTBOUND_"/>
  </r>
  <r>
    <s v="833"/>
    <m/>
    <x v="1"/>
    <s v="OUB-W0012406-385"/>
    <s v="EJ-Malang-01"/>
    <s v="Oka-0813-2707-1646"/>
    <d v="2024-06-21T00:00:00"/>
    <d v="1899-12-30T12:17:00"/>
    <s v="EJ-MALANG-01"/>
    <x v="2"/>
    <x v="10"/>
    <s v="GCI1009"/>
    <s v="Pcs"/>
    <n v="60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834"/>
    <m/>
    <x v="0"/>
    <s v="INB-W0012406-390"/>
    <s v="EJ-Malang-01"/>
    <s v="Oka-0813-2707-1646"/>
    <d v="2024-06-25T00:00:00"/>
    <d v="1900-01-14T07:00:00"/>
    <s v="GCI Procurement"/>
    <x v="2"/>
    <x v="10"/>
    <s v="GCI1009"/>
    <s v="Pcs"/>
    <n v="680"/>
    <n v="0"/>
    <x v="5"/>
    <n v="0"/>
    <n v="0"/>
    <m/>
    <m/>
    <m/>
    <m/>
    <m/>
    <m/>
    <m/>
    <n v="0"/>
    <e v="#N/A"/>
    <e v="#N/A"/>
    <s v="OUTBOUND_"/>
  </r>
  <r>
    <s v="835"/>
    <m/>
    <x v="1"/>
    <s v="OUB-W0012406-391"/>
    <s v="EJ-Malang-01"/>
    <s v="Oka-0813-2707-1646"/>
    <d v="2024-06-26T00:00:00"/>
    <d v="1899-12-30T09:57:00"/>
    <s v="EJ-MALANG-01"/>
    <x v="2"/>
    <x v="10"/>
    <s v="GCI1009"/>
    <s v="Pcs"/>
    <n v="222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836"/>
    <m/>
    <x v="0"/>
    <s v="INB-W0012407-399"/>
    <s v="EJ-Malang-01"/>
    <s v="Oka-0813-2707-1646"/>
    <d v="2024-07-05T00:00:00"/>
    <d v="1900-01-14T07:00:00"/>
    <s v="GCI Procurement"/>
    <x v="2"/>
    <x v="10"/>
    <s v="GCI1009"/>
    <s v="Pcs"/>
    <n v="628"/>
    <n v="0"/>
    <x v="5"/>
    <n v="0"/>
    <n v="0"/>
    <m/>
    <m/>
    <m/>
    <m/>
    <m/>
    <m/>
    <m/>
    <n v="0"/>
    <e v="#N/A"/>
    <e v="#N/A"/>
    <s v="OUTBOUND_"/>
  </r>
  <r>
    <s v="837"/>
    <m/>
    <x v="1"/>
    <s v="OUB-W0012407-398"/>
    <s v="EJ-Malang-01"/>
    <s v="Oka-0813-2707-1646"/>
    <d v="2024-07-05T00:00:00"/>
    <d v="1899-12-30T13:09:00"/>
    <s v="EJ-MALANG-01"/>
    <x v="2"/>
    <x v="10"/>
    <s v="GCI1009"/>
    <s v="Pcs"/>
    <n v="55"/>
    <s v="CLR51-99-061"/>
    <x v="54"/>
    <m/>
    <m/>
    <m/>
    <s v="Riki Romansyah"/>
    <s v="Febby Supplier"/>
    <s v="3507050501950006"/>
    <s v="N 8420 EL"/>
    <m/>
    <m/>
    <s v="Perumahan Perumnas Talangagung I Malang"/>
    <e v="#N/A"/>
    <e v="#N/A"/>
    <s v="OUTBOUND_"/>
  </r>
  <r>
    <s v="838"/>
    <m/>
    <x v="1"/>
    <s v="OUB-W0012407-404"/>
    <s v="EJ-Malang-01"/>
    <s v="Oka-0813-2707-1646"/>
    <d v="2024-07-12T00:00:00"/>
    <d v="1899-12-30T09:36:00"/>
    <s v="EJ-MALANG-01"/>
    <x v="2"/>
    <x v="10"/>
    <s v="GCI1009"/>
    <s v="Pcs"/>
    <n v="70"/>
    <s v="CLR51-02-016"/>
    <x v="141"/>
    <m/>
    <m/>
    <m/>
    <s v="Riki Romansyah"/>
    <s v="Febby Supplier"/>
    <s v="3507050501950006"/>
    <s v="N 8420 EL"/>
    <m/>
    <m/>
    <s v="Ngenep RW 06 Karang Ploso"/>
    <e v="#N/A"/>
    <e v="#N/A"/>
    <s v="OUTBOUND_"/>
  </r>
  <r>
    <s v="839"/>
    <m/>
    <x v="1"/>
    <s v="OUB-W0012407-405"/>
    <s v="EJ-Malang-01"/>
    <s v="Oka-0813-2707-1646"/>
    <d v="2024-07-14T00:00:00"/>
    <d v="1899-12-30T16:08:00"/>
    <s v="EJ-MALANG-01"/>
    <x v="2"/>
    <x v="10"/>
    <s v="GCI1009"/>
    <s v="Pcs"/>
    <n v="50"/>
    <s v="CLR51-99-061"/>
    <x v="54"/>
    <m/>
    <m/>
    <m/>
    <s v="Riki Romansyah"/>
    <s v="Febby Supplier"/>
    <s v="3507050501950006"/>
    <s v="N 8420 EL"/>
    <m/>
    <m/>
    <s v="Perumahan Perumnas Talangagung I Malang"/>
    <e v="#N/A"/>
    <e v="#N/A"/>
    <s v="OUTBOUND_"/>
  </r>
  <r>
    <s v="840"/>
    <m/>
    <x v="0"/>
    <s v="INB-W0012407-412"/>
    <s v="EJ-Malang-01"/>
    <s v="Oka-0813-2707-1646"/>
    <d v="2024-07-23T00:00:00"/>
    <d v="1900-01-14T07:00:00"/>
    <s v="GCI Procurement"/>
    <x v="2"/>
    <x v="10"/>
    <s v="GCI1009"/>
    <s v="Pcs"/>
    <n v="400"/>
    <n v="0"/>
    <x v="5"/>
    <n v="0"/>
    <n v="0"/>
    <m/>
    <m/>
    <m/>
    <m/>
    <m/>
    <m/>
    <m/>
    <n v="0"/>
    <e v="#N/A"/>
    <e v="#N/A"/>
    <s v="OUTBOUND_"/>
  </r>
  <r>
    <s v="841"/>
    <m/>
    <x v="1"/>
    <s v="OUB-W0012407-413"/>
    <s v="EJ-Malang-01"/>
    <s v="Oka-0813-2707-1646"/>
    <d v="2024-07-24T00:00:00"/>
    <d v="1899-12-30T15:20:00"/>
    <s v="EJ-MALANG-01"/>
    <x v="2"/>
    <x v="10"/>
    <s v="GCI1009"/>
    <s v="Pcs"/>
    <n v="100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842"/>
    <m/>
    <x v="1"/>
    <s v="OUB-W0012407-420"/>
    <s v="EJ-Malang-01"/>
    <s v="Oka-0813-2707-1646"/>
    <d v="2024-07-30T00:00:00"/>
    <d v="1899-12-30T10:24:00"/>
    <s v="EJ-MALANG-01"/>
    <x v="2"/>
    <x v="10"/>
    <s v="GCI1009"/>
    <s v="Pcs"/>
    <n v="50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843"/>
    <m/>
    <x v="1"/>
    <s v="OUB-W0012408-448"/>
    <s v="EJ-Malang-01"/>
    <s v="Oka-0813-2707-1646"/>
    <d v="2024-08-20T00:00:00"/>
    <d v="1899-12-30T16:54:00"/>
    <s v="EJ-MALANG-01"/>
    <x v="2"/>
    <x v="10"/>
    <s v="GCI1009"/>
    <s v="Pcs"/>
    <n v="35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844"/>
    <m/>
    <x v="1"/>
    <s v="OUB-W0012408-455"/>
    <s v="EJ-Malang-01"/>
    <s v="Oka-0813-2707-1646"/>
    <d v="2024-08-23T00:00:00"/>
    <d v="1899-12-30T11:13:00"/>
    <s v="EJ-MALANG-01"/>
    <x v="2"/>
    <x v="10"/>
    <s v="GCI1009"/>
    <s v="Pcs"/>
    <n v="200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845"/>
    <m/>
    <x v="0"/>
    <s v="INB-W0012409-494"/>
    <s v="EJ-Malang-01"/>
    <s v="Oka-0813-2707-1646"/>
    <d v="2024-09-06T00:00:00"/>
    <d v="1900-01-14T07:00:00"/>
    <s v="GCI Procurement"/>
    <x v="2"/>
    <x v="10"/>
    <s v="GCI1009"/>
    <s v="Pcs"/>
    <n v="482"/>
    <n v="0"/>
    <x v="5"/>
    <n v="0"/>
    <n v="0"/>
    <m/>
    <m/>
    <m/>
    <m/>
    <m/>
    <m/>
    <m/>
    <n v="0"/>
    <e v="#N/A"/>
    <e v="#N/A"/>
    <s v="OUTBOUND_"/>
  </r>
  <r>
    <s v="846"/>
    <m/>
    <x v="1"/>
    <s v="OUB-W0012409-493"/>
    <s v="EJ-Malang-01"/>
    <s v="Oka-0813-2707-1646"/>
    <d v="2024-09-06T00:00:00"/>
    <d v="1899-12-30T19:13:00"/>
    <s v="EJ-MALANG-01"/>
    <x v="2"/>
    <x v="10"/>
    <s v="GCI1009"/>
    <s v="Pcs"/>
    <n v="30"/>
    <s v="CLR51-99-118"/>
    <x v="68"/>
    <m/>
    <m/>
    <m/>
    <s v="Nur Hidayat"/>
    <n v="0"/>
    <s v="3515141305930006"/>
    <s v="S 9102 AE"/>
    <m/>
    <m/>
    <s v="NGENEP UTARA RW 03 MALANG"/>
    <e v="#N/A"/>
    <e v="#N/A"/>
    <s v="OUTBOUND_"/>
  </r>
  <r>
    <s v="847"/>
    <m/>
    <x v="1"/>
    <s v="OUB-W0012409-497"/>
    <s v="EJ-Malang-01"/>
    <s v="Oka-0813-2707-1646"/>
    <d v="2024-09-07T00:00:00"/>
    <d v="1899-12-30T17:42:00"/>
    <s v="EJ-MALANG-01"/>
    <x v="2"/>
    <x v="10"/>
    <s v="GCI1009"/>
    <s v="Pcs"/>
    <n v="200"/>
    <s v="CLR51-99-115"/>
    <x v="65"/>
    <m/>
    <m/>
    <m/>
    <s v="Riki Romansyah"/>
    <n v="0"/>
    <s v="3507050501950006"/>
    <s v="N 8420 EL"/>
    <m/>
    <m/>
    <s v="SENGGURUH RW 01 MALANG"/>
    <e v="#N/A"/>
    <e v="#N/A"/>
    <s v="OUTBOUND_"/>
  </r>
  <r>
    <s v="848"/>
    <m/>
    <x v="1"/>
    <s v="OUB-W0012409-501"/>
    <s v="EJ-Malang-01"/>
    <s v="Oka-0813-2707-1646"/>
    <d v="2024-09-12T00:00:00"/>
    <d v="1899-12-30T10:21:00"/>
    <s v="EJ-MALANG-01"/>
    <x v="2"/>
    <x v="10"/>
    <s v="GCI1009"/>
    <s v="Pcs"/>
    <n v="30"/>
    <s v="CLR51-03-005"/>
    <x v="58"/>
    <m/>
    <m/>
    <m/>
    <s v="Riki Romansyah"/>
    <n v="0"/>
    <s v="3507050501950006"/>
    <s v="N 8420 EL"/>
    <m/>
    <m/>
    <s v="Dusun Langlang IV Singosari"/>
    <e v="#N/A"/>
    <e v="#N/A"/>
    <s v="OUTBOUND_"/>
  </r>
  <r>
    <s v="849"/>
    <m/>
    <x v="3"/>
    <s v="TFI-W0012409-504"/>
    <s v="EJ-Malang-01"/>
    <s v="Oka-0813-2707-1646"/>
    <d v="2024-09-19T00:00:00"/>
    <d v="1900-01-14T07:00:00"/>
    <s v="EJ-BLITAR-01"/>
    <x v="2"/>
    <x v="10"/>
    <s v="GCI1009"/>
    <s v="Pcs"/>
    <n v="142"/>
    <s v="TRF"/>
    <x v="158"/>
    <n v="0"/>
    <n v="0"/>
    <m/>
    <m/>
    <m/>
    <m/>
    <m/>
    <m/>
    <m/>
    <s v="Blitar"/>
    <e v="#N/A"/>
    <e v="#N/A"/>
    <s v="OUTBOUND_"/>
  </r>
  <r>
    <s v="850"/>
    <m/>
    <x v="1"/>
    <s v="OUB-W0012409-512"/>
    <s v="EJ-Malang-01"/>
    <s v="Oka-0813-2707-1646"/>
    <d v="2024-09-26T00:00:00"/>
    <d v="1899-12-30T15:23:00"/>
    <s v="EJ-MALANG-01"/>
    <x v="2"/>
    <x v="10"/>
    <s v="GCI1009"/>
    <s v="Pcs"/>
    <n v="200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851"/>
    <m/>
    <x v="0"/>
    <s v="INB-W0012409-519"/>
    <s v="EJ-Malang-01"/>
    <s v="Oka-0813-2707-1646"/>
    <d v="2024-09-27T00:00:00"/>
    <d v="1900-01-14T07:00:00"/>
    <s v="FIELD TEAM"/>
    <x v="2"/>
    <x v="10"/>
    <s v="GCI1009"/>
    <s v="Pcs"/>
    <n v="5"/>
    <s v="RTN"/>
    <x v="163"/>
    <n v="0"/>
    <n v="0"/>
    <m/>
    <m/>
    <m/>
    <m/>
    <m/>
    <m/>
    <m/>
    <s v="Sengguruh"/>
    <e v="#N/A"/>
    <e v="#N/A"/>
    <s v="OUTBOUND_"/>
  </r>
  <r>
    <s v="852"/>
    <m/>
    <x v="0"/>
    <s v="INB-W0012410-523"/>
    <s v="EJ-Malang-01"/>
    <s v="Oka-0813-2707-1646"/>
    <d v="2024-10-01T00:00:00"/>
    <d v="1900-01-14T07:00:00"/>
    <s v="FIELD TEAM"/>
    <x v="2"/>
    <x v="10"/>
    <s v="GCI1009"/>
    <s v="Pcs"/>
    <n v="22"/>
    <s v="RTN"/>
    <x v="159"/>
    <n v="0"/>
    <n v="0"/>
    <m/>
    <m/>
    <m/>
    <m/>
    <m/>
    <m/>
    <m/>
    <s v="Mojosari Ngenep"/>
    <e v="#N/A"/>
    <e v="#N/A"/>
    <s v="OUTBOUND_"/>
  </r>
  <r>
    <s v="853"/>
    <m/>
    <x v="1"/>
    <s v="OUB-W0012410-526"/>
    <s v="EJ-Malang-01"/>
    <s v="Oka-0813-2707-1646"/>
    <d v="2024-10-10T00:00:00"/>
    <d v="1899-12-30T13:33:00"/>
    <s v="EJ-MALANG-01"/>
    <x v="2"/>
    <x v="10"/>
    <s v="GCI1009"/>
    <s v="Pcs"/>
    <n v="54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854"/>
    <m/>
    <x v="1"/>
    <s v="OUB-W0012410-536"/>
    <s v="EJ-Malang-01"/>
    <s v="Oka-0813-2707-1646"/>
    <d v="2024-10-30T00:00:00"/>
    <d v="1899-12-30T23:25:00"/>
    <s v="EJ-MALANG-01"/>
    <x v="2"/>
    <x v="10"/>
    <s v="GCI1009"/>
    <s v="Pcs"/>
    <n v="20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855"/>
    <m/>
    <x v="1"/>
    <s v="OUB-W0012411-547"/>
    <s v="EJ-Malang-01"/>
    <s v="Oka-0813-2707-1646"/>
    <d v="2024-11-06T00:00:00"/>
    <d v="1899-12-30T08:25:00"/>
    <s v="EJ-MALANG-01"/>
    <x v="2"/>
    <x v="10"/>
    <s v="GCI1009"/>
    <s v="Pcs"/>
    <n v="10"/>
    <s v="CLR51-99-095"/>
    <x v="16"/>
    <m/>
    <m/>
    <m/>
    <s v="Riki Romansyah"/>
    <n v="0"/>
    <s v="3507050501950006"/>
    <s v="N 8420 EL"/>
    <m/>
    <m/>
    <s v="Candirenggo RW 10 Singosari"/>
    <e v="#N/A"/>
    <e v="#N/A"/>
    <s v="OUTBOUND_"/>
  </r>
  <r>
    <s v="856"/>
    <m/>
    <x v="1"/>
    <s v="OUB-W0012411-553"/>
    <s v="EJ-Malang-01"/>
    <s v="Oka-0813-2707-1646"/>
    <d v="2024-11-20T00:00:00"/>
    <d v="1899-12-30T13:25:00"/>
    <s v="EJ-MALANG-01"/>
    <x v="2"/>
    <x v="10"/>
    <s v="GCI1009"/>
    <s v="Pcs"/>
    <n v="30"/>
    <s v="CLR51-01-009"/>
    <x v="79"/>
    <m/>
    <m/>
    <m/>
    <s v="Riki Romansyah"/>
    <n v="0"/>
    <s v="3507050501950006"/>
    <s v="N 8420 EL"/>
    <m/>
    <m/>
    <s v="Kalirejo RW 13 Lawang Malang"/>
    <e v="#N/A"/>
    <e v="#N/A"/>
    <s v="OUTBOUND_"/>
  </r>
  <r>
    <s v="857"/>
    <m/>
    <x v="1"/>
    <s v="OUB-W0012411-556"/>
    <s v="EJ-Malang-01"/>
    <s v="Oka-0813-2707-1646"/>
    <d v="2024-11-21T00:00:00"/>
    <d v="1899-12-30T10:35:00"/>
    <s v="EJ-MALANG-01"/>
    <x v="2"/>
    <x v="10"/>
    <s v="GCI1009"/>
    <s v="Pcs"/>
    <n v="14"/>
    <s v="CLR51-99-049"/>
    <x v="80"/>
    <m/>
    <m/>
    <m/>
    <s v="Alexander puji krismanto"/>
    <n v="0"/>
    <s v="1812022707900006"/>
    <s v="AG 8030 KG"/>
    <m/>
    <m/>
    <s v="Perumahan Panca Garden"/>
    <e v="#N/A"/>
    <e v="#N/A"/>
    <s v="OUTBOUND_"/>
  </r>
  <r>
    <s v="858"/>
    <m/>
    <x v="1"/>
    <s v="OUB-W0012411-558"/>
    <s v="EJ-Malang-01"/>
    <s v="Oka-0813-2707-1646"/>
    <d v="2024-11-22T00:00:00"/>
    <d v="1899-12-30T09:30:00"/>
    <s v="EJ-MALANG-01"/>
    <x v="2"/>
    <x v="10"/>
    <s v="GCI1009"/>
    <s v="Pcs"/>
    <n v="62"/>
    <s v="CLR51-99-124"/>
    <x v="17"/>
    <m/>
    <m/>
    <m/>
    <s v="Riki Romansyah"/>
    <n v="0"/>
    <s v="3507050501950006"/>
    <s v="N 8420 EL"/>
    <m/>
    <m/>
    <s v="Perumahan Bukit Lawang Indah Malang"/>
    <e v="#N/A"/>
    <e v="#N/A"/>
    <s v="OUTBOUND_"/>
  </r>
  <r>
    <s v="859"/>
    <m/>
    <x v="1"/>
    <s v="OUB-W0012411-564"/>
    <s v="EJ-Malang-01"/>
    <s v="Oka-0813-2707-1646"/>
    <d v="2024-11-26T00:00:00"/>
    <d v="1899-12-30T09:30:00"/>
    <s v="EJ-MALANG-01"/>
    <x v="2"/>
    <x v="10"/>
    <s v="GCI1009"/>
    <s v="Pcs"/>
    <n v="100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860"/>
    <m/>
    <x v="1"/>
    <s v="OUB-W0012412-571"/>
    <s v="EJ-Malang-01"/>
    <s v="Oka-0813-2707-1646"/>
    <d v="2024-12-01T00:00:00"/>
    <d v="1899-12-30T09:30:00"/>
    <s v="EJ-MALANG-01"/>
    <x v="2"/>
    <x v="10"/>
    <s v="GCI1009"/>
    <s v="Pcs"/>
    <n v="50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861"/>
    <m/>
    <x v="1"/>
    <s v="OUB-W0012412-573"/>
    <s v="EJ-Malang-01"/>
    <s v="Oka-0813-2707-1646"/>
    <d v="2024-12-09T00:00:00"/>
    <d v="1899-12-30T16:32:00"/>
    <s v="EJ-MALANG-01"/>
    <x v="2"/>
    <x v="10"/>
    <s v="GCI1009"/>
    <s v="Pcs"/>
    <n v="100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862"/>
    <m/>
    <x v="1"/>
    <s v="OUB-W0012412-575"/>
    <s v="EJ-Malang-01"/>
    <s v="Oka-0813-2707-1646"/>
    <d v="2024-12-14T00:00:00"/>
    <d v="1899-12-30T11:39:00"/>
    <s v="EJ-MALANG-01"/>
    <x v="2"/>
    <x v="10"/>
    <s v="GCI1009"/>
    <s v="Pcs"/>
    <n v="100"/>
    <s v="CLR51-09-007"/>
    <x v="143"/>
    <m/>
    <m/>
    <m/>
    <s v="Riki Romansyah"/>
    <n v="0"/>
    <s v="3507050501950006"/>
    <s v="N 8420 EL"/>
    <m/>
    <m/>
    <s v="PERMANU RW 01 MALANG"/>
    <e v="#N/A"/>
    <e v="#N/A"/>
    <s v="OUTBOUND_"/>
  </r>
  <r>
    <s v="863"/>
    <m/>
    <x v="1"/>
    <s v="OUB-W0012412-575"/>
    <s v="EJ-Malang-01"/>
    <s v="Oka-0813-2707-1646"/>
    <d v="2024-12-14T00:00:00"/>
    <d v="1899-12-30T11:39:00"/>
    <s v="EJ-MALANG-01"/>
    <x v="2"/>
    <x v="10"/>
    <s v="GCI1009"/>
    <s v="Pcs"/>
    <n v="100"/>
    <s v="CLR51-99-056"/>
    <x v="164"/>
    <m/>
    <m/>
    <m/>
    <s v="Riki Romansyah"/>
    <n v="0"/>
    <s v="3507050501950006"/>
    <s v="N 8420 EL"/>
    <m/>
    <m/>
    <s v="DUSUN CUPAK RW 01"/>
    <e v="#N/A"/>
    <e v="#N/A"/>
    <s v="OUTBOUND_"/>
  </r>
  <r>
    <s v="864"/>
    <m/>
    <x v="1"/>
    <s v="OUB-W0012412-576"/>
    <s v="EJ-Malang-01"/>
    <s v="Oka-0813-2707-1646"/>
    <d v="2024-12-15T00:00:00"/>
    <d v="1899-12-30T15:29:00"/>
    <s v="EJ-MALANG-01"/>
    <x v="2"/>
    <x v="10"/>
    <s v="GCI1009"/>
    <s v="Pcs"/>
    <n v="30"/>
    <s v="CLR51-99-049"/>
    <x v="80"/>
    <m/>
    <m/>
    <m/>
    <s v="Fatur"/>
    <n v="0"/>
    <s v="1812010507910004"/>
    <s v="L 9221 K"/>
    <m/>
    <m/>
    <s v="Perumahan Panca Garden"/>
    <e v="#N/A"/>
    <e v="#N/A"/>
    <s v="OUTBOUND_"/>
  </r>
  <r>
    <s v="865"/>
    <m/>
    <x v="0"/>
    <s v="INB-W0012412-593"/>
    <s v="EJ-Malang-01"/>
    <s v="Oka-0813-2707-1646"/>
    <d v="2024-12-30T00:00:00"/>
    <d v="1900-01-14T07:00:00"/>
    <s v="GCI Procurement"/>
    <x v="2"/>
    <x v="10"/>
    <s v="GCI1009"/>
    <s v="Pcs"/>
    <n v="304"/>
    <n v="0"/>
    <x v="5"/>
    <n v="0"/>
    <n v="0"/>
    <m/>
    <m/>
    <m/>
    <m/>
    <m/>
    <m/>
    <m/>
    <n v="0"/>
    <e v="#N/A"/>
    <e v="#N/A"/>
    <s v="OUTBOUND_"/>
  </r>
  <r>
    <s v="866"/>
    <m/>
    <x v="1"/>
    <s v="OUB-W0012412-591"/>
    <s v="EJ-Malang-01"/>
    <s v="Oka-0813-2707-1646"/>
    <d v="2024-12-30T00:00:00"/>
    <d v="1899-12-30T09:45:00"/>
    <s v="EJ-MALANG-01"/>
    <x v="2"/>
    <x v="10"/>
    <s v="GCI1009"/>
    <s v="Pcs"/>
    <n v="104"/>
    <s v="CLR51-09-013"/>
    <x v="144"/>
    <m/>
    <m/>
    <m/>
    <s v="Riki Romansyah"/>
    <n v="0"/>
    <s v="3507050501950006"/>
    <s v="N 8420 EL"/>
    <m/>
    <m/>
    <s v="Perum Chandra Kirana Watugede"/>
    <e v="#N/A"/>
    <e v="#N/A"/>
    <s v="OUTBOUND_"/>
  </r>
  <r>
    <s v="867"/>
    <m/>
    <x v="1"/>
    <s v="OUB-W0012501-594"/>
    <s v="EJ-Malang-01"/>
    <s v="Oka-0813-2707-1646"/>
    <d v="2025-01-08T00:00:00"/>
    <d v="1899-12-30T16:39:00"/>
    <s v="EJ-MALANG-01"/>
    <x v="2"/>
    <x v="10"/>
    <s v="GCI1009"/>
    <s v="Pcs"/>
    <n v="100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868"/>
    <m/>
    <x v="1"/>
    <s v="OUB-W0012502-604"/>
    <s v="EJ-Malang-01"/>
    <s v="Oka-0813-2707-1646"/>
    <d v="2025-02-06T00:00:00"/>
    <d v="1899-12-30T09:35:00"/>
    <s v="EJ-MALANG-01"/>
    <x v="2"/>
    <x v="10"/>
    <s v="GCI1009"/>
    <s v="Pcs"/>
    <n v="30"/>
    <s v="CLR51-99-050"/>
    <x v="88"/>
    <m/>
    <m/>
    <m/>
    <s v="Riki Romansyah"/>
    <n v="0"/>
    <s v="3507050501950006"/>
    <s v="N 8420 EL"/>
    <m/>
    <m/>
    <s v="PERUMAHAN DE WIRA GREEN VIEW"/>
    <e v="#N/A"/>
    <e v="#N/A"/>
    <s v="OUTBOUND_"/>
  </r>
  <r>
    <s v="869"/>
    <m/>
    <x v="1"/>
    <s v="OUB-W0012502-606"/>
    <s v="EJ-Malang-01"/>
    <s v="Oka-0813-2707-1646"/>
    <d v="2025-02-15T00:00:00"/>
    <d v="1899-12-30T09:35:00"/>
    <s v="EJ-MALANG-01"/>
    <x v="2"/>
    <x v="10"/>
    <s v="GCI1009"/>
    <s v="Pcs"/>
    <n v="2"/>
    <s v="CLR51-03-010"/>
    <x v="61"/>
    <m/>
    <m/>
    <m/>
    <s v="Fatur"/>
    <n v="0"/>
    <s v="1812010507910004"/>
    <s v="L 9221 K"/>
    <m/>
    <m/>
    <s v="Dusun Krajan Sumbersekar"/>
    <e v="#N/A"/>
    <e v="#N/A"/>
    <s v="OUTBOUND_"/>
  </r>
  <r>
    <s v="870"/>
    <m/>
    <x v="1"/>
    <s v="OUB-W0012502-607"/>
    <s v="EJ-Malang-01"/>
    <s v="Oka-0813-2707-1646"/>
    <d v="2025-02-19T00:00:00"/>
    <d v="1899-12-30T09:35:00"/>
    <s v="EJ-MALANG-01"/>
    <x v="2"/>
    <x v="10"/>
    <s v="GCI1009"/>
    <s v="Pcs"/>
    <n v="60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871"/>
    <m/>
    <x v="1"/>
    <s v="OUB-W0012502-613"/>
    <s v="EJ-Malang-01"/>
    <s v="Oka-0813-2707-1646"/>
    <d v="2025-02-21T00:00:00"/>
    <d v="1899-12-30T09:35:00"/>
    <s v="EJ-MALANG-01"/>
    <x v="2"/>
    <x v="10"/>
    <s v="GCI1009"/>
    <s v="Pcs"/>
    <n v="20"/>
    <s v="CLR51-02-016"/>
    <x v="141"/>
    <m/>
    <m/>
    <m/>
    <s v="Fatur"/>
    <n v="0"/>
    <s v="1812010507910004"/>
    <s v="L 9221 K"/>
    <m/>
    <m/>
    <s v="Ngenep RW 06 Karang Ploso"/>
    <e v="#N/A"/>
    <e v="#N/A"/>
    <s v="OUTBOUND_"/>
  </r>
  <r>
    <s v="872"/>
    <m/>
    <x v="1"/>
    <s v="OUB-W0012502-617"/>
    <s v="EJ-Malang-01"/>
    <s v="Oka-0813-2707-1646"/>
    <d v="2025-02-22T00:00:00"/>
    <d v="1899-12-30T08:29:00"/>
    <s v="EJ-MALANG-01"/>
    <x v="2"/>
    <x v="10"/>
    <s v="GCI1009"/>
    <s v="Pcs"/>
    <n v="8"/>
    <s v="CLR51-03-010"/>
    <x v="61"/>
    <m/>
    <m/>
    <m/>
    <s v="Fatur"/>
    <n v="0"/>
    <s v="1812010507910004"/>
    <s v="L 9221 K"/>
    <m/>
    <m/>
    <s v="Dusun Krajan Sumbersekar"/>
    <e v="#N/A"/>
    <e v="#N/A"/>
    <s v="OUTBOUND_"/>
  </r>
  <r>
    <s v="873"/>
    <m/>
    <x v="1"/>
    <s v="OUB-W0012502-618"/>
    <s v="EJ-Malang-01"/>
    <s v="Oka-0813-2707-1646"/>
    <d v="2025-02-24T00:00:00"/>
    <d v="1899-12-30T15:09:00"/>
    <s v="EJ-MALANG-01"/>
    <x v="2"/>
    <x v="10"/>
    <s v="GCI1009"/>
    <s v="Pcs"/>
    <n v="70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874"/>
    <m/>
    <x v="1"/>
    <s v="OUB-W0012503-631"/>
    <s v="EJ-Malang-01"/>
    <s v="Oka-0813-2707-1646"/>
    <d v="2025-03-22T00:00:00"/>
    <d v="1899-12-30T16:09:00"/>
    <s v="EJ-MALANG-01"/>
    <x v="2"/>
    <x v="10"/>
    <s v="GCI1009"/>
    <s v="Pcs"/>
    <n v="160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875"/>
    <m/>
    <x v="1"/>
    <s v="OUB-W0012503-635"/>
    <s v="EJ-Malang-01"/>
    <s v="Oka-0813-2707-1646"/>
    <d v="2025-03-25T00:00:00"/>
    <d v="1899-12-30T19:57:00"/>
    <s v="EJ-MALANG-01"/>
    <x v="2"/>
    <x v="10"/>
    <s v="GCI1009"/>
    <s v="Pcs"/>
    <n v="56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876"/>
    <m/>
    <x v="1"/>
    <s v="OUB-W0012506-647"/>
    <s v="EJ-Malang-01"/>
    <s v="Oka-0813-2707-1646"/>
    <d v="2025-06-14T00:00:00"/>
    <d v="1899-12-30T12:57:00"/>
    <s v="EJ-MALANG-01"/>
    <x v="2"/>
    <x v="10"/>
    <s v="GCI1009"/>
    <s v="Pcs"/>
    <n v="150"/>
    <n v="0"/>
    <x v="161"/>
    <m/>
    <m/>
    <m/>
    <s v="Riki Romansyah"/>
    <n v="0"/>
    <s v="3507050501950006"/>
    <s v="N 8420 EL"/>
    <m/>
    <m/>
    <s v="Kebonagung RW 01"/>
    <e v="#N/A"/>
    <e v="#N/A"/>
    <s v="OUTBOUND_"/>
  </r>
  <r>
    <s v="877"/>
    <m/>
    <x v="1"/>
    <s v="OUB-W0012506-650"/>
    <s v="EJ-Malang-01"/>
    <s v="Oka-0813-2707-1646"/>
    <d v="2025-06-19T00:00:00"/>
    <d v="1899-12-30T12:51:00"/>
    <s v="EJ-MALANG-01"/>
    <x v="2"/>
    <x v="10"/>
    <s v="GCI1009"/>
    <s v="Pcs"/>
    <n v="42"/>
    <n v="0"/>
    <x v="147"/>
    <m/>
    <m/>
    <m/>
    <s v="Fatur"/>
    <n v="0"/>
    <s v="1812010507910004"/>
    <s v="L 9221 K"/>
    <m/>
    <m/>
    <s v="Pncokusumo"/>
    <e v="#N/A"/>
    <e v="#N/A"/>
    <s v="OUTBOUND_"/>
  </r>
  <r>
    <s v="878"/>
    <m/>
    <x v="1"/>
    <s v="OUB-W0012506-657"/>
    <s v="EJ-Malang-01"/>
    <s v="Oka-0813-2707-1646"/>
    <d v="2025-06-24T00:00:00"/>
    <d v="1899-12-30T15:30:00"/>
    <s v="EJ-MALANG-01"/>
    <x v="2"/>
    <x v="10"/>
    <s v="GCI1009"/>
    <s v="Pcs"/>
    <n v="250"/>
    <n v="0"/>
    <x v="147"/>
    <m/>
    <m/>
    <m/>
    <s v="Fatur"/>
    <n v="0"/>
    <s v="1812010507910004"/>
    <s v="L 9221 K"/>
    <m/>
    <m/>
    <s v="Pncokusumo"/>
    <e v="#N/A"/>
    <e v="#N/A"/>
    <s v="OUTBOUND_"/>
  </r>
  <r>
    <s v="879"/>
    <m/>
    <x v="3"/>
    <s v="TFI-W0012506-658"/>
    <s v="EJ-Malang-01"/>
    <s v="Oka-0813-2707-1646"/>
    <d v="2025-06-24T00:00:00"/>
    <d v="1900-01-14T07:00:00"/>
    <s v="EJ-Lamongan-01"/>
    <x v="2"/>
    <x v="10"/>
    <s v="GCI1009"/>
    <s v="Pcs"/>
    <n v="500"/>
    <s v="TRF"/>
    <x v="165"/>
    <n v="0"/>
    <n v="0"/>
    <m/>
    <m/>
    <m/>
    <m/>
    <m/>
    <m/>
    <m/>
    <s v="LAMONGAN"/>
    <e v="#N/A"/>
    <e v="#N/A"/>
    <s v="OUTBOUND_"/>
  </r>
  <r>
    <s v="880"/>
    <m/>
    <x v="1"/>
    <s v="OUB-W0012506-663"/>
    <s v="EJ-Malang-01"/>
    <s v="Oka-0813-2707-1646"/>
    <d v="2025-06-27T00:00:00"/>
    <d v="1899-12-30T12:57:00"/>
    <s v="EJ-MALANG-01"/>
    <x v="2"/>
    <x v="10"/>
    <s v="GCI1009"/>
    <s v="Pcs"/>
    <n v="250"/>
    <n v="0"/>
    <x v="148"/>
    <m/>
    <m/>
    <m/>
    <s v="Riki Romansyah"/>
    <n v="0"/>
    <s v="3507050501950006"/>
    <s v="N 8420 EL"/>
    <m/>
    <m/>
    <s v="Bululawang"/>
    <e v="#N/A"/>
    <e v="#N/A"/>
    <s v="OUTBOUND_"/>
  </r>
  <r>
    <s v="881"/>
    <m/>
    <x v="0"/>
    <s v="INB-W0012507-673"/>
    <s v="EJ-Malang-01"/>
    <s v="Oka-0813-2707-1646"/>
    <d v="2025-07-25T00:00:00"/>
    <d v="1900-01-14T07:00:00"/>
    <s v="GCI Procurement"/>
    <x v="2"/>
    <x v="10"/>
    <s v="GCI1009"/>
    <s v="Pcs"/>
    <n v="165"/>
    <n v="0"/>
    <x v="5"/>
    <n v="0"/>
    <n v="0"/>
    <m/>
    <m/>
    <m/>
    <m/>
    <m/>
    <m/>
    <m/>
    <n v="0"/>
    <e v="#N/A"/>
    <e v="#N/A"/>
    <s v="OUTBOUND_"/>
  </r>
  <r>
    <s v="882"/>
    <m/>
    <x v="1"/>
    <s v="OUB-W0012507-674"/>
    <s v="EJ-Malang-01"/>
    <s v="Oka-0813-2707-1646"/>
    <d v="2025-07-26T00:00:00"/>
    <d v="1899-12-30T11:14:00"/>
    <s v="EJ-MALANG-01"/>
    <x v="2"/>
    <x v="10"/>
    <s v="GCI1009"/>
    <s v="Pcs"/>
    <n v="165"/>
    <n v="0"/>
    <x v="166"/>
    <m/>
    <m/>
    <m/>
    <s v="Riki Romansyah"/>
    <n v="0"/>
    <s v="3507050501950006"/>
    <s v="N 8420 EL"/>
    <m/>
    <m/>
    <s v="Bululawang 7"/>
    <e v="#N/A"/>
    <e v="#N/A"/>
    <s v="OUTBOUND_"/>
  </r>
  <r>
    <s v="883"/>
    <m/>
    <x v="0"/>
    <s v="INB-W0012508-693"/>
    <s v="EJ-Malang-01"/>
    <s v="Oka-0813-2707-1646"/>
    <d v="2025-08-21T00:00:00"/>
    <d v="1900-01-14T07:00:00"/>
    <s v="GCI Procurement"/>
    <x v="2"/>
    <x v="10"/>
    <s v="GCI1009"/>
    <s v="Pcs"/>
    <n v="226"/>
    <n v="0"/>
    <x v="5"/>
    <n v="0"/>
    <n v="0"/>
    <m/>
    <m/>
    <m/>
    <m/>
    <m/>
    <m/>
    <m/>
    <n v="0"/>
    <e v="#N/A"/>
    <e v="#N/A"/>
    <s v="OUTBOUND_"/>
  </r>
  <r>
    <s v="884"/>
    <m/>
    <x v="1"/>
    <s v="OUB-W0012508-694"/>
    <s v="EJ-Malang-01"/>
    <s v="Oka-0813-2707-1646"/>
    <d v="2025-08-23T00:00:00"/>
    <d v="1899-12-30T10:17:00"/>
    <s v="EJ-MALANG-01"/>
    <x v="2"/>
    <x v="10"/>
    <s v="GCI1009"/>
    <s v="Pcs"/>
    <n v="226"/>
    <n v="0"/>
    <x v="149"/>
    <m/>
    <m/>
    <m/>
    <s v="Riki Romansyah"/>
    <n v="0"/>
    <s v="3507050501950006"/>
    <s v="N 8420 EL"/>
    <m/>
    <m/>
    <s v="Bululawang Permai"/>
    <e v="#N/A"/>
    <e v="#N/A"/>
    <s v="OUTBOUND_"/>
  </r>
  <r>
    <s v="885"/>
    <m/>
    <x v="1"/>
    <s v="OUB-W0012508-702"/>
    <s v="EJ-Malang-01"/>
    <s v="Oka-0813-2707-1646"/>
    <d v="2025-08-31T00:00:00"/>
    <d v="1899-12-30T21:36:25"/>
    <s v="EJ-MALANG-01"/>
    <x v="2"/>
    <x v="10"/>
    <s v="GCI1009"/>
    <s v="Pcs"/>
    <n v="15"/>
    <s v="ADJUSTMENT"/>
    <x v="18"/>
    <m/>
    <m/>
    <m/>
    <m/>
    <m/>
    <m/>
    <m/>
    <s v="ADJUSTMENT"/>
    <m/>
    <s v="ADJUSTMENT"/>
    <e v="#N/A"/>
    <e v="#N/A"/>
    <s v="OUTBOUND_"/>
  </r>
  <r>
    <s v="886"/>
    <n v="2"/>
    <x v="0"/>
    <s v="INB-W0012510-001"/>
    <s v="EJ-Malang-01"/>
    <s v="Oka-0813-2707-1646"/>
    <d v="2025-10-14T00:00:00"/>
    <d v="1899-12-30T15:21:00"/>
    <s v="GCI Procurement"/>
    <x v="2"/>
    <x v="10"/>
    <s v="GCI1009"/>
    <s v="Pcs"/>
    <n v="216"/>
    <s v="CLR51-99-370"/>
    <x v="111"/>
    <s v="DOEID25081590"/>
    <s v="DNWID1382025081505"/>
    <m/>
    <m/>
    <m/>
    <m/>
    <m/>
    <m/>
    <m/>
    <s v="Perumahan Bululawang Permai RW 02"/>
    <d v="2025-08-19T00:00:00"/>
    <b v="0"/>
    <s v="OUTBOUND_"/>
  </r>
  <r>
    <s v="887"/>
    <n v="2"/>
    <x v="1"/>
    <s v="OUB-W0012510-001"/>
    <s v="EJ-Malang-01"/>
    <s v="Oka-0813-2707-1646"/>
    <d v="2025-10-16T00:00:00"/>
    <d v="1899-12-30T10:21:00"/>
    <s v="EJ-MALANG-01"/>
    <x v="2"/>
    <x v="10"/>
    <s v="GCI1009"/>
    <s v="Pcs"/>
    <n v="216"/>
    <s v="CLR51-99-257"/>
    <x v="150"/>
    <m/>
    <m/>
    <m/>
    <s v="Riki Romansyah"/>
    <n v="0"/>
    <s v="3507050501950006"/>
    <s v="N 8420 EL"/>
    <m/>
    <m/>
    <s v="Asshofa Residence"/>
    <e v="#N/A"/>
    <e v="#N/A"/>
    <s v="OUTBOUND_"/>
  </r>
  <r>
    <s v="888"/>
    <n v="6"/>
    <x v="0"/>
    <s v="INB-W0012511-004"/>
    <s v="EJ-Malang-01"/>
    <s v="Oka-0813-2707-1646"/>
    <d v="2025-11-26T00:00:00"/>
    <d v="1899-12-30T16:01:00"/>
    <s v="GCI Procurement"/>
    <x v="2"/>
    <x v="10"/>
    <s v="GCI1009"/>
    <s v="Pcs"/>
    <n v="267"/>
    <s v="-"/>
    <x v="3"/>
    <s v="-"/>
    <s v="-"/>
    <m/>
    <m/>
    <m/>
    <m/>
    <m/>
    <m/>
    <m/>
    <n v="0"/>
    <e v="#N/A"/>
    <e v="#N/A"/>
    <s v="OUTBOUND_"/>
  </r>
  <r>
    <s v="889"/>
    <n v="8"/>
    <x v="1"/>
    <s v="OUB-W0012512-005"/>
    <s v="EJ-Malang-01"/>
    <s v="Oka-0813-2707-1646"/>
    <d v="2025-12-15T00:00:00"/>
    <d v="1899-12-30T08:50:00"/>
    <s v="EJ-MALANG-01"/>
    <x v="2"/>
    <x v="10"/>
    <s v="GCI1009"/>
    <s v="Pcs"/>
    <n v="267"/>
    <s v="-"/>
    <x v="3"/>
    <s v="-"/>
    <s v="-"/>
    <m/>
    <s v="Riki Romansyah"/>
    <s v="Suliadi"/>
    <s v="3507050501950006"/>
    <s v="N 8420 EL"/>
    <m/>
    <m/>
    <n v="0"/>
    <e v="#N/A"/>
    <e v="#N/A"/>
    <s v="OUTBOUND_"/>
  </r>
  <r>
    <s v="890"/>
    <n v="7"/>
    <x v="0"/>
    <s v="INB-W0012512-019"/>
    <s v="EJ-Malang-01"/>
    <s v="Oka-0813-2707-1646"/>
    <d v="2025-12-23T00:00:00"/>
    <d v="1899-12-30T08:00:00"/>
    <s v="GCI Procurement"/>
    <x v="2"/>
    <x v="10"/>
    <s v="GCI1009"/>
    <s v="Pcs"/>
    <n v="1413"/>
    <m/>
    <x v="3"/>
    <m/>
    <m/>
    <m/>
    <m/>
    <m/>
    <m/>
    <m/>
    <m/>
    <m/>
    <n v="0"/>
    <e v="#N/A"/>
    <e v="#N/A"/>
    <s v="OUTBOUND_"/>
  </r>
  <r>
    <s v="891"/>
    <n v="10"/>
    <x v="1"/>
    <s v="OUB-W0012512-024"/>
    <s v="EJ-Malang-01"/>
    <s v="Oka-0813-2707-1646"/>
    <d v="2025-12-25T00:00:00"/>
    <d v="1899-12-30T12:13:00"/>
    <s v="EJ-MALANG-01"/>
    <x v="2"/>
    <x v="10"/>
    <s v="GCI1009"/>
    <s v="Pcs"/>
    <n v="1413"/>
    <m/>
    <x v="3"/>
    <m/>
    <m/>
    <m/>
    <s v="Riki Romansyah"/>
    <s v="Suliadi"/>
    <s v="3507050501950006"/>
    <s v="N 8420 EL"/>
    <m/>
    <m/>
    <n v="0"/>
    <e v="#N/A"/>
    <e v="#N/A"/>
    <s v="OUTBOUND_"/>
  </r>
  <r>
    <s v="892"/>
    <m/>
    <x v="2"/>
    <s v="TFO-W0012503-622"/>
    <s v="EJ-Malang-01"/>
    <s v="Oka-0813-2707-1646"/>
    <d v="2025-03-07T00:00:00"/>
    <d v="1899-12-30T15:30:00"/>
    <s v="EJ-MALANG-01"/>
    <x v="2"/>
    <x v="11"/>
    <s v="GCI1010"/>
    <s v="Pcs"/>
    <n v="84"/>
    <n v="0"/>
    <x v="4"/>
    <m/>
    <m/>
    <m/>
    <s v="Fatur"/>
    <n v="0"/>
    <s v="1812010507910004"/>
    <s v="L 9221 K"/>
    <m/>
    <m/>
    <s v="Transfer Gudang"/>
    <e v="#N/A"/>
    <e v="#N/A"/>
    <s v="TRANSFER OUT_"/>
  </r>
  <r>
    <s v="893"/>
    <m/>
    <x v="0"/>
    <s v="INB-W0012401-183"/>
    <s v="EJ-Malang-01"/>
    <s v="Oka-0813-2707-1646"/>
    <d v="2024-01-18T00:00:00"/>
    <d v="1900-01-14T07:00:00"/>
    <s v="GCI Procurement"/>
    <x v="2"/>
    <x v="12"/>
    <e v="#N/A"/>
    <s v=""/>
    <n v="194"/>
    <s v="PRC"/>
    <x v="135"/>
    <n v="0"/>
    <n v="0"/>
    <m/>
    <m/>
    <m/>
    <m/>
    <m/>
    <m/>
    <m/>
    <s v="Purchase"/>
    <e v="#N/A"/>
    <e v="#N/A"/>
    <s v="OUTBOUND_"/>
  </r>
  <r>
    <s v="894"/>
    <m/>
    <x v="1"/>
    <s v="OUB-W0012401-191"/>
    <s v="EJ-Malang-01"/>
    <s v="Oka-0813-2707-1646"/>
    <d v="2024-01-22T00:00:00"/>
    <d v="1899-12-30T09:13:00"/>
    <s v="EJ-MALANG-01"/>
    <x v="2"/>
    <x v="12"/>
    <e v="#N/A"/>
    <s v=""/>
    <n v="20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895"/>
    <m/>
    <x v="0"/>
    <s v="INB-W0012401-204"/>
    <s v="EJ-Malang-01"/>
    <s v="Oka-0813-2707-1646"/>
    <d v="2024-01-25T00:00:00"/>
    <d v="1900-01-14T07:00:00"/>
    <s v="GCI Procurement"/>
    <x v="2"/>
    <x v="12"/>
    <e v="#N/A"/>
    <s v=""/>
    <n v="4"/>
    <s v="MF51-01"/>
    <x v="36"/>
    <n v="0"/>
    <n v="0"/>
    <m/>
    <m/>
    <m/>
    <m/>
    <m/>
    <m/>
    <m/>
    <s v="HUBFEEDER BATURETNO RW 02"/>
    <e v="#N/A"/>
    <e v="#N/A"/>
    <s v="OUTBOUND_"/>
  </r>
  <r>
    <s v="896"/>
    <m/>
    <x v="1"/>
    <s v="OUB-W0012402-229"/>
    <s v="EJ-Malang-01"/>
    <s v="Oka-0813-2707-1646"/>
    <d v="2024-02-19T00:00:00"/>
    <d v="1899-12-30T10:54:00"/>
    <s v="EJ-MALANG-01"/>
    <x v="2"/>
    <x v="12"/>
    <e v="#N/A"/>
    <s v=""/>
    <n v="50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897"/>
    <m/>
    <x v="3"/>
    <s v="TFI-W0012409-504"/>
    <s v="EJ-Malang-01"/>
    <s v="Oka-0813-2707-1646"/>
    <d v="2024-09-19T00:00:00"/>
    <d v="1900-01-14T07:00:00"/>
    <s v="EJ-BLITAR-01"/>
    <x v="2"/>
    <x v="12"/>
    <e v="#N/A"/>
    <s v=""/>
    <n v="6"/>
    <s v="TRF"/>
    <x v="158"/>
    <n v="0"/>
    <n v="0"/>
    <m/>
    <m/>
    <m/>
    <m/>
    <m/>
    <m/>
    <m/>
    <s v="Blitar"/>
    <e v="#N/A"/>
    <e v="#N/A"/>
    <s v="OUTBOUND_"/>
  </r>
  <r>
    <s v="898"/>
    <m/>
    <x v="2"/>
    <s v="TFO-W0012412-588"/>
    <s v="EJ-Malang-01"/>
    <s v="Oka-0813-2707-1646"/>
    <d v="2024-12-26T00:00:00"/>
    <d v="1899-12-30T20:04:00"/>
    <s v="EJ-JOMBANG-01"/>
    <x v="2"/>
    <x v="12"/>
    <e v="#N/A"/>
    <s v=""/>
    <n v="50"/>
    <n v="0"/>
    <x v="4"/>
    <m/>
    <m/>
    <m/>
    <s v="Fatur"/>
    <n v="0"/>
    <s v="1812010507910004"/>
    <s v="AG 8030 KG"/>
    <s v="TRF ke Jombang"/>
    <m/>
    <s v="Transfer Gudang"/>
    <e v="#N/A"/>
    <e v="#N/A"/>
    <s v="TRANSFER OUT_"/>
  </r>
  <r>
    <s v="899"/>
    <m/>
    <x v="0"/>
    <s v="INB-W0012311-119"/>
    <s v="EJ-Malang-01"/>
    <s v="Oka-0813-2707-1646"/>
    <d v="2023-11-06T00:00:00"/>
    <d v="1900-01-14T07:00:00"/>
    <s v="GCI Procurement"/>
    <x v="2"/>
    <x v="13"/>
    <s v="GCI1015"/>
    <s v="Pcs"/>
    <n v="35"/>
    <s v="PRC"/>
    <x v="135"/>
    <n v="0"/>
    <n v="0"/>
    <m/>
    <m/>
    <m/>
    <m/>
    <m/>
    <s v="UD Halim Jaya "/>
    <m/>
    <s v="Purchase"/>
    <e v="#N/A"/>
    <e v="#N/A"/>
    <s v="OUTBOUND_"/>
  </r>
  <r>
    <s v="900"/>
    <m/>
    <x v="1"/>
    <s v="OUB-W0012311-122"/>
    <s v="EJ-Malang-01"/>
    <s v="Oka-0813-2707-1646"/>
    <d v="2023-11-16T00:00:00"/>
    <d v="1899-12-30T14:35:00"/>
    <s v="EJ-MALANG-01"/>
    <x v="2"/>
    <x v="13"/>
    <s v="GCI1015"/>
    <s v="Pcs"/>
    <n v="35"/>
    <s v="CLR51-99-017"/>
    <x v="21"/>
    <m/>
    <m/>
    <m/>
    <s v="Mustofa"/>
    <n v="0"/>
    <s v="3209140803860003"/>
    <s v="N 9609 EF"/>
    <m/>
    <m/>
    <s v="Sukodadi RW 01 Wagir"/>
    <e v="#N/A"/>
    <e v="#N/A"/>
    <s v="OUTBOUND_"/>
  </r>
  <r>
    <s v="901"/>
    <m/>
    <x v="0"/>
    <s v="INB-W0012312-138"/>
    <s v="EJ-Malang-01"/>
    <s v="Oka-0813-2707-1646"/>
    <d v="2023-12-01T00:00:00"/>
    <d v="1900-01-14T07:00:00"/>
    <s v="FIELD TEAM"/>
    <x v="2"/>
    <x v="13"/>
    <s v="GCI1015"/>
    <s v="Pcs"/>
    <n v="15"/>
    <s v="CLR51-99-017"/>
    <x v="21"/>
    <n v="0"/>
    <n v="0"/>
    <m/>
    <m/>
    <m/>
    <m/>
    <m/>
    <s v="sisa"/>
    <m/>
    <s v="Sukodadi RW 01 Wagir"/>
    <e v="#N/A"/>
    <e v="#N/A"/>
    <s v="OUTBOUND_"/>
  </r>
  <r>
    <s v="902"/>
    <m/>
    <x v="1"/>
    <s v="OUB-W0012508-702"/>
    <s v="EJ-Malang-01"/>
    <s v="Oka-0813-2707-1646"/>
    <d v="2025-08-31T00:00:00"/>
    <d v="1899-12-30T21:36:25"/>
    <s v="EJ-MALANG-01"/>
    <x v="2"/>
    <x v="13"/>
    <s v="GCI1015"/>
    <s v="Pcs"/>
    <n v="15"/>
    <s v="ADJUSTMENT"/>
    <x v="18"/>
    <m/>
    <m/>
    <m/>
    <m/>
    <m/>
    <m/>
    <m/>
    <s v="ADJUSTMENT"/>
    <m/>
    <s v="ADJUSTMENT"/>
    <e v="#N/A"/>
    <e v="#N/A"/>
    <s v="OUTBOUND_"/>
  </r>
  <r>
    <s v="903"/>
    <n v="3"/>
    <x v="0"/>
    <s v="INB-W0012308-1"/>
    <s v="EJ-Malang-01"/>
    <s v="Oka-0813-2707-1646"/>
    <d v="2023-08-04T00:00:00"/>
    <d v="1900-01-14T07:00:00"/>
    <s v="ZTE Warehouse"/>
    <x v="0"/>
    <x v="14"/>
    <s v="ZTE2008"/>
    <s v="Pcs"/>
    <n v="16"/>
    <s v="CLR51-99-004"/>
    <x v="19"/>
    <s v="DOEID23080182"/>
    <s v="DNWID0342023080312"/>
    <m/>
    <m/>
    <m/>
    <m/>
    <m/>
    <m/>
    <m/>
    <s v="Perumahan Bumi Podo Rukun Dau"/>
    <d v="2023-08-04T00:00:00"/>
    <b v="1"/>
    <s v="OUTBOUND_"/>
  </r>
  <r>
    <s v="904"/>
    <m/>
    <x v="1"/>
    <s v="OUB-W0012308-8"/>
    <s v="EJ-Malang-01"/>
    <s v="Oka-0813-2707-1646"/>
    <d v="2023-08-11T00:00:00"/>
    <d v="1900-01-14T14:52:24"/>
    <s v="EJ-MALANG-01"/>
    <x v="0"/>
    <x v="14"/>
    <s v="ZTE2008"/>
    <s v="Pcs"/>
    <n v="16"/>
    <s v="CLR51-99-004"/>
    <x v="19"/>
    <m/>
    <m/>
    <m/>
    <s v="Mohammad Febbi H"/>
    <s v="Febby Supplier"/>
    <s v="3524052002930003"/>
    <s v="B 1480 BVG"/>
    <m/>
    <m/>
    <s v="Perumahan Bumi Podo Rukun Dau"/>
    <e v="#N/A"/>
    <e v="#N/A"/>
    <s v="OUTBOUND_"/>
  </r>
  <r>
    <s v="905"/>
    <m/>
    <x v="0"/>
    <s v="INB-W0012309-15"/>
    <s v="EJ-Malang-01"/>
    <s v="Oka-0813-2707-1646"/>
    <d v="2023-09-01T00:00:00"/>
    <d v="1900-01-14T07:00:00"/>
    <s v="ZTE Warehouse"/>
    <x v="0"/>
    <x v="14"/>
    <s v="ZTE2008"/>
    <s v="Pcs"/>
    <n v="17"/>
    <s v="CLR51-99-006"/>
    <x v="23"/>
    <s v="DOEID23082835"/>
    <s v="DNWID0342023082902"/>
    <m/>
    <m/>
    <m/>
    <m/>
    <m/>
    <m/>
    <m/>
    <s v="Mulyorejo RW 04 Sukun"/>
    <d v="2023-09-01T00:00:00"/>
    <b v="1"/>
    <s v="OUTBOUND_"/>
  </r>
  <r>
    <s v="906"/>
    <m/>
    <x v="1"/>
    <s v="OUB-W0012309-28"/>
    <s v="EJ-Malang-01"/>
    <s v="Oka-0813-2707-1646"/>
    <d v="2023-09-10T00:00:00"/>
    <d v="1899-12-30T09:09:00"/>
    <s v="EJ-MALANG-01"/>
    <x v="0"/>
    <x v="14"/>
    <s v="ZTE2008"/>
    <s v="Pcs"/>
    <n v="17"/>
    <s v="CLR51-99-006"/>
    <x v="23"/>
    <m/>
    <m/>
    <m/>
    <s v="Wisda Aqsa Fatwa"/>
    <s v="Febby Supplier"/>
    <s v="3515110909990007"/>
    <s v="N 8431 TD"/>
    <m/>
    <m/>
    <s v="Mulyorejo RW 04 Sukun"/>
    <e v="#N/A"/>
    <e v="#N/A"/>
    <s v="OUTBOUND_"/>
  </r>
  <r>
    <s v="907"/>
    <m/>
    <x v="1"/>
    <s v="OUB-W0012309-29"/>
    <s v="EJ-Malang-01"/>
    <s v="Oka-0813-2707-1646"/>
    <d v="2023-09-14T00:00:00"/>
    <d v="1900-01-14T07:00:00"/>
    <s v="EJ-MALANG-01"/>
    <x v="0"/>
    <x v="14"/>
    <s v="ZTE2008"/>
    <s v="Pcs"/>
    <n v="1"/>
    <s v="CLR51-99-006"/>
    <x v="23"/>
    <n v="0"/>
    <s v="TRANSFER GUDANG"/>
    <m/>
    <m/>
    <m/>
    <m/>
    <m/>
    <s v="Transfer Gudang dari Kediri ke  Malang Approval Yanuar , Untuk Site Mulyorejo4"/>
    <m/>
    <s v="Mulyorejo RW 04 Sukun"/>
    <e v="#N/A"/>
    <e v="#N/A"/>
    <s v="OUTBOUND_"/>
  </r>
  <r>
    <s v="908"/>
    <m/>
    <x v="3"/>
    <s v="TFI-W0012309-29"/>
    <s v="EJ-Malang-01"/>
    <s v="Oka-0813-2707-1646"/>
    <d v="2023-09-14T00:00:00"/>
    <d v="1900-01-14T07:00:00"/>
    <s v="EJ-KEDIRI-01"/>
    <x v="0"/>
    <x v="14"/>
    <s v="ZTE2008"/>
    <s v="Pcs"/>
    <n v="1"/>
    <s v="TRF"/>
    <x v="78"/>
    <n v="0"/>
    <s v="TRANSFER GUDANG"/>
    <m/>
    <m/>
    <m/>
    <m/>
    <m/>
    <s v="Transfer Gudang dari Kediri ke  Malang Approval Yanuar , Untuk Site Mulyorejo4"/>
    <m/>
    <s v="KEDIRI"/>
    <e v="#N/A"/>
    <e v="#N/A"/>
    <s v="OUTBOUND_"/>
  </r>
  <r>
    <s v="909"/>
    <m/>
    <x v="0"/>
    <s v="INB-W0012309-30"/>
    <s v="EJ-Malang-01"/>
    <s v="Oka-0813-2707-1646"/>
    <d v="2023-09-16T00:00:00"/>
    <d v="1900-01-14T07:00:00"/>
    <s v="ZTE Warehouse"/>
    <x v="0"/>
    <x v="14"/>
    <s v="ZTE2008"/>
    <s v="Pcs"/>
    <n v="11"/>
    <s v="CLR51-99-014"/>
    <x v="167"/>
    <s v="DOEID23091556"/>
    <s v="DNWID0342023091501"/>
    <m/>
    <m/>
    <m/>
    <m/>
    <m/>
    <m/>
    <m/>
    <s v="Pandanlandung RW   04   Wagir"/>
    <d v="2023-09-16T00:00:00"/>
    <b v="1"/>
    <s v="OUTBOUND_"/>
  </r>
  <r>
    <s v="910"/>
    <m/>
    <x v="0"/>
    <s v="INB-W0012309-31"/>
    <s v="EJ-Malang-01"/>
    <s v="Oka-0813-2707-1646"/>
    <d v="2023-09-19T00:00:00"/>
    <d v="1900-01-14T07:00:00"/>
    <s v="ZTE Warehouse"/>
    <x v="0"/>
    <x v="14"/>
    <s v="ZTE2008"/>
    <s v="Pcs"/>
    <n v="1"/>
    <s v="CLR51-99-014"/>
    <x v="167"/>
    <s v="DOEID230918AG"/>
    <s v="DNWID0342023091803"/>
    <m/>
    <m/>
    <m/>
    <m/>
    <m/>
    <m/>
    <m/>
    <s v="Pandanlandung RW   04   Wagir"/>
    <d v="2023-09-19T00:00:00"/>
    <b v="1"/>
    <s v="OUTBOUND_"/>
  </r>
  <r>
    <s v="911"/>
    <m/>
    <x v="0"/>
    <s v="INB-W0012309-31"/>
    <s v="EJ-Malang-01"/>
    <s v="Oka-0813-2707-1646"/>
    <d v="2023-09-19T00:00:00"/>
    <d v="1900-01-14T07:00:00"/>
    <s v="ZTE Warehouse"/>
    <x v="0"/>
    <x v="14"/>
    <s v="ZTE2008"/>
    <s v="Pcs"/>
    <n v="11"/>
    <s v="CLR51-99-007"/>
    <x v="25"/>
    <s v="DOEID230918DY"/>
    <s v="DNWID0342023091808"/>
    <m/>
    <m/>
    <m/>
    <m/>
    <m/>
    <m/>
    <m/>
    <s v="Mulyorejo RW 06 Sukun"/>
    <d v="2023-09-19T00:00:00"/>
    <b v="1"/>
    <s v="OUTBOUND_"/>
  </r>
  <r>
    <s v="912"/>
    <m/>
    <x v="0"/>
    <s v="INB-W0012309-31"/>
    <s v="EJ-Malang-01"/>
    <s v="Oka-0813-2707-1646"/>
    <d v="2023-09-19T00:00:00"/>
    <d v="1900-01-14T07:00:00"/>
    <s v="ZTE Warehouse"/>
    <x v="0"/>
    <x v="14"/>
    <s v="ZTE2008"/>
    <s v="Pcs"/>
    <n v="16"/>
    <s v="CLR51-99-013"/>
    <x v="168"/>
    <s v="DOEID230918AH"/>
    <s v="DNWID0342023091804"/>
    <m/>
    <m/>
    <m/>
    <m/>
    <m/>
    <m/>
    <m/>
    <s v="Pandanlandung RW   03   Wagir"/>
    <d v="2023-09-19T00:00:00"/>
    <b v="1"/>
    <s v="OUTBOUND_"/>
  </r>
  <r>
    <s v="913"/>
    <m/>
    <x v="0"/>
    <s v="INB-W0012309-32"/>
    <s v="EJ-Malang-01"/>
    <s v="Oka-0813-2707-1646"/>
    <d v="2023-09-20T00:00:00"/>
    <d v="1900-01-14T07:00:00"/>
    <s v="ZTE Warehouse"/>
    <x v="0"/>
    <x v="14"/>
    <s v="ZTE2008"/>
    <s v="Pcs"/>
    <n v="11"/>
    <s v="CLR51-02-001"/>
    <x v="20"/>
    <s v="DOEID230919BH"/>
    <s v="DNWID0342023091906"/>
    <m/>
    <m/>
    <m/>
    <m/>
    <m/>
    <m/>
    <m/>
    <s v="Puncak Dieng Exlusif"/>
    <d v="2023-09-20T00:00:00"/>
    <b v="1"/>
    <s v="OUTBOUND_"/>
  </r>
  <r>
    <s v="914"/>
    <m/>
    <x v="1"/>
    <s v="OUB-W0012309-44"/>
    <s v="EJ-Malang-01"/>
    <s v="Oka-0813-2707-1646"/>
    <d v="2023-09-25T00:00:00"/>
    <d v="1899-12-30T06:30:00"/>
    <s v="EJ-MALANG-01"/>
    <x v="0"/>
    <x v="14"/>
    <s v="ZTE2008"/>
    <s v="Pcs"/>
    <n v="11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915"/>
    <m/>
    <x v="0"/>
    <s v="INB-W0012309-48"/>
    <s v="EJ-Malang-01"/>
    <s v="Oka-0813-2707-1646"/>
    <d v="2023-09-26T00:00:00"/>
    <d v="1900-01-14T07:00:00"/>
    <s v="ZTE Warehouse"/>
    <x v="0"/>
    <x v="14"/>
    <s v="ZTE2008"/>
    <s v="Pcs"/>
    <n v="7"/>
    <s v="CLR51-02-001"/>
    <x v="20"/>
    <s v="DOEID230925EO"/>
    <s v="DNWID0342023092613"/>
    <m/>
    <m/>
    <m/>
    <m/>
    <m/>
    <m/>
    <m/>
    <s v="Puncak Dieng Exlusif"/>
    <d v="2023-09-26T00:00:00"/>
    <b v="1"/>
    <s v="OUTBOUND_"/>
  </r>
  <r>
    <s v="916"/>
    <m/>
    <x v="1"/>
    <s v="OUB-W0012309-50"/>
    <s v="EJ-Malang-01"/>
    <s v="Oka-0813-2707-1646"/>
    <d v="2023-09-27T00:00:00"/>
    <d v="1899-12-30T11:20:00"/>
    <s v="EJ-MALANG-01"/>
    <x v="0"/>
    <x v="14"/>
    <s v="ZTE2008"/>
    <s v="Pcs"/>
    <n v="35"/>
    <s v="CLR51-02-001"/>
    <x v="20"/>
    <m/>
    <m/>
    <m/>
    <s v="Khoiri"/>
    <s v="Khoiri Supplier"/>
    <s v="3507330905820002"/>
    <s v="N 3408 ECP"/>
    <m/>
    <m/>
    <s v="Puncak Dieng Exlusif"/>
    <e v="#N/A"/>
    <e v="#N/A"/>
    <s v="OUTBOUND_"/>
  </r>
  <r>
    <s v="917"/>
    <m/>
    <x v="1"/>
    <s v="OUB-W0012310-56"/>
    <s v="EJ-Malang-01"/>
    <s v="Oka-0813-2707-1646"/>
    <d v="2023-10-02T00:00:00"/>
    <d v="1899-12-30T11:20:00"/>
    <s v="EJ-MALANG-01"/>
    <x v="0"/>
    <x v="14"/>
    <s v="ZTE2008"/>
    <s v="Pcs"/>
    <n v="3"/>
    <s v="CLR51-02-001"/>
    <x v="20"/>
    <m/>
    <m/>
    <m/>
    <s v="Khoiri"/>
    <s v="Khoiri Supplier"/>
    <s v="3507330905820002"/>
    <s v="N 3408 ECP"/>
    <m/>
    <m/>
    <s v="Puncak Dieng Exlusif"/>
    <e v="#N/A"/>
    <e v="#N/A"/>
    <s v="OUTBOUND_"/>
  </r>
  <r>
    <s v="918"/>
    <m/>
    <x v="1"/>
    <s v="OUB-W0012310-64"/>
    <s v="EJ-Malang-01"/>
    <s v="Oka-0813-2707-1646"/>
    <d v="2023-10-09T00:00:00"/>
    <d v="1899-12-30T14:35:00"/>
    <s v="EJ-MALANG-01"/>
    <x v="0"/>
    <x v="14"/>
    <s v="ZTE2008"/>
    <s v="Pcs"/>
    <n v="8"/>
    <s v="CLR51-99-013"/>
    <x v="26"/>
    <m/>
    <m/>
    <m/>
    <s v="Mustofa"/>
    <n v="0"/>
    <s v="3209140803860003"/>
    <s v="DK 1058 FAP"/>
    <m/>
    <m/>
    <s v="Pandan Landung RW 03 Wagir"/>
    <e v="#N/A"/>
    <e v="#N/A"/>
    <s v="OUTBOUND_"/>
  </r>
  <r>
    <s v="919"/>
    <m/>
    <x v="3"/>
    <s v="TFI-W0012310-65"/>
    <s v="EJ-Malang-01"/>
    <s v="Oka-0813-2707-1646"/>
    <d v="2023-10-09T00:00:00"/>
    <d v="1900-01-14T07:00:00"/>
    <s v="EJ-KEDIRI-01"/>
    <x v="0"/>
    <x v="14"/>
    <s v="ZTE2008"/>
    <s v="Pcs"/>
    <n v="18"/>
    <s v="TRF"/>
    <x v="78"/>
    <n v="0"/>
    <s v="TRANSFER GUDANG"/>
    <m/>
    <m/>
    <m/>
    <m/>
    <m/>
    <s v="Transfer dari Kediri ke malang pak munip"/>
    <m/>
    <s v="KEDIRI"/>
    <e v="#N/A"/>
    <e v="#N/A"/>
    <s v="OUTBOUND_"/>
  </r>
  <r>
    <s v="920"/>
    <m/>
    <x v="1"/>
    <s v="OUB-W0012310-67"/>
    <s v="EJ-Malang-01"/>
    <s v="Oka-0813-2707-1646"/>
    <d v="2023-10-11T00:00:00"/>
    <d v="1899-12-30T11:37:00"/>
    <s v="EJ-MALANG-01"/>
    <x v="0"/>
    <x v="14"/>
    <s v="ZTE2008"/>
    <s v="Pcs"/>
    <n v="8"/>
    <s v="CLR51-99-013"/>
    <x v="26"/>
    <m/>
    <m/>
    <m/>
    <s v="Mustofa"/>
    <n v="0"/>
    <s v="3209140803860003"/>
    <s v="DK 1058 FAP"/>
    <m/>
    <m/>
    <s v="Pandan Landung RW 03 Wagir"/>
    <e v="#N/A"/>
    <e v="#N/A"/>
    <s v="OUTBOUND_"/>
  </r>
  <r>
    <s v="921"/>
    <m/>
    <x v="1"/>
    <s v="OUB-W0012310-67"/>
    <s v="EJ-Malang-01"/>
    <s v="Oka-0813-2707-1646"/>
    <d v="2023-10-11T00:00:00"/>
    <d v="1899-12-30T11:37:00"/>
    <s v="EJ-MALANG-01"/>
    <x v="0"/>
    <x v="14"/>
    <s v="ZTE2008"/>
    <s v="Pcs"/>
    <n v="10"/>
    <s v="CLR51-99-014"/>
    <x v="29"/>
    <m/>
    <m/>
    <m/>
    <s v="Mustofa"/>
    <n v="0"/>
    <s v="3209140803860003"/>
    <s v="DK 1058 FAP"/>
    <m/>
    <m/>
    <s v="Pandan Landung RW 04 Wagir"/>
    <e v="#N/A"/>
    <e v="#N/A"/>
    <s v="OUTBOUND_"/>
  </r>
  <r>
    <s v="922"/>
    <m/>
    <x v="0"/>
    <s v="INB-W0012310-74"/>
    <s v="EJ-Malang-01"/>
    <s v="Oka-0813-2707-1646"/>
    <d v="2023-10-12T00:00:00"/>
    <d v="1900-01-14T07:00:00"/>
    <s v="ZTE Warehouse"/>
    <x v="0"/>
    <x v="14"/>
    <s v="ZTE2008"/>
    <s v="Pcs"/>
    <n v="15"/>
    <s v="CLR51-02-001"/>
    <x v="20"/>
    <s v="DOEID23100920"/>
    <s v="DNWID0342023100920"/>
    <m/>
    <m/>
    <m/>
    <m/>
    <m/>
    <m/>
    <m/>
    <s v="Puncak Dieng Exlusif"/>
    <d v="2023-10-12T00:00:00"/>
    <b v="1"/>
    <s v="OUTBOUND_"/>
  </r>
  <r>
    <s v="923"/>
    <m/>
    <x v="0"/>
    <s v="INB-W0012310-75"/>
    <s v="EJ-Malang-01"/>
    <s v="Oka-0813-2707-1646"/>
    <d v="2023-10-14T00:00:00"/>
    <d v="1900-01-14T07:00:00"/>
    <s v="ZTE Warehouse"/>
    <x v="0"/>
    <x v="14"/>
    <s v="ZTE2008"/>
    <s v="Pcs"/>
    <n v="5"/>
    <s v="CLR51-99-020"/>
    <x v="22"/>
    <s v="DOEID231013AV"/>
    <s v="DNWID0342023101409"/>
    <m/>
    <m/>
    <m/>
    <m/>
    <m/>
    <m/>
    <m/>
    <s v="Jedong RW 08 Wagir"/>
    <d v="2023-10-14T00:00:00"/>
    <b v="1"/>
    <s v="OUTBOUND_"/>
  </r>
  <r>
    <s v="924"/>
    <m/>
    <x v="0"/>
    <s v="INB-W0012310-75"/>
    <s v="EJ-Malang-01"/>
    <s v="Oka-0813-2707-1646"/>
    <d v="2023-10-14T00:00:00"/>
    <d v="1900-01-14T07:00:00"/>
    <s v="ZTE Warehouse"/>
    <x v="0"/>
    <x v="14"/>
    <s v="ZTE2008"/>
    <s v="Pcs"/>
    <n v="6"/>
    <s v="CLR51-99-019"/>
    <x v="28"/>
    <s v="DOEID231013AT"/>
    <s v="DNWID0342023101408"/>
    <m/>
    <m/>
    <m/>
    <m/>
    <m/>
    <m/>
    <m/>
    <s v="Sidorahayu RW 02 Wagir"/>
    <d v="2023-10-14T00:00:00"/>
    <b v="1"/>
    <s v="OUTBOUND_"/>
  </r>
  <r>
    <s v="925"/>
    <m/>
    <x v="0"/>
    <s v="INB-W0012310-75"/>
    <s v="EJ-Malang-01"/>
    <s v="Oka-0813-2707-1646"/>
    <d v="2023-10-14T00:00:00"/>
    <d v="1900-01-14T07:00:00"/>
    <s v="ZTE Warehouse"/>
    <x v="0"/>
    <x v="14"/>
    <s v="ZTE2008"/>
    <s v="Pcs"/>
    <n v="8"/>
    <s v="CLR51-99-017"/>
    <x v="21"/>
    <s v="DOEID23101403"/>
    <s v="DNWID0342023101406"/>
    <m/>
    <m/>
    <m/>
    <m/>
    <m/>
    <m/>
    <m/>
    <s v="Sukodadi RW 01 Wagir"/>
    <d v="2023-10-14T00:00:00"/>
    <b v="1"/>
    <s v="OUTBOUND_"/>
  </r>
  <r>
    <s v="926"/>
    <m/>
    <x v="0"/>
    <s v="INB-W0012310-75"/>
    <s v="EJ-Malang-01"/>
    <s v="Oka-0813-2707-1646"/>
    <d v="2023-10-14T00:00:00"/>
    <d v="1900-01-14T07:00:00"/>
    <s v="ZTE Warehouse"/>
    <x v="0"/>
    <x v="14"/>
    <s v="ZTE2008"/>
    <s v="Pcs"/>
    <n v="14"/>
    <s v="CLR51-99-021"/>
    <x v="27"/>
    <s v="DOEID231013AX"/>
    <s v="DNWID0342023101405"/>
    <m/>
    <m/>
    <m/>
    <m/>
    <m/>
    <m/>
    <m/>
    <s v="Jedong RW 09 Wagir"/>
    <d v="2023-10-14T00:00:00"/>
    <b v="1"/>
    <s v="OUTBOUND_"/>
  </r>
  <r>
    <s v="927"/>
    <m/>
    <x v="3"/>
    <s v="TFI-W0012310-75"/>
    <s v="EJ-Malang-01"/>
    <s v="Oka-0813-2707-1646"/>
    <d v="2023-10-14T00:00:00"/>
    <d v="1900-01-14T07:00:00"/>
    <s v="ZTE Warehouse"/>
    <x v="0"/>
    <x v="14"/>
    <s v="ZTE2008"/>
    <s v="Pcs"/>
    <n v="8"/>
    <s v="TRF"/>
    <x v="5"/>
    <n v="0"/>
    <s v="TRANSFER GUDANG"/>
    <m/>
    <m/>
    <m/>
    <m/>
    <m/>
    <m/>
    <m/>
    <n v="0"/>
    <e v="#N/A"/>
    <e v="#N/A"/>
    <s v="OUTBOUND_"/>
  </r>
  <r>
    <s v="928"/>
    <m/>
    <x v="2"/>
    <s v="TFO-W0012310-96"/>
    <s v="EJ-Malang-01"/>
    <s v="Oka-0813-2707-1646"/>
    <d v="2023-10-21T00:00:00"/>
    <d v="1899-12-30T23:24:00"/>
    <s v="EJ-MALANG-01"/>
    <x v="0"/>
    <x v="14"/>
    <s v="ZTE2008"/>
    <s v="Pcs"/>
    <n v="1"/>
    <s v="TRF"/>
    <x v="4"/>
    <m/>
    <m/>
    <m/>
    <s v="Mustofa"/>
    <n v="0"/>
    <s v="3209140803860003"/>
    <s v="N 9609 EF"/>
    <m/>
    <m/>
    <s v="Transfer Gudang"/>
    <e v="#N/A"/>
    <e v="#N/A"/>
    <s v="TRANSFER OUT_"/>
  </r>
  <r>
    <s v="929"/>
    <m/>
    <x v="1"/>
    <s v="OUB-W0012310-109"/>
    <s v="EJ-Malang-01"/>
    <s v="Oka-0813-2707-1646"/>
    <d v="2023-10-24T00:00:00"/>
    <d v="1899-12-30T11:20:00"/>
    <s v="EJ-MALANG-01"/>
    <x v="0"/>
    <x v="14"/>
    <s v="ZTE2008"/>
    <s v="Pcs"/>
    <n v="5"/>
    <s v="CLR51-99-020"/>
    <x v="22"/>
    <m/>
    <m/>
    <m/>
    <s v="Khoiri"/>
    <s v="Khoiri Supplier"/>
    <s v="3507330905820002"/>
    <s v="N 3408 ECP"/>
    <m/>
    <m/>
    <s v="Jedong RW 08 Wagir"/>
    <e v="#N/A"/>
    <e v="#N/A"/>
    <s v="OUTBOUND_"/>
  </r>
  <r>
    <s v="930"/>
    <m/>
    <x v="1"/>
    <s v="OUB-W0012310-109"/>
    <s v="EJ-Malang-01"/>
    <s v="Oka-0813-2707-1646"/>
    <d v="2023-10-24T00:00:00"/>
    <d v="1899-12-30T11:20:00"/>
    <s v="EJ-MALANG-01"/>
    <x v="0"/>
    <x v="14"/>
    <s v="ZTE2008"/>
    <s v="Pcs"/>
    <n v="14"/>
    <s v="CLR51-99-021"/>
    <x v="27"/>
    <m/>
    <m/>
    <m/>
    <s v="Khoiri"/>
    <s v="Khoiri Supplier"/>
    <s v="3507330905820002"/>
    <s v="N 3408 ECP"/>
    <m/>
    <m/>
    <s v="Jedong RW 09 Wagir"/>
    <e v="#N/A"/>
    <e v="#N/A"/>
    <s v="OUTBOUND_"/>
  </r>
  <r>
    <s v="931"/>
    <m/>
    <x v="2"/>
    <s v="TFO-W0012310-114"/>
    <s v="EJ-Malang-01"/>
    <s v="Oka-0813-2707-1646"/>
    <d v="2023-10-27T00:00:00"/>
    <d v="1899-12-30T21:30:00"/>
    <s v="EJ-KEDIRI-01"/>
    <x v="0"/>
    <x v="14"/>
    <s v="ZTE2008"/>
    <s v="Pcs"/>
    <n v="15"/>
    <s v="TRF"/>
    <x v="4"/>
    <m/>
    <m/>
    <m/>
    <s v="Riskomara"/>
    <n v="0"/>
    <n v="0"/>
    <s v="L 1962 QM"/>
    <m/>
    <m/>
    <s v="Transfer Gudang"/>
    <e v="#N/A"/>
    <e v="#N/A"/>
    <s v="TRANSFER OUT_"/>
  </r>
  <r>
    <s v="932"/>
    <m/>
    <x v="1"/>
    <s v="OUB-W0012310-116"/>
    <s v="EJ-Malang-01"/>
    <s v="Oka-0813-2707-1646"/>
    <d v="2023-10-29T00:00:00"/>
    <d v="1899-12-30T22:30:00"/>
    <s v="EJ-MALANG-01"/>
    <x v="0"/>
    <x v="14"/>
    <s v="ZTE2008"/>
    <s v="Pcs"/>
    <n v="6"/>
    <s v="CLR51-99-019"/>
    <x v="28"/>
    <m/>
    <m/>
    <m/>
    <s v="Mustofa"/>
    <n v="0"/>
    <s v="3209140803860003"/>
    <s v="N 9609 EF"/>
    <m/>
    <m/>
    <s v="Sidorahayu RW 02 Wagir"/>
    <e v="#N/A"/>
    <e v="#N/A"/>
    <s v="OUTBOUND_"/>
  </r>
  <r>
    <s v="933"/>
    <m/>
    <x v="1"/>
    <s v="OUB-W0012310-116"/>
    <s v="EJ-Malang-01"/>
    <s v="Oka-0813-2707-1646"/>
    <d v="2023-10-29T00:00:00"/>
    <d v="1899-12-30T22:30:00"/>
    <s v="EJ-MALANG-01"/>
    <x v="0"/>
    <x v="14"/>
    <s v="ZTE2008"/>
    <s v="Pcs"/>
    <n v="8"/>
    <s v="CLR51-99-017"/>
    <x v="21"/>
    <m/>
    <m/>
    <m/>
    <s v="Mustofa"/>
    <n v="0"/>
    <s v="3209140803860003"/>
    <s v="N 9609 EF"/>
    <m/>
    <m/>
    <s v="Sukodadi RW 01 Wagir"/>
    <e v="#N/A"/>
    <e v="#N/A"/>
    <s v="OUTBOUND_"/>
  </r>
  <r>
    <s v="934"/>
    <m/>
    <x v="1"/>
    <s v="OUB-W0012310-116"/>
    <s v="EJ-Malang-01"/>
    <s v="Oka-0813-2707-1646"/>
    <d v="2023-10-29T00:00:00"/>
    <d v="1899-12-30T22:30:00"/>
    <s v="EJ-MALANG-01"/>
    <x v="0"/>
    <x v="14"/>
    <s v="ZTE2008"/>
    <s v="Pcs"/>
    <n v="8"/>
    <s v="CLR51-99-018"/>
    <x v="151"/>
    <m/>
    <m/>
    <m/>
    <s v="Mustofa"/>
    <n v="0"/>
    <s v="3209140803860003"/>
    <s v="N 9609 EF"/>
    <m/>
    <m/>
    <s v="Sukodadi RW 02 Wagir"/>
    <e v="#N/A"/>
    <e v="#N/A"/>
    <s v="OUTBOUND_"/>
  </r>
  <r>
    <s v="935"/>
    <m/>
    <x v="3"/>
    <s v="TFI-W0012311-132"/>
    <s v="EJ-Malang-01"/>
    <s v="Oka-0813-2707-1646"/>
    <d v="2023-11-26T00:00:00"/>
    <d v="1900-01-14T07:00:00"/>
    <s v="EJ-JOMBANG-01"/>
    <x v="0"/>
    <x v="14"/>
    <s v="ZTE2008"/>
    <s v="Pcs"/>
    <n v="12"/>
    <s v="TRF"/>
    <x v="138"/>
    <n v="0"/>
    <s v="TRANSFER GUDANG"/>
    <m/>
    <m/>
    <m/>
    <m/>
    <m/>
    <s v="WH JOMBANG ke WH MALANG"/>
    <m/>
    <s v="JOMBANG"/>
    <e v="#N/A"/>
    <e v="#N/A"/>
    <s v="OUTBOUND_"/>
  </r>
  <r>
    <s v="936"/>
    <m/>
    <x v="4"/>
    <s v="BOI-W0012311-135"/>
    <s v="EJ-Malang-01"/>
    <s v="Oka-0813-2707-1646"/>
    <d v="2023-11-27T00:00:00"/>
    <d v="1900-01-14T07:00:00"/>
    <s v="Other Subcon"/>
    <x v="0"/>
    <x v="14"/>
    <s v="ZTE2008"/>
    <s v="Pcs"/>
    <n v="15"/>
    <s v="BR005"/>
    <x v="38"/>
    <n v="0"/>
    <s v="TRANSFER GUDANG"/>
    <m/>
    <m/>
    <m/>
    <m/>
    <m/>
    <s v="Pinjam Morasa"/>
    <m/>
    <s v="MORASHA"/>
    <e v="#N/A"/>
    <e v="#N/A"/>
    <s v="OUTBOUND_"/>
  </r>
  <r>
    <s v="937"/>
    <m/>
    <x v="1"/>
    <s v="OUB-W0012311-134"/>
    <s v="EJ-Malang-01"/>
    <s v="Oka-0813-2707-1646"/>
    <d v="2023-11-27T00:00:00"/>
    <d v="1899-12-30T22:17:00"/>
    <s v="EJ-MALANG-01"/>
    <x v="0"/>
    <x v="14"/>
    <s v="ZTE2008"/>
    <s v="Pcs"/>
    <n v="7"/>
    <s v="CLR51-99-026"/>
    <x v="24"/>
    <m/>
    <m/>
    <m/>
    <s v="Catur"/>
    <n v="0"/>
    <n v="0"/>
    <s v="L 1153 BAT"/>
    <m/>
    <m/>
    <s v="Jedong RW 07 Wagir"/>
    <e v="#N/A"/>
    <e v="#N/A"/>
    <s v="OUTBOUND_"/>
  </r>
  <r>
    <s v="938"/>
    <m/>
    <x v="1"/>
    <s v="OUB-W0012311-134"/>
    <s v="EJ-Malang-01"/>
    <s v="Oka-0813-2707-1646"/>
    <d v="2023-11-27T00:00:00"/>
    <d v="1899-12-30T22:17:00"/>
    <s v="EJ-MALANG-01"/>
    <x v="0"/>
    <x v="14"/>
    <s v="ZTE2008"/>
    <s v="Pcs"/>
    <n v="15"/>
    <s v="CLR51-99-026"/>
    <x v="24"/>
    <m/>
    <m/>
    <m/>
    <s v="Catur"/>
    <n v="0"/>
    <n v="0"/>
    <s v="L 1153 BAT"/>
    <m/>
    <m/>
    <s v="Jedong RW 07 Wagir"/>
    <e v="#N/A"/>
    <e v="#N/A"/>
    <s v="OUTBOUND_"/>
  </r>
  <r>
    <s v="939"/>
    <m/>
    <x v="2"/>
    <s v="TFO-W0012311-133"/>
    <s v="EJ-Malang-01"/>
    <s v="Oka-0813-2707-1646"/>
    <d v="2023-11-27T00:00:00"/>
    <d v="1899-12-30T15:21:00"/>
    <s v="EJ-KEDIRI-01"/>
    <x v="0"/>
    <x v="14"/>
    <s v="ZTE2008"/>
    <s v="Pcs"/>
    <n v="5"/>
    <s v="TRF"/>
    <x v="4"/>
    <m/>
    <m/>
    <m/>
    <s v="Munip"/>
    <n v="0"/>
    <s v="3509090107770266"/>
    <s v="L 1962 QM"/>
    <s v="TRANSFER KEDIRI"/>
    <m/>
    <s v="Transfer Gudang"/>
    <e v="#N/A"/>
    <e v="#N/A"/>
    <s v="TRANSFER OUT_"/>
  </r>
  <r>
    <s v="940"/>
    <m/>
    <x v="5"/>
    <s v="BOO-W0012312-141"/>
    <s v="EJ-Malang-01"/>
    <s v="Oka-0813-2707-1646"/>
    <d v="2023-12-04T00:00:00"/>
    <d v="1900-01-14T07:00:00"/>
    <s v="Other Subcon"/>
    <x v="0"/>
    <x v="14"/>
    <s v="ZTE2008"/>
    <s v="Pcs"/>
    <n v="15"/>
    <s v="BR005"/>
    <x v="38"/>
    <n v="0"/>
    <s v="TRANSFER GUDANG"/>
    <m/>
    <m/>
    <m/>
    <m/>
    <m/>
    <s v="WH GRESIK KE WH MALANG TO MORASHA"/>
    <m/>
    <s v="MORASHA"/>
    <e v="#N/A"/>
    <e v="#N/A"/>
    <s v="BORROW OUT_"/>
  </r>
  <r>
    <s v="941"/>
    <m/>
    <x v="2"/>
    <s v="TFO-W0012312-140"/>
    <s v="EJ-Malang-01"/>
    <s v="Oka-0813-2707-1646"/>
    <d v="2023-12-04T00:00:00"/>
    <d v="1899-12-30T17:25:00"/>
    <s v="EJ-JOMBANG-01"/>
    <x v="0"/>
    <x v="14"/>
    <s v="ZTE2008"/>
    <s v="Pcs"/>
    <n v="15"/>
    <s v="TRF"/>
    <x v="4"/>
    <m/>
    <m/>
    <m/>
    <n v="0"/>
    <n v="0"/>
    <n v="0"/>
    <s v="L 1962 QM"/>
    <m/>
    <m/>
    <s v="Transfer Gudang"/>
    <e v="#N/A"/>
    <e v="#N/A"/>
    <s v="TRANSFER OUT_"/>
  </r>
  <r>
    <s v="942"/>
    <m/>
    <x v="3"/>
    <s v="TFI-W0012312-155"/>
    <s v="EJ-Malang-01"/>
    <s v="Oka-0813-2707-1646"/>
    <d v="2023-12-25T00:00:00"/>
    <d v="1900-01-14T07:00:00"/>
    <s v="EJ-JOMBANG-01"/>
    <x v="0"/>
    <x v="14"/>
    <s v="ZTE2008"/>
    <s v="Pcs"/>
    <n v="16"/>
    <s v="TRF"/>
    <x v="138"/>
    <n v="0"/>
    <s v="TRANSFER GUDANG"/>
    <m/>
    <m/>
    <m/>
    <m/>
    <m/>
    <s v="WH JOMBANG KE WH MALANG"/>
    <m/>
    <s v="JOMBANG"/>
    <e v="#N/A"/>
    <e v="#N/A"/>
    <s v="OUTBOUND_"/>
  </r>
  <r>
    <s v="943"/>
    <m/>
    <x v="1"/>
    <s v="OUB-W0012312-157"/>
    <s v="EJ-Malang-01"/>
    <s v="Oka-0813-2707-1646"/>
    <d v="2023-12-26T00:00:00"/>
    <d v="1899-12-30T09:25:00"/>
    <s v="EJ-MALANG-01"/>
    <x v="0"/>
    <x v="14"/>
    <s v="ZTE2008"/>
    <s v="Pcs"/>
    <n v="16"/>
    <s v="CLR32-99-069"/>
    <x v="30"/>
    <m/>
    <m/>
    <m/>
    <s v="Fatur"/>
    <s v="Febby Supplier"/>
    <s v="3515082712870005"/>
    <s v="L 9340 BM"/>
    <m/>
    <m/>
    <s v="Sitirejo RW 01 Wagir"/>
    <e v="#N/A"/>
    <e v="#N/A"/>
    <s v="OUTBOUND_"/>
  </r>
  <r>
    <s v="944"/>
    <m/>
    <x v="0"/>
    <s v="INB-W0012401-176"/>
    <s v="EJ-Malang-01"/>
    <s v="Oka-0813-2707-1646"/>
    <d v="2024-01-16T00:00:00"/>
    <d v="1900-01-14T07:00:00"/>
    <s v="ZTE Warehouse"/>
    <x v="0"/>
    <x v="14"/>
    <s v="ZTE2008"/>
    <s v="Pcs"/>
    <n v="24"/>
    <s v="CLR51-99-038"/>
    <x v="32"/>
    <s v="DOEID24010322"/>
    <s v="DNWID0342024010303"/>
    <m/>
    <m/>
    <m/>
    <m/>
    <m/>
    <s v="Diambil Bayu"/>
    <m/>
    <s v="Baturetno RW 03 Singosari"/>
    <d v="2024-01-16T00:00:00"/>
    <b v="1"/>
    <s v="OUTBOUND_"/>
  </r>
  <r>
    <s v="945"/>
    <m/>
    <x v="0"/>
    <s v="INB-W0012401-176"/>
    <s v="EJ-Malang-01"/>
    <s v="Oka-0813-2707-1646"/>
    <d v="2024-01-16T00:00:00"/>
    <d v="1900-01-14T07:00:00"/>
    <s v="ZTE Warehouse"/>
    <x v="0"/>
    <x v="14"/>
    <s v="ZTE2008"/>
    <s v="Pcs"/>
    <n v="65"/>
    <s v="CLR29-99-153"/>
    <x v="34"/>
    <s v="DOEID24011540"/>
    <s v="DNWID0342024011501"/>
    <m/>
    <m/>
    <m/>
    <m/>
    <m/>
    <s v="Diambil Bayu"/>
    <m/>
    <s v="Perumahan Pondok Mutiara Malang"/>
    <d v="2024-01-16T00:00:00"/>
    <b v="1"/>
    <s v="OUTBOUND_"/>
  </r>
  <r>
    <s v="946"/>
    <m/>
    <x v="3"/>
    <s v="TFI-W0012401-176"/>
    <s v="EJ-Malang-01"/>
    <s v="Oka-0813-2707-1646"/>
    <d v="2024-01-16T00:00:00"/>
    <d v="1900-01-14T07:00:00"/>
    <s v="ZTE Warehouse"/>
    <x v="0"/>
    <x v="14"/>
    <s v="ZTE2008"/>
    <s v="Pcs"/>
    <n v="17"/>
    <s v="TRF"/>
    <x v="5"/>
    <n v="0"/>
    <s v="TRANSFER GUDANG"/>
    <m/>
    <m/>
    <m/>
    <m/>
    <m/>
    <s v="Diambil Bayu"/>
    <m/>
    <n v="0"/>
    <e v="#N/A"/>
    <e v="#N/A"/>
    <s v="OUTBOUND_"/>
  </r>
  <r>
    <s v="947"/>
    <m/>
    <x v="3"/>
    <s v="TFI-W0012401-176"/>
    <s v="EJ-Malang-01"/>
    <s v="Oka-0813-2707-1646"/>
    <d v="2024-01-16T00:00:00"/>
    <d v="1900-01-14T07:00:00"/>
    <s v="ZTE Warehouse"/>
    <x v="0"/>
    <x v="14"/>
    <s v="ZTE2008"/>
    <s v="Pcs"/>
    <n v="19"/>
    <s v="TRF"/>
    <x v="5"/>
    <n v="0"/>
    <s v="TRANSFER GUDANG"/>
    <m/>
    <m/>
    <m/>
    <m/>
    <m/>
    <s v="Diambil Bayu"/>
    <m/>
    <n v="0"/>
    <e v="#N/A"/>
    <e v="#N/A"/>
    <s v="OUTBOUND_"/>
  </r>
  <r>
    <s v="948"/>
    <m/>
    <x v="3"/>
    <s v="TFI-W0012401-176"/>
    <s v="EJ-Malang-01"/>
    <s v="Oka-0813-2707-1646"/>
    <d v="2024-01-16T00:00:00"/>
    <d v="1900-01-14T07:00:00"/>
    <s v="ZTE Warehouse"/>
    <x v="0"/>
    <x v="14"/>
    <s v="ZTE2008"/>
    <s v="Pcs"/>
    <n v="19"/>
    <s v="TRF"/>
    <x v="5"/>
    <n v="0"/>
    <s v="TRANSFER GUDANG"/>
    <m/>
    <m/>
    <m/>
    <m/>
    <m/>
    <m/>
    <m/>
    <n v="0"/>
    <e v="#N/A"/>
    <e v="#N/A"/>
    <s v="OUTBOUND_"/>
  </r>
  <r>
    <s v="949"/>
    <m/>
    <x v="1"/>
    <s v="OUB-W0012401-193"/>
    <s v="EJ-Malang-01"/>
    <s v="Oka-0813-2707-1646"/>
    <d v="2024-01-22T00:00:00"/>
    <d v="1899-12-30T14:57:00"/>
    <s v="EJ-MALANG-01"/>
    <x v="0"/>
    <x v="14"/>
    <s v="ZTE2008"/>
    <s v="Pcs"/>
    <n v="60"/>
    <s v="CLR29-99-153"/>
    <x v="34"/>
    <m/>
    <m/>
    <m/>
    <s v="Fatur"/>
    <s v="Febby Supplier"/>
    <s v="3515082712870005"/>
    <s v="W 1130 NQ"/>
    <m/>
    <m/>
    <s v="Perumahan Pondok Mutiara Malang"/>
    <e v="#N/A"/>
    <e v="#N/A"/>
    <s v="OUTBOUND_"/>
  </r>
  <r>
    <s v="950"/>
    <m/>
    <x v="1"/>
    <s v="OUB-W0012401-201"/>
    <s v="EJ-Malang-01"/>
    <s v="Oka-0813-2707-1646"/>
    <d v="2024-01-25T00:00:00"/>
    <d v="1899-12-30T11:25:00"/>
    <s v="EJ-MALANG-01"/>
    <x v="0"/>
    <x v="14"/>
    <s v="ZTE2008"/>
    <s v="Pcs"/>
    <n v="5"/>
    <s v="CLR29-99-153"/>
    <x v="34"/>
    <m/>
    <m/>
    <m/>
    <s v="Fatur"/>
    <s v="Febby Supplier"/>
    <s v="3515082712870005"/>
    <s v="W 1130 NQ"/>
    <m/>
    <m/>
    <s v="Perumahan Pondok Mutiara Malang"/>
    <e v="#N/A"/>
    <e v="#N/A"/>
    <s v="OUTBOUND_"/>
  </r>
  <r>
    <s v="951"/>
    <m/>
    <x v="1"/>
    <s v="OUB-W0012401-201"/>
    <s v="EJ-Malang-01"/>
    <s v="Oka-0813-2707-1646"/>
    <d v="2024-01-25T00:00:00"/>
    <d v="1899-12-30T11:25:00"/>
    <s v="EJ-MALANG-01"/>
    <x v="0"/>
    <x v="14"/>
    <s v="ZTE2008"/>
    <s v="Pcs"/>
    <n v="16"/>
    <s v="CLR51-01-005"/>
    <x v="37"/>
    <m/>
    <m/>
    <m/>
    <s v="Fatur"/>
    <s v="Febby Supplier"/>
    <s v="3515082712870005"/>
    <s v="W 1130 NQ"/>
    <m/>
    <m/>
    <s v="Baturetno RW 02 Singosari "/>
    <e v="#N/A"/>
    <e v="#N/A"/>
    <s v="OUTBOUND_"/>
  </r>
  <r>
    <s v="952"/>
    <m/>
    <x v="1"/>
    <s v="OUB-W0012401-201"/>
    <s v="EJ-Malang-01"/>
    <s v="Oka-0813-2707-1646"/>
    <d v="2024-01-25T00:00:00"/>
    <d v="1899-12-30T11:25:00"/>
    <s v="EJ-MALANG-01"/>
    <x v="0"/>
    <x v="14"/>
    <s v="ZTE2008"/>
    <s v="Pcs"/>
    <n v="24"/>
    <s v="CLR51-99-038"/>
    <x v="32"/>
    <m/>
    <m/>
    <m/>
    <s v="Fatur"/>
    <s v="Febby Supplier"/>
    <s v="3515082712870005"/>
    <s v="W 1130 NQ"/>
    <m/>
    <m/>
    <s v="Baturetno RW 03 Singosari"/>
    <e v="#N/A"/>
    <e v="#N/A"/>
    <s v="OUTBOUND_"/>
  </r>
  <r>
    <s v="953"/>
    <m/>
    <x v="5"/>
    <s v="BOO-W0012401-207"/>
    <s v="EJ-Malang-01"/>
    <s v="Oka-0813-2707-1646"/>
    <d v="2024-01-26T00:00:00"/>
    <d v="1899-12-30T22:46:00"/>
    <s v="Other Subcon"/>
    <x v="0"/>
    <x v="14"/>
    <s v="ZTE2008"/>
    <s v="Pcs"/>
    <n v="5"/>
    <s v="BR004"/>
    <x v="31"/>
    <m/>
    <m/>
    <m/>
    <s v="Agung"/>
    <n v="0"/>
    <n v="0"/>
    <n v="0"/>
    <s v="YPTT Borrowed"/>
    <m/>
    <s v="YPTT"/>
    <e v="#N/A"/>
    <e v="#N/A"/>
    <s v="BORROW OUT_"/>
  </r>
  <r>
    <s v="954"/>
    <m/>
    <x v="3"/>
    <s v="TFI-W0012402-217"/>
    <s v="EJ-Malang-01"/>
    <s v="Oka-0813-2707-1646"/>
    <d v="2024-02-07T00:00:00"/>
    <d v="1900-01-14T07:00:00"/>
    <s v="ZTE Warehouse"/>
    <x v="0"/>
    <x v="14"/>
    <s v="ZTE2008"/>
    <s v="Pcs"/>
    <n v="1"/>
    <s v="TRF"/>
    <x v="5"/>
    <n v="0"/>
    <s v="TRANSFER GUDANG"/>
    <m/>
    <m/>
    <m/>
    <m/>
    <m/>
    <m/>
    <m/>
    <n v="0"/>
    <e v="#N/A"/>
    <e v="#N/A"/>
    <s v="OUTBOUND_"/>
  </r>
  <r>
    <s v="955"/>
    <m/>
    <x v="1"/>
    <s v="OUB-W0012402-223"/>
    <s v="EJ-Malang-01"/>
    <s v="Oka-0813-2707-1646"/>
    <d v="2024-02-14T00:00:00"/>
    <d v="1899-12-30T13:25:00"/>
    <s v="EJ-MALANG-01"/>
    <x v="0"/>
    <x v="14"/>
    <s v="ZTE2008"/>
    <s v="Pcs"/>
    <n v="2"/>
    <s v="CLR51-99-083"/>
    <x v="169"/>
    <m/>
    <m/>
    <m/>
    <s v="Fatur"/>
    <s v="Febby Supplier"/>
    <s v="3515082712870005"/>
    <s v="W 1130 NQ"/>
    <m/>
    <m/>
    <s v="Dengkol RW 03 Singosari Malang"/>
    <e v="#N/A"/>
    <e v="#N/A"/>
    <s v="OUTBOUND_"/>
  </r>
  <r>
    <s v="956"/>
    <m/>
    <x v="1"/>
    <s v="OUB-W0012402-223"/>
    <s v="EJ-Malang-01"/>
    <s v="Oka-0813-2707-1646"/>
    <d v="2024-02-14T00:00:00"/>
    <d v="1899-12-30T13:25:00"/>
    <s v="EJ-MALANG-01"/>
    <x v="0"/>
    <x v="14"/>
    <s v="ZTE2008"/>
    <s v="Pcs"/>
    <n v="3"/>
    <s v="CLR51-99-082"/>
    <x v="152"/>
    <m/>
    <m/>
    <m/>
    <s v="Fatur"/>
    <s v="Febby Supplier"/>
    <s v="3515082712870005"/>
    <s v="W 1130 NQ"/>
    <m/>
    <m/>
    <s v="Dengkol RW 02 Singosari Malang"/>
    <e v="#N/A"/>
    <e v="#N/A"/>
    <s v="OUTBOUND_"/>
  </r>
  <r>
    <s v="957"/>
    <m/>
    <x v="3"/>
    <s v="TFI-W0012402-226"/>
    <s v="EJ-Malang-01"/>
    <s v="Oka-0813-2707-1646"/>
    <d v="2024-02-15T00:00:00"/>
    <d v="1900-01-14T07:00:00"/>
    <s v="ZTE Warehouse"/>
    <x v="0"/>
    <x v="14"/>
    <s v="ZTE2008"/>
    <s v="Pcs"/>
    <n v="7"/>
    <s v="TRF"/>
    <x v="5"/>
    <n v="0"/>
    <s v="TRANSFER GUDANG"/>
    <m/>
    <m/>
    <m/>
    <m/>
    <m/>
    <m/>
    <m/>
    <n v="0"/>
    <e v="#N/A"/>
    <e v="#N/A"/>
    <s v="OUTBOUND_"/>
  </r>
  <r>
    <s v="958"/>
    <m/>
    <x v="1"/>
    <s v="OUB-W0012402-231"/>
    <s v="EJ-Malang-01"/>
    <s v="Oka-0813-2707-1646"/>
    <d v="2024-02-19T00:00:00"/>
    <d v="1899-12-30T16:33:00"/>
    <s v="EJ-MALANG-01"/>
    <x v="0"/>
    <x v="14"/>
    <s v="ZTE2008"/>
    <s v="Pcs"/>
    <n v="7"/>
    <s v="CLR51-99-067"/>
    <x v="0"/>
    <m/>
    <m/>
    <m/>
    <s v="Fatur"/>
    <s v="Febby Supplier"/>
    <s v="3515082712870005"/>
    <s v="W 1130 NQ"/>
    <m/>
    <m/>
    <s v="Bandulan RW 08 Sukun"/>
    <e v="#N/A"/>
    <e v="#N/A"/>
    <s v="OUTBOUND_"/>
  </r>
  <r>
    <s v="959"/>
    <m/>
    <x v="4"/>
    <s v="BOI-W0012402-242"/>
    <s v="EJ-Malang-01"/>
    <s v="Oka-0813-2707-1646"/>
    <d v="2024-02-22T00:00:00"/>
    <d v="1900-01-14T07:00:00"/>
    <s v="Other Subcon"/>
    <x v="0"/>
    <x v="14"/>
    <s v="ZTE2008"/>
    <s v="Pcs"/>
    <n v="5"/>
    <s v="BR004"/>
    <x v="31"/>
    <s v="pengembalian dr yptt"/>
    <n v="0"/>
    <m/>
    <m/>
    <m/>
    <m/>
    <m/>
    <s v="dari YPTT"/>
    <m/>
    <s v="YPTT"/>
    <e v="#N/A"/>
    <e v="#N/A"/>
    <s v="OUTBOUND_"/>
  </r>
  <r>
    <s v="960"/>
    <m/>
    <x v="1"/>
    <s v="OUB-W0012402-246"/>
    <s v="EJ-Malang-01"/>
    <s v="Oka-0813-2707-1646"/>
    <d v="2024-02-23T00:00:00"/>
    <d v="1899-12-30T19:07:00"/>
    <s v="EJ-MALANG-01"/>
    <x v="0"/>
    <x v="14"/>
    <s v="ZTE2008"/>
    <s v="Pcs"/>
    <n v="11"/>
    <s v="CLR51-99-078"/>
    <x v="1"/>
    <m/>
    <m/>
    <m/>
    <s v="Fatur"/>
    <s v="Febby Supplier"/>
    <s v="3515082712870005"/>
    <s v="W 1130 NQ"/>
    <m/>
    <m/>
    <s v="Bumiayu RW 03 Kedungkandang"/>
    <e v="#N/A"/>
    <e v="#N/A"/>
    <s v="OUTBOUND_"/>
  </r>
  <r>
    <s v="961"/>
    <m/>
    <x v="1"/>
    <s v="OUB-W0012402-244"/>
    <s v="EJ-Malang-01"/>
    <s v="Oka-0813-2707-1646"/>
    <d v="2024-02-23T00:00:00"/>
    <d v="1899-12-30T09:13:00"/>
    <s v="EJ-MALANG-01"/>
    <x v="0"/>
    <x v="14"/>
    <s v="ZTE2008"/>
    <s v="Pcs"/>
    <n v="18"/>
    <s v="CLR51-99-066"/>
    <x v="35"/>
    <m/>
    <m/>
    <m/>
    <s v="Fatur"/>
    <s v="Febby Supplier"/>
    <s v="3515082712870005"/>
    <s v="W 1130 NQ"/>
    <m/>
    <m/>
    <s v="TAMANHARJO RW 04 SINGOSARI"/>
    <e v="#N/A"/>
    <e v="#N/A"/>
    <s v="OUTBOUND_"/>
  </r>
  <r>
    <s v="962"/>
    <m/>
    <x v="3"/>
    <s v="TFI-W0012403-274"/>
    <s v="EJ-Malang-01"/>
    <s v="Oka-0813-2707-1646"/>
    <d v="2024-03-07T00:00:00"/>
    <d v="1900-01-14T07:00:00"/>
    <s v="EJ-GRESIK-01"/>
    <x v="0"/>
    <x v="14"/>
    <s v="ZTE2008"/>
    <s v="Pcs"/>
    <n v="90"/>
    <s v="TRF"/>
    <x v="93"/>
    <n v="0"/>
    <s v="TRANSFER GUDANG"/>
    <m/>
    <m/>
    <m/>
    <m/>
    <m/>
    <s v="dari gresik"/>
    <m/>
    <s v="GRESIK"/>
    <e v="#N/A"/>
    <e v="#N/A"/>
    <s v="OUTBOUND_"/>
  </r>
  <r>
    <s v="963"/>
    <m/>
    <x v="0"/>
    <s v="INB-W0012403-279"/>
    <s v="EJ-Malang-01"/>
    <s v="Oka-0813-2707-1646"/>
    <d v="2024-03-19T00:00:00"/>
    <d v="1900-01-14T07:00:00"/>
    <s v="ZTE Warehouse"/>
    <x v="0"/>
    <x v="14"/>
    <s v="ZTE2008"/>
    <s v="Pcs"/>
    <n v="28"/>
    <m/>
    <x v="3"/>
    <n v="0"/>
    <n v="0"/>
    <m/>
    <m/>
    <m/>
    <m/>
    <m/>
    <m/>
    <m/>
    <n v="0"/>
    <e v="#N/A"/>
    <e v="#N/A"/>
    <s v="OUTBOUND_"/>
  </r>
  <r>
    <s v="964"/>
    <m/>
    <x v="1"/>
    <s v="OUB-W0012403-287"/>
    <s v="EJ-Malang-01"/>
    <s v="Oka-0813-2707-1646"/>
    <d v="2024-03-25T00:00:00"/>
    <d v="1899-12-30T10:28:00"/>
    <s v="EJ-MALANG-01"/>
    <x v="0"/>
    <x v="14"/>
    <s v="ZTE2008"/>
    <s v="Pcs"/>
    <n v="12"/>
    <s v="CLR51-99-076"/>
    <x v="6"/>
    <m/>
    <m/>
    <m/>
    <s v="Fatur"/>
    <n v="0"/>
    <s v="3515082712870005"/>
    <s v="W 1130 NQ"/>
    <m/>
    <m/>
    <s v="Dalisodo RW 04 Wagir"/>
    <e v="#N/A"/>
    <e v="#N/A"/>
    <s v="OUTBOUND_"/>
  </r>
  <r>
    <s v="965"/>
    <m/>
    <x v="1"/>
    <s v="OUB-W0012403-287"/>
    <s v="EJ-Malang-01"/>
    <s v="Oka-0813-2707-1646"/>
    <d v="2024-03-25T00:00:00"/>
    <d v="1899-12-30T10:28:00"/>
    <s v="EJ-MALANG-01"/>
    <x v="0"/>
    <x v="14"/>
    <s v="ZTE2008"/>
    <s v="Pcs"/>
    <n v="17"/>
    <s v="CLR51-99-039"/>
    <x v="7"/>
    <m/>
    <m/>
    <m/>
    <s v="Fatur"/>
    <n v="0"/>
    <s v="3515082712870005"/>
    <s v="W 1130 NQ"/>
    <m/>
    <m/>
    <s v="Tunjungtirto RW 01 Singosari"/>
    <e v="#N/A"/>
    <e v="#N/A"/>
    <s v="OUTBOUND_"/>
  </r>
  <r>
    <s v="966"/>
    <m/>
    <x v="1"/>
    <s v="OUB-W0012404-303"/>
    <s v="EJ-Malang-01"/>
    <s v="Oka-0813-2707-1646"/>
    <d v="2024-04-05T00:00:00"/>
    <d v="1899-12-30T10:28:00"/>
    <s v="EJ-MALANG-01"/>
    <x v="0"/>
    <x v="14"/>
    <s v="ZTE2008"/>
    <s v="Pcs"/>
    <n v="38"/>
    <s v="CLR51-99-075"/>
    <x v="8"/>
    <m/>
    <m/>
    <m/>
    <s v="Fatur"/>
    <n v="0"/>
    <s v="3515082712870005"/>
    <s v="W 1130 NQ"/>
    <m/>
    <m/>
    <s v="Dalisodo RW 03 Wagir"/>
    <e v="#N/A"/>
    <e v="#N/A"/>
    <s v="OUTBOUND_"/>
  </r>
  <r>
    <s v="967"/>
    <m/>
    <x v="1"/>
    <s v="OUB-W0012404-309"/>
    <s v="EJ-Malang-01"/>
    <s v="Oka-0813-2707-1646"/>
    <d v="2024-04-19T00:00:00"/>
    <d v="1899-12-30T17:21:00"/>
    <s v="EJ-MALANG-01"/>
    <x v="0"/>
    <x v="14"/>
    <s v="ZTE2008"/>
    <s v="Pcs"/>
    <n v="5"/>
    <s v="CLR51-99-094"/>
    <x v="154"/>
    <m/>
    <m/>
    <m/>
    <s v="Fatur"/>
    <n v="0"/>
    <s v="3515082712870005"/>
    <s v="W 1130 NQ"/>
    <m/>
    <m/>
    <s v="Tunjungtirto RW 06 Singosari"/>
    <e v="#N/A"/>
    <e v="#N/A"/>
    <s v="OUTBOUND_"/>
  </r>
  <r>
    <s v="968"/>
    <m/>
    <x v="0"/>
    <s v="INB-W0012404-314"/>
    <s v="EJ-Malang-01"/>
    <s v="Oka-0813-2707-1646"/>
    <d v="2024-04-22T00:00:00"/>
    <d v="1900-01-14T07:00:00"/>
    <s v="ZTE Warehouse"/>
    <x v="0"/>
    <x v="14"/>
    <s v="ZTE2008"/>
    <s v="Pcs"/>
    <n v="28"/>
    <m/>
    <x v="3"/>
    <n v="0"/>
    <n v="0"/>
    <m/>
    <m/>
    <m/>
    <m/>
    <m/>
    <m/>
    <m/>
    <n v="0"/>
    <e v="#N/A"/>
    <e v="#N/A"/>
    <s v="OUTBOUND_"/>
  </r>
  <r>
    <s v="969"/>
    <m/>
    <x v="1"/>
    <s v="OUB-W0012404-322"/>
    <s v="EJ-Malang-01"/>
    <s v="Oka-0813-2707-1646"/>
    <d v="2024-04-25T00:00:00"/>
    <d v="1899-12-30T17:21:00"/>
    <s v="EJ-MALANG-01"/>
    <x v="0"/>
    <x v="14"/>
    <s v="ZTE2008"/>
    <s v="Pcs"/>
    <n v="15"/>
    <s v="CLR51-99-010"/>
    <x v="10"/>
    <m/>
    <m/>
    <m/>
    <s v="Fatur"/>
    <n v="0"/>
    <s v="3515082712870005"/>
    <s v="W 1130 NQ"/>
    <m/>
    <m/>
    <s v="Pandan Landung RW 05 Wagir"/>
    <e v="#N/A"/>
    <e v="#N/A"/>
    <s v="OUTBOUND_"/>
  </r>
  <r>
    <s v="970"/>
    <m/>
    <x v="1"/>
    <s v="OUB-W0012404-322"/>
    <s v="EJ-Malang-01"/>
    <s v="Oka-0813-2707-1646"/>
    <d v="2024-04-25T00:00:00"/>
    <d v="1899-12-30T17:21:00"/>
    <s v="EJ-MALANG-01"/>
    <x v="0"/>
    <x v="14"/>
    <s v="ZTE2008"/>
    <s v="Pcs"/>
    <n v="28"/>
    <s v="CLR51-99-010"/>
    <x v="10"/>
    <m/>
    <m/>
    <m/>
    <s v="Fatur"/>
    <n v="0"/>
    <s v="3515082712870005"/>
    <s v="W 1130 NQ"/>
    <m/>
    <m/>
    <s v="Pandan Landung RW 05 Wagir"/>
    <e v="#N/A"/>
    <e v="#N/A"/>
    <s v="OUTBOUND_"/>
  </r>
  <r>
    <s v="971"/>
    <m/>
    <x v="1"/>
    <s v="OUB-W0012405-329"/>
    <s v="EJ-Malang-01"/>
    <s v="Oka-0813-2707-1646"/>
    <d v="2024-05-04T00:00:00"/>
    <d v="1899-12-30T17:21:00"/>
    <s v="EJ-MALANG-01"/>
    <x v="0"/>
    <x v="14"/>
    <s v="ZTE2008"/>
    <s v="Pcs"/>
    <n v="3"/>
    <s v="CLR51-99-010"/>
    <x v="10"/>
    <m/>
    <m/>
    <m/>
    <s v="Fatur"/>
    <n v="0"/>
    <s v="3515082712870005"/>
    <s v="W 1130 NQ"/>
    <m/>
    <m/>
    <s v="Pandan Landung RW 05 Wagir"/>
    <e v="#N/A"/>
    <e v="#N/A"/>
    <s v="OUTBOUND_"/>
  </r>
  <r>
    <s v="972"/>
    <m/>
    <x v="2"/>
    <s v="TFO-W0012405-338"/>
    <s v="EJ-Malang-01"/>
    <s v="Oka-0813-2707-1646"/>
    <d v="2024-05-19T00:00:00"/>
    <d v="1899-12-30T17:21:00"/>
    <s v="EJ-GRESIK-01"/>
    <x v="0"/>
    <x v="14"/>
    <s v="ZTE2008"/>
    <s v="Pcs"/>
    <n v="12"/>
    <n v="0"/>
    <x v="4"/>
    <m/>
    <m/>
    <m/>
    <s v="Munip"/>
    <n v="0"/>
    <s v="3509090107770266"/>
    <s v="L 1962 QM"/>
    <s v="to Gresik"/>
    <m/>
    <s v="Transfer Gudang"/>
    <e v="#N/A"/>
    <e v="#N/A"/>
    <s v="TRANSFER OUT_"/>
  </r>
  <r>
    <s v="973"/>
    <m/>
    <x v="2"/>
    <s v="TFO-W0012405-341"/>
    <s v="EJ-Malang-01"/>
    <s v="Oka-0813-2707-1646"/>
    <d v="2024-05-20T00:00:00"/>
    <d v="1899-12-30T17:21:00"/>
    <s v="EJ-MADIUN-01"/>
    <x v="0"/>
    <x v="14"/>
    <s v="ZTE2008"/>
    <s v="Pcs"/>
    <n v="6"/>
    <n v="0"/>
    <x v="4"/>
    <m/>
    <m/>
    <m/>
    <s v="Munip"/>
    <n v="0"/>
    <s v="3509090107770266"/>
    <s v="L 1962 QM"/>
    <s v="to Mediun"/>
    <m/>
    <s v="Transfer Gudang"/>
    <e v="#N/A"/>
    <e v="#N/A"/>
    <s v="TRANSFER OUT_"/>
  </r>
  <r>
    <s v="974"/>
    <m/>
    <x v="0"/>
    <s v="INB-W0012405-344"/>
    <s v="EJ-Malang-01"/>
    <s v="Oka-0813-2707-1646"/>
    <d v="2024-05-21T00:00:00"/>
    <d v="1900-01-14T07:00:00"/>
    <s v="ZTE Warehouse"/>
    <x v="0"/>
    <x v="14"/>
    <s v="ZTE2008"/>
    <s v="Pcs"/>
    <n v="47"/>
    <m/>
    <x v="3"/>
    <n v="0"/>
    <n v="0"/>
    <m/>
    <m/>
    <m/>
    <m/>
    <m/>
    <m/>
    <m/>
    <n v="0"/>
    <e v="#N/A"/>
    <e v="#N/A"/>
    <s v="OUTBOUND_"/>
  </r>
  <r>
    <s v="975"/>
    <m/>
    <x v="1"/>
    <s v="OUB-W0012405-348"/>
    <s v="EJ-Malang-01"/>
    <s v="Oka-0813-2707-1646"/>
    <d v="2024-05-23T00:00:00"/>
    <d v="1899-12-30T11:22:00"/>
    <s v="EJ-MALANG-01"/>
    <x v="0"/>
    <x v="14"/>
    <s v="ZTE2008"/>
    <s v="Pcs"/>
    <n v="10"/>
    <s v="CLR51-99-087"/>
    <x v="11"/>
    <m/>
    <m/>
    <m/>
    <s v="Fatur"/>
    <n v="0"/>
    <s v="3515082712870005"/>
    <s v="W 1130 NQ"/>
    <m/>
    <m/>
    <s v="Lawang RW 06 Malang"/>
    <e v="#N/A"/>
    <e v="#N/A"/>
    <s v="OUTBOUND_"/>
  </r>
  <r>
    <s v="976"/>
    <m/>
    <x v="1"/>
    <s v="OUB-W0012405-351"/>
    <s v="EJ-Malang-01"/>
    <s v="Oka-0813-2707-1646"/>
    <d v="2024-05-25T00:00:00"/>
    <d v="1899-12-30T11:22:00"/>
    <s v="EJ-MALANG-01"/>
    <x v="0"/>
    <x v="14"/>
    <s v="ZTE2008"/>
    <s v="Pcs"/>
    <n v="14"/>
    <s v="CLR51-99-099"/>
    <x v="12"/>
    <m/>
    <m/>
    <m/>
    <s v="Fatur"/>
    <n v="0"/>
    <s v="3515082712870005"/>
    <s v="W 1130 NQ"/>
    <m/>
    <m/>
    <s v="Dusun Klaseman Kucur"/>
    <e v="#N/A"/>
    <e v="#N/A"/>
    <s v="OUTBOUND_"/>
  </r>
  <r>
    <s v="977"/>
    <m/>
    <x v="1"/>
    <s v="OUB-W0012405-357"/>
    <s v="EJ-Malang-01"/>
    <s v="Oka-0813-2707-1646"/>
    <d v="2024-05-28T00:00:00"/>
    <d v="1899-12-30T12:45:00"/>
    <s v="EJ-MALANG-01"/>
    <x v="0"/>
    <x v="14"/>
    <s v="ZTE2008"/>
    <s v="Pcs"/>
    <n v="15"/>
    <s v="CLR51-99-097"/>
    <x v="13"/>
    <m/>
    <m/>
    <m/>
    <s v="Fahrudin"/>
    <s v="Febby Supplier"/>
    <s v="3507131605830004"/>
    <s v="N 1383 G"/>
    <m/>
    <m/>
    <s v="Dusun Krajan Kucur"/>
    <e v="#N/A"/>
    <e v="#N/A"/>
    <s v="OUTBOUND_"/>
  </r>
  <r>
    <s v="978"/>
    <m/>
    <x v="1"/>
    <s v="OUB-W0012405-359"/>
    <s v="EJ-Malang-01"/>
    <s v="Oka-0813-2707-1646"/>
    <d v="2024-05-30T00:00:00"/>
    <d v="1899-12-30T11:30:00"/>
    <s v="EJ-MALANG-01"/>
    <x v="0"/>
    <x v="14"/>
    <s v="ZTE2008"/>
    <s v="Pcs"/>
    <n v="5"/>
    <s v="CLR51-03-014"/>
    <x v="49"/>
    <m/>
    <m/>
    <m/>
    <s v="Riki Romansyah"/>
    <s v="Febby Supplier"/>
    <s v="3507050501950006"/>
    <s v="N 8420 EL"/>
    <m/>
    <m/>
    <s v="Dusun Godehan RW 10 Kucur"/>
    <e v="#N/A"/>
    <e v="#N/A"/>
    <s v="OUTBOUND_"/>
  </r>
  <r>
    <s v="979"/>
    <m/>
    <x v="1"/>
    <s v="OUB-W0012405-359"/>
    <s v="EJ-Malang-01"/>
    <s v="Oka-0813-2707-1646"/>
    <d v="2024-05-30T00:00:00"/>
    <d v="1899-12-30T11:30:00"/>
    <s v="EJ-MALANG-01"/>
    <x v="0"/>
    <x v="14"/>
    <s v="ZTE2008"/>
    <s v="Pcs"/>
    <n v="5"/>
    <s v="CLR51-99-098"/>
    <x v="48"/>
    <m/>
    <m/>
    <m/>
    <s v="Riki Romansyah"/>
    <s v="Febby Supplier"/>
    <s v="3507050501950006"/>
    <s v="N 8420 EL"/>
    <m/>
    <m/>
    <s v="Dusun Ketohan Kucur"/>
    <e v="#N/A"/>
    <e v="#N/A"/>
    <s v="OUTBOUND_"/>
  </r>
  <r>
    <s v="980"/>
    <m/>
    <x v="3"/>
    <s v="TFI-W0012406-367"/>
    <s v="EJ-Malang-01"/>
    <s v="Oka-0813-2707-1646"/>
    <d v="2024-06-05T00:00:00"/>
    <d v="1900-01-14T07:00:00"/>
    <s v="ZTE Warehouse"/>
    <x v="0"/>
    <x v="14"/>
    <s v="ZTE2008"/>
    <s v="Pcs"/>
    <n v="36"/>
    <s v="CLR51-02-015"/>
    <x v="15"/>
    <n v="0"/>
    <s v="TRANSFER GUDANG"/>
    <m/>
    <m/>
    <m/>
    <m/>
    <m/>
    <m/>
    <m/>
    <s v="Dusun Sumber Bendo Kucur"/>
    <e v="#N/A"/>
    <e v="#N/A"/>
    <s v="OUTBOUND_"/>
  </r>
  <r>
    <s v="981"/>
    <m/>
    <x v="1"/>
    <s v="OUB-W0012406-374"/>
    <s v="EJ-Malang-01"/>
    <s v="Oka-0813-2707-1646"/>
    <d v="2024-06-11T00:00:00"/>
    <d v="1899-12-30T14:01:00"/>
    <s v="EJ-MALANG-01"/>
    <x v="0"/>
    <x v="14"/>
    <s v="ZTE2008"/>
    <s v="Pcs"/>
    <n v="7"/>
    <s v="CLR51-99-096"/>
    <x v="50"/>
    <m/>
    <m/>
    <m/>
    <s v="Deny Indra"/>
    <n v="0"/>
    <n v="0"/>
    <s v="N 1547 IR"/>
    <m/>
    <m/>
    <s v="Dusun Turi Kucur"/>
    <e v="#N/A"/>
    <e v="#N/A"/>
    <s v="OUTBOUND_"/>
  </r>
  <r>
    <s v="982"/>
    <m/>
    <x v="1"/>
    <s v="OUB-W0012406-374"/>
    <s v="EJ-Malang-01"/>
    <s v="Oka-0813-2707-1646"/>
    <d v="2024-06-11T00:00:00"/>
    <d v="1899-12-30T14:01:00"/>
    <s v="EJ-MALANG-01"/>
    <x v="0"/>
    <x v="14"/>
    <s v="ZTE2008"/>
    <s v="Pcs"/>
    <n v="12"/>
    <s v="CLR51-02-015"/>
    <x v="15"/>
    <m/>
    <m/>
    <m/>
    <s v="Deny Indra"/>
    <n v="0"/>
    <n v="0"/>
    <s v="N 1547 IR"/>
    <m/>
    <m/>
    <s v="Dusun Sumber Bendo Kucur"/>
    <e v="#N/A"/>
    <e v="#N/A"/>
    <s v="OUTBOUND_"/>
  </r>
  <r>
    <s v="983"/>
    <m/>
    <x v="1"/>
    <s v="OUB-W0012406-374"/>
    <s v="EJ-Malang-01"/>
    <s v="Oka-0813-2707-1646"/>
    <d v="2024-06-11T00:00:00"/>
    <d v="1899-12-30T14:01:00"/>
    <s v="EJ-MALANG-01"/>
    <x v="0"/>
    <x v="14"/>
    <s v="ZTE2008"/>
    <s v="Pcs"/>
    <n v="17"/>
    <s v="CLR51-02-014"/>
    <x v="14"/>
    <m/>
    <m/>
    <m/>
    <s v="Deny Indra"/>
    <n v="0"/>
    <n v="0"/>
    <s v="N 1547 IR"/>
    <m/>
    <m/>
    <s v="Dusun Klampok Kucur"/>
    <e v="#N/A"/>
    <e v="#N/A"/>
    <s v="OUTBOUND_"/>
  </r>
  <r>
    <s v="984"/>
    <m/>
    <x v="3"/>
    <s v="TFI-W0012406-384"/>
    <s v="EJ-Malang-01"/>
    <s v="Oka-0813-2707-1646"/>
    <d v="2024-06-20T00:00:00"/>
    <d v="1900-01-14T07:00:00"/>
    <s v="ZTE Warehouse"/>
    <x v="0"/>
    <x v="14"/>
    <s v="ZTE2008"/>
    <s v="Pcs"/>
    <n v="30"/>
    <s v="TRF"/>
    <x v="5"/>
    <n v="0"/>
    <s v="TRANSFER GUDANG"/>
    <m/>
    <m/>
    <m/>
    <m/>
    <m/>
    <m/>
    <m/>
    <n v="0"/>
    <e v="#N/A"/>
    <e v="#N/A"/>
    <s v="OUTBOUND_"/>
  </r>
  <r>
    <s v="985"/>
    <m/>
    <x v="0"/>
    <s v="INB-W0012406-387"/>
    <s v="EJ-Malang-01"/>
    <s v="Oka-0813-2707-1646"/>
    <d v="2024-06-24T00:00:00"/>
    <d v="1900-01-14T07:00:00"/>
    <s v="ZTE Warehouse"/>
    <x v="0"/>
    <x v="14"/>
    <s v="ZTE2008"/>
    <s v="Pcs"/>
    <n v="30"/>
    <s v="CLR51-02-020"/>
    <x v="53"/>
    <n v="0"/>
    <n v="0"/>
    <m/>
    <m/>
    <m/>
    <m/>
    <m/>
    <m/>
    <m/>
    <s v="Lowokwaru RW 04"/>
    <e v="#N/A"/>
    <e v="#N/A"/>
    <s v="OUTBOUND_"/>
  </r>
  <r>
    <s v="986"/>
    <m/>
    <x v="1"/>
    <s v="OUB-W0012406-389"/>
    <s v="EJ-Malang-01"/>
    <s v="Oka-0813-2707-1646"/>
    <d v="2024-06-25T00:00:00"/>
    <d v="1899-12-30T12:54:00"/>
    <s v="EJ-MALANG-01"/>
    <x v="0"/>
    <x v="14"/>
    <s v="ZTE2008"/>
    <s v="Pcs"/>
    <n v="10"/>
    <s v="CLR51-02-020"/>
    <x v="53"/>
    <m/>
    <m/>
    <m/>
    <s v="Riki Romansyah"/>
    <s v="Febby Supplier"/>
    <s v="3507050501950006"/>
    <s v="N 8420 EL"/>
    <m/>
    <m/>
    <s v="Lowokwaru RW 04"/>
    <e v="#N/A"/>
    <e v="#N/A"/>
    <s v="OUTBOUND_"/>
  </r>
  <r>
    <s v="987"/>
    <m/>
    <x v="1"/>
    <s v="OUB-W0012406-389"/>
    <s v="EJ-Malang-01"/>
    <s v="Oka-0813-2707-1646"/>
    <d v="2024-06-25T00:00:00"/>
    <d v="1899-12-30T12:54:00"/>
    <s v="EJ-MALANG-01"/>
    <x v="0"/>
    <x v="14"/>
    <s v="ZTE2008"/>
    <s v="Pcs"/>
    <n v="18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988"/>
    <m/>
    <x v="0"/>
    <s v="INB-W0012407-400"/>
    <s v="EJ-Malang-01"/>
    <s v="Oka-0813-2707-1646"/>
    <d v="2024-07-08T00:00:00"/>
    <d v="1900-01-14T07:00:00"/>
    <s v="ZTE Warehouse"/>
    <x v="0"/>
    <x v="14"/>
    <s v="ZTE2008"/>
    <s v="Pcs"/>
    <n v="60"/>
    <s v="CLR51-99-061"/>
    <x v="54"/>
    <n v="0"/>
    <n v="0"/>
    <m/>
    <m/>
    <m/>
    <m/>
    <m/>
    <m/>
    <m/>
    <s v="Perumahan Perumnas Talangagung I Malang"/>
    <e v="#N/A"/>
    <e v="#N/A"/>
    <s v="OUTBOUND_"/>
  </r>
  <r>
    <s v="989"/>
    <m/>
    <x v="1"/>
    <s v="OUB-W0012407-401"/>
    <s v="EJ-Malang-01"/>
    <s v="Oka-0813-2707-1646"/>
    <d v="2024-07-10T00:00:00"/>
    <d v="1899-12-30T09:40:00"/>
    <s v="EJ-MALANG-01"/>
    <x v="0"/>
    <x v="14"/>
    <s v="ZTE2008"/>
    <s v="Pcs"/>
    <n v="15"/>
    <s v="CLR51-99-061"/>
    <x v="54"/>
    <m/>
    <m/>
    <m/>
    <s v="Fatur"/>
    <n v="0"/>
    <s v="3515082712870005"/>
    <s v="W 3265 OH"/>
    <m/>
    <m/>
    <s v="Perumahan Perumnas Talangagung I Malang"/>
    <e v="#N/A"/>
    <e v="#N/A"/>
    <s v="OUTBOUND_"/>
  </r>
  <r>
    <s v="990"/>
    <m/>
    <x v="1"/>
    <s v="OUB-W0012407-402"/>
    <s v="EJ-Malang-01"/>
    <s v="Oka-0813-2707-1646"/>
    <d v="2024-07-10T00:00:00"/>
    <d v="1899-12-30T15:41:00"/>
    <s v="EJ-MALANG-01"/>
    <x v="0"/>
    <x v="14"/>
    <s v="ZTE2008"/>
    <s v="Pcs"/>
    <n v="31"/>
    <s v="CLR51-99-063"/>
    <x v="55"/>
    <m/>
    <m/>
    <m/>
    <s v="Sifak"/>
    <n v="0"/>
    <s v="3507312107950002"/>
    <s v="N 1969 FF"/>
    <m/>
    <m/>
    <s v="Perumahan Kepanjen Permai II"/>
    <e v="#N/A"/>
    <e v="#N/A"/>
    <s v="OUTBOUND_"/>
  </r>
  <r>
    <s v="991"/>
    <m/>
    <x v="1"/>
    <s v="OUB-W0012407-403"/>
    <s v="EJ-Malang-01"/>
    <s v="Oka-0813-2707-1646"/>
    <d v="2024-07-11T00:00:00"/>
    <d v="1899-12-30T21:28:00"/>
    <s v="EJ-MALANG-01"/>
    <x v="0"/>
    <x v="14"/>
    <s v="ZTE2008"/>
    <s v="Pcs"/>
    <n v="14"/>
    <s v="CLR51-99-061"/>
    <x v="54"/>
    <m/>
    <m/>
    <m/>
    <s v="Fatur"/>
    <n v="0"/>
    <s v="3515082712870005"/>
    <s v="W 3265 OH"/>
    <m/>
    <m/>
    <s v="Perumahan Perumnas Talangagung I Malang"/>
    <e v="#N/A"/>
    <e v="#N/A"/>
    <s v="OUTBOUND_"/>
  </r>
  <r>
    <s v="992"/>
    <m/>
    <x v="1"/>
    <s v="OUB-W0012407-405"/>
    <s v="EJ-Malang-01"/>
    <s v="Oka-0813-2707-1646"/>
    <d v="2024-07-14T00:00:00"/>
    <d v="1899-12-30T16:08:00"/>
    <s v="EJ-MALANG-01"/>
    <x v="0"/>
    <x v="14"/>
    <s v="ZTE2008"/>
    <s v="Pcs"/>
    <n v="9"/>
    <s v="CLR51-99-049"/>
    <x v="80"/>
    <m/>
    <m/>
    <m/>
    <s v="Riki Romansyah"/>
    <s v="Febby Supplier"/>
    <s v="3507050501950006"/>
    <s v="N 8420 EL"/>
    <m/>
    <m/>
    <s v="Perumahan Panca Garden"/>
    <e v="#N/A"/>
    <e v="#N/A"/>
    <s v="OUTBOUND_"/>
  </r>
  <r>
    <s v="993"/>
    <m/>
    <x v="1"/>
    <s v="OUB-W0012407-406"/>
    <s v="EJ-Malang-01"/>
    <s v="Oka-0813-2707-1646"/>
    <d v="2024-07-14T00:00:00"/>
    <d v="1899-12-30T18:29:00"/>
    <s v="EJ-MALANG-01"/>
    <x v="0"/>
    <x v="14"/>
    <s v="ZTE2008"/>
    <s v="Pcs"/>
    <n v="12"/>
    <s v="CLR51-02-016"/>
    <x v="141"/>
    <m/>
    <m/>
    <m/>
    <s v="Sifak"/>
    <n v="0"/>
    <s v="3507312107950002"/>
    <s v="N 1969 FF"/>
    <m/>
    <m/>
    <s v="Ngenep RW 06 Karang Ploso"/>
    <e v="#N/A"/>
    <e v="#N/A"/>
    <s v="OUTBOUND_"/>
  </r>
  <r>
    <s v="994"/>
    <m/>
    <x v="0"/>
    <s v="INB-W0012407-412"/>
    <s v="EJ-Malang-01"/>
    <s v="Oka-0813-2707-1646"/>
    <d v="2024-07-23T00:00:00"/>
    <d v="1900-01-14T07:00:00"/>
    <s v="ZTE Warehouse"/>
    <x v="0"/>
    <x v="14"/>
    <s v="ZTE2008"/>
    <s v="Pcs"/>
    <n v="37"/>
    <m/>
    <x v="3"/>
    <n v="0"/>
    <n v="0"/>
    <m/>
    <m/>
    <m/>
    <m/>
    <m/>
    <m/>
    <m/>
    <n v="0"/>
    <e v="#N/A"/>
    <e v="#N/A"/>
    <s v="OUTBOUND_"/>
  </r>
  <r>
    <s v="995"/>
    <m/>
    <x v="1"/>
    <s v="OUB-W0012407-420"/>
    <s v="EJ-Malang-01"/>
    <s v="Oka-0813-2707-1646"/>
    <d v="2024-07-30T00:00:00"/>
    <d v="1899-12-30T10:24:00"/>
    <s v="EJ-MALANG-01"/>
    <x v="0"/>
    <x v="14"/>
    <s v="ZTE2008"/>
    <s v="Pcs"/>
    <n v="10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996"/>
    <m/>
    <x v="1"/>
    <s v="OUB-W0012407-423"/>
    <s v="EJ-Malang-01"/>
    <s v="Oka-0813-2707-1646"/>
    <d v="2024-07-31T00:00:00"/>
    <d v="1899-12-30T17:26:00"/>
    <s v="EJ-MALANG-01"/>
    <x v="0"/>
    <x v="14"/>
    <s v="ZTE2008"/>
    <s v="Pcs"/>
    <n v="27"/>
    <s v="CLR51-03-005"/>
    <x v="58"/>
    <m/>
    <m/>
    <m/>
    <s v="Sifak"/>
    <n v="0"/>
    <s v="3507312107950002"/>
    <s v="N 1969 FF"/>
    <m/>
    <m/>
    <s v="Dusun Langlang IV Singosari"/>
    <e v="#N/A"/>
    <e v="#N/A"/>
    <s v="OUTBOUND_"/>
  </r>
  <r>
    <s v="997"/>
    <m/>
    <x v="1"/>
    <s v="OUB-W0012408-444"/>
    <s v="EJ-Malang-01"/>
    <s v="Oka-0813-2707-1646"/>
    <d v="2024-08-15T00:00:00"/>
    <d v="1899-12-30T21:28:00"/>
    <s v="EJ-MALANG-01"/>
    <x v="0"/>
    <x v="14"/>
    <s v="ZTE2008"/>
    <s v="Pcs"/>
    <n v="4"/>
    <s v="CLR51-99-049"/>
    <x v="80"/>
    <m/>
    <m/>
    <m/>
    <s v="Fatur"/>
    <n v="0"/>
    <s v="3515082712870005"/>
    <s v="W 3265 OH"/>
    <m/>
    <m/>
    <s v="Perumahan Panca Garden"/>
    <e v="#N/A"/>
    <e v="#N/A"/>
    <s v="OUTBOUND_"/>
  </r>
  <r>
    <s v="998"/>
    <m/>
    <x v="3"/>
    <s v="TFI-W0012408-445"/>
    <s v="EJ-Malang-01"/>
    <s v="Oka-0813-2707-1646"/>
    <d v="2024-08-17T00:00:00"/>
    <d v="1900-01-14T07:00:00"/>
    <s v="ZTE Warehouse"/>
    <x v="0"/>
    <x v="14"/>
    <s v="ZTE2008"/>
    <s v="Pcs"/>
    <n v="1"/>
    <s v="TRF"/>
    <x v="5"/>
    <n v="0"/>
    <s v="TRANSFER GUDANG"/>
    <m/>
    <m/>
    <m/>
    <m/>
    <m/>
    <m/>
    <m/>
    <n v="0"/>
    <e v="#N/A"/>
    <e v="#N/A"/>
    <s v="OUTBOUND_"/>
  </r>
  <r>
    <s v="999"/>
    <m/>
    <x v="1"/>
    <s v="OUB-W0012408-449"/>
    <s v="EJ-Malang-01"/>
    <s v="Oka-0813-2707-1646"/>
    <d v="2024-08-21T00:00:00"/>
    <d v="1899-12-30T18:53:00"/>
    <s v="EJ-MALANG-01"/>
    <x v="0"/>
    <x v="14"/>
    <s v="ZTE2008"/>
    <s v="Pcs"/>
    <n v="13"/>
    <s v="CLR51-99-086"/>
    <x v="47"/>
    <m/>
    <m/>
    <m/>
    <s v="Sifak"/>
    <n v="0"/>
    <s v="3507312107950002"/>
    <s v="N 1969 FF"/>
    <m/>
    <m/>
    <s v="Klampok RW 01 Singosari"/>
    <e v="#N/A"/>
    <e v="#N/A"/>
    <s v="OUTBOUND_"/>
  </r>
  <r>
    <s v="1000"/>
    <m/>
    <x v="0"/>
    <s v="INB-W0012408-453"/>
    <s v="EJ-Malang-01"/>
    <s v="Oka-0813-2707-1646"/>
    <d v="2024-08-22T00:00:00"/>
    <d v="1900-01-14T07:00:00"/>
    <s v="ZTE Warehouse"/>
    <x v="0"/>
    <x v="14"/>
    <s v="ZTE2008"/>
    <s v="Pcs"/>
    <n v="90"/>
    <m/>
    <x v="3"/>
    <n v="0"/>
    <n v="0"/>
    <m/>
    <m/>
    <m/>
    <m/>
    <m/>
    <m/>
    <m/>
    <n v="0"/>
    <e v="#N/A"/>
    <e v="#N/A"/>
    <s v="OUTBOUND_"/>
  </r>
  <r>
    <s v="1001"/>
    <m/>
    <x v="0"/>
    <s v="INB-W0012408-467"/>
    <s v="EJ-Malang-01"/>
    <s v="Oka-0813-2707-1646"/>
    <d v="2024-08-28T00:00:00"/>
    <d v="1900-01-14T07:00:00"/>
    <s v="ZTE Warehouse"/>
    <x v="0"/>
    <x v="14"/>
    <s v="ZTE2008"/>
    <s v="Pcs"/>
    <n v="94"/>
    <m/>
    <x v="3"/>
    <n v="0"/>
    <n v="0"/>
    <m/>
    <m/>
    <m/>
    <m/>
    <m/>
    <m/>
    <m/>
    <n v="0"/>
    <e v="#N/A"/>
    <e v="#N/A"/>
    <s v="OUTBOUND_"/>
  </r>
  <r>
    <s v="1002"/>
    <m/>
    <x v="1"/>
    <s v="OUB-W0012408-466"/>
    <s v="EJ-Malang-01"/>
    <s v="Oka-0813-2707-1646"/>
    <d v="2024-08-28T00:00:00"/>
    <d v="1899-12-30T11:29:00"/>
    <s v="EJ-MALANG-01"/>
    <x v="0"/>
    <x v="14"/>
    <s v="ZTE2008"/>
    <s v="Pcs"/>
    <n v="30"/>
    <s v="CLR51-09-009"/>
    <x v="62"/>
    <m/>
    <m/>
    <m/>
    <s v="Sifak"/>
    <n v="0"/>
    <s v="3507312107950002"/>
    <s v="N 1969 FF"/>
    <m/>
    <m/>
    <s v="Dilem RW 03 Kepanjen"/>
    <e v="#N/A"/>
    <e v="#N/A"/>
    <s v="OUTBOUND_"/>
  </r>
  <r>
    <s v="1003"/>
    <m/>
    <x v="1"/>
    <s v="OUB-W0012408-475"/>
    <s v="EJ-Malang-01"/>
    <s v="Oka-0813-2707-1646"/>
    <d v="2024-08-31T00:00:00"/>
    <d v="1899-12-30T12:30:00"/>
    <s v="EJ-MALANG-01"/>
    <x v="0"/>
    <x v="14"/>
    <s v="ZTE2008"/>
    <s v="Pcs"/>
    <n v="38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1004"/>
    <m/>
    <x v="1"/>
    <s v="OUB-W0012409-484"/>
    <s v="EJ-Malang-01"/>
    <s v="Oka-0813-2707-1646"/>
    <d v="2024-09-04T00:00:00"/>
    <d v="1899-12-30T01:58:00"/>
    <s v="EJ-MALANG-01"/>
    <x v="0"/>
    <x v="14"/>
    <s v="ZTE2008"/>
    <s v="Pcs"/>
    <n v="26"/>
    <s v="CLR51-99-115"/>
    <x v="65"/>
    <m/>
    <m/>
    <m/>
    <s v="Fatur"/>
    <n v="0"/>
    <s v="3515082712870005"/>
    <s v="W 3265 OH"/>
    <m/>
    <m/>
    <s v="SENGGURUH RW 01 MALANG"/>
    <e v="#N/A"/>
    <e v="#N/A"/>
    <s v="OUTBOUND_"/>
  </r>
  <r>
    <s v="1005"/>
    <m/>
    <x v="1"/>
    <s v="OUB-W0012409-491"/>
    <s v="EJ-Malang-01"/>
    <s v="Oka-0813-2707-1646"/>
    <d v="2024-09-06T00:00:00"/>
    <d v="1899-12-30T01:58:00"/>
    <s v="EJ-MALANG-01"/>
    <x v="0"/>
    <x v="14"/>
    <s v="ZTE2008"/>
    <s v="Pcs"/>
    <n v="13"/>
    <s v="CLR51-99-116"/>
    <x v="67"/>
    <m/>
    <m/>
    <m/>
    <s v="Fatur"/>
    <n v="0"/>
    <s v="3515082712870005"/>
    <s v="W 3265 OH"/>
    <m/>
    <m/>
    <s v="SENGGURUH RW 02 MALANG"/>
    <e v="#N/A"/>
    <e v="#N/A"/>
    <s v="OUTBOUND_"/>
  </r>
  <r>
    <s v="1006"/>
    <m/>
    <x v="1"/>
    <s v="OUB-W0012409-495"/>
    <s v="EJ-Malang-01"/>
    <s v="Oka-0813-2707-1646"/>
    <d v="2024-09-07T00:00:00"/>
    <d v="1899-12-30T01:58:00"/>
    <s v="EJ-MALANG-01"/>
    <x v="0"/>
    <x v="14"/>
    <s v="ZTE2008"/>
    <s v="Pcs"/>
    <n v="11"/>
    <s v="CLR51-99-117"/>
    <x v="69"/>
    <m/>
    <m/>
    <m/>
    <s v="Fatur"/>
    <n v="0"/>
    <s v="3515082712870005"/>
    <s v="W 3265 OH"/>
    <m/>
    <m/>
    <s v="SENGGURUH RW 03 MALANG"/>
    <e v="#N/A"/>
    <e v="#N/A"/>
    <s v="OUTBOUND_"/>
  </r>
  <r>
    <s v="1007"/>
    <m/>
    <x v="1"/>
    <s v="OUB-W0012409-498"/>
    <s v="EJ-Malang-01"/>
    <s v="Oka-0813-2707-1646"/>
    <d v="2024-09-08T00:00:00"/>
    <d v="1899-12-30T07:58:00"/>
    <s v="EJ-MALANG-01"/>
    <x v="0"/>
    <x v="14"/>
    <s v="ZTE2008"/>
    <s v="Pcs"/>
    <n v="7"/>
    <s v="CLR51-99-118"/>
    <x v="68"/>
    <m/>
    <m/>
    <m/>
    <s v="Fatur"/>
    <n v="0"/>
    <s v="3515082712870005"/>
    <s v="W 3265 OH"/>
    <m/>
    <m/>
    <s v="NGENEP UTARA RW 03 MALANG"/>
    <e v="#N/A"/>
    <e v="#N/A"/>
    <s v="OUTBOUND_"/>
  </r>
  <r>
    <s v="1008"/>
    <m/>
    <x v="3"/>
    <s v="TFI-W0012409-504"/>
    <s v="EJ-Malang-01"/>
    <s v="Oka-0813-2707-1646"/>
    <d v="2024-09-19T00:00:00"/>
    <d v="1900-01-14T07:00:00"/>
    <s v="EJ-BLITAR-01"/>
    <x v="0"/>
    <x v="14"/>
    <s v="ZTE2008"/>
    <s v="Pcs"/>
    <n v="35"/>
    <s v="TRF"/>
    <x v="158"/>
    <n v="0"/>
    <n v="0"/>
    <m/>
    <m/>
    <m/>
    <m/>
    <m/>
    <s v="ZTE 2,  Corning 17, Janjora 16"/>
    <m/>
    <s v="Blitar"/>
    <e v="#N/A"/>
    <e v="#N/A"/>
    <s v="OUTBOUND_"/>
  </r>
  <r>
    <s v="1009"/>
    <m/>
    <x v="0"/>
    <s v="INB-W0012409-507"/>
    <s v="EJ-Malang-01"/>
    <s v="Oka-0813-2707-1646"/>
    <d v="2024-09-20T00:00:00"/>
    <d v="1900-01-14T07:00:00"/>
    <s v="ZTE Warehouse"/>
    <x v="0"/>
    <x v="14"/>
    <s v="ZTE2008"/>
    <s v="Pcs"/>
    <n v="22"/>
    <m/>
    <x v="3"/>
    <n v="0"/>
    <n v="0"/>
    <m/>
    <m/>
    <m/>
    <m/>
    <m/>
    <m/>
    <m/>
    <n v="0"/>
    <e v="#N/A"/>
    <e v="#N/A"/>
    <s v="OUTBOUND_"/>
  </r>
  <r>
    <s v="1010"/>
    <m/>
    <x v="1"/>
    <s v="OUB-W0012409-515"/>
    <s v="EJ-Malang-01"/>
    <s v="Oka-0813-2707-1646"/>
    <d v="2024-09-26T00:00:00"/>
    <d v="1899-12-30T18:58:00"/>
    <s v="EJ-MALANG-01"/>
    <x v="0"/>
    <x v="14"/>
    <s v="ZTE2008"/>
    <s v="Pcs"/>
    <n v="12"/>
    <s v="CLR51-99-122"/>
    <x v="73"/>
    <m/>
    <m/>
    <m/>
    <s v="Zainal Abidin"/>
    <n v="0"/>
    <s v="3519010810930003"/>
    <s v="W 1074 XF"/>
    <m/>
    <m/>
    <s v="Ngenep RW 10 Malang"/>
    <e v="#N/A"/>
    <e v="#N/A"/>
    <s v="OUTBOUND_"/>
  </r>
  <r>
    <s v="1011"/>
    <m/>
    <x v="1"/>
    <s v="OUB-W0012409-520"/>
    <s v="EJ-Malang-01"/>
    <s v="Oka-0813-2707-1646"/>
    <d v="2024-09-28T00:00:00"/>
    <d v="1899-12-30T18:58:00"/>
    <s v="EJ-MALANG-01"/>
    <x v="0"/>
    <x v="14"/>
    <s v="ZTE2008"/>
    <s v="Pcs"/>
    <n v="17"/>
    <s v="CLR51-03-006"/>
    <x v="72"/>
    <m/>
    <m/>
    <m/>
    <s v="Fahrudin"/>
    <n v="0"/>
    <s v="3507131605830004"/>
    <s v="N 1383 G"/>
    <m/>
    <m/>
    <s v="Dusun Mojosari Ngenep"/>
    <e v="#N/A"/>
    <e v="#N/A"/>
    <s v="OUTBOUND_"/>
  </r>
  <r>
    <s v="1012"/>
    <m/>
    <x v="1"/>
    <s v="OUB-W0012410-524"/>
    <s v="EJ-Malang-01"/>
    <s v="Oka-0813-2707-1646"/>
    <d v="2024-10-05T00:00:00"/>
    <d v="1899-12-30T18:58:00"/>
    <s v="EJ-MALANG-01"/>
    <x v="0"/>
    <x v="14"/>
    <s v="ZTE2008"/>
    <s v="Pcs"/>
    <n v="22"/>
    <s v="CLR51-09-001"/>
    <x v="142"/>
    <m/>
    <m/>
    <m/>
    <s v="Fahrudin"/>
    <n v="0"/>
    <s v="3507131605830004"/>
    <s v="N 1383 G"/>
    <m/>
    <m/>
    <s v="Pakisaji RW 01 Malang"/>
    <e v="#N/A"/>
    <e v="#N/A"/>
    <s v="OUTBOUND_"/>
  </r>
  <r>
    <s v="1013"/>
    <m/>
    <x v="0"/>
    <s v="INB-W0012411-548"/>
    <s v="EJ-Malang-01"/>
    <s v="Oka-0813-2707-1646"/>
    <d v="2024-11-06T00:00:00"/>
    <d v="1900-01-14T07:00:00"/>
    <s v="ZTE Warehouse"/>
    <x v="0"/>
    <x v="14"/>
    <s v="ZTE2008"/>
    <s v="Pcs"/>
    <n v="10"/>
    <s v="CLR51-01-009"/>
    <x v="76"/>
    <s v="DOEID24110550"/>
    <s v="DNWID0342024110505"/>
    <m/>
    <m/>
    <m/>
    <m/>
    <m/>
    <m/>
    <m/>
    <s v="Kalirejo RW 13 Lawang"/>
    <d v="2024-11-06T00:00:00"/>
    <b v="1"/>
    <s v="OUTBOUND_"/>
  </r>
  <r>
    <s v="1014"/>
    <m/>
    <x v="0"/>
    <s v="INB-W0012411-548"/>
    <s v="EJ-Malang-01"/>
    <s v="Oka-0813-2707-1646"/>
    <d v="2024-11-06T00:00:00"/>
    <d v="1900-01-14T07:00:00"/>
    <s v="ZTE Warehouse"/>
    <x v="0"/>
    <x v="14"/>
    <s v="ZTE2008"/>
    <s v="Pcs"/>
    <n v="29"/>
    <s v="CLR51-99-123"/>
    <x v="77"/>
    <s v="DOEID24110552"/>
    <s v="DNWID0342024110504"/>
    <m/>
    <m/>
    <m/>
    <m/>
    <m/>
    <m/>
    <m/>
    <s v="Tambakasri RW 02 Tajinan"/>
    <d v="2024-11-06T00:00:00"/>
    <b v="1"/>
    <s v="OUTBOUND_"/>
  </r>
  <r>
    <s v="1015"/>
    <m/>
    <x v="1"/>
    <s v="OUB-W0012411-549"/>
    <s v="EJ-Malang-01"/>
    <s v="Oka-0813-2707-1646"/>
    <d v="2024-11-08T00:00:00"/>
    <d v="1899-12-30T13:43:00"/>
    <s v="EJ-MALANG-01"/>
    <x v="0"/>
    <x v="14"/>
    <s v="ZTE2008"/>
    <s v="Pcs"/>
    <n v="9"/>
    <s v="CLR51-99-095"/>
    <x v="16"/>
    <m/>
    <m/>
    <m/>
    <s v="Fatur"/>
    <n v="0"/>
    <s v="3515082712870005"/>
    <s v="W 3265 OH"/>
    <m/>
    <m/>
    <s v="Candirenggo RW 10 Singosari"/>
    <e v="#N/A"/>
    <e v="#N/A"/>
    <s v="OUTBOUND_"/>
  </r>
  <r>
    <s v="1016"/>
    <m/>
    <x v="1"/>
    <s v="OUB-W0012411-560"/>
    <s v="EJ-Malang-01"/>
    <s v="Oka-0813-2707-1646"/>
    <d v="2024-11-24T00:00:00"/>
    <d v="1899-12-30T18:58:00"/>
    <s v="EJ-MALANG-01"/>
    <x v="0"/>
    <x v="14"/>
    <s v="ZTE2008"/>
    <s v="Pcs"/>
    <n v="12"/>
    <s v="CLR51-99-124"/>
    <x v="17"/>
    <m/>
    <m/>
    <m/>
    <s v="Fatur"/>
    <n v="0"/>
    <s v="3515082712870005"/>
    <s v="W 3265 OH"/>
    <m/>
    <m/>
    <s v="Perumahan Bukit Lawang Indah Malang"/>
    <e v="#N/A"/>
    <e v="#N/A"/>
    <s v="OUTBOUND_"/>
  </r>
  <r>
    <s v="1017"/>
    <m/>
    <x v="1"/>
    <s v="OUB-W0012411-561"/>
    <s v="EJ-Malang-01"/>
    <s v="Oka-0813-2707-1646"/>
    <d v="2024-11-25T00:00:00"/>
    <d v="1899-12-30T18:58:00"/>
    <s v="EJ-MALANG-01"/>
    <x v="0"/>
    <x v="14"/>
    <s v="ZTE2008"/>
    <s v="Pcs"/>
    <n v="9"/>
    <s v="CLR51-99-124"/>
    <x v="17"/>
    <m/>
    <m/>
    <m/>
    <s v="Sifak"/>
    <n v="0"/>
    <s v="3507312107950002"/>
    <s v="N 1969 FF"/>
    <m/>
    <m/>
    <s v="Perumahan Bukit Lawang Indah Malang"/>
    <e v="#N/A"/>
    <e v="#N/A"/>
    <s v="OUTBOUND_"/>
  </r>
  <r>
    <s v="1018"/>
    <m/>
    <x v="0"/>
    <s v="INB-W0012411-568"/>
    <s v="EJ-Malang-01"/>
    <s v="Oka-0813-2707-1646"/>
    <d v="2024-11-26T00:00:00"/>
    <d v="1900-01-14T07:00:00"/>
    <s v="ZTE Warehouse"/>
    <x v="0"/>
    <x v="14"/>
    <s v="ZTE2008"/>
    <s v="Pcs"/>
    <n v="12"/>
    <s v="CLR51-99-124"/>
    <x v="85"/>
    <s v="DOEID24112584"/>
    <s v="DNWID0342024112505"/>
    <m/>
    <m/>
    <m/>
    <m/>
    <m/>
    <m/>
    <m/>
    <s v="Perumahan Bukit Lawang Indah Malang"/>
    <d v="2024-11-26T00:00:00"/>
    <b v="1"/>
    <s v="OUTBOUND_"/>
  </r>
  <r>
    <s v="1019"/>
    <m/>
    <x v="0"/>
    <s v="INB-W0012411-565"/>
    <s v="EJ-Malang-01"/>
    <s v="Oka-0813-2707-1646"/>
    <d v="2024-11-26T00:00:00"/>
    <d v="1900-01-14T07:00:00"/>
    <s v="ZTE Warehouse"/>
    <x v="0"/>
    <x v="14"/>
    <s v="ZTE2008"/>
    <s v="Pcs"/>
    <n v="11"/>
    <s v="CLR51-09-011"/>
    <x v="84"/>
    <s v="DOEID241121BP"/>
    <s v="DNWID0342024112204"/>
    <m/>
    <m/>
    <m/>
    <m/>
    <m/>
    <m/>
    <m/>
    <s v="Bedali RW 04 Kromengan"/>
    <d v="2024-11-26T00:00:00"/>
    <b v="1"/>
    <s v="OUTBOUND_"/>
  </r>
  <r>
    <s v="1020"/>
    <m/>
    <x v="0"/>
    <s v="INB-W0012411-565"/>
    <s v="EJ-Malang-01"/>
    <s v="Oka-0813-2707-1646"/>
    <d v="2024-11-26T00:00:00"/>
    <d v="1900-01-14T07:00:00"/>
    <s v="ZTE Warehouse"/>
    <x v="0"/>
    <x v="14"/>
    <s v="ZTE2008"/>
    <s v="Pcs"/>
    <n v="14"/>
    <s v="CLR51-09-010"/>
    <x v="81"/>
    <s v="DOEID241121BN"/>
    <s v="DNWID0342024112205"/>
    <m/>
    <m/>
    <m/>
    <m/>
    <m/>
    <m/>
    <m/>
    <s v="Bedali RW 03 Kromengan"/>
    <d v="2024-11-26T00:00:00"/>
    <b v="1"/>
    <s v="OUTBOUND_"/>
  </r>
  <r>
    <s v="1021"/>
    <m/>
    <x v="0"/>
    <s v="INB-W0012411-565"/>
    <s v="EJ-Malang-01"/>
    <s v="Oka-0813-2707-1646"/>
    <d v="2024-11-26T00:00:00"/>
    <d v="1900-01-14T07:00:00"/>
    <s v="ZTE Warehouse"/>
    <x v="0"/>
    <x v="14"/>
    <s v="ZTE2008"/>
    <s v="Pcs"/>
    <n v="17"/>
    <s v="CLR51-09-012"/>
    <x v="83"/>
    <s v="DOEID241121BR"/>
    <s v="DNWID0342024112203"/>
    <m/>
    <m/>
    <m/>
    <m/>
    <m/>
    <m/>
    <m/>
    <s v="Bedali RW 05 Kromengan"/>
    <d v="2024-11-26T00:00:00"/>
    <b v="1"/>
    <s v="OUTBOUND_"/>
  </r>
  <r>
    <s v="1022"/>
    <m/>
    <x v="1"/>
    <s v="OUB-W0012411-569"/>
    <s v="EJ-Malang-01"/>
    <s v="Oka-0813-2707-1646"/>
    <d v="2024-11-28T00:00:00"/>
    <d v="1899-12-30T09:25:00"/>
    <s v="EJ-MALANG-01"/>
    <x v="0"/>
    <x v="14"/>
    <s v="ZTE2008"/>
    <s v="Pcs"/>
    <n v="42"/>
    <s v="CLR51-09-010"/>
    <x v="81"/>
    <m/>
    <m/>
    <m/>
    <s v="Fahrudin"/>
    <s v="Febby Supplier"/>
    <s v="3507131605830004"/>
    <s v="N 1383 G"/>
    <m/>
    <m/>
    <s v="Bedali RW 03 Kromengan"/>
    <e v="#N/A"/>
    <e v="#N/A"/>
    <s v="OUTBOUND_"/>
  </r>
  <r>
    <s v="1023"/>
    <m/>
    <x v="0"/>
    <s v="INB-W0012412-582"/>
    <s v="EJ-Malang-01"/>
    <s v="Oka-0813-2707-1646"/>
    <d v="2024-12-17T00:00:00"/>
    <d v="1900-01-14T07:00:00"/>
    <s v="ZTE Warehouse"/>
    <x v="0"/>
    <x v="14"/>
    <s v="ZTE2008"/>
    <s v="Pcs"/>
    <n v="49"/>
    <m/>
    <x v="3"/>
    <n v="0"/>
    <n v="0"/>
    <m/>
    <m/>
    <m/>
    <m/>
    <m/>
    <m/>
    <m/>
    <n v="0"/>
    <e v="#N/A"/>
    <e v="#N/A"/>
    <s v="OUTBOUND_"/>
  </r>
  <r>
    <s v="1024"/>
    <m/>
    <x v="1"/>
    <s v="OUB-W0012412-581"/>
    <s v="EJ-Malang-01"/>
    <s v="Oka-0813-2707-1646"/>
    <d v="2024-12-17T00:00:00"/>
    <d v="1899-12-30T21:03:00"/>
    <s v="EJ-MALANG-01"/>
    <x v="0"/>
    <x v="14"/>
    <s v="ZTE2008"/>
    <s v="Pcs"/>
    <n v="18"/>
    <s v="CLR51-99-056"/>
    <x v="164"/>
    <m/>
    <m/>
    <m/>
    <s v="Fahrudin"/>
    <n v="0"/>
    <n v="0"/>
    <s v="N 1383 G"/>
    <m/>
    <m/>
    <s v="DUSUN CUPAK RW 01"/>
    <e v="#N/A"/>
    <e v="#N/A"/>
    <s v="OUTBOUND_"/>
  </r>
  <r>
    <s v="1025"/>
    <m/>
    <x v="1"/>
    <s v="OUB-W0012412-580"/>
    <s v="EJ-Malang-01"/>
    <s v="Oka-0813-2707-1646"/>
    <d v="2024-12-17T00:00:00"/>
    <d v="1899-12-30T15:49:00"/>
    <s v="EJ-MALANG-01"/>
    <x v="0"/>
    <x v="14"/>
    <s v="ZTE2008"/>
    <s v="Pcs"/>
    <n v="30"/>
    <s v="CLR51-09-007"/>
    <x v="143"/>
    <m/>
    <m/>
    <m/>
    <s v="Deni Indra"/>
    <n v="0"/>
    <n v="0"/>
    <s v="N 1547 IR"/>
    <m/>
    <m/>
    <s v="PERMANU RW 01 MALANG"/>
    <e v="#N/A"/>
    <e v="#N/A"/>
    <s v="OUTBOUND_"/>
  </r>
  <r>
    <s v="1026"/>
    <m/>
    <x v="1"/>
    <s v="OUB-W0012412-584"/>
    <s v="EJ-Malang-01"/>
    <s v="Oka-0813-2707-1646"/>
    <d v="2024-12-22T00:00:00"/>
    <d v="1899-12-30T18:58:00"/>
    <s v="EJ-MALANG-01"/>
    <x v="0"/>
    <x v="14"/>
    <s v="ZTE2008"/>
    <s v="Pcs"/>
    <n v="2"/>
    <s v="CLR51-99-056"/>
    <x v="164"/>
    <m/>
    <m/>
    <m/>
    <s v="Fatur"/>
    <n v="0"/>
    <s v="3515082712870005"/>
    <s v="W 3265 OH"/>
    <m/>
    <m/>
    <s v="DUSUN CUPAK RW 01"/>
    <e v="#N/A"/>
    <e v="#N/A"/>
    <s v="OUTBOUND_"/>
  </r>
  <r>
    <s v="1027"/>
    <m/>
    <x v="1"/>
    <s v="OUB-W0012412-586"/>
    <s v="EJ-Malang-01"/>
    <s v="Oka-0813-2707-1646"/>
    <d v="2024-12-25T00:00:00"/>
    <d v="1899-12-30T17:31:00"/>
    <s v="EJ-MALANG-01"/>
    <x v="0"/>
    <x v="14"/>
    <s v="ZTE2008"/>
    <s v="Pcs"/>
    <n v="12"/>
    <s v="CLR51-09-013"/>
    <x v="144"/>
    <m/>
    <m/>
    <m/>
    <s v="Sifak"/>
    <n v="0"/>
    <s v="3507312107950002"/>
    <s v="N 1969 FF"/>
    <m/>
    <m/>
    <s v="Perum Chandra Kirana Watugede"/>
    <e v="#N/A"/>
    <e v="#N/A"/>
    <s v="OUTBOUND_"/>
  </r>
  <r>
    <s v="1028"/>
    <m/>
    <x v="1"/>
    <s v="OUB-W0012412-590"/>
    <s v="EJ-Malang-01"/>
    <s v="Oka-0813-2707-1646"/>
    <d v="2024-12-27T00:00:00"/>
    <d v="1899-12-30T17:31:00"/>
    <s v="EJ-MALANG-01"/>
    <x v="0"/>
    <x v="14"/>
    <s v="ZTE2008"/>
    <s v="Pcs"/>
    <n v="1"/>
    <s v="CLR51-09-013"/>
    <x v="144"/>
    <m/>
    <m/>
    <m/>
    <s v="Sifak"/>
    <n v="0"/>
    <s v="3507312107950002"/>
    <s v="N 5612 GAA"/>
    <s v="BA FAT Vandal"/>
    <m/>
    <s v="Perum Chandra Kirana Watugede"/>
    <e v="#N/A"/>
    <e v="#N/A"/>
    <s v="OUTBOUND_"/>
  </r>
  <r>
    <s v="1029"/>
    <m/>
    <x v="1"/>
    <s v="OUB-W0012412-592"/>
    <s v="EJ-Malang-01"/>
    <s v="Oka-0813-2707-1646"/>
    <d v="2024-12-30T00:00:00"/>
    <d v="1899-12-30T17:31:00"/>
    <s v="EJ-MALANG-01"/>
    <x v="0"/>
    <x v="14"/>
    <s v="ZTE2008"/>
    <s v="Pcs"/>
    <n v="1"/>
    <s v="CLR51-09-013"/>
    <x v="144"/>
    <m/>
    <m/>
    <m/>
    <s v="Sifak"/>
    <n v="0"/>
    <s v="3507312107950002"/>
    <s v="N 5612 GAA"/>
    <s v="BA FAT Vandal"/>
    <m/>
    <s v="Perum Chandra Kirana Watugede"/>
    <e v="#N/A"/>
    <e v="#N/A"/>
    <s v="OUTBOUND_"/>
  </r>
  <r>
    <s v="1030"/>
    <m/>
    <x v="1"/>
    <s v="OUB-W0012501-597"/>
    <s v="EJ-Malang-01"/>
    <s v="Oka-0813-2707-1646"/>
    <d v="2025-01-14T00:00:00"/>
    <d v="1899-12-30T21:03:00"/>
    <s v="EJ-MALANG-01"/>
    <x v="0"/>
    <x v="14"/>
    <s v="ZTE2008"/>
    <s v="Pcs"/>
    <n v="27"/>
    <s v="CLR51-99-123"/>
    <x v="77"/>
    <m/>
    <m/>
    <m/>
    <s v="Fahrudin"/>
    <n v="0"/>
    <n v="0"/>
    <s v="N 1383 G"/>
    <m/>
    <m/>
    <s v="Tambakasri RW 02 Tajinan"/>
    <e v="#N/A"/>
    <e v="#N/A"/>
    <s v="OUTBOUND_"/>
  </r>
  <r>
    <s v="1031"/>
    <m/>
    <x v="1"/>
    <s v="OUB-W0012501-599"/>
    <s v="EJ-Malang-01"/>
    <s v="Oka-0813-2707-1646"/>
    <d v="2025-01-21T00:00:00"/>
    <d v="1899-12-30T11:01:00"/>
    <s v="EJ-MALANG-01"/>
    <x v="0"/>
    <x v="14"/>
    <s v="ZTE2008"/>
    <s v="Pcs"/>
    <n v="8"/>
    <s v="CLR51-03-016"/>
    <x v="145"/>
    <m/>
    <m/>
    <m/>
    <s v="Deny Indra"/>
    <n v="0"/>
    <n v="0"/>
    <s v="N 1547 IR"/>
    <m/>
    <m/>
    <s v="Citra Kayane Residence"/>
    <e v="#N/A"/>
    <e v="#N/A"/>
    <s v="OUTBOUND_"/>
  </r>
  <r>
    <s v="1032"/>
    <m/>
    <x v="0"/>
    <s v="INB-W0012502-603"/>
    <s v="EJ-Malang-01"/>
    <s v="Oka-0813-2707-1646"/>
    <d v="2025-02-05T00:00:00"/>
    <d v="1900-01-14T07:00:00"/>
    <s v="ZTE Warehouse"/>
    <x v="0"/>
    <x v="14"/>
    <s v="ZTE2008"/>
    <s v="Pcs"/>
    <n v="7"/>
    <s v="CLR51-99-050"/>
    <x v="88"/>
    <n v="0"/>
    <n v="0"/>
    <m/>
    <m/>
    <m/>
    <m/>
    <m/>
    <m/>
    <m/>
    <s v="Perumahan De Wira Green View"/>
    <e v="#N/A"/>
    <e v="#N/A"/>
    <s v="OUTBOUND_"/>
  </r>
  <r>
    <s v="1033"/>
    <m/>
    <x v="1"/>
    <s v="OUB-W0012502-604"/>
    <s v="EJ-Malang-01"/>
    <s v="Oka-0813-2707-1646"/>
    <d v="2025-02-06T00:00:00"/>
    <d v="1899-12-30T09:35:00"/>
    <s v="EJ-MALANG-01"/>
    <x v="0"/>
    <x v="14"/>
    <s v="ZTE2008"/>
    <s v="Pcs"/>
    <n v="7"/>
    <s v="CLR51-99-050"/>
    <x v="88"/>
    <m/>
    <m/>
    <m/>
    <s v="Riki Romansyah"/>
    <n v="0"/>
    <s v="3507050501950006"/>
    <s v="N 8420 EL"/>
    <m/>
    <m/>
    <s v="PERUMAHAN DE WIRA GREEN VIEW"/>
    <e v="#N/A"/>
    <e v="#N/A"/>
    <s v="OUTBOUND_"/>
  </r>
  <r>
    <s v="1034"/>
    <m/>
    <x v="0"/>
    <s v="INB-W0012502-610"/>
    <s v="EJ-Malang-01"/>
    <s v="Oka-0813-2707-1646"/>
    <d v="2025-02-20T00:00:00"/>
    <d v="1900-01-14T07:00:00"/>
    <s v="ZTE Warehouse"/>
    <x v="0"/>
    <x v="14"/>
    <s v="ZTE2008"/>
    <s v="Pcs"/>
    <n v="20"/>
    <m/>
    <x v="3"/>
    <n v="0"/>
    <n v="0"/>
    <m/>
    <m/>
    <m/>
    <m/>
    <m/>
    <m/>
    <m/>
    <n v="0"/>
    <e v="#N/A"/>
    <e v="#N/A"/>
    <s v="OUTBOUND_"/>
  </r>
  <r>
    <s v="1035"/>
    <m/>
    <x v="1"/>
    <s v="OUB-W0012502-615"/>
    <s v="EJ-Malang-01"/>
    <s v="Oka-0813-2707-1646"/>
    <d v="2025-02-21T00:00:00"/>
    <d v="1899-12-30T15:09:00"/>
    <s v="EJ-MALANG-01"/>
    <x v="0"/>
    <x v="14"/>
    <s v="ZTE2008"/>
    <s v="Pcs"/>
    <n v="21"/>
    <s v="CLR51-08-007"/>
    <x v="89"/>
    <m/>
    <m/>
    <m/>
    <s v="Deny Indra"/>
    <n v="0"/>
    <n v="0"/>
    <s v="N 1547 IR"/>
    <m/>
    <m/>
    <s v="Sitirejo RW 04 Wagir"/>
    <e v="#N/A"/>
    <e v="#N/A"/>
    <s v="OUTBOUND_"/>
  </r>
  <r>
    <s v="1036"/>
    <m/>
    <x v="0"/>
    <s v="INB-W0012503-626"/>
    <s v="EJ-Malang-01"/>
    <s v="Oka-0813-2707-1646"/>
    <d v="2025-03-19T00:00:00"/>
    <d v="1900-01-14T07:00:00"/>
    <s v="ZTE Warehouse"/>
    <x v="0"/>
    <x v="14"/>
    <s v="ZTE2008"/>
    <s v="Pcs"/>
    <n v="42"/>
    <s v="CLR51-99-140"/>
    <x v="91"/>
    <n v="0"/>
    <n v="0"/>
    <m/>
    <m/>
    <m/>
    <m/>
    <m/>
    <m/>
    <m/>
    <s v="Temas RW 04"/>
    <e v="#N/A"/>
    <e v="#N/A"/>
    <s v="OUTBOUND_"/>
  </r>
  <r>
    <s v="1037"/>
    <m/>
    <x v="2"/>
    <s v="TFO-W0012503-625"/>
    <s v="EJ-Malang-01"/>
    <s v="Oka-0813-2707-1646"/>
    <d v="2025-03-19T00:00:00"/>
    <d v="1899-12-30T15:21:00"/>
    <s v="EJ-GRESIK-01"/>
    <x v="0"/>
    <x v="14"/>
    <s v="ZTE2008"/>
    <s v="Pcs"/>
    <n v="10"/>
    <s v="trf"/>
    <x v="4"/>
    <m/>
    <m/>
    <m/>
    <s v="Munip"/>
    <n v="0"/>
    <s v="3509090107770266"/>
    <s v="L 1962 QM"/>
    <s v="Janjora"/>
    <m/>
    <s v="Transfer Gudang"/>
    <e v="#N/A"/>
    <e v="#N/A"/>
    <s v="TRANSFER OUT_"/>
  </r>
  <r>
    <s v="1038"/>
    <m/>
    <x v="1"/>
    <s v="OUB-W0012503-632"/>
    <s v="EJ-Malang-01"/>
    <s v="Oka-0813-2707-1646"/>
    <d v="2025-03-23T00:00:00"/>
    <d v="1899-12-30T19:57:00"/>
    <s v="EJ-MALANG-01"/>
    <x v="0"/>
    <x v="14"/>
    <s v="ZTE2008"/>
    <s v="Pcs"/>
    <n v="32"/>
    <s v="CLR51-99-140"/>
    <x v="91"/>
    <m/>
    <m/>
    <m/>
    <s v="Sifak"/>
    <n v="0"/>
    <s v="3507312107950002"/>
    <s v="N 1046 ABC"/>
    <m/>
    <m/>
    <s v="Temas RW 04"/>
    <e v="#N/A"/>
    <e v="#N/A"/>
    <s v="OUTBOUND_"/>
  </r>
  <r>
    <s v="1039"/>
    <m/>
    <x v="1"/>
    <s v="OUB-W0012505-641"/>
    <s v="EJ-Malang-01"/>
    <s v="Oka-0813-2707-1646"/>
    <d v="2025-05-25T00:00:00"/>
    <d v="1899-12-30T19:57:00"/>
    <s v="EJ-MALANG-01"/>
    <x v="0"/>
    <x v="14"/>
    <s v="ZTE2008"/>
    <s v="Pcs"/>
    <n v="7"/>
    <s v="CLR51-99-212"/>
    <x v="146"/>
    <m/>
    <m/>
    <m/>
    <s v="Sifak"/>
    <n v="0"/>
    <s v="3507312107950002"/>
    <s v="N 1046 ABC"/>
    <m/>
    <m/>
    <s v="KEBONAGUNG RW 01 MALANG"/>
    <e v="#N/A"/>
    <e v="#N/A"/>
    <s v="OUTBOUND_"/>
  </r>
  <r>
    <s v="1040"/>
    <m/>
    <x v="1"/>
    <s v="OUB-W0012505-644"/>
    <s v="EJ-Malang-01"/>
    <s v="Oka-0813-2707-1646"/>
    <d v="2025-05-29T00:00:00"/>
    <d v="1899-12-30T17:57:00"/>
    <s v="EJ-MALANG-01"/>
    <x v="0"/>
    <x v="14"/>
    <s v="ZTE2008"/>
    <s v="Pcs"/>
    <n v="10"/>
    <s v="CLR51-99-238"/>
    <x v="94"/>
    <m/>
    <m/>
    <m/>
    <s v="Sifak"/>
    <n v="0"/>
    <s v="3507312107950002"/>
    <s v="N 1046 ABC"/>
    <m/>
    <m/>
    <s v="ARJOWINANGUN RW 01 MALANG"/>
    <e v="#N/A"/>
    <e v="#N/A"/>
    <s v="OUTBOUND_"/>
  </r>
  <r>
    <s v="1041"/>
    <m/>
    <x v="0"/>
    <s v="INB-W0012506-646"/>
    <s v="EJ-Malang-01"/>
    <s v="Oka-0813-2707-1646"/>
    <d v="2025-06-13T00:00:00"/>
    <d v="1900-01-14T07:00:00"/>
    <s v="ZTE Warehouse"/>
    <x v="0"/>
    <x v="14"/>
    <s v="ZTE2008"/>
    <s v="Pcs"/>
    <n v="80"/>
    <m/>
    <x v="3"/>
    <n v="0"/>
    <n v="0"/>
    <m/>
    <m/>
    <m/>
    <m/>
    <m/>
    <m/>
    <m/>
    <n v="0"/>
    <e v="#N/A"/>
    <e v="#N/A"/>
    <s v="OUTBOUND_"/>
  </r>
  <r>
    <s v="1042"/>
    <m/>
    <x v="1"/>
    <s v="OUB-W0012506-648"/>
    <s v="EJ-Malang-01"/>
    <s v="Oka-0813-2707-1646"/>
    <d v="2025-06-16T00:00:00"/>
    <d v="1899-12-30T19:57:00"/>
    <s v="EJ-MALANG-01"/>
    <x v="0"/>
    <x v="14"/>
    <s v="ZTE2008"/>
    <s v="Pcs"/>
    <n v="2"/>
    <s v="CLR51-99-243"/>
    <x v="97"/>
    <m/>
    <m/>
    <m/>
    <s v="Deny Indra"/>
    <n v="0"/>
    <n v="0"/>
    <s v="N 1547 IR"/>
    <m/>
    <m/>
    <s v="DESA KARANGANYAR KIDUL PONCOKUSUMO   MALANG"/>
    <e v="#N/A"/>
    <e v="#N/A"/>
    <s v="OUTBOUND_"/>
  </r>
  <r>
    <s v="1043"/>
    <m/>
    <x v="1"/>
    <s v="OUB-W0012506-648"/>
    <s v="EJ-Malang-01"/>
    <s v="Oka-0813-2707-1646"/>
    <d v="2025-06-16T00:00:00"/>
    <d v="1899-12-30T19:57:00"/>
    <s v="EJ-MALANG-01"/>
    <x v="0"/>
    <x v="14"/>
    <s v="ZTE2008"/>
    <s v="Pcs"/>
    <n v="8"/>
    <s v="CLR51-99-104"/>
    <x v="170"/>
    <m/>
    <m/>
    <m/>
    <s v="Deny Indra"/>
    <n v="0"/>
    <n v="0"/>
    <s v="N 1547 IR"/>
    <m/>
    <m/>
    <s v="BULULAWANG RW 05 MALANG"/>
    <e v="#N/A"/>
    <e v="#N/A"/>
    <s v="OUTBOUND_"/>
  </r>
  <r>
    <s v="1044"/>
    <m/>
    <x v="1"/>
    <s v="OUB-W0012506-648"/>
    <s v="EJ-Malang-01"/>
    <s v="Oka-0813-2707-1646"/>
    <d v="2025-06-16T00:00:00"/>
    <d v="1899-12-30T19:57:00"/>
    <s v="EJ-MALANG-01"/>
    <x v="0"/>
    <x v="14"/>
    <s v="ZTE2008"/>
    <s v="Pcs"/>
    <n v="53"/>
    <s v="CLR51-99-101"/>
    <x v="95"/>
    <m/>
    <m/>
    <m/>
    <s v="Deny Indra"/>
    <n v="0"/>
    <n v="0"/>
    <s v="N 1547 IR"/>
    <m/>
    <m/>
    <s v="BULULAWANG RW 01, 02, 03, 04, 06   MALANG"/>
    <e v="#N/A"/>
    <e v="#N/A"/>
    <s v="OUTBOUND_"/>
  </r>
  <r>
    <s v="1045"/>
    <m/>
    <x v="0"/>
    <s v="INB-W0012506-649"/>
    <s v="EJ-Malang-01"/>
    <s v="Oka-0813-2707-1646"/>
    <d v="2025-06-18T00:00:00"/>
    <d v="1900-01-14T07:00:00"/>
    <s v="ZTE Warehouse"/>
    <x v="0"/>
    <x v="14"/>
    <s v="ZTE2008"/>
    <s v="Pcs"/>
    <n v="72"/>
    <m/>
    <x v="3"/>
    <n v="0"/>
    <n v="0"/>
    <m/>
    <m/>
    <m/>
    <m/>
    <m/>
    <m/>
    <m/>
    <n v="0"/>
    <e v="#N/A"/>
    <e v="#N/A"/>
    <s v="OUTBOUND_"/>
  </r>
  <r>
    <s v="1046"/>
    <m/>
    <x v="1"/>
    <s v="OUB-W0012506-651"/>
    <s v="EJ-Malang-01"/>
    <s v="Oka-0813-2707-1646"/>
    <d v="2025-06-19T00:00:00"/>
    <d v="1899-12-30T15:30:00"/>
    <s v="EJ-MALANG-01"/>
    <x v="0"/>
    <x v="14"/>
    <s v="ZTE2008"/>
    <s v="Pcs"/>
    <n v="30"/>
    <s v="CLR51-99-244"/>
    <x v="98"/>
    <m/>
    <m/>
    <m/>
    <s v="Fatur"/>
    <n v="0"/>
    <s v="1812010507910004"/>
    <s v="L 9221 K"/>
    <m/>
    <m/>
    <s v="DESA KRAJANI PONCOKUSUMO MALANG"/>
    <e v="#N/A"/>
    <e v="#N/A"/>
    <s v="OUTBOUND_"/>
  </r>
  <r>
    <s v="1047"/>
    <m/>
    <x v="1"/>
    <s v="OUB-W0012506-660"/>
    <s v="EJ-Malang-01"/>
    <s v="Oka-0813-2707-1646"/>
    <d v="2025-06-25T00:00:00"/>
    <d v="1899-12-30T21:03:00"/>
    <s v="EJ-MALANG-01"/>
    <x v="0"/>
    <x v="14"/>
    <s v="ZTE2008"/>
    <s v="Pcs"/>
    <n v="14"/>
    <s v="CLR51-99-243"/>
    <x v="97"/>
    <m/>
    <m/>
    <m/>
    <s v="Fahrudin"/>
    <n v="0"/>
    <n v="0"/>
    <s v="N 1383 G"/>
    <m/>
    <m/>
    <s v="DESA KARANGANYAR KIDUL PONCOKUSUMO   MALANG"/>
    <e v="#N/A"/>
    <e v="#N/A"/>
    <s v="OUTBOUND_"/>
  </r>
  <r>
    <s v="1048"/>
    <m/>
    <x v="1"/>
    <s v="OUB-W0012507-666"/>
    <s v="EJ-Malang-01"/>
    <s v="Oka-0813-2707-1646"/>
    <d v="2025-07-11T00:00:00"/>
    <d v="1899-12-30T14:36:00"/>
    <s v="EJ-MALANG-01"/>
    <x v="0"/>
    <x v="14"/>
    <s v="ZTE2008"/>
    <s v="Pcs"/>
    <n v="26"/>
    <s v="CLR51-99-242"/>
    <x v="96"/>
    <m/>
    <m/>
    <m/>
    <s v="Fahrudin"/>
    <n v="0"/>
    <n v="0"/>
    <s v="N 1383 G"/>
    <m/>
    <m/>
    <s v="DESA GADUNGAN PONCOKUSUMO MALANG"/>
    <e v="#N/A"/>
    <e v="#N/A"/>
    <s v="OUTBOUND_"/>
  </r>
  <r>
    <s v="1049"/>
    <m/>
    <x v="0"/>
    <s v="INB-W0012507-668"/>
    <s v="EJ-Malang-01"/>
    <s v="Oka-0813-2707-1646"/>
    <d v="2025-07-12T00:00:00"/>
    <d v="1900-01-14T07:00:00"/>
    <s v="ZTE Warehouse"/>
    <x v="0"/>
    <x v="14"/>
    <s v="ZTE2008"/>
    <s v="Pcs"/>
    <n v="64"/>
    <s v="CLR51-99-106"/>
    <x v="100"/>
    <n v="0"/>
    <n v="0"/>
    <m/>
    <m/>
    <m/>
    <m/>
    <m/>
    <m/>
    <m/>
    <s v="KREBET SENGGRONG RW 04"/>
    <e v="#N/A"/>
    <e v="#N/A"/>
    <s v="OUTBOUND_"/>
  </r>
  <r>
    <s v="1050"/>
    <m/>
    <x v="1"/>
    <s v="OUB-W0012507-671"/>
    <s v="EJ-Malang-01"/>
    <s v="Oka-0813-2707-1646"/>
    <d v="2025-07-19T00:00:00"/>
    <d v="1899-12-30T12:57:00"/>
    <s v="EJ-MALANG-01"/>
    <x v="0"/>
    <x v="14"/>
    <s v="ZTE2008"/>
    <s v="Pcs"/>
    <n v="7"/>
    <s v="CLR51-99-112"/>
    <x v="171"/>
    <m/>
    <m/>
    <m/>
    <s v="Riki Romansyah"/>
    <n v="0"/>
    <s v="3507050501950006"/>
    <s v="N 8420 EL"/>
    <m/>
    <m/>
    <s v="KREBET RW 04"/>
    <e v="#N/A"/>
    <e v="#N/A"/>
    <s v="OUTBOUND_"/>
  </r>
  <r>
    <s v="1051"/>
    <m/>
    <x v="1"/>
    <s v="OUB-W0012507-671"/>
    <s v="EJ-Malang-01"/>
    <s v="Oka-0813-2707-1646"/>
    <d v="2025-07-19T00:00:00"/>
    <d v="1899-12-30T12:57:00"/>
    <s v="EJ-MALANG-01"/>
    <x v="0"/>
    <x v="14"/>
    <s v="ZTE2008"/>
    <s v="Pcs"/>
    <n v="15"/>
    <s v="CLR51-99-107"/>
    <x v="101"/>
    <m/>
    <m/>
    <m/>
    <s v="Riki Romansyah"/>
    <n v="0"/>
    <s v="3507050501950006"/>
    <s v="N 8420 EL"/>
    <m/>
    <m/>
    <s v="KREBET RW 03"/>
    <e v="#N/A"/>
    <e v="#N/A"/>
    <s v="OUTBOUND_"/>
  </r>
  <r>
    <s v="1052"/>
    <m/>
    <x v="1"/>
    <s v="OUB-W0012507-672"/>
    <s v="EJ-Malang-01"/>
    <s v="Oka-0813-2707-1646"/>
    <d v="2025-07-23T00:00:00"/>
    <d v="1899-12-30T11:14:00"/>
    <s v="EJ-MALANG-01"/>
    <x v="0"/>
    <x v="14"/>
    <s v="ZTE2008"/>
    <s v="Pcs"/>
    <n v="13"/>
    <s v="CLR51-99-108"/>
    <x v="102"/>
    <m/>
    <m/>
    <m/>
    <s v="Riki Romansyah"/>
    <n v="0"/>
    <s v="3507050501950006"/>
    <s v="N 8420 EL"/>
    <m/>
    <m/>
    <s v="KREBET RW 05"/>
    <e v="#N/A"/>
    <e v="#N/A"/>
    <s v="OUTBOUND_"/>
  </r>
  <r>
    <s v="1053"/>
    <m/>
    <x v="1"/>
    <s v="OUB-W0012507-675"/>
    <s v="EJ-Malang-01"/>
    <s v="Oka-0813-2707-1646"/>
    <d v="2025-07-27T00:00:00"/>
    <d v="1899-12-30T19:57:00"/>
    <s v="EJ-MALANG-01"/>
    <x v="0"/>
    <x v="14"/>
    <s v="ZTE2008"/>
    <s v="Pcs"/>
    <n v="16"/>
    <s v="CLR51-99-264"/>
    <x v="172"/>
    <m/>
    <m/>
    <m/>
    <s v="Sifak"/>
    <n v="0"/>
    <s v="3507312107950002"/>
    <s v="N 1046 ABC"/>
    <m/>
    <m/>
    <s v="BULULAWANG RW 07 MALANG"/>
    <e v="#N/A"/>
    <e v="#N/A"/>
    <s v="OUTBOUND_"/>
  </r>
  <r>
    <s v="1054"/>
    <m/>
    <x v="1"/>
    <s v="OUB-W0012508-682"/>
    <s v="EJ-Malang-01"/>
    <s v="Oka-0813-2707-1646"/>
    <d v="2025-08-09T00:00:00"/>
    <d v="1899-12-30T13:22:00"/>
    <s v="EJ-MALANG-01"/>
    <x v="0"/>
    <x v="14"/>
    <s v="ZTE2008"/>
    <s v="Pcs"/>
    <n v="8"/>
    <s v="CLR51-99-249"/>
    <x v="104"/>
    <m/>
    <m/>
    <m/>
    <s v="Sifak"/>
    <n v="0"/>
    <s v="3507312107950002"/>
    <s v="N 1046 ABC"/>
    <m/>
    <m/>
    <s v="PERMANU RW 04 MALANG"/>
    <e v="#N/A"/>
    <e v="#N/A"/>
    <s v="OUTBOUND_"/>
  </r>
  <r>
    <s v="1055"/>
    <m/>
    <x v="1"/>
    <s v="OUB-W0012508-684"/>
    <s v="EJ-Malang-01"/>
    <s v="Oka-0813-2707-1646"/>
    <d v="2025-08-09T00:00:00"/>
    <d v="1899-12-30T20:30:00"/>
    <s v="EJ-MALANG-01"/>
    <x v="0"/>
    <x v="14"/>
    <s v="ZTE2008"/>
    <s v="Pcs"/>
    <n v="10"/>
    <s v="CLR51-99-250"/>
    <x v="103"/>
    <m/>
    <m/>
    <m/>
    <s v="Sifak"/>
    <n v="0"/>
    <s v="3507312107950002"/>
    <s v="N 1046 ABC"/>
    <m/>
    <m/>
    <s v="PERMANU RW 03 MALANG"/>
    <e v="#N/A"/>
    <e v="#N/A"/>
    <s v="OUTBOUND_"/>
  </r>
  <r>
    <s v="1056"/>
    <m/>
    <x v="1"/>
    <s v="OUB-W0012508-687"/>
    <s v="EJ-Malang-01"/>
    <s v="Oka-0813-2707-1646"/>
    <d v="2025-08-16T00:00:00"/>
    <d v="1899-12-30T16:14:00"/>
    <s v="EJ-MALANG-01"/>
    <x v="0"/>
    <x v="14"/>
    <s v="ZTE2008"/>
    <s v="Pcs"/>
    <n v="13"/>
    <s v="CLR51-99-106"/>
    <x v="100"/>
    <m/>
    <m/>
    <m/>
    <s v="Sifak"/>
    <n v="0"/>
    <s v="3507312107950002"/>
    <s v="N 1046 ABC"/>
    <m/>
    <m/>
    <s v="KREBET SENGGRONG RW 04"/>
    <e v="#N/A"/>
    <e v="#N/A"/>
    <s v="OUTBOUND_"/>
  </r>
  <r>
    <s v="1057"/>
    <m/>
    <x v="0"/>
    <s v="INB-W0012508-690"/>
    <s v="EJ-Malang-01"/>
    <s v="Oka-0813-2707-1646"/>
    <d v="2025-08-19T00:00:00"/>
    <d v="1900-01-14T07:00:00"/>
    <s v="ZTE Warehouse"/>
    <x v="0"/>
    <x v="14"/>
    <s v="ZTE2008"/>
    <s v="Pcs"/>
    <n v="19"/>
    <s v="CLR51-99-370"/>
    <x v="105"/>
    <s v="DOEID25081590"/>
    <s v="DNWID1382025081505"/>
    <m/>
    <m/>
    <m/>
    <m/>
    <m/>
    <m/>
    <m/>
    <s v="PERUMAHAN BULULAWANG PERMAI RW 02"/>
    <d v="2025-08-19T00:00:00"/>
    <b v="1"/>
    <s v="OUTBOUND_"/>
  </r>
  <r>
    <s v="1058"/>
    <m/>
    <x v="2"/>
    <s v="TFO-W0012508-692"/>
    <s v="EJ-Malang-01"/>
    <s v="Oka-0813-2707-1646"/>
    <d v="2025-08-21T00:00:00"/>
    <d v="1899-12-30T15:21:00"/>
    <s v="EJ-GRESIK-01"/>
    <x v="0"/>
    <x v="14"/>
    <s v="ZTE2008"/>
    <s v="Pcs"/>
    <n v="6"/>
    <n v="0"/>
    <x v="4"/>
    <m/>
    <m/>
    <m/>
    <s v="Munip"/>
    <n v="0"/>
    <s v="3509090107770266"/>
    <s v="L 1962 QM"/>
    <s v="Janjora"/>
    <m/>
    <s v="Transfer Gudang"/>
    <e v="#N/A"/>
    <e v="#N/A"/>
    <s v="TRANSFER OUT_"/>
  </r>
  <r>
    <s v="1059"/>
    <m/>
    <x v="0"/>
    <s v="INB-W0012508-701"/>
    <s v="EJ-Malang-01"/>
    <s v="Oka-0813-2707-1646"/>
    <d v="2025-08-30T00:00:00"/>
    <d v="1899-12-30T15:31:40"/>
    <s v="ZTE Warehouse"/>
    <x v="0"/>
    <x v="14"/>
    <s v="ZTE2008"/>
    <s v="Pcs"/>
    <n v="19"/>
    <m/>
    <x v="173"/>
    <s v="-"/>
    <s v="-"/>
    <m/>
    <m/>
    <m/>
    <m/>
    <m/>
    <m/>
    <m/>
    <s v="-"/>
    <e v="#N/A"/>
    <e v="#N/A"/>
    <s v="OUTBOUND_"/>
  </r>
  <r>
    <s v="1060"/>
    <m/>
    <x v="0"/>
    <s v="INB-W0012508-702"/>
    <s v="EJ-Malang-01"/>
    <s v="Oka-0813-2707-1646"/>
    <d v="2025-08-31T00:00:00"/>
    <d v="1899-12-30T21:36:25"/>
    <s v="ZTE Warehouse"/>
    <x v="0"/>
    <x v="14"/>
    <s v="ZTE2008"/>
    <s v="Pcs"/>
    <n v="22"/>
    <s v="ADJUSTMENT"/>
    <x v="18"/>
    <m/>
    <m/>
    <m/>
    <m/>
    <m/>
    <m/>
    <m/>
    <s v="ADJUSTMENT"/>
    <m/>
    <s v="ADJUSTMENT"/>
    <e v="#N/A"/>
    <e v="#N/A"/>
    <s v="OUTBOUND_"/>
  </r>
  <r>
    <s v="1061"/>
    <n v="3"/>
    <x v="1"/>
    <s v="OUB-W0012509-005"/>
    <s v="EJ-Malang-01"/>
    <s v="Oka-0813-2707-1646"/>
    <d v="2025-09-16T00:00:00"/>
    <d v="1899-12-30T20:14:57"/>
    <s v="EJ-MALANG-01"/>
    <x v="0"/>
    <x v="14"/>
    <s v="ZTE2008"/>
    <s v="Pcs"/>
    <n v="19"/>
    <s v="CLR51-99-370"/>
    <x v="111"/>
    <s v="DOEID25081590"/>
    <s v="DNWID1382025081505"/>
    <m/>
    <s v="Sifak"/>
    <n v="0"/>
    <s v="3507312107950002"/>
    <s v="N 1046 ABC"/>
    <m/>
    <m/>
    <s v="Perumahan Bululawang Permai RW 02"/>
    <d v="2025-08-19T00:00:00"/>
    <b v="0"/>
    <s v="OUTBOUND_"/>
  </r>
  <r>
    <s v="1062"/>
    <n v="2"/>
    <x v="1"/>
    <s v="OUB-W0012509-004"/>
    <s v="EJ-Malang-01"/>
    <s v="Oka-0813-2707-1646"/>
    <d v="2025-09-16T00:00:00"/>
    <d v="1899-12-30T15:08:11"/>
    <s v="EJ-MALANG-01"/>
    <x v="0"/>
    <x v="14"/>
    <s v="ZTE2008"/>
    <s v="Pcs"/>
    <n v="9"/>
    <s v="CLR51-99-252"/>
    <x v="107"/>
    <s v="DOEID25082611"/>
    <s v="DNWID1382025082607"/>
    <m/>
    <s v="Fatur"/>
    <n v="0"/>
    <s v="3515082712870005"/>
    <s v="W 3265 OH"/>
    <m/>
    <m/>
    <s v="KREBET SENGGRONG RW 03 MALANG"/>
    <d v="2025-08-27T00:00:00"/>
    <b v="0"/>
    <s v="OUTBOUND_"/>
  </r>
  <r>
    <s v="1063"/>
    <n v="3"/>
    <x v="1"/>
    <s v="OUB-W0012509-004"/>
    <s v="EJ-Malang-01"/>
    <s v="Oka-0813-2707-1646"/>
    <d v="2025-09-16T00:00:00"/>
    <d v="1899-12-30T15:09:00"/>
    <s v="EJ-MALANG-01"/>
    <x v="0"/>
    <x v="14"/>
    <s v="ZTE2008"/>
    <s v="Pcs"/>
    <n v="10"/>
    <s v="CLR51-99-103"/>
    <x v="108"/>
    <s v="DOEID25082609"/>
    <s v="DNWID1382025082604"/>
    <m/>
    <s v="Fatur"/>
    <n v="0"/>
    <s v="3515082712870005"/>
    <s v="W 3265 OH"/>
    <m/>
    <m/>
    <s v="KREBET SENGGRONG RW 02 MALANG"/>
    <d v="2025-08-27T00:00:00"/>
    <b v="0"/>
    <s v="OUTBOUND_"/>
  </r>
  <r>
    <s v="1064"/>
    <n v="2"/>
    <x v="1"/>
    <s v="OUB-W0012510-003"/>
    <s v="EJ-Malang-01"/>
    <s v="Oka-0813-2707-1646"/>
    <d v="2025-10-23T00:00:00"/>
    <d v="1899-12-30T14:35:00"/>
    <s v="EJ-MALANG-01"/>
    <x v="0"/>
    <x v="14"/>
    <s v="ZTE2008"/>
    <s v="Pcs"/>
    <n v="17"/>
    <s v="CLR51-99-257"/>
    <x v="150"/>
    <m/>
    <m/>
    <m/>
    <s v="Fahrudin"/>
    <n v="0"/>
    <n v="0"/>
    <s v="N 1383 G"/>
    <m/>
    <m/>
    <s v="Asshofa Residence"/>
    <e v="#N/A"/>
    <e v="#N/A"/>
    <s v="OUTBOUND_"/>
  </r>
  <r>
    <s v="1065"/>
    <n v="6"/>
    <x v="1"/>
    <s v="OUB-W0012510-005"/>
    <s v="EJ-Malang-01"/>
    <s v="Oka-0813-2707-1646"/>
    <d v="2025-10-25T00:00:00"/>
    <d v="1899-12-30T11:00:00"/>
    <s v="EJ-MALANG-01"/>
    <x v="0"/>
    <x v="14"/>
    <s v="ZTE2008"/>
    <s v="Pcs"/>
    <n v="9"/>
    <s v="CLR51-99-301"/>
    <x v="113"/>
    <m/>
    <m/>
    <m/>
    <s v="Riki Romansyah"/>
    <n v="0"/>
    <s v="3507050501950006"/>
    <s v="N 8420 EL"/>
    <m/>
    <m/>
    <s v="MADYOPURO RW 05 MALANG"/>
    <e v="#N/A"/>
    <e v="#N/A"/>
    <s v="OUTBOUND_"/>
  </r>
  <r>
    <s v="1066"/>
    <n v="1"/>
    <x v="0"/>
    <s v="INB-W0012510-005"/>
    <s v="EJ-Malang-01"/>
    <s v="Oka-0813-2707-1646"/>
    <d v="2025-10-26T00:00:00"/>
    <d v="1899-12-30T08:00:00"/>
    <s v="ZTE Warehouse"/>
    <x v="0"/>
    <x v="14"/>
    <s v="ZTE2008"/>
    <s v="Pcs"/>
    <n v="21"/>
    <s v="ADJUSTMENT"/>
    <x v="18"/>
    <m/>
    <m/>
    <m/>
    <m/>
    <m/>
    <m/>
    <m/>
    <s v="ADJUSTMENT"/>
    <m/>
    <s v="ADJUSTMENT"/>
    <e v="#N/A"/>
    <e v="#N/A"/>
    <s v="OUTBOUND_"/>
  </r>
  <r>
    <s v="1067"/>
    <n v="1"/>
    <x v="0"/>
    <s v="INB-W0012510-006"/>
    <s v="EJ-Malang-01"/>
    <s v="Oka-0813-2707-1646"/>
    <d v="2025-10-29T00:00:00"/>
    <d v="1899-12-30T15:31:00"/>
    <s v="ZTE Warehouse"/>
    <x v="0"/>
    <x v="14"/>
    <s v="ZTE2008"/>
    <s v="Pcs"/>
    <n v="32"/>
    <s v="CLR51-99-302"/>
    <x v="112"/>
    <m/>
    <m/>
    <m/>
    <s v="Munip"/>
    <m/>
    <m/>
    <s v="L 1962 QM"/>
    <m/>
    <m/>
    <s v="LESANPURO RW 06 MALANG"/>
    <e v="#N/A"/>
    <e v="#N/A"/>
    <s v="OUTBOUND_"/>
  </r>
  <r>
    <s v="1068"/>
    <n v="2"/>
    <x v="1"/>
    <s v="OUB-W0012510-007"/>
    <s v="EJ-Malang-01"/>
    <s v="Oka-0813-2707-1646"/>
    <d v="2025-10-29T00:00:00"/>
    <d v="1899-12-30T15:31:00"/>
    <s v="EJ-MALANG-01"/>
    <x v="0"/>
    <x v="14"/>
    <s v="ZTE2008"/>
    <s v="Pcs"/>
    <n v="15"/>
    <s v="CLR51-99-302"/>
    <x v="112"/>
    <m/>
    <m/>
    <m/>
    <s v="Fahrudin"/>
    <m/>
    <m/>
    <s v="N1383G"/>
    <m/>
    <m/>
    <s v="LESANPURO RW 06 MALANG"/>
    <e v="#N/A"/>
    <e v="#N/A"/>
    <s v="OUTBOUND_"/>
  </r>
  <r>
    <s v="1069"/>
    <n v="2"/>
    <x v="3"/>
    <s v="TFI-W0012510-006"/>
    <s v="EJ-Malang-01"/>
    <s v="Oka-0813-2707-1646"/>
    <d v="2025-10-29T00:00:00"/>
    <d v="1899-12-30T15:31:00"/>
    <s v="EJ-GRESIK-01"/>
    <x v="0"/>
    <x v="14"/>
    <s v="ZTE2008"/>
    <s v="Pcs"/>
    <n v="18"/>
    <s v="TRF"/>
    <x v="3"/>
    <m/>
    <m/>
    <m/>
    <m/>
    <m/>
    <m/>
    <m/>
    <m/>
    <m/>
    <n v="0"/>
    <e v="#N/A"/>
    <e v="#N/A"/>
    <s v="OUTBOUND_"/>
  </r>
  <r>
    <s v="1070"/>
    <n v="3"/>
    <x v="1"/>
    <s v="OUB-W0012511-004"/>
    <s v="EJ-Malang-01"/>
    <s v="Oka-0813-2707-1646"/>
    <d v="2025-11-17T00:00:00"/>
    <d v="1899-12-30T19:08:00"/>
    <s v="EJ-MALANG-01"/>
    <x v="0"/>
    <x v="14"/>
    <s v="ZTE2008"/>
    <s v="Pcs"/>
    <n v="14"/>
    <s v="CLR51-99-375"/>
    <x v="115"/>
    <s v="DOEID251024K3"/>
    <s v="DNWID1382025102408"/>
    <m/>
    <s v="Sifak"/>
    <s v="Suliadi"/>
    <s v="3507312107950002"/>
    <s v="N 1046 ABC"/>
    <m/>
    <m/>
    <s v="PALAAN RW 06 SAMPAI 10 MALANG"/>
    <d v="2025-10-25T00:00:00"/>
    <b v="0"/>
    <s v="OUTBOUND_"/>
  </r>
  <r>
    <s v="1071"/>
    <n v="4"/>
    <x v="1"/>
    <s v="OUB-W0012511-004"/>
    <s v="EJ-Malang-01"/>
    <s v="Oka-0813-2707-1646"/>
    <d v="2025-11-17T00:00:00"/>
    <d v="1899-12-30T19:08:00"/>
    <s v="EJ-MALANG-01"/>
    <x v="0"/>
    <x v="14"/>
    <s v="ZTE2008"/>
    <s v="Pcs"/>
    <n v="21"/>
    <s v="CLR51-99-372"/>
    <x v="114"/>
    <s v="DOEID251024G5"/>
    <s v="DNWID1382025102406"/>
    <m/>
    <s v="Sifak"/>
    <s v="Suliadi"/>
    <s v="3507312107950002"/>
    <s v="N 1046 ABC"/>
    <m/>
    <m/>
    <s v="PALAAN RW 01 SAMPAI 05 MALANG"/>
    <d v="2025-10-25T00:00:00"/>
    <b v="0"/>
    <s v="OUTBOUND_"/>
  </r>
  <r>
    <s v="1072"/>
    <n v="4"/>
    <x v="3"/>
    <s v="TFI-W0012511-002"/>
    <s v="EJ-Malang-01"/>
    <s v="Oka-0813-2707-1646"/>
    <d v="2025-11-21T00:00:00"/>
    <d v="1899-12-30T08:00:00"/>
    <s v="EJ-Lamongan-01"/>
    <x v="0"/>
    <x v="14"/>
    <s v="ZTE2008"/>
    <s v="Pcs"/>
    <n v="20"/>
    <s v="CLR51-99-372"/>
    <x v="114"/>
    <s v="DOEID251024G5"/>
    <s v="DNWID1382025102406"/>
    <m/>
    <m/>
    <m/>
    <m/>
    <m/>
    <m/>
    <m/>
    <s v="PALAAN RW 01 SAMPAI 05 MALANG"/>
    <d v="2025-10-25T00:00:00"/>
    <b v="0"/>
    <s v="OUTBOUND_"/>
  </r>
  <r>
    <s v="1073"/>
    <n v="5"/>
    <x v="1"/>
    <s v="OUB-W0012511-006"/>
    <s v="EJ-Malang-01"/>
    <s v="Oka-0813-2707-1646"/>
    <d v="2025-11-22T00:00:00"/>
    <d v="1899-12-30T13:00:00"/>
    <s v="EJ-MALANG-01"/>
    <x v="0"/>
    <x v="14"/>
    <s v="ZTE2008"/>
    <s v="Pcs"/>
    <n v="13"/>
    <s v="CLR51-99-375"/>
    <x v="115"/>
    <s v="DOEID251024K3"/>
    <s v="DNWID1382025102408"/>
    <m/>
    <s v="Sifak"/>
    <s v="Suliadi"/>
    <s v="3507312107950002"/>
    <s v="N 1046 ABC"/>
    <m/>
    <m/>
    <s v="PALAAN RW 06 SAMPAI 10 MALANG"/>
    <d v="2025-10-25T00:00:00"/>
    <b v="0"/>
    <s v="OUTBOUND_"/>
  </r>
  <r>
    <s v="1074"/>
    <n v="8"/>
    <x v="0"/>
    <s v="INB-W0012512-001"/>
    <s v="EJ-Malang-01"/>
    <s v="Oka-0813-2707-1646"/>
    <d v="2025-12-12T00:00:00"/>
    <d v="1899-12-30T13:00:00"/>
    <s v="ZTE Warehouse"/>
    <x v="0"/>
    <x v="14"/>
    <s v="ZTE2008"/>
    <s v="Pcs"/>
    <n v="40"/>
    <s v="CLR51-99-381"/>
    <x v="117"/>
    <s v="-"/>
    <s v="-"/>
    <m/>
    <m/>
    <m/>
    <m/>
    <m/>
    <m/>
    <m/>
    <s v="DUSUN ARDIREJO KELURAHAN SIDEREJO MALANG"/>
    <e v="#N/A"/>
    <e v="#N/A"/>
    <s v="OUTBOUND_"/>
  </r>
  <r>
    <s v="1075"/>
    <n v="1"/>
    <x v="1"/>
    <s v="OUB-W0012512-007"/>
    <s v="EJ-Malang-01"/>
    <s v="Oka-0813-2707-1646"/>
    <d v="2025-12-15T00:00:00"/>
    <d v="1899-12-30T16:35:00"/>
    <s v="EJ-MALANG-01"/>
    <x v="0"/>
    <x v="14"/>
    <s v="ZTE2008"/>
    <s v="Pcs"/>
    <n v="24"/>
    <s v="CLR51-99-382"/>
    <x v="116"/>
    <m/>
    <m/>
    <m/>
    <s v="Sifak"/>
    <s v="Suliadi"/>
    <s v="3507312107950002"/>
    <s v="N 1046 ABC"/>
    <m/>
    <m/>
    <s v="DUSUN SIDOAYU KELURAHAN SIDEREJO MALANG"/>
    <e v="#N/A"/>
    <e v="#N/A"/>
    <s v="OUTBOUND_"/>
  </r>
  <r>
    <s v="1076"/>
    <n v="1"/>
    <x v="3"/>
    <s v="TFI-W0012512-001"/>
    <s v="EJ-Malang-01"/>
    <s v="Oka-0813-2707-1646"/>
    <d v="2025-12-16T00:00:00"/>
    <d v="1899-12-30T08:00:00"/>
    <s v="EJ-MALANG-01"/>
    <x v="0"/>
    <x v="14"/>
    <s v="ZTE2008"/>
    <s v="Pcs"/>
    <n v="60"/>
    <m/>
    <x v="3"/>
    <m/>
    <m/>
    <m/>
    <m/>
    <m/>
    <m/>
    <m/>
    <m/>
    <m/>
    <n v="0"/>
    <e v="#N/A"/>
    <e v="#N/A"/>
    <s v="OUTBOUND_"/>
  </r>
  <r>
    <s v="1077"/>
    <n v="1"/>
    <x v="1"/>
    <s v="OUB-W0012512-010"/>
    <s v="EJ-Malang-01"/>
    <s v="Oka-0813-2707-1646"/>
    <d v="2025-12-17T00:00:00"/>
    <d v="1899-12-30T16:35:00"/>
    <s v="EJ-MALANG-01"/>
    <x v="0"/>
    <x v="14"/>
    <s v="ZTE2008"/>
    <s v="Pcs"/>
    <n v="16"/>
    <s v="CLR51-99-382"/>
    <x v="116"/>
    <m/>
    <m/>
    <m/>
    <s v="Sifak"/>
    <s v="Suliadi"/>
    <s v="3507312107950002"/>
    <s v="N 1046 ABC"/>
    <m/>
    <m/>
    <s v="DUSUN SIDOAYU KELURAHAN SIDEREJO MALANG"/>
    <e v="#N/A"/>
    <e v="#N/A"/>
    <s v="OUTBOUND_"/>
  </r>
  <r>
    <s v="1078"/>
    <n v="2"/>
    <x v="0"/>
    <s v="INB-W0012512-007"/>
    <s v="EJ-Malang-01"/>
    <s v="Oka-0813-2707-1646"/>
    <d v="2025-12-18T00:00:00"/>
    <d v="1899-12-30T13:00:00"/>
    <s v="ZTE Warehouse"/>
    <x v="0"/>
    <x v="14"/>
    <s v="ZTE2008"/>
    <s v="Pcs"/>
    <n v="110"/>
    <m/>
    <x v="3"/>
    <m/>
    <m/>
    <m/>
    <m/>
    <m/>
    <m/>
    <m/>
    <m/>
    <m/>
    <n v="0"/>
    <e v="#N/A"/>
    <e v="#N/A"/>
    <s v="OUTBOUND_"/>
  </r>
  <r>
    <s v="1079"/>
    <n v="1"/>
    <x v="1"/>
    <s v="OUB-W0012512-012"/>
    <s v="EJ-Malang-01"/>
    <s v="Oka-0813-2707-1646"/>
    <d v="2025-12-18T00:00:00"/>
    <d v="1899-12-30T16:35:00"/>
    <s v="EJ-MALANG-01"/>
    <x v="0"/>
    <x v="14"/>
    <s v="ZTE2008"/>
    <s v="Pcs"/>
    <n v="39"/>
    <s v="CLR51-99-382"/>
    <x v="116"/>
    <m/>
    <m/>
    <m/>
    <s v="Sifak"/>
    <s v="Suliadi"/>
    <s v="3507312107950002"/>
    <s v="N 1046 ABC"/>
    <m/>
    <m/>
    <s v="DUSUN SIDOAYU KELURAHAN SIDEREJO MALANG"/>
    <e v="#N/A"/>
    <e v="#N/A"/>
    <s v="OUTBOUND_"/>
  </r>
  <r>
    <s v="1080"/>
    <n v="5"/>
    <x v="1"/>
    <s v="OUB-W0012512-016"/>
    <s v="EJ-Malang-01"/>
    <s v="Oka-0813-2707-1646"/>
    <d v="2025-12-21T00:00:00"/>
    <d v="1899-12-30T08:00:00"/>
    <s v="EJ-MALANG-01"/>
    <x v="0"/>
    <x v="14"/>
    <s v="ZTE2008"/>
    <s v="Pcs"/>
    <n v="32"/>
    <s v="CLR51-99-381"/>
    <x v="117"/>
    <m/>
    <m/>
    <m/>
    <s v="Sifak"/>
    <s v="Suliadi"/>
    <s v="3507312107950002"/>
    <s v="N 1046 ABC"/>
    <m/>
    <m/>
    <s v="DUSUN ARDIREJO KELURAHAN SIDEREJO MALANG"/>
    <e v="#N/A"/>
    <e v="#N/A"/>
    <s v="OUTBOUND_"/>
  </r>
  <r>
    <s v="1081"/>
    <n v="1"/>
    <x v="1"/>
    <s v="OUB-W0012512-021"/>
    <s v="EJ-Malang-01"/>
    <s v="Oka-0813-2707-1646"/>
    <d v="2025-12-23T00:00:00"/>
    <d v="1899-12-30T15:00:00"/>
    <s v="EJ-MALANG-01"/>
    <x v="0"/>
    <x v="14"/>
    <s v="ZTE2008"/>
    <s v="Pcs"/>
    <n v="32"/>
    <s v="CLR51-99-381"/>
    <x v="117"/>
    <m/>
    <m/>
    <m/>
    <s v="Sifak"/>
    <s v="Suliadi"/>
    <s v="3507312107950002"/>
    <s v="N 1046 ABC"/>
    <m/>
    <m/>
    <s v="DUSUN ARDIREJO KELURAHAN SIDEREJO MALANG"/>
    <e v="#N/A"/>
    <e v="#N/A"/>
    <s v="OUTBOUND_"/>
  </r>
  <r>
    <s v="1082"/>
    <n v="1"/>
    <x v="1"/>
    <s v="OUB-W0012512-023"/>
    <s v="EJ-Malang-01"/>
    <s v="Oka-0813-2707-1646"/>
    <d v="2025-12-24T00:00:00"/>
    <d v="1899-12-30T16:35:00"/>
    <s v="EJ-MALANG-01"/>
    <x v="0"/>
    <x v="14"/>
    <s v="ZTE2008"/>
    <s v="Pcs"/>
    <n v="27"/>
    <s v="CLR51-99-381"/>
    <x v="117"/>
    <m/>
    <m/>
    <m/>
    <s v="Sifak"/>
    <s v="Suliadi"/>
    <s v="3507312107950002"/>
    <s v="N 1046 ABC"/>
    <m/>
    <m/>
    <s v="DUSUN ARDIREJO KELURAHAN SIDEREJO MALANG"/>
    <e v="#N/A"/>
    <e v="#N/A"/>
    <s v="OUTBOUND_"/>
  </r>
  <r>
    <s v="1083"/>
    <n v="1"/>
    <x v="1"/>
    <s v="OUB-W0012512-024"/>
    <s v="EJ-Malang-01"/>
    <s v="Oka-0813-2707-1646"/>
    <d v="2025-12-25T00:00:00"/>
    <d v="1899-12-30T12:13:00"/>
    <s v="EJ-MALANG-01"/>
    <x v="0"/>
    <x v="14"/>
    <s v="ZTE2008"/>
    <s v="Pcs"/>
    <n v="26"/>
    <s v="CLR51-99-381"/>
    <x v="117"/>
    <m/>
    <m/>
    <m/>
    <s v="Sifak"/>
    <s v="Suliadi"/>
    <s v="3507312107950002"/>
    <s v="N 1046 ABC"/>
    <m/>
    <m/>
    <s v="DUSUN ARDIREJO KELURAHAN SIDEREJO MALANG"/>
    <e v="#N/A"/>
    <e v="#N/A"/>
    <s v="OUTBOUND_"/>
  </r>
  <r>
    <s v="1084"/>
    <n v="4"/>
    <x v="0"/>
    <s v="INB-W0012601-001"/>
    <s v="EJ-Malang-01"/>
    <s v="Oka-0813-2707-1646"/>
    <d v="2026-01-19T00:00:00"/>
    <d v="1899-12-30T06:02:00"/>
    <s v="ZTE Warehouse"/>
    <x v="0"/>
    <x v="14"/>
    <s v="ZTE2008"/>
    <s v="Pcs"/>
    <n v="13"/>
    <s v="CLR44-99-155"/>
    <x v="125"/>
    <s v="DOEID260115MQ"/>
    <s v="DNWID1382026011602"/>
    <m/>
    <s v="Riki Romansyah"/>
    <s v="Suliadi"/>
    <s v="3507050501950006"/>
    <s v="N 8420 EL"/>
    <m/>
    <m/>
    <s v="KEBONAGUNG RW 06 PAKISAJI"/>
    <d v="2026-01-19T00:00:00"/>
    <b v="1"/>
    <s v="OUTBOUND_"/>
  </r>
  <r>
    <s v="1085"/>
    <n v="5"/>
    <x v="0"/>
    <s v="INB-W0012601-001"/>
    <s v="EJ-Malang-01"/>
    <s v="Oka-0813-2707-1646"/>
    <d v="2026-01-19T00:00:00"/>
    <d v="1899-12-30T06:02:00"/>
    <s v="ZTE Warehouse"/>
    <x v="0"/>
    <x v="14"/>
    <s v="ZTE2008"/>
    <s v="Pcs"/>
    <n v="15"/>
    <s v="CLR51-99-196"/>
    <x v="124"/>
    <s v="DOEID260115MP"/>
    <s v="DNWID1382026011601"/>
    <m/>
    <s v="Riki Romansyah"/>
    <s v="Suliadi"/>
    <s v="3507050501950006"/>
    <s v="N 8420 EL"/>
    <m/>
    <m/>
    <s v="Griya Kebon Agung Indah"/>
    <d v="2026-01-19T00:00:00"/>
    <b v="1"/>
    <s v="OUTBOUND_"/>
  </r>
  <r>
    <s v="1086"/>
    <n v="1"/>
    <x v="1"/>
    <s v="OUB-W0012601-004"/>
    <s v="EJ-Malang-01"/>
    <s v="Oka-0813-2707-1646"/>
    <d v="2026-01-23T00:00:00"/>
    <d v="1899-12-30T16:35:00"/>
    <s v="EJ-MALANG-01"/>
    <x v="0"/>
    <x v="14"/>
    <s v="ZTE2008"/>
    <s v="Pcs"/>
    <n v="27"/>
    <s v="CLR44-99-155"/>
    <x v="125"/>
    <s v="DOEID260115MQ"/>
    <s v="DNWID1382026011602"/>
    <m/>
    <s v="Sifak"/>
    <s v="Suliadi"/>
    <s v="3507312107950002"/>
    <s v="N 1969 FF"/>
    <m/>
    <m/>
    <s v="KEBONAGUNG RW 06 PAKISAJI"/>
    <d v="2026-01-19T00:00:00"/>
    <b v="0"/>
    <s v="OUTBOUND_"/>
  </r>
  <r>
    <s v="1087"/>
    <n v="4"/>
    <x v="0"/>
    <s v="INB-W0012603-002"/>
    <s v="EJ-Malang-01"/>
    <s v="Oka-0813-2707-1646"/>
    <d v="2026-03-06T00:00:00"/>
    <d v="1899-12-30T19:00:00"/>
    <s v="ZTE Warehouse"/>
    <x v="0"/>
    <x v="14"/>
    <s v="ZTE2008"/>
    <s v="Pcs"/>
    <n v="21"/>
    <s v="CLR51-99-385"/>
    <x v="126"/>
    <s v="DOEID26030644"/>
    <s v="DNWID1382026030605"/>
    <m/>
    <m/>
    <m/>
    <m/>
    <m/>
    <m/>
    <m/>
    <s v="LESANPURO RW 01 MALANG"/>
    <d v="2026-03-06T00:00:00"/>
    <b v="1"/>
    <s v="OUTBOUND_"/>
  </r>
  <r>
    <s v="1088"/>
    <n v="4"/>
    <x v="1"/>
    <s v="OUB-W0012603-002"/>
    <s v="EJ-Malang-01"/>
    <s v="Oka-0813-2707-1646"/>
    <d v="2026-03-09T00:00:00"/>
    <d v="1899-12-30T19:00:00"/>
    <s v="EJ-MALANG-01"/>
    <x v="0"/>
    <x v="14"/>
    <s v="ZTE2008"/>
    <s v="Pcs"/>
    <n v="21"/>
    <s v="CLR51-99-385"/>
    <x v="126"/>
    <m/>
    <m/>
    <m/>
    <s v="Fatur"/>
    <s v="Suliadi"/>
    <s v="3515082712870005"/>
    <s v="W 3265 OH"/>
    <m/>
    <m/>
    <s v="LESANPURO RW 01 MALANG"/>
    <e v="#N/A"/>
    <e v="#N/A"/>
    <s v="OUTBOUND_"/>
  </r>
  <r>
    <s v="1089"/>
    <n v="2"/>
    <x v="1"/>
    <s v="OUB-W0012603-005"/>
    <s v="EJ-Malang-01"/>
    <s v="Oka-0813-2707-1646"/>
    <d v="2026-03-15T00:00:00"/>
    <d v="1899-12-30T19:00:00"/>
    <s v="EJ-MALANG-01"/>
    <x v="0"/>
    <x v="14"/>
    <s v="ZTE2008"/>
    <s v="Pcs"/>
    <n v="14"/>
    <s v="CLR51-99-447"/>
    <x v="127"/>
    <m/>
    <m/>
    <m/>
    <s v="Fatur"/>
    <s v="Suliadi"/>
    <s v="3515082712870005"/>
    <s v="W 3265 OH"/>
    <m/>
    <m/>
    <s v="SEKARPURO RW 05 MALANG"/>
    <e v="#N/A"/>
    <e v="#N/A"/>
    <s v="OUTBOUND_"/>
  </r>
  <r>
    <s v="1090"/>
    <n v="2"/>
    <x v="0"/>
    <s v="INB-W0012603-004"/>
    <s v="EJ-Malang-01"/>
    <s v="Oka-0813-2707-1646"/>
    <d v="2026-03-16T00:00:00"/>
    <d v="1899-12-30T19:00:00"/>
    <s v="ZTE Warehouse"/>
    <x v="0"/>
    <x v="14"/>
    <s v="ZTE2008"/>
    <s v="Pcs"/>
    <n v="3"/>
    <s v="CLR51-99-447"/>
    <x v="127"/>
    <m/>
    <m/>
    <m/>
    <m/>
    <m/>
    <m/>
    <m/>
    <m/>
    <m/>
    <s v="SEKARPURO RW 05 MALANG"/>
    <e v="#N/A"/>
    <e v="#N/A"/>
    <s v="OUTBOUND_"/>
  </r>
  <r>
    <s v="1091"/>
    <n v="1"/>
    <x v="0"/>
    <s v="INB-W0012604-001"/>
    <s v="EJ-Malang-01"/>
    <s v="Oka-0813-2707-1646"/>
    <d v="2026-04-22T00:00:00"/>
    <d v="1899-12-30T06:00:00"/>
    <s v="ZTE Warehouse"/>
    <x v="0"/>
    <x v="14"/>
    <s v="ZTE2008"/>
    <s v="Pcs"/>
    <n v="17"/>
    <s v="ADJUSTMENT"/>
    <x v="18"/>
    <m/>
    <m/>
    <m/>
    <m/>
    <m/>
    <m/>
    <m/>
    <s v="ADJUSTMENT"/>
    <m/>
    <s v="ADJUSTMENT"/>
    <e v="#N/A"/>
    <e v="#N/A"/>
    <s v="OUTBOUND_"/>
  </r>
  <r>
    <s v="1092"/>
    <n v="1"/>
    <x v="1"/>
    <s v="OUB-W0012603-005"/>
    <s v="EJ-Malang-01"/>
    <s v="Oka-0813-2707-1646"/>
    <d v="2026-04-22T00:00:00"/>
    <d v="1899-12-30T14:00:00"/>
    <s v="EJ-MALANG-01"/>
    <x v="0"/>
    <x v="14"/>
    <s v="ZTE2008"/>
    <s v="Pcs"/>
    <n v="14"/>
    <s v="CLR51-99-445"/>
    <x v="129"/>
    <m/>
    <m/>
    <m/>
    <s v="Fatur"/>
    <s v="Suliadi"/>
    <s v="3515082712870005"/>
    <s v="W 3265 OH"/>
    <m/>
    <m/>
    <s v="SEKARPURO RW 04 MALANG"/>
    <e v="#N/A"/>
    <e v="#N/A"/>
    <s v="OUTBOUND_"/>
  </r>
  <r>
    <s v="1093"/>
    <n v="2"/>
    <x v="1"/>
    <s v="OUB-W0012605-001"/>
    <s v="EJ-Malang-01"/>
    <s v="Oka-0813-2707-1646"/>
    <d v="2026-05-11T00:00:00"/>
    <d v="1899-12-30T18:18:00"/>
    <s v="EJ-MALANG-01"/>
    <x v="0"/>
    <x v="14"/>
    <s v="ZTE2008"/>
    <s v="Pcs"/>
    <n v="7"/>
    <s v="CLR51-99-506"/>
    <x v="130"/>
    <m/>
    <m/>
    <m/>
    <s v="Fatur"/>
    <s v="Suliadi"/>
    <s v="3515082712870005"/>
    <s v="W 3265 OH"/>
    <m/>
    <m/>
    <s v="WONOKOYO RW 05 KEDUNGKANDANG"/>
    <e v="#N/A"/>
    <e v="#N/A"/>
    <s v="OUTBOUND_"/>
  </r>
  <r>
    <s v="1094"/>
    <n v="1"/>
    <x v="0"/>
    <s v="INB-W0012605-002"/>
    <s v="EJ-Malang-01"/>
    <s v="Oka-0813-2707-1646"/>
    <d v="2026-05-22T00:00:00"/>
    <d v="1899-12-30T17:49:00"/>
    <s v="ZTE Warehouse"/>
    <x v="0"/>
    <x v="14"/>
    <s v="ZTE2008"/>
    <s v="Pcs"/>
    <n v="11"/>
    <s v="CLR51-99-658"/>
    <x v="131"/>
    <s v="DOEID260522B7"/>
    <n v="0"/>
    <m/>
    <m/>
    <m/>
    <m/>
    <m/>
    <m/>
    <m/>
    <s v="SUMBERSEKAR RT 07 RW 04 MALANG"/>
    <d v="2026-05-22T00:00:00"/>
    <b v="1"/>
    <s v="OUTBOUND_"/>
  </r>
  <r>
    <s v="1095"/>
    <n v="1"/>
    <x v="1"/>
    <s v="OUB-W0012605-002"/>
    <s v="EJ-Malang-01"/>
    <s v="Oka-0813-2707-1646"/>
    <d v="2026-05-23T00:00:00"/>
    <d v="1899-12-30T17:49:00"/>
    <s v="EJ-MALANG-01"/>
    <x v="0"/>
    <x v="14"/>
    <s v="ZTE2008"/>
    <s v="Pcs"/>
    <n v="11"/>
    <s v="CLR51-99-658"/>
    <x v="131"/>
    <m/>
    <m/>
    <m/>
    <s v="Sifak"/>
    <s v="Suliadi"/>
    <s v="3507312107950002"/>
    <s v="N 1969 FF"/>
    <m/>
    <m/>
    <s v="SUMBERSEKAR RT 07 RW 04 MALANG"/>
    <e v="#N/A"/>
    <e v="#N/A"/>
    <s v="OUTBOUND_"/>
  </r>
  <r>
    <s v="1096"/>
    <n v="1"/>
    <x v="0"/>
    <s v="INB-W0012606-001"/>
    <s v="EJ-Malang-01"/>
    <s v="Oka-0813-2707-1646"/>
    <d v="2026-06-18T00:00:00"/>
    <d v="1899-12-30T06:00:00"/>
    <s v="ZTE Warehouse"/>
    <x v="0"/>
    <x v="14"/>
    <s v="ZTE2008"/>
    <s v="Pcs"/>
    <n v="25"/>
    <s v="CLR51-99-483"/>
    <x v="132"/>
    <s v="DOEID26052978"/>
    <n v="0"/>
    <m/>
    <m/>
    <m/>
    <m/>
    <m/>
    <m/>
    <m/>
    <s v="RANDUANGUNG RW 04 SINGOSARI MALANG"/>
    <d v="2026-06-18T00:00:00"/>
    <b v="1"/>
    <s v="OUTBOUND_"/>
  </r>
  <r>
    <s v="1097"/>
    <m/>
    <x v="1"/>
    <s v="OUB-W0012606-003"/>
    <s v="EJ-Malang-01"/>
    <s v="Oka-0813-2707-1647"/>
    <d v="2026-06-23T00:00:00"/>
    <d v="1899-12-30T09:00:00"/>
    <s v="EJ-MALANG-01"/>
    <x v="0"/>
    <x v="14"/>
    <s v="ZTE2008"/>
    <s v="Pcs"/>
    <n v="24"/>
    <s v="CLR51-99-483"/>
    <x v="132"/>
    <m/>
    <m/>
    <m/>
    <s v="Rangga"/>
    <s v="Suliadi"/>
    <s v="3507312107950002"/>
    <s v="N 1969 FF"/>
    <m/>
    <m/>
    <s v="RANDUANGUNG RW 04 SINGOSARI MALANG"/>
    <e v="#N/A"/>
    <e v="#N/A"/>
    <s v="OUTBOUND_"/>
  </r>
  <r>
    <s v="1098"/>
    <n v="2"/>
    <x v="0"/>
    <s v="INB-W0012606-002"/>
    <s v="EJ-Malang-01"/>
    <s v="Oka-0813-2707-1646"/>
    <d v="2026-06-27T00:00:00"/>
    <d v="1899-12-30T06:00:00"/>
    <s v="ZTE Warehouse"/>
    <x v="0"/>
    <x v="14"/>
    <s v="ZTE2008"/>
    <s v="Pcs"/>
    <n v="19"/>
    <s v="CLR51-99-678"/>
    <x v="133"/>
    <s v="DOEID26062559"/>
    <n v="0"/>
    <m/>
    <m/>
    <m/>
    <m/>
    <m/>
    <m/>
    <m/>
    <s v="KAMBINGAN RW 04 MALANG"/>
    <d v="2026-06-27T00:00:00"/>
    <b v="1"/>
    <s v="OUTBOUND_"/>
  </r>
  <r>
    <s v="1099"/>
    <m/>
    <x v="1"/>
    <s v="OUB-W0012607-001"/>
    <s v="EJ-Malang-01"/>
    <s v="Oka-0813-2707-1646"/>
    <d v="2026-07-03T00:00:00"/>
    <d v="1899-12-30T06:00:00"/>
    <s v="EJ-MALANG-01"/>
    <x v="0"/>
    <x v="14"/>
    <s v="ZTE2008"/>
    <s v="Pcs"/>
    <n v="10"/>
    <s v="CLR51-99-678"/>
    <x v="133"/>
    <m/>
    <m/>
    <m/>
    <s v="Fatur"/>
    <s v="Suliadi"/>
    <s v="3515082712870005"/>
    <s v="W 3265 OH"/>
    <m/>
    <m/>
    <s v="KAMBINGAN RW 04 MALANG"/>
    <e v="#N/A"/>
    <e v="#N/A"/>
    <s v="OUTBOUND_"/>
  </r>
  <r>
    <s v="1100"/>
    <m/>
    <x v="1"/>
    <s v="OUB-W0012607-002"/>
    <s v="EJ-Malang-01"/>
    <s v="Oka-0813-2707-1646"/>
    <d v="2026-07-04T00:00:00"/>
    <d v="1899-12-30T06:00:00"/>
    <s v="EJ-MALANG-01"/>
    <x v="0"/>
    <x v="14"/>
    <s v="ZTE2008"/>
    <s v="Pcs"/>
    <n v="8"/>
    <s v="CLR51-99-678"/>
    <x v="133"/>
    <m/>
    <m/>
    <m/>
    <s v="Fatur"/>
    <s v="Suliadi"/>
    <s v="3515082712870005"/>
    <s v="W 3265 OH"/>
    <m/>
    <m/>
    <s v="KAMBINGAN RW 04 MALANG"/>
    <e v="#N/A"/>
    <e v="#N/A"/>
    <s v="OUTBOUND_"/>
  </r>
  <r>
    <s v="1101"/>
    <m/>
    <x v="0"/>
    <s v="INB-W0012607-001"/>
    <s v="EJ-Malang-01"/>
    <s v="Oka-0813-2707-1646"/>
    <d v="2026-07-09T00:00:00"/>
    <d v="1899-12-30T06:00:00"/>
    <s v="ZTE Warehouse"/>
    <x v="0"/>
    <x v="14"/>
    <s v="ZTE2008"/>
    <s v="Pcs"/>
    <n v="9"/>
    <s v="CLR51-99-662"/>
    <x v="134"/>
    <s v="DOEID260708AM"/>
    <s v="DNWID0362026070821"/>
    <m/>
    <m/>
    <m/>
    <m/>
    <m/>
    <m/>
    <m/>
    <s v="KESATRIAN RW 09 MALANG"/>
    <d v="2026-07-09T00:00:00"/>
    <b v="1"/>
    <s v="OUTBOUND_"/>
  </r>
  <r>
    <s v="1102"/>
    <m/>
    <x v="1"/>
    <s v="OUB-W0012607-005"/>
    <s v="EJ-Malang-01"/>
    <s v="Oka-0813-2707-1646"/>
    <d v="2026-07-15T00:00:00"/>
    <d v="1899-12-30T06:00:00"/>
    <s v="EJ-MALANG-01"/>
    <x v="0"/>
    <x v="14"/>
    <s v="ZTE2008"/>
    <s v="Pcs"/>
    <n v="15"/>
    <s v="CLR51-99-662"/>
    <x v="134"/>
    <m/>
    <m/>
    <m/>
    <s v="Riki Romansyah"/>
    <s v="Suliadi"/>
    <s v="3507050501950006"/>
    <s v="N 8420 EL"/>
    <m/>
    <m/>
    <s v="KESATRIAN RW 09 MALANG"/>
    <e v="#N/A"/>
    <e v="#N/A"/>
    <s v="OUTBOUND_"/>
  </r>
  <r>
    <s v="1103"/>
    <m/>
    <x v="0"/>
    <s v="INB-W0012402-226"/>
    <s v="EJ-Malang-01"/>
    <s v="Oka-0813-2707-1646"/>
    <d v="2024-02-15T00:00:00"/>
    <d v="1900-01-14T07:00:00"/>
    <s v="ZTE Warehouse"/>
    <x v="0"/>
    <x v="15"/>
    <s v="GCI2013"/>
    <s v="Pcs"/>
    <n v="2"/>
    <s v="CLR51-99-083"/>
    <x v="169"/>
    <m/>
    <m/>
    <m/>
    <m/>
    <m/>
    <m/>
    <m/>
    <m/>
    <m/>
    <s v="Dengkol RW 03 Singosari Malang"/>
    <e v="#N/A"/>
    <e v="#N/A"/>
    <s v="OUTBOUND_"/>
  </r>
  <r>
    <s v="1104"/>
    <m/>
    <x v="0"/>
    <s v="INB-W0012402-226"/>
    <s v="EJ-Malang-01"/>
    <s v="Oka-0813-2707-1646"/>
    <d v="2024-02-15T00:00:00"/>
    <d v="1900-01-14T07:00:00"/>
    <s v="ZTE Warehouse"/>
    <x v="0"/>
    <x v="15"/>
    <s v="GCI2013"/>
    <s v="Pcs"/>
    <n v="3"/>
    <s v="CLR51-99-082"/>
    <x v="152"/>
    <m/>
    <m/>
    <m/>
    <m/>
    <m/>
    <m/>
    <m/>
    <m/>
    <m/>
    <s v="Dengkol RW 02 Singosari Malang"/>
    <e v="#N/A"/>
    <e v="#N/A"/>
    <s v="OUTBOUND_"/>
  </r>
  <r>
    <s v="1105"/>
    <m/>
    <x v="0"/>
    <s v="INB-W0012402-226"/>
    <s v="EJ-Malang-01"/>
    <s v="Oka-0813-2707-1646"/>
    <d v="2024-02-15T00:00:00"/>
    <d v="1900-01-14T07:00:00"/>
    <s v="ZTE Warehouse"/>
    <x v="0"/>
    <x v="15"/>
    <s v="GCI2013"/>
    <s v="Pcs"/>
    <n v="45"/>
    <s v="CLR51-99-078"/>
    <x v="1"/>
    <m/>
    <m/>
    <m/>
    <m/>
    <m/>
    <m/>
    <m/>
    <m/>
    <m/>
    <s v="Bumiayu RW 03 Kedungkandang"/>
    <e v="#N/A"/>
    <e v="#N/A"/>
    <s v="OUTBOUND_"/>
  </r>
  <r>
    <s v="1106"/>
    <m/>
    <x v="1"/>
    <s v="OUB-W0012402-246"/>
    <s v="EJ-Malang-01"/>
    <s v="Oka-0813-2707-1646"/>
    <d v="2024-02-23T00:00:00"/>
    <d v="1899-12-30T19:07:00"/>
    <s v="EJ-MALANG-01"/>
    <x v="0"/>
    <x v="15"/>
    <s v="GCI2013"/>
    <s v="Pcs"/>
    <n v="22"/>
    <s v="CLR51-99-078"/>
    <x v="1"/>
    <m/>
    <m/>
    <m/>
    <s v="Fatur"/>
    <s v="Febby Supplier"/>
    <s v="3515082712870005"/>
    <s v="W 1130 NQ"/>
    <m/>
    <m/>
    <s v="Bumiayu RW 03 Kedungkandang"/>
    <e v="#N/A"/>
    <e v="#N/A"/>
    <s v="OUTBOUND_"/>
  </r>
  <r>
    <s v="1107"/>
    <m/>
    <x v="1"/>
    <s v="OUB-W0012402-258"/>
    <s v="EJ-Malang-01"/>
    <s v="Oka-0813-2707-1646"/>
    <d v="2024-02-29T00:00:00"/>
    <d v="1899-12-30T13:20:00"/>
    <s v="EJ-MALANG-01"/>
    <x v="0"/>
    <x v="15"/>
    <s v="GCI2013"/>
    <s v="Pcs"/>
    <n v="22"/>
    <s v="CLR51-99-079"/>
    <x v="2"/>
    <m/>
    <m/>
    <m/>
    <s v="Fatur"/>
    <s v="Febby Supplier"/>
    <s v="3515082712870005"/>
    <s v="W 1130 NQ"/>
    <m/>
    <m/>
    <s v="Bumiayu RW 05 Kedungkandang"/>
    <e v="#N/A"/>
    <e v="#N/A"/>
    <s v="OUTBOUND_"/>
  </r>
  <r>
    <s v="1108"/>
    <m/>
    <x v="2"/>
    <s v="TFO-W0012404-320"/>
    <s v="EJ-Malang-01"/>
    <s v="Oka-0813-2707-1646"/>
    <d v="2024-04-24T00:00:00"/>
    <d v="1899-12-30T10:00:00"/>
    <s v="EJ-GRESIK-01"/>
    <x v="0"/>
    <x v="15"/>
    <s v="GCI2013"/>
    <s v="Pcs"/>
    <n v="6"/>
    <s v="TRF"/>
    <x v="4"/>
    <m/>
    <m/>
    <m/>
    <s v="Munip"/>
    <n v="0"/>
    <s v="3509090107770266"/>
    <s v="L 1962 QM"/>
    <m/>
    <m/>
    <s v="Transfer Gudang"/>
    <e v="#N/A"/>
    <e v="#N/A"/>
    <s v="TRANSFER OUT_"/>
  </r>
  <r>
    <s v="1109"/>
    <n v="4"/>
    <x v="0"/>
    <s v="INB-W0012308-1"/>
    <s v="EJ-Malang-01"/>
    <s v="Oka-0813-2707-1646"/>
    <d v="2023-08-04T00:00:00"/>
    <d v="1900-01-14T07:00:00"/>
    <s v="ZTE Warehouse"/>
    <x v="0"/>
    <x v="16"/>
    <s v="ZTE2005"/>
    <s v="Pcs"/>
    <n v="1"/>
    <s v="CLR51-99-004"/>
    <x v="19"/>
    <s v="DOEID23080182"/>
    <s v="DNWID0342023080312"/>
    <m/>
    <m/>
    <m/>
    <m/>
    <m/>
    <m/>
    <m/>
    <s v="Perumahan Bumi Podo Rukun Dau"/>
    <d v="2023-08-04T00:00:00"/>
    <b v="1"/>
    <s v="OUTBOUND_"/>
  </r>
  <r>
    <s v="1110"/>
    <m/>
    <x v="1"/>
    <s v="OUB-W0012308-8"/>
    <s v="EJ-Malang-01"/>
    <s v="Oka-0813-2707-1646"/>
    <d v="2023-08-11T00:00:00"/>
    <d v="1900-01-14T14:52:24"/>
    <s v="EJ-MALANG-01"/>
    <x v="0"/>
    <x v="16"/>
    <s v="ZTE2005"/>
    <s v="Pcs"/>
    <n v="1"/>
    <s v="CLR51-99-004"/>
    <x v="19"/>
    <m/>
    <m/>
    <m/>
    <s v="Mohammad Febbi H"/>
    <s v="Febby Supplier"/>
    <s v="3524052002930003"/>
    <s v="B 1480 BVG"/>
    <m/>
    <m/>
    <s v="Perumahan Bumi Podo Rukun Dau"/>
    <e v="#N/A"/>
    <e v="#N/A"/>
    <s v="OUTBOUND_"/>
  </r>
  <r>
    <s v="1111"/>
    <m/>
    <x v="0"/>
    <s v="INB-W0012309-15"/>
    <s v="EJ-Malang-01"/>
    <s v="Oka-0813-2707-1646"/>
    <d v="2023-09-01T00:00:00"/>
    <d v="1900-01-14T07:00:00"/>
    <s v="ZTE Warehouse"/>
    <x v="0"/>
    <x v="16"/>
    <s v="ZTE2005"/>
    <s v="Pcs"/>
    <n v="1"/>
    <s v="CLR51-99-006"/>
    <x v="23"/>
    <s v="DOEID23082835"/>
    <s v="DNWID0342023082902"/>
    <m/>
    <m/>
    <m/>
    <m/>
    <m/>
    <m/>
    <m/>
    <s v="Mulyorejo RW 04 Sukun"/>
    <d v="2023-09-01T00:00:00"/>
    <b v="1"/>
    <s v="OUTBOUND_"/>
  </r>
  <r>
    <s v="1112"/>
    <m/>
    <x v="1"/>
    <s v="OUB-W0012309-28"/>
    <s v="EJ-Malang-01"/>
    <s v="Oka-0813-2707-1646"/>
    <d v="2023-09-10T00:00:00"/>
    <d v="1899-12-30T09:09:00"/>
    <s v="EJ-MALANG-01"/>
    <x v="0"/>
    <x v="16"/>
    <s v="ZTE2005"/>
    <s v="Pcs"/>
    <n v="1"/>
    <s v="CLR51-99-006"/>
    <x v="23"/>
    <m/>
    <m/>
    <m/>
    <s v="Wisda Aqsa Fatwa"/>
    <s v="Febby Supplier"/>
    <s v="3515110909990007"/>
    <s v="N 8431 TD"/>
    <m/>
    <m/>
    <s v="Mulyorejo RW 04 Sukun"/>
    <e v="#N/A"/>
    <e v="#N/A"/>
    <s v="OUTBOUND_"/>
  </r>
  <r>
    <s v="1113"/>
    <m/>
    <x v="0"/>
    <s v="INB-W0012309-31"/>
    <s v="EJ-Malang-01"/>
    <s v="Oka-0813-2707-1646"/>
    <d v="2023-09-19T00:00:00"/>
    <d v="1900-01-14T07:00:00"/>
    <s v="ZTE Warehouse"/>
    <x v="0"/>
    <x v="16"/>
    <s v="ZTE2005"/>
    <s v="Pcs"/>
    <n v="1"/>
    <s v="CLR51-99-007"/>
    <x v="25"/>
    <s v="DOEID230918DY"/>
    <s v="DNWID0342023091808"/>
    <m/>
    <m/>
    <m/>
    <m/>
    <m/>
    <m/>
    <m/>
    <s v="Mulyorejo RW 06 Sukun"/>
    <d v="2023-09-19T00:00:00"/>
    <b v="1"/>
    <s v="OUTBOUND_"/>
  </r>
  <r>
    <s v="1114"/>
    <m/>
    <x v="0"/>
    <s v="INB-W0012309-31"/>
    <s v="EJ-Malang-01"/>
    <s v="Oka-0813-2707-1646"/>
    <d v="2023-09-19T00:00:00"/>
    <d v="1900-01-14T07:00:00"/>
    <s v="ZTE Warehouse"/>
    <x v="0"/>
    <x v="16"/>
    <s v="ZTE2005"/>
    <s v="Pcs"/>
    <n v="1"/>
    <s v="CLR51-99-014"/>
    <x v="167"/>
    <s v="DOEID230918AG"/>
    <s v="DNWID0342023091803"/>
    <m/>
    <m/>
    <m/>
    <m/>
    <m/>
    <m/>
    <m/>
    <s v="Pandanlandung RW   04   Wagir"/>
    <d v="2023-09-19T00:00:00"/>
    <b v="1"/>
    <s v="OUTBOUND_"/>
  </r>
  <r>
    <s v="1115"/>
    <m/>
    <x v="0"/>
    <s v="INB-W0012309-32"/>
    <s v="EJ-Malang-01"/>
    <s v="Oka-0813-2707-1646"/>
    <d v="2023-09-20T00:00:00"/>
    <d v="1900-01-14T07:00:00"/>
    <s v="ZTE Warehouse"/>
    <x v="0"/>
    <x v="16"/>
    <s v="ZTE2005"/>
    <s v="Pcs"/>
    <n v="1"/>
    <s v="CLR51-02-001"/>
    <x v="20"/>
    <s v="DOEID230919BH"/>
    <s v="DNWID0342023091906"/>
    <m/>
    <m/>
    <m/>
    <m/>
    <m/>
    <m/>
    <m/>
    <s v="Puncak Dieng Exlusif"/>
    <d v="2023-09-20T00:00:00"/>
    <b v="1"/>
    <s v="OUTBOUND_"/>
  </r>
  <r>
    <s v="1116"/>
    <m/>
    <x v="1"/>
    <s v="OUB-W0012309-44"/>
    <s v="EJ-Malang-01"/>
    <s v="Oka-0813-2707-1646"/>
    <d v="2023-09-25T00:00:00"/>
    <d v="1899-12-30T06:30:00"/>
    <s v="EJ-MALANG-01"/>
    <x v="0"/>
    <x v="16"/>
    <s v="ZTE2005"/>
    <s v="Pcs"/>
    <n v="1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1117"/>
    <m/>
    <x v="0"/>
    <s v="INB-W0012309-48"/>
    <s v="EJ-Malang-01"/>
    <s v="Oka-0813-2707-1646"/>
    <d v="2023-09-26T00:00:00"/>
    <d v="1900-01-14T07:00:00"/>
    <s v="ZTE Warehouse"/>
    <x v="0"/>
    <x v="16"/>
    <s v="ZTE2005"/>
    <s v="Pcs"/>
    <n v="1"/>
    <s v="CLR51-02-001"/>
    <x v="20"/>
    <s v="DOEID23092543"/>
    <s v="DNWID0342023092512"/>
    <m/>
    <m/>
    <m/>
    <m/>
    <m/>
    <m/>
    <m/>
    <s v="Puncak Dieng Exlusif"/>
    <d v="2023-09-26T00:00:00"/>
    <b v="1"/>
    <s v="OUTBOUND_"/>
  </r>
  <r>
    <s v="1118"/>
    <m/>
    <x v="1"/>
    <s v="OUB-W0012309-50"/>
    <s v="EJ-Malang-01"/>
    <s v="Oka-0813-2707-1646"/>
    <d v="2023-09-27T00:00:00"/>
    <d v="1899-12-30T11:20:00"/>
    <s v="EJ-MALANG-01"/>
    <x v="0"/>
    <x v="16"/>
    <s v="ZTE2005"/>
    <s v="Pcs"/>
    <n v="2"/>
    <s v="CLR51-02-001"/>
    <x v="20"/>
    <m/>
    <m/>
    <m/>
    <s v="Khoiri"/>
    <s v="Khoiri Supplier"/>
    <s v="3507330905820002"/>
    <s v="N 3408 ECP"/>
    <m/>
    <m/>
    <s v="Puncak Dieng Exlusif"/>
    <e v="#N/A"/>
    <e v="#N/A"/>
    <s v="OUTBOUND_"/>
  </r>
  <r>
    <s v="1119"/>
    <m/>
    <x v="1"/>
    <s v="OUB-W0012310-64"/>
    <s v="EJ-Malang-01"/>
    <s v="Oka-0813-2707-1646"/>
    <d v="2023-10-09T00:00:00"/>
    <d v="1899-12-30T14:35:00"/>
    <s v="EJ-MALANG-01"/>
    <x v="0"/>
    <x v="16"/>
    <s v="ZTE2005"/>
    <s v="Pcs"/>
    <n v="1"/>
    <s v="CLR51-99-013"/>
    <x v="26"/>
    <m/>
    <m/>
    <m/>
    <s v="Mustofa"/>
    <n v="0"/>
    <s v="3209140803860003"/>
    <s v="DK 1058 FAP"/>
    <m/>
    <m/>
    <s v="Pandan Landung RW 03 Wagir"/>
    <e v="#N/A"/>
    <e v="#N/A"/>
    <s v="OUTBOUND_"/>
  </r>
  <r>
    <s v="1120"/>
    <m/>
    <x v="3"/>
    <s v="TFI-W0012310-69"/>
    <s v="EJ-Malang-01"/>
    <s v="Oka-0813-2707-1646"/>
    <d v="2023-10-11T00:00:00"/>
    <d v="1900-01-14T07:00:00"/>
    <s v="EJ-GRESIK-01"/>
    <x v="0"/>
    <x v="16"/>
    <s v="ZTE2005"/>
    <s v="Pcs"/>
    <n v="1"/>
    <s v="TRF"/>
    <x v="93"/>
    <n v="0"/>
    <s v="TRANSFER GUDANG"/>
    <m/>
    <m/>
    <m/>
    <m/>
    <m/>
    <s v="WH Gresik ke WH Malang (via bus Tentrem)"/>
    <m/>
    <s v="GRESIK"/>
    <e v="#N/A"/>
    <e v="#N/A"/>
    <s v="OUTBOUND_"/>
  </r>
  <r>
    <s v="1121"/>
    <m/>
    <x v="1"/>
    <s v="OUB-W0012310-73"/>
    <s v="EJ-Malang-01"/>
    <s v="Oka-0813-2707-1646"/>
    <d v="2023-10-12T00:00:00"/>
    <d v="1899-12-30T20:31:00"/>
    <s v="EJ-MALANG-01"/>
    <x v="0"/>
    <x v="16"/>
    <s v="ZTE2005"/>
    <s v="Pcs"/>
    <n v="1"/>
    <s v="CLR51-99-014"/>
    <x v="29"/>
    <m/>
    <m/>
    <m/>
    <s v="NASRUL"/>
    <n v="0"/>
    <s v="3573042706820008"/>
    <s v="N 4292 DT"/>
    <m/>
    <m/>
    <s v="Pandan Landung RW 04 Wagir"/>
    <e v="#N/A"/>
    <e v="#N/A"/>
    <s v="OUTBOUND_"/>
  </r>
  <r>
    <s v="1122"/>
    <m/>
    <x v="0"/>
    <s v="INB-W0012310-75"/>
    <s v="EJ-Malang-01"/>
    <s v="Oka-0813-2707-1646"/>
    <d v="2023-10-14T00:00:00"/>
    <d v="1900-01-14T07:00:00"/>
    <s v="ZTE Warehouse"/>
    <x v="0"/>
    <x v="16"/>
    <s v="ZTE2005"/>
    <s v="Pcs"/>
    <n v="1"/>
    <s v="CLR51-99-017"/>
    <x v="21"/>
    <s v="DOEID23101403"/>
    <s v="DNWID0342023101406"/>
    <m/>
    <m/>
    <m/>
    <m/>
    <m/>
    <m/>
    <m/>
    <s v="Sukodadi RW 01 Wagir"/>
    <d v="2023-10-14T00:00:00"/>
    <b v="1"/>
    <s v="OUTBOUND_"/>
  </r>
  <r>
    <s v="1123"/>
    <m/>
    <x v="0"/>
    <s v="INB-W0012310-75"/>
    <s v="EJ-Malang-01"/>
    <s v="Oka-0813-2707-1646"/>
    <d v="2023-10-14T00:00:00"/>
    <d v="1900-01-14T07:00:00"/>
    <s v="ZTE Warehouse"/>
    <x v="0"/>
    <x v="16"/>
    <s v="ZTE2005"/>
    <s v="Pcs"/>
    <n v="1"/>
    <s v="CLR51-99-018_x0009_"/>
    <x v="151"/>
    <s v="DOEID23101405"/>
    <s v="DNWID0342023101407"/>
    <m/>
    <m/>
    <m/>
    <m/>
    <m/>
    <m/>
    <m/>
    <s v="Sukodadi RW 02 Wagir"/>
    <d v="2023-10-14T00:00:00"/>
    <b v="1"/>
    <s v="OUTBOUND_"/>
  </r>
  <r>
    <s v="1124"/>
    <m/>
    <x v="0"/>
    <s v="INB-W0012310-75"/>
    <s v="EJ-Malang-01"/>
    <s v="Oka-0813-2707-1646"/>
    <d v="2023-10-14T00:00:00"/>
    <d v="1900-01-14T07:00:00"/>
    <s v="ZTE Warehouse"/>
    <x v="0"/>
    <x v="16"/>
    <s v="ZTE2005"/>
    <s v="Pcs"/>
    <n v="1"/>
    <s v="CLR51-99-020"/>
    <x v="22"/>
    <s v="DOEID231013AV"/>
    <s v="DNWID0342023101409"/>
    <m/>
    <m/>
    <m/>
    <m/>
    <m/>
    <m/>
    <m/>
    <s v="Jedong RW 08 Wagir"/>
    <d v="2023-10-14T00:00:00"/>
    <b v="1"/>
    <s v="OUTBOUND_"/>
  </r>
  <r>
    <s v="1125"/>
    <m/>
    <x v="1"/>
    <s v="OUB-W0012310-96"/>
    <s v="EJ-Malang-01"/>
    <s v="Oka-0813-2707-1646"/>
    <d v="2023-10-21T00:00:00"/>
    <d v="1899-12-30T23:24:00"/>
    <s v="EJ-MALANG-01"/>
    <x v="0"/>
    <x v="16"/>
    <s v="ZTE2005"/>
    <s v="Pcs"/>
    <n v="0"/>
    <n v="0"/>
    <x v="5"/>
    <m/>
    <m/>
    <m/>
    <s v="Mustofa"/>
    <n v="0"/>
    <s v="3209140803860003"/>
    <s v="N 9609 EF"/>
    <m/>
    <m/>
    <n v="0"/>
    <e v="#N/A"/>
    <e v="#N/A"/>
    <s v="OUTBOUND_"/>
  </r>
  <r>
    <s v="1126"/>
    <m/>
    <x v="1"/>
    <s v="OUB-W0012310-109"/>
    <s v="EJ-Malang-01"/>
    <s v="Oka-0813-2707-1646"/>
    <d v="2023-10-24T00:00:00"/>
    <d v="1899-12-30T11:20:00"/>
    <s v="EJ-MALANG-01"/>
    <x v="0"/>
    <x v="16"/>
    <s v="ZTE2005"/>
    <s v="Pcs"/>
    <n v="1"/>
    <s v="CLR51-99-020"/>
    <x v="22"/>
    <m/>
    <m/>
    <m/>
    <s v="Khoiri"/>
    <s v="Khoiri Supplier"/>
    <s v="3507330905820002"/>
    <s v="N 3408 ECP"/>
    <m/>
    <m/>
    <s v="Jedong RW 08 Wagir"/>
    <e v="#N/A"/>
    <e v="#N/A"/>
    <s v="OUTBOUND_"/>
  </r>
  <r>
    <s v="1127"/>
    <m/>
    <x v="1"/>
    <s v="OUB-W0012310-116"/>
    <s v="EJ-Malang-01"/>
    <s v="Oka-0813-2707-1646"/>
    <d v="2023-10-29T00:00:00"/>
    <d v="1899-12-30T22:30:00"/>
    <s v="EJ-MALANG-01"/>
    <x v="0"/>
    <x v="16"/>
    <s v="ZTE2005"/>
    <s v="Pcs"/>
    <n v="1"/>
    <s v="CLR51-99-017"/>
    <x v="21"/>
    <m/>
    <m/>
    <m/>
    <s v="Mustofa"/>
    <n v="0"/>
    <s v="3209140803860003"/>
    <s v="N 9609 EF"/>
    <m/>
    <m/>
    <s v="Sukodadi RW 01 Wagir"/>
    <e v="#N/A"/>
    <e v="#N/A"/>
    <s v="OUTBOUND_"/>
  </r>
  <r>
    <s v="1128"/>
    <m/>
    <x v="0"/>
    <s v="INB-W0012311-121"/>
    <s v="EJ-Malang-01"/>
    <s v="Oka-0813-2707-1646"/>
    <d v="2023-11-15T00:00:00"/>
    <d v="1900-01-14T07:00:00"/>
    <s v="ZTE Warehouse"/>
    <x v="0"/>
    <x v="16"/>
    <s v="ZTE2005"/>
    <s v="Pcs"/>
    <n v="1"/>
    <s v="CLR51-99-026"/>
    <x v="24"/>
    <s v="DOEID231113AY"/>
    <s v="DNWID0342023111301"/>
    <m/>
    <m/>
    <m/>
    <m/>
    <m/>
    <m/>
    <m/>
    <s v="Jedong RW 07 Wagir"/>
    <d v="2023-11-15T00:00:00"/>
    <b v="1"/>
    <s v="OUTBOUND_"/>
  </r>
  <r>
    <s v="1129"/>
    <m/>
    <x v="1"/>
    <s v="OUB-W0012311-136"/>
    <s v="EJ-Malang-01"/>
    <s v="Oka-0813-2707-1646"/>
    <d v="2023-11-28T00:00:00"/>
    <d v="1899-12-30T15:37:00"/>
    <s v="EJ-MALANG-01"/>
    <x v="0"/>
    <x v="16"/>
    <s v="ZTE2005"/>
    <s v="Pcs"/>
    <n v="1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1130"/>
    <m/>
    <x v="3"/>
    <s v="TFI-W0012312-155"/>
    <s v="EJ-Malang-01"/>
    <s v="Oka-0813-2707-1646"/>
    <d v="2023-12-25T00:00:00"/>
    <d v="1900-01-14T07:00:00"/>
    <s v="EJ-JOMBANG-01"/>
    <x v="0"/>
    <x v="16"/>
    <s v="ZTE2005"/>
    <s v="Pcs"/>
    <n v="1"/>
    <s v="TRF"/>
    <x v="138"/>
    <n v="0"/>
    <s v="TRANSFER GUDANG"/>
    <m/>
    <m/>
    <m/>
    <m/>
    <m/>
    <s v="WH JOMBANG KE WH MALANG"/>
    <m/>
    <s v="JOMBANG"/>
    <e v="#N/A"/>
    <e v="#N/A"/>
    <s v="OUTBOUND_"/>
  </r>
  <r>
    <s v="1131"/>
    <m/>
    <x v="1"/>
    <s v="OUB-W0012312-157"/>
    <s v="EJ-Malang-01"/>
    <s v="Oka-0813-2707-1646"/>
    <d v="2023-12-26T00:00:00"/>
    <d v="1899-12-30T09:25:00"/>
    <s v="EJ-MALANG-01"/>
    <x v="0"/>
    <x v="16"/>
    <s v="ZTE2005"/>
    <s v="Pcs"/>
    <n v="1"/>
    <s v="CLR32-99-069"/>
    <x v="30"/>
    <m/>
    <m/>
    <m/>
    <s v="Fatur"/>
    <s v="Febby Supplier"/>
    <s v="3515082712870005"/>
    <s v="L 9340 BM"/>
    <m/>
    <m/>
    <s v="Sitirejo RW 01 Wagir"/>
    <e v="#N/A"/>
    <e v="#N/A"/>
    <s v="OUTBOUND_"/>
  </r>
  <r>
    <s v="1132"/>
    <m/>
    <x v="0"/>
    <s v="INB-W0012312-161"/>
    <s v="EJ-Malang-01"/>
    <s v="Oka-0813-2707-1646"/>
    <d v="2023-12-27T00:00:00"/>
    <d v="1900-01-14T07:00:00"/>
    <s v="ZTE Warehouse"/>
    <x v="0"/>
    <x v="16"/>
    <s v="ZTE2005"/>
    <s v="Pcs"/>
    <n v="3"/>
    <s v="CLR51-01-005"/>
    <x v="37"/>
    <s v="DOEID231223A6"/>
    <s v="DNWID0342023122352"/>
    <m/>
    <m/>
    <m/>
    <m/>
    <m/>
    <s v="Diambil Bayu"/>
    <m/>
    <s v="Baturetno RW 02 Singosari "/>
    <d v="2023-12-27T00:00:00"/>
    <b v="1"/>
    <s v="OUTBOUND_"/>
  </r>
  <r>
    <s v="1133"/>
    <m/>
    <x v="2"/>
    <s v="TFO-W0012401-169"/>
    <s v="EJ-Malang-01"/>
    <s v="Oka-0813-2707-1646"/>
    <d v="2024-01-09T00:00:00"/>
    <d v="1899-12-30T18:08:00"/>
    <s v="EJ-JOMBANG-01"/>
    <x v="0"/>
    <x v="16"/>
    <s v="ZTE2005"/>
    <s v="Pcs"/>
    <n v="1"/>
    <s v="TRF"/>
    <x v="4"/>
    <m/>
    <m/>
    <m/>
    <s v="Yanuar"/>
    <n v="0"/>
    <n v="0"/>
    <s v="L 1962 QM"/>
    <s v="WH MALANG KE WH JOMBANG"/>
    <m/>
    <s v="Transfer Gudang"/>
    <e v="#N/A"/>
    <e v="#N/A"/>
    <s v="TRANSFER OUT_"/>
  </r>
  <r>
    <s v="1134"/>
    <m/>
    <x v="0"/>
    <s v="INB-W0012401-176"/>
    <s v="EJ-Malang-01"/>
    <s v="Oka-0813-2707-1646"/>
    <d v="2024-01-16T00:00:00"/>
    <d v="1900-01-14T07:00:00"/>
    <s v="ZTE Warehouse"/>
    <x v="0"/>
    <x v="16"/>
    <s v="ZTE2005"/>
    <s v="Pcs"/>
    <n v="1"/>
    <s v="CLR51-99-066"/>
    <x v="35"/>
    <s v="DOEID24011542"/>
    <s v="DNWID0342024011502"/>
    <m/>
    <m/>
    <m/>
    <m/>
    <m/>
    <m/>
    <m/>
    <s v="TAMANHARJO RW 04 SINGOSARI"/>
    <d v="2024-01-16T00:00:00"/>
    <b v="1"/>
    <s v="OUTBOUND_"/>
  </r>
  <r>
    <s v="1135"/>
    <m/>
    <x v="0"/>
    <s v="INB-W0012401-176"/>
    <s v="EJ-Malang-01"/>
    <s v="Oka-0813-2707-1646"/>
    <d v="2024-01-16T00:00:00"/>
    <d v="1900-01-14T07:00:00"/>
    <s v="ZTE Warehouse"/>
    <x v="0"/>
    <x v="16"/>
    <s v="ZTE2005"/>
    <s v="Pcs"/>
    <n v="3"/>
    <s v="CLR29-99-153"/>
    <x v="34"/>
    <s v="DOEID24011540"/>
    <s v="DNWID0342024011501"/>
    <m/>
    <m/>
    <m/>
    <m/>
    <m/>
    <s v="Diambil Bayu"/>
    <m/>
    <s v="Perumahan Pondok Mutiara Malang"/>
    <d v="2024-01-16T00:00:00"/>
    <b v="1"/>
    <s v="OUTBOUND_"/>
  </r>
  <r>
    <s v="1136"/>
    <m/>
    <x v="1"/>
    <s v="OUB-W0012401-193"/>
    <s v="EJ-Malang-01"/>
    <s v="Oka-0813-2707-1646"/>
    <d v="2024-01-22T00:00:00"/>
    <d v="1899-12-30T14:57:00"/>
    <s v="EJ-MALANG-01"/>
    <x v="0"/>
    <x v="16"/>
    <s v="ZTE2005"/>
    <s v="Pcs"/>
    <n v="1"/>
    <s v="CLR51-01-005"/>
    <x v="37"/>
    <m/>
    <m/>
    <m/>
    <s v="Fatur"/>
    <s v="Febby Supplier"/>
    <s v="3515082712870005"/>
    <s v="W 1130 NQ"/>
    <m/>
    <m/>
    <s v="Baturetno RW 02 Singosari "/>
    <e v="#N/A"/>
    <e v="#N/A"/>
    <s v="OUTBOUND_"/>
  </r>
  <r>
    <s v="1137"/>
    <m/>
    <x v="1"/>
    <s v="OUB-W0012401-193"/>
    <s v="EJ-Malang-01"/>
    <s v="Oka-0813-2707-1646"/>
    <d v="2024-01-22T00:00:00"/>
    <d v="1899-12-30T14:57:00"/>
    <s v="EJ-MALANG-01"/>
    <x v="0"/>
    <x v="16"/>
    <s v="ZTE2005"/>
    <s v="Pcs"/>
    <n v="1"/>
    <s v="CLR51-99-038"/>
    <x v="32"/>
    <m/>
    <m/>
    <m/>
    <s v="Fatur"/>
    <s v="Febby Supplier"/>
    <s v="3515082712870005"/>
    <s v="W 1130 NQ"/>
    <m/>
    <m/>
    <s v="Baturetno RW 03 Singosari"/>
    <e v="#N/A"/>
    <e v="#N/A"/>
    <s v="OUTBOUND_"/>
  </r>
  <r>
    <s v="1138"/>
    <m/>
    <x v="1"/>
    <s v="OUB-W0012401-193"/>
    <s v="EJ-Malang-01"/>
    <s v="Oka-0813-2707-1646"/>
    <d v="2024-01-22T00:00:00"/>
    <d v="1899-12-30T14:57:00"/>
    <s v="EJ-MALANG-01"/>
    <x v="0"/>
    <x v="16"/>
    <s v="ZTE2005"/>
    <s v="Pcs"/>
    <n v="3"/>
    <s v="CLR29-99-153"/>
    <x v="34"/>
    <m/>
    <m/>
    <m/>
    <s v="Fatur"/>
    <s v="Febby Supplier"/>
    <s v="3515082712870005"/>
    <s v="W 1130 NQ"/>
    <m/>
    <m/>
    <s v="Perumahan Pondok Mutiara Malang"/>
    <e v="#N/A"/>
    <e v="#N/A"/>
    <s v="OUTBOUND_"/>
  </r>
  <r>
    <s v="1139"/>
    <m/>
    <x v="5"/>
    <s v="BOO-W0012401-207"/>
    <s v="EJ-Malang-01"/>
    <s v="Oka-0813-2707-1646"/>
    <d v="2024-01-26T00:00:00"/>
    <d v="1899-12-30T22:46:00"/>
    <s v="Other Subcon"/>
    <x v="0"/>
    <x v="16"/>
    <s v="ZTE2005"/>
    <s v="Pcs"/>
    <n v="1"/>
    <s v="BR004"/>
    <x v="31"/>
    <m/>
    <m/>
    <m/>
    <s v="Agung"/>
    <n v="0"/>
    <n v="0"/>
    <n v="0"/>
    <s v="YPTT Borrowed"/>
    <m/>
    <s v="YPTT"/>
    <e v="#N/A"/>
    <e v="#N/A"/>
    <s v="BORROW OUT_"/>
  </r>
  <r>
    <s v="1140"/>
    <m/>
    <x v="0"/>
    <s v="INB-W0012402-226"/>
    <s v="EJ-Malang-01"/>
    <s v="Oka-0813-2707-1646"/>
    <d v="2024-02-15T00:00:00"/>
    <d v="1900-01-14T07:00:00"/>
    <s v="ZTE Warehouse"/>
    <x v="0"/>
    <x v="16"/>
    <s v="ZTE2005"/>
    <s v="Pcs"/>
    <n v="1"/>
    <s v="CLR51-99-067"/>
    <x v="0"/>
    <s v="DOEID24021519"/>
    <s v="DNWID0342024021506"/>
    <m/>
    <m/>
    <m/>
    <m/>
    <m/>
    <m/>
    <m/>
    <s v="Bandulan RW 08 Sukun"/>
    <d v="2024-02-15T00:00:00"/>
    <b v="1"/>
    <s v="OUTBOUND_"/>
  </r>
  <r>
    <s v="1141"/>
    <m/>
    <x v="0"/>
    <s v="INB-W0012402-226"/>
    <s v="EJ-Malang-01"/>
    <s v="Oka-0813-2707-1646"/>
    <d v="2024-02-15T00:00:00"/>
    <d v="1900-01-14T07:00:00"/>
    <s v="ZTE Warehouse"/>
    <x v="0"/>
    <x v="16"/>
    <s v="ZTE2005"/>
    <s v="Pcs"/>
    <n v="2"/>
    <s v="CLR51-99-078"/>
    <x v="1"/>
    <s v="DOEID24021521"/>
    <s v="DNWID0342024021507"/>
    <m/>
    <m/>
    <m/>
    <m/>
    <m/>
    <s v="Diambil Bayu"/>
    <m/>
    <s v="Bumiayu RW 03 Kedungkandang"/>
    <d v="2024-02-15T00:00:00"/>
    <b v="1"/>
    <s v="OUTBOUND_"/>
  </r>
  <r>
    <s v="1142"/>
    <m/>
    <x v="1"/>
    <s v="OUB-W0012402-231"/>
    <s v="EJ-Malang-01"/>
    <s v="Oka-0813-2707-1646"/>
    <d v="2024-02-19T00:00:00"/>
    <d v="1899-12-30T16:33:00"/>
    <s v="EJ-MALANG-01"/>
    <x v="0"/>
    <x v="16"/>
    <s v="ZTE2005"/>
    <s v="Pcs"/>
    <n v="1"/>
    <s v="CLR51-99-067"/>
    <x v="0"/>
    <m/>
    <m/>
    <m/>
    <s v="Fatur"/>
    <s v="Febby Supplier"/>
    <s v="3515082712870005"/>
    <s v="W 1130 NQ"/>
    <m/>
    <m/>
    <s v="Bandulan RW 08 Sukun"/>
    <e v="#N/A"/>
    <e v="#N/A"/>
    <s v="OUTBOUND_"/>
  </r>
  <r>
    <s v="1143"/>
    <m/>
    <x v="4"/>
    <s v="BOI-W0012402-242"/>
    <s v="EJ-Malang-01"/>
    <s v="Oka-0813-2707-1646"/>
    <d v="2024-02-22T00:00:00"/>
    <d v="1900-01-14T07:00:00"/>
    <s v="Other Subcon"/>
    <x v="0"/>
    <x v="16"/>
    <s v="ZTE2005"/>
    <s v="Pcs"/>
    <n v="1"/>
    <s v="BR004"/>
    <x v="31"/>
    <s v="pengembalian dr yptt"/>
    <n v="0"/>
    <m/>
    <m/>
    <m/>
    <m/>
    <m/>
    <s v="YPTT Return"/>
    <m/>
    <s v="YPTT"/>
    <e v="#N/A"/>
    <e v="#N/A"/>
    <s v="OUTBOUND_"/>
  </r>
  <r>
    <s v="1144"/>
    <m/>
    <x v="1"/>
    <s v="OUB-W0012402-244"/>
    <s v="EJ-Malang-01"/>
    <s v="Oka-0813-2707-1646"/>
    <d v="2024-02-23T00:00:00"/>
    <d v="1899-12-30T09:13:00"/>
    <s v="EJ-MALANG-01"/>
    <x v="0"/>
    <x v="16"/>
    <s v="ZTE2005"/>
    <s v="Pcs"/>
    <n v="1"/>
    <s v="CLR51-99-066"/>
    <x v="35"/>
    <m/>
    <m/>
    <m/>
    <s v="Fatur"/>
    <s v="Febby Supplier"/>
    <s v="3515082712870005"/>
    <s v="W 1130 NQ"/>
    <m/>
    <m/>
    <s v="TAMANHARJO RW 04 SINGOSARI"/>
    <e v="#N/A"/>
    <e v="#N/A"/>
    <s v="OUTBOUND_"/>
  </r>
  <r>
    <s v="1145"/>
    <m/>
    <x v="1"/>
    <s v="OUB-W0012402-246"/>
    <s v="EJ-Malang-01"/>
    <s v="Oka-0813-2707-1646"/>
    <d v="2024-02-23T00:00:00"/>
    <d v="1899-12-30T19:07:00"/>
    <s v="EJ-MALANG-01"/>
    <x v="0"/>
    <x v="16"/>
    <s v="ZTE2005"/>
    <s v="Pcs"/>
    <n v="2"/>
    <s v="CLR51-99-078"/>
    <x v="1"/>
    <m/>
    <m/>
    <m/>
    <s v="Fatur"/>
    <s v="Febby Supplier"/>
    <s v="3515082712870005"/>
    <s v="W 1130 NQ"/>
    <m/>
    <m/>
    <s v="Bumiayu RW 03 Kedungkandang"/>
    <e v="#N/A"/>
    <e v="#N/A"/>
    <s v="OUTBOUND_"/>
  </r>
  <r>
    <s v="1146"/>
    <m/>
    <x v="0"/>
    <s v="INB-W0012402-259"/>
    <s v="EJ-Malang-01"/>
    <s v="Oka-0813-2707-1646"/>
    <d v="2024-02-29T00:00:00"/>
    <d v="1900-01-14T07:00:00"/>
    <s v="ZTE Warehouse"/>
    <x v="0"/>
    <x v="16"/>
    <s v="ZTE2005"/>
    <s v="Pcs"/>
    <n v="1"/>
    <s v="CLR51-99-079"/>
    <x v="2"/>
    <s v="DOEID240226C9"/>
    <s v="DNWID0342024022616"/>
    <m/>
    <m/>
    <m/>
    <m/>
    <m/>
    <m/>
    <m/>
    <s v="Bumiayu RW 05 Kedungkandang"/>
    <d v="2024-02-29T00:00:00"/>
    <b v="1"/>
    <s v="OUTBOUND_"/>
  </r>
  <r>
    <s v="1147"/>
    <m/>
    <x v="1"/>
    <s v="OUB-W0012402-258"/>
    <s v="EJ-Malang-01"/>
    <s v="Oka-0813-2707-1646"/>
    <d v="2024-02-29T00:00:00"/>
    <d v="1899-12-30T13:20:00"/>
    <s v="EJ-MALANG-01"/>
    <x v="0"/>
    <x v="16"/>
    <s v="ZTE2005"/>
    <s v="Pcs"/>
    <n v="1"/>
    <s v="CLR51-99-079"/>
    <x v="2"/>
    <m/>
    <m/>
    <m/>
    <s v="Fatur"/>
    <s v="Febby Supplier"/>
    <s v="3515082712870005"/>
    <s v="W 1130 NQ"/>
    <m/>
    <m/>
    <s v="Bumiayu RW 05 Kedungkandang"/>
    <e v="#N/A"/>
    <e v="#N/A"/>
    <s v="OUTBOUND_"/>
  </r>
  <r>
    <s v="1148"/>
    <m/>
    <x v="0"/>
    <s v="INB-W0012403-263"/>
    <s v="EJ-Malang-01"/>
    <s v="Oka-0813-2707-1646"/>
    <d v="2024-03-01T00:00:00"/>
    <d v="1900-01-14T07:00:00"/>
    <s v="ZTE Warehouse"/>
    <x v="0"/>
    <x v="16"/>
    <s v="ZTE2005"/>
    <s v="Pcs"/>
    <n v="1"/>
    <m/>
    <x v="3"/>
    <n v="0"/>
    <n v="0"/>
    <m/>
    <m/>
    <m/>
    <m/>
    <m/>
    <m/>
    <m/>
    <n v="0"/>
    <e v="#N/A"/>
    <e v="#N/A"/>
    <s v="OUTBOUND_"/>
  </r>
  <r>
    <s v="1149"/>
    <m/>
    <x v="2"/>
    <s v="TFO-W0012403-275"/>
    <s v="EJ-Malang-01"/>
    <s v="Oka-0813-2707-1646"/>
    <d v="2024-03-08T00:00:00"/>
    <d v="1899-12-30T10:28:00"/>
    <s v="EJ-MALANG-01"/>
    <x v="0"/>
    <x v="16"/>
    <s v="ZTE2005"/>
    <s v="Pcs"/>
    <n v="1"/>
    <s v="TRF"/>
    <x v="4"/>
    <m/>
    <m/>
    <m/>
    <s v="Fatur"/>
    <s v="Febby Supplier"/>
    <s v="3515082712870005"/>
    <s v="W 1130 NQ"/>
    <m/>
    <m/>
    <s v="Transfer Gudang"/>
    <e v="#N/A"/>
    <e v="#N/A"/>
    <s v="TRANSFER OUT_"/>
  </r>
  <r>
    <s v="1150"/>
    <m/>
    <x v="0"/>
    <s v="INB-W0012403-279"/>
    <s v="EJ-Malang-01"/>
    <s v="Oka-0813-2707-1646"/>
    <d v="2024-03-19T00:00:00"/>
    <d v="1900-01-14T07:00:00"/>
    <s v="ZTE Warehouse"/>
    <x v="0"/>
    <x v="16"/>
    <s v="ZTE2005"/>
    <s v="Pcs"/>
    <n v="2"/>
    <m/>
    <x v="3"/>
    <n v="0"/>
    <n v="0"/>
    <m/>
    <m/>
    <m/>
    <m/>
    <m/>
    <m/>
    <m/>
    <n v="0"/>
    <e v="#N/A"/>
    <e v="#N/A"/>
    <s v="OUTBOUND_"/>
  </r>
  <r>
    <s v="1151"/>
    <m/>
    <x v="1"/>
    <s v="OUB-W0012403-287"/>
    <s v="EJ-Malang-01"/>
    <s v="Oka-0813-2707-1646"/>
    <d v="2024-03-25T00:00:00"/>
    <d v="1899-12-30T10:28:00"/>
    <s v="EJ-MALANG-01"/>
    <x v="0"/>
    <x v="16"/>
    <s v="ZTE2005"/>
    <s v="Pcs"/>
    <n v="1"/>
    <s v="CLR51-99-076"/>
    <x v="6"/>
    <m/>
    <m/>
    <m/>
    <s v="Fatur"/>
    <n v="0"/>
    <s v="3515082712870005"/>
    <s v="W 1130 NQ"/>
    <m/>
    <m/>
    <s v="Dalisodo RW 04 Wagir"/>
    <e v="#N/A"/>
    <e v="#N/A"/>
    <s v="OUTBOUND_"/>
  </r>
  <r>
    <s v="1152"/>
    <m/>
    <x v="1"/>
    <s v="OUB-W0012403-287"/>
    <s v="EJ-Malang-01"/>
    <s v="Oka-0813-2707-1646"/>
    <d v="2024-03-25T00:00:00"/>
    <d v="1899-12-30T10:28:00"/>
    <s v="EJ-MALANG-01"/>
    <x v="0"/>
    <x v="16"/>
    <s v="ZTE2005"/>
    <s v="Pcs"/>
    <n v="2"/>
    <s v="CLR51-99-039"/>
    <x v="7"/>
    <m/>
    <m/>
    <m/>
    <s v="Fatur"/>
    <n v="0"/>
    <s v="3515082712870005"/>
    <s v="W 1130 NQ"/>
    <m/>
    <m/>
    <s v="Tunjungtirto RW 01 Singosari"/>
    <e v="#N/A"/>
    <e v="#N/A"/>
    <s v="OUTBOUND_"/>
  </r>
  <r>
    <s v="1153"/>
    <m/>
    <x v="3"/>
    <s v="TFI-W0012404-301"/>
    <s v="EJ-Malang-01"/>
    <s v="Oka-0813-2707-1646"/>
    <d v="2024-04-04T00:00:00"/>
    <d v="1900-01-14T07:00:00"/>
    <s v="ZTE Warehouse"/>
    <x v="0"/>
    <x v="16"/>
    <s v="ZTE2005"/>
    <s v="Pcs"/>
    <n v="1"/>
    <s v="TRF"/>
    <x v="5"/>
    <n v="0"/>
    <s v="TRANSFER GUDANG"/>
    <m/>
    <m/>
    <m/>
    <m/>
    <m/>
    <m/>
    <m/>
    <n v="0"/>
    <e v="#N/A"/>
    <e v="#N/A"/>
    <s v="OUTBOUND_"/>
  </r>
  <r>
    <s v="1154"/>
    <m/>
    <x v="3"/>
    <s v="TFI-W0012404-301"/>
    <s v="EJ-Malang-01"/>
    <s v="Oka-0813-2707-1646"/>
    <d v="2024-04-04T00:00:00"/>
    <d v="1900-01-14T07:00:00"/>
    <s v="ZTE Warehouse"/>
    <x v="0"/>
    <x v="16"/>
    <s v="ZTE2005"/>
    <s v="Pcs"/>
    <n v="1"/>
    <s v="TRF"/>
    <x v="5"/>
    <n v="0"/>
    <s v="TRANSFER GUDANG"/>
    <m/>
    <m/>
    <m/>
    <m/>
    <m/>
    <m/>
    <m/>
    <n v="0"/>
    <e v="#N/A"/>
    <e v="#N/A"/>
    <s v="OUTBOUND_"/>
  </r>
  <r>
    <s v="1155"/>
    <m/>
    <x v="1"/>
    <s v="OUB-W0012404-303"/>
    <s v="EJ-Malang-01"/>
    <s v="Oka-0813-2707-1646"/>
    <d v="2024-04-05T00:00:00"/>
    <d v="1899-12-30T10:28:00"/>
    <s v="EJ-MALANG-01"/>
    <x v="0"/>
    <x v="16"/>
    <s v="ZTE2005"/>
    <s v="Pcs"/>
    <n v="2"/>
    <s v="CLR51-99-075"/>
    <x v="8"/>
    <m/>
    <m/>
    <m/>
    <s v="Fatur"/>
    <n v="0"/>
    <s v="3515082712870005"/>
    <s v="W 1130 NQ"/>
    <m/>
    <m/>
    <s v="Dalisodo RW 03 Wagir"/>
    <e v="#N/A"/>
    <e v="#N/A"/>
    <s v="OUTBOUND_"/>
  </r>
  <r>
    <s v="1156"/>
    <m/>
    <x v="3"/>
    <s v="TFI-W0012404-314"/>
    <s v="EJ-Malang-01"/>
    <s v="Oka-0813-2707-1646"/>
    <d v="2024-04-22T00:00:00"/>
    <d v="1900-01-14T07:00:00"/>
    <s v="ZTE Warehouse"/>
    <x v="0"/>
    <x v="16"/>
    <s v="ZTE2005"/>
    <s v="Pcs"/>
    <n v="3"/>
    <s v="TRF"/>
    <x v="5"/>
    <n v="0"/>
    <s v="TRANSFER GUDANG"/>
    <m/>
    <m/>
    <m/>
    <m/>
    <m/>
    <m/>
    <m/>
    <n v="0"/>
    <e v="#N/A"/>
    <e v="#N/A"/>
    <s v="OUTBOUND_"/>
  </r>
  <r>
    <s v="1157"/>
    <m/>
    <x v="1"/>
    <s v="OUB-W0012404-321"/>
    <s v="EJ-Malang-01"/>
    <s v="Oka-0813-2707-1646"/>
    <d v="2024-04-24T00:00:00"/>
    <d v="1899-12-30T10:00:00"/>
    <s v="EJ-MALANG-01"/>
    <x v="0"/>
    <x v="16"/>
    <s v="ZTE2005"/>
    <s v="Pcs"/>
    <n v="3"/>
    <s v="CLR51-99-010"/>
    <x v="10"/>
    <m/>
    <m/>
    <m/>
    <s v="Fahrudin"/>
    <s v="Febby Supplier"/>
    <s v="3507131605830004"/>
    <s v="N 1383 G"/>
    <m/>
    <m/>
    <s v="Pandan Landung RW 05 Wagir"/>
    <e v="#N/A"/>
    <e v="#N/A"/>
    <s v="OUTBOUND_"/>
  </r>
  <r>
    <s v="1158"/>
    <m/>
    <x v="0"/>
    <s v="INB-W0012405-344"/>
    <s v="EJ-Malang-01"/>
    <s v="Oka-0813-2707-1646"/>
    <d v="2024-05-21T00:00:00"/>
    <d v="1900-01-14T07:00:00"/>
    <s v="ZTE Warehouse"/>
    <x v="0"/>
    <x v="16"/>
    <s v="ZTE2005"/>
    <s v="Pcs"/>
    <n v="4"/>
    <m/>
    <x v="3"/>
    <n v="0"/>
    <n v="0"/>
    <m/>
    <m/>
    <m/>
    <m/>
    <m/>
    <m/>
    <m/>
    <n v="0"/>
    <e v="#N/A"/>
    <e v="#N/A"/>
    <s v="OUTBOUND_"/>
  </r>
  <r>
    <s v="1159"/>
    <m/>
    <x v="1"/>
    <s v="OUB-W0012405-348"/>
    <s v="EJ-Malang-01"/>
    <s v="Oka-0813-2707-1646"/>
    <d v="2024-05-23T00:00:00"/>
    <d v="1899-12-30T11:22:00"/>
    <s v="EJ-MALANG-01"/>
    <x v="0"/>
    <x v="16"/>
    <s v="ZTE2005"/>
    <s v="Pcs"/>
    <n v="1"/>
    <s v="CLR51-99-087"/>
    <x v="11"/>
    <m/>
    <m/>
    <m/>
    <s v="Fatur"/>
    <n v="0"/>
    <s v="3515082712870005"/>
    <s v="W 1130 NQ"/>
    <m/>
    <m/>
    <s v="Lawang RW 06 Malang"/>
    <e v="#N/A"/>
    <e v="#N/A"/>
    <s v="OUTBOUND_"/>
  </r>
  <r>
    <s v="1160"/>
    <m/>
    <x v="1"/>
    <s v="OUB-W0012405-351"/>
    <s v="EJ-Malang-01"/>
    <s v="Oka-0813-2707-1646"/>
    <d v="2024-05-25T00:00:00"/>
    <d v="1899-12-30T11:22:00"/>
    <s v="EJ-MALANG-01"/>
    <x v="0"/>
    <x v="16"/>
    <s v="ZTE2005"/>
    <s v="Pcs"/>
    <n v="1"/>
    <s v="CLR51-99-099"/>
    <x v="12"/>
    <m/>
    <m/>
    <m/>
    <s v="Fatur"/>
    <n v="0"/>
    <s v="3515082712870005"/>
    <s v="W 1130 NQ"/>
    <m/>
    <m/>
    <s v="Dusun Klaseman Kucur"/>
    <e v="#N/A"/>
    <e v="#N/A"/>
    <s v="OUTBOUND_"/>
  </r>
  <r>
    <s v="1161"/>
    <m/>
    <x v="1"/>
    <s v="OUB-W0012405-357"/>
    <s v="EJ-Malang-01"/>
    <s v="Oka-0813-2707-1646"/>
    <d v="2024-05-28T00:00:00"/>
    <d v="1899-12-30T12:45:00"/>
    <s v="EJ-MALANG-01"/>
    <x v="0"/>
    <x v="16"/>
    <s v="ZTE2005"/>
    <s v="Pcs"/>
    <n v="1"/>
    <s v="CLR51-99-097"/>
    <x v="13"/>
    <m/>
    <m/>
    <m/>
    <s v="Fahrudin"/>
    <s v="Febby Supplier"/>
    <s v="3507131605830004"/>
    <s v="N 1383 G"/>
    <m/>
    <m/>
    <s v="Dusun Krajan Kucur"/>
    <e v="#N/A"/>
    <e v="#N/A"/>
    <s v="OUTBOUND_"/>
  </r>
  <r>
    <s v="1162"/>
    <m/>
    <x v="1"/>
    <s v="OUB-W0012405-359"/>
    <s v="EJ-Malang-01"/>
    <s v="Oka-0813-2707-1646"/>
    <d v="2024-05-30T00:00:00"/>
    <d v="1899-12-30T11:30:00"/>
    <s v="EJ-MALANG-01"/>
    <x v="0"/>
    <x v="16"/>
    <s v="ZTE2005"/>
    <s v="Pcs"/>
    <n v="1"/>
    <s v="CLR51-99-098"/>
    <x v="48"/>
    <m/>
    <m/>
    <m/>
    <s v="Riki Romansyah"/>
    <s v="Febby Supplier"/>
    <s v="3507050501950006"/>
    <s v="N 8420 EL"/>
    <m/>
    <m/>
    <s v="Dusun Ketohan Kucur"/>
    <e v="#N/A"/>
    <e v="#N/A"/>
    <s v="OUTBOUND_"/>
  </r>
  <r>
    <s v="1163"/>
    <m/>
    <x v="0"/>
    <s v="INB-W0012406-367"/>
    <s v="EJ-Malang-01"/>
    <s v="Oka-0813-2707-1646"/>
    <d v="2024-06-05T00:00:00"/>
    <d v="1900-01-14T07:00:00"/>
    <s v="ZTE Warehouse"/>
    <x v="0"/>
    <x v="16"/>
    <s v="ZTE2005"/>
    <s v="Pcs"/>
    <n v="4"/>
    <s v="CLR51-02-014"/>
    <x v="14"/>
    <s v="DOEID24060449"/>
    <s v="DNWID0342024060430"/>
    <m/>
    <m/>
    <m/>
    <m/>
    <m/>
    <m/>
    <m/>
    <s v="Dusun Klampok Kucur"/>
    <d v="2024-06-05T00:00:00"/>
    <b v="1"/>
    <s v="OUTBOUND_"/>
  </r>
  <r>
    <s v="1164"/>
    <m/>
    <x v="1"/>
    <s v="OUB-W0012406-374"/>
    <s v="EJ-Malang-01"/>
    <s v="Oka-0813-2707-1646"/>
    <d v="2024-06-11T00:00:00"/>
    <d v="1899-12-30T14:01:00"/>
    <s v="EJ-MALANG-01"/>
    <x v="0"/>
    <x v="16"/>
    <s v="ZTE2005"/>
    <s v="Pcs"/>
    <n v="1"/>
    <s v="CLR51-02-014"/>
    <x v="14"/>
    <m/>
    <m/>
    <m/>
    <s v="Deny Indra"/>
    <n v="0"/>
    <n v="0"/>
    <s v="N 1547 IR"/>
    <m/>
    <m/>
    <s v="Dusun Klampok Kucur"/>
    <e v="#N/A"/>
    <e v="#N/A"/>
    <s v="OUTBOUND_"/>
  </r>
  <r>
    <s v="1165"/>
    <m/>
    <x v="1"/>
    <s v="OUB-W0012406-374"/>
    <s v="EJ-Malang-01"/>
    <s v="Oka-0813-2707-1646"/>
    <d v="2024-06-11T00:00:00"/>
    <d v="1899-12-30T14:01:00"/>
    <s v="EJ-MALANG-01"/>
    <x v="0"/>
    <x v="16"/>
    <s v="ZTE2005"/>
    <s v="Pcs"/>
    <n v="1"/>
    <s v="CLR51-02-015"/>
    <x v="15"/>
    <m/>
    <m/>
    <m/>
    <s v="Deny Indra"/>
    <n v="0"/>
    <n v="0"/>
    <s v="N 1547 IR"/>
    <m/>
    <m/>
    <s v="Dusun Sumber Bendo Kucur"/>
    <e v="#N/A"/>
    <e v="#N/A"/>
    <s v="OUTBOUND_"/>
  </r>
  <r>
    <s v="1166"/>
    <m/>
    <x v="5"/>
    <s v="BOO-W0012406-378"/>
    <s v="EJ-Malang-01"/>
    <s v="Oka-0813-2707-1646"/>
    <d v="2024-06-19T00:00:00"/>
    <d v="1899-12-30T12:43:00"/>
    <s v="Other Subcon"/>
    <x v="0"/>
    <x v="16"/>
    <s v="ZTE2005"/>
    <s v="Pcs"/>
    <n v="1"/>
    <s v="BR005"/>
    <x v="38"/>
    <m/>
    <m/>
    <m/>
    <n v="0"/>
    <n v="0"/>
    <n v="0"/>
    <n v="0"/>
    <s v="Morasha Borrowed"/>
    <m/>
    <s v="MORASHA"/>
    <e v="#N/A"/>
    <e v="#N/A"/>
    <s v="BORROW OUT_"/>
  </r>
  <r>
    <s v="1167"/>
    <m/>
    <x v="0"/>
    <s v="INB-W0012406-390"/>
    <s v="EJ-Malang-01"/>
    <s v="Oka-0813-2707-1646"/>
    <d v="2024-06-25T00:00:00"/>
    <d v="1900-01-14T07:00:00"/>
    <s v="ZTE Warehouse"/>
    <x v="0"/>
    <x v="16"/>
    <s v="ZTE2005"/>
    <s v="Pcs"/>
    <n v="1"/>
    <m/>
    <x v="3"/>
    <n v="0"/>
    <n v="0"/>
    <m/>
    <m/>
    <m/>
    <m/>
    <m/>
    <m/>
    <m/>
    <n v="0"/>
    <e v="#N/A"/>
    <e v="#N/A"/>
    <s v="OUTBOUND_"/>
  </r>
  <r>
    <s v="1168"/>
    <m/>
    <x v="1"/>
    <s v="OUB-W0012406-389"/>
    <s v="EJ-Malang-01"/>
    <s v="Oka-0813-2707-1646"/>
    <d v="2024-06-25T00:00:00"/>
    <d v="1899-12-30T12:54:00"/>
    <s v="EJ-MALANG-01"/>
    <x v="0"/>
    <x v="16"/>
    <s v="ZTE2005"/>
    <s v="Pcs"/>
    <n v="1"/>
    <s v="CLR51-02-020"/>
    <x v="53"/>
    <m/>
    <m/>
    <m/>
    <s v="Riki Romansyah"/>
    <s v="Febby Supplier"/>
    <s v="3507050501950006"/>
    <s v="N 8420 EL"/>
    <m/>
    <m/>
    <s v="Lowokwaru RW 04"/>
    <e v="#N/A"/>
    <e v="#N/A"/>
    <s v="OUTBOUND_"/>
  </r>
  <r>
    <s v="1169"/>
    <m/>
    <x v="1"/>
    <s v="OUB-W0012406-392"/>
    <s v="EJ-Malang-01"/>
    <s v="Oka-0813-2707-1646"/>
    <d v="2024-06-26T00:00:00"/>
    <d v="1899-12-30T21:14:00"/>
    <s v="EJ-MALANG-01"/>
    <x v="0"/>
    <x v="16"/>
    <s v="ZTE2005"/>
    <s v="Pcs"/>
    <n v="1"/>
    <s v="CLR51-99-044"/>
    <x v="52"/>
    <m/>
    <m/>
    <m/>
    <s v="Sifak"/>
    <n v="0"/>
    <s v="3507312107950002"/>
    <s v="N 1969 FF"/>
    <m/>
    <m/>
    <s v="Kebonagung RW 13 Pakisaji"/>
    <e v="#N/A"/>
    <e v="#N/A"/>
    <s v="OUTBOUND_"/>
  </r>
  <r>
    <s v="1170"/>
    <m/>
    <x v="0"/>
    <s v="INB-W0012407-400"/>
    <s v="EJ-Malang-01"/>
    <s v="Oka-0813-2707-1646"/>
    <d v="2024-07-08T00:00:00"/>
    <d v="1900-01-14T07:00:00"/>
    <s v="ZTE Warehouse"/>
    <x v="0"/>
    <x v="16"/>
    <s v="ZTE2005"/>
    <s v="Pcs"/>
    <n v="6"/>
    <s v="CLR51-99-044"/>
    <x v="52"/>
    <n v="0"/>
    <n v="0"/>
    <m/>
    <m/>
    <m/>
    <m/>
    <m/>
    <m/>
    <m/>
    <s v="Kebonagung RW 13 Pakisaji"/>
    <e v="#N/A"/>
    <e v="#N/A"/>
    <s v="OUTBOUND_"/>
  </r>
  <r>
    <s v="1171"/>
    <m/>
    <x v="1"/>
    <s v="OUB-W0012407-401"/>
    <s v="EJ-Malang-01"/>
    <s v="Oka-0813-2707-1646"/>
    <d v="2024-07-10T00:00:00"/>
    <d v="1899-12-30T09:40:00"/>
    <s v="EJ-MALANG-01"/>
    <x v="0"/>
    <x v="16"/>
    <s v="ZTE2005"/>
    <s v="Pcs"/>
    <n v="1"/>
    <s v="CLR51-99-061"/>
    <x v="54"/>
    <m/>
    <m/>
    <m/>
    <s v="Fatur"/>
    <n v="0"/>
    <s v="3515082712870005"/>
    <s v="W 3265 OH"/>
    <m/>
    <m/>
    <s v="Perumahan Perumnas Talangagung I Malang"/>
    <e v="#N/A"/>
    <e v="#N/A"/>
    <s v="OUTBOUND_"/>
  </r>
  <r>
    <s v="1172"/>
    <m/>
    <x v="1"/>
    <s v="OUB-W0012407-402"/>
    <s v="EJ-Malang-01"/>
    <s v="Oka-0813-2707-1646"/>
    <d v="2024-07-10T00:00:00"/>
    <d v="1899-12-30T15:41:00"/>
    <s v="EJ-MALANG-01"/>
    <x v="0"/>
    <x v="16"/>
    <s v="ZTE2005"/>
    <s v="Pcs"/>
    <n v="2"/>
    <s v="CLR51-99-063"/>
    <x v="55"/>
    <m/>
    <m/>
    <m/>
    <s v="Sifak"/>
    <n v="0"/>
    <s v="3507312107950002"/>
    <s v="N 1969 FF"/>
    <m/>
    <m/>
    <s v="Perumahan Kepanjen Permai II"/>
    <e v="#N/A"/>
    <e v="#N/A"/>
    <s v="OUTBOUND_"/>
  </r>
  <r>
    <s v="1173"/>
    <m/>
    <x v="1"/>
    <s v="OUB-W0012407-403"/>
    <s v="EJ-Malang-01"/>
    <s v="Oka-0813-2707-1646"/>
    <d v="2024-07-11T00:00:00"/>
    <d v="1899-12-30T21:28:00"/>
    <s v="EJ-MALANG-01"/>
    <x v="0"/>
    <x v="16"/>
    <s v="ZTE2005"/>
    <s v="Pcs"/>
    <n v="1"/>
    <s v="CLR51-99-061"/>
    <x v="54"/>
    <m/>
    <m/>
    <m/>
    <s v="Fatur"/>
    <n v="0"/>
    <s v="3515082712870005"/>
    <s v="W 3265 OH"/>
    <m/>
    <m/>
    <s v="Perumahan Perumnas Talangagung I Malang"/>
    <e v="#N/A"/>
    <e v="#N/A"/>
    <s v="OUTBOUND_"/>
  </r>
  <r>
    <s v="1174"/>
    <m/>
    <x v="1"/>
    <s v="OUB-W0012407-405"/>
    <s v="EJ-Malang-01"/>
    <s v="Oka-0813-2707-1646"/>
    <d v="2024-07-14T00:00:00"/>
    <d v="1899-12-30T16:08:00"/>
    <s v="EJ-MALANG-01"/>
    <x v="0"/>
    <x v="16"/>
    <s v="ZTE2005"/>
    <s v="Pcs"/>
    <n v="1"/>
    <s v="CLR51-99-049"/>
    <x v="80"/>
    <m/>
    <m/>
    <m/>
    <s v="Riki Romansyah"/>
    <s v="Febby Supplier"/>
    <s v="3507050501950006"/>
    <s v="N 8420 EL"/>
    <m/>
    <m/>
    <s v="Perumahan Panca Garden"/>
    <e v="#N/A"/>
    <e v="#N/A"/>
    <s v="OUTBOUND_"/>
  </r>
  <r>
    <s v="1175"/>
    <m/>
    <x v="1"/>
    <s v="OUB-W0012407-406"/>
    <s v="EJ-Malang-01"/>
    <s v="Oka-0813-2707-1646"/>
    <d v="2024-07-14T00:00:00"/>
    <d v="1899-12-30T18:29:00"/>
    <s v="EJ-MALANG-01"/>
    <x v="0"/>
    <x v="16"/>
    <s v="ZTE2005"/>
    <s v="Pcs"/>
    <n v="1"/>
    <s v="CLR51-02-016"/>
    <x v="141"/>
    <m/>
    <m/>
    <m/>
    <s v="Sifak"/>
    <n v="0"/>
    <s v="3507312107950002"/>
    <s v="N 1969 FF"/>
    <m/>
    <m/>
    <s v="Ngenep RW 06 Karang Ploso"/>
    <e v="#N/A"/>
    <e v="#N/A"/>
    <s v="OUTBOUND_"/>
  </r>
  <r>
    <s v="1176"/>
    <m/>
    <x v="0"/>
    <s v="INB-W0012407-412"/>
    <s v="EJ-Malang-01"/>
    <s v="Oka-0813-2707-1646"/>
    <d v="2024-07-23T00:00:00"/>
    <d v="1900-01-14T07:00:00"/>
    <s v="ZTE Warehouse"/>
    <x v="0"/>
    <x v="16"/>
    <s v="ZTE2005"/>
    <s v="Pcs"/>
    <n v="2"/>
    <m/>
    <x v="3"/>
    <n v="0"/>
    <n v="0"/>
    <m/>
    <m/>
    <m/>
    <m/>
    <m/>
    <m/>
    <m/>
    <n v="0"/>
    <e v="#N/A"/>
    <e v="#N/A"/>
    <s v="OUTBOUND_"/>
  </r>
  <r>
    <s v="1177"/>
    <m/>
    <x v="1"/>
    <s v="OUB-W0012407-420"/>
    <s v="EJ-Malang-01"/>
    <s v="Oka-0813-2707-1646"/>
    <d v="2024-07-30T00:00:00"/>
    <d v="1899-12-30T10:24:00"/>
    <s v="EJ-MALANG-01"/>
    <x v="0"/>
    <x v="16"/>
    <s v="ZTE2005"/>
    <s v="Pcs"/>
    <n v="2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178"/>
    <m/>
    <x v="4"/>
    <s v="BOI-W0012408-453"/>
    <s v="EJ-Malang-01"/>
    <s v="Oka-0813-2707-1646"/>
    <d v="2024-08-22T00:00:00"/>
    <d v="1900-01-14T07:00:00"/>
    <s v="Other Subcon"/>
    <x v="0"/>
    <x v="16"/>
    <s v="ZTE2005"/>
    <s v="Pcs"/>
    <n v="1"/>
    <s v="BR005"/>
    <x v="38"/>
    <n v="0"/>
    <n v="0"/>
    <m/>
    <m/>
    <m/>
    <m/>
    <m/>
    <s v="Morasa Return"/>
    <m/>
    <s v="MORASHA"/>
    <e v="#N/A"/>
    <e v="#N/A"/>
    <s v="OUTBOUND_"/>
  </r>
  <r>
    <s v="1179"/>
    <m/>
    <x v="0"/>
    <s v="INB-W0012408-453"/>
    <s v="EJ-Malang-01"/>
    <s v="Oka-0813-2707-1646"/>
    <d v="2024-08-22T00:00:00"/>
    <d v="1900-01-14T07:00:00"/>
    <s v="ZTE Warehouse"/>
    <x v="0"/>
    <x v="16"/>
    <s v="ZTE2005"/>
    <s v="Pcs"/>
    <n v="5"/>
    <m/>
    <x v="3"/>
    <n v="0"/>
    <n v="0"/>
    <m/>
    <m/>
    <m/>
    <m/>
    <m/>
    <m/>
    <m/>
    <n v="0"/>
    <e v="#N/A"/>
    <e v="#N/A"/>
    <s v="OUTBOUND_"/>
  </r>
  <r>
    <s v="1180"/>
    <m/>
    <x v="1"/>
    <s v="OUB-W0012408-452"/>
    <s v="EJ-Malang-01"/>
    <s v="Oka-0813-2707-1646"/>
    <d v="2024-08-22T00:00:00"/>
    <d v="1899-12-30T11:13:00"/>
    <s v="EJ-MALANG-01"/>
    <x v="0"/>
    <x v="16"/>
    <s v="ZTE2005"/>
    <s v="Pcs"/>
    <n v="1"/>
    <s v="CLR51-99-086"/>
    <x v="47"/>
    <m/>
    <m/>
    <m/>
    <s v="Sifak"/>
    <n v="0"/>
    <s v="3507312107950002"/>
    <s v="N 1969 FF"/>
    <m/>
    <m/>
    <s v="Klampok RW 01 Singosari"/>
    <e v="#N/A"/>
    <e v="#N/A"/>
    <s v="OUTBOUND_"/>
  </r>
  <r>
    <s v="1181"/>
    <m/>
    <x v="0"/>
    <s v="INB-W0012408-467"/>
    <s v="EJ-Malang-01"/>
    <s v="Oka-0813-2707-1646"/>
    <d v="2024-08-28T00:00:00"/>
    <d v="1900-01-14T07:00:00"/>
    <s v="ZTE Warehouse"/>
    <x v="0"/>
    <x v="16"/>
    <s v="ZTE2005"/>
    <s v="Pcs"/>
    <n v="4"/>
    <m/>
    <x v="3"/>
    <n v="0"/>
    <n v="0"/>
    <m/>
    <m/>
    <m/>
    <m/>
    <m/>
    <m/>
    <m/>
    <n v="0"/>
    <e v="#N/A"/>
    <e v="#N/A"/>
    <s v="OUTBOUND_"/>
  </r>
  <r>
    <s v="1182"/>
    <m/>
    <x v="1"/>
    <s v="OUB-W0012408-466"/>
    <s v="EJ-Malang-01"/>
    <s v="Oka-0813-2707-1646"/>
    <d v="2024-08-28T00:00:00"/>
    <d v="1899-12-30T11:29:00"/>
    <s v="EJ-MALANG-01"/>
    <x v="0"/>
    <x v="16"/>
    <s v="ZTE2005"/>
    <s v="Pcs"/>
    <n v="2"/>
    <s v="CLR51-09-009"/>
    <x v="62"/>
    <m/>
    <m/>
    <m/>
    <s v="Sifak"/>
    <n v="0"/>
    <s v="3507312107950002"/>
    <s v="N 1969 FF"/>
    <m/>
    <m/>
    <s v="Dilem RW 03 Kepanjen"/>
    <e v="#N/A"/>
    <e v="#N/A"/>
    <s v="OUTBOUND_"/>
  </r>
  <r>
    <s v="1183"/>
    <m/>
    <x v="1"/>
    <s v="OUB-W0012408-475"/>
    <s v="EJ-Malang-01"/>
    <s v="Oka-0813-2707-1646"/>
    <d v="2024-08-31T00:00:00"/>
    <d v="1899-12-30T12:30:00"/>
    <s v="EJ-MALANG-01"/>
    <x v="0"/>
    <x v="16"/>
    <s v="ZTE2005"/>
    <s v="Pcs"/>
    <n v="2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1184"/>
    <m/>
    <x v="1"/>
    <s v="OUB-W0012409-487"/>
    <s v="EJ-Malang-01"/>
    <s v="Oka-0813-2707-1646"/>
    <d v="2024-09-05T00:00:00"/>
    <d v="1899-12-30T01:58:00"/>
    <s v="EJ-MALANG-01"/>
    <x v="0"/>
    <x v="16"/>
    <s v="ZTE2005"/>
    <s v="Pcs"/>
    <n v="1"/>
    <s v="CLR51-99-116"/>
    <x v="67"/>
    <m/>
    <m/>
    <m/>
    <s v="Fatur"/>
    <n v="0"/>
    <s v="3515082712870005"/>
    <s v="W 3265 OH"/>
    <m/>
    <m/>
    <s v="SENGGURUH RW 02 MALANG"/>
    <e v="#N/A"/>
    <e v="#N/A"/>
    <s v="OUTBOUND_"/>
  </r>
  <r>
    <s v="1185"/>
    <m/>
    <x v="2"/>
    <s v="TFO-W0012409-522"/>
    <s v="EJ-Malang-01"/>
    <s v="Oka-0813-2707-1646"/>
    <d v="2024-09-30T00:00:00"/>
    <d v="1899-12-30T17:35:00"/>
    <s v="EJ-NGAWI-01"/>
    <x v="0"/>
    <x v="16"/>
    <s v="ZTE2005"/>
    <s v="Pcs"/>
    <n v="1"/>
    <n v="0"/>
    <x v="4"/>
    <m/>
    <m/>
    <m/>
    <s v="Fatkur"/>
    <n v="0"/>
    <s v="1812010507910004"/>
    <s v="AE 8322  NH"/>
    <s v="to Ngawi"/>
    <m/>
    <s v="Transfer Gudang"/>
    <e v="#N/A"/>
    <e v="#N/A"/>
    <s v="TRANSFER OUT_"/>
  </r>
  <r>
    <s v="1186"/>
    <m/>
    <x v="1"/>
    <s v="OUB-W0012410-524"/>
    <s v="EJ-Malang-01"/>
    <s v="Oka-0813-2707-1646"/>
    <d v="2024-10-05T00:00:00"/>
    <d v="1899-12-30T18:58:00"/>
    <s v="EJ-MALANG-01"/>
    <x v="0"/>
    <x v="16"/>
    <s v="ZTE2005"/>
    <s v="Pcs"/>
    <n v="1"/>
    <s v="CLR51-09-001"/>
    <x v="142"/>
    <m/>
    <m/>
    <m/>
    <s v="Fahrudin"/>
    <n v="0"/>
    <s v="3507131605830004"/>
    <s v="N 1383 G"/>
    <m/>
    <m/>
    <s v="Pakisaji RW 01 Malang"/>
    <e v="#N/A"/>
    <e v="#N/A"/>
    <s v="OUTBOUND_"/>
  </r>
  <r>
    <s v="1187"/>
    <m/>
    <x v="1"/>
    <s v="OUB-W0012411-549"/>
    <s v="EJ-Malang-01"/>
    <s v="Oka-0813-2707-1646"/>
    <d v="2024-11-08T00:00:00"/>
    <d v="1899-12-30T13:43:00"/>
    <s v="EJ-MALANG-01"/>
    <x v="0"/>
    <x v="16"/>
    <s v="ZTE2005"/>
    <s v="Pcs"/>
    <n v="1"/>
    <s v="CLR51-99-095"/>
    <x v="16"/>
    <m/>
    <m/>
    <m/>
    <s v="Fatur"/>
    <n v="0"/>
    <s v="3515082712870005"/>
    <s v="W 3265 OH"/>
    <m/>
    <m/>
    <s v="Candirenggo RW 10 Singosari"/>
    <e v="#N/A"/>
    <e v="#N/A"/>
    <s v="OUTBOUND_"/>
  </r>
  <r>
    <s v="1188"/>
    <m/>
    <x v="1"/>
    <s v="OUB-W0012411-560"/>
    <s v="EJ-Malang-01"/>
    <s v="Oka-0813-2707-1646"/>
    <d v="2024-11-24T00:00:00"/>
    <d v="1899-12-30T18:58:00"/>
    <s v="EJ-MALANG-01"/>
    <x v="0"/>
    <x v="16"/>
    <s v="ZTE2005"/>
    <s v="Pcs"/>
    <n v="1"/>
    <s v="CLR51-99-124"/>
    <x v="17"/>
    <m/>
    <m/>
    <m/>
    <s v="Fatur"/>
    <n v="0"/>
    <s v="3515082712870005"/>
    <s v="W 3265 OH"/>
    <m/>
    <m/>
    <s v="Perumahan Bukit Lawang Indah Malang"/>
    <e v="#N/A"/>
    <e v="#N/A"/>
    <s v="OUTBOUND_"/>
  </r>
  <r>
    <s v="1189"/>
    <m/>
    <x v="0"/>
    <s v="INB-W0012411-565"/>
    <s v="EJ-Malang-01"/>
    <s v="Oka-0813-2707-1646"/>
    <d v="2024-11-26T00:00:00"/>
    <d v="1900-01-14T07:00:00"/>
    <s v="ZTE Warehouse"/>
    <x v="0"/>
    <x v="16"/>
    <s v="ZTE2005"/>
    <s v="Pcs"/>
    <n v="1"/>
    <s v="CLR51-09-010"/>
    <x v="81"/>
    <s v="DOEID241121BN"/>
    <s v="DNWID0342024112205"/>
    <m/>
    <m/>
    <m/>
    <m/>
    <m/>
    <m/>
    <m/>
    <s v="Bedali RW 03 Kromengan"/>
    <d v="2024-11-26T00:00:00"/>
    <b v="1"/>
    <s v="OUTBOUND_"/>
  </r>
  <r>
    <s v="1190"/>
    <m/>
    <x v="0"/>
    <s v="INB-W0012411-565"/>
    <s v="EJ-Malang-01"/>
    <s v="Oka-0813-2707-1646"/>
    <d v="2024-11-26T00:00:00"/>
    <d v="1900-01-14T07:00:00"/>
    <s v="ZTE Warehouse"/>
    <x v="0"/>
    <x v="16"/>
    <s v="ZTE2005"/>
    <s v="Pcs"/>
    <n v="1"/>
    <s v="CLR51-09-011"/>
    <x v="84"/>
    <s v="DOEID241121BP"/>
    <s v="DNWID0342024112204"/>
    <m/>
    <m/>
    <m/>
    <m/>
    <m/>
    <m/>
    <m/>
    <s v="Bedali RW 04 Kromengan"/>
    <d v="2024-11-26T00:00:00"/>
    <b v="1"/>
    <s v="OUTBOUND_"/>
  </r>
  <r>
    <s v="1191"/>
    <m/>
    <x v="0"/>
    <s v="INB-W0012411-565"/>
    <s v="EJ-Malang-01"/>
    <s v="Oka-0813-2707-1646"/>
    <d v="2024-11-26T00:00:00"/>
    <d v="1900-01-14T07:00:00"/>
    <s v="ZTE Warehouse"/>
    <x v="0"/>
    <x v="16"/>
    <s v="ZTE2005"/>
    <s v="Pcs"/>
    <n v="1"/>
    <s v="CLR51-09-012"/>
    <x v="83"/>
    <s v="DOEID241121BR"/>
    <s v="DNWID0342024112203"/>
    <m/>
    <m/>
    <m/>
    <m/>
    <m/>
    <m/>
    <m/>
    <s v="Bedali RW 05 Kromengan"/>
    <d v="2024-11-26T00:00:00"/>
    <b v="1"/>
    <s v="OUTBOUND_"/>
  </r>
  <r>
    <s v="1192"/>
    <m/>
    <x v="0"/>
    <s v="INB-W0012411-565"/>
    <s v="EJ-Malang-01"/>
    <s v="Oka-0813-2707-1646"/>
    <d v="2024-11-26T00:00:00"/>
    <d v="1900-01-14T07:00:00"/>
    <s v="ZTE Warehouse"/>
    <x v="0"/>
    <x v="16"/>
    <s v="ZTE2005"/>
    <s v="Pcs"/>
    <n v="1"/>
    <s v="CLR51-99-124"/>
    <x v="85"/>
    <s v="DOEID24112584"/>
    <s v="DNWID0342024112505"/>
    <m/>
    <m/>
    <m/>
    <m/>
    <m/>
    <m/>
    <m/>
    <s v="Perumahan Bukit Lawang Indah Malang"/>
    <d v="2024-11-26T00:00:00"/>
    <b v="1"/>
    <s v="OUTBOUND_"/>
  </r>
  <r>
    <s v="1193"/>
    <m/>
    <x v="1"/>
    <s v="OUB-W0012411-569"/>
    <s v="EJ-Malang-01"/>
    <s v="Oka-0813-2707-1646"/>
    <d v="2024-11-28T00:00:00"/>
    <d v="1899-12-30T09:25:00"/>
    <s v="EJ-MALANG-01"/>
    <x v="0"/>
    <x v="16"/>
    <s v="ZTE2005"/>
    <s v="Pcs"/>
    <n v="3"/>
    <s v="CLR51-09-010"/>
    <x v="81"/>
    <m/>
    <m/>
    <m/>
    <s v="Fahrudin"/>
    <s v="Febby Supplier"/>
    <s v="3507131605830004"/>
    <s v="N 1383 G"/>
    <m/>
    <m/>
    <s v="Bedali RW 03 Kromengan"/>
    <e v="#N/A"/>
    <e v="#N/A"/>
    <s v="OUTBOUND_"/>
  </r>
  <r>
    <s v="1194"/>
    <m/>
    <x v="0"/>
    <s v="INB-W0012412-582"/>
    <s v="EJ-Malang-01"/>
    <s v="Oka-0813-2707-1646"/>
    <d v="2024-12-17T00:00:00"/>
    <d v="1900-01-14T07:00:00"/>
    <s v="ZTE Warehouse"/>
    <x v="0"/>
    <x v="16"/>
    <s v="ZTE2005"/>
    <s v="Pcs"/>
    <n v="3"/>
    <m/>
    <x v="3"/>
    <n v="0"/>
    <n v="0"/>
    <m/>
    <m/>
    <m/>
    <m/>
    <m/>
    <m/>
    <m/>
    <n v="0"/>
    <e v="#N/A"/>
    <e v="#N/A"/>
    <s v="OUTBOUND_"/>
  </r>
  <r>
    <s v="1195"/>
    <m/>
    <x v="1"/>
    <s v="OUB-W0012412-580"/>
    <s v="EJ-Malang-01"/>
    <s v="Oka-0813-2707-1646"/>
    <d v="2024-12-17T00:00:00"/>
    <d v="1899-12-30T15:49:00"/>
    <s v="EJ-MALANG-01"/>
    <x v="0"/>
    <x v="16"/>
    <s v="ZTE2005"/>
    <s v="Pcs"/>
    <n v="1"/>
    <s v="CLR51-09-004"/>
    <x v="86"/>
    <m/>
    <m/>
    <m/>
    <s v="Deni Indra"/>
    <n v="0"/>
    <n v="0"/>
    <s v="N 1547 IR"/>
    <m/>
    <m/>
    <s v="Permanu RW 02 Pakisaji"/>
    <e v="#N/A"/>
    <e v="#N/A"/>
    <s v="OUTBOUND_"/>
  </r>
  <r>
    <s v="1196"/>
    <m/>
    <x v="1"/>
    <s v="OUB-W0012412-581"/>
    <s v="EJ-Malang-01"/>
    <s v="Oka-0813-2707-1646"/>
    <d v="2024-12-17T00:00:00"/>
    <d v="1899-12-30T21:03:00"/>
    <s v="EJ-MALANG-01"/>
    <x v="0"/>
    <x v="16"/>
    <s v="ZTE2005"/>
    <s v="Pcs"/>
    <n v="2"/>
    <s v="CLR51-99-056"/>
    <x v="164"/>
    <m/>
    <m/>
    <m/>
    <s v="Fahrudin"/>
    <n v="0"/>
    <n v="0"/>
    <s v="N 1383 G"/>
    <m/>
    <m/>
    <s v="DUSUN CUPAK RW 01"/>
    <e v="#N/A"/>
    <e v="#N/A"/>
    <s v="OUTBOUND_"/>
  </r>
  <r>
    <s v="1197"/>
    <m/>
    <x v="1"/>
    <s v="OUB-W0012412-586"/>
    <s v="EJ-Malang-01"/>
    <s v="Oka-0813-2707-1646"/>
    <d v="2024-12-25T00:00:00"/>
    <d v="1899-12-30T17:31:00"/>
    <s v="EJ-MALANG-01"/>
    <x v="0"/>
    <x v="16"/>
    <s v="ZTE2005"/>
    <s v="Pcs"/>
    <n v="1"/>
    <s v="CLR51-09-013"/>
    <x v="144"/>
    <m/>
    <m/>
    <m/>
    <s v="Sifak"/>
    <n v="0"/>
    <s v="3507312107950002"/>
    <s v="N 1969 FF"/>
    <m/>
    <m/>
    <s v="Perum Chandra Kirana Watugede"/>
    <e v="#N/A"/>
    <e v="#N/A"/>
    <s v="OUTBOUND_"/>
  </r>
  <r>
    <s v="1198"/>
    <m/>
    <x v="0"/>
    <s v="INB-W0012502-603"/>
    <s v="EJ-Malang-01"/>
    <s v="Oka-0813-2707-1646"/>
    <d v="2025-02-05T00:00:00"/>
    <d v="1900-01-14T07:00:00"/>
    <s v="ZTE Warehouse"/>
    <x v="0"/>
    <x v="16"/>
    <s v="ZTE2005"/>
    <s v="Pcs"/>
    <n v="1"/>
    <s v="CLR51-99-050"/>
    <x v="88"/>
    <n v="0"/>
    <n v="0"/>
    <m/>
    <m/>
    <m/>
    <m/>
    <m/>
    <m/>
    <m/>
    <s v="Perumahan De Wira Green View"/>
    <e v="#N/A"/>
    <e v="#N/A"/>
    <s v="OUTBOUND_"/>
  </r>
  <r>
    <s v="1199"/>
    <m/>
    <x v="1"/>
    <s v="OUB-W0012502-604"/>
    <s v="EJ-Malang-01"/>
    <s v="Oka-0813-2707-1646"/>
    <d v="2025-02-06T00:00:00"/>
    <d v="1899-12-30T09:35:00"/>
    <s v="EJ-MALANG-01"/>
    <x v="0"/>
    <x v="16"/>
    <s v="ZTE2005"/>
    <s v="Pcs"/>
    <n v="1"/>
    <s v="CLR51-99-050"/>
    <x v="88"/>
    <m/>
    <m/>
    <m/>
    <s v="Riki Romansyah"/>
    <n v="0"/>
    <s v="3507050501950006"/>
    <s v="N 8420 EL"/>
    <m/>
    <m/>
    <s v="PERUMAHAN DE WIRA GREEN VIEW"/>
    <e v="#N/A"/>
    <e v="#N/A"/>
    <s v="OUTBOUND_"/>
  </r>
  <r>
    <s v="1200"/>
    <m/>
    <x v="0"/>
    <s v="INB-W0012502-610"/>
    <s v="EJ-Malang-01"/>
    <s v="Oka-0813-2707-1646"/>
    <d v="2025-02-20T00:00:00"/>
    <d v="1900-01-14T07:00:00"/>
    <s v="ZTE Warehouse"/>
    <x v="0"/>
    <x v="16"/>
    <s v="ZTE2005"/>
    <s v="Pcs"/>
    <n v="1"/>
    <m/>
    <x v="3"/>
    <n v="0"/>
    <n v="0"/>
    <m/>
    <m/>
    <m/>
    <m/>
    <m/>
    <m/>
    <m/>
    <n v="0"/>
    <e v="#N/A"/>
    <e v="#N/A"/>
    <s v="OUTBOUND_"/>
  </r>
  <r>
    <s v="1201"/>
    <m/>
    <x v="1"/>
    <s v="OUB-W0012502-615"/>
    <s v="EJ-Malang-01"/>
    <s v="Oka-0813-2707-1646"/>
    <d v="2025-02-21T00:00:00"/>
    <d v="1899-12-30T15:09:00"/>
    <s v="EJ-MALANG-01"/>
    <x v="0"/>
    <x v="16"/>
    <s v="ZTE2005"/>
    <s v="Pcs"/>
    <n v="1"/>
    <s v="CLR51-08-007"/>
    <x v="89"/>
    <m/>
    <m/>
    <m/>
    <s v="Deny Indra"/>
    <n v="0"/>
    <n v="0"/>
    <s v="N 1547 IR"/>
    <m/>
    <m/>
    <s v="Sitirejo RW 04 Wagir"/>
    <e v="#N/A"/>
    <e v="#N/A"/>
    <s v="OUTBOUND_"/>
  </r>
  <r>
    <s v="1202"/>
    <m/>
    <x v="0"/>
    <s v="INB-W0012503-626"/>
    <s v="EJ-Malang-01"/>
    <s v="Oka-0813-2707-1646"/>
    <d v="2025-03-19T00:00:00"/>
    <d v="1900-01-14T07:00:00"/>
    <s v="ZTE Warehouse"/>
    <x v="0"/>
    <x v="16"/>
    <s v="ZTE2005"/>
    <s v="Pcs"/>
    <n v="2"/>
    <m/>
    <x v="3"/>
    <n v="0"/>
    <n v="0"/>
    <m/>
    <m/>
    <m/>
    <m/>
    <m/>
    <m/>
    <m/>
    <n v="0"/>
    <e v="#N/A"/>
    <e v="#N/A"/>
    <s v="OUTBOUND_"/>
  </r>
  <r>
    <s v="1203"/>
    <m/>
    <x v="1"/>
    <s v="OUB-W0012503-632"/>
    <s v="EJ-Malang-01"/>
    <s v="Oka-0813-2707-1646"/>
    <d v="2025-03-23T00:00:00"/>
    <d v="1899-12-30T19:57:00"/>
    <s v="EJ-MALANG-01"/>
    <x v="0"/>
    <x v="16"/>
    <s v="ZTE2005"/>
    <s v="Pcs"/>
    <n v="2"/>
    <s v="CLR51-99-141"/>
    <x v="90"/>
    <m/>
    <m/>
    <m/>
    <s v="Sifak"/>
    <n v="0"/>
    <s v="3507312107950002"/>
    <s v="N 1046 ABC"/>
    <m/>
    <m/>
    <s v="Temas RW 05"/>
    <e v="#N/A"/>
    <e v="#N/A"/>
    <s v="OUTBOUND_"/>
  </r>
  <r>
    <s v="1204"/>
    <m/>
    <x v="0"/>
    <s v="INB-W0012503-634"/>
    <s v="EJ-Malang-01"/>
    <s v="Oka-0813-2707-1646"/>
    <d v="2025-03-24T00:00:00"/>
    <d v="1900-01-14T07:00:00"/>
    <s v="ZTE Warehouse"/>
    <x v="0"/>
    <x v="16"/>
    <s v="ZTE2005"/>
    <s v="Pcs"/>
    <n v="1"/>
    <s v="CLR51-99-141"/>
    <x v="90"/>
    <s v="DOEID25031899"/>
    <s v="DNWID0342025031809"/>
    <m/>
    <m/>
    <m/>
    <m/>
    <m/>
    <m/>
    <m/>
    <s v="Temas RW 05"/>
    <d v="2025-03-19T00:00:00"/>
    <b v="0"/>
    <s v="OUTBOUND_"/>
  </r>
  <r>
    <s v="1205"/>
    <m/>
    <x v="1"/>
    <s v="OUB-W0012505-641"/>
    <s v="EJ-Malang-01"/>
    <s v="Oka-0813-2707-1646"/>
    <d v="2025-05-25T00:00:00"/>
    <d v="1899-12-30T19:57:00"/>
    <s v="EJ-MALANG-01"/>
    <x v="0"/>
    <x v="16"/>
    <s v="ZTE2005"/>
    <s v="Pcs"/>
    <n v="1"/>
    <s v="CLR51-99-212"/>
    <x v="146"/>
    <m/>
    <m/>
    <m/>
    <s v="Sifak"/>
    <n v="0"/>
    <s v="3507312107950002"/>
    <s v="N 1046 ABC"/>
    <m/>
    <m/>
    <s v="KEBONAGUNG RW 01 MALANG"/>
    <e v="#N/A"/>
    <e v="#N/A"/>
    <s v="OUTBOUND_"/>
  </r>
  <r>
    <s v="1206"/>
    <m/>
    <x v="3"/>
    <s v="TFI-W0012505-642"/>
    <s v="EJ-Malang-01"/>
    <s v="Oka-0813-2707-1646"/>
    <d v="2025-05-27T00:00:00"/>
    <d v="1900-01-14T07:00:00"/>
    <s v="EJ-GRESIK-01"/>
    <x v="0"/>
    <x v="16"/>
    <s v="ZTE2005"/>
    <s v="Pcs"/>
    <n v="1"/>
    <s v="TRF"/>
    <x v="93"/>
    <n v="0"/>
    <n v="0"/>
    <m/>
    <m/>
    <m/>
    <m/>
    <m/>
    <m/>
    <m/>
    <s v="GRESIK"/>
    <e v="#N/A"/>
    <e v="#N/A"/>
    <s v="OUTBOUND_"/>
  </r>
  <r>
    <s v="1207"/>
    <m/>
    <x v="1"/>
    <s v="OUB-W0012505-644"/>
    <s v="EJ-Malang-01"/>
    <s v="Oka-0813-2707-1646"/>
    <d v="2025-05-29T00:00:00"/>
    <d v="1899-12-30T17:57:00"/>
    <s v="EJ-MALANG-01"/>
    <x v="0"/>
    <x v="16"/>
    <s v="ZTE2005"/>
    <s v="Pcs"/>
    <n v="1"/>
    <s v="CLR51-99-238"/>
    <x v="94"/>
    <m/>
    <m/>
    <m/>
    <s v="Sifak"/>
    <n v="0"/>
    <s v="3507312107950002"/>
    <s v="N 1046 ABC"/>
    <m/>
    <m/>
    <s v="ARJOWINANGUN RW 01 MALANG"/>
    <e v="#N/A"/>
    <e v="#N/A"/>
    <s v="OUTBOUND_"/>
  </r>
  <r>
    <s v="1208"/>
    <m/>
    <x v="0"/>
    <s v="INB-W0012506-646"/>
    <s v="EJ-Malang-01"/>
    <s v="Oka-0813-2707-1646"/>
    <d v="2025-06-13T00:00:00"/>
    <d v="1900-01-14T07:00:00"/>
    <s v="ZTE Warehouse"/>
    <x v="0"/>
    <x v="16"/>
    <s v="ZTE2005"/>
    <s v="Pcs"/>
    <n v="3"/>
    <m/>
    <x v="3"/>
    <n v="0"/>
    <n v="0"/>
    <m/>
    <m/>
    <m/>
    <m/>
    <m/>
    <m/>
    <m/>
    <n v="0"/>
    <e v="#N/A"/>
    <e v="#N/A"/>
    <s v="OUTBOUND_"/>
  </r>
  <r>
    <s v="1209"/>
    <m/>
    <x v="1"/>
    <s v="OUB-W0012506-648"/>
    <s v="EJ-Malang-01"/>
    <s v="Oka-0813-2707-1646"/>
    <d v="2025-06-16T00:00:00"/>
    <d v="1899-12-30T19:57:00"/>
    <s v="EJ-MALANG-01"/>
    <x v="0"/>
    <x v="16"/>
    <s v="ZTE2005"/>
    <s v="Pcs"/>
    <n v="1"/>
    <s v="CLR51-99-104"/>
    <x v="170"/>
    <m/>
    <m/>
    <m/>
    <s v="Deny Indra"/>
    <n v="0"/>
    <n v="0"/>
    <s v="N 1547 IR"/>
    <m/>
    <m/>
    <s v="BULULAWANG RW 05 MALANG"/>
    <e v="#N/A"/>
    <e v="#N/A"/>
    <s v="OUTBOUND_"/>
  </r>
  <r>
    <s v="1210"/>
    <m/>
    <x v="0"/>
    <s v="INB-W0012506-649"/>
    <s v="EJ-Malang-01"/>
    <s v="Oka-0813-2707-1646"/>
    <d v="2025-06-18T00:00:00"/>
    <d v="1900-01-14T07:00:00"/>
    <s v="ZTE Warehouse"/>
    <x v="0"/>
    <x v="16"/>
    <s v="ZTE2005"/>
    <s v="Pcs"/>
    <n v="1"/>
    <m/>
    <x v="3"/>
    <n v="0"/>
    <n v="0"/>
    <m/>
    <m/>
    <m/>
    <m/>
    <m/>
    <m/>
    <m/>
    <n v="0"/>
    <e v="#N/A"/>
    <e v="#N/A"/>
    <s v="OUTBOUND_"/>
  </r>
  <r>
    <s v="1211"/>
    <m/>
    <x v="1"/>
    <s v="OUB-W0012506-660"/>
    <s v="EJ-Malang-01"/>
    <s v="Oka-0813-2707-1646"/>
    <d v="2025-06-25T00:00:00"/>
    <d v="1899-12-30T21:03:00"/>
    <s v="EJ-MALANG-01"/>
    <x v="0"/>
    <x v="16"/>
    <s v="ZTE2005"/>
    <s v="Pcs"/>
    <n v="1"/>
    <s v="CLR51-99-243"/>
    <x v="97"/>
    <m/>
    <m/>
    <m/>
    <s v="Fahrudin"/>
    <n v="0"/>
    <n v="0"/>
    <s v="N 1383 G"/>
    <m/>
    <m/>
    <s v="DESA KARANGANYAR KIDUL PONCOKUSUMO   MALANG"/>
    <e v="#N/A"/>
    <e v="#N/A"/>
    <s v="OUTBOUND_"/>
  </r>
  <r>
    <s v="1212"/>
    <m/>
    <x v="0"/>
    <s v="INB-W0012507-668"/>
    <s v="EJ-Malang-01"/>
    <s v="Oka-0813-2707-1646"/>
    <d v="2025-07-12T00:00:00"/>
    <d v="1900-01-14T07:00:00"/>
    <s v="ZTE Warehouse"/>
    <x v="0"/>
    <x v="16"/>
    <s v="ZTE2005"/>
    <s v="Pcs"/>
    <n v="2"/>
    <s v="CLR51-99-107"/>
    <x v="101"/>
    <n v="0"/>
    <n v="0"/>
    <m/>
    <m/>
    <m/>
    <m/>
    <m/>
    <m/>
    <m/>
    <s v="KREBET RW 03"/>
    <e v="#N/A"/>
    <e v="#N/A"/>
    <s v="OUTBOUND_"/>
  </r>
  <r>
    <s v="1213"/>
    <m/>
    <x v="1"/>
    <s v="OUB-W0012507-671"/>
    <s v="EJ-Malang-01"/>
    <s v="Oka-0813-2707-1646"/>
    <d v="2025-07-19T00:00:00"/>
    <d v="1899-12-30T12:57:00"/>
    <s v="EJ-MALANG-01"/>
    <x v="0"/>
    <x v="16"/>
    <s v="ZTE2005"/>
    <s v="Pcs"/>
    <n v="1"/>
    <s v="CLR51-99-107"/>
    <x v="101"/>
    <m/>
    <m/>
    <m/>
    <s v="Riki Romansyah"/>
    <n v="0"/>
    <s v="3507050501950006"/>
    <s v="N 8420 EL"/>
    <m/>
    <m/>
    <s v="KREBET RW 03"/>
    <e v="#N/A"/>
    <e v="#N/A"/>
    <s v="OUTBOUND_"/>
  </r>
  <r>
    <s v="1214"/>
    <m/>
    <x v="1"/>
    <s v="OUB-W0012507-675"/>
    <s v="EJ-Malang-01"/>
    <s v="Oka-0813-2707-1646"/>
    <d v="2025-07-27T00:00:00"/>
    <d v="1899-12-30T19:57:00"/>
    <s v="EJ-MALANG-01"/>
    <x v="0"/>
    <x v="16"/>
    <s v="ZTE2005"/>
    <s v="Pcs"/>
    <n v="1"/>
    <s v="CLR51-99-264"/>
    <x v="172"/>
    <m/>
    <m/>
    <m/>
    <s v="Sifak"/>
    <n v="0"/>
    <s v="3507312107950002"/>
    <s v="N 1046 ABC"/>
    <m/>
    <m/>
    <s v="BULULAWANG RW 07 MALANG"/>
    <e v="#N/A"/>
    <e v="#N/A"/>
    <s v="OUTBOUND_"/>
  </r>
  <r>
    <s v="1215"/>
    <m/>
    <x v="1"/>
    <s v="OUB-W0012508-682"/>
    <s v="EJ-Malang-01"/>
    <s v="Oka-0813-2707-1646"/>
    <d v="2025-08-09T00:00:00"/>
    <d v="1899-12-30T13:22:00"/>
    <s v="EJ-MALANG-01"/>
    <x v="0"/>
    <x v="16"/>
    <s v="ZTE2005"/>
    <s v="Pcs"/>
    <n v="1"/>
    <s v="CLR51-99-250"/>
    <x v="103"/>
    <m/>
    <m/>
    <m/>
    <s v="Sifak"/>
    <n v="0"/>
    <s v="3507312107950002"/>
    <s v="N 1046 ABC"/>
    <m/>
    <m/>
    <s v="PERMANU RW 03 MALANG"/>
    <e v="#N/A"/>
    <e v="#N/A"/>
    <s v="OUTBOUND_"/>
  </r>
  <r>
    <s v="1216"/>
    <m/>
    <x v="0"/>
    <s v="INB-W0012508-690"/>
    <s v="EJ-Malang-01"/>
    <s v="Oka-0813-2707-1646"/>
    <d v="2025-08-19T00:00:00"/>
    <d v="1900-01-14T07:00:00"/>
    <s v="ZTE Warehouse"/>
    <x v="0"/>
    <x v="16"/>
    <s v="ZTE2005"/>
    <s v="Pcs"/>
    <n v="1"/>
    <s v="CLR51-99-370"/>
    <x v="105"/>
    <s v="DOEID25081590"/>
    <s v="DNWID1382025081505"/>
    <m/>
    <m/>
    <m/>
    <m/>
    <m/>
    <m/>
    <m/>
    <s v="PERUMAHAN BULULAWANG PERMAI RW 02"/>
    <d v="2025-08-19T00:00:00"/>
    <b v="1"/>
    <s v="OUTBOUND_"/>
  </r>
  <r>
    <s v="1217"/>
    <m/>
    <x v="0"/>
    <s v="INB-W0012508-700"/>
    <s v="EJ-Malang-01"/>
    <s v="Oka-0813-2707-1646"/>
    <d v="2025-08-30T00:00:00"/>
    <d v="1899-12-30T15:31:26"/>
    <s v="ZTE Warehouse"/>
    <x v="0"/>
    <x v="16"/>
    <s v="ZTE2005"/>
    <s v="Pcs"/>
    <n v="1"/>
    <m/>
    <x v="173"/>
    <s v="-"/>
    <s v="-"/>
    <m/>
    <m/>
    <m/>
    <m/>
    <m/>
    <m/>
    <m/>
    <s v="-"/>
    <e v="#N/A"/>
    <e v="#N/A"/>
    <s v="OUTBOUND_"/>
  </r>
  <r>
    <s v="1218"/>
    <n v="2"/>
    <x v="1"/>
    <s v="OUB-W0012509-005"/>
    <s v="EJ-Malang-01"/>
    <s v="Oka-0813-2707-1646"/>
    <d v="2025-09-16T00:00:00"/>
    <d v="1899-12-30T20:14:44"/>
    <s v="EJ-MALANG-01"/>
    <x v="0"/>
    <x v="16"/>
    <s v="ZTE2005"/>
    <s v="Pcs"/>
    <n v="1"/>
    <s v="CLR51-99-370"/>
    <x v="111"/>
    <s v="DOEID25081590"/>
    <s v="DNWID1382025081505"/>
    <m/>
    <s v="Sifak"/>
    <n v="0"/>
    <s v="3507312107950002"/>
    <s v="N 1046 ABC"/>
    <m/>
    <m/>
    <s v="Perumahan Bululawang Permai RW 02"/>
    <d v="2025-08-19T00:00:00"/>
    <b v="0"/>
    <s v="OUTBOUND_"/>
  </r>
  <r>
    <s v="1219"/>
    <n v="1"/>
    <x v="1"/>
    <s v="OUB-W0012509-004"/>
    <s v="EJ-Malang-01"/>
    <s v="Oka-0813-2707-1646"/>
    <d v="2025-09-16T00:00:00"/>
    <d v="1899-12-30T15:07:42"/>
    <s v="EJ-MALANG-01"/>
    <x v="0"/>
    <x v="16"/>
    <s v="ZTE2005"/>
    <s v="Pcs"/>
    <n v="1"/>
    <s v="CLR51-99-252"/>
    <x v="107"/>
    <s v="DOEID25082611"/>
    <s v="DNWID1382025082607"/>
    <m/>
    <s v="Fatur"/>
    <n v="0"/>
    <s v="3515082712870005"/>
    <s v="W 3265 OH"/>
    <m/>
    <m/>
    <s v="KREBET SENGGRONG RW 03 MALANG"/>
    <d v="2025-08-27T00:00:00"/>
    <b v="0"/>
    <s v="OUTBOUND_"/>
  </r>
  <r>
    <s v="1220"/>
    <n v="3"/>
    <x v="0"/>
    <s v="INB-W0012510-002"/>
    <s v="EJ-Malang-01"/>
    <s v="Oka-0813-2707-1646"/>
    <d v="2025-10-23T00:00:00"/>
    <d v="1899-12-30T08:00:00"/>
    <s v="ZTE Warehouse"/>
    <x v="0"/>
    <x v="16"/>
    <s v="ZTE2005"/>
    <s v="Pcs"/>
    <n v="1"/>
    <s v="CLR51-99-257"/>
    <x v="150"/>
    <s v="DOEID25102124"/>
    <s v="DNWID1382025102104"/>
    <m/>
    <s v="Riki Romansyah"/>
    <n v="0"/>
    <s v="3507050501950006"/>
    <s v="N 8420 EL"/>
    <m/>
    <m/>
    <s v="Asshofa Residence"/>
    <d v="2025-10-21T00:00:00"/>
    <b v="0"/>
    <s v="OUTBOUND_"/>
  </r>
  <r>
    <s v="1221"/>
    <n v="1"/>
    <x v="1"/>
    <s v="OUB-W0012510-003"/>
    <s v="EJ-Malang-01"/>
    <s v="Oka-0813-2707-1646"/>
    <d v="2025-10-23T00:00:00"/>
    <d v="1899-12-30T14:35:00"/>
    <s v="EJ-MALANG-01"/>
    <x v="0"/>
    <x v="16"/>
    <s v="ZTE2005"/>
    <s v="Pcs"/>
    <n v="1"/>
    <s v="CLR51-99-257"/>
    <x v="150"/>
    <m/>
    <m/>
    <m/>
    <s v="Fahrudin"/>
    <n v="0"/>
    <n v="0"/>
    <s v="N 1383 G"/>
    <m/>
    <m/>
    <s v="Asshofa Residence"/>
    <e v="#N/A"/>
    <e v="#N/A"/>
    <s v="OUTBOUND_"/>
  </r>
  <r>
    <s v="1222"/>
    <n v="5"/>
    <x v="0"/>
    <s v="INB-W0012510-004"/>
    <s v="EJ-Malang-01"/>
    <s v="Oka-0813-2707-1646"/>
    <d v="2025-10-25T00:00:00"/>
    <d v="1899-12-30T08:00:00"/>
    <s v="ZTE Warehouse"/>
    <x v="0"/>
    <x v="16"/>
    <s v="ZTE2005"/>
    <s v="Pcs"/>
    <n v="1"/>
    <s v="CLR51-99-302"/>
    <x v="112"/>
    <m/>
    <m/>
    <m/>
    <m/>
    <m/>
    <m/>
    <m/>
    <m/>
    <m/>
    <s v="LESANPURO RW 06 MALANG"/>
    <e v="#N/A"/>
    <e v="#N/A"/>
    <s v="OUTBOUND_"/>
  </r>
  <r>
    <s v="1223"/>
    <n v="1"/>
    <x v="1"/>
    <s v="OUB-W0012511-004"/>
    <s v="EJ-Malang-01"/>
    <s v="Oka-0813-2707-1646"/>
    <d v="2025-11-17T00:00:00"/>
    <d v="1899-12-30T19:08:00"/>
    <s v="EJ-MALANG-01"/>
    <x v="0"/>
    <x v="16"/>
    <s v="ZTE2005"/>
    <s v="Pcs"/>
    <n v="1"/>
    <s v="CLR51-99-372"/>
    <x v="114"/>
    <s v="DOEID251024G5"/>
    <s v="DNWID1382025102406"/>
    <m/>
    <s v="Sifak"/>
    <s v="Suliadi"/>
    <s v="3507312107950002"/>
    <s v="N 1046 ABC"/>
    <m/>
    <m/>
    <s v="PALAAN RW 01 SAMPAI 05 MALANG"/>
    <d v="2025-10-25T00:00:00"/>
    <b v="0"/>
    <s v="OUTBOUND_"/>
  </r>
  <r>
    <s v="1224"/>
    <n v="7"/>
    <x v="0"/>
    <s v="INB-W0012512-001"/>
    <s v="EJ-Malang-01"/>
    <s v="Oka-0813-2707-1646"/>
    <d v="2025-12-12T00:00:00"/>
    <d v="1899-12-30T13:00:00"/>
    <s v="ZTE Warehouse"/>
    <x v="0"/>
    <x v="16"/>
    <s v="ZTE2005"/>
    <s v="Pcs"/>
    <n v="1"/>
    <s v="CLR51-99-381"/>
    <x v="117"/>
    <s v="DOEID251211BZ"/>
    <s v="DNWID1382025121129"/>
    <m/>
    <m/>
    <m/>
    <m/>
    <m/>
    <m/>
    <m/>
    <s v="DUSUN ARDIREJO KELURAHAN SIDEREJO MALANG"/>
    <d v="2025-12-12T00:00:00"/>
    <b v="1"/>
    <s v="OUTBOUND_"/>
  </r>
  <r>
    <s v="1225"/>
    <n v="4"/>
    <x v="1"/>
    <s v="OUB-W0012512-023"/>
    <s v="EJ-Malang-01"/>
    <s v="Oka-0813-2707-1646"/>
    <d v="2025-12-24T00:00:00"/>
    <d v="1899-12-30T16:35:00"/>
    <s v="EJ-MALANG-01"/>
    <x v="0"/>
    <x v="16"/>
    <s v="ZTE2005"/>
    <s v="Pcs"/>
    <n v="1"/>
    <s v="CLR51-99-381"/>
    <x v="117"/>
    <m/>
    <m/>
    <m/>
    <s v="Sifak"/>
    <s v="Suliadi"/>
    <s v="3507312107950002"/>
    <s v="N 1046 ABC"/>
    <m/>
    <m/>
    <s v="DUSUN ARDIREJO KELURAHAN SIDEREJO MALANG"/>
    <e v="#N/A"/>
    <e v="#N/A"/>
    <s v="OUTBOUND_"/>
  </r>
  <r>
    <s v="1226"/>
    <n v="3"/>
    <x v="1"/>
    <s v="OUB-W0012603-005"/>
    <s v="EJ-Malang-01"/>
    <s v="Oka-0813-2707-1646"/>
    <d v="2026-03-15T00:00:00"/>
    <d v="1899-12-30T19:00:00"/>
    <s v="EJ-MALANG-01"/>
    <x v="0"/>
    <x v="16"/>
    <s v="ZTE2005"/>
    <s v="Pcs"/>
    <n v="1"/>
    <s v="CLR51-99-447"/>
    <x v="127"/>
    <m/>
    <m/>
    <m/>
    <s v="Fatur"/>
    <s v="Suliadi"/>
    <s v="3515082712870005"/>
    <s v="W 3265 OH"/>
    <m/>
    <m/>
    <s v="SEKARPURO RW 05 MALANG"/>
    <e v="#N/A"/>
    <e v="#N/A"/>
    <s v="OUTBOUND_"/>
  </r>
  <r>
    <s v="1227"/>
    <n v="2"/>
    <x v="1"/>
    <s v="OUB-W0012603-005"/>
    <s v="EJ-Malang-01"/>
    <s v="Oka-0813-2707-1646"/>
    <d v="2026-04-22T00:00:00"/>
    <d v="1899-12-30T14:00:00"/>
    <s v="EJ-MALANG-01"/>
    <x v="0"/>
    <x v="16"/>
    <s v="ZTE2005"/>
    <s v="Pcs"/>
    <n v="1"/>
    <s v="CLR51-99-445"/>
    <x v="129"/>
    <m/>
    <m/>
    <m/>
    <s v="Fatur"/>
    <s v="Suliadi"/>
    <s v="3515082712870005"/>
    <s v="W 3265 OH"/>
    <m/>
    <m/>
    <s v="SEKARPURO RW 04 MALANG"/>
    <e v="#N/A"/>
    <e v="#N/A"/>
    <s v="OUTBOUND_"/>
  </r>
  <r>
    <s v="1228"/>
    <n v="4"/>
    <x v="0"/>
    <s v="INB-W0012605-001"/>
    <s v="EJ-Malang-01"/>
    <s v="Oka-0813-2707-1646"/>
    <d v="2026-05-09T00:00:00"/>
    <d v="1899-12-30T14:46:00"/>
    <s v="ZTE Warehouse"/>
    <x v="0"/>
    <x v="16"/>
    <s v="ZTE2005"/>
    <s v="Pcs"/>
    <n v="1"/>
    <s v="CLR51-99-506"/>
    <x v="130"/>
    <s v="DOEID260509BX"/>
    <s v="DNWID03620260509DY"/>
    <m/>
    <m/>
    <m/>
    <m/>
    <m/>
    <m/>
    <m/>
    <s v="WONOKOYO RW 05 KEDUNGKANDANG"/>
    <d v="2026-05-09T00:00:00"/>
    <b v="1"/>
    <s v="OUTBOUND_"/>
  </r>
  <r>
    <s v="1229"/>
    <n v="6"/>
    <x v="0"/>
    <s v="INB-W0012605-002"/>
    <s v="EJ-Malang-01"/>
    <s v="Oka-0813-2707-1646"/>
    <d v="2026-05-22T00:00:00"/>
    <d v="1899-12-30T17:49:00"/>
    <s v="ZTE Warehouse"/>
    <x v="0"/>
    <x v="16"/>
    <s v="ZTE2005"/>
    <s v="Pcs"/>
    <n v="1"/>
    <s v="CLR51-99-658"/>
    <x v="131"/>
    <s v="DOEID260522B7"/>
    <n v="0"/>
    <m/>
    <m/>
    <m/>
    <m/>
    <m/>
    <m/>
    <m/>
    <s v="SUMBERSEKAR RT 07 RW 04 MALANG"/>
    <d v="2026-05-22T00:00:00"/>
    <b v="1"/>
    <s v="OUTBOUND_"/>
  </r>
  <r>
    <s v="1230"/>
    <n v="5"/>
    <x v="1"/>
    <s v="OUB-W0012605-002"/>
    <s v="EJ-Malang-01"/>
    <s v="Oka-0813-2707-1646"/>
    <d v="2026-05-23T00:00:00"/>
    <d v="1899-12-30T17:49:00"/>
    <s v="EJ-MALANG-01"/>
    <x v="0"/>
    <x v="16"/>
    <s v="ZTE2005"/>
    <s v="Pcs"/>
    <n v="1"/>
    <s v="CLR51-99-658"/>
    <x v="131"/>
    <m/>
    <m/>
    <m/>
    <s v="Sifak"/>
    <s v="Suliadi"/>
    <s v="3507312107950002"/>
    <s v="N 1969 FF"/>
    <m/>
    <m/>
    <s v="SUMBERSEKAR RT 07 RW 04 MALANG"/>
    <e v="#N/A"/>
    <e v="#N/A"/>
    <s v="OUTBOUND_"/>
  </r>
  <r>
    <s v="1231"/>
    <n v="3"/>
    <x v="0"/>
    <s v="INB-W0012606-002"/>
    <s v="EJ-Malang-01"/>
    <s v="Oka-0813-2707-1646"/>
    <d v="2026-06-27T00:00:00"/>
    <d v="1899-12-30T06:00:00"/>
    <s v="ZTE Warehouse"/>
    <x v="0"/>
    <x v="16"/>
    <s v="ZTE2005"/>
    <s v="Pcs"/>
    <n v="1"/>
    <s v="CLR51-99-678"/>
    <x v="133"/>
    <s v="DOEID26062559"/>
    <n v="0"/>
    <m/>
    <m/>
    <m/>
    <m/>
    <m/>
    <m/>
    <m/>
    <s v="KAMBINGAN RW 04 MALANG"/>
    <d v="2026-06-27T00:00:00"/>
    <b v="1"/>
    <s v="OUTBOUND_"/>
  </r>
  <r>
    <s v="1232"/>
    <m/>
    <x v="1"/>
    <s v="OUB-W0012607-001"/>
    <s v="EJ-Malang-01"/>
    <s v="Oka-0813-2707-1646"/>
    <d v="2026-07-03T00:00:00"/>
    <d v="1899-12-30T06:00:00"/>
    <s v="EJ-MALANG-01"/>
    <x v="0"/>
    <x v="16"/>
    <s v="ZTE2005"/>
    <s v="Pcs"/>
    <n v="1"/>
    <s v="CLR51-99-678"/>
    <x v="133"/>
    <m/>
    <m/>
    <m/>
    <s v="Fatur"/>
    <s v="Suliadi"/>
    <s v="3515082712870005"/>
    <s v="W 3265 OH"/>
    <m/>
    <m/>
    <s v="KAMBINGAN RW 04 MALANG"/>
    <e v="#N/A"/>
    <e v="#N/A"/>
    <s v="OUTBOUND_"/>
  </r>
  <r>
    <s v="1233"/>
    <m/>
    <x v="0"/>
    <s v="INB-W0012607-001"/>
    <s v="EJ-Malang-01"/>
    <s v="Oka-0813-2707-1646"/>
    <d v="2026-07-09T00:00:00"/>
    <d v="1899-12-30T06:00:00"/>
    <s v="ZTE Warehouse"/>
    <x v="0"/>
    <x v="16"/>
    <s v="ZTE2005"/>
    <s v="Pcs"/>
    <n v="1"/>
    <s v="CLR51-99-662"/>
    <x v="134"/>
    <s v="DOEID260708AM"/>
    <s v="DNWID0362026070821"/>
    <m/>
    <m/>
    <m/>
    <m/>
    <m/>
    <m/>
    <m/>
    <s v="KESATRIAN RW 09 MALANG"/>
    <d v="2026-07-09T00:00:00"/>
    <b v="1"/>
    <s v="OUTBOUND_"/>
  </r>
  <r>
    <s v="1234"/>
    <m/>
    <x v="0"/>
    <s v="INB-W0012403-263"/>
    <s v="EJ-Malang-01"/>
    <s v="Oka-0813-2707-1646"/>
    <d v="2024-03-01T00:00:00"/>
    <d v="1900-01-14T07:00:00"/>
    <s v="ZTE Warehouse"/>
    <x v="0"/>
    <x v="17"/>
    <s v="ZTE2006"/>
    <s v="Pcs"/>
    <n v="3"/>
    <m/>
    <x v="3"/>
    <n v="0"/>
    <n v="0"/>
    <m/>
    <m/>
    <m/>
    <m/>
    <m/>
    <m/>
    <m/>
    <n v="0"/>
    <e v="#N/A"/>
    <e v="#N/A"/>
    <s v="OUTBOUND_"/>
  </r>
  <r>
    <s v="1235"/>
    <m/>
    <x v="2"/>
    <s v="TFO-W0012403-275"/>
    <s v="EJ-Malang-01"/>
    <s v="Oka-0813-2707-1646"/>
    <d v="2024-03-08T00:00:00"/>
    <d v="1899-12-30T10:28:00"/>
    <s v="EJ-MALANG-01"/>
    <x v="0"/>
    <x v="17"/>
    <s v="ZTE2006"/>
    <s v="Pcs"/>
    <n v="3"/>
    <s v="TRF"/>
    <x v="4"/>
    <m/>
    <m/>
    <m/>
    <s v="Fatur"/>
    <s v="Febby Supplier"/>
    <s v="3515082712870005"/>
    <s v="W 1130 NQ"/>
    <m/>
    <m/>
    <s v="Transfer Gudang"/>
    <e v="#N/A"/>
    <e v="#N/A"/>
    <s v="TRANSFER OUT_"/>
  </r>
  <r>
    <s v="1236"/>
    <m/>
    <x v="0"/>
    <s v="INB-W0012408-467"/>
    <s v="EJ-Malang-01"/>
    <s v="Oka-0813-2707-1646"/>
    <d v="2024-08-28T00:00:00"/>
    <d v="1900-01-14T07:00:00"/>
    <s v="ZTE Warehouse"/>
    <x v="0"/>
    <x v="17"/>
    <s v="ZTE2006"/>
    <s v="Pcs"/>
    <n v="1"/>
    <m/>
    <x v="3"/>
    <n v="0"/>
    <n v="0"/>
    <m/>
    <m/>
    <m/>
    <m/>
    <m/>
    <m/>
    <m/>
    <n v="0"/>
    <e v="#N/A"/>
    <e v="#N/A"/>
    <s v="OUTBOUND_"/>
  </r>
  <r>
    <s v="1237"/>
    <m/>
    <x v="1"/>
    <s v="OUB-W0012409-478"/>
    <s v="EJ-Malang-01"/>
    <s v="Oka-0813-2707-1646"/>
    <d v="2024-09-01T00:00:00"/>
    <d v="1899-12-30T01:58:00"/>
    <s v="EJ-MALANG-01"/>
    <x v="0"/>
    <x v="17"/>
    <s v="ZTE2006"/>
    <s v="Pcs"/>
    <n v="1"/>
    <s v="CLR51-99-115"/>
    <x v="65"/>
    <m/>
    <m/>
    <m/>
    <s v="Fatur"/>
    <n v="0"/>
    <s v="3515082712870005"/>
    <s v="W 3265 OH"/>
    <m/>
    <m/>
    <s v="SENGGURUH RW 01 MALANG"/>
    <e v="#N/A"/>
    <e v="#N/A"/>
    <s v="OUTBOUND_"/>
  </r>
  <r>
    <s v="1238"/>
    <m/>
    <x v="0"/>
    <s v="INB-W0012409-507"/>
    <s v="EJ-Malang-01"/>
    <s v="Oka-0813-2707-1646"/>
    <d v="2024-09-20T00:00:00"/>
    <d v="1900-01-14T07:00:00"/>
    <s v="ZTE Warehouse"/>
    <x v="0"/>
    <x v="17"/>
    <s v="ZTE2006"/>
    <s v="Pcs"/>
    <n v="1"/>
    <m/>
    <x v="3"/>
    <n v="0"/>
    <n v="0"/>
    <m/>
    <m/>
    <m/>
    <m/>
    <m/>
    <m/>
    <m/>
    <n v="0"/>
    <e v="#N/A"/>
    <e v="#N/A"/>
    <s v="OUTBOUND_"/>
  </r>
  <r>
    <s v="1239"/>
    <m/>
    <x v="1"/>
    <s v="OUB-W0012409-515"/>
    <s v="EJ-Malang-01"/>
    <s v="Oka-0813-2707-1646"/>
    <d v="2024-09-26T00:00:00"/>
    <d v="1899-12-30T18:58:00"/>
    <s v="EJ-MALANG-01"/>
    <x v="0"/>
    <x v="17"/>
    <s v="ZTE2006"/>
    <s v="Pcs"/>
    <n v="1"/>
    <s v="CLR51-03-006"/>
    <x v="72"/>
    <m/>
    <m/>
    <m/>
    <s v="Zainal Abidin"/>
    <n v="0"/>
    <s v="3519010810930003"/>
    <s v="W 1074 XF"/>
    <m/>
    <m/>
    <s v="Dusun Mojosari Ngenep"/>
    <e v="#N/A"/>
    <e v="#N/A"/>
    <s v="OUTBOUND_"/>
  </r>
  <r>
    <s v="1240"/>
    <m/>
    <x v="0"/>
    <s v="INB-W0012411-548"/>
    <s v="EJ-Malang-01"/>
    <s v="Oka-0813-2707-1646"/>
    <d v="2024-11-06T00:00:00"/>
    <d v="1900-01-14T07:00:00"/>
    <s v="ZTE Warehouse"/>
    <x v="0"/>
    <x v="17"/>
    <s v="ZTE2006"/>
    <s v="Pcs"/>
    <n v="1"/>
    <s v="CLR51-99-123"/>
    <x v="77"/>
    <s v="DOEID24110552"/>
    <s v="DNWID0342024110504"/>
    <m/>
    <m/>
    <m/>
    <m/>
    <m/>
    <m/>
    <m/>
    <s v="Tambakasri RW 02 Tajinan"/>
    <d v="2024-11-06T00:00:00"/>
    <b v="1"/>
    <s v="OUTBOUND_"/>
  </r>
  <r>
    <s v="1241"/>
    <m/>
    <x v="1"/>
    <s v="OUB-W0012501-597"/>
    <s v="EJ-Malang-01"/>
    <s v="Oka-0813-2707-1646"/>
    <d v="2025-01-14T00:00:00"/>
    <d v="1899-12-30T21:03:00"/>
    <s v="EJ-MALANG-01"/>
    <x v="0"/>
    <x v="17"/>
    <s v="ZTE2006"/>
    <s v="Pcs"/>
    <n v="1"/>
    <s v="CLR51-99-123"/>
    <x v="77"/>
    <m/>
    <m/>
    <m/>
    <s v="Fahrudin"/>
    <n v="0"/>
    <n v="0"/>
    <s v="N 1383 G"/>
    <m/>
    <m/>
    <s v="Tambakasri RW 02 Tajinan"/>
    <e v="#N/A"/>
    <e v="#N/A"/>
    <s v="OUTBOUND_"/>
  </r>
  <r>
    <s v="1242"/>
    <m/>
    <x v="0"/>
    <s v="INB-W0012503-626"/>
    <s v="EJ-Malang-01"/>
    <s v="Oka-0813-2707-1646"/>
    <d v="2025-03-19T00:00:00"/>
    <d v="1900-01-14T07:00:00"/>
    <s v="ZTE Warehouse"/>
    <x v="0"/>
    <x v="17"/>
    <s v="ZTE2006"/>
    <s v="Pcs"/>
    <n v="1"/>
    <m/>
    <x v="3"/>
    <n v="0"/>
    <n v="0"/>
    <m/>
    <m/>
    <m/>
    <m/>
    <m/>
    <m/>
    <m/>
    <n v="0"/>
    <e v="#N/A"/>
    <e v="#N/A"/>
    <s v="OUTBOUND_"/>
  </r>
  <r>
    <s v="1243"/>
    <m/>
    <x v="1"/>
    <s v="OUB-W0012503-633"/>
    <s v="EJ-Malang-01"/>
    <s v="Oka-0813-2707-1646"/>
    <d v="2025-03-24T00:00:00"/>
    <d v="1899-12-30T19:57:00"/>
    <s v="EJ-MALANG-01"/>
    <x v="0"/>
    <x v="17"/>
    <s v="ZTE2006"/>
    <s v="Pcs"/>
    <n v="1"/>
    <s v="CLR51-99-140"/>
    <x v="91"/>
    <m/>
    <m/>
    <m/>
    <s v="Deny Indra"/>
    <n v="0"/>
    <n v="0"/>
    <s v="N 1547 IR"/>
    <m/>
    <m/>
    <s v="Temas RW 04"/>
    <e v="#N/A"/>
    <e v="#N/A"/>
    <s v="OUTBOUND_"/>
  </r>
  <r>
    <s v="1244"/>
    <m/>
    <x v="0"/>
    <s v="INB-W0012506-646"/>
    <s v="EJ-Malang-01"/>
    <s v="Oka-0813-2707-1646"/>
    <d v="2025-06-13T00:00:00"/>
    <d v="1900-01-14T07:00:00"/>
    <s v="ZTE Warehouse"/>
    <x v="0"/>
    <x v="17"/>
    <s v="ZTE2006"/>
    <s v="Pcs"/>
    <n v="2"/>
    <m/>
    <x v="3"/>
    <n v="0"/>
    <n v="0"/>
    <m/>
    <m/>
    <m/>
    <m/>
    <m/>
    <m/>
    <m/>
    <n v="0"/>
    <e v="#N/A"/>
    <e v="#N/A"/>
    <s v="OUTBOUND_"/>
  </r>
  <r>
    <s v="1245"/>
    <m/>
    <x v="1"/>
    <s v="OUB-W0012506-648"/>
    <s v="EJ-Malang-01"/>
    <s v="Oka-0813-2707-1646"/>
    <d v="2025-06-16T00:00:00"/>
    <d v="1899-12-30T19:57:00"/>
    <s v="EJ-MALANG-01"/>
    <x v="0"/>
    <x v="17"/>
    <s v="ZTE2006"/>
    <s v="Pcs"/>
    <n v="2"/>
    <s v="CLR51-99-101"/>
    <x v="95"/>
    <m/>
    <m/>
    <m/>
    <s v="Deny Indra"/>
    <n v="0"/>
    <n v="0"/>
    <s v="N 1547 IR"/>
    <m/>
    <m/>
    <s v="BULULAWANG RW 01, 02, 03, 04, 06   MALANG"/>
    <e v="#N/A"/>
    <e v="#N/A"/>
    <s v="OUTBOUND_"/>
  </r>
  <r>
    <s v="1246"/>
    <m/>
    <x v="0"/>
    <s v="INB-W0012506-649"/>
    <s v="EJ-Malang-01"/>
    <s v="Oka-0813-2707-1646"/>
    <d v="2025-06-18T00:00:00"/>
    <d v="1900-01-14T07:00:00"/>
    <s v="ZTE Warehouse"/>
    <x v="0"/>
    <x v="17"/>
    <s v="ZTE2006"/>
    <s v="Pcs"/>
    <n v="2"/>
    <m/>
    <x v="3"/>
    <n v="0"/>
    <n v="0"/>
    <m/>
    <m/>
    <m/>
    <m/>
    <m/>
    <m/>
    <m/>
    <n v="0"/>
    <e v="#N/A"/>
    <e v="#N/A"/>
    <s v="OUTBOUND_"/>
  </r>
  <r>
    <s v="1247"/>
    <m/>
    <x v="1"/>
    <s v="OUB-W0012506-651"/>
    <s v="EJ-Malang-01"/>
    <s v="Oka-0813-2707-1646"/>
    <d v="2025-06-19T00:00:00"/>
    <d v="1899-12-30T15:30:00"/>
    <s v="EJ-MALANG-01"/>
    <x v="0"/>
    <x v="17"/>
    <s v="ZTE2006"/>
    <s v="Pcs"/>
    <n v="1"/>
    <s v="CLR51-99-244"/>
    <x v="98"/>
    <m/>
    <m/>
    <m/>
    <s v="Fatur"/>
    <n v="0"/>
    <s v="1812010507910004"/>
    <s v="L 9221 K"/>
    <m/>
    <m/>
    <s v="DESA KRAJANI PONCOKUSUMO MALANG"/>
    <e v="#N/A"/>
    <e v="#N/A"/>
    <s v="OUTBOUND_"/>
  </r>
  <r>
    <s v="1248"/>
    <m/>
    <x v="1"/>
    <s v="OUB-W0012507-666"/>
    <s v="EJ-Malang-01"/>
    <s v="Oka-0813-2707-1646"/>
    <d v="2025-07-11T00:00:00"/>
    <d v="1899-12-30T14:36:00"/>
    <s v="EJ-MALANG-01"/>
    <x v="0"/>
    <x v="17"/>
    <s v="ZTE2006"/>
    <s v="Pcs"/>
    <n v="1"/>
    <s v="CLR51-99-242"/>
    <x v="96"/>
    <m/>
    <m/>
    <m/>
    <s v="Fahrudin"/>
    <n v="0"/>
    <n v="0"/>
    <s v="N 1383 G"/>
    <m/>
    <m/>
    <s v="DESA GADUNGAN PONCOKUSUMO MALANG"/>
    <e v="#N/A"/>
    <e v="#N/A"/>
    <s v="OUTBOUND_"/>
  </r>
  <r>
    <s v="1249"/>
    <m/>
    <x v="0"/>
    <s v="INB-W0012507-668"/>
    <s v="EJ-Malang-01"/>
    <s v="Oka-0813-2707-1646"/>
    <d v="2025-07-12T00:00:00"/>
    <d v="1900-01-14T07:00:00"/>
    <s v="ZTE Warehouse"/>
    <x v="0"/>
    <x v="17"/>
    <s v="ZTE2006"/>
    <s v="Pcs"/>
    <n v="1"/>
    <s v="CLR51-99-108"/>
    <x v="102"/>
    <n v="0"/>
    <n v="0"/>
    <m/>
    <m/>
    <m/>
    <m/>
    <m/>
    <m/>
    <m/>
    <s v="KREBET RW 05"/>
    <e v="#N/A"/>
    <e v="#N/A"/>
    <s v="OUTBOUND_"/>
  </r>
  <r>
    <s v="1250"/>
    <m/>
    <x v="1"/>
    <s v="OUB-W0012507-672"/>
    <s v="EJ-Malang-01"/>
    <s v="Oka-0813-2707-1646"/>
    <d v="2025-07-23T00:00:00"/>
    <d v="1899-12-30T11:14:00"/>
    <s v="EJ-MALANG-01"/>
    <x v="0"/>
    <x v="17"/>
    <s v="ZTE2006"/>
    <s v="Pcs"/>
    <n v="1"/>
    <s v="CLR51-99-108"/>
    <x v="102"/>
    <m/>
    <m/>
    <m/>
    <s v="Riki Romansyah"/>
    <n v="0"/>
    <s v="3507050501950006"/>
    <s v="N 8420 EL"/>
    <m/>
    <m/>
    <s v="KREBET RW 05"/>
    <e v="#N/A"/>
    <e v="#N/A"/>
    <s v="OUTBOUND_"/>
  </r>
  <r>
    <s v="1251"/>
    <n v="7"/>
    <x v="0"/>
    <s v="INB-W0012510-002"/>
    <s v="EJ-Malang-01"/>
    <s v="Oka-0813-2707-1646"/>
    <d v="2025-10-23T00:00:00"/>
    <d v="1899-12-30T08:00:00"/>
    <s v="ZTE Warehouse"/>
    <x v="0"/>
    <x v="17"/>
    <s v="ZTE2006"/>
    <s v="Pcs"/>
    <n v="1"/>
    <s v="CLR51-99-302"/>
    <x v="112"/>
    <s v="DOEID25102127"/>
    <s v="DNWID1382025102101"/>
    <m/>
    <s v="Riki Romansyah"/>
    <n v="0"/>
    <s v="3507050501950006"/>
    <s v="N 8420 EL"/>
    <m/>
    <m/>
    <s v="LESANPURO RW 06 MALANG"/>
    <d v="2025-10-21T00:00:00"/>
    <b v="0"/>
    <s v="OUTBOUND_"/>
  </r>
  <r>
    <s v="1252"/>
    <n v="4"/>
    <x v="0"/>
    <s v="INB-W0012510-004"/>
    <s v="EJ-Malang-01"/>
    <s v="Oka-0813-2707-1646"/>
    <d v="2025-10-25T00:00:00"/>
    <d v="1899-12-30T08:00:00"/>
    <s v="ZTE Warehouse"/>
    <x v="0"/>
    <x v="17"/>
    <s v="ZTE2006"/>
    <s v="Pcs"/>
    <n v="1"/>
    <s v="CLR51-99-302"/>
    <x v="112"/>
    <s v="DOEID25102127"/>
    <s v="DNWID1382025102101"/>
    <m/>
    <m/>
    <m/>
    <m/>
    <m/>
    <m/>
    <m/>
    <s v="LESANPURO RW 06 MALANG"/>
    <d v="2025-10-21T00:00:00"/>
    <b v="0"/>
    <s v="OUTBOUND_"/>
  </r>
  <r>
    <s v="1253"/>
    <n v="5"/>
    <x v="1"/>
    <s v="OUB-W0012510-005"/>
    <s v="EJ-Malang-01"/>
    <s v="Oka-0813-2707-1646"/>
    <d v="2025-10-25T00:00:00"/>
    <d v="1899-12-30T11:00:00"/>
    <s v="EJ-MALANG-01"/>
    <x v="0"/>
    <x v="17"/>
    <s v="ZTE2006"/>
    <s v="Pcs"/>
    <n v="1"/>
    <s v="CLR51-99-302"/>
    <x v="112"/>
    <m/>
    <m/>
    <m/>
    <s v="Riki Romansyah"/>
    <n v="0"/>
    <s v="3507050501950006"/>
    <s v="N 8420 EL"/>
    <m/>
    <m/>
    <s v="LESANPURO RW 06 MALANG"/>
    <e v="#N/A"/>
    <e v="#N/A"/>
    <s v="OUTBOUND_"/>
  </r>
  <r>
    <s v="1254"/>
    <n v="2"/>
    <x v="1"/>
    <s v="OUB-W0012511-004"/>
    <s v="EJ-Malang-01"/>
    <s v="Oka-0813-2707-1646"/>
    <d v="2025-11-17T00:00:00"/>
    <d v="1899-12-30T19:08:00"/>
    <s v="EJ-MALANG-01"/>
    <x v="0"/>
    <x v="17"/>
    <s v="ZTE2006"/>
    <s v="Pcs"/>
    <n v="1"/>
    <s v="CLR51-99-375"/>
    <x v="115"/>
    <s v="DOEID251024K3"/>
    <s v="DNWID1382025102408"/>
    <m/>
    <s v="Sifak"/>
    <s v="Suliadi"/>
    <s v="3507312107950002"/>
    <s v="N 1046 ABC"/>
    <m/>
    <m/>
    <s v="PALAAN RW 06 SAMPAI 10 MALANG"/>
    <d v="2025-10-25T00:00:00"/>
    <b v="0"/>
    <s v="OUTBOUND_"/>
  </r>
  <r>
    <s v="1255"/>
    <n v="6"/>
    <x v="0"/>
    <s v="INB-W0012512-001"/>
    <s v="EJ-Malang-01"/>
    <s v="Oka-0813-2707-1646"/>
    <d v="2025-12-11T00:00:00"/>
    <d v="1899-12-30T13:00:00"/>
    <s v="ZTE Warehouse"/>
    <x v="0"/>
    <x v="17"/>
    <s v="ZTE2006"/>
    <s v="Pcs"/>
    <n v="6"/>
    <s v="CLR51-99-382"/>
    <x v="116"/>
    <s v="DOEID251211B1"/>
    <s v="DNWID1382025121131"/>
    <m/>
    <m/>
    <m/>
    <m/>
    <m/>
    <m/>
    <m/>
    <s v="DUSUN SIDOAYU KELURAHAN SIDEREJO MALANG"/>
    <d v="2025-12-11T00:00:00"/>
    <b v="1"/>
    <s v="OUTBOUND_"/>
  </r>
  <r>
    <s v="1256"/>
    <n v="2"/>
    <x v="1"/>
    <s v="OUB-W0012512-010"/>
    <s v="EJ-Malang-01"/>
    <s v="Oka-0813-2707-1646"/>
    <d v="2025-12-17T00:00:00"/>
    <d v="1899-12-30T16:35:00"/>
    <s v="EJ-MALANG-01"/>
    <x v="0"/>
    <x v="17"/>
    <s v="ZTE2006"/>
    <s v="Pcs"/>
    <n v="3"/>
    <s v="CLR51-99-382"/>
    <x v="116"/>
    <m/>
    <m/>
    <m/>
    <s v="Sifak"/>
    <s v="Suliadi"/>
    <s v="3507312107950002"/>
    <s v="N 1046 ABC"/>
    <m/>
    <m/>
    <s v="DUSUN SIDOAYU KELURAHAN SIDEREJO MALANG"/>
    <e v="#N/A"/>
    <e v="#N/A"/>
    <s v="OUTBOUND_"/>
  </r>
  <r>
    <s v="1257"/>
    <n v="5"/>
    <x v="1"/>
    <s v="OUB-W0012512-023"/>
    <s v="EJ-Malang-01"/>
    <s v="Oka-0813-2707-1646"/>
    <d v="2025-12-24T00:00:00"/>
    <d v="1899-12-30T16:35:00"/>
    <s v="EJ-MALANG-01"/>
    <x v="0"/>
    <x v="17"/>
    <s v="ZTE2006"/>
    <s v="Pcs"/>
    <n v="1"/>
    <s v="CLR51-99-381"/>
    <x v="117"/>
    <m/>
    <m/>
    <m/>
    <s v="Sifak"/>
    <s v="Suliadi"/>
    <s v="3507312107950002"/>
    <s v="N 1046 ABC"/>
    <m/>
    <m/>
    <s v="DUSUN ARDIREJO KELURAHAN SIDEREJO MALANG"/>
    <e v="#N/A"/>
    <e v="#N/A"/>
    <s v="OUTBOUND_"/>
  </r>
  <r>
    <s v="1258"/>
    <n v="2"/>
    <x v="1"/>
    <s v="OUB-W0012512-023"/>
    <s v="EJ-Malang-01"/>
    <s v="Oka-0813-2707-1646"/>
    <d v="2025-12-24T00:00:00"/>
    <d v="1899-12-30T16:35:00"/>
    <s v="EJ-MALANG-01"/>
    <x v="0"/>
    <x v="17"/>
    <s v="ZTE2006"/>
    <s v="Pcs"/>
    <n v="2"/>
    <s v="CLR51-99-381"/>
    <x v="117"/>
    <m/>
    <m/>
    <m/>
    <s v="Sifak"/>
    <s v="Suliadi"/>
    <s v="3507312107950002"/>
    <s v="N 1046 ABC"/>
    <m/>
    <m/>
    <s v="DUSUN ARDIREJO KELURAHAN SIDEREJO MALANG"/>
    <e v="#N/A"/>
    <e v="#N/A"/>
    <s v="OUTBOUND_"/>
  </r>
  <r>
    <s v="1259"/>
    <n v="6"/>
    <x v="0"/>
    <s v="INB-W0012601-001"/>
    <s v="EJ-Malang-01"/>
    <s v="Oka-0813-2707-1646"/>
    <d v="2026-01-19T00:00:00"/>
    <d v="1899-12-30T06:02:00"/>
    <s v="ZTE Warehouse"/>
    <x v="0"/>
    <x v="17"/>
    <s v="ZTE2006"/>
    <s v="Pcs"/>
    <n v="1"/>
    <s v="CLR51-99-196"/>
    <x v="124"/>
    <s v="DOEID260115MP"/>
    <s v="DNWID1382026011601"/>
    <m/>
    <s v="Riki Romansyah"/>
    <s v="Suliadi"/>
    <s v="3507050501950006"/>
    <s v="N 8420 EL"/>
    <m/>
    <m/>
    <s v="Griya Kebon Agung Indah"/>
    <d v="2026-01-19T00:00:00"/>
    <b v="1"/>
    <s v="OUTBOUND_"/>
  </r>
  <r>
    <s v="1260"/>
    <n v="2"/>
    <x v="1"/>
    <s v="OUB-W0012601-004"/>
    <s v="EJ-Malang-01"/>
    <s v="Oka-0813-2707-1646"/>
    <d v="2026-01-23T00:00:00"/>
    <d v="1899-12-30T16:35:00"/>
    <s v="EJ-MALANG-01"/>
    <x v="0"/>
    <x v="17"/>
    <s v="ZTE2006"/>
    <s v="Pcs"/>
    <n v="1"/>
    <s v="CLR44-99-155"/>
    <x v="125"/>
    <s v="DOEID260115MQ"/>
    <s v="DNWID1382026011602"/>
    <m/>
    <s v="Sifak"/>
    <s v="Suliadi"/>
    <s v="3507312107950002"/>
    <s v="N 1969 FF"/>
    <m/>
    <m/>
    <s v="KEBONAGUNG RW 06 PAKISAJI"/>
    <d v="2026-01-19T00:00:00"/>
    <b v="0"/>
    <s v="OUTBOUND_"/>
  </r>
  <r>
    <s v="1261"/>
    <n v="5"/>
    <x v="0"/>
    <s v="INB-W0012603-002"/>
    <s v="EJ-Malang-01"/>
    <s v="Oka-0813-2707-1646"/>
    <d v="2026-03-06T00:00:00"/>
    <d v="1899-12-30T19:00:00"/>
    <s v="ZTE Warehouse"/>
    <x v="0"/>
    <x v="17"/>
    <s v="ZTE2006"/>
    <s v="Pcs"/>
    <n v="1"/>
    <s v="CLR51-99-385"/>
    <x v="126"/>
    <s v="DOEID26030644"/>
    <s v="DNWID1382026030605"/>
    <m/>
    <m/>
    <m/>
    <m/>
    <m/>
    <m/>
    <m/>
    <s v="LESANPURO RW 01 MALANG"/>
    <d v="2026-03-06T00:00:00"/>
    <b v="1"/>
    <s v="OUTBOUND_"/>
  </r>
  <r>
    <s v="1262"/>
    <n v="5"/>
    <x v="1"/>
    <s v="OUB-W0012603-002"/>
    <s v="EJ-Malang-01"/>
    <s v="Oka-0813-2707-1646"/>
    <d v="2026-03-09T00:00:00"/>
    <d v="1899-12-30T19:00:00"/>
    <s v="EJ-MALANG-01"/>
    <x v="0"/>
    <x v="17"/>
    <s v="ZTE2006"/>
    <s v="Pcs"/>
    <n v="1"/>
    <s v="CLR51-99-447"/>
    <x v="127"/>
    <m/>
    <m/>
    <m/>
    <s v="Fatur"/>
    <s v="Suliadi"/>
    <s v="3515082712870005"/>
    <s v="W 3265 OH"/>
    <m/>
    <m/>
    <s v="SEKARPURO RW 05 MALANG"/>
    <e v="#N/A"/>
    <e v="#N/A"/>
    <s v="OUTBOUND_"/>
  </r>
  <r>
    <s v="1263"/>
    <n v="2"/>
    <x v="0"/>
    <s v="INB-W0012606-001"/>
    <s v="EJ-Malang-01"/>
    <s v="Oka-0813-2707-1646"/>
    <d v="2026-06-18T00:00:00"/>
    <d v="1899-12-30T06:00:00"/>
    <s v="ZTE Warehouse"/>
    <x v="0"/>
    <x v="17"/>
    <s v="ZTE2006"/>
    <s v="Pcs"/>
    <n v="1"/>
    <s v="CLR51-99-483"/>
    <x v="132"/>
    <s v="DOEID26052978"/>
    <n v="0"/>
    <m/>
    <m/>
    <m/>
    <m/>
    <m/>
    <m/>
    <m/>
    <s v="RANDUANGUNG RW 04 SINGOSARI MALANG"/>
    <d v="2026-06-18T00:00:00"/>
    <b v="1"/>
    <s v="OUTBOUND_"/>
  </r>
  <r>
    <s v="1264"/>
    <m/>
    <x v="1"/>
    <s v="OUB-W0012606-003"/>
    <s v="EJ-Malang-01"/>
    <s v="Oka-0813-2707-1647"/>
    <d v="2026-06-23T00:00:00"/>
    <d v="1899-12-30T09:00:00"/>
    <s v="EJ-MALANG-01"/>
    <x v="0"/>
    <x v="17"/>
    <s v="ZTE2006"/>
    <s v="Pcs"/>
    <n v="1"/>
    <s v="CLR51-99-483"/>
    <x v="132"/>
    <m/>
    <m/>
    <m/>
    <s v="Rangga"/>
    <s v="Suliadi"/>
    <s v="3507312107950002"/>
    <s v="N 1969 FF"/>
    <m/>
    <m/>
    <s v="RANDUANGUNG RW 04 SINGOSARI MALANG"/>
    <e v="#N/A"/>
    <e v="#N/A"/>
    <s v="OUTBOUND_"/>
  </r>
  <r>
    <s v="1265"/>
    <m/>
    <x v="4"/>
    <s v="BOI-W0012401-196"/>
    <s v="EJ-Malang-01"/>
    <s v="Oka-0813-2707-1646"/>
    <d v="2024-01-22T00:00:00"/>
    <d v="1900-01-14T07:00:00"/>
    <s v="Other Subcon"/>
    <x v="2"/>
    <x v="18"/>
    <s v="ZTE2020"/>
    <s v="Meter"/>
    <n v="127"/>
    <s v="MF51-01"/>
    <x v="36"/>
    <n v="0"/>
    <n v="0"/>
    <m/>
    <m/>
    <m/>
    <m/>
    <m/>
    <s v="ambil di YOFC (BSI)"/>
    <m/>
    <s v="HUBFEEDER BATURETNO RW 02"/>
    <e v="#N/A"/>
    <e v="#N/A"/>
    <s v="OUTBOUND_"/>
  </r>
  <r>
    <s v="1266"/>
    <m/>
    <x v="1"/>
    <s v="OUB-W0012401-194"/>
    <s v="EJ-Malang-01"/>
    <s v="Oka-0813-2707-1646"/>
    <d v="2024-01-22T00:00:00"/>
    <d v="1899-12-30T15:09:00"/>
    <s v="EJ-MALANG-01"/>
    <x v="2"/>
    <x v="18"/>
    <s v="ZTE2020"/>
    <s v="Meter"/>
    <n v="127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1267"/>
    <m/>
    <x v="1"/>
    <s v="OUB-W0012402-245"/>
    <s v="EJ-Malang-01"/>
    <s v="Oka-0813-2707-1646"/>
    <d v="2024-02-23T00:00:00"/>
    <d v="1899-12-30T18:47:00"/>
    <s v="EJ-MALANG-01"/>
    <x v="2"/>
    <x v="18"/>
    <s v="ZTE2020"/>
    <s v="Meter"/>
    <n v="1"/>
    <s v="CLR51-99-078"/>
    <x v="1"/>
    <m/>
    <m/>
    <m/>
    <s v="Dimas"/>
    <s v="Febby Supplier"/>
    <s v="3573032509800005"/>
    <s v="N 9454 BA"/>
    <s v="1.6m dr left over"/>
    <m/>
    <s v="Bumiayu RW 03 Kedungkandang"/>
    <e v="#N/A"/>
    <e v="#N/A"/>
    <s v="OUTBOUND_"/>
  </r>
  <r>
    <s v="1268"/>
    <m/>
    <x v="1"/>
    <s v="OUB-W0012402-254"/>
    <s v="EJ-Malang-01"/>
    <s v="Oka-0813-2707-1646"/>
    <d v="2024-02-28T00:00:00"/>
    <d v="1899-12-30T11:40:00"/>
    <s v="EJ-MALANG-01"/>
    <x v="2"/>
    <x v="18"/>
    <s v="ZTE2020"/>
    <s v="Meter"/>
    <n v="1"/>
    <s v="CLR51-99-078"/>
    <x v="1"/>
    <m/>
    <m/>
    <m/>
    <s v="Riki Romansyah"/>
    <s v="Febby Supplier"/>
    <s v="3507050501950006"/>
    <s v="N 9454 BA"/>
    <s v="0.5 dr left over"/>
    <m/>
    <s v="Bumiayu RW 03 Kedungkandang"/>
    <e v="#N/A"/>
    <e v="#N/A"/>
    <s v="OUTBOUND_"/>
  </r>
  <r>
    <s v="1269"/>
    <m/>
    <x v="1"/>
    <s v="OUB-W0012402-255"/>
    <s v="EJ-Malang-01"/>
    <s v="Oka-0813-2707-1646"/>
    <d v="2024-02-28T00:00:00"/>
    <d v="1899-12-30T11:40:00"/>
    <s v="EJ-MALANG-01"/>
    <x v="2"/>
    <x v="18"/>
    <s v="ZTE2020"/>
    <s v="Meter"/>
    <n v="4"/>
    <s v="CLR51-99-079"/>
    <x v="2"/>
    <m/>
    <m/>
    <m/>
    <m/>
    <m/>
    <m/>
    <m/>
    <m/>
    <m/>
    <s v="Bumiayu RW 05 Kedungkandang"/>
    <e v="#N/A"/>
    <e v="#N/A"/>
    <s v="OUTBOUND_"/>
  </r>
  <r>
    <s v="1270"/>
    <m/>
    <x v="4"/>
    <s v="BOI-W0012408-458"/>
    <s v="EJ-Malang-01"/>
    <s v="Oka-0813-2707-1646"/>
    <d v="2024-08-26T00:00:00"/>
    <d v="1900-01-14T07:00:00"/>
    <s v="Other Subcon"/>
    <x v="2"/>
    <x v="18"/>
    <s v="ZTE2020"/>
    <s v="Meter"/>
    <n v="200"/>
    <s v="BR006"/>
    <x v="63"/>
    <n v="0"/>
    <n v="0"/>
    <m/>
    <m/>
    <m/>
    <m/>
    <m/>
    <s v="Borrow from Midgo"/>
    <m/>
    <s v="MIDGO"/>
    <e v="#N/A"/>
    <e v="#N/A"/>
    <s v="OUTBOUND_"/>
  </r>
  <r>
    <s v="1271"/>
    <m/>
    <x v="1"/>
    <s v="OUB-W0012408-473"/>
    <s v="EJ-Malang-01"/>
    <s v="Oka-0813-2707-1646"/>
    <d v="2024-08-31T00:00:00"/>
    <d v="1899-12-30T09:56:00"/>
    <s v="EJ-MALANG-01"/>
    <x v="2"/>
    <x v="18"/>
    <s v="ZTE2020"/>
    <s v="Meter"/>
    <n v="160"/>
    <s v="MF51-05"/>
    <x v="66"/>
    <m/>
    <m/>
    <m/>
    <s v="Nur Hidayat"/>
    <n v="0"/>
    <s v="3515141305930006"/>
    <s v="S 9102 AE"/>
    <m/>
    <m/>
    <s v="HUBFEEDER DINOYO SUMBERSEKAR"/>
    <e v="#N/A"/>
    <e v="#N/A"/>
    <s v="OUTBOUND_"/>
  </r>
  <r>
    <s v="1272"/>
    <m/>
    <x v="0"/>
    <s v="INB-W0012409-507"/>
    <s v="EJ-Malang-01"/>
    <s v="Oka-0813-2707-1646"/>
    <d v="2024-09-20T00:00:00"/>
    <d v="1900-01-14T07:00:00"/>
    <s v="ZTE Warehouse"/>
    <x v="2"/>
    <x v="18"/>
    <s v="ZTE2020"/>
    <s v="Meter"/>
    <n v="328"/>
    <n v="0"/>
    <x v="5"/>
    <n v="0"/>
    <n v="0"/>
    <m/>
    <m/>
    <m/>
    <m/>
    <m/>
    <m/>
    <m/>
    <n v="0"/>
    <e v="#N/A"/>
    <e v="#N/A"/>
    <s v="OUTBOUND_"/>
  </r>
  <r>
    <s v="1273"/>
    <m/>
    <x v="5"/>
    <s v="BOO-W0012410-530"/>
    <s v="EJ-Malang-01"/>
    <s v="Oka-0813-2707-1646"/>
    <d v="2024-10-23T00:00:00"/>
    <d v="1899-12-30T19:09:00"/>
    <s v="Other Subcon"/>
    <x v="2"/>
    <x v="18"/>
    <s v="ZTE2020"/>
    <s v="Meter"/>
    <n v="20"/>
    <s v="TRF"/>
    <x v="174"/>
    <m/>
    <m/>
    <m/>
    <n v="0"/>
    <n v="0"/>
    <n v="0"/>
    <n v="0"/>
    <m/>
    <m/>
    <s v="MYREP"/>
    <e v="#N/A"/>
    <e v="#N/A"/>
    <s v="BORROW OUT_"/>
  </r>
  <r>
    <s v="1274"/>
    <m/>
    <x v="5"/>
    <s v="BOO-W0012410-530"/>
    <s v="EJ-Malang-01"/>
    <s v="Oka-0813-2707-1646"/>
    <d v="2024-10-23T00:00:00"/>
    <d v="1899-12-30T19:09:00"/>
    <s v="Other Subcon"/>
    <x v="2"/>
    <x v="18"/>
    <s v="ZTE2020"/>
    <s v="Meter"/>
    <n v="200"/>
    <s v="BR006"/>
    <x v="63"/>
    <m/>
    <m/>
    <m/>
    <n v="0"/>
    <n v="0"/>
    <n v="0"/>
    <n v="0"/>
    <s v="Return to Midgo"/>
    <m/>
    <s v="MIDGO"/>
    <e v="#N/A"/>
    <e v="#N/A"/>
    <s v="BORROW OUT_"/>
  </r>
  <r>
    <s v="1275"/>
    <m/>
    <x v="5"/>
    <s v="BOO-W0012411-552"/>
    <s v="EJ-Malang-01"/>
    <s v="Oka-0813-2707-1646"/>
    <d v="2024-11-13T00:00:00"/>
    <d v="1899-12-30T18:31:00"/>
    <s v="Other Subcon"/>
    <x v="2"/>
    <x v="18"/>
    <s v="ZTE2020"/>
    <s v="Meter"/>
    <n v="100"/>
    <s v="BR005"/>
    <x v="38"/>
    <m/>
    <m/>
    <m/>
    <s v="Rohim"/>
    <n v="0"/>
    <s v="3511030602030003"/>
    <s v="AA 8420 HC"/>
    <s v="dipinjam Morasha"/>
    <m/>
    <s v="MORASHA"/>
    <e v="#N/A"/>
    <e v="#N/A"/>
    <s v="BORROW OUT_"/>
  </r>
  <r>
    <s v="1276"/>
    <m/>
    <x v="1"/>
    <s v="OUB-W0012502-604"/>
    <s v="EJ-Malang-01"/>
    <s v="Oka-0813-2707-1646"/>
    <d v="2025-02-06T00:00:00"/>
    <d v="1899-12-30T09:35:00"/>
    <s v="EJ-MALANG-01"/>
    <x v="2"/>
    <x v="18"/>
    <s v="ZTE2020"/>
    <s v="Meter"/>
    <n v="2"/>
    <s v="CLR51-99-050"/>
    <x v="88"/>
    <m/>
    <m/>
    <m/>
    <s v="Riki Romansyah"/>
    <n v="0"/>
    <s v="3507050501950006"/>
    <s v="N 8420 EL"/>
    <m/>
    <m/>
    <s v="PERUMAHAN DE WIRA GREEN VIEW"/>
    <e v="#N/A"/>
    <e v="#N/A"/>
    <s v="OUTBOUND_"/>
  </r>
  <r>
    <s v="1277"/>
    <m/>
    <x v="0"/>
    <s v="INB-W0012405-337"/>
    <s v="EJ-Malang-01"/>
    <s v="Oka-0813-2707-1646"/>
    <d v="2024-05-17T00:00:00"/>
    <d v="1900-01-14T07:00:00"/>
    <s v="GCI Procurement"/>
    <x v="2"/>
    <x v="19"/>
    <s v="GCI1020"/>
    <s v="Pcs"/>
    <n v="206"/>
    <n v="0"/>
    <x v="5"/>
    <n v="0"/>
    <n v="0"/>
    <m/>
    <m/>
    <m/>
    <m/>
    <m/>
    <m/>
    <m/>
    <n v="0"/>
    <e v="#N/A"/>
    <e v="#N/A"/>
    <s v="OUTBOUND_"/>
  </r>
  <r>
    <s v="1278"/>
    <m/>
    <x v="1"/>
    <s v="OUB-W0012405-335"/>
    <s v="EJ-Malang-01"/>
    <s v="Oka-0813-2707-1646"/>
    <d v="2024-05-17T00:00:00"/>
    <d v="1899-12-30T10:43:00"/>
    <s v="EJ-MALANG-01"/>
    <x v="2"/>
    <x v="19"/>
    <s v="GCI1020"/>
    <s v="Pcs"/>
    <n v="206"/>
    <s v="MF51-02"/>
    <x v="46"/>
    <m/>
    <m/>
    <m/>
    <s v="Riki Romansyah"/>
    <s v="Febby Supplier"/>
    <s v="3507050501950006"/>
    <s v="N 8420 EL"/>
    <m/>
    <m/>
    <s v="HUBFEEDER DALISODO"/>
    <e v="#N/A"/>
    <e v="#N/A"/>
    <s v="OUTBOUND_"/>
  </r>
  <r>
    <s v="1279"/>
    <m/>
    <x v="0"/>
    <s v="INB-W0012406-372"/>
    <s v="EJ-Malang-01"/>
    <s v="Oka-0813-2707-1646"/>
    <d v="2024-06-09T00:00:00"/>
    <d v="1900-01-14T07:00:00"/>
    <s v="GCI Procurement"/>
    <x v="2"/>
    <x v="19"/>
    <s v="GCI1020"/>
    <s v="Pcs"/>
    <n v="107"/>
    <s v="RTN"/>
    <x v="5"/>
    <n v="0"/>
    <n v="0"/>
    <m/>
    <m/>
    <m/>
    <m/>
    <m/>
    <m/>
    <m/>
    <n v="0"/>
    <e v="#N/A"/>
    <e v="#N/A"/>
    <s v="OUTBOUND_"/>
  </r>
  <r>
    <s v="1280"/>
    <m/>
    <x v="1"/>
    <s v="OUB-W0012406-376"/>
    <s v="EJ-Malang-01"/>
    <s v="Oka-0813-2707-1646"/>
    <d v="2024-06-14T00:00:00"/>
    <d v="1899-12-30T13:51:00"/>
    <s v="EJ-MALANG-01"/>
    <x v="2"/>
    <x v="19"/>
    <s v="GCI1020"/>
    <s v="Pcs"/>
    <n v="7"/>
    <s v="CLR51-02-015"/>
    <x v="15"/>
    <m/>
    <m/>
    <m/>
    <s v="Fahrudin"/>
    <s v="Febby Supplier"/>
    <s v="3507131605830004"/>
    <s v="N 1383 G"/>
    <m/>
    <m/>
    <s v="Dusun Sumber Bendo Kucur"/>
    <e v="#N/A"/>
    <e v="#N/A"/>
    <s v="OUTBOUND_"/>
  </r>
  <r>
    <s v="1281"/>
    <m/>
    <x v="0"/>
    <s v="INB-W0012406-382"/>
    <s v="EJ-Malang-01"/>
    <s v="Oka-0813-2707-1646"/>
    <d v="2024-06-19T00:00:00"/>
    <d v="1900-01-14T07:00:00"/>
    <s v="GCI Procurement"/>
    <x v="2"/>
    <x v="19"/>
    <s v="GCI1020"/>
    <s v="Pcs"/>
    <n v="120"/>
    <s v="RTN"/>
    <x v="156"/>
    <n v="0"/>
    <n v="0"/>
    <m/>
    <m/>
    <m/>
    <m/>
    <m/>
    <m/>
    <m/>
    <s v="Pengembalian"/>
    <e v="#N/A"/>
    <e v="#N/A"/>
    <s v="OUTBOUND_"/>
  </r>
  <r>
    <s v="1282"/>
    <m/>
    <x v="0"/>
    <s v="INB-W0012407-412"/>
    <s v="EJ-Malang-01"/>
    <s v="Oka-0813-2707-1646"/>
    <d v="2024-07-23T00:00:00"/>
    <d v="1900-01-14T07:00:00"/>
    <s v="GCI Procurement"/>
    <x v="2"/>
    <x v="19"/>
    <s v="GCI1020"/>
    <s v="Pcs"/>
    <n v="18"/>
    <n v="0"/>
    <x v="5"/>
    <n v="0"/>
    <n v="0"/>
    <m/>
    <m/>
    <m/>
    <m/>
    <m/>
    <m/>
    <m/>
    <n v="0"/>
    <e v="#N/A"/>
    <e v="#N/A"/>
    <s v="OUTBOUND_"/>
  </r>
  <r>
    <s v="1283"/>
    <m/>
    <x v="1"/>
    <s v="OUB-W0012408-433"/>
    <s v="EJ-Malang-01"/>
    <s v="Oka-0813-2707-1646"/>
    <d v="2024-08-07T00:00:00"/>
    <d v="1899-12-30T10:46:00"/>
    <s v="EJ-MALANG-01"/>
    <x v="2"/>
    <x v="19"/>
    <s v="GCI1020"/>
    <s v="Pcs"/>
    <n v="80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1284"/>
    <m/>
    <x v="1"/>
    <s v="OUB-W0012408-434"/>
    <s v="EJ-Malang-01"/>
    <s v="Oka-0813-2707-1646"/>
    <d v="2024-08-07T00:00:00"/>
    <d v="1899-12-30T18:48:00"/>
    <s v="EJ-MALANG-01"/>
    <x v="2"/>
    <x v="19"/>
    <s v="GCI1020"/>
    <s v="Pcs"/>
    <n v="180"/>
    <s v="MF51-03"/>
    <x v="57"/>
    <m/>
    <m/>
    <m/>
    <s v="Riki Romansyah"/>
    <s v="Febby Supplier"/>
    <s v="3507050501950006"/>
    <s v="N 8420 EL"/>
    <m/>
    <m/>
    <s v="HUBFEEDER KEPANJEN TO JATIKERTO"/>
    <e v="#N/A"/>
    <e v="#N/A"/>
    <s v="OUTBOUND_"/>
  </r>
  <r>
    <s v="1285"/>
    <m/>
    <x v="0"/>
    <s v="INB-W0012408-440"/>
    <s v="EJ-Malang-01"/>
    <s v="Oka-0813-2707-1646"/>
    <d v="2024-08-10T00:00:00"/>
    <d v="1900-01-14T07:00:00"/>
    <s v="GCI Procurement"/>
    <x v="2"/>
    <x v="19"/>
    <s v="GCI1020"/>
    <s v="Pcs"/>
    <n v="22"/>
    <s v="RTN"/>
    <x v="156"/>
    <n v="0"/>
    <n v="0"/>
    <m/>
    <m/>
    <m/>
    <m/>
    <m/>
    <m/>
    <m/>
    <s v="Pengembalian"/>
    <e v="#N/A"/>
    <e v="#N/A"/>
    <s v="OUTBOUND_"/>
  </r>
  <r>
    <s v="1286"/>
    <m/>
    <x v="1"/>
    <s v="OUB-W0012408-462"/>
    <s v="EJ-Malang-01"/>
    <s v="Oka-0813-2707-1646"/>
    <d v="2024-08-27T00:00:00"/>
    <d v="1899-12-30T21:22:00"/>
    <s v="EJ-MALANG-01"/>
    <x v="2"/>
    <x v="19"/>
    <s v="GCI1020"/>
    <s v="Pcs"/>
    <n v="47"/>
    <s v="MF51-05"/>
    <x v="66"/>
    <m/>
    <m/>
    <m/>
    <s v="Nur Hidayat"/>
    <n v="0"/>
    <s v="3515141305930006"/>
    <s v="S 9102 AE"/>
    <m/>
    <m/>
    <s v="HUBFEEDER DINOYO SUMBERSEKAR"/>
    <e v="#N/A"/>
    <e v="#N/A"/>
    <s v="OUTBOUND_"/>
  </r>
  <r>
    <s v="1287"/>
    <m/>
    <x v="3"/>
    <s v="TFI-W0012408-472"/>
    <s v="EJ-Malang-01"/>
    <s v="Oka-0813-2707-1646"/>
    <d v="2024-08-30T00:00:00"/>
    <d v="1900-01-14T07:00:00"/>
    <s v="EJ-GRESIK-01"/>
    <x v="2"/>
    <x v="19"/>
    <s v="GCI1020"/>
    <s v="Pcs"/>
    <n v="800"/>
    <s v="TRF"/>
    <x v="93"/>
    <s v="dr gresi"/>
    <n v="0"/>
    <m/>
    <m/>
    <m/>
    <m/>
    <m/>
    <m/>
    <m/>
    <s v="GRESIK"/>
    <e v="#N/A"/>
    <e v="#N/A"/>
    <s v="OUTBOUND_"/>
  </r>
  <r>
    <s v="1288"/>
    <m/>
    <x v="0"/>
    <s v="INB-W0012409-486"/>
    <s v="EJ-Malang-01"/>
    <s v="Oka-0813-2707-1646"/>
    <d v="2024-09-04T00:00:00"/>
    <d v="1900-01-14T07:00:00"/>
    <s v="GCI Procurement"/>
    <x v="2"/>
    <x v="19"/>
    <s v="GCI1020"/>
    <s v="Pcs"/>
    <n v="80"/>
    <s v="RTN"/>
    <x v="156"/>
    <n v="0"/>
    <n v="0"/>
    <m/>
    <m/>
    <m/>
    <m/>
    <m/>
    <m/>
    <m/>
    <s v="Pengembalian"/>
    <e v="#N/A"/>
    <e v="#N/A"/>
    <s v="OUTBOUND_"/>
  </r>
  <r>
    <s v="1289"/>
    <m/>
    <x v="0"/>
    <s v="INB-W0012409-494"/>
    <s v="EJ-Malang-01"/>
    <s v="Oka-0813-2707-1646"/>
    <d v="2024-09-06T00:00:00"/>
    <d v="1900-01-14T07:00:00"/>
    <s v="GCI Procurement"/>
    <x v="2"/>
    <x v="19"/>
    <s v="GCI1020"/>
    <s v="Pcs"/>
    <n v="310"/>
    <n v="0"/>
    <x v="5"/>
    <n v="0"/>
    <n v="0"/>
    <m/>
    <m/>
    <m/>
    <m/>
    <m/>
    <m/>
    <m/>
    <n v="0"/>
    <e v="#N/A"/>
    <e v="#N/A"/>
    <s v="OUTBOUND_"/>
  </r>
  <r>
    <s v="1290"/>
    <m/>
    <x v="1"/>
    <s v="OUB-W0012409-501"/>
    <s v="EJ-Malang-01"/>
    <s v="Oka-0813-2707-1646"/>
    <d v="2024-09-12T00:00:00"/>
    <d v="1899-12-30T10:21:00"/>
    <s v="EJ-MALANG-01"/>
    <x v="2"/>
    <x v="19"/>
    <s v="GCI1020"/>
    <s v="Pcs"/>
    <n v="4"/>
    <s v="CLR51-03-005"/>
    <x v="58"/>
    <m/>
    <m/>
    <m/>
    <s v="Riki Romansyah"/>
    <n v="0"/>
    <s v="3507050501950006"/>
    <s v="N 8420 EL"/>
    <m/>
    <m/>
    <s v="Dusun Langlang IV Singosari"/>
    <e v="#N/A"/>
    <e v="#N/A"/>
    <s v="OUTBOUND_"/>
  </r>
  <r>
    <s v="1291"/>
    <m/>
    <x v="0"/>
    <s v="INB-W0012409-504"/>
    <s v="EJ-Malang-01"/>
    <s v="Oka-0813-2707-1646"/>
    <d v="2024-09-19T00:00:00"/>
    <d v="1900-01-14T07:00:00"/>
    <s v="FIELD TEAM"/>
    <x v="2"/>
    <x v="19"/>
    <s v="GCI1020"/>
    <s v="Pcs"/>
    <n v="232"/>
    <s v="RTN"/>
    <x v="157"/>
    <n v="0"/>
    <n v="0"/>
    <m/>
    <m/>
    <m/>
    <m/>
    <m/>
    <m/>
    <m/>
    <s v="MF Sumbersekar"/>
    <e v="#N/A"/>
    <e v="#N/A"/>
    <s v="OUTBOUND_"/>
  </r>
  <r>
    <s v="1292"/>
    <m/>
    <x v="1"/>
    <s v="OUB-W0012409-508"/>
    <s v="EJ-Malang-01"/>
    <s v="Oka-0813-2707-1646"/>
    <d v="2024-09-21T00:00:00"/>
    <d v="1899-12-30T17:10:00"/>
    <s v="EJ-MALANG-01"/>
    <x v="2"/>
    <x v="19"/>
    <s v="GCI1020"/>
    <s v="Pcs"/>
    <n v="200"/>
    <s v="MF51-05"/>
    <x v="66"/>
    <m/>
    <m/>
    <m/>
    <s v="Dimas"/>
    <s v="Febby Supplier"/>
    <s v="3573032509800005"/>
    <s v="N 9454 BA"/>
    <m/>
    <m/>
    <s v="HUBFEEDER DINOYO SUMBERSEKAR"/>
    <e v="#N/A"/>
    <e v="#N/A"/>
    <s v="OUTBOUND_"/>
  </r>
  <r>
    <s v="1293"/>
    <m/>
    <x v="1"/>
    <s v="OUB-W0012410-526"/>
    <s v="EJ-Malang-01"/>
    <s v="Oka-0813-2707-1646"/>
    <d v="2024-10-10T00:00:00"/>
    <d v="1899-12-30T13:33:00"/>
    <s v="EJ-MALANG-01"/>
    <x v="2"/>
    <x v="19"/>
    <s v="GCI1020"/>
    <s v="Pcs"/>
    <n v="1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1294"/>
    <m/>
    <x v="1"/>
    <s v="OUB-W0012410-527"/>
    <s v="EJ-Malang-01"/>
    <s v="Oka-0813-2707-1646"/>
    <d v="2024-10-18T00:00:00"/>
    <d v="1899-12-30T09:10:00"/>
    <s v="EJ-MALANG-01"/>
    <x v="2"/>
    <x v="19"/>
    <s v="GCI1020"/>
    <s v="Pcs"/>
    <n v="50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1295"/>
    <m/>
    <x v="1"/>
    <s v="OUB-W0012410-532"/>
    <s v="EJ-Malang-01"/>
    <s v="Oka-0813-2707-1646"/>
    <d v="2024-10-25T00:00:00"/>
    <d v="1899-12-30T19:09:00"/>
    <s v="EJ-MALANG-01"/>
    <x v="2"/>
    <x v="19"/>
    <s v="GCI1020"/>
    <s v="Pcs"/>
    <n v="100"/>
    <s v="MF51-07"/>
    <x v="75"/>
    <m/>
    <m/>
    <m/>
    <s v="Sulistiono"/>
    <n v="0"/>
    <s v="3575032104720001"/>
    <s v="N 9586 WC"/>
    <m/>
    <m/>
    <s v="HUBFEEDER KLAMPOK"/>
    <e v="#N/A"/>
    <e v="#N/A"/>
    <s v="OUTBOUND_"/>
  </r>
  <r>
    <s v="1296"/>
    <m/>
    <x v="0"/>
    <s v="INB-W0012410-542"/>
    <s v="EJ-Malang-01"/>
    <s v="Oka-0813-2707-1646"/>
    <d v="2024-10-30T00:00:00"/>
    <d v="1900-01-14T07:00:00"/>
    <s v="GCI Procurement"/>
    <x v="2"/>
    <x v="19"/>
    <s v="GCI1020"/>
    <s v="Pcs"/>
    <n v="400"/>
    <n v="0"/>
    <x v="5"/>
    <n v="0"/>
    <n v="0"/>
    <m/>
    <m/>
    <m/>
    <m/>
    <m/>
    <m/>
    <m/>
    <n v="0"/>
    <e v="#N/A"/>
    <e v="#N/A"/>
    <s v="OUTBOUND_"/>
  </r>
  <r>
    <s v="1297"/>
    <m/>
    <x v="1"/>
    <s v="OUB-W0012410-537"/>
    <s v="EJ-Malang-01"/>
    <s v="Oka-0813-2707-1646"/>
    <d v="2024-10-30T00:00:00"/>
    <d v="1899-12-30T23:25:00"/>
    <s v="EJ-MALANG-01"/>
    <x v="2"/>
    <x v="19"/>
    <s v="GCI1020"/>
    <s v="Pcs"/>
    <n v="20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1298"/>
    <m/>
    <x v="0"/>
    <s v="INB-W0012410-544"/>
    <s v="EJ-Malang-01"/>
    <s v="Oka-0813-2707-1646"/>
    <d v="2024-10-31T00:00:00"/>
    <d v="1900-01-14T07:00:00"/>
    <s v="FIELD TEAM"/>
    <x v="2"/>
    <x v="19"/>
    <s v="GCI1020"/>
    <s v="Pcs"/>
    <n v="33"/>
    <s v="RTN"/>
    <x v="175"/>
    <n v="0"/>
    <n v="0"/>
    <m/>
    <m/>
    <m/>
    <m/>
    <m/>
    <m/>
    <m/>
    <s v="MF Singosari"/>
    <e v="#N/A"/>
    <e v="#N/A"/>
    <s v="OUTBOUND_"/>
  </r>
  <r>
    <s v="1299"/>
    <m/>
    <x v="1"/>
    <s v="OUB-W0012503-627"/>
    <s v="EJ-Malang-01"/>
    <s v="Oka-0813-2707-1646"/>
    <d v="2025-03-21T00:00:00"/>
    <d v="1899-12-30T18:50:00"/>
    <s v="EJ-MALANG-01"/>
    <x v="2"/>
    <x v="19"/>
    <s v="GCI1020"/>
    <s v="Pcs"/>
    <n v="20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1300"/>
    <m/>
    <x v="2"/>
    <s v="TFO-W0012508-692"/>
    <s v="EJ-Malang-01"/>
    <s v="Oka-0813-2707-1646"/>
    <d v="2025-08-21T00:00:00"/>
    <d v="1899-12-30T15:21:00"/>
    <s v="EJ-GRESIK-01"/>
    <x v="2"/>
    <x v="19"/>
    <s v="GCI1020"/>
    <s v="Pcs"/>
    <n v="400"/>
    <n v="0"/>
    <x v="4"/>
    <m/>
    <m/>
    <m/>
    <s v="Munip"/>
    <n v="0"/>
    <s v="3509090107770266"/>
    <s v="L 1962 QM"/>
    <s v="Gresij"/>
    <m/>
    <s v="Transfer Gudang"/>
    <e v="#N/A"/>
    <e v="#N/A"/>
    <s v="TRANSFER OUT_"/>
  </r>
  <r>
    <s v="1301"/>
    <m/>
    <x v="1"/>
    <s v="OUB-W0012508-696"/>
    <s v="EJ-Malang-01"/>
    <s v="Oka-0813-2707-1646"/>
    <d v="2025-08-30T00:00:00"/>
    <d v="1899-12-30T09:11:35"/>
    <s v="EJ-MALANG-01"/>
    <x v="2"/>
    <x v="19"/>
    <s v="GCI1020"/>
    <s v="Pcs"/>
    <n v="10"/>
    <s v="MF51-05"/>
    <x v="106"/>
    <s v="DOEID240918BZ"/>
    <s v="DNWID0342024091808"/>
    <s v="A-Good"/>
    <s v="Riki Romansyah"/>
    <m/>
    <n v="3507050501950000"/>
    <s v="N 8420 EL"/>
    <s v="Repair MF , Insiden FO Cut"/>
    <m/>
    <s v="Main Feeder - OLT Smart Malang Segment 8 to Sumbersekar"/>
    <d v="2024-09-20T00:00:00"/>
    <b v="0"/>
    <s v="OUTBOUND_"/>
  </r>
  <r>
    <s v="1302"/>
    <n v="3"/>
    <x v="1"/>
    <s v="OUB-W0012509-007"/>
    <s v="EJ-Malang-01"/>
    <s v="Oka-0813-2707-1646"/>
    <d v="2025-09-20T00:00:00"/>
    <d v="1899-12-30T16:10:52"/>
    <s v="EJ-MALANG-01"/>
    <x v="2"/>
    <x v="19"/>
    <s v="GCI1020"/>
    <s v="Pcs"/>
    <n v="10"/>
    <s v="MF51-05"/>
    <x v="106"/>
    <s v="DOEID240918BZ"/>
    <s v="DNWID0342024091808"/>
    <s v="A-Good"/>
    <s v="Riki Romansyah"/>
    <m/>
    <s v="3507050501950006"/>
    <s v="N 8420 EL"/>
    <s v="Repair MF , Insiden FO Cut"/>
    <m/>
    <s v="Main Feeder - OLT Smart Malang Segment 8 to Sumbersekar"/>
    <d v="2024-09-20T00:00:00"/>
    <b v="0"/>
    <s v="OUTBOUND_"/>
  </r>
  <r>
    <s v="1303"/>
    <n v="1"/>
    <x v="2"/>
    <s v="TFO-W0012510-001"/>
    <s v="EJ-Malang-01"/>
    <s v="Oka-0813-2707-1646"/>
    <d v="2025-10-01T00:00:00"/>
    <d v="1899-12-30T15:21:00"/>
    <s v="EJ-GRESIK-01"/>
    <x v="2"/>
    <x v="19"/>
    <s v="GCI1020"/>
    <s v="Pcs"/>
    <n v="600"/>
    <n v="0"/>
    <x v="4"/>
    <m/>
    <m/>
    <m/>
    <s v="Munip"/>
    <n v="0"/>
    <s v="3509090107770266"/>
    <s v="L 1962 QM"/>
    <s v="Gresij"/>
    <m/>
    <s v="Transfer Gudang"/>
    <e v="#N/A"/>
    <e v="#N/A"/>
    <s v="TRANSFER OUT_"/>
  </r>
  <r>
    <s v="1304"/>
    <n v="7"/>
    <x v="1"/>
    <s v="OUB-W0012510-001"/>
    <s v="EJ-Malang-01"/>
    <s v="Oka-0813-2707-1646"/>
    <d v="2025-10-16T00:00:00"/>
    <d v="1899-12-30T10:21:00"/>
    <s v="EJ-MALANG-01"/>
    <x v="2"/>
    <x v="19"/>
    <s v="GCI1020"/>
    <s v="Pcs"/>
    <n v="5"/>
    <s v="MF51-05"/>
    <x v="106"/>
    <m/>
    <m/>
    <m/>
    <s v="Riki Romansyah"/>
    <n v="0"/>
    <s v="3507050501950006"/>
    <s v="N 8420 EL"/>
    <m/>
    <m/>
    <s v="Main Feeder - OLT Smart Malang Segment 8 to Sumbersekar"/>
    <e v="#N/A"/>
    <e v="#N/A"/>
    <s v="OUTBOUND_"/>
  </r>
  <r>
    <s v="1305"/>
    <m/>
    <x v="0"/>
    <s v="INB-W0012309-30"/>
    <s v="EJ-Malang-01"/>
    <s v="Oka-0813-2707-1646"/>
    <d v="2023-09-16T00:00:00"/>
    <d v="1900-01-14T07:00:00"/>
    <s v="ZTE Warehouse"/>
    <x v="0"/>
    <x v="20"/>
    <s v="ZTE1004"/>
    <s v="Pcs"/>
    <n v="1"/>
    <s v="CLR51-99-013"/>
    <x v="168"/>
    <s v="DOEID23091557"/>
    <s v="DNWID0362023091502"/>
    <m/>
    <m/>
    <m/>
    <m/>
    <m/>
    <m/>
    <m/>
    <s v="Pandanlandung RW   03   Wagir"/>
    <d v="2023-09-16T00:00:00"/>
    <b v="1"/>
    <s v="OUTBOUND_"/>
  </r>
  <r>
    <s v="1306"/>
    <m/>
    <x v="0"/>
    <s v="INB-W0012309-30"/>
    <s v="EJ-Malang-01"/>
    <s v="Oka-0813-2707-1646"/>
    <d v="2023-09-16T00:00:00"/>
    <d v="1900-01-14T07:00:00"/>
    <s v="ZTE Warehouse"/>
    <x v="0"/>
    <x v="20"/>
    <s v="ZTE1004"/>
    <s v="Pcs"/>
    <n v="1"/>
    <s v="CLR51-99-014"/>
    <x v="167"/>
    <s v="DOEID23091555"/>
    <s v="DNWID0362023091501"/>
    <m/>
    <m/>
    <m/>
    <m/>
    <m/>
    <m/>
    <m/>
    <s v="Pandanlandung RW   04   Wagir"/>
    <d v="2023-09-16T00:00:00"/>
    <b v="1"/>
    <s v="OUTBOUND_"/>
  </r>
  <r>
    <s v="1307"/>
    <m/>
    <x v="1"/>
    <s v="OUB-W0012309-54"/>
    <s v="EJ-Malang-01"/>
    <s v="Oka-0813-2707-1646"/>
    <d v="2023-09-28T00:00:00"/>
    <d v="1899-12-30T22:30:00"/>
    <s v="EJ-MALANG-01"/>
    <x v="0"/>
    <x v="20"/>
    <s v="ZTE1004"/>
    <s v="Pcs"/>
    <n v="2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1308"/>
    <m/>
    <x v="3"/>
    <s v="TFI-W0012310-69"/>
    <s v="EJ-Malang-01"/>
    <s v="Oka-0813-2707-1646"/>
    <d v="2023-10-11T00:00:00"/>
    <d v="1900-01-14T07:00:00"/>
    <s v="EJ-GRESIK-01"/>
    <x v="0"/>
    <x v="20"/>
    <s v="ZTE1004"/>
    <s v="Pcs"/>
    <n v="1"/>
    <s v="TRF"/>
    <x v="93"/>
    <n v="0"/>
    <s v="TRANSFER GUDANG"/>
    <m/>
    <m/>
    <m/>
    <m/>
    <m/>
    <s v="WH Gresik ke WH Malang (via bus Tentrem)"/>
    <m/>
    <s v="GRESIK"/>
    <e v="#N/A"/>
    <e v="#N/A"/>
    <s v="OUTBOUND_"/>
  </r>
  <r>
    <s v="1309"/>
    <m/>
    <x v="0"/>
    <s v="INB-W0012310-74"/>
    <s v="EJ-Malang-01"/>
    <s v="Oka-0813-2707-1646"/>
    <d v="2023-10-12T00:00:00"/>
    <d v="1900-01-14T07:00:00"/>
    <s v="ZTE Warehouse"/>
    <x v="0"/>
    <x v="20"/>
    <s v="ZTE1004"/>
    <s v="Pcs"/>
    <n v="2"/>
    <s v="CLR51-02-001"/>
    <x v="20"/>
    <s v="DOEID23101242"/>
    <s v="DNWID0362023101201"/>
    <m/>
    <m/>
    <m/>
    <m/>
    <m/>
    <m/>
    <m/>
    <s v="Puncak Dieng Exlusif"/>
    <d v="2023-10-12T00:00:00"/>
    <b v="1"/>
    <s v="OUTBOUND_"/>
  </r>
  <r>
    <s v="1310"/>
    <m/>
    <x v="1"/>
    <s v="OUB-W0012310-73"/>
    <s v="EJ-Malang-01"/>
    <s v="Oka-0813-2707-1646"/>
    <d v="2023-10-12T00:00:00"/>
    <d v="1899-12-30T20:31:00"/>
    <s v="EJ-MALANG-01"/>
    <x v="0"/>
    <x v="20"/>
    <s v="ZTE1004"/>
    <s v="Pcs"/>
    <n v="1"/>
    <s v="CLR51-99-013"/>
    <x v="176"/>
    <m/>
    <m/>
    <m/>
    <s v="NASRUL"/>
    <n v="0"/>
    <s v="3573042706820008"/>
    <s v="N 4292 DT"/>
    <m/>
    <m/>
    <s v="Pandanlandung RW 03 Wagir"/>
    <e v="#N/A"/>
    <e v="#N/A"/>
    <s v="OUTBOUND_"/>
  </r>
  <r>
    <s v="1311"/>
    <m/>
    <x v="2"/>
    <s v="TFO-W0012310-72"/>
    <s v="EJ-Malang-01"/>
    <s v="Oka-0813-2707-1646"/>
    <d v="2023-10-12T00:00:00"/>
    <d v="1899-12-30T19:25:00"/>
    <s v="EJ-MALANG-01"/>
    <x v="0"/>
    <x v="20"/>
    <s v="ZTE1004"/>
    <s v="Pcs"/>
    <n v="1"/>
    <s v="TRF"/>
    <x v="4"/>
    <m/>
    <m/>
    <m/>
    <s v="Sigit Pamungkas"/>
    <n v="0"/>
    <n v="0"/>
    <n v="0"/>
    <s v="Pengambilan dari gudang ZTE dari DO Puncak dieng Ex diantar sigit Pamungkas "/>
    <m/>
    <s v="Transfer Gudang"/>
    <e v="#N/A"/>
    <e v="#N/A"/>
    <s v="TRANSFER OUT_"/>
  </r>
  <r>
    <s v="1312"/>
    <m/>
    <x v="0"/>
    <s v="INB-W0012310-75"/>
    <s v="EJ-Malang-01"/>
    <s v="Oka-0813-2707-1646"/>
    <d v="2023-10-14T00:00:00"/>
    <d v="1900-01-14T07:00:00"/>
    <s v="ZTE Warehouse"/>
    <x v="0"/>
    <x v="20"/>
    <s v="ZTE1004"/>
    <s v="Pcs"/>
    <n v="1"/>
    <s v="CLR51-99-017"/>
    <x v="21"/>
    <s v="DOEID23101402"/>
    <s v="DNWID0362023101403"/>
    <m/>
    <m/>
    <m/>
    <m/>
    <m/>
    <m/>
    <m/>
    <s v="Sukodadi RW 01 Wagir"/>
    <d v="2023-10-14T00:00:00"/>
    <b v="1"/>
    <s v="OUTBOUND_"/>
  </r>
  <r>
    <s v="1313"/>
    <m/>
    <x v="1"/>
    <s v="OUB-W0012310-116"/>
    <s v="EJ-Malang-01"/>
    <s v="Oka-0813-2707-1646"/>
    <d v="2023-10-29T00:00:00"/>
    <d v="1899-12-30T22:30:00"/>
    <s v="EJ-MALANG-01"/>
    <x v="0"/>
    <x v="20"/>
    <s v="ZTE1004"/>
    <s v="Pcs"/>
    <n v="1"/>
    <s v="CLR51-99-017"/>
    <x v="21"/>
    <m/>
    <m/>
    <m/>
    <s v="Mustofa"/>
    <n v="0"/>
    <s v="3209140803860003"/>
    <s v="N 9609 EF"/>
    <m/>
    <m/>
    <s v="Sukodadi RW 01 Wagir"/>
    <e v="#N/A"/>
    <e v="#N/A"/>
    <s v="OUTBOUND_"/>
  </r>
  <r>
    <s v="1314"/>
    <m/>
    <x v="3"/>
    <s v="TFI-W0012312-155"/>
    <s v="EJ-Malang-01"/>
    <s v="Oka-0813-2707-1646"/>
    <d v="2023-12-25T00:00:00"/>
    <d v="1900-01-14T07:00:00"/>
    <s v="EJ-JOMBANG-01"/>
    <x v="0"/>
    <x v="20"/>
    <s v="ZTE1004"/>
    <s v="Pcs"/>
    <n v="1"/>
    <s v="TRF"/>
    <x v="138"/>
    <n v="0"/>
    <s v="TRANSFER GUDANG"/>
    <m/>
    <m/>
    <m/>
    <m/>
    <m/>
    <s v="WH JOMBANG KE WH MALANG"/>
    <m/>
    <s v="JOMBANG"/>
    <e v="#N/A"/>
    <e v="#N/A"/>
    <s v="OUTBOUND_"/>
  </r>
  <r>
    <s v="1315"/>
    <m/>
    <x v="1"/>
    <s v="OUB-W0012312-157"/>
    <s v="EJ-Malang-01"/>
    <s v="Oka-0813-2707-1646"/>
    <d v="2023-12-26T00:00:00"/>
    <d v="1899-12-30T09:25:00"/>
    <s v="EJ-MALANG-01"/>
    <x v="0"/>
    <x v="20"/>
    <s v="ZTE1004"/>
    <s v="Pcs"/>
    <n v="1"/>
    <s v="CLR32-99-069"/>
    <x v="30"/>
    <m/>
    <m/>
    <m/>
    <s v="Fatur"/>
    <s v="Febby Supplier"/>
    <s v="3515082712870005"/>
    <s v="L 9340 BM"/>
    <m/>
    <m/>
    <s v="Sitirejo RW 01 Wagir"/>
    <e v="#N/A"/>
    <e v="#N/A"/>
    <s v="OUTBOUND_"/>
  </r>
  <r>
    <s v="1316"/>
    <m/>
    <x v="0"/>
    <s v="INB-W0012312-161"/>
    <s v="EJ-Malang-01"/>
    <s v="Oka-0813-2707-1646"/>
    <d v="2023-12-27T00:00:00"/>
    <d v="1900-01-14T07:00:00"/>
    <s v="ZTE Warehouse"/>
    <x v="0"/>
    <x v="20"/>
    <s v="ZTE1004"/>
    <s v="Pcs"/>
    <n v="2"/>
    <s v="CLR51-01-005"/>
    <x v="37"/>
    <m/>
    <m/>
    <m/>
    <m/>
    <m/>
    <m/>
    <m/>
    <s v="Diambil Bayu"/>
    <m/>
    <s v="Baturetno RW 02 Singosari "/>
    <e v="#N/A"/>
    <e v="#N/A"/>
    <s v="OUTBOUND_"/>
  </r>
  <r>
    <s v="1317"/>
    <m/>
    <x v="0"/>
    <s v="INB-W0012401-176"/>
    <s v="EJ-Malang-01"/>
    <s v="Oka-0813-2707-1646"/>
    <d v="2024-01-16T00:00:00"/>
    <d v="1900-01-14T07:00:00"/>
    <s v="ZTE Warehouse"/>
    <x v="0"/>
    <x v="20"/>
    <s v="ZTE1004"/>
    <s v="Pcs"/>
    <n v="1"/>
    <s v="CLR29-99-153"/>
    <x v="34"/>
    <m/>
    <m/>
    <m/>
    <m/>
    <m/>
    <m/>
    <m/>
    <m/>
    <m/>
    <s v="Perumahan Pondok Mutiara Malang"/>
    <e v="#N/A"/>
    <e v="#N/A"/>
    <s v="OUTBOUND_"/>
  </r>
  <r>
    <s v="1318"/>
    <m/>
    <x v="0"/>
    <s v="INB-W0012401-176"/>
    <s v="EJ-Malang-01"/>
    <s v="Oka-0813-2707-1646"/>
    <d v="2024-01-16T00:00:00"/>
    <d v="1900-01-14T07:00:00"/>
    <s v="ZTE Warehouse"/>
    <x v="0"/>
    <x v="20"/>
    <s v="ZTE1004"/>
    <s v="Pcs"/>
    <n v="1"/>
    <s v="CLR51-99-066"/>
    <x v="35"/>
    <m/>
    <m/>
    <m/>
    <m/>
    <m/>
    <m/>
    <m/>
    <m/>
    <m/>
    <s v="TAMANHARJO RW 04 SINGOSARI"/>
    <e v="#N/A"/>
    <e v="#N/A"/>
    <s v="OUTBOUND_"/>
  </r>
  <r>
    <s v="1319"/>
    <m/>
    <x v="0"/>
    <s v="INB-W0012401-176"/>
    <s v="EJ-Malang-01"/>
    <s v="Oka-0813-2707-1646"/>
    <d v="2024-01-16T00:00:00"/>
    <d v="1900-01-14T07:00:00"/>
    <s v="ZTE Warehouse"/>
    <x v="0"/>
    <x v="20"/>
    <s v="ZTE1004"/>
    <s v="Pcs"/>
    <n v="2"/>
    <s v="MF51-01"/>
    <x v="36"/>
    <m/>
    <m/>
    <m/>
    <m/>
    <m/>
    <m/>
    <m/>
    <m/>
    <m/>
    <s v="HUBFEEDER BATURETNO RW 02"/>
    <e v="#N/A"/>
    <e v="#N/A"/>
    <s v="OUTBOUND_"/>
  </r>
  <r>
    <s v="1320"/>
    <m/>
    <x v="1"/>
    <s v="OUB-W0012401-193"/>
    <s v="EJ-Malang-01"/>
    <s v="Oka-0813-2707-1646"/>
    <d v="2024-01-22T00:00:00"/>
    <d v="1899-12-30T14:57:00"/>
    <s v="EJ-MALANG-01"/>
    <x v="0"/>
    <x v="20"/>
    <s v="ZTE1004"/>
    <s v="Pcs"/>
    <n v="1"/>
    <s v="CLR29-99-153"/>
    <x v="34"/>
    <m/>
    <m/>
    <m/>
    <s v="Fatur"/>
    <s v="Febby Supplier"/>
    <s v="3515082712870005"/>
    <s v="W 1130 NQ"/>
    <m/>
    <m/>
    <s v="Perumahan Pondok Mutiara Malang"/>
    <e v="#N/A"/>
    <e v="#N/A"/>
    <s v="OUTBOUND_"/>
  </r>
  <r>
    <s v="1321"/>
    <m/>
    <x v="1"/>
    <s v="OUB-W0012401-193"/>
    <s v="EJ-Malang-01"/>
    <s v="Oka-0813-2707-1646"/>
    <d v="2024-01-22T00:00:00"/>
    <d v="1899-12-30T14:57:00"/>
    <s v="EJ-MALANG-01"/>
    <x v="0"/>
    <x v="20"/>
    <s v="ZTE1004"/>
    <s v="Pcs"/>
    <n v="1"/>
    <s v="CLR51-01-005"/>
    <x v="177"/>
    <m/>
    <m/>
    <m/>
    <s v="Fatur"/>
    <s v="Febby Supplier"/>
    <s v="3515082712870005"/>
    <s v="W 1130 NQ"/>
    <m/>
    <m/>
    <s v="Baturetno RW 02 Singosari Malang"/>
    <e v="#N/A"/>
    <e v="#N/A"/>
    <s v="OUTBOUND_"/>
  </r>
  <r>
    <s v="1322"/>
    <m/>
    <x v="1"/>
    <s v="OUB-W0012401-193"/>
    <s v="EJ-Malang-01"/>
    <s v="Oka-0813-2707-1646"/>
    <d v="2024-01-22T00:00:00"/>
    <d v="1899-12-30T14:57:00"/>
    <s v="EJ-MALANG-01"/>
    <x v="0"/>
    <x v="20"/>
    <s v="ZTE1004"/>
    <s v="Pcs"/>
    <n v="2"/>
    <s v="MF51-01"/>
    <x v="36"/>
    <m/>
    <m/>
    <m/>
    <s v="Fatur"/>
    <s v="Febby Supplier"/>
    <s v="3515082712870005"/>
    <s v="W 1130 NQ"/>
    <m/>
    <m/>
    <s v="HUBFEEDER BATURETNO RW 02"/>
    <e v="#N/A"/>
    <e v="#N/A"/>
    <s v="OUTBOUND_"/>
  </r>
  <r>
    <s v="1323"/>
    <m/>
    <x v="5"/>
    <s v="BOO-W0012401-200"/>
    <s v="EJ-Malang-01"/>
    <s v="Oka-0813-2707-1646"/>
    <d v="2024-01-24T00:00:00"/>
    <d v="1899-12-30T22:46:00"/>
    <s v="Other Subcon"/>
    <x v="0"/>
    <x v="20"/>
    <s v="ZTE1004"/>
    <s v="Pcs"/>
    <n v="1"/>
    <s v="BR004"/>
    <x v="31"/>
    <m/>
    <m/>
    <m/>
    <s v="Agung"/>
    <n v="0"/>
    <n v="0"/>
    <n v="0"/>
    <s v="YPTT Borrowed"/>
    <m/>
    <s v="YPTT"/>
    <e v="#N/A"/>
    <e v="#N/A"/>
    <s v="BORROW OUT_"/>
  </r>
  <r>
    <s v="1324"/>
    <m/>
    <x v="3"/>
    <s v="TFI-W0012402-242"/>
    <s v="EJ-Malang-01"/>
    <s v="Oka-0813-2707-1646"/>
    <d v="2024-02-22T00:00:00"/>
    <d v="1900-01-14T07:00:00"/>
    <s v="ZTE Warehouse"/>
    <x v="0"/>
    <x v="20"/>
    <s v="ZTE1004"/>
    <s v="Pcs"/>
    <n v="1"/>
    <s v="TRF"/>
    <x v="5"/>
    <n v="0"/>
    <s v="TRANSFER GUDANG"/>
    <m/>
    <m/>
    <m/>
    <m/>
    <m/>
    <m/>
    <m/>
    <n v="0"/>
    <e v="#N/A"/>
    <e v="#N/A"/>
    <s v="OUTBOUND_"/>
  </r>
  <r>
    <s v="1325"/>
    <m/>
    <x v="1"/>
    <s v="OUB-W0012402-244"/>
    <s v="EJ-Malang-01"/>
    <s v="Oka-0813-2707-1646"/>
    <d v="2024-02-23T00:00:00"/>
    <d v="1899-12-30T09:13:00"/>
    <s v="EJ-MALANG-01"/>
    <x v="0"/>
    <x v="20"/>
    <s v="ZTE1004"/>
    <s v="Pcs"/>
    <n v="1"/>
    <s v="CLR51-99-066"/>
    <x v="35"/>
    <m/>
    <m/>
    <m/>
    <s v="Fatur"/>
    <s v="Febby Supplier"/>
    <s v="3515082712870005"/>
    <s v="W 1130 NQ"/>
    <m/>
    <m/>
    <s v="TAMANHARJO RW 04 SINGOSARI"/>
    <e v="#N/A"/>
    <e v="#N/A"/>
    <s v="OUTBOUND_"/>
  </r>
  <r>
    <s v="1326"/>
    <m/>
    <x v="1"/>
    <s v="OUB-W0012402-246"/>
    <s v="EJ-Malang-01"/>
    <s v="Oka-0813-2707-1646"/>
    <d v="2024-02-23T00:00:00"/>
    <d v="1899-12-30T19:07:00"/>
    <s v="EJ-MALANG-01"/>
    <x v="0"/>
    <x v="20"/>
    <s v="ZTE1004"/>
    <s v="Pcs"/>
    <n v="2"/>
    <s v="CLR51-99-078"/>
    <x v="1"/>
    <m/>
    <m/>
    <m/>
    <s v="Fatur"/>
    <s v="Febby Supplier"/>
    <s v="3515082712870005"/>
    <s v="W 1130 NQ"/>
    <m/>
    <m/>
    <s v="Bumiayu RW 03 Kedungkandang"/>
    <e v="#N/A"/>
    <e v="#N/A"/>
    <s v="OUTBOUND_"/>
  </r>
  <r>
    <s v="1327"/>
    <m/>
    <x v="3"/>
    <s v="TFI-W0012402-250"/>
    <s v="EJ-Malang-01"/>
    <s v="Oka-0813-2707-1646"/>
    <d v="2024-02-26T00:00:00"/>
    <d v="1900-01-14T07:00:00"/>
    <s v="ZTE Warehouse"/>
    <x v="0"/>
    <x v="20"/>
    <s v="ZTE1004"/>
    <s v="Pcs"/>
    <n v="6"/>
    <s v="TRF"/>
    <x v="5"/>
    <n v="0"/>
    <s v="TRANSFER GUDANG"/>
    <m/>
    <m/>
    <m/>
    <m/>
    <m/>
    <m/>
    <m/>
    <n v="0"/>
    <e v="#N/A"/>
    <e v="#N/A"/>
    <s v="OUTBOUND_"/>
  </r>
  <r>
    <s v="1328"/>
    <m/>
    <x v="1"/>
    <s v="OUB-W0012403-270"/>
    <s v="EJ-Malang-01"/>
    <s v="Oka-0813-2707-1646"/>
    <d v="2024-03-06T00:00:00"/>
    <d v="1899-12-30T09:24:00"/>
    <s v="EJ-MALANG-01"/>
    <x v="0"/>
    <x v="20"/>
    <s v="ZTE1004"/>
    <s v="Pcs"/>
    <n v="1"/>
    <s v="CLR51-99-079"/>
    <x v="2"/>
    <m/>
    <m/>
    <m/>
    <s v="Fatur"/>
    <s v="Febby Supplier"/>
    <s v="3515082712870005"/>
    <s v="W 1130 NQ"/>
    <m/>
    <m/>
    <s v="Bumiayu RW 05 Kedungkandang"/>
    <e v="#N/A"/>
    <e v="#N/A"/>
    <s v="OUTBOUND_"/>
  </r>
  <r>
    <s v="1329"/>
    <m/>
    <x v="3"/>
    <s v="TFI-W0012403-272"/>
    <s v="EJ-Malang-01"/>
    <s v="Oka-0813-2707-1646"/>
    <d v="2024-03-06T00:00:00"/>
    <d v="1900-01-14T07:00:00"/>
    <s v="EJ-GRESIK-01"/>
    <x v="0"/>
    <x v="20"/>
    <s v="ZTE1004"/>
    <s v="Pcs"/>
    <n v="3"/>
    <s v="TRF"/>
    <x v="93"/>
    <n v="0"/>
    <s v="TRANSFER GUDANG"/>
    <m/>
    <m/>
    <m/>
    <m/>
    <m/>
    <s v="dari gresik"/>
    <m/>
    <s v="GRESIK"/>
    <e v="#N/A"/>
    <e v="#N/A"/>
    <s v="OUTBOUND_"/>
  </r>
  <r>
    <s v="1330"/>
    <m/>
    <x v="1"/>
    <s v="OUB-W0012403-287"/>
    <s v="EJ-Malang-01"/>
    <s v="Oka-0813-2707-1646"/>
    <d v="2024-03-25T00:00:00"/>
    <d v="1899-12-30T10:28:00"/>
    <s v="EJ-MALANG-01"/>
    <x v="0"/>
    <x v="20"/>
    <s v="ZTE1004"/>
    <s v="Pcs"/>
    <n v="2"/>
    <s v="CLR51-99-039"/>
    <x v="7"/>
    <m/>
    <m/>
    <m/>
    <s v="Fatur"/>
    <n v="0"/>
    <s v="3515082712870005"/>
    <s v="W 1130 NQ"/>
    <m/>
    <m/>
    <s v="Tunjungtirto RW 01 Singosari"/>
    <e v="#N/A"/>
    <e v="#N/A"/>
    <s v="OUTBOUND_"/>
  </r>
  <r>
    <s v="1331"/>
    <m/>
    <x v="3"/>
    <s v="TFI-W0012404-314"/>
    <s v="EJ-Malang-01"/>
    <s v="Oka-0813-2707-1646"/>
    <d v="2024-04-22T00:00:00"/>
    <d v="1900-01-14T07:00:00"/>
    <s v="ZTE Warehouse"/>
    <x v="0"/>
    <x v="20"/>
    <s v="ZTE1004"/>
    <s v="Pcs"/>
    <n v="3"/>
    <s v="TRF"/>
    <x v="5"/>
    <n v="0"/>
    <s v="TRANSFER GUDANG"/>
    <m/>
    <m/>
    <m/>
    <m/>
    <m/>
    <m/>
    <m/>
    <n v="0"/>
    <e v="#N/A"/>
    <e v="#N/A"/>
    <s v="OUTBOUND_"/>
  </r>
  <r>
    <s v="1332"/>
    <m/>
    <x v="1"/>
    <s v="OUB-W0012404-321"/>
    <s v="EJ-Malang-01"/>
    <s v="Oka-0813-2707-1646"/>
    <d v="2024-04-24T00:00:00"/>
    <d v="1899-12-30T10:00:00"/>
    <s v="EJ-MALANG-01"/>
    <x v="0"/>
    <x v="20"/>
    <s v="ZTE1004"/>
    <s v="Pcs"/>
    <n v="1"/>
    <s v="CLR51-99-010"/>
    <x v="10"/>
    <m/>
    <m/>
    <m/>
    <s v="Fahrudin"/>
    <s v="Febby Supplier"/>
    <s v="3507131605830004"/>
    <s v="N 1383 G"/>
    <m/>
    <m/>
    <s v="Pandan Landung RW 05 Wagir"/>
    <e v="#N/A"/>
    <e v="#N/A"/>
    <s v="OUTBOUND_"/>
  </r>
  <r>
    <s v="1333"/>
    <m/>
    <x v="1"/>
    <s v="OUB-W0012405-336"/>
    <s v="EJ-Malang-01"/>
    <s v="Oka-0813-2707-1646"/>
    <d v="2024-05-17T00:00:00"/>
    <d v="1899-12-30T23:56:00"/>
    <s v="EJ-MALANG-01"/>
    <x v="0"/>
    <x v="20"/>
    <s v="ZTE1004"/>
    <s v="Pcs"/>
    <n v="3"/>
    <s v="MF51-02"/>
    <x v="46"/>
    <m/>
    <m/>
    <m/>
    <s v="Fatur"/>
    <n v="0"/>
    <s v="3515082712870005"/>
    <s v="W 1130 NQ"/>
    <m/>
    <m/>
    <s v="HUBFEEDER DALISODO"/>
    <e v="#N/A"/>
    <e v="#N/A"/>
    <s v="OUTBOUND_"/>
  </r>
  <r>
    <s v="1334"/>
    <m/>
    <x v="3"/>
    <s v="TFI-W0012405-337"/>
    <s v="EJ-Malang-01"/>
    <s v="Oka-0813-2707-1646"/>
    <d v="2024-05-17T00:00:00"/>
    <d v="1900-01-14T07:00:00"/>
    <s v="ZTE Warehouse"/>
    <x v="0"/>
    <x v="20"/>
    <s v="ZTE1004"/>
    <s v="Pcs"/>
    <n v="5"/>
    <s v="TRF"/>
    <x v="5"/>
    <n v="0"/>
    <s v="TRANSFER GUDANG"/>
    <m/>
    <m/>
    <m/>
    <m/>
    <m/>
    <m/>
    <m/>
    <n v="0"/>
    <e v="#N/A"/>
    <e v="#N/A"/>
    <s v="OUTBOUND_"/>
  </r>
  <r>
    <s v="1335"/>
    <m/>
    <x v="0"/>
    <s v="INB-W0012405-344"/>
    <s v="EJ-Malang-01"/>
    <s v="Oka-0813-2707-1646"/>
    <d v="2024-05-21T00:00:00"/>
    <d v="1900-01-14T07:00:00"/>
    <s v="ZTE Warehouse"/>
    <x v="0"/>
    <x v="20"/>
    <s v="ZTE1004"/>
    <s v="Pcs"/>
    <n v="1"/>
    <m/>
    <x v="3"/>
    <n v="0"/>
    <n v="0"/>
    <m/>
    <m/>
    <m/>
    <m/>
    <m/>
    <m/>
    <m/>
    <n v="0"/>
    <e v="#N/A"/>
    <e v="#N/A"/>
    <s v="OUTBOUND_"/>
  </r>
  <r>
    <s v="1336"/>
    <m/>
    <x v="1"/>
    <s v="OUB-W0012405-348"/>
    <s v="EJ-Malang-01"/>
    <s v="Oka-0813-2707-1646"/>
    <d v="2024-05-23T00:00:00"/>
    <d v="1899-12-30T11:22:00"/>
    <s v="EJ-MALANG-01"/>
    <x v="0"/>
    <x v="20"/>
    <s v="ZTE1004"/>
    <s v="Pcs"/>
    <n v="1"/>
    <s v="CLR51-99-087"/>
    <x v="11"/>
    <m/>
    <m/>
    <m/>
    <s v="Fatur"/>
    <n v="0"/>
    <s v="3515082712870005"/>
    <s v="W 1130 NQ"/>
    <m/>
    <m/>
    <s v="Lawang RW 06 Malang"/>
    <e v="#N/A"/>
    <e v="#N/A"/>
    <s v="OUTBOUND_"/>
  </r>
  <r>
    <s v="1337"/>
    <m/>
    <x v="1"/>
    <s v="OUB-W0012405-351"/>
    <s v="EJ-Malang-01"/>
    <s v="Oka-0813-2707-1646"/>
    <d v="2024-05-25T00:00:00"/>
    <d v="1899-12-30T11:22:00"/>
    <s v="EJ-MALANG-01"/>
    <x v="0"/>
    <x v="20"/>
    <s v="ZTE1004"/>
    <s v="Pcs"/>
    <n v="1"/>
    <s v="CLR51-99-099"/>
    <x v="12"/>
    <m/>
    <m/>
    <m/>
    <s v="Fatur"/>
    <n v="0"/>
    <s v="3515082712870005"/>
    <s v="W 1130 NQ"/>
    <m/>
    <m/>
    <s v="Dusun Klaseman Kucur"/>
    <e v="#N/A"/>
    <e v="#N/A"/>
    <s v="OUTBOUND_"/>
  </r>
  <r>
    <s v="1338"/>
    <m/>
    <x v="1"/>
    <s v="OUB-W0012405-357"/>
    <s v="EJ-Malang-01"/>
    <s v="Oka-0813-2707-1646"/>
    <d v="2024-05-28T00:00:00"/>
    <d v="1899-12-30T12:45:00"/>
    <s v="EJ-MALANG-01"/>
    <x v="0"/>
    <x v="20"/>
    <s v="ZTE1004"/>
    <s v="Pcs"/>
    <n v="3"/>
    <s v="CLR51-99-097"/>
    <x v="13"/>
    <m/>
    <m/>
    <m/>
    <s v="Fahrudin"/>
    <s v="Febby Supplier"/>
    <s v="3507131605830004"/>
    <s v="N 1383 G"/>
    <m/>
    <m/>
    <s v="Dusun Krajan Kucur"/>
    <e v="#N/A"/>
    <e v="#N/A"/>
    <s v="OUTBOUND_"/>
  </r>
  <r>
    <s v="1339"/>
    <m/>
    <x v="0"/>
    <s v="INB-W0012406-367"/>
    <s v="EJ-Malang-01"/>
    <s v="Oka-0813-2707-1646"/>
    <d v="2024-06-05T00:00:00"/>
    <d v="1900-01-14T07:00:00"/>
    <s v="ZTE Warehouse"/>
    <x v="0"/>
    <x v="20"/>
    <s v="ZTE1004"/>
    <s v="Pcs"/>
    <n v="3"/>
    <s v="CLR51-02-014"/>
    <x v="14"/>
    <m/>
    <m/>
    <m/>
    <m/>
    <m/>
    <m/>
    <m/>
    <m/>
    <m/>
    <s v="Dusun Klampok Kucur"/>
    <e v="#N/A"/>
    <e v="#N/A"/>
    <s v="OUTBOUND_"/>
  </r>
  <r>
    <s v="1340"/>
    <m/>
    <x v="1"/>
    <s v="OUB-W0012406-392"/>
    <s v="EJ-Malang-01"/>
    <s v="Oka-0813-2707-1646"/>
    <d v="2024-06-26T00:00:00"/>
    <d v="1899-12-30T21:14:00"/>
    <s v="EJ-MALANG-01"/>
    <x v="0"/>
    <x v="20"/>
    <s v="ZTE1004"/>
    <s v="Pcs"/>
    <n v="1"/>
    <s v="CLR51-99-044"/>
    <x v="52"/>
    <m/>
    <m/>
    <m/>
    <s v="Sifak"/>
    <n v="0"/>
    <s v="3507312107950002"/>
    <s v="N 1969 FF"/>
    <m/>
    <m/>
    <s v="Kebonagung RW 13 Pakisaji"/>
    <e v="#N/A"/>
    <e v="#N/A"/>
    <s v="OUTBOUND_"/>
  </r>
  <r>
    <s v="1341"/>
    <m/>
    <x v="4"/>
    <s v="BOI-W0012407-412"/>
    <s v="EJ-Malang-01"/>
    <s v="Oka-0813-2707-1646"/>
    <d v="2024-07-23T00:00:00"/>
    <d v="1900-01-14T07:00:00"/>
    <s v="Other Subcon"/>
    <x v="0"/>
    <x v="20"/>
    <s v="ZTE1004"/>
    <s v="Pcs"/>
    <n v="1"/>
    <s v="BR004"/>
    <x v="31"/>
    <n v="0"/>
    <n v="0"/>
    <m/>
    <m/>
    <m/>
    <m/>
    <m/>
    <s v="Return From YPTT"/>
    <m/>
    <s v="YPTT"/>
    <e v="#N/A"/>
    <e v="#N/A"/>
    <s v="OUTBOUND_"/>
  </r>
  <r>
    <s v="1342"/>
    <m/>
    <x v="0"/>
    <s v="INB-W0012407-412"/>
    <s v="EJ-Malang-01"/>
    <s v="Oka-0813-2707-1646"/>
    <d v="2024-07-23T00:00:00"/>
    <d v="1900-01-14T07:00:00"/>
    <s v="ZTE Warehouse"/>
    <x v="0"/>
    <x v="20"/>
    <s v="ZTE1004"/>
    <s v="Pcs"/>
    <n v="5"/>
    <m/>
    <x v="3"/>
    <n v="0"/>
    <n v="0"/>
    <m/>
    <m/>
    <m/>
    <m/>
    <m/>
    <m/>
    <m/>
    <n v="0"/>
    <e v="#N/A"/>
    <e v="#N/A"/>
    <s v="OUTBOUND_"/>
  </r>
  <r>
    <s v="1343"/>
    <m/>
    <x v="1"/>
    <s v="OUB-W0012407-411"/>
    <s v="EJ-Malang-01"/>
    <s v="Oka-0813-2707-1646"/>
    <d v="2024-07-23T00:00:00"/>
    <d v="1899-12-30T17:34:00"/>
    <s v="EJ-MALANG-01"/>
    <x v="0"/>
    <x v="20"/>
    <s v="ZTE1004"/>
    <s v="Pcs"/>
    <n v="1"/>
    <s v="CLR51-02-016"/>
    <x v="141"/>
    <m/>
    <m/>
    <m/>
    <s v="Sifak"/>
    <n v="0"/>
    <s v="3507312107950002"/>
    <s v="N 1969 FF"/>
    <m/>
    <m/>
    <s v="Ngenep RW 06 Karang Ploso"/>
    <e v="#N/A"/>
    <e v="#N/A"/>
    <s v="OUTBOUND_"/>
  </r>
  <r>
    <s v="1344"/>
    <m/>
    <x v="1"/>
    <s v="OUB-W0012407-414"/>
    <s v="EJ-Malang-01"/>
    <s v="Oka-0813-2707-1646"/>
    <d v="2024-07-25T00:00:00"/>
    <d v="1899-12-30T19:00:00"/>
    <s v="EJ-MALANG-01"/>
    <x v="0"/>
    <x v="20"/>
    <s v="ZTE1004"/>
    <s v="Pcs"/>
    <n v="3"/>
    <s v="MF51-04"/>
    <x v="60"/>
    <m/>
    <m/>
    <m/>
    <s v="Sifak"/>
    <n v="0"/>
    <s v="3507312107950002"/>
    <s v="N 1969 FF"/>
    <m/>
    <m/>
    <s v="HUBFEEDER TIRTASANI TO GIRIMOYO"/>
    <e v="#N/A"/>
    <e v="#N/A"/>
    <s v="OUTBOUND_"/>
  </r>
  <r>
    <s v="1345"/>
    <m/>
    <x v="1"/>
    <s v="OUB-W0012407-420"/>
    <s v="EJ-Malang-01"/>
    <s v="Oka-0813-2707-1646"/>
    <d v="2024-07-30T00:00:00"/>
    <d v="1899-12-30T10:24:00"/>
    <s v="EJ-MALANG-01"/>
    <x v="0"/>
    <x v="20"/>
    <s v="ZTE1004"/>
    <s v="Pcs"/>
    <n v="1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346"/>
    <m/>
    <x v="1"/>
    <s v="OUB-W0012408-441"/>
    <s v="EJ-Malang-01"/>
    <s v="Oka-0813-2707-1646"/>
    <d v="2024-08-14T00:00:00"/>
    <d v="1899-12-30T06:58:00"/>
    <s v="EJ-MALANG-01"/>
    <x v="0"/>
    <x v="20"/>
    <s v="ZTE1004"/>
    <s v="Pcs"/>
    <n v="2"/>
    <s v="MF51-03"/>
    <x v="57"/>
    <m/>
    <m/>
    <m/>
    <s v="Fatur"/>
    <n v="0"/>
    <s v="3515082712870005"/>
    <s v="W 3265 OH"/>
    <m/>
    <m/>
    <s v="HUBFEEDER KEPANJEN TO JATIKERTO"/>
    <e v="#N/A"/>
    <e v="#N/A"/>
    <s v="OUTBOUND_"/>
  </r>
  <r>
    <s v="1347"/>
    <m/>
    <x v="0"/>
    <s v="INB-W0012408-453"/>
    <s v="EJ-Malang-01"/>
    <s v="Oka-0813-2707-1646"/>
    <d v="2024-08-22T00:00:00"/>
    <d v="1900-01-14T07:00:00"/>
    <s v="ZTE Warehouse"/>
    <x v="0"/>
    <x v="20"/>
    <s v="ZTE1004"/>
    <s v="Pcs"/>
    <n v="1"/>
    <m/>
    <x v="3"/>
    <n v="0"/>
    <n v="0"/>
    <m/>
    <m/>
    <m/>
    <m/>
    <m/>
    <m/>
    <m/>
    <n v="0"/>
    <e v="#N/A"/>
    <e v="#N/A"/>
    <s v="OUTBOUND_"/>
  </r>
  <r>
    <s v="1348"/>
    <m/>
    <x v="0"/>
    <s v="INB-W0012408-463"/>
    <s v="EJ-Malang-01"/>
    <s v="Oka-0813-2707-1646"/>
    <d v="2024-08-27T00:00:00"/>
    <d v="1900-01-14T07:00:00"/>
    <s v="ZTE Warehouse"/>
    <x v="0"/>
    <x v="20"/>
    <s v="ZTE1004"/>
    <s v="Pcs"/>
    <n v="2"/>
    <m/>
    <x v="3"/>
    <n v="0"/>
    <n v="0"/>
    <m/>
    <m/>
    <m/>
    <m/>
    <m/>
    <m/>
    <m/>
    <n v="0"/>
    <e v="#N/A"/>
    <e v="#N/A"/>
    <s v="OUTBOUND_"/>
  </r>
  <r>
    <s v="1349"/>
    <m/>
    <x v="1"/>
    <s v="OUB-W0012408-461"/>
    <s v="EJ-Malang-01"/>
    <s v="Oka-0813-2707-1646"/>
    <d v="2024-08-27T00:00:00"/>
    <d v="1899-12-30T15:34:00"/>
    <s v="EJ-MALANG-01"/>
    <x v="0"/>
    <x v="20"/>
    <s v="ZTE1004"/>
    <s v="Pcs"/>
    <n v="2"/>
    <s v="CLR51-09-009"/>
    <x v="62"/>
    <m/>
    <m/>
    <m/>
    <s v="Sifak"/>
    <n v="0"/>
    <s v="3507312107950002"/>
    <s v="N 1969 FF"/>
    <m/>
    <m/>
    <s v="Dilem RW 03 Kepanjen"/>
    <e v="#N/A"/>
    <e v="#N/A"/>
    <s v="OUTBOUND_"/>
  </r>
  <r>
    <s v="1350"/>
    <m/>
    <x v="0"/>
    <s v="INB-W0012408-467"/>
    <s v="EJ-Malang-01"/>
    <s v="Oka-0813-2707-1646"/>
    <d v="2024-08-28T00:00:00"/>
    <d v="1900-01-14T07:00:00"/>
    <s v="ZTE Warehouse"/>
    <x v="0"/>
    <x v="20"/>
    <s v="ZTE1004"/>
    <s v="Pcs"/>
    <n v="2"/>
    <m/>
    <x v="3"/>
    <n v="0"/>
    <n v="0"/>
    <m/>
    <m/>
    <m/>
    <m/>
    <m/>
    <m/>
    <m/>
    <n v="0"/>
    <e v="#N/A"/>
    <e v="#N/A"/>
    <s v="OUTBOUND_"/>
  </r>
  <r>
    <s v="1351"/>
    <m/>
    <x v="1"/>
    <s v="OUB-W0012408-476"/>
    <s v="EJ-Malang-01"/>
    <s v="Oka-0813-2707-1646"/>
    <d v="2024-08-31T00:00:00"/>
    <d v="1899-12-30T12:30:00"/>
    <s v="EJ-MALANG-01"/>
    <x v="0"/>
    <x v="20"/>
    <s v="ZTE1004"/>
    <s v="Pcs"/>
    <n v="1"/>
    <s v="CLR51-03-010"/>
    <x v="61"/>
    <m/>
    <m/>
    <m/>
    <s v="Fatur"/>
    <n v="0"/>
    <s v="3515082712870005"/>
    <s v="W 3265 OH"/>
    <m/>
    <m/>
    <s v="Dusun Krajan Sumbersekar"/>
    <e v="#N/A"/>
    <e v="#N/A"/>
    <s v="OUTBOUND_"/>
  </r>
  <r>
    <s v="1352"/>
    <m/>
    <x v="1"/>
    <s v="OUB-W0012408-476"/>
    <s v="EJ-Malang-01"/>
    <s v="Oka-0813-2707-1646"/>
    <d v="2024-08-31T00:00:00"/>
    <d v="1899-12-30T12:30:00"/>
    <s v="EJ-MALANG-01"/>
    <x v="0"/>
    <x v="20"/>
    <s v="ZTE1004"/>
    <s v="Pcs"/>
    <n v="3"/>
    <s v="MF51-05"/>
    <x v="66"/>
    <m/>
    <m/>
    <m/>
    <s v="Fatur"/>
    <n v="0"/>
    <s v="3515082712870005"/>
    <s v="W 3265 OH"/>
    <m/>
    <m/>
    <s v="HUBFEEDER DINOYO SUMBERSEKAR"/>
    <e v="#N/A"/>
    <e v="#N/A"/>
    <s v="OUTBOUND_"/>
  </r>
  <r>
    <s v="1353"/>
    <m/>
    <x v="1"/>
    <s v="OUB-W0012409-478"/>
    <s v="EJ-Malang-01"/>
    <s v="Oka-0813-2707-1646"/>
    <d v="2024-09-01T00:00:00"/>
    <d v="1899-12-30T01:58:00"/>
    <s v="EJ-MALANG-01"/>
    <x v="0"/>
    <x v="20"/>
    <s v="ZTE1004"/>
    <s v="Pcs"/>
    <n v="1"/>
    <s v="CLR51-99-115"/>
    <x v="65"/>
    <m/>
    <m/>
    <m/>
    <s v="Fatur"/>
    <n v="0"/>
    <s v="3515082712870005"/>
    <s v="W 3265 OH"/>
    <m/>
    <m/>
    <s v="SENGGURUH RW 01 MALANG"/>
    <e v="#N/A"/>
    <e v="#N/A"/>
    <s v="OUTBOUND_"/>
  </r>
  <r>
    <s v="1354"/>
    <m/>
    <x v="1"/>
    <s v="OUB-W0012409-487"/>
    <s v="EJ-Malang-01"/>
    <s v="Oka-0813-2707-1646"/>
    <d v="2024-09-05T00:00:00"/>
    <d v="1899-12-30T01:58:00"/>
    <s v="EJ-MALANG-01"/>
    <x v="0"/>
    <x v="20"/>
    <s v="ZTE1004"/>
    <s v="Pcs"/>
    <n v="1"/>
    <s v="CLR51-99-116"/>
    <x v="67"/>
    <m/>
    <m/>
    <m/>
    <s v="Fatur"/>
    <n v="0"/>
    <s v="3515082712870005"/>
    <s v="W 3265 OH"/>
    <m/>
    <m/>
    <s v="SENGGURUH RW 02 MALANG"/>
    <e v="#N/A"/>
    <e v="#N/A"/>
    <s v="OUTBOUND_"/>
  </r>
  <r>
    <s v="1355"/>
    <m/>
    <x v="3"/>
    <s v="TFI-W0012409-504"/>
    <s v="EJ-Malang-01"/>
    <s v="Oka-0813-2707-1646"/>
    <d v="2024-09-19T00:00:00"/>
    <d v="1900-01-14T07:00:00"/>
    <s v="EJ-BLITAR-01"/>
    <x v="0"/>
    <x v="20"/>
    <s v="ZTE1004"/>
    <s v="Pcs"/>
    <n v="1"/>
    <s v="TRF"/>
    <x v="158"/>
    <n v="0"/>
    <s v="TRANSFER GUDANG"/>
    <m/>
    <m/>
    <m/>
    <m/>
    <m/>
    <m/>
    <m/>
    <s v="Blitar"/>
    <e v="#N/A"/>
    <e v="#N/A"/>
    <s v="OUTBOUND_"/>
  </r>
  <r>
    <s v="1356"/>
    <m/>
    <x v="0"/>
    <s v="INB-W0012409-507"/>
    <s v="EJ-Malang-01"/>
    <s v="Oka-0813-2707-1646"/>
    <d v="2024-09-20T00:00:00"/>
    <d v="1900-01-14T07:00:00"/>
    <s v="ZTE Warehouse"/>
    <x v="0"/>
    <x v="20"/>
    <s v="ZTE1004"/>
    <s v="Pcs"/>
    <n v="4"/>
    <m/>
    <x v="3"/>
    <n v="0"/>
    <n v="0"/>
    <m/>
    <m/>
    <m/>
    <m/>
    <m/>
    <m/>
    <m/>
    <n v="0"/>
    <e v="#N/A"/>
    <e v="#N/A"/>
    <s v="OUTBOUND_"/>
  </r>
  <r>
    <s v="1357"/>
    <m/>
    <x v="1"/>
    <s v="OUB-W0012409-520"/>
    <s v="EJ-Malang-01"/>
    <s v="Oka-0813-2707-1646"/>
    <d v="2024-09-28T00:00:00"/>
    <d v="1899-12-30T18:58:00"/>
    <s v="EJ-MALANG-01"/>
    <x v="0"/>
    <x v="20"/>
    <s v="ZTE1004"/>
    <s v="Pcs"/>
    <n v="1"/>
    <s v="CLR51-03-006"/>
    <x v="72"/>
    <m/>
    <m/>
    <m/>
    <s v="Fahrudin"/>
    <n v="0"/>
    <s v="3507131605830004"/>
    <s v="N 1383 G"/>
    <m/>
    <m/>
    <s v="Dusun Mojosari Ngenep"/>
    <e v="#N/A"/>
    <e v="#N/A"/>
    <s v="OUTBOUND_"/>
  </r>
  <r>
    <s v="1358"/>
    <m/>
    <x v="1"/>
    <s v="OUB-W0012410-525"/>
    <s v="EJ-Malang-01"/>
    <s v="Oka-0813-2707-1646"/>
    <d v="2024-10-06T00:00:00"/>
    <d v="1899-12-30T19:00:00"/>
    <s v="EJ-MALANG-01"/>
    <x v="0"/>
    <x v="20"/>
    <s v="ZTE1004"/>
    <s v="Pcs"/>
    <n v="2"/>
    <s v="MF51-05"/>
    <x v="66"/>
    <m/>
    <m/>
    <m/>
    <s v="Fahrudin"/>
    <n v="0"/>
    <s v="3507131605830004"/>
    <s v="N 1383 G"/>
    <s v="INSIDEN"/>
    <m/>
    <s v="HUBFEEDER DINOYO SUMBERSEKAR"/>
    <e v="#N/A"/>
    <e v="#N/A"/>
    <s v="OUTBOUND_"/>
  </r>
  <r>
    <s v="1359"/>
    <m/>
    <x v="0"/>
    <s v="INB-W0012410-531"/>
    <s v="EJ-Malang-01"/>
    <s v="Oka-0813-2707-1646"/>
    <d v="2024-10-23T00:00:00"/>
    <d v="1900-01-14T07:00:00"/>
    <s v="ZTE Warehouse"/>
    <x v="0"/>
    <x v="20"/>
    <s v="ZTE1004"/>
    <s v="Pcs"/>
    <n v="3"/>
    <m/>
    <x v="3"/>
    <n v="0"/>
    <n v="0"/>
    <m/>
    <m/>
    <m/>
    <m/>
    <m/>
    <m/>
    <m/>
    <n v="0"/>
    <e v="#N/A"/>
    <e v="#N/A"/>
    <s v="OUTBOUND_"/>
  </r>
  <r>
    <s v="1360"/>
    <m/>
    <x v="1"/>
    <s v="OUB-W0012411-545"/>
    <s v="EJ-Malang-01"/>
    <s v="Oka-0813-2707-1646"/>
    <d v="2024-11-01T00:00:00"/>
    <d v="1899-12-30T09:25:00"/>
    <s v="EJ-MALANG-01"/>
    <x v="0"/>
    <x v="20"/>
    <s v="ZTE1004"/>
    <s v="Pcs"/>
    <n v="1"/>
    <s v="MF51-06"/>
    <x v="74"/>
    <m/>
    <m/>
    <m/>
    <s v="Fahrudin"/>
    <s v="Febby Supplier"/>
    <s v="3507131605830004"/>
    <s v="N 1383 G"/>
    <m/>
    <m/>
    <s v="Mainfeeder Singosari Segment 3"/>
    <e v="#N/A"/>
    <e v="#N/A"/>
    <s v="OUTBOUND_"/>
  </r>
  <r>
    <s v="1361"/>
    <m/>
    <x v="0"/>
    <s v="INB-W0012411-548"/>
    <s v="EJ-Malang-01"/>
    <s v="Oka-0813-2707-1646"/>
    <d v="2024-11-06T00:00:00"/>
    <d v="1900-01-14T07:00:00"/>
    <s v="ZTE Warehouse"/>
    <x v="0"/>
    <x v="20"/>
    <s v="ZTE1004"/>
    <s v="Pcs"/>
    <n v="1"/>
    <s v="MF51-07"/>
    <x v="75"/>
    <s v="DOEID241029AI"/>
    <s v="DNWID0362024102915"/>
    <m/>
    <m/>
    <m/>
    <m/>
    <m/>
    <m/>
    <m/>
    <s v="HUBFEEDER KLAMPOK"/>
    <d v="2024-11-06T00:00:00"/>
    <b v="1"/>
    <s v="OUTBOUND_"/>
  </r>
  <r>
    <s v="1362"/>
    <m/>
    <x v="5"/>
    <s v="BOO-W0012411-551"/>
    <s v="EJ-Malang-01"/>
    <s v="Oka-0813-2707-1646"/>
    <d v="2024-11-13T00:00:00"/>
    <d v="1899-12-30T13:30:00"/>
    <s v="Other Subcon"/>
    <x v="0"/>
    <x v="20"/>
    <s v="ZTE1004"/>
    <s v="Pcs"/>
    <n v="2"/>
    <s v="BR001"/>
    <x v="178"/>
    <m/>
    <m/>
    <m/>
    <s v="Heri Sutanto"/>
    <n v="0"/>
    <s v="6271030610800012"/>
    <s v="AG 5375 YAN"/>
    <s v="dipinjam BEAUT"/>
    <m/>
    <s v="BEAUT"/>
    <e v="#N/A"/>
    <e v="#N/A"/>
    <s v="BORROW OUT_"/>
  </r>
  <r>
    <s v="1363"/>
    <m/>
    <x v="4"/>
    <s v="BOI-W0012411-562"/>
    <s v="EJ-Malang-01"/>
    <s v="Oka-0813-2707-1646"/>
    <d v="2024-11-25T00:00:00"/>
    <d v="1900-01-14T07:00:00"/>
    <s v="Other Subcon"/>
    <x v="0"/>
    <x v="20"/>
    <s v="ZTE1004"/>
    <s v="Pcs"/>
    <n v="1"/>
    <s v="BR001"/>
    <x v="178"/>
    <n v="0"/>
    <n v="0"/>
    <m/>
    <m/>
    <m/>
    <m/>
    <m/>
    <s v="dikembalikan dr BEAUT"/>
    <m/>
    <s v="BEAUT"/>
    <e v="#N/A"/>
    <e v="#N/A"/>
    <s v="OUTBOUND_"/>
  </r>
  <r>
    <s v="1364"/>
    <m/>
    <x v="0"/>
    <s v="INB-W0012411-565"/>
    <s v="EJ-Malang-01"/>
    <s v="Oka-0813-2707-1646"/>
    <d v="2024-11-26T00:00:00"/>
    <d v="1900-01-14T07:00:00"/>
    <s v="ZTE Warehouse"/>
    <x v="0"/>
    <x v="20"/>
    <s v="ZTE1004"/>
    <s v="Pcs"/>
    <n v="1"/>
    <s v="CLR51-99-124"/>
    <x v="17"/>
    <s v="DOEID24112583"/>
    <s v="DNWID0362024112507"/>
    <m/>
    <m/>
    <m/>
    <m/>
    <m/>
    <m/>
    <m/>
    <s v="Perumahan Bukit Lawang Indah Malang"/>
    <d v="2024-11-26T00:00:00"/>
    <b v="1"/>
    <s v="OUTBOUND_"/>
  </r>
  <r>
    <s v="1365"/>
    <m/>
    <x v="1"/>
    <s v="OUB-W0012411-569"/>
    <s v="EJ-Malang-01"/>
    <s v="Oka-0813-2707-1646"/>
    <d v="2024-11-28T00:00:00"/>
    <d v="1899-12-30T09:25:00"/>
    <s v="EJ-MALANG-01"/>
    <x v="0"/>
    <x v="20"/>
    <s v="ZTE1004"/>
    <s v="Pcs"/>
    <n v="1"/>
    <s v="CLR51-09-010"/>
    <x v="81"/>
    <m/>
    <m/>
    <m/>
    <s v="Fahrudin"/>
    <s v="Febby Supplier"/>
    <s v="3507131605830004"/>
    <s v="N 1383 G"/>
    <m/>
    <m/>
    <s v="Bedali RW 03 Kromengan"/>
    <e v="#N/A"/>
    <e v="#N/A"/>
    <s v="OUTBOUND_"/>
  </r>
  <r>
    <s v="1366"/>
    <m/>
    <x v="4"/>
    <s v="BOI-W0012411-570"/>
    <s v="EJ-Malang-01"/>
    <s v="Oka-0813-2707-1646"/>
    <d v="2024-11-30T00:00:00"/>
    <d v="1900-01-14T07:00:00"/>
    <s v="Other Subcon"/>
    <x v="0"/>
    <x v="20"/>
    <s v="ZTE1004"/>
    <s v="Pcs"/>
    <n v="1"/>
    <s v="BR001"/>
    <x v="178"/>
    <n v="0"/>
    <n v="0"/>
    <m/>
    <m/>
    <m/>
    <m/>
    <m/>
    <s v="dikembalikan dr BEAUT"/>
    <m/>
    <s v="BEAUT"/>
    <e v="#N/A"/>
    <e v="#N/A"/>
    <s v="OUTBOUND_"/>
  </r>
  <r>
    <s v="1367"/>
    <m/>
    <x v="0"/>
    <s v="INB-W0012412-582"/>
    <s v="EJ-Malang-01"/>
    <s v="Oka-0813-2707-1646"/>
    <d v="2024-12-17T00:00:00"/>
    <d v="1900-01-14T07:00:00"/>
    <s v="ZTE Warehouse"/>
    <x v="0"/>
    <x v="20"/>
    <s v="ZTE1004"/>
    <s v="Pcs"/>
    <n v="1"/>
    <m/>
    <x v="3"/>
    <n v="0"/>
    <n v="0"/>
    <m/>
    <m/>
    <m/>
    <m/>
    <m/>
    <m/>
    <m/>
    <n v="0"/>
    <e v="#N/A"/>
    <e v="#N/A"/>
    <s v="OUTBOUND_"/>
  </r>
  <r>
    <s v="1368"/>
    <m/>
    <x v="1"/>
    <s v="OUB-W0012412-581"/>
    <s v="EJ-Malang-01"/>
    <s v="Oka-0813-2707-1646"/>
    <d v="2024-12-17T00:00:00"/>
    <d v="1899-12-30T21:03:00"/>
    <s v="EJ-MALANG-01"/>
    <x v="0"/>
    <x v="20"/>
    <s v="ZTE1004"/>
    <s v="Pcs"/>
    <n v="1"/>
    <s v="CLR51-99-056"/>
    <x v="164"/>
    <m/>
    <m/>
    <m/>
    <s v="Fahrudin"/>
    <n v="0"/>
    <n v="0"/>
    <s v="N 1383 G"/>
    <m/>
    <m/>
    <s v="DUSUN CUPAK RW 01"/>
    <e v="#N/A"/>
    <e v="#N/A"/>
    <s v="OUTBOUND_"/>
  </r>
  <r>
    <s v="1369"/>
    <m/>
    <x v="1"/>
    <s v="OUB-W0012501-597"/>
    <s v="EJ-Malang-01"/>
    <s v="Oka-0813-2707-1646"/>
    <d v="2025-01-14T00:00:00"/>
    <d v="1899-12-30T21:03:00"/>
    <s v="EJ-MALANG-01"/>
    <x v="0"/>
    <x v="20"/>
    <s v="ZTE1004"/>
    <s v="Pcs"/>
    <n v="1"/>
    <s v="CLR51-99-123"/>
    <x v="77"/>
    <m/>
    <m/>
    <m/>
    <s v="Fahrudin"/>
    <n v="0"/>
    <n v="0"/>
    <s v="N 1383 G"/>
    <m/>
    <m/>
    <s v="Tambakasri RW 02 Tajinan"/>
    <e v="#N/A"/>
    <e v="#N/A"/>
    <s v="OUTBOUND_"/>
  </r>
  <r>
    <s v="1370"/>
    <m/>
    <x v="5"/>
    <s v="BOO-W0012501-601"/>
    <s v="EJ-Malang-01"/>
    <s v="Oka-0813-2707-1646"/>
    <d v="2025-01-25T00:00:00"/>
    <d v="1899-12-30T11:01:00"/>
    <s v="Other Subcon"/>
    <x v="0"/>
    <x v="20"/>
    <s v="ZTE1004"/>
    <s v="Pcs"/>
    <n v="1"/>
    <s v="BR001"/>
    <x v="178"/>
    <m/>
    <m/>
    <m/>
    <s v="Deny Indra"/>
    <n v="0"/>
    <n v="0"/>
    <s v=" N 3639 EEO"/>
    <s v="Beaut Pinjam JC "/>
    <m/>
    <s v="BEAUT"/>
    <e v="#N/A"/>
    <e v="#N/A"/>
    <s v="BORROW OUT_"/>
  </r>
  <r>
    <s v="1371"/>
    <m/>
    <x v="1"/>
    <s v="OUB-W0012502-605"/>
    <s v="EJ-Malang-01"/>
    <s v="Oka-0813-2707-1646"/>
    <d v="2025-02-10T00:00:00"/>
    <d v="1899-12-30T11:01:00"/>
    <s v="EJ-MALANG-01"/>
    <x v="0"/>
    <x v="20"/>
    <s v="ZTE1004"/>
    <s v="Pcs"/>
    <n v="1"/>
    <s v="CLR51-99-050"/>
    <x v="88"/>
    <m/>
    <m/>
    <m/>
    <s v="Deny Indra"/>
    <n v="0"/>
    <n v="0"/>
    <s v="N 1547 IR"/>
    <m/>
    <m/>
    <s v="PERUMAHAN DE WIRA GREEN VIEW"/>
    <e v="#N/A"/>
    <e v="#N/A"/>
    <s v="OUTBOUND_"/>
  </r>
  <r>
    <s v="1372"/>
    <m/>
    <x v="4"/>
    <s v="BOI-W0012503-628"/>
    <s v="EJ-Malang-01"/>
    <s v="Oka-0813-2707-1646"/>
    <d v="2025-03-21T00:00:00"/>
    <d v="1899-12-30T18:50:00"/>
    <s v="Other Subcon"/>
    <x v="0"/>
    <x v="20"/>
    <s v="ZTE1004"/>
    <s v="Pcs"/>
    <n v="1"/>
    <s v="BR001"/>
    <x v="178"/>
    <m/>
    <m/>
    <m/>
    <m/>
    <m/>
    <m/>
    <m/>
    <s v="BEAUT VIA DENY"/>
    <m/>
    <s v="BEAUT"/>
    <e v="#N/A"/>
    <e v="#N/A"/>
    <s v="OUTBOUND_"/>
  </r>
  <r>
    <s v="1373"/>
    <m/>
    <x v="1"/>
    <s v="OUB-W0012503-629"/>
    <s v="EJ-Malang-01"/>
    <s v="Oka-0813-2707-1646"/>
    <d v="2025-03-21T00:00:00"/>
    <d v="1899-12-30T18:50:00"/>
    <s v="EJ-MALANG-01"/>
    <x v="0"/>
    <x v="20"/>
    <s v="ZTE1004"/>
    <s v="Pcs"/>
    <n v="1"/>
    <s v="MF51-06"/>
    <x v="74"/>
    <m/>
    <m/>
    <m/>
    <s v="Kusairi"/>
    <m/>
    <m/>
    <m/>
    <m/>
    <m/>
    <s v="Mainfeeder Singosari Segment 3"/>
    <e v="#N/A"/>
    <e v="#N/A"/>
    <s v="OUTBOUND_"/>
  </r>
  <r>
    <s v="1374"/>
    <m/>
    <x v="1"/>
    <s v="OUB-W0012505-644"/>
    <s v="EJ-Malang-01"/>
    <s v="Oka-0813-2707-1646"/>
    <d v="2025-05-29T00:00:00"/>
    <d v="1899-12-30T17:57:00"/>
    <s v="EJ-MALANG-01"/>
    <x v="0"/>
    <x v="20"/>
    <s v="ZTE1004"/>
    <s v="Pcs"/>
    <n v="1"/>
    <s v="CLR51-99-238"/>
    <x v="94"/>
    <m/>
    <m/>
    <m/>
    <s v="Sifak"/>
    <n v="0"/>
    <s v="3507312107950002"/>
    <s v="N 1046 ABC"/>
    <m/>
    <m/>
    <s v="ARJOWINANGUN RW 01 MALANG"/>
    <e v="#N/A"/>
    <e v="#N/A"/>
    <s v="OUTBOUND_"/>
  </r>
  <r>
    <s v="1375"/>
    <m/>
    <x v="1"/>
    <s v="OUB-W0012506-648"/>
    <s v="EJ-Malang-01"/>
    <s v="Oka-0813-2707-1646"/>
    <d v="2025-06-16T00:00:00"/>
    <d v="1899-12-30T19:57:00"/>
    <s v="EJ-MALANG-01"/>
    <x v="0"/>
    <x v="20"/>
    <s v="ZTE1004"/>
    <s v="Pcs"/>
    <n v="1"/>
    <s v="CLR51-99-101"/>
    <x v="95"/>
    <m/>
    <m/>
    <m/>
    <s v="Deny Indra"/>
    <n v="0"/>
    <n v="0"/>
    <s v="N 1547 IR"/>
    <m/>
    <m/>
    <s v="BULULAWANG RW 01, 02, 03, 04, 06   MALANG"/>
    <e v="#N/A"/>
    <e v="#N/A"/>
    <s v="OUTBOUND_"/>
  </r>
  <r>
    <s v="1376"/>
    <m/>
    <x v="0"/>
    <s v="INB-W0012506-649"/>
    <s v="EJ-Malang-01"/>
    <s v="Oka-0813-2707-1646"/>
    <d v="2025-06-18T00:00:00"/>
    <d v="1900-01-14T07:00:00"/>
    <s v="ZTE Warehouse"/>
    <x v="0"/>
    <x v="20"/>
    <s v="ZTE1004"/>
    <s v="Pcs"/>
    <n v="1"/>
    <m/>
    <x v="3"/>
    <n v="0"/>
    <n v="0"/>
    <m/>
    <m/>
    <m/>
    <m/>
    <m/>
    <m/>
    <m/>
    <n v="0"/>
    <e v="#N/A"/>
    <e v="#N/A"/>
    <s v="OUTBOUND_"/>
  </r>
  <r>
    <s v="1377"/>
    <m/>
    <x v="1"/>
    <s v="OUB-W0012506-652"/>
    <s v="EJ-Malang-01"/>
    <s v="Oka-0813-2707-1646"/>
    <d v="2025-06-21T00:00:00"/>
    <d v="1899-12-30T14:18:00"/>
    <s v="EJ-MALANG-01"/>
    <x v="0"/>
    <x v="20"/>
    <s v="ZTE1004"/>
    <s v="Pcs"/>
    <n v="2"/>
    <s v="CLR51-99-243"/>
    <x v="97"/>
    <m/>
    <m/>
    <m/>
    <s v="Fatur"/>
    <n v="0"/>
    <s v="1812010507910004"/>
    <s v="L 9221 K"/>
    <m/>
    <m/>
    <s v="DESA KARANGANYAR KIDUL PONCOKUSUMO   MALANG"/>
    <e v="#N/A"/>
    <e v="#N/A"/>
    <s v="OUTBOUND_"/>
  </r>
  <r>
    <s v="1378"/>
    <m/>
    <x v="0"/>
    <s v="INB-W0012507-668"/>
    <s v="EJ-Malang-01"/>
    <s v="Oka-0813-2707-1646"/>
    <d v="2025-07-12T00:00:00"/>
    <d v="1900-01-14T07:00:00"/>
    <s v="ZTE Warehouse"/>
    <x v="0"/>
    <x v="20"/>
    <s v="ZTE1004"/>
    <s v="Pcs"/>
    <n v="1"/>
    <m/>
    <x v="3"/>
    <n v="0"/>
    <n v="0"/>
    <m/>
    <m/>
    <m/>
    <m/>
    <m/>
    <m/>
    <m/>
    <n v="0"/>
    <e v="#N/A"/>
    <e v="#N/A"/>
    <s v="OUTBOUND_"/>
  </r>
  <r>
    <s v="1379"/>
    <m/>
    <x v="0"/>
    <s v="INB-W0012508-690"/>
    <s v="EJ-Malang-01"/>
    <s v="Oka-0813-2707-1646"/>
    <d v="2025-08-19T00:00:00"/>
    <d v="1900-01-14T07:00:00"/>
    <s v="ZTE Warehouse"/>
    <x v="0"/>
    <x v="20"/>
    <s v="ZTE1004"/>
    <s v="Pcs"/>
    <n v="1"/>
    <s v="CLR51-99-370"/>
    <x v="105"/>
    <m/>
    <m/>
    <m/>
    <m/>
    <m/>
    <m/>
    <m/>
    <m/>
    <m/>
    <s v="PERUMAHAN BULULAWANG PERMAI RW 02"/>
    <e v="#N/A"/>
    <e v="#N/A"/>
    <s v="OUTBOUND_"/>
  </r>
  <r>
    <s v="1380"/>
    <m/>
    <x v="1"/>
    <s v="OUB-W0012508-697"/>
    <s v="EJ-Malang-01"/>
    <s v="Oka-0813-2707-1646"/>
    <d v="2025-08-30T00:00:00"/>
    <d v="1899-12-30T09:11:35"/>
    <s v="EJ-MALANG-01"/>
    <x v="0"/>
    <x v="20"/>
    <s v="ZTE1004"/>
    <s v="Pcs"/>
    <n v="2"/>
    <s v="MF51-05"/>
    <x v="106"/>
    <s v="DOEID240918BZ"/>
    <s v="DNWID0342024091808"/>
    <s v="A-Good"/>
    <s v="Riki Romansyah"/>
    <m/>
    <n v="3507050501950000"/>
    <s v="N 8420 EL"/>
    <s v="Repair MF , Insiden FO Cut"/>
    <m/>
    <s v="Main Feeder - OLT Smart Malang Segment 8 to Sumbersekar"/>
    <d v="2024-09-20T00:00:00"/>
    <b v="0"/>
    <s v="OUTBOUND_"/>
  </r>
  <r>
    <s v="1381"/>
    <n v="2"/>
    <x v="1"/>
    <s v="OUB-W0012509-001"/>
    <s v="EJ-Malang-01"/>
    <s v="Oka-0813-2707-1646"/>
    <d v="2025-09-02T00:00:00"/>
    <d v="1899-12-30T15:26:02"/>
    <s v="ZTE Warehouse"/>
    <x v="0"/>
    <x v="20"/>
    <s v="ZTE1004"/>
    <s v="Pcs"/>
    <n v="1"/>
    <s v="ADJUSTMENT"/>
    <x v="18"/>
    <m/>
    <m/>
    <m/>
    <m/>
    <m/>
    <m/>
    <m/>
    <s v="ADJUSTMENT"/>
    <m/>
    <s v="ADJUSTMENT"/>
    <e v="#N/A"/>
    <e v="#N/A"/>
    <s v="OUTBOUND_"/>
  </r>
  <r>
    <s v="1382"/>
    <n v="1"/>
    <x v="1"/>
    <s v="OUB-W0012509-005"/>
    <s v="EJ-Malang-01"/>
    <s v="Oka-0813-2707-1646"/>
    <d v="2025-09-16T00:00:00"/>
    <d v="1899-12-30T20:14:27"/>
    <s v="EJ-MALANG-01"/>
    <x v="0"/>
    <x v="20"/>
    <s v="ZTE1004"/>
    <s v="Pcs"/>
    <n v="1"/>
    <s v="CLR51-99-370"/>
    <x v="111"/>
    <s v="DOEID25081590"/>
    <s v="DNWID1382025081505"/>
    <m/>
    <s v="Sifak"/>
    <n v="0"/>
    <s v="3507312107950002"/>
    <s v="N 1046 ABC"/>
    <m/>
    <m/>
    <s v="Perumahan Bululawang Permai RW 02"/>
    <d v="2025-08-19T00:00:00"/>
    <b v="0"/>
    <s v="OUTBOUND_"/>
  </r>
  <r>
    <s v="1383"/>
    <n v="1"/>
    <x v="1"/>
    <s v="OUB-W0012509-007"/>
    <s v="EJ-Malang-01"/>
    <s v="Oka-0813-2707-1646"/>
    <d v="2025-09-20T00:00:00"/>
    <d v="1899-12-30T16:10:52"/>
    <s v="EJ-MALANG-01"/>
    <x v="0"/>
    <x v="20"/>
    <s v="ZTE1004"/>
    <s v="Pcs"/>
    <n v="1"/>
    <s v="MF51-05"/>
    <x v="106"/>
    <s v="DOEID240918BZ"/>
    <s v="DNWID0342024091808"/>
    <s v="A-Good"/>
    <s v="Riki Romansyah"/>
    <m/>
    <s v="3507050501950006"/>
    <s v="N 8420 EL"/>
    <s v="Repair MF , Insiden FO Cut"/>
    <m/>
    <s v="Main Feeder - OLT Smart Malang Segment 8 to Sumbersekar"/>
    <d v="2024-09-20T00:00:00"/>
    <b v="0"/>
    <s v="OUTBOUND_"/>
  </r>
  <r>
    <s v="1384"/>
    <n v="1"/>
    <x v="0"/>
    <s v="INB-W0012603-001"/>
    <s v="EJ-Malang-01"/>
    <s v="Oka-0813-2707-1646"/>
    <d v="2026-03-03T00:00:00"/>
    <d v="1899-12-30T17:00:00"/>
    <s v="GCI Procurement"/>
    <x v="0"/>
    <x v="20"/>
    <s v="ZTE1004"/>
    <s v="Pcs"/>
    <n v="1"/>
    <s v="MF51-05"/>
    <x v="106"/>
    <m/>
    <m/>
    <m/>
    <m/>
    <m/>
    <m/>
    <m/>
    <s v="Beli JC"/>
    <m/>
    <s v="Main Feeder - OLT Smart Malang Segment 8 to Sumbersekar"/>
    <e v="#N/A"/>
    <e v="#N/A"/>
    <s v="OUTBOUND_"/>
  </r>
  <r>
    <s v="1385"/>
    <n v="2"/>
    <x v="1"/>
    <s v="OUB-W0012603-001"/>
    <s v="EJ-Malang-01"/>
    <s v="Oka-0813-2707-1646"/>
    <d v="2026-03-03T00:00:00"/>
    <d v="1899-12-30T17:00:00"/>
    <s v="EJ-MALANG-01"/>
    <x v="0"/>
    <x v="20"/>
    <s v="ZTE1004"/>
    <s v="Pcs"/>
    <n v="1"/>
    <s v="MF51-05"/>
    <x v="106"/>
    <m/>
    <m/>
    <m/>
    <m/>
    <m/>
    <m/>
    <m/>
    <s v="Insiden Sumsek"/>
    <m/>
    <s v="Main Feeder - OLT Smart Malang Segment 8 to Sumbersekar"/>
    <e v="#N/A"/>
    <e v="#N/A"/>
    <s v="OUTBOUND_"/>
  </r>
  <r>
    <s v="1386"/>
    <n v="3"/>
    <x v="0"/>
    <s v="INB-W0012603-002"/>
    <s v="EJ-Malang-01"/>
    <s v="Oka-0813-2707-1646"/>
    <d v="2026-03-06T00:00:00"/>
    <d v="1899-12-30T19:00:00"/>
    <s v="ZTE Warehouse"/>
    <x v="0"/>
    <x v="20"/>
    <s v="ZTE1004"/>
    <s v="Pcs"/>
    <n v="1"/>
    <s v="CLR51-99-385"/>
    <x v="126"/>
    <m/>
    <m/>
    <m/>
    <m/>
    <m/>
    <m/>
    <m/>
    <m/>
    <m/>
    <s v="LESANPURO RW 01 MALANG"/>
    <e v="#N/A"/>
    <e v="#N/A"/>
    <s v="OUTBOUND_"/>
  </r>
  <r>
    <s v="1387"/>
    <n v="3"/>
    <x v="1"/>
    <s v="OUB-W0012603-002"/>
    <s v="EJ-Malang-01"/>
    <s v="Oka-0813-2707-1646"/>
    <d v="2026-03-09T00:00:00"/>
    <d v="1899-12-30T19:00:00"/>
    <s v="EJ-MALANG-01"/>
    <x v="0"/>
    <x v="20"/>
    <s v="ZTE1004"/>
    <s v="Pcs"/>
    <n v="1"/>
    <s v="CLR51-99-385"/>
    <x v="126"/>
    <m/>
    <m/>
    <m/>
    <s v="Riki Romansyah"/>
    <s v="Suliadi"/>
    <s v="3507050501950006"/>
    <s v="N 8420 EL"/>
    <m/>
    <m/>
    <s v="LESANPURO RW 01 MALANG"/>
    <e v="#N/A"/>
    <e v="#N/A"/>
    <s v="OUTBOUND_"/>
  </r>
  <r>
    <s v="1388"/>
    <n v="3"/>
    <x v="0"/>
    <s v="INB-W0012603-003"/>
    <s v="EJ-Malang-01"/>
    <s v="Oka-0813-2707-1646"/>
    <d v="2026-03-13T00:00:00"/>
    <d v="1899-12-30T19:00:00"/>
    <s v="ZTE Warehouse"/>
    <x v="0"/>
    <x v="20"/>
    <s v="ZTE1004"/>
    <s v="Pcs"/>
    <n v="1"/>
    <s v="CLR51-99-447"/>
    <x v="127"/>
    <m/>
    <m/>
    <m/>
    <m/>
    <m/>
    <m/>
    <m/>
    <m/>
    <m/>
    <s v="SEKARPURO RW 05 MALANG"/>
    <e v="#N/A"/>
    <e v="#N/A"/>
    <s v="OUTBOUND_"/>
  </r>
  <r>
    <s v="1389"/>
    <n v="3"/>
    <x v="1"/>
    <s v="OUB-W0012603-005"/>
    <s v="EJ-Malang-01"/>
    <s v="Oka-0813-2707-1646"/>
    <d v="2026-03-14T00:00:00"/>
    <d v="1899-12-30T19:00:00"/>
    <s v="EJ-MALANG-01"/>
    <x v="0"/>
    <x v="20"/>
    <s v="ZTE1004"/>
    <s v="Pcs"/>
    <n v="1"/>
    <s v="CLR51-99-447"/>
    <x v="127"/>
    <m/>
    <m/>
    <m/>
    <s v="Riki Romansyah"/>
    <s v="Suliadi"/>
    <s v="3507050501950006"/>
    <s v="N 8420 EL"/>
    <m/>
    <m/>
    <s v="SEKARPURO RW 05 MALANG"/>
    <e v="#N/A"/>
    <e v="#N/A"/>
    <s v="OUTBOUND_"/>
  </r>
  <r>
    <s v="1390"/>
    <n v="4"/>
    <x v="0"/>
    <s v="INB-W0012604-001"/>
    <s v="EJ-Malang-01"/>
    <s v="Oka-0813-2707-1646"/>
    <d v="2026-04-22T00:00:00"/>
    <d v="1899-12-30T06:00:00"/>
    <s v="ZTE Warehouse"/>
    <x v="0"/>
    <x v="20"/>
    <s v="ZTE1004"/>
    <s v="Pcs"/>
    <n v="3"/>
    <s v="MF51-05"/>
    <x v="106"/>
    <m/>
    <m/>
    <m/>
    <m/>
    <m/>
    <m/>
    <m/>
    <m/>
    <m/>
    <s v="Main Feeder - OLT Smart Malang Segment 8 to Sumbersekar"/>
    <e v="#N/A"/>
    <e v="#N/A"/>
    <s v="OUTBOUND_"/>
  </r>
  <r>
    <s v="1391"/>
    <n v="3"/>
    <x v="1"/>
    <s v="OUB-W0012603-005"/>
    <s v="EJ-Malang-01"/>
    <s v="Oka-0813-2707-1646"/>
    <d v="2026-04-22T00:00:00"/>
    <d v="1899-12-30T14:00:00"/>
    <s v="EJ-MALANG-01"/>
    <x v="0"/>
    <x v="20"/>
    <s v="ZTE1004"/>
    <s v="Pcs"/>
    <n v="3"/>
    <s v="MF51-05"/>
    <x v="106"/>
    <m/>
    <m/>
    <m/>
    <m/>
    <m/>
    <m/>
    <m/>
    <m/>
    <m/>
    <s v="Main Feeder - OLT Smart Malang Segment 8 to Sumbersekar"/>
    <e v="#N/A"/>
    <e v="#N/A"/>
    <s v="OUTBOUND_"/>
  </r>
  <r>
    <s v="1392"/>
    <n v="1"/>
    <x v="0"/>
    <s v="INB-W0012511-003"/>
    <s v="EJ-Malang-01"/>
    <s v="Oka-0813-2707-1646"/>
    <d v="2025-11-22T00:00:00"/>
    <d v="1899-12-30T13:00:00"/>
    <s v="GCI Procurement"/>
    <x v="0"/>
    <x v="21"/>
    <s v="ZTE1005"/>
    <s v="Pcs"/>
    <n v="1"/>
    <s v="Purchase Bayu"/>
    <x v="3"/>
    <m/>
    <m/>
    <m/>
    <m/>
    <m/>
    <m/>
    <m/>
    <m/>
    <m/>
    <n v="0"/>
    <e v="#N/A"/>
    <e v="#N/A"/>
    <s v="OUTBOUND_"/>
  </r>
  <r>
    <s v="1393"/>
    <n v="1"/>
    <x v="1"/>
    <s v="OUB-W0012511-007"/>
    <s v="EJ-Malang-01"/>
    <s v="Oka-0813-2707-1646"/>
    <d v="2025-11-23T00:00:00"/>
    <d v="1899-12-30T13:00:00"/>
    <s v="EJ-MALANG-01"/>
    <x v="0"/>
    <x v="21"/>
    <s v="ZTE1005"/>
    <s v="Pcs"/>
    <n v="1"/>
    <m/>
    <x v="3"/>
    <m/>
    <m/>
    <m/>
    <s v="Fahrudin"/>
    <m/>
    <m/>
    <s v="N1383G"/>
    <m/>
    <m/>
    <n v="0"/>
    <e v="#N/A"/>
    <e v="#N/A"/>
    <s v="OUTBOUND_"/>
  </r>
  <r>
    <s v="1394"/>
    <m/>
    <x v="0"/>
    <s v="INB-W0012308-9"/>
    <s v="EJ-Malang-01"/>
    <s v="Oka-0813-2707-1646"/>
    <d v="2023-08-14T00:00:00"/>
    <d v="1900-01-14T07:00:00"/>
    <s v="GCI Procurement"/>
    <x v="2"/>
    <x v="22"/>
    <s v="GCI1013"/>
    <s v="Pcs"/>
    <n v="37"/>
    <s v="CLR51-99-004"/>
    <x v="19"/>
    <n v="0"/>
    <n v="0"/>
    <m/>
    <m/>
    <m/>
    <m/>
    <m/>
    <m/>
    <m/>
    <s v="Perumahan Bumi Podo Rukun Dau"/>
    <e v="#N/A"/>
    <e v="#N/A"/>
    <s v="OUTBOUND_"/>
  </r>
  <r>
    <s v="1395"/>
    <m/>
    <x v="1"/>
    <s v="OUB-W0012308-10"/>
    <s v="EJ-Malang-01"/>
    <s v="Oka-0813-2707-1646"/>
    <d v="2023-08-16T00:00:00"/>
    <d v="1900-01-14T08:56:24"/>
    <s v="EJ-MALANG-01"/>
    <x v="2"/>
    <x v="22"/>
    <s v="GCI1013"/>
    <s v="Pcs"/>
    <n v="37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1396"/>
    <m/>
    <x v="0"/>
    <s v="INB-W0012309-27"/>
    <s v="EJ-Malang-01"/>
    <s v="Oka-0813-2707-1646"/>
    <d v="2023-09-08T00:00:00"/>
    <d v="1900-01-14T07:00:00"/>
    <s v="GCI Procurement"/>
    <x v="2"/>
    <x v="22"/>
    <s v="GCI1013"/>
    <s v="Pcs"/>
    <n v="36"/>
    <s v="CLR51-99-006"/>
    <x v="23"/>
    <n v="0"/>
    <n v="0"/>
    <m/>
    <m/>
    <m/>
    <m/>
    <m/>
    <m/>
    <m/>
    <s v="Mulyorejo RW 04 Sukun"/>
    <e v="#N/A"/>
    <e v="#N/A"/>
    <s v="OUTBOUND_"/>
  </r>
  <r>
    <s v="1397"/>
    <m/>
    <x v="1"/>
    <s v="OUB-W0012309-24"/>
    <s v="EJ-Malang-01"/>
    <s v="Oka-0813-2707-1646"/>
    <d v="2023-09-08T00:00:00"/>
    <d v="1899-12-30T08:54:00"/>
    <s v="EJ-MALANG-01"/>
    <x v="2"/>
    <x v="22"/>
    <s v="GCI1013"/>
    <s v="Pcs"/>
    <n v="36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1398"/>
    <m/>
    <x v="0"/>
    <s v="INB-W0012310-115"/>
    <s v="EJ-Malang-01"/>
    <s v="Oka-0813-2707-1646"/>
    <d v="2023-10-28T00:00:00"/>
    <d v="1900-01-14T07:00:00"/>
    <s v="GCI Procurement"/>
    <x v="2"/>
    <x v="23"/>
    <s v="GCI1019"/>
    <s v="Pcs"/>
    <n v="200"/>
    <s v="PRC"/>
    <x v="135"/>
    <n v="0"/>
    <n v="0"/>
    <m/>
    <m/>
    <m/>
    <m/>
    <m/>
    <s v="Fahrudin"/>
    <m/>
    <s v="Purchase"/>
    <e v="#N/A"/>
    <e v="#N/A"/>
    <s v="OUTBOUND_"/>
  </r>
  <r>
    <s v="1399"/>
    <m/>
    <x v="1"/>
    <s v="OUB-W0012311-136"/>
    <s v="EJ-Malang-01"/>
    <s v="Oka-0813-2707-1646"/>
    <d v="2023-11-28T00:00:00"/>
    <d v="1899-12-30T15:37:00"/>
    <s v="EJ-MALANG-01"/>
    <x v="2"/>
    <x v="23"/>
    <s v="GCI1019"/>
    <s v="Pcs"/>
    <n v="25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1400"/>
    <m/>
    <x v="1"/>
    <s v="OUB-W0012508-702"/>
    <s v="EJ-Malang-01"/>
    <s v="Oka-0813-2707-1646"/>
    <d v="2025-08-31T00:00:00"/>
    <d v="1899-12-30T21:36:25"/>
    <s v="EJ-MALANG-01"/>
    <x v="2"/>
    <x v="23"/>
    <s v="GCI1019"/>
    <s v="Pcs"/>
    <n v="175"/>
    <s v="ADJUSTMENT"/>
    <x v="18"/>
    <m/>
    <m/>
    <m/>
    <m/>
    <m/>
    <m/>
    <m/>
    <s v="ADJUSTMENT"/>
    <m/>
    <s v="ADJUSTMENT"/>
    <e v="#N/A"/>
    <e v="#N/A"/>
    <s v="OUTBOUND_"/>
  </r>
  <r>
    <s v="1401"/>
    <m/>
    <x v="0"/>
    <s v="INB-W0012401-196"/>
    <s v="EJ-Malang-01"/>
    <s v="Oka-0813-2707-1646"/>
    <d v="2024-01-22T00:00:00"/>
    <d v="1900-01-14T07:00:00"/>
    <s v="GCI Procurement"/>
    <x v="2"/>
    <x v="24"/>
    <s v="GCI1021"/>
    <s v="Pcs"/>
    <n v="2"/>
    <s v="PRC"/>
    <x v="135"/>
    <n v="0"/>
    <n v="0"/>
    <m/>
    <m/>
    <m/>
    <m/>
    <m/>
    <m/>
    <m/>
    <s v="Purchase"/>
    <e v="#N/A"/>
    <e v="#N/A"/>
    <s v="OUTBOUND_"/>
  </r>
  <r>
    <s v="1402"/>
    <m/>
    <x v="0"/>
    <s v="INB-W0012308-6"/>
    <s v="EJ-Malang-01"/>
    <s v="Oka-0813-2707-1646"/>
    <d v="2023-08-09T00:00:00"/>
    <d v="1900-01-14T07:00:00"/>
    <s v="GCI Procurement"/>
    <x v="2"/>
    <x v="25"/>
    <s v="GCI1002"/>
    <s v="Pcs"/>
    <n v="1"/>
    <s v="CLR51-99-004"/>
    <x v="19"/>
    <n v="0"/>
    <n v="0"/>
    <m/>
    <m/>
    <m/>
    <m/>
    <m/>
    <m/>
    <m/>
    <s v="Perumahan Bumi Podo Rukun Dau"/>
    <e v="#N/A"/>
    <e v="#N/A"/>
    <s v="OUTBOUND_"/>
  </r>
  <r>
    <s v="1403"/>
    <m/>
    <x v="1"/>
    <s v="OUB-W0012308-7"/>
    <s v="EJ-Malang-01"/>
    <s v="Oka-0813-2707-1646"/>
    <d v="2023-08-10T00:00:00"/>
    <d v="1900-01-14T16:37:24"/>
    <s v="EJ-MALANG-01"/>
    <x v="2"/>
    <x v="25"/>
    <s v="GCI1002"/>
    <s v="Pcs"/>
    <n v="1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1404"/>
    <m/>
    <x v="0"/>
    <s v="INB-W0012308-14"/>
    <s v="EJ-Malang-01"/>
    <s v="Oka-0813-2707-1646"/>
    <d v="2023-08-24T00:00:00"/>
    <d v="1900-01-14T07:00:00"/>
    <s v="GCI Procurement"/>
    <x v="2"/>
    <x v="25"/>
    <s v="GCI1002"/>
    <s v="Pcs"/>
    <n v="2"/>
    <s v="CLR51-99-006"/>
    <x v="23"/>
    <n v="0"/>
    <n v="0"/>
    <m/>
    <m/>
    <m/>
    <m/>
    <m/>
    <m/>
    <m/>
    <s v="Mulyorejo RW 04 Sukun"/>
    <e v="#N/A"/>
    <e v="#N/A"/>
    <s v="OUTBOUND_"/>
  </r>
  <r>
    <s v="1405"/>
    <m/>
    <x v="1"/>
    <s v="OUB-W0012309-19"/>
    <s v="EJ-Malang-01"/>
    <s v="Oka-0813-2707-1646"/>
    <d v="2023-09-04T00:00:00"/>
    <d v="1899-12-30T16:37:00"/>
    <s v="EJ-MALANG-01"/>
    <x v="2"/>
    <x v="25"/>
    <s v="GCI1002"/>
    <s v="Pcs"/>
    <n v="1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1406"/>
    <m/>
    <x v="0"/>
    <s v="INB-W0012309-37"/>
    <s v="EJ-Malang-01"/>
    <s v="Oka-0813-2707-1646"/>
    <d v="2023-09-22T00:00:00"/>
    <d v="1900-01-14T07:00:00"/>
    <s v="GCI Procurement"/>
    <x v="2"/>
    <x v="25"/>
    <s v="GCI1002"/>
    <s v="Pcs"/>
    <n v="4"/>
    <s v="CLR51-02-001"/>
    <x v="20"/>
    <n v="0"/>
    <n v="0"/>
    <m/>
    <m/>
    <m/>
    <m/>
    <m/>
    <s v="Di antar ke Khoiri Supplier "/>
    <m/>
    <s v="Puncak Dieng Exlusif"/>
    <e v="#N/A"/>
    <e v="#N/A"/>
    <s v="OUTBOUND_"/>
  </r>
  <r>
    <s v="1407"/>
    <m/>
    <x v="1"/>
    <s v="OUB-W0012309-41"/>
    <s v="EJ-Malang-01"/>
    <s v="Oka-0813-2707-1646"/>
    <d v="2023-09-24T00:00:00"/>
    <d v="1899-12-30T07:36:00"/>
    <s v="EJ-MALANG-01"/>
    <x v="2"/>
    <x v="25"/>
    <s v="GCI1002"/>
    <s v="Pcs"/>
    <n v="1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1408"/>
    <m/>
    <x v="1"/>
    <s v="OUB-W0012309-41"/>
    <s v="EJ-Malang-01"/>
    <s v="Oka-0813-2707-1646"/>
    <d v="2023-09-24T00:00:00"/>
    <d v="1899-12-30T07:36:00"/>
    <s v="EJ-MALANG-01"/>
    <x v="2"/>
    <x v="25"/>
    <s v="GCI1002"/>
    <s v="Pcs"/>
    <n v="2"/>
    <s v="CLR51-02-001"/>
    <x v="20"/>
    <m/>
    <m/>
    <m/>
    <s v="Khoiri"/>
    <s v="Khoiri Supplier"/>
    <s v="3507330905820002"/>
    <s v="N 8638 ES"/>
    <m/>
    <m/>
    <s v="Puncak Dieng Exlusif"/>
    <e v="#N/A"/>
    <e v="#N/A"/>
    <s v="OUTBOUND_"/>
  </r>
  <r>
    <s v="1409"/>
    <m/>
    <x v="1"/>
    <s v="OUB-W0012309-51"/>
    <s v="EJ-Malang-01"/>
    <s v="Oka-0813-2707-1646"/>
    <d v="2023-09-27T00:00:00"/>
    <d v="1899-12-30T12:30:00"/>
    <s v="EJ-MALANG-01"/>
    <x v="2"/>
    <x v="25"/>
    <s v="GCI1002"/>
    <s v="Pcs"/>
    <n v="1"/>
    <s v="CLR51-99-013"/>
    <x v="26"/>
    <m/>
    <m/>
    <m/>
    <s v="Ahmad Subari"/>
    <s v="Khoiri Supplier"/>
    <s v="3507150401800010"/>
    <s v="N 9795 EM"/>
    <m/>
    <m/>
    <s v="Pandan Landung RW 03 Wagir"/>
    <e v="#N/A"/>
    <e v="#N/A"/>
    <s v="OUTBOUND_"/>
  </r>
  <r>
    <s v="1410"/>
    <m/>
    <x v="0"/>
    <s v="INB-W0012310-58"/>
    <s v="EJ-Malang-01"/>
    <s v="Oka-0813-2707-1646"/>
    <d v="2023-10-02T00:00:00"/>
    <d v="1900-01-14T07:00:00"/>
    <s v="GCI Procurement"/>
    <x v="2"/>
    <x v="25"/>
    <s v="GCI1002"/>
    <s v="Pcs"/>
    <n v="2"/>
    <s v="PRC"/>
    <x v="135"/>
    <n v="0"/>
    <n v="0"/>
    <m/>
    <m/>
    <m/>
    <m/>
    <m/>
    <m/>
    <m/>
    <s v="Purchase"/>
    <e v="#N/A"/>
    <e v="#N/A"/>
    <s v="OUTBOUND_"/>
  </r>
  <r>
    <s v="1411"/>
    <m/>
    <x v="1"/>
    <s v="OUB-W0012310-59"/>
    <s v="EJ-Malang-01"/>
    <s v="Oka-0813-2707-1646"/>
    <d v="2023-10-04T00:00:00"/>
    <d v="1899-12-30T09:40:00"/>
    <s v="EJ-MALANG-01"/>
    <x v="2"/>
    <x v="25"/>
    <s v="GCI1002"/>
    <s v="Pcs"/>
    <n v="1"/>
    <s v="CLR51-99-014"/>
    <x v="29"/>
    <m/>
    <m/>
    <m/>
    <s v="Ahmad Subari"/>
    <n v="0"/>
    <s v="3507150401800010"/>
    <s v="N 9609 EF"/>
    <m/>
    <m/>
    <s v="Pandan Landung RW 04 Wagir"/>
    <e v="#N/A"/>
    <e v="#N/A"/>
    <s v="OUTBOUND_"/>
  </r>
  <r>
    <s v="1412"/>
    <m/>
    <x v="0"/>
    <s v="INB-W0012310-104"/>
    <s v="EJ-Malang-01"/>
    <s v="Oka-0813-2707-1646"/>
    <d v="2023-10-21T00:00:00"/>
    <d v="1900-01-14T07:00:00"/>
    <s v="GCI Procurement"/>
    <x v="2"/>
    <x v="25"/>
    <s v="GCI1002"/>
    <s v="Pcs"/>
    <n v="9"/>
    <s v="PRC"/>
    <x v="135"/>
    <n v="0"/>
    <n v="0"/>
    <m/>
    <m/>
    <m/>
    <m/>
    <m/>
    <s v="Pengambilan Oleh Sigit Pamungkas di UD HALIM JAYA"/>
    <m/>
    <s v="Purchase"/>
    <e v="#N/A"/>
    <e v="#N/A"/>
    <s v="OUTBOUND_"/>
  </r>
  <r>
    <s v="1413"/>
    <m/>
    <x v="1"/>
    <s v="OUB-W0012310-97"/>
    <s v="EJ-Malang-01"/>
    <s v="Oka-0813-2707-1646"/>
    <d v="2023-10-21T00:00:00"/>
    <d v="1899-12-30T23:24:00"/>
    <s v="EJ-MALANG-01"/>
    <x v="2"/>
    <x v="25"/>
    <s v="GCI1002"/>
    <s v="Pcs"/>
    <n v="1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1414"/>
    <m/>
    <x v="1"/>
    <s v="OUB-W0012310-97"/>
    <s v="EJ-Malang-01"/>
    <s v="Oka-0813-2707-1646"/>
    <d v="2023-10-21T00:00:00"/>
    <d v="1899-12-30T23:24:00"/>
    <s v="EJ-MALANG-01"/>
    <x v="2"/>
    <x v="25"/>
    <s v="GCI1002"/>
    <s v="Pcs"/>
    <n v="3"/>
    <s v="CLR51-99-020"/>
    <x v="22"/>
    <m/>
    <m/>
    <m/>
    <s v="Khoiri"/>
    <s v="Khoiri Supplier"/>
    <s v="3507330905820002"/>
    <s v="N 8408 CB"/>
    <m/>
    <m/>
    <s v="Jedong RW 08 Wagir"/>
    <e v="#N/A"/>
    <e v="#N/A"/>
    <s v="OUTBOUND_"/>
  </r>
  <r>
    <s v="1415"/>
    <m/>
    <x v="1"/>
    <s v="OUB-W0012310-105"/>
    <s v="EJ-Malang-01"/>
    <s v="Oka-0813-2707-1646"/>
    <d v="2023-10-22T00:00:00"/>
    <d v="1899-12-30T22:30:00"/>
    <s v="EJ-MALANG-01"/>
    <x v="2"/>
    <x v="25"/>
    <s v="GCI1002"/>
    <s v="Pcs"/>
    <n v="1"/>
    <s v="CLR51-99-017"/>
    <x v="21"/>
    <m/>
    <m/>
    <m/>
    <s v="Mustofa"/>
    <n v="0"/>
    <s v="3209140803860003"/>
    <s v="N 9609 EF"/>
    <m/>
    <m/>
    <s v="Sukodadi RW 01 Wagir"/>
    <e v="#N/A"/>
    <e v="#N/A"/>
    <s v="OUTBOUND_"/>
  </r>
  <r>
    <s v="1416"/>
    <m/>
    <x v="1"/>
    <s v="OUB-W0012310-105"/>
    <s v="EJ-Malang-01"/>
    <s v="Oka-0813-2707-1646"/>
    <d v="2023-10-22T00:00:00"/>
    <d v="1899-12-30T22:30:00"/>
    <s v="EJ-MALANG-01"/>
    <x v="2"/>
    <x v="25"/>
    <s v="GCI1002"/>
    <s v="Pcs"/>
    <n v="1"/>
    <s v="CLR51-99-019"/>
    <x v="28"/>
    <m/>
    <m/>
    <m/>
    <s v="Mustofa"/>
    <n v="0"/>
    <s v="3209140803860003"/>
    <s v="N 9609 EF"/>
    <m/>
    <m/>
    <s v="Sidorahayu RW 02 Wagir"/>
    <e v="#N/A"/>
    <e v="#N/A"/>
    <s v="OUTBOUND_"/>
  </r>
  <r>
    <s v="1417"/>
    <m/>
    <x v="1"/>
    <s v="OUB-W0012310-105"/>
    <s v="EJ-Malang-01"/>
    <s v="Oka-0813-2707-1646"/>
    <d v="2023-10-22T00:00:00"/>
    <d v="1899-12-30T22:30:00"/>
    <s v="EJ-MALANG-01"/>
    <x v="2"/>
    <x v="25"/>
    <s v="GCI1002"/>
    <s v="Pcs"/>
    <n v="2"/>
    <s v="CLR51-99-018"/>
    <x v="151"/>
    <m/>
    <m/>
    <m/>
    <s v="Mustofa"/>
    <n v="0"/>
    <s v="3209140803860003"/>
    <s v="N 9609 EF"/>
    <m/>
    <m/>
    <s v="Sukodadi RW 02 Wagir"/>
    <e v="#N/A"/>
    <e v="#N/A"/>
    <s v="OUTBOUND_"/>
  </r>
  <r>
    <s v="1418"/>
    <m/>
    <x v="1"/>
    <s v="OUB-W0012311-126"/>
    <s v="EJ-Malang-01"/>
    <s v="Oka-0813-2707-1646"/>
    <d v="2023-11-25T00:00:00"/>
    <d v="1899-12-30T07:12:00"/>
    <s v="EJ-MALANG-01"/>
    <x v="2"/>
    <x v="25"/>
    <s v="GCI1002"/>
    <s v="Pcs"/>
    <n v="1"/>
    <s v="CLR51-99-020"/>
    <x v="22"/>
    <m/>
    <m/>
    <m/>
    <s v="Heri Susanto"/>
    <n v="0"/>
    <s v="3506220807870002"/>
    <s v="S 9794 JC"/>
    <m/>
    <m/>
    <s v="Jedong RW 08 Wagir"/>
    <e v="#N/A"/>
    <e v="#N/A"/>
    <s v="OUTBOUND_"/>
  </r>
  <r>
    <s v="1419"/>
    <m/>
    <x v="0"/>
    <s v="INB-W0012311-135"/>
    <s v="EJ-Malang-01"/>
    <s v="Oka-0813-2707-1646"/>
    <d v="2023-11-27T00:00:00"/>
    <d v="1900-01-14T07:00:00"/>
    <s v="GCI Procurement"/>
    <x v="2"/>
    <x v="25"/>
    <s v="GCI1002"/>
    <s v="Pcs"/>
    <n v="1"/>
    <s v="CLR51-99-020"/>
    <x v="22"/>
    <n v="0"/>
    <n v="0"/>
    <m/>
    <m/>
    <m/>
    <m/>
    <m/>
    <s v="JEDONG 8"/>
    <m/>
    <s v="Jedong RW 08 Wagir"/>
    <e v="#N/A"/>
    <e v="#N/A"/>
    <s v="OUTBOUND_"/>
  </r>
  <r>
    <s v="1420"/>
    <m/>
    <x v="1"/>
    <s v="OUB-W0012312-142"/>
    <s v="EJ-Malang-01"/>
    <s v="Oka-0813-2707-1646"/>
    <d v="2023-12-06T00:00:00"/>
    <d v="1899-12-30T09:36:00"/>
    <s v="EJ-MALANG-01"/>
    <x v="2"/>
    <x v="25"/>
    <s v="GCI1002"/>
    <s v="Pcs"/>
    <n v="1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1421"/>
    <m/>
    <x v="1"/>
    <s v="OUB-W0012312-151"/>
    <s v="EJ-Malang-01"/>
    <s v="Oka-0813-2707-1646"/>
    <d v="2023-12-22T00:00:00"/>
    <d v="1899-12-30T13:27:00"/>
    <s v="EJ-MALANG-01"/>
    <x v="2"/>
    <x v="25"/>
    <s v="GCI1002"/>
    <s v="Pcs"/>
    <n v="1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1422"/>
    <m/>
    <x v="1"/>
    <s v="OUB-W0012312-151"/>
    <s v="EJ-Malang-01"/>
    <s v="Oka-0813-2707-1646"/>
    <d v="2023-12-22T00:00:00"/>
    <d v="1899-12-30T13:27:00"/>
    <s v="EJ-MALANG-01"/>
    <x v="2"/>
    <x v="25"/>
    <s v="GCI1002"/>
    <s v="Pcs"/>
    <n v="1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1423"/>
    <m/>
    <x v="0"/>
    <s v="INB-W0012401-164"/>
    <s v="EJ-Malang-01"/>
    <s v="Oka-0813-2707-1646"/>
    <d v="2024-01-04T00:00:00"/>
    <d v="1900-01-14T07:00:00"/>
    <s v="GCI Procurement"/>
    <x v="2"/>
    <x v="25"/>
    <s v="GCI1002"/>
    <s v="Pcs"/>
    <n v="5"/>
    <s v="PRC"/>
    <x v="135"/>
    <n v="0"/>
    <n v="0"/>
    <m/>
    <m/>
    <m/>
    <m/>
    <m/>
    <s v="UD Putra Cipta Karya"/>
    <m/>
    <s v="Purchase"/>
    <e v="#N/A"/>
    <e v="#N/A"/>
    <s v="OUTBOUND_"/>
  </r>
  <r>
    <s v="1424"/>
    <m/>
    <x v="0"/>
    <s v="INB-W0012401-183"/>
    <s v="EJ-Malang-01"/>
    <s v="Oka-0813-2707-1646"/>
    <d v="2024-01-18T00:00:00"/>
    <d v="1900-01-14T07:00:00"/>
    <s v="GCI Procurement"/>
    <x v="2"/>
    <x v="25"/>
    <s v="GCI1002"/>
    <s v="Pcs"/>
    <n v="11"/>
    <s v="PRC"/>
    <x v="135"/>
    <n v="0"/>
    <n v="0"/>
    <m/>
    <m/>
    <m/>
    <m/>
    <m/>
    <s v="UD Putra Cipta Karya"/>
    <m/>
    <s v="Purchase"/>
    <e v="#N/A"/>
    <e v="#N/A"/>
    <s v="OUTBOUND_"/>
  </r>
  <r>
    <s v="1425"/>
    <m/>
    <x v="1"/>
    <s v="OUB-W0012401-195"/>
    <s v="EJ-Malang-01"/>
    <s v="Oka-0813-2707-1646"/>
    <d v="2024-01-22T00:00:00"/>
    <d v="1899-12-30T19:27:00"/>
    <s v="EJ-MALANG-01"/>
    <x v="2"/>
    <x v="25"/>
    <s v="GCI1002"/>
    <s v="Pcs"/>
    <n v="1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1426"/>
    <m/>
    <x v="1"/>
    <s v="OUB-W0012401-192"/>
    <s v="EJ-Malang-01"/>
    <s v="Oka-0813-2707-1646"/>
    <d v="2024-01-22T00:00:00"/>
    <d v="1899-12-30T09:18:00"/>
    <s v="EJ-MALANG-01"/>
    <x v="2"/>
    <x v="25"/>
    <s v="GCI1002"/>
    <s v="Pcs"/>
    <n v="5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427"/>
    <m/>
    <x v="1"/>
    <s v="OUB-W0012401-206"/>
    <s v="EJ-Malang-01"/>
    <s v="Oka-0813-2707-1646"/>
    <d v="2024-01-26T00:00:00"/>
    <d v="1899-12-30T09:49:00"/>
    <s v="EJ-MALANG-01"/>
    <x v="2"/>
    <x v="25"/>
    <s v="GCI1002"/>
    <s v="Pcs"/>
    <n v="1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1428"/>
    <m/>
    <x v="0"/>
    <s v="INB-W0012401-209"/>
    <s v="EJ-Malang-01"/>
    <s v="Oka-0813-2707-1646"/>
    <d v="2024-01-27T00:00:00"/>
    <d v="1900-01-14T07:00:00"/>
    <s v="FIELD TEAM"/>
    <x v="2"/>
    <x v="25"/>
    <s v="GCI1002"/>
    <s v="Pcs"/>
    <n v="2"/>
    <s v="CLR29-99-153"/>
    <x v="34"/>
    <s v="RETURN"/>
    <n v="0"/>
    <m/>
    <m/>
    <m/>
    <m/>
    <m/>
    <m/>
    <m/>
    <s v="Perumahan Pondok Mutiara Malang"/>
    <e v="#N/A"/>
    <e v="#N/A"/>
    <s v="OUTBOUND_"/>
  </r>
  <r>
    <s v="1429"/>
    <m/>
    <x v="1"/>
    <s v="OUB-W0012402-219"/>
    <s v="EJ-Malang-01"/>
    <s v="Oka-0813-2707-1646"/>
    <d v="2024-02-09T00:00:00"/>
    <d v="1899-12-30T10:13:00"/>
    <s v="EJ-MALANG-01"/>
    <x v="2"/>
    <x v="25"/>
    <s v="GCI1002"/>
    <s v="Pcs"/>
    <n v="1"/>
    <s v="CLR51-99-082"/>
    <x v="152"/>
    <m/>
    <m/>
    <m/>
    <s v="Riki Romansyah"/>
    <s v="Febby Supplier"/>
    <s v="3507050501950006"/>
    <s v="N 8420 EL"/>
    <m/>
    <m/>
    <s v="Dengkol RW 02 Singosari Malang"/>
    <e v="#N/A"/>
    <e v="#N/A"/>
    <s v="OUTBOUND_"/>
  </r>
  <r>
    <s v="1430"/>
    <m/>
    <x v="0"/>
    <s v="INB-W0012402-242"/>
    <s v="EJ-Malang-01"/>
    <s v="Oka-0813-2707-1646"/>
    <d v="2024-02-22T00:00:00"/>
    <d v="1900-01-14T07:00:00"/>
    <s v="GCI Procurement"/>
    <x v="2"/>
    <x v="25"/>
    <s v="GCI1002"/>
    <s v="Pcs"/>
    <n v="1"/>
    <s v="CLR51-99-078"/>
    <x v="1"/>
    <n v="0"/>
    <n v="0"/>
    <m/>
    <m/>
    <m/>
    <m/>
    <m/>
    <s v="JNT Cargo"/>
    <m/>
    <s v="Bumiayu RW 03 Kedungkandang"/>
    <e v="#N/A"/>
    <e v="#N/A"/>
    <s v="OUTBOUND_"/>
  </r>
  <r>
    <s v="1431"/>
    <m/>
    <x v="1"/>
    <s v="OUB-W0012402-249"/>
    <s v="EJ-Malang-01"/>
    <s v="Oka-0813-2707-1646"/>
    <d v="2024-02-26T00:00:00"/>
    <d v="1899-12-30T08:37:00"/>
    <s v="EJ-MALANG-01"/>
    <x v="2"/>
    <x v="25"/>
    <s v="GCI1002"/>
    <s v="Pcs"/>
    <n v="3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1432"/>
    <m/>
    <x v="1"/>
    <s v="OUB-W0012403-267"/>
    <s v="EJ-Malang-01"/>
    <s v="Oka-0813-2707-1646"/>
    <d v="2024-03-04T00:00:00"/>
    <d v="1899-12-30T13:54:00"/>
    <s v="EJ-MALANG-01"/>
    <x v="2"/>
    <x v="25"/>
    <s v="GCI1002"/>
    <s v="Pcs"/>
    <n v="1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1433"/>
    <m/>
    <x v="1"/>
    <s v="OUB-W0012403-286"/>
    <s v="EJ-Malang-01"/>
    <s v="Oka-0813-2707-1646"/>
    <d v="2024-03-23T00:00:00"/>
    <d v="1899-12-30T18:24:00"/>
    <s v="EJ-MALANG-01"/>
    <x v="2"/>
    <x v="25"/>
    <s v="GCI1002"/>
    <s v="Pcs"/>
    <n v="2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1434"/>
    <m/>
    <x v="0"/>
    <s v="INB-W0012403-289"/>
    <s v="EJ-Malang-01"/>
    <s v="Oka-0813-2707-1646"/>
    <d v="2024-03-25T00:00:00"/>
    <d v="1900-01-14T07:00:00"/>
    <s v="GCI Procurement"/>
    <x v="2"/>
    <x v="25"/>
    <s v="GCI1002"/>
    <s v="Pcs"/>
    <n v="5"/>
    <n v="0"/>
    <x v="153"/>
    <n v="0"/>
    <n v="0"/>
    <m/>
    <m/>
    <m/>
    <m/>
    <m/>
    <m/>
    <m/>
    <s v="TEGAL"/>
    <e v="#N/A"/>
    <e v="#N/A"/>
    <s v="OUTBOUND_"/>
  </r>
  <r>
    <s v="1435"/>
    <m/>
    <x v="1"/>
    <s v="OUB-W0012403-292"/>
    <s v="EJ-Malang-01"/>
    <s v="Oka-0813-2707-1646"/>
    <d v="2024-03-28T00:00:00"/>
    <d v="1899-12-30T09:57:00"/>
    <s v="EJ-MALANG-01"/>
    <x v="2"/>
    <x v="25"/>
    <s v="GCI1002"/>
    <s v="Pcs"/>
    <n v="2"/>
    <s v="CLR51-99-039"/>
    <x v="7"/>
    <m/>
    <m/>
    <m/>
    <s v="Dimas"/>
    <s v="Febby Supplier"/>
    <s v="3573032509800005"/>
    <s v="N 9454 BA"/>
    <m/>
    <m/>
    <s v="Tunjungtirto RW 01 Singosari"/>
    <e v="#N/A"/>
    <e v="#N/A"/>
    <s v="OUTBOUND_"/>
  </r>
  <r>
    <s v="1436"/>
    <m/>
    <x v="1"/>
    <s v="OUB-W0012404-295"/>
    <s v="EJ-Malang-01"/>
    <s v="Oka-0813-2707-1646"/>
    <d v="2024-04-01T00:00:00"/>
    <d v="1899-12-30T09:14:00"/>
    <s v="EJ-MALANG-01"/>
    <x v="2"/>
    <x v="25"/>
    <s v="GCI1002"/>
    <s v="Pcs"/>
    <n v="1"/>
    <s v="CLR51-99-040"/>
    <x v="41"/>
    <m/>
    <m/>
    <m/>
    <s v="Dimas"/>
    <s v="Febby Supplier"/>
    <s v="3573032509800005"/>
    <s v="N 9454 BA"/>
    <m/>
    <m/>
    <s v="Tunjungtirto RW 08 Singosari"/>
    <e v="#N/A"/>
    <e v="#N/A"/>
    <s v="OUTBOUND_"/>
  </r>
  <r>
    <s v="1437"/>
    <m/>
    <x v="1"/>
    <s v="OUB-W0012404-316"/>
    <s v="EJ-Malang-01"/>
    <s v="Oka-0813-2707-1646"/>
    <d v="2024-04-23T00:00:00"/>
    <d v="1899-12-30T17:12:00"/>
    <s v="EJ-MALANG-01"/>
    <x v="2"/>
    <x v="25"/>
    <s v="GCI1002"/>
    <s v="Pcs"/>
    <n v="2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1438"/>
    <m/>
    <x v="3"/>
    <s v="TFI-W0012404-317"/>
    <s v="EJ-Malang-01"/>
    <s v="Oka-0813-2707-1646"/>
    <d v="2024-04-23T00:00:00"/>
    <d v="1900-01-14T07:00:00"/>
    <s v="EJ-NGAWI-01"/>
    <x v="2"/>
    <x v="25"/>
    <s v="GCI1002"/>
    <s v="Pcs"/>
    <n v="6"/>
    <s v="TRF"/>
    <x v="155"/>
    <n v="0"/>
    <n v="0"/>
    <m/>
    <m/>
    <m/>
    <m/>
    <m/>
    <m/>
    <m/>
    <s v="NGAWI"/>
    <e v="#N/A"/>
    <e v="#N/A"/>
    <s v="OUTBOUND_"/>
  </r>
  <r>
    <s v="1439"/>
    <m/>
    <x v="0"/>
    <s v="INB-W0012405-331"/>
    <s v="EJ-Malang-01"/>
    <s v="Oka-0813-2707-1646"/>
    <d v="2024-05-08T00:00:00"/>
    <d v="1900-01-14T07:00:00"/>
    <s v="GCI Procurement"/>
    <x v="2"/>
    <x v="25"/>
    <s v="GCI1002"/>
    <s v="Pcs"/>
    <n v="1"/>
    <n v="0"/>
    <x v="5"/>
    <n v="0"/>
    <n v="0"/>
    <m/>
    <m/>
    <m/>
    <m/>
    <m/>
    <m/>
    <m/>
    <n v="0"/>
    <e v="#N/A"/>
    <e v="#N/A"/>
    <s v="OUTBOUND_"/>
  </r>
  <r>
    <s v="1440"/>
    <m/>
    <x v="0"/>
    <s v="INB-W0012405-337"/>
    <s v="EJ-Malang-01"/>
    <s v="Oka-0813-2707-1646"/>
    <d v="2024-05-17T00:00:00"/>
    <d v="1900-01-14T07:00:00"/>
    <s v="GCI Procurement"/>
    <x v="2"/>
    <x v="25"/>
    <s v="GCI1002"/>
    <s v="Pcs"/>
    <n v="1"/>
    <n v="0"/>
    <x v="5"/>
    <n v="0"/>
    <n v="0"/>
    <m/>
    <m/>
    <m/>
    <m/>
    <m/>
    <m/>
    <m/>
    <n v="0"/>
    <e v="#N/A"/>
    <e v="#N/A"/>
    <s v="OUTBOUND_"/>
  </r>
  <r>
    <s v="1441"/>
    <m/>
    <x v="1"/>
    <s v="OUB-W0012405-335"/>
    <s v="EJ-Malang-01"/>
    <s v="Oka-0813-2707-1646"/>
    <d v="2024-05-17T00:00:00"/>
    <d v="1899-12-30T10:43:00"/>
    <s v="EJ-MALANG-01"/>
    <x v="2"/>
    <x v="25"/>
    <s v="GCI1002"/>
    <s v="Pcs"/>
    <n v="1"/>
    <s v="MF51-02"/>
    <x v="46"/>
    <m/>
    <m/>
    <m/>
    <s v="Riki Romansyah"/>
    <s v="Febby Supplier"/>
    <s v="3507050501950006"/>
    <s v="N 8420 EL"/>
    <m/>
    <m/>
    <s v="HUBFEEDER DALISODO"/>
    <e v="#N/A"/>
    <e v="#N/A"/>
    <s v="OUTBOUND_"/>
  </r>
  <r>
    <s v="1442"/>
    <m/>
    <x v="1"/>
    <s v="OUB-W0012405-340"/>
    <s v="EJ-Malang-01"/>
    <s v="Oka-0813-2707-1646"/>
    <d v="2024-05-20T00:00:00"/>
    <d v="1899-12-30T09:33:00"/>
    <s v="EJ-MALANG-01"/>
    <x v="2"/>
    <x v="25"/>
    <s v="GCI1002"/>
    <s v="Pcs"/>
    <n v="1"/>
    <s v="CLR51-99-087"/>
    <x v="11"/>
    <m/>
    <m/>
    <m/>
    <s v="Riki Romansyah"/>
    <s v="Febby Supplier"/>
    <s v="3507050501950006"/>
    <s v="N 8420 EL"/>
    <m/>
    <m/>
    <s v="Lawang RW 06 Malang"/>
    <e v="#N/A"/>
    <e v="#N/A"/>
    <s v="OUTBOUND_"/>
  </r>
  <r>
    <s v="1443"/>
    <m/>
    <x v="1"/>
    <s v="OUB-W0012405-350"/>
    <s v="EJ-Malang-01"/>
    <s v="Oka-0813-2707-1646"/>
    <d v="2024-05-25T00:00:00"/>
    <d v="1899-12-30T09:40:00"/>
    <s v="EJ-MALANG-01"/>
    <x v="2"/>
    <x v="25"/>
    <s v="GCI1002"/>
    <s v="Pcs"/>
    <n v="1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1444"/>
    <m/>
    <x v="1"/>
    <s v="OUB-W0012405-359"/>
    <s v="EJ-Malang-01"/>
    <s v="Oka-0813-2707-1646"/>
    <d v="2024-05-30T00:00:00"/>
    <d v="1899-12-30T11:30:00"/>
    <s v="EJ-MALANG-01"/>
    <x v="2"/>
    <x v="25"/>
    <s v="GCI1002"/>
    <s v="Pcs"/>
    <n v="2"/>
    <s v="CLR51-99-098"/>
    <x v="48"/>
    <m/>
    <m/>
    <m/>
    <s v="Riki Romansyah"/>
    <s v="Febby Supplier"/>
    <s v="3507050501950006"/>
    <s v="N 8420 EL"/>
    <m/>
    <m/>
    <s v="Dusun Ketohan Kucur"/>
    <e v="#N/A"/>
    <e v="#N/A"/>
    <s v="OUTBOUND_"/>
  </r>
  <r>
    <s v="1445"/>
    <m/>
    <x v="0"/>
    <s v="INB-W0012406-362"/>
    <s v="EJ-Malang-01"/>
    <s v="Oka-0813-2707-1646"/>
    <d v="2024-06-04T00:00:00"/>
    <d v="1900-01-14T07:00:00"/>
    <s v="GCI Procurement"/>
    <x v="2"/>
    <x v="25"/>
    <s v="GCI1002"/>
    <s v="Pcs"/>
    <n v="5"/>
    <n v="0"/>
    <x v="5"/>
    <n v="0"/>
    <n v="0"/>
    <m/>
    <m/>
    <m/>
    <m/>
    <m/>
    <m/>
    <m/>
    <n v="0"/>
    <e v="#N/A"/>
    <e v="#N/A"/>
    <s v="OUTBOUND_"/>
  </r>
  <r>
    <s v="1446"/>
    <m/>
    <x v="1"/>
    <s v="OUB-W0012406-371"/>
    <s v="EJ-Malang-01"/>
    <s v="Oka-0813-2707-1646"/>
    <d v="2024-06-07T00:00:00"/>
    <d v="1899-12-30T17:21:00"/>
    <s v="EJ-MALANG-01"/>
    <x v="2"/>
    <x v="25"/>
    <s v="GCI1002"/>
    <s v="Pcs"/>
    <n v="2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1447"/>
    <m/>
    <x v="1"/>
    <s v="OUB-W0012406-383"/>
    <s v="EJ-Malang-01"/>
    <s v="Oka-0813-2707-1646"/>
    <d v="2024-06-20T00:00:00"/>
    <d v="1899-12-30T10:40:00"/>
    <s v="EJ-MALANG-01"/>
    <x v="2"/>
    <x v="25"/>
    <s v="GCI1002"/>
    <s v="Pcs"/>
    <n v="1"/>
    <s v="CLR51-02-020"/>
    <x v="53"/>
    <m/>
    <m/>
    <m/>
    <s v="Riki Romansyah"/>
    <s v="Febby Supplier"/>
    <s v="3507050501950006"/>
    <s v="N 8420 EL"/>
    <m/>
    <m/>
    <s v="Lowokwaru RW 04"/>
    <e v="#N/A"/>
    <e v="#N/A"/>
    <s v="OUTBOUND_"/>
  </r>
  <r>
    <s v="1448"/>
    <m/>
    <x v="0"/>
    <s v="INB-W0012406-390"/>
    <s v="EJ-Malang-01"/>
    <s v="Oka-0813-2707-1646"/>
    <d v="2024-06-25T00:00:00"/>
    <d v="1900-01-14T07:00:00"/>
    <s v="GCI Procurement"/>
    <x v="2"/>
    <x v="25"/>
    <s v="GCI1002"/>
    <s v="Pcs"/>
    <n v="31"/>
    <n v="0"/>
    <x v="5"/>
    <n v="0"/>
    <n v="0"/>
    <m/>
    <m/>
    <m/>
    <m/>
    <m/>
    <m/>
    <m/>
    <n v="0"/>
    <e v="#N/A"/>
    <e v="#N/A"/>
    <s v="OUTBOUND_"/>
  </r>
  <r>
    <s v="1449"/>
    <m/>
    <x v="1"/>
    <s v="OUB-W0012406-393"/>
    <s v="EJ-Malang-01"/>
    <s v="Oka-0813-2707-1646"/>
    <d v="2024-06-27T00:00:00"/>
    <d v="1899-12-30T12:53:00"/>
    <s v="EJ-MALANG-01"/>
    <x v="2"/>
    <x v="25"/>
    <s v="GCI1002"/>
    <s v="Pcs"/>
    <n v="2"/>
    <s v="CLR51-99-063"/>
    <x v="55"/>
    <m/>
    <m/>
    <m/>
    <s v="Riki Romansyah"/>
    <s v="Febby Supplier"/>
    <s v="3507050501950006"/>
    <s v="N 8420 EL"/>
    <m/>
    <m/>
    <s v="Perumahan Kepanjen Permai II"/>
    <e v="#N/A"/>
    <e v="#N/A"/>
    <s v="OUTBOUND_"/>
  </r>
  <r>
    <s v="1450"/>
    <m/>
    <x v="0"/>
    <s v="INB-W0012407-399"/>
    <s v="EJ-Malang-01"/>
    <s v="Oka-0813-2707-1646"/>
    <d v="2024-07-05T00:00:00"/>
    <d v="1900-01-14T07:00:00"/>
    <s v="GCI Procurement"/>
    <x v="2"/>
    <x v="25"/>
    <s v="GCI1002"/>
    <s v="Pcs"/>
    <n v="9"/>
    <n v="0"/>
    <x v="5"/>
    <n v="0"/>
    <n v="0"/>
    <m/>
    <m/>
    <m/>
    <m/>
    <m/>
    <m/>
    <m/>
    <n v="0"/>
    <e v="#N/A"/>
    <e v="#N/A"/>
    <s v="OUTBOUND_"/>
  </r>
  <r>
    <s v="1451"/>
    <m/>
    <x v="0"/>
    <s v="INB-W0012407-412"/>
    <s v="EJ-Malang-01"/>
    <s v="Oka-0813-2707-1646"/>
    <d v="2024-07-23T00:00:00"/>
    <d v="1900-01-14T07:00:00"/>
    <s v="GCI Procurement"/>
    <x v="2"/>
    <x v="25"/>
    <s v="GCI1002"/>
    <s v="Pcs"/>
    <n v="8"/>
    <n v="0"/>
    <x v="5"/>
    <n v="0"/>
    <n v="0"/>
    <m/>
    <m/>
    <m/>
    <m/>
    <m/>
    <m/>
    <m/>
    <n v="0"/>
    <e v="#N/A"/>
    <e v="#N/A"/>
    <s v="OUTBOUND_"/>
  </r>
  <r>
    <s v="1452"/>
    <m/>
    <x v="1"/>
    <s v="OUB-W0012407-418"/>
    <s v="EJ-Malang-01"/>
    <s v="Oka-0813-2707-1646"/>
    <d v="2024-07-29T00:00:00"/>
    <d v="1899-12-30T14:10:00"/>
    <s v="EJ-MALANG-01"/>
    <x v="2"/>
    <x v="25"/>
    <s v="GCI1002"/>
    <s v="Pcs"/>
    <n v="1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453"/>
    <m/>
    <x v="1"/>
    <s v="OUB-W0012408-433"/>
    <s v="EJ-Malang-01"/>
    <s v="Oka-0813-2707-1646"/>
    <d v="2024-08-07T00:00:00"/>
    <d v="1899-12-30T10:46:00"/>
    <s v="EJ-MALANG-01"/>
    <x v="2"/>
    <x v="25"/>
    <s v="GCI1002"/>
    <s v="Pcs"/>
    <n v="1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1454"/>
    <m/>
    <x v="1"/>
    <s v="OUB-W0012408-434"/>
    <s v="EJ-Malang-01"/>
    <s v="Oka-0813-2707-1646"/>
    <d v="2024-08-07T00:00:00"/>
    <d v="1899-12-30T18:48:00"/>
    <s v="EJ-MALANG-01"/>
    <x v="2"/>
    <x v="25"/>
    <s v="GCI1002"/>
    <s v="Pcs"/>
    <n v="1"/>
    <s v="MF51-03"/>
    <x v="57"/>
    <m/>
    <m/>
    <m/>
    <s v="Riki Romansyah"/>
    <s v="Febby Supplier"/>
    <s v="3507050501950006"/>
    <s v="N 8420 EL"/>
    <m/>
    <m/>
    <s v="HUBFEEDER KEPANJEN TO JATIKERTO"/>
    <e v="#N/A"/>
    <e v="#N/A"/>
    <s v="OUTBOUND_"/>
  </r>
  <r>
    <s v="1455"/>
    <m/>
    <x v="1"/>
    <s v="OUB-W0012408-442"/>
    <s v="EJ-Malang-01"/>
    <s v="Oka-0813-2707-1646"/>
    <d v="2024-08-14T00:00:00"/>
    <d v="1899-12-30T10:00:00"/>
    <s v="EJ-MALANG-01"/>
    <x v="2"/>
    <x v="25"/>
    <s v="GCI1002"/>
    <s v="Pcs"/>
    <n v="1"/>
    <s v="MF51-04"/>
    <x v="60"/>
    <m/>
    <m/>
    <m/>
    <s v="Riki Romansyah"/>
    <s v="Febby Supplier"/>
    <s v="3507050501950006"/>
    <s v="N 8420 EL"/>
    <m/>
    <m/>
    <s v="HUBFEEDER TIRTASANI TO GIRIMOYO"/>
    <e v="#N/A"/>
    <e v="#N/A"/>
    <s v="OUTBOUND_"/>
  </r>
  <r>
    <s v="1456"/>
    <m/>
    <x v="1"/>
    <s v="OUB-W0012408-455"/>
    <s v="EJ-Malang-01"/>
    <s v="Oka-0813-2707-1646"/>
    <d v="2024-08-23T00:00:00"/>
    <d v="1899-12-30T11:13:00"/>
    <s v="EJ-MALANG-01"/>
    <x v="2"/>
    <x v="25"/>
    <s v="GCI1002"/>
    <s v="Pcs"/>
    <n v="1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1457"/>
    <m/>
    <x v="1"/>
    <s v="OUB-W0012408-462"/>
    <s v="EJ-Malang-01"/>
    <s v="Oka-0813-2707-1646"/>
    <d v="2024-08-27T00:00:00"/>
    <d v="1899-12-30T21:22:00"/>
    <s v="EJ-MALANG-01"/>
    <x v="2"/>
    <x v="25"/>
    <s v="GCI1002"/>
    <s v="Pcs"/>
    <n v="1"/>
    <s v="MF51-05"/>
    <x v="66"/>
    <m/>
    <m/>
    <m/>
    <s v="Nur Hidayat"/>
    <n v="0"/>
    <s v="3515141305930006"/>
    <s v="S 9102 AE"/>
    <m/>
    <m/>
    <s v="HUBFEEDER DINOYO SUMBERSEKAR"/>
    <e v="#N/A"/>
    <e v="#N/A"/>
    <s v="OUTBOUND_"/>
  </r>
  <r>
    <s v="1458"/>
    <m/>
    <x v="1"/>
    <s v="OUB-W0012409-480"/>
    <s v="EJ-Malang-01"/>
    <s v="Oka-0813-2707-1646"/>
    <d v="2024-09-02T00:00:00"/>
    <d v="1899-12-30T07:53:00"/>
    <s v="EJ-MALANG-01"/>
    <x v="2"/>
    <x v="25"/>
    <s v="GCI1002"/>
    <s v="Pcs"/>
    <n v="1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1459"/>
    <m/>
    <x v="0"/>
    <s v="INB-W0012409-494"/>
    <s v="EJ-Malang-01"/>
    <s v="Oka-0813-2707-1646"/>
    <d v="2024-09-06T00:00:00"/>
    <d v="1900-01-14T07:00:00"/>
    <s v="GCI Procurement"/>
    <x v="2"/>
    <x v="25"/>
    <s v="GCI1002"/>
    <s v="Pcs"/>
    <n v="7"/>
    <n v="0"/>
    <x v="5"/>
    <n v="0"/>
    <n v="0"/>
    <m/>
    <m/>
    <m/>
    <m/>
    <m/>
    <m/>
    <m/>
    <n v="0"/>
    <e v="#N/A"/>
    <e v="#N/A"/>
    <s v="OUTBOUND_"/>
  </r>
  <r>
    <s v="1460"/>
    <m/>
    <x v="1"/>
    <s v="OUB-W0012409-493"/>
    <s v="EJ-Malang-01"/>
    <s v="Oka-0813-2707-1646"/>
    <d v="2024-09-06T00:00:00"/>
    <d v="1899-12-30T19:13:00"/>
    <s v="EJ-MALANG-01"/>
    <x v="2"/>
    <x v="25"/>
    <s v="GCI1002"/>
    <s v="Pcs"/>
    <n v="1"/>
    <s v="CLR51-99-118"/>
    <x v="68"/>
    <m/>
    <m/>
    <m/>
    <s v="Nur Hidayat"/>
    <n v="0"/>
    <s v="3515141305930006"/>
    <s v="S 9102 AE"/>
    <m/>
    <m/>
    <s v="NGENEP UTARA RW 03 MALANG"/>
    <e v="#N/A"/>
    <e v="#N/A"/>
    <s v="OUTBOUND_"/>
  </r>
  <r>
    <s v="1461"/>
    <m/>
    <x v="1"/>
    <s v="OUB-W0012409-497"/>
    <s v="EJ-Malang-01"/>
    <s v="Oka-0813-2707-1646"/>
    <d v="2024-09-07T00:00:00"/>
    <d v="1899-12-30T17:42:00"/>
    <s v="EJ-MALANG-01"/>
    <x v="2"/>
    <x v="25"/>
    <s v="GCI1002"/>
    <s v="Pcs"/>
    <n v="2"/>
    <s v="CLR51-99-115"/>
    <x v="65"/>
    <m/>
    <m/>
    <m/>
    <s v="Riki Romansyah"/>
    <n v="0"/>
    <s v="3507050501950006"/>
    <s v="N 8420 EL"/>
    <m/>
    <m/>
    <s v="SENGGURUH RW 01 MALANG"/>
    <e v="#N/A"/>
    <e v="#N/A"/>
    <s v="OUTBOUND_"/>
  </r>
  <r>
    <s v="1462"/>
    <m/>
    <x v="1"/>
    <s v="OUB-W0012409-500"/>
    <s v="EJ-Malang-01"/>
    <s v="Oka-0813-2707-1646"/>
    <d v="2024-09-10T00:00:00"/>
    <d v="1899-12-30T17:56:00"/>
    <s v="EJ-MALANG-01"/>
    <x v="2"/>
    <x v="25"/>
    <s v="GCI1002"/>
    <s v="Pcs"/>
    <n v="1"/>
    <s v="CLR51-09-009"/>
    <x v="62"/>
    <m/>
    <m/>
    <m/>
    <s v="Riki Romansyah"/>
    <n v="0"/>
    <s v="3507050501950006"/>
    <s v="N 8420 EL"/>
    <m/>
    <m/>
    <s v="Dilem RW 03 Kepanjen"/>
    <e v="#N/A"/>
    <e v="#N/A"/>
    <s v="OUTBOUND_"/>
  </r>
  <r>
    <s v="1463"/>
    <m/>
    <x v="1"/>
    <s v="OUB-W0012409-499"/>
    <s v="EJ-Malang-01"/>
    <s v="Oka-0813-2707-1646"/>
    <d v="2024-09-10T00:00:00"/>
    <d v="1899-12-30T08:47:00"/>
    <s v="EJ-MALANG-01"/>
    <x v="2"/>
    <x v="25"/>
    <s v="GCI1002"/>
    <s v="Pcs"/>
    <n v="2"/>
    <s v="MF51-05"/>
    <x v="66"/>
    <m/>
    <m/>
    <m/>
    <s v="Nur Hidayat"/>
    <n v="0"/>
    <s v="3515141305930006"/>
    <s v="S 9102 AE"/>
    <m/>
    <m/>
    <s v="HUBFEEDER DINOYO SUMBERSEKAR"/>
    <e v="#N/A"/>
    <e v="#N/A"/>
    <s v="OUTBOUND_"/>
  </r>
  <r>
    <s v="1464"/>
    <m/>
    <x v="3"/>
    <s v="TFI-W0012409-504"/>
    <s v="EJ-Malang-01"/>
    <s v="Oka-0813-2707-1646"/>
    <d v="2024-09-19T00:00:00"/>
    <d v="1900-01-14T07:00:00"/>
    <s v="EJ-BLITAR-01"/>
    <x v="2"/>
    <x v="25"/>
    <s v="GCI1002"/>
    <s v="Pcs"/>
    <n v="3"/>
    <s v="TRF"/>
    <x v="158"/>
    <n v="0"/>
    <n v="0"/>
    <m/>
    <m/>
    <m/>
    <m/>
    <m/>
    <m/>
    <m/>
    <s v="Blitar"/>
    <e v="#N/A"/>
    <e v="#N/A"/>
    <s v="OUTBOUND_"/>
  </r>
  <r>
    <s v="1465"/>
    <m/>
    <x v="1"/>
    <s v="OUB-W0012409-508"/>
    <s v="EJ-Malang-01"/>
    <s v="Oka-0813-2707-1646"/>
    <d v="2024-09-21T00:00:00"/>
    <d v="1899-12-30T17:10:00"/>
    <s v="EJ-MALANG-01"/>
    <x v="2"/>
    <x v="25"/>
    <s v="GCI1002"/>
    <s v="Pcs"/>
    <n v="1"/>
    <s v="MF51-05"/>
    <x v="66"/>
    <m/>
    <m/>
    <m/>
    <s v="Dimas"/>
    <s v="Febby Supplier"/>
    <s v="3573032509800005"/>
    <s v="N 9454 BA"/>
    <m/>
    <m/>
    <s v="HUBFEEDER DINOYO SUMBERSEKAR"/>
    <e v="#N/A"/>
    <e v="#N/A"/>
    <s v="OUTBOUND_"/>
  </r>
  <r>
    <s v="1466"/>
    <m/>
    <x v="1"/>
    <s v="OUB-W0012409-512"/>
    <s v="EJ-Malang-01"/>
    <s v="Oka-0813-2707-1646"/>
    <d v="2024-09-26T00:00:00"/>
    <d v="1899-12-30T15:23:00"/>
    <s v="EJ-MALANG-01"/>
    <x v="2"/>
    <x v="25"/>
    <s v="GCI1002"/>
    <s v="Pcs"/>
    <n v="1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1467"/>
    <m/>
    <x v="1"/>
    <s v="OUB-W0012410-526"/>
    <s v="EJ-Malang-01"/>
    <s v="Oka-0813-2707-1646"/>
    <d v="2024-10-10T00:00:00"/>
    <d v="1899-12-30T13:33:00"/>
    <s v="EJ-MALANG-01"/>
    <x v="2"/>
    <x v="25"/>
    <s v="GCI1002"/>
    <s v="Pcs"/>
    <n v="1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1468"/>
    <m/>
    <x v="0"/>
    <s v="INB-W0012410-542"/>
    <s v="EJ-Malang-01"/>
    <s v="Oka-0813-2707-1646"/>
    <d v="2024-10-30T00:00:00"/>
    <d v="1900-01-14T07:00:00"/>
    <s v="GCI Procurement"/>
    <x v="2"/>
    <x v="25"/>
    <s v="GCI1002"/>
    <s v="Pcs"/>
    <n v="1"/>
    <n v="0"/>
    <x v="5"/>
    <n v="0"/>
    <n v="0"/>
    <m/>
    <m/>
    <m/>
    <m/>
    <m/>
    <m/>
    <m/>
    <n v="0"/>
    <e v="#N/A"/>
    <e v="#N/A"/>
    <s v="OUTBOUND_"/>
  </r>
  <r>
    <s v="1469"/>
    <m/>
    <x v="1"/>
    <s v="OUB-W0012410-537"/>
    <s v="EJ-Malang-01"/>
    <s v="Oka-0813-2707-1646"/>
    <d v="2024-10-30T00:00:00"/>
    <d v="1899-12-30T23:25:00"/>
    <s v="EJ-MALANG-01"/>
    <x v="2"/>
    <x v="25"/>
    <s v="GCI1002"/>
    <s v="Pcs"/>
    <n v="1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1470"/>
    <m/>
    <x v="1"/>
    <s v="OUB-W0012411-547"/>
    <s v="EJ-Malang-01"/>
    <s v="Oka-0813-2707-1646"/>
    <d v="2024-11-06T00:00:00"/>
    <d v="1899-12-30T08:25:00"/>
    <s v="EJ-MALANG-01"/>
    <x v="2"/>
    <x v="25"/>
    <s v="GCI1002"/>
    <s v="Pcs"/>
    <n v="1"/>
    <s v="CLR51-99-095"/>
    <x v="16"/>
    <m/>
    <m/>
    <m/>
    <s v="Riki Romansyah"/>
    <n v="0"/>
    <s v="3507050501950006"/>
    <s v="N 8420 EL"/>
    <m/>
    <m/>
    <s v="Candirenggo RW 10 Singosari"/>
    <e v="#N/A"/>
    <e v="#N/A"/>
    <s v="OUTBOUND_"/>
  </r>
  <r>
    <s v="1471"/>
    <m/>
    <x v="1"/>
    <s v="OUB-W0012411-564"/>
    <s v="EJ-Malang-01"/>
    <s v="Oka-0813-2707-1646"/>
    <d v="2024-11-26T00:00:00"/>
    <d v="1899-12-30T09:30:00"/>
    <s v="EJ-MALANG-01"/>
    <x v="2"/>
    <x v="25"/>
    <s v="GCI1002"/>
    <s v="Pcs"/>
    <n v="1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1472"/>
    <m/>
    <x v="1"/>
    <s v="OUB-W0012412-571"/>
    <s v="EJ-Malang-01"/>
    <s v="Oka-0813-2707-1646"/>
    <d v="2024-12-01T00:00:00"/>
    <d v="1899-12-30T09:30:00"/>
    <s v="EJ-MALANG-01"/>
    <x v="2"/>
    <x v="25"/>
    <s v="GCI1002"/>
    <s v="Pcs"/>
    <n v="1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1473"/>
    <m/>
    <x v="1"/>
    <s v="OUB-W0012412-574"/>
    <s v="EJ-Malang-01"/>
    <s v="Oka-0813-2707-1646"/>
    <d v="2024-12-11T00:00:00"/>
    <d v="1899-12-30T13:53:00"/>
    <s v="EJ-MALANG-01"/>
    <x v="2"/>
    <x v="25"/>
    <s v="GCI1002"/>
    <s v="Pcs"/>
    <n v="1"/>
    <s v="CLR51-01-009"/>
    <x v="79"/>
    <m/>
    <m/>
    <m/>
    <s v="Riki Romansyah"/>
    <n v="0"/>
    <s v="3507050501950006"/>
    <s v="N 8420 EL"/>
    <m/>
    <m/>
    <s v="Kalirejo RW 13 Lawang Malang"/>
    <e v="#N/A"/>
    <e v="#N/A"/>
    <s v="OUTBOUND_"/>
  </r>
  <r>
    <s v="1474"/>
    <m/>
    <x v="1"/>
    <s v="OUB-W0012412-591"/>
    <s v="EJ-Malang-01"/>
    <s v="Oka-0813-2707-1646"/>
    <d v="2024-12-30T00:00:00"/>
    <d v="1899-12-30T09:45:00"/>
    <s v="EJ-MALANG-01"/>
    <x v="2"/>
    <x v="25"/>
    <s v="GCI1002"/>
    <s v="Pcs"/>
    <n v="1"/>
    <s v="CLR51-09-013"/>
    <x v="144"/>
    <m/>
    <m/>
    <m/>
    <s v="Riki Romansyah"/>
    <n v="0"/>
    <s v="3507050501950006"/>
    <s v="N 8420 EL"/>
    <m/>
    <m/>
    <s v="Perum Chandra Kirana Watugede"/>
    <e v="#N/A"/>
    <e v="#N/A"/>
    <s v="OUTBOUND_"/>
  </r>
  <r>
    <s v="1475"/>
    <m/>
    <x v="1"/>
    <s v="OUB-W0012501-596"/>
    <s v="EJ-Malang-01"/>
    <s v="Oka-0813-2707-1646"/>
    <d v="2025-01-13T00:00:00"/>
    <d v="1899-12-30T13:00:00"/>
    <s v="EJ-MALANG-01"/>
    <x v="2"/>
    <x v="25"/>
    <s v="GCI1002"/>
    <s v="Pcs"/>
    <n v="1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1476"/>
    <m/>
    <x v="1"/>
    <s v="OUB-W0012502-607"/>
    <s v="EJ-Malang-01"/>
    <s v="Oka-0813-2707-1646"/>
    <d v="2025-02-19T00:00:00"/>
    <d v="1899-12-30T09:35:00"/>
    <s v="EJ-MALANG-01"/>
    <x v="2"/>
    <x v="25"/>
    <s v="GCI1002"/>
    <s v="Pcs"/>
    <n v="1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1477"/>
    <m/>
    <x v="1"/>
    <s v="OUB-W0012503-630"/>
    <s v="EJ-Malang-01"/>
    <s v="Oka-0813-2707-1646"/>
    <d v="2025-03-21T00:00:00"/>
    <d v="1899-12-30T18:50:00"/>
    <s v="EJ-MALANG-01"/>
    <x v="2"/>
    <x v="25"/>
    <s v="GCI1002"/>
    <s v="Pcs"/>
    <n v="1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1478"/>
    <m/>
    <x v="1"/>
    <s v="OUB-W0012503-631"/>
    <s v="EJ-Malang-01"/>
    <s v="Oka-0813-2707-1646"/>
    <d v="2025-03-22T00:00:00"/>
    <d v="1899-12-30T16:09:00"/>
    <s v="EJ-MALANG-01"/>
    <x v="2"/>
    <x v="25"/>
    <s v="GCI1002"/>
    <s v="Pcs"/>
    <n v="1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1479"/>
    <m/>
    <x v="1"/>
    <s v="OUB-W0012506-647"/>
    <s v="EJ-Malang-01"/>
    <s v="Oka-0813-2707-1646"/>
    <d v="2025-06-14T00:00:00"/>
    <d v="1899-12-30T12:57:00"/>
    <s v="EJ-MALANG-01"/>
    <x v="2"/>
    <x v="25"/>
    <s v="GCI1002"/>
    <s v="Pcs"/>
    <n v="1"/>
    <n v="0"/>
    <x v="161"/>
    <m/>
    <m/>
    <m/>
    <s v="Riki Romansyah"/>
    <n v="0"/>
    <s v="3507050501950006"/>
    <s v="N 8420 EL"/>
    <m/>
    <m/>
    <s v="Kebonagung RW 01"/>
    <e v="#N/A"/>
    <e v="#N/A"/>
    <s v="OUTBOUND_"/>
  </r>
  <r>
    <s v="1480"/>
    <m/>
    <x v="1"/>
    <s v="OUB-W0012506-657"/>
    <s v="EJ-Malang-01"/>
    <s v="Oka-0813-2707-1646"/>
    <d v="2025-06-24T00:00:00"/>
    <d v="1899-12-30T15:30:00"/>
    <s v="EJ-MALANG-01"/>
    <x v="2"/>
    <x v="25"/>
    <s v="GCI1002"/>
    <s v="Pcs"/>
    <n v="3"/>
    <n v="0"/>
    <x v="147"/>
    <m/>
    <m/>
    <m/>
    <s v="Fatur"/>
    <n v="0"/>
    <s v="1812010507910004"/>
    <s v="L 9221 K"/>
    <m/>
    <m/>
    <s v="Pncokusumo"/>
    <e v="#N/A"/>
    <e v="#N/A"/>
    <s v="OUTBOUND_"/>
  </r>
  <r>
    <s v="1481"/>
    <m/>
    <x v="3"/>
    <s v="TFI-W0012506-658"/>
    <s v="EJ-Malang-01"/>
    <s v="Oka-0813-2707-1646"/>
    <d v="2025-06-24T00:00:00"/>
    <d v="1900-01-14T07:00:00"/>
    <s v="EJ-Lamongan-01"/>
    <x v="2"/>
    <x v="25"/>
    <s v="GCI1002"/>
    <s v="Pcs"/>
    <n v="4"/>
    <s v="TRF"/>
    <x v="165"/>
    <n v="0"/>
    <n v="0"/>
    <m/>
    <m/>
    <m/>
    <m/>
    <m/>
    <m/>
    <m/>
    <s v="LAMONGAN"/>
    <e v="#N/A"/>
    <e v="#N/A"/>
    <s v="OUTBOUND_"/>
  </r>
  <r>
    <s v="1482"/>
    <m/>
    <x v="1"/>
    <s v="OUB-W0012506-664"/>
    <s v="EJ-Malang-01"/>
    <s v="Oka-0813-2707-1646"/>
    <d v="2025-06-27T00:00:00"/>
    <d v="1899-12-30T14:18:00"/>
    <s v="EJ-MALANG-01"/>
    <x v="2"/>
    <x v="25"/>
    <s v="GCI1002"/>
    <s v="Pcs"/>
    <n v="1"/>
    <n v="0"/>
    <x v="147"/>
    <m/>
    <m/>
    <m/>
    <s v="Fatur"/>
    <n v="0"/>
    <s v="1812010507910004"/>
    <s v="L 9221 K"/>
    <m/>
    <m/>
    <s v="Pncokusumo"/>
    <e v="#N/A"/>
    <e v="#N/A"/>
    <s v="OUTBOUND_"/>
  </r>
  <r>
    <s v="1483"/>
    <m/>
    <x v="1"/>
    <s v="OUB-W0012507-666"/>
    <s v="EJ-Malang-01"/>
    <s v="Oka-0813-2707-1646"/>
    <d v="2025-07-11T00:00:00"/>
    <d v="1899-12-30T14:36:00"/>
    <s v="EJ-MALANG-01"/>
    <x v="2"/>
    <x v="25"/>
    <s v="GCI1002"/>
    <s v="Pcs"/>
    <n v="1"/>
    <n v="0"/>
    <x v="148"/>
    <m/>
    <m/>
    <m/>
    <s v="Fahrudin"/>
    <n v="0"/>
    <n v="0"/>
    <s v="N 1383 G"/>
    <m/>
    <m/>
    <s v="Bululawang"/>
    <e v="#N/A"/>
    <e v="#N/A"/>
    <s v="OUTBOUND_"/>
  </r>
  <r>
    <s v="1484"/>
    <m/>
    <x v="0"/>
    <s v="INB-W0012507-676"/>
    <s v="EJ-Malang-01"/>
    <s v="Oka-0813-2707-1646"/>
    <d v="2025-07-30T00:00:00"/>
    <d v="1900-01-14T07:00:00"/>
    <s v="GCI Procurement"/>
    <x v="2"/>
    <x v="25"/>
    <s v="GCI1002"/>
    <s v="Pcs"/>
    <n v="1"/>
    <n v="0"/>
    <x v="5"/>
    <n v="0"/>
    <n v="0"/>
    <m/>
    <m/>
    <m/>
    <m/>
    <m/>
    <m/>
    <m/>
    <n v="0"/>
    <e v="#N/A"/>
    <e v="#N/A"/>
    <s v="OUTBOUND_"/>
  </r>
  <r>
    <s v="1485"/>
    <m/>
    <x v="1"/>
    <s v="OUB-W0012507-677"/>
    <s v="EJ-Malang-01"/>
    <s v="Oka-0813-2707-1646"/>
    <d v="2025-07-31T00:00:00"/>
    <d v="1899-12-30T11:21:00"/>
    <s v="EJ-MALANG-01"/>
    <x v="2"/>
    <x v="25"/>
    <s v="GCI1002"/>
    <s v="Pcs"/>
    <n v="1"/>
    <n v="0"/>
    <x v="162"/>
    <m/>
    <m/>
    <m/>
    <s v="Riki Romansyah"/>
    <n v="0"/>
    <s v="3507050501950006"/>
    <s v="N 8420 EL"/>
    <m/>
    <m/>
    <s v="Krebet"/>
    <e v="#N/A"/>
    <e v="#N/A"/>
    <s v="OUTBOUND_"/>
  </r>
  <r>
    <s v="1486"/>
    <m/>
    <x v="0"/>
    <s v="INB-W0012508-680"/>
    <s v="EJ-Malang-01"/>
    <s v="Oka-0813-2707-1646"/>
    <d v="2025-08-06T00:00:00"/>
    <d v="1900-01-14T07:00:00"/>
    <s v="GCI Procurement"/>
    <x v="2"/>
    <x v="25"/>
    <s v="GCI1002"/>
    <s v="Pcs"/>
    <n v="4"/>
    <n v="0"/>
    <x v="93"/>
    <n v="0"/>
    <n v="0"/>
    <m/>
    <m/>
    <m/>
    <m/>
    <m/>
    <m/>
    <m/>
    <s v="GRESIK"/>
    <e v="#N/A"/>
    <e v="#N/A"/>
    <s v="OUTBOUND_"/>
  </r>
  <r>
    <s v="1487"/>
    <m/>
    <x v="1"/>
    <s v="OUB-W0012508-681"/>
    <s v="EJ-Malang-01"/>
    <s v="Oka-0813-2707-1646"/>
    <d v="2025-08-07T00:00:00"/>
    <d v="1899-12-30T11:21:00"/>
    <s v="EJ-MALANG-01"/>
    <x v="2"/>
    <x v="25"/>
    <s v="GCI1002"/>
    <s v="Pcs"/>
    <n v="1"/>
    <s v="CLR51-99-250"/>
    <x v="103"/>
    <m/>
    <m/>
    <m/>
    <s v="Riki Romansyah"/>
    <n v="0"/>
    <s v="3507050501950006"/>
    <s v="N 8420 EL"/>
    <m/>
    <m/>
    <s v="PERMANU RW 03 MALANG"/>
    <e v="#N/A"/>
    <e v="#N/A"/>
    <s v="OUTBOUND_"/>
  </r>
  <r>
    <s v="1488"/>
    <m/>
    <x v="1"/>
    <s v="OUB-W0012508-694"/>
    <s v="EJ-Malang-01"/>
    <s v="Oka-0813-2707-1646"/>
    <d v="2025-08-23T00:00:00"/>
    <d v="1899-12-30T10:17:00"/>
    <s v="EJ-MALANG-01"/>
    <x v="2"/>
    <x v="25"/>
    <s v="GCI1002"/>
    <s v="Pcs"/>
    <n v="2"/>
    <n v="0"/>
    <x v="149"/>
    <m/>
    <m/>
    <m/>
    <s v="Riki Romansyah"/>
    <n v="0"/>
    <s v="3507050501950006"/>
    <s v="N 8420 EL"/>
    <m/>
    <m/>
    <s v="Bululawang Permai"/>
    <e v="#N/A"/>
    <e v="#N/A"/>
    <s v="OUTBOUND_"/>
  </r>
  <r>
    <s v="1489"/>
    <n v="8"/>
    <x v="1"/>
    <s v="OUB-W0012510-001"/>
    <s v="EJ-Malang-01"/>
    <s v="Oka-0813-2707-1646"/>
    <d v="2025-10-16T00:00:00"/>
    <d v="1899-12-30T10:21:00"/>
    <s v="EJ-MALANG-01"/>
    <x v="2"/>
    <x v="25"/>
    <s v="GCI1002"/>
    <s v="Pcs"/>
    <n v="2"/>
    <s v="CLR51-99-257"/>
    <x v="150"/>
    <m/>
    <m/>
    <m/>
    <s v="Riki Romansyah"/>
    <n v="0"/>
    <s v="3507050501950006"/>
    <s v="N 8420 EL"/>
    <m/>
    <m/>
    <s v="Asshofa Residence"/>
    <e v="#N/A"/>
    <e v="#N/A"/>
    <s v="OUTBOUND_"/>
  </r>
  <r>
    <s v="1490"/>
    <n v="4"/>
    <x v="1"/>
    <s v="OUB-W0012510-002"/>
    <s v="EJ-Malang-01"/>
    <s v="Oka-0813-2707-1646"/>
    <d v="2025-10-23T00:00:00"/>
    <d v="1899-12-30T14:35:00"/>
    <s v="EJ-MALANG-01"/>
    <x v="2"/>
    <x v="25"/>
    <s v="GCI1002"/>
    <s v="Pcs"/>
    <n v="2"/>
    <s v="CLR51-99-302"/>
    <x v="112"/>
    <m/>
    <m/>
    <m/>
    <s v="Riki Romansyah"/>
    <n v="0"/>
    <s v="3507050501950006"/>
    <s v="N 8420 EL"/>
    <m/>
    <m/>
    <s v="LESANPURO RW 06 MALANG"/>
    <e v="#N/A"/>
    <e v="#N/A"/>
    <s v="OUTBOUND_"/>
  </r>
  <r>
    <s v="1491"/>
    <n v="3"/>
    <x v="1"/>
    <s v="OUB-W0012511-003"/>
    <s v="EJ-Malang-01"/>
    <s v="Oka-0813-2707-1646"/>
    <d v="2025-11-09T00:00:00"/>
    <d v="1899-12-30T19:20:00"/>
    <s v="EJ-MALANG-01"/>
    <x v="2"/>
    <x v="25"/>
    <s v="GCI1002"/>
    <s v="Pcs"/>
    <n v="2"/>
    <s v="-"/>
    <x v="3"/>
    <s v="-"/>
    <s v="-"/>
    <m/>
    <s v="Riki Romansyah"/>
    <n v="0"/>
    <s v="3507050501950006"/>
    <s v="N 8420 EL"/>
    <m/>
    <m/>
    <n v="0"/>
    <e v="#N/A"/>
    <e v="#N/A"/>
    <s v="OUTBOUND_"/>
  </r>
  <r>
    <s v="1492"/>
    <n v="6"/>
    <x v="1"/>
    <s v="OUB-W0012512-005"/>
    <s v="EJ-Malang-01"/>
    <s v="Oka-0813-2707-1646"/>
    <d v="2025-12-15T00:00:00"/>
    <d v="1899-12-30T08:50:00"/>
    <s v="EJ-MALANG-01"/>
    <x v="2"/>
    <x v="25"/>
    <s v="GCI1002"/>
    <s v="Pcs"/>
    <n v="5"/>
    <s v="-"/>
    <x v="3"/>
    <s v="-"/>
    <s v="-"/>
    <m/>
    <s v="Riki Romansyah"/>
    <s v="Suliadi"/>
    <s v="3507050501950006"/>
    <s v="N 8420 EL"/>
    <m/>
    <m/>
    <n v="0"/>
    <e v="#N/A"/>
    <e v="#N/A"/>
    <s v="OUTBOUND_"/>
  </r>
  <r>
    <s v="1493"/>
    <n v="3"/>
    <x v="0"/>
    <s v="INB-W0012512-019"/>
    <s v="EJ-Malang-01"/>
    <s v="Oka-0813-2707-1646"/>
    <d v="2025-12-23T00:00:00"/>
    <d v="1899-12-30T08:00:00"/>
    <s v="GCI Procurement"/>
    <x v="2"/>
    <x v="25"/>
    <s v="GCI1002"/>
    <s v="Pcs"/>
    <n v="9"/>
    <m/>
    <x v="3"/>
    <m/>
    <m/>
    <m/>
    <m/>
    <m/>
    <m/>
    <m/>
    <m/>
    <m/>
    <n v="0"/>
    <e v="#N/A"/>
    <e v="#N/A"/>
    <s v="OUTBOUND_"/>
  </r>
  <r>
    <s v="1494"/>
    <n v="6"/>
    <x v="1"/>
    <s v="OUB-W0012512-024"/>
    <s v="EJ-Malang-01"/>
    <s v="Oka-0813-2707-1646"/>
    <d v="2025-12-25T00:00:00"/>
    <d v="1899-12-30T12:13:00"/>
    <s v="EJ-MALANG-01"/>
    <x v="2"/>
    <x v="25"/>
    <s v="GCI1002"/>
    <s v="Pcs"/>
    <n v="9"/>
    <m/>
    <x v="3"/>
    <m/>
    <m/>
    <m/>
    <s v="Riki Romansyah"/>
    <s v="Suliadi"/>
    <s v="3507050501950006"/>
    <s v="N 8420 EL"/>
    <m/>
    <m/>
    <n v="0"/>
    <e v="#N/A"/>
    <e v="#N/A"/>
    <s v="OUTBOUND_"/>
  </r>
  <r>
    <s v="1495"/>
    <n v="1"/>
    <x v="0"/>
    <s v="INB-W0012512-007"/>
    <s v="EJ-Malang-01"/>
    <s v="Oka-0813-2707-1646"/>
    <d v="2025-12-12T00:00:00"/>
    <d v="1899-12-30T13:00:00"/>
    <s v="ZTE Warehouse"/>
    <x v="0"/>
    <x v="26"/>
    <s v="ZTE1007"/>
    <s v="Pcs"/>
    <n v="226"/>
    <s v="CLR51-99-381"/>
    <x v="117"/>
    <s v="DOEID251211L3"/>
    <s v="DNWID1382025121136"/>
    <m/>
    <m/>
    <m/>
    <m/>
    <m/>
    <m/>
    <m/>
    <s v="DUSUN ARDIREJO KELURAHAN SIDEREJO MALANG"/>
    <d v="2025-12-12T00:00:00"/>
    <b v="1"/>
    <s v="OUTBOUND_"/>
  </r>
  <r>
    <s v="1496"/>
    <n v="2"/>
    <x v="1"/>
    <s v="OUB-W0012512-002"/>
    <s v="EJ-Malang-01"/>
    <s v="Oka-0813-2707-1646"/>
    <d v="2025-12-13T00:00:00"/>
    <d v="1899-12-30T08:00:00"/>
    <s v="EJ-MALANG-01"/>
    <x v="0"/>
    <x v="26"/>
    <s v="ZTE1007"/>
    <s v="Pcs"/>
    <n v="29"/>
    <s v="CLR51-99-381"/>
    <x v="117"/>
    <s v="-"/>
    <s v="-"/>
    <m/>
    <s v="Riki Romansyah"/>
    <s v="Suliadi"/>
    <s v="3507050501950006"/>
    <s v="N 8420 EL"/>
    <m/>
    <m/>
    <s v="DUSUN ARDIREJO KELURAHAN SIDEREJO MALANG"/>
    <e v="#N/A"/>
    <e v="#N/A"/>
    <s v="OUTBOUND_"/>
  </r>
  <r>
    <s v="1497"/>
    <n v="1"/>
    <x v="1"/>
    <s v="OUB-W0012512-003"/>
    <s v="EJ-Malang-01"/>
    <s v="Oka-0813-2707-1646"/>
    <d v="2025-12-13T00:00:00"/>
    <d v="1899-12-30T15:00:00"/>
    <s v="EJ-MALANG-01"/>
    <x v="0"/>
    <x v="26"/>
    <s v="ZTE1007"/>
    <s v="Pcs"/>
    <n v="40"/>
    <s v="CLR51-99-382"/>
    <x v="116"/>
    <s v="-"/>
    <s v="-"/>
    <m/>
    <s v="Riki Romansyah"/>
    <s v="Suliadi"/>
    <s v="3507050501950006"/>
    <s v="N 8420 EL"/>
    <m/>
    <m/>
    <s v="DUSUN SIDOAYU KELURAHAN SIDEREJO MALANG"/>
    <e v="#N/A"/>
    <e v="#N/A"/>
    <s v="OUTBOUND_"/>
  </r>
  <r>
    <s v="1498"/>
    <n v="2"/>
    <x v="1"/>
    <s v="OUB-W0012512-004"/>
    <s v="EJ-Malang-01"/>
    <s v="Oka-0813-2707-1646"/>
    <d v="2025-12-14T00:00:00"/>
    <d v="1899-12-30T08:00:00"/>
    <s v="EJ-MALANG-01"/>
    <x v="0"/>
    <x v="26"/>
    <s v="ZTE1007"/>
    <s v="Pcs"/>
    <n v="29"/>
    <s v="CLR51-99-382"/>
    <x v="116"/>
    <m/>
    <m/>
    <m/>
    <s v="Riki Romansyah"/>
    <s v="Suliadi"/>
    <s v="3507050501950006"/>
    <s v="N 8420 EL"/>
    <m/>
    <m/>
    <s v="DUSUN SIDOAYU KELURAHAN SIDEREJO MALANG"/>
    <e v="#N/A"/>
    <e v="#N/A"/>
    <s v="OUTBOUND_"/>
  </r>
  <r>
    <s v="1499"/>
    <n v="13"/>
    <x v="1"/>
    <s v="OUB-W0012512-006"/>
    <s v="EJ-Malang-01"/>
    <s v="Oka-0813-2707-1646"/>
    <d v="2025-12-15T00:00:00"/>
    <d v="1899-12-30T11:50:00"/>
    <s v="EJ-MALANG-01"/>
    <x v="0"/>
    <x v="26"/>
    <s v="ZTE1007"/>
    <s v="Pcs"/>
    <n v="9"/>
    <s v="CLR51-99-382"/>
    <x v="116"/>
    <m/>
    <m/>
    <m/>
    <s v="Riki Romansyah"/>
    <s v="Suliadi"/>
    <s v="3507050501950006"/>
    <s v="N 8420 EL"/>
    <m/>
    <m/>
    <s v="DUSUN SIDOAYU KELURAHAN SIDEREJO MALANG"/>
    <e v="#N/A"/>
    <e v="#N/A"/>
    <s v="OUTBOUND_"/>
  </r>
  <r>
    <s v="1500"/>
    <n v="3"/>
    <x v="0"/>
    <s v="INB-W0012512-001"/>
    <s v="EJ-Malang-01"/>
    <s v="Oka-0813-2707-1646"/>
    <d v="2025-12-16T00:00:00"/>
    <d v="1899-12-30T13:00:00"/>
    <s v="ZTE Warehouse"/>
    <x v="0"/>
    <x v="26"/>
    <s v="ZTE1007"/>
    <s v="Pcs"/>
    <n v="119"/>
    <s v="CLR51-99-382"/>
    <x v="116"/>
    <s v="DOEID251215M5"/>
    <s v="DNWID1382025121610"/>
    <m/>
    <m/>
    <m/>
    <m/>
    <m/>
    <m/>
    <m/>
    <s v="DUSUN SIDOAYU KELURAHAN SIDEREJO MALANG"/>
    <d v="2025-12-16T00:00:00"/>
    <b v="1"/>
    <s v="OUTBOUND_"/>
  </r>
  <r>
    <s v="1501"/>
    <n v="1"/>
    <x v="1"/>
    <s v="OUB-W0012512-011"/>
    <s v="EJ-Malang-01"/>
    <s v="Oka-0813-2707-1646"/>
    <d v="2025-12-18T00:00:00"/>
    <d v="1899-12-30T08:00:00"/>
    <s v="EJ-MALANG-01"/>
    <x v="0"/>
    <x v="26"/>
    <s v="ZTE1007"/>
    <s v="Pcs"/>
    <n v="10"/>
    <s v="CLR51-99-382"/>
    <x v="116"/>
    <m/>
    <m/>
    <m/>
    <s v="Riki Romansyah"/>
    <s v="Suliadi"/>
    <s v="3507050501950006"/>
    <s v="N 8420 EL"/>
    <m/>
    <m/>
    <s v="DUSUN SIDOAYU KELURAHAN SIDEREJO MALANG"/>
    <e v="#N/A"/>
    <e v="#N/A"/>
    <s v="OUTBOUND_"/>
  </r>
  <r>
    <s v="1502"/>
    <n v="1"/>
    <x v="1"/>
    <s v="OUB-W0012512-012"/>
    <s v="EJ-Malang-01"/>
    <s v="Oka-0813-2707-1646"/>
    <d v="2025-12-19T00:00:00"/>
    <d v="1899-12-30T08:00:00"/>
    <s v="EJ-MALANG-01"/>
    <x v="0"/>
    <x v="26"/>
    <s v="ZTE1007"/>
    <s v="Pcs"/>
    <n v="9"/>
    <s v="CLR51-99-382"/>
    <x v="116"/>
    <m/>
    <m/>
    <m/>
    <s v="Riki Romansyah"/>
    <s v="Suliadi"/>
    <s v="3507050501950006"/>
    <s v="N 8420 EL"/>
    <m/>
    <m/>
    <s v="DUSUN SIDOAYU KELURAHAN SIDEREJO MALANG"/>
    <e v="#N/A"/>
    <e v="#N/A"/>
    <s v="OUTBOUND_"/>
  </r>
  <r>
    <s v="1503"/>
    <n v="1"/>
    <x v="1"/>
    <s v="OUB-W0012512-013"/>
    <s v="EJ-Malang-01"/>
    <s v="Oka-0813-2707-1646"/>
    <d v="2025-12-19T00:00:00"/>
    <d v="1899-12-30T13:00:00"/>
    <s v="EJ-MALANG-01"/>
    <x v="0"/>
    <x v="26"/>
    <s v="ZTE1007"/>
    <s v="Pcs"/>
    <n v="39"/>
    <s v="CLR51-99-382"/>
    <x v="116"/>
    <m/>
    <m/>
    <m/>
    <s v="Riki Romansyah"/>
    <s v="Suliadi"/>
    <s v="3507050501950006"/>
    <s v="N 8420 EL"/>
    <m/>
    <m/>
    <s v="DUSUN SIDOAYU KELURAHAN SIDEREJO MALANG"/>
    <e v="#N/A"/>
    <e v="#N/A"/>
    <s v="OUTBOUND_"/>
  </r>
  <r>
    <s v="1504"/>
    <n v="2"/>
    <x v="1"/>
    <s v="OUB-W0012512-014"/>
    <s v="EJ-Malang-01"/>
    <s v="Oka-0813-2707-1646"/>
    <d v="2025-12-20T00:00:00"/>
    <d v="1899-12-30T08:00:00"/>
    <s v="EJ-MALANG-01"/>
    <x v="0"/>
    <x v="26"/>
    <s v="ZTE1007"/>
    <s v="Pcs"/>
    <n v="50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1505"/>
    <n v="3"/>
    <x v="1"/>
    <s v="OUB-W0012512-016"/>
    <s v="EJ-Malang-01"/>
    <s v="Oka-0813-2707-1646"/>
    <d v="2025-12-21T00:00:00"/>
    <d v="1899-12-30T08:00:00"/>
    <s v="EJ-MALANG-01"/>
    <x v="0"/>
    <x v="26"/>
    <s v="ZTE1007"/>
    <s v="Pcs"/>
    <n v="26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1506"/>
    <n v="1"/>
    <x v="1"/>
    <s v="OUB-W0012512-019"/>
    <s v="EJ-Malang-01"/>
    <s v="Oka-0813-2707-1646"/>
    <d v="2025-12-22T00:00:00"/>
    <d v="1899-12-30T13:00:00"/>
    <s v="EJ-MALANG-01"/>
    <x v="0"/>
    <x v="26"/>
    <s v="ZTE1007"/>
    <s v="Pcs"/>
    <n v="53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1507"/>
    <n v="1"/>
    <x v="1"/>
    <s v="OUB-W0012512-020"/>
    <s v="EJ-Malang-01"/>
    <s v="Oka-0813-2707-1646"/>
    <d v="2025-12-23T00:00:00"/>
    <d v="1899-12-30T08:00:00"/>
    <s v="EJ-MALANG-01"/>
    <x v="0"/>
    <x v="26"/>
    <s v="ZTE1007"/>
    <s v="Pcs"/>
    <n v="52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1508"/>
    <n v="9"/>
    <x v="0"/>
    <s v="INB-W0012601-001"/>
    <s v="EJ-Malang-01"/>
    <s v="Oka-0813-2707-1646"/>
    <d v="2026-01-19T00:00:00"/>
    <d v="1899-12-30T06:02:00"/>
    <s v="ZTE Warehouse"/>
    <x v="0"/>
    <x v="26"/>
    <s v="ZTE1007"/>
    <s v="Pcs"/>
    <n v="6"/>
    <s v="CLR51-99-196"/>
    <x v="124"/>
    <s v="DOEID260115MP"/>
    <s v="DNWID1382026011601"/>
    <m/>
    <s v="Riki Romansyah"/>
    <s v="Suliadi"/>
    <s v="3507050501950006"/>
    <s v="N 8420 EL"/>
    <m/>
    <m/>
    <s v="Griya Kebon Agung Indah"/>
    <d v="2026-01-19T00:00:00"/>
    <b v="1"/>
    <s v="OUTBOUND_"/>
  </r>
  <r>
    <s v="1509"/>
    <n v="3"/>
    <x v="0"/>
    <s v="INB-W0012601-001"/>
    <s v="EJ-Malang-01"/>
    <s v="Oka-0813-2707-1646"/>
    <d v="2026-01-19T00:00:00"/>
    <d v="1899-12-30T06:02:00"/>
    <s v="ZTE Warehouse"/>
    <x v="0"/>
    <x v="26"/>
    <s v="ZTE1007"/>
    <s v="Pcs"/>
    <n v="12"/>
    <s v="CLR44-99-155"/>
    <x v="125"/>
    <s v="DOEID260115MQ"/>
    <s v="DNWID1382026011602"/>
    <m/>
    <s v="Riki Romansyah"/>
    <s v="Suliadi"/>
    <s v="3507050501950006"/>
    <s v="N 8420 EL"/>
    <m/>
    <m/>
    <s v="KEBONAGUNG RW 06 PAKISAJI"/>
    <d v="2026-01-19T00:00:00"/>
    <b v="1"/>
    <s v="OUTBOUND_"/>
  </r>
  <r>
    <s v="1510"/>
    <n v="2"/>
    <x v="1"/>
    <s v="OUB-W0012601-003"/>
    <s v="EJ-Malang-01"/>
    <s v="Oka-0813-2707-1646"/>
    <d v="2026-01-20T00:00:00"/>
    <d v="1899-12-30T16:32:00"/>
    <s v="EJ-MALANG-01"/>
    <x v="0"/>
    <x v="26"/>
    <s v="ZTE1007"/>
    <s v="Pcs"/>
    <n v="6"/>
    <s v="CLR44-99-155"/>
    <x v="124"/>
    <s v="DOEID260115MP"/>
    <s v="DNWID1382026011602"/>
    <m/>
    <s v="Riki Romansyah"/>
    <s v="Suliadi"/>
    <s v="3507050501950006"/>
    <s v="N 8420 EL"/>
    <m/>
    <m/>
    <s v="Griya Kebon Agung Indah"/>
    <d v="2026-01-19T00:00:00"/>
    <b v="0"/>
    <s v="OUTBOUND_"/>
  </r>
  <r>
    <s v="1511"/>
    <n v="2"/>
    <x v="1"/>
    <s v="OUB-W0012601-002"/>
    <s v="EJ-Malang-01"/>
    <s v="Oka-0813-2707-1646"/>
    <d v="2026-01-20T00:00:00"/>
    <d v="1899-12-30T16:32:00"/>
    <s v="EJ-MALANG-01"/>
    <x v="0"/>
    <x v="26"/>
    <s v="ZTE1007"/>
    <s v="Pcs"/>
    <n v="12"/>
    <s v="CLR44-99-155"/>
    <x v="125"/>
    <s v="DOEID260115MQ"/>
    <s v="DNWID1382026011602"/>
    <m/>
    <s v="Riki Romansyah"/>
    <s v="Suliadi"/>
    <s v="3507050501950006"/>
    <s v="N 8420 EL"/>
    <m/>
    <m/>
    <s v="KEBONAGUNG RW 06 PAKISAJI"/>
    <d v="2026-01-19T00:00:00"/>
    <b v="0"/>
    <s v="OUTBOUND_"/>
  </r>
  <r>
    <s v="1512"/>
    <m/>
    <x v="0"/>
    <s v="INB-W0012601-002"/>
    <s v="EJ-Malang-01"/>
    <s v="Oka-0813-2707-1646"/>
    <d v="2026-01-20T00:00:00"/>
    <d v="1899-12-30T06:02:00"/>
    <s v="FIELD TEAM"/>
    <x v="0"/>
    <x v="26"/>
    <s v="ZTE1007"/>
    <s v="Pcs"/>
    <n v="6"/>
    <s v="CLR44-99-155"/>
    <x v="125"/>
    <m/>
    <m/>
    <m/>
    <m/>
    <m/>
    <m/>
    <m/>
    <m/>
    <m/>
    <s v="KEBONAGUNG RW 06 PAKISAJI"/>
    <e v="#N/A"/>
    <e v="#N/A"/>
    <s v="OUTBOUND_"/>
  </r>
  <r>
    <s v="1513"/>
    <n v="2"/>
    <x v="0"/>
    <s v="INB-W0012603-002"/>
    <s v="EJ-Malang-01"/>
    <s v="Oka-0813-2707-1646"/>
    <d v="2026-03-06T00:00:00"/>
    <d v="1899-12-30T19:00:00"/>
    <s v="ZTE Warehouse"/>
    <x v="0"/>
    <x v="26"/>
    <s v="ZTE1007"/>
    <s v="Pcs"/>
    <n v="13"/>
    <s v="CLR51-99-385"/>
    <x v="126"/>
    <s v="DOEID26030644"/>
    <s v="DNWID1382026030605"/>
    <m/>
    <m/>
    <m/>
    <m/>
    <m/>
    <m/>
    <m/>
    <s v="LESANPURO RW 01 MALANG"/>
    <d v="2026-03-06T00:00:00"/>
    <b v="1"/>
    <s v="OUTBOUND_"/>
  </r>
  <r>
    <s v="1514"/>
    <n v="2"/>
    <x v="1"/>
    <s v="OUB-W0012603-002"/>
    <s v="EJ-Malang-01"/>
    <s v="Oka-0813-2707-1646"/>
    <d v="2026-03-09T00:00:00"/>
    <d v="1899-12-30T19:00:00"/>
    <s v="EJ-MALANG-01"/>
    <x v="0"/>
    <x v="26"/>
    <s v="ZTE1007"/>
    <s v="Pcs"/>
    <n v="13"/>
    <s v="CLR51-99-385"/>
    <x v="126"/>
    <m/>
    <m/>
    <m/>
    <s v="Riki Romansyah"/>
    <s v="Suliadi"/>
    <s v="3507050501950006"/>
    <s v="N 8420 EL"/>
    <m/>
    <m/>
    <s v="LESANPURO RW 01 MALANG"/>
    <e v="#N/A"/>
    <e v="#N/A"/>
    <s v="OUTBOUND_"/>
  </r>
  <r>
    <s v="1515"/>
    <m/>
    <x v="1"/>
    <s v="OUB-W0012603-003"/>
    <s v="EJ-Malang-01"/>
    <s v="Oka-0813-2707-1646"/>
    <d v="2026-03-10T00:00:00"/>
    <d v="1899-12-30T19:00:00"/>
    <s v="EJ-MALANG-01"/>
    <x v="0"/>
    <x v="26"/>
    <s v="ZTE1007"/>
    <s v="Pcs"/>
    <n v="3"/>
    <s v="CLR51-99-385"/>
    <x v="126"/>
    <m/>
    <m/>
    <m/>
    <s v="Riki Romansyah"/>
    <s v="Suliadi"/>
    <s v="3507050501950006"/>
    <s v="N 8420 EL"/>
    <m/>
    <m/>
    <s v="LESANPURO RW 01 MALANG"/>
    <e v="#N/A"/>
    <e v="#N/A"/>
    <s v="OUTBOUND_"/>
  </r>
  <r>
    <s v="1516"/>
    <n v="2"/>
    <x v="0"/>
    <s v="INB-W0012603-003"/>
    <s v="EJ-Malang-01"/>
    <s v="Oka-0813-2707-1646"/>
    <d v="2026-03-12T00:00:00"/>
    <d v="1899-12-30T19:00:00"/>
    <s v="ZTE Warehouse"/>
    <x v="0"/>
    <x v="26"/>
    <s v="ZTE1007"/>
    <s v="Pcs"/>
    <n v="11"/>
    <s v="CLR51-99-447"/>
    <x v="127"/>
    <s v="DOEID260312F8"/>
    <s v="DNWID1382026031207"/>
    <m/>
    <m/>
    <m/>
    <m/>
    <m/>
    <m/>
    <m/>
    <s v="SEKARPURO RW 05 MALANG"/>
    <d v="2026-03-12T00:00:00"/>
    <b v="1"/>
    <s v="OUTBOUND_"/>
  </r>
  <r>
    <s v="1517"/>
    <m/>
    <x v="1"/>
    <s v="OUB-W0012603-005"/>
    <s v="EJ-Malang-01"/>
    <s v="Oka-0813-2707-1646"/>
    <d v="2026-03-14T00:00:00"/>
    <d v="1899-12-30T19:00:00"/>
    <s v="EJ-MALANG-01"/>
    <x v="0"/>
    <x v="26"/>
    <s v="ZTE1007"/>
    <s v="Pcs"/>
    <n v="1"/>
    <s v="CLR51-99-451"/>
    <x v="128"/>
    <m/>
    <m/>
    <m/>
    <s v="Riki Romansyah"/>
    <s v="Suliadi"/>
    <s v="3507050501950006"/>
    <s v="N 8420 EL"/>
    <m/>
    <m/>
    <s v="SEKARPURO RW 08 MALANG"/>
    <e v="#N/A"/>
    <e v="#N/A"/>
    <s v="OUTBOUND_"/>
  </r>
  <r>
    <s v="1518"/>
    <n v="2"/>
    <x v="1"/>
    <s v="OUB-W0012603-005"/>
    <s v="EJ-Malang-01"/>
    <s v="Oka-0813-2707-1646"/>
    <d v="2026-03-14T00:00:00"/>
    <d v="1899-12-30T19:00:00"/>
    <s v="EJ-MALANG-01"/>
    <x v="0"/>
    <x v="26"/>
    <s v="ZTE1007"/>
    <s v="Pcs"/>
    <n v="10"/>
    <s v="CLR51-99-447"/>
    <x v="127"/>
    <m/>
    <m/>
    <m/>
    <s v="Riki Romansyah"/>
    <s v="Suliadi"/>
    <s v="3507050501950006"/>
    <s v="N 8420 EL"/>
    <m/>
    <m/>
    <s v="SEKARPURO RW 05 MALANG"/>
    <e v="#N/A"/>
    <e v="#N/A"/>
    <s v="OUTBOUND_"/>
  </r>
  <r>
    <s v="1519"/>
    <m/>
    <x v="0"/>
    <s v="INB-W0012603-004"/>
    <s v="EJ-Malang-01"/>
    <s v="Oka-0813-2707-1646"/>
    <d v="2026-03-15T00:00:00"/>
    <d v="1899-12-30T19:00:00"/>
    <s v="FIELD TEAM"/>
    <x v="0"/>
    <x v="26"/>
    <s v="ZTE1007"/>
    <s v="Pcs"/>
    <n v="6"/>
    <s v="CLR51-99-447"/>
    <x v="127"/>
    <m/>
    <m/>
    <m/>
    <m/>
    <m/>
    <m/>
    <m/>
    <m/>
    <m/>
    <s v="SEKARPURO RW 05 MALANG"/>
    <e v="#N/A"/>
    <e v="#N/A"/>
    <s v="OUTBOUND_"/>
  </r>
  <r>
    <s v="1520"/>
    <n v="2"/>
    <x v="1"/>
    <s v="OUB-W0012604-001"/>
    <s v="EJ-Malang-01"/>
    <s v="Oka-0813-2707-1646"/>
    <d v="2026-04-21T00:00:00"/>
    <d v="1899-12-30T07:00:00"/>
    <s v="EJ-MALANG-01"/>
    <x v="0"/>
    <x v="26"/>
    <s v="ZTE1007"/>
    <s v="Pcs"/>
    <n v="5"/>
    <s v="CLR51-99-445"/>
    <x v="129"/>
    <m/>
    <m/>
    <m/>
    <s v="Riki Romansyah"/>
    <s v="Suliadi"/>
    <s v="3507050501950006"/>
    <s v="N 8420 EL"/>
    <m/>
    <m/>
    <s v="SEKARPURO RW 04 MALANG"/>
    <e v="#N/A"/>
    <e v="#N/A"/>
    <s v="OUTBOUND_"/>
  </r>
  <r>
    <s v="1521"/>
    <n v="3"/>
    <x v="0"/>
    <s v="INB-W0012604-001"/>
    <s v="EJ-Malang-01"/>
    <s v="Oka-0813-2707-1646"/>
    <d v="2026-04-22T00:00:00"/>
    <d v="1899-12-30T06:00:00"/>
    <s v="ZTE Warehouse"/>
    <x v="0"/>
    <x v="26"/>
    <s v="ZTE1007"/>
    <s v="Pcs"/>
    <n v="0"/>
    <s v="ADJUSTMENT"/>
    <x v="18"/>
    <m/>
    <m/>
    <m/>
    <m/>
    <m/>
    <m/>
    <m/>
    <s v="ADJUSTMENT"/>
    <m/>
    <s v="ADJUSTMENT"/>
    <e v="#N/A"/>
    <e v="#N/A"/>
    <s v="OUTBOUND_"/>
  </r>
  <r>
    <s v="1522"/>
    <n v="1"/>
    <x v="0"/>
    <s v="INB-W0012605-001"/>
    <s v="EJ-Malang-01"/>
    <s v="Oka-0813-2707-1646"/>
    <d v="2026-05-09T00:00:00"/>
    <d v="1899-12-30T14:46:00"/>
    <s v="ZTE Warehouse"/>
    <x v="0"/>
    <x v="26"/>
    <s v="ZTE1007"/>
    <s v="Pcs"/>
    <n v="14"/>
    <s v="CLR51-99-506"/>
    <x v="130"/>
    <s v="DOEID260509BX"/>
    <s v="DNWID03620260509DY"/>
    <m/>
    <m/>
    <m/>
    <m/>
    <m/>
    <m/>
    <m/>
    <s v="WONOKOYO RW 05 KEDUNGKANDANG"/>
    <d v="2026-05-09T00:00:00"/>
    <b v="1"/>
    <s v="OUTBOUND_"/>
  </r>
  <r>
    <s v="1523"/>
    <n v="3"/>
    <x v="1"/>
    <s v="OUB-W0012605-001"/>
    <s v="EJ-Malang-01"/>
    <s v="Oka-0813-2707-1646"/>
    <d v="2026-05-11T00:00:00"/>
    <d v="1899-12-30T18:18:00"/>
    <s v="EJ-MALANG-01"/>
    <x v="0"/>
    <x v="26"/>
    <s v="ZTE1007"/>
    <s v="Pcs"/>
    <n v="14"/>
    <s v="CLR51-99-506"/>
    <x v="130"/>
    <m/>
    <m/>
    <m/>
    <s v="Fatur"/>
    <s v="Suliadi"/>
    <s v="3515082712870005"/>
    <s v="W 3265 OH"/>
    <m/>
    <m/>
    <s v="WONOKOYO RW 05 KEDUNGKANDANG"/>
    <e v="#N/A"/>
    <e v="#N/A"/>
    <s v="OUTBOUND_"/>
  </r>
  <r>
    <s v="1524"/>
    <n v="3"/>
    <x v="0"/>
    <s v="INB-W0012605-002"/>
    <s v="EJ-Malang-01"/>
    <s v="Oka-0813-2707-1646"/>
    <d v="2026-05-22T00:00:00"/>
    <d v="1899-12-30T17:49:00"/>
    <s v="ZTE Warehouse"/>
    <x v="0"/>
    <x v="26"/>
    <s v="ZTE1007"/>
    <s v="Pcs"/>
    <n v="8"/>
    <s v="CLR51-99-658"/>
    <x v="131"/>
    <s v="DOEID260522B7"/>
    <n v="0"/>
    <m/>
    <m/>
    <m/>
    <m/>
    <m/>
    <m/>
    <m/>
    <s v="SUMBERSEKAR RT 07 RW 04 MALANG"/>
    <d v="2026-05-22T00:00:00"/>
    <b v="1"/>
    <s v="OUTBOUND_"/>
  </r>
  <r>
    <s v="1525"/>
    <n v="3"/>
    <x v="1"/>
    <s v="OUB-W0012605-002"/>
    <s v="EJ-Malang-01"/>
    <s v="Oka-0813-2707-1646"/>
    <d v="2026-05-23T00:00:00"/>
    <d v="1899-12-30T17:49:00"/>
    <s v="EJ-MALANG-01"/>
    <x v="0"/>
    <x v="26"/>
    <s v="ZTE1007"/>
    <s v="Pcs"/>
    <n v="8"/>
    <s v="CLR51-99-658"/>
    <x v="131"/>
    <m/>
    <m/>
    <m/>
    <s v="Riki Romansyah"/>
    <s v="Suliadi"/>
    <s v="3507050501950006"/>
    <s v="N 8420 EL"/>
    <m/>
    <m/>
    <s v="SUMBERSEKAR RT 07 RW 04 MALANG"/>
    <e v="#N/A"/>
    <e v="#N/A"/>
    <s v="OUTBOUND_"/>
  </r>
  <r>
    <s v="1526"/>
    <n v="3"/>
    <x v="0"/>
    <s v="INB-W0012606-001"/>
    <s v="EJ-Malang-01"/>
    <s v="Oka-0813-2707-1646"/>
    <d v="2026-06-18T00:00:00"/>
    <d v="1899-12-30T06:00:00"/>
    <s v="ZTE Warehouse"/>
    <x v="0"/>
    <x v="26"/>
    <s v="ZTE1007"/>
    <s v="Pcs"/>
    <n v="34"/>
    <s v="CLR51-99-483"/>
    <x v="132"/>
    <s v="DOEID26052978"/>
    <n v="0"/>
    <m/>
    <m/>
    <m/>
    <m/>
    <m/>
    <m/>
    <m/>
    <s v="RANDUANGUNG RW 04 SINGOSARI MALANG"/>
    <d v="2026-06-18T00:00:00"/>
    <b v="1"/>
    <s v="OUTBOUND_"/>
  </r>
  <r>
    <s v="1527"/>
    <m/>
    <x v="1"/>
    <s v="OUB-W0012606-002"/>
    <s v="EJ-Malang-01"/>
    <s v="Oka-0813-2707-1647"/>
    <d v="2026-06-22T00:00:00"/>
    <d v="1899-12-30T09:00:00"/>
    <s v="EJ-MALANG-01"/>
    <x v="0"/>
    <x v="26"/>
    <s v="ZTE1007"/>
    <s v="Pcs"/>
    <n v="16"/>
    <s v="CLR51-99-483"/>
    <x v="132"/>
    <m/>
    <m/>
    <m/>
    <s v="Riki Romansyah"/>
    <s v="Suliadi"/>
    <s v="3507050501950006"/>
    <s v="N 8420 EL"/>
    <m/>
    <m/>
    <s v="RANDUANGUNG RW 04 SINGOSARI MALANG"/>
    <e v="#N/A"/>
    <e v="#N/A"/>
    <s v="OUTBOUND_"/>
  </r>
  <r>
    <s v="1528"/>
    <m/>
    <x v="1"/>
    <s v="OUB-W0012606-003"/>
    <s v="EJ-Malang-01"/>
    <s v="Oka-0813-2707-1647"/>
    <d v="2026-06-23T00:00:00"/>
    <d v="1899-12-30T09:00:00"/>
    <s v="EJ-MALANG-01"/>
    <x v="0"/>
    <x v="26"/>
    <s v="ZTE1007"/>
    <s v="Pcs"/>
    <n v="2"/>
    <s v="CLR51-99-483"/>
    <x v="132"/>
    <m/>
    <m/>
    <m/>
    <s v="Riki Romansyah"/>
    <s v="Suliadi"/>
    <s v="3507050501950006"/>
    <s v="N 8420 EL"/>
    <m/>
    <m/>
    <s v="RANDUANGUNG RW 04 SINGOSARI MALANG"/>
    <e v="#N/A"/>
    <e v="#N/A"/>
    <s v="OUTBOUND_"/>
  </r>
  <r>
    <s v="1529"/>
    <m/>
    <x v="1"/>
    <s v="OUB-W0012606-003"/>
    <s v="EJ-Malang-01"/>
    <s v="Oka-0813-2707-1647"/>
    <d v="2026-06-23T00:00:00"/>
    <d v="1899-12-30T09:00:00"/>
    <s v="EJ-MALANG-01"/>
    <x v="0"/>
    <x v="26"/>
    <s v="ZTE1007"/>
    <s v="Pcs"/>
    <n v="7"/>
    <s v="CLR51-99-483"/>
    <x v="132"/>
    <m/>
    <m/>
    <m/>
    <s v="Riki Romansyah"/>
    <s v="Suliadi"/>
    <s v="3507050501950006"/>
    <s v="N 8420 EL"/>
    <m/>
    <m/>
    <s v="RANDUANGUNG RW 04 SINGOSARI MALANG"/>
    <e v="#N/A"/>
    <e v="#N/A"/>
    <s v="OUTBOUND_"/>
  </r>
  <r>
    <s v="1530"/>
    <m/>
    <x v="1"/>
    <s v="OUB-W0012606-004"/>
    <s v="EJ-Malang-01"/>
    <s v="Oka-0813-2707-1647"/>
    <d v="2026-06-25T00:00:00"/>
    <d v="1899-12-30T21:00:00"/>
    <s v="EJ-MALANG-01"/>
    <x v="0"/>
    <x v="26"/>
    <s v="ZTE1007"/>
    <s v="Pcs"/>
    <n v="12"/>
    <s v="CLR51-99-678"/>
    <x v="133"/>
    <m/>
    <m/>
    <m/>
    <s v="Riki Romansyah"/>
    <s v="Suliadi"/>
    <s v="3507050501950006"/>
    <s v="N 8420 EL"/>
    <m/>
    <m/>
    <s v="KAMBINGAN RW 04 MALANG"/>
    <e v="#N/A"/>
    <e v="#N/A"/>
    <s v="OUTBOUND_"/>
  </r>
  <r>
    <s v="1531"/>
    <n v="4"/>
    <x v="0"/>
    <s v="INB-W0012606-002"/>
    <s v="EJ-Malang-01"/>
    <s v="Oka-0813-2707-1646"/>
    <d v="2026-06-27T00:00:00"/>
    <d v="1899-12-30T06:00:00"/>
    <s v="ZTE Warehouse"/>
    <x v="0"/>
    <x v="26"/>
    <s v="ZTE1007"/>
    <s v="Pcs"/>
    <n v="24"/>
    <s v="CLR51-99-678"/>
    <x v="133"/>
    <s v="DOEID26062559"/>
    <n v="0"/>
    <m/>
    <m/>
    <m/>
    <m/>
    <m/>
    <m/>
    <m/>
    <s v="KAMBINGAN RW 04 MALANG"/>
    <d v="2026-06-27T00:00:00"/>
    <b v="1"/>
    <s v="OUTBOUND_"/>
  </r>
  <r>
    <s v="1532"/>
    <m/>
    <x v="1"/>
    <s v="OUB-W0012606-006"/>
    <s v="EJ-Malang-01"/>
    <s v="Oka-0813-2707-1647"/>
    <d v="2026-06-29T00:00:00"/>
    <d v="1899-12-30T06:00:00"/>
    <s v="EJ-MALANG-01"/>
    <x v="0"/>
    <x v="26"/>
    <s v="ZTE1007"/>
    <s v="Pcs"/>
    <n v="12"/>
    <s v="CLR51-99-678"/>
    <x v="133"/>
    <m/>
    <m/>
    <m/>
    <s v="Riki Romansyah"/>
    <s v="Suliadi"/>
    <s v="3507050501950006"/>
    <s v="N 8420 EL"/>
    <m/>
    <m/>
    <s v="KAMBINGAN RW 04 MALANG"/>
    <e v="#N/A"/>
    <e v="#N/A"/>
    <s v="OUTBOUND_"/>
  </r>
  <r>
    <s v="1533"/>
    <m/>
    <x v="1"/>
    <s v="OUB-W0012606-007"/>
    <s v="EJ-Malang-01"/>
    <s v="Oka-0813-2707-1647"/>
    <d v="2026-06-30T00:00:00"/>
    <d v="1899-12-30T06:00:00"/>
    <s v="EJ-MALANG-01"/>
    <x v="0"/>
    <x v="26"/>
    <s v="ZTE1007"/>
    <s v="Pcs"/>
    <n v="2"/>
    <s v="CLR51-99-678"/>
    <x v="133"/>
    <m/>
    <m/>
    <m/>
    <s v="Riki Romansyah"/>
    <s v="Suliadi"/>
    <s v="3507050501950006"/>
    <s v="N 8420 EL"/>
    <m/>
    <m/>
    <s v="KAMBINGAN RW 04 MALANG"/>
    <e v="#N/A"/>
    <e v="#N/A"/>
    <s v="OUTBOUND_"/>
  </r>
  <r>
    <s v="1534"/>
    <m/>
    <x v="0"/>
    <s v="INB-W0012607-001"/>
    <s v="EJ-Malang-01"/>
    <s v="Oka-0813-2707-1646"/>
    <d v="2026-07-09T00:00:00"/>
    <d v="1899-12-30T06:00:00"/>
    <s v="ZTE Warehouse"/>
    <x v="0"/>
    <x v="26"/>
    <s v="ZTE1007"/>
    <s v="Pcs"/>
    <n v="9"/>
    <s v="CLR51-99-662"/>
    <x v="134"/>
    <s v="DOEID260708AM"/>
    <s v="DNWID0362026070821"/>
    <m/>
    <m/>
    <m/>
    <m/>
    <m/>
    <m/>
    <m/>
    <s v="KESATRIAN RW 09 MALANG"/>
    <d v="2026-07-09T00:00:00"/>
    <b v="1"/>
    <s v="OUTBOUND_"/>
  </r>
  <r>
    <s v="1535"/>
    <m/>
    <x v="1"/>
    <s v="OUB-W0012607-003"/>
    <s v="EJ-Malang-01"/>
    <s v="Oka-0813-2707-1646"/>
    <d v="2026-07-11T00:00:00"/>
    <d v="1899-12-30T06:00:00"/>
    <s v="EJ-MALANG-01"/>
    <x v="0"/>
    <x v="26"/>
    <s v="ZTE1007"/>
    <s v="Pcs"/>
    <n v="9"/>
    <s v="CLR51-99-662"/>
    <x v="134"/>
    <m/>
    <m/>
    <m/>
    <s v="Riki Romansyah"/>
    <s v="Suliadi"/>
    <s v="3507050501950006"/>
    <s v="N 8420 EL"/>
    <m/>
    <m/>
    <s v="KESATRIAN RW 09 MALANG"/>
    <e v="#N/A"/>
    <e v="#N/A"/>
    <s v="OUTBOUND_"/>
  </r>
  <r>
    <s v="1536"/>
    <m/>
    <x v="1"/>
    <s v="OUB-W0012607-004"/>
    <s v="EJ-Malang-01"/>
    <s v="Oka-0813-2707-1646"/>
    <d v="2026-07-12T00:00:00"/>
    <d v="1899-12-30T06:00:00"/>
    <s v="EJ-MALANG-01"/>
    <x v="0"/>
    <x v="26"/>
    <s v="ZTE1007"/>
    <s v="Pcs"/>
    <n v="10"/>
    <s v="CLR51-99-662"/>
    <x v="134"/>
    <m/>
    <m/>
    <m/>
    <s v="Riki Romansyah"/>
    <s v="Suliadi"/>
    <s v="3507050501950006"/>
    <s v="N 8420 EL"/>
    <m/>
    <m/>
    <s v="KESATRIAN RW 09 MALANG"/>
    <e v="#N/A"/>
    <e v="#N/A"/>
    <s v="OUTBOUND_"/>
  </r>
  <r>
    <s v="1537"/>
    <n v="5"/>
    <x v="0"/>
    <s v="INB-W0012308-1"/>
    <s v="EJ-Malang-01"/>
    <s v="Oka-0813-2707-1646"/>
    <d v="2023-08-04T00:00:00"/>
    <d v="1900-01-14T07:00:00"/>
    <s v="ZTE Warehouse"/>
    <x v="0"/>
    <x v="27"/>
    <s v="ZTE1002"/>
    <s v="Pcs"/>
    <n v="7"/>
    <s v="CLR51-99-004"/>
    <x v="19"/>
    <s v="DOEID23080181"/>
    <s v="DNWID0362023080308"/>
    <m/>
    <m/>
    <m/>
    <m/>
    <m/>
    <m/>
    <m/>
    <s v="Perumahan Bumi Podo Rukun Dau"/>
    <d v="2023-08-04T00:00:00"/>
    <b v="1"/>
    <s v="OUTBOUND_"/>
  </r>
  <r>
    <s v="1538"/>
    <m/>
    <x v="1"/>
    <s v="OUB-W0012308-2"/>
    <s v="EJ-Malang-01"/>
    <s v="Oka-0813-2707-1646"/>
    <d v="2023-08-06T00:00:00"/>
    <d v="1900-01-14T07:00:24"/>
    <s v="EJ-MALANG-01"/>
    <x v="0"/>
    <x v="27"/>
    <s v="ZTE1002"/>
    <s v="Pcs"/>
    <n v="3"/>
    <s v="CLR51-99-004"/>
    <x v="19"/>
    <m/>
    <m/>
    <m/>
    <s v="Agus Suyoto"/>
    <s v="Febby Supplier"/>
    <s v="`3515171206680002"/>
    <s v="B 9407UT"/>
    <m/>
    <m/>
    <s v="Perumahan Bumi Podo Rukun Dau"/>
    <e v="#N/A"/>
    <e v="#N/A"/>
    <s v="OUTBOUND_"/>
  </r>
  <r>
    <s v="1539"/>
    <m/>
    <x v="1"/>
    <s v="OUB-W0012308-5"/>
    <s v="EJ-Malang-01"/>
    <s v="Oka-0813-2707-1646"/>
    <d v="2023-08-09T00:00:00"/>
    <d v="1900-01-14T07:37:24"/>
    <s v="EJ-MALANG-01"/>
    <x v="0"/>
    <x v="27"/>
    <s v="ZTE1002"/>
    <s v="Pcs"/>
    <n v="3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1540"/>
    <m/>
    <x v="1"/>
    <s v="OUB-W0012308-7"/>
    <s v="EJ-Malang-01"/>
    <s v="Oka-0813-2707-1646"/>
    <d v="2023-08-10T00:00:00"/>
    <d v="1900-01-14T16:37:24"/>
    <s v="EJ-MALANG-01"/>
    <x v="0"/>
    <x v="27"/>
    <s v="ZTE1002"/>
    <s v="Pcs"/>
    <n v="1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1541"/>
    <m/>
    <x v="0"/>
    <s v="INB-W0012309-15"/>
    <s v="EJ-Malang-01"/>
    <s v="Oka-0813-2707-1646"/>
    <d v="2023-09-01T00:00:00"/>
    <d v="1900-01-14T07:00:00"/>
    <s v="ZTE Warehouse"/>
    <x v="0"/>
    <x v="27"/>
    <s v="ZTE1002"/>
    <s v="Pcs"/>
    <n v="8"/>
    <s v="CLR51-99-006"/>
    <x v="23"/>
    <s v="DOEID23082834"/>
    <s v="DNWID0362023082902"/>
    <m/>
    <m/>
    <m/>
    <m/>
    <m/>
    <m/>
    <m/>
    <s v="Mulyorejo RW 04 Sukun"/>
    <d v="2023-09-01T00:00:00"/>
    <b v="1"/>
    <s v="OUTBOUND_"/>
  </r>
  <r>
    <s v="1542"/>
    <m/>
    <x v="1"/>
    <s v="OUB-W0012309-17"/>
    <s v="EJ-Malang-01"/>
    <s v="Oka-0813-2707-1646"/>
    <d v="2023-09-03T00:00:00"/>
    <d v="1899-12-30T07:47:00"/>
    <s v="EJ-MALANG-01"/>
    <x v="0"/>
    <x v="27"/>
    <s v="ZTE1002"/>
    <s v="Pcs"/>
    <n v="6"/>
    <s v="CLR51-99-006"/>
    <x v="23"/>
    <m/>
    <m/>
    <m/>
    <s v="Asmat"/>
    <s v="Febby Supplier"/>
    <s v="3515171206680002"/>
    <s v="N 8267 TE"/>
    <m/>
    <m/>
    <s v="Mulyorejo RW 04 Sukun"/>
    <e v="#N/A"/>
    <e v="#N/A"/>
    <s v="OUTBOUND_"/>
  </r>
  <r>
    <s v="1543"/>
    <m/>
    <x v="0"/>
    <s v="INB-W0012309-20"/>
    <s v="EJ-Malang-01"/>
    <s v="Oka-0813-2707-1646"/>
    <d v="2023-09-04T00:00:00"/>
    <d v="1900-01-14T07:00:00"/>
    <s v="FIELD TEAM"/>
    <x v="0"/>
    <x v="27"/>
    <s v="ZTE1002"/>
    <s v="Pcs"/>
    <n v="2"/>
    <s v="CLR51-99-006"/>
    <x v="23"/>
    <n v="0"/>
    <n v="0"/>
    <m/>
    <m/>
    <m/>
    <m/>
    <m/>
    <m/>
    <m/>
    <s v="Mulyorejo RW 04 Sukun"/>
    <e v="#N/A"/>
    <e v="#N/A"/>
    <s v="OUTBOUND_"/>
  </r>
  <r>
    <s v="1544"/>
    <m/>
    <x v="1"/>
    <s v="OUB-W0012309-18"/>
    <s v="EJ-Malang-01"/>
    <s v="Oka-0813-2707-1646"/>
    <d v="2023-09-04T00:00:00"/>
    <d v="1899-12-30T07:38:00"/>
    <s v="EJ-MALANG-01"/>
    <x v="0"/>
    <x v="27"/>
    <s v="ZTE1002"/>
    <s v="Pcs"/>
    <n v="2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1545"/>
    <m/>
    <x v="1"/>
    <s v="OUB-W0012309-23"/>
    <s v="EJ-Malang-01"/>
    <s v="Oka-0813-2707-1646"/>
    <d v="2023-09-06T00:00:00"/>
    <d v="1899-12-30T08:08:00"/>
    <s v="EJ-MALANG-01"/>
    <x v="0"/>
    <x v="27"/>
    <s v="ZTE1002"/>
    <s v="Pcs"/>
    <n v="2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1546"/>
    <m/>
    <x v="0"/>
    <s v="INB-W0012309-30"/>
    <s v="EJ-Malang-01"/>
    <s v="Oka-0813-2707-1646"/>
    <d v="2023-09-16T00:00:00"/>
    <d v="1900-01-14T07:00:00"/>
    <s v="ZTE Warehouse"/>
    <x v="0"/>
    <x v="27"/>
    <s v="ZTE1002"/>
    <s v="Pcs"/>
    <n v="3"/>
    <s v="CLR51-99-013"/>
    <x v="26"/>
    <s v="DOEID23091557"/>
    <s v="DNWID0362023091502"/>
    <m/>
    <s v="Ahmad Subari"/>
    <m/>
    <m/>
    <m/>
    <m/>
    <m/>
    <s v="Pandan Landung RW 03 Wagir"/>
    <d v="2023-09-16T00:00:00"/>
    <b v="1"/>
    <s v="OUTBOUND_"/>
  </r>
  <r>
    <s v="1547"/>
    <m/>
    <x v="0"/>
    <s v="INB-W0012309-30"/>
    <s v="EJ-Malang-01"/>
    <s v="Oka-0813-2707-1646"/>
    <d v="2023-09-16T00:00:00"/>
    <d v="1900-01-14T07:00:00"/>
    <s v="ZTE Warehouse"/>
    <x v="0"/>
    <x v="27"/>
    <s v="ZTE1002"/>
    <s v="Pcs"/>
    <n v="4"/>
    <s v="CLR51-99-014"/>
    <x v="29"/>
    <s v="DOEID23091555"/>
    <s v="DNWID0362023091501"/>
    <m/>
    <s v="Ahmad Subari"/>
    <m/>
    <m/>
    <m/>
    <m/>
    <m/>
    <s v="Pandan Landung RW 04 Wagir"/>
    <d v="2023-09-16T00:00:00"/>
    <b v="1"/>
    <s v="OUTBOUND_"/>
  </r>
  <r>
    <s v="1548"/>
    <m/>
    <x v="0"/>
    <s v="INB-W0012309-31"/>
    <s v="EJ-Malang-01"/>
    <s v="Oka-0813-2707-1646"/>
    <d v="2023-09-19T00:00:00"/>
    <d v="1900-01-14T07:00:00"/>
    <s v="ZTE Warehouse"/>
    <x v="0"/>
    <x v="27"/>
    <s v="ZTE1002"/>
    <s v="Pcs"/>
    <n v="3"/>
    <s v="CLR51-99-007"/>
    <x v="25"/>
    <s v="DOEID230918DX"/>
    <s v="DNWID0362023091803"/>
    <m/>
    <m/>
    <m/>
    <m/>
    <m/>
    <m/>
    <m/>
    <s v="Mulyorejo RW 06 Sukun"/>
    <d v="2023-09-19T00:00:00"/>
    <b v="1"/>
    <s v="OUTBOUND_"/>
  </r>
  <r>
    <s v="1549"/>
    <m/>
    <x v="0"/>
    <s v="INB-W0012309-32"/>
    <s v="EJ-Malang-01"/>
    <s v="Oka-0813-2707-1646"/>
    <d v="2023-09-20T00:00:00"/>
    <d v="1900-01-14T07:00:00"/>
    <s v="ZTE Warehouse"/>
    <x v="0"/>
    <x v="27"/>
    <s v="ZTE1002"/>
    <s v="Pcs"/>
    <n v="18"/>
    <s v="CLR51-02-001"/>
    <x v="20"/>
    <s v="DOEID230919BG"/>
    <s v="DNWID0362023091906"/>
    <m/>
    <m/>
    <m/>
    <m/>
    <m/>
    <m/>
    <m/>
    <s v="Puncak Dieng Exlusif"/>
    <d v="2023-09-20T00:00:00"/>
    <b v="1"/>
    <s v="OUTBOUND_"/>
  </r>
  <r>
    <s v="1550"/>
    <m/>
    <x v="1"/>
    <s v="OUB-W0012309-36"/>
    <s v="EJ-Malang-01"/>
    <s v="Oka-0813-2707-1646"/>
    <d v="2023-09-22T00:00:00"/>
    <d v="1899-12-30T09:20:00"/>
    <s v="EJ-MALANG-01"/>
    <x v="0"/>
    <x v="27"/>
    <s v="ZTE1002"/>
    <s v="Pcs"/>
    <n v="3"/>
    <s v="CLR51-99-013"/>
    <x v="26"/>
    <m/>
    <m/>
    <m/>
    <s v="Ahmad Subari"/>
    <s v="Khoiri Supplier"/>
    <s v="3507150401800010"/>
    <s v="N 9609 EF"/>
    <m/>
    <m/>
    <s v="Pandan Landung RW 03 Wagir"/>
    <e v="#N/A"/>
    <e v="#N/A"/>
    <s v="OUTBOUND_"/>
  </r>
  <r>
    <s v="1551"/>
    <m/>
    <x v="0"/>
    <s v="INB-W0012309-40"/>
    <s v="EJ-Malang-01"/>
    <s v="Oka-0813-2707-1646"/>
    <d v="2023-09-23T00:00:00"/>
    <d v="1899-12-30T16:05:00"/>
    <s v="FIELD TEAM"/>
    <x v="0"/>
    <x v="27"/>
    <s v="ZTE1002"/>
    <s v="Pcs"/>
    <n v="1"/>
    <s v="CLR51-99-007"/>
    <x v="25"/>
    <n v="0"/>
    <n v="0"/>
    <m/>
    <m/>
    <m/>
    <m/>
    <m/>
    <m/>
    <m/>
    <s v="Mulyorejo RW 06 Sukun"/>
    <e v="#N/A"/>
    <e v="#N/A"/>
    <s v="OUTBOUND_"/>
  </r>
  <r>
    <s v="1552"/>
    <m/>
    <x v="1"/>
    <s v="OUB-W0012309-39"/>
    <s v="EJ-Malang-01"/>
    <s v="Oka-0813-2707-1646"/>
    <d v="2023-09-23T00:00:00"/>
    <d v="1899-12-30T14:08:00"/>
    <s v="EJ-MALANG-01"/>
    <x v="0"/>
    <x v="27"/>
    <s v="ZTE1002"/>
    <s v="Pcs"/>
    <n v="4"/>
    <s v="CLR51-99-007"/>
    <x v="25"/>
    <m/>
    <m/>
    <m/>
    <s v="Khoiri"/>
    <s v="Khoiri Supplier"/>
    <s v="3507330905820002"/>
    <s v="N 8408 CB"/>
    <m/>
    <m/>
    <s v="Mulyorejo RW 06 Sukun"/>
    <e v="#N/A"/>
    <e v="#N/A"/>
    <s v="OUTBOUND_"/>
  </r>
  <r>
    <s v="1553"/>
    <m/>
    <x v="1"/>
    <s v="OUB-W0012309-46"/>
    <s v="EJ-Malang-01"/>
    <s v="Oka-0813-2707-1646"/>
    <d v="2023-09-26T00:00:00"/>
    <d v="1899-12-30T06:30:00"/>
    <s v="EJ-MALANG-01"/>
    <x v="0"/>
    <x v="27"/>
    <s v="ZTE1002"/>
    <s v="Pcs"/>
    <n v="1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1554"/>
    <m/>
    <x v="1"/>
    <s v="OUB-W0012310-59"/>
    <s v="EJ-Malang-01"/>
    <s v="Oka-0813-2707-1646"/>
    <d v="2023-10-04T00:00:00"/>
    <d v="1899-12-30T09:40:00"/>
    <s v="EJ-MALANG-01"/>
    <x v="0"/>
    <x v="27"/>
    <s v="ZTE1002"/>
    <s v="Pcs"/>
    <n v="2"/>
    <s v="CLR51-99-014"/>
    <x v="29"/>
    <m/>
    <m/>
    <m/>
    <s v="Ahmad Subari"/>
    <n v="0"/>
    <s v="3507150401800010"/>
    <s v="N 9609 EF"/>
    <m/>
    <m/>
    <s v="Pandan Landung RW 04 Wagir"/>
    <e v="#N/A"/>
    <e v="#N/A"/>
    <s v="OUTBOUND_"/>
  </r>
  <r>
    <s v="1555"/>
    <m/>
    <x v="1"/>
    <s v="OUB-W0012310-60"/>
    <s v="EJ-Malang-01"/>
    <s v="Oka-0813-2707-1646"/>
    <d v="2023-10-05T00:00:00"/>
    <d v="1899-12-30T14:47:00"/>
    <s v="EJ-MALANG-01"/>
    <x v="0"/>
    <x v="27"/>
    <s v="ZTE1002"/>
    <s v="Pcs"/>
    <n v="7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1556"/>
    <m/>
    <x v="1"/>
    <s v="OUB-W0012310-62"/>
    <s v="EJ-Malang-01"/>
    <s v="Oka-0813-2707-1646"/>
    <d v="2023-10-06T00:00:00"/>
    <d v="1899-12-30T09:27:00"/>
    <s v="EJ-MALANG-01"/>
    <x v="0"/>
    <x v="27"/>
    <s v="ZTE1002"/>
    <s v="Pcs"/>
    <n v="1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1557"/>
    <m/>
    <x v="0"/>
    <s v="INB-W0012310-75"/>
    <s v="EJ-Malang-01"/>
    <s v="Oka-0813-2707-1646"/>
    <d v="2023-10-14T00:00:00"/>
    <d v="1900-01-14T07:00:00"/>
    <s v="ZTE Warehouse"/>
    <x v="0"/>
    <x v="27"/>
    <s v="ZTE1002"/>
    <s v="Pcs"/>
    <n v="2"/>
    <s v="CLR51-99-018"/>
    <x v="151"/>
    <s v="DOEID23101404"/>
    <s v="DNWID0362023101404"/>
    <m/>
    <m/>
    <m/>
    <m/>
    <m/>
    <m/>
    <m/>
    <s v="Sukodadi RW 02 Wagir"/>
    <d v="2023-10-14T00:00:00"/>
    <b v="1"/>
    <s v="OUTBOUND_"/>
  </r>
  <r>
    <s v="1558"/>
    <m/>
    <x v="0"/>
    <s v="INB-W0012310-75"/>
    <s v="EJ-Malang-01"/>
    <s v="Oka-0813-2707-1646"/>
    <d v="2023-10-14T00:00:00"/>
    <d v="1900-01-14T07:00:00"/>
    <s v="ZTE Warehouse"/>
    <x v="0"/>
    <x v="27"/>
    <s v="ZTE1002"/>
    <s v="Pcs"/>
    <n v="2"/>
    <s v="CLR51-99-020"/>
    <x v="22"/>
    <s v="DOEID231013AU"/>
    <s v="DNWID0362023101401"/>
    <m/>
    <m/>
    <m/>
    <m/>
    <m/>
    <m/>
    <m/>
    <s v="Jedong RW 08 Wagir"/>
    <d v="2023-10-14T00:00:00"/>
    <b v="1"/>
    <s v="OUTBOUND_"/>
  </r>
  <r>
    <s v="1559"/>
    <m/>
    <x v="0"/>
    <s v="INB-W0012310-75"/>
    <s v="EJ-Malang-01"/>
    <s v="Oka-0813-2707-1646"/>
    <d v="2023-10-14T00:00:00"/>
    <d v="1900-01-14T07:00:00"/>
    <s v="ZTE Warehouse"/>
    <x v="0"/>
    <x v="27"/>
    <s v="ZTE1002"/>
    <s v="Pcs"/>
    <n v="2"/>
    <s v="CLR51-99-021"/>
    <x v="27"/>
    <s v="DOEID231013AW"/>
    <s v="DNWID0362023101402"/>
    <m/>
    <m/>
    <m/>
    <m/>
    <m/>
    <m/>
    <m/>
    <s v="Jedong RW 09 Wagir"/>
    <d v="2023-10-14T00:00:00"/>
    <b v="1"/>
    <s v="OUTBOUND_"/>
  </r>
  <r>
    <s v="1560"/>
    <m/>
    <x v="0"/>
    <s v="INB-W0012310-75"/>
    <s v="EJ-Malang-01"/>
    <s v="Oka-0813-2707-1646"/>
    <d v="2023-10-14T00:00:00"/>
    <d v="1900-01-14T07:00:00"/>
    <s v="ZTE Warehouse"/>
    <x v="0"/>
    <x v="27"/>
    <s v="ZTE1002"/>
    <s v="Pcs"/>
    <n v="4"/>
    <s v="CLR51-99-019"/>
    <x v="28"/>
    <s v="DOEID231013AS"/>
    <s v="DNWID0362023101405"/>
    <m/>
    <m/>
    <m/>
    <m/>
    <m/>
    <m/>
    <m/>
    <s v="Sidorahayu RW 02 Wagir"/>
    <d v="2023-10-14T00:00:00"/>
    <b v="1"/>
    <s v="OUTBOUND_"/>
  </r>
  <r>
    <s v="1561"/>
    <m/>
    <x v="1"/>
    <s v="OUB-W0012310-76"/>
    <s v="EJ-Malang-01"/>
    <s v="Oka-0813-2707-1646"/>
    <d v="2023-10-16T00:00:00"/>
    <d v="1899-12-30T07:10:00"/>
    <s v="EJ-MALANG-01"/>
    <x v="0"/>
    <x v="27"/>
    <s v="ZTE1002"/>
    <s v="Pcs"/>
    <n v="3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1562"/>
    <m/>
    <x v="1"/>
    <s v="OUB-W0012310-97"/>
    <s v="EJ-Malang-01"/>
    <s v="Oka-0813-2707-1646"/>
    <d v="2023-10-21T00:00:00"/>
    <d v="1899-12-30T23:24:00"/>
    <s v="EJ-MALANG-01"/>
    <x v="0"/>
    <x v="27"/>
    <s v="ZTE1002"/>
    <s v="Pcs"/>
    <n v="12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1563"/>
    <m/>
    <x v="1"/>
    <s v="OUB-W0012310-107"/>
    <s v="EJ-Malang-01"/>
    <s v="Oka-0813-2707-1646"/>
    <d v="2023-10-23T00:00:00"/>
    <d v="1899-12-30T08:19:00"/>
    <s v="EJ-MALANG-01"/>
    <x v="0"/>
    <x v="27"/>
    <s v="ZTE1002"/>
    <s v="Pcs"/>
    <n v="1"/>
    <s v="CLR51-99-018"/>
    <x v="151"/>
    <m/>
    <m/>
    <m/>
    <s v="Mail"/>
    <n v="0"/>
    <s v="507180502880002"/>
    <s v="N 8546 ED"/>
    <m/>
    <m/>
    <s v="Sukodadi RW 02 Wagir"/>
    <e v="#N/A"/>
    <e v="#N/A"/>
    <s v="OUTBOUND_"/>
  </r>
  <r>
    <s v="1564"/>
    <m/>
    <x v="0"/>
    <s v="INB-W0012311-121"/>
    <s v="EJ-Malang-01"/>
    <s v="Oka-0813-2707-1646"/>
    <d v="2023-11-15T00:00:00"/>
    <d v="1900-01-14T07:00:00"/>
    <s v="ZTE Warehouse"/>
    <x v="0"/>
    <x v="27"/>
    <s v="ZTE1002"/>
    <s v="Pcs"/>
    <n v="26"/>
    <s v="CLR51-99-026"/>
    <x v="24"/>
    <s v="DOEID231113AX"/>
    <s v="DNWID0362023111303"/>
    <m/>
    <m/>
    <m/>
    <m/>
    <m/>
    <m/>
    <m/>
    <s v="Jedong RW 07 Wagir"/>
    <d v="2023-11-15T00:00:00"/>
    <b v="1"/>
    <s v="OUTBOUND_"/>
  </r>
  <r>
    <s v="1565"/>
    <m/>
    <x v="1"/>
    <s v="OUB-W0012311-124"/>
    <s v="EJ-Malang-01"/>
    <s v="Oka-0813-2707-1646"/>
    <d v="2023-11-21T00:00:00"/>
    <d v="1899-12-30T15:14:00"/>
    <s v="EJ-MALANG-01"/>
    <x v="0"/>
    <x v="27"/>
    <s v="ZTE1002"/>
    <s v="Pcs"/>
    <n v="4"/>
    <s v="CLR51-99-026"/>
    <x v="24"/>
    <m/>
    <m/>
    <m/>
    <s v="Mustofa"/>
    <n v="0"/>
    <s v="3209140803860003"/>
    <s v="N 8869 UQ"/>
    <m/>
    <m/>
    <s v="Jedong RW 07 Wagir"/>
    <e v="#N/A"/>
    <e v="#N/A"/>
    <s v="OUTBOUND_"/>
  </r>
  <r>
    <s v="1566"/>
    <m/>
    <x v="1"/>
    <s v="OUB-W0012312-143"/>
    <s v="EJ-Malang-01"/>
    <s v="Oka-0813-2707-1646"/>
    <d v="2023-12-07T00:00:00"/>
    <d v="1899-12-30T21:30:00"/>
    <s v="EJ-MALANG-01"/>
    <x v="0"/>
    <x v="27"/>
    <s v="ZTE1002"/>
    <s v="Pcs"/>
    <n v="1"/>
    <s v="CLR51-99-014"/>
    <x v="29"/>
    <m/>
    <m/>
    <m/>
    <s v="Fatur"/>
    <n v="0"/>
    <s v="1812010507910004"/>
    <s v="L 9221 K"/>
    <m/>
    <m/>
    <s v="Pandan Landung RW 04 Wagir"/>
    <e v="#N/A"/>
    <e v="#N/A"/>
    <s v="OUTBOUND_"/>
  </r>
  <r>
    <s v="1567"/>
    <m/>
    <x v="0"/>
    <s v="INB-W0012312-144"/>
    <s v="EJ-Malang-01"/>
    <s v="Oka-0813-2707-1646"/>
    <d v="2023-12-08T00:00:00"/>
    <d v="1900-01-14T07:00:00"/>
    <s v="FIELD TEAM"/>
    <x v="0"/>
    <x v="27"/>
    <s v="ZTE1002"/>
    <s v="Pcs"/>
    <n v="1"/>
    <s v="CLR51-99-014"/>
    <x v="29"/>
    <s v="DOEID23091555"/>
    <s v="DNWID0362023091501"/>
    <m/>
    <s v="Ahmad Subari"/>
    <m/>
    <m/>
    <m/>
    <m/>
    <m/>
    <s v="Pandan Landung RW 04 Wagir"/>
    <d v="2023-09-16T00:00:00"/>
    <b v="0"/>
    <s v="OUTBOUND_"/>
  </r>
  <r>
    <s v="1568"/>
    <m/>
    <x v="1"/>
    <s v="OUB-W0012312-146"/>
    <s v="EJ-Malang-01"/>
    <s v="Oka-0813-2707-1646"/>
    <d v="2023-12-11T00:00:00"/>
    <d v="1899-12-30T11:30:00"/>
    <s v="EJ-MALANG-01"/>
    <x v="0"/>
    <x v="27"/>
    <s v="ZTE1002"/>
    <s v="Pcs"/>
    <n v="2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1569"/>
    <m/>
    <x v="1"/>
    <s v="OUB-W0012312-147"/>
    <s v="EJ-Malang-01"/>
    <s v="Oka-0813-2707-1646"/>
    <d v="2023-12-15T00:00:00"/>
    <d v="1899-12-30T10:35:00"/>
    <s v="EJ-MALANG-01"/>
    <x v="0"/>
    <x v="27"/>
    <s v="ZTE1002"/>
    <s v="Pcs"/>
    <n v="1"/>
    <s v="CLR51-99-014"/>
    <x v="29"/>
    <m/>
    <m/>
    <m/>
    <s v="Heri Susanto"/>
    <n v="0"/>
    <s v="3506220807870002"/>
    <s v="S 9794 JC"/>
    <m/>
    <m/>
    <s v="Pandan Landung RW 04 Wagir"/>
    <e v="#N/A"/>
    <e v="#N/A"/>
    <s v="OUTBOUND_"/>
  </r>
  <r>
    <s v="1570"/>
    <m/>
    <x v="1"/>
    <s v="OUB-W0012312-147"/>
    <s v="EJ-Malang-01"/>
    <s v="Oka-0813-2707-1646"/>
    <d v="2023-12-15T00:00:00"/>
    <d v="1899-12-30T10:35:00"/>
    <s v="EJ-MALANG-01"/>
    <x v="0"/>
    <x v="27"/>
    <s v="ZTE1002"/>
    <s v="Pcs"/>
    <n v="1"/>
    <s v="CLR51-99-019"/>
    <x v="28"/>
    <m/>
    <m/>
    <m/>
    <s v="Heri Susanto"/>
    <n v="0"/>
    <s v="3506220807870002"/>
    <s v="S 9794 JC"/>
    <m/>
    <m/>
    <s v="Sidorahayu RW 02 Wagir"/>
    <e v="#N/A"/>
    <e v="#N/A"/>
    <s v="OUTBOUND_"/>
  </r>
  <r>
    <s v="1571"/>
    <m/>
    <x v="1"/>
    <s v="OUB-W0012312-151"/>
    <s v="EJ-Malang-01"/>
    <s v="Oka-0813-2707-1646"/>
    <d v="2023-12-22T00:00:00"/>
    <d v="1899-12-30T13:27:00"/>
    <s v="EJ-MALANG-01"/>
    <x v="0"/>
    <x v="27"/>
    <s v="ZTE1002"/>
    <s v="Pcs"/>
    <n v="5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1572"/>
    <m/>
    <x v="0"/>
    <s v="INB-W0012312-161"/>
    <s v="EJ-Malang-01"/>
    <s v="Oka-0813-2707-1646"/>
    <d v="2023-12-27T00:00:00"/>
    <d v="1900-01-14T07:00:00"/>
    <s v="FIELD TEAM"/>
    <x v="0"/>
    <x v="27"/>
    <s v="ZTE1002"/>
    <s v="Pcs"/>
    <n v="27"/>
    <s v="CLR51-99-014"/>
    <x v="29"/>
    <s v="DOEID23091555"/>
    <s v="DNWID0362023091501"/>
    <m/>
    <m/>
    <m/>
    <m/>
    <m/>
    <s v="Diambil Bayu"/>
    <m/>
    <s v="Pandan Landung RW 04 Wagir"/>
    <d v="2023-09-16T00:00:00"/>
    <b v="0"/>
    <s v="OUTBOUND_"/>
  </r>
  <r>
    <s v="1573"/>
    <m/>
    <x v="1"/>
    <s v="OUB-W0012401-162"/>
    <s v="EJ-Malang-01"/>
    <s v="Oka-0813-2707-1646"/>
    <d v="2024-01-03T00:00:00"/>
    <d v="1899-12-30T13:40:00"/>
    <s v="EJ-MALANG-01"/>
    <x v="0"/>
    <x v="27"/>
    <s v="ZTE1002"/>
    <s v="Pcs"/>
    <n v="3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1574"/>
    <m/>
    <x v="1"/>
    <s v="OUB-W0012401-171"/>
    <s v="EJ-Malang-01"/>
    <s v="Oka-0813-2707-1646"/>
    <d v="2024-01-15T00:00:00"/>
    <d v="1899-12-30T09:00:00"/>
    <s v="EJ-MALANG-01"/>
    <x v="0"/>
    <x v="27"/>
    <s v="ZTE1002"/>
    <s v="Pcs"/>
    <n v="1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575"/>
    <m/>
    <x v="0"/>
    <s v="INB-W0012401-176"/>
    <s v="EJ-Malang-01"/>
    <s v="Oka-0813-2707-1646"/>
    <d v="2024-01-16T00:00:00"/>
    <d v="1900-01-14T07:00:00"/>
    <s v="ZTE Warehouse"/>
    <x v="0"/>
    <x v="27"/>
    <s v="ZTE1002"/>
    <s v="Pcs"/>
    <n v="17"/>
    <s v="CLR51-99-066"/>
    <x v="35"/>
    <s v="DOEID24011541"/>
    <s v="DNWID0362024011513"/>
    <m/>
    <m/>
    <m/>
    <m/>
    <m/>
    <m/>
    <m/>
    <s v="TAMANHARJO RW 04 SINGOSARI"/>
    <d v="2024-01-16T00:00:00"/>
    <b v="1"/>
    <s v="OUTBOUND_"/>
  </r>
  <r>
    <s v="1576"/>
    <m/>
    <x v="0"/>
    <s v="INB-W0012401-176"/>
    <s v="EJ-Malang-01"/>
    <s v="Oka-0813-2707-1646"/>
    <d v="2024-01-16T00:00:00"/>
    <d v="1900-01-14T07:00:00"/>
    <s v="ZTE Warehouse"/>
    <x v="0"/>
    <x v="27"/>
    <s v="ZTE1002"/>
    <s v="Pcs"/>
    <n v="21"/>
    <s v="CLR29-99-153"/>
    <x v="34"/>
    <s v="DOEID24011539"/>
    <s v="DNWID0362024011512"/>
    <m/>
    <m/>
    <m/>
    <m/>
    <m/>
    <m/>
    <m/>
    <s v="Perumahan Pondok Mutiara Malang"/>
    <d v="2024-01-16T00:00:00"/>
    <b v="1"/>
    <s v="OUTBOUND_"/>
  </r>
  <r>
    <s v="1577"/>
    <m/>
    <x v="1"/>
    <s v="OUB-W0012401-174"/>
    <s v="EJ-Malang-01"/>
    <s v="Oka-0813-2707-1646"/>
    <d v="2024-01-16T00:00:00"/>
    <d v="1899-12-30T09:00:00"/>
    <s v="EJ-MALANG-01"/>
    <x v="0"/>
    <x v="27"/>
    <s v="ZTE1002"/>
    <s v="Pcs"/>
    <n v="2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578"/>
    <m/>
    <x v="1"/>
    <s v="OUB-W0012401-173"/>
    <s v="EJ-Malang-01"/>
    <s v="Oka-0813-2707-1646"/>
    <d v="2024-01-16T00:00:00"/>
    <d v="1899-12-30T08:27:00"/>
    <s v="EJ-MALANG-01"/>
    <x v="0"/>
    <x v="27"/>
    <s v="ZTE1002"/>
    <s v="Pcs"/>
    <n v="6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1579"/>
    <m/>
    <x v="1"/>
    <s v="OUB-W0012401-173"/>
    <s v="EJ-Malang-01"/>
    <s v="Oka-0813-2707-1646"/>
    <d v="2024-01-16T00:00:00"/>
    <d v="1899-12-30T08:27:00"/>
    <s v="EJ-MALANG-01"/>
    <x v="0"/>
    <x v="27"/>
    <s v="ZTE1002"/>
    <s v="Pcs"/>
    <n v="9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1580"/>
    <m/>
    <x v="0"/>
    <s v="INB-W0012401-179"/>
    <s v="EJ-Malang-01"/>
    <s v="Oka-0813-2707-1646"/>
    <d v="2024-01-17T00:00:00"/>
    <d v="1900-01-14T07:00:00"/>
    <s v="ZTE Warehouse"/>
    <x v="0"/>
    <x v="27"/>
    <s v="ZTE1002"/>
    <s v="Pcs"/>
    <n v="2"/>
    <s v="CLR51-01-005"/>
    <x v="37"/>
    <s v="DOEID231223A5"/>
    <s v="DNWID0362023122307"/>
    <m/>
    <m/>
    <m/>
    <m/>
    <m/>
    <m/>
    <m/>
    <s v="Baturetno RW 02 Singosari "/>
    <d v="2023-12-27T00:00:00"/>
    <b v="0"/>
    <s v="OUTBOUND_"/>
  </r>
  <r>
    <s v="1581"/>
    <m/>
    <x v="1"/>
    <s v="OUB-W0012401-180"/>
    <s v="EJ-Malang-01"/>
    <s v="Oka-0813-2707-1646"/>
    <d v="2024-01-18T00:00:00"/>
    <d v="1899-12-30T11:25:00"/>
    <s v="EJ-MALANG-01"/>
    <x v="0"/>
    <x v="27"/>
    <s v="ZTE1002"/>
    <s v="Pcs"/>
    <n v="6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582"/>
    <m/>
    <x v="1"/>
    <s v="OUB-W0012401-181"/>
    <s v="EJ-Malang-01"/>
    <s v="Oka-0813-2707-1646"/>
    <d v="2024-01-18T00:00:00"/>
    <d v="1899-12-30T16:19:00"/>
    <s v="EJ-MALANG-01"/>
    <x v="0"/>
    <x v="27"/>
    <s v="ZTE1002"/>
    <s v="Pcs"/>
    <n v="9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583"/>
    <m/>
    <x v="1"/>
    <s v="OUB-W0012401-190"/>
    <s v="EJ-Malang-01"/>
    <s v="Oka-0813-2707-1646"/>
    <d v="2024-01-21T00:00:00"/>
    <d v="1899-12-30T08:34:00"/>
    <s v="EJ-MALANG-01"/>
    <x v="0"/>
    <x v="27"/>
    <s v="ZTE1002"/>
    <s v="Pcs"/>
    <n v="3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584"/>
    <m/>
    <x v="0"/>
    <s v="INB-W0012401-196"/>
    <s v="EJ-Malang-01"/>
    <s v="Oka-0813-2707-1646"/>
    <d v="2024-01-22T00:00:00"/>
    <d v="1900-01-14T07:00:00"/>
    <s v="ZTE Warehouse"/>
    <x v="0"/>
    <x v="27"/>
    <s v="ZTE1002"/>
    <s v="Pcs"/>
    <n v="1"/>
    <s v="CLR51-01-005"/>
    <x v="37"/>
    <s v="DOEID231223A5"/>
    <s v="DNWID0362023122307"/>
    <m/>
    <m/>
    <m/>
    <m/>
    <m/>
    <m/>
    <m/>
    <s v="Baturetno RW 02 Singosari "/>
    <d v="2023-12-27T00:00:00"/>
    <b v="0"/>
    <s v="OUTBOUND_"/>
  </r>
  <r>
    <s v="1585"/>
    <m/>
    <x v="1"/>
    <s v="OUB-W0012401-211"/>
    <s v="EJ-Malang-01"/>
    <s v="Oka-0813-2707-1646"/>
    <d v="2024-01-31T00:00:00"/>
    <d v="1899-12-30T17:17:00"/>
    <s v="EJ-MALANG-01"/>
    <x v="0"/>
    <x v="27"/>
    <s v="ZTE1002"/>
    <s v="Pcs"/>
    <n v="1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1586"/>
    <m/>
    <x v="5"/>
    <s v="BOO-W0012402-212"/>
    <s v="EJ-Malang-01"/>
    <s v="Oka-0813-2707-1646"/>
    <d v="2024-02-01T00:00:00"/>
    <d v="1899-12-30T08:30:00"/>
    <s v="Other Subcon"/>
    <x v="0"/>
    <x v="27"/>
    <s v="ZTE1002"/>
    <s v="Pcs"/>
    <n v="3"/>
    <s v="BR004"/>
    <x v="31"/>
    <m/>
    <m/>
    <m/>
    <s v="Hendra"/>
    <n v="0"/>
    <n v="0"/>
    <n v="0"/>
    <s v="YPTT"/>
    <m/>
    <s v="YPTT"/>
    <e v="#N/A"/>
    <e v="#N/A"/>
    <s v="BORROW OUT_"/>
  </r>
  <r>
    <s v="1587"/>
    <m/>
    <x v="0"/>
    <s v="INB-W0012402-226"/>
    <s v="EJ-Malang-01"/>
    <s v="Oka-0813-2707-1646"/>
    <d v="2024-02-15T00:00:00"/>
    <d v="1900-01-14T07:00:00"/>
    <s v="ZTE Warehouse"/>
    <x v="0"/>
    <x v="27"/>
    <s v="ZTE1002"/>
    <s v="Pcs"/>
    <n v="7"/>
    <s v="CLR51-99-067"/>
    <x v="0"/>
    <s v="DOEID24021518"/>
    <s v="DNWID0362024021507"/>
    <m/>
    <m/>
    <m/>
    <m/>
    <m/>
    <m/>
    <m/>
    <s v="Bandulan RW 08 Sukun"/>
    <d v="2024-02-15T00:00:00"/>
    <b v="1"/>
    <s v="OUTBOUND_"/>
  </r>
  <r>
    <s v="1588"/>
    <m/>
    <x v="0"/>
    <s v="INB-W0012402-226"/>
    <s v="EJ-Malang-01"/>
    <s v="Oka-0813-2707-1646"/>
    <d v="2024-02-15T00:00:00"/>
    <d v="1900-01-14T07:00:00"/>
    <s v="ZTE Warehouse"/>
    <x v="0"/>
    <x v="27"/>
    <s v="ZTE1002"/>
    <s v="Pcs"/>
    <n v="15"/>
    <s v="CLR51-99-078"/>
    <x v="1"/>
    <s v="DOEID24021520"/>
    <s v="DNWID0362024021508"/>
    <m/>
    <m/>
    <m/>
    <m/>
    <m/>
    <m/>
    <m/>
    <s v="Bumiayu RW 03 Kedungkandang"/>
    <d v="2024-02-15T00:00:00"/>
    <b v="1"/>
    <s v="OUTBOUND_"/>
  </r>
  <r>
    <s v="1589"/>
    <m/>
    <x v="1"/>
    <s v="OUB-W0012402-225"/>
    <s v="EJ-Malang-01"/>
    <s v="Oka-0813-2707-1646"/>
    <d v="2024-02-15T00:00:00"/>
    <d v="1899-12-30T11:04:00"/>
    <s v="EJ-MALANG-01"/>
    <x v="0"/>
    <x v="27"/>
    <s v="ZTE1002"/>
    <s v="Pcs"/>
    <n v="7"/>
    <s v="CLR51-99-067"/>
    <x v="0"/>
    <m/>
    <m/>
    <m/>
    <s v="Riki Romansyah"/>
    <s v="Febby Supplier"/>
    <s v="3507050501950006"/>
    <s v="N 8420 EL"/>
    <m/>
    <m/>
    <s v="Bandulan RW 08 Sukun"/>
    <e v="#N/A"/>
    <e v="#N/A"/>
    <s v="OUTBOUND_"/>
  </r>
  <r>
    <s v="1590"/>
    <m/>
    <x v="0"/>
    <s v="INB-W0012402-227"/>
    <s v="EJ-Malang-01"/>
    <s v="Oka-0813-2707-1646"/>
    <d v="2024-02-16T00:00:00"/>
    <d v="1900-01-14T07:00:00"/>
    <s v="FIELD TEAM"/>
    <x v="0"/>
    <x v="27"/>
    <s v="ZTE1002"/>
    <s v="Pcs"/>
    <n v="1"/>
    <s v="CLR51-99-067"/>
    <x v="0"/>
    <s v="RETURN"/>
    <n v="0"/>
    <m/>
    <m/>
    <m/>
    <m/>
    <m/>
    <m/>
    <m/>
    <s v="Bandulan RW 08 Sukun"/>
    <e v="#N/A"/>
    <e v="#N/A"/>
    <s v="OUTBOUND_"/>
  </r>
  <r>
    <s v="1591"/>
    <m/>
    <x v="1"/>
    <s v="OUB-W0012402-235"/>
    <s v="EJ-Malang-01"/>
    <s v="Oka-0813-2707-1646"/>
    <d v="2024-02-20T00:00:00"/>
    <d v="1899-12-30T16:46:00"/>
    <s v="EJ-MALANG-01"/>
    <x v="0"/>
    <x v="27"/>
    <s v="ZTE1002"/>
    <s v="Pcs"/>
    <n v="9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1592"/>
    <m/>
    <x v="1"/>
    <s v="OUB-W0012402-237"/>
    <s v="EJ-Malang-01"/>
    <s v="Oka-0813-2707-1646"/>
    <d v="2024-02-21T00:00:00"/>
    <d v="1899-12-30T16:20:00"/>
    <s v="EJ-MALANG-01"/>
    <x v="0"/>
    <x v="27"/>
    <s v="ZTE1002"/>
    <s v="Pcs"/>
    <n v="7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1593"/>
    <m/>
    <x v="1"/>
    <s v="OUB-W0012402-249"/>
    <s v="EJ-Malang-01"/>
    <s v="Oka-0813-2707-1646"/>
    <d v="2024-02-26T00:00:00"/>
    <d v="1899-12-30T08:37:00"/>
    <s v="EJ-MALANG-01"/>
    <x v="0"/>
    <x v="27"/>
    <s v="ZTE1002"/>
    <s v="Pcs"/>
    <n v="5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1594"/>
    <m/>
    <x v="1"/>
    <s v="OUB-W0012402-256"/>
    <s v="EJ-Malang-01"/>
    <s v="Oka-0813-2707-1646"/>
    <d v="2024-02-28T00:00:00"/>
    <d v="1899-12-30T11:40:00"/>
    <s v="EJ-MALANG-01"/>
    <x v="0"/>
    <x v="27"/>
    <s v="ZTE1002"/>
    <s v="Pcs"/>
    <n v="1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1595"/>
    <m/>
    <x v="0"/>
    <s v="INB-W0012402-259"/>
    <s v="EJ-Malang-01"/>
    <s v="Oka-0813-2707-1646"/>
    <d v="2024-02-29T00:00:00"/>
    <d v="1900-01-14T07:00:00"/>
    <s v="ZTE Warehouse"/>
    <x v="0"/>
    <x v="27"/>
    <s v="ZTE1002"/>
    <s v="Pcs"/>
    <n v="17"/>
    <s v="CLR51-99-079"/>
    <x v="2"/>
    <s v="DOEID240226C8"/>
    <s v="DNWID0362024022659"/>
    <m/>
    <m/>
    <m/>
    <m/>
    <m/>
    <m/>
    <m/>
    <s v="Bumiayu RW 05 Kedungkandang"/>
    <d v="2024-02-29T00:00:00"/>
    <b v="1"/>
    <s v="OUTBOUND_"/>
  </r>
  <r>
    <s v="1596"/>
    <m/>
    <x v="0"/>
    <s v="INB-W0012403-263"/>
    <s v="EJ-Malang-01"/>
    <s v="Oka-0813-2707-1646"/>
    <d v="2024-03-01T00:00:00"/>
    <d v="1900-01-14T07:00:00"/>
    <s v="ZTE Warehouse"/>
    <x v="0"/>
    <x v="27"/>
    <s v="ZTE1002"/>
    <s v="Pcs"/>
    <n v="28"/>
    <m/>
    <x v="3"/>
    <n v="0"/>
    <n v="0"/>
    <m/>
    <m/>
    <m/>
    <m/>
    <m/>
    <m/>
    <m/>
    <n v="0"/>
    <e v="#N/A"/>
    <e v="#N/A"/>
    <s v="OUTBOUND_"/>
  </r>
  <r>
    <s v="1597"/>
    <m/>
    <x v="0"/>
    <s v="INB-W0012403-266"/>
    <s v="EJ-Malang-01"/>
    <s v="Oka-0813-2707-1646"/>
    <d v="2024-03-02T00:00:00"/>
    <d v="1900-01-14T07:00:00"/>
    <s v="ZTE Warehouse"/>
    <x v="0"/>
    <x v="27"/>
    <s v="ZTE1002"/>
    <s v="Pcs"/>
    <n v="1"/>
    <s v="CLR51-99-078"/>
    <x v="1"/>
    <s v="DOEID24021520"/>
    <s v="DNWID0362024021508"/>
    <m/>
    <m/>
    <m/>
    <m/>
    <m/>
    <m/>
    <m/>
    <s v="Bumiayu RW 03 Kedungkandang"/>
    <d v="2024-02-15T00:00:00"/>
    <b v="0"/>
    <s v="OUTBOUND_"/>
  </r>
  <r>
    <s v="1598"/>
    <m/>
    <x v="1"/>
    <s v="OUB-W0012403-267"/>
    <s v="EJ-Malang-01"/>
    <s v="Oka-0813-2707-1646"/>
    <d v="2024-03-04T00:00:00"/>
    <d v="1899-12-30T13:54:00"/>
    <s v="EJ-MALANG-01"/>
    <x v="0"/>
    <x v="27"/>
    <s v="ZTE1002"/>
    <s v="Pcs"/>
    <n v="5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1599"/>
    <m/>
    <x v="1"/>
    <s v="OUB-W0012403-276"/>
    <s v="EJ-Malang-01"/>
    <s v="Oka-0813-2707-1646"/>
    <d v="2024-03-12T00:00:00"/>
    <d v="1899-12-30T10:12:00"/>
    <s v="EJ-MALANG-01"/>
    <x v="0"/>
    <x v="27"/>
    <s v="ZTE1002"/>
    <s v="Pcs"/>
    <n v="8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1600"/>
    <m/>
    <x v="4"/>
    <s v="BOI-W0012403-278"/>
    <s v="EJ-Malang-01"/>
    <s v="Oka-0813-2707-1646"/>
    <d v="2024-03-15T00:00:00"/>
    <d v="1900-01-14T07:00:00"/>
    <s v="Other Subcon"/>
    <x v="0"/>
    <x v="27"/>
    <s v="ZTE1002"/>
    <s v="Pcs"/>
    <n v="3"/>
    <s v="BR004"/>
    <x v="31"/>
    <n v="0"/>
    <m/>
    <m/>
    <m/>
    <m/>
    <m/>
    <m/>
    <s v="dari YPTT"/>
    <m/>
    <s v="YPTT"/>
    <e v="#N/A"/>
    <e v="#N/A"/>
    <s v="OUTBOUND_"/>
  </r>
  <r>
    <s v="1601"/>
    <m/>
    <x v="0"/>
    <s v="INB-W0012403-279"/>
    <s v="EJ-Malang-01"/>
    <s v="Oka-0813-2707-1646"/>
    <d v="2024-03-19T00:00:00"/>
    <d v="1900-01-14T07:00:00"/>
    <s v="ZTE Warehouse"/>
    <x v="0"/>
    <x v="27"/>
    <s v="ZTE1002"/>
    <s v="Pcs"/>
    <n v="7"/>
    <m/>
    <x v="3"/>
    <n v="0"/>
    <n v="0"/>
    <m/>
    <m/>
    <m/>
    <m/>
    <m/>
    <m/>
    <m/>
    <n v="0"/>
    <e v="#N/A"/>
    <e v="#N/A"/>
    <s v="OUTBOUND_"/>
  </r>
  <r>
    <s v="1602"/>
    <m/>
    <x v="1"/>
    <s v="OUB-W0012403-280"/>
    <s v="EJ-Malang-01"/>
    <s v="Oka-0813-2707-1646"/>
    <d v="2024-03-20T00:00:00"/>
    <d v="1899-12-30T10:17:00"/>
    <s v="EJ-MALANG-01"/>
    <x v="0"/>
    <x v="27"/>
    <s v="ZTE1002"/>
    <s v="Pcs"/>
    <n v="4"/>
    <s v="CLR51-99-039"/>
    <x v="7"/>
    <m/>
    <m/>
    <m/>
    <s v="Dimas"/>
    <s v="Febby Supplier"/>
    <s v="3573032509800005"/>
    <s v="N 9454 BA"/>
    <m/>
    <m/>
    <s v="Tunjungtirto RW 01 Singosari"/>
    <e v="#N/A"/>
    <e v="#N/A"/>
    <s v="OUTBOUND_"/>
  </r>
  <r>
    <s v="1603"/>
    <m/>
    <x v="1"/>
    <s v="OUB-W0012403-285"/>
    <s v="EJ-Malang-01"/>
    <s v="Oka-0813-2707-1646"/>
    <d v="2024-03-23T00:00:00"/>
    <d v="1899-12-30T10:17:00"/>
    <s v="EJ-MALANG-01"/>
    <x v="0"/>
    <x v="27"/>
    <s v="ZTE1002"/>
    <s v="Pcs"/>
    <n v="3"/>
    <s v="CLR51-99-039"/>
    <x v="7"/>
    <m/>
    <m/>
    <m/>
    <s v="Dimas"/>
    <s v="Febby Supplier"/>
    <s v="3573032509800005"/>
    <s v="N 9454 BA"/>
    <m/>
    <m/>
    <s v="Tunjungtirto RW 01 Singosari"/>
    <e v="#N/A"/>
    <e v="#N/A"/>
    <s v="OUTBOUND_"/>
  </r>
  <r>
    <s v="1604"/>
    <m/>
    <x v="0"/>
    <s v="INB-W0012403-294"/>
    <s v="EJ-Malang-01"/>
    <s v="Oka-0813-2707-1646"/>
    <d v="2024-03-28T00:00:00"/>
    <d v="1900-01-14T07:00:00"/>
    <s v="ZTE Warehouse"/>
    <x v="0"/>
    <x v="27"/>
    <s v="ZTE1002"/>
    <s v="Pcs"/>
    <n v="4"/>
    <s v="CLR51-99-039"/>
    <x v="7"/>
    <s v="DOEID24031918"/>
    <s v="DNWID0362024031906"/>
    <m/>
    <m/>
    <m/>
    <m/>
    <m/>
    <m/>
    <m/>
    <s v="Tunjungtirto RW 01 Singosari"/>
    <d v="2024-03-19T00:00:00"/>
    <b v="0"/>
    <s v="OUTBOUND_"/>
  </r>
  <r>
    <s v="1605"/>
    <m/>
    <x v="1"/>
    <s v="OUB-W0012404-297"/>
    <s v="EJ-Malang-01"/>
    <s v="Oka-0813-2707-1646"/>
    <d v="2024-04-01T00:00:00"/>
    <d v="1899-12-30T13:19:00"/>
    <s v="EJ-MALANG-01"/>
    <x v="0"/>
    <x v="27"/>
    <s v="ZTE1002"/>
    <s v="Pcs"/>
    <n v="1"/>
    <s v="CLR51-99-040"/>
    <x v="41"/>
    <m/>
    <m/>
    <m/>
    <s v="Dimas"/>
    <s v="Febby Supplier"/>
    <s v="3573032509800005"/>
    <s v="N 9454 BA"/>
    <m/>
    <m/>
    <s v="Tunjungtirto RW 08 Singosari"/>
    <e v="#N/A"/>
    <e v="#N/A"/>
    <s v="OUTBOUND_"/>
  </r>
  <r>
    <s v="1606"/>
    <m/>
    <x v="1"/>
    <s v="OUB-W0012404-308"/>
    <s v="EJ-Malang-01"/>
    <s v="Oka-0813-2707-1646"/>
    <d v="2024-04-19T00:00:00"/>
    <d v="1899-12-30T12:35:00"/>
    <s v="EJ-MALANG-01"/>
    <x v="0"/>
    <x v="27"/>
    <s v="ZTE1002"/>
    <s v="Pcs"/>
    <n v="1"/>
    <s v="CLR51-99-012"/>
    <x v="45"/>
    <m/>
    <m/>
    <m/>
    <s v="Riki Romansyah"/>
    <s v="Febby Supplier"/>
    <s v="3507050501950006"/>
    <s v="N 8420 EL"/>
    <m/>
    <m/>
    <s v="Pandanlandung RW 01 Wagir"/>
    <e v="#N/A"/>
    <e v="#N/A"/>
    <s v="OUTBOUND_"/>
  </r>
  <r>
    <s v="1607"/>
    <m/>
    <x v="1"/>
    <s v="OUB-W0012404-313"/>
    <s v="EJ-Malang-01"/>
    <s v="Oka-0813-2707-1646"/>
    <d v="2024-04-22T00:00:00"/>
    <d v="1899-12-30T18:35:00"/>
    <s v="EJ-MALANG-01"/>
    <x v="0"/>
    <x v="27"/>
    <s v="ZTE1002"/>
    <s v="Pcs"/>
    <n v="8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1608"/>
    <m/>
    <x v="1"/>
    <s v="OUB-W0012404-315"/>
    <s v="EJ-Malang-01"/>
    <s v="Oka-0813-2707-1646"/>
    <d v="2024-04-23T00:00:00"/>
    <d v="1899-12-30T09:01:00"/>
    <s v="EJ-MALANG-01"/>
    <x v="0"/>
    <x v="27"/>
    <s v="ZTE1002"/>
    <s v="Pcs"/>
    <n v="3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1609"/>
    <m/>
    <x v="1"/>
    <s v="OUB-W0012404-316"/>
    <s v="EJ-Malang-01"/>
    <s v="Oka-0813-2707-1646"/>
    <d v="2024-04-23T00:00:00"/>
    <d v="1899-12-30T17:12:00"/>
    <s v="EJ-MALANG-01"/>
    <x v="0"/>
    <x v="27"/>
    <s v="ZTE1002"/>
    <s v="Pcs"/>
    <n v="5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1610"/>
    <m/>
    <x v="1"/>
    <s v="OUB-W0012405-328"/>
    <s v="EJ-Malang-01"/>
    <s v="Oka-0813-2707-1646"/>
    <d v="2024-05-04T00:00:00"/>
    <d v="1899-12-30T10:15:00"/>
    <s v="EJ-MALANG-01"/>
    <x v="0"/>
    <x v="27"/>
    <s v="ZTE1002"/>
    <s v="Pcs"/>
    <n v="1"/>
    <s v="CLR51-99-039"/>
    <x v="7"/>
    <m/>
    <m/>
    <m/>
    <s v="Dimas"/>
    <s v="Febby Supplier"/>
    <s v="3573032509800005"/>
    <s v="N8283EK"/>
    <m/>
    <m/>
    <s v="Tunjungtirto RW 01 Singosari"/>
    <e v="#N/A"/>
    <e v="#N/A"/>
    <s v="OUTBOUND_"/>
  </r>
  <r>
    <s v="1611"/>
    <m/>
    <x v="0"/>
    <s v="INB-W0012405-344"/>
    <s v="EJ-Malang-01"/>
    <s v="Oka-0813-2707-1646"/>
    <d v="2024-05-21T00:00:00"/>
    <d v="1900-01-14T07:00:00"/>
    <s v="ZTE Warehouse"/>
    <x v="0"/>
    <x v="27"/>
    <s v="ZTE1002"/>
    <s v="Pcs"/>
    <n v="7"/>
    <m/>
    <x v="3"/>
    <n v="0"/>
    <n v="0"/>
    <m/>
    <m/>
    <m/>
    <m/>
    <m/>
    <m/>
    <m/>
    <n v="0"/>
    <e v="#N/A"/>
    <e v="#N/A"/>
    <s v="OUTBOUND_"/>
  </r>
  <r>
    <s v="1612"/>
    <m/>
    <x v="1"/>
    <s v="OUB-W0012405-343"/>
    <s v="EJ-Malang-01"/>
    <s v="Oka-0813-2707-1646"/>
    <d v="2024-05-21T00:00:00"/>
    <d v="1899-12-30T09:03:00"/>
    <s v="EJ-MALANG-01"/>
    <x v="0"/>
    <x v="27"/>
    <s v="ZTE1002"/>
    <s v="Pcs"/>
    <n v="5"/>
    <s v="CLR51-99-087"/>
    <x v="11"/>
    <m/>
    <m/>
    <m/>
    <s v="Riki Romansyah"/>
    <n v="0"/>
    <s v="3507050501950006"/>
    <s v="N 8420 EL"/>
    <m/>
    <m/>
    <s v="Lawang RW 06 Malang"/>
    <e v="#N/A"/>
    <e v="#N/A"/>
    <s v="OUTBOUND_"/>
  </r>
  <r>
    <s v="1613"/>
    <m/>
    <x v="1"/>
    <s v="OUB-W0012405-352"/>
    <s v="EJ-Malang-01"/>
    <s v="Oka-0813-2707-1646"/>
    <d v="2024-05-25T00:00:00"/>
    <d v="1899-12-30T17:05:00"/>
    <s v="EJ-MALANG-01"/>
    <x v="0"/>
    <x v="27"/>
    <s v="ZTE1002"/>
    <s v="Pcs"/>
    <n v="24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1614"/>
    <m/>
    <x v="1"/>
    <s v="OUB-W0012406-361"/>
    <s v="EJ-Malang-01"/>
    <s v="Oka-0813-2707-1646"/>
    <d v="2024-06-03T00:00:00"/>
    <d v="1899-12-30T10:08:00"/>
    <s v="EJ-MALANG-01"/>
    <x v="0"/>
    <x v="27"/>
    <s v="ZTE1002"/>
    <s v="Pcs"/>
    <n v="1"/>
    <s v="CLR51-99-095"/>
    <x v="16"/>
    <m/>
    <m/>
    <m/>
    <s v="Riki Romansyah"/>
    <s v="Febby Supplier"/>
    <s v="3507050501950006"/>
    <s v="N 8420 EL"/>
    <m/>
    <m/>
    <s v="Candirenggo RW 10 Singosari"/>
    <e v="#N/A"/>
    <e v="#N/A"/>
    <s v="OUTBOUND_"/>
  </r>
  <r>
    <s v="1615"/>
    <m/>
    <x v="1"/>
    <s v="OUB-W0012406-375"/>
    <s v="EJ-Malang-01"/>
    <s v="Oka-0813-2707-1646"/>
    <d v="2024-06-11T00:00:00"/>
    <d v="1899-12-30T18:40:00"/>
    <s v="EJ-MALANG-01"/>
    <x v="0"/>
    <x v="27"/>
    <s v="ZTE1002"/>
    <s v="Pcs"/>
    <n v="1"/>
    <s v="CLR51-02-015"/>
    <x v="15"/>
    <m/>
    <m/>
    <m/>
    <s v="Riki Romansyah"/>
    <s v="Febby Supplier"/>
    <s v="3507050501950006"/>
    <s v="N 8420 EL"/>
    <m/>
    <m/>
    <s v="Dusun Sumber Bendo Kucur"/>
    <e v="#N/A"/>
    <e v="#N/A"/>
    <s v="OUTBOUND_"/>
  </r>
  <r>
    <s v="1616"/>
    <m/>
    <x v="1"/>
    <s v="OUB-W0012406-383"/>
    <s v="EJ-Malang-01"/>
    <s v="Oka-0813-2707-1646"/>
    <d v="2024-06-20T00:00:00"/>
    <d v="1899-12-30T10:40:00"/>
    <s v="EJ-MALANG-01"/>
    <x v="0"/>
    <x v="27"/>
    <s v="ZTE1002"/>
    <s v="Pcs"/>
    <n v="4"/>
    <s v="CLR51-02-020"/>
    <x v="53"/>
    <m/>
    <m/>
    <m/>
    <s v="Riki Romansyah"/>
    <n v="0"/>
    <s v="3507050501950006"/>
    <s v="N 8420 EL"/>
    <m/>
    <m/>
    <s v="Lowokwaru RW 04"/>
    <e v="#N/A"/>
    <e v="#N/A"/>
    <s v="OUTBOUND_"/>
  </r>
  <r>
    <s v="1617"/>
    <m/>
    <x v="1"/>
    <s v="OUB-W0012406-385"/>
    <s v="EJ-Malang-01"/>
    <s v="Oka-0813-2707-1646"/>
    <d v="2024-06-21T00:00:00"/>
    <d v="1899-12-30T12:17:00"/>
    <s v="EJ-MALANG-01"/>
    <x v="0"/>
    <x v="27"/>
    <s v="ZTE1002"/>
    <s v="Pcs"/>
    <n v="4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1618"/>
    <m/>
    <x v="1"/>
    <s v="OUB-W0012406-386"/>
    <s v="EJ-Malang-01"/>
    <s v="Oka-0813-2707-1646"/>
    <d v="2024-06-22T00:00:00"/>
    <d v="1899-12-30T15:01:00"/>
    <s v="EJ-MALANG-01"/>
    <x v="0"/>
    <x v="27"/>
    <s v="ZTE1002"/>
    <s v="Pcs"/>
    <n v="3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1619"/>
    <m/>
    <x v="0"/>
    <s v="INB-W0012406-387"/>
    <s v="EJ-Malang-01"/>
    <s v="Oka-0813-2707-1646"/>
    <d v="2024-06-24T00:00:00"/>
    <d v="1900-01-14T07:00:00"/>
    <s v="ZTE Warehouse"/>
    <x v="0"/>
    <x v="27"/>
    <s v="ZTE1002"/>
    <s v="Pcs"/>
    <n v="13"/>
    <m/>
    <x v="3"/>
    <n v="0"/>
    <n v="0"/>
    <m/>
    <m/>
    <m/>
    <m/>
    <m/>
    <m/>
    <m/>
    <n v="0"/>
    <e v="#N/A"/>
    <e v="#N/A"/>
    <s v="OUTBOUND_"/>
  </r>
  <r>
    <s v="1620"/>
    <m/>
    <x v="1"/>
    <s v="OUB-W0012407-394"/>
    <s v="EJ-Malang-01"/>
    <s v="Oka-0813-2707-1646"/>
    <d v="2024-07-03T00:00:00"/>
    <d v="1899-12-30T14:30:00"/>
    <s v="EJ-MALANG-01"/>
    <x v="0"/>
    <x v="27"/>
    <s v="ZTE1002"/>
    <s v="Pcs"/>
    <n v="9"/>
    <s v="CLR51-99-063"/>
    <x v="55"/>
    <m/>
    <m/>
    <m/>
    <s v="Riki Romansyah"/>
    <s v="Febby Supplier"/>
    <s v="3507050501950006"/>
    <s v="N 8420 EL"/>
    <m/>
    <m/>
    <s v="Perumahan Kepanjen Permai II"/>
    <e v="#N/A"/>
    <e v="#N/A"/>
    <s v="OUTBOUND_"/>
  </r>
  <r>
    <s v="1621"/>
    <m/>
    <x v="1"/>
    <s v="OUB-W0012407-404"/>
    <s v="EJ-Malang-01"/>
    <s v="Oka-0813-2707-1646"/>
    <d v="2024-07-12T00:00:00"/>
    <d v="1899-12-30T09:36:00"/>
    <s v="EJ-MALANG-01"/>
    <x v="0"/>
    <x v="27"/>
    <s v="ZTE1002"/>
    <s v="Pcs"/>
    <n v="3"/>
    <s v="CLR51-02-016"/>
    <x v="141"/>
    <m/>
    <m/>
    <m/>
    <s v="Riki Romansyah"/>
    <s v="Febby Supplier"/>
    <s v="3507050501950006"/>
    <s v="N 8420 EL"/>
    <m/>
    <m/>
    <s v="Ngenep RW 06 Karang Ploso"/>
    <e v="#N/A"/>
    <e v="#N/A"/>
    <s v="OUTBOUND_"/>
  </r>
  <r>
    <s v="1622"/>
    <m/>
    <x v="1"/>
    <s v="OUB-W0012407-407"/>
    <s v="EJ-Malang-01"/>
    <s v="Oka-0813-2707-1646"/>
    <d v="2024-07-19T00:00:00"/>
    <d v="1899-12-30T09:40:00"/>
    <s v="EJ-MALANG-01"/>
    <x v="0"/>
    <x v="27"/>
    <s v="ZTE1002"/>
    <s v="Pcs"/>
    <n v="2"/>
    <s v="CLR51-02-016"/>
    <x v="141"/>
    <m/>
    <m/>
    <m/>
    <s v="Riki Romansyah"/>
    <s v="Febby Supplier"/>
    <s v="3507050501950006"/>
    <s v="N 8420 EL"/>
    <m/>
    <m/>
    <s v="Ngenep RW 06 Karang Ploso"/>
    <e v="#N/A"/>
    <e v="#N/A"/>
    <s v="OUTBOUND_"/>
  </r>
  <r>
    <s v="1623"/>
    <m/>
    <x v="1"/>
    <s v="OUB-W0012408-425"/>
    <s v="EJ-Malang-01"/>
    <s v="Oka-0813-2707-1646"/>
    <d v="2024-08-02T00:00:00"/>
    <d v="1899-12-30T13:31:00"/>
    <s v="EJ-MALANG-01"/>
    <x v="0"/>
    <x v="27"/>
    <s v="ZTE1002"/>
    <s v="Pcs"/>
    <n v="9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624"/>
    <m/>
    <x v="1"/>
    <s v="OUB-W0012408-427"/>
    <s v="EJ-Malang-01"/>
    <s v="Oka-0813-2707-1646"/>
    <d v="2024-08-03T00:00:00"/>
    <d v="1899-12-30T09:36:00"/>
    <s v="EJ-MALANG-01"/>
    <x v="0"/>
    <x v="27"/>
    <s v="ZTE1002"/>
    <s v="Pcs"/>
    <n v="3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625"/>
    <m/>
    <x v="1"/>
    <s v="OUB-W0012408-435"/>
    <s v="EJ-Malang-01"/>
    <s v="Oka-0813-2707-1646"/>
    <d v="2024-08-07T00:00:00"/>
    <d v="1899-12-30T19:39:00"/>
    <s v="EJ-MALANG-01"/>
    <x v="0"/>
    <x v="27"/>
    <s v="ZTE1002"/>
    <s v="Pcs"/>
    <n v="3"/>
    <s v="MF51-03"/>
    <x v="57"/>
    <m/>
    <m/>
    <m/>
    <s v="Riki Romansyah"/>
    <s v="Febby Supplier"/>
    <s v="3507050501950006"/>
    <s v="N 8420 EL"/>
    <m/>
    <m/>
    <s v="HUBFEEDER KEPANJEN TO JATIKERTO"/>
    <e v="#N/A"/>
    <e v="#N/A"/>
    <s v="OUTBOUND_"/>
  </r>
  <r>
    <s v="1626"/>
    <m/>
    <x v="1"/>
    <s v="OUB-W0012408-439"/>
    <s v="EJ-Malang-01"/>
    <s v="Oka-0813-2707-1646"/>
    <d v="2024-08-09T00:00:00"/>
    <d v="1899-12-30T10:07:00"/>
    <s v="EJ-MALANG-01"/>
    <x v="0"/>
    <x v="27"/>
    <s v="ZTE1002"/>
    <s v="Pcs"/>
    <n v="9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1627"/>
    <m/>
    <x v="1"/>
    <s v="OUB-W0012408-447"/>
    <s v="EJ-Malang-01"/>
    <s v="Oka-0813-2707-1646"/>
    <d v="2024-08-20T00:00:00"/>
    <d v="1899-12-30T13:20:00"/>
    <s v="EJ-MALANG-01"/>
    <x v="0"/>
    <x v="27"/>
    <s v="ZTE1002"/>
    <s v="Pcs"/>
    <n v="3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1628"/>
    <m/>
    <x v="0"/>
    <s v="INB-W0012408-453"/>
    <s v="EJ-Malang-01"/>
    <s v="Oka-0813-2707-1646"/>
    <d v="2024-08-22T00:00:00"/>
    <d v="1900-01-14T07:00:00"/>
    <s v="ZTE Warehouse"/>
    <x v="0"/>
    <x v="27"/>
    <s v="ZTE1002"/>
    <s v="Pcs"/>
    <n v="19"/>
    <m/>
    <x v="3"/>
    <n v="0"/>
    <n v="0"/>
    <m/>
    <m/>
    <m/>
    <m/>
    <m/>
    <m/>
    <m/>
    <n v="0"/>
    <e v="#N/A"/>
    <e v="#N/A"/>
    <s v="OUTBOUND_"/>
  </r>
  <r>
    <s v="1629"/>
    <m/>
    <x v="1"/>
    <s v="OUB-W0012408-455"/>
    <s v="EJ-Malang-01"/>
    <s v="Oka-0813-2707-1646"/>
    <d v="2024-08-23T00:00:00"/>
    <d v="1899-12-30T11:13:00"/>
    <s v="EJ-MALANG-01"/>
    <x v="0"/>
    <x v="27"/>
    <s v="ZTE1002"/>
    <s v="Pcs"/>
    <n v="1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1630"/>
    <m/>
    <x v="0"/>
    <s v="INB-W0012408-467"/>
    <s v="EJ-Malang-01"/>
    <s v="Oka-0813-2707-1646"/>
    <d v="2024-08-28T00:00:00"/>
    <d v="1900-01-14T07:00:00"/>
    <s v="ZTE Warehouse"/>
    <x v="0"/>
    <x v="27"/>
    <s v="ZTE1002"/>
    <s v="Pcs"/>
    <n v="22"/>
    <m/>
    <x v="3"/>
    <n v="0"/>
    <n v="0"/>
    <m/>
    <m/>
    <m/>
    <m/>
    <m/>
    <m/>
    <m/>
    <n v="0"/>
    <e v="#N/A"/>
    <e v="#N/A"/>
    <s v="OUTBOUND_"/>
  </r>
  <r>
    <s v="1631"/>
    <m/>
    <x v="1"/>
    <s v="OUB-W0012408-465"/>
    <s v="EJ-Malang-01"/>
    <s v="Oka-0813-2707-1646"/>
    <d v="2024-08-28T00:00:00"/>
    <d v="1899-12-30T08:27:00"/>
    <s v="EJ-MALANG-01"/>
    <x v="0"/>
    <x v="27"/>
    <s v="ZTE1002"/>
    <s v="Pcs"/>
    <n v="4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1632"/>
    <m/>
    <x v="1"/>
    <s v="OUB-W0012408-469"/>
    <s v="EJ-Malang-01"/>
    <s v="Oka-0813-2707-1646"/>
    <d v="2024-08-29T00:00:00"/>
    <d v="1899-12-30T08:19:00"/>
    <s v="EJ-MALANG-01"/>
    <x v="0"/>
    <x v="27"/>
    <s v="ZTE1002"/>
    <s v="Pcs"/>
    <n v="2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1633"/>
    <m/>
    <x v="1"/>
    <s v="OUB-W0012409-480"/>
    <s v="EJ-Malang-01"/>
    <s v="Oka-0813-2707-1646"/>
    <d v="2024-09-02T00:00:00"/>
    <d v="1899-12-30T07:53:00"/>
    <s v="EJ-MALANG-01"/>
    <x v="0"/>
    <x v="27"/>
    <s v="ZTE1002"/>
    <s v="Pcs"/>
    <n v="5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1634"/>
    <m/>
    <x v="1"/>
    <s v="OUB-W0012409-502"/>
    <s v="EJ-Malang-01"/>
    <s v="Oka-0813-2707-1646"/>
    <d v="2024-09-13T00:00:00"/>
    <d v="1899-12-30T08:21:00"/>
    <s v="EJ-MALANG-01"/>
    <x v="0"/>
    <x v="27"/>
    <s v="ZTE1002"/>
    <s v="Pcs"/>
    <n v="2"/>
    <s v="CLR51-09-008"/>
    <x v="179"/>
    <m/>
    <m/>
    <m/>
    <s v="Riki Romansyah"/>
    <s v="Febby Supplier"/>
    <s v="3507050501950006"/>
    <s v="N 8420 EL"/>
    <m/>
    <m/>
    <s v="Dilem RW 04 Kepanjen"/>
    <e v="#N/A"/>
    <e v="#N/A"/>
    <s v="OUTBOUND_"/>
  </r>
  <r>
    <s v="1635"/>
    <m/>
    <x v="1"/>
    <s v="OUB-W0012409-503"/>
    <s v="EJ-Malang-01"/>
    <s v="Oka-0813-2707-1646"/>
    <d v="2024-09-18T00:00:00"/>
    <d v="1899-12-30T10:21:00"/>
    <s v="EJ-MALANG-01"/>
    <x v="0"/>
    <x v="27"/>
    <s v="ZTE1002"/>
    <s v="Pcs"/>
    <n v="3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1636"/>
    <m/>
    <x v="3"/>
    <s v="TFI-W0012409-504"/>
    <s v="EJ-Malang-01"/>
    <s v="Oka-0813-2707-1646"/>
    <d v="2024-09-19T00:00:00"/>
    <d v="1900-01-14T07:00:00"/>
    <s v="EJ-BLITAR-01"/>
    <x v="0"/>
    <x v="27"/>
    <s v="ZTE1002"/>
    <s v="Pcs"/>
    <n v="1"/>
    <s v="TRF"/>
    <x v="158"/>
    <n v="0"/>
    <n v="0"/>
    <m/>
    <m/>
    <m/>
    <m/>
    <m/>
    <m/>
    <m/>
    <s v="Blitar"/>
    <e v="#N/A"/>
    <e v="#N/A"/>
    <s v="OUTBOUND_"/>
  </r>
  <r>
    <s v="1637"/>
    <m/>
    <x v="0"/>
    <s v="INB-W0012409-507"/>
    <s v="EJ-Malang-01"/>
    <s v="Oka-0813-2707-1646"/>
    <d v="2024-09-20T00:00:00"/>
    <d v="1900-01-14T07:00:00"/>
    <s v="ZTE Warehouse"/>
    <x v="0"/>
    <x v="27"/>
    <s v="ZTE1002"/>
    <s v="Pcs"/>
    <n v="14"/>
    <m/>
    <x v="3"/>
    <n v="0"/>
    <n v="0"/>
    <m/>
    <m/>
    <m/>
    <m/>
    <m/>
    <m/>
    <m/>
    <n v="0"/>
    <e v="#N/A"/>
    <e v="#N/A"/>
    <s v="OUTBOUND_"/>
  </r>
  <r>
    <s v="1638"/>
    <m/>
    <x v="1"/>
    <s v="OUB-W0012409-509"/>
    <s v="EJ-Malang-01"/>
    <s v="Oka-0813-2707-1646"/>
    <d v="2024-09-23T00:00:00"/>
    <d v="1899-12-30T12:45:00"/>
    <s v="EJ-MALANG-01"/>
    <x v="0"/>
    <x v="27"/>
    <s v="ZTE1002"/>
    <s v="Pcs"/>
    <n v="1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1639"/>
    <m/>
    <x v="1"/>
    <s v="OUB-W0012409-514"/>
    <s v="EJ-Malang-01"/>
    <s v="Oka-0813-2707-1646"/>
    <d v="2024-09-26T00:00:00"/>
    <d v="1899-12-30T17:35:00"/>
    <s v="EJ-MALANG-01"/>
    <x v="0"/>
    <x v="27"/>
    <s v="ZTE1002"/>
    <s v="Pcs"/>
    <n v="2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1640"/>
    <m/>
    <x v="1"/>
    <s v="OUB-W0012409-521"/>
    <s v="EJ-Malang-01"/>
    <s v="Oka-0813-2707-1646"/>
    <d v="2024-09-29T00:00:00"/>
    <d v="1899-12-30T17:35:00"/>
    <s v="EJ-MALANG-01"/>
    <x v="0"/>
    <x v="27"/>
    <s v="ZTE1002"/>
    <s v="Pcs"/>
    <n v="1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1641"/>
    <m/>
    <x v="0"/>
    <s v="INB-W0012411-548"/>
    <s v="EJ-Malang-01"/>
    <s v="Oka-0813-2707-1646"/>
    <d v="2024-11-06T00:00:00"/>
    <d v="1900-01-14T07:00:00"/>
    <s v="ZTE Warehouse"/>
    <x v="0"/>
    <x v="27"/>
    <s v="ZTE1002"/>
    <s v="Pcs"/>
    <n v="5"/>
    <s v="CLR51-01-009"/>
    <x v="76"/>
    <s v="DOEID24110550"/>
    <s v="DNWID0342024110505"/>
    <m/>
    <m/>
    <m/>
    <m/>
    <m/>
    <m/>
    <m/>
    <s v="Kalirejo RW 13 Lawang"/>
    <d v="2024-11-06T00:00:00"/>
    <b v="1"/>
    <s v="OUTBOUND_"/>
  </r>
  <r>
    <s v="1642"/>
    <m/>
    <x v="0"/>
    <s v="INB-W0012411-548"/>
    <s v="EJ-Malang-01"/>
    <s v="Oka-0813-2707-1646"/>
    <d v="2024-11-06T00:00:00"/>
    <d v="1900-01-14T07:00:00"/>
    <s v="ZTE Warehouse"/>
    <x v="0"/>
    <x v="27"/>
    <s v="ZTE1002"/>
    <s v="Pcs"/>
    <n v="8"/>
    <s v="MF51-07"/>
    <x v="75"/>
    <s v="DOEID241029AI"/>
    <s v="DNWID0362024102915"/>
    <m/>
    <m/>
    <m/>
    <m/>
    <m/>
    <m/>
    <m/>
    <s v="HUBFEEDER KLAMPOK"/>
    <d v="2024-11-06T00:00:00"/>
    <b v="1"/>
    <s v="OUTBOUND_"/>
  </r>
  <r>
    <s v="1643"/>
    <m/>
    <x v="0"/>
    <s v="INB-W0012411-548"/>
    <s v="EJ-Malang-01"/>
    <s v="Oka-0813-2707-1646"/>
    <d v="2024-11-06T00:00:00"/>
    <d v="1900-01-14T07:00:00"/>
    <s v="ZTE Warehouse"/>
    <x v="0"/>
    <x v="27"/>
    <s v="ZTE1002"/>
    <s v="Pcs"/>
    <n v="10"/>
    <s v="CLR51-99-123"/>
    <x v="77"/>
    <s v="DOEID24110551"/>
    <s v="DNWID0342024110504"/>
    <m/>
    <m/>
    <m/>
    <m/>
    <m/>
    <m/>
    <m/>
    <s v="Tambakasri RW 02 Tajinan"/>
    <d v="2024-11-06T00:00:00"/>
    <b v="1"/>
    <s v="OUTBOUND_"/>
  </r>
  <r>
    <s v="1644"/>
    <m/>
    <x v="1"/>
    <s v="OUB-W0012411-547"/>
    <s v="EJ-Malang-01"/>
    <s v="Oka-0813-2707-1646"/>
    <d v="2024-11-06T00:00:00"/>
    <d v="1899-12-30T08:25:00"/>
    <s v="EJ-MALANG-01"/>
    <x v="0"/>
    <x v="27"/>
    <s v="ZTE1002"/>
    <s v="Pcs"/>
    <n v="3"/>
    <s v="CLR51-99-095"/>
    <x v="16"/>
    <m/>
    <m/>
    <m/>
    <s v="Riki Romansyah"/>
    <n v="0"/>
    <s v="3507050501950006"/>
    <s v="N 8420 EL"/>
    <m/>
    <m/>
    <s v="Candirenggo RW 10 Singosari"/>
    <e v="#N/A"/>
    <e v="#N/A"/>
    <s v="OUTBOUND_"/>
  </r>
  <r>
    <s v="1645"/>
    <m/>
    <x v="1"/>
    <s v="OUB-W0012411-553"/>
    <s v="EJ-Malang-01"/>
    <s v="Oka-0813-2707-1646"/>
    <d v="2024-11-20T00:00:00"/>
    <d v="1899-12-30T13:25:00"/>
    <s v="EJ-MALANG-01"/>
    <x v="0"/>
    <x v="27"/>
    <s v="ZTE1002"/>
    <s v="Pcs"/>
    <n v="2"/>
    <s v="CLR51-01-009"/>
    <x v="79"/>
    <m/>
    <m/>
    <m/>
    <s v="Riki Romansyah"/>
    <n v="0"/>
    <s v="3507050501950006"/>
    <s v="N 8420 EL"/>
    <m/>
    <m/>
    <s v="Kalirejo RW 13 Lawang Malang"/>
    <e v="#N/A"/>
    <e v="#N/A"/>
    <s v="OUTBOUND_"/>
  </r>
  <r>
    <s v="1646"/>
    <m/>
    <x v="1"/>
    <s v="OUB-W0012411-557"/>
    <s v="EJ-Malang-01"/>
    <s v="Oka-0813-2707-1646"/>
    <d v="2024-11-21T00:00:00"/>
    <d v="1899-12-30T14:07:00"/>
    <s v="EJ-MALANG-01"/>
    <x v="0"/>
    <x v="27"/>
    <s v="ZTE1002"/>
    <s v="Pcs"/>
    <n v="3"/>
    <s v="CLR51-01-009"/>
    <x v="79"/>
    <m/>
    <m/>
    <m/>
    <s v="Riki Romansyah"/>
    <n v="0"/>
    <s v="3507050501950006"/>
    <s v="N 8420 EL"/>
    <m/>
    <m/>
    <s v="Kalirejo RW 13 Lawang Malang"/>
    <e v="#N/A"/>
    <e v="#N/A"/>
    <s v="OUTBOUND_"/>
  </r>
  <r>
    <s v="1647"/>
    <m/>
    <x v="0"/>
    <s v="INB-W0012411-565"/>
    <s v="EJ-Malang-01"/>
    <s v="Oka-0813-2707-1646"/>
    <d v="2024-11-26T00:00:00"/>
    <d v="1900-01-14T07:00:00"/>
    <s v="ZTE Warehouse"/>
    <x v="0"/>
    <x v="27"/>
    <s v="ZTE1002"/>
    <s v="Pcs"/>
    <n v="2"/>
    <s v="CLR51-99-124"/>
    <x v="17"/>
    <s v="DOEID24112583"/>
    <s v="DNWID0362024112507"/>
    <m/>
    <m/>
    <m/>
    <m/>
    <m/>
    <m/>
    <m/>
    <s v="Perumahan Bukit Lawang Indah Malang"/>
    <d v="2024-11-26T00:00:00"/>
    <b v="1"/>
    <s v="OUTBOUND_"/>
  </r>
  <r>
    <s v="1648"/>
    <m/>
    <x v="0"/>
    <s v="INB-W0012411-565"/>
    <s v="EJ-Malang-01"/>
    <s v="Oka-0813-2707-1646"/>
    <d v="2024-11-26T00:00:00"/>
    <d v="1900-01-14T07:00:00"/>
    <s v="ZTE Warehouse"/>
    <x v="0"/>
    <x v="27"/>
    <s v="ZTE1002"/>
    <s v="Pcs"/>
    <n v="4"/>
    <s v="CLR51-09-010"/>
    <x v="81"/>
    <s v="DOEID241121BM"/>
    <s v="DNWID0362024112204"/>
    <m/>
    <m/>
    <m/>
    <m/>
    <m/>
    <m/>
    <m/>
    <s v="Bedali RW 03 Kromengan"/>
    <d v="2024-11-26T00:00:00"/>
    <b v="1"/>
    <s v="OUTBOUND_"/>
  </r>
  <r>
    <s v="1649"/>
    <m/>
    <x v="0"/>
    <s v="INB-W0012411-565"/>
    <s v="EJ-Malang-01"/>
    <s v="Oka-0813-2707-1646"/>
    <d v="2024-11-26T00:00:00"/>
    <d v="1900-01-14T07:00:00"/>
    <s v="ZTE Warehouse"/>
    <x v="0"/>
    <x v="27"/>
    <s v="ZTE1002"/>
    <s v="Pcs"/>
    <n v="7"/>
    <s v="CLR51-09-012"/>
    <x v="83"/>
    <s v="DOEID241121BQ"/>
    <s v="DNWID0362024112202"/>
    <m/>
    <m/>
    <m/>
    <m/>
    <m/>
    <m/>
    <m/>
    <s v="Bedali RW 05 Kromengan"/>
    <d v="2024-11-26T00:00:00"/>
    <b v="1"/>
    <s v="OUTBOUND_"/>
  </r>
  <r>
    <s v="1650"/>
    <m/>
    <x v="1"/>
    <s v="OUB-W0012411-564"/>
    <s v="EJ-Malang-01"/>
    <s v="Oka-0813-2707-1646"/>
    <d v="2024-11-26T00:00:00"/>
    <d v="1899-12-30T09:30:00"/>
    <s v="EJ-MALANG-01"/>
    <x v="0"/>
    <x v="27"/>
    <s v="ZTE1002"/>
    <s v="Pcs"/>
    <n v="2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1651"/>
    <m/>
    <x v="1"/>
    <s v="OUB-W0012412-571"/>
    <s v="EJ-Malang-01"/>
    <s v="Oka-0813-2707-1646"/>
    <d v="2024-12-01T00:00:00"/>
    <d v="1899-12-30T09:30:00"/>
    <s v="EJ-MALANG-01"/>
    <x v="0"/>
    <x v="27"/>
    <s v="ZTE1002"/>
    <s v="Pcs"/>
    <n v="4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1652"/>
    <m/>
    <x v="1"/>
    <s v="OUB-W0012412-575"/>
    <s v="EJ-Malang-01"/>
    <s v="Oka-0813-2707-1646"/>
    <d v="2024-12-14T00:00:00"/>
    <d v="1899-12-30T11:39:00"/>
    <s v="EJ-MALANG-01"/>
    <x v="0"/>
    <x v="27"/>
    <s v="ZTE1002"/>
    <s v="Pcs"/>
    <n v="7"/>
    <s v="CLR51-09-007"/>
    <x v="143"/>
    <m/>
    <m/>
    <m/>
    <s v="Riki Romansyah"/>
    <n v="0"/>
    <s v="3507050501950006"/>
    <s v="N 8420 EL"/>
    <m/>
    <m/>
    <s v="PERMANU RW 01 MALANG"/>
    <e v="#N/A"/>
    <e v="#N/A"/>
    <s v="OUTBOUND_"/>
  </r>
  <r>
    <s v="1653"/>
    <m/>
    <x v="1"/>
    <s v="OUB-W0012412-575"/>
    <s v="EJ-Malang-01"/>
    <s v="Oka-0813-2707-1646"/>
    <d v="2024-12-14T00:00:00"/>
    <d v="1899-12-30T11:39:00"/>
    <s v="EJ-MALANG-01"/>
    <x v="0"/>
    <x v="27"/>
    <s v="ZTE1002"/>
    <s v="Pcs"/>
    <n v="8"/>
    <s v="CLR51-99-056"/>
    <x v="164"/>
    <m/>
    <m/>
    <m/>
    <s v="Riki Romansyah"/>
    <n v="0"/>
    <s v="3507050501950006"/>
    <s v="N 8420 EL"/>
    <m/>
    <m/>
    <s v="DUSUN CUPAK RW 01"/>
    <e v="#N/A"/>
    <e v="#N/A"/>
    <s v="OUTBOUND_"/>
  </r>
  <r>
    <s v="1654"/>
    <m/>
    <x v="0"/>
    <s v="INB-W0012412-582"/>
    <s v="EJ-Malang-01"/>
    <s v="Oka-0813-2707-1646"/>
    <d v="2024-12-17T00:00:00"/>
    <d v="1900-01-14T07:00:00"/>
    <s v="ZTE Warehouse"/>
    <x v="0"/>
    <x v="27"/>
    <s v="ZTE1002"/>
    <s v="Pcs"/>
    <n v="16"/>
    <m/>
    <x v="3"/>
    <n v="0"/>
    <n v="0"/>
    <m/>
    <m/>
    <m/>
    <m/>
    <m/>
    <m/>
    <m/>
    <n v="0"/>
    <e v="#N/A"/>
    <e v="#N/A"/>
    <s v="OUTBOUND_"/>
  </r>
  <r>
    <s v="1655"/>
    <m/>
    <x v="1"/>
    <s v="OUB-W0012412-589"/>
    <s v="EJ-Malang-01"/>
    <s v="Oka-0813-2707-1646"/>
    <d v="2024-12-26T00:00:00"/>
    <d v="1899-12-30T21:03:00"/>
    <s v="EJ-MALANG-01"/>
    <x v="0"/>
    <x v="27"/>
    <s v="ZTE1002"/>
    <s v="Pcs"/>
    <n v="3"/>
    <s v="CLR51-99-058"/>
    <x v="87"/>
    <m/>
    <m/>
    <m/>
    <s v="Riki Romansyah"/>
    <n v="0"/>
    <s v="3507050501950006"/>
    <s v="N 8420 EL"/>
    <m/>
    <m/>
    <s v="Dusun Cupak RW 02"/>
    <e v="#N/A"/>
    <e v="#N/A"/>
    <s v="OUTBOUND_"/>
  </r>
  <r>
    <s v="1656"/>
    <m/>
    <x v="1"/>
    <s v="OUB-W0012501-595"/>
    <s v="EJ-Malang-01"/>
    <s v="Oka-0813-2707-1646"/>
    <d v="2025-01-09T00:00:00"/>
    <d v="1899-12-30T17:05:00"/>
    <s v="EJ-MALANG-01"/>
    <x v="0"/>
    <x v="27"/>
    <s v="ZTE1002"/>
    <s v="Pcs"/>
    <n v="9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1657"/>
    <m/>
    <x v="1"/>
    <s v="OUB-W0012501-596"/>
    <s v="EJ-Malang-01"/>
    <s v="Oka-0813-2707-1646"/>
    <d v="2025-01-13T00:00:00"/>
    <d v="1899-12-30T13:00:00"/>
    <s v="EJ-MALANG-01"/>
    <x v="0"/>
    <x v="27"/>
    <s v="ZTE1002"/>
    <s v="Pcs"/>
    <n v="1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1658"/>
    <m/>
    <x v="1"/>
    <s v="OUB-W0012501-600"/>
    <s v="EJ-Malang-01"/>
    <s v="Oka-0813-2707-1646"/>
    <d v="2025-01-21T00:00:00"/>
    <d v="1899-12-30T13:40:00"/>
    <s v="EJ-MALANG-01"/>
    <x v="0"/>
    <x v="27"/>
    <s v="ZTE1002"/>
    <s v="Pcs"/>
    <n v="3"/>
    <s v="CLR51-03-016"/>
    <x v="145"/>
    <m/>
    <m/>
    <m/>
    <s v="Riki Romansyah"/>
    <n v="0"/>
    <s v="3507050501950006"/>
    <s v="N 8420 EL"/>
    <m/>
    <m/>
    <s v="Citra Kayane Residence"/>
    <e v="#N/A"/>
    <e v="#N/A"/>
    <s v="OUTBOUND_"/>
  </r>
  <r>
    <s v="1659"/>
    <m/>
    <x v="1"/>
    <s v="OUB-W0012502-604"/>
    <s v="EJ-Malang-01"/>
    <s v="Oka-0813-2707-1646"/>
    <d v="2025-02-06T00:00:00"/>
    <d v="1899-12-30T09:35:00"/>
    <s v="EJ-MALANG-01"/>
    <x v="0"/>
    <x v="27"/>
    <s v="ZTE1002"/>
    <s v="Pcs"/>
    <n v="21"/>
    <s v="CLR51-99-050"/>
    <x v="88"/>
    <m/>
    <m/>
    <m/>
    <s v="Riki Romansyah"/>
    <n v="0"/>
    <s v="3507050501950006"/>
    <s v="N 8420 EL"/>
    <m/>
    <m/>
    <s v="PERUMAHAN DE WIRA GREEN VIEW"/>
    <e v="#N/A"/>
    <e v="#N/A"/>
    <s v="OUTBOUND_"/>
  </r>
  <r>
    <s v="1660"/>
    <m/>
    <x v="0"/>
    <s v="INB-W0012502-610"/>
    <s v="EJ-Malang-01"/>
    <s v="Oka-0813-2707-1646"/>
    <d v="2025-02-19T00:00:00"/>
    <d v="1900-01-14T07:00:00"/>
    <s v="ZTE Warehouse"/>
    <x v="0"/>
    <x v="27"/>
    <s v="ZTE1002"/>
    <s v="Pcs"/>
    <n v="153"/>
    <s v="CLR51-08-007"/>
    <x v="89"/>
    <s v="DOEID25021854"/>
    <n v="0"/>
    <m/>
    <m/>
    <m/>
    <m/>
    <m/>
    <n v="153"/>
    <m/>
    <s v="Sitirejo RW 04 Wagir"/>
    <d v="2025-02-19T00:00:00"/>
    <b v="1"/>
    <s v="OUTBOUND_"/>
  </r>
  <r>
    <s v="1661"/>
    <m/>
    <x v="1"/>
    <s v="OUB-W0012502-607"/>
    <s v="EJ-Malang-01"/>
    <s v="Oka-0813-2707-1646"/>
    <d v="2025-02-19T00:00:00"/>
    <d v="1899-12-30T09:35:00"/>
    <s v="EJ-MALANG-01"/>
    <x v="0"/>
    <x v="27"/>
    <s v="ZTE1002"/>
    <s v="Pcs"/>
    <n v="16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1662"/>
    <m/>
    <x v="1"/>
    <s v="OUB-W0012502-609"/>
    <s v="EJ-Malang-01"/>
    <s v="Oka-0813-2707-1646"/>
    <d v="2025-02-20T00:00:00"/>
    <d v="1899-12-30T09:35:00"/>
    <s v="EJ-MALANG-01"/>
    <x v="0"/>
    <x v="27"/>
    <s v="ZTE1002"/>
    <s v="Pcs"/>
    <n v="32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1663"/>
    <m/>
    <x v="5"/>
    <s v="BOO-W0012502-612"/>
    <s v="EJ-Malang-01"/>
    <s v="Oka-0813-2707-1646"/>
    <d v="2025-02-21T00:00:00"/>
    <d v="1899-12-30T06:35:00"/>
    <s v="Other Subcon"/>
    <x v="0"/>
    <x v="27"/>
    <s v="ZTE1002"/>
    <s v="Pcs"/>
    <n v="62"/>
    <s v="BR007"/>
    <x v="180"/>
    <m/>
    <m/>
    <m/>
    <s v="Dayat"/>
    <n v="0"/>
    <s v="3574041310020006"/>
    <s v="N 8664 UW"/>
    <s v="MDP Pinjam Pole"/>
    <m/>
    <s v="MDP"/>
    <e v="#N/A"/>
    <e v="#N/A"/>
    <s v="BORROW OUT_"/>
  </r>
  <r>
    <s v="1664"/>
    <m/>
    <x v="1"/>
    <s v="OUB-W0012502-616"/>
    <s v="EJ-Malang-01"/>
    <s v="Oka-0813-2707-1646"/>
    <d v="2025-02-21T00:00:00"/>
    <d v="1899-12-30T15:09:00"/>
    <s v="EJ-MALANG-01"/>
    <x v="0"/>
    <x v="27"/>
    <s v="ZTE1002"/>
    <s v="Pcs"/>
    <n v="8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1665"/>
    <m/>
    <x v="1"/>
    <s v="OUB-W0012502-619"/>
    <s v="EJ-Malang-01"/>
    <s v="Oka-0813-2707-1646"/>
    <d v="2025-02-28T00:00:00"/>
    <d v="1899-12-30T15:09:00"/>
    <s v="EJ-MALANG-01"/>
    <x v="0"/>
    <x v="27"/>
    <s v="ZTE1002"/>
    <s v="Pcs"/>
    <n v="16"/>
    <s v="CLR51-99-148"/>
    <x v="181"/>
    <m/>
    <m/>
    <m/>
    <s v="Riki Romansyah"/>
    <n v="0"/>
    <s v="3507050501950006"/>
    <s v="N 8420 EL"/>
    <m/>
    <m/>
    <s v="Perum Bayu Asri"/>
    <e v="#N/A"/>
    <e v="#N/A"/>
    <s v="OUTBOUND_"/>
  </r>
  <r>
    <s v="1666"/>
    <m/>
    <x v="4"/>
    <s v="BOI-W0012503-623"/>
    <s v="EJ-Malang-01"/>
    <s v="Oka-0813-2707-1646"/>
    <d v="2025-03-07T00:00:00"/>
    <d v="1900-01-14T07:00:00"/>
    <s v="Other Subcon"/>
    <x v="0"/>
    <x v="27"/>
    <s v="ZTE1002"/>
    <s v="Pcs"/>
    <n v="62"/>
    <s v="BR007"/>
    <x v="180"/>
    <n v="0"/>
    <n v="0"/>
    <m/>
    <m/>
    <m/>
    <m/>
    <m/>
    <m/>
    <m/>
    <s v="MDP"/>
    <e v="#N/A"/>
    <e v="#N/A"/>
    <s v="OUTBOUND_"/>
  </r>
  <r>
    <s v="1667"/>
    <m/>
    <x v="1"/>
    <s v="OUB-W0012503-631"/>
    <s v="EJ-Malang-01"/>
    <s v="Oka-0813-2707-1646"/>
    <d v="2025-03-22T00:00:00"/>
    <d v="1899-12-30T16:09:00"/>
    <s v="EJ-MALANG-01"/>
    <x v="0"/>
    <x v="27"/>
    <s v="ZTE1002"/>
    <s v="Pcs"/>
    <n v="25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1668"/>
    <m/>
    <x v="1"/>
    <s v="OUB-W0012503-635"/>
    <s v="EJ-Malang-01"/>
    <s v="Oka-0813-2707-1646"/>
    <d v="2025-03-25T00:00:00"/>
    <d v="1899-12-30T19:57:00"/>
    <s v="EJ-MALANG-01"/>
    <x v="0"/>
    <x v="27"/>
    <s v="ZTE1002"/>
    <s v="Pcs"/>
    <n v="4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1669"/>
    <m/>
    <x v="1"/>
    <s v="OUB-W0012503-635"/>
    <s v="EJ-Malang-01"/>
    <s v="Oka-0813-2707-1646"/>
    <d v="2025-03-25T00:00:00"/>
    <d v="1899-12-30T19:57:00"/>
    <s v="EJ-MALANG-01"/>
    <x v="0"/>
    <x v="27"/>
    <s v="ZTE1002"/>
    <s v="Pcs"/>
    <n v="25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1670"/>
    <m/>
    <x v="5"/>
    <s v="BOO-W0012504-637"/>
    <s v="EJ-Malang-01"/>
    <s v="Oka-0813-2707-1646"/>
    <d v="2025-04-29T00:00:00"/>
    <d v="1899-12-30T09:37:00"/>
    <s v="Other Subcon"/>
    <x v="0"/>
    <x v="27"/>
    <s v="ZTE1002"/>
    <s v="Pcs"/>
    <n v="23"/>
    <s v="BR001"/>
    <x v="178"/>
    <m/>
    <m/>
    <m/>
    <s v="Deni Indra"/>
    <n v="0"/>
    <n v="0"/>
    <s v="W 8405 DN"/>
    <s v="BEAT Borrow"/>
    <m/>
    <s v="BEAUT"/>
    <e v="#N/A"/>
    <e v="#N/A"/>
    <s v="BORROW OUT_"/>
  </r>
  <r>
    <s v="1671"/>
    <m/>
    <x v="4"/>
    <s v="BOI-W0012505-638"/>
    <s v="EJ-Malang-01"/>
    <s v="Oka-0813-2707-1646"/>
    <d v="2025-05-18T00:00:00"/>
    <d v="1900-01-14T07:00:00"/>
    <s v="Other Subcon"/>
    <x v="0"/>
    <x v="27"/>
    <s v="ZTE1002"/>
    <s v="Pcs"/>
    <n v="23"/>
    <s v="BR001"/>
    <x v="178"/>
    <n v="0"/>
    <n v="0"/>
    <m/>
    <m/>
    <m/>
    <m/>
    <m/>
    <m/>
    <m/>
    <s v="BEAUT"/>
    <e v="#N/A"/>
    <e v="#N/A"/>
    <s v="OUTBOUND_"/>
  </r>
  <r>
    <s v="1672"/>
    <m/>
    <x v="1"/>
    <s v="OUB-W0012505-640"/>
    <s v="EJ-Malang-01"/>
    <s v="Oka-0813-2707-1646"/>
    <d v="2025-05-25T00:00:00"/>
    <d v="1899-12-30T12:57:00"/>
    <s v="EJ-MALANG-01"/>
    <x v="0"/>
    <x v="27"/>
    <s v="ZTE1002"/>
    <s v="Pcs"/>
    <n v="26"/>
    <s v="CLR51-99-212"/>
    <x v="146"/>
    <m/>
    <m/>
    <m/>
    <s v="Riki Romansyah"/>
    <n v="0"/>
    <s v="3507050501950006"/>
    <s v="N 8420 EL"/>
    <m/>
    <m/>
    <s v="KEBONAGUNG RW 01 MALANG"/>
    <e v="#N/A"/>
    <e v="#N/A"/>
    <s v="OUTBOUND_"/>
  </r>
  <r>
    <s v="1673"/>
    <m/>
    <x v="1"/>
    <s v="OUB-W0012505-643"/>
    <s v="EJ-Malang-01"/>
    <s v="Oka-0813-2707-1646"/>
    <d v="2025-05-28T00:00:00"/>
    <d v="1899-12-30T12:57:00"/>
    <s v="EJ-MALANG-01"/>
    <x v="0"/>
    <x v="27"/>
    <s v="ZTE1002"/>
    <s v="Pcs"/>
    <n v="21"/>
    <s v="CLR51-99-238"/>
    <x v="94"/>
    <m/>
    <m/>
    <m/>
    <s v="Riki Romansyah"/>
    <n v="0"/>
    <s v="3507050501950006"/>
    <s v="N 8420 EL"/>
    <m/>
    <m/>
    <s v="ARJOWINANGUN RW 01 MALANG"/>
    <e v="#N/A"/>
    <e v="#N/A"/>
    <s v="OUTBOUND_"/>
  </r>
  <r>
    <s v="1674"/>
    <m/>
    <x v="0"/>
    <s v="INB-W0012506-646"/>
    <s v="EJ-Malang-01"/>
    <s v="Oka-0813-2707-1646"/>
    <d v="2025-06-13T00:00:00"/>
    <d v="1900-01-14T07:00:00"/>
    <s v="ZTE Warehouse"/>
    <x v="0"/>
    <x v="27"/>
    <s v="ZTE1002"/>
    <s v="Pcs"/>
    <n v="159"/>
    <m/>
    <x v="3"/>
    <n v="0"/>
    <n v="0"/>
    <m/>
    <m/>
    <m/>
    <m/>
    <m/>
    <m/>
    <m/>
    <n v="0"/>
    <e v="#N/A"/>
    <e v="#N/A"/>
    <s v="OUTBOUND_"/>
  </r>
  <r>
    <s v="1675"/>
    <m/>
    <x v="1"/>
    <s v="OUB-W0012506-647"/>
    <s v="EJ-Malang-01"/>
    <s v="Oka-0813-2707-1646"/>
    <d v="2025-06-14T00:00:00"/>
    <d v="1899-12-30T12:57:00"/>
    <s v="EJ-MALANG-01"/>
    <x v="0"/>
    <x v="27"/>
    <s v="ZTE1002"/>
    <s v="Pcs"/>
    <n v="112"/>
    <s v="CLR51-99-101"/>
    <x v="95"/>
    <m/>
    <m/>
    <m/>
    <s v="Riki Romansyah"/>
    <n v="0"/>
    <s v="3507050501950006"/>
    <s v="N 8420 EL"/>
    <m/>
    <m/>
    <s v="BULULAWANG RW 01, 02, 03, 04, 06   MALANG"/>
    <e v="#N/A"/>
    <e v="#N/A"/>
    <s v="OUTBOUND_"/>
  </r>
  <r>
    <s v="1676"/>
    <m/>
    <x v="0"/>
    <s v="INB-W0012506-649"/>
    <s v="EJ-Malang-01"/>
    <s v="Oka-0813-2707-1646"/>
    <d v="2025-06-18T00:00:00"/>
    <d v="1900-01-14T07:00:00"/>
    <s v="ZTE Warehouse"/>
    <x v="0"/>
    <x v="27"/>
    <s v="ZTE1002"/>
    <s v="Pcs"/>
    <n v="192"/>
    <m/>
    <x v="3"/>
    <n v="0"/>
    <n v="0"/>
    <m/>
    <m/>
    <m/>
    <m/>
    <m/>
    <m/>
    <m/>
    <n v="0"/>
    <e v="#N/A"/>
    <e v="#N/A"/>
    <s v="OUTBOUND_"/>
  </r>
  <r>
    <s v="1677"/>
    <m/>
    <x v="1"/>
    <s v="OUB-W0012506-651"/>
    <s v="EJ-Malang-01"/>
    <s v="Oka-0813-2707-1646"/>
    <d v="2025-06-19T00:00:00"/>
    <d v="1899-12-30T15:30:00"/>
    <s v="EJ-MALANG-01"/>
    <x v="0"/>
    <x v="27"/>
    <s v="ZTE1002"/>
    <s v="Pcs"/>
    <n v="10"/>
    <s v="CLR51-99-243"/>
    <x v="97"/>
    <m/>
    <m/>
    <m/>
    <s v="Fatur"/>
    <n v="0"/>
    <s v="1812010507910004"/>
    <s v="L 9221 K"/>
    <m/>
    <m/>
    <s v="DESA KARANGANYAR KIDUL PONCOKUSUMO   MALANG"/>
    <e v="#N/A"/>
    <e v="#N/A"/>
    <s v="OUTBOUND_"/>
  </r>
  <r>
    <s v="1678"/>
    <m/>
    <x v="1"/>
    <s v="OUB-W0012506-650"/>
    <s v="EJ-Malang-01"/>
    <s v="Oka-0813-2707-1646"/>
    <d v="2025-06-19T00:00:00"/>
    <d v="1899-12-30T12:51:00"/>
    <s v="EJ-MALANG-01"/>
    <x v="0"/>
    <x v="27"/>
    <s v="ZTE1002"/>
    <s v="Pcs"/>
    <n v="167"/>
    <s v="CLR51-99-244"/>
    <x v="98"/>
    <m/>
    <m/>
    <m/>
    <s v="Fatur"/>
    <n v="0"/>
    <s v="1812010507910004"/>
    <s v="L 9221 K"/>
    <m/>
    <m/>
    <s v="DESA KRAJANI PONCOKUSUMO MALANG"/>
    <e v="#N/A"/>
    <e v="#N/A"/>
    <s v="OUTBOUND_"/>
  </r>
  <r>
    <s v="1679"/>
    <m/>
    <x v="1"/>
    <s v="OUB-W0012506-661"/>
    <s v="EJ-Malang-01"/>
    <s v="Oka-0813-2707-1646"/>
    <d v="2025-06-26T00:00:00"/>
    <d v="1899-12-30T15:30:00"/>
    <s v="EJ-MALANG-01"/>
    <x v="0"/>
    <x v="27"/>
    <s v="ZTE1002"/>
    <s v="Pcs"/>
    <n v="10"/>
    <s v="CLR51-99-246"/>
    <x v="182"/>
    <m/>
    <m/>
    <m/>
    <s v="Fatur"/>
    <n v="0"/>
    <s v="1812010507910004"/>
    <s v="L 9221 K"/>
    <m/>
    <m/>
    <s v="DUSUN LOR KALI PONCOKUSUMO MALANG"/>
    <e v="#N/A"/>
    <e v="#N/A"/>
    <s v="OUTBOUND_"/>
  </r>
  <r>
    <s v="1680"/>
    <m/>
    <x v="1"/>
    <s v="OUB-W0012506-665"/>
    <s v="EJ-Malang-01"/>
    <s v="Oka-0813-2707-1646"/>
    <d v="2025-06-29T00:00:00"/>
    <d v="1899-12-30T15:30:00"/>
    <s v="EJ-MALANG-01"/>
    <x v="0"/>
    <x v="27"/>
    <s v="ZTE1002"/>
    <s v="Pcs"/>
    <n v="8"/>
    <s v="CLR51-99-245"/>
    <x v="99"/>
    <m/>
    <m/>
    <m/>
    <s v="Fatur"/>
    <n v="0"/>
    <s v="1812010507910004"/>
    <s v="L 9221 K"/>
    <m/>
    <m/>
    <s v="DESA PANCURAN PONCOKUSUMO MALANG"/>
    <e v="#N/A"/>
    <e v="#N/A"/>
    <s v="OUTBOUND_"/>
  </r>
  <r>
    <s v="1681"/>
    <m/>
    <x v="0"/>
    <s v="INB-W0012507-668"/>
    <s v="EJ-Malang-01"/>
    <s v="Oka-0813-2707-1646"/>
    <d v="2025-07-12T00:00:00"/>
    <d v="1900-01-14T07:00:00"/>
    <s v="ZTE Warehouse"/>
    <x v="0"/>
    <x v="27"/>
    <s v="ZTE1002"/>
    <s v="Pcs"/>
    <n v="156"/>
    <s v="CLR51-99-107"/>
    <x v="101"/>
    <s v="DOEID250711EF"/>
    <s v="DNWID1382025071109"/>
    <m/>
    <m/>
    <m/>
    <m/>
    <m/>
    <m/>
    <m/>
    <s v="KREBET RW 03"/>
    <d v="2025-07-12T00:00:00"/>
    <b v="1"/>
    <s v="OUTBOUND_"/>
  </r>
  <r>
    <s v="1682"/>
    <m/>
    <x v="1"/>
    <s v="OUB-W0012507-669"/>
    <s v="EJ-Malang-01"/>
    <s v="Oka-0813-2707-1646"/>
    <d v="2025-07-16T00:00:00"/>
    <d v="1899-12-30T11:14:00"/>
    <s v="EJ-MALANG-01"/>
    <x v="0"/>
    <x v="27"/>
    <s v="ZTE1002"/>
    <s v="Pcs"/>
    <n v="154"/>
    <s v="CLR51-99-107"/>
    <x v="101"/>
    <m/>
    <m/>
    <m/>
    <s v="Riki Romansyah"/>
    <n v="0"/>
    <s v="3507050501950006"/>
    <s v="N 8420 EL"/>
    <m/>
    <m/>
    <s v="KREBET RW 03"/>
    <e v="#N/A"/>
    <e v="#N/A"/>
    <s v="OUTBOUND_"/>
  </r>
  <r>
    <s v="1683"/>
    <m/>
    <x v="1"/>
    <s v="OUB-W0012508-679"/>
    <s v="EJ-Malang-01"/>
    <s v="Oka-0813-2707-1646"/>
    <d v="2025-08-06T00:00:00"/>
    <d v="1899-12-30T11:21:00"/>
    <s v="EJ-MALANG-01"/>
    <x v="0"/>
    <x v="27"/>
    <s v="ZTE1002"/>
    <s v="Pcs"/>
    <n v="36"/>
    <s v="CLR51-99-250"/>
    <x v="103"/>
    <m/>
    <m/>
    <m/>
    <s v="Riki Romansyah"/>
    <n v="0"/>
    <s v="3507050501950006"/>
    <s v="N 8420 EL"/>
    <m/>
    <m/>
    <s v="PERMANU RW 03 MALANG"/>
    <e v="#N/A"/>
    <e v="#N/A"/>
    <s v="OUTBOUND_"/>
  </r>
  <r>
    <s v="1684"/>
    <m/>
    <x v="1"/>
    <s v="OUB-W0012508-681"/>
    <s v="EJ-Malang-01"/>
    <s v="Oka-0813-2707-1646"/>
    <d v="2025-08-07T00:00:00"/>
    <d v="1899-12-30T11:21:00"/>
    <s v="EJ-MALANG-01"/>
    <x v="0"/>
    <x v="27"/>
    <s v="ZTE1002"/>
    <s v="Pcs"/>
    <n v="1"/>
    <s v="CLR51-99-250"/>
    <x v="103"/>
    <m/>
    <m/>
    <m/>
    <s v="Riki Romansyah"/>
    <n v="0"/>
    <s v="3507050501950006"/>
    <s v="N 8420 EL"/>
    <m/>
    <m/>
    <s v="PERMANU RW 03 MALANG"/>
    <e v="#N/A"/>
    <e v="#N/A"/>
    <s v="OUTBOUND_"/>
  </r>
  <r>
    <s v="1685"/>
    <m/>
    <x v="0"/>
    <s v="INB-W0012508-690"/>
    <s v="EJ-Malang-01"/>
    <s v="Oka-0813-2707-1646"/>
    <d v="2025-08-19T00:00:00"/>
    <d v="1900-01-14T07:00:00"/>
    <s v="ZTE Warehouse"/>
    <x v="0"/>
    <x v="27"/>
    <s v="ZTE1002"/>
    <s v="Pcs"/>
    <n v="145"/>
    <s v="CLR51-99-370"/>
    <x v="105"/>
    <s v="DOEID25081590"/>
    <s v="DNWID1382025081505"/>
    <m/>
    <s v="Riki Romansyah"/>
    <n v="0"/>
    <s v="3507050501950006"/>
    <s v="N 8420 EL"/>
    <m/>
    <m/>
    <s v="PERUMAHAN BULULAWANG PERMAI RW 02"/>
    <d v="2025-08-19T00:00:00"/>
    <b v="1"/>
    <s v="OUTBOUND_"/>
  </r>
  <r>
    <s v="1686"/>
    <m/>
    <x v="1"/>
    <s v="OUB-W0012508-689"/>
    <s v="EJ-Malang-01"/>
    <s v="Oka-0813-2707-1646"/>
    <d v="2025-08-19T00:00:00"/>
    <d v="1899-12-30T10:31:00"/>
    <s v="EJ-MALANG-01"/>
    <x v="0"/>
    <x v="27"/>
    <s v="ZTE1002"/>
    <s v="Pcs"/>
    <n v="19"/>
    <s v="CLR51-99-370"/>
    <x v="105"/>
    <m/>
    <m/>
    <m/>
    <s v="Riki Romansyah"/>
    <n v="0"/>
    <s v="3507050501950006"/>
    <s v="N 8420 EL"/>
    <m/>
    <m/>
    <s v="PERUMAHAN BULULAWANG PERMAI RW 02"/>
    <e v="#N/A"/>
    <e v="#N/A"/>
    <s v="OUTBOUND_"/>
  </r>
  <r>
    <s v="1687"/>
    <m/>
    <x v="1"/>
    <s v="OUB-W0012508-691"/>
    <s v="EJ-Malang-01"/>
    <s v="Oka-0813-2707-1646"/>
    <d v="2025-08-20T00:00:00"/>
    <d v="1899-12-30T10:35:00"/>
    <s v="EJ-MALANG-01"/>
    <x v="0"/>
    <x v="27"/>
    <s v="ZTE1002"/>
    <s v="Pcs"/>
    <n v="25"/>
    <s v="CLR51-99-370"/>
    <x v="105"/>
    <m/>
    <m/>
    <m/>
    <s v="Riki Romansyah"/>
    <n v="0"/>
    <s v="3507050501950006"/>
    <s v="N 8420 EL"/>
    <m/>
    <m/>
    <s v="PERUMAHAN BULULAWANG PERMAI RW 02"/>
    <e v="#N/A"/>
    <e v="#N/A"/>
    <s v="OUTBOUND_"/>
  </r>
  <r>
    <s v="1688"/>
    <m/>
    <x v="0"/>
    <s v="INB-W0012508-699"/>
    <s v="EJ-Malang-01"/>
    <s v="Oka-0813-2707-1646"/>
    <d v="2025-08-30T00:00:00"/>
    <d v="1899-12-30T15:30:32"/>
    <s v="ZTE Warehouse"/>
    <x v="0"/>
    <x v="27"/>
    <s v="ZTE1002"/>
    <s v="Pcs"/>
    <n v="49"/>
    <s v="CLR51-99-103"/>
    <x v="108"/>
    <s v="DOEID25082609"/>
    <s v="DNWID1382025082604"/>
    <m/>
    <m/>
    <m/>
    <m/>
    <m/>
    <m/>
    <m/>
    <s v="KREBET SENGGRONG RW 02 MALANG"/>
    <d v="2025-08-27T00:00:00"/>
    <b v="0"/>
    <s v="OUTBOUND_"/>
  </r>
  <r>
    <s v="1689"/>
    <n v="1"/>
    <x v="1"/>
    <s v="OUB-W0012509-001"/>
    <s v="EJ-Malang-01"/>
    <s v="Oka-0813-2707-1646"/>
    <d v="2025-09-02T00:00:00"/>
    <d v="1899-12-30T15:26:02"/>
    <s v="ZTE Warehouse"/>
    <x v="0"/>
    <x v="27"/>
    <s v="ZTE1002"/>
    <s v="Pcs"/>
    <n v="36"/>
    <s v="CLR51-99-103"/>
    <x v="108"/>
    <s v="DOEID25082609"/>
    <s v="DNWID1382025082604"/>
    <m/>
    <s v="Riki Romansyah"/>
    <n v="0"/>
    <s v="3507050501950006"/>
    <s v="N 8420 EL"/>
    <m/>
    <m/>
    <s v="KREBET SENGGRONG RW 02 MALANG"/>
    <d v="2025-08-27T00:00:00"/>
    <b v="0"/>
    <s v="OUTBOUND_"/>
  </r>
  <r>
    <s v="1690"/>
    <n v="2"/>
    <x v="1"/>
    <s v="OUB-W0012509-002"/>
    <s v="EJ-Malang-01"/>
    <s v="Oka-0813-2707-1646"/>
    <d v="2025-09-09T00:00:00"/>
    <d v="1899-12-30T10:39:01"/>
    <s v="EJ-MALANG-01"/>
    <x v="0"/>
    <x v="27"/>
    <s v="ZTE1002"/>
    <s v="Pcs"/>
    <n v="15"/>
    <s v="CLR51-99-252"/>
    <x v="107"/>
    <s v="DOEID25082611"/>
    <s v="DNWID1382025082607"/>
    <m/>
    <s v="Riki Romansyah"/>
    <n v="0"/>
    <s v="3507050501950006"/>
    <s v="N 8420 EL"/>
    <m/>
    <m/>
    <s v="KREBET SENGGRONG RW 03 MALANG"/>
    <d v="2025-08-27T00:00:00"/>
    <b v="0"/>
    <s v="OUTBOUND_"/>
  </r>
  <r>
    <s v="1691"/>
    <n v="10"/>
    <x v="1"/>
    <s v="OUB-W0012510-001"/>
    <s v="EJ-Malang-01"/>
    <s v="Oka-0813-2707-1646"/>
    <d v="2025-10-16T00:00:00"/>
    <d v="1899-12-30T10:21:00"/>
    <s v="EJ-MALANG-01"/>
    <x v="0"/>
    <x v="27"/>
    <s v="ZTE1002"/>
    <s v="Pcs"/>
    <n v="19"/>
    <s v="CLR51-99-257"/>
    <x v="150"/>
    <m/>
    <m/>
    <m/>
    <s v="Riki Romansyah"/>
    <n v="0"/>
    <s v="3507050501950006"/>
    <s v="N 8420 EL"/>
    <m/>
    <m/>
    <s v="Asshofa Residence"/>
    <e v="#N/A"/>
    <e v="#N/A"/>
    <s v="OUTBOUND_"/>
  </r>
  <r>
    <s v="1692"/>
    <n v="2"/>
    <x v="0"/>
    <s v="INB-W0012510-002"/>
    <s v="EJ-Malang-01"/>
    <s v="Oka-0813-2707-1646"/>
    <d v="2025-10-23T00:00:00"/>
    <d v="1899-12-30T08:00:00"/>
    <s v="ZTE Warehouse"/>
    <x v="0"/>
    <x v="27"/>
    <s v="ZTE1002"/>
    <s v="Pcs"/>
    <n v="24"/>
    <s v="CLR51-99-257"/>
    <x v="150"/>
    <s v="DOEID25102124"/>
    <s v="DNWID1382025102104"/>
    <m/>
    <s v="Riki Romansyah"/>
    <n v="0"/>
    <s v="3507050501950006"/>
    <s v="N 8420 EL"/>
    <m/>
    <m/>
    <s v="Asshofa Residence"/>
    <d v="2025-10-21T00:00:00"/>
    <b v="0"/>
    <s v="OUTBOUND_"/>
  </r>
  <r>
    <s v="1693"/>
    <n v="5"/>
    <x v="0"/>
    <s v="INB-W0012510-002"/>
    <s v="EJ-Malang-01"/>
    <s v="Oka-0813-2707-1646"/>
    <d v="2025-10-23T00:00:00"/>
    <d v="1899-12-30T08:00:00"/>
    <s v="ZTE Warehouse"/>
    <x v="0"/>
    <x v="27"/>
    <s v="ZTE1002"/>
    <s v="Pcs"/>
    <n v="37"/>
    <s v="CLR51-99-302"/>
    <x v="112"/>
    <s v="DOEID25102128"/>
    <s v="DNWID1372025102102"/>
    <m/>
    <s v="Riki Romansyah"/>
    <n v="0"/>
    <s v="3507050501950006"/>
    <s v="N 8420 EL"/>
    <m/>
    <m/>
    <s v="LESANPURO RW 06 MALANG"/>
    <d v="2025-10-21T00:00:00"/>
    <b v="0"/>
    <s v="OUTBOUND_"/>
  </r>
  <r>
    <s v="1694"/>
    <n v="1"/>
    <x v="1"/>
    <s v="OUB-W0012510-002"/>
    <s v="EJ-Malang-01"/>
    <s v="Oka-0813-2707-1646"/>
    <d v="2025-10-23T00:00:00"/>
    <d v="1899-12-30T14:35:00"/>
    <s v="EJ-MALANG-01"/>
    <x v="0"/>
    <x v="27"/>
    <s v="ZTE1002"/>
    <s v="Pcs"/>
    <n v="36"/>
    <s v="CLR51-99-302"/>
    <x v="112"/>
    <m/>
    <m/>
    <m/>
    <s v="Riki Romansyah"/>
    <n v="0"/>
    <s v="3507050501950006"/>
    <s v="N 8420 EL"/>
    <m/>
    <m/>
    <s v="LESANPURO RW 06 MALANG"/>
    <e v="#N/A"/>
    <e v="#N/A"/>
    <s v="OUTBOUND_"/>
  </r>
  <r>
    <s v="1695"/>
    <n v="3"/>
    <x v="0"/>
    <s v="INB-W0012510-004"/>
    <s v="EJ-Malang-01"/>
    <s v="Oka-0813-2707-1646"/>
    <d v="2025-10-25T00:00:00"/>
    <d v="1899-12-30T08:00:00"/>
    <s v="ZTE Warehouse"/>
    <x v="0"/>
    <x v="27"/>
    <s v="ZTE1002"/>
    <s v="Pcs"/>
    <n v="117"/>
    <s v="CLR51-99-302"/>
    <x v="112"/>
    <s v="DOEID25102128"/>
    <s v="DNWID1372025102102"/>
    <m/>
    <m/>
    <m/>
    <m/>
    <m/>
    <m/>
    <m/>
    <s v="LESANPURO RW 06 MALANG"/>
    <d v="2025-10-21T00:00:00"/>
    <b v="0"/>
    <s v="OUTBOUND_"/>
  </r>
  <r>
    <s v="1696"/>
    <n v="2"/>
    <x v="1"/>
    <s v="OUB-W0012510-005"/>
    <s v="EJ-Malang-01"/>
    <s v="Oka-0813-2707-1646"/>
    <d v="2025-10-25T00:00:00"/>
    <d v="1899-12-30T11:00:00"/>
    <s v="EJ-MALANG-01"/>
    <x v="0"/>
    <x v="27"/>
    <s v="ZTE1002"/>
    <s v="Pcs"/>
    <n v="5"/>
    <s v="CLR51-99-302"/>
    <x v="112"/>
    <m/>
    <m/>
    <m/>
    <s v="Riki Romansyah"/>
    <n v="0"/>
    <s v="3507050501950006"/>
    <s v="N 8420 EL"/>
    <m/>
    <m/>
    <s v="LESANPURO RW 06 MALANG"/>
    <e v="#N/A"/>
    <e v="#N/A"/>
    <s v="OUTBOUND_"/>
  </r>
  <r>
    <s v="1697"/>
    <m/>
    <x v="1"/>
    <s v="OUB-W0012511-001"/>
    <s v="EJ-Malang-01"/>
    <s v="Oka-0813-2707-1646"/>
    <d v="2025-11-06T00:00:00"/>
    <d v="1899-12-30T17:00:00"/>
    <s v="EJ-MALANG-01"/>
    <x v="0"/>
    <x v="27"/>
    <s v="ZTE1002"/>
    <s v="Pcs"/>
    <n v="50"/>
    <s v="CLR51-99-375"/>
    <x v="115"/>
    <m/>
    <m/>
    <m/>
    <s v="Riki Romansyah"/>
    <n v="0"/>
    <s v="3507050501950006"/>
    <s v="N 8420 EL"/>
    <m/>
    <m/>
    <s v="PALAAN RW 06 SAMPAI 10 MALANG"/>
    <e v="#N/A"/>
    <e v="#N/A"/>
    <s v="OUTBOUND_"/>
  </r>
  <r>
    <s v="1698"/>
    <n v="2"/>
    <x v="1"/>
    <s v="OUB-W0012511-001"/>
    <s v="EJ-Malang-01"/>
    <s v="Oka-0813-2707-1646"/>
    <d v="2025-11-06T00:00:00"/>
    <d v="1899-12-30T17:00:00"/>
    <s v="EJ-MALANG-01"/>
    <x v="0"/>
    <x v="27"/>
    <s v="ZTE1002"/>
    <s v="Pcs"/>
    <n v="58"/>
    <s v="CLR51-99-372"/>
    <x v="114"/>
    <s v="-"/>
    <s v="-"/>
    <m/>
    <s v="Riki Romansyah"/>
    <n v="0"/>
    <s v="3507050501950006"/>
    <s v="N 8420 EL"/>
    <m/>
    <m/>
    <s v="PALAAN RW 01 SAMPAI 05 MALANG"/>
    <e v="#N/A"/>
    <e v="#N/A"/>
    <s v="OUTBOUND_"/>
  </r>
  <r>
    <s v="1699"/>
    <n v="10"/>
    <x v="0"/>
    <s v="INB-W0012512-001"/>
    <s v="EJ-Malang-01"/>
    <s v="Oka-0813-2707-1646"/>
    <d v="2025-12-12T00:00:00"/>
    <d v="1899-12-30T13:00:00"/>
    <s v="ZTE Warehouse"/>
    <x v="0"/>
    <x v="27"/>
    <s v="ZTE1002"/>
    <s v="Pcs"/>
    <n v="86"/>
    <m/>
    <x v="3"/>
    <s v="-"/>
    <s v="-"/>
    <m/>
    <m/>
    <m/>
    <m/>
    <m/>
    <m/>
    <m/>
    <n v="0"/>
    <e v="#N/A"/>
    <e v="#N/A"/>
    <s v="OUTBOUND_"/>
  </r>
  <r>
    <s v="1700"/>
    <n v="2"/>
    <x v="0"/>
    <s v="INB-W0012512-001"/>
    <s v="EJ-Malang-01"/>
    <s v="Oka-0813-2707-1646"/>
    <d v="2025-12-12T00:00:00"/>
    <d v="1899-12-30T13:00:00"/>
    <s v="ZTE Warehouse"/>
    <x v="0"/>
    <x v="27"/>
    <s v="ZTE1002"/>
    <s v="Pcs"/>
    <n v="134"/>
    <m/>
    <x v="3"/>
    <s v="-"/>
    <s v="-"/>
    <m/>
    <m/>
    <m/>
    <m/>
    <m/>
    <m/>
    <m/>
    <n v="0"/>
    <e v="#N/A"/>
    <e v="#N/A"/>
    <s v="OUTBOUND_"/>
  </r>
  <r>
    <s v="1701"/>
    <n v="2"/>
    <x v="1"/>
    <s v="OUB-W0012512-001"/>
    <s v="EJ-Malang-01"/>
    <s v="Oka-0813-2707-1646"/>
    <d v="2025-12-12T00:00:00"/>
    <d v="1899-12-30T08:00:00"/>
    <s v="EJ-MALANG-01"/>
    <x v="0"/>
    <x v="27"/>
    <s v="ZTE1002"/>
    <s v="Pcs"/>
    <n v="14"/>
    <s v="CLR51-99-382"/>
    <x v="116"/>
    <s v="-"/>
    <s v="-"/>
    <m/>
    <s v="Riki Romansyah"/>
    <s v="Suliadi"/>
    <s v="3507050501950006"/>
    <s v="N 8420 EL"/>
    <m/>
    <m/>
    <s v="DUSUN SIDOAYU KELURAHAN SIDEREJO MALANG"/>
    <e v="#N/A"/>
    <e v="#N/A"/>
    <s v="OUTBOUND_"/>
  </r>
  <r>
    <s v="1702"/>
    <n v="1"/>
    <x v="1"/>
    <s v="OUB-W0012512-002"/>
    <s v="EJ-Malang-01"/>
    <s v="Oka-0813-2707-1646"/>
    <d v="2025-12-13T00:00:00"/>
    <d v="1899-12-30T08:00:00"/>
    <s v="EJ-MALANG-01"/>
    <x v="0"/>
    <x v="27"/>
    <s v="ZTE1002"/>
    <s v="Pcs"/>
    <n v="25"/>
    <s v="CLR51-99-382"/>
    <x v="116"/>
    <s v="-"/>
    <s v="-"/>
    <m/>
    <s v="Riki Romansyah"/>
    <s v="Suliadi"/>
    <s v="3507050501950006"/>
    <s v="N 8420 EL"/>
    <m/>
    <m/>
    <s v="DUSUN SIDOAYU KELURAHAN SIDEREJO MALANG"/>
    <e v="#N/A"/>
    <e v="#N/A"/>
    <s v="OUTBOUND_"/>
  </r>
  <r>
    <s v="1703"/>
    <n v="1"/>
    <x v="1"/>
    <s v="OUB-W0012512-004"/>
    <s v="EJ-Malang-01"/>
    <s v="Oka-0813-2707-1646"/>
    <d v="2025-12-14T00:00:00"/>
    <d v="1899-12-30T08:00:00"/>
    <s v="EJ-MALANG-01"/>
    <x v="0"/>
    <x v="27"/>
    <s v="ZTE1002"/>
    <s v="Pcs"/>
    <n v="25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1704"/>
    <n v="12"/>
    <x v="1"/>
    <s v="OUB-W0012512-006"/>
    <s v="EJ-Malang-01"/>
    <s v="Oka-0813-2707-1646"/>
    <d v="2025-12-15T00:00:00"/>
    <d v="1899-12-30T11:50:00"/>
    <s v="EJ-MALANG-01"/>
    <x v="0"/>
    <x v="27"/>
    <s v="ZTE1002"/>
    <s v="Pcs"/>
    <n v="31"/>
    <s v="CLR51-99-382"/>
    <x v="116"/>
    <m/>
    <m/>
    <m/>
    <s v="Riki Romansyah"/>
    <s v="Suliadi"/>
    <s v="3507050501950006"/>
    <s v="N 8420 EL"/>
    <m/>
    <m/>
    <s v="DUSUN SIDOAYU KELURAHAN SIDEREJO MALANG"/>
    <e v="#N/A"/>
    <e v="#N/A"/>
    <s v="OUTBOUND_"/>
  </r>
  <r>
    <s v="1705"/>
    <n v="2"/>
    <x v="1"/>
    <s v="OUB-W0012512-011"/>
    <s v="EJ-Malang-01"/>
    <s v="Oka-0813-2707-1646"/>
    <d v="2025-12-18T00:00:00"/>
    <d v="1899-12-30T08:00:00"/>
    <s v="EJ-MALANG-01"/>
    <x v="0"/>
    <x v="27"/>
    <s v="ZTE1002"/>
    <s v="Pcs"/>
    <n v="20"/>
    <s v="CLR51-99-382"/>
    <x v="116"/>
    <m/>
    <m/>
    <m/>
    <s v="Riki Romansyah"/>
    <s v="Suliadi"/>
    <s v="3507050501950006"/>
    <s v="N 8420 EL"/>
    <m/>
    <m/>
    <s v="DUSUN SIDOAYU KELURAHAN SIDEREJO MALANG"/>
    <e v="#N/A"/>
    <e v="#N/A"/>
    <s v="OUTBOUND_"/>
  </r>
  <r>
    <s v="1706"/>
    <n v="2"/>
    <x v="1"/>
    <s v="OUB-W0012512-012"/>
    <s v="EJ-Malang-01"/>
    <s v="Oka-0813-2707-1646"/>
    <d v="2025-12-19T00:00:00"/>
    <d v="1899-12-30T08:00:00"/>
    <s v="EJ-MALANG-01"/>
    <x v="0"/>
    <x v="27"/>
    <s v="ZTE1002"/>
    <s v="Pcs"/>
    <n v="10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1707"/>
    <n v="2"/>
    <x v="1"/>
    <s v="OUB-W0012512-013"/>
    <s v="EJ-Malang-01"/>
    <s v="Oka-0813-2707-1646"/>
    <d v="2025-12-19T00:00:00"/>
    <d v="1899-12-30T13:00:00"/>
    <s v="EJ-MALANG-01"/>
    <x v="0"/>
    <x v="27"/>
    <s v="ZTE1002"/>
    <s v="Pcs"/>
    <n v="18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1708"/>
    <n v="3"/>
    <x v="1"/>
    <s v="OUB-W0012512-014"/>
    <s v="EJ-Malang-01"/>
    <s v="Oka-0813-2707-1646"/>
    <d v="2025-12-20T00:00:00"/>
    <d v="1899-12-30T08:00:00"/>
    <s v="EJ-MALANG-01"/>
    <x v="0"/>
    <x v="27"/>
    <s v="ZTE1002"/>
    <s v="Pcs"/>
    <n v="48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1709"/>
    <n v="4"/>
    <x v="1"/>
    <s v="OUB-W0012512-016"/>
    <s v="EJ-Malang-01"/>
    <s v="Oka-0813-2707-1646"/>
    <d v="2025-12-21T00:00:00"/>
    <d v="1899-12-30T08:00:00"/>
    <s v="EJ-MALANG-01"/>
    <x v="0"/>
    <x v="27"/>
    <s v="ZTE1002"/>
    <s v="Pcs"/>
    <n v="9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1710"/>
    <n v="2"/>
    <x v="1"/>
    <s v="OUB-W0012512-019"/>
    <s v="EJ-Malang-01"/>
    <s v="Oka-0813-2707-1646"/>
    <d v="2025-12-22T00:00:00"/>
    <d v="1899-12-30T13:00:00"/>
    <s v="EJ-MALANG-01"/>
    <x v="0"/>
    <x v="27"/>
    <s v="ZTE1002"/>
    <s v="Pcs"/>
    <n v="17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1711"/>
    <n v="2"/>
    <x v="1"/>
    <s v="OUB-W0012512-020"/>
    <s v="EJ-Malang-01"/>
    <s v="Oka-0813-2707-1646"/>
    <d v="2025-12-23T00:00:00"/>
    <d v="1899-12-30T08:00:00"/>
    <s v="EJ-MALANG-01"/>
    <x v="0"/>
    <x v="27"/>
    <s v="ZTE1002"/>
    <s v="Pcs"/>
    <n v="3"/>
    <s v="CLR51-99-382"/>
    <x v="116"/>
    <m/>
    <m/>
    <m/>
    <s v="Riki Romansyah"/>
    <s v="Suliadi"/>
    <s v="3507050501950006"/>
    <s v="N 8420 EL"/>
    <m/>
    <m/>
    <s v="DUSUN SIDOAYU KELURAHAN SIDEREJO MALANG"/>
    <e v="#N/A"/>
    <e v="#N/A"/>
    <s v="OUTBOUND_"/>
  </r>
  <r>
    <s v="1712"/>
    <n v="1"/>
    <x v="1"/>
    <s v="OUB-W0012601-001"/>
    <s v="EJ-Malang-01"/>
    <s v="Oka-0813-2707-1646"/>
    <d v="2026-01-13T00:00:00"/>
    <d v="1899-12-30T10:32:00"/>
    <s v="EJ-MALANG-01"/>
    <x v="0"/>
    <x v="27"/>
    <s v="ZTE1002"/>
    <s v="Pcs"/>
    <n v="16"/>
    <s v="CLR51-99-381"/>
    <x v="117"/>
    <s v="DOEID25121116"/>
    <s v="DNWID1382025121114"/>
    <s v="A-Good"/>
    <s v="Riki Romansyah"/>
    <s v="Suliadi"/>
    <s v="3507050501950006"/>
    <s v="N 8420 EL"/>
    <m/>
    <m/>
    <s v="DUSUN ARDIREJO KELURAHAN SIDEREJO MALANG"/>
    <d v="2025-12-11T00:00:00"/>
    <b v="0"/>
    <s v="OUTBOUND_"/>
  </r>
  <r>
    <s v="1713"/>
    <n v="2"/>
    <x v="0"/>
    <s v="INB-W0012601-001"/>
    <s v="EJ-Malang-01"/>
    <s v="Oka-0813-2707-1646"/>
    <d v="2026-01-19T00:00:00"/>
    <d v="1899-12-30T06:02:00"/>
    <s v="ZTE Warehouse"/>
    <x v="0"/>
    <x v="27"/>
    <s v="ZTE1002"/>
    <s v="Pcs"/>
    <n v="13"/>
    <s v="CLR44-99-155"/>
    <x v="125"/>
    <s v="DOEID260115MQ"/>
    <s v="DNWID1382026011602"/>
    <m/>
    <s v="Riki Romansyah"/>
    <s v="Suliadi"/>
    <s v="3507050501950006"/>
    <s v="N 8420 EL"/>
    <m/>
    <m/>
    <s v="KEBONAGUNG RW 06 PAKISAJI"/>
    <d v="2026-01-19T00:00:00"/>
    <b v="1"/>
    <s v="OUTBOUND_"/>
  </r>
  <r>
    <s v="1714"/>
    <n v="8"/>
    <x v="0"/>
    <s v="INB-W0012601-001"/>
    <s v="EJ-Malang-01"/>
    <s v="Oka-0813-2707-1646"/>
    <d v="2026-01-19T00:00:00"/>
    <d v="1899-12-30T06:02:00"/>
    <s v="ZTE Warehouse"/>
    <x v="0"/>
    <x v="27"/>
    <s v="ZTE1002"/>
    <s v="Pcs"/>
    <n v="25"/>
    <s v="CLR51-99-196"/>
    <x v="124"/>
    <s v="DOEID260115MP"/>
    <s v="DNWID1382026011601"/>
    <m/>
    <s v="Riki Romansyah"/>
    <s v="Suliadi"/>
    <s v="3507050501950006"/>
    <s v="N 8420 EL"/>
    <m/>
    <m/>
    <s v="Griya Kebon Agung Indah"/>
    <d v="2026-01-19T00:00:00"/>
    <b v="1"/>
    <s v="OUTBOUND_"/>
  </r>
  <r>
    <s v="1715"/>
    <n v="1"/>
    <x v="1"/>
    <s v="OUB-W0012601-002"/>
    <s v="EJ-Malang-01"/>
    <s v="Oka-0813-2707-1646"/>
    <d v="2026-01-20T00:00:00"/>
    <d v="1899-12-30T16:32:00"/>
    <s v="EJ-MALANG-01"/>
    <x v="0"/>
    <x v="27"/>
    <s v="ZTE1002"/>
    <s v="Pcs"/>
    <n v="20"/>
    <s v="CLR44-99-155"/>
    <x v="125"/>
    <s v="DOEID260115MQ"/>
    <s v="DNWID1382026011602"/>
    <m/>
    <s v="Riki Romansyah"/>
    <s v="Suliadi"/>
    <s v="3507050501950006"/>
    <s v="N 8420 EL"/>
    <m/>
    <m/>
    <s v="KEBONAGUNG RW 06 PAKISAJI"/>
    <d v="2026-01-19T00:00:00"/>
    <b v="0"/>
    <s v="OUTBOUND_"/>
  </r>
  <r>
    <s v="1716"/>
    <n v="1"/>
    <x v="1"/>
    <s v="OUB-W0012601-003"/>
    <s v="EJ-Malang-01"/>
    <s v="Oka-0813-2707-1646"/>
    <d v="2026-01-20T00:00:00"/>
    <d v="1899-12-30T16:32:00"/>
    <s v="EJ-MALANG-01"/>
    <x v="0"/>
    <x v="27"/>
    <s v="ZTE1002"/>
    <s v="Pcs"/>
    <n v="25"/>
    <s v="CLR44-99-155"/>
    <x v="124"/>
    <s v="DOEID260115MP"/>
    <s v="DNWID1382026011602"/>
    <m/>
    <s v="Riki Romansyah"/>
    <s v="Suliadi"/>
    <s v="3507050501950006"/>
    <s v="N 8420 EL"/>
    <m/>
    <m/>
    <s v="Griya Kebon Agung Indah"/>
    <d v="2026-01-19T00:00:00"/>
    <b v="0"/>
    <s v="OUTBOUND_"/>
  </r>
  <r>
    <s v="1717"/>
    <m/>
    <x v="0"/>
    <s v="INB-W0012601-002"/>
    <s v="EJ-Malang-01"/>
    <s v="Oka-0813-2707-1646"/>
    <d v="2026-01-20T00:00:00"/>
    <d v="1899-12-30T06:02:00"/>
    <s v="FIELD TEAM"/>
    <x v="0"/>
    <x v="27"/>
    <s v="ZTE1002"/>
    <s v="Pcs"/>
    <n v="8"/>
    <s v="CLR44-99-155"/>
    <x v="125"/>
    <m/>
    <m/>
    <m/>
    <m/>
    <m/>
    <m/>
    <m/>
    <m/>
    <m/>
    <s v="KEBONAGUNG RW 06 PAKISAJI"/>
    <e v="#N/A"/>
    <e v="#N/A"/>
    <s v="OUTBOUND_"/>
  </r>
  <r>
    <s v="1718"/>
    <n v="2"/>
    <x v="1"/>
    <s v="OUB-W0012603-002"/>
    <s v="EJ-Malang-01"/>
    <s v="Oka-0813-2707-1646"/>
    <d v="2026-03-09T00:00:00"/>
    <d v="1899-12-30T19:00:00"/>
    <s v="EJ-MALANG-01"/>
    <x v="0"/>
    <x v="27"/>
    <s v="ZTE1002"/>
    <s v="Pcs"/>
    <n v="25"/>
    <s v="CLR51-99-385"/>
    <x v="126"/>
    <m/>
    <m/>
    <m/>
    <s v="Riki Romansyah"/>
    <s v="Suliadi"/>
    <s v="3507050501950006"/>
    <s v="N 8420 EL"/>
    <m/>
    <m/>
    <s v="LESANPURO RW 01 MALANG"/>
    <e v="#N/A"/>
    <e v="#N/A"/>
    <s v="OUTBOUND_"/>
  </r>
  <r>
    <s v="1719"/>
    <m/>
    <x v="1"/>
    <s v="OUB-W0012603-003"/>
    <s v="EJ-Malang-01"/>
    <s v="Oka-0813-2707-1646"/>
    <d v="2026-03-10T00:00:00"/>
    <d v="1899-12-30T19:00:00"/>
    <s v="EJ-MALANG-01"/>
    <x v="0"/>
    <x v="27"/>
    <s v="ZTE1002"/>
    <s v="Pcs"/>
    <n v="3"/>
    <s v="CLR51-99-385"/>
    <x v="126"/>
    <m/>
    <m/>
    <m/>
    <s v="Riki Romansyah"/>
    <s v="Suliadi"/>
    <s v="3507050501950006"/>
    <s v="N 8420 EL"/>
    <m/>
    <m/>
    <s v="LESANPURO RW 01 MALANG"/>
    <e v="#N/A"/>
    <e v="#N/A"/>
    <s v="OUTBOUND_"/>
  </r>
  <r>
    <s v="1720"/>
    <m/>
    <x v="0"/>
    <s v="INB-W0012603-004"/>
    <s v="EJ-Malang-01"/>
    <s v="Oka-0813-2707-1646"/>
    <d v="2026-03-15T00:00:00"/>
    <d v="1899-12-30T19:00:00"/>
    <s v="FIELD TEAM"/>
    <x v="0"/>
    <x v="27"/>
    <s v="ZTE1002"/>
    <s v="Pcs"/>
    <n v="5"/>
    <s v="CLR51-99-447"/>
    <x v="127"/>
    <m/>
    <m/>
    <m/>
    <m/>
    <m/>
    <m/>
    <m/>
    <m/>
    <m/>
    <s v="SEKARPURO RW 05 MALANG"/>
    <e v="#N/A"/>
    <e v="#N/A"/>
    <s v="OUTBOUND_"/>
  </r>
  <r>
    <s v="1721"/>
    <n v="4"/>
    <x v="1"/>
    <s v="OUB-W0012603-005"/>
    <s v="EJ-Malang-01"/>
    <s v="Oka-0813-2707-1646"/>
    <d v="2026-03-15T00:00:00"/>
    <d v="1899-12-30T19:00:00"/>
    <s v="EJ-MALANG-01"/>
    <x v="0"/>
    <x v="27"/>
    <s v="ZTE1002"/>
    <s v="Pcs"/>
    <n v="11"/>
    <s v="CLR51-99-447"/>
    <x v="127"/>
    <m/>
    <m/>
    <m/>
    <s v="Riki Romansyah"/>
    <s v="Suliadi"/>
    <s v="3507050501950006"/>
    <s v="N 8420 EL"/>
    <m/>
    <m/>
    <s v="SEKARPURO RW 05 MALANG"/>
    <e v="#N/A"/>
    <e v="#N/A"/>
    <s v="OUTBOUND_"/>
  </r>
  <r>
    <s v="1722"/>
    <n v="1"/>
    <x v="1"/>
    <s v="OUB-W0012604-001"/>
    <s v="EJ-Malang-01"/>
    <s v="Oka-0813-2707-1646"/>
    <d v="2026-04-21T00:00:00"/>
    <d v="1899-12-30T07:00:00"/>
    <s v="EJ-MALANG-01"/>
    <x v="0"/>
    <x v="27"/>
    <s v="ZTE1002"/>
    <s v="Pcs"/>
    <n v="10"/>
    <s v="CLR51-99-445"/>
    <x v="129"/>
    <m/>
    <m/>
    <m/>
    <s v="Riki Romansyah"/>
    <s v="Suliadi"/>
    <s v="3507050501950006"/>
    <s v="N 8420 EL"/>
    <m/>
    <m/>
    <s v="SEKARPURO RW 04 MALANG"/>
    <e v="#N/A"/>
    <e v="#N/A"/>
    <s v="OUTBOUND_"/>
  </r>
  <r>
    <s v="1723"/>
    <n v="3"/>
    <x v="1"/>
    <s v="OUB-W0012603-003"/>
    <s v="EJ-Malang-01"/>
    <s v="Oka-0813-2707-1646"/>
    <d v="2026-04-22T00:00:00"/>
    <d v="1899-12-30T06:00:00"/>
    <s v="EJ-MALANG-01"/>
    <x v="0"/>
    <x v="27"/>
    <s v="ZTE1002"/>
    <s v="Pcs"/>
    <n v="1"/>
    <s v="ADJUSTMENT"/>
    <x v="18"/>
    <m/>
    <m/>
    <m/>
    <s v="Fatur"/>
    <s v="Suliadi"/>
    <s v="3515082712870005"/>
    <s v="W 3265 OH"/>
    <s v="ADJUSTMENT"/>
    <m/>
    <s v="ADJUSTMENT"/>
    <e v="#N/A"/>
    <e v="#N/A"/>
    <s v="OUTBOUND_"/>
  </r>
  <r>
    <s v="1724"/>
    <n v="1"/>
    <x v="1"/>
    <s v="OUB-W0012605-001"/>
    <s v="EJ-Malang-01"/>
    <s v="Oka-0813-2707-1646"/>
    <d v="2026-05-11T00:00:00"/>
    <d v="1899-12-30T18:18:00"/>
    <s v="EJ-MALANG-01"/>
    <x v="0"/>
    <x v="27"/>
    <s v="ZTE1002"/>
    <s v="Pcs"/>
    <n v="8"/>
    <s v="CLR51-99-506"/>
    <x v="130"/>
    <m/>
    <m/>
    <m/>
    <s v="Riki Romansyah"/>
    <s v="Suliadi"/>
    <s v="3507050501950006"/>
    <s v="N 8420 EL"/>
    <m/>
    <m/>
    <s v="WONOKOYO RW 05 KEDUNGKANDANG"/>
    <e v="#N/A"/>
    <e v="#N/A"/>
    <s v="OUTBOUND_"/>
  </r>
  <r>
    <s v="1725"/>
    <n v="2"/>
    <x v="0"/>
    <s v="INB-W0012605-002"/>
    <s v="EJ-Malang-01"/>
    <s v="Oka-0813-2707-1646"/>
    <d v="2026-05-22T00:00:00"/>
    <d v="1899-12-30T17:49:00"/>
    <s v="ZTE Warehouse"/>
    <x v="0"/>
    <x v="27"/>
    <s v="ZTE1002"/>
    <s v="Pcs"/>
    <n v="8"/>
    <s v="CLR51-99-658"/>
    <x v="131"/>
    <s v="DOEID260522B7"/>
    <n v="0"/>
    <m/>
    <m/>
    <m/>
    <m/>
    <m/>
    <m/>
    <m/>
    <s v="SUMBERSEKAR RT 07 RW 04 MALANG"/>
    <d v="2026-05-22T00:00:00"/>
    <b v="1"/>
    <s v="OUTBOUND_"/>
  </r>
  <r>
    <s v="1726"/>
    <n v="2"/>
    <x v="1"/>
    <s v="OUB-W0012605-002"/>
    <s v="EJ-Malang-01"/>
    <s v="Oka-0813-2707-1646"/>
    <d v="2026-05-23T00:00:00"/>
    <d v="1899-12-30T17:49:00"/>
    <s v="EJ-MALANG-01"/>
    <x v="0"/>
    <x v="27"/>
    <s v="ZTE1002"/>
    <s v="Pcs"/>
    <n v="13"/>
    <s v="CLR51-99-658"/>
    <x v="131"/>
    <m/>
    <m/>
    <m/>
    <s v="Sifak"/>
    <s v="Suliadi"/>
    <s v="3507312107950002"/>
    <s v="N 1969 FF"/>
    <m/>
    <m/>
    <s v="SUMBERSEKAR RT 07 RW 04 MALANG"/>
    <e v="#N/A"/>
    <e v="#N/A"/>
    <s v="OUTBOUND_"/>
  </r>
  <r>
    <s v="1727"/>
    <n v="4"/>
    <x v="0"/>
    <s v="INB-W0012606-001"/>
    <s v="EJ-Malang-01"/>
    <s v="Oka-0813-2707-1646"/>
    <d v="2026-06-18T00:00:00"/>
    <d v="1899-12-30T06:00:00"/>
    <s v="ZTE Warehouse"/>
    <x v="0"/>
    <x v="27"/>
    <s v="ZTE1002"/>
    <s v="Pcs"/>
    <n v="16"/>
    <s v="CLR51-99-483"/>
    <x v="132"/>
    <s v="DOEID26052978"/>
    <n v="0"/>
    <m/>
    <m/>
    <m/>
    <m/>
    <m/>
    <m/>
    <m/>
    <s v="RANDUANGUNG RW 04 SINGOSARI MALANG"/>
    <d v="2026-06-18T00:00:00"/>
    <b v="1"/>
    <s v="OUTBOUND_"/>
  </r>
  <r>
    <s v="1728"/>
    <m/>
    <x v="1"/>
    <s v="OUB-W0012606-002"/>
    <s v="EJ-Malang-01"/>
    <s v="Oka-0813-2707-1647"/>
    <d v="2026-06-22T00:00:00"/>
    <d v="1899-12-30T09:00:00"/>
    <s v="EJ-MALANG-01"/>
    <x v="0"/>
    <x v="27"/>
    <s v="ZTE1002"/>
    <s v="Pcs"/>
    <n v="21"/>
    <s v="CLR51-99-483"/>
    <x v="132"/>
    <m/>
    <m/>
    <m/>
    <s v="Riki Romansyah"/>
    <s v="Suliadi"/>
    <s v="3507050501950006"/>
    <s v="N 8420 EL"/>
    <m/>
    <m/>
    <s v="RANDUANGUNG RW 04 SINGOSARI MALANG"/>
    <e v="#N/A"/>
    <e v="#N/A"/>
    <s v="OUTBOUND_"/>
  </r>
  <r>
    <s v="1729"/>
    <m/>
    <x v="1"/>
    <s v="OUB-W0012606-003"/>
    <s v="EJ-Malang-01"/>
    <s v="Oka-0813-2707-1647"/>
    <d v="2026-06-23T00:00:00"/>
    <d v="1899-12-30T09:00:00"/>
    <s v="EJ-MALANG-01"/>
    <x v="0"/>
    <x v="27"/>
    <s v="ZTE1002"/>
    <s v="Pcs"/>
    <n v="7"/>
    <s v="CLR51-99-483"/>
    <x v="132"/>
    <m/>
    <m/>
    <m/>
    <s v="Riki Romansyah"/>
    <s v="Suliadi"/>
    <s v="3507050501950006"/>
    <s v="N 8420 EL"/>
    <m/>
    <m/>
    <s v="RANDUANGUNG RW 04 SINGOSARI MALANG"/>
    <e v="#N/A"/>
    <e v="#N/A"/>
    <s v="OUTBOUND_"/>
  </r>
  <r>
    <s v="1730"/>
    <m/>
    <x v="1"/>
    <s v="OUB-W0012606-004"/>
    <s v="EJ-Malang-01"/>
    <s v="Oka-0813-2707-1647"/>
    <d v="2026-06-25T00:00:00"/>
    <d v="1899-12-30T21:00:00"/>
    <s v="EJ-MALANG-01"/>
    <x v="0"/>
    <x v="27"/>
    <s v="ZTE1002"/>
    <s v="Pcs"/>
    <n v="13"/>
    <s v="CLR51-99-678"/>
    <x v="133"/>
    <m/>
    <m/>
    <m/>
    <s v="Riki Romansyah"/>
    <s v="Suliadi"/>
    <s v="3507050501950006"/>
    <s v="N 8420 EL"/>
    <m/>
    <m/>
    <s v="KAMBINGAN RW 04 MALANG"/>
    <e v="#N/A"/>
    <e v="#N/A"/>
    <s v="OUTBOUND_"/>
  </r>
  <r>
    <s v="1731"/>
    <m/>
    <x v="1"/>
    <s v="OUB-W0012606-006"/>
    <s v="EJ-Malang-01"/>
    <s v="Oka-0813-2707-1647"/>
    <d v="2026-06-29T00:00:00"/>
    <d v="1899-12-30T06:00:00"/>
    <s v="EJ-MALANG-01"/>
    <x v="0"/>
    <x v="27"/>
    <s v="ZTE1002"/>
    <s v="Pcs"/>
    <n v="14"/>
    <s v="CLR51-99-678"/>
    <x v="133"/>
    <m/>
    <m/>
    <m/>
    <s v="Riki Romansyah"/>
    <s v="Suliadi"/>
    <s v="3507050501950006"/>
    <s v="N 8420 EL"/>
    <m/>
    <m/>
    <s v="KAMBINGAN RW 04 MALANG"/>
    <e v="#N/A"/>
    <e v="#N/A"/>
    <s v="OUTBOUND_"/>
  </r>
  <r>
    <s v="1732"/>
    <m/>
    <x v="0"/>
    <s v="INB-W0012607-001"/>
    <s v="EJ-Malang-01"/>
    <s v="Oka-0813-2707-1646"/>
    <d v="2026-07-09T00:00:00"/>
    <d v="1899-12-30T06:00:00"/>
    <s v="ZTE Warehouse"/>
    <x v="0"/>
    <x v="27"/>
    <s v="ZTE1002"/>
    <s v="Pcs"/>
    <n v="23"/>
    <s v="CLR51-99-662"/>
    <x v="134"/>
    <s v="DOEID260708AM"/>
    <s v="DNWID0362026070821"/>
    <m/>
    <m/>
    <m/>
    <m/>
    <m/>
    <m/>
    <m/>
    <s v="KESATRIAN RW 09 MALANG"/>
    <d v="2026-07-09T00:00:00"/>
    <b v="1"/>
    <s v="OUTBOUND_"/>
  </r>
  <r>
    <s v="1733"/>
    <m/>
    <x v="1"/>
    <s v="OUB-W0012607-003"/>
    <s v="EJ-Malang-01"/>
    <s v="Oka-0813-2707-1646"/>
    <d v="2026-07-11T00:00:00"/>
    <d v="1899-12-30T06:00:00"/>
    <s v="EJ-MALANG-01"/>
    <x v="0"/>
    <x v="27"/>
    <s v="ZTE1002"/>
    <s v="Pcs"/>
    <n v="14"/>
    <s v="CLR51-99-662"/>
    <x v="134"/>
    <m/>
    <m/>
    <m/>
    <s v="Riki Romansyah"/>
    <s v="Suliadi"/>
    <s v="3507050501950006"/>
    <s v="N 8420 EL"/>
    <m/>
    <m/>
    <s v="KESATRIAN RW 09 MALANG"/>
    <e v="#N/A"/>
    <e v="#N/A"/>
    <s v="OUTBOUND_"/>
  </r>
  <r>
    <s v="1734"/>
    <m/>
    <x v="1"/>
    <s v="OUB-W0012607-004"/>
    <s v="EJ-Malang-01"/>
    <s v="Oka-0813-2707-1646"/>
    <d v="2026-07-12T00:00:00"/>
    <d v="1899-12-30T06:00:00"/>
    <s v="EJ-MALANG-01"/>
    <x v="0"/>
    <x v="27"/>
    <s v="ZTE1002"/>
    <s v="Pcs"/>
    <n v="9"/>
    <s v="CLR51-99-662"/>
    <x v="134"/>
    <m/>
    <m/>
    <m/>
    <s v="Riki Romansyah"/>
    <s v="Suliadi"/>
    <s v="3507050501950006"/>
    <s v="N 8420 EL"/>
    <m/>
    <m/>
    <s v="KESATRIAN RW 09 MALANG"/>
    <e v="#N/A"/>
    <e v="#N/A"/>
    <s v="OUTBOUND_"/>
  </r>
  <r>
    <s v="1735"/>
    <n v="6"/>
    <x v="0"/>
    <s v="INB-W0012308-1"/>
    <s v="EJ-Malang-01"/>
    <s v="Oka-0813-2707-1646"/>
    <d v="2023-08-04T00:00:00"/>
    <d v="1900-01-14T07:00:00"/>
    <s v="ZTE Warehouse"/>
    <x v="0"/>
    <x v="28"/>
    <s v="ZTE1001"/>
    <s v="Pcs"/>
    <n v="56"/>
    <s v="CLR51-99-004"/>
    <x v="19"/>
    <s v="DOEID23080181"/>
    <s v="DNWID0362023080308"/>
    <m/>
    <m/>
    <m/>
    <m/>
    <m/>
    <m/>
    <m/>
    <s v="Perumahan Bumi Podo Rukun Dau"/>
    <d v="2023-08-04T00:00:00"/>
    <b v="1"/>
    <s v="OUTBOUND_"/>
  </r>
  <r>
    <s v="1736"/>
    <m/>
    <x v="1"/>
    <s v="OUB-W0012308-2"/>
    <s v="EJ-Malang-01"/>
    <s v="Oka-0813-2707-1646"/>
    <d v="2023-08-06T00:00:00"/>
    <d v="1900-01-14T07:00:24"/>
    <s v="EJ-MALANG-01"/>
    <x v="0"/>
    <x v="28"/>
    <s v="ZTE1001"/>
    <s v="Pcs"/>
    <n v="12"/>
    <s v="CLR51-99-004"/>
    <x v="19"/>
    <m/>
    <m/>
    <m/>
    <s v="Agus Suyoto"/>
    <s v="Febby Supplier"/>
    <s v="`3515171206680002"/>
    <s v="B 9407UT"/>
    <m/>
    <m/>
    <s v="Perumahan Bumi Podo Rukun Dau"/>
    <e v="#N/A"/>
    <e v="#N/A"/>
    <s v="OUTBOUND_"/>
  </r>
  <r>
    <s v="1737"/>
    <m/>
    <x v="1"/>
    <s v="OUB-W0012308-3"/>
    <s v="EJ-Malang-01"/>
    <s v="Oka-0813-2707-1646"/>
    <d v="2023-08-07T00:00:00"/>
    <d v="1900-01-14T08:00:24"/>
    <s v="EJ-MALANG-01"/>
    <x v="0"/>
    <x v="28"/>
    <s v="ZTE1001"/>
    <s v="Pcs"/>
    <n v="15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1738"/>
    <m/>
    <x v="1"/>
    <s v="OUB-W0012308-4"/>
    <s v="EJ-Malang-01"/>
    <s v="Oka-0813-2707-1646"/>
    <d v="2023-08-08T00:00:00"/>
    <d v="1900-01-14T08:01:24"/>
    <s v="EJ-MALANG-01"/>
    <x v="0"/>
    <x v="28"/>
    <s v="ZTE1001"/>
    <s v="Pcs"/>
    <n v="13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1739"/>
    <m/>
    <x v="1"/>
    <s v="OUB-W0012308-5"/>
    <s v="EJ-Malang-01"/>
    <s v="Oka-0813-2707-1646"/>
    <d v="2023-08-09T00:00:00"/>
    <d v="1900-01-14T07:37:24"/>
    <s v="EJ-MALANG-01"/>
    <x v="0"/>
    <x v="28"/>
    <s v="ZTE1001"/>
    <s v="Pcs"/>
    <n v="16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1740"/>
    <m/>
    <x v="0"/>
    <s v="INB-W0012309-15"/>
    <s v="EJ-Malang-01"/>
    <s v="Oka-0813-2707-1646"/>
    <d v="2023-09-01T00:00:00"/>
    <d v="1900-01-14T07:00:00"/>
    <s v="ZTE Warehouse"/>
    <x v="0"/>
    <x v="28"/>
    <s v="ZTE1001"/>
    <s v="Pcs"/>
    <n v="30"/>
    <s v="CLR51-99-006"/>
    <x v="23"/>
    <s v="DOEID23082834"/>
    <s v="DNWID0362023082902"/>
    <m/>
    <m/>
    <m/>
    <m/>
    <m/>
    <m/>
    <m/>
    <s v="Mulyorejo RW 04 Sukun"/>
    <d v="2023-09-01T00:00:00"/>
    <b v="1"/>
    <s v="OUTBOUND_"/>
  </r>
  <r>
    <s v="1741"/>
    <m/>
    <x v="1"/>
    <s v="OUB-W0012309-16"/>
    <s v="EJ-Malang-01"/>
    <s v="Oka-0813-2707-1646"/>
    <d v="2023-09-02T00:00:00"/>
    <d v="1899-12-30T08:07:00"/>
    <s v="EJ-MALANG-01"/>
    <x v="0"/>
    <x v="28"/>
    <s v="ZTE1001"/>
    <s v="Pcs"/>
    <n v="16"/>
    <s v="CLR51-99-006"/>
    <x v="23"/>
    <m/>
    <m/>
    <m/>
    <s v="Agus Suyoto"/>
    <s v="Febby Supplier"/>
    <s v="3515171206680002"/>
    <s v="N 8267 TE"/>
    <m/>
    <m/>
    <s v="Mulyorejo RW 04 Sukun"/>
    <e v="#N/A"/>
    <e v="#N/A"/>
    <s v="OUTBOUND_"/>
  </r>
  <r>
    <s v="1742"/>
    <m/>
    <x v="1"/>
    <s v="OUB-W0012309-17"/>
    <s v="EJ-Malang-01"/>
    <s v="Oka-0813-2707-1646"/>
    <d v="2023-09-03T00:00:00"/>
    <d v="1899-12-30T07:47:00"/>
    <s v="EJ-MALANG-01"/>
    <x v="0"/>
    <x v="28"/>
    <s v="ZTE1001"/>
    <s v="Pcs"/>
    <n v="12"/>
    <s v="CLR51-99-006"/>
    <x v="23"/>
    <m/>
    <m/>
    <m/>
    <s v="Asmat"/>
    <s v="Febby Supplier"/>
    <s v="3515171206680002"/>
    <s v="N 8267 TE"/>
    <m/>
    <m/>
    <s v="Mulyorejo RW 04 Sukun"/>
    <e v="#N/A"/>
    <e v="#N/A"/>
    <s v="OUTBOUND_"/>
  </r>
  <r>
    <s v="1743"/>
    <m/>
    <x v="1"/>
    <s v="OUB-W0012309-18"/>
    <s v="EJ-Malang-01"/>
    <s v="Oka-0813-2707-1646"/>
    <d v="2023-09-04T00:00:00"/>
    <d v="1899-12-30T07:38:00"/>
    <s v="EJ-MALANG-01"/>
    <x v="0"/>
    <x v="28"/>
    <s v="ZTE1001"/>
    <s v="Pcs"/>
    <n v="2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1744"/>
    <m/>
    <x v="0"/>
    <s v="INB-W0012309-30"/>
    <s v="EJ-Malang-01"/>
    <s v="Oka-0813-2707-1646"/>
    <d v="2023-09-16T00:00:00"/>
    <d v="1900-01-14T07:00:00"/>
    <s v="ZTE Warehouse"/>
    <x v="0"/>
    <x v="28"/>
    <s v="ZTE1001"/>
    <s v="Pcs"/>
    <n v="23"/>
    <s v="CLR51-99-013"/>
    <x v="26"/>
    <s v="DOEID23091557"/>
    <s v="DNWID0362023091502"/>
    <m/>
    <s v="Ahmad Subari"/>
    <m/>
    <m/>
    <m/>
    <m/>
    <m/>
    <s v="Pandan Landung RW 03 Wagir"/>
    <d v="2023-09-16T00:00:00"/>
    <b v="1"/>
    <s v="OUTBOUND_"/>
  </r>
  <r>
    <s v="1745"/>
    <m/>
    <x v="0"/>
    <s v="INB-W0012309-30"/>
    <s v="EJ-Malang-01"/>
    <s v="Oka-0813-2707-1646"/>
    <d v="2023-09-16T00:00:00"/>
    <d v="1900-01-14T07:00:00"/>
    <s v="ZTE Warehouse"/>
    <x v="0"/>
    <x v="28"/>
    <s v="ZTE1001"/>
    <s v="Pcs"/>
    <n v="42"/>
    <s v="CLR51-99-014"/>
    <x v="29"/>
    <s v="DOEID23091555"/>
    <s v="DNWID0362023091501"/>
    <m/>
    <s v="Ahmad Subari"/>
    <m/>
    <m/>
    <m/>
    <m/>
    <m/>
    <s v="Pandan Landung RW 04 Wagir"/>
    <d v="2023-09-16T00:00:00"/>
    <b v="1"/>
    <s v="OUTBOUND_"/>
  </r>
  <r>
    <s v="1746"/>
    <m/>
    <x v="0"/>
    <s v="INB-W0012309-31"/>
    <s v="EJ-Malang-01"/>
    <s v="Oka-0813-2707-1646"/>
    <d v="2023-09-19T00:00:00"/>
    <d v="1900-01-14T07:00:00"/>
    <s v="ZTE Warehouse"/>
    <x v="0"/>
    <x v="28"/>
    <s v="ZTE1001"/>
    <s v="Pcs"/>
    <n v="18"/>
    <s v="CLR51-99-007"/>
    <x v="25"/>
    <s v="DOEID230918DX"/>
    <s v="DNWID0362023091803"/>
    <m/>
    <m/>
    <m/>
    <m/>
    <m/>
    <m/>
    <m/>
    <s v="Mulyorejo RW 06 Sukun"/>
    <d v="2023-09-19T00:00:00"/>
    <b v="1"/>
    <s v="OUTBOUND_"/>
  </r>
  <r>
    <s v="1747"/>
    <m/>
    <x v="0"/>
    <s v="INB-W0012309-32"/>
    <s v="EJ-Malang-01"/>
    <s v="Oka-0813-2707-1646"/>
    <d v="2023-09-20T00:00:00"/>
    <d v="1900-01-14T07:00:00"/>
    <s v="ZTE Warehouse"/>
    <x v="0"/>
    <x v="28"/>
    <s v="ZTE1001"/>
    <s v="Pcs"/>
    <n v="120"/>
    <s v="CLR51-02-001"/>
    <x v="20"/>
    <s v="DOEID230919BG"/>
    <s v="DNWID0362023091906"/>
    <m/>
    <m/>
    <m/>
    <m/>
    <m/>
    <m/>
    <m/>
    <s v="Puncak Dieng Exlusif"/>
    <d v="2023-09-20T00:00:00"/>
    <b v="1"/>
    <s v="OUTBOUND_"/>
  </r>
  <r>
    <s v="1748"/>
    <m/>
    <x v="1"/>
    <s v="OUB-W0012309-33"/>
    <s v="EJ-Malang-01"/>
    <s v="Oka-0813-2707-1646"/>
    <d v="2023-09-21T00:00:00"/>
    <d v="1899-12-30T09:09:00"/>
    <s v="EJ-MALANG-01"/>
    <x v="0"/>
    <x v="28"/>
    <s v="ZTE1001"/>
    <s v="Pcs"/>
    <n v="17"/>
    <s v="CLR51-02-001"/>
    <x v="20"/>
    <m/>
    <m/>
    <m/>
    <s v="Khoiri "/>
    <s v="Khoiri Supplier"/>
    <s v="3507330905820002"/>
    <s v="N 8638 ES"/>
    <m/>
    <m/>
    <s v="Puncak Dieng Exlusif"/>
    <e v="#N/A"/>
    <e v="#N/A"/>
    <s v="OUTBOUND_"/>
  </r>
  <r>
    <s v="1749"/>
    <m/>
    <x v="1"/>
    <s v="OUB-W0012309-34"/>
    <s v="EJ-Malang-01"/>
    <s v="Oka-0813-2707-1646"/>
    <d v="2023-09-21T00:00:00"/>
    <d v="1899-12-30T09:30:00"/>
    <s v="EJ-MALANG-01"/>
    <x v="0"/>
    <x v="28"/>
    <s v="ZTE1001"/>
    <s v="Pcs"/>
    <n v="17"/>
    <s v="CLR51-02-001"/>
    <x v="20"/>
    <m/>
    <m/>
    <m/>
    <s v="Khoiri "/>
    <s v="Khoiri Supplier"/>
    <s v="3507330905820002"/>
    <s v="N 8408 CB"/>
    <m/>
    <m/>
    <s v="Puncak Dieng Exlusif"/>
    <e v="#N/A"/>
    <e v="#N/A"/>
    <s v="OUTBOUND_"/>
  </r>
  <r>
    <s v="1750"/>
    <m/>
    <x v="1"/>
    <s v="OUB-W0012309-35"/>
    <s v="EJ-Malang-01"/>
    <s v="Oka-0813-2707-1646"/>
    <d v="2023-09-21T00:00:00"/>
    <d v="1899-12-30T10:30:00"/>
    <s v="EJ-MALANG-01"/>
    <x v="0"/>
    <x v="28"/>
    <s v="ZTE1001"/>
    <s v="Pcs"/>
    <n v="22"/>
    <s v="CLR51-99-013"/>
    <x v="26"/>
    <m/>
    <m/>
    <m/>
    <s v="Ahmad Subari"/>
    <s v="Khoiri Supplier"/>
    <s v="3507150401800010"/>
    <s v="N 9609 EF"/>
    <m/>
    <m/>
    <s v="Pandan Landung RW 03 Wagir"/>
    <e v="#N/A"/>
    <e v="#N/A"/>
    <s v="OUTBOUND_"/>
  </r>
  <r>
    <s v="1751"/>
    <m/>
    <x v="1"/>
    <s v="OUB-W0012309-36"/>
    <s v="EJ-Malang-01"/>
    <s v="Oka-0813-2707-1646"/>
    <d v="2023-09-22T00:00:00"/>
    <d v="1899-12-30T09:20:00"/>
    <s v="EJ-MALANG-01"/>
    <x v="0"/>
    <x v="28"/>
    <s v="ZTE1001"/>
    <s v="Pcs"/>
    <n v="19"/>
    <s v="CLR51-99-014"/>
    <x v="29"/>
    <m/>
    <m/>
    <m/>
    <s v="Ahmad Subari"/>
    <s v="Khoiri Supplier"/>
    <s v="3507150401800010"/>
    <s v="N 9609 EF"/>
    <m/>
    <m/>
    <s v="Pandan Landung RW 04 Wagir"/>
    <e v="#N/A"/>
    <e v="#N/A"/>
    <s v="OUTBOUND_"/>
  </r>
  <r>
    <s v="1752"/>
    <m/>
    <x v="1"/>
    <s v="OUB-W0012309-39"/>
    <s v="EJ-Malang-01"/>
    <s v="Oka-0813-2707-1646"/>
    <d v="2023-09-23T00:00:00"/>
    <d v="1899-12-30T14:08:00"/>
    <s v="EJ-MALANG-01"/>
    <x v="0"/>
    <x v="28"/>
    <s v="ZTE1001"/>
    <s v="Pcs"/>
    <n v="5"/>
    <s v="CLR51-99-007"/>
    <x v="25"/>
    <m/>
    <m/>
    <m/>
    <s v="Khoiri"/>
    <s v="Khoiri Supplier"/>
    <s v="3507330905820002"/>
    <s v="N 8408 CB"/>
    <m/>
    <m/>
    <s v="Mulyorejo RW 06 Sukun"/>
    <e v="#N/A"/>
    <e v="#N/A"/>
    <s v="OUTBOUND_"/>
  </r>
  <r>
    <s v="1753"/>
    <m/>
    <x v="1"/>
    <s v="OUB-W0012309-39"/>
    <s v="EJ-Malang-01"/>
    <s v="Oka-0813-2707-1646"/>
    <d v="2023-09-23T00:00:00"/>
    <d v="1899-12-30T14:08:00"/>
    <s v="EJ-MALANG-01"/>
    <x v="0"/>
    <x v="28"/>
    <s v="ZTE1001"/>
    <s v="Pcs"/>
    <n v="9"/>
    <s v="CLR51-02-001"/>
    <x v="20"/>
    <m/>
    <m/>
    <m/>
    <s v="Khoiri"/>
    <s v="Khoiri Supplier"/>
    <s v="3507330905820002"/>
    <s v="N 8638 ES"/>
    <m/>
    <m/>
    <s v="Puncak Dieng Exlusif"/>
    <e v="#N/A"/>
    <e v="#N/A"/>
    <s v="OUTBOUND_"/>
  </r>
  <r>
    <s v="1754"/>
    <m/>
    <x v="1"/>
    <s v="OUB-W0012309-38"/>
    <s v="EJ-Malang-01"/>
    <s v="Oka-0813-2707-1646"/>
    <d v="2023-09-23T00:00:00"/>
    <d v="1899-12-30T07:07:00"/>
    <s v="EJ-MALANG-01"/>
    <x v="0"/>
    <x v="28"/>
    <s v="ZTE1001"/>
    <s v="Pcs"/>
    <n v="11"/>
    <s v="CLR51-99-007"/>
    <x v="25"/>
    <m/>
    <m/>
    <m/>
    <s v="Khoiri"/>
    <s v="Khoiri Supplier"/>
    <s v="3507330905820002"/>
    <s v="N 8408 CB"/>
    <m/>
    <m/>
    <s v="Mulyorejo RW 06 Sukun"/>
    <e v="#N/A"/>
    <e v="#N/A"/>
    <s v="OUTBOUND_"/>
  </r>
  <r>
    <s v="1755"/>
    <m/>
    <x v="1"/>
    <s v="OUB-W0012309-38"/>
    <s v="EJ-Malang-01"/>
    <s v="Oka-0813-2707-1646"/>
    <d v="2023-09-23T00:00:00"/>
    <d v="1899-12-30T07:07:00"/>
    <s v="EJ-MALANG-01"/>
    <x v="0"/>
    <x v="28"/>
    <s v="ZTE1001"/>
    <s v="Pcs"/>
    <n v="17"/>
    <s v="CLR51-02-001"/>
    <x v="20"/>
    <m/>
    <m/>
    <m/>
    <s v="Khoiri"/>
    <s v="Khoiri Supplier"/>
    <s v="3507330905820002"/>
    <s v="N 8638 ES"/>
    <m/>
    <m/>
    <s v="Puncak Dieng Exlusif"/>
    <e v="#N/A"/>
    <e v="#N/A"/>
    <s v="OUTBOUND_"/>
  </r>
  <r>
    <s v="1756"/>
    <m/>
    <x v="1"/>
    <s v="OUB-W0012309-41"/>
    <s v="EJ-Malang-01"/>
    <s v="Oka-0813-2707-1646"/>
    <d v="2023-09-24T00:00:00"/>
    <d v="1899-12-30T07:36:00"/>
    <s v="EJ-MALANG-01"/>
    <x v="0"/>
    <x v="28"/>
    <s v="ZTE1001"/>
    <s v="Pcs"/>
    <n v="1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1757"/>
    <m/>
    <x v="1"/>
    <s v="OUB-W0012309-46"/>
    <s v="EJ-Malang-01"/>
    <s v="Oka-0813-2707-1646"/>
    <d v="2023-09-26T00:00:00"/>
    <d v="1899-12-30T06:30:00"/>
    <s v="EJ-MALANG-01"/>
    <x v="0"/>
    <x v="28"/>
    <s v="ZTE1001"/>
    <s v="Pcs"/>
    <n v="2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1758"/>
    <m/>
    <x v="1"/>
    <s v="OUB-W0012309-49"/>
    <s v="EJ-Malang-01"/>
    <s v="Oka-0813-2707-1646"/>
    <d v="2023-09-27T00:00:00"/>
    <d v="1899-12-30T06:37:00"/>
    <s v="EJ-MALANG-01"/>
    <x v="0"/>
    <x v="28"/>
    <s v="ZTE1001"/>
    <s v="Pcs"/>
    <n v="4"/>
    <s v="CLR51-02-001"/>
    <x v="20"/>
    <m/>
    <m/>
    <m/>
    <s v="Khoiri "/>
    <s v="Khoiri Supplier"/>
    <s v="3507330905820002"/>
    <s v="N 8638 ES"/>
    <m/>
    <m/>
    <s v="Puncak Dieng Exlusif"/>
    <e v="#N/A"/>
    <e v="#N/A"/>
    <s v="OUTBOUND_"/>
  </r>
  <r>
    <s v="1759"/>
    <m/>
    <x v="1"/>
    <s v="OUB-W0012309-52"/>
    <s v="EJ-Malang-01"/>
    <s v="Oka-0813-2707-1646"/>
    <d v="2023-09-28T00:00:00"/>
    <d v="1899-12-30T06:57:00"/>
    <s v="EJ-MALANG-01"/>
    <x v="0"/>
    <x v="28"/>
    <s v="ZTE1001"/>
    <s v="Pcs"/>
    <n v="9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1760"/>
    <m/>
    <x v="1"/>
    <s v="OUB-W0012309-53"/>
    <s v="EJ-Malang-01"/>
    <s v="Oka-0813-2707-1646"/>
    <d v="2023-09-28T00:00:00"/>
    <d v="1899-12-30T08:47:00"/>
    <s v="EJ-MALANG-01"/>
    <x v="0"/>
    <x v="28"/>
    <s v="ZTE1001"/>
    <s v="Pcs"/>
    <n v="17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1761"/>
    <m/>
    <x v="1"/>
    <s v="OUB-W0012310-55"/>
    <s v="EJ-Malang-01"/>
    <s v="Oka-0813-2707-1646"/>
    <d v="2023-10-01T00:00:00"/>
    <d v="1899-12-30T06:30:00"/>
    <s v="EJ-MALANG-01"/>
    <x v="0"/>
    <x v="28"/>
    <s v="ZTE1001"/>
    <s v="Pcs"/>
    <n v="17"/>
    <s v="CLR51-02-001"/>
    <x v="20"/>
    <m/>
    <m/>
    <m/>
    <s v="Khoiri"/>
    <s v="Khoiri Supplier"/>
    <s v="3507330905820002"/>
    <s v="N 8638 ES"/>
    <m/>
    <m/>
    <s v="Puncak Dieng Exlusif"/>
    <e v="#N/A"/>
    <e v="#N/A"/>
    <s v="OUTBOUND_"/>
  </r>
  <r>
    <s v="1762"/>
    <m/>
    <x v="1"/>
    <s v="OUB-W0012310-59"/>
    <s v="EJ-Malang-01"/>
    <s v="Oka-0813-2707-1646"/>
    <d v="2023-10-04T00:00:00"/>
    <d v="1899-12-30T09:40:00"/>
    <s v="EJ-MALANG-01"/>
    <x v="0"/>
    <x v="28"/>
    <s v="ZTE1001"/>
    <s v="Pcs"/>
    <n v="1"/>
    <s v="CLR51-99-014"/>
    <x v="29"/>
    <m/>
    <m/>
    <m/>
    <s v="Ahmad Subari"/>
    <n v="0"/>
    <s v="3507150401800010"/>
    <s v="N 9609 EF"/>
    <m/>
    <m/>
    <s v="Pandan Landung RW 04 Wagir"/>
    <e v="#N/A"/>
    <e v="#N/A"/>
    <s v="OUTBOUND_"/>
  </r>
  <r>
    <s v="1763"/>
    <m/>
    <x v="1"/>
    <s v="OUB-W0012310-62"/>
    <s v="EJ-Malang-01"/>
    <s v="Oka-0813-2707-1646"/>
    <d v="2023-10-06T00:00:00"/>
    <d v="1899-12-30T09:27:00"/>
    <s v="EJ-MALANG-01"/>
    <x v="0"/>
    <x v="28"/>
    <s v="ZTE1001"/>
    <s v="Pcs"/>
    <n v="4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1764"/>
    <m/>
    <x v="1"/>
    <s v="OUB-W0012310-68"/>
    <s v="EJ-Malang-01"/>
    <s v="Oka-0813-2707-1646"/>
    <d v="2023-10-11T00:00:00"/>
    <d v="1899-12-30T21:34:00"/>
    <s v="EJ-MALANG-01"/>
    <x v="0"/>
    <x v="28"/>
    <s v="ZTE1001"/>
    <s v="Pcs"/>
    <n v="1"/>
    <s v="CLR51-99-004"/>
    <x v="19"/>
    <m/>
    <m/>
    <m/>
    <s v="Mohammad Febbi H"/>
    <s v="Febby Supplier"/>
    <s v="3524052002930003"/>
    <s v=" W 8940 PC"/>
    <m/>
    <m/>
    <s v="Perumahan Bumi Podo Rukun Dau"/>
    <e v="#N/A"/>
    <e v="#N/A"/>
    <s v="OUTBOUND_"/>
  </r>
  <r>
    <s v="1765"/>
    <m/>
    <x v="0"/>
    <s v="INB-W0012310-75"/>
    <s v="EJ-Malang-01"/>
    <s v="Oka-0813-2707-1646"/>
    <d v="2023-10-14T00:00:00"/>
    <d v="1900-01-14T07:00:00"/>
    <s v="ZTE Warehouse"/>
    <x v="0"/>
    <x v="28"/>
    <s v="ZTE1001"/>
    <s v="Pcs"/>
    <n v="14"/>
    <s v="CLR51-99-021"/>
    <x v="27"/>
    <s v="DOEID231013AW"/>
    <s v="DNWID0362023101402"/>
    <m/>
    <m/>
    <m/>
    <m/>
    <m/>
    <m/>
    <m/>
    <s v="Jedong RW 09 Wagir"/>
    <d v="2023-10-14T00:00:00"/>
    <b v="1"/>
    <s v="OUTBOUND_"/>
  </r>
  <r>
    <s v="1766"/>
    <m/>
    <x v="0"/>
    <s v="INB-W0012310-75"/>
    <s v="EJ-Malang-01"/>
    <s v="Oka-0813-2707-1646"/>
    <d v="2023-10-14T00:00:00"/>
    <d v="1900-01-14T07:00:00"/>
    <s v="ZTE Warehouse"/>
    <x v="0"/>
    <x v="28"/>
    <s v="ZTE1001"/>
    <s v="Pcs"/>
    <n v="22"/>
    <s v="CLR51-99-021"/>
    <x v="27"/>
    <s v="DOEID231013AW"/>
    <s v="DNWID0362023101402"/>
    <m/>
    <m/>
    <m/>
    <m/>
    <m/>
    <m/>
    <m/>
    <s v="Jedong RW 09 Wagir"/>
    <d v="2023-10-14T00:00:00"/>
    <b v="1"/>
    <s v="OUTBOUND_"/>
  </r>
  <r>
    <s v="1767"/>
    <m/>
    <x v="0"/>
    <s v="INB-W0012310-75"/>
    <s v="EJ-Malang-01"/>
    <s v="Oka-0813-2707-1646"/>
    <d v="2023-10-14T00:00:00"/>
    <d v="1900-01-14T07:00:00"/>
    <s v="ZTE Warehouse"/>
    <x v="0"/>
    <x v="28"/>
    <s v="ZTE1001"/>
    <s v="Pcs"/>
    <n v="24"/>
    <s v="CLR51-99-017"/>
    <x v="21"/>
    <s v="DOEID23101402"/>
    <s v="DNWID0362023101403"/>
    <m/>
    <m/>
    <m/>
    <m/>
    <m/>
    <m/>
    <m/>
    <s v="Sukodadi RW 01 Wagir"/>
    <d v="2023-10-14T00:00:00"/>
    <b v="1"/>
    <s v="OUTBOUND_"/>
  </r>
  <r>
    <s v="1768"/>
    <m/>
    <x v="0"/>
    <s v="INB-W0012310-75"/>
    <s v="EJ-Malang-01"/>
    <s v="Oka-0813-2707-1646"/>
    <d v="2023-10-14T00:00:00"/>
    <d v="1900-01-14T07:00:00"/>
    <s v="ZTE Warehouse"/>
    <x v="0"/>
    <x v="28"/>
    <s v="ZTE1001"/>
    <s v="Pcs"/>
    <n v="27"/>
    <s v="CLR51-99-017"/>
    <x v="21"/>
    <s v="DOEID23101402"/>
    <s v="DNWID0362023101403"/>
    <m/>
    <m/>
    <m/>
    <m/>
    <m/>
    <m/>
    <m/>
    <s v="Sukodadi RW 01 Wagir"/>
    <d v="2023-10-14T00:00:00"/>
    <b v="1"/>
    <s v="OUTBOUND_"/>
  </r>
  <r>
    <s v="1769"/>
    <m/>
    <x v="0"/>
    <s v="INB-W0012310-75"/>
    <s v="EJ-Malang-01"/>
    <s v="Oka-0813-2707-1646"/>
    <d v="2023-10-14T00:00:00"/>
    <d v="1900-01-14T07:00:00"/>
    <s v="ZTE Warehouse"/>
    <x v="0"/>
    <x v="28"/>
    <s v="ZTE1001"/>
    <s v="Pcs"/>
    <n v="34"/>
    <s v="CLR51-99-020"/>
    <x v="22"/>
    <s v="DOEID231013AU"/>
    <s v="DNWID0362023101401"/>
    <m/>
    <m/>
    <m/>
    <m/>
    <m/>
    <m/>
    <m/>
    <s v="Jedong RW 08 Wagir"/>
    <d v="2023-10-14T00:00:00"/>
    <b v="1"/>
    <s v="OUTBOUND_"/>
  </r>
  <r>
    <s v="1770"/>
    <m/>
    <x v="0"/>
    <s v="INB-W0012310-75"/>
    <s v="EJ-Malang-01"/>
    <s v="Oka-0813-2707-1646"/>
    <d v="2023-10-14T00:00:00"/>
    <d v="1900-01-14T07:00:00"/>
    <s v="ZTE Warehouse"/>
    <x v="0"/>
    <x v="28"/>
    <s v="ZTE1001"/>
    <s v="Pcs"/>
    <n v="50"/>
    <s v="CLR51-99-018"/>
    <x v="151"/>
    <s v="DOEID23101404"/>
    <s v="DNWID0362023101404"/>
    <m/>
    <m/>
    <m/>
    <m/>
    <m/>
    <m/>
    <m/>
    <s v="Sukodadi RW 02 Wagir"/>
    <d v="2023-10-14T00:00:00"/>
    <b v="1"/>
    <s v="OUTBOUND_"/>
  </r>
  <r>
    <s v="1771"/>
    <m/>
    <x v="0"/>
    <s v="INB-W0012310-75"/>
    <s v="EJ-Malang-01"/>
    <s v="Oka-0813-2707-1646"/>
    <d v="2023-10-14T00:00:00"/>
    <d v="1900-01-14T07:00:00"/>
    <s v="FIELD TEAM"/>
    <x v="0"/>
    <x v="28"/>
    <s v="ZTE1001"/>
    <s v="Pcs"/>
    <n v="3"/>
    <s v="CLR51-99-019"/>
    <x v="28"/>
    <n v="0"/>
    <s v="TRANSFER GUDANG"/>
    <m/>
    <m/>
    <m/>
    <m/>
    <m/>
    <s v="Pengembalian"/>
    <m/>
    <s v="Sidorahayu RW 02 Wagir"/>
    <e v="#N/A"/>
    <e v="#N/A"/>
    <s v="OUTBOUND_"/>
  </r>
  <r>
    <s v="1772"/>
    <m/>
    <x v="3"/>
    <s v="TFI-W0012310-75"/>
    <s v="EJ-Malang-01"/>
    <s v="Oka-0813-2707-1646"/>
    <d v="2023-10-14T00:00:00"/>
    <d v="1900-01-14T07:00:00"/>
    <s v="ZTE Warehouse"/>
    <x v="0"/>
    <x v="28"/>
    <s v="ZTE1001"/>
    <s v="Pcs"/>
    <n v="4"/>
    <s v="TRF"/>
    <x v="5"/>
    <n v="0"/>
    <s v="TRANSFER GUDANG"/>
    <m/>
    <m/>
    <m/>
    <m/>
    <m/>
    <m/>
    <m/>
    <n v="0"/>
    <e v="#N/A"/>
    <e v="#N/A"/>
    <s v="OUTBOUND_"/>
  </r>
  <r>
    <s v="1773"/>
    <m/>
    <x v="1"/>
    <s v="OUB-W0012310-78"/>
    <s v="EJ-Malang-01"/>
    <s v="Oka-0813-2707-1646"/>
    <d v="2023-10-16T00:00:00"/>
    <d v="1899-12-30T07:10:00"/>
    <s v="EJ-MALANG-01"/>
    <x v="0"/>
    <x v="28"/>
    <s v="ZTE1001"/>
    <s v="Pcs"/>
    <n v="14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1774"/>
    <m/>
    <x v="1"/>
    <s v="OUB-W0012310-77"/>
    <s v="EJ-Malang-01"/>
    <s v="Oka-0813-2707-1646"/>
    <d v="2023-10-16T00:00:00"/>
    <d v="1899-12-30T07:10:00"/>
    <s v="EJ-MALANG-01"/>
    <x v="0"/>
    <x v="28"/>
    <s v="ZTE1001"/>
    <s v="Pcs"/>
    <n v="17"/>
    <s v="CLR51-99-017"/>
    <x v="21"/>
    <m/>
    <m/>
    <m/>
    <s v="Mail"/>
    <n v="0"/>
    <s v="507180502880002"/>
    <s v="N 8546 ED"/>
    <m/>
    <m/>
    <s v="Sukodadi RW 01 Wagir"/>
    <e v="#N/A"/>
    <e v="#N/A"/>
    <s v="OUTBOUND_"/>
  </r>
  <r>
    <s v="1775"/>
    <m/>
    <x v="1"/>
    <s v="OUB-W0012310-79"/>
    <s v="EJ-Malang-01"/>
    <s v="Oka-0813-2707-1646"/>
    <d v="2023-10-17T00:00:00"/>
    <d v="1899-12-30T08:19:00"/>
    <s v="EJ-MALANG-01"/>
    <x v="0"/>
    <x v="28"/>
    <s v="ZTE1001"/>
    <s v="Pcs"/>
    <n v="17"/>
    <s v="CLR51-99-017"/>
    <x v="21"/>
    <m/>
    <m/>
    <m/>
    <s v="Mail"/>
    <n v="0"/>
    <s v="507180502880002"/>
    <s v="N 8546 ED"/>
    <m/>
    <m/>
    <s v="Sukodadi RW 01 Wagir"/>
    <e v="#N/A"/>
    <e v="#N/A"/>
    <s v="OUTBOUND_"/>
  </r>
  <r>
    <s v="1776"/>
    <m/>
    <x v="1"/>
    <s v="OUB-W0012310-80"/>
    <s v="EJ-Malang-01"/>
    <s v="Oka-0813-2707-1646"/>
    <d v="2023-10-17T00:00:00"/>
    <d v="1899-12-30T08:19:00"/>
    <s v="EJ-MALANG-01"/>
    <x v="0"/>
    <x v="28"/>
    <s v="ZTE1001"/>
    <s v="Pcs"/>
    <n v="17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1777"/>
    <m/>
    <x v="1"/>
    <s v="OUB-W0012310-82"/>
    <s v="EJ-Malang-01"/>
    <s v="Oka-0813-2707-1646"/>
    <d v="2023-10-18T00:00:00"/>
    <d v="1899-12-30T07:13:00"/>
    <s v="EJ-MALANG-01"/>
    <x v="0"/>
    <x v="28"/>
    <s v="ZTE1001"/>
    <s v="Pcs"/>
    <n v="3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1778"/>
    <m/>
    <x v="1"/>
    <s v="OUB-W0012310-82"/>
    <s v="EJ-Malang-01"/>
    <s v="Oka-0813-2707-1646"/>
    <d v="2023-10-18T00:00:00"/>
    <d v="1899-12-30T07:13:00"/>
    <s v="EJ-MALANG-01"/>
    <x v="0"/>
    <x v="28"/>
    <s v="ZTE1001"/>
    <s v="Pcs"/>
    <n v="11"/>
    <s v="CLR51-99-020"/>
    <x v="22"/>
    <m/>
    <m/>
    <m/>
    <s v="Khoiri"/>
    <s v="Khoiri Supplier"/>
    <s v="3507330905820002"/>
    <s v="N 8408 CB"/>
    <m/>
    <m/>
    <s v="Jedong RW 08 Wagir"/>
    <e v="#N/A"/>
    <e v="#N/A"/>
    <s v="OUTBOUND_"/>
  </r>
  <r>
    <s v="1779"/>
    <m/>
    <x v="1"/>
    <s v="OUB-W0012310-83"/>
    <s v="EJ-Malang-01"/>
    <s v="Oka-0813-2707-1646"/>
    <d v="2023-10-18T00:00:00"/>
    <d v="1899-12-30T08:19:00"/>
    <s v="EJ-MALANG-01"/>
    <x v="0"/>
    <x v="28"/>
    <s v="ZTE1001"/>
    <s v="Pcs"/>
    <n v="17"/>
    <s v="CLR51-99-019"/>
    <x v="28"/>
    <m/>
    <m/>
    <m/>
    <s v="Mail"/>
    <n v="0"/>
    <s v="507180502880002"/>
    <s v="N 8546 ED"/>
    <m/>
    <m/>
    <s v="Sidorahayu RW 02 Wagir"/>
    <e v="#N/A"/>
    <e v="#N/A"/>
    <s v="OUTBOUND_"/>
  </r>
  <r>
    <s v="1780"/>
    <m/>
    <x v="1"/>
    <s v="OUB-W0012310-86"/>
    <s v="EJ-Malang-01"/>
    <s v="Oka-0813-2707-1646"/>
    <d v="2023-10-19T00:00:00"/>
    <d v="1899-12-30T08:19:00"/>
    <s v="EJ-MALANG-01"/>
    <x v="0"/>
    <x v="28"/>
    <s v="ZTE1001"/>
    <s v="Pcs"/>
    <n v="17"/>
    <s v="CLR51-99-017"/>
    <x v="21"/>
    <m/>
    <m/>
    <m/>
    <s v="Mail"/>
    <n v="0"/>
    <s v="507180502880002"/>
    <s v="N 8546 ED"/>
    <m/>
    <m/>
    <s v="Sukodadi RW 01 Wagir"/>
    <e v="#N/A"/>
    <e v="#N/A"/>
    <s v="OUTBOUND_"/>
  </r>
  <r>
    <s v="1781"/>
    <m/>
    <x v="1"/>
    <s v="OUB-W0012310-88"/>
    <s v="EJ-Malang-01"/>
    <s v="Oka-0813-2707-1646"/>
    <d v="2023-10-20T00:00:00"/>
    <d v="1899-12-30T08:19:00"/>
    <s v="EJ-MALANG-01"/>
    <x v="0"/>
    <x v="28"/>
    <s v="ZTE1001"/>
    <s v="Pcs"/>
    <n v="16"/>
    <s v="CLR51-99-018"/>
    <x v="151"/>
    <m/>
    <m/>
    <m/>
    <s v="Mail"/>
    <n v="0"/>
    <s v="507180502880002"/>
    <s v="N 8546 ED"/>
    <m/>
    <m/>
    <s v="Sukodadi RW 02 Wagir"/>
    <e v="#N/A"/>
    <e v="#N/A"/>
    <s v="OUTBOUND_"/>
  </r>
  <r>
    <s v="1782"/>
    <m/>
    <x v="1"/>
    <s v="OUB-W0012310-89"/>
    <s v="EJ-Malang-01"/>
    <s v="Oka-0813-2707-1646"/>
    <d v="2023-10-21T00:00:00"/>
    <d v="1899-12-30T08:19:00"/>
    <s v="EJ-MALANG-01"/>
    <x v="0"/>
    <x v="28"/>
    <s v="ZTE1001"/>
    <s v="Pcs"/>
    <n v="3"/>
    <s v="CLR51-99-017"/>
    <x v="21"/>
    <m/>
    <m/>
    <m/>
    <s v="Mail"/>
    <n v="0"/>
    <s v="507180502880002"/>
    <s v="N 8546 ED"/>
    <m/>
    <m/>
    <s v="Sukodadi RW 01 Wagir"/>
    <e v="#N/A"/>
    <e v="#N/A"/>
    <s v="OUTBOUND_"/>
  </r>
  <r>
    <s v="1783"/>
    <m/>
    <x v="1"/>
    <s v="OUB-W0012310-97"/>
    <s v="EJ-Malang-01"/>
    <s v="Oka-0813-2707-1646"/>
    <d v="2023-10-21T00:00:00"/>
    <d v="1899-12-30T23:24:00"/>
    <s v="EJ-MALANG-01"/>
    <x v="0"/>
    <x v="28"/>
    <s v="ZTE1001"/>
    <s v="Pcs"/>
    <n v="5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1784"/>
    <m/>
    <x v="1"/>
    <s v="OUB-W0012310-89"/>
    <s v="EJ-Malang-01"/>
    <s v="Oka-0813-2707-1646"/>
    <d v="2023-10-21T00:00:00"/>
    <d v="1899-12-30T08:19:00"/>
    <s v="EJ-MALANG-01"/>
    <x v="0"/>
    <x v="28"/>
    <s v="ZTE1001"/>
    <s v="Pcs"/>
    <n v="12"/>
    <s v="CLR51-99-018"/>
    <x v="151"/>
    <m/>
    <m/>
    <m/>
    <s v="Mail"/>
    <n v="0"/>
    <s v="507180502880002"/>
    <s v="N 8546 ED"/>
    <m/>
    <m/>
    <s v="Sukodadi RW 02 Wagir"/>
    <e v="#N/A"/>
    <e v="#N/A"/>
    <s v="OUTBOUND_"/>
  </r>
  <r>
    <s v="1785"/>
    <m/>
    <x v="0"/>
    <s v="INB-W0012311-121"/>
    <s v="EJ-Malang-01"/>
    <s v="Oka-0813-2707-1646"/>
    <d v="2023-11-15T00:00:00"/>
    <d v="1900-01-14T07:00:00"/>
    <s v="ZTE Warehouse"/>
    <x v="0"/>
    <x v="28"/>
    <s v="ZTE1001"/>
    <s v="Pcs"/>
    <n v="36"/>
    <s v="CLR51-99-026"/>
    <x v="24"/>
    <s v="DOEID231113AX"/>
    <s v="DNWID0362023111303"/>
    <m/>
    <m/>
    <m/>
    <m/>
    <m/>
    <m/>
    <m/>
    <s v="Jedong RW 07 Wagir"/>
    <d v="2023-11-15T00:00:00"/>
    <b v="1"/>
    <s v="OUTBOUND_"/>
  </r>
  <r>
    <s v="1786"/>
    <m/>
    <x v="3"/>
    <s v="TFI-W0012311-121"/>
    <s v="EJ-Malang-01"/>
    <s v="Oka-0813-2707-1646"/>
    <d v="2023-11-15T00:00:00"/>
    <d v="1900-01-14T07:00:00"/>
    <s v="ZTE Warehouse"/>
    <x v="0"/>
    <x v="28"/>
    <s v="ZTE1001"/>
    <s v="Pcs"/>
    <n v="6"/>
    <s v="TRF"/>
    <x v="5"/>
    <n v="0"/>
    <s v="TRANSFER GUDANG"/>
    <m/>
    <m/>
    <m/>
    <m/>
    <m/>
    <m/>
    <m/>
    <n v="0"/>
    <e v="#N/A"/>
    <e v="#N/A"/>
    <s v="OUTBOUND_"/>
  </r>
  <r>
    <s v="1787"/>
    <m/>
    <x v="3"/>
    <s v="TFI-W0012311-121"/>
    <s v="EJ-Malang-01"/>
    <s v="Oka-0813-2707-1646"/>
    <d v="2023-11-15T00:00:00"/>
    <d v="1900-01-14T07:00:00"/>
    <s v="ZTE Warehouse"/>
    <x v="0"/>
    <x v="28"/>
    <s v="ZTE1001"/>
    <s v="Pcs"/>
    <n v="6"/>
    <s v="TRF"/>
    <x v="5"/>
    <n v="0"/>
    <s v="TRANSFER GUDANG"/>
    <m/>
    <m/>
    <m/>
    <m/>
    <m/>
    <m/>
    <m/>
    <n v="0"/>
    <e v="#N/A"/>
    <e v="#N/A"/>
    <s v="OUTBOUND_"/>
  </r>
  <r>
    <s v="1788"/>
    <m/>
    <x v="1"/>
    <s v="OUB-W0012311-124"/>
    <s v="EJ-Malang-01"/>
    <s v="Oka-0813-2707-1646"/>
    <d v="2023-11-21T00:00:00"/>
    <d v="1899-12-30T15:14:00"/>
    <s v="EJ-MALANG-01"/>
    <x v="0"/>
    <x v="28"/>
    <s v="ZTE1001"/>
    <s v="Pcs"/>
    <n v="50"/>
    <s v="CLR51-99-026"/>
    <x v="24"/>
    <m/>
    <m/>
    <m/>
    <s v="Mustofa"/>
    <n v="0"/>
    <s v="3209140803860003"/>
    <s v="N 8869 UQ"/>
    <m/>
    <m/>
    <s v="Jedong RW 07 Wagir"/>
    <e v="#N/A"/>
    <e v="#N/A"/>
    <s v="OUTBOUND_"/>
  </r>
  <r>
    <s v="1789"/>
    <m/>
    <x v="1"/>
    <s v="OUB-W0012311-126"/>
    <s v="EJ-Malang-01"/>
    <s v="Oka-0813-2707-1646"/>
    <d v="2023-11-25T00:00:00"/>
    <d v="1899-12-30T07:12:00"/>
    <s v="EJ-MALANG-01"/>
    <x v="0"/>
    <x v="28"/>
    <s v="ZTE1001"/>
    <s v="Pcs"/>
    <n v="1"/>
    <s v="CLR51-99-020"/>
    <x v="22"/>
    <m/>
    <m/>
    <m/>
    <s v="Heri Susanto"/>
    <n v="0"/>
    <s v="3506220807870002"/>
    <s v="S 9794 JC"/>
    <m/>
    <m/>
    <s v="Jedong RW 08 Wagir"/>
    <e v="#N/A"/>
    <e v="#N/A"/>
    <s v="OUTBOUND_"/>
  </r>
  <r>
    <s v="1790"/>
    <m/>
    <x v="1"/>
    <s v="OUB-W0012312-139"/>
    <s v="EJ-Malang-01"/>
    <s v="Oka-0813-2707-1646"/>
    <d v="2023-12-04T00:00:00"/>
    <d v="1899-12-30T11:30:00"/>
    <s v="EJ-MALANG-01"/>
    <x v="0"/>
    <x v="28"/>
    <s v="ZTE1001"/>
    <s v="Pcs"/>
    <n v="7"/>
    <s v="CLR51-99-026"/>
    <x v="24"/>
    <m/>
    <m/>
    <m/>
    <s v="Mail"/>
    <n v="0"/>
    <s v="507180502880002"/>
    <s v="N 8546 ED"/>
    <m/>
    <m/>
    <s v="Jedong RW 07 Wagir"/>
    <e v="#N/A"/>
    <e v="#N/A"/>
    <s v="OUTBOUND_"/>
  </r>
  <r>
    <s v="1791"/>
    <m/>
    <x v="1"/>
    <s v="OUB-W0012312-142"/>
    <s v="EJ-Malang-01"/>
    <s v="Oka-0813-2707-1646"/>
    <d v="2023-12-06T00:00:00"/>
    <d v="1899-12-30T09:36:00"/>
    <s v="EJ-MALANG-01"/>
    <x v="0"/>
    <x v="28"/>
    <s v="ZTE1001"/>
    <s v="Pcs"/>
    <n v="4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1792"/>
    <m/>
    <x v="1"/>
    <s v="OUB-W0012312-143"/>
    <s v="EJ-Malang-01"/>
    <s v="Oka-0813-2707-1646"/>
    <d v="2023-12-07T00:00:00"/>
    <d v="1899-12-30T21:30:00"/>
    <s v="EJ-MALANG-01"/>
    <x v="0"/>
    <x v="28"/>
    <s v="ZTE1001"/>
    <s v="Pcs"/>
    <n v="2"/>
    <s v="CLR51-99-013"/>
    <x v="26"/>
    <m/>
    <m/>
    <m/>
    <s v="Fatur"/>
    <n v="0"/>
    <s v="1812010507910004"/>
    <s v="L 9221 K"/>
    <m/>
    <m/>
    <s v="Pandan Landung RW 03 Wagir"/>
    <e v="#N/A"/>
    <e v="#N/A"/>
    <s v="OUTBOUND_"/>
  </r>
  <r>
    <s v="1793"/>
    <m/>
    <x v="0"/>
    <s v="INB-W0012312-144"/>
    <s v="EJ-Malang-01"/>
    <s v="Oka-0813-2707-1646"/>
    <d v="2023-12-08T00:00:00"/>
    <d v="1900-01-14T07:00:00"/>
    <s v="FIELD TEAM"/>
    <x v="0"/>
    <x v="28"/>
    <s v="ZTE1001"/>
    <s v="Pcs"/>
    <n v="4"/>
    <s v="CLR51-99-014"/>
    <x v="29"/>
    <s v="DOEID23091555"/>
    <s v="DNWID0362023091501"/>
    <m/>
    <s v="Ahmad Subari"/>
    <m/>
    <m/>
    <m/>
    <s v="Kembali dari gudang mustofa"/>
    <m/>
    <s v="Pandan Landung RW 04 Wagir"/>
    <d v="2023-09-16T00:00:00"/>
    <b v="0"/>
    <s v="OUTBOUND_"/>
  </r>
  <r>
    <s v="1794"/>
    <m/>
    <x v="1"/>
    <s v="OUB-W0012312-146"/>
    <s v="EJ-Malang-01"/>
    <s v="Oka-0813-2707-1646"/>
    <d v="2023-12-11T00:00:00"/>
    <d v="1899-12-30T11:30:00"/>
    <s v="EJ-MALANG-01"/>
    <x v="0"/>
    <x v="28"/>
    <s v="ZTE1001"/>
    <s v="Pcs"/>
    <n v="1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1795"/>
    <m/>
    <x v="1"/>
    <s v="OUB-W0012312-151"/>
    <s v="EJ-Malang-01"/>
    <s v="Oka-0813-2707-1646"/>
    <d v="2023-12-22T00:00:00"/>
    <d v="1899-12-30T13:27:00"/>
    <s v="EJ-MALANG-01"/>
    <x v="0"/>
    <x v="28"/>
    <s v="ZTE1001"/>
    <s v="Pcs"/>
    <n v="8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1796"/>
    <m/>
    <x v="4"/>
    <s v="BOI-W0012312-155"/>
    <s v="EJ-Malang-01"/>
    <s v="Oka-0813-2707-1646"/>
    <d v="2023-12-25T00:00:00"/>
    <d v="1900-01-14T07:00:00"/>
    <s v="Other Subcon"/>
    <x v="0"/>
    <x v="28"/>
    <s v="ZTE1001"/>
    <s v="Pcs"/>
    <n v="25"/>
    <s v="BR004"/>
    <x v="31"/>
    <n v="0"/>
    <n v="0"/>
    <m/>
    <m/>
    <m/>
    <m/>
    <m/>
    <s v="Borrow From YPTT"/>
    <m/>
    <s v="YPTT"/>
    <e v="#N/A"/>
    <e v="#N/A"/>
    <s v="OUTBOUND_"/>
  </r>
  <r>
    <s v="1797"/>
    <m/>
    <x v="1"/>
    <s v="OUB-W0012312-153"/>
    <s v="EJ-Malang-01"/>
    <s v="Oka-0813-2707-1646"/>
    <d v="2023-12-25T00:00:00"/>
    <d v="1899-12-30T08:27:00"/>
    <s v="EJ-MALANG-01"/>
    <x v="0"/>
    <x v="28"/>
    <s v="ZTE1001"/>
    <s v="Pcs"/>
    <n v="25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1798"/>
    <m/>
    <x v="0"/>
    <s v="INB-W0012312-161"/>
    <s v="EJ-Malang-01"/>
    <s v="Oka-0813-2707-1646"/>
    <d v="2023-12-27T00:00:00"/>
    <d v="1900-01-14T07:00:00"/>
    <s v="ZTE Warehouse"/>
    <x v="0"/>
    <x v="28"/>
    <s v="ZTE1001"/>
    <s v="Pcs"/>
    <n v="165"/>
    <s v="CLR51-01-005"/>
    <x v="37"/>
    <s v="DOEID231223A5"/>
    <s v="DNWID0362023122307"/>
    <m/>
    <m/>
    <m/>
    <m/>
    <m/>
    <s v="Diambil Bayu"/>
    <m/>
    <s v="Baturetno RW 02 Singosari "/>
    <d v="2023-12-27T00:00:00"/>
    <b v="1"/>
    <s v="OUTBOUND_"/>
  </r>
  <r>
    <s v="1799"/>
    <m/>
    <x v="5"/>
    <s v="BOO-W0012312-160"/>
    <s v="EJ-Malang-01"/>
    <s v="Oka-0813-2707-1646"/>
    <d v="2023-12-27T00:00:00"/>
    <d v="1899-12-30T08:00:00"/>
    <s v="Other Subcon"/>
    <x v="0"/>
    <x v="28"/>
    <s v="ZTE1001"/>
    <s v="Pcs"/>
    <n v="25"/>
    <s v="BR004"/>
    <x v="31"/>
    <m/>
    <m/>
    <m/>
    <s v="Wawan Setiawan"/>
    <n v="0"/>
    <n v="0"/>
    <n v="0"/>
    <s v="Return to YPTT"/>
    <m/>
    <s v="YPTT"/>
    <e v="#N/A"/>
    <e v="#N/A"/>
    <s v="BORROW OUT_"/>
  </r>
  <r>
    <s v="1800"/>
    <m/>
    <x v="1"/>
    <s v="OUB-W0012401-162"/>
    <s v="EJ-Malang-01"/>
    <s v="Oka-0813-2707-1646"/>
    <d v="2024-01-03T00:00:00"/>
    <d v="1899-12-30T13:40:00"/>
    <s v="EJ-MALANG-01"/>
    <x v="0"/>
    <x v="28"/>
    <s v="ZTE1001"/>
    <s v="Pcs"/>
    <n v="23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1801"/>
    <m/>
    <x v="1"/>
    <s v="OUB-W0012401-165"/>
    <s v="EJ-Malang-01"/>
    <s v="Oka-0813-2707-1646"/>
    <d v="2024-01-05T00:00:00"/>
    <d v="1899-12-30T15:24:00"/>
    <s v="EJ-MALANG-01"/>
    <x v="0"/>
    <x v="28"/>
    <s v="ZTE1001"/>
    <s v="Pcs"/>
    <n v="26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1802"/>
    <m/>
    <x v="1"/>
    <s v="OUB-W0012401-166"/>
    <s v="EJ-Malang-01"/>
    <s v="Oka-0813-2707-1646"/>
    <d v="2024-01-06T00:00:00"/>
    <d v="1899-12-30T08:54:00"/>
    <s v="EJ-MALANG-01"/>
    <x v="0"/>
    <x v="28"/>
    <s v="ZTE1001"/>
    <s v="Pcs"/>
    <n v="26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1803"/>
    <m/>
    <x v="0"/>
    <s v="INB-W0012401-168"/>
    <s v="EJ-Malang-01"/>
    <s v="Oka-0813-2707-1646"/>
    <d v="2024-01-08T00:00:00"/>
    <d v="1900-01-14T07:00:00"/>
    <s v="FIELD TEAM"/>
    <x v="0"/>
    <x v="28"/>
    <s v="ZTE1001"/>
    <s v="Pcs"/>
    <n v="7"/>
    <m/>
    <x v="3"/>
    <n v="0"/>
    <s v="TRANSFER GUDANG"/>
    <m/>
    <m/>
    <m/>
    <m/>
    <m/>
    <s v="Riki Romansyah Sisa"/>
    <m/>
    <n v="0"/>
    <e v="#N/A"/>
    <e v="#N/A"/>
    <s v="OUTBOUND_"/>
  </r>
  <r>
    <s v="1804"/>
    <m/>
    <x v="1"/>
    <s v="OUB-W0012401-167"/>
    <s v="EJ-Malang-01"/>
    <s v="Oka-0813-2707-1646"/>
    <d v="2024-01-08T00:00:00"/>
    <d v="1899-12-30T08:12:00"/>
    <s v="EJ-MALANG-01"/>
    <x v="0"/>
    <x v="28"/>
    <s v="ZTE1001"/>
    <s v="Pcs"/>
    <n v="24"/>
    <s v="CLR51-99-038"/>
    <x v="32"/>
    <m/>
    <m/>
    <m/>
    <s v="Riki Romansyah"/>
    <s v="Febby Supplier"/>
    <s v="3507050501950006"/>
    <s v="N 8420 EL"/>
    <s v="dr khoiri"/>
    <m/>
    <s v="Baturetno RW 03 Singosari"/>
    <e v="#N/A"/>
    <e v="#N/A"/>
    <s v="OUTBOUND_"/>
  </r>
  <r>
    <s v="1805"/>
    <m/>
    <x v="1"/>
    <s v="OUB-W0012401-170"/>
    <s v="EJ-Malang-01"/>
    <s v="Oka-0813-2707-1646"/>
    <d v="2024-01-14T00:00:00"/>
    <d v="1899-12-30T09:00:00"/>
    <s v="EJ-MALANG-01"/>
    <x v="0"/>
    <x v="28"/>
    <s v="ZTE1001"/>
    <s v="Pcs"/>
    <n v="25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806"/>
    <m/>
    <x v="1"/>
    <s v="OUB-W0012401-171"/>
    <s v="EJ-Malang-01"/>
    <s v="Oka-0813-2707-1646"/>
    <d v="2024-01-15T00:00:00"/>
    <d v="1899-12-30T09:00:00"/>
    <s v="EJ-MALANG-01"/>
    <x v="0"/>
    <x v="28"/>
    <s v="ZTE1001"/>
    <s v="Pcs"/>
    <n v="24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807"/>
    <m/>
    <x v="0"/>
    <s v="INB-W0012401-176"/>
    <s v="EJ-Malang-01"/>
    <s v="Oka-0813-2707-1646"/>
    <d v="2024-01-16T00:00:00"/>
    <d v="1900-01-14T07:00:00"/>
    <s v="ZTE Warehouse"/>
    <x v="0"/>
    <x v="28"/>
    <s v="ZTE1001"/>
    <s v="Pcs"/>
    <n v="33"/>
    <s v="CLR51-99-066"/>
    <x v="35"/>
    <s v="DOEID24011541"/>
    <s v="DNWID0362024011513"/>
    <m/>
    <m/>
    <m/>
    <m/>
    <m/>
    <m/>
    <m/>
    <s v="TAMANHARJO RW 04 SINGOSARI"/>
    <d v="2024-01-16T00:00:00"/>
    <b v="1"/>
    <s v="OUTBOUND_"/>
  </r>
  <r>
    <s v="1808"/>
    <m/>
    <x v="0"/>
    <s v="INB-W0012401-176"/>
    <s v="EJ-Malang-01"/>
    <s v="Oka-0813-2707-1646"/>
    <d v="2024-01-16T00:00:00"/>
    <d v="1900-01-14T07:00:00"/>
    <s v="ZTE Warehouse"/>
    <x v="0"/>
    <x v="28"/>
    <s v="ZTE1001"/>
    <s v="Pcs"/>
    <n v="61"/>
    <s v="MF51-01"/>
    <x v="36"/>
    <s v="DOEID24011534"/>
    <s v="DNWID0362024011514"/>
    <m/>
    <m/>
    <m/>
    <m/>
    <m/>
    <m/>
    <m/>
    <s v="HUBFEEDER BATURETNO RW 02"/>
    <d v="2024-01-16T00:00:00"/>
    <b v="1"/>
    <s v="OUTBOUND_"/>
  </r>
  <r>
    <s v="1809"/>
    <m/>
    <x v="0"/>
    <s v="INB-W0012401-176"/>
    <s v="EJ-Malang-01"/>
    <s v="Oka-0813-2707-1646"/>
    <d v="2024-01-16T00:00:00"/>
    <d v="1900-01-14T07:00:00"/>
    <s v="ZTE Warehouse"/>
    <x v="0"/>
    <x v="28"/>
    <s v="ZTE1001"/>
    <s v="Pcs"/>
    <n v="173"/>
    <s v="CLR29-99-153"/>
    <x v="34"/>
    <s v="DOEID24011539"/>
    <s v="DNWID0362024011512"/>
    <m/>
    <m/>
    <m/>
    <m/>
    <m/>
    <m/>
    <m/>
    <s v="Perumahan Pondok Mutiara Malang"/>
    <d v="2024-01-16T00:00:00"/>
    <b v="1"/>
    <s v="OUTBOUND_"/>
  </r>
  <r>
    <s v="1810"/>
    <m/>
    <x v="4"/>
    <s v="BOI-W0012401-176"/>
    <s v="EJ-Malang-01"/>
    <s v="Oka-0813-2707-1646"/>
    <d v="2024-01-16T00:00:00"/>
    <d v="1900-01-14T07:00:00"/>
    <s v="Other Subcon"/>
    <x v="0"/>
    <x v="28"/>
    <s v="ZTE1001"/>
    <s v="Pcs"/>
    <n v="25"/>
    <s v="BR004"/>
    <x v="31"/>
    <n v="0"/>
    <n v="0"/>
    <m/>
    <m/>
    <m/>
    <m/>
    <m/>
    <s v="Borrow From YPTT"/>
    <m/>
    <s v="YPTT"/>
    <e v="#N/A"/>
    <e v="#N/A"/>
    <s v="OUTBOUND_"/>
  </r>
  <r>
    <s v="1811"/>
    <m/>
    <x v="1"/>
    <s v="OUB-W0012401-174"/>
    <s v="EJ-Malang-01"/>
    <s v="Oka-0813-2707-1646"/>
    <d v="2024-01-16T00:00:00"/>
    <d v="1899-12-30T09:00:00"/>
    <s v="EJ-MALANG-01"/>
    <x v="0"/>
    <x v="28"/>
    <s v="ZTE1001"/>
    <s v="Pcs"/>
    <n v="23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812"/>
    <m/>
    <x v="1"/>
    <s v="OUB-W0012401-173"/>
    <s v="EJ-Malang-01"/>
    <s v="Oka-0813-2707-1646"/>
    <d v="2024-01-16T00:00:00"/>
    <d v="1899-12-30T08:27:00"/>
    <s v="EJ-MALANG-01"/>
    <x v="0"/>
    <x v="28"/>
    <s v="ZTE1001"/>
    <s v="Pcs"/>
    <n v="25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1813"/>
    <m/>
    <x v="3"/>
    <s v="TFI-W0012401-176"/>
    <s v="EJ-Malang-01"/>
    <s v="Oka-0813-2707-1646"/>
    <d v="2024-01-16T00:00:00"/>
    <d v="1900-01-14T07:00:00"/>
    <s v="ZTE Warehouse"/>
    <x v="0"/>
    <x v="28"/>
    <s v="ZTE1001"/>
    <s v="Pcs"/>
    <n v="9"/>
    <s v="TRF"/>
    <x v="5"/>
    <n v="0"/>
    <s v="TRANSFER GUDANG"/>
    <m/>
    <m/>
    <m/>
    <m/>
    <m/>
    <m/>
    <m/>
    <n v="0"/>
    <e v="#N/A"/>
    <e v="#N/A"/>
    <s v="OUTBOUND_"/>
  </r>
  <r>
    <s v="1814"/>
    <m/>
    <x v="1"/>
    <s v="OUB-W0012401-177"/>
    <s v="EJ-Malang-01"/>
    <s v="Oka-0813-2707-1646"/>
    <d v="2024-01-17T00:00:00"/>
    <d v="1899-12-30T08:30:00"/>
    <s v="EJ-MALANG-01"/>
    <x v="0"/>
    <x v="28"/>
    <s v="ZTE1001"/>
    <s v="Pcs"/>
    <n v="20"/>
    <s v="CLR29-99-153"/>
    <x v="34"/>
    <m/>
    <m/>
    <m/>
    <s v="Rofik"/>
    <s v="Febby Supplier"/>
    <s v="3578180505790001"/>
    <s v="S 9345 WB"/>
    <m/>
    <m/>
    <s v="Perumahan Pondok Mutiara Malang"/>
    <e v="#N/A"/>
    <e v="#N/A"/>
    <s v="OUTBOUND_"/>
  </r>
  <r>
    <s v="1815"/>
    <m/>
    <x v="1"/>
    <s v="OUB-W0012401-177"/>
    <s v="EJ-Malang-01"/>
    <s v="Oka-0813-2707-1646"/>
    <d v="2024-01-17T00:00:00"/>
    <d v="1899-12-30T08:30:00"/>
    <s v="EJ-MALANG-01"/>
    <x v="0"/>
    <x v="28"/>
    <s v="ZTE1001"/>
    <s v="Pcs"/>
    <n v="26"/>
    <s v="CLR29-99-153"/>
    <x v="34"/>
    <m/>
    <m/>
    <m/>
    <s v="Rofik"/>
    <s v="Febby Supplier"/>
    <s v="3578180505790001"/>
    <s v="S 9345 WB"/>
    <m/>
    <m/>
    <s v="Perumahan Pondok Mutiara Malang"/>
    <e v="#N/A"/>
    <e v="#N/A"/>
    <s v="OUTBOUND_"/>
  </r>
  <r>
    <s v="1816"/>
    <m/>
    <x v="5"/>
    <s v="BOO-W0012401-182"/>
    <s v="EJ-Malang-01"/>
    <s v="Oka-0813-2707-1646"/>
    <d v="2024-01-18T00:00:00"/>
    <d v="1899-12-30T17:52:00"/>
    <s v="Other Subcon"/>
    <x v="0"/>
    <x v="28"/>
    <s v="ZTE1001"/>
    <s v="Pcs"/>
    <n v="4"/>
    <s v="BR004"/>
    <x v="31"/>
    <m/>
    <m/>
    <m/>
    <s v="Agung"/>
    <n v="0"/>
    <n v="0"/>
    <n v="0"/>
    <s v="Return to YPTT"/>
    <m/>
    <s v="YPTT"/>
    <e v="#N/A"/>
    <e v="#N/A"/>
    <s v="BORROW OUT_"/>
  </r>
  <r>
    <s v="1817"/>
    <m/>
    <x v="1"/>
    <s v="OUB-W0012401-181"/>
    <s v="EJ-Malang-01"/>
    <s v="Oka-0813-2707-1646"/>
    <d v="2024-01-18T00:00:00"/>
    <d v="1899-12-30T16:19:00"/>
    <s v="EJ-MALANG-01"/>
    <x v="0"/>
    <x v="28"/>
    <s v="ZTE1001"/>
    <s v="Pcs"/>
    <n v="10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818"/>
    <m/>
    <x v="1"/>
    <s v="OUB-W0012401-180"/>
    <s v="EJ-Malang-01"/>
    <s v="Oka-0813-2707-1646"/>
    <d v="2024-01-18T00:00:00"/>
    <d v="1899-12-30T11:25:00"/>
    <s v="EJ-MALANG-01"/>
    <x v="0"/>
    <x v="28"/>
    <s v="ZTE1001"/>
    <s v="Pcs"/>
    <n v="19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819"/>
    <m/>
    <x v="5"/>
    <s v="BOO-W0012401-185"/>
    <s v="EJ-Malang-01"/>
    <s v="Oka-0813-2707-1646"/>
    <d v="2024-01-19T00:00:00"/>
    <d v="1899-12-30T13:14:00"/>
    <s v="Other Subcon"/>
    <x v="0"/>
    <x v="28"/>
    <s v="ZTE1001"/>
    <s v="Pcs"/>
    <n v="2"/>
    <s v="BR004"/>
    <x v="31"/>
    <m/>
    <m/>
    <m/>
    <s v="Hendra"/>
    <n v="0"/>
    <n v="0"/>
    <n v="0"/>
    <s v="Return to YPTT"/>
    <m/>
    <s v="YPTT"/>
    <e v="#N/A"/>
    <e v="#N/A"/>
    <s v="BORROW OUT_"/>
  </r>
  <r>
    <s v="1820"/>
    <m/>
    <x v="1"/>
    <s v="OUB-W0012401-186"/>
    <s v="EJ-Malang-01"/>
    <s v="Oka-0813-2707-1646"/>
    <d v="2024-01-19T00:00:00"/>
    <d v="1899-12-30T17:36:00"/>
    <s v="EJ-MALANG-01"/>
    <x v="0"/>
    <x v="28"/>
    <s v="ZTE1001"/>
    <s v="Pcs"/>
    <n v="2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1821"/>
    <m/>
    <x v="3"/>
    <s v="TFI-W0012401-187"/>
    <s v="EJ-Malang-01"/>
    <s v="Oka-0813-2707-1646"/>
    <d v="2024-01-20T00:00:00"/>
    <d v="1900-01-14T07:00:00"/>
    <s v="ZTE Warehouse"/>
    <x v="0"/>
    <x v="28"/>
    <s v="ZTE1001"/>
    <s v="Pcs"/>
    <n v="1"/>
    <s v="TRF"/>
    <x v="5"/>
    <n v="0"/>
    <s v="TRANSFER GUDANG"/>
    <m/>
    <m/>
    <m/>
    <m/>
    <m/>
    <m/>
    <m/>
    <n v="0"/>
    <e v="#N/A"/>
    <e v="#N/A"/>
    <s v="OUTBOUND_"/>
  </r>
  <r>
    <s v="1822"/>
    <m/>
    <x v="1"/>
    <s v="OUB-W0012401-190"/>
    <s v="EJ-Malang-01"/>
    <s v="Oka-0813-2707-1646"/>
    <d v="2024-01-21T00:00:00"/>
    <d v="1899-12-30T08:34:00"/>
    <s v="EJ-MALANG-01"/>
    <x v="0"/>
    <x v="28"/>
    <s v="ZTE1001"/>
    <s v="Pcs"/>
    <n v="4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823"/>
    <m/>
    <x v="3"/>
    <s v="TFI-W0012401-196"/>
    <s v="EJ-Malang-01"/>
    <s v="Oka-0813-2707-1646"/>
    <d v="2024-01-22T00:00:00"/>
    <d v="1900-01-14T07:00:00"/>
    <s v="ZTE Warehouse"/>
    <x v="0"/>
    <x v="28"/>
    <s v="ZTE1001"/>
    <s v="Pcs"/>
    <n v="1"/>
    <s v="TRF"/>
    <x v="5"/>
    <n v="0"/>
    <s v="TRANSFER GUDANG"/>
    <m/>
    <m/>
    <m/>
    <m/>
    <m/>
    <m/>
    <m/>
    <n v="0"/>
    <e v="#N/A"/>
    <e v="#N/A"/>
    <s v="OUTBOUND_"/>
  </r>
  <r>
    <s v="1824"/>
    <m/>
    <x v="3"/>
    <s v="TFI-W0012401-196"/>
    <s v="EJ-Malang-01"/>
    <s v="Oka-0813-2707-1646"/>
    <d v="2024-01-22T00:00:00"/>
    <d v="1900-01-14T07:00:00"/>
    <s v="ZTE Warehouse"/>
    <x v="0"/>
    <x v="28"/>
    <s v="ZTE1001"/>
    <s v="Pcs"/>
    <n v="1"/>
    <s v="TRF"/>
    <x v="5"/>
    <n v="0"/>
    <s v="TRANSFER GUDANG"/>
    <m/>
    <m/>
    <m/>
    <m/>
    <m/>
    <m/>
    <m/>
    <n v="0"/>
    <e v="#N/A"/>
    <e v="#N/A"/>
    <s v="OUTBOUND_"/>
  </r>
  <r>
    <s v="1825"/>
    <m/>
    <x v="5"/>
    <s v="BOO-W0012401-199"/>
    <s v="EJ-Malang-01"/>
    <s v="Oka-0813-2707-1646"/>
    <d v="2024-01-24T00:00:00"/>
    <d v="1899-12-30T11:01:00"/>
    <s v="Other Subcon"/>
    <x v="0"/>
    <x v="28"/>
    <s v="ZTE1001"/>
    <s v="Pcs"/>
    <n v="17"/>
    <s v="BR004"/>
    <x v="31"/>
    <m/>
    <m/>
    <m/>
    <s v="Agung"/>
    <n v="0"/>
    <n v="0"/>
    <n v="0"/>
    <s v="Return to YPTT"/>
    <m/>
    <s v="YPTT"/>
    <e v="#N/A"/>
    <e v="#N/A"/>
    <s v="BORROW OUT_"/>
  </r>
  <r>
    <s v="1826"/>
    <m/>
    <x v="1"/>
    <s v="OUB-W0012401-202"/>
    <s v="EJ-Malang-01"/>
    <s v="Oka-0813-2707-1646"/>
    <d v="2024-01-25T00:00:00"/>
    <d v="1899-12-30T14:19:00"/>
    <s v="EJ-MALANG-01"/>
    <x v="0"/>
    <x v="28"/>
    <s v="ZTE1001"/>
    <s v="Pcs"/>
    <n v="1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827"/>
    <m/>
    <x v="1"/>
    <s v="OUB-W0012401-205"/>
    <s v="EJ-Malang-01"/>
    <s v="Oka-0813-2707-1646"/>
    <d v="2024-01-26T00:00:00"/>
    <d v="1899-12-30T08:30:00"/>
    <s v="EJ-MALANG-01"/>
    <x v="0"/>
    <x v="28"/>
    <s v="ZTE1001"/>
    <s v="Pcs"/>
    <n v="1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1828"/>
    <m/>
    <x v="1"/>
    <s v="OUB-W0012401-211"/>
    <s v="EJ-Malang-01"/>
    <s v="Oka-0813-2707-1646"/>
    <d v="2024-01-31T00:00:00"/>
    <d v="1899-12-30T17:17:00"/>
    <s v="EJ-MALANG-01"/>
    <x v="0"/>
    <x v="28"/>
    <s v="ZTE1001"/>
    <s v="Pcs"/>
    <n v="1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1829"/>
    <m/>
    <x v="5"/>
    <s v="BOO-W0012402-212"/>
    <s v="EJ-Malang-01"/>
    <s v="Oka-0813-2707-1646"/>
    <d v="2024-02-01T00:00:00"/>
    <d v="1899-12-30T08:30:00"/>
    <s v="Other Subcon"/>
    <x v="0"/>
    <x v="28"/>
    <s v="ZTE1001"/>
    <s v="Pcs"/>
    <n v="2"/>
    <s v="BR004"/>
    <x v="31"/>
    <m/>
    <m/>
    <m/>
    <s v="Hendra"/>
    <n v="0"/>
    <n v="0"/>
    <n v="0"/>
    <s v="Return to YPTT"/>
    <m/>
    <s v="YPTT"/>
    <e v="#N/A"/>
    <e v="#N/A"/>
    <s v="BORROW OUT_"/>
  </r>
  <r>
    <s v="1830"/>
    <m/>
    <x v="5"/>
    <s v="BOO-W0012402-212"/>
    <s v="EJ-Malang-01"/>
    <s v="Oka-0813-2707-1646"/>
    <d v="2024-02-01T00:00:00"/>
    <d v="1899-12-30T08:30:00"/>
    <s v="Other Subcon"/>
    <x v="0"/>
    <x v="28"/>
    <s v="ZTE1001"/>
    <s v="Pcs"/>
    <n v="6"/>
    <s v="BR004"/>
    <x v="31"/>
    <m/>
    <m/>
    <m/>
    <s v="Hendra"/>
    <n v="0"/>
    <n v="0"/>
    <n v="0"/>
    <s v="YPTT Borrowed"/>
    <m/>
    <s v="YPTT"/>
    <e v="#N/A"/>
    <e v="#N/A"/>
    <s v="BORROW OUT_"/>
  </r>
  <r>
    <s v="1831"/>
    <m/>
    <x v="1"/>
    <s v="OUB-W0012402-216"/>
    <s v="EJ-Malang-01"/>
    <s v="Oka-0813-2707-1646"/>
    <d v="2024-02-07T00:00:00"/>
    <d v="1899-12-30T22:41:00"/>
    <s v="EJ-MALANG-01"/>
    <x v="0"/>
    <x v="28"/>
    <s v="ZTE1001"/>
    <s v="Pcs"/>
    <n v="3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1832"/>
    <m/>
    <x v="1"/>
    <s v="OUB-W0012402-215"/>
    <s v="EJ-Malang-01"/>
    <s v="Oka-0813-2707-1646"/>
    <d v="2024-02-07T00:00:00"/>
    <d v="1899-12-30T01:49:00"/>
    <s v="EJ-MALANG-01"/>
    <x v="0"/>
    <x v="28"/>
    <s v="ZTE1001"/>
    <s v="Pcs"/>
    <n v="24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1833"/>
    <m/>
    <x v="1"/>
    <s v="OUB-W0012402-218"/>
    <s v="EJ-Malang-01"/>
    <s v="Oka-0813-2707-1646"/>
    <d v="2024-02-08T00:00:00"/>
    <d v="1899-12-30T10:35:00"/>
    <s v="EJ-MALANG-01"/>
    <x v="0"/>
    <x v="28"/>
    <s v="ZTE1001"/>
    <s v="Pcs"/>
    <n v="19"/>
    <s v="CLR29-99-153"/>
    <x v="34"/>
    <m/>
    <m/>
    <m/>
    <s v="Riki Romansyah"/>
    <s v="Febby Supplier"/>
    <s v="3507050501950006"/>
    <s v="N 8420 EL"/>
    <m/>
    <m/>
    <s v="Perumahan Pondok Mutiara Malang"/>
    <e v="#N/A"/>
    <e v="#N/A"/>
    <s v="OUTBOUND_"/>
  </r>
  <r>
    <s v="1834"/>
    <m/>
    <x v="1"/>
    <s v="OUB-W0012402-221"/>
    <s v="EJ-Malang-01"/>
    <s v="Oka-0813-2707-1646"/>
    <d v="2024-02-09T00:00:00"/>
    <d v="1899-12-30T16:59:00"/>
    <s v="EJ-MALANG-01"/>
    <x v="0"/>
    <x v="28"/>
    <s v="ZTE1001"/>
    <s v="Pcs"/>
    <n v="1"/>
    <s v="CLR29-99-153"/>
    <x v="34"/>
    <m/>
    <m/>
    <m/>
    <s v="Riki Romansyah"/>
    <s v="Febby Supplier"/>
    <s v="3507050501950006"/>
    <s v="N 8420 EL"/>
    <m/>
    <m/>
    <s v="Perumahan Pondok Mutiara Malang"/>
    <e v="#N/A"/>
    <e v="#N/A"/>
    <s v="OUTBOUND_"/>
  </r>
  <r>
    <s v="1835"/>
    <m/>
    <x v="0"/>
    <s v="INB-W0012402-226"/>
    <s v="EJ-Malang-01"/>
    <s v="Oka-0813-2707-1646"/>
    <d v="2024-02-15T00:00:00"/>
    <d v="1900-01-14T07:00:00"/>
    <s v="ZTE Warehouse"/>
    <x v="0"/>
    <x v="28"/>
    <s v="ZTE1001"/>
    <s v="Pcs"/>
    <n v="113"/>
    <s v="CLR51-99-078"/>
    <x v="1"/>
    <s v="DOEID24021520"/>
    <s v="DNWID0362024021508"/>
    <m/>
    <m/>
    <m/>
    <m/>
    <m/>
    <m/>
    <m/>
    <s v="Bumiayu RW 03 Kedungkandang"/>
    <d v="2024-02-15T00:00:00"/>
    <b v="1"/>
    <s v="OUTBOUND_"/>
  </r>
  <r>
    <s v="1836"/>
    <m/>
    <x v="1"/>
    <s v="OUB-W0012402-225"/>
    <s v="EJ-Malang-01"/>
    <s v="Oka-0813-2707-1646"/>
    <d v="2024-02-15T00:00:00"/>
    <d v="1899-12-30T11:04:00"/>
    <s v="EJ-MALANG-01"/>
    <x v="0"/>
    <x v="28"/>
    <s v="ZTE1001"/>
    <s v="Pcs"/>
    <n v="15"/>
    <s v="CLR51-99-067"/>
    <x v="0"/>
    <m/>
    <m/>
    <m/>
    <s v="Riki Romansyah"/>
    <s v="Febby Supplier"/>
    <s v="3507050501950006"/>
    <s v="N 8420 EL"/>
    <m/>
    <m/>
    <s v="Bandulan RW 08 Sukun"/>
    <e v="#N/A"/>
    <e v="#N/A"/>
    <s v="OUTBOUND_"/>
  </r>
  <r>
    <s v="1837"/>
    <m/>
    <x v="3"/>
    <s v="TFI-W0012402-226"/>
    <s v="EJ-Malang-01"/>
    <s v="Oka-0813-2707-1646"/>
    <d v="2024-02-15T00:00:00"/>
    <d v="1900-01-14T07:00:00"/>
    <s v="ZTE Warehouse"/>
    <x v="0"/>
    <x v="28"/>
    <s v="ZTE1001"/>
    <s v="Pcs"/>
    <n v="15"/>
    <s v="TRF"/>
    <x v="5"/>
    <n v="0"/>
    <s v="TRANSFER GUDANG"/>
    <m/>
    <m/>
    <m/>
    <m/>
    <m/>
    <m/>
    <m/>
    <n v="0"/>
    <e v="#N/A"/>
    <e v="#N/A"/>
    <s v="OUTBOUND_"/>
  </r>
  <r>
    <s v="1838"/>
    <m/>
    <x v="1"/>
    <s v="OUB-W0012402-235"/>
    <s v="EJ-Malang-01"/>
    <s v="Oka-0813-2707-1646"/>
    <d v="2024-02-20T00:00:00"/>
    <d v="1899-12-30T16:46:00"/>
    <s v="EJ-MALANG-01"/>
    <x v="0"/>
    <x v="28"/>
    <s v="ZTE1001"/>
    <s v="Pcs"/>
    <n v="14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1839"/>
    <m/>
    <x v="1"/>
    <s v="OUB-W0012402-234"/>
    <s v="EJ-Malang-01"/>
    <s v="Oka-0813-2707-1646"/>
    <d v="2024-02-20T00:00:00"/>
    <d v="1899-12-30T12:15:00"/>
    <s v="EJ-MALANG-01"/>
    <x v="0"/>
    <x v="28"/>
    <s v="ZTE1001"/>
    <s v="Pcs"/>
    <n v="21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1840"/>
    <m/>
    <x v="1"/>
    <s v="OUB-W0012402-233"/>
    <s v="EJ-Malang-01"/>
    <s v="Oka-0813-2707-1646"/>
    <d v="2024-02-20T00:00:00"/>
    <d v="1899-12-30T08:51:00"/>
    <s v="EJ-MALANG-01"/>
    <x v="0"/>
    <x v="28"/>
    <s v="ZTE1001"/>
    <s v="Pcs"/>
    <n v="25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1841"/>
    <m/>
    <x v="1"/>
    <s v="OUB-W0012402-237"/>
    <s v="EJ-Malang-01"/>
    <s v="Oka-0813-2707-1646"/>
    <d v="2024-02-21T00:00:00"/>
    <d v="1899-12-30T16:20:00"/>
    <s v="EJ-MALANG-01"/>
    <x v="0"/>
    <x v="28"/>
    <s v="ZTE1001"/>
    <s v="Pcs"/>
    <n v="5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1842"/>
    <m/>
    <x v="1"/>
    <s v="OUB-W0012402-236"/>
    <s v="EJ-Malang-01"/>
    <s v="Oka-0813-2707-1646"/>
    <d v="2024-02-21T00:00:00"/>
    <d v="1899-12-30T12:55:00"/>
    <s v="EJ-MALANG-01"/>
    <x v="0"/>
    <x v="28"/>
    <s v="ZTE1001"/>
    <s v="Pcs"/>
    <n v="21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1843"/>
    <m/>
    <x v="1"/>
    <s v="OUB-W0012402-238"/>
    <s v="EJ-Malang-01"/>
    <s v="Oka-0813-2707-1646"/>
    <d v="2024-02-21T00:00:00"/>
    <d v="1899-12-30T17:07:00"/>
    <s v="EJ-MALANG-01"/>
    <x v="0"/>
    <x v="28"/>
    <s v="ZTE1001"/>
    <s v="Pcs"/>
    <n v="23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1844"/>
    <m/>
    <x v="1"/>
    <s v="OUB-W0012402-241"/>
    <s v="EJ-Malang-01"/>
    <s v="Oka-0813-2707-1646"/>
    <d v="2024-02-22T00:00:00"/>
    <d v="1899-12-30T15:15:00"/>
    <s v="EJ-MALANG-01"/>
    <x v="0"/>
    <x v="28"/>
    <s v="ZTE1001"/>
    <s v="Pcs"/>
    <n v="1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1845"/>
    <m/>
    <x v="1"/>
    <s v="OUB-W0012402-240"/>
    <s v="EJ-Malang-01"/>
    <s v="Oka-0813-2707-1646"/>
    <d v="2024-02-22T00:00:00"/>
    <d v="1899-12-30T11:57:00"/>
    <s v="EJ-MALANG-01"/>
    <x v="0"/>
    <x v="28"/>
    <s v="ZTE1001"/>
    <s v="Pcs"/>
    <n v="25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1846"/>
    <m/>
    <x v="1"/>
    <s v="OUB-W0012402-249"/>
    <s v="EJ-Malang-01"/>
    <s v="Oka-0813-2707-1646"/>
    <d v="2024-02-26T00:00:00"/>
    <d v="1899-12-30T08:37:00"/>
    <s v="EJ-MALANG-01"/>
    <x v="0"/>
    <x v="28"/>
    <s v="ZTE1001"/>
    <s v="Pcs"/>
    <n v="8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1847"/>
    <m/>
    <x v="1"/>
    <s v="OUB-W0012402-251"/>
    <s v="EJ-Malang-01"/>
    <s v="Oka-0813-2707-1646"/>
    <d v="2024-02-27T00:00:00"/>
    <d v="1899-12-30T14:15:00"/>
    <s v="EJ-MALANG-01"/>
    <x v="0"/>
    <x v="28"/>
    <s v="ZTE1001"/>
    <s v="Pcs"/>
    <n v="21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1848"/>
    <m/>
    <x v="1"/>
    <s v="OUB-W0012402-256"/>
    <s v="EJ-Malang-01"/>
    <s v="Oka-0813-2707-1646"/>
    <d v="2024-02-28T00:00:00"/>
    <d v="1899-12-30T11:40:00"/>
    <s v="EJ-MALANG-01"/>
    <x v="0"/>
    <x v="28"/>
    <s v="ZTE1001"/>
    <s v="Pcs"/>
    <n v="18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1849"/>
    <m/>
    <x v="0"/>
    <s v="INB-W0012402-259"/>
    <s v="EJ-Malang-01"/>
    <s v="Oka-0813-2707-1646"/>
    <d v="2024-02-29T00:00:00"/>
    <d v="1900-01-14T07:00:00"/>
    <s v="ZTE Warehouse"/>
    <x v="0"/>
    <x v="28"/>
    <s v="ZTE1001"/>
    <s v="Pcs"/>
    <n v="51"/>
    <s v="CLR51-99-079"/>
    <x v="2"/>
    <s v="DOEID240226C8"/>
    <s v="DNWID0362024022659"/>
    <m/>
    <m/>
    <m/>
    <m/>
    <m/>
    <m/>
    <m/>
    <s v="Bumiayu RW 05 Kedungkandang"/>
    <d v="2024-02-29T00:00:00"/>
    <b v="1"/>
    <s v="OUTBOUND_"/>
  </r>
  <r>
    <s v="1850"/>
    <m/>
    <x v="0"/>
    <s v="INB-W0012403-263"/>
    <s v="EJ-Malang-01"/>
    <s v="Oka-0813-2707-1646"/>
    <d v="2024-03-01T00:00:00"/>
    <d v="1900-01-14T07:00:00"/>
    <s v="ZTE Warehouse"/>
    <x v="0"/>
    <x v="28"/>
    <s v="ZTE1001"/>
    <s v="Pcs"/>
    <n v="203"/>
    <m/>
    <x v="3"/>
    <n v="0"/>
    <n v="0"/>
    <m/>
    <m/>
    <m/>
    <m/>
    <m/>
    <m/>
    <m/>
    <n v="0"/>
    <e v="#N/A"/>
    <e v="#N/A"/>
    <s v="OUTBOUND_"/>
  </r>
  <r>
    <s v="1851"/>
    <m/>
    <x v="1"/>
    <s v="OUB-W0012403-264"/>
    <s v="EJ-Malang-01"/>
    <s v="Oka-0813-2707-1646"/>
    <d v="2024-03-02T00:00:00"/>
    <d v="1899-12-30T08:37:00"/>
    <s v="EJ-MALANG-01"/>
    <x v="0"/>
    <x v="28"/>
    <s v="ZTE1001"/>
    <s v="Pcs"/>
    <n v="1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1852"/>
    <m/>
    <x v="3"/>
    <s v="TFI-W0012403-268"/>
    <s v="EJ-Malang-01"/>
    <s v="Oka-0813-2707-1646"/>
    <d v="2024-03-04T00:00:00"/>
    <d v="1900-01-14T07:00:00"/>
    <s v="ZTE Warehouse"/>
    <x v="0"/>
    <x v="28"/>
    <s v="ZTE1001"/>
    <s v="Pcs"/>
    <n v="2"/>
    <s v="TRF"/>
    <x v="5"/>
    <n v="0"/>
    <s v="TRANSFER GUDANG"/>
    <m/>
    <m/>
    <m/>
    <m/>
    <m/>
    <m/>
    <m/>
    <n v="0"/>
    <e v="#N/A"/>
    <e v="#N/A"/>
    <s v="OUTBOUND_"/>
  </r>
  <r>
    <s v="1853"/>
    <m/>
    <x v="1"/>
    <s v="OUB-W0012403-276"/>
    <s v="EJ-Malang-01"/>
    <s v="Oka-0813-2707-1646"/>
    <d v="2024-03-12T00:00:00"/>
    <d v="1899-12-30T10:12:00"/>
    <s v="EJ-MALANG-01"/>
    <x v="0"/>
    <x v="28"/>
    <s v="ZTE1001"/>
    <s v="Pcs"/>
    <n v="131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1854"/>
    <m/>
    <x v="4"/>
    <s v="BOI-W0012403-278"/>
    <s v="EJ-Malang-01"/>
    <s v="Oka-0813-2707-1646"/>
    <d v="2024-03-15T00:00:00"/>
    <d v="1900-01-14T07:00:00"/>
    <s v="Other Subcon"/>
    <x v="0"/>
    <x v="28"/>
    <s v="ZTE1001"/>
    <s v="Pcs"/>
    <n v="6"/>
    <s v="BR004"/>
    <x v="31"/>
    <n v="0"/>
    <s v="TRANSFER GUDANG"/>
    <m/>
    <m/>
    <m/>
    <m/>
    <m/>
    <s v="dari YPTT"/>
    <m/>
    <s v="YPTT"/>
    <e v="#N/A"/>
    <e v="#N/A"/>
    <s v="OUTBOUND_"/>
  </r>
  <r>
    <s v="1855"/>
    <m/>
    <x v="1"/>
    <s v="OUB-W0012403-277"/>
    <s v="EJ-Malang-01"/>
    <s v="Oka-0813-2707-1646"/>
    <d v="2024-03-15T00:00:00"/>
    <d v="1899-12-30T17:12:00"/>
    <s v="EJ-MALANG-01"/>
    <x v="0"/>
    <x v="28"/>
    <s v="ZTE1001"/>
    <s v="Pcs"/>
    <n v="18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1856"/>
    <m/>
    <x v="0"/>
    <s v="INB-W0012403-279"/>
    <s v="EJ-Malang-01"/>
    <s v="Oka-0813-2707-1646"/>
    <d v="2024-03-19T00:00:00"/>
    <d v="1900-01-14T07:00:00"/>
    <s v="ZTE Warehouse"/>
    <x v="0"/>
    <x v="28"/>
    <s v="ZTE1001"/>
    <s v="Pcs"/>
    <n v="53"/>
    <m/>
    <x v="3"/>
    <n v="0"/>
    <n v="0"/>
    <m/>
    <m/>
    <m/>
    <m/>
    <m/>
    <m/>
    <m/>
    <n v="0"/>
    <e v="#N/A"/>
    <e v="#N/A"/>
    <s v="OUTBOUND_"/>
  </r>
  <r>
    <s v="1857"/>
    <m/>
    <x v="1"/>
    <s v="OUB-W0012403-280"/>
    <s v="EJ-Malang-01"/>
    <s v="Oka-0813-2707-1646"/>
    <d v="2024-03-20T00:00:00"/>
    <d v="1899-12-30T10:17:00"/>
    <s v="EJ-MALANG-01"/>
    <x v="0"/>
    <x v="28"/>
    <s v="ZTE1001"/>
    <s v="Pcs"/>
    <n v="20"/>
    <s v="CLR51-99-039"/>
    <x v="7"/>
    <m/>
    <m/>
    <m/>
    <s v="Dimas"/>
    <s v="Febby Supplier"/>
    <s v="3573032509800005"/>
    <s v="N 9454 BA"/>
    <m/>
    <m/>
    <s v="Tunjungtirto RW 01 Singosari"/>
    <e v="#N/A"/>
    <e v="#N/A"/>
    <s v="OUTBOUND_"/>
  </r>
  <r>
    <s v="1858"/>
    <m/>
    <x v="1"/>
    <s v="OUB-W0012403-281"/>
    <s v="EJ-Malang-01"/>
    <s v="Oka-0813-2707-1646"/>
    <d v="2024-03-21T00:00:00"/>
    <d v="1899-12-30T09:45:00"/>
    <s v="EJ-MALANG-01"/>
    <x v="0"/>
    <x v="28"/>
    <s v="ZTE1001"/>
    <s v="Pcs"/>
    <n v="11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1859"/>
    <m/>
    <x v="1"/>
    <s v="OUB-W0012403-285"/>
    <s v="EJ-Malang-01"/>
    <s v="Oka-0813-2707-1646"/>
    <d v="2024-03-23T00:00:00"/>
    <d v="1899-12-30T10:17:00"/>
    <s v="EJ-MALANG-01"/>
    <x v="0"/>
    <x v="28"/>
    <s v="ZTE1001"/>
    <s v="Pcs"/>
    <n v="21"/>
    <s v="CLR51-99-039"/>
    <x v="7"/>
    <m/>
    <m/>
    <m/>
    <s v="Dimas"/>
    <s v="Febby Supplier"/>
    <s v="3573032509800005"/>
    <s v="N 9454 BA"/>
    <m/>
    <m/>
    <s v="Tunjungtirto RW 01 Singosari"/>
    <e v="#N/A"/>
    <e v="#N/A"/>
    <s v="OUTBOUND_"/>
  </r>
  <r>
    <s v="1860"/>
    <m/>
    <x v="1"/>
    <s v="OUB-W0012403-293"/>
    <s v="EJ-Malang-01"/>
    <s v="Oka-0813-2707-1646"/>
    <d v="2024-03-28T00:00:00"/>
    <d v="1899-12-30T18:31:00"/>
    <s v="EJ-MALANG-01"/>
    <x v="0"/>
    <x v="28"/>
    <s v="ZTE1001"/>
    <s v="Pcs"/>
    <n v="6"/>
    <s v="CLR51-99-039"/>
    <x v="7"/>
    <m/>
    <m/>
    <m/>
    <s v="Dimas"/>
    <s v="Febby Supplier"/>
    <s v="3573032509800005"/>
    <s v="N 9454 BA"/>
    <m/>
    <m/>
    <s v="Tunjungtirto RW 01 Singosari"/>
    <e v="#N/A"/>
    <e v="#N/A"/>
    <s v="OUTBOUND_"/>
  </r>
  <r>
    <s v="1861"/>
    <m/>
    <x v="1"/>
    <s v="OUB-W0012403-291"/>
    <s v="EJ-Malang-01"/>
    <s v="Oka-0813-2707-1646"/>
    <d v="2024-03-28T00:00:00"/>
    <d v="1899-12-30T09:32:00"/>
    <s v="EJ-MALANG-01"/>
    <x v="0"/>
    <x v="28"/>
    <s v="ZTE1001"/>
    <s v="Pcs"/>
    <n v="7"/>
    <s v="CLR51-99-039"/>
    <x v="7"/>
    <m/>
    <m/>
    <m/>
    <s v="Dimas"/>
    <s v="Febby Supplier"/>
    <s v="3573032509800005"/>
    <s v="N 9454 BA"/>
    <m/>
    <m/>
    <s v="Tunjungtirto RW 01 Singosari"/>
    <e v="#N/A"/>
    <e v="#N/A"/>
    <s v="OUTBOUND_"/>
  </r>
  <r>
    <s v="1862"/>
    <m/>
    <x v="3"/>
    <s v="TFI-W0012403-294"/>
    <s v="EJ-Malang-01"/>
    <s v="Oka-0813-2707-1646"/>
    <d v="2024-03-28T00:00:00"/>
    <d v="1900-01-14T07:00:00"/>
    <s v="ZTE Warehouse"/>
    <x v="0"/>
    <x v="28"/>
    <s v="ZTE1001"/>
    <s v="Pcs"/>
    <n v="1"/>
    <s v="TRF"/>
    <x v="5"/>
    <n v="0"/>
    <s v="TRANSFER GUDANG"/>
    <m/>
    <m/>
    <m/>
    <m/>
    <m/>
    <m/>
    <m/>
    <n v="0"/>
    <e v="#N/A"/>
    <e v="#N/A"/>
    <s v="OUTBOUND_"/>
  </r>
  <r>
    <s v="1863"/>
    <m/>
    <x v="1"/>
    <s v="OUB-W0012404-296"/>
    <s v="EJ-Malang-01"/>
    <s v="Oka-0813-2707-1646"/>
    <d v="2024-04-01T00:00:00"/>
    <d v="1899-12-30T09:38:00"/>
    <s v="EJ-MALANG-01"/>
    <x v="0"/>
    <x v="28"/>
    <s v="ZTE1001"/>
    <s v="Pcs"/>
    <n v="4"/>
    <s v="CLR51-99-075"/>
    <x v="8"/>
    <m/>
    <m/>
    <m/>
    <s v="Riki Romansyah"/>
    <s v="Febby Supplier"/>
    <s v="3507050501950006"/>
    <s v="N 8420 EL"/>
    <m/>
    <m/>
    <s v="Dalisodo RW 03 Wagir"/>
    <e v="#N/A"/>
    <e v="#N/A"/>
    <s v="OUTBOUND_"/>
  </r>
  <r>
    <s v="1864"/>
    <m/>
    <x v="1"/>
    <s v="OUB-W0012404-297"/>
    <s v="EJ-Malang-01"/>
    <s v="Oka-0813-2707-1646"/>
    <d v="2024-04-01T00:00:00"/>
    <d v="1899-12-30T13:19:00"/>
    <s v="EJ-MALANG-01"/>
    <x v="0"/>
    <x v="28"/>
    <s v="ZTE1001"/>
    <s v="Pcs"/>
    <n v="5"/>
    <s v="CLR51-99-040"/>
    <x v="41"/>
    <m/>
    <m/>
    <m/>
    <s v="Dimas"/>
    <s v="Febby Supplier"/>
    <s v="3573032509800005"/>
    <s v="N 9454 BA"/>
    <m/>
    <m/>
    <s v="Tunjungtirto RW 08 Singosari"/>
    <e v="#N/A"/>
    <e v="#N/A"/>
    <s v="OUTBOUND_"/>
  </r>
  <r>
    <s v="1865"/>
    <m/>
    <x v="1"/>
    <s v="OUB-W0012404-304"/>
    <s v="EJ-Malang-01"/>
    <s v="Oka-0813-2707-1646"/>
    <d v="2024-04-18T00:00:00"/>
    <d v="1899-12-30T09:29:00"/>
    <s v="EJ-MALANG-01"/>
    <x v="0"/>
    <x v="28"/>
    <s v="ZTE1001"/>
    <s v="Pcs"/>
    <n v="16"/>
    <s v="CLR51-99-094"/>
    <x v="154"/>
    <m/>
    <m/>
    <m/>
    <s v="Riki Romansyah"/>
    <s v="Febby Supplier"/>
    <s v="3507050501950006"/>
    <s v="N 8420 EL"/>
    <m/>
    <m/>
    <s v="Tunjungtirto RW 06 Singosari"/>
    <e v="#N/A"/>
    <e v="#N/A"/>
    <s v="OUTBOUND_"/>
  </r>
  <r>
    <s v="1866"/>
    <m/>
    <x v="3"/>
    <s v="TFI-W0012404-306"/>
    <s v="EJ-Malang-01"/>
    <s v="Oka-0813-2707-1646"/>
    <d v="2024-04-18T00:00:00"/>
    <d v="1900-01-14T07:00:00"/>
    <s v="ZTE Warehouse"/>
    <x v="0"/>
    <x v="28"/>
    <s v="ZTE1001"/>
    <s v="Pcs"/>
    <n v="2"/>
    <s v="TRF"/>
    <x v="5"/>
    <n v="0"/>
    <s v="TRANSFER GUDANG"/>
    <m/>
    <m/>
    <m/>
    <m/>
    <m/>
    <m/>
    <m/>
    <n v="0"/>
    <e v="#N/A"/>
    <e v="#N/A"/>
    <s v="OUTBOUND_"/>
  </r>
  <r>
    <s v="1867"/>
    <m/>
    <x v="1"/>
    <s v="OUB-W0012404-308"/>
    <s v="EJ-Malang-01"/>
    <s v="Oka-0813-2707-1646"/>
    <d v="2024-04-19T00:00:00"/>
    <d v="1899-12-30T12:35:00"/>
    <s v="EJ-MALANG-01"/>
    <x v="0"/>
    <x v="28"/>
    <s v="ZTE1001"/>
    <s v="Pcs"/>
    <n v="24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1868"/>
    <m/>
    <x v="1"/>
    <s v="OUB-W0012404-310"/>
    <s v="EJ-Malang-01"/>
    <s v="Oka-0813-2707-1646"/>
    <d v="2024-04-20T00:00:00"/>
    <d v="1899-12-30T12:43:00"/>
    <s v="EJ-MALANG-01"/>
    <x v="0"/>
    <x v="28"/>
    <s v="ZTE1001"/>
    <s v="Pcs"/>
    <n v="25"/>
    <s v="CLR51-99-088"/>
    <x v="183"/>
    <m/>
    <m/>
    <m/>
    <s v="Riki Romansyah"/>
    <s v="Febby Supplier"/>
    <s v="3507050501950006"/>
    <s v="N 8420 EL"/>
    <m/>
    <m/>
    <s v="Pandanlandung RW 02 Wagir"/>
    <e v="#N/A"/>
    <e v="#N/A"/>
    <s v="OUTBOUND_"/>
  </r>
  <r>
    <s v="1869"/>
    <m/>
    <x v="1"/>
    <s v="OUB-W0012404-313"/>
    <s v="EJ-Malang-01"/>
    <s v="Oka-0813-2707-1646"/>
    <d v="2024-04-22T00:00:00"/>
    <d v="1899-12-30T18:35:00"/>
    <s v="EJ-MALANG-01"/>
    <x v="0"/>
    <x v="28"/>
    <s v="ZTE1001"/>
    <s v="Pcs"/>
    <n v="9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1870"/>
    <m/>
    <x v="1"/>
    <s v="OUB-W0012404-311"/>
    <s v="EJ-Malang-01"/>
    <s v="Oka-0813-2707-1646"/>
    <d v="2024-04-22T00:00:00"/>
    <d v="1899-12-30T09:49:00"/>
    <s v="EJ-MALANG-01"/>
    <x v="0"/>
    <x v="28"/>
    <s v="ZTE1001"/>
    <s v="Pcs"/>
    <n v="13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1871"/>
    <m/>
    <x v="1"/>
    <s v="OUB-W0012404-312"/>
    <s v="EJ-Malang-01"/>
    <s v="Oka-0813-2707-1646"/>
    <d v="2024-04-22T00:00:00"/>
    <d v="1899-12-30T13:33:00"/>
    <s v="EJ-MALANG-01"/>
    <x v="0"/>
    <x v="28"/>
    <s v="ZTE1001"/>
    <s v="Pcs"/>
    <n v="25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1872"/>
    <m/>
    <x v="1"/>
    <s v="OUB-W0012404-316"/>
    <s v="EJ-Malang-01"/>
    <s v="Oka-0813-2707-1646"/>
    <d v="2024-04-23T00:00:00"/>
    <d v="1899-12-30T17:12:00"/>
    <s v="EJ-MALANG-01"/>
    <x v="0"/>
    <x v="28"/>
    <s v="ZTE1001"/>
    <s v="Pcs"/>
    <n v="4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1873"/>
    <m/>
    <x v="1"/>
    <s v="OUB-W0012404-315"/>
    <s v="EJ-Malang-01"/>
    <s v="Oka-0813-2707-1646"/>
    <d v="2024-04-23T00:00:00"/>
    <d v="1899-12-30T09:01:00"/>
    <s v="EJ-MALANG-01"/>
    <x v="0"/>
    <x v="28"/>
    <s v="ZTE1001"/>
    <s v="Pcs"/>
    <n v="6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1874"/>
    <m/>
    <x v="3"/>
    <s v="TFI-W0012404-327"/>
    <s v="EJ-Malang-01"/>
    <s v="Oka-0813-2707-1646"/>
    <d v="2024-04-30T00:00:00"/>
    <d v="1900-01-14T07:00:00"/>
    <s v="ZTE Warehouse"/>
    <x v="0"/>
    <x v="28"/>
    <s v="ZTE1001"/>
    <s v="Pcs"/>
    <n v="2"/>
    <s v="TRF"/>
    <x v="5"/>
    <n v="0"/>
    <s v="TRANSFER GUDANG"/>
    <m/>
    <m/>
    <m/>
    <m/>
    <m/>
    <m/>
    <m/>
    <n v="0"/>
    <e v="#N/A"/>
    <e v="#N/A"/>
    <s v="OUTBOUND_"/>
  </r>
  <r>
    <s v="1875"/>
    <m/>
    <x v="3"/>
    <s v="TFI-W0012405-331"/>
    <s v="EJ-Malang-01"/>
    <s v="Oka-0813-2707-1646"/>
    <d v="2024-05-08T00:00:00"/>
    <d v="1900-01-14T07:00:00"/>
    <s v="ZTE Warehouse"/>
    <x v="0"/>
    <x v="28"/>
    <s v="ZTE1001"/>
    <s v="Pcs"/>
    <n v="1"/>
    <s v="TRF"/>
    <x v="5"/>
    <n v="0"/>
    <s v="TRANSFER GUDANG"/>
    <m/>
    <m/>
    <m/>
    <m/>
    <m/>
    <m/>
    <m/>
    <n v="0"/>
    <e v="#N/A"/>
    <e v="#N/A"/>
    <s v="OUTBOUND_"/>
  </r>
  <r>
    <s v="1876"/>
    <m/>
    <x v="1"/>
    <s v="OUB-W0012405-340"/>
    <s v="EJ-Malang-01"/>
    <s v="Oka-0813-2707-1646"/>
    <d v="2024-05-20T00:00:00"/>
    <d v="1899-12-30T09:33:00"/>
    <s v="EJ-MALANG-01"/>
    <x v="0"/>
    <x v="28"/>
    <s v="ZTE1001"/>
    <s v="Pcs"/>
    <n v="23"/>
    <s v="CLR51-99-087"/>
    <x v="11"/>
    <m/>
    <m/>
    <m/>
    <s v="Riki Romansyah"/>
    <n v="0"/>
    <s v="3507050501950006"/>
    <s v="N 8420 EL"/>
    <m/>
    <m/>
    <s v="Lawang RW 06 Malang"/>
    <e v="#N/A"/>
    <e v="#N/A"/>
    <s v="OUTBOUND_"/>
  </r>
  <r>
    <s v="1877"/>
    <m/>
    <x v="0"/>
    <s v="INB-W0012405-344"/>
    <s v="EJ-Malang-01"/>
    <s v="Oka-0813-2707-1646"/>
    <d v="2024-05-21T00:00:00"/>
    <d v="1900-01-14T07:00:00"/>
    <s v="ZTE Warehouse"/>
    <x v="0"/>
    <x v="28"/>
    <s v="ZTE1001"/>
    <s v="Pcs"/>
    <n v="246"/>
    <m/>
    <x v="3"/>
    <n v="0"/>
    <n v="0"/>
    <m/>
    <m/>
    <m/>
    <m/>
    <m/>
    <m/>
    <m/>
    <n v="0"/>
    <e v="#N/A"/>
    <e v="#N/A"/>
    <s v="OUTBOUND_"/>
  </r>
  <r>
    <s v="1878"/>
    <m/>
    <x v="1"/>
    <s v="OUB-W0012405-343"/>
    <s v="EJ-Malang-01"/>
    <s v="Oka-0813-2707-1646"/>
    <d v="2024-05-21T00:00:00"/>
    <d v="1899-12-30T09:03:00"/>
    <s v="EJ-MALANG-01"/>
    <x v="0"/>
    <x v="28"/>
    <s v="ZTE1001"/>
    <s v="Pcs"/>
    <n v="12"/>
    <s v="CLR51-99-087"/>
    <x v="11"/>
    <m/>
    <m/>
    <m/>
    <s v="Riki Romansyah"/>
    <n v="0"/>
    <s v="3507050501950006"/>
    <s v="N 8420 EL"/>
    <m/>
    <m/>
    <s v="Lawang RW 06 Malang"/>
    <e v="#N/A"/>
    <e v="#N/A"/>
    <s v="OUTBOUND_"/>
  </r>
  <r>
    <s v="1879"/>
    <m/>
    <x v="0"/>
    <s v="INB-W0012405-347"/>
    <s v="EJ-Malang-01"/>
    <s v="Oka-0813-2707-1646"/>
    <d v="2024-05-22T00:00:00"/>
    <d v="1900-01-14T07:00:00"/>
    <s v="FIELD TEAM"/>
    <x v="0"/>
    <x v="28"/>
    <s v="ZTE1001"/>
    <s v="Pcs"/>
    <n v="8"/>
    <m/>
    <x v="3"/>
    <n v="0"/>
    <s v="TRANSFER GUDANG"/>
    <m/>
    <m/>
    <m/>
    <m/>
    <m/>
    <s v="gagal pasang, comcase"/>
    <m/>
    <n v="0"/>
    <e v="#N/A"/>
    <e v="#N/A"/>
    <s v="OUTBOUND_"/>
  </r>
  <r>
    <s v="1880"/>
    <m/>
    <x v="1"/>
    <s v="OUB-W0012405-346"/>
    <s v="EJ-Malang-01"/>
    <s v="Oka-0813-2707-1646"/>
    <d v="2024-05-22T00:00:00"/>
    <d v="1899-12-30T09:24:00"/>
    <s v="EJ-MALANG-01"/>
    <x v="0"/>
    <x v="28"/>
    <s v="ZTE1001"/>
    <s v="Pcs"/>
    <n v="21"/>
    <s v="CLR51-99-095"/>
    <x v="16"/>
    <m/>
    <m/>
    <m/>
    <s v="Riki Romansyah"/>
    <s v="Febby Supplier"/>
    <s v="3507050501950006"/>
    <s v="N 8420 EL"/>
    <m/>
    <m/>
    <s v="Candirenggo RW 10 Singosari"/>
    <e v="#N/A"/>
    <e v="#N/A"/>
    <s v="OUTBOUND_"/>
  </r>
  <r>
    <s v="1881"/>
    <m/>
    <x v="1"/>
    <s v="OUB-W0012405-349"/>
    <s v="EJ-Malang-01"/>
    <s v="Oka-0813-2707-1646"/>
    <d v="2024-05-24T00:00:00"/>
    <d v="1899-12-30T10:45:00"/>
    <s v="EJ-MALANG-01"/>
    <x v="0"/>
    <x v="28"/>
    <s v="ZTE1001"/>
    <s v="Pcs"/>
    <n v="21"/>
    <s v="CLR51-99-099"/>
    <x v="12"/>
    <m/>
    <m/>
    <m/>
    <s v="Riki Romansyah"/>
    <s v="Febby Supplier"/>
    <s v="3507050501950006"/>
    <s v="N 8420 EL"/>
    <m/>
    <m/>
    <s v="Dusun Klaseman Kucur"/>
    <e v="#N/A"/>
    <e v="#N/A"/>
    <s v="OUTBOUND_"/>
  </r>
  <r>
    <s v="1882"/>
    <m/>
    <x v="1"/>
    <s v="OUB-W0012405-353"/>
    <s v="EJ-Malang-01"/>
    <s v="Oka-0813-2707-1646"/>
    <d v="2024-05-25T00:00:00"/>
    <d v="1899-12-30T18:00:00"/>
    <s v="EJ-MALANG-01"/>
    <x v="0"/>
    <x v="28"/>
    <s v="ZTE1001"/>
    <s v="Pcs"/>
    <n v="2"/>
    <s v="CLR51-99-097"/>
    <x v="13"/>
    <m/>
    <m/>
    <m/>
    <s v="Agus Oka"/>
    <n v="0"/>
    <n v="0"/>
    <n v="0"/>
    <s v="Broken move to left over"/>
    <m/>
    <s v="Dusun Krajan Kucur"/>
    <e v="#N/A"/>
    <e v="#N/A"/>
    <s v="OUTBOUND_"/>
  </r>
  <r>
    <s v="1883"/>
    <m/>
    <x v="1"/>
    <s v="OUB-W0012405-352"/>
    <s v="EJ-Malang-01"/>
    <s v="Oka-0813-2707-1646"/>
    <d v="2024-05-25T00:00:00"/>
    <d v="1899-12-30T17:05:00"/>
    <s v="EJ-MALANG-01"/>
    <x v="0"/>
    <x v="28"/>
    <s v="ZTE1001"/>
    <s v="Pcs"/>
    <n v="82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1884"/>
    <m/>
    <x v="1"/>
    <s v="OUB-W0012405-350"/>
    <s v="EJ-Malang-01"/>
    <s v="Oka-0813-2707-1646"/>
    <d v="2024-05-25T00:00:00"/>
    <d v="1899-12-30T09:40:00"/>
    <s v="EJ-MALANG-01"/>
    <x v="0"/>
    <x v="28"/>
    <s v="ZTE1001"/>
    <s v="Pcs"/>
    <n v="131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1885"/>
    <m/>
    <x v="0"/>
    <s v="INB-W0012405-354"/>
    <s v="EJ-Malang-01"/>
    <s v="Oka-0813-2707-1646"/>
    <d v="2024-05-25T00:00:00"/>
    <d v="1899-12-30T19:00:00"/>
    <s v="FIELD TEAM"/>
    <x v="1"/>
    <x v="28"/>
    <s v="ZTE1001"/>
    <s v="Pcs"/>
    <n v="1"/>
    <s v="MF51-01"/>
    <x v="36"/>
    <m/>
    <m/>
    <s v="C-Damage"/>
    <m/>
    <m/>
    <m/>
    <m/>
    <s v="Bengkok"/>
    <s v="P74-001-1"/>
    <s v="HUBFEEDER BATURETNO RW 02"/>
    <e v="#N/A"/>
    <e v="#N/A"/>
    <s v="OUTBOUND_P74-001-1"/>
  </r>
  <r>
    <s v="1886"/>
    <m/>
    <x v="0"/>
    <s v="INB-W0012406-360"/>
    <s v="EJ-Malang-01"/>
    <s v="Oka-0813-2707-1646"/>
    <d v="2024-05-31T00:00:00"/>
    <d v="1900-01-14T07:00:00"/>
    <s v="ZTE Warehouse"/>
    <x v="0"/>
    <x v="28"/>
    <s v="ZTE1001"/>
    <s v="Pcs"/>
    <n v="285"/>
    <s v="CLR51-02-014"/>
    <x v="14"/>
    <s v="DOEID24053158"/>
    <s v="DNWID0362024053104"/>
    <m/>
    <m/>
    <m/>
    <m/>
    <m/>
    <m/>
    <m/>
    <s v="Dusun Klampok Kucur"/>
    <d v="2024-05-31T00:00:00"/>
    <b v="1"/>
    <s v="OUTBOUND_"/>
  </r>
  <r>
    <s v="1887"/>
    <m/>
    <x v="1"/>
    <s v="OUB-W0012406-364"/>
    <s v="EJ-Malang-01"/>
    <s v="Oka-0813-2707-1646"/>
    <d v="2024-06-05T00:00:00"/>
    <d v="1899-12-30T09:24:00"/>
    <s v="EJ-MALANG-01"/>
    <x v="0"/>
    <x v="28"/>
    <s v="ZTE1001"/>
    <s v="Pcs"/>
    <n v="4"/>
    <s v="CLR51-99-095"/>
    <x v="16"/>
    <m/>
    <m/>
    <m/>
    <s v="Riki Romansyah"/>
    <s v="Febby Supplier"/>
    <s v="3507050501950006"/>
    <s v="N 9068 EC"/>
    <m/>
    <m/>
    <s v="Candirenggo RW 10 Singosari"/>
    <e v="#N/A"/>
    <e v="#N/A"/>
    <s v="OUTBOUND_"/>
  </r>
  <r>
    <s v="1888"/>
    <m/>
    <x v="1"/>
    <s v="OUB-W0012406-364"/>
    <s v="EJ-Malang-01"/>
    <s v="Oka-0813-2707-1646"/>
    <d v="2024-06-05T00:00:00"/>
    <d v="1899-12-30T09:24:00"/>
    <s v="EJ-MALANG-01"/>
    <x v="0"/>
    <x v="28"/>
    <s v="ZTE1001"/>
    <s v="Pcs"/>
    <n v="21"/>
    <s v="CLR51-02-015"/>
    <x v="15"/>
    <m/>
    <m/>
    <m/>
    <s v="Riki Romansyah"/>
    <s v="Febby Supplier"/>
    <s v="3507050501950006"/>
    <s v="N 9068 EC"/>
    <m/>
    <m/>
    <s v="Dusun Sumber Bendo Kucur"/>
    <e v="#N/A"/>
    <e v="#N/A"/>
    <s v="OUTBOUND_"/>
  </r>
  <r>
    <s v="1889"/>
    <m/>
    <x v="1"/>
    <s v="OUB-W0012406-366"/>
    <s v="EJ-Malang-01"/>
    <s v="Oka-0813-2707-1646"/>
    <d v="2024-06-05T00:00:00"/>
    <d v="1899-12-30T17:51:00"/>
    <s v="EJ-MALANG-01"/>
    <x v="0"/>
    <x v="28"/>
    <s v="ZTE1001"/>
    <s v="Pcs"/>
    <n v="21"/>
    <s v="CLR51-02-015"/>
    <x v="15"/>
    <m/>
    <m/>
    <m/>
    <s v="Riki Romansyah"/>
    <s v="Febby Supplier"/>
    <s v="3507050501950006"/>
    <s v="N 9068 EC"/>
    <m/>
    <m/>
    <s v="Dusun Sumber Bendo Kucur"/>
    <e v="#N/A"/>
    <e v="#N/A"/>
    <s v="OUTBOUND_"/>
  </r>
  <r>
    <s v="1890"/>
    <m/>
    <x v="1"/>
    <s v="OUB-W0012406-365"/>
    <s v="EJ-Malang-01"/>
    <s v="Oka-0813-2707-1646"/>
    <d v="2024-06-05T00:00:00"/>
    <d v="1899-12-30T11:59:00"/>
    <s v="EJ-MALANG-01"/>
    <x v="0"/>
    <x v="28"/>
    <s v="ZTE1001"/>
    <s v="Pcs"/>
    <n v="23"/>
    <s v="CLR51-02-015"/>
    <x v="15"/>
    <m/>
    <m/>
    <m/>
    <s v="Riki Romansyah"/>
    <s v="Febby Supplier"/>
    <s v="3507050501950006"/>
    <s v="N 9068 EC"/>
    <m/>
    <m/>
    <s v="Dusun Sumber Bendo Kucur"/>
    <e v="#N/A"/>
    <e v="#N/A"/>
    <s v="OUTBOUND_"/>
  </r>
  <r>
    <s v="1891"/>
    <m/>
    <x v="1"/>
    <s v="OUB-W0012406-369"/>
    <s v="EJ-Malang-01"/>
    <s v="Oka-0813-2707-1646"/>
    <d v="2024-06-06T00:00:00"/>
    <d v="1899-12-30T11:58:00"/>
    <s v="EJ-MALANG-01"/>
    <x v="0"/>
    <x v="28"/>
    <s v="ZTE1001"/>
    <s v="Pcs"/>
    <n v="9"/>
    <s v="CLR51-02-015"/>
    <x v="15"/>
    <m/>
    <m/>
    <m/>
    <s v="Riki Romansyah"/>
    <s v="Febby Supplier"/>
    <s v="3507050501950006"/>
    <s v="N 8420 EL"/>
    <m/>
    <m/>
    <s v="Dusun Sumber Bendo Kucur"/>
    <e v="#N/A"/>
    <e v="#N/A"/>
    <s v="OUTBOUND_"/>
  </r>
  <r>
    <s v="1892"/>
    <m/>
    <x v="1"/>
    <s v="OUB-W0012406-371"/>
    <s v="EJ-Malang-01"/>
    <s v="Oka-0813-2707-1646"/>
    <d v="2024-06-07T00:00:00"/>
    <d v="1899-12-30T17:21:00"/>
    <s v="EJ-MALANG-01"/>
    <x v="0"/>
    <x v="28"/>
    <s v="ZTE1001"/>
    <s v="Pcs"/>
    <n v="3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1893"/>
    <m/>
    <x v="1"/>
    <s v="OUB-W0012406-379"/>
    <s v="EJ-Malang-01"/>
    <s v="Oka-0813-2707-1646"/>
    <d v="2024-06-19T00:00:00"/>
    <d v="1899-12-30T12:43:00"/>
    <s v="EJ-MALANG-01"/>
    <x v="0"/>
    <x v="28"/>
    <s v="ZTE1001"/>
    <s v="Pcs"/>
    <n v="11"/>
    <s v="CLR51-02-020"/>
    <x v="53"/>
    <m/>
    <m/>
    <m/>
    <s v="Riki Romansyah"/>
    <n v="0"/>
    <s v="3507050501950006"/>
    <s v="N 8420 EL"/>
    <m/>
    <m/>
    <s v="Lowokwaru RW 04"/>
    <e v="#N/A"/>
    <e v="#N/A"/>
    <s v="OUTBOUND_"/>
  </r>
  <r>
    <s v="1894"/>
    <m/>
    <x v="2"/>
    <s v="TFO-W0012406-380"/>
    <s v="EJ-Malang-01"/>
    <s v="Oka-0813-2707-1646"/>
    <d v="2024-06-19T00:00:00"/>
    <d v="1899-12-30T12:43:00"/>
    <s v="EJ-MALANG-01"/>
    <x v="0"/>
    <x v="28"/>
    <s v="ZTE1001"/>
    <s v="Pcs"/>
    <n v="25"/>
    <n v="0"/>
    <x v="4"/>
    <m/>
    <m/>
    <m/>
    <n v="0"/>
    <n v="0"/>
    <n v="0"/>
    <n v="0"/>
    <m/>
    <m/>
    <s v="Transfer Gudang"/>
    <e v="#N/A"/>
    <e v="#N/A"/>
    <s v="TRANSFER OUT_"/>
  </r>
  <r>
    <s v="1895"/>
    <m/>
    <x v="1"/>
    <s v="OUB-W0012406-383"/>
    <s v="EJ-Malang-01"/>
    <s v="Oka-0813-2707-1646"/>
    <d v="2024-06-20T00:00:00"/>
    <d v="1899-12-30T10:40:00"/>
    <s v="EJ-MALANG-01"/>
    <x v="0"/>
    <x v="28"/>
    <s v="ZTE1001"/>
    <s v="Pcs"/>
    <n v="11"/>
    <s v="CLR51-02-020"/>
    <x v="53"/>
    <m/>
    <m/>
    <m/>
    <s v="Riki Romansyah"/>
    <n v="0"/>
    <s v="3507050501950006"/>
    <s v="N 8420 EL"/>
    <m/>
    <m/>
    <s v="Lowokwaru RW 04"/>
    <e v="#N/A"/>
    <e v="#N/A"/>
    <s v="OUTBOUND_"/>
  </r>
  <r>
    <s v="1896"/>
    <m/>
    <x v="1"/>
    <s v="OUB-W0012406-385"/>
    <s v="EJ-Malang-01"/>
    <s v="Oka-0813-2707-1646"/>
    <d v="2024-06-21T00:00:00"/>
    <d v="1899-12-30T12:17:00"/>
    <s v="EJ-MALANG-01"/>
    <x v="0"/>
    <x v="28"/>
    <s v="ZTE1001"/>
    <s v="Pcs"/>
    <n v="21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1897"/>
    <m/>
    <x v="1"/>
    <s v="OUB-W0012406-386"/>
    <s v="EJ-Malang-01"/>
    <s v="Oka-0813-2707-1646"/>
    <d v="2024-06-22T00:00:00"/>
    <d v="1899-12-30T15:01:00"/>
    <s v="EJ-MALANG-01"/>
    <x v="0"/>
    <x v="28"/>
    <s v="ZTE1001"/>
    <s v="Pcs"/>
    <n v="22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1898"/>
    <m/>
    <x v="0"/>
    <s v="INB-W0012406-387"/>
    <s v="EJ-Malang-01"/>
    <s v="Oka-0813-2707-1646"/>
    <d v="2024-06-24T00:00:00"/>
    <d v="1900-01-14T07:00:00"/>
    <s v="ZTE Warehouse"/>
    <x v="0"/>
    <x v="28"/>
    <s v="ZTE1001"/>
    <s v="Pcs"/>
    <n v="165"/>
    <m/>
    <x v="3"/>
    <n v="0"/>
    <n v="0"/>
    <m/>
    <m/>
    <m/>
    <m/>
    <m/>
    <m/>
    <m/>
    <n v="0"/>
    <e v="#N/A"/>
    <e v="#N/A"/>
    <s v="OUTBOUND_"/>
  </r>
  <r>
    <s v="1899"/>
    <m/>
    <x v="3"/>
    <s v="TFI-W0012406-390"/>
    <s v="EJ-Malang-01"/>
    <s v="Oka-0813-2707-1646"/>
    <d v="2024-06-25T00:00:00"/>
    <d v="1900-01-14T07:00:00"/>
    <s v="ZTE Warehouse"/>
    <x v="0"/>
    <x v="28"/>
    <s v="ZTE1001"/>
    <s v="Pcs"/>
    <n v="1"/>
    <s v="TRF"/>
    <x v="5"/>
    <n v="0"/>
    <s v="TRANSFER GUDANG"/>
    <m/>
    <m/>
    <m/>
    <m/>
    <m/>
    <m/>
    <m/>
    <n v="0"/>
    <e v="#N/A"/>
    <e v="#N/A"/>
    <s v="OUTBOUND_"/>
  </r>
  <r>
    <s v="1900"/>
    <m/>
    <x v="1"/>
    <s v="OUB-W0012406-393"/>
    <s v="EJ-Malang-01"/>
    <s v="Oka-0813-2707-1646"/>
    <d v="2024-06-27T00:00:00"/>
    <d v="1899-12-30T12:53:00"/>
    <s v="EJ-MALANG-01"/>
    <x v="0"/>
    <x v="28"/>
    <s v="ZTE1001"/>
    <s v="Pcs"/>
    <n v="117"/>
    <s v="CLR51-99-063"/>
    <x v="55"/>
    <m/>
    <m/>
    <m/>
    <s v="Riki Romansyah"/>
    <s v="Febby Supplier"/>
    <s v="3507050501950006"/>
    <s v="N 8420 EL"/>
    <m/>
    <m/>
    <s v="Perumahan Kepanjen Permai II"/>
    <e v="#N/A"/>
    <e v="#N/A"/>
    <s v="OUTBOUND_"/>
  </r>
  <r>
    <s v="1901"/>
    <m/>
    <x v="1"/>
    <s v="OUB-W0012407-394"/>
    <s v="EJ-Malang-01"/>
    <s v="Oka-0813-2707-1646"/>
    <d v="2024-07-03T00:00:00"/>
    <d v="1899-12-30T14:30:00"/>
    <s v="EJ-MALANG-01"/>
    <x v="0"/>
    <x v="28"/>
    <s v="ZTE1001"/>
    <s v="Pcs"/>
    <n v="11"/>
    <s v="CLR51-99-063"/>
    <x v="55"/>
    <m/>
    <m/>
    <m/>
    <s v="Riki Romansyah"/>
    <s v="Febby Supplier"/>
    <s v="3507050501950006"/>
    <s v="N 8420 EL"/>
    <m/>
    <m/>
    <s v="Perumahan Kepanjen Permai II"/>
    <e v="#N/A"/>
    <e v="#N/A"/>
    <s v="OUTBOUND_"/>
  </r>
  <r>
    <s v="1902"/>
    <m/>
    <x v="1"/>
    <s v="OUB-W0012407-396"/>
    <s v="EJ-Malang-01"/>
    <s v="Oka-0813-2707-1646"/>
    <d v="2024-07-04T00:00:00"/>
    <d v="1899-12-30T10:10:00"/>
    <s v="EJ-MALANG-01"/>
    <x v="0"/>
    <x v="28"/>
    <s v="ZTE1001"/>
    <s v="Pcs"/>
    <n v="28"/>
    <s v="CLR51-99-049"/>
    <x v="80"/>
    <m/>
    <m/>
    <m/>
    <s v="Riki Romansyah"/>
    <s v="Febby Supplier"/>
    <s v="3507050501950006"/>
    <s v="N 8420 EL"/>
    <m/>
    <m/>
    <s v="Perumahan Panca Garden"/>
    <e v="#N/A"/>
    <e v="#N/A"/>
    <s v="OUTBOUND_"/>
  </r>
  <r>
    <s v="1903"/>
    <m/>
    <x v="1"/>
    <s v="OUB-W0012407-404"/>
    <s v="EJ-Malang-01"/>
    <s v="Oka-0813-2707-1646"/>
    <d v="2024-07-12T00:00:00"/>
    <d v="1899-12-30T09:36:00"/>
    <s v="EJ-MALANG-01"/>
    <x v="0"/>
    <x v="28"/>
    <s v="ZTE1001"/>
    <s v="Pcs"/>
    <n v="23"/>
    <s v="CLR51-02-016"/>
    <x v="141"/>
    <m/>
    <m/>
    <m/>
    <s v="Riki Romansyah"/>
    <s v="Febby Supplier"/>
    <s v="3507050501950006"/>
    <s v="N 8420 EL"/>
    <m/>
    <m/>
    <s v="Ngenep RW 06 Karang Ploso"/>
    <e v="#N/A"/>
    <e v="#N/A"/>
    <s v="OUTBOUND_"/>
  </r>
  <r>
    <s v="1904"/>
    <m/>
    <x v="1"/>
    <s v="OUB-W0012407-405"/>
    <s v="EJ-Malang-01"/>
    <s v="Oka-0813-2707-1646"/>
    <d v="2024-07-14T00:00:00"/>
    <d v="1899-12-30T16:08:00"/>
    <s v="EJ-MALANG-01"/>
    <x v="0"/>
    <x v="28"/>
    <s v="ZTE1001"/>
    <s v="Pcs"/>
    <n v="20"/>
    <s v="CLR51-99-061"/>
    <x v="54"/>
    <m/>
    <m/>
    <m/>
    <s v="Riki Romansyah"/>
    <s v="Febby Supplier"/>
    <s v="3507050501950006"/>
    <s v="N 8420 EL"/>
    <m/>
    <m/>
    <s v="Perumahan Perumnas Talangagung I Malang"/>
    <e v="#N/A"/>
    <e v="#N/A"/>
    <s v="OUTBOUND_"/>
  </r>
  <r>
    <s v="1905"/>
    <m/>
    <x v="0"/>
    <s v="INB-W0012407-412"/>
    <s v="EJ-Malang-01"/>
    <s v="Oka-0813-2707-1646"/>
    <d v="2024-07-23T00:00:00"/>
    <d v="1900-01-14T07:00:00"/>
    <s v="ZTE Warehouse"/>
    <x v="0"/>
    <x v="28"/>
    <s v="ZTE1001"/>
    <s v="Pcs"/>
    <n v="256"/>
    <m/>
    <x v="3"/>
    <n v="0"/>
    <n v="0"/>
    <m/>
    <m/>
    <m/>
    <m/>
    <m/>
    <m/>
    <m/>
    <n v="0"/>
    <e v="#N/A"/>
    <e v="#N/A"/>
    <s v="OUTBOUND_"/>
  </r>
  <r>
    <s v="1906"/>
    <m/>
    <x v="1"/>
    <s v="OUB-W0012407-413"/>
    <s v="EJ-Malang-01"/>
    <s v="Oka-0813-2707-1646"/>
    <d v="2024-07-24T00:00:00"/>
    <d v="1899-12-30T15:20:00"/>
    <s v="EJ-MALANG-01"/>
    <x v="0"/>
    <x v="28"/>
    <s v="ZTE1001"/>
    <s v="Pcs"/>
    <n v="25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907"/>
    <m/>
    <x v="1"/>
    <s v="OUB-W0012407-415"/>
    <s v="EJ-Malang-01"/>
    <s v="Oka-0813-2707-1646"/>
    <d v="2024-07-26T00:00:00"/>
    <d v="1899-12-30T13:30:00"/>
    <s v="EJ-MALANG-01"/>
    <x v="0"/>
    <x v="28"/>
    <s v="ZTE1001"/>
    <s v="Pcs"/>
    <n v="21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908"/>
    <m/>
    <x v="1"/>
    <s v="OUB-W0012407-416"/>
    <s v="EJ-Malang-01"/>
    <s v="Oka-0813-2707-1646"/>
    <d v="2024-07-27T00:00:00"/>
    <d v="1899-12-30T14:10:00"/>
    <s v="EJ-MALANG-01"/>
    <x v="0"/>
    <x v="28"/>
    <s v="ZTE1001"/>
    <s v="Pcs"/>
    <n v="21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909"/>
    <m/>
    <x v="1"/>
    <s v="OUB-W0012407-418"/>
    <s v="EJ-Malang-01"/>
    <s v="Oka-0813-2707-1646"/>
    <d v="2024-07-29T00:00:00"/>
    <d v="1899-12-30T14:10:00"/>
    <s v="EJ-MALANG-01"/>
    <x v="0"/>
    <x v="28"/>
    <s v="ZTE1001"/>
    <s v="Pcs"/>
    <n v="15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910"/>
    <m/>
    <x v="1"/>
    <s v="OUB-W0012408-424"/>
    <s v="EJ-Malang-01"/>
    <s v="Oka-0813-2707-1646"/>
    <d v="2024-08-01T00:00:00"/>
    <d v="1899-12-30T16:17:00"/>
    <s v="EJ-MALANG-01"/>
    <x v="0"/>
    <x v="28"/>
    <s v="ZTE1001"/>
    <s v="Pcs"/>
    <n v="19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911"/>
    <m/>
    <x v="1"/>
    <s v="OUB-W0012408-425"/>
    <s v="EJ-Malang-01"/>
    <s v="Oka-0813-2707-1646"/>
    <d v="2024-08-02T00:00:00"/>
    <d v="1899-12-30T13:31:00"/>
    <s v="EJ-MALANG-01"/>
    <x v="0"/>
    <x v="28"/>
    <s v="ZTE1001"/>
    <s v="Pcs"/>
    <n v="5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912"/>
    <m/>
    <x v="3"/>
    <s v="TFI-W0012408-426"/>
    <s v="EJ-Malang-01"/>
    <s v="Oka-0813-2707-1646"/>
    <d v="2024-08-02T00:00:00"/>
    <d v="1900-01-14T07:00:00"/>
    <s v="ZTE Warehouse"/>
    <x v="0"/>
    <x v="28"/>
    <s v="ZTE1001"/>
    <s v="Pcs"/>
    <n v="1"/>
    <s v="TRF"/>
    <x v="5"/>
    <n v="0"/>
    <s v="TRANSFER GUDANG"/>
    <m/>
    <m/>
    <m/>
    <m/>
    <m/>
    <m/>
    <m/>
    <n v="0"/>
    <e v="#N/A"/>
    <e v="#N/A"/>
    <s v="OUTBOUND_"/>
  </r>
  <r>
    <s v="1913"/>
    <m/>
    <x v="1"/>
    <s v="OUB-W0012408-427"/>
    <s v="EJ-Malang-01"/>
    <s v="Oka-0813-2707-1646"/>
    <d v="2024-08-03T00:00:00"/>
    <d v="1899-12-30T09:36:00"/>
    <s v="EJ-MALANG-01"/>
    <x v="0"/>
    <x v="28"/>
    <s v="ZTE1001"/>
    <s v="Pcs"/>
    <n v="4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914"/>
    <m/>
    <x v="1"/>
    <s v="OUB-W0012408-430"/>
    <s v="EJ-Malang-01"/>
    <s v="Oka-0813-2707-1646"/>
    <d v="2024-08-03T00:00:00"/>
    <d v="1899-12-30T23:20:00"/>
    <s v="EJ-MALANG-01"/>
    <x v="0"/>
    <x v="28"/>
    <s v="ZTE1001"/>
    <s v="Pcs"/>
    <n v="18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1915"/>
    <m/>
    <x v="1"/>
    <s v="OUB-W0012408-428"/>
    <s v="EJ-Malang-01"/>
    <s v="Oka-0813-2707-1646"/>
    <d v="2024-08-03T00:00:00"/>
    <d v="1899-12-30T19:00:00"/>
    <s v="EJ-MALANG-01"/>
    <x v="0"/>
    <x v="28"/>
    <s v="ZTE1001"/>
    <s v="Pcs"/>
    <n v="25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1916"/>
    <m/>
    <x v="1"/>
    <s v="OUB-W0012408-429"/>
    <s v="EJ-Malang-01"/>
    <s v="Oka-0813-2707-1646"/>
    <d v="2024-08-03T00:00:00"/>
    <d v="1899-12-30T19:44:00"/>
    <s v="EJ-MALANG-01"/>
    <x v="0"/>
    <x v="28"/>
    <s v="ZTE1001"/>
    <s v="Pcs"/>
    <n v="30"/>
    <s v="MF51-03"/>
    <x v="57"/>
    <m/>
    <m/>
    <m/>
    <s v="Riki Romansyah"/>
    <s v="Febby Supplier"/>
    <s v="3507050501950006"/>
    <s v="N 8420 EL"/>
    <m/>
    <m/>
    <s v="HUBFEEDER KEPANJEN TO JATIKERTO"/>
    <e v="#N/A"/>
    <e v="#N/A"/>
    <s v="OUTBOUND_"/>
  </r>
  <r>
    <s v="1917"/>
    <m/>
    <x v="1"/>
    <s v="OUB-W0012408-432"/>
    <s v="EJ-Malang-01"/>
    <s v="Oka-0813-2707-1646"/>
    <d v="2024-08-06T00:00:00"/>
    <d v="1899-12-30T19:16:00"/>
    <s v="EJ-MALANG-01"/>
    <x v="0"/>
    <x v="28"/>
    <s v="ZTE1001"/>
    <s v="Pcs"/>
    <n v="25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1918"/>
    <m/>
    <x v="1"/>
    <s v="OUB-W0012408-436"/>
    <s v="EJ-Malang-01"/>
    <s v="Oka-0813-2707-1646"/>
    <d v="2024-08-07T00:00:00"/>
    <d v="1899-12-30T20:20:00"/>
    <s v="EJ-MALANG-01"/>
    <x v="0"/>
    <x v="28"/>
    <s v="ZTE1001"/>
    <s v="Pcs"/>
    <n v="19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1919"/>
    <m/>
    <x v="1"/>
    <s v="OUB-W0012408-434"/>
    <s v="EJ-Malang-01"/>
    <s v="Oka-0813-2707-1646"/>
    <d v="2024-08-07T00:00:00"/>
    <d v="1899-12-30T18:48:00"/>
    <s v="EJ-MALANG-01"/>
    <x v="0"/>
    <x v="28"/>
    <s v="ZTE1001"/>
    <s v="Pcs"/>
    <n v="30"/>
    <s v="MF51-03"/>
    <x v="57"/>
    <m/>
    <m/>
    <m/>
    <s v="Riki Romansyah"/>
    <s v="Febby Supplier"/>
    <s v="3507050501950006"/>
    <s v="N 8420 EL"/>
    <m/>
    <m/>
    <s v="HUBFEEDER KEPANJEN TO JATIKERTO"/>
    <e v="#N/A"/>
    <e v="#N/A"/>
    <s v="OUTBOUND_"/>
  </r>
  <r>
    <s v="1920"/>
    <m/>
    <x v="3"/>
    <s v="TFI-W0012408-438"/>
    <s v="EJ-Malang-01"/>
    <s v="Oka-0813-2707-1646"/>
    <d v="2024-08-08T00:00:00"/>
    <d v="1900-01-14T07:00:00"/>
    <s v="ZTE Warehouse"/>
    <x v="0"/>
    <x v="28"/>
    <s v="ZTE1001"/>
    <s v="Pcs"/>
    <n v="2"/>
    <s v="TRF"/>
    <x v="5"/>
    <n v="0"/>
    <s v="TRANSFER GUDANG"/>
    <m/>
    <m/>
    <m/>
    <m/>
    <m/>
    <m/>
    <m/>
    <n v="0"/>
    <e v="#N/A"/>
    <e v="#N/A"/>
    <s v="OUTBOUND_"/>
  </r>
  <r>
    <s v="1921"/>
    <m/>
    <x v="1"/>
    <s v="OUB-W0012408-443"/>
    <s v="EJ-Malang-01"/>
    <s v="Oka-0813-2707-1646"/>
    <d v="2024-08-14T00:00:00"/>
    <d v="1899-12-30T16:23:00"/>
    <s v="EJ-MALANG-01"/>
    <x v="0"/>
    <x v="28"/>
    <s v="ZTE1001"/>
    <s v="Pcs"/>
    <n v="1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1922"/>
    <m/>
    <x v="1"/>
    <s v="OUB-W0012408-448"/>
    <s v="EJ-Malang-01"/>
    <s v="Oka-0813-2707-1646"/>
    <d v="2024-08-20T00:00:00"/>
    <d v="1899-12-30T16:54:00"/>
    <s v="EJ-MALANG-01"/>
    <x v="0"/>
    <x v="28"/>
    <s v="ZTE1001"/>
    <s v="Pcs"/>
    <n v="2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1923"/>
    <m/>
    <x v="1"/>
    <s v="OUB-W0012408-447"/>
    <s v="EJ-Malang-01"/>
    <s v="Oka-0813-2707-1646"/>
    <d v="2024-08-20T00:00:00"/>
    <d v="1899-12-30T13:20:00"/>
    <s v="EJ-MALANG-01"/>
    <x v="0"/>
    <x v="28"/>
    <s v="ZTE1001"/>
    <s v="Pcs"/>
    <n v="10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1924"/>
    <m/>
    <x v="1"/>
    <s v="OUB-W0012408-446"/>
    <s v="EJ-Malang-01"/>
    <s v="Oka-0813-2707-1646"/>
    <d v="2024-08-20T00:00:00"/>
    <d v="1899-12-30T08:50:00"/>
    <s v="EJ-MALANG-01"/>
    <x v="0"/>
    <x v="28"/>
    <s v="ZTE1001"/>
    <s v="Pcs"/>
    <n v="20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1925"/>
    <m/>
    <x v="0"/>
    <s v="INB-W0012408-453"/>
    <s v="EJ-Malang-01"/>
    <s v="Oka-0813-2707-1646"/>
    <d v="2024-08-22T00:00:00"/>
    <d v="1900-01-14T07:00:00"/>
    <s v="ZTE Warehouse"/>
    <x v="0"/>
    <x v="28"/>
    <s v="ZTE1001"/>
    <s v="Pcs"/>
    <n v="175"/>
    <m/>
    <x v="3"/>
    <n v="0"/>
    <n v="0"/>
    <m/>
    <m/>
    <m/>
    <m/>
    <m/>
    <m/>
    <m/>
    <n v="0"/>
    <e v="#N/A"/>
    <e v="#N/A"/>
    <s v="OUTBOUND_"/>
  </r>
  <r>
    <s v="1926"/>
    <m/>
    <x v="1"/>
    <s v="OUB-W0012408-451"/>
    <s v="EJ-Malang-01"/>
    <s v="Oka-0813-2707-1646"/>
    <d v="2024-08-22T00:00:00"/>
    <d v="1899-12-30T10:59:00"/>
    <s v="EJ-MALANG-01"/>
    <x v="0"/>
    <x v="28"/>
    <s v="ZTE1001"/>
    <s v="Pcs"/>
    <n v="24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1927"/>
    <m/>
    <x v="1"/>
    <s v="OUB-W0012408-454"/>
    <s v="EJ-Malang-01"/>
    <s v="Oka-0813-2707-1646"/>
    <d v="2024-08-23T00:00:00"/>
    <d v="1899-12-30T07:23:00"/>
    <s v="EJ-MALANG-01"/>
    <x v="0"/>
    <x v="28"/>
    <s v="ZTE1001"/>
    <s v="Pcs"/>
    <n v="21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1928"/>
    <m/>
    <x v="1"/>
    <s v="OUB-W0012408-455"/>
    <s v="EJ-Malang-01"/>
    <s v="Oka-0813-2707-1646"/>
    <d v="2024-08-23T00:00:00"/>
    <d v="1899-12-30T11:13:00"/>
    <s v="EJ-MALANG-01"/>
    <x v="0"/>
    <x v="28"/>
    <s v="ZTE1001"/>
    <s v="Pcs"/>
    <n v="21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1929"/>
    <m/>
    <x v="1"/>
    <s v="OUB-W0012408-460"/>
    <s v="EJ-Malang-01"/>
    <s v="Oka-0813-2707-1646"/>
    <d v="2024-08-27T00:00:00"/>
    <d v="1899-12-30T09:37:00"/>
    <s v="EJ-MALANG-01"/>
    <x v="0"/>
    <x v="28"/>
    <s v="ZTE1001"/>
    <s v="Pcs"/>
    <n v="21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1930"/>
    <m/>
    <x v="0"/>
    <s v="INB-W0012408-467"/>
    <s v="EJ-Malang-01"/>
    <s v="Oka-0813-2707-1646"/>
    <d v="2024-08-28T00:00:00"/>
    <d v="1900-01-14T07:00:00"/>
    <s v="ZTE Warehouse"/>
    <x v="0"/>
    <x v="28"/>
    <s v="ZTE1001"/>
    <s v="Pcs"/>
    <n v="109"/>
    <m/>
    <x v="3"/>
    <n v="0"/>
    <n v="0"/>
    <m/>
    <m/>
    <m/>
    <m/>
    <m/>
    <m/>
    <m/>
    <n v="0"/>
    <e v="#N/A"/>
    <e v="#N/A"/>
    <s v="OUTBOUND_"/>
  </r>
  <r>
    <s v="1931"/>
    <m/>
    <x v="1"/>
    <s v="OUB-W0012408-468"/>
    <s v="EJ-Malang-01"/>
    <s v="Oka-0813-2707-1646"/>
    <d v="2024-08-29T00:00:00"/>
    <d v="1899-12-30T06:37:00"/>
    <s v="EJ-MALANG-01"/>
    <x v="0"/>
    <x v="28"/>
    <s v="ZTE1001"/>
    <s v="Pcs"/>
    <n v="17"/>
    <s v="CLR51-09-008"/>
    <x v="179"/>
    <m/>
    <m/>
    <m/>
    <s v="Riki Romansyah"/>
    <s v="Febby Supplier"/>
    <s v="3507050501950006"/>
    <s v="N 8420 EL"/>
    <m/>
    <m/>
    <s v="Dilem RW 04 Kepanjen"/>
    <e v="#N/A"/>
    <e v="#N/A"/>
    <s v="OUTBOUND_"/>
  </r>
  <r>
    <s v="1932"/>
    <m/>
    <x v="1"/>
    <s v="OUB-W0012408-468"/>
    <s v="EJ-Malang-01"/>
    <s v="Oka-0813-2707-1646"/>
    <d v="2024-08-29T00:00:00"/>
    <d v="1899-12-30T06:37:00"/>
    <s v="EJ-MALANG-01"/>
    <x v="0"/>
    <x v="28"/>
    <s v="ZTE1001"/>
    <s v="Pcs"/>
    <n v="19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1933"/>
    <m/>
    <x v="1"/>
    <s v="OUB-W0012408-470"/>
    <s v="EJ-Malang-01"/>
    <s v="Oka-0813-2707-1646"/>
    <d v="2024-08-30T00:00:00"/>
    <d v="1899-12-30T06:37:00"/>
    <s v="EJ-MALANG-01"/>
    <x v="0"/>
    <x v="28"/>
    <s v="ZTE1001"/>
    <s v="Pcs"/>
    <n v="6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1934"/>
    <m/>
    <x v="1"/>
    <s v="OUB-W0012408-470"/>
    <s v="EJ-Malang-01"/>
    <s v="Oka-0813-2707-1646"/>
    <d v="2024-08-30T00:00:00"/>
    <d v="1899-12-30T06:37:00"/>
    <s v="EJ-MALANG-01"/>
    <x v="0"/>
    <x v="28"/>
    <s v="ZTE1001"/>
    <s v="Pcs"/>
    <n v="9"/>
    <s v="CLR51-09-008"/>
    <x v="179"/>
    <m/>
    <m/>
    <m/>
    <s v="Riki Romansyah"/>
    <s v="Febby Supplier"/>
    <s v="3507050501950006"/>
    <s v="N 8420 EL"/>
    <m/>
    <m/>
    <s v="Dilem RW 04 Kepanjen"/>
    <e v="#N/A"/>
    <e v="#N/A"/>
    <s v="OUTBOUND_"/>
  </r>
  <r>
    <s v="1935"/>
    <m/>
    <x v="1"/>
    <s v="OUB-W0012408-471"/>
    <s v="EJ-Malang-01"/>
    <s v="Oka-0813-2707-1646"/>
    <d v="2024-08-30T00:00:00"/>
    <d v="1899-12-30T14:46:00"/>
    <s v="EJ-MALANG-01"/>
    <x v="0"/>
    <x v="28"/>
    <s v="ZTE1001"/>
    <s v="Pcs"/>
    <n v="21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1936"/>
    <m/>
    <x v="1"/>
    <s v="OUB-W0012408-474"/>
    <s v="EJ-Malang-01"/>
    <s v="Oka-0813-2707-1646"/>
    <d v="2024-08-31T00:00:00"/>
    <d v="1899-12-30T12:17:00"/>
    <s v="EJ-MALANG-01"/>
    <x v="0"/>
    <x v="28"/>
    <s v="ZTE1001"/>
    <s v="Pcs"/>
    <n v="12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1937"/>
    <m/>
    <x v="1"/>
    <s v="OUB-W0012409-479"/>
    <s v="EJ-Malang-01"/>
    <s v="Oka-0813-2707-1646"/>
    <d v="2024-09-01T00:00:00"/>
    <d v="1899-12-30T14:17:00"/>
    <s v="EJ-MALANG-01"/>
    <x v="0"/>
    <x v="28"/>
    <s v="ZTE1001"/>
    <s v="Pcs"/>
    <n v="12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1938"/>
    <m/>
    <x v="1"/>
    <s v="OUB-W0012409-480"/>
    <s v="EJ-Malang-01"/>
    <s v="Oka-0813-2707-1646"/>
    <d v="2024-09-02T00:00:00"/>
    <d v="1899-12-30T07:53:00"/>
    <s v="EJ-MALANG-01"/>
    <x v="0"/>
    <x v="28"/>
    <s v="ZTE1001"/>
    <s v="Pcs"/>
    <n v="5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1939"/>
    <m/>
    <x v="1"/>
    <s v="OUB-W0012409-481"/>
    <s v="EJ-Malang-01"/>
    <s v="Oka-0813-2707-1646"/>
    <d v="2024-09-02T00:00:00"/>
    <d v="1899-12-30T14:17:00"/>
    <s v="EJ-MALANG-01"/>
    <x v="0"/>
    <x v="28"/>
    <s v="ZTE1001"/>
    <s v="Pcs"/>
    <n v="12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1940"/>
    <m/>
    <x v="1"/>
    <s v="OUB-W0012409-482"/>
    <s v="EJ-Malang-01"/>
    <s v="Oka-0813-2707-1646"/>
    <d v="2024-09-03T00:00:00"/>
    <d v="1899-12-30T08:37:00"/>
    <s v="EJ-MALANG-01"/>
    <x v="0"/>
    <x v="28"/>
    <s v="ZTE1001"/>
    <s v="Pcs"/>
    <n v="22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1941"/>
    <m/>
    <x v="1"/>
    <s v="OUB-W0012409-485"/>
    <s v="EJ-Malang-01"/>
    <s v="Oka-0813-2707-1646"/>
    <d v="2024-09-04T00:00:00"/>
    <d v="1899-12-30T09:46:00"/>
    <s v="EJ-MALANG-01"/>
    <x v="0"/>
    <x v="28"/>
    <s v="ZTE1001"/>
    <s v="Pcs"/>
    <n v="38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1942"/>
    <m/>
    <x v="1"/>
    <s v="OUB-W0012409-488"/>
    <s v="EJ-Malang-01"/>
    <s v="Oka-0813-2707-1646"/>
    <d v="2024-09-05T00:00:00"/>
    <d v="1899-12-30T14:17:00"/>
    <s v="EJ-MALANG-01"/>
    <x v="0"/>
    <x v="28"/>
    <s v="ZTE1001"/>
    <s v="Pcs"/>
    <n v="15"/>
    <s v="CLR51-99-118"/>
    <x v="68"/>
    <m/>
    <m/>
    <m/>
    <s v="Nur Hidayat"/>
    <n v="0"/>
    <s v="3515141305930006"/>
    <s v="S 9102 AE"/>
    <m/>
    <m/>
    <s v="NGENEP UTARA RW 03 MALANG"/>
    <e v="#N/A"/>
    <e v="#N/A"/>
    <s v="OUTBOUND_"/>
  </r>
  <r>
    <s v="1943"/>
    <m/>
    <x v="1"/>
    <s v="OUB-W0012409-492"/>
    <s v="EJ-Malang-01"/>
    <s v="Oka-0813-2707-1646"/>
    <d v="2024-09-06T00:00:00"/>
    <d v="1899-12-30T10:07:00"/>
    <s v="EJ-MALANG-01"/>
    <x v="0"/>
    <x v="28"/>
    <s v="ZTE1001"/>
    <s v="Pcs"/>
    <n v="44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1944"/>
    <m/>
    <x v="1"/>
    <s v="OUB-W0012409-502"/>
    <s v="EJ-Malang-01"/>
    <s v="Oka-0813-2707-1646"/>
    <d v="2024-09-13T00:00:00"/>
    <d v="1899-12-30T08:21:00"/>
    <s v="EJ-MALANG-01"/>
    <x v="0"/>
    <x v="28"/>
    <s v="ZTE1001"/>
    <s v="Pcs"/>
    <n v="1"/>
    <s v="CLR51-99-063"/>
    <x v="55"/>
    <m/>
    <m/>
    <m/>
    <s v="Riki Romansyah"/>
    <n v="0"/>
    <s v="3507050501950006"/>
    <s v="N 8420 EL"/>
    <m/>
    <m/>
    <s v="Perumahan Kepanjen Permai II"/>
    <e v="#N/A"/>
    <e v="#N/A"/>
    <s v="OUTBOUND_"/>
  </r>
  <r>
    <s v="1945"/>
    <m/>
    <x v="1"/>
    <s v="OUB-W0012409-502"/>
    <s v="EJ-Malang-01"/>
    <s v="Oka-0813-2707-1646"/>
    <d v="2024-09-13T00:00:00"/>
    <d v="1899-12-30T08:21:00"/>
    <s v="EJ-MALANG-01"/>
    <x v="0"/>
    <x v="28"/>
    <s v="ZTE1001"/>
    <s v="Pcs"/>
    <n v="9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1946"/>
    <m/>
    <x v="1"/>
    <s v="OUB-W0012409-503"/>
    <s v="EJ-Malang-01"/>
    <s v="Oka-0813-2707-1646"/>
    <d v="2024-09-18T00:00:00"/>
    <d v="1899-12-30T10:21:00"/>
    <s v="EJ-MALANG-01"/>
    <x v="0"/>
    <x v="28"/>
    <s v="ZTE1001"/>
    <s v="Pcs"/>
    <n v="19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1947"/>
    <m/>
    <x v="3"/>
    <s v="TFI-W0012409-504"/>
    <s v="EJ-Malang-01"/>
    <s v="Oka-0813-2707-1646"/>
    <d v="2024-09-19T00:00:00"/>
    <d v="1900-01-14T07:00:00"/>
    <s v="EJ-BLITAR-01"/>
    <x v="0"/>
    <x v="28"/>
    <s v="ZTE1001"/>
    <s v="Pcs"/>
    <n v="98"/>
    <s v="TRF"/>
    <x v="158"/>
    <n v="0"/>
    <n v="0"/>
    <m/>
    <m/>
    <m/>
    <m/>
    <m/>
    <m/>
    <m/>
    <s v="Blitar"/>
    <e v="#N/A"/>
    <e v="#N/A"/>
    <s v="OUTBOUND_"/>
  </r>
  <r>
    <s v="1948"/>
    <m/>
    <x v="0"/>
    <s v="INB-W0012409-507"/>
    <s v="EJ-Malang-01"/>
    <s v="Oka-0813-2707-1646"/>
    <d v="2024-09-20T00:00:00"/>
    <d v="1900-01-14T07:00:00"/>
    <s v="ZTE Warehouse"/>
    <x v="0"/>
    <x v="28"/>
    <s v="ZTE1001"/>
    <s v="Pcs"/>
    <n v="126"/>
    <m/>
    <x v="3"/>
    <n v="0"/>
    <n v="0"/>
    <m/>
    <m/>
    <m/>
    <m/>
    <m/>
    <m/>
    <m/>
    <n v="0"/>
    <e v="#N/A"/>
    <e v="#N/A"/>
    <s v="OUTBOUND_"/>
  </r>
  <r>
    <s v="1949"/>
    <m/>
    <x v="1"/>
    <s v="OUB-W0012409-506"/>
    <s v="EJ-Malang-01"/>
    <s v="Oka-0813-2707-1646"/>
    <d v="2024-09-20T00:00:00"/>
    <d v="1899-12-30T15:26:00"/>
    <s v="EJ-MALANG-01"/>
    <x v="0"/>
    <x v="28"/>
    <s v="ZTE1001"/>
    <s v="Pcs"/>
    <n v="21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1950"/>
    <m/>
    <x v="1"/>
    <s v="OUB-W0012409-509"/>
    <s v="EJ-Malang-01"/>
    <s v="Oka-0813-2707-1646"/>
    <d v="2024-09-23T00:00:00"/>
    <d v="1899-12-30T12:45:00"/>
    <s v="EJ-MALANG-01"/>
    <x v="0"/>
    <x v="28"/>
    <s v="ZTE1001"/>
    <s v="Pcs"/>
    <n v="20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1951"/>
    <m/>
    <x v="1"/>
    <s v="OUB-W0012409-510"/>
    <s v="EJ-Malang-01"/>
    <s v="Oka-0813-2707-1646"/>
    <d v="2024-09-24T00:00:00"/>
    <d v="1899-12-30T16:12:00"/>
    <s v="EJ-MALANG-01"/>
    <x v="0"/>
    <x v="28"/>
    <s v="ZTE1001"/>
    <s v="Pcs"/>
    <n v="21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1952"/>
    <m/>
    <x v="1"/>
    <s v="OUB-W0012409-514"/>
    <s v="EJ-Malang-01"/>
    <s v="Oka-0813-2707-1646"/>
    <d v="2024-09-26T00:00:00"/>
    <d v="1899-12-30T17:35:00"/>
    <s v="EJ-MALANG-01"/>
    <x v="0"/>
    <x v="28"/>
    <s v="ZTE1001"/>
    <s v="Pcs"/>
    <n v="13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1953"/>
    <m/>
    <x v="3"/>
    <s v="TFI-W0012409-516"/>
    <s v="EJ-Malang-01"/>
    <s v="Oka-0813-2707-1646"/>
    <d v="2024-09-26T00:00:00"/>
    <d v="1900-01-14T07:00:00"/>
    <s v="ZTE Warehouse"/>
    <x v="0"/>
    <x v="28"/>
    <s v="ZTE1001"/>
    <s v="Pcs"/>
    <n v="4"/>
    <s v="TRF"/>
    <x v="5"/>
    <n v="0"/>
    <s v="TRANSFER GUDANG"/>
    <m/>
    <m/>
    <m/>
    <m/>
    <m/>
    <m/>
    <m/>
    <n v="0"/>
    <e v="#N/A"/>
    <e v="#N/A"/>
    <s v="OUTBOUND_"/>
  </r>
  <r>
    <s v="1954"/>
    <m/>
    <x v="1"/>
    <s v="OUB-W0012409-518"/>
    <s v="EJ-Malang-01"/>
    <s v="Oka-0813-2707-1646"/>
    <d v="2024-09-27T00:00:00"/>
    <d v="1899-12-30T14:30:00"/>
    <s v="EJ-MALANG-01"/>
    <x v="0"/>
    <x v="28"/>
    <s v="ZTE1001"/>
    <s v="Pcs"/>
    <n v="3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1955"/>
    <m/>
    <x v="1"/>
    <s v="OUB-W0012409-521"/>
    <s v="EJ-Malang-01"/>
    <s v="Oka-0813-2707-1646"/>
    <d v="2024-09-29T00:00:00"/>
    <d v="1899-12-30T17:35:00"/>
    <s v="EJ-MALANG-01"/>
    <x v="0"/>
    <x v="28"/>
    <s v="ZTE1001"/>
    <s v="Pcs"/>
    <n v="12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1956"/>
    <m/>
    <x v="1"/>
    <s v="OUB-W0012410-526"/>
    <s v="EJ-Malang-01"/>
    <s v="Oka-0813-2707-1646"/>
    <d v="2024-10-10T00:00:00"/>
    <d v="1899-12-30T13:33:00"/>
    <s v="EJ-MALANG-01"/>
    <x v="0"/>
    <x v="28"/>
    <s v="ZTE1001"/>
    <s v="Pcs"/>
    <n v="2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1957"/>
    <m/>
    <x v="1"/>
    <s v="OUB-W0012410-543"/>
    <s v="EJ-Malang-01"/>
    <s v="Oka-0813-2707-1646"/>
    <d v="2024-10-31T00:00:00"/>
    <d v="1899-12-30T19:09:00"/>
    <s v="EJ-MALANG-01"/>
    <x v="0"/>
    <x v="28"/>
    <s v="ZTE1001"/>
    <s v="Pcs"/>
    <n v="2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1958"/>
    <m/>
    <x v="1"/>
    <s v="OUB-W0012410-543"/>
    <s v="EJ-Malang-01"/>
    <s v="Oka-0813-2707-1646"/>
    <d v="2024-10-31T00:00:00"/>
    <d v="1899-12-30T19:09:00"/>
    <s v="EJ-MALANG-01"/>
    <x v="0"/>
    <x v="28"/>
    <s v="ZTE1001"/>
    <s v="Pcs"/>
    <n v="4"/>
    <s v="MF51-07"/>
    <x v="75"/>
    <m/>
    <m/>
    <m/>
    <s v="Sulistiono"/>
    <n v="0"/>
    <s v="3575032104720001"/>
    <s v="N 9586 WC"/>
    <m/>
    <m/>
    <s v="HUBFEEDER KLAMPOK"/>
    <e v="#N/A"/>
    <e v="#N/A"/>
    <s v="OUTBOUND_"/>
  </r>
  <r>
    <s v="1959"/>
    <m/>
    <x v="0"/>
    <s v="INB-W0012411-548"/>
    <s v="EJ-Malang-01"/>
    <s v="Oka-0813-2707-1646"/>
    <d v="2024-11-06T00:00:00"/>
    <d v="1900-01-14T07:00:00"/>
    <s v="ZTE Warehouse"/>
    <x v="0"/>
    <x v="28"/>
    <s v="ZTE1001"/>
    <s v="Pcs"/>
    <n v="20"/>
    <s v="CLR51-01-009"/>
    <x v="76"/>
    <s v="DOEID24110550"/>
    <s v="DNWID0342024110505"/>
    <m/>
    <m/>
    <m/>
    <m/>
    <m/>
    <m/>
    <m/>
    <s v="Kalirejo RW 13 Lawang"/>
    <d v="2024-11-06T00:00:00"/>
    <b v="1"/>
    <s v="OUTBOUND_"/>
  </r>
  <r>
    <s v="1960"/>
    <m/>
    <x v="0"/>
    <s v="INB-W0012411-548"/>
    <s v="EJ-Malang-01"/>
    <s v="Oka-0813-2707-1646"/>
    <d v="2024-11-06T00:00:00"/>
    <d v="1900-01-14T07:00:00"/>
    <s v="ZTE Warehouse"/>
    <x v="0"/>
    <x v="28"/>
    <s v="ZTE1001"/>
    <s v="Pcs"/>
    <n v="25"/>
    <s v="MF51-07"/>
    <x v="75"/>
    <s v="DOEID241029AI"/>
    <s v="DNWID0362024102915"/>
    <m/>
    <m/>
    <m/>
    <m/>
    <m/>
    <m/>
    <m/>
    <s v="HUBFEEDER KLAMPOK"/>
    <d v="2024-11-06T00:00:00"/>
    <b v="1"/>
    <s v="OUTBOUND_"/>
  </r>
  <r>
    <s v="1961"/>
    <m/>
    <x v="0"/>
    <s v="INB-W0012411-548"/>
    <s v="EJ-Malang-01"/>
    <s v="Oka-0813-2707-1646"/>
    <d v="2024-11-06T00:00:00"/>
    <d v="1900-01-14T07:00:00"/>
    <s v="ZTE Warehouse"/>
    <x v="0"/>
    <x v="28"/>
    <s v="ZTE1001"/>
    <s v="Pcs"/>
    <n v="81"/>
    <s v="CLR51-99-123"/>
    <x v="77"/>
    <s v="DOEID24110551"/>
    <s v="DNWID0342024110504"/>
    <m/>
    <m/>
    <m/>
    <m/>
    <m/>
    <m/>
    <m/>
    <s v="Tambakasri RW 02 Tajinan"/>
    <d v="2024-11-06T00:00:00"/>
    <b v="1"/>
    <s v="OUTBOUND_"/>
  </r>
  <r>
    <s v="1962"/>
    <m/>
    <x v="1"/>
    <s v="OUB-W0012411-547"/>
    <s v="EJ-Malang-01"/>
    <s v="Oka-0813-2707-1646"/>
    <d v="2024-11-06T00:00:00"/>
    <d v="1899-12-30T08:25:00"/>
    <s v="EJ-MALANG-01"/>
    <x v="0"/>
    <x v="28"/>
    <s v="ZTE1001"/>
    <s v="Pcs"/>
    <n v="21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1963"/>
    <m/>
    <x v="1"/>
    <s v="OUB-W0012411-553"/>
    <s v="EJ-Malang-01"/>
    <s v="Oka-0813-2707-1646"/>
    <d v="2024-11-20T00:00:00"/>
    <d v="1899-12-30T13:25:00"/>
    <s v="EJ-MALANG-01"/>
    <x v="0"/>
    <x v="28"/>
    <s v="ZTE1001"/>
    <s v="Pcs"/>
    <n v="14"/>
    <s v="CLR51-01-009"/>
    <x v="79"/>
    <m/>
    <m/>
    <m/>
    <s v="Riki Romansyah"/>
    <n v="0"/>
    <s v="3507050501950006"/>
    <s v="N 8420 EL"/>
    <m/>
    <m/>
    <s v="Kalirejo RW 13 Lawang Malang"/>
    <e v="#N/A"/>
    <e v="#N/A"/>
    <s v="OUTBOUND_"/>
  </r>
  <r>
    <s v="1964"/>
    <m/>
    <x v="1"/>
    <s v="OUB-W0012411-554"/>
    <s v="EJ-Malang-01"/>
    <s v="Oka-0813-2707-1646"/>
    <d v="2024-11-20T00:00:00"/>
    <d v="1899-12-30T17:00:00"/>
    <s v="EJ-MALANG-01"/>
    <x v="0"/>
    <x v="28"/>
    <s v="ZTE1001"/>
    <s v="Pcs"/>
    <n v="19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1965"/>
    <m/>
    <x v="1"/>
    <s v="OUB-W0012411-557"/>
    <s v="EJ-Malang-01"/>
    <s v="Oka-0813-2707-1646"/>
    <d v="2024-11-21T00:00:00"/>
    <d v="1899-12-30T14:07:00"/>
    <s v="EJ-MALANG-01"/>
    <x v="0"/>
    <x v="28"/>
    <s v="ZTE1001"/>
    <s v="Pcs"/>
    <n v="7"/>
    <s v="CLR51-01-009"/>
    <x v="79"/>
    <m/>
    <m/>
    <m/>
    <s v="Riki Romansyah"/>
    <n v="0"/>
    <s v="3507050501950006"/>
    <s v="N 8420 EL"/>
    <m/>
    <m/>
    <s v="Kalirejo RW 13 Lawang Malang"/>
    <e v="#N/A"/>
    <e v="#N/A"/>
    <s v="OUTBOUND_"/>
  </r>
  <r>
    <s v="1966"/>
    <m/>
    <x v="1"/>
    <s v="OUB-W0012411-558"/>
    <s v="EJ-Malang-01"/>
    <s v="Oka-0813-2707-1646"/>
    <d v="2024-11-22T00:00:00"/>
    <d v="1899-12-30T09:30:00"/>
    <s v="EJ-MALANG-01"/>
    <x v="0"/>
    <x v="28"/>
    <s v="ZTE1001"/>
    <s v="Pcs"/>
    <n v="14"/>
    <s v="CLR51-99-124"/>
    <x v="17"/>
    <m/>
    <m/>
    <m/>
    <s v="Riki Romansyah"/>
    <n v="0"/>
    <s v="3507050501950006"/>
    <s v="N 8420 EL"/>
    <m/>
    <m/>
    <s v="Perumahan Bukit Lawang Indah Malang"/>
    <e v="#N/A"/>
    <e v="#N/A"/>
    <s v="OUTBOUND_"/>
  </r>
  <r>
    <s v="1967"/>
    <m/>
    <x v="0"/>
    <s v="INB-W0012411-565"/>
    <s v="EJ-Malang-01"/>
    <s v="Oka-0813-2707-1646"/>
    <d v="2024-11-26T00:00:00"/>
    <d v="1900-01-14T07:00:00"/>
    <s v="ZTE Warehouse"/>
    <x v="0"/>
    <x v="28"/>
    <s v="ZTE1001"/>
    <s v="Pcs"/>
    <n v="21"/>
    <s v="CLR51-09-011"/>
    <x v="84"/>
    <s v="DOEID241121BO"/>
    <s v="DNWID0362024112203"/>
    <m/>
    <m/>
    <m/>
    <m/>
    <m/>
    <m/>
    <m/>
    <s v="Bedali RW 04 Kromengan"/>
    <d v="2024-11-26T00:00:00"/>
    <b v="1"/>
    <s v="OUTBOUND_"/>
  </r>
  <r>
    <s v="1968"/>
    <m/>
    <x v="0"/>
    <s v="INB-W0012411-565"/>
    <s v="EJ-Malang-01"/>
    <s v="Oka-0813-2707-1646"/>
    <d v="2024-11-26T00:00:00"/>
    <d v="1900-01-14T07:00:00"/>
    <s v="ZTE Warehouse"/>
    <x v="0"/>
    <x v="28"/>
    <s v="ZTE1001"/>
    <s v="Pcs"/>
    <n v="36"/>
    <s v="CLR51-09-010"/>
    <x v="81"/>
    <s v="DOEID241121BM"/>
    <s v="DNWID0362024112204"/>
    <m/>
    <m/>
    <m/>
    <m/>
    <m/>
    <m/>
    <m/>
    <s v="Bedali RW 03 Kromengan"/>
    <d v="2024-11-26T00:00:00"/>
    <b v="1"/>
    <s v="OUTBOUND_"/>
  </r>
  <r>
    <s v="1969"/>
    <m/>
    <x v="0"/>
    <s v="INB-W0012411-565"/>
    <s v="EJ-Malang-01"/>
    <s v="Oka-0813-2707-1646"/>
    <d v="2024-11-26T00:00:00"/>
    <d v="1900-01-14T07:00:00"/>
    <s v="ZTE Warehouse"/>
    <x v="0"/>
    <x v="28"/>
    <s v="ZTE1001"/>
    <s v="Pcs"/>
    <n v="40"/>
    <s v="CLR51-99-124"/>
    <x v="17"/>
    <s v="DOEID24112583"/>
    <s v="DNWID0362024112507"/>
    <m/>
    <s v="Riki Romansyah"/>
    <n v="0"/>
    <s v="3507050501950006"/>
    <s v="N 8420 EL"/>
    <m/>
    <m/>
    <s v="Perumahan Bukit Lawang Indah Malang"/>
    <d v="2024-11-26T00:00:00"/>
    <b v="1"/>
    <s v="OUTBOUND_"/>
  </r>
  <r>
    <s v="1970"/>
    <m/>
    <x v="0"/>
    <s v="INB-W0012411-565"/>
    <s v="EJ-Malang-01"/>
    <s v="Oka-0813-2707-1646"/>
    <d v="2024-11-26T00:00:00"/>
    <d v="1900-01-14T07:00:00"/>
    <s v="ZTE Warehouse"/>
    <x v="0"/>
    <x v="28"/>
    <s v="ZTE1001"/>
    <s v="Pcs"/>
    <n v="55"/>
    <s v="CLR51-09-012"/>
    <x v="83"/>
    <s v="DOEID241121BQ"/>
    <s v="DNWID0362024112202"/>
    <m/>
    <m/>
    <m/>
    <m/>
    <m/>
    <m/>
    <m/>
    <s v="Bedali RW 05 Kromengan"/>
    <d v="2024-11-26T00:00:00"/>
    <b v="1"/>
    <s v="OUTBOUND_"/>
  </r>
  <r>
    <s v="1971"/>
    <m/>
    <x v="2"/>
    <s v="TFO-W0012411-567"/>
    <s v="EJ-Malang-01"/>
    <s v="Oka-0813-2707-1646"/>
    <d v="2024-11-27T00:00:00"/>
    <d v="1899-12-30T18:58:00"/>
    <s v="EJ-GRESIK-01"/>
    <x v="0"/>
    <x v="28"/>
    <s v="ZTE1001"/>
    <s v="Pcs"/>
    <n v="18"/>
    <s v="T001"/>
    <x v="93"/>
    <m/>
    <m/>
    <m/>
    <n v="0"/>
    <n v="0"/>
    <n v="0"/>
    <n v="0"/>
    <m/>
    <m/>
    <s v="GRESIK"/>
    <e v="#N/A"/>
    <e v="#N/A"/>
    <s v="TRANSFER OUT_"/>
  </r>
  <r>
    <s v="1972"/>
    <m/>
    <x v="1"/>
    <s v="OUB-W0012412-571"/>
    <s v="EJ-Malang-01"/>
    <s v="Oka-0813-2707-1646"/>
    <d v="2024-12-01T00:00:00"/>
    <d v="1899-12-30T09:30:00"/>
    <s v="EJ-MALANG-01"/>
    <x v="0"/>
    <x v="28"/>
    <s v="ZTE1001"/>
    <s v="Pcs"/>
    <n v="112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1973"/>
    <m/>
    <x v="1"/>
    <s v="OUB-W0012412-575"/>
    <s v="EJ-Malang-01"/>
    <s v="Oka-0813-2707-1646"/>
    <d v="2024-12-14T00:00:00"/>
    <d v="1899-12-30T11:39:00"/>
    <s v="EJ-MALANG-01"/>
    <x v="0"/>
    <x v="28"/>
    <s v="ZTE1001"/>
    <s v="Pcs"/>
    <n v="39"/>
    <s v="CLR51-09-007"/>
    <x v="143"/>
    <m/>
    <m/>
    <m/>
    <s v="Riki Romansyah"/>
    <n v="0"/>
    <s v="3507050501950006"/>
    <s v="N 8420 EL"/>
    <m/>
    <m/>
    <s v="PERMANU RW 01 MALANG"/>
    <e v="#N/A"/>
    <e v="#N/A"/>
    <s v="OUTBOUND_"/>
  </r>
  <r>
    <s v="1974"/>
    <m/>
    <x v="1"/>
    <s v="OUB-W0012412-575"/>
    <s v="EJ-Malang-01"/>
    <s v="Oka-0813-2707-1646"/>
    <d v="2024-12-14T00:00:00"/>
    <d v="1899-12-30T11:39:00"/>
    <s v="EJ-MALANG-01"/>
    <x v="0"/>
    <x v="28"/>
    <s v="ZTE1001"/>
    <s v="Pcs"/>
    <n v="76"/>
    <s v="CLR51-99-056"/>
    <x v="164"/>
    <m/>
    <m/>
    <m/>
    <s v="Riki Romansyah"/>
    <n v="0"/>
    <s v="3507050501950006"/>
    <s v="N 8420 EL"/>
    <m/>
    <m/>
    <s v="DUSUN CUPAK RW 01"/>
    <e v="#N/A"/>
    <e v="#N/A"/>
    <s v="OUTBOUND_"/>
  </r>
  <r>
    <s v="1975"/>
    <m/>
    <x v="1"/>
    <s v="OUB-W0012412-576"/>
    <s v="EJ-Malang-01"/>
    <s v="Oka-0813-2707-1646"/>
    <d v="2024-12-15T00:00:00"/>
    <d v="1899-12-30T15:29:00"/>
    <s v="EJ-MALANG-01"/>
    <x v="0"/>
    <x v="28"/>
    <s v="ZTE1001"/>
    <s v="Pcs"/>
    <n v="21"/>
    <s v="CLR51-99-049"/>
    <x v="80"/>
    <m/>
    <m/>
    <m/>
    <s v="Fatur"/>
    <n v="0"/>
    <s v="1812010507910004"/>
    <s v="L 9221 K"/>
    <m/>
    <m/>
    <s v="Perumahan Panca Garden"/>
    <e v="#N/A"/>
    <e v="#N/A"/>
    <s v="OUTBOUND_"/>
  </r>
  <r>
    <s v="1976"/>
    <m/>
    <x v="1"/>
    <s v="OUB-W0012412-577"/>
    <s v="EJ-Malang-01"/>
    <s v="Oka-0813-2707-1646"/>
    <d v="2024-12-16T00:00:00"/>
    <d v="1899-12-30T14:37:00"/>
    <s v="EJ-MALANG-01"/>
    <x v="0"/>
    <x v="28"/>
    <s v="ZTE1001"/>
    <s v="Pcs"/>
    <n v="9"/>
    <s v="CLR51-99-049"/>
    <x v="80"/>
    <m/>
    <m/>
    <m/>
    <s v="Fatur"/>
    <n v="0"/>
    <s v="1812010507910004"/>
    <s v="L 9221 K"/>
    <m/>
    <m/>
    <s v="Perumahan Panca Garden"/>
    <e v="#N/A"/>
    <e v="#N/A"/>
    <s v="OUTBOUND_"/>
  </r>
  <r>
    <s v="1977"/>
    <m/>
    <x v="0"/>
    <s v="INB-W0012412-582"/>
    <s v="EJ-Malang-01"/>
    <s v="Oka-0813-2707-1646"/>
    <d v="2024-12-17T00:00:00"/>
    <d v="1900-01-14T07:00:00"/>
    <s v="ZTE Warehouse"/>
    <x v="0"/>
    <x v="28"/>
    <s v="ZTE1001"/>
    <s v="Pcs"/>
    <n v="113"/>
    <m/>
    <x v="3"/>
    <n v="0"/>
    <n v="0"/>
    <m/>
    <m/>
    <m/>
    <m/>
    <m/>
    <m/>
    <m/>
    <n v="0"/>
    <e v="#N/A"/>
    <e v="#N/A"/>
    <s v="OUTBOUND_"/>
  </r>
  <r>
    <s v="1978"/>
    <m/>
    <x v="1"/>
    <s v="OUB-W0012501-594"/>
    <s v="EJ-Malang-01"/>
    <s v="Oka-0813-2707-1646"/>
    <d v="2025-01-08T00:00:00"/>
    <d v="1899-12-30T16:39:00"/>
    <s v="EJ-MALANG-01"/>
    <x v="0"/>
    <x v="28"/>
    <s v="ZTE1001"/>
    <s v="Pcs"/>
    <n v="21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1979"/>
    <m/>
    <x v="1"/>
    <s v="OUB-W0012501-595"/>
    <s v="EJ-Malang-01"/>
    <s v="Oka-0813-2707-1646"/>
    <d v="2025-01-09T00:00:00"/>
    <d v="1899-12-30T17:05:00"/>
    <s v="EJ-MALANG-01"/>
    <x v="0"/>
    <x v="28"/>
    <s v="ZTE1001"/>
    <s v="Pcs"/>
    <n v="11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1980"/>
    <m/>
    <x v="1"/>
    <s v="OUB-W0012501-598"/>
    <s v="EJ-Malang-01"/>
    <s v="Oka-0813-2707-1646"/>
    <d v="2025-01-15T00:00:00"/>
    <d v="1899-12-30T13:00:00"/>
    <s v="EJ-MALANG-01"/>
    <x v="0"/>
    <x v="28"/>
    <s v="ZTE1001"/>
    <s v="Pcs"/>
    <n v="11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1981"/>
    <m/>
    <x v="1"/>
    <s v="OUB-W0012501-600"/>
    <s v="EJ-Malang-01"/>
    <s v="Oka-0813-2707-1646"/>
    <d v="2025-01-21T00:00:00"/>
    <d v="1899-12-30T13:40:00"/>
    <s v="EJ-MALANG-01"/>
    <x v="0"/>
    <x v="28"/>
    <s v="ZTE1001"/>
    <s v="Pcs"/>
    <n v="4"/>
    <s v="CLR51-03-016"/>
    <x v="145"/>
    <m/>
    <m/>
    <m/>
    <s v="Riki Romansyah"/>
    <n v="0"/>
    <s v="3507050501950006"/>
    <s v="N 8420 EL"/>
    <m/>
    <m/>
    <s v="Citra Kayane Residence"/>
    <e v="#N/A"/>
    <e v="#N/A"/>
    <s v="OUTBOUND_"/>
  </r>
  <r>
    <s v="1982"/>
    <m/>
    <x v="1"/>
    <s v="OUB-W0012501-602"/>
    <s v="EJ-Malang-01"/>
    <s v="Oka-0813-2707-1646"/>
    <d v="2025-01-27T00:00:00"/>
    <d v="1899-12-30T13:40:00"/>
    <s v="EJ-MALANG-01"/>
    <x v="0"/>
    <x v="28"/>
    <s v="ZTE1001"/>
    <s v="Pcs"/>
    <n v="5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1983"/>
    <m/>
    <x v="1"/>
    <s v="OUB-W0012501-602"/>
    <s v="EJ-Malang-01"/>
    <s v="Oka-0813-2707-1646"/>
    <d v="2025-01-27T00:00:00"/>
    <d v="1899-12-30T13:40:00"/>
    <s v="EJ-MALANG-01"/>
    <x v="0"/>
    <x v="28"/>
    <s v="ZTE1001"/>
    <s v="Pcs"/>
    <n v="16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1984"/>
    <m/>
    <x v="1"/>
    <s v="OUB-W0012502-604"/>
    <s v="EJ-Malang-01"/>
    <s v="Oka-0813-2707-1646"/>
    <d v="2025-02-06T00:00:00"/>
    <d v="1899-12-30T09:35:00"/>
    <s v="EJ-MALANG-01"/>
    <x v="0"/>
    <x v="28"/>
    <s v="ZTE1001"/>
    <s v="Pcs"/>
    <n v="1"/>
    <s v="CLR51-99-050"/>
    <x v="88"/>
    <m/>
    <m/>
    <m/>
    <s v="Riki Romansyah"/>
    <n v="0"/>
    <s v="3507050501950006"/>
    <s v="N 8420 EL"/>
    <m/>
    <m/>
    <s v="PERUMAHAN DE WIRA GREEN VIEW"/>
    <e v="#N/A"/>
    <e v="#N/A"/>
    <s v="OUTBOUND_"/>
  </r>
  <r>
    <s v="1985"/>
    <m/>
    <x v="1"/>
    <s v="OUB-W0012502-606"/>
    <s v="EJ-Malang-01"/>
    <s v="Oka-0813-2707-1646"/>
    <d v="2025-02-15T00:00:00"/>
    <d v="1899-12-30T09:35:00"/>
    <s v="EJ-MALANG-01"/>
    <x v="0"/>
    <x v="28"/>
    <s v="ZTE1001"/>
    <s v="Pcs"/>
    <n v="1"/>
    <s v="CLR51-03-010"/>
    <x v="61"/>
    <m/>
    <m/>
    <m/>
    <s v="Fatur"/>
    <n v="0"/>
    <s v="1812010507910004"/>
    <s v="L 9221 K"/>
    <m/>
    <m/>
    <s v="Dusun Krajan Sumbersekar"/>
    <e v="#N/A"/>
    <e v="#N/A"/>
    <s v="OUTBOUND_"/>
  </r>
  <r>
    <s v="1986"/>
    <m/>
    <x v="1"/>
    <s v="OUB-W0012502-607"/>
    <s v="EJ-Malang-01"/>
    <s v="Oka-0813-2707-1646"/>
    <d v="2025-02-19T00:00:00"/>
    <d v="1899-12-30T09:35:00"/>
    <s v="EJ-MALANG-01"/>
    <x v="0"/>
    <x v="28"/>
    <s v="ZTE1001"/>
    <s v="Pcs"/>
    <n v="2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1987"/>
    <m/>
    <x v="1"/>
    <s v="OUB-W0012502-616"/>
    <s v="EJ-Malang-01"/>
    <s v="Oka-0813-2707-1646"/>
    <d v="2025-02-21T00:00:00"/>
    <d v="1899-12-30T15:09:00"/>
    <s v="EJ-MALANG-01"/>
    <x v="0"/>
    <x v="28"/>
    <s v="ZTE1001"/>
    <s v="Pcs"/>
    <n v="10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1988"/>
    <m/>
    <x v="0"/>
    <s v="INB-W0012502-620"/>
    <s v="EJ-Malang-01"/>
    <s v="Oka-0813-2707-1646"/>
    <d v="2025-02-28T00:00:00"/>
    <d v="1900-01-14T07:00:00"/>
    <s v="ZTE Warehouse"/>
    <x v="0"/>
    <x v="28"/>
    <s v="ZTE1001"/>
    <s v="Pcs"/>
    <n v="17"/>
    <s v="Return"/>
    <x v="184"/>
    <n v="0"/>
    <n v="0"/>
    <m/>
    <m/>
    <m/>
    <m/>
    <m/>
    <s v="Bayuasri"/>
    <m/>
    <s v="change design from 4&quot; to 3&quot;"/>
    <e v="#N/A"/>
    <e v="#N/A"/>
    <s v="OUTBOUND_"/>
  </r>
  <r>
    <s v="1989"/>
    <m/>
    <x v="1"/>
    <s v="OUB-W0012503-635"/>
    <s v="EJ-Malang-01"/>
    <s v="Oka-0813-2707-1646"/>
    <d v="2025-03-25T00:00:00"/>
    <d v="1899-12-30T19:57:00"/>
    <s v="EJ-MALANG-01"/>
    <x v="0"/>
    <x v="28"/>
    <s v="ZTE1001"/>
    <s v="Pcs"/>
    <n v="1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1990"/>
    <m/>
    <x v="5"/>
    <s v="BOO-W0012505-639"/>
    <s v="EJ-Malang-01"/>
    <s v="Oka-0813-2707-1646"/>
    <d v="2025-05-25T00:00:00"/>
    <d v="1899-12-30T09:37:00"/>
    <s v="Other Subcon"/>
    <x v="0"/>
    <x v="28"/>
    <s v="ZTE1001"/>
    <s v="Pcs"/>
    <n v="10"/>
    <s v="BR002"/>
    <x v="92"/>
    <m/>
    <m/>
    <m/>
    <s v="Deni Indra"/>
    <n v="0"/>
    <s v="3507330905820002"/>
    <s v="N 8408 CB"/>
    <s v="AIA Borrow"/>
    <m/>
    <s v="AIA"/>
    <e v="#N/A"/>
    <e v="#N/A"/>
    <s v="BORROW OUT_"/>
  </r>
  <r>
    <s v="1991"/>
    <m/>
    <x v="1"/>
    <s v="OUB-W0012505-640"/>
    <s v="EJ-Malang-01"/>
    <s v="Oka-0813-2707-1646"/>
    <d v="2025-05-25T00:00:00"/>
    <d v="1899-12-30T12:57:00"/>
    <s v="EJ-MALANG-01"/>
    <x v="0"/>
    <x v="28"/>
    <s v="ZTE1001"/>
    <s v="Pcs"/>
    <n v="1"/>
    <s v="CLR51-99-212"/>
    <x v="146"/>
    <m/>
    <m/>
    <m/>
    <s v="Riki Romansyah"/>
    <n v="0"/>
    <s v="3507050501950006"/>
    <s v="N 8420 EL"/>
    <m/>
    <m/>
    <s v="KEBONAGUNG RW 01 MALANG"/>
    <e v="#N/A"/>
    <e v="#N/A"/>
    <s v="OUTBOUND_"/>
  </r>
  <r>
    <s v="1992"/>
    <m/>
    <x v="1"/>
    <s v="OUB-W0012505-643"/>
    <s v="EJ-Malang-01"/>
    <s v="Oka-0813-2707-1646"/>
    <d v="2025-05-28T00:00:00"/>
    <d v="1899-12-30T12:57:00"/>
    <s v="EJ-MALANG-01"/>
    <x v="0"/>
    <x v="28"/>
    <s v="ZTE1001"/>
    <s v="Pcs"/>
    <n v="6"/>
    <s v="CLR51-99-238"/>
    <x v="94"/>
    <m/>
    <m/>
    <m/>
    <s v="Riki Romansyah"/>
    <n v="0"/>
    <s v="3507050501950006"/>
    <s v="N 8420 EL"/>
    <m/>
    <m/>
    <s v="ARJOWINANGUN RW 01 MALANG"/>
    <e v="#N/A"/>
    <e v="#N/A"/>
    <s v="OUTBOUND_"/>
  </r>
  <r>
    <s v="1993"/>
    <m/>
    <x v="1"/>
    <s v="OUB-W0012506-647"/>
    <s v="EJ-Malang-01"/>
    <s v="Oka-0813-2707-1646"/>
    <d v="2025-06-14T00:00:00"/>
    <d v="1899-12-30T12:57:00"/>
    <s v="EJ-MALANG-01"/>
    <x v="0"/>
    <x v="28"/>
    <s v="ZTE1001"/>
    <s v="Pcs"/>
    <n v="22"/>
    <s v="CLR51-99-101"/>
    <x v="95"/>
    <m/>
    <m/>
    <m/>
    <s v="Riki Romansyah"/>
    <n v="0"/>
    <s v="3507050501950006"/>
    <s v="N 8420 EL"/>
    <m/>
    <m/>
    <s v="BULULAWANG RW 01, 02, 03, 04, 06   MALANG"/>
    <e v="#N/A"/>
    <e v="#N/A"/>
    <s v="OUTBOUND_"/>
  </r>
  <r>
    <s v="1994"/>
    <m/>
    <x v="1"/>
    <s v="OUB-W0012506-661"/>
    <s v="EJ-Malang-01"/>
    <s v="Oka-0813-2707-1646"/>
    <d v="2025-06-26T00:00:00"/>
    <d v="1899-12-30T15:30:00"/>
    <s v="EJ-MALANG-01"/>
    <x v="0"/>
    <x v="28"/>
    <s v="ZTE1001"/>
    <s v="Pcs"/>
    <n v="8"/>
    <s v="CLR51-99-243"/>
    <x v="97"/>
    <m/>
    <m/>
    <m/>
    <s v="Fatur"/>
    <n v="0"/>
    <s v="1812010507910004"/>
    <s v="L 9221 K"/>
    <m/>
    <m/>
    <s v="DESA KARANGANYAR KIDUL PONCOKUSUMO   MALANG"/>
    <e v="#N/A"/>
    <e v="#N/A"/>
    <s v="OUTBOUND_"/>
  </r>
  <r>
    <s v="1995"/>
    <m/>
    <x v="1"/>
    <s v="OUB-W0012506-665"/>
    <s v="EJ-Malang-01"/>
    <s v="Oka-0813-2707-1646"/>
    <d v="2025-06-29T00:00:00"/>
    <d v="1899-12-30T15:30:00"/>
    <s v="EJ-MALANG-01"/>
    <x v="0"/>
    <x v="28"/>
    <s v="ZTE1001"/>
    <s v="Pcs"/>
    <n v="2"/>
    <s v="CLR51-99-243"/>
    <x v="97"/>
    <m/>
    <m/>
    <m/>
    <s v="Fatur"/>
    <n v="0"/>
    <s v="1812010507910004"/>
    <s v="L 9221 K"/>
    <m/>
    <m/>
    <s v="DESA KARANGANYAR KIDUL PONCOKUSUMO   MALANG"/>
    <e v="#N/A"/>
    <e v="#N/A"/>
    <s v="OUTBOUND_"/>
  </r>
  <r>
    <s v="1996"/>
    <m/>
    <x v="1"/>
    <s v="OUB-W0012507-669"/>
    <s v="EJ-Malang-01"/>
    <s v="Oka-0813-2707-1646"/>
    <d v="2025-07-16T00:00:00"/>
    <d v="1899-12-30T11:14:00"/>
    <s v="EJ-MALANG-01"/>
    <x v="0"/>
    <x v="28"/>
    <s v="ZTE1001"/>
    <s v="Pcs"/>
    <n v="1"/>
    <s v="MF51-04"/>
    <x v="185"/>
    <m/>
    <m/>
    <m/>
    <s v="Riki Romansyah"/>
    <n v="0"/>
    <s v="3507050501950006"/>
    <s v="N 8420 EL"/>
    <s v="MSFO BROKEN  HF JATIKERTO"/>
    <m/>
    <s v="HUBFEEDER OLT KEPANJEN TO JATIKERTO"/>
    <e v="#N/A"/>
    <e v="#N/A"/>
    <s v="OUTBOUND_"/>
  </r>
  <r>
    <s v="1997"/>
    <m/>
    <x v="1"/>
    <s v="OUB-W0012507-669"/>
    <s v="EJ-Malang-01"/>
    <s v="Oka-0813-2707-1646"/>
    <d v="2025-07-16T00:00:00"/>
    <d v="1899-12-30T11:14:00"/>
    <s v="EJ-MALANG-01"/>
    <x v="0"/>
    <x v="28"/>
    <s v="ZTE1001"/>
    <s v="Pcs"/>
    <n v="11"/>
    <s v="CLR51-99-107"/>
    <x v="101"/>
    <m/>
    <m/>
    <m/>
    <s v="Riki Romansyah"/>
    <n v="0"/>
    <s v="3507050501950006"/>
    <s v="N 8420 EL"/>
    <m/>
    <m/>
    <s v="KREBET RW 03"/>
    <e v="#N/A"/>
    <e v="#N/A"/>
    <s v="OUTBOUND_"/>
  </r>
  <r>
    <s v="1998"/>
    <m/>
    <x v="0"/>
    <s v="INB-W0012507-669"/>
    <s v="EJ-Malang-01"/>
    <s v="Oka-0813-2707-1646"/>
    <d v="2025-07-16T00:00:00"/>
    <d v="1899-12-30T11:14:00"/>
    <s v="FIELD TEAM"/>
    <x v="1"/>
    <x v="28"/>
    <s v="ZTE1001"/>
    <s v="Pcs"/>
    <n v="1"/>
    <s v="MF51-03"/>
    <x v="185"/>
    <m/>
    <m/>
    <s v="C-Damage"/>
    <s v="Riki Romansyah"/>
    <n v="0"/>
    <s v="3507050501950006"/>
    <s v="N 8420 EL"/>
    <s v="insiden"/>
    <s v="P74-002-1"/>
    <s v="HUBFEEDER OLT KEPANJEN TO JATIKERTO"/>
    <e v="#N/A"/>
    <e v="#N/A"/>
    <s v="OUTBOUND_P74-002-1"/>
  </r>
  <r>
    <s v="1999"/>
    <m/>
    <x v="1"/>
    <s v="OUB-W0012507-670"/>
    <s v="EJ-Malang-01"/>
    <s v="Oka-0813-2707-1646"/>
    <d v="2025-07-18T00:00:00"/>
    <d v="1899-12-30T11:14:00"/>
    <s v="EJ-MALANG-01"/>
    <x v="0"/>
    <x v="28"/>
    <s v="ZTE1001"/>
    <s v="Pcs"/>
    <n v="3"/>
    <s v="CLR51-99-107"/>
    <x v="101"/>
    <m/>
    <m/>
    <m/>
    <s v="Riki Romansyah"/>
    <n v="0"/>
    <s v="3507050501950006"/>
    <s v="N 8420 EL"/>
    <m/>
    <m/>
    <s v="KREBET RW 03"/>
    <e v="#N/A"/>
    <e v="#N/A"/>
    <s v="OUTBOUND_"/>
  </r>
  <r>
    <s v="2000"/>
    <m/>
    <x v="1"/>
    <s v="OUB-W0012507-672"/>
    <s v="EJ-Malang-01"/>
    <s v="Oka-0813-2707-1646"/>
    <d v="2025-07-23T00:00:00"/>
    <d v="1899-12-30T11:14:00"/>
    <s v="EJ-MALANG-01"/>
    <x v="0"/>
    <x v="28"/>
    <s v="ZTE1001"/>
    <s v="Pcs"/>
    <n v="10"/>
    <s v="CLR51-99-108"/>
    <x v="102"/>
    <m/>
    <m/>
    <m/>
    <s v="Riki Romansyah"/>
    <n v="0"/>
    <s v="3507050501950006"/>
    <s v="N 8420 EL"/>
    <m/>
    <m/>
    <s v="KREBET RW 05"/>
    <e v="#N/A"/>
    <e v="#N/A"/>
    <s v="OUTBOUND_"/>
  </r>
  <r>
    <s v="2001"/>
    <m/>
    <x v="1"/>
    <s v="OUB-W0012508-681"/>
    <s v="EJ-Malang-01"/>
    <s v="Oka-0813-2707-1646"/>
    <d v="2025-08-07T00:00:00"/>
    <d v="1899-12-30T11:21:00"/>
    <s v="EJ-MALANG-01"/>
    <x v="0"/>
    <x v="28"/>
    <s v="ZTE1001"/>
    <s v="Pcs"/>
    <n v="17"/>
    <s v="CLR51-99-250"/>
    <x v="103"/>
    <m/>
    <m/>
    <m/>
    <s v="Riki Romansyah"/>
    <n v="0"/>
    <s v="3507050501950006"/>
    <s v="N 8420 EL"/>
    <m/>
    <m/>
    <s v="PERMANU RW 03 MALANG"/>
    <e v="#N/A"/>
    <e v="#N/A"/>
    <s v="OUTBOUND_"/>
  </r>
  <r>
    <s v="2002"/>
    <m/>
    <x v="5"/>
    <s v="BOO-W0012508-683"/>
    <s v="EJ-Malang-01"/>
    <s v="Oka-0813-2707-1646"/>
    <d v="2025-08-09T00:00:00"/>
    <d v="1899-12-30T15:22:00"/>
    <s v="Other Subcon"/>
    <x v="0"/>
    <x v="28"/>
    <s v="ZTE1001"/>
    <s v="Pcs"/>
    <n v="1"/>
    <s v="BR003"/>
    <x v="109"/>
    <m/>
    <m/>
    <m/>
    <s v="Bagus"/>
    <n v="0"/>
    <n v="0"/>
    <s v="N 8219 FI"/>
    <s v="DCIT Borrow"/>
    <m/>
    <s v="DCIT"/>
    <e v="#N/A"/>
    <e v="#N/A"/>
    <s v="BORROW OUT_"/>
  </r>
  <r>
    <s v="2003"/>
    <m/>
    <x v="4"/>
    <s v="BOI-W0012508-685"/>
    <s v="EJ-Malang-01"/>
    <s v="Oka-0813-2707-1646"/>
    <d v="2025-08-12T00:00:00"/>
    <d v="1899-12-30T08:22:00"/>
    <s v="Other Subcon"/>
    <x v="0"/>
    <x v="28"/>
    <s v="ZTE1001"/>
    <s v="Pcs"/>
    <n v="2"/>
    <s v="BR002"/>
    <x v="92"/>
    <m/>
    <m/>
    <m/>
    <m/>
    <m/>
    <m/>
    <m/>
    <s v="AIA RETURN"/>
    <m/>
    <s v="AIA"/>
    <e v="#N/A"/>
    <e v="#N/A"/>
    <s v="OUTBOUND_"/>
  </r>
  <r>
    <s v="2004"/>
    <m/>
    <x v="0"/>
    <s v="INB-W0012508-690"/>
    <s v="EJ-Malang-01"/>
    <s v="Oka-0813-2707-1646"/>
    <d v="2025-08-19T00:00:00"/>
    <d v="1900-01-14T07:00:00"/>
    <s v="ZTE Warehouse"/>
    <x v="0"/>
    <x v="28"/>
    <s v="ZTE1001"/>
    <s v="Pcs"/>
    <n v="1"/>
    <s v="CLR51-99-370"/>
    <x v="105"/>
    <s v="DOEID25081590"/>
    <s v="DNWID1382025081505"/>
    <m/>
    <s v="Riki Romansyah"/>
    <n v="0"/>
    <s v="3507050501950006"/>
    <s v="N 8420 EL"/>
    <m/>
    <m/>
    <s v="PERUMAHAN BULULAWANG PERMAI RW 02"/>
    <d v="2025-08-19T00:00:00"/>
    <b v="1"/>
    <s v="OUTBOUND_"/>
  </r>
  <r>
    <s v="2005"/>
    <m/>
    <x v="1"/>
    <s v="OUB-W0012508-689"/>
    <s v="EJ-Malang-01"/>
    <s v="Oka-0813-2707-1646"/>
    <d v="2025-08-19T00:00:00"/>
    <d v="1899-12-30T10:31:00"/>
    <s v="EJ-MALANG-01"/>
    <x v="0"/>
    <x v="28"/>
    <s v="ZTE1001"/>
    <s v="Pcs"/>
    <n v="1"/>
    <s v="CLR51-99-370"/>
    <x v="105"/>
    <m/>
    <m/>
    <m/>
    <s v="Riki Romansyah"/>
    <n v="0"/>
    <s v="3507050501950006"/>
    <s v="N 8420 EL"/>
    <m/>
    <m/>
    <s v="PERUMAHAN BULULAWANG PERMAI RW 02"/>
    <e v="#N/A"/>
    <e v="#N/A"/>
    <s v="OUTBOUND_"/>
  </r>
  <r>
    <s v="2006"/>
    <m/>
    <x v="0"/>
    <s v="INB-W0012508-698"/>
    <s v="EJ-Malang-01"/>
    <s v="Oka-0813-2707-1646"/>
    <d v="2025-08-30T00:00:00"/>
    <d v="1899-12-30T15:30:18"/>
    <s v="ZTE Warehouse"/>
    <x v="0"/>
    <x v="28"/>
    <s v="ZTE1001"/>
    <s v="Pcs"/>
    <n v="21"/>
    <m/>
    <x v="173"/>
    <s v="-"/>
    <s v="-"/>
    <m/>
    <m/>
    <m/>
    <m/>
    <m/>
    <m/>
    <m/>
    <s v="-"/>
    <e v="#N/A"/>
    <e v="#N/A"/>
    <s v="OUTBOUND_"/>
  </r>
  <r>
    <s v="2007"/>
    <n v="1"/>
    <x v="1"/>
    <s v="OUB-W0012509-002"/>
    <s v="EJ-Malang-01"/>
    <s v="Oka-0813-2707-1646"/>
    <d v="2025-09-09T00:00:00"/>
    <d v="1899-12-30T10:38:36"/>
    <s v="EJ-MALANG-01"/>
    <x v="0"/>
    <x v="28"/>
    <s v="ZTE1001"/>
    <s v="Pcs"/>
    <n v="11"/>
    <s v="CLR51-99-252"/>
    <x v="107"/>
    <s v="DOEID25082611"/>
    <s v="DNWID1382025082607"/>
    <m/>
    <s v="Riki Romansyah"/>
    <n v="0"/>
    <s v="3507050501950006"/>
    <s v="N 8420 EL"/>
    <m/>
    <m/>
    <s v="KREBET SENGGRONG RW 03 MALANG"/>
    <d v="2025-08-27T00:00:00"/>
    <b v="0"/>
    <s v="OUTBOUND_"/>
  </r>
  <r>
    <s v="2008"/>
    <n v="1"/>
    <x v="5"/>
    <s v="BOO-W0012509-001"/>
    <s v="EJ-Malang-01"/>
    <s v="Oka-0813-2707-1646"/>
    <d v="2025-09-12T00:00:00"/>
    <d v="1899-12-30T09:46:13"/>
    <s v="Other Subcon"/>
    <x v="0"/>
    <x v="28"/>
    <s v="ZTE1001"/>
    <s v="Pcs"/>
    <n v="1"/>
    <s v="BR002"/>
    <x v="92"/>
    <s v="-"/>
    <s v="-"/>
    <m/>
    <m/>
    <m/>
    <m/>
    <m/>
    <s v="AIA Borrow"/>
    <m/>
    <s v="AIA"/>
    <e v="#N/A"/>
    <e v="#N/A"/>
    <s v="BORROW OUT_"/>
  </r>
  <r>
    <s v="2009"/>
    <n v="1"/>
    <x v="5"/>
    <s v="BOO-W0012509-002"/>
    <s v="EJ-Malang-01"/>
    <s v="Oka-0813-2707-1646"/>
    <d v="2025-09-13T00:00:00"/>
    <d v="1899-12-30T09:56:34"/>
    <s v="Other Subcon"/>
    <x v="0"/>
    <x v="28"/>
    <s v="ZTE1001"/>
    <s v="Pcs"/>
    <n v="1"/>
    <s v="BR003"/>
    <x v="109"/>
    <m/>
    <m/>
    <m/>
    <m/>
    <m/>
    <m/>
    <m/>
    <s v="DCIT Borrow"/>
    <m/>
    <s v="DCIT"/>
    <e v="#N/A"/>
    <e v="#N/A"/>
    <s v="BORROW OUT_"/>
  </r>
  <r>
    <s v="2010"/>
    <n v="1"/>
    <x v="0"/>
    <s v="INB-W0012510-002"/>
    <s v="EJ-Malang-01"/>
    <s v="Oka-0813-2707-1646"/>
    <d v="2025-10-23T00:00:00"/>
    <d v="1899-12-30T08:00:00"/>
    <s v="ZTE Warehouse"/>
    <x v="0"/>
    <x v="28"/>
    <s v="ZTE1001"/>
    <s v="Pcs"/>
    <n v="1"/>
    <s v="CLR51-99-257"/>
    <x v="150"/>
    <s v="DOEID25102124"/>
    <s v="DNWID1382025102104"/>
    <m/>
    <s v="Riki Romansyah"/>
    <n v="0"/>
    <s v="3507050501950006"/>
    <s v="N 8420 EL"/>
    <m/>
    <m/>
    <s v="Asshofa Residence"/>
    <d v="2025-10-21T00:00:00"/>
    <b v="0"/>
    <s v="OUTBOUND_"/>
  </r>
  <r>
    <s v="2011"/>
    <n v="4"/>
    <x v="0"/>
    <s v="INB-W0012510-002"/>
    <s v="EJ-Malang-01"/>
    <s v="Oka-0813-2707-1646"/>
    <d v="2025-10-23T00:00:00"/>
    <d v="1899-12-30T08:00:00"/>
    <s v="ZTE Warehouse"/>
    <x v="0"/>
    <x v="28"/>
    <s v="ZTE1001"/>
    <s v="Pcs"/>
    <n v="1"/>
    <s v="CLR51-99-302"/>
    <x v="112"/>
    <s v="DOEID25102128"/>
    <s v="DNWID1372025102102"/>
    <m/>
    <s v="Riki Romansyah"/>
    <n v="0"/>
    <s v="3507050501950006"/>
    <s v="N 8420 EL"/>
    <m/>
    <m/>
    <s v="LESANPURO RW 06 MALANG"/>
    <d v="2025-10-21T00:00:00"/>
    <b v="0"/>
    <s v="OUTBOUND_"/>
  </r>
  <r>
    <s v="2012"/>
    <n v="1"/>
    <x v="4"/>
    <s v="BOI-W0012510-003"/>
    <s v="EJ-Malang-01"/>
    <s v="Oka-0813-2707-1646"/>
    <d v="2025-10-24T00:00:00"/>
    <d v="1899-12-30T14:35:00"/>
    <s v="Other Subcon"/>
    <x v="0"/>
    <x v="28"/>
    <s v="ZTE1001"/>
    <s v="Pcs"/>
    <n v="9"/>
    <s v="BR002"/>
    <x v="92"/>
    <m/>
    <m/>
    <m/>
    <m/>
    <m/>
    <m/>
    <m/>
    <s v="AIA Return"/>
    <m/>
    <s v="AIA"/>
    <e v="#N/A"/>
    <e v="#N/A"/>
    <s v="OUTBOUND_"/>
  </r>
  <r>
    <s v="2013"/>
    <n v="2"/>
    <x v="1"/>
    <s v="OUB-W0012510-004"/>
    <s v="EJ-Malang-01"/>
    <s v="Oka-0813-2707-1646"/>
    <d v="2025-10-24T00:00:00"/>
    <d v="1899-12-30T14:35:00"/>
    <s v="EJ-MALANG-01"/>
    <x v="0"/>
    <x v="28"/>
    <s v="ZTE1001"/>
    <s v="Pcs"/>
    <n v="9"/>
    <s v="CLR51-99-302"/>
    <x v="112"/>
    <m/>
    <m/>
    <m/>
    <s v="Riki Romansyah"/>
    <n v="0"/>
    <s v="3507050501950006"/>
    <s v="N 8420 EL"/>
    <m/>
    <m/>
    <s v="LESANPURO RW 06 MALANG"/>
    <e v="#N/A"/>
    <e v="#N/A"/>
    <s v="OUTBOUND_"/>
  </r>
  <r>
    <s v="2014"/>
    <n v="1"/>
    <x v="1"/>
    <s v="OUB-W0012510-004"/>
    <s v="EJ-Malang-01"/>
    <s v="Oka-0813-2707-1646"/>
    <d v="2025-10-24T00:00:00"/>
    <d v="1899-12-30T14:35:00"/>
    <s v="EJ-MALANG-01"/>
    <x v="0"/>
    <x v="28"/>
    <s v="ZTE1001"/>
    <s v="Pcs"/>
    <n v="10"/>
    <s v="CLR51-99-302"/>
    <x v="112"/>
    <m/>
    <m/>
    <m/>
    <s v="Riki Romansyah"/>
    <n v="0"/>
    <s v="3507050501950006"/>
    <s v="N 8420 EL"/>
    <m/>
    <m/>
    <s v="LESANPURO RW 06 MALANG"/>
    <e v="#N/A"/>
    <e v="#N/A"/>
    <s v="OUTBOUND_"/>
  </r>
  <r>
    <s v="2015"/>
    <n v="1"/>
    <x v="0"/>
    <s v="INB-W0012510-004"/>
    <s v="EJ-Malang-01"/>
    <s v="Oka-0813-2707-1646"/>
    <d v="2025-10-25T00:00:00"/>
    <d v="1899-12-30T08:00:00"/>
    <s v="ZTE Warehouse"/>
    <x v="0"/>
    <x v="28"/>
    <s v="ZTE1001"/>
    <s v="Pcs"/>
    <n v="33"/>
    <s v="CLR51-99-302"/>
    <x v="112"/>
    <s v="DOEID25102128"/>
    <s v="DNWID1372025102102"/>
    <m/>
    <m/>
    <m/>
    <m/>
    <m/>
    <m/>
    <m/>
    <s v="LESANPURO RW 06 MALANG"/>
    <d v="2025-10-21T00:00:00"/>
    <b v="0"/>
    <s v="OUTBOUND_"/>
  </r>
  <r>
    <s v="2016"/>
    <n v="1"/>
    <x v="1"/>
    <s v="OUB-W0012510-005"/>
    <s v="EJ-Malang-01"/>
    <s v="Oka-0813-2707-1646"/>
    <d v="2025-10-25T00:00:00"/>
    <d v="1899-12-30T11:00:00"/>
    <s v="EJ-MALANG-01"/>
    <x v="0"/>
    <x v="28"/>
    <s v="ZTE1001"/>
    <s v="Pcs"/>
    <n v="20"/>
    <s v="CLR51-99-302"/>
    <x v="112"/>
    <m/>
    <m/>
    <m/>
    <s v="Riki Romansyah"/>
    <n v="0"/>
    <s v="3507050501950006"/>
    <s v="N 8420 EL"/>
    <m/>
    <m/>
    <s v="LESANPURO RW 06 MALANG"/>
    <e v="#N/A"/>
    <e v="#N/A"/>
    <s v="OUTBOUND_"/>
  </r>
  <r>
    <s v="2017"/>
    <n v="1"/>
    <x v="4"/>
    <s v="BOI-W0012510-007"/>
    <s v="EJ-Malang-01"/>
    <s v="Oka-0813-2707-1646"/>
    <d v="2025-10-30T00:00:00"/>
    <d v="1899-12-30T14:35:00"/>
    <s v="Other Subcon"/>
    <x v="0"/>
    <x v="28"/>
    <s v="ZTE1001"/>
    <s v="Pcs"/>
    <n v="1"/>
    <s v="BR003"/>
    <x v="109"/>
    <m/>
    <m/>
    <m/>
    <m/>
    <m/>
    <m/>
    <m/>
    <s v="DCIT Return"/>
    <m/>
    <s v="DCIT"/>
    <e v="#N/A"/>
    <e v="#N/A"/>
    <s v="OUTBOUND_"/>
  </r>
  <r>
    <s v="2018"/>
    <n v="1"/>
    <x v="1"/>
    <s v="OUB-W0012511-001"/>
    <s v="EJ-Malang-01"/>
    <s v="Oka-0813-2707-1646"/>
    <d v="2025-11-06T00:00:00"/>
    <d v="1899-12-30T17:00:00"/>
    <s v="EJ-MALANG-01"/>
    <x v="0"/>
    <x v="28"/>
    <s v="ZTE1001"/>
    <s v="Pcs"/>
    <n v="8"/>
    <s v="CLR51-99-372"/>
    <x v="114"/>
    <m/>
    <m/>
    <m/>
    <s v="Riki Romansyah"/>
    <n v="0"/>
    <s v="3507050501950006"/>
    <s v="N 8420 EL"/>
    <m/>
    <m/>
    <s v="PALAAN RW 01 SAMPAI 05 MALANG"/>
    <e v="#N/A"/>
    <e v="#N/A"/>
    <s v="OUTBOUND_"/>
  </r>
  <r>
    <s v="2019"/>
    <n v="1"/>
    <x v="1"/>
    <s v="OUB-W0012511-003"/>
    <s v="EJ-Malang-01"/>
    <s v="Oka-0813-2707-1646"/>
    <d v="2025-11-09T00:00:00"/>
    <d v="1899-12-30T19:20:00"/>
    <s v="EJ-MALANG-01"/>
    <x v="0"/>
    <x v="28"/>
    <s v="ZTE1001"/>
    <s v="Pcs"/>
    <n v="2"/>
    <s v="CLR51-99-372"/>
    <x v="114"/>
    <s v="-"/>
    <s v="-"/>
    <m/>
    <s v="Riki Romansyah"/>
    <n v="0"/>
    <s v="3507050501950006"/>
    <s v="N 8420 EL"/>
    <m/>
    <m/>
    <s v="PALAAN RW 01 SAMPAI 05 MALANG"/>
    <e v="#N/A"/>
    <e v="#N/A"/>
    <s v="OUTBOUND_"/>
  </r>
  <r>
    <s v="2020"/>
    <n v="1"/>
    <x v="0"/>
    <s v="INB-W0012511-002"/>
    <s v="EJ-Malang-01"/>
    <s v="Oka-0813-2707-1646"/>
    <d v="2025-11-21T00:00:00"/>
    <d v="1899-12-30T08:00:00"/>
    <s v="ZTE Warehouse"/>
    <x v="0"/>
    <x v="28"/>
    <s v="ZTE1001"/>
    <s v="Pcs"/>
    <n v="49"/>
    <s v="CLR51-99-372"/>
    <x v="114"/>
    <s v="DOEID251024G5"/>
    <s v="DNWID1382025102406"/>
    <m/>
    <m/>
    <m/>
    <m/>
    <m/>
    <m/>
    <m/>
    <s v="PALAAN RW 01 SAMPAI 05 MALANG"/>
    <d v="2025-10-25T00:00:00"/>
    <b v="0"/>
    <s v="OUTBOUND_"/>
  </r>
  <r>
    <s v="2021"/>
    <n v="1"/>
    <x v="1"/>
    <s v="OUB-W0012511-005"/>
    <s v="EJ-Malang-01"/>
    <s v="Oka-0813-2707-1646"/>
    <d v="2025-11-21T00:00:00"/>
    <d v="1899-12-30T13:00:00"/>
    <s v="EJ-MALANG-01"/>
    <x v="0"/>
    <x v="28"/>
    <s v="ZTE1001"/>
    <s v="Pcs"/>
    <n v="30"/>
    <s v="CLR51-99-372"/>
    <x v="114"/>
    <s v="DOEID251024G5"/>
    <s v="DNWID1382025102406"/>
    <m/>
    <s v="Riki Romansyah"/>
    <n v="0"/>
    <s v="3507050501950006"/>
    <s v="N 8420 EL"/>
    <m/>
    <m/>
    <s v="PALAAN RW 01 SAMPAI 05 MALANG"/>
    <d v="2025-10-25T00:00:00"/>
    <b v="0"/>
    <s v="OUTBOUND_"/>
  </r>
  <r>
    <s v="2022"/>
    <n v="3"/>
    <x v="4"/>
    <s v="BOI-W0012511-002"/>
    <s v="EJ-Malang-01"/>
    <s v="Oka-0813-2707-1646"/>
    <d v="2025-11-21T00:00:00"/>
    <d v="1899-12-30T08:00:00"/>
    <s v="Other Subcon"/>
    <x v="0"/>
    <x v="28"/>
    <s v="ZTE1001"/>
    <s v="Pcs"/>
    <n v="1"/>
    <s v="BR003"/>
    <x v="109"/>
    <m/>
    <m/>
    <m/>
    <m/>
    <m/>
    <m/>
    <m/>
    <m/>
    <m/>
    <s v="DCIT"/>
    <e v="#N/A"/>
    <e v="#N/A"/>
    <s v="OUTBOUND_"/>
  </r>
  <r>
    <s v="2023"/>
    <n v="2"/>
    <x v="1"/>
    <s v="OUB-W0012511-006"/>
    <s v="EJ-Malang-01"/>
    <s v="Oka-0813-2707-1646"/>
    <d v="2025-11-22T00:00:00"/>
    <d v="1899-12-30T13:00:00"/>
    <s v="EJ-MALANG-01"/>
    <x v="0"/>
    <x v="28"/>
    <s v="ZTE1001"/>
    <s v="Pcs"/>
    <n v="14"/>
    <s v="CLR51-99-375"/>
    <x v="115"/>
    <s v="DOEID251024K3"/>
    <s v="DNWID1382025102408"/>
    <m/>
    <s v="Riki Romansyah"/>
    <n v="0"/>
    <s v="3507050501950006"/>
    <s v="N 8420 EL"/>
    <m/>
    <m/>
    <s v="PALAAN RW 06 SAMPAI 10 MALANG"/>
    <d v="2025-10-25T00:00:00"/>
    <b v="0"/>
    <s v="OUTBOUND_"/>
  </r>
  <r>
    <s v="2024"/>
    <n v="1"/>
    <x v="0"/>
    <s v="INB-W0012512-001"/>
    <s v="EJ-Malang-01"/>
    <s v="Oka-0813-2707-1646"/>
    <d v="2025-12-12T00:00:00"/>
    <d v="1899-12-30T13:00:00"/>
    <s v="ZTE Warehouse"/>
    <x v="0"/>
    <x v="28"/>
    <s v="ZTE1001"/>
    <s v="Pcs"/>
    <n v="50"/>
    <m/>
    <x v="3"/>
    <s v="-"/>
    <s v="-"/>
    <m/>
    <m/>
    <m/>
    <m/>
    <m/>
    <m/>
    <m/>
    <n v="0"/>
    <e v="#N/A"/>
    <e v="#N/A"/>
    <s v="OUTBOUND_"/>
  </r>
  <r>
    <s v="2025"/>
    <n v="11"/>
    <x v="0"/>
    <s v="INB-W0012512-001"/>
    <s v="EJ-Malang-01"/>
    <s v="Oka-0813-2707-1646"/>
    <d v="2025-12-12T00:00:00"/>
    <d v="1899-12-30T13:00:00"/>
    <s v="ZTE Warehouse"/>
    <x v="0"/>
    <x v="28"/>
    <s v="ZTE1001"/>
    <s v="Pcs"/>
    <n v="50"/>
    <m/>
    <x v="3"/>
    <s v="-"/>
    <s v="-"/>
    <m/>
    <m/>
    <m/>
    <m/>
    <m/>
    <m/>
    <m/>
    <n v="0"/>
    <e v="#N/A"/>
    <e v="#N/A"/>
    <s v="OUTBOUND_"/>
  </r>
  <r>
    <s v="2026"/>
    <n v="1"/>
    <x v="1"/>
    <s v="OUB-W0012512-001"/>
    <s v="EJ-Malang-01"/>
    <s v="Oka-0813-2707-1646"/>
    <d v="2025-12-12T00:00:00"/>
    <d v="1899-12-30T08:00:00"/>
    <s v="EJ-MALANG-01"/>
    <x v="0"/>
    <x v="28"/>
    <s v="ZTE1001"/>
    <s v="Pcs"/>
    <n v="52"/>
    <s v="CLR51-99-382"/>
    <x v="116"/>
    <s v="-"/>
    <s v="-"/>
    <m/>
    <s v="Riki Romansyah"/>
    <s v="Suliadi"/>
    <s v="3507050501950006"/>
    <s v="N 8420 EL"/>
    <m/>
    <m/>
    <s v="DUSUN SIDOAYU KELURAHAN SIDEREJO MALANG"/>
    <e v="#N/A"/>
    <e v="#N/A"/>
    <s v="OUTBOUND_"/>
  </r>
  <r>
    <s v="2027"/>
    <n v="11"/>
    <x v="1"/>
    <s v="OUB-W0012512-006"/>
    <s v="EJ-Malang-01"/>
    <s v="Oka-0813-2707-1646"/>
    <d v="2025-12-15T00:00:00"/>
    <d v="1899-12-30T11:50:00"/>
    <s v="EJ-MALANG-01"/>
    <x v="0"/>
    <x v="28"/>
    <s v="ZTE1001"/>
    <s v="Pcs"/>
    <n v="18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2028"/>
    <n v="3"/>
    <x v="1"/>
    <s v="OUB-W0012512-012"/>
    <s v="EJ-Malang-01"/>
    <s v="Oka-0813-2707-1646"/>
    <d v="2025-12-19T00:00:00"/>
    <d v="1899-12-30T08:00:00"/>
    <s v="EJ-MALANG-01"/>
    <x v="0"/>
    <x v="28"/>
    <s v="ZTE1001"/>
    <s v="Pcs"/>
    <n v="13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2029"/>
    <n v="3"/>
    <x v="1"/>
    <s v="OUB-W0012512-013"/>
    <s v="EJ-Malang-01"/>
    <s v="Oka-0813-2707-1646"/>
    <d v="2025-12-19T00:00:00"/>
    <d v="1899-12-30T13:00:00"/>
    <s v="EJ-MALANG-01"/>
    <x v="0"/>
    <x v="28"/>
    <s v="ZTE1001"/>
    <s v="Pcs"/>
    <n v="16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2030"/>
    <n v="2"/>
    <x v="1"/>
    <s v="OUB-W0012512-024"/>
    <s v="EJ-Malang-01"/>
    <s v="Oka-0813-2707-1646"/>
    <d v="2025-12-25T00:00:00"/>
    <d v="1899-12-30T12:13:00"/>
    <s v="EJ-MALANG-01"/>
    <x v="0"/>
    <x v="28"/>
    <s v="ZTE1001"/>
    <s v="Pcs"/>
    <n v="3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2031"/>
    <n v="1"/>
    <x v="3"/>
    <s v="TFI-W0012512-025"/>
    <s v="EJ-Malang-01"/>
    <s v="Oka-0813-2707-1646"/>
    <d v="2025-12-26T00:00:00"/>
    <d v="1899-12-30T13:00:00"/>
    <s v="EJ-GRESIK-01"/>
    <x v="0"/>
    <x v="28"/>
    <s v="ZTE1001"/>
    <s v="Pcs"/>
    <n v="4"/>
    <s v="FROM GRESIK"/>
    <x v="3"/>
    <m/>
    <m/>
    <m/>
    <m/>
    <m/>
    <m/>
    <m/>
    <m/>
    <m/>
    <n v="0"/>
    <e v="#N/A"/>
    <e v="#N/A"/>
    <s v="OUTBOUND_"/>
  </r>
  <r>
    <s v="2032"/>
    <n v="1"/>
    <x v="0"/>
    <s v="INB-W0012601-001"/>
    <s v="EJ-Malang-01"/>
    <s v="Oka-0813-2707-1646"/>
    <d v="2026-01-19T00:00:00"/>
    <d v="1899-12-30T06:02:00"/>
    <s v="ZTE Warehouse"/>
    <x v="0"/>
    <x v="28"/>
    <s v="ZTE1001"/>
    <s v="Pcs"/>
    <n v="1"/>
    <s v="CLR44-99-155"/>
    <x v="125"/>
    <s v="DOEID260115MQ"/>
    <s v="DNWID1382026011602"/>
    <m/>
    <s v="Riki Romansyah"/>
    <s v="Suliadi"/>
    <s v="3507050501950006"/>
    <s v="N 8420 EL"/>
    <m/>
    <m/>
    <s v="KEBONAGUNG RW 06 PAKISAJI"/>
    <d v="2026-01-19T00:00:00"/>
    <b v="1"/>
    <s v="OUTBOUND_"/>
  </r>
  <r>
    <s v="2033"/>
    <n v="3"/>
    <x v="1"/>
    <s v="OUB-W0012601-002"/>
    <s v="EJ-Malang-01"/>
    <s v="Oka-0813-2707-1646"/>
    <d v="2026-01-20T00:00:00"/>
    <d v="1899-12-30T16:32:00"/>
    <s v="EJ-MALANG-01"/>
    <x v="0"/>
    <x v="28"/>
    <s v="ZTE1001"/>
    <s v="Pcs"/>
    <n v="2"/>
    <s v="CLR44-99-155"/>
    <x v="125"/>
    <s v="DOEID260115MQ"/>
    <s v="DNWID1382026011602"/>
    <m/>
    <s v="Riki Romansyah"/>
    <s v="Suliadi"/>
    <s v="3507050501950006"/>
    <s v="N 8420 EL"/>
    <m/>
    <m/>
    <s v="KEBONAGUNG RW 06 PAKISAJI"/>
    <d v="2026-01-19T00:00:00"/>
    <b v="0"/>
    <s v="OUTBOUND_"/>
  </r>
  <r>
    <s v="2034"/>
    <n v="3"/>
    <x v="1"/>
    <s v="OUB-W0012601-003"/>
    <s v="EJ-Malang-01"/>
    <s v="Oka-0813-2707-1646"/>
    <d v="2026-01-20T00:00:00"/>
    <d v="1899-12-30T16:32:00"/>
    <s v="EJ-MALANG-01"/>
    <x v="0"/>
    <x v="28"/>
    <s v="ZTE1001"/>
    <s v="Pcs"/>
    <n v="18"/>
    <s v="CLR44-99-155"/>
    <x v="125"/>
    <s v="DOEID260115MQ"/>
    <s v="DNWID1382026011602"/>
    <m/>
    <s v="Riki Romansyah"/>
    <s v="Suliadi"/>
    <s v="3507050501950006"/>
    <s v="N 8420 EL"/>
    <m/>
    <m/>
    <s v="KEBONAGUNG RW 06 PAKISAJI"/>
    <d v="2026-01-19T00:00:00"/>
    <b v="0"/>
    <s v="OUTBOUND_"/>
  </r>
  <r>
    <s v="2035"/>
    <n v="1"/>
    <x v="3"/>
    <s v="TFI-W0012601-001"/>
    <s v="EJ-Malang-01"/>
    <s v="Oka-0813-2707-1646"/>
    <d v="2026-01-23T00:00:00"/>
    <d v="1899-12-30T13:58:00"/>
    <s v="EJ-Lamongan-01"/>
    <x v="0"/>
    <x v="28"/>
    <s v="ZTE1001"/>
    <s v="Pcs"/>
    <n v="16"/>
    <s v="CLR44-99-155"/>
    <x v="125"/>
    <s v="DOEID260115MQ"/>
    <s v="DNWID1382026011602"/>
    <m/>
    <s v="Riki Romansyah"/>
    <s v="Suliadi"/>
    <s v="3507050501950006"/>
    <s v="N 8420 EL"/>
    <m/>
    <m/>
    <s v="KEBONAGUNG RW 06 PAKISAJI"/>
    <d v="2026-01-19T00:00:00"/>
    <b v="0"/>
    <s v="OUTBOUND_"/>
  </r>
  <r>
    <s v="2036"/>
    <n v="1"/>
    <x v="0"/>
    <s v="INB-W0012603-002"/>
    <s v="EJ-Malang-01"/>
    <s v="Oka-0813-2707-1646"/>
    <d v="2026-03-06T00:00:00"/>
    <d v="1899-12-30T19:00:00"/>
    <s v="ZTE Warehouse"/>
    <x v="0"/>
    <x v="28"/>
    <s v="ZTE1001"/>
    <s v="Pcs"/>
    <n v="1"/>
    <s v="CLR51-99-385"/>
    <x v="126"/>
    <m/>
    <m/>
    <m/>
    <m/>
    <m/>
    <m/>
    <m/>
    <m/>
    <m/>
    <s v="LESANPURO RW 01 MALANG"/>
    <e v="#N/A"/>
    <e v="#N/A"/>
    <s v="OUTBOUND_"/>
  </r>
  <r>
    <s v="2037"/>
    <n v="1"/>
    <x v="1"/>
    <s v="OUB-W0012603-002"/>
    <s v="EJ-Malang-01"/>
    <s v="Oka-0813-2707-1646"/>
    <d v="2026-03-09T00:00:00"/>
    <d v="1899-12-30T19:00:00"/>
    <s v="EJ-MALANG-01"/>
    <x v="0"/>
    <x v="28"/>
    <s v="ZTE1001"/>
    <s v="Pcs"/>
    <n v="1"/>
    <s v="CLR51-99-385"/>
    <x v="126"/>
    <m/>
    <m/>
    <m/>
    <s v="Riki Romansyah"/>
    <s v="Suliadi"/>
    <s v="3507050501950006"/>
    <s v="N 8420 EL"/>
    <m/>
    <m/>
    <s v="LESANPURO RW 01 MALANG"/>
    <e v="#N/A"/>
    <e v="#N/A"/>
    <s v="OUTBOUND_"/>
  </r>
  <r>
    <s v="2038"/>
    <n v="1"/>
    <x v="0"/>
    <s v="INB-W0012603-003"/>
    <s v="EJ-Malang-01"/>
    <s v="Oka-0813-2707-1646"/>
    <d v="2026-03-12T00:00:00"/>
    <d v="1899-12-30T19:00:00"/>
    <s v="ZTE Warehouse"/>
    <x v="0"/>
    <x v="28"/>
    <s v="ZTE1001"/>
    <s v="Pcs"/>
    <n v="7"/>
    <s v="CLR51-99-447"/>
    <x v="127"/>
    <s v="DOEID260312F8"/>
    <s v="DNWID1382026031207"/>
    <m/>
    <m/>
    <m/>
    <m/>
    <m/>
    <m/>
    <m/>
    <s v="SEKARPURO RW 05 MALANG"/>
    <d v="2026-03-12T00:00:00"/>
    <b v="1"/>
    <s v="OUTBOUND_"/>
  </r>
  <r>
    <s v="2039"/>
    <n v="1"/>
    <x v="1"/>
    <s v="OUB-W0012603-005"/>
    <s v="EJ-Malang-01"/>
    <s v="Oka-0813-2707-1646"/>
    <d v="2026-03-14T00:00:00"/>
    <d v="1899-12-30T19:00:00"/>
    <s v="EJ-MALANG-01"/>
    <x v="0"/>
    <x v="28"/>
    <s v="ZTE1001"/>
    <s v="Pcs"/>
    <n v="1"/>
    <s v="CLR51-99-447"/>
    <x v="127"/>
    <m/>
    <m/>
    <m/>
    <s v="Riki Romansyah"/>
    <s v="Suliadi"/>
    <s v="3507050501950006"/>
    <s v="N 8420 EL"/>
    <m/>
    <m/>
    <s v="SEKARPURO RW 05 MALANG"/>
    <e v="#N/A"/>
    <e v="#N/A"/>
    <s v="OUTBOUND_"/>
  </r>
  <r>
    <s v="2040"/>
    <m/>
    <x v="1"/>
    <s v="OUB-W0012603-005"/>
    <s v="EJ-Malang-01"/>
    <s v="Oka-0813-2707-1646"/>
    <d v="2026-03-14T00:00:00"/>
    <d v="1899-12-30T19:00:00"/>
    <s v="EJ-MALANG-01"/>
    <x v="0"/>
    <x v="28"/>
    <s v="ZTE1001"/>
    <s v="Pcs"/>
    <n v="6"/>
    <s v="CLR51-99-451"/>
    <x v="128"/>
    <m/>
    <m/>
    <m/>
    <s v="Riki Romansyah"/>
    <s v="Suliadi"/>
    <s v="3507050501950006"/>
    <s v="N 8420 EL"/>
    <m/>
    <m/>
    <s v="SEKARPURO RW 08 MALANG"/>
    <e v="#N/A"/>
    <e v="#N/A"/>
    <s v="OUTBOUND_"/>
  </r>
  <r>
    <s v="2041"/>
    <m/>
    <x v="1"/>
    <s v="OUB-W0012604-001"/>
    <s v="EJ-Malang-01"/>
    <s v="Oka-0813-2707-1646"/>
    <d v="2026-04-01T00:00:00"/>
    <d v="1899-12-30T19:00:00"/>
    <s v="FIELD TEAM"/>
    <x v="1"/>
    <x v="28"/>
    <s v="ZTE1001"/>
    <s v="Pcs"/>
    <n v="1"/>
    <m/>
    <x v="3"/>
    <m/>
    <m/>
    <m/>
    <m/>
    <m/>
    <m/>
    <m/>
    <s v="Broken Pole Take out by MSFO"/>
    <s v="P74-003-1"/>
    <n v="0"/>
    <e v="#N/A"/>
    <e v="#N/A"/>
    <s v="OUTBOUND_P74-003-1"/>
  </r>
  <r>
    <s v="2042"/>
    <n v="1"/>
    <x v="1"/>
    <s v="OUB-W0012603-005"/>
    <s v="EJ-Malang-01"/>
    <s v="Oka-0813-2707-1646"/>
    <d v="2026-04-22T00:00:00"/>
    <d v="1899-12-30T10:32:00"/>
    <s v="EJ-MALANG-01"/>
    <x v="0"/>
    <x v="28"/>
    <s v="ZTE1001"/>
    <s v="Pcs"/>
    <n v="7"/>
    <s v="CLR51-99-445"/>
    <x v="129"/>
    <m/>
    <m/>
    <m/>
    <s v="Fatur"/>
    <s v="Suliadi"/>
    <s v="3515082712870005"/>
    <s v="W 3265 OH"/>
    <m/>
    <m/>
    <s v="SEKARPURO RW 04 MALANG"/>
    <e v="#N/A"/>
    <e v="#N/A"/>
    <s v="OUTBOUND_"/>
  </r>
  <r>
    <s v="2043"/>
    <n v="2"/>
    <x v="0"/>
    <s v="INB-W0012605-001"/>
    <s v="EJ-Malang-01"/>
    <s v="Oka-0813-2707-1646"/>
    <d v="2026-05-09T00:00:00"/>
    <d v="1899-12-30T14:46:00"/>
    <s v="ZTE Warehouse"/>
    <x v="0"/>
    <x v="28"/>
    <s v="ZTE1001"/>
    <s v="Pcs"/>
    <n v="1"/>
    <s v="CLR51-99-506"/>
    <x v="130"/>
    <s v="DOEID260509BX"/>
    <s v="DNWID03620260509DY"/>
    <m/>
    <m/>
    <m/>
    <m/>
    <m/>
    <m/>
    <m/>
    <s v="WONOKOYO RW 05 KEDUNGKANDANG"/>
    <d v="2026-05-09T00:00:00"/>
    <b v="1"/>
    <s v="OUTBOUND_"/>
  </r>
  <r>
    <s v="2044"/>
    <n v="4"/>
    <x v="1"/>
    <s v="OUB-W0012605-001"/>
    <s v="EJ-Malang-01"/>
    <s v="Oka-0813-2707-1646"/>
    <d v="2026-05-11T00:00:00"/>
    <d v="1899-12-30T18:18:00"/>
    <s v="EJ-MALANG-01"/>
    <x v="0"/>
    <x v="28"/>
    <s v="ZTE1001"/>
    <s v="Pcs"/>
    <n v="1"/>
    <s v="CLR51-99-506"/>
    <x v="130"/>
    <m/>
    <m/>
    <m/>
    <s v="Riki Romansyah"/>
    <s v="Suliadi"/>
    <s v="3507050501950006"/>
    <s v="N 8420 EL"/>
    <m/>
    <m/>
    <s v="WONOKOYO RW 05 KEDUNGKANDANG"/>
    <e v="#N/A"/>
    <e v="#N/A"/>
    <s v="OUTBOUND_"/>
  </r>
  <r>
    <s v="2045"/>
    <n v="4"/>
    <x v="0"/>
    <s v="INB-W0012605-002"/>
    <s v="EJ-Malang-01"/>
    <s v="Oka-0813-2707-1646"/>
    <d v="2026-05-22T00:00:00"/>
    <d v="1899-12-30T17:49:00"/>
    <s v="ZTE Warehouse"/>
    <x v="0"/>
    <x v="28"/>
    <s v="ZTE1001"/>
    <s v="Pcs"/>
    <n v="9"/>
    <s v="CLR51-99-658"/>
    <x v="131"/>
    <s v="DOEID260522B7"/>
    <n v="0"/>
    <m/>
    <m/>
    <m/>
    <m/>
    <m/>
    <m/>
    <m/>
    <s v="SUMBERSEKAR RT 07 RW 04 MALANG"/>
    <d v="2026-05-22T00:00:00"/>
    <b v="1"/>
    <s v="OUTBOUND_"/>
  </r>
  <r>
    <s v="2046"/>
    <n v="4"/>
    <x v="1"/>
    <s v="OUB-W0012605-002"/>
    <s v="EJ-Malang-01"/>
    <s v="Oka-0813-2707-1646"/>
    <d v="2026-05-23T00:00:00"/>
    <d v="1899-12-30T17:49:00"/>
    <s v="EJ-MALANG-01"/>
    <x v="0"/>
    <x v="28"/>
    <s v="ZTE1001"/>
    <s v="Pcs"/>
    <n v="1"/>
    <s v="CLR51-99-658"/>
    <x v="131"/>
    <m/>
    <m/>
    <m/>
    <s v="Riki Romansyah"/>
    <s v="Suliadi"/>
    <s v="3507050501950006"/>
    <s v="N 8420 EL"/>
    <m/>
    <m/>
    <s v="SUMBERSEKAR RT 07 RW 04 MALANG"/>
    <e v="#N/A"/>
    <e v="#N/A"/>
    <s v="OUTBOUND_"/>
  </r>
  <r>
    <s v="2047"/>
    <m/>
    <x v="1"/>
    <s v="OUB-W0012606-003"/>
    <s v="EJ-Malang-01"/>
    <s v="Oka-0813-2707-1647"/>
    <d v="2026-06-23T00:00:00"/>
    <d v="1899-12-30T09:00:00"/>
    <s v="EJ-MALANG-01"/>
    <x v="0"/>
    <x v="28"/>
    <s v="ZTE1001"/>
    <s v="Pcs"/>
    <n v="9"/>
    <s v="CLR51-99-483"/>
    <x v="132"/>
    <m/>
    <m/>
    <m/>
    <s v="Riki Romansyah"/>
    <s v="Suliadi"/>
    <s v="3507050501950006"/>
    <s v="N 8420 EL"/>
    <m/>
    <m/>
    <s v="RANDUANGUNG RW 04 SINGOSARI MALANG"/>
    <e v="#N/A"/>
    <e v="#N/A"/>
    <s v="OUTBOUND_"/>
  </r>
  <r>
    <s v="2048"/>
    <n v="6"/>
    <x v="0"/>
    <s v="INB-W0012606-002"/>
    <s v="EJ-Malang-01"/>
    <s v="Oka-0813-2707-1646"/>
    <d v="2026-06-27T00:00:00"/>
    <d v="1899-12-30T06:00:00"/>
    <s v="ZTE Warehouse"/>
    <x v="0"/>
    <x v="28"/>
    <s v="ZTE1001"/>
    <s v="Pcs"/>
    <n v="10"/>
    <s v="CLR51-99-483"/>
    <x v="132"/>
    <s v="DOEID26062524"/>
    <m/>
    <m/>
    <m/>
    <m/>
    <m/>
    <m/>
    <m/>
    <m/>
    <s v="RANDUANGUNG RW 04 SINGOSARI MALANG"/>
    <d v="2026-06-27T00:00:00"/>
    <b v="1"/>
    <s v="OUTBOUND_"/>
  </r>
  <r>
    <s v="2049"/>
    <n v="5"/>
    <x v="0"/>
    <s v="INB-W0012606-002"/>
    <s v="EJ-Malang-01"/>
    <s v="Oka-0813-2707-1646"/>
    <d v="2026-06-27T00:00:00"/>
    <d v="1899-12-30T06:00:00"/>
    <s v="ZTE Warehouse"/>
    <x v="0"/>
    <x v="28"/>
    <s v="ZTE1001"/>
    <s v="Pcs"/>
    <n v="23"/>
    <s v="CLR51-99-678"/>
    <x v="133"/>
    <s v="DOEID26062559"/>
    <n v="0"/>
    <m/>
    <m/>
    <m/>
    <m/>
    <m/>
    <m/>
    <m/>
    <s v="KAMBINGAN RW 04 MALANG"/>
    <d v="2026-06-27T00:00:00"/>
    <b v="1"/>
    <s v="OUTBOUND_"/>
  </r>
  <r>
    <s v="2050"/>
    <m/>
    <x v="1"/>
    <s v="OUB-W0012606-005"/>
    <s v="EJ-Malang-01"/>
    <s v="Oka-0813-2707-1647"/>
    <d v="2026-06-27T00:00:00"/>
    <d v="1899-12-30T21:00:00"/>
    <s v="EJ-MALANG-01"/>
    <x v="0"/>
    <x v="28"/>
    <s v="ZTE1001"/>
    <s v="Pcs"/>
    <n v="21"/>
    <s v="CLR51-99-678"/>
    <x v="133"/>
    <m/>
    <m/>
    <m/>
    <s v="Riki Romansyah"/>
    <s v="Suliadi"/>
    <s v="3507050501950006"/>
    <s v="N 8420 EL"/>
    <m/>
    <m/>
    <s v="KAMBINGAN RW 04 MALANG"/>
    <e v="#N/A"/>
    <e v="#N/A"/>
    <s v="OUTBOUND_"/>
  </r>
  <r>
    <s v="2051"/>
    <m/>
    <x v="1"/>
    <s v="OUB-W0012606-005"/>
    <s v="EJ-Malang-01"/>
    <s v="Oka-0813-2707-1647"/>
    <d v="2026-06-27T00:00:00"/>
    <d v="1899-12-30T09:00:00"/>
    <s v="EJ-MALANG-01"/>
    <x v="0"/>
    <x v="28"/>
    <s v="ZTE1001"/>
    <s v="Pcs"/>
    <n v="4"/>
    <s v="CLR51-99-483"/>
    <x v="132"/>
    <m/>
    <m/>
    <m/>
    <s v="Riki Romansyah"/>
    <s v="Suliadi"/>
    <s v="3507050501950006"/>
    <s v="N 8420 EL"/>
    <m/>
    <m/>
    <s v="RANDUANGUNG RW 04 SINGOSARI MALANG"/>
    <e v="#N/A"/>
    <e v="#N/A"/>
    <s v="OUTBOUND_"/>
  </r>
  <r>
    <s v="2052"/>
    <m/>
    <x v="0"/>
    <s v="INB-W0012607-001"/>
    <s v="EJ-Malang-01"/>
    <s v="Oka-0813-2707-1646"/>
    <d v="2026-07-09T00:00:00"/>
    <d v="1899-12-30T06:00:00"/>
    <s v="ZTE Warehouse"/>
    <x v="0"/>
    <x v="28"/>
    <s v="ZTE1001"/>
    <s v="Pcs"/>
    <n v="1"/>
    <s v="CLR51-99-662"/>
    <x v="134"/>
    <s v="DOEID260708AM"/>
    <s v="DNWID0362026070821"/>
    <m/>
    <m/>
    <m/>
    <m/>
    <m/>
    <m/>
    <m/>
    <s v="KESATRIAN RW 09 MALANG"/>
    <d v="2026-07-09T00:00:00"/>
    <b v="1"/>
    <s v="OUTBOUND_"/>
  </r>
  <r>
    <s v="2053"/>
    <m/>
    <x v="0"/>
    <s v="INB-W0012309-15"/>
    <s v="EJ-Malang-01"/>
    <s v="Oka-0813-2707-1646"/>
    <d v="2023-09-01T00:00:00"/>
    <d v="1900-01-14T07:00:00"/>
    <s v="ZTE Warehouse"/>
    <x v="0"/>
    <x v="29"/>
    <s v="ZTE1003"/>
    <s v="Pcs"/>
    <n v="3"/>
    <s v="CLR51-99-006"/>
    <x v="23"/>
    <s v="DOEID23082834"/>
    <s v="DNWID0362023082902"/>
    <m/>
    <m/>
    <m/>
    <m/>
    <m/>
    <m/>
    <m/>
    <s v="Mulyorejo RW 04 Sukun"/>
    <d v="2023-09-01T00:00:00"/>
    <b v="1"/>
    <s v="OUTBOUND_"/>
  </r>
  <r>
    <s v="2054"/>
    <m/>
    <x v="1"/>
    <s v="OUB-W0012309-18"/>
    <s v="EJ-Malang-01"/>
    <s v="Oka-0813-2707-1646"/>
    <d v="2023-09-04T00:00:00"/>
    <d v="1899-12-30T07:38:00"/>
    <s v="EJ-MALANG-01"/>
    <x v="0"/>
    <x v="29"/>
    <s v="ZTE1003"/>
    <s v="Pcs"/>
    <n v="3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2055"/>
    <m/>
    <x v="0"/>
    <s v="INB-W0012309-30"/>
    <s v="EJ-Malang-01"/>
    <s v="Oka-0813-2707-1646"/>
    <d v="2023-09-16T00:00:00"/>
    <d v="1900-01-14T07:00:00"/>
    <s v="ZTE Warehouse"/>
    <x v="0"/>
    <x v="29"/>
    <s v="ZTE1003"/>
    <s v="Pcs"/>
    <n v="1"/>
    <s v="CLR51-99-004"/>
    <x v="19"/>
    <s v="DOEID230914AX"/>
    <s v="DNWID0362023091402"/>
    <m/>
    <m/>
    <m/>
    <m/>
    <m/>
    <m/>
    <m/>
    <s v="Perumahan Bumi Podo Rukun Dau"/>
    <d v="2023-09-16T00:00:00"/>
    <b v="1"/>
    <s v="OUTBOUND_"/>
  </r>
  <r>
    <s v="2056"/>
    <m/>
    <x v="0"/>
    <s v="INB-W0012309-30"/>
    <s v="EJ-Malang-01"/>
    <s v="Oka-0813-2707-1646"/>
    <d v="2023-09-16T00:00:00"/>
    <d v="1900-01-14T07:00:00"/>
    <s v="ZTE Warehouse"/>
    <x v="0"/>
    <x v="29"/>
    <s v="ZTE1003"/>
    <s v="Pcs"/>
    <n v="2"/>
    <s v="CLR51-99-014"/>
    <x v="29"/>
    <s v="DOEID23091555"/>
    <s v="DNWID0362023091501"/>
    <m/>
    <m/>
    <m/>
    <m/>
    <m/>
    <m/>
    <m/>
    <s v="Pandan Landung RW 04 Wagir"/>
    <d v="2023-09-16T00:00:00"/>
    <b v="1"/>
    <s v="OUTBOUND_"/>
  </r>
  <r>
    <s v="2057"/>
    <m/>
    <x v="0"/>
    <s v="INB-W0012309-31"/>
    <s v="EJ-Malang-01"/>
    <s v="Oka-0813-2707-1646"/>
    <d v="2023-09-19T00:00:00"/>
    <d v="1900-01-14T07:00:00"/>
    <s v="ZTE Warehouse"/>
    <x v="0"/>
    <x v="29"/>
    <s v="ZTE1003"/>
    <s v="Pcs"/>
    <n v="5"/>
    <s v="CLR51-99-007"/>
    <x v="25"/>
    <s v="DOEID230918DX"/>
    <s v="DNWID0362023091803"/>
    <m/>
    <m/>
    <m/>
    <m/>
    <m/>
    <m/>
    <m/>
    <s v="Mulyorejo RW 06 Sukun"/>
    <d v="2023-09-19T00:00:00"/>
    <b v="1"/>
    <s v="OUTBOUND_"/>
  </r>
  <r>
    <s v="2058"/>
    <m/>
    <x v="0"/>
    <s v="INB-W0012309-32"/>
    <s v="EJ-Malang-01"/>
    <s v="Oka-0813-2707-1646"/>
    <d v="2023-09-20T00:00:00"/>
    <d v="1900-01-14T07:00:00"/>
    <s v="ZTE Warehouse"/>
    <x v="0"/>
    <x v="29"/>
    <s v="ZTE1003"/>
    <s v="Pcs"/>
    <n v="9"/>
    <s v="CLR51-02-001"/>
    <x v="20"/>
    <s v="DOEID230919BG"/>
    <s v="DNWID0362023091906"/>
    <m/>
    <m/>
    <m/>
    <m/>
    <m/>
    <m/>
    <m/>
    <s v="Puncak Dieng Exlusif"/>
    <d v="2023-09-20T00:00:00"/>
    <b v="1"/>
    <s v="OUTBOUND_"/>
  </r>
  <r>
    <s v="2059"/>
    <m/>
    <x v="0"/>
    <s v="INB-W0012309-40"/>
    <s v="EJ-Malang-01"/>
    <s v="Oka-0813-2707-1646"/>
    <d v="2023-09-23T00:00:00"/>
    <d v="1899-12-30T16:05:00"/>
    <s v="FIELD TEAM"/>
    <x v="0"/>
    <x v="29"/>
    <s v="ZTE1003"/>
    <s v="Pcs"/>
    <n v="4"/>
    <s v="CLR51-99-007"/>
    <x v="25"/>
    <n v="0"/>
    <s v="TRANSFER GUDANG"/>
    <m/>
    <m/>
    <m/>
    <m/>
    <m/>
    <s v="Pengembalian Mulyorejo 6 malang"/>
    <m/>
    <s v="Mulyorejo RW 06 Sukun"/>
    <e v="#N/A"/>
    <e v="#N/A"/>
    <s v="OUTBOUND_"/>
  </r>
  <r>
    <s v="2060"/>
    <m/>
    <x v="1"/>
    <s v="OUB-W0012309-38"/>
    <s v="EJ-Malang-01"/>
    <s v="Oka-0813-2707-1646"/>
    <d v="2023-09-23T00:00:00"/>
    <d v="1899-12-30T07:07:00"/>
    <s v="EJ-MALANG-01"/>
    <x v="0"/>
    <x v="29"/>
    <s v="ZTE1003"/>
    <s v="Pcs"/>
    <n v="6"/>
    <s v="CLR51-99-007"/>
    <x v="25"/>
    <m/>
    <m/>
    <m/>
    <s v="Khoiri"/>
    <s v="Khoiri Supplier"/>
    <s v="3507330905820002"/>
    <s v="N 8408 CB"/>
    <m/>
    <m/>
    <s v="Mulyorejo RW 06 Sukun"/>
    <e v="#N/A"/>
    <e v="#N/A"/>
    <s v="OUTBOUND_"/>
  </r>
  <r>
    <s v="2061"/>
    <m/>
    <x v="1"/>
    <s v="OUB-W0012309-46"/>
    <s v="EJ-Malang-01"/>
    <s v="Oka-0813-2707-1646"/>
    <d v="2023-09-26T00:00:00"/>
    <d v="1899-12-30T06:30:00"/>
    <s v="EJ-MALANG-01"/>
    <x v="0"/>
    <x v="29"/>
    <s v="ZTE1003"/>
    <s v="Pcs"/>
    <n v="4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062"/>
    <m/>
    <x v="1"/>
    <s v="OUB-W0012309-49"/>
    <s v="EJ-Malang-01"/>
    <s v="Oka-0813-2707-1646"/>
    <d v="2023-09-27T00:00:00"/>
    <d v="1899-12-30T06:37:00"/>
    <s v="EJ-MALANG-01"/>
    <x v="0"/>
    <x v="29"/>
    <s v="ZTE1003"/>
    <s v="Pcs"/>
    <n v="2"/>
    <s v="CLR51-02-001"/>
    <x v="20"/>
    <m/>
    <m/>
    <m/>
    <s v="Khoiri "/>
    <s v="Khoiri Supplier"/>
    <s v="3507330905820002"/>
    <s v="N 8638 ES"/>
    <m/>
    <m/>
    <s v="Puncak Dieng Exlusif"/>
    <e v="#N/A"/>
    <e v="#N/A"/>
    <s v="OUTBOUND_"/>
  </r>
  <r>
    <s v="2063"/>
    <m/>
    <x v="1"/>
    <s v="OUB-W0012310-55"/>
    <s v="EJ-Malang-01"/>
    <s v="Oka-0813-2707-1646"/>
    <d v="2023-10-01T00:00:00"/>
    <d v="1899-12-30T06:30:00"/>
    <s v="EJ-MALANG-01"/>
    <x v="0"/>
    <x v="29"/>
    <s v="ZTE1003"/>
    <s v="Pcs"/>
    <n v="2"/>
    <s v="CLR51-02-001"/>
    <x v="20"/>
    <m/>
    <m/>
    <m/>
    <s v="Khoiri"/>
    <s v="Khoiri Supplier"/>
    <s v="3507330905820002"/>
    <s v="N 8638 ES"/>
    <m/>
    <m/>
    <s v="Puncak Dieng Exlusif"/>
    <e v="#N/A"/>
    <e v="#N/A"/>
    <s v="OUTBOUND_"/>
  </r>
  <r>
    <s v="2064"/>
    <m/>
    <x v="0"/>
    <s v="INB-W0012310-75"/>
    <s v="EJ-Malang-01"/>
    <s v="Oka-0813-2707-1646"/>
    <d v="2023-10-14T00:00:00"/>
    <d v="1900-01-14T07:00:00"/>
    <s v="ZTE Warehouse"/>
    <x v="0"/>
    <x v="29"/>
    <s v="ZTE1003"/>
    <s v="Pcs"/>
    <n v="2"/>
    <s v="CLR51-99-017"/>
    <x v="21"/>
    <s v="DOEID23101402"/>
    <s v="DNWID0362023101403"/>
    <m/>
    <m/>
    <m/>
    <m/>
    <m/>
    <m/>
    <m/>
    <s v="Sukodadi RW 01 Wagir"/>
    <d v="2023-10-14T00:00:00"/>
    <b v="1"/>
    <s v="OUTBOUND_"/>
  </r>
  <r>
    <s v="2065"/>
    <m/>
    <x v="0"/>
    <s v="INB-W0012310-75"/>
    <s v="EJ-Malang-01"/>
    <s v="Oka-0813-2707-1646"/>
    <d v="2023-10-14T00:00:00"/>
    <d v="1900-01-14T07:00:00"/>
    <s v="ZTE Warehouse"/>
    <x v="0"/>
    <x v="29"/>
    <s v="ZTE1003"/>
    <s v="Pcs"/>
    <n v="3"/>
    <s v="CLR51-99-020"/>
    <x v="22"/>
    <s v="DOEID231013AU"/>
    <s v="DNWID0362023101401"/>
    <m/>
    <m/>
    <m/>
    <m/>
    <m/>
    <m/>
    <m/>
    <s v="Jedong RW 08 Wagir"/>
    <d v="2023-10-14T00:00:00"/>
    <b v="1"/>
    <s v="OUTBOUND_"/>
  </r>
  <r>
    <s v="2066"/>
    <m/>
    <x v="0"/>
    <s v="INB-W0012310-75"/>
    <s v="EJ-Malang-01"/>
    <s v="Oka-0813-2707-1646"/>
    <d v="2023-10-14T00:00:00"/>
    <d v="1900-01-14T07:00:00"/>
    <s v="ZTE Warehouse"/>
    <x v="0"/>
    <x v="29"/>
    <s v="ZTE1003"/>
    <s v="Pcs"/>
    <n v="4"/>
    <s v="CLR51-99-021"/>
    <x v="27"/>
    <s v="DOEID231013AW"/>
    <s v="DNWID0362023101402"/>
    <m/>
    <m/>
    <m/>
    <m/>
    <m/>
    <m/>
    <m/>
    <s v="Jedong RW 09 Wagir"/>
    <d v="2023-10-14T00:00:00"/>
    <b v="1"/>
    <s v="OUTBOUND_"/>
  </r>
  <r>
    <s v="2067"/>
    <m/>
    <x v="1"/>
    <s v="OUB-W0012310-81"/>
    <s v="EJ-Malang-01"/>
    <s v="Oka-0813-2707-1646"/>
    <d v="2023-10-17T00:00:00"/>
    <d v="1899-12-30T14:11:00"/>
    <s v="EJ-MALANG-01"/>
    <x v="0"/>
    <x v="29"/>
    <s v="ZTE1003"/>
    <s v="Pcs"/>
    <n v="1"/>
    <s v="CLR51-99-004"/>
    <x v="19"/>
    <m/>
    <m/>
    <m/>
    <s v="Mohammad Febbi H"/>
    <s v="Febby Supplier"/>
    <s v="3524052002930003"/>
    <s v=" W 8940 PC"/>
    <s v="PL change 7m to 9m"/>
    <m/>
    <s v="Perumahan Bumi Podo Rukun Dau"/>
    <e v="#N/A"/>
    <e v="#N/A"/>
    <s v="OUTBOUND_"/>
  </r>
  <r>
    <s v="2068"/>
    <m/>
    <x v="1"/>
    <s v="OUB-W0012310-82"/>
    <s v="EJ-Malang-01"/>
    <s v="Oka-0813-2707-1646"/>
    <d v="2023-10-18T00:00:00"/>
    <d v="1899-12-30T07:13:00"/>
    <s v="EJ-MALANG-01"/>
    <x v="0"/>
    <x v="29"/>
    <s v="ZTE1003"/>
    <s v="Pcs"/>
    <n v="1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2069"/>
    <m/>
    <x v="1"/>
    <s v="OUB-W0012310-82"/>
    <s v="EJ-Malang-01"/>
    <s v="Oka-0813-2707-1646"/>
    <d v="2023-10-18T00:00:00"/>
    <d v="1899-12-30T07:13:00"/>
    <s v="EJ-MALANG-01"/>
    <x v="0"/>
    <x v="29"/>
    <s v="ZTE1003"/>
    <s v="Pcs"/>
    <n v="2"/>
    <s v="CLR51-99-020"/>
    <x v="22"/>
    <m/>
    <m/>
    <m/>
    <s v="Khoiri"/>
    <s v="Khoiri Supplier"/>
    <s v="3507330905820002"/>
    <s v="N 8408 CB"/>
    <m/>
    <m/>
    <s v="Jedong RW 08 Wagir"/>
    <e v="#N/A"/>
    <e v="#N/A"/>
    <s v="OUTBOUND_"/>
  </r>
  <r>
    <s v="2070"/>
    <m/>
    <x v="1"/>
    <s v="OUB-W0012310-89"/>
    <s v="EJ-Malang-01"/>
    <s v="Oka-0813-2707-1646"/>
    <d v="2023-10-21T00:00:00"/>
    <d v="1899-12-30T08:19:00"/>
    <s v="EJ-MALANG-01"/>
    <x v="0"/>
    <x v="29"/>
    <s v="ZTE1003"/>
    <s v="Pcs"/>
    <n v="2"/>
    <s v="CLR51-99-018"/>
    <x v="151"/>
    <m/>
    <m/>
    <m/>
    <s v="Mail"/>
    <n v="0"/>
    <s v="507180502880002"/>
    <s v="N 8546 ED"/>
    <m/>
    <m/>
    <s v="Sukodadi RW 02 Wagir"/>
    <e v="#N/A"/>
    <e v="#N/A"/>
    <s v="OUTBOUND_"/>
  </r>
  <r>
    <s v="2071"/>
    <m/>
    <x v="2"/>
    <s v="TFO-W0012310-97"/>
    <s v="EJ-Malang-01"/>
    <s v="Oka-0813-2707-1646"/>
    <d v="2023-10-21T00:00:00"/>
    <d v="1899-12-30T23:24:00"/>
    <s v="EJ-MALANG-01"/>
    <x v="0"/>
    <x v="29"/>
    <s v="ZTE1003"/>
    <s v="Pcs"/>
    <n v="4"/>
    <s v="TRF"/>
    <x v="4"/>
    <m/>
    <m/>
    <m/>
    <s v="Khoiri"/>
    <s v="Khoiri Supplier"/>
    <s v="3507330905820002"/>
    <s v="N 8408 CB"/>
    <m/>
    <m/>
    <s v="Transfer Gudang"/>
    <e v="#N/A"/>
    <e v="#N/A"/>
    <s v="TRANSFER OUT_"/>
  </r>
  <r>
    <s v="2072"/>
    <m/>
    <x v="1"/>
    <s v="OUB-W0012310-107"/>
    <s v="EJ-Malang-01"/>
    <s v="Oka-0813-2707-1646"/>
    <d v="2023-10-23T00:00:00"/>
    <d v="1899-12-30T08:19:00"/>
    <s v="EJ-MALANG-01"/>
    <x v="0"/>
    <x v="29"/>
    <s v="ZTE1003"/>
    <s v="Pcs"/>
    <n v="1"/>
    <s v="CLR51-99-017"/>
    <x v="21"/>
    <m/>
    <m/>
    <m/>
    <s v="Mail"/>
    <n v="0"/>
    <s v="507180502880002"/>
    <s v="N 8546 ED"/>
    <m/>
    <m/>
    <s v="Sukodadi RW 01 Wagir"/>
    <e v="#N/A"/>
    <e v="#N/A"/>
    <s v="OUTBOUND_"/>
  </r>
  <r>
    <s v="2073"/>
    <m/>
    <x v="1"/>
    <s v="OUB-W0012310-110"/>
    <s v="EJ-Malang-01"/>
    <s v="Oka-0813-2707-1646"/>
    <d v="2023-10-24T00:00:00"/>
    <d v="1899-12-30T13:37:00"/>
    <s v="EJ-MALANG-01"/>
    <x v="0"/>
    <x v="29"/>
    <s v="ZTE1003"/>
    <s v="Pcs"/>
    <n v="1"/>
    <s v="CLR51-99-006"/>
    <x v="23"/>
    <m/>
    <m/>
    <m/>
    <s v="Mohammad Febbi H"/>
    <n v="0"/>
    <s v="3524052002930003"/>
    <s v="L 9740 NM"/>
    <s v="PL change 7m to 9m"/>
    <m/>
    <s v="Mulyorejo RW 04 Sukun"/>
    <e v="#N/A"/>
    <e v="#N/A"/>
    <s v="OUTBOUND_"/>
  </r>
  <r>
    <s v="2074"/>
    <m/>
    <x v="1"/>
    <s v="OUB-W0012310-111"/>
    <s v="EJ-Malang-01"/>
    <s v="Oka-0813-2707-1646"/>
    <d v="2023-10-24T00:00:00"/>
    <d v="1899-12-30T13:50:00"/>
    <s v="EJ-MALANG-01"/>
    <x v="0"/>
    <x v="29"/>
    <s v="ZTE1003"/>
    <s v="Pcs"/>
    <n v="1"/>
    <s v="CLR51-99-020"/>
    <x v="22"/>
    <m/>
    <m/>
    <m/>
    <s v="Khoiri"/>
    <s v="Khoiri Supplier"/>
    <s v="3507330905820002"/>
    <s v="N 8638 ES"/>
    <m/>
    <m/>
    <s v="Jedong RW 08 Wagir"/>
    <e v="#N/A"/>
    <e v="#N/A"/>
    <s v="OUTBOUND_"/>
  </r>
  <r>
    <s v="2075"/>
    <m/>
    <x v="3"/>
    <s v="TFI-W0012311-123"/>
    <s v="EJ-Malang-01"/>
    <s v="Oka-0813-2707-1646"/>
    <d v="2023-11-19T00:00:00"/>
    <d v="1900-01-14T07:00:00"/>
    <s v="EJ-JOMBANG-01"/>
    <x v="0"/>
    <x v="29"/>
    <s v="ZTE1003"/>
    <s v="Pcs"/>
    <n v="7"/>
    <s v="TRF"/>
    <x v="138"/>
    <n v="0"/>
    <s v="TRANSFER GUDANG"/>
    <m/>
    <m/>
    <m/>
    <m/>
    <m/>
    <s v="WH JOMBANG ke WH MALANG"/>
    <m/>
    <s v="JOMBANG"/>
    <e v="#N/A"/>
    <e v="#N/A"/>
    <s v="OUTBOUND_"/>
  </r>
  <r>
    <s v="2076"/>
    <m/>
    <x v="1"/>
    <s v="OUB-W0012311-124"/>
    <s v="EJ-Malang-01"/>
    <s v="Oka-0813-2707-1646"/>
    <d v="2023-11-21T00:00:00"/>
    <d v="1899-12-30T15:14:00"/>
    <s v="EJ-MALANG-01"/>
    <x v="0"/>
    <x v="29"/>
    <s v="ZTE1003"/>
    <s v="Pcs"/>
    <n v="7"/>
    <s v="CLR51-99-013"/>
    <x v="26"/>
    <m/>
    <m/>
    <m/>
    <s v="Mustofa"/>
    <n v="0"/>
    <s v="3209140803860003"/>
    <s v="N 8869 UQ"/>
    <m/>
    <m/>
    <s v="Pandan Landung RW 03 Wagir"/>
    <e v="#N/A"/>
    <e v="#N/A"/>
    <s v="OUTBOUND_"/>
  </r>
  <r>
    <s v="2077"/>
    <m/>
    <x v="1"/>
    <s v="OUB-W0012311-128"/>
    <s v="EJ-Malang-01"/>
    <s v="Oka-0813-2707-1646"/>
    <d v="2023-11-25T00:00:00"/>
    <d v="1899-12-30T15:14:00"/>
    <s v="EJ-MALANG-01"/>
    <x v="0"/>
    <x v="29"/>
    <s v="ZTE1003"/>
    <s v="Pcs"/>
    <n v="3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2078"/>
    <n v="1"/>
    <x v="0"/>
    <s v="INB-W0012212-001"/>
    <s v="EJ-Malang-01"/>
    <s v="Oka-0813-2707-1646"/>
    <d v="2023-12-06T00:00:00"/>
    <d v="1899-12-30T20:56:42"/>
    <s v="FIELD TEAM"/>
    <x v="0"/>
    <x v="29"/>
    <s v="ZTE1003"/>
    <s v="Pcs"/>
    <n v="3"/>
    <s v="CLR51-99-013"/>
    <x v="176"/>
    <s v="DOEID23091557"/>
    <s v="DNWID0362023091502"/>
    <m/>
    <m/>
    <m/>
    <m/>
    <m/>
    <m/>
    <m/>
    <s v="Pandanlandung RW 03 Wagir"/>
    <d v="2023-09-16T00:00:00"/>
    <b v="0"/>
    <s v="OUTBOUND_"/>
  </r>
  <r>
    <s v="2079"/>
    <m/>
    <x v="0"/>
    <s v="INB-W0012312-144"/>
    <s v="EJ-Malang-01"/>
    <s v="Oka-0813-2707-1646"/>
    <d v="2023-12-08T00:00:00"/>
    <d v="1900-01-14T07:00:00"/>
    <s v="FIELD TEAM"/>
    <x v="0"/>
    <x v="29"/>
    <s v="ZTE1003"/>
    <s v="Pcs"/>
    <n v="2"/>
    <s v="CLR51-99-014"/>
    <x v="29"/>
    <s v="DOEID23091555"/>
    <s v="DNWID0362023091501"/>
    <m/>
    <m/>
    <m/>
    <m/>
    <m/>
    <s v="kembali dari gudang mustofa"/>
    <m/>
    <s v="Pandan Landung RW 04 Wagir"/>
    <d v="2023-09-16T00:00:00"/>
    <b v="0"/>
    <s v="OUTBOUND_"/>
  </r>
  <r>
    <s v="2080"/>
    <m/>
    <x v="1"/>
    <s v="OUB-W0012312-147"/>
    <s v="EJ-Malang-01"/>
    <s v="Oka-0813-2707-1646"/>
    <d v="2023-12-15T00:00:00"/>
    <d v="1899-12-30T10:35:00"/>
    <s v="EJ-MALANG-01"/>
    <x v="0"/>
    <x v="29"/>
    <s v="ZTE1003"/>
    <s v="Pcs"/>
    <n v="1"/>
    <s v="CLR51-99-017"/>
    <x v="21"/>
    <m/>
    <m/>
    <m/>
    <s v="Heri Susanto"/>
    <n v="0"/>
    <s v="3506220807870002"/>
    <s v="S 9794 JC"/>
    <m/>
    <m/>
    <s v="Sukodadi RW 01 Wagir"/>
    <e v="#N/A"/>
    <e v="#N/A"/>
    <s v="OUTBOUND_"/>
  </r>
  <r>
    <s v="2081"/>
    <m/>
    <x v="0"/>
    <s v="INB-W0012312-161"/>
    <s v="EJ-Malang-01"/>
    <s v="Oka-0813-2707-1646"/>
    <d v="2023-12-27T00:00:00"/>
    <d v="1900-01-14T07:00:00"/>
    <s v="FIELD TEAM"/>
    <x v="0"/>
    <x v="29"/>
    <s v="ZTE1003"/>
    <s v="Pcs"/>
    <n v="2"/>
    <s v="CLR51-99-014"/>
    <x v="29"/>
    <s v="DOEID23091555"/>
    <s v="DNWID0362023091501"/>
    <m/>
    <m/>
    <m/>
    <m/>
    <m/>
    <s v="Diambil Bayu"/>
    <m/>
    <s v="Pandan Landung RW 04 Wagir"/>
    <d v="2023-09-16T00:00:00"/>
    <b v="0"/>
    <s v="OUTBOUND_"/>
  </r>
  <r>
    <s v="2082"/>
    <m/>
    <x v="0"/>
    <s v="INB-W0012401-176"/>
    <s v="EJ-Malang-01"/>
    <s v="Oka-0813-2707-1646"/>
    <d v="2024-01-16T00:00:00"/>
    <d v="1900-01-14T07:00:00"/>
    <s v="ZTE Warehouse"/>
    <x v="0"/>
    <x v="29"/>
    <s v="ZTE1003"/>
    <s v="Pcs"/>
    <n v="9"/>
    <s v="MF51-01"/>
    <x v="36"/>
    <s v="DOEID24011534"/>
    <s v="DNWID0362024011514"/>
    <m/>
    <m/>
    <m/>
    <m/>
    <m/>
    <m/>
    <m/>
    <s v="HUBFEEDER BATURETNO RW 02"/>
    <d v="2024-01-16T00:00:00"/>
    <b v="1"/>
    <s v="OUTBOUND_"/>
  </r>
  <r>
    <s v="2083"/>
    <m/>
    <x v="0"/>
    <s v="INB-W0012401-176"/>
    <s v="EJ-Malang-01"/>
    <s v="Oka-0813-2707-1646"/>
    <d v="2024-01-16T00:00:00"/>
    <d v="1900-01-14T07:00:00"/>
    <s v="ZTE Warehouse"/>
    <x v="0"/>
    <x v="29"/>
    <s v="ZTE1003"/>
    <s v="Pcs"/>
    <n v="10"/>
    <s v="CLR51-99-038"/>
    <x v="32"/>
    <s v="DOEID24011211"/>
    <s v="DNWID0362024011201"/>
    <m/>
    <m/>
    <m/>
    <m/>
    <m/>
    <m/>
    <m/>
    <s v="Baturetno RW 03 Singosari"/>
    <d v="2024-01-16T00:00:00"/>
    <b v="1"/>
    <s v="OUTBOUND_"/>
  </r>
  <r>
    <s v="2084"/>
    <m/>
    <x v="1"/>
    <s v="OUB-W0012401-178"/>
    <s v="EJ-Malang-01"/>
    <s v="Oka-0813-2707-1646"/>
    <d v="2024-01-17T00:00:00"/>
    <d v="1899-12-30T10:27:00"/>
    <s v="EJ-MALANG-01"/>
    <x v="0"/>
    <x v="29"/>
    <s v="ZTE1003"/>
    <s v="Pcs"/>
    <n v="2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2085"/>
    <m/>
    <x v="1"/>
    <s v="OUB-W0012401-178"/>
    <s v="EJ-Malang-01"/>
    <s v="Oka-0813-2707-1646"/>
    <d v="2024-01-17T00:00:00"/>
    <d v="1899-12-30T10:27:00"/>
    <s v="EJ-MALANG-01"/>
    <x v="0"/>
    <x v="29"/>
    <s v="ZTE1003"/>
    <s v="Pcs"/>
    <n v="6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2086"/>
    <m/>
    <x v="1"/>
    <s v="OUB-W0012401-186"/>
    <s v="EJ-Malang-01"/>
    <s v="Oka-0813-2707-1646"/>
    <d v="2024-01-19T00:00:00"/>
    <d v="1899-12-30T17:36:00"/>
    <s v="EJ-MALANG-01"/>
    <x v="0"/>
    <x v="29"/>
    <s v="ZTE1003"/>
    <s v="Pcs"/>
    <n v="1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2087"/>
    <m/>
    <x v="0"/>
    <s v="INB-W0012401-187"/>
    <s v="EJ-Malang-01"/>
    <s v="Oka-0813-2707-1646"/>
    <d v="2024-01-20T00:00:00"/>
    <d v="1900-01-14T07:00:00"/>
    <s v="ZTE Warehouse"/>
    <x v="0"/>
    <x v="29"/>
    <s v="ZTE1003"/>
    <s v="Pcs"/>
    <n v="1"/>
    <s v="MF51-01"/>
    <x v="36"/>
    <s v="DOEID24011534"/>
    <s v="DNWID0362024011514"/>
    <m/>
    <m/>
    <m/>
    <m/>
    <m/>
    <m/>
    <m/>
    <s v="HUBFEEDER BATURETNO RW 02"/>
    <d v="2024-01-16T00:00:00"/>
    <b v="0"/>
    <s v="OUTBOUND_"/>
  </r>
  <r>
    <s v="2088"/>
    <m/>
    <x v="1"/>
    <s v="OUB-W0012402-216"/>
    <s v="EJ-Malang-01"/>
    <s v="Oka-0813-2707-1646"/>
    <d v="2024-02-07T00:00:00"/>
    <d v="1899-12-30T22:41:00"/>
    <s v="EJ-MALANG-01"/>
    <x v="0"/>
    <x v="29"/>
    <s v="ZTE1003"/>
    <s v="Pcs"/>
    <n v="2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2089"/>
    <m/>
    <x v="1"/>
    <s v="OUB-W0012402-215"/>
    <s v="EJ-Malang-01"/>
    <s v="Oka-0813-2707-1646"/>
    <d v="2024-02-07T00:00:00"/>
    <d v="1899-12-30T01:49:00"/>
    <s v="EJ-MALANG-01"/>
    <x v="0"/>
    <x v="29"/>
    <s v="ZTE1003"/>
    <s v="Pcs"/>
    <n v="3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2090"/>
    <m/>
    <x v="1"/>
    <s v="OUB-W0012402-230"/>
    <s v="EJ-Malang-01"/>
    <s v="Oka-0813-2707-1646"/>
    <d v="2024-02-19T00:00:00"/>
    <d v="1899-12-30T15:10:00"/>
    <s v="EJ-MALANG-01"/>
    <x v="0"/>
    <x v="29"/>
    <s v="ZTE1003"/>
    <s v="Pcs"/>
    <n v="2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2091"/>
    <m/>
    <x v="1"/>
    <s v="OUB-W0012402-235"/>
    <s v="EJ-Malang-01"/>
    <s v="Oka-0813-2707-1646"/>
    <d v="2024-02-20T00:00:00"/>
    <d v="1899-12-30T16:46:00"/>
    <s v="EJ-MALANG-01"/>
    <x v="0"/>
    <x v="29"/>
    <s v="ZTE1003"/>
    <s v="Pcs"/>
    <n v="2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2092"/>
    <m/>
    <x v="1"/>
    <s v="OUB-W0012402-237"/>
    <s v="EJ-Malang-01"/>
    <s v="Oka-0813-2707-1646"/>
    <d v="2024-02-21T00:00:00"/>
    <d v="1899-12-30T16:20:00"/>
    <s v="EJ-MALANG-01"/>
    <x v="0"/>
    <x v="29"/>
    <s v="ZTE1003"/>
    <s v="Pcs"/>
    <n v="1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2093"/>
    <m/>
    <x v="1"/>
    <s v="OUB-W0012402-238"/>
    <s v="EJ-Malang-01"/>
    <s v="Oka-0813-2707-1646"/>
    <d v="2024-02-21T00:00:00"/>
    <d v="1899-12-30T17:07:00"/>
    <s v="EJ-MALANG-01"/>
    <x v="0"/>
    <x v="29"/>
    <s v="ZTE1003"/>
    <s v="Pcs"/>
    <n v="2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2094"/>
    <m/>
    <x v="0"/>
    <s v="INB-W0012403-263"/>
    <s v="EJ-Malang-01"/>
    <s v="Oka-0813-2707-1646"/>
    <d v="2024-03-01T00:00:00"/>
    <d v="1900-01-14T07:00:00"/>
    <s v="ZTE Warehouse"/>
    <x v="0"/>
    <x v="29"/>
    <s v="ZTE1003"/>
    <s v="Pcs"/>
    <n v="8"/>
    <m/>
    <x v="3"/>
    <n v="0"/>
    <n v="0"/>
    <m/>
    <m/>
    <m/>
    <m/>
    <m/>
    <m/>
    <m/>
    <n v="0"/>
    <e v="#N/A"/>
    <e v="#N/A"/>
    <s v="OUTBOUND_"/>
  </r>
  <r>
    <s v="2095"/>
    <m/>
    <x v="0"/>
    <s v="INB-W0012403-279"/>
    <s v="EJ-Malang-01"/>
    <s v="Oka-0813-2707-1646"/>
    <d v="2024-03-19T00:00:00"/>
    <d v="1900-01-14T07:00:00"/>
    <s v="ZTE Warehouse"/>
    <x v="0"/>
    <x v="29"/>
    <s v="ZTE1003"/>
    <s v="Pcs"/>
    <n v="1"/>
    <m/>
    <x v="3"/>
    <n v="0"/>
    <n v="0"/>
    <m/>
    <m/>
    <m/>
    <m/>
    <m/>
    <m/>
    <m/>
    <n v="0"/>
    <e v="#N/A"/>
    <e v="#N/A"/>
    <s v="OUTBOUND_"/>
  </r>
  <r>
    <s v="2096"/>
    <m/>
    <x v="1"/>
    <s v="OUB-W0012403-281"/>
    <s v="EJ-Malang-01"/>
    <s v="Oka-0813-2707-1646"/>
    <d v="2024-03-21T00:00:00"/>
    <d v="1899-12-30T09:45:00"/>
    <s v="EJ-MALANG-01"/>
    <x v="0"/>
    <x v="29"/>
    <s v="ZTE1003"/>
    <s v="Pcs"/>
    <n v="1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2097"/>
    <m/>
    <x v="1"/>
    <s v="OUB-W0012404-305"/>
    <s v="EJ-Malang-01"/>
    <s v="Oka-0813-2707-1646"/>
    <d v="2024-04-18T00:00:00"/>
    <d v="1899-12-30T10:12:00"/>
    <s v="EJ-MALANG-01"/>
    <x v="0"/>
    <x v="29"/>
    <s v="ZTE1003"/>
    <s v="Pcs"/>
    <n v="2"/>
    <s v="CLR51-99-040"/>
    <x v="41"/>
    <m/>
    <m/>
    <m/>
    <s v="Dimas"/>
    <s v="Febby Supplier"/>
    <s v="3573032509800005"/>
    <s v="N 9454 BA"/>
    <m/>
    <m/>
    <s v="Tunjungtirto RW 08 Singosari"/>
    <e v="#N/A"/>
    <e v="#N/A"/>
    <s v="OUTBOUND_"/>
  </r>
  <r>
    <s v="2098"/>
    <m/>
    <x v="1"/>
    <s v="OUB-W0012405-330"/>
    <s v="EJ-Malang-01"/>
    <s v="Oka-0813-2707-1646"/>
    <d v="2024-05-08T00:00:00"/>
    <d v="1899-12-30T09:22:00"/>
    <s v="EJ-MALANG-01"/>
    <x v="0"/>
    <x v="29"/>
    <s v="ZTE1003"/>
    <s v="Pcs"/>
    <n v="1"/>
    <s v="CLR51-99-040"/>
    <x v="41"/>
    <m/>
    <m/>
    <m/>
    <s v="Dimas"/>
    <s v="Febby Supplier"/>
    <s v="3573032509800005"/>
    <s v="N8283EK"/>
    <m/>
    <m/>
    <s v="Tunjungtirto RW 08 Singosari"/>
    <e v="#N/A"/>
    <e v="#N/A"/>
    <s v="OUTBOUND_"/>
  </r>
  <r>
    <s v="2099"/>
    <m/>
    <x v="1"/>
    <s v="OUB-W0012405-343"/>
    <s v="EJ-Malang-01"/>
    <s v="Oka-0813-2707-1646"/>
    <d v="2024-05-21T00:00:00"/>
    <d v="1899-12-30T09:03:00"/>
    <s v="EJ-MALANG-01"/>
    <x v="0"/>
    <x v="29"/>
    <s v="ZTE1003"/>
    <s v="Pcs"/>
    <n v="2"/>
    <s v="CLR51-99-087"/>
    <x v="11"/>
    <m/>
    <m/>
    <m/>
    <s v="Riki Romansyah"/>
    <s v="Febby Supplier"/>
    <s v="3507050501950006"/>
    <s v="N 8420 EL"/>
    <m/>
    <m/>
    <s v="Lawang RW 06 Malang"/>
    <e v="#N/A"/>
    <e v="#N/A"/>
    <s v="OUTBOUND_"/>
  </r>
  <r>
    <s v="2100"/>
    <m/>
    <x v="1"/>
    <s v="OUB-W0012406-393"/>
    <s v="EJ-Malang-01"/>
    <s v="Oka-0813-2707-1646"/>
    <d v="2024-06-27T00:00:00"/>
    <d v="1899-12-30T12:53:00"/>
    <s v="EJ-MALANG-01"/>
    <x v="0"/>
    <x v="29"/>
    <s v="ZTE1003"/>
    <s v="Pcs"/>
    <n v="4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2101"/>
    <m/>
    <x v="0"/>
    <s v="INB-W0012407-412"/>
    <s v="EJ-Malang-01"/>
    <s v="Oka-0813-2707-1646"/>
    <d v="2024-07-23T00:00:00"/>
    <d v="1900-01-14T07:00:00"/>
    <s v="ZTE Warehouse"/>
    <x v="0"/>
    <x v="29"/>
    <s v="ZTE1003"/>
    <s v="Pcs"/>
    <n v="9"/>
    <m/>
    <x v="3"/>
    <n v="0"/>
    <n v="0"/>
    <m/>
    <m/>
    <m/>
    <m/>
    <m/>
    <m/>
    <m/>
    <n v="0"/>
    <e v="#N/A"/>
    <e v="#N/A"/>
    <s v="OUTBOUND_"/>
  </r>
  <r>
    <s v="2102"/>
    <m/>
    <x v="1"/>
    <s v="OUB-W0012408-430"/>
    <s v="EJ-Malang-01"/>
    <s v="Oka-0813-2707-1646"/>
    <d v="2024-08-03T00:00:00"/>
    <d v="1899-12-30T23:20:00"/>
    <s v="EJ-MALANG-01"/>
    <x v="0"/>
    <x v="29"/>
    <s v="ZTE1003"/>
    <s v="Pcs"/>
    <n v="3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2103"/>
    <m/>
    <x v="1"/>
    <s v="OUB-W0012408-435"/>
    <s v="EJ-Malang-01"/>
    <s v="Oka-0813-2707-1646"/>
    <d v="2024-08-07T00:00:00"/>
    <d v="1899-12-30T19:39:00"/>
    <s v="EJ-MALANG-01"/>
    <x v="0"/>
    <x v="29"/>
    <s v="ZTE1003"/>
    <s v="Pcs"/>
    <n v="2"/>
    <s v="MF51-03"/>
    <x v="57"/>
    <m/>
    <m/>
    <m/>
    <s v="Riki Romansyah"/>
    <s v="Febby Supplier"/>
    <s v="3507050501950006"/>
    <s v="N 8420 EL"/>
    <m/>
    <m/>
    <s v="HUBFEEDER KEPANJEN TO JATIKERTO"/>
    <e v="#N/A"/>
    <e v="#N/A"/>
    <s v="OUTBOUND_"/>
  </r>
  <r>
    <s v="2104"/>
    <m/>
    <x v="1"/>
    <s v="OUB-W0012408-436"/>
    <s v="EJ-Malang-01"/>
    <s v="Oka-0813-2707-1646"/>
    <d v="2024-08-07T00:00:00"/>
    <d v="1899-12-30T20:20:00"/>
    <s v="EJ-MALANG-01"/>
    <x v="0"/>
    <x v="29"/>
    <s v="ZTE1003"/>
    <s v="Pcs"/>
    <n v="3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2105"/>
    <m/>
    <x v="3"/>
    <s v="TFI-W0012408-438"/>
    <s v="EJ-Malang-01"/>
    <s v="Oka-0813-2707-1646"/>
    <d v="2024-08-08T00:00:00"/>
    <d v="1900-01-14T07:00:00"/>
    <s v="ZTE Warehouse"/>
    <x v="0"/>
    <x v="29"/>
    <s v="ZTE1003"/>
    <s v="Pcs"/>
    <n v="2"/>
    <s v="TRF"/>
    <x v="5"/>
    <n v="0"/>
    <s v="TRANSFER GUDANG"/>
    <m/>
    <m/>
    <m/>
    <m/>
    <m/>
    <m/>
    <m/>
    <n v="0"/>
    <e v="#N/A"/>
    <e v="#N/A"/>
    <s v="OUTBOUND_"/>
  </r>
  <r>
    <s v="2106"/>
    <m/>
    <x v="0"/>
    <s v="INB-W0012408-453"/>
    <s v="EJ-Malang-01"/>
    <s v="Oka-0813-2707-1646"/>
    <d v="2024-08-22T00:00:00"/>
    <d v="1900-01-14T07:00:00"/>
    <s v="ZTE Warehouse"/>
    <x v="0"/>
    <x v="29"/>
    <s v="ZTE1003"/>
    <s v="Pcs"/>
    <n v="15"/>
    <m/>
    <x v="3"/>
    <n v="0"/>
    <n v="0"/>
    <m/>
    <m/>
    <m/>
    <m/>
    <m/>
    <m/>
    <m/>
    <n v="0"/>
    <e v="#N/A"/>
    <e v="#N/A"/>
    <s v="OUTBOUND_"/>
  </r>
  <r>
    <s v="2107"/>
    <m/>
    <x v="1"/>
    <s v="OUB-W0012408-455"/>
    <s v="EJ-Malang-01"/>
    <s v="Oka-0813-2707-1646"/>
    <d v="2024-08-23T00:00:00"/>
    <d v="1899-12-30T11:13:00"/>
    <s v="EJ-MALANG-01"/>
    <x v="0"/>
    <x v="29"/>
    <s v="ZTE1003"/>
    <s v="Pcs"/>
    <n v="2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2108"/>
    <m/>
    <x v="0"/>
    <s v="INB-W0012408-467"/>
    <s v="EJ-Malang-01"/>
    <s v="Oka-0813-2707-1646"/>
    <d v="2024-08-28T00:00:00"/>
    <d v="1900-01-14T07:00:00"/>
    <s v="ZTE Warehouse"/>
    <x v="0"/>
    <x v="29"/>
    <s v="ZTE1003"/>
    <s v="Pcs"/>
    <n v="2"/>
    <m/>
    <x v="3"/>
    <n v="0"/>
    <n v="0"/>
    <m/>
    <m/>
    <m/>
    <m/>
    <m/>
    <m/>
    <m/>
    <n v="0"/>
    <e v="#N/A"/>
    <e v="#N/A"/>
    <s v="OUTBOUND_"/>
  </r>
  <r>
    <s v="2109"/>
    <m/>
    <x v="1"/>
    <s v="OUB-W0012408-469"/>
    <s v="EJ-Malang-01"/>
    <s v="Oka-0813-2707-1646"/>
    <d v="2024-08-29T00:00:00"/>
    <d v="1899-12-30T08:19:00"/>
    <s v="EJ-MALANG-01"/>
    <x v="0"/>
    <x v="29"/>
    <s v="ZTE1003"/>
    <s v="Pcs"/>
    <n v="1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2110"/>
    <m/>
    <x v="1"/>
    <s v="OUB-W0012408-470"/>
    <s v="EJ-Malang-01"/>
    <s v="Oka-0813-2707-1646"/>
    <d v="2024-08-30T00:00:00"/>
    <d v="1899-12-30T06:37:00"/>
    <s v="EJ-MALANG-01"/>
    <x v="0"/>
    <x v="29"/>
    <s v="ZTE1003"/>
    <s v="Pcs"/>
    <n v="2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2111"/>
    <m/>
    <x v="1"/>
    <s v="OUB-W0012409-485"/>
    <s v="EJ-Malang-01"/>
    <s v="Oka-0813-2707-1646"/>
    <d v="2024-09-04T00:00:00"/>
    <d v="1899-12-30T09:46:00"/>
    <s v="EJ-MALANG-01"/>
    <x v="0"/>
    <x v="29"/>
    <s v="ZTE1003"/>
    <s v="Pcs"/>
    <n v="6"/>
    <s v="CLR51-99-115"/>
    <x v="65"/>
    <m/>
    <m/>
    <m/>
    <s v="Riki Romansyah"/>
    <s v="Febby Supplier"/>
    <s v="3507050501950006"/>
    <s v="N 8420 EL"/>
    <m/>
    <m/>
    <s v="SENGGURUH RW 01 MALANG"/>
    <e v="#N/A"/>
    <e v="#N/A"/>
    <s v="OUTBOUND_"/>
  </r>
  <r>
    <s v="2112"/>
    <m/>
    <x v="1"/>
    <s v="OUB-W0012409-502"/>
    <s v="EJ-Malang-01"/>
    <s v="Oka-0813-2707-1646"/>
    <d v="2024-09-13T00:00:00"/>
    <d v="1899-12-30T08:21:00"/>
    <s v="EJ-MALANG-01"/>
    <x v="0"/>
    <x v="29"/>
    <s v="ZTE1003"/>
    <s v="Pcs"/>
    <n v="1"/>
    <s v="CLR51-99-116"/>
    <x v="67"/>
    <m/>
    <m/>
    <m/>
    <s v="Riki Romansyah"/>
    <s v="Febby Supplier"/>
    <s v="3507050501950006"/>
    <s v="N 8420 EL"/>
    <m/>
    <m/>
    <s v="SENGGURUH RW 02 MALANG"/>
    <e v="#N/A"/>
    <e v="#N/A"/>
    <s v="OUTBOUND_"/>
  </r>
  <r>
    <s v="2113"/>
    <m/>
    <x v="1"/>
    <s v="OUB-W0012409-502"/>
    <s v="EJ-Malang-01"/>
    <s v="Oka-0813-2707-1646"/>
    <d v="2024-09-13T00:00:00"/>
    <d v="1899-12-30T08:21:00"/>
    <s v="EJ-MALANG-01"/>
    <x v="0"/>
    <x v="29"/>
    <s v="ZTE1003"/>
    <s v="Pcs"/>
    <n v="3"/>
    <s v="CLR51-09-008"/>
    <x v="179"/>
    <m/>
    <m/>
    <m/>
    <s v="Riki Romansyah"/>
    <s v="Febby Supplier"/>
    <s v="3507050501950006"/>
    <s v="N 8420 EL"/>
    <m/>
    <m/>
    <s v="Dilem RW 04 Kepanjen"/>
    <e v="#N/A"/>
    <e v="#N/A"/>
    <s v="OUTBOUND_"/>
  </r>
  <r>
    <s v="2114"/>
    <m/>
    <x v="1"/>
    <s v="OUB-W0012409-503"/>
    <s v="EJ-Malang-01"/>
    <s v="Oka-0813-2707-1646"/>
    <d v="2024-09-18T00:00:00"/>
    <d v="1899-12-30T10:21:00"/>
    <s v="EJ-MALANG-01"/>
    <x v="0"/>
    <x v="29"/>
    <s v="ZTE1003"/>
    <s v="Pcs"/>
    <n v="2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2115"/>
    <m/>
    <x v="0"/>
    <s v="INB-W0012409-507"/>
    <s v="EJ-Malang-01"/>
    <s v="Oka-0813-2707-1646"/>
    <d v="2024-09-20T00:00:00"/>
    <d v="1900-01-14T07:00:00"/>
    <s v="ZTE Warehouse"/>
    <x v="0"/>
    <x v="29"/>
    <s v="ZTE1003"/>
    <s v="Pcs"/>
    <n v="10"/>
    <s v="CLR51-99-049"/>
    <x v="80"/>
    <n v="0"/>
    <n v="0"/>
    <m/>
    <m/>
    <m/>
    <m/>
    <m/>
    <m/>
    <m/>
    <s v="Perumahan Panca Garden"/>
    <e v="#N/A"/>
    <e v="#N/A"/>
    <s v="OUTBOUND_"/>
  </r>
  <r>
    <s v="2116"/>
    <m/>
    <x v="1"/>
    <s v="OUB-W0012409-511"/>
    <s v="EJ-Malang-01"/>
    <s v="Oka-0813-2707-1646"/>
    <d v="2024-09-26T00:00:00"/>
    <d v="1899-12-30T09:05:00"/>
    <s v="EJ-MALANG-01"/>
    <x v="0"/>
    <x v="29"/>
    <s v="ZTE1003"/>
    <s v="Pcs"/>
    <n v="4"/>
    <s v="CLR51-03-006"/>
    <x v="72"/>
    <m/>
    <m/>
    <m/>
    <s v="Riki Romansyah"/>
    <n v="0"/>
    <s v="3507050501950006"/>
    <s v="N 8420 EL"/>
    <m/>
    <m/>
    <s v="Dusun Mojosari Ngenep"/>
    <e v="#N/A"/>
    <e v="#N/A"/>
    <s v="OUTBOUND_"/>
  </r>
  <r>
    <s v="2117"/>
    <m/>
    <x v="5"/>
    <s v="BOO-W0012410-530"/>
    <s v="EJ-Malang-01"/>
    <s v="Oka-0813-2707-1646"/>
    <d v="2024-10-23T00:00:00"/>
    <d v="1899-12-30T19:09:00"/>
    <s v="Other Subcon"/>
    <x v="0"/>
    <x v="29"/>
    <s v="ZTE1003"/>
    <s v="Pcs"/>
    <n v="7"/>
    <s v="BR001"/>
    <x v="178"/>
    <m/>
    <m/>
    <m/>
    <n v="0"/>
    <n v="0"/>
    <n v="0"/>
    <n v="0"/>
    <s v="diPinjem BEAUT"/>
    <m/>
    <s v="BEAUT"/>
    <e v="#N/A"/>
    <e v="#N/A"/>
    <s v="BORROW OUT_"/>
  </r>
  <r>
    <s v="2118"/>
    <m/>
    <x v="0"/>
    <s v="INB-W0012411-565"/>
    <s v="EJ-Malang-01"/>
    <s v="Oka-0813-2707-1646"/>
    <d v="2024-11-26T00:00:00"/>
    <d v="1900-01-14T07:00:00"/>
    <s v="ZTE Warehouse"/>
    <x v="0"/>
    <x v="29"/>
    <s v="ZTE1003"/>
    <s v="Pcs"/>
    <n v="2"/>
    <s v="CLR51-09-011"/>
    <x v="84"/>
    <s v="DOEID241121BO"/>
    <s v="DNWID0362024112203"/>
    <m/>
    <m/>
    <m/>
    <m/>
    <m/>
    <m/>
    <m/>
    <s v="Bedali RW 04 Kromengan"/>
    <d v="2024-11-26T00:00:00"/>
    <b v="1"/>
    <s v="OUTBOUND_"/>
  </r>
  <r>
    <s v="2119"/>
    <m/>
    <x v="0"/>
    <s v="INB-W0012411-565"/>
    <s v="EJ-Malang-01"/>
    <s v="Oka-0813-2707-1646"/>
    <d v="2024-11-26T00:00:00"/>
    <d v="1900-01-14T07:00:00"/>
    <s v="ZTE Warehouse"/>
    <x v="0"/>
    <x v="29"/>
    <s v="ZTE1003"/>
    <s v="Pcs"/>
    <n v="2"/>
    <s v="CLR51-09-012"/>
    <x v="83"/>
    <s v="DOEID241121BQ"/>
    <s v="DNWID0362024112202"/>
    <m/>
    <m/>
    <m/>
    <m/>
    <m/>
    <m/>
    <m/>
    <s v="Bedali RW 05 Kromengan"/>
    <d v="2024-11-26T00:00:00"/>
    <b v="1"/>
    <s v="OUTBOUND_"/>
  </r>
  <r>
    <s v="2120"/>
    <m/>
    <x v="4"/>
    <s v="BOI-W0012411-565"/>
    <s v="EJ-Malang-01"/>
    <s v="Oka-0813-2707-1646"/>
    <d v="2024-11-26T00:00:00"/>
    <d v="1900-01-14T07:00:00"/>
    <s v="Other Subcon"/>
    <x v="0"/>
    <x v="29"/>
    <s v="ZTE1003"/>
    <s v="Pcs"/>
    <n v="7"/>
    <s v="BR001"/>
    <x v="178"/>
    <n v="0"/>
    <n v="0"/>
    <m/>
    <m/>
    <m/>
    <m/>
    <m/>
    <s v="dikembalikan dr BEAUT"/>
    <m/>
    <s v="BEAUT"/>
    <e v="#N/A"/>
    <e v="#N/A"/>
    <s v="OUTBOUND_"/>
  </r>
  <r>
    <s v="2121"/>
    <m/>
    <x v="0"/>
    <s v="INB-W0012411-568"/>
    <s v="EJ-Malang-01"/>
    <s v="Oka-0813-2707-1646"/>
    <d v="2024-11-27T00:00:00"/>
    <d v="1900-01-14T07:00:00"/>
    <s v="FIELD TEAM"/>
    <x v="0"/>
    <x v="29"/>
    <s v="ZTE1003"/>
    <s v="Pcs"/>
    <n v="2"/>
    <m/>
    <x v="3"/>
    <n v="0"/>
    <n v="0"/>
    <m/>
    <m/>
    <m/>
    <m/>
    <m/>
    <s v="return"/>
    <m/>
    <n v="0"/>
    <e v="#N/A"/>
    <e v="#N/A"/>
    <s v="OUTBOUND_"/>
  </r>
  <r>
    <s v="2122"/>
    <m/>
    <x v="1"/>
    <s v="OUB-W0012412-571"/>
    <s v="EJ-Malang-01"/>
    <s v="Oka-0813-2707-1646"/>
    <d v="2024-12-01T00:00:00"/>
    <d v="1899-12-30T09:30:00"/>
    <s v="EJ-MALANG-01"/>
    <x v="0"/>
    <x v="29"/>
    <s v="ZTE1003"/>
    <s v="Pcs"/>
    <n v="7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2123"/>
    <m/>
    <x v="1"/>
    <s v="OUB-W0012502-616"/>
    <s v="EJ-Malang-01"/>
    <s v="Oka-0813-2707-1646"/>
    <d v="2025-02-21T00:00:00"/>
    <d v="1899-12-30T15:09:00"/>
    <s v="EJ-MALANG-01"/>
    <x v="0"/>
    <x v="29"/>
    <s v="ZTE1003"/>
    <s v="Pcs"/>
    <n v="2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2124"/>
    <m/>
    <x v="1"/>
    <s v="OUB-W0012503-635"/>
    <s v="EJ-Malang-01"/>
    <s v="Oka-0813-2707-1646"/>
    <d v="2025-03-25T00:00:00"/>
    <d v="1899-12-30T19:57:00"/>
    <s v="EJ-MALANG-01"/>
    <x v="0"/>
    <x v="29"/>
    <s v="ZTE1003"/>
    <s v="Pcs"/>
    <n v="1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2125"/>
    <m/>
    <x v="1"/>
    <s v="OUB-W0012505-643"/>
    <s v="EJ-Malang-01"/>
    <s v="Oka-0813-2707-1646"/>
    <d v="2025-05-28T00:00:00"/>
    <d v="1899-12-30T12:57:00"/>
    <s v="EJ-MALANG-01"/>
    <x v="0"/>
    <x v="29"/>
    <s v="ZTE1003"/>
    <s v="Pcs"/>
    <n v="3"/>
    <s v="CLR51-99-238"/>
    <x v="94"/>
    <m/>
    <m/>
    <m/>
    <s v="Riki Romansyah"/>
    <n v="0"/>
    <s v="3507050501950006"/>
    <s v="N 8420 EL"/>
    <m/>
    <m/>
    <s v="ARJOWINANGUN RW 01 MALANG"/>
    <e v="#N/A"/>
    <e v="#N/A"/>
    <s v="OUTBOUND_"/>
  </r>
  <r>
    <s v="2126"/>
    <m/>
    <x v="0"/>
    <s v="INB-W0012506-646"/>
    <s v="EJ-Malang-01"/>
    <s v="Oka-0813-2707-1646"/>
    <d v="2025-06-13T00:00:00"/>
    <d v="1900-01-14T07:00:00"/>
    <s v="ZTE Warehouse"/>
    <x v="0"/>
    <x v="29"/>
    <s v="ZTE1003"/>
    <s v="Pcs"/>
    <n v="10"/>
    <m/>
    <x v="3"/>
    <n v="0"/>
    <n v="0"/>
    <m/>
    <m/>
    <m/>
    <m/>
    <m/>
    <m/>
    <m/>
    <n v="0"/>
    <e v="#N/A"/>
    <e v="#N/A"/>
    <s v="OUTBOUND_"/>
  </r>
  <r>
    <s v="2127"/>
    <m/>
    <x v="0"/>
    <s v="INB-W0012506-649"/>
    <s v="EJ-Malang-01"/>
    <s v="Oka-0813-2707-1646"/>
    <d v="2025-06-18T00:00:00"/>
    <d v="1900-01-14T07:00:00"/>
    <s v="ZTE Warehouse"/>
    <x v="0"/>
    <x v="29"/>
    <s v="ZTE1003"/>
    <s v="Pcs"/>
    <n v="12"/>
    <m/>
    <x v="3"/>
    <n v="0"/>
    <n v="0"/>
    <m/>
    <m/>
    <m/>
    <m/>
    <m/>
    <m/>
    <m/>
    <n v="0"/>
    <e v="#N/A"/>
    <e v="#N/A"/>
    <s v="OUTBOUND_"/>
  </r>
  <r>
    <s v="2128"/>
    <m/>
    <x v="1"/>
    <s v="OUB-W0012506-651"/>
    <s v="EJ-Malang-01"/>
    <s v="Oka-0813-2707-1646"/>
    <d v="2025-06-19T00:00:00"/>
    <d v="1899-12-30T15:30:00"/>
    <s v="EJ-MALANG-01"/>
    <x v="0"/>
    <x v="29"/>
    <s v="ZTE1003"/>
    <s v="Pcs"/>
    <n v="11"/>
    <s v="CLR51-99-244"/>
    <x v="98"/>
    <m/>
    <m/>
    <m/>
    <s v="Fatur"/>
    <n v="0"/>
    <s v="1812010507910004"/>
    <s v="L 9221 K"/>
    <m/>
    <m/>
    <s v="DESA KRAJANI PONCOKUSUMO MALANG"/>
    <e v="#N/A"/>
    <e v="#N/A"/>
    <s v="OUTBOUND_"/>
  </r>
  <r>
    <s v="2129"/>
    <m/>
    <x v="1"/>
    <s v="OUB-W0012506-653"/>
    <s v="EJ-Malang-01"/>
    <s v="Oka-0813-2707-1646"/>
    <d v="2025-06-23T00:00:00"/>
    <d v="1899-12-30T12:57:00"/>
    <s v="EJ-MALANG-01"/>
    <x v="0"/>
    <x v="29"/>
    <s v="ZTE1003"/>
    <s v="Pcs"/>
    <n v="7"/>
    <s v="CLR51-99-101"/>
    <x v="95"/>
    <m/>
    <m/>
    <m/>
    <s v="Riki Romansyah"/>
    <n v="0"/>
    <s v="3507050501950006"/>
    <s v="N 8420 EL"/>
    <m/>
    <m/>
    <s v="BULULAWANG RW 01, 02, 03, 04, 06   MALANG"/>
    <e v="#N/A"/>
    <e v="#N/A"/>
    <s v="OUTBOUND_"/>
  </r>
  <r>
    <s v="2130"/>
    <m/>
    <x v="1"/>
    <s v="OUB-W0012506-661"/>
    <s v="EJ-Malang-01"/>
    <s v="Oka-0813-2707-1646"/>
    <d v="2025-06-26T00:00:00"/>
    <d v="1899-12-30T15:30:00"/>
    <s v="EJ-MALANG-01"/>
    <x v="0"/>
    <x v="29"/>
    <s v="ZTE1003"/>
    <s v="Pcs"/>
    <n v="1"/>
    <s v="CLR51-99-242"/>
    <x v="96"/>
    <m/>
    <m/>
    <m/>
    <s v="Fatur"/>
    <n v="0"/>
    <s v="1812010507910004"/>
    <s v="L 9221 K"/>
    <m/>
    <m/>
    <s v="DESA GADUNGAN PONCOKUSUMO MALANG"/>
    <e v="#N/A"/>
    <e v="#N/A"/>
    <s v="OUTBOUND_"/>
  </r>
  <r>
    <s v="2131"/>
    <m/>
    <x v="0"/>
    <s v="INB-W0012507-668"/>
    <s v="EJ-Malang-01"/>
    <s v="Oka-0813-2707-1646"/>
    <d v="2025-07-12T00:00:00"/>
    <d v="1900-01-14T07:00:00"/>
    <s v="ZTE Warehouse"/>
    <x v="0"/>
    <x v="29"/>
    <s v="ZTE1003"/>
    <s v="Pcs"/>
    <n v="16"/>
    <s v="CLR51-99-106"/>
    <x v="100"/>
    <n v="0"/>
    <n v="0"/>
    <m/>
    <m/>
    <m/>
    <m/>
    <m/>
    <m/>
    <m/>
    <s v="KREBET SENGGRONG RW 04"/>
    <e v="#N/A"/>
    <e v="#N/A"/>
    <s v="OUTBOUND_"/>
  </r>
  <r>
    <s v="2132"/>
    <m/>
    <x v="1"/>
    <s v="OUB-W0012507-670"/>
    <s v="EJ-Malang-01"/>
    <s v="Oka-0813-2707-1646"/>
    <d v="2025-07-18T00:00:00"/>
    <d v="1899-12-30T11:14:00"/>
    <s v="EJ-MALANG-01"/>
    <x v="0"/>
    <x v="29"/>
    <s v="ZTE1003"/>
    <s v="Pcs"/>
    <n v="6"/>
    <s v="CLR51-99-107"/>
    <x v="101"/>
    <m/>
    <m/>
    <m/>
    <s v="Riki Romansyah"/>
    <n v="0"/>
    <s v="3507050501950006"/>
    <s v="N 8420 EL"/>
    <m/>
    <m/>
    <s v="KREBET RW 03"/>
    <e v="#N/A"/>
    <e v="#N/A"/>
    <s v="OUTBOUND_"/>
  </r>
  <r>
    <s v="2133"/>
    <m/>
    <x v="1"/>
    <s v="OUB-W0012507-672"/>
    <s v="EJ-Malang-01"/>
    <s v="Oka-0813-2707-1646"/>
    <d v="2025-07-23T00:00:00"/>
    <d v="1899-12-30T11:14:00"/>
    <s v="EJ-MALANG-01"/>
    <x v="0"/>
    <x v="29"/>
    <s v="ZTE1003"/>
    <s v="Pcs"/>
    <n v="3"/>
    <s v="CLR51-99-107"/>
    <x v="101"/>
    <m/>
    <m/>
    <m/>
    <s v="Riki Romansyah"/>
    <n v="0"/>
    <s v="3507050501950006"/>
    <s v="N 8420 EL"/>
    <m/>
    <m/>
    <s v="KREBET RW 03"/>
    <e v="#N/A"/>
    <e v="#N/A"/>
    <s v="OUTBOUND_"/>
  </r>
  <r>
    <s v="2134"/>
    <m/>
    <x v="1"/>
    <s v="OUB-W0012507-674"/>
    <s v="EJ-Malang-01"/>
    <s v="Oka-0813-2707-1646"/>
    <d v="2025-07-26T00:00:00"/>
    <d v="1899-12-30T11:14:00"/>
    <s v="EJ-MALANG-01"/>
    <x v="0"/>
    <x v="29"/>
    <s v="ZTE1003"/>
    <s v="Pcs"/>
    <n v="7"/>
    <s v="CLR51-99-264"/>
    <x v="172"/>
    <m/>
    <m/>
    <m/>
    <s v="Riki Romansyah"/>
    <n v="0"/>
    <s v="3507050501950006"/>
    <s v="N 8420 EL"/>
    <m/>
    <m/>
    <s v="BULULAWANG RW 07 MALANG"/>
    <e v="#N/A"/>
    <e v="#N/A"/>
    <s v="OUTBOUND_"/>
  </r>
  <r>
    <s v="2135"/>
    <m/>
    <x v="1"/>
    <s v="OUB-W0012507-677"/>
    <s v="EJ-Malang-01"/>
    <s v="Oka-0813-2707-1646"/>
    <d v="2025-07-31T00:00:00"/>
    <d v="1899-12-30T11:21:00"/>
    <s v="EJ-MALANG-01"/>
    <x v="0"/>
    <x v="29"/>
    <s v="ZTE1003"/>
    <s v="Pcs"/>
    <n v="2"/>
    <s v="CLR51-99-108"/>
    <x v="102"/>
    <m/>
    <m/>
    <m/>
    <s v="Riki Romansyah"/>
    <n v="0"/>
    <s v="3507050501950006"/>
    <s v="N 8420 EL"/>
    <m/>
    <m/>
    <s v="KREBET RW 05"/>
    <e v="#N/A"/>
    <e v="#N/A"/>
    <s v="OUTBOUND_"/>
  </r>
  <r>
    <s v="2136"/>
    <m/>
    <x v="1"/>
    <s v="OUB-W0012508-681"/>
    <s v="EJ-Malang-01"/>
    <s v="Oka-0813-2707-1646"/>
    <d v="2025-08-07T00:00:00"/>
    <d v="1899-12-30T11:21:00"/>
    <s v="EJ-MALANG-01"/>
    <x v="0"/>
    <x v="29"/>
    <s v="ZTE1003"/>
    <s v="Pcs"/>
    <n v="1"/>
    <s v="CLR51-99-250"/>
    <x v="103"/>
    <m/>
    <m/>
    <m/>
    <s v="Riki Romansyah"/>
    <n v="0"/>
    <s v="3507050501950006"/>
    <s v="N 8420 EL"/>
    <m/>
    <m/>
    <s v="PERMANU RW 03 MALANG"/>
    <e v="#N/A"/>
    <e v="#N/A"/>
    <s v="OUTBOUND_"/>
  </r>
  <r>
    <s v="2137"/>
    <m/>
    <x v="1"/>
    <s v="OUB-W0012508-686"/>
    <s v="EJ-Malang-01"/>
    <s v="Oka-0813-2707-1646"/>
    <d v="2025-08-13T00:00:00"/>
    <d v="1899-12-30T15:37:00"/>
    <s v="EJ-MALANG-01"/>
    <x v="0"/>
    <x v="29"/>
    <s v="ZTE1003"/>
    <s v="Pcs"/>
    <n v="2"/>
    <s v="CLR51-99-106"/>
    <x v="100"/>
    <m/>
    <m/>
    <m/>
    <s v="Riki Romansyah"/>
    <n v="0"/>
    <s v="3507050501950006"/>
    <s v="N 8420 EL"/>
    <m/>
    <m/>
    <s v="KREBET SENGGRONG RW 04"/>
    <e v="#N/A"/>
    <e v="#N/A"/>
    <s v="OUTBOUND_"/>
  </r>
  <r>
    <s v="2138"/>
    <m/>
    <x v="1"/>
    <s v="OUB-W0012508-691"/>
    <s v="EJ-Malang-01"/>
    <s v="Oka-0813-2707-1646"/>
    <d v="2025-08-20T00:00:00"/>
    <d v="1899-12-30T10:35:00"/>
    <s v="EJ-MALANG-01"/>
    <x v="0"/>
    <x v="29"/>
    <s v="ZTE1003"/>
    <s v="Pcs"/>
    <n v="1"/>
    <s v="CLR51-99-108"/>
    <x v="102"/>
    <m/>
    <m/>
    <m/>
    <s v="Riki Romansyah"/>
    <n v="0"/>
    <s v="3507050501950006"/>
    <s v="N 8420 EL"/>
    <s v="insiden"/>
    <m/>
    <s v="KREBET RW 05"/>
    <e v="#N/A"/>
    <e v="#N/A"/>
    <s v="OUTBOUND_"/>
  </r>
  <r>
    <s v="2139"/>
    <m/>
    <x v="0"/>
    <s v="INB-W0012508-691"/>
    <s v="EJ-Malang-01"/>
    <s v="Oka-0813-2707-1646"/>
    <d v="2025-08-20T00:00:00"/>
    <d v="1899-12-30T10:35:00"/>
    <s v="FIELD TEAM"/>
    <x v="1"/>
    <x v="29"/>
    <s v="ZTE1003"/>
    <s v="Pcs"/>
    <n v="1"/>
    <s v="CLR51-99-108"/>
    <x v="102"/>
    <m/>
    <m/>
    <s v="C-Damage"/>
    <s v="Riki Romansyah"/>
    <n v="0"/>
    <s v="3507050501950006"/>
    <s v="N 8420 EL"/>
    <s v="insiden"/>
    <s v="P94-001-1"/>
    <s v="KREBET RW 05"/>
    <e v="#N/A"/>
    <e v="#N/A"/>
    <s v="OUTBOUND_P94-001-1"/>
  </r>
  <r>
    <s v="2140"/>
    <n v="9"/>
    <x v="1"/>
    <s v="OUB-W0012510-001"/>
    <s v="EJ-Malang-01"/>
    <s v="Oka-0813-2707-1646"/>
    <d v="2025-10-16T00:00:00"/>
    <d v="1899-12-30T10:21:00"/>
    <s v="EJ-MALANG-01"/>
    <x v="0"/>
    <x v="29"/>
    <s v="ZTE1003"/>
    <s v="Pcs"/>
    <n v="1"/>
    <s v="CLR51-99-257"/>
    <x v="150"/>
    <m/>
    <m/>
    <m/>
    <s v="Riki Romansyah"/>
    <n v="0"/>
    <s v="3507050501950006"/>
    <s v="N 8420 EL"/>
    <m/>
    <m/>
    <s v="Asshofa Residence"/>
    <e v="#N/A"/>
    <e v="#N/A"/>
    <s v="OUTBOUND_"/>
  </r>
  <r>
    <s v="2141"/>
    <n v="2"/>
    <x v="0"/>
    <s v="INB-W0012510-004"/>
    <s v="EJ-Malang-01"/>
    <s v="Oka-0813-2707-1646"/>
    <d v="2025-10-25T00:00:00"/>
    <d v="1899-12-30T08:00:00"/>
    <s v="ZTE Warehouse"/>
    <x v="0"/>
    <x v="29"/>
    <s v="ZTE1003"/>
    <s v="Pcs"/>
    <n v="8"/>
    <s v="CLR51-99-302"/>
    <x v="112"/>
    <m/>
    <m/>
    <m/>
    <m/>
    <m/>
    <m/>
    <m/>
    <m/>
    <m/>
    <s v="LESANPURO RW 06 MALANG"/>
    <e v="#N/A"/>
    <e v="#N/A"/>
    <s v="OUTBOUND_"/>
  </r>
  <r>
    <s v="2142"/>
    <n v="3"/>
    <x v="1"/>
    <s v="OUB-W0012511-001"/>
    <s v="EJ-Malang-01"/>
    <s v="Oka-0813-2707-1646"/>
    <d v="2025-11-06T00:00:00"/>
    <d v="1899-12-30T17:00:00"/>
    <s v="EJ-MALANG-01"/>
    <x v="0"/>
    <x v="29"/>
    <s v="ZTE1003"/>
    <s v="Pcs"/>
    <n v="10"/>
    <s v="CLR51-99-372"/>
    <x v="114"/>
    <s v="-"/>
    <s v="-"/>
    <m/>
    <s v="Riki Romansyah"/>
    <n v="0"/>
    <s v="3507050501950006"/>
    <s v="N 8420 EL"/>
    <m/>
    <m/>
    <s v="PALAAN RW 01 SAMPAI 05 MALANG"/>
    <e v="#N/A"/>
    <e v="#N/A"/>
    <s v="OUTBOUND_"/>
  </r>
  <r>
    <s v="2143"/>
    <n v="2"/>
    <x v="0"/>
    <s v="INB-W0012511-002"/>
    <s v="EJ-Malang-01"/>
    <s v="Oka-0813-2707-1646"/>
    <d v="2025-11-21T00:00:00"/>
    <d v="1899-12-30T08:00:00"/>
    <s v="ZTE Warehouse"/>
    <x v="0"/>
    <x v="29"/>
    <s v="ZTE1003"/>
    <s v="Pcs"/>
    <n v="6"/>
    <s v="CLR51-99-372"/>
    <x v="114"/>
    <s v="DOEID251024G5"/>
    <s v="DNWID1382025102406"/>
    <m/>
    <m/>
    <m/>
    <m/>
    <m/>
    <m/>
    <m/>
    <s v="PALAAN RW 01 SAMPAI 05 MALANG"/>
    <d v="2025-10-25T00:00:00"/>
    <b v="0"/>
    <s v="OUTBOUND_"/>
  </r>
  <r>
    <s v="2144"/>
    <n v="3"/>
    <x v="1"/>
    <s v="OUB-W0012511-006"/>
    <s v="EJ-Malang-01"/>
    <s v="Oka-0813-2707-1646"/>
    <d v="2025-11-22T00:00:00"/>
    <d v="1899-12-30T13:00:00"/>
    <s v="EJ-MALANG-01"/>
    <x v="0"/>
    <x v="29"/>
    <s v="ZTE1003"/>
    <s v="Pcs"/>
    <n v="3"/>
    <s v="CLR51-99-375"/>
    <x v="115"/>
    <s v="DOEID251024K3"/>
    <s v="DNWID1382025102408"/>
    <m/>
    <s v="Riki Romansyah"/>
    <n v="0"/>
    <s v="3507050501950006"/>
    <s v="N 8420 EL"/>
    <m/>
    <m/>
    <s v="PALAAN RW 06 SAMPAI 10 MALANG"/>
    <d v="2025-10-25T00:00:00"/>
    <b v="0"/>
    <s v="OUTBOUND_"/>
  </r>
  <r>
    <s v="2145"/>
    <n v="9"/>
    <x v="0"/>
    <s v="INB-W0012512-001"/>
    <s v="EJ-Malang-01"/>
    <s v="Oka-0813-2707-1646"/>
    <d v="2025-12-12T00:00:00"/>
    <d v="1899-12-30T13:00:00"/>
    <s v="ZTE Warehouse"/>
    <x v="0"/>
    <x v="29"/>
    <s v="ZTE1003"/>
    <s v="Pcs"/>
    <n v="2"/>
    <m/>
    <x v="3"/>
    <s v="-"/>
    <s v="-"/>
    <m/>
    <m/>
    <m/>
    <m/>
    <m/>
    <m/>
    <m/>
    <n v="0"/>
    <e v="#N/A"/>
    <e v="#N/A"/>
    <s v="OUTBOUND_"/>
  </r>
  <r>
    <s v="2146"/>
    <m/>
    <x v="0"/>
    <s v="INB-W0012512-001"/>
    <s v="EJ-Malang-01"/>
    <s v="Oka-0813-2707-1646"/>
    <d v="2025-12-12T00:00:00"/>
    <d v="1899-12-30T13:00:00"/>
    <s v="ZTE Warehouse"/>
    <x v="0"/>
    <x v="29"/>
    <s v="ZTE1003"/>
    <s v="Pcs"/>
    <n v="3"/>
    <m/>
    <x v="3"/>
    <m/>
    <m/>
    <m/>
    <m/>
    <m/>
    <m/>
    <m/>
    <m/>
    <m/>
    <n v="0"/>
    <e v="#N/A"/>
    <e v="#N/A"/>
    <s v="OUTBOUND_"/>
  </r>
  <r>
    <s v="2147"/>
    <n v="14"/>
    <x v="1"/>
    <s v="OUB-W0012512-006"/>
    <s v="EJ-Malang-01"/>
    <s v="Oka-0813-2707-1646"/>
    <d v="2025-12-15T00:00:00"/>
    <d v="1899-12-30T11:50:00"/>
    <s v="EJ-MALANG-01"/>
    <x v="0"/>
    <x v="29"/>
    <s v="ZTE1003"/>
    <s v="Pcs"/>
    <n v="2"/>
    <s v="CLR51-99-382"/>
    <x v="116"/>
    <m/>
    <m/>
    <m/>
    <s v="Riki Romansyah"/>
    <s v="Suliadi"/>
    <s v="3507050501950006"/>
    <s v="N 8420 EL"/>
    <m/>
    <m/>
    <s v="DUSUN SIDOAYU KELURAHAN SIDEREJO MALANG"/>
    <e v="#N/A"/>
    <e v="#N/A"/>
    <s v="OUTBOUND_"/>
  </r>
  <r>
    <s v="2148"/>
    <n v="2"/>
    <x v="3"/>
    <s v="TFI-W0012512-025"/>
    <s v="EJ-Malang-01"/>
    <s v="Oka-0813-2707-1646"/>
    <d v="2025-12-26T00:00:00"/>
    <d v="1899-12-30T13:00:00"/>
    <s v="EJ-GRESIK-01"/>
    <x v="0"/>
    <x v="29"/>
    <s v="ZTE1003"/>
    <s v="Pcs"/>
    <n v="7"/>
    <s v="FROM GRESIK"/>
    <x v="3"/>
    <m/>
    <m/>
    <m/>
    <m/>
    <m/>
    <m/>
    <m/>
    <m/>
    <m/>
    <n v="0"/>
    <e v="#N/A"/>
    <e v="#N/A"/>
    <s v="OUTBOUND_"/>
  </r>
  <r>
    <s v="2149"/>
    <n v="14"/>
    <x v="1"/>
    <s v="OUB-W0012512-026"/>
    <s v="EJ-Malang-01"/>
    <s v="Oka-0813-2707-1646"/>
    <d v="2025-12-27T00:00:00"/>
    <d v="1899-12-30T11:50:00"/>
    <s v="EJ-MALANG-01"/>
    <x v="0"/>
    <x v="29"/>
    <s v="ZTE1003"/>
    <s v="Pcs"/>
    <n v="9"/>
    <s v="CLR51-99-381"/>
    <x v="117"/>
    <m/>
    <m/>
    <m/>
    <s v="Riki Romansyah"/>
    <s v="Suliadi"/>
    <s v="3507050501950006"/>
    <s v="N 8420 EL"/>
    <m/>
    <m/>
    <s v="DUSUN ARDIREJO KELURAHAN SIDEREJO MALANG"/>
    <e v="#N/A"/>
    <e v="#N/A"/>
    <s v="OUTBOUND_"/>
  </r>
  <r>
    <s v="2150"/>
    <m/>
    <x v="1"/>
    <s v="OUB-W0012606-006"/>
    <s v="EJ-Malang-01"/>
    <s v="Oka-0813-2707-1647"/>
    <d v="2026-06-29T00:00:00"/>
    <d v="1899-12-30T06:00:00"/>
    <s v="EJ-MALANG-01"/>
    <x v="0"/>
    <x v="29"/>
    <s v="ZTE1003"/>
    <s v="Pcs"/>
    <n v="1"/>
    <s v="CLR51-99-678"/>
    <x v="133"/>
    <m/>
    <m/>
    <m/>
    <s v="Riki Romansyah"/>
    <s v="Suliadi"/>
    <s v="3507050501950006"/>
    <s v="N 8420 EL"/>
    <m/>
    <m/>
    <s v="KAMBINGAN RW 04 MALANG"/>
    <e v="#N/A"/>
    <e v="#N/A"/>
    <s v="OUTBOUND_"/>
  </r>
  <r>
    <s v="2151"/>
    <m/>
    <x v="0"/>
    <s v="INB-W0012607-001"/>
    <s v="EJ-Malang-01"/>
    <s v="Oka-0813-2707-1646"/>
    <d v="2026-07-09T00:00:00"/>
    <d v="1899-12-30T06:00:00"/>
    <s v="ZTE Warehouse"/>
    <x v="0"/>
    <x v="29"/>
    <s v="ZTE1003"/>
    <s v="Pcs"/>
    <n v="4"/>
    <s v="CLR51-99-662"/>
    <x v="134"/>
    <s v="DOEID260708AM"/>
    <s v="DNWID0362026070821"/>
    <m/>
    <m/>
    <m/>
    <m/>
    <m/>
    <m/>
    <m/>
    <s v="KESATRIAN RW 09 MALANG"/>
    <d v="2026-07-09T00:00:00"/>
    <b v="1"/>
    <s v="OUTBOUND_"/>
  </r>
  <r>
    <s v="2152"/>
    <m/>
    <x v="1"/>
    <s v="OUB-W0012607-004"/>
    <s v="EJ-Malang-01"/>
    <s v="Oka-0813-2707-1646"/>
    <d v="2026-07-12T00:00:00"/>
    <d v="1899-12-30T06:00:00"/>
    <s v="EJ-MALANG-01"/>
    <x v="0"/>
    <x v="29"/>
    <s v="ZTE1003"/>
    <s v="Pcs"/>
    <n v="4"/>
    <s v="CLR51-99-662"/>
    <x v="134"/>
    <m/>
    <m/>
    <m/>
    <s v="Riki Romansyah"/>
    <s v="Suliadi"/>
    <s v="3507050501950006"/>
    <s v="N 8420 EL"/>
    <m/>
    <m/>
    <s v="KESATRIAN RW 09 MALANG"/>
    <e v="#N/A"/>
    <e v="#N/A"/>
    <s v="OUTBOUND_"/>
  </r>
  <r>
    <s v="2153"/>
    <m/>
    <x v="0"/>
    <s v="INB-W0012308-6"/>
    <s v="EJ-Malang-01"/>
    <s v="Oka-0813-2707-1646"/>
    <d v="2023-08-09T00:00:00"/>
    <d v="1900-01-14T07:00:00"/>
    <s v="GCI Procurement"/>
    <x v="2"/>
    <x v="30"/>
    <s v="GCI1008"/>
    <s v="Pcs"/>
    <n v="75"/>
    <s v="CLR51-99-004"/>
    <x v="19"/>
    <n v="0"/>
    <n v="0"/>
    <m/>
    <m/>
    <m/>
    <m/>
    <m/>
    <m/>
    <m/>
    <s v="Perumahan Bumi Podo Rukun Dau"/>
    <e v="#N/A"/>
    <e v="#N/A"/>
    <s v="OUTBOUND_"/>
  </r>
  <r>
    <s v="2154"/>
    <m/>
    <x v="1"/>
    <s v="OUB-W0012308-7"/>
    <s v="EJ-Malang-01"/>
    <s v="Oka-0813-2707-1646"/>
    <d v="2023-08-10T00:00:00"/>
    <d v="1900-01-14T16:37:24"/>
    <s v="EJ-MALANG-01"/>
    <x v="2"/>
    <x v="30"/>
    <s v="GCI1008"/>
    <s v="Pcs"/>
    <n v="75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2155"/>
    <m/>
    <x v="0"/>
    <s v="INB-W0012308-12"/>
    <s v="EJ-Malang-01"/>
    <s v="Oka-0813-2707-1646"/>
    <d v="2023-08-19T00:00:00"/>
    <d v="1900-01-14T07:00:00"/>
    <s v="GCI Procurement"/>
    <x v="2"/>
    <x v="30"/>
    <s v="GCI1008"/>
    <s v="Pcs"/>
    <n v="40"/>
    <s v="CLR51-99-004"/>
    <x v="19"/>
    <n v="0"/>
    <n v="0"/>
    <m/>
    <m/>
    <m/>
    <m/>
    <m/>
    <m/>
    <m/>
    <s v="Perumahan Bumi Podo Rukun Dau"/>
    <e v="#N/A"/>
    <e v="#N/A"/>
    <s v="OUTBOUND_"/>
  </r>
  <r>
    <s v="2156"/>
    <m/>
    <x v="1"/>
    <s v="OUB-W0012308-13"/>
    <s v="EJ-Malang-01"/>
    <s v="Oka-0813-2707-1646"/>
    <d v="2023-08-20T00:00:00"/>
    <d v="1899-12-30T08:28:00"/>
    <s v="EJ-MALANG-01"/>
    <x v="2"/>
    <x v="30"/>
    <s v="GCI1008"/>
    <s v="Pcs"/>
    <n v="40"/>
    <s v="CLR51-99-004"/>
    <x v="19"/>
    <m/>
    <m/>
    <m/>
    <s v="Agus Suyoto"/>
    <s v="Febby Supplier"/>
    <s v="3515171206680002"/>
    <s v="B-9407-UT"/>
    <m/>
    <m/>
    <s v="Perumahan Bumi Podo Rukun Dau"/>
    <e v="#N/A"/>
    <e v="#N/A"/>
    <s v="OUTBOUND_"/>
  </r>
  <r>
    <s v="2157"/>
    <m/>
    <x v="0"/>
    <s v="INB-W0012308-14"/>
    <s v="EJ-Malang-01"/>
    <s v="Oka-0813-2707-1646"/>
    <d v="2023-08-24T00:00:00"/>
    <d v="1900-01-14T07:00:00"/>
    <s v="GCI Procurement"/>
    <x v="2"/>
    <x v="30"/>
    <s v="GCI1008"/>
    <s v="Pcs"/>
    <n v="89"/>
    <s v="CLR51-99-006"/>
    <x v="23"/>
    <n v="0"/>
    <n v="0"/>
    <m/>
    <m/>
    <m/>
    <m/>
    <m/>
    <m/>
    <m/>
    <s v="Mulyorejo RW 04 Sukun"/>
    <e v="#N/A"/>
    <e v="#N/A"/>
    <s v="OUTBOUND_"/>
  </r>
  <r>
    <s v="2158"/>
    <m/>
    <x v="0"/>
    <s v="INB-W0012309-20"/>
    <s v="EJ-Malang-01"/>
    <s v="Oka-0813-2707-1646"/>
    <d v="2023-09-04T00:00:00"/>
    <d v="1900-01-14T07:00:00"/>
    <s v="FIELD TEAM"/>
    <x v="2"/>
    <x v="30"/>
    <s v="GCI1008"/>
    <s v="Pcs"/>
    <n v="23"/>
    <s v="CLR51-99-004"/>
    <x v="19"/>
    <n v="0"/>
    <n v="0"/>
    <m/>
    <m/>
    <m/>
    <m/>
    <m/>
    <s v="Pengembalian Perumahan Bumi Podo Rukun Dau"/>
    <m/>
    <s v="Perumahan Bumi Podo Rukun Dau"/>
    <e v="#N/A"/>
    <e v="#N/A"/>
    <s v="OUTBOUND_"/>
  </r>
  <r>
    <s v="2159"/>
    <m/>
    <x v="1"/>
    <s v="OUB-W0012309-19"/>
    <s v="EJ-Malang-01"/>
    <s v="Oka-0813-2707-1646"/>
    <d v="2023-09-04T00:00:00"/>
    <d v="1899-12-30T16:37:00"/>
    <s v="EJ-MALANG-01"/>
    <x v="2"/>
    <x v="30"/>
    <s v="GCI1008"/>
    <s v="Pcs"/>
    <n v="20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2160"/>
    <m/>
    <x v="1"/>
    <s v="OUB-W0012309-23"/>
    <s v="EJ-Malang-01"/>
    <s v="Oka-0813-2707-1646"/>
    <d v="2023-09-06T00:00:00"/>
    <d v="1899-12-30T08:08:00"/>
    <s v="EJ-MALANG-01"/>
    <x v="2"/>
    <x v="30"/>
    <s v="GCI1008"/>
    <s v="Pcs"/>
    <n v="20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2161"/>
    <m/>
    <x v="0"/>
    <s v="INB-W0012309-26"/>
    <s v="EJ-Malang-01"/>
    <s v="Oka-0813-2707-1646"/>
    <d v="2023-09-08T00:00:00"/>
    <d v="1899-12-30T16:14:00"/>
    <s v="FIELD TEAM"/>
    <x v="2"/>
    <x v="30"/>
    <s v="GCI1008"/>
    <s v="Pcs"/>
    <n v="24"/>
    <s v="CLR51-99-006"/>
    <x v="23"/>
    <n v="0"/>
    <n v="0"/>
    <m/>
    <m/>
    <m/>
    <m/>
    <m/>
    <s v="Pengembalian dari Mulyorejo RW 04 Sukun"/>
    <m/>
    <s v="Mulyorejo RW 04 Sukun"/>
    <e v="#N/A"/>
    <e v="#N/A"/>
    <s v="OUTBOUND_"/>
  </r>
  <r>
    <s v="2162"/>
    <m/>
    <x v="1"/>
    <s v="OUB-W0012309-25"/>
    <s v="EJ-Malang-01"/>
    <s v="Oka-0813-2707-1646"/>
    <d v="2023-09-08T00:00:00"/>
    <d v="1899-12-30T09:54:00"/>
    <s v="EJ-MALANG-01"/>
    <x v="2"/>
    <x v="30"/>
    <s v="GCI1008"/>
    <s v="Pcs"/>
    <n v="10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2163"/>
    <m/>
    <x v="0"/>
    <s v="INB-W0012309-37"/>
    <s v="EJ-Malang-01"/>
    <s v="Oka-0813-2707-1646"/>
    <d v="2023-09-22T00:00:00"/>
    <d v="1900-01-14T07:00:00"/>
    <s v="GCI Procurement"/>
    <x v="2"/>
    <x v="30"/>
    <s v="GCI1008"/>
    <s v="Pcs"/>
    <n v="158"/>
    <s v="CLR51-02-001"/>
    <x v="20"/>
    <n v="0"/>
    <n v="0"/>
    <m/>
    <m/>
    <m/>
    <m/>
    <m/>
    <s v="Di antar ke Khoiri Supplier "/>
    <m/>
    <s v="Puncak Dieng Exlusif"/>
    <e v="#N/A"/>
    <e v="#N/A"/>
    <s v="OUTBOUND_"/>
  </r>
  <r>
    <s v="2164"/>
    <m/>
    <x v="1"/>
    <s v="OUB-W0012309-41"/>
    <s v="EJ-Malang-01"/>
    <s v="Oka-0813-2707-1646"/>
    <d v="2023-09-24T00:00:00"/>
    <d v="1899-12-30T07:36:00"/>
    <s v="EJ-MALANG-01"/>
    <x v="2"/>
    <x v="30"/>
    <s v="GCI1008"/>
    <s v="Pcs"/>
    <n v="26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2165"/>
    <m/>
    <x v="1"/>
    <s v="OUB-W0012309-44"/>
    <s v="EJ-Malang-01"/>
    <s v="Oka-0813-2707-1646"/>
    <d v="2023-09-25T00:00:00"/>
    <d v="1899-12-30T06:30:00"/>
    <s v="EJ-MALANG-01"/>
    <x v="2"/>
    <x v="30"/>
    <s v="GCI1008"/>
    <s v="Pcs"/>
    <n v="11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2166"/>
    <m/>
    <x v="1"/>
    <s v="OUB-W0012309-44"/>
    <s v="EJ-Malang-01"/>
    <s v="Oka-0813-2707-1646"/>
    <d v="2023-09-25T00:00:00"/>
    <d v="1899-12-30T06:30:00"/>
    <s v="EJ-MALANG-01"/>
    <x v="2"/>
    <x v="30"/>
    <s v="GCI1008"/>
    <s v="Pcs"/>
    <n v="18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167"/>
    <m/>
    <x v="1"/>
    <s v="OUB-W0012309-46"/>
    <s v="EJ-Malang-01"/>
    <s v="Oka-0813-2707-1646"/>
    <d v="2023-09-26T00:00:00"/>
    <d v="1899-12-30T06:30:00"/>
    <s v="EJ-MALANG-01"/>
    <x v="2"/>
    <x v="30"/>
    <s v="GCI1008"/>
    <s v="Pcs"/>
    <n v="30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168"/>
    <m/>
    <x v="1"/>
    <s v="OUB-W0012309-51"/>
    <s v="EJ-Malang-01"/>
    <s v="Oka-0813-2707-1646"/>
    <d v="2023-09-27T00:00:00"/>
    <d v="1899-12-30T12:30:00"/>
    <s v="EJ-MALANG-01"/>
    <x v="2"/>
    <x v="30"/>
    <s v="GCI1008"/>
    <s v="Pcs"/>
    <n v="30"/>
    <s v="CLR51-99-013"/>
    <x v="26"/>
    <m/>
    <m/>
    <m/>
    <s v="Ahmad Subari"/>
    <s v="Khoiri Supplier"/>
    <s v="3507150401800010"/>
    <s v="N 9795 EM"/>
    <m/>
    <m/>
    <s v="Pandan Landung RW 03 Wagir"/>
    <e v="#N/A"/>
    <e v="#N/A"/>
    <s v="OUTBOUND_"/>
  </r>
  <r>
    <s v="2169"/>
    <m/>
    <x v="1"/>
    <s v="OUB-W0012310-55"/>
    <s v="EJ-Malang-01"/>
    <s v="Oka-0813-2707-1646"/>
    <d v="2023-10-01T00:00:00"/>
    <d v="1899-12-30T06:30:00"/>
    <s v="EJ-MALANG-01"/>
    <x v="2"/>
    <x v="30"/>
    <s v="GCI1008"/>
    <s v="Pcs"/>
    <n v="40"/>
    <s v="CLR51-02-001"/>
    <x v="20"/>
    <m/>
    <m/>
    <m/>
    <s v="Khoiri"/>
    <s v="Khoiri Supplier"/>
    <s v="3507330905820002"/>
    <s v="N 8638 ES"/>
    <m/>
    <m/>
    <s v="Puncak Dieng Exlusif"/>
    <e v="#N/A"/>
    <e v="#N/A"/>
    <s v="OUTBOUND_"/>
  </r>
  <r>
    <s v="2170"/>
    <m/>
    <x v="0"/>
    <s v="INB-W0012310-58"/>
    <s v="EJ-Malang-01"/>
    <s v="Oka-0813-2707-1646"/>
    <d v="2023-10-02T00:00:00"/>
    <d v="1900-01-14T07:00:00"/>
    <s v="GCI Procurement"/>
    <x v="2"/>
    <x v="30"/>
    <s v="GCI1008"/>
    <s v="Pcs"/>
    <n v="85"/>
    <s v="PRC"/>
    <x v="135"/>
    <n v="0"/>
    <n v="0"/>
    <m/>
    <m/>
    <m/>
    <m/>
    <m/>
    <m/>
    <m/>
    <s v="Purchase"/>
    <e v="#N/A"/>
    <e v="#N/A"/>
    <s v="OUTBOUND_"/>
  </r>
  <r>
    <s v="2171"/>
    <m/>
    <x v="1"/>
    <s v="OUB-W0012310-59"/>
    <s v="EJ-Malang-01"/>
    <s v="Oka-0813-2707-1646"/>
    <d v="2023-10-04T00:00:00"/>
    <d v="1899-12-30T09:40:00"/>
    <s v="EJ-MALANG-01"/>
    <x v="2"/>
    <x v="30"/>
    <s v="GCI1008"/>
    <s v="Pcs"/>
    <n v="10"/>
    <s v="CLR51-99-014"/>
    <x v="29"/>
    <m/>
    <m/>
    <m/>
    <s v="Ahmad Subari"/>
    <n v="0"/>
    <s v="3507150401800010"/>
    <s v="N 9609 EF"/>
    <m/>
    <m/>
    <s v="Pandan Landung RW 04 Wagir"/>
    <e v="#N/A"/>
    <e v="#N/A"/>
    <s v="OUTBOUND_"/>
  </r>
  <r>
    <s v="2172"/>
    <m/>
    <x v="1"/>
    <s v="OUB-W0012310-62"/>
    <s v="EJ-Malang-01"/>
    <s v="Oka-0813-2707-1646"/>
    <d v="2023-10-06T00:00:00"/>
    <d v="1899-12-30T09:27:00"/>
    <s v="EJ-MALANG-01"/>
    <x v="2"/>
    <x v="30"/>
    <s v="GCI1008"/>
    <s v="Pcs"/>
    <n v="70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173"/>
    <m/>
    <x v="1"/>
    <s v="OUB-W0012310-63"/>
    <s v="EJ-Malang-01"/>
    <s v="Oka-0813-2707-1646"/>
    <d v="2023-10-08T00:00:00"/>
    <d v="1899-12-30T09:22:00"/>
    <s v="EJ-MALANG-01"/>
    <x v="2"/>
    <x v="30"/>
    <s v="GCI1008"/>
    <s v="Pcs"/>
    <n v="12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174"/>
    <m/>
    <x v="1"/>
    <s v="OUB-W0012310-64"/>
    <s v="EJ-Malang-01"/>
    <s v="Oka-0813-2707-1646"/>
    <d v="2023-10-09T00:00:00"/>
    <d v="1899-12-30T14:35:00"/>
    <s v="EJ-MALANG-01"/>
    <x v="2"/>
    <x v="30"/>
    <s v="GCI1008"/>
    <s v="Pcs"/>
    <n v="18"/>
    <s v="CLR51-99-013"/>
    <x v="26"/>
    <m/>
    <m/>
    <m/>
    <s v="Mustofa"/>
    <n v="0"/>
    <s v="3209140803860003"/>
    <s v="DK 1058 FAP"/>
    <m/>
    <m/>
    <s v="Pandan Landung RW 03 Wagir"/>
    <e v="#N/A"/>
    <e v="#N/A"/>
    <s v="OUTBOUND_"/>
  </r>
  <r>
    <s v="2175"/>
    <m/>
    <x v="3"/>
    <s v="TFI-W0012310-85"/>
    <s v="EJ-Malang-01"/>
    <s v="Oka-0813-2707-1646"/>
    <d v="2023-10-18T00:00:00"/>
    <d v="1900-01-14T07:00:00"/>
    <s v="EJ-GRESIK-01"/>
    <x v="2"/>
    <x v="30"/>
    <s v="GCI1008"/>
    <s v="Pcs"/>
    <n v="20"/>
    <s v="TRF"/>
    <x v="93"/>
    <n v="0"/>
    <n v="0"/>
    <m/>
    <m/>
    <m/>
    <m/>
    <m/>
    <s v="dari WH Gresik Diambil Oka Sendiri"/>
    <m/>
    <s v="GRESIK"/>
    <e v="#N/A"/>
    <e v="#N/A"/>
    <s v="OUTBOUND_"/>
  </r>
  <r>
    <s v="2176"/>
    <m/>
    <x v="0"/>
    <s v="INB-W0012310-104"/>
    <s v="EJ-Malang-01"/>
    <s v="Oka-0813-2707-1646"/>
    <d v="2023-10-21T00:00:00"/>
    <d v="1900-01-14T07:00:00"/>
    <s v="GCI Procurement"/>
    <x v="2"/>
    <x v="30"/>
    <s v="GCI1008"/>
    <s v="Pcs"/>
    <n v="204"/>
    <s v="PRC"/>
    <x v="135"/>
    <n v="0"/>
    <n v="0"/>
    <m/>
    <m/>
    <m/>
    <m/>
    <m/>
    <s v="Pengambilan Oleh Sigit Pamungkas di UD HALIM JAYA"/>
    <m/>
    <s v="Purchase"/>
    <e v="#N/A"/>
    <e v="#N/A"/>
    <s v="OUTBOUND_"/>
  </r>
  <r>
    <s v="2177"/>
    <m/>
    <x v="1"/>
    <s v="OUB-W0012310-99"/>
    <s v="EJ-Malang-01"/>
    <s v="Oka-0813-2707-1646"/>
    <d v="2023-10-21T00:00:00"/>
    <d v="1899-12-30T23:24:00"/>
    <s v="EJ-MALANG-01"/>
    <x v="2"/>
    <x v="30"/>
    <s v="GCI1008"/>
    <s v="Pcs"/>
    <n v="44"/>
    <s v="CLR51-99-020"/>
    <x v="22"/>
    <m/>
    <m/>
    <m/>
    <s v="Khoiri"/>
    <s v="Khoiri Supplier"/>
    <s v="3507330905820002"/>
    <s v="N 8408 CB"/>
    <m/>
    <m/>
    <s v="Jedong RW 08 Wagir"/>
    <e v="#N/A"/>
    <e v="#N/A"/>
    <s v="OUTBOUND_"/>
  </r>
  <r>
    <s v="2178"/>
    <m/>
    <x v="1"/>
    <s v="OUB-W0012310-99"/>
    <s v="EJ-Malang-01"/>
    <s v="Oka-0813-2707-1646"/>
    <d v="2023-10-21T00:00:00"/>
    <d v="1899-12-30T23:24:00"/>
    <s v="EJ-MALANG-01"/>
    <x v="2"/>
    <x v="30"/>
    <s v="GCI1008"/>
    <s v="Pcs"/>
    <n v="46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2179"/>
    <m/>
    <x v="1"/>
    <s v="OUB-W0012310-98"/>
    <s v="EJ-Malang-01"/>
    <s v="Oka-0813-2707-1646"/>
    <d v="2023-10-21T00:00:00"/>
    <d v="1899-12-30T23:24:00"/>
    <s v="EJ-MALANG-01"/>
    <x v="2"/>
    <x v="30"/>
    <s v="GCI1008"/>
    <s v="Pcs"/>
    <n v="106"/>
    <n v="0"/>
    <x v="5"/>
    <m/>
    <m/>
    <m/>
    <s v="Mustofa"/>
    <n v="0"/>
    <s v="3209140803860003"/>
    <s v="N 9609 EF"/>
    <m/>
    <m/>
    <n v="0"/>
    <e v="#N/A"/>
    <e v="#N/A"/>
    <s v="OUTBOUND_"/>
  </r>
  <r>
    <s v="2180"/>
    <m/>
    <x v="1"/>
    <s v="OUB-W0012310-105"/>
    <s v="EJ-Malang-01"/>
    <s v="Oka-0813-2707-1646"/>
    <d v="2023-10-22T00:00:00"/>
    <d v="1899-12-30T22:30:00"/>
    <s v="EJ-MALANG-01"/>
    <x v="2"/>
    <x v="30"/>
    <s v="GCI1008"/>
    <s v="Pcs"/>
    <n v="28"/>
    <s v="CLR51-99-017"/>
    <x v="21"/>
    <m/>
    <m/>
    <m/>
    <s v="Mustofa"/>
    <n v="0"/>
    <s v="3209140803860003"/>
    <s v="N 9609 EF"/>
    <m/>
    <m/>
    <s v="Sukodadi RW 01 Wagir"/>
    <e v="#N/A"/>
    <e v="#N/A"/>
    <s v="OUTBOUND_"/>
  </r>
  <r>
    <s v="2181"/>
    <m/>
    <x v="1"/>
    <s v="OUB-W0012310-105"/>
    <s v="EJ-Malang-01"/>
    <s v="Oka-0813-2707-1646"/>
    <d v="2023-10-22T00:00:00"/>
    <d v="1899-12-30T22:30:00"/>
    <s v="EJ-MALANG-01"/>
    <x v="2"/>
    <x v="30"/>
    <s v="GCI1008"/>
    <s v="Pcs"/>
    <n v="35"/>
    <s v="CLR51-99-019"/>
    <x v="28"/>
    <m/>
    <m/>
    <m/>
    <s v="Mustofa"/>
    <n v="0"/>
    <s v="3209140803860003"/>
    <s v="N 9609 EF"/>
    <m/>
    <m/>
    <s v="Sidorahayu RW 02 Wagir"/>
    <e v="#N/A"/>
    <e v="#N/A"/>
    <s v="OUTBOUND_"/>
  </r>
  <r>
    <s v="2182"/>
    <m/>
    <x v="1"/>
    <s v="OUB-W0012310-105"/>
    <s v="EJ-Malang-01"/>
    <s v="Oka-0813-2707-1646"/>
    <d v="2023-10-22T00:00:00"/>
    <d v="1899-12-30T22:30:00"/>
    <s v="EJ-MALANG-01"/>
    <x v="2"/>
    <x v="30"/>
    <s v="GCI1008"/>
    <s v="Pcs"/>
    <n v="51"/>
    <s v="CLR51-99-018"/>
    <x v="151"/>
    <m/>
    <m/>
    <m/>
    <s v="Mustofa"/>
    <n v="0"/>
    <s v="3209140803860003"/>
    <s v="N 9609 EF"/>
    <m/>
    <m/>
    <s v="Sukodadi RW 02 Wagir"/>
    <e v="#N/A"/>
    <e v="#N/A"/>
    <s v="OUTBOUND_"/>
  </r>
  <r>
    <s v="2183"/>
    <m/>
    <x v="0"/>
    <s v="INB-W0012311-132"/>
    <s v="EJ-Malang-01"/>
    <s v="Oka-0813-2707-1646"/>
    <d v="2023-11-26T00:00:00"/>
    <d v="1900-01-14T07:00:00"/>
    <s v="GCI Procurement"/>
    <x v="2"/>
    <x v="30"/>
    <s v="GCI1008"/>
    <s v="Pcs"/>
    <n v="120"/>
    <s v="PRC"/>
    <x v="135"/>
    <n v="0"/>
    <n v="0"/>
    <m/>
    <m/>
    <m/>
    <m/>
    <m/>
    <m/>
    <m/>
    <s v="Purchase"/>
    <e v="#N/A"/>
    <e v="#N/A"/>
    <s v="OUTBOUND_"/>
  </r>
  <r>
    <s v="2184"/>
    <m/>
    <x v="1"/>
    <s v="OUB-W0012311-131"/>
    <s v="EJ-Malang-01"/>
    <s v="Oka-0813-2707-1646"/>
    <d v="2023-11-26T00:00:00"/>
    <d v="1899-12-30T13:24:00"/>
    <s v="EJ-MALANG-01"/>
    <x v="2"/>
    <x v="30"/>
    <s v="GCI1008"/>
    <s v="Pcs"/>
    <n v="2"/>
    <s v="CLR51-99-020"/>
    <x v="22"/>
    <m/>
    <m/>
    <m/>
    <s v="Heri Susanto"/>
    <n v="0"/>
    <s v="3506220807870002"/>
    <s v="S 9794 JC"/>
    <m/>
    <m/>
    <s v="Jedong RW 08 Wagir"/>
    <e v="#N/A"/>
    <e v="#N/A"/>
    <s v="OUTBOUND_"/>
  </r>
  <r>
    <s v="2185"/>
    <m/>
    <x v="0"/>
    <s v="INB-W0012311-135"/>
    <s v="EJ-Malang-01"/>
    <s v="Oka-0813-2707-1646"/>
    <d v="2023-11-27T00:00:00"/>
    <d v="1900-01-14T07:00:00"/>
    <s v="GCI Procurement"/>
    <x v="2"/>
    <x v="30"/>
    <s v="GCI1008"/>
    <s v="Pcs"/>
    <n v="2"/>
    <s v="CLR51-99-020"/>
    <x v="22"/>
    <n v="0"/>
    <n v="0"/>
    <m/>
    <m/>
    <m/>
    <m/>
    <m/>
    <s v="JEDONG 8"/>
    <m/>
    <s v="Jedong RW 08 Wagir"/>
    <e v="#N/A"/>
    <e v="#N/A"/>
    <s v="OUTBOUND_"/>
  </r>
  <r>
    <s v="2186"/>
    <m/>
    <x v="0"/>
    <s v="INB-W0012312-138"/>
    <s v="EJ-Malang-01"/>
    <s v="Oka-0813-2707-1646"/>
    <d v="2023-12-01T00:00:00"/>
    <d v="1900-01-14T07:00:00"/>
    <s v="FIELD TEAM"/>
    <x v="2"/>
    <x v="30"/>
    <s v="GCI1008"/>
    <s v="Pcs"/>
    <n v="51"/>
    <s v="RTN"/>
    <x v="156"/>
    <n v="0"/>
    <n v="0"/>
    <m/>
    <m/>
    <m/>
    <m/>
    <m/>
    <s v="sisa Jedong8"/>
    <m/>
    <s v="Pengembalian"/>
    <e v="#N/A"/>
    <e v="#N/A"/>
    <s v="OUTBOUND_"/>
  </r>
  <r>
    <s v="2187"/>
    <m/>
    <x v="1"/>
    <s v="OUB-W0012312-143"/>
    <s v="EJ-Malang-01"/>
    <s v="Oka-0813-2707-1646"/>
    <d v="2023-12-07T00:00:00"/>
    <d v="1899-12-30T21:30:00"/>
    <s v="EJ-MALANG-01"/>
    <x v="2"/>
    <x v="30"/>
    <s v="GCI1008"/>
    <s v="Pcs"/>
    <n v="15"/>
    <s v="CLR51-99-013"/>
    <x v="26"/>
    <m/>
    <m/>
    <m/>
    <s v="Fatur"/>
    <n v="0"/>
    <s v="1812010507910004"/>
    <s v="L 9221 K"/>
    <m/>
    <m/>
    <s v="Pandan Landung RW 03 Wagir"/>
    <e v="#N/A"/>
    <e v="#N/A"/>
    <s v="OUTBOUND_"/>
  </r>
  <r>
    <s v="2188"/>
    <m/>
    <x v="2"/>
    <s v="TFO-W0012312-145"/>
    <s v="EJ-Malang-01"/>
    <s v="Oka-0813-2707-1646"/>
    <d v="2023-12-10T00:00:00"/>
    <d v="1899-12-30T22:10:00"/>
    <s v="EJ-MADIUN-01"/>
    <x v="2"/>
    <x v="30"/>
    <s v="GCI1008"/>
    <s v="Pcs"/>
    <n v="75"/>
    <s v="TRF"/>
    <x v="4"/>
    <m/>
    <m/>
    <m/>
    <s v="Fatur Rohman"/>
    <n v="0"/>
    <s v="1812010507910004"/>
    <s v="L 9221K"/>
    <s v="WH Malang ke WH Madiun"/>
    <m/>
    <s v="Transfer Gudang"/>
    <e v="#N/A"/>
    <e v="#N/A"/>
    <s v="TRANSFER OUT_"/>
  </r>
  <r>
    <s v="2189"/>
    <m/>
    <x v="1"/>
    <s v="OUB-W0012312-146"/>
    <s v="EJ-Malang-01"/>
    <s v="Oka-0813-2707-1646"/>
    <d v="2023-12-11T00:00:00"/>
    <d v="1899-12-30T11:30:00"/>
    <s v="EJ-MALANG-01"/>
    <x v="2"/>
    <x v="30"/>
    <s v="GCI1008"/>
    <s v="Pcs"/>
    <n v="50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2190"/>
    <m/>
    <x v="1"/>
    <s v="OUB-W0012312-147"/>
    <s v="EJ-Malang-01"/>
    <s v="Oka-0813-2707-1646"/>
    <d v="2023-12-15T00:00:00"/>
    <d v="1899-12-30T10:35:00"/>
    <s v="EJ-MALANG-01"/>
    <x v="2"/>
    <x v="30"/>
    <s v="GCI1008"/>
    <s v="Pcs"/>
    <n v="4"/>
    <s v="CLR51-99-017"/>
    <x v="21"/>
    <m/>
    <m/>
    <m/>
    <s v="Heri Susanto"/>
    <n v="0"/>
    <s v="3506220807870002"/>
    <s v="S 9794 JC"/>
    <m/>
    <m/>
    <s v="Sukodadi RW 01 Wagir"/>
    <e v="#N/A"/>
    <e v="#N/A"/>
    <s v="OUTBOUND_"/>
  </r>
  <r>
    <s v="2191"/>
    <m/>
    <x v="3"/>
    <s v="TFI-W0012312-148"/>
    <s v="EJ-Malang-01"/>
    <s v="Oka-0813-2707-1646"/>
    <d v="2023-12-15T00:00:00"/>
    <d v="1900-01-14T07:00:00"/>
    <s v="EJ-KEDIRI-01"/>
    <x v="2"/>
    <x v="30"/>
    <s v="GCI1008"/>
    <s v="Pcs"/>
    <n v="46"/>
    <s v="TRF"/>
    <x v="78"/>
    <n v="0"/>
    <n v="0"/>
    <m/>
    <m/>
    <m/>
    <m/>
    <m/>
    <s v="WH KEDIRI KE WH MALANG"/>
    <m/>
    <s v="KEDIRI"/>
    <e v="#N/A"/>
    <e v="#N/A"/>
    <s v="OUTBOUND_"/>
  </r>
  <r>
    <s v="2192"/>
    <m/>
    <x v="1"/>
    <s v="OUB-W0012312-149"/>
    <s v="EJ-Malang-01"/>
    <s v="Oka-0813-2707-1646"/>
    <d v="2023-12-16T00:00:00"/>
    <d v="1899-12-30T07:51:00"/>
    <s v="EJ-MALANG-01"/>
    <x v="2"/>
    <x v="30"/>
    <s v="GCI1008"/>
    <s v="Pcs"/>
    <n v="15"/>
    <s v="CLR51-99-019"/>
    <x v="28"/>
    <m/>
    <m/>
    <m/>
    <s v="Heri Susanto"/>
    <n v="0"/>
    <s v="3506220807870002"/>
    <s v="S 9794 JC"/>
    <m/>
    <m/>
    <s v="Sidorahayu RW 02 Wagir"/>
    <e v="#N/A"/>
    <e v="#N/A"/>
    <s v="OUTBOUND_"/>
  </r>
  <r>
    <s v="2193"/>
    <m/>
    <x v="0"/>
    <s v="INB-W0012312-150"/>
    <s v="EJ-Malang-01"/>
    <s v="Oka-0813-2707-1646"/>
    <d v="2023-12-18T00:00:00"/>
    <d v="1900-01-14T07:00:00"/>
    <s v="GCI Procurement"/>
    <x v="2"/>
    <x v="30"/>
    <s v="GCI1008"/>
    <s v="Pcs"/>
    <n v="41"/>
    <s v="RTN"/>
    <x v="156"/>
    <n v="0"/>
    <n v="0"/>
    <m/>
    <m/>
    <m/>
    <m/>
    <m/>
    <s v="Fahrudin sisa"/>
    <m/>
    <s v="Pengembalian"/>
    <e v="#N/A"/>
    <e v="#N/A"/>
    <s v="OUTBOUND_"/>
  </r>
  <r>
    <s v="2194"/>
    <m/>
    <x v="1"/>
    <s v="OUB-W0012312-151"/>
    <s v="EJ-Malang-01"/>
    <s v="Oka-0813-2707-1646"/>
    <d v="2023-12-22T00:00:00"/>
    <d v="1899-12-30T13:27:00"/>
    <s v="EJ-MALANG-01"/>
    <x v="2"/>
    <x v="30"/>
    <s v="GCI1008"/>
    <s v="Pcs"/>
    <n v="25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2195"/>
    <m/>
    <x v="1"/>
    <s v="OUB-W0012312-154"/>
    <s v="EJ-Malang-01"/>
    <s v="Oka-0813-2707-1646"/>
    <d v="2023-12-25T00:00:00"/>
    <d v="1899-12-30T09:25:00"/>
    <s v="EJ-MALANG-01"/>
    <x v="2"/>
    <x v="30"/>
    <s v="GCI1008"/>
    <s v="Pcs"/>
    <n v="9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2196"/>
    <m/>
    <x v="0"/>
    <s v="INB-W0012401-164"/>
    <s v="EJ-Malang-01"/>
    <s v="Oka-0813-2707-1646"/>
    <d v="2024-01-04T00:00:00"/>
    <d v="1900-01-14T07:00:00"/>
    <s v="GCI Procurement"/>
    <x v="2"/>
    <x v="30"/>
    <s v="GCI1008"/>
    <s v="Pcs"/>
    <n v="170"/>
    <s v="PRC"/>
    <x v="135"/>
    <n v="0"/>
    <n v="0"/>
    <m/>
    <m/>
    <m/>
    <m/>
    <m/>
    <s v="UD Putra Cipta Karya"/>
    <m/>
    <s v="Purchase"/>
    <e v="#N/A"/>
    <e v="#N/A"/>
    <s v="OUTBOUND_"/>
  </r>
  <r>
    <s v="2197"/>
    <m/>
    <x v="0"/>
    <s v="INB-W0012401-183"/>
    <s v="EJ-Malang-01"/>
    <s v="Oka-0813-2707-1646"/>
    <d v="2024-01-18T00:00:00"/>
    <d v="1900-01-14T07:00:00"/>
    <s v="GCI Procurement"/>
    <x v="2"/>
    <x v="30"/>
    <s v="GCI1008"/>
    <s v="Pcs"/>
    <n v="210"/>
    <s v="PRC"/>
    <x v="135"/>
    <n v="0"/>
    <n v="0"/>
    <m/>
    <m/>
    <m/>
    <m/>
    <m/>
    <s v="UD Putra Cipta Karya"/>
    <m/>
    <s v="Purchase"/>
    <e v="#N/A"/>
    <e v="#N/A"/>
    <s v="OUTBOUND_"/>
  </r>
  <r>
    <s v="2198"/>
    <m/>
    <x v="1"/>
    <s v="OUB-W0012401-186"/>
    <s v="EJ-Malang-01"/>
    <s v="Oka-0813-2707-1646"/>
    <d v="2024-01-19T00:00:00"/>
    <d v="1899-12-30T17:36:00"/>
    <s v="EJ-MALANG-01"/>
    <x v="2"/>
    <x v="30"/>
    <s v="GCI1008"/>
    <s v="Pcs"/>
    <n v="8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2199"/>
    <m/>
    <x v="1"/>
    <s v="OUB-W0012401-191"/>
    <s v="EJ-Malang-01"/>
    <s v="Oka-0813-2707-1646"/>
    <d v="2024-01-22T00:00:00"/>
    <d v="1899-12-30T09:13:00"/>
    <s v="EJ-MALANG-01"/>
    <x v="2"/>
    <x v="30"/>
    <s v="GCI1008"/>
    <s v="Pcs"/>
    <n v="10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2200"/>
    <m/>
    <x v="1"/>
    <s v="OUB-W0012401-195"/>
    <s v="EJ-Malang-01"/>
    <s v="Oka-0813-2707-1646"/>
    <d v="2024-01-22T00:00:00"/>
    <d v="1899-12-30T19:27:00"/>
    <s v="EJ-MALANG-01"/>
    <x v="2"/>
    <x v="30"/>
    <s v="GCI1008"/>
    <s v="Pcs"/>
    <n v="50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2201"/>
    <m/>
    <x v="1"/>
    <s v="OUB-W0012401-192"/>
    <s v="EJ-Malang-01"/>
    <s v="Oka-0813-2707-1646"/>
    <d v="2024-01-22T00:00:00"/>
    <d v="1899-12-30T09:18:00"/>
    <s v="EJ-MALANG-01"/>
    <x v="2"/>
    <x v="30"/>
    <s v="GCI1008"/>
    <s v="Pcs"/>
    <n v="150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2202"/>
    <m/>
    <x v="1"/>
    <s v="OUB-W0012401-198"/>
    <s v="EJ-Malang-01"/>
    <s v="Oka-0813-2707-1646"/>
    <d v="2024-01-23T00:00:00"/>
    <d v="1899-12-30T20:11:00"/>
    <s v="EJ-MALANG-01"/>
    <x v="2"/>
    <x v="30"/>
    <s v="GCI1008"/>
    <s v="Pcs"/>
    <n v="20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2203"/>
    <m/>
    <x v="1"/>
    <s v="OUB-W0012401-197"/>
    <s v="EJ-Malang-01"/>
    <s v="Oka-0813-2707-1646"/>
    <d v="2024-01-23T00:00:00"/>
    <d v="1899-12-30T14:19:00"/>
    <s v="EJ-MALANG-01"/>
    <x v="2"/>
    <x v="30"/>
    <s v="GCI1008"/>
    <s v="Pcs"/>
    <n v="50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2204"/>
    <m/>
    <x v="0"/>
    <s v="INB-W0012401-204"/>
    <s v="EJ-Malang-01"/>
    <s v="Oka-0813-2707-1646"/>
    <d v="2024-01-25T00:00:00"/>
    <d v="1900-01-14T07:00:00"/>
    <s v="GCI Procurement"/>
    <x v="2"/>
    <x v="30"/>
    <s v="GCI1008"/>
    <s v="Pcs"/>
    <n v="5"/>
    <s v="CLR51-99-038"/>
    <x v="32"/>
    <n v="0"/>
    <n v="0"/>
    <m/>
    <m/>
    <m/>
    <m/>
    <m/>
    <m/>
    <m/>
    <s v="Baturetno RW 03 Singosari"/>
    <e v="#N/A"/>
    <e v="#N/A"/>
    <s v="OUTBOUND_"/>
  </r>
  <r>
    <s v="2205"/>
    <m/>
    <x v="1"/>
    <s v="OUB-W0012401-203"/>
    <s v="EJ-Malang-01"/>
    <s v="Oka-0813-2707-1646"/>
    <d v="2024-01-25T00:00:00"/>
    <d v="1899-12-30T14:58:00"/>
    <s v="EJ-MALANG-01"/>
    <x v="2"/>
    <x v="30"/>
    <s v="GCI1008"/>
    <s v="Pcs"/>
    <n v="2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2206"/>
    <m/>
    <x v="1"/>
    <s v="OUB-W0012401-206"/>
    <s v="EJ-Malang-01"/>
    <s v="Oka-0813-2707-1646"/>
    <d v="2024-01-26T00:00:00"/>
    <d v="1899-12-30T09:49:00"/>
    <s v="EJ-MALANG-01"/>
    <x v="2"/>
    <x v="30"/>
    <s v="GCI1008"/>
    <s v="Pcs"/>
    <n v="32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2207"/>
    <m/>
    <x v="0"/>
    <s v="INB-W0012401-209"/>
    <s v="EJ-Malang-01"/>
    <s v="Oka-0813-2707-1646"/>
    <d v="2024-01-27T00:00:00"/>
    <d v="1900-01-14T07:00:00"/>
    <s v="FIELD TEAM"/>
    <x v="2"/>
    <x v="30"/>
    <s v="GCI1008"/>
    <s v="Pcs"/>
    <n v="21"/>
    <s v="CLR29-99-153"/>
    <x v="34"/>
    <s v="RETURN"/>
    <n v="0"/>
    <m/>
    <m/>
    <m/>
    <m/>
    <m/>
    <m/>
    <m/>
    <s v="Perumahan Pondok Mutiara Malang"/>
    <e v="#N/A"/>
    <e v="#N/A"/>
    <s v="OUTBOUND_"/>
  </r>
  <r>
    <s v="2208"/>
    <m/>
    <x v="3"/>
    <s v="TFI-W0012401-209"/>
    <s v="EJ-Malang-01"/>
    <s v="Oka-0813-2707-1646"/>
    <d v="2024-01-27T00:00:00"/>
    <d v="1900-01-14T07:00:00"/>
    <s v="EJ-JOMBANG-01"/>
    <x v="2"/>
    <x v="30"/>
    <s v="GCI1008"/>
    <s v="Pcs"/>
    <n v="100"/>
    <s v="TRF"/>
    <x v="138"/>
    <n v="0"/>
    <n v="0"/>
    <m/>
    <m/>
    <m/>
    <m/>
    <m/>
    <s v="Dari Jombang"/>
    <m/>
    <s v="JOMBANG"/>
    <e v="#N/A"/>
    <e v="#N/A"/>
    <s v="OUTBOUND_"/>
  </r>
  <r>
    <s v="2209"/>
    <m/>
    <x v="1"/>
    <s v="OUB-W0012401-210"/>
    <s v="EJ-Malang-01"/>
    <s v="Oka-0813-2707-1646"/>
    <d v="2024-01-28T00:00:00"/>
    <d v="1899-12-30T14:58:00"/>
    <s v="EJ-MALANG-01"/>
    <x v="2"/>
    <x v="30"/>
    <s v="GCI1008"/>
    <s v="Pcs"/>
    <n v="36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2210"/>
    <m/>
    <x v="1"/>
    <s v="OUB-W0012402-213"/>
    <s v="EJ-Malang-01"/>
    <s v="Oka-0813-2707-1646"/>
    <d v="2024-02-02T00:00:00"/>
    <d v="1899-12-30T15:10:00"/>
    <s v="EJ-MALANG-01"/>
    <x v="2"/>
    <x v="30"/>
    <s v="GCI1008"/>
    <s v="Pcs"/>
    <n v="5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2211"/>
    <m/>
    <x v="1"/>
    <s v="OUB-W0012402-219"/>
    <s v="EJ-Malang-01"/>
    <s v="Oka-0813-2707-1646"/>
    <d v="2024-02-09T00:00:00"/>
    <d v="1899-12-30T10:13:00"/>
    <s v="EJ-MALANG-01"/>
    <x v="2"/>
    <x v="30"/>
    <s v="GCI1008"/>
    <s v="Pcs"/>
    <n v="7"/>
    <s v="CLR51-99-082"/>
    <x v="152"/>
    <m/>
    <m/>
    <m/>
    <s v="Riki Romansyah"/>
    <s v="Febby Supplier"/>
    <s v="3507050501950006"/>
    <s v="N 8420 EL"/>
    <m/>
    <m/>
    <s v="Dengkol RW 02 Singosari Malang"/>
    <e v="#N/A"/>
    <e v="#N/A"/>
    <s v="OUTBOUND_"/>
  </r>
  <r>
    <s v="2212"/>
    <m/>
    <x v="1"/>
    <s v="OUB-W0012402-220"/>
    <s v="EJ-Malang-01"/>
    <s v="Oka-0813-2707-1646"/>
    <d v="2024-02-09T00:00:00"/>
    <d v="1899-12-30T15:13:00"/>
    <s v="EJ-MALANG-01"/>
    <x v="2"/>
    <x v="30"/>
    <s v="GCI1008"/>
    <s v="Pcs"/>
    <n v="20"/>
    <s v="CLR29-99-153"/>
    <x v="34"/>
    <m/>
    <m/>
    <m/>
    <s v="Riki Romansyah"/>
    <s v="Febby Supplier"/>
    <s v="3507050501950006"/>
    <s v="N 8420 EL"/>
    <m/>
    <m/>
    <s v="Perumahan Pondok Mutiara Malang"/>
    <e v="#N/A"/>
    <e v="#N/A"/>
    <s v="OUTBOUND_"/>
  </r>
  <r>
    <s v="2213"/>
    <m/>
    <x v="1"/>
    <s v="OUB-W0012402-229"/>
    <s v="EJ-Malang-01"/>
    <s v="Oka-0813-2707-1646"/>
    <d v="2024-02-19T00:00:00"/>
    <d v="1899-12-30T10:54:00"/>
    <s v="EJ-MALANG-01"/>
    <x v="2"/>
    <x v="30"/>
    <s v="GCI1008"/>
    <s v="Pcs"/>
    <n v="6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2214"/>
    <m/>
    <x v="1"/>
    <s v="OUB-W0012402-239"/>
    <s v="EJ-Malang-01"/>
    <s v="Oka-0813-2707-1646"/>
    <d v="2024-02-21T00:00:00"/>
    <d v="1899-12-30T18:56:00"/>
    <s v="EJ-MALANG-01"/>
    <x v="2"/>
    <x v="30"/>
    <s v="GCI1008"/>
    <s v="Pcs"/>
    <n v="39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2215"/>
    <m/>
    <x v="0"/>
    <s v="INB-W0012402-242"/>
    <s v="EJ-Malang-01"/>
    <s v="Oka-0813-2707-1646"/>
    <d v="2024-02-22T00:00:00"/>
    <d v="1900-01-14T07:00:00"/>
    <s v="GCI Procurement"/>
    <x v="2"/>
    <x v="30"/>
    <s v="GCI1008"/>
    <s v="Pcs"/>
    <n v="43"/>
    <s v="CLR51-99-078"/>
    <x v="1"/>
    <n v="0"/>
    <n v="0"/>
    <m/>
    <m/>
    <m/>
    <m/>
    <m/>
    <s v="JNT Cargo"/>
    <m/>
    <s v="Bumiayu RW 03 Kedungkandang"/>
    <e v="#N/A"/>
    <e v="#N/A"/>
    <s v="OUTBOUND_"/>
  </r>
  <r>
    <s v="2216"/>
    <m/>
    <x v="1"/>
    <s v="OUB-W0012402-241"/>
    <s v="EJ-Malang-01"/>
    <s v="Oka-0813-2707-1646"/>
    <d v="2024-02-22T00:00:00"/>
    <d v="1899-12-30T15:15:00"/>
    <s v="EJ-MALANG-01"/>
    <x v="2"/>
    <x v="30"/>
    <s v="GCI1008"/>
    <s v="Pcs"/>
    <n v="33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2217"/>
    <m/>
    <x v="0"/>
    <s v="INB-W0012402-252"/>
    <s v="EJ-Malang-01"/>
    <s v="Oka-0813-2707-1646"/>
    <d v="2024-02-27T00:00:00"/>
    <d v="1900-01-14T07:00:00"/>
    <s v="GCI Procurement"/>
    <x v="2"/>
    <x v="30"/>
    <s v="GCI1008"/>
    <s v="Pcs"/>
    <n v="183"/>
    <n v="0"/>
    <x v="136"/>
    <n v="0"/>
    <n v="0"/>
    <m/>
    <m/>
    <m/>
    <m/>
    <m/>
    <m/>
    <m/>
    <s v="UD RIZQI JAYA PRATAMA "/>
    <e v="#N/A"/>
    <e v="#N/A"/>
    <s v="OUTBOUND_"/>
  </r>
  <r>
    <s v="2218"/>
    <m/>
    <x v="1"/>
    <s v="OUB-W0012402-256"/>
    <s v="EJ-Malang-01"/>
    <s v="Oka-0813-2707-1646"/>
    <d v="2024-02-28T00:00:00"/>
    <d v="1899-12-30T11:40:00"/>
    <s v="EJ-MALANG-01"/>
    <x v="2"/>
    <x v="30"/>
    <s v="GCI1008"/>
    <s v="Pcs"/>
    <n v="9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2219"/>
    <m/>
    <x v="1"/>
    <s v="OUB-W0012402-253"/>
    <s v="EJ-Malang-01"/>
    <s v="Oka-0813-2707-1646"/>
    <d v="2024-02-28T00:00:00"/>
    <d v="1899-12-30T09:12:00"/>
    <s v="EJ-MALANG-01"/>
    <x v="2"/>
    <x v="30"/>
    <s v="GCI1008"/>
    <s v="Pcs"/>
    <n v="150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2220"/>
    <m/>
    <x v="1"/>
    <s v="OUB-W0012403-261"/>
    <s v="EJ-Malang-01"/>
    <s v="Oka-0813-2707-1646"/>
    <d v="2024-03-01T00:00:00"/>
    <d v="1899-12-30T09:23:00"/>
    <s v="EJ-MALANG-01"/>
    <x v="2"/>
    <x v="30"/>
    <s v="GCI1008"/>
    <s v="Pcs"/>
    <n v="10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2221"/>
    <m/>
    <x v="1"/>
    <s v="OUB-W0012403-262"/>
    <s v="EJ-Malang-01"/>
    <s v="Oka-0813-2707-1646"/>
    <d v="2024-03-01T00:00:00"/>
    <d v="1899-12-30T10:12:00"/>
    <s v="EJ-MALANG-01"/>
    <x v="2"/>
    <x v="30"/>
    <s v="GCI1008"/>
    <s v="Pcs"/>
    <n v="25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2222"/>
    <m/>
    <x v="1"/>
    <s v="OUB-W0012403-265"/>
    <s v="EJ-Malang-01"/>
    <s v="Oka-0813-2707-1646"/>
    <d v="2024-03-02T00:00:00"/>
    <d v="1899-12-30T10:12:00"/>
    <s v="EJ-MALANG-01"/>
    <x v="2"/>
    <x v="30"/>
    <s v="GCI1008"/>
    <s v="Pcs"/>
    <n v="25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2223"/>
    <m/>
    <x v="1"/>
    <s v="OUB-W0012403-271"/>
    <s v="EJ-Malang-01"/>
    <s v="Oka-0813-2707-1646"/>
    <d v="2024-03-06T00:00:00"/>
    <d v="1899-12-30T09:24:00"/>
    <s v="EJ-MALANG-01"/>
    <x v="2"/>
    <x v="30"/>
    <s v="GCI1008"/>
    <s v="Pcs"/>
    <n v="5"/>
    <s v="CLR29-99-153"/>
    <x v="34"/>
    <m/>
    <m/>
    <m/>
    <s v="Riki Romansyah"/>
    <s v="Febby Supplier"/>
    <s v="3507050501950006"/>
    <s v="N 8420 EL"/>
    <m/>
    <m/>
    <s v="Perumahan Pondok Mutiara Malang"/>
    <e v="#N/A"/>
    <e v="#N/A"/>
    <s v="OUTBOUND_"/>
  </r>
  <r>
    <s v="2224"/>
    <m/>
    <x v="1"/>
    <s v="OUB-W0012403-277"/>
    <s v="EJ-Malang-01"/>
    <s v="Oka-0813-2707-1646"/>
    <d v="2024-03-15T00:00:00"/>
    <d v="1899-12-30T17:12:00"/>
    <s v="EJ-MALANG-01"/>
    <x v="2"/>
    <x v="30"/>
    <s v="GCI1008"/>
    <s v="Pcs"/>
    <n v="40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2225"/>
    <m/>
    <x v="0"/>
    <s v="INB-W0012403-283"/>
    <s v="EJ-Malang-01"/>
    <s v="Oka-0813-2707-1646"/>
    <d v="2024-03-22T00:00:00"/>
    <d v="1900-01-14T07:00:00"/>
    <s v="GCI Procurement"/>
    <x v="2"/>
    <x v="30"/>
    <s v="GCI1008"/>
    <s v="Pcs"/>
    <n v="248"/>
    <n v="0"/>
    <x v="137"/>
    <n v="0"/>
    <n v="0"/>
    <m/>
    <m/>
    <m/>
    <m/>
    <m/>
    <m/>
    <m/>
    <s v="UD HALIM"/>
    <e v="#N/A"/>
    <e v="#N/A"/>
    <s v="OUTBOUND_"/>
  </r>
  <r>
    <s v="2226"/>
    <m/>
    <x v="1"/>
    <s v="OUB-W0012403-286"/>
    <s v="EJ-Malang-01"/>
    <s v="Oka-0813-2707-1646"/>
    <d v="2024-03-23T00:00:00"/>
    <d v="1899-12-30T18:24:00"/>
    <s v="EJ-MALANG-01"/>
    <x v="2"/>
    <x v="30"/>
    <s v="GCI1008"/>
    <s v="Pcs"/>
    <n v="100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2227"/>
    <m/>
    <x v="1"/>
    <s v="OUB-W0012403-292"/>
    <s v="EJ-Malang-01"/>
    <s v="Oka-0813-2707-1646"/>
    <d v="2024-03-28T00:00:00"/>
    <d v="1899-12-30T09:57:00"/>
    <s v="EJ-MALANG-01"/>
    <x v="2"/>
    <x v="30"/>
    <s v="GCI1008"/>
    <s v="Pcs"/>
    <n v="50"/>
    <s v="CLR51-99-039"/>
    <x v="7"/>
    <m/>
    <m/>
    <m/>
    <s v="Dimas"/>
    <s v="Febby Supplier"/>
    <s v="3573032509800005"/>
    <s v="N 9454 BA"/>
    <m/>
    <m/>
    <s v="Tunjungtirto RW 01 Singosari"/>
    <e v="#N/A"/>
    <e v="#N/A"/>
    <s v="OUTBOUND_"/>
  </r>
  <r>
    <s v="2228"/>
    <m/>
    <x v="0"/>
    <s v="INB-W0012404-298"/>
    <s v="EJ-Malang-01"/>
    <s v="Oka-0813-2707-1646"/>
    <d v="2024-04-01T00:00:00"/>
    <d v="1900-01-14T07:00:00"/>
    <s v="GCI Procurement"/>
    <x v="2"/>
    <x v="30"/>
    <s v="GCI1008"/>
    <s v="Pcs"/>
    <n v="8"/>
    <n v="0"/>
    <x v="5"/>
    <n v="0"/>
    <n v="0"/>
    <m/>
    <m/>
    <m/>
    <m/>
    <m/>
    <m/>
    <m/>
    <n v="0"/>
    <e v="#N/A"/>
    <e v="#N/A"/>
    <s v="OUTBOUND_"/>
  </r>
  <r>
    <s v="2229"/>
    <m/>
    <x v="1"/>
    <s v="OUB-W0012404-296"/>
    <s v="EJ-Malang-01"/>
    <s v="Oka-0813-2707-1646"/>
    <d v="2024-04-01T00:00:00"/>
    <d v="1899-12-30T09:38:00"/>
    <s v="EJ-MALANG-01"/>
    <x v="2"/>
    <x v="30"/>
    <s v="GCI1008"/>
    <s v="Pcs"/>
    <n v="20"/>
    <s v="CLR51-99-075"/>
    <x v="8"/>
    <m/>
    <m/>
    <m/>
    <s v="Riki Romansyah"/>
    <s v="Febby Supplier"/>
    <s v="3507050501950006"/>
    <s v="N 8420 EL"/>
    <m/>
    <m/>
    <s v="Dalisodo RW 03 Wagir"/>
    <e v="#N/A"/>
    <e v="#N/A"/>
    <s v="OUTBOUND_"/>
  </r>
  <r>
    <s v="2230"/>
    <m/>
    <x v="1"/>
    <s v="OUB-W0012404-295"/>
    <s v="EJ-Malang-01"/>
    <s v="Oka-0813-2707-1646"/>
    <d v="2024-04-01T00:00:00"/>
    <d v="1899-12-30T09:14:00"/>
    <s v="EJ-MALANG-01"/>
    <x v="2"/>
    <x v="30"/>
    <s v="GCI1008"/>
    <s v="Pcs"/>
    <n v="55"/>
    <s v="CLR51-99-040"/>
    <x v="41"/>
    <m/>
    <m/>
    <m/>
    <s v="Dimas"/>
    <s v="Febby Supplier"/>
    <s v="3573032509800005"/>
    <s v="N 9454 BA"/>
    <m/>
    <m/>
    <s v="Tunjungtirto RW 08 Singosari"/>
    <e v="#N/A"/>
    <e v="#N/A"/>
    <s v="OUTBOUND_"/>
  </r>
  <r>
    <s v="2231"/>
    <m/>
    <x v="1"/>
    <s v="OUB-W0012404-315"/>
    <s v="EJ-Malang-01"/>
    <s v="Oka-0813-2707-1646"/>
    <d v="2024-04-23T00:00:00"/>
    <d v="1899-12-30T09:01:00"/>
    <s v="EJ-MALANG-01"/>
    <x v="2"/>
    <x v="30"/>
    <s v="GCI1008"/>
    <s v="Pcs"/>
    <n v="28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2232"/>
    <m/>
    <x v="0"/>
    <s v="INB-W0012404-323"/>
    <s v="EJ-Malang-01"/>
    <s v="Oka-0813-2707-1646"/>
    <d v="2024-04-25T00:00:00"/>
    <d v="1900-01-14T07:00:00"/>
    <s v="GCI Procurement"/>
    <x v="2"/>
    <x v="30"/>
    <s v="GCI1008"/>
    <s v="Pcs"/>
    <n v="84"/>
    <n v="0"/>
    <x v="5"/>
    <n v="0"/>
    <n v="0"/>
    <m/>
    <m/>
    <m/>
    <m/>
    <m/>
    <m/>
    <m/>
    <n v="0"/>
    <e v="#N/A"/>
    <e v="#N/A"/>
    <s v="OUTBOUND_"/>
  </r>
  <r>
    <s v="2233"/>
    <m/>
    <x v="1"/>
    <s v="OUB-W0012404-324"/>
    <s v="EJ-Malang-01"/>
    <s v="Oka-0813-2707-1646"/>
    <d v="2024-04-26T00:00:00"/>
    <d v="1899-12-30T09:24:00"/>
    <s v="EJ-MALANG-01"/>
    <x v="2"/>
    <x v="30"/>
    <s v="GCI1008"/>
    <s v="Pcs"/>
    <n v="84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2234"/>
    <m/>
    <x v="0"/>
    <s v="INB-W0012404-327"/>
    <s v="EJ-Malang-01"/>
    <s v="Oka-0813-2707-1646"/>
    <d v="2024-04-30T00:00:00"/>
    <d v="1900-01-14T07:00:00"/>
    <s v="GCI Procurement"/>
    <x v="2"/>
    <x v="30"/>
    <s v="GCI1008"/>
    <s v="Pcs"/>
    <n v="100"/>
    <n v="0"/>
    <x v="5"/>
    <n v="0"/>
    <n v="0"/>
    <m/>
    <m/>
    <m/>
    <m/>
    <m/>
    <m/>
    <m/>
    <n v="0"/>
    <e v="#N/A"/>
    <e v="#N/A"/>
    <s v="OUTBOUND_"/>
  </r>
  <r>
    <s v="2235"/>
    <m/>
    <x v="1"/>
    <s v="OUB-W0012404-326"/>
    <s v="EJ-Malang-01"/>
    <s v="Oka-0813-2707-1646"/>
    <d v="2024-04-30T00:00:00"/>
    <d v="1899-12-30T12:00:00"/>
    <s v="EJ-MALANG-01"/>
    <x v="2"/>
    <x v="30"/>
    <s v="GCI1008"/>
    <s v="Pcs"/>
    <n v="20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2236"/>
    <m/>
    <x v="1"/>
    <s v="OUB-W0012404-325"/>
    <s v="EJ-Malang-01"/>
    <s v="Oka-0813-2707-1646"/>
    <d v="2024-04-30T00:00:00"/>
    <d v="1899-12-30T10:15:00"/>
    <s v="EJ-MALANG-01"/>
    <x v="2"/>
    <x v="30"/>
    <s v="GCI1008"/>
    <s v="Pcs"/>
    <n v="56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2237"/>
    <m/>
    <x v="0"/>
    <s v="INB-W0012405-331"/>
    <s v="EJ-Malang-01"/>
    <s v="Oka-0813-2707-1646"/>
    <d v="2024-05-08T00:00:00"/>
    <d v="1900-01-14T07:00:00"/>
    <s v="GCI Procurement"/>
    <x v="2"/>
    <x v="30"/>
    <s v="GCI1008"/>
    <s v="Pcs"/>
    <n v="55"/>
    <n v="0"/>
    <x v="5"/>
    <n v="0"/>
    <n v="0"/>
    <m/>
    <m/>
    <m/>
    <m/>
    <m/>
    <m/>
    <m/>
    <n v="0"/>
    <e v="#N/A"/>
    <e v="#N/A"/>
    <s v="OUTBOUND_"/>
  </r>
  <r>
    <s v="2238"/>
    <m/>
    <x v="1"/>
    <s v="OUB-W0012405-334"/>
    <s v="EJ-Malang-01"/>
    <s v="Oka-0813-2707-1646"/>
    <d v="2024-05-16T00:00:00"/>
    <d v="1899-12-30T12:56:00"/>
    <s v="EJ-MALANG-01"/>
    <x v="2"/>
    <x v="30"/>
    <s v="GCI1008"/>
    <s v="Pcs"/>
    <n v="6"/>
    <s v="CLR51-99-075"/>
    <x v="8"/>
    <m/>
    <m/>
    <m/>
    <s v="Riki Romansyah"/>
    <s v="Febby Supplier"/>
    <s v="3507050501950006"/>
    <s v="N 8420 EL"/>
    <m/>
    <m/>
    <s v="Dalisodo RW 03 Wagir"/>
    <e v="#N/A"/>
    <e v="#N/A"/>
    <s v="OUTBOUND_"/>
  </r>
  <r>
    <s v="2239"/>
    <m/>
    <x v="0"/>
    <s v="INB-W0012405-337"/>
    <s v="EJ-Malang-01"/>
    <s v="Oka-0813-2707-1646"/>
    <d v="2024-05-17T00:00:00"/>
    <d v="1900-01-14T07:00:00"/>
    <s v="GCI Procurement"/>
    <x v="2"/>
    <x v="30"/>
    <s v="GCI1008"/>
    <s v="Pcs"/>
    <n v="11"/>
    <s v="RTN"/>
    <x v="5"/>
    <n v="0"/>
    <n v="0"/>
    <m/>
    <m/>
    <m/>
    <m/>
    <m/>
    <m/>
    <m/>
    <n v="0"/>
    <e v="#N/A"/>
    <e v="#N/A"/>
    <s v="OUTBOUND_"/>
  </r>
  <r>
    <s v="2240"/>
    <m/>
    <x v="0"/>
    <s v="INB-W0012405-337"/>
    <s v="EJ-Malang-01"/>
    <s v="Oka-0813-2707-1646"/>
    <d v="2024-05-17T00:00:00"/>
    <d v="1900-01-14T07:00:00"/>
    <s v="GCI Procurement"/>
    <x v="2"/>
    <x v="30"/>
    <s v="GCI1008"/>
    <s v="Pcs"/>
    <n v="150"/>
    <n v="0"/>
    <x v="5"/>
    <n v="0"/>
    <n v="0"/>
    <m/>
    <m/>
    <m/>
    <m/>
    <m/>
    <m/>
    <m/>
    <n v="0"/>
    <e v="#N/A"/>
    <e v="#N/A"/>
    <s v="OUTBOUND_"/>
  </r>
  <r>
    <s v="2241"/>
    <m/>
    <x v="1"/>
    <s v="OUB-W0012405-335"/>
    <s v="EJ-Malang-01"/>
    <s v="Oka-0813-2707-1646"/>
    <d v="2024-05-17T00:00:00"/>
    <d v="1899-12-30T10:43:00"/>
    <s v="EJ-MALANG-01"/>
    <x v="2"/>
    <x v="30"/>
    <s v="GCI1008"/>
    <s v="Pcs"/>
    <n v="50"/>
    <s v="MF51-02"/>
    <x v="46"/>
    <m/>
    <m/>
    <m/>
    <s v="Riki Romansyah"/>
    <s v="Febby Supplier"/>
    <s v="3507050501950006"/>
    <s v="N 8420 EL"/>
    <m/>
    <m/>
    <s v="HUBFEEDER DALISODO"/>
    <e v="#N/A"/>
    <e v="#N/A"/>
    <s v="OUTBOUND_"/>
  </r>
  <r>
    <s v="2242"/>
    <m/>
    <x v="1"/>
    <s v="OUB-W0012405-340"/>
    <s v="EJ-Malang-01"/>
    <s v="Oka-0813-2707-1646"/>
    <d v="2024-05-20T00:00:00"/>
    <d v="1899-12-30T09:33:00"/>
    <s v="EJ-MALANG-01"/>
    <x v="2"/>
    <x v="30"/>
    <s v="GCI1008"/>
    <s v="Pcs"/>
    <n v="50"/>
    <s v="CLR51-99-087"/>
    <x v="11"/>
    <m/>
    <m/>
    <m/>
    <s v="Riki Romansyah"/>
    <s v="Febby Supplier"/>
    <s v="3507050501950006"/>
    <s v="N 8420 EL"/>
    <m/>
    <m/>
    <s v="Lawang RW 06 Malang"/>
    <e v="#N/A"/>
    <e v="#N/A"/>
    <s v="OUTBOUND_"/>
  </r>
  <r>
    <s v="2243"/>
    <m/>
    <x v="1"/>
    <s v="OUB-W0012405-346"/>
    <s v="EJ-Malang-01"/>
    <s v="Oka-0813-2707-1646"/>
    <d v="2024-05-22T00:00:00"/>
    <d v="1899-12-30T09:24:00"/>
    <s v="EJ-MALANG-01"/>
    <x v="2"/>
    <x v="30"/>
    <s v="GCI1008"/>
    <s v="Pcs"/>
    <n v="34"/>
    <s v="CLR51-99-095"/>
    <x v="16"/>
    <m/>
    <m/>
    <m/>
    <s v="Riki Romansyah"/>
    <s v="Febby Supplier"/>
    <s v="3507050501950006"/>
    <s v="N 8420 EL"/>
    <m/>
    <m/>
    <s v="Candirenggo RW 10 Singosari"/>
    <e v="#N/A"/>
    <e v="#N/A"/>
    <s v="OUTBOUND_"/>
  </r>
  <r>
    <s v="2244"/>
    <m/>
    <x v="1"/>
    <s v="OUB-W0012405-350"/>
    <s v="EJ-Malang-01"/>
    <s v="Oka-0813-2707-1646"/>
    <d v="2024-05-25T00:00:00"/>
    <d v="1899-12-30T09:40:00"/>
    <s v="EJ-MALANG-01"/>
    <x v="2"/>
    <x v="30"/>
    <s v="GCI1008"/>
    <s v="Pcs"/>
    <n v="60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2245"/>
    <m/>
    <x v="1"/>
    <s v="OUB-W0012405-359"/>
    <s v="EJ-Malang-01"/>
    <s v="Oka-0813-2707-1646"/>
    <d v="2024-05-30T00:00:00"/>
    <d v="1899-12-30T11:30:00"/>
    <s v="EJ-MALANG-01"/>
    <x v="2"/>
    <x v="30"/>
    <s v="GCI1008"/>
    <s v="Pcs"/>
    <n v="21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2246"/>
    <m/>
    <x v="1"/>
    <s v="OUB-W0012406-361"/>
    <s v="EJ-Malang-01"/>
    <s v="Oka-0813-2707-1646"/>
    <d v="2024-06-03T00:00:00"/>
    <d v="1899-12-30T10:08:00"/>
    <s v="EJ-MALANG-01"/>
    <x v="2"/>
    <x v="30"/>
    <s v="GCI1008"/>
    <s v="Pcs"/>
    <n v="13"/>
    <s v="CLR51-99-095"/>
    <x v="16"/>
    <m/>
    <m/>
    <m/>
    <s v="Riki Romansyah"/>
    <s v="Febby Supplier"/>
    <s v="3507050501950006"/>
    <s v="N 8420 EL"/>
    <m/>
    <m/>
    <s v="Candirenggo RW 10 Singosari"/>
    <e v="#N/A"/>
    <e v="#N/A"/>
    <s v="OUTBOUND_"/>
  </r>
  <r>
    <s v="2247"/>
    <m/>
    <x v="0"/>
    <s v="INB-W0012406-370"/>
    <s v="EJ-Malang-01"/>
    <s v="Oka-0813-2707-1646"/>
    <d v="2024-06-06T00:00:00"/>
    <d v="1900-01-14T07:00:00"/>
    <s v="GCI Procurement"/>
    <x v="2"/>
    <x v="30"/>
    <s v="GCI1008"/>
    <s v="Pcs"/>
    <n v="212"/>
    <n v="0"/>
    <x v="5"/>
    <n v="0"/>
    <n v="0"/>
    <m/>
    <m/>
    <m/>
    <m/>
    <m/>
    <m/>
    <m/>
    <n v="0"/>
    <e v="#N/A"/>
    <e v="#N/A"/>
    <s v="OUTBOUND_"/>
  </r>
  <r>
    <s v="2248"/>
    <m/>
    <x v="1"/>
    <s v="OUB-W0012406-371"/>
    <s v="EJ-Malang-01"/>
    <s v="Oka-0813-2707-1646"/>
    <d v="2024-06-07T00:00:00"/>
    <d v="1899-12-30T17:21:00"/>
    <s v="EJ-MALANG-01"/>
    <x v="2"/>
    <x v="30"/>
    <s v="GCI1008"/>
    <s v="Pcs"/>
    <n v="112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2249"/>
    <m/>
    <x v="1"/>
    <s v="OUB-W0012406-373"/>
    <s v="EJ-Malang-01"/>
    <s v="Oka-0813-2707-1646"/>
    <d v="2024-06-10T00:00:00"/>
    <d v="1899-12-30T13:27:00"/>
    <s v="EJ-MALANG-01"/>
    <x v="2"/>
    <x v="30"/>
    <s v="GCI1008"/>
    <s v="Pcs"/>
    <n v="30"/>
    <s v="CLR51-02-015"/>
    <x v="15"/>
    <m/>
    <m/>
    <m/>
    <s v="Riki Romansyah"/>
    <s v="Febby Supplier"/>
    <s v="3507050501950006"/>
    <s v="N 8420 EL"/>
    <m/>
    <m/>
    <s v="Dusun Sumber Bendo Kucur"/>
    <e v="#N/A"/>
    <e v="#N/A"/>
    <s v="OUTBOUND_"/>
  </r>
  <r>
    <s v="2250"/>
    <m/>
    <x v="1"/>
    <s v="OUB-W0012406-376"/>
    <s v="EJ-Malang-01"/>
    <s v="Oka-0813-2707-1646"/>
    <d v="2024-06-14T00:00:00"/>
    <d v="1899-12-30T13:51:00"/>
    <s v="EJ-MALANG-01"/>
    <x v="2"/>
    <x v="30"/>
    <s v="GCI1008"/>
    <s v="Pcs"/>
    <n v="7"/>
    <s v="CLR51-02-015"/>
    <x v="15"/>
    <m/>
    <m/>
    <m/>
    <s v="Fahrudin"/>
    <s v="Febby Supplier"/>
    <s v="3507131605830004"/>
    <s v="N 1383 G"/>
    <m/>
    <m/>
    <s v="Dusun Sumber Bendo Kucur"/>
    <e v="#N/A"/>
    <e v="#N/A"/>
    <s v="OUTBOUND_"/>
  </r>
  <r>
    <s v="2251"/>
    <m/>
    <x v="1"/>
    <s v="OUB-W0012406-383"/>
    <s v="EJ-Malang-01"/>
    <s v="Oka-0813-2707-1646"/>
    <d v="2024-06-20T00:00:00"/>
    <d v="1899-12-30T10:40:00"/>
    <s v="EJ-MALANG-01"/>
    <x v="2"/>
    <x v="30"/>
    <s v="GCI1008"/>
    <s v="Pcs"/>
    <n v="10"/>
    <s v="CLR51-02-020"/>
    <x v="53"/>
    <m/>
    <m/>
    <m/>
    <s v="Riki Romansyah"/>
    <s v="Febby Supplier"/>
    <s v="3507050501950006"/>
    <s v="N 8420 EL"/>
    <m/>
    <m/>
    <s v="Lowokwaru RW 04"/>
    <e v="#N/A"/>
    <e v="#N/A"/>
    <s v="OUTBOUND_"/>
  </r>
  <r>
    <s v="2252"/>
    <m/>
    <x v="1"/>
    <s v="OUB-W0012406-385"/>
    <s v="EJ-Malang-01"/>
    <s v="Oka-0813-2707-1646"/>
    <d v="2024-06-21T00:00:00"/>
    <d v="1899-12-30T12:17:00"/>
    <s v="EJ-MALANG-01"/>
    <x v="2"/>
    <x v="30"/>
    <s v="GCI1008"/>
    <s v="Pcs"/>
    <n v="53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2253"/>
    <m/>
    <x v="0"/>
    <s v="INB-W0012406-390"/>
    <s v="EJ-Malang-01"/>
    <s v="Oka-0813-2707-1646"/>
    <d v="2024-06-25T00:00:00"/>
    <d v="1900-01-14T07:00:00"/>
    <s v="GCI Procurement"/>
    <x v="2"/>
    <x v="30"/>
    <s v="GCI1008"/>
    <s v="Pcs"/>
    <n v="63"/>
    <n v="0"/>
    <x v="5"/>
    <n v="0"/>
    <n v="0"/>
    <m/>
    <m/>
    <m/>
    <m/>
    <m/>
    <m/>
    <m/>
    <n v="0"/>
    <e v="#N/A"/>
    <e v="#N/A"/>
    <s v="OUTBOUND_"/>
  </r>
  <r>
    <s v="2254"/>
    <m/>
    <x v="1"/>
    <s v="OUB-W0012406-391"/>
    <s v="EJ-Malang-01"/>
    <s v="Oka-0813-2707-1646"/>
    <d v="2024-06-26T00:00:00"/>
    <d v="1899-12-30T09:57:00"/>
    <s v="EJ-MALANG-01"/>
    <x v="2"/>
    <x v="30"/>
    <s v="GCI1008"/>
    <s v="Pcs"/>
    <n v="60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2255"/>
    <m/>
    <x v="0"/>
    <s v="INB-W0012407-395"/>
    <s v="EJ-Malang-01"/>
    <s v="Oka-0813-2707-1646"/>
    <d v="2024-07-03T00:00:00"/>
    <d v="1900-01-14T07:00:00"/>
    <s v="GCI Procurement"/>
    <x v="2"/>
    <x v="30"/>
    <s v="GCI1008"/>
    <s v="Pcs"/>
    <n v="314"/>
    <n v="0"/>
    <x v="140"/>
    <n v="0"/>
    <n v="0"/>
    <m/>
    <m/>
    <m/>
    <m/>
    <m/>
    <m/>
    <m/>
    <s v="HALIM JAYA"/>
    <e v="#N/A"/>
    <e v="#N/A"/>
    <s v="OUTBOUND_"/>
  </r>
  <r>
    <s v="2256"/>
    <m/>
    <x v="1"/>
    <s v="OUB-W0012407-396"/>
    <s v="EJ-Malang-01"/>
    <s v="Oka-0813-2707-1646"/>
    <d v="2024-07-04T00:00:00"/>
    <d v="1899-12-30T10:10:00"/>
    <s v="EJ-MALANG-01"/>
    <x v="2"/>
    <x v="30"/>
    <s v="GCI1008"/>
    <s v="Pcs"/>
    <n v="100"/>
    <s v="CLR51-99-049"/>
    <x v="80"/>
    <m/>
    <m/>
    <m/>
    <s v="Riki Romansyah"/>
    <s v="Febby Supplier"/>
    <s v="3507050501950006"/>
    <s v="N 8420 EL"/>
    <m/>
    <m/>
    <s v="Perumahan Panca Garden"/>
    <e v="#N/A"/>
    <e v="#N/A"/>
    <s v="OUTBOUND_"/>
  </r>
  <r>
    <s v="2257"/>
    <m/>
    <x v="1"/>
    <s v="OUB-W0012407-398"/>
    <s v="EJ-Malang-01"/>
    <s v="Oka-0813-2707-1646"/>
    <d v="2024-07-05T00:00:00"/>
    <d v="1899-12-30T13:09:00"/>
    <s v="EJ-MALANG-01"/>
    <x v="2"/>
    <x v="30"/>
    <s v="GCI1008"/>
    <s v="Pcs"/>
    <n v="50"/>
    <s v="CLR51-99-061"/>
    <x v="54"/>
    <m/>
    <m/>
    <m/>
    <s v="Riki Romansyah"/>
    <s v="Febby Supplier"/>
    <s v="3507050501950006"/>
    <s v="N 8420 EL"/>
    <m/>
    <m/>
    <s v="Perumahan Perumnas Talangagung I Malang"/>
    <e v="#N/A"/>
    <e v="#N/A"/>
    <s v="OUTBOUND_"/>
  </r>
  <r>
    <s v="2258"/>
    <m/>
    <x v="1"/>
    <s v="OUB-W0012407-397"/>
    <s v="EJ-Malang-01"/>
    <s v="Oka-0813-2707-1646"/>
    <d v="2024-07-05T00:00:00"/>
    <d v="1899-12-30T10:10:00"/>
    <s v="EJ-MALANG-01"/>
    <x v="2"/>
    <x v="30"/>
    <s v="GCI1008"/>
    <s v="Pcs"/>
    <n v="60"/>
    <s v="CLR51-99-063"/>
    <x v="55"/>
    <m/>
    <m/>
    <m/>
    <s v="Riki Romansyah"/>
    <s v="Febby Supplier"/>
    <s v="3507050501950006"/>
    <s v="N 8420 EL"/>
    <m/>
    <m/>
    <s v="Perumahan Kepanjen Permai II"/>
    <e v="#N/A"/>
    <e v="#N/A"/>
    <s v="OUTBOUND_"/>
  </r>
  <r>
    <s v="2259"/>
    <m/>
    <x v="1"/>
    <s v="OUB-W0012407-404"/>
    <s v="EJ-Malang-01"/>
    <s v="Oka-0813-2707-1646"/>
    <d v="2024-07-12T00:00:00"/>
    <d v="1899-12-30T09:36:00"/>
    <s v="EJ-MALANG-01"/>
    <x v="2"/>
    <x v="30"/>
    <s v="GCI1008"/>
    <s v="Pcs"/>
    <n v="12"/>
    <s v="CLR51-02-016"/>
    <x v="141"/>
    <m/>
    <m/>
    <m/>
    <s v="Riki Romansyah"/>
    <s v="Febby Supplier"/>
    <s v="3507050501950006"/>
    <s v="N 8420 EL"/>
    <m/>
    <m/>
    <s v="Ngenep RW 06 Karang Ploso"/>
    <e v="#N/A"/>
    <e v="#N/A"/>
    <s v="OUTBOUND_"/>
  </r>
  <r>
    <s v="2260"/>
    <m/>
    <x v="1"/>
    <s v="OUB-W0012407-405"/>
    <s v="EJ-Malang-01"/>
    <s v="Oka-0813-2707-1646"/>
    <d v="2024-07-14T00:00:00"/>
    <d v="1899-12-30T16:08:00"/>
    <s v="EJ-MALANG-01"/>
    <x v="2"/>
    <x v="30"/>
    <s v="GCI1008"/>
    <s v="Pcs"/>
    <n v="50"/>
    <s v="CLR51-99-061"/>
    <x v="54"/>
    <m/>
    <m/>
    <m/>
    <s v="Riki Romansyah"/>
    <s v="Febby Supplier"/>
    <s v="3507050501950006"/>
    <s v="N 8420 EL"/>
    <m/>
    <m/>
    <s v="Perumahan Perumnas Talangagung I Malang"/>
    <e v="#N/A"/>
    <e v="#N/A"/>
    <s v="OUTBOUND_"/>
  </r>
  <r>
    <s v="2261"/>
    <m/>
    <x v="1"/>
    <s v="OUB-W0012407-413"/>
    <s v="EJ-Malang-01"/>
    <s v="Oka-0813-2707-1646"/>
    <d v="2024-07-24T00:00:00"/>
    <d v="1899-12-30T15:20:00"/>
    <s v="EJ-MALANG-01"/>
    <x v="2"/>
    <x v="30"/>
    <s v="GCI1008"/>
    <s v="Pcs"/>
    <n v="49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2262"/>
    <m/>
    <x v="1"/>
    <s v="OUB-W0012407-416"/>
    <s v="EJ-Malang-01"/>
    <s v="Oka-0813-2707-1646"/>
    <d v="2024-07-27T00:00:00"/>
    <d v="1899-12-30T14:10:00"/>
    <s v="EJ-MALANG-01"/>
    <x v="2"/>
    <x v="30"/>
    <s v="GCI1008"/>
    <s v="Pcs"/>
    <n v="4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2263"/>
    <m/>
    <x v="0"/>
    <s v="INB-W0012408-426"/>
    <s v="EJ-Malang-01"/>
    <s v="Oka-0813-2707-1646"/>
    <d v="2024-08-02T00:00:00"/>
    <d v="1900-01-14T07:00:00"/>
    <s v="GCI Procurement"/>
    <x v="2"/>
    <x v="30"/>
    <s v="GCI1008"/>
    <s v="Pcs"/>
    <n v="290"/>
    <n v="0"/>
    <x v="5"/>
    <n v="0"/>
    <n v="0"/>
    <m/>
    <m/>
    <m/>
    <m/>
    <m/>
    <m/>
    <m/>
    <n v="0"/>
    <e v="#N/A"/>
    <e v="#N/A"/>
    <s v="OUTBOUND_"/>
  </r>
  <r>
    <s v="2264"/>
    <m/>
    <x v="1"/>
    <s v="OUB-W0012408-427"/>
    <s v="EJ-Malang-01"/>
    <s v="Oka-0813-2707-1646"/>
    <d v="2024-08-03T00:00:00"/>
    <d v="1899-12-30T09:36:00"/>
    <s v="EJ-MALANG-01"/>
    <x v="2"/>
    <x v="30"/>
    <s v="GCI1008"/>
    <s v="Pcs"/>
    <n v="20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2265"/>
    <m/>
    <x v="1"/>
    <s v="OUB-W0012408-433"/>
    <s v="EJ-Malang-01"/>
    <s v="Oka-0813-2707-1646"/>
    <d v="2024-08-07T00:00:00"/>
    <d v="1899-12-30T10:46:00"/>
    <s v="EJ-MALANG-01"/>
    <x v="2"/>
    <x v="30"/>
    <s v="GCI1008"/>
    <s v="Pcs"/>
    <n v="40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2266"/>
    <m/>
    <x v="1"/>
    <s v="OUB-W0012408-434"/>
    <s v="EJ-Malang-01"/>
    <s v="Oka-0813-2707-1646"/>
    <d v="2024-08-07T00:00:00"/>
    <d v="1899-12-30T18:48:00"/>
    <s v="EJ-MALANG-01"/>
    <x v="2"/>
    <x v="30"/>
    <s v="GCI1008"/>
    <s v="Pcs"/>
    <n v="100"/>
    <s v="MF51-03"/>
    <x v="57"/>
    <m/>
    <m/>
    <m/>
    <s v="Riki Romansyah"/>
    <s v="Febby Supplier"/>
    <s v="3507050501950006"/>
    <s v="N 8420 EL"/>
    <m/>
    <m/>
    <s v="HUBFEEDER KEPANJEN TO JATIKERTO"/>
    <e v="#N/A"/>
    <e v="#N/A"/>
    <s v="OUTBOUND_"/>
  </r>
  <r>
    <s v="2267"/>
    <m/>
    <x v="0"/>
    <s v="INB-W0012408-440"/>
    <s v="EJ-Malang-01"/>
    <s v="Oka-0813-2707-1646"/>
    <d v="2024-08-10T00:00:00"/>
    <d v="1900-01-14T07:00:00"/>
    <s v="GCI Procurement"/>
    <x v="2"/>
    <x v="30"/>
    <s v="GCI1008"/>
    <s v="Pcs"/>
    <n v="6"/>
    <s v="RTN"/>
    <x v="156"/>
    <n v="0"/>
    <n v="0"/>
    <m/>
    <m/>
    <m/>
    <m/>
    <m/>
    <m/>
    <m/>
    <s v="Pengembalian"/>
    <e v="#N/A"/>
    <e v="#N/A"/>
    <s v="OUTBOUND_"/>
  </r>
  <r>
    <s v="2268"/>
    <m/>
    <x v="1"/>
    <s v="OUB-W0012408-448"/>
    <s v="EJ-Malang-01"/>
    <s v="Oka-0813-2707-1646"/>
    <d v="2024-08-20T00:00:00"/>
    <d v="1899-12-30T16:54:00"/>
    <s v="EJ-MALANG-01"/>
    <x v="2"/>
    <x v="30"/>
    <s v="GCI1008"/>
    <s v="Pcs"/>
    <n v="30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2269"/>
    <m/>
    <x v="1"/>
    <s v="OUB-W0012408-455"/>
    <s v="EJ-Malang-01"/>
    <s v="Oka-0813-2707-1646"/>
    <d v="2024-08-23T00:00:00"/>
    <d v="1899-12-30T11:13:00"/>
    <s v="EJ-MALANG-01"/>
    <x v="2"/>
    <x v="30"/>
    <s v="GCI1008"/>
    <s v="Pcs"/>
    <n v="50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2270"/>
    <m/>
    <x v="1"/>
    <s v="OUB-W0012408-469"/>
    <s v="EJ-Malang-01"/>
    <s v="Oka-0813-2707-1646"/>
    <d v="2024-08-29T00:00:00"/>
    <d v="1899-12-30T08:19:00"/>
    <s v="EJ-MALANG-01"/>
    <x v="2"/>
    <x v="30"/>
    <s v="GCI1008"/>
    <s v="Pcs"/>
    <n v="50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2271"/>
    <m/>
    <x v="0"/>
    <s v="INB-W0012409-494"/>
    <s v="EJ-Malang-01"/>
    <s v="Oka-0813-2707-1646"/>
    <d v="2024-09-06T00:00:00"/>
    <d v="1900-01-14T07:00:00"/>
    <s v="GCI Procurement"/>
    <x v="2"/>
    <x v="30"/>
    <s v="GCI1008"/>
    <s v="Pcs"/>
    <n v="396"/>
    <n v="0"/>
    <x v="5"/>
    <n v="0"/>
    <n v="0"/>
    <m/>
    <m/>
    <m/>
    <m/>
    <m/>
    <m/>
    <m/>
    <n v="0"/>
    <e v="#N/A"/>
    <e v="#N/A"/>
    <s v="OUTBOUND_"/>
  </r>
  <r>
    <s v="2272"/>
    <m/>
    <x v="1"/>
    <s v="OUB-W0012409-493"/>
    <s v="EJ-Malang-01"/>
    <s v="Oka-0813-2707-1646"/>
    <d v="2024-09-06T00:00:00"/>
    <d v="1899-12-30T19:13:00"/>
    <s v="EJ-MALANG-01"/>
    <x v="2"/>
    <x v="30"/>
    <s v="GCI1008"/>
    <s v="Pcs"/>
    <n v="20"/>
    <s v="CLR51-99-118"/>
    <x v="68"/>
    <m/>
    <m/>
    <m/>
    <s v="Nur Hidayat"/>
    <n v="0"/>
    <s v="3515141305930006"/>
    <s v="S 9102 AE"/>
    <m/>
    <m/>
    <s v="NGENEP UTARA RW 03 MALANG"/>
    <e v="#N/A"/>
    <e v="#N/A"/>
    <s v="OUTBOUND_"/>
  </r>
  <r>
    <s v="2273"/>
    <m/>
    <x v="1"/>
    <s v="OUB-W0012409-493"/>
    <s v="EJ-Malang-01"/>
    <s v="Oka-0813-2707-1646"/>
    <d v="2024-09-06T00:00:00"/>
    <d v="1899-12-30T19:13:00"/>
    <s v="EJ-MALANG-01"/>
    <x v="2"/>
    <x v="30"/>
    <s v="GCI1008"/>
    <s v="Pcs"/>
    <n v="26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2274"/>
    <m/>
    <x v="1"/>
    <s v="OUB-W0012409-497"/>
    <s v="EJ-Malang-01"/>
    <s v="Oka-0813-2707-1646"/>
    <d v="2024-09-07T00:00:00"/>
    <d v="1899-12-30T17:42:00"/>
    <s v="EJ-MALANG-01"/>
    <x v="2"/>
    <x v="30"/>
    <s v="GCI1008"/>
    <s v="Pcs"/>
    <n v="200"/>
    <s v="CLR51-99-115"/>
    <x v="65"/>
    <m/>
    <m/>
    <m/>
    <s v="Riki Romansyah"/>
    <n v="0"/>
    <s v="3507050501950006"/>
    <s v="N 8420 EL"/>
    <m/>
    <m/>
    <s v="SENGGURUH RW 01 MALANG"/>
    <e v="#N/A"/>
    <e v="#N/A"/>
    <s v="OUTBOUND_"/>
  </r>
  <r>
    <s v="2275"/>
    <m/>
    <x v="1"/>
    <s v="OUB-W0012409-499"/>
    <s v="EJ-Malang-01"/>
    <s v="Oka-0813-2707-1646"/>
    <d v="2024-09-10T00:00:00"/>
    <d v="1899-12-30T08:47:00"/>
    <s v="EJ-MALANG-01"/>
    <x v="2"/>
    <x v="30"/>
    <s v="GCI1008"/>
    <s v="Pcs"/>
    <n v="125"/>
    <s v="MF51-05"/>
    <x v="66"/>
    <m/>
    <m/>
    <m/>
    <s v="Nur Hidayat"/>
    <n v="0"/>
    <s v="3515141305930006"/>
    <s v="S 9102 AE"/>
    <m/>
    <m/>
    <s v="HUBFEEDER DINOYO SUMBERSEKAR"/>
    <e v="#N/A"/>
    <e v="#N/A"/>
    <s v="OUTBOUND_"/>
  </r>
  <r>
    <s v="2276"/>
    <m/>
    <x v="0"/>
    <s v="INB-W0012409-504"/>
    <s v="EJ-Malang-01"/>
    <s v="Oka-0813-2707-1646"/>
    <d v="2024-09-19T00:00:00"/>
    <d v="1900-01-14T07:00:00"/>
    <s v="FIELD TEAM"/>
    <x v="2"/>
    <x v="30"/>
    <s v="GCI1008"/>
    <s v="Pcs"/>
    <n v="52"/>
    <s v="RTN"/>
    <x v="157"/>
    <n v="0"/>
    <n v="0"/>
    <m/>
    <m/>
    <m/>
    <m/>
    <m/>
    <m/>
    <m/>
    <s v="MF Sumbersekar"/>
    <e v="#N/A"/>
    <e v="#N/A"/>
    <s v="OUTBOUND_"/>
  </r>
  <r>
    <s v="2277"/>
    <m/>
    <x v="3"/>
    <s v="TFI-W0012409-504"/>
    <s v="EJ-Malang-01"/>
    <s v="Oka-0813-2707-1646"/>
    <d v="2024-09-19T00:00:00"/>
    <d v="1900-01-14T07:00:00"/>
    <s v="EJ-BLITAR-01"/>
    <x v="2"/>
    <x v="30"/>
    <s v="GCI1008"/>
    <s v="Pcs"/>
    <n v="49"/>
    <s v="TRF"/>
    <x v="158"/>
    <n v="0"/>
    <n v="0"/>
    <m/>
    <m/>
    <m/>
    <m/>
    <m/>
    <m/>
    <m/>
    <s v="Blitar"/>
    <e v="#N/A"/>
    <e v="#N/A"/>
    <s v="OUTBOUND_"/>
  </r>
  <r>
    <s v="2278"/>
    <m/>
    <x v="1"/>
    <s v="OUB-W0012409-508"/>
    <s v="EJ-Malang-01"/>
    <s v="Oka-0813-2707-1646"/>
    <d v="2024-09-21T00:00:00"/>
    <d v="1899-12-30T17:10:00"/>
    <s v="EJ-MALANG-01"/>
    <x v="2"/>
    <x v="30"/>
    <s v="GCI1008"/>
    <s v="Pcs"/>
    <n v="54"/>
    <s v="MF51-05"/>
    <x v="66"/>
    <m/>
    <m/>
    <m/>
    <s v="Dimas"/>
    <s v="Febby Supplier"/>
    <s v="3573032509800005"/>
    <s v="N 9454 BA"/>
    <m/>
    <m/>
    <s v="HUBFEEDER DINOYO SUMBERSEKAR"/>
    <e v="#N/A"/>
    <e v="#N/A"/>
    <s v="OUTBOUND_"/>
  </r>
  <r>
    <s v="2279"/>
    <m/>
    <x v="0"/>
    <s v="INB-W0012409-516"/>
    <s v="EJ-Malang-01"/>
    <s v="Oka-0813-2707-1646"/>
    <d v="2024-09-26T00:00:00"/>
    <d v="1900-01-14T07:00:00"/>
    <s v="FIELD TEAM"/>
    <x v="2"/>
    <x v="30"/>
    <s v="GCI1008"/>
    <s v="Pcs"/>
    <n v="29"/>
    <s v="RTN"/>
    <x v="163"/>
    <n v="0"/>
    <n v="0"/>
    <m/>
    <m/>
    <m/>
    <m/>
    <m/>
    <m/>
    <m/>
    <s v="Sengguruh"/>
    <e v="#N/A"/>
    <e v="#N/A"/>
    <s v="OUTBOUND_"/>
  </r>
  <r>
    <s v="2280"/>
    <m/>
    <x v="1"/>
    <s v="OUB-W0012409-512"/>
    <s v="EJ-Malang-01"/>
    <s v="Oka-0813-2707-1646"/>
    <d v="2024-09-26T00:00:00"/>
    <d v="1899-12-30T15:23:00"/>
    <s v="EJ-MALANG-01"/>
    <x v="2"/>
    <x v="30"/>
    <s v="GCI1008"/>
    <s v="Pcs"/>
    <n v="60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2281"/>
    <m/>
    <x v="0"/>
    <s v="INB-W0012410-523"/>
    <s v="EJ-Malang-01"/>
    <s v="Oka-0813-2707-1646"/>
    <d v="2024-10-01T00:00:00"/>
    <d v="1900-01-14T07:00:00"/>
    <s v="FIELD TEAM"/>
    <x v="2"/>
    <x v="30"/>
    <s v="GCI1008"/>
    <s v="Pcs"/>
    <n v="19"/>
    <s v="RTN"/>
    <x v="159"/>
    <n v="0"/>
    <n v="0"/>
    <m/>
    <m/>
    <m/>
    <m/>
    <m/>
    <m/>
    <m/>
    <s v="Mojosari Ngenep"/>
    <e v="#N/A"/>
    <e v="#N/A"/>
    <s v="OUTBOUND_"/>
  </r>
  <r>
    <s v="2282"/>
    <m/>
    <x v="1"/>
    <s v="OUB-W0012410-526"/>
    <s v="EJ-Malang-01"/>
    <s v="Oka-0813-2707-1646"/>
    <d v="2024-10-10T00:00:00"/>
    <d v="1899-12-30T13:33:00"/>
    <s v="EJ-MALANG-01"/>
    <x v="2"/>
    <x v="30"/>
    <s v="GCI1008"/>
    <s v="Pcs"/>
    <n v="30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2283"/>
    <m/>
    <x v="0"/>
    <s v="INB-W0012410-528"/>
    <s v="EJ-Malang-01"/>
    <s v="Oka-0813-2707-1646"/>
    <d v="2024-10-18T00:00:00"/>
    <d v="1900-01-14T07:00:00"/>
    <s v="GCI Procurement"/>
    <x v="2"/>
    <x v="30"/>
    <s v="GCI1008"/>
    <s v="Pcs"/>
    <n v="136"/>
    <n v="0"/>
    <x v="5"/>
    <n v="0"/>
    <n v="0"/>
    <m/>
    <m/>
    <m/>
    <m/>
    <m/>
    <m/>
    <m/>
    <n v="0"/>
    <e v="#N/A"/>
    <e v="#N/A"/>
    <s v="OUTBOUND_"/>
  </r>
  <r>
    <s v="2284"/>
    <m/>
    <x v="1"/>
    <s v="OUB-W0012410-527"/>
    <s v="EJ-Malang-01"/>
    <s v="Oka-0813-2707-1646"/>
    <d v="2024-10-18T00:00:00"/>
    <d v="1899-12-30T09:10:00"/>
    <s v="EJ-MALANG-01"/>
    <x v="2"/>
    <x v="30"/>
    <s v="GCI1008"/>
    <s v="Pcs"/>
    <n v="50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2285"/>
    <m/>
    <x v="1"/>
    <s v="OUB-W0012410-532"/>
    <s v="EJ-Malang-01"/>
    <s v="Oka-0813-2707-1646"/>
    <d v="2024-10-25T00:00:00"/>
    <d v="1899-12-30T19:09:00"/>
    <s v="EJ-MALANG-01"/>
    <x v="2"/>
    <x v="30"/>
    <s v="GCI1008"/>
    <s v="Pcs"/>
    <n v="87"/>
    <s v="MF51-07"/>
    <x v="75"/>
    <m/>
    <m/>
    <m/>
    <s v="Sulistiono"/>
    <n v="0"/>
    <s v="3575032104720001"/>
    <s v="N 9586 WC"/>
    <m/>
    <m/>
    <s v="HUBFEEDER KLAMPOK"/>
    <e v="#N/A"/>
    <e v="#N/A"/>
    <s v="OUTBOUND_"/>
  </r>
  <r>
    <s v="2286"/>
    <m/>
    <x v="0"/>
    <s v="INB-W0012410-542"/>
    <s v="EJ-Malang-01"/>
    <s v="Oka-0813-2707-1646"/>
    <d v="2024-10-30T00:00:00"/>
    <d v="1900-01-14T07:00:00"/>
    <s v="GCI Procurement"/>
    <x v="2"/>
    <x v="30"/>
    <s v="GCI1008"/>
    <s v="Pcs"/>
    <n v="34"/>
    <n v="0"/>
    <x v="5"/>
    <n v="0"/>
    <n v="0"/>
    <m/>
    <m/>
    <m/>
    <m/>
    <m/>
    <m/>
    <m/>
    <n v="0"/>
    <e v="#N/A"/>
    <e v="#N/A"/>
    <s v="OUTBOUND_"/>
  </r>
  <r>
    <s v="2287"/>
    <m/>
    <x v="0"/>
    <s v="INB-W0012410-542"/>
    <s v="EJ-Malang-01"/>
    <s v="Oka-0813-2707-1646"/>
    <d v="2024-10-30T00:00:00"/>
    <d v="1900-01-14T07:00:00"/>
    <s v="GCI Procurement"/>
    <x v="2"/>
    <x v="30"/>
    <s v="GCI1008"/>
    <s v="Pcs"/>
    <n v="150"/>
    <n v="0"/>
    <x v="5"/>
    <n v="0"/>
    <n v="0"/>
    <m/>
    <m/>
    <m/>
    <m/>
    <m/>
    <m/>
    <m/>
    <n v="0"/>
    <e v="#N/A"/>
    <e v="#N/A"/>
    <s v="OUTBOUND_"/>
  </r>
  <r>
    <s v="2288"/>
    <m/>
    <x v="1"/>
    <s v="OUB-W0012410-538"/>
    <s v="EJ-Malang-01"/>
    <s v="Oka-0813-2707-1646"/>
    <d v="2024-10-30T00:00:00"/>
    <d v="1899-12-30T23:25:00"/>
    <s v="EJ-MALANG-01"/>
    <x v="2"/>
    <x v="30"/>
    <s v="GCI1008"/>
    <s v="Pcs"/>
    <n v="10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2289"/>
    <m/>
    <x v="1"/>
    <s v="OUB-W0012410-539"/>
    <s v="EJ-Malang-01"/>
    <s v="Oka-0813-2707-1646"/>
    <d v="2024-10-30T00:00:00"/>
    <d v="1899-12-30T23:25:00"/>
    <s v="EJ-MALANG-01"/>
    <x v="2"/>
    <x v="30"/>
    <s v="GCI1008"/>
    <s v="Pcs"/>
    <n v="20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2290"/>
    <m/>
    <x v="0"/>
    <s v="INB-W0012410-544"/>
    <s v="EJ-Malang-01"/>
    <s v="Oka-0813-2707-1646"/>
    <d v="2024-10-31T00:00:00"/>
    <d v="1900-01-14T07:00:00"/>
    <s v="FIELD TEAM"/>
    <x v="2"/>
    <x v="30"/>
    <s v="GCI1008"/>
    <s v="Pcs"/>
    <n v="111"/>
    <s v="RTN"/>
    <x v="175"/>
    <n v="0"/>
    <n v="0"/>
    <m/>
    <m/>
    <m/>
    <m/>
    <m/>
    <m/>
    <m/>
    <s v="MF Singosari"/>
    <e v="#N/A"/>
    <e v="#N/A"/>
    <s v="OUTBOUND_"/>
  </r>
  <r>
    <s v="2291"/>
    <m/>
    <x v="1"/>
    <s v="OUB-W0012411-547"/>
    <s v="EJ-Malang-01"/>
    <s v="Oka-0813-2707-1646"/>
    <d v="2024-11-06T00:00:00"/>
    <d v="1899-12-30T08:25:00"/>
    <s v="EJ-MALANG-01"/>
    <x v="2"/>
    <x v="30"/>
    <s v="GCI1008"/>
    <s v="Pcs"/>
    <n v="10"/>
    <s v="CLR51-99-095"/>
    <x v="16"/>
    <m/>
    <m/>
    <m/>
    <s v="Riki Romansyah"/>
    <n v="0"/>
    <s v="3507050501950006"/>
    <s v="N 8420 EL"/>
    <m/>
    <m/>
    <s v="Candirenggo RW 10 Singosari"/>
    <e v="#N/A"/>
    <e v="#N/A"/>
    <s v="OUTBOUND_"/>
  </r>
  <r>
    <s v="2292"/>
    <m/>
    <x v="5"/>
    <s v="BOO-W0012411-551"/>
    <s v="EJ-Malang-01"/>
    <s v="Oka-0813-2707-1646"/>
    <d v="2024-11-13T00:00:00"/>
    <d v="1899-12-30T13:30:00"/>
    <s v="Other Subcon"/>
    <x v="2"/>
    <x v="30"/>
    <s v="GCI1008"/>
    <s v="Pcs"/>
    <n v="10"/>
    <s v="BR001"/>
    <x v="178"/>
    <m/>
    <m/>
    <m/>
    <s v="Heri Sutanto"/>
    <n v="0"/>
    <s v="6271030610800012"/>
    <s v="AG 5375 YAN"/>
    <s v="dipinjam BEAUT"/>
    <m/>
    <s v="BEAUT"/>
    <e v="#N/A"/>
    <e v="#N/A"/>
    <s v="BORROW OUT_"/>
  </r>
  <r>
    <s v="2293"/>
    <m/>
    <x v="1"/>
    <s v="OUB-W0012411-553"/>
    <s v="EJ-Malang-01"/>
    <s v="Oka-0813-2707-1646"/>
    <d v="2024-11-20T00:00:00"/>
    <d v="1899-12-30T13:25:00"/>
    <s v="EJ-MALANG-01"/>
    <x v="2"/>
    <x v="30"/>
    <s v="GCI1008"/>
    <s v="Pcs"/>
    <n v="25"/>
    <s v="CLR51-01-009"/>
    <x v="79"/>
    <m/>
    <m/>
    <m/>
    <s v="Riki Romansyah"/>
    <n v="0"/>
    <s v="3507050501950006"/>
    <s v="N 8420 EL"/>
    <m/>
    <m/>
    <s v="Kalirejo RW 13 Lawang Malang"/>
    <e v="#N/A"/>
    <e v="#N/A"/>
    <s v="OUTBOUND_"/>
  </r>
  <r>
    <s v="2294"/>
    <m/>
    <x v="1"/>
    <s v="OUB-W0012411-556"/>
    <s v="EJ-Malang-01"/>
    <s v="Oka-0813-2707-1646"/>
    <d v="2024-11-21T00:00:00"/>
    <d v="1899-12-30T10:35:00"/>
    <s v="EJ-MALANG-01"/>
    <x v="2"/>
    <x v="30"/>
    <s v="GCI1008"/>
    <s v="Pcs"/>
    <n v="10"/>
    <s v="CLR51-99-049"/>
    <x v="80"/>
    <m/>
    <m/>
    <m/>
    <s v="Alexander puji krismanto"/>
    <n v="0"/>
    <s v="1812022707900006"/>
    <s v="AG 8030 KG"/>
    <m/>
    <m/>
    <s v="Perumahan Panca Garden"/>
    <e v="#N/A"/>
    <e v="#N/A"/>
    <s v="OUTBOUND_"/>
  </r>
  <r>
    <s v="2295"/>
    <m/>
    <x v="1"/>
    <s v="OUB-W0012411-558"/>
    <s v="EJ-Malang-01"/>
    <s v="Oka-0813-2707-1646"/>
    <d v="2024-11-22T00:00:00"/>
    <d v="1899-12-30T09:30:00"/>
    <s v="EJ-MALANG-01"/>
    <x v="2"/>
    <x v="30"/>
    <s v="GCI1008"/>
    <s v="Pcs"/>
    <n v="50"/>
    <s v="CLR51-99-124"/>
    <x v="17"/>
    <m/>
    <m/>
    <m/>
    <s v="Riki Romansyah"/>
    <n v="0"/>
    <s v="3507050501950006"/>
    <s v="N 8420 EL"/>
    <m/>
    <m/>
    <s v="Perumahan Bukit Lawang Indah Malang"/>
    <e v="#N/A"/>
    <e v="#N/A"/>
    <s v="OUTBOUND_"/>
  </r>
  <r>
    <s v="2296"/>
    <m/>
    <x v="1"/>
    <s v="OUB-W0012411-564"/>
    <s v="EJ-Malang-01"/>
    <s v="Oka-0813-2707-1646"/>
    <d v="2024-11-26T00:00:00"/>
    <d v="1899-12-30T09:30:00"/>
    <s v="EJ-MALANG-01"/>
    <x v="2"/>
    <x v="30"/>
    <s v="GCI1008"/>
    <s v="Pcs"/>
    <n v="50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2297"/>
    <m/>
    <x v="4"/>
    <s v="BOI-W0012411-570"/>
    <s v="EJ-Malang-01"/>
    <s v="Oka-0813-2707-1646"/>
    <d v="2024-11-30T00:00:00"/>
    <d v="1900-01-14T07:00:00"/>
    <s v="Other Subcon"/>
    <x v="2"/>
    <x v="30"/>
    <s v="GCI1008"/>
    <s v="Pcs"/>
    <n v="10"/>
    <s v="BR001"/>
    <x v="178"/>
    <n v="0"/>
    <n v="0"/>
    <m/>
    <m/>
    <m/>
    <m/>
    <m/>
    <s v="dikembalikan dr BEAUT"/>
    <m/>
    <s v="BEAUT"/>
    <e v="#N/A"/>
    <e v="#N/A"/>
    <s v="OUTBOUND_"/>
  </r>
  <r>
    <s v="2298"/>
    <m/>
    <x v="0"/>
    <s v="INB-W0012411-570"/>
    <s v="EJ-Malang-01"/>
    <s v="Oka-0813-2707-1646"/>
    <d v="2024-11-30T00:00:00"/>
    <d v="1900-01-14T07:00:00"/>
    <s v="GCI Procurement"/>
    <x v="2"/>
    <x v="30"/>
    <s v="GCI1008"/>
    <s v="Pcs"/>
    <n v="96"/>
    <n v="0"/>
    <x v="5"/>
    <n v="0"/>
    <n v="0"/>
    <m/>
    <m/>
    <m/>
    <m/>
    <m/>
    <m/>
    <m/>
    <n v="0"/>
    <e v="#N/A"/>
    <e v="#N/A"/>
    <s v="OUTBOUND_"/>
  </r>
  <r>
    <s v="2299"/>
    <m/>
    <x v="1"/>
    <s v="OUB-W0012412-571"/>
    <s v="EJ-Malang-01"/>
    <s v="Oka-0813-2707-1646"/>
    <d v="2024-12-01T00:00:00"/>
    <d v="1899-12-30T09:30:00"/>
    <s v="EJ-MALANG-01"/>
    <x v="2"/>
    <x v="30"/>
    <s v="GCI1008"/>
    <s v="Pcs"/>
    <n v="50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2300"/>
    <m/>
    <x v="3"/>
    <s v="TFI-W0012412-572"/>
    <s v="EJ-Malang-01"/>
    <s v="Oka-0813-2707-1646"/>
    <d v="2024-12-08T00:00:00"/>
    <d v="1900-01-14T07:00:00"/>
    <s v="EJ-KEDIRI-01"/>
    <x v="2"/>
    <x v="30"/>
    <s v="GCI1008"/>
    <s v="Pcs"/>
    <n v="50"/>
    <s v="TRF"/>
    <x v="78"/>
    <n v="0"/>
    <n v="0"/>
    <m/>
    <m/>
    <m/>
    <m/>
    <m/>
    <m/>
    <m/>
    <s v="KEDIRI"/>
    <e v="#N/A"/>
    <e v="#N/A"/>
    <s v="OUTBOUND_"/>
  </r>
  <r>
    <s v="2301"/>
    <m/>
    <x v="3"/>
    <s v="TFI-W0012412-572"/>
    <s v="EJ-Malang-01"/>
    <s v="Oka-0813-2707-1646"/>
    <d v="2024-12-08T00:00:00"/>
    <d v="1900-01-14T07:00:00"/>
    <s v="EJ-MADIUN-01"/>
    <x v="2"/>
    <x v="30"/>
    <s v="GCI1008"/>
    <s v="Pcs"/>
    <n v="50"/>
    <s v="TRF"/>
    <x v="160"/>
    <n v="0"/>
    <n v="0"/>
    <m/>
    <m/>
    <m/>
    <m/>
    <m/>
    <m/>
    <m/>
    <s v="MADIUN"/>
    <e v="#N/A"/>
    <e v="#N/A"/>
    <s v="OUTBOUND_"/>
  </r>
  <r>
    <s v="2302"/>
    <m/>
    <x v="1"/>
    <s v="OUB-W0012412-573"/>
    <s v="EJ-Malang-01"/>
    <s v="Oka-0813-2707-1646"/>
    <d v="2024-12-09T00:00:00"/>
    <d v="1899-12-30T16:32:00"/>
    <s v="EJ-MALANG-01"/>
    <x v="2"/>
    <x v="30"/>
    <s v="GCI1008"/>
    <s v="Pcs"/>
    <n v="30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2303"/>
    <m/>
    <x v="1"/>
    <s v="OUB-W0012412-574"/>
    <s v="EJ-Malang-01"/>
    <s v="Oka-0813-2707-1646"/>
    <d v="2024-12-11T00:00:00"/>
    <d v="1899-12-30T13:53:00"/>
    <s v="EJ-MALANG-01"/>
    <x v="2"/>
    <x v="30"/>
    <s v="GCI1008"/>
    <s v="Pcs"/>
    <n v="8"/>
    <s v="CLR51-01-009"/>
    <x v="79"/>
    <m/>
    <m/>
    <m/>
    <s v="Riki Romansyah"/>
    <n v="0"/>
    <s v="3507050501950006"/>
    <s v="N 8420 EL"/>
    <m/>
    <m/>
    <s v="Kalirejo RW 13 Lawang Malang"/>
    <e v="#N/A"/>
    <e v="#N/A"/>
    <s v="OUTBOUND_"/>
  </r>
  <r>
    <s v="2304"/>
    <m/>
    <x v="1"/>
    <s v="OUB-W0012412-575"/>
    <s v="EJ-Malang-01"/>
    <s v="Oka-0813-2707-1646"/>
    <d v="2024-12-14T00:00:00"/>
    <d v="1899-12-30T11:39:00"/>
    <s v="EJ-MALANG-01"/>
    <x v="2"/>
    <x v="30"/>
    <s v="GCI1008"/>
    <s v="Pcs"/>
    <n v="100"/>
    <s v="CLR51-09-007"/>
    <x v="143"/>
    <m/>
    <m/>
    <m/>
    <s v="Riki Romansyah"/>
    <n v="0"/>
    <s v="3507050501950006"/>
    <s v="N 8420 EL"/>
    <m/>
    <m/>
    <s v="PERMANU RW 01 MALANG"/>
    <e v="#N/A"/>
    <e v="#N/A"/>
    <s v="OUTBOUND_"/>
  </r>
  <r>
    <s v="2305"/>
    <m/>
    <x v="1"/>
    <s v="OUB-W0012412-576"/>
    <s v="EJ-Malang-01"/>
    <s v="Oka-0813-2707-1646"/>
    <d v="2024-12-15T00:00:00"/>
    <d v="1899-12-30T15:29:00"/>
    <s v="EJ-MALANG-01"/>
    <x v="2"/>
    <x v="30"/>
    <s v="GCI1008"/>
    <s v="Pcs"/>
    <n v="26"/>
    <s v="CLR51-99-049"/>
    <x v="80"/>
    <m/>
    <m/>
    <m/>
    <s v="Fatur"/>
    <n v="0"/>
    <s v="1812010507910004"/>
    <s v="L 9221 K"/>
    <m/>
    <m/>
    <s v="Perumahan Panca Garden"/>
    <e v="#N/A"/>
    <e v="#N/A"/>
    <s v="OUTBOUND_"/>
  </r>
  <r>
    <s v="2306"/>
    <m/>
    <x v="1"/>
    <s v="OUB-W0012412-587"/>
    <s v="EJ-Malang-01"/>
    <s v="Oka-0813-2707-1646"/>
    <d v="2024-12-25T00:00:00"/>
    <d v="1899-12-30T17:31:00"/>
    <s v="EJ-MALANG-01"/>
    <x v="2"/>
    <x v="30"/>
    <s v="GCI1008"/>
    <s v="Pcs"/>
    <n v="25"/>
    <s v="CLR51-09-013"/>
    <x v="144"/>
    <m/>
    <m/>
    <m/>
    <s v="Riki Romansyah"/>
    <n v="0"/>
    <s v="3507050501950006"/>
    <s v="N 8420 EL"/>
    <m/>
    <m/>
    <s v="Perum Chandra Kirana Watugede"/>
    <e v="#N/A"/>
    <e v="#N/A"/>
    <s v="OUTBOUND_"/>
  </r>
  <r>
    <s v="2307"/>
    <m/>
    <x v="0"/>
    <s v="INB-W0012412-593"/>
    <s v="EJ-Malang-01"/>
    <s v="Oka-0813-2707-1646"/>
    <d v="2024-12-30T00:00:00"/>
    <d v="1900-01-14T07:00:00"/>
    <s v="GCI Procurement"/>
    <x v="2"/>
    <x v="30"/>
    <s v="GCI1008"/>
    <s v="Pcs"/>
    <n v="301"/>
    <n v="0"/>
    <x v="5"/>
    <n v="0"/>
    <n v="0"/>
    <m/>
    <m/>
    <m/>
    <m/>
    <m/>
    <m/>
    <m/>
    <n v="0"/>
    <e v="#N/A"/>
    <e v="#N/A"/>
    <s v="OUTBOUND_"/>
  </r>
  <r>
    <s v="2308"/>
    <m/>
    <x v="1"/>
    <s v="OUB-W0012412-591"/>
    <s v="EJ-Malang-01"/>
    <s v="Oka-0813-2707-1646"/>
    <d v="2024-12-30T00:00:00"/>
    <d v="1899-12-30T09:45:00"/>
    <s v="EJ-MALANG-01"/>
    <x v="2"/>
    <x v="30"/>
    <s v="GCI1008"/>
    <s v="Pcs"/>
    <n v="50"/>
    <s v="CLR51-09-013"/>
    <x v="144"/>
    <m/>
    <m/>
    <m/>
    <s v="Riki Romansyah"/>
    <n v="0"/>
    <s v="3507050501950006"/>
    <s v="N 8420 EL"/>
    <m/>
    <m/>
    <s v="Perum Chandra Kirana Watugede"/>
    <e v="#N/A"/>
    <e v="#N/A"/>
    <s v="OUTBOUND_"/>
  </r>
  <r>
    <s v="2309"/>
    <m/>
    <x v="1"/>
    <s v="OUB-W0012501-594"/>
    <s v="EJ-Malang-01"/>
    <s v="Oka-0813-2707-1646"/>
    <d v="2025-01-08T00:00:00"/>
    <d v="1899-12-30T16:39:00"/>
    <s v="EJ-MALANG-01"/>
    <x v="2"/>
    <x v="30"/>
    <s v="GCI1008"/>
    <s v="Pcs"/>
    <n v="30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2310"/>
    <m/>
    <x v="1"/>
    <s v="OUB-W0012501-596"/>
    <s v="EJ-Malang-01"/>
    <s v="Oka-0813-2707-1646"/>
    <d v="2025-01-13T00:00:00"/>
    <d v="1899-12-30T13:00:00"/>
    <s v="EJ-MALANG-01"/>
    <x v="2"/>
    <x v="30"/>
    <s v="GCI1008"/>
    <s v="Pcs"/>
    <n v="20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2311"/>
    <m/>
    <x v="1"/>
    <s v="OUB-W0012501-598"/>
    <s v="EJ-Malang-01"/>
    <s v="Oka-0813-2707-1646"/>
    <d v="2025-01-15T00:00:00"/>
    <d v="1899-12-30T13:00:00"/>
    <s v="EJ-MALANG-01"/>
    <x v="2"/>
    <x v="30"/>
    <s v="GCI1008"/>
    <s v="Pcs"/>
    <n v="20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2312"/>
    <m/>
    <x v="1"/>
    <s v="OUB-W0012501-600"/>
    <s v="EJ-Malang-01"/>
    <s v="Oka-0813-2707-1646"/>
    <d v="2025-01-21T00:00:00"/>
    <d v="1899-12-30T13:40:00"/>
    <s v="EJ-MALANG-01"/>
    <x v="2"/>
    <x v="30"/>
    <s v="GCI1008"/>
    <s v="Pcs"/>
    <n v="30"/>
    <s v="CLR51-03-016"/>
    <x v="145"/>
    <m/>
    <m/>
    <m/>
    <s v="Riki Romansyah"/>
    <n v="0"/>
    <s v="3507050501950006"/>
    <s v="N 8420 EL"/>
    <m/>
    <m/>
    <s v="Citra Kayane Residence"/>
    <e v="#N/A"/>
    <e v="#N/A"/>
    <s v="OUTBOUND_"/>
  </r>
  <r>
    <s v="2313"/>
    <m/>
    <x v="1"/>
    <s v="OUB-W0012501-602"/>
    <s v="EJ-Malang-01"/>
    <s v="Oka-0813-2707-1646"/>
    <d v="2025-01-27T00:00:00"/>
    <d v="1899-12-30T13:40:00"/>
    <s v="EJ-MALANG-01"/>
    <x v="2"/>
    <x v="30"/>
    <s v="GCI1008"/>
    <s v="Pcs"/>
    <n v="11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2314"/>
    <m/>
    <x v="1"/>
    <s v="OUB-W0012502-604"/>
    <s v="EJ-Malang-01"/>
    <s v="Oka-0813-2707-1646"/>
    <d v="2025-02-06T00:00:00"/>
    <d v="1899-12-30T09:35:00"/>
    <s v="EJ-MALANG-01"/>
    <x v="2"/>
    <x v="30"/>
    <s v="GCI1008"/>
    <s v="Pcs"/>
    <n v="30"/>
    <s v="CLR51-99-050"/>
    <x v="88"/>
    <m/>
    <m/>
    <m/>
    <s v="Riki Romansyah"/>
    <n v="0"/>
    <s v="3507050501950006"/>
    <s v="N 8420 EL"/>
    <m/>
    <m/>
    <s v="PERUMAHAN DE WIRA GREEN VIEW"/>
    <e v="#N/A"/>
    <e v="#N/A"/>
    <s v="OUTBOUND_"/>
  </r>
  <r>
    <s v="2315"/>
    <m/>
    <x v="1"/>
    <s v="OUB-W0012502-607"/>
    <s v="EJ-Malang-01"/>
    <s v="Oka-0813-2707-1646"/>
    <d v="2025-02-19T00:00:00"/>
    <d v="1899-12-30T09:35:00"/>
    <s v="EJ-MALANG-01"/>
    <x v="2"/>
    <x v="30"/>
    <s v="GCI1008"/>
    <s v="Pcs"/>
    <n v="50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2316"/>
    <m/>
    <x v="1"/>
    <s v="OUB-W0012502-613"/>
    <s v="EJ-Malang-01"/>
    <s v="Oka-0813-2707-1646"/>
    <d v="2025-02-21T00:00:00"/>
    <d v="1899-12-30T09:35:00"/>
    <s v="EJ-MALANG-01"/>
    <x v="2"/>
    <x v="30"/>
    <s v="GCI1008"/>
    <s v="Pcs"/>
    <n v="12"/>
    <s v="CLR51-02-016"/>
    <x v="141"/>
    <m/>
    <m/>
    <m/>
    <s v="Fatur"/>
    <n v="0"/>
    <s v="1812010507910004"/>
    <s v="L 9221 K"/>
    <m/>
    <m/>
    <s v="Ngenep RW 06 Karang Ploso"/>
    <e v="#N/A"/>
    <e v="#N/A"/>
    <s v="OUTBOUND_"/>
  </r>
  <r>
    <s v="2317"/>
    <m/>
    <x v="1"/>
    <s v="OUB-W0012502-617"/>
    <s v="EJ-Malang-01"/>
    <s v="Oka-0813-2707-1646"/>
    <d v="2025-02-22T00:00:00"/>
    <d v="1899-12-30T08:29:00"/>
    <s v="EJ-MALANG-01"/>
    <x v="2"/>
    <x v="30"/>
    <s v="GCI1008"/>
    <s v="Pcs"/>
    <n v="4"/>
    <s v="CLR51-03-010"/>
    <x v="61"/>
    <m/>
    <m/>
    <m/>
    <s v="Fatur"/>
    <n v="0"/>
    <s v="1812010507910004"/>
    <s v="L 9221 K"/>
    <m/>
    <m/>
    <s v="Dusun Krajan Sumbersekar"/>
    <e v="#N/A"/>
    <e v="#N/A"/>
    <s v="OUTBOUND_"/>
  </r>
  <r>
    <s v="2318"/>
    <m/>
    <x v="1"/>
    <s v="OUB-W0012502-618"/>
    <s v="EJ-Malang-01"/>
    <s v="Oka-0813-2707-1646"/>
    <d v="2025-02-24T00:00:00"/>
    <d v="1899-12-30T15:09:00"/>
    <s v="EJ-MALANG-01"/>
    <x v="2"/>
    <x v="30"/>
    <s v="GCI1008"/>
    <s v="Pcs"/>
    <n v="30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2319"/>
    <m/>
    <x v="1"/>
    <s v="OUB-W0012503-621"/>
    <s v="EJ-Malang-01"/>
    <s v="Oka-0813-2707-1646"/>
    <d v="2025-03-06T00:00:00"/>
    <d v="1899-12-30T15:09:00"/>
    <s v="EJ-MALANG-01"/>
    <x v="2"/>
    <x v="30"/>
    <s v="GCI1008"/>
    <s v="Pcs"/>
    <n v="15"/>
    <s v="TRF"/>
    <x v="5"/>
    <m/>
    <m/>
    <m/>
    <s v="Fatur"/>
    <n v="0"/>
    <s v="1812010507910004"/>
    <s v="L 9221 K"/>
    <s v="Ke WH Gresik"/>
    <m/>
    <n v="0"/>
    <e v="#N/A"/>
    <e v="#N/A"/>
    <s v="OUTBOUND_"/>
  </r>
  <r>
    <s v="2320"/>
    <m/>
    <x v="1"/>
    <s v="OUB-W0012503-630"/>
    <s v="EJ-Malang-01"/>
    <s v="Oka-0813-2707-1646"/>
    <d v="2025-03-21T00:00:00"/>
    <d v="1899-12-30T18:50:00"/>
    <s v="EJ-MALANG-01"/>
    <x v="2"/>
    <x v="30"/>
    <s v="GCI1008"/>
    <s v="Pcs"/>
    <n v="21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2321"/>
    <m/>
    <x v="1"/>
    <s v="OUB-W0012503-631"/>
    <s v="EJ-Malang-01"/>
    <s v="Oka-0813-2707-1646"/>
    <d v="2025-03-22T00:00:00"/>
    <d v="1899-12-30T16:09:00"/>
    <s v="EJ-MALANG-01"/>
    <x v="2"/>
    <x v="30"/>
    <s v="GCI1008"/>
    <s v="Pcs"/>
    <n v="158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2322"/>
    <m/>
    <x v="1"/>
    <s v="OUB-W0012503-635"/>
    <s v="EJ-Malang-01"/>
    <s v="Oka-0813-2707-1646"/>
    <d v="2025-03-25T00:00:00"/>
    <d v="1899-12-30T19:57:00"/>
    <s v="EJ-MALANG-01"/>
    <x v="2"/>
    <x v="30"/>
    <s v="GCI1008"/>
    <s v="Pcs"/>
    <n v="44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2323"/>
    <m/>
    <x v="3"/>
    <s v="TFI-W0012506-645"/>
    <s v="EJ-Malang-01"/>
    <s v="Oka-0813-2707-1646"/>
    <d v="2025-06-11T00:00:00"/>
    <d v="1900-01-14T07:00:00"/>
    <s v="EJ-GRESIK-01"/>
    <x v="2"/>
    <x v="30"/>
    <s v="GCI1008"/>
    <s v="Pcs"/>
    <n v="75"/>
    <s v="TRF"/>
    <x v="93"/>
    <n v="0"/>
    <n v="0"/>
    <m/>
    <m/>
    <m/>
    <m/>
    <m/>
    <m/>
    <m/>
    <s v="GRESIK"/>
    <e v="#N/A"/>
    <e v="#N/A"/>
    <s v="OUTBOUND_"/>
  </r>
  <r>
    <s v="2324"/>
    <m/>
    <x v="0"/>
    <s v="INB-W0012506-655"/>
    <s v="EJ-Malang-01"/>
    <s v="Oka-0813-2707-1646"/>
    <d v="2025-06-23T00:00:00"/>
    <d v="1900-01-14T07:00:00"/>
    <s v="GCI Procurement"/>
    <x v="2"/>
    <x v="30"/>
    <s v="GCI1008"/>
    <s v="Pcs"/>
    <n v="397"/>
    <n v="0"/>
    <x v="5"/>
    <n v="0"/>
    <n v="0"/>
    <m/>
    <m/>
    <m/>
    <m/>
    <m/>
    <m/>
    <m/>
    <n v="0"/>
    <e v="#N/A"/>
    <e v="#N/A"/>
    <s v="OUTBOUND_"/>
  </r>
  <r>
    <s v="2325"/>
    <m/>
    <x v="1"/>
    <s v="OUB-W0012506-654"/>
    <s v="EJ-Malang-01"/>
    <s v="Oka-0813-2707-1646"/>
    <d v="2025-06-23T00:00:00"/>
    <d v="1899-12-30T15:30:00"/>
    <s v="EJ-MALANG-01"/>
    <x v="2"/>
    <x v="30"/>
    <s v="GCI1008"/>
    <s v="Pcs"/>
    <n v="262"/>
    <n v="0"/>
    <x v="147"/>
    <m/>
    <m/>
    <m/>
    <s v="Fatur"/>
    <n v="0"/>
    <s v="1812010507910004"/>
    <s v="L 9221 K"/>
    <m/>
    <m/>
    <s v="Pncokusumo"/>
    <e v="#N/A"/>
    <e v="#N/A"/>
    <s v="OUTBOUND_"/>
  </r>
  <r>
    <s v="2326"/>
    <m/>
    <x v="1"/>
    <s v="OUB-W0012506-663"/>
    <s v="EJ-Malang-01"/>
    <s v="Oka-0813-2707-1646"/>
    <d v="2025-06-27T00:00:00"/>
    <d v="1899-12-30T12:57:00"/>
    <s v="EJ-MALANG-01"/>
    <x v="2"/>
    <x v="30"/>
    <s v="GCI1008"/>
    <s v="Pcs"/>
    <n v="135"/>
    <n v="0"/>
    <x v="148"/>
    <m/>
    <m/>
    <m/>
    <s v="Riki Romansyah"/>
    <n v="0"/>
    <s v="3507050501950006"/>
    <s v="N 8420 EL"/>
    <m/>
    <m/>
    <s v="Bululawang"/>
    <e v="#N/A"/>
    <e v="#N/A"/>
    <s v="OUTBOUND_"/>
  </r>
  <r>
    <s v="2327"/>
    <m/>
    <x v="0"/>
    <s v="INB-W0012507-667"/>
    <s v="EJ-Malang-01"/>
    <s v="Oka-0813-2707-1646"/>
    <d v="2025-07-11T00:00:00"/>
    <d v="1900-01-14T07:00:00"/>
    <s v="GCI Procurement"/>
    <x v="2"/>
    <x v="30"/>
    <s v="GCI1008"/>
    <s v="Pcs"/>
    <n v="129"/>
    <n v="0"/>
    <x v="5"/>
    <n v="0"/>
    <n v="0"/>
    <m/>
    <m/>
    <m/>
    <m/>
    <m/>
    <m/>
    <m/>
    <n v="0"/>
    <e v="#N/A"/>
    <e v="#N/A"/>
    <s v="OUTBOUND_"/>
  </r>
  <r>
    <s v="2328"/>
    <m/>
    <x v="1"/>
    <s v="OUB-W0012507-666"/>
    <s v="EJ-Malang-01"/>
    <s v="Oka-0813-2707-1646"/>
    <d v="2025-07-11T00:00:00"/>
    <d v="1899-12-30T14:36:00"/>
    <s v="EJ-MALANG-01"/>
    <x v="2"/>
    <x v="30"/>
    <s v="GCI1008"/>
    <s v="Pcs"/>
    <n v="129"/>
    <n v="0"/>
    <x v="148"/>
    <m/>
    <m/>
    <m/>
    <s v="Fahrudin"/>
    <n v="0"/>
    <n v="0"/>
    <s v="N 1383 G"/>
    <m/>
    <m/>
    <s v="Bululawang"/>
    <e v="#N/A"/>
    <e v="#N/A"/>
    <s v="OUTBOUND_"/>
  </r>
  <r>
    <s v="2329"/>
    <m/>
    <x v="0"/>
    <s v="INB-W0012507-676"/>
    <s v="EJ-Malang-01"/>
    <s v="Oka-0813-2707-1646"/>
    <d v="2025-07-30T00:00:00"/>
    <d v="1900-01-14T07:00:00"/>
    <s v="GCI Procurement"/>
    <x v="2"/>
    <x v="30"/>
    <s v="GCI1008"/>
    <s v="Pcs"/>
    <n v="200"/>
    <n v="0"/>
    <x v="5"/>
    <n v="0"/>
    <n v="0"/>
    <m/>
    <m/>
    <m/>
    <m/>
    <m/>
    <m/>
    <m/>
    <n v="0"/>
    <e v="#N/A"/>
    <e v="#N/A"/>
    <s v="OUTBOUND_"/>
  </r>
  <r>
    <s v="2330"/>
    <m/>
    <x v="1"/>
    <s v="OUB-W0012507-677"/>
    <s v="EJ-Malang-01"/>
    <s v="Oka-0813-2707-1646"/>
    <d v="2025-07-31T00:00:00"/>
    <d v="1899-12-30T11:21:00"/>
    <s v="EJ-MALANG-01"/>
    <x v="2"/>
    <x v="30"/>
    <s v="GCI1008"/>
    <s v="Pcs"/>
    <n v="200"/>
    <n v="0"/>
    <x v="162"/>
    <m/>
    <m/>
    <m/>
    <s v="Riki Romansyah"/>
    <n v="0"/>
    <s v="3507050501950006"/>
    <s v="N 8420 EL"/>
    <m/>
    <m/>
    <s v="Krebet"/>
    <e v="#N/A"/>
    <e v="#N/A"/>
    <s v="OUTBOUND_"/>
  </r>
  <r>
    <s v="2331"/>
    <m/>
    <x v="0"/>
    <s v="INB-W0012508-693"/>
    <s v="EJ-Malang-01"/>
    <s v="Oka-0813-2707-1646"/>
    <d v="2025-08-21T00:00:00"/>
    <d v="1900-01-14T07:00:00"/>
    <s v="GCI Procurement"/>
    <x v="2"/>
    <x v="30"/>
    <s v="GCI1008"/>
    <s v="Pcs"/>
    <n v="196"/>
    <n v="0"/>
    <x v="5"/>
    <n v="0"/>
    <n v="0"/>
    <m/>
    <m/>
    <m/>
    <m/>
    <m/>
    <m/>
    <m/>
    <n v="0"/>
    <e v="#N/A"/>
    <e v="#N/A"/>
    <s v="OUTBOUND_"/>
  </r>
  <r>
    <s v="2332"/>
    <m/>
    <x v="1"/>
    <s v="OUB-W0012508-694"/>
    <s v="EJ-Malang-01"/>
    <s v="Oka-0813-2707-1646"/>
    <d v="2025-08-23T00:00:00"/>
    <d v="1899-12-30T10:17:00"/>
    <s v="EJ-MALANG-01"/>
    <x v="2"/>
    <x v="30"/>
    <s v="GCI1008"/>
    <s v="Pcs"/>
    <n v="196"/>
    <n v="0"/>
    <x v="149"/>
    <m/>
    <m/>
    <m/>
    <s v="Riki Romansyah"/>
    <n v="0"/>
    <s v="3507050501950006"/>
    <s v="N 8420 EL"/>
    <m/>
    <m/>
    <s v="Bululawang Permai"/>
    <e v="#N/A"/>
    <e v="#N/A"/>
    <s v="OUTBOUND_"/>
  </r>
  <r>
    <s v="2333"/>
    <m/>
    <x v="1"/>
    <s v="OUB-W0012508-702"/>
    <s v="EJ-Malang-01"/>
    <s v="Oka-0813-2707-1646"/>
    <d v="2025-08-31T00:00:00"/>
    <d v="1899-12-30T21:36:25"/>
    <s v="EJ-MALANG-01"/>
    <x v="2"/>
    <x v="30"/>
    <s v="GCI1008"/>
    <s v="Pcs"/>
    <n v="7"/>
    <s v="ADJUSTMENT"/>
    <x v="18"/>
    <s v="-"/>
    <s v="-"/>
    <m/>
    <m/>
    <m/>
    <m/>
    <m/>
    <s v="ADJUSTMENT"/>
    <m/>
    <s v="ADJUSTMENT"/>
    <e v="#N/A"/>
    <e v="#N/A"/>
    <s v="OUTBOUND_"/>
  </r>
  <r>
    <s v="2334"/>
    <n v="5"/>
    <x v="0"/>
    <s v="INB-W0012510-001"/>
    <s v="EJ-Malang-01"/>
    <s v="Oka-0813-2707-1646"/>
    <d v="2025-10-14T00:00:00"/>
    <d v="1899-12-30T15:21:00"/>
    <s v="GCI Procurement"/>
    <x v="2"/>
    <x v="30"/>
    <s v="GCI1008"/>
    <s v="Pcs"/>
    <n v="217"/>
    <s v="CLR51-99-370"/>
    <x v="111"/>
    <s v="DOEID25081590"/>
    <s v="DNWID1382025081505"/>
    <m/>
    <m/>
    <m/>
    <m/>
    <m/>
    <m/>
    <m/>
    <s v="Perumahan Bululawang Permai RW 02"/>
    <d v="2025-08-19T00:00:00"/>
    <b v="0"/>
    <s v="OUTBOUND_"/>
  </r>
  <r>
    <s v="2335"/>
    <n v="5"/>
    <x v="1"/>
    <s v="OUB-W0012510-001"/>
    <s v="EJ-Malang-01"/>
    <s v="Oka-0813-2707-1646"/>
    <d v="2025-10-16T00:00:00"/>
    <d v="1899-12-30T10:21:00"/>
    <s v="EJ-MALANG-01"/>
    <x v="2"/>
    <x v="30"/>
    <s v="GCI1008"/>
    <s v="Pcs"/>
    <n v="217"/>
    <s v="CLR51-99-257"/>
    <x v="150"/>
    <m/>
    <m/>
    <m/>
    <s v="Riki Romansyah"/>
    <n v="0"/>
    <s v="3507050501950006"/>
    <s v="N 8420 EL"/>
    <m/>
    <m/>
    <s v="Asshofa Residence"/>
    <e v="#N/A"/>
    <e v="#N/A"/>
    <s v="OUTBOUND_"/>
  </r>
  <r>
    <s v="2336"/>
    <n v="1"/>
    <x v="0"/>
    <s v="INB-W0012511-004"/>
    <s v="EJ-Malang-01"/>
    <s v="Oka-0813-2707-1646"/>
    <d v="2025-11-26T00:00:00"/>
    <d v="1899-12-30T16:01:00"/>
    <s v="GCI Procurement"/>
    <x v="2"/>
    <x v="30"/>
    <s v="GCI1008"/>
    <s v="Pcs"/>
    <n v="245"/>
    <s v="-"/>
    <x v="3"/>
    <s v="-"/>
    <s v="-"/>
    <m/>
    <m/>
    <m/>
    <m/>
    <m/>
    <m/>
    <m/>
    <n v="0"/>
    <e v="#N/A"/>
    <e v="#N/A"/>
    <s v="OUTBOUND_"/>
  </r>
  <r>
    <s v="2337"/>
    <n v="2"/>
    <x v="1"/>
    <s v="OUB-W0012512-005"/>
    <s v="EJ-Malang-01"/>
    <s v="Oka-0813-2707-1646"/>
    <d v="2025-12-15T00:00:00"/>
    <d v="1899-12-30T08:50:00"/>
    <s v="EJ-MALANG-01"/>
    <x v="2"/>
    <x v="30"/>
    <s v="GCI1008"/>
    <s v="Pcs"/>
    <n v="245"/>
    <s v="-"/>
    <x v="3"/>
    <s v="-"/>
    <s v="-"/>
    <m/>
    <s v="Riki Romansyah"/>
    <s v="Suliadi"/>
    <s v="3507050501950006"/>
    <s v="N 8420 EL"/>
    <m/>
    <m/>
    <n v="0"/>
    <e v="#N/A"/>
    <e v="#N/A"/>
    <s v="OUTBOUND_"/>
  </r>
  <r>
    <s v="2338"/>
    <n v="6"/>
    <x v="0"/>
    <s v="INB-W0012512-019"/>
    <s v="EJ-Malang-01"/>
    <s v="Oka-0813-2707-1646"/>
    <d v="2025-12-23T00:00:00"/>
    <d v="1899-12-30T08:00:00"/>
    <s v="GCI Procurement"/>
    <x v="2"/>
    <x v="30"/>
    <s v="GCI1008"/>
    <s v="Pcs"/>
    <n v="1087"/>
    <m/>
    <x v="3"/>
    <m/>
    <m/>
    <m/>
    <m/>
    <m/>
    <m/>
    <m/>
    <m/>
    <m/>
    <n v="0"/>
    <e v="#N/A"/>
    <e v="#N/A"/>
    <s v="OUTBOUND_"/>
  </r>
  <r>
    <s v="2339"/>
    <n v="9"/>
    <x v="1"/>
    <s v="OUB-W0012512-024"/>
    <s v="EJ-Malang-01"/>
    <s v="Oka-0813-2707-1646"/>
    <d v="2025-12-25T00:00:00"/>
    <d v="1899-12-30T12:13:00"/>
    <s v="EJ-MALANG-01"/>
    <x v="2"/>
    <x v="30"/>
    <s v="GCI1008"/>
    <s v="Pcs"/>
    <n v="1087"/>
    <m/>
    <x v="3"/>
    <m/>
    <m/>
    <m/>
    <s v="Riki Romansyah"/>
    <s v="Suliadi"/>
    <s v="3507050501950006"/>
    <s v="N 8420 EL"/>
    <m/>
    <m/>
    <n v="0"/>
    <e v="#N/A"/>
    <e v="#N/A"/>
    <s v="OUTBOUND_"/>
  </r>
  <r>
    <s v="2340"/>
    <m/>
    <x v="0"/>
    <s v="INB-W0012311-118"/>
    <s v="EJ-Malang-01"/>
    <s v="Oka-0813-2707-1646"/>
    <d v="2023-11-05T00:00:00"/>
    <d v="1900-01-14T07:00:00"/>
    <s v="GCI Procurement"/>
    <x v="2"/>
    <x v="31"/>
    <s v="GCI1018"/>
    <s v="Pcs"/>
    <n v="60"/>
    <n v="0"/>
    <x v="5"/>
    <n v="0"/>
    <n v="0"/>
    <m/>
    <m/>
    <m/>
    <m/>
    <m/>
    <m/>
    <m/>
    <n v="0"/>
    <e v="#N/A"/>
    <e v="#N/A"/>
    <s v="OUTBOUND_"/>
  </r>
  <r>
    <s v="2341"/>
    <m/>
    <x v="1"/>
    <s v="OUB-W0012312-143"/>
    <s v="EJ-Malang-01"/>
    <s v="Oka-0813-2707-1646"/>
    <d v="2023-12-07T00:00:00"/>
    <d v="1899-12-30T21:30:00"/>
    <s v="EJ-MALANG-01"/>
    <x v="2"/>
    <x v="31"/>
    <s v="GCI1018"/>
    <s v="Pcs"/>
    <n v="8"/>
    <s v="CLR51-99-013"/>
    <x v="26"/>
    <m/>
    <m/>
    <m/>
    <s v="Fatur"/>
    <n v="0"/>
    <s v="1812010507910004"/>
    <s v="L 9221 K"/>
    <m/>
    <m/>
    <s v="Pandan Landung RW 03 Wagir"/>
    <e v="#N/A"/>
    <e v="#N/A"/>
    <s v="OUTBOUND_"/>
  </r>
  <r>
    <s v="2342"/>
    <m/>
    <x v="1"/>
    <s v="OUB-W0012406-391"/>
    <s v="EJ-Malang-01"/>
    <s v="Oka-0813-2707-1646"/>
    <d v="2024-06-26T00:00:00"/>
    <d v="1899-12-30T09:57:00"/>
    <s v="EJ-MALANG-01"/>
    <x v="2"/>
    <x v="31"/>
    <s v="GCI1018"/>
    <s v="Pcs"/>
    <n v="15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2343"/>
    <m/>
    <x v="1"/>
    <s v="OUB-W0012412-585"/>
    <s v="EJ-Malang-01"/>
    <s v="Oka-0813-2707-1646"/>
    <d v="2024-12-24T00:00:00"/>
    <d v="1899-12-30T10:53:00"/>
    <s v="EJ-MALANG-01"/>
    <x v="2"/>
    <x v="31"/>
    <s v="GCI1018"/>
    <s v="Pcs"/>
    <n v="12"/>
    <s v="CLR51-09-013"/>
    <x v="144"/>
    <m/>
    <m/>
    <m/>
    <s v="Riki Romansyah"/>
    <n v="0"/>
    <s v="3507050501950006"/>
    <s v="N 8420 EL"/>
    <m/>
    <m/>
    <s v="Perum Chandra Kirana Watugede"/>
    <e v="#N/A"/>
    <e v="#N/A"/>
    <s v="OUTBOUND_"/>
  </r>
  <r>
    <s v="2344"/>
    <m/>
    <x v="1"/>
    <s v="OUB-W0012508-702"/>
    <s v="EJ-Malang-01"/>
    <s v="Oka-0813-2707-1646"/>
    <d v="2025-08-31T00:00:00"/>
    <d v="1899-12-30T21:36:25"/>
    <s v="EJ-MALANG-01"/>
    <x v="2"/>
    <x v="31"/>
    <s v="GCI1018"/>
    <s v="Pcs"/>
    <n v="25"/>
    <s v="ADJUSTMENT"/>
    <x v="18"/>
    <m/>
    <m/>
    <m/>
    <m/>
    <m/>
    <m/>
    <m/>
    <s v="ADJUSTMENT"/>
    <m/>
    <s v="ADJUSTMENT"/>
    <e v="#N/A"/>
    <e v="#N/A"/>
    <s v="OUTBOUND_"/>
  </r>
  <r>
    <s v="2345"/>
    <m/>
    <x v="0"/>
    <s v="INB-W0012308-6"/>
    <s v="EJ-Malang-01"/>
    <s v="Oka-0813-2707-1646"/>
    <d v="2023-08-09T00:00:00"/>
    <d v="1900-01-14T07:00:00"/>
    <s v="GCI Procurement"/>
    <x v="2"/>
    <x v="32"/>
    <s v="GCI1011"/>
    <s v="Pcs"/>
    <n v="1"/>
    <s v="CLR51-99-004"/>
    <x v="19"/>
    <n v="0"/>
    <n v="0"/>
    <m/>
    <m/>
    <m/>
    <m/>
    <m/>
    <m/>
    <m/>
    <s v="Perumahan Bumi Podo Rukun Dau"/>
    <e v="#N/A"/>
    <e v="#N/A"/>
    <s v="OUTBOUND_"/>
  </r>
  <r>
    <s v="2346"/>
    <m/>
    <x v="1"/>
    <s v="OUB-W0012308-7"/>
    <s v="EJ-Malang-01"/>
    <s v="Oka-0813-2707-1646"/>
    <d v="2023-08-10T00:00:00"/>
    <d v="1900-01-14T16:37:24"/>
    <s v="EJ-MALANG-01"/>
    <x v="2"/>
    <x v="32"/>
    <s v="GCI1011"/>
    <s v="Pcs"/>
    <n v="1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2347"/>
    <m/>
    <x v="0"/>
    <s v="INB-W0012309-37"/>
    <s v="EJ-Malang-01"/>
    <s v="Oka-0813-2707-1646"/>
    <d v="2023-09-22T00:00:00"/>
    <d v="1900-01-14T07:00:00"/>
    <s v="GCI Procurement"/>
    <x v="2"/>
    <x v="32"/>
    <s v="GCI1011"/>
    <s v="Pcs"/>
    <n v="1"/>
    <s v="CLR51-02-001"/>
    <x v="20"/>
    <n v="0"/>
    <n v="0"/>
    <m/>
    <m/>
    <m/>
    <m/>
    <m/>
    <s v="Di antar ke Khoiri Supplier "/>
    <m/>
    <s v="Puncak Dieng Exlusif"/>
    <e v="#N/A"/>
    <e v="#N/A"/>
    <s v="OUTBOUND_"/>
  </r>
  <r>
    <s v="2348"/>
    <m/>
    <x v="1"/>
    <s v="OUB-W0012309-51"/>
    <s v="EJ-Malang-01"/>
    <s v="Oka-0813-2707-1646"/>
    <d v="2023-09-27T00:00:00"/>
    <d v="1899-12-30T12:30:00"/>
    <s v="EJ-MALANG-01"/>
    <x v="2"/>
    <x v="32"/>
    <s v="GCI1011"/>
    <s v="Pcs"/>
    <n v="1"/>
    <s v="CLR51-99-013"/>
    <x v="26"/>
    <m/>
    <m/>
    <m/>
    <s v="Ahmad Subari"/>
    <s v="Khoiri Supplier"/>
    <s v="3507150401800010"/>
    <s v="N 9795 EM"/>
    <m/>
    <m/>
    <s v="Pandan Landung RW 03 Wagir"/>
    <e v="#N/A"/>
    <e v="#N/A"/>
    <s v="OUTBOUND_"/>
  </r>
  <r>
    <s v="2349"/>
    <m/>
    <x v="1"/>
    <s v="OUB-W0012310-100"/>
    <s v="EJ-Malang-01"/>
    <s v="Oka-0813-2707-1646"/>
    <d v="2023-10-21T00:00:00"/>
    <d v="1899-12-30T23:24:00"/>
    <s v="EJ-MALANG-01"/>
    <x v="2"/>
    <x v="32"/>
    <s v="GCI1011"/>
    <s v="Pcs"/>
    <n v="1"/>
    <n v="0"/>
    <x v="5"/>
    <m/>
    <m/>
    <m/>
    <s v="Mustofa"/>
    <n v="0"/>
    <s v="3209140803860003"/>
    <s v="N 9609 EF"/>
    <m/>
    <m/>
    <n v="0"/>
    <e v="#N/A"/>
    <e v="#N/A"/>
    <s v="OUTBOUND_"/>
  </r>
  <r>
    <s v="2350"/>
    <m/>
    <x v="0"/>
    <s v="INB-W0012310-113"/>
    <s v="EJ-Malang-01"/>
    <s v="Oka-0813-2707-1646"/>
    <d v="2023-10-25T00:00:00"/>
    <d v="1900-01-14T07:00:00"/>
    <s v="GCI Procurement"/>
    <x v="2"/>
    <x v="32"/>
    <s v="GCI1011"/>
    <s v="Pcs"/>
    <n v="1"/>
    <s v="PRC"/>
    <x v="135"/>
    <n v="0"/>
    <n v="0"/>
    <m/>
    <m/>
    <m/>
    <m/>
    <m/>
    <s v="Dari UD Cipta karya"/>
    <m/>
    <s v="Purchase"/>
    <e v="#N/A"/>
    <e v="#N/A"/>
    <s v="OUTBOUND_"/>
  </r>
  <r>
    <s v="2351"/>
    <m/>
    <x v="1"/>
    <s v="OUB-W0012311-117"/>
    <s v="EJ-Malang-01"/>
    <s v="Oka-0813-2707-1646"/>
    <d v="2023-11-05T00:00:00"/>
    <d v="1899-12-30T12:06:00"/>
    <s v="EJ-MALANG-01"/>
    <x v="2"/>
    <x v="32"/>
    <s v="GCI1011"/>
    <s v="Pcs"/>
    <n v="0"/>
    <s v="CLR51-99-021"/>
    <x v="27"/>
    <m/>
    <m/>
    <m/>
    <s v="Khoiri"/>
    <n v="0"/>
    <s v="3507330905820002"/>
    <s v="N 8638 ES"/>
    <s v="160m"/>
    <m/>
    <s v="Jedong RW 09 Wagir"/>
    <e v="#N/A"/>
    <e v="#N/A"/>
    <s v="OUTBOUND_"/>
  </r>
  <r>
    <s v="2352"/>
    <m/>
    <x v="1"/>
    <s v="OUB-W0012311-120"/>
    <s v="EJ-Malang-01"/>
    <s v="Oka-0813-2707-1646"/>
    <d v="2023-11-14T00:00:00"/>
    <d v="1899-12-30T18:01:00"/>
    <s v="EJ-MALANG-01"/>
    <x v="2"/>
    <x v="32"/>
    <s v="GCI1011"/>
    <s v="Pcs"/>
    <n v="0"/>
    <s v="CLR51-99-017"/>
    <x v="21"/>
    <m/>
    <m/>
    <m/>
    <s v="Mustofa"/>
    <n v="0"/>
    <n v="0"/>
    <s v="L 9116 CA"/>
    <s v="840m"/>
    <m/>
    <s v="Sukodadi RW 01 Wagir"/>
    <e v="#N/A"/>
    <e v="#N/A"/>
    <s v="OUTBOUND_"/>
  </r>
  <r>
    <s v="2353"/>
    <m/>
    <x v="1"/>
    <s v="OUB-W0012311-120"/>
    <s v="EJ-Malang-01"/>
    <s v="Oka-0813-2707-1646"/>
    <d v="2023-11-14T00:00:00"/>
    <d v="1899-12-30T18:01:00"/>
    <s v="EJ-MALANG-01"/>
    <x v="2"/>
    <x v="32"/>
    <s v="GCI1011"/>
    <s v="Pcs"/>
    <n v="0"/>
    <s v="CLR51-99-018"/>
    <x v="151"/>
    <m/>
    <m/>
    <m/>
    <s v="Mustofa"/>
    <n v="0"/>
    <n v="0"/>
    <s v="L 9116 CA"/>
    <m/>
    <m/>
    <s v="Sukodadi RW 02 Wagir"/>
    <e v="#N/A"/>
    <e v="#N/A"/>
    <s v="OUTBOUND_"/>
  </r>
  <r>
    <s v="2354"/>
    <m/>
    <x v="0"/>
    <s v="INB-W0012311-132"/>
    <s v="EJ-Malang-01"/>
    <s v="Oka-0813-2707-1646"/>
    <d v="2023-11-26T00:00:00"/>
    <d v="1900-01-14T07:00:00"/>
    <s v="GCI Procurement"/>
    <x v="2"/>
    <x v="32"/>
    <s v="GCI1011"/>
    <s v="Pcs"/>
    <n v="1"/>
    <s v="PRC"/>
    <x v="135"/>
    <n v="0"/>
    <n v="0"/>
    <m/>
    <m/>
    <m/>
    <m/>
    <m/>
    <m/>
    <m/>
    <s v="Purchase"/>
    <e v="#N/A"/>
    <e v="#N/A"/>
    <s v="OUTBOUND_"/>
  </r>
  <r>
    <s v="2355"/>
    <m/>
    <x v="1"/>
    <s v="OUB-W0012312-142"/>
    <s v="EJ-Malang-01"/>
    <s v="Oka-0813-2707-1646"/>
    <d v="2023-12-06T00:00:00"/>
    <d v="1899-12-30T09:36:00"/>
    <s v="EJ-MALANG-01"/>
    <x v="2"/>
    <x v="32"/>
    <s v="GCI1011"/>
    <s v="Pcs"/>
    <n v="1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2356"/>
    <m/>
    <x v="0"/>
    <s v="INB-W0012312-150"/>
    <s v="EJ-Malang-01"/>
    <s v="Oka-0813-2707-1646"/>
    <d v="2023-12-18T00:00:00"/>
    <d v="1900-01-14T07:00:00"/>
    <s v="GCI Procurement"/>
    <x v="2"/>
    <x v="32"/>
    <s v="GCI1011"/>
    <s v="Pcs"/>
    <n v="1"/>
    <s v="RTN"/>
    <x v="156"/>
    <n v="0"/>
    <n v="0"/>
    <m/>
    <m/>
    <m/>
    <m/>
    <m/>
    <s v="Fahrudin sisa +-750m"/>
    <m/>
    <s v="Pengembalian"/>
    <e v="#N/A"/>
    <e v="#N/A"/>
    <s v="OUTBOUND_"/>
  </r>
  <r>
    <s v="2357"/>
    <m/>
    <x v="1"/>
    <s v="OUB-W0012312-152"/>
    <s v="EJ-Malang-01"/>
    <s v="Oka-0813-2707-1646"/>
    <d v="2023-12-23T00:00:00"/>
    <d v="1899-12-30T09:36:00"/>
    <s v="EJ-MALANG-01"/>
    <x v="2"/>
    <x v="32"/>
    <s v="GCI1011"/>
    <s v="Pcs"/>
    <n v="1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2358"/>
    <m/>
    <x v="0"/>
    <s v="INB-W0012401-176"/>
    <s v="EJ-Malang-01"/>
    <s v="Oka-0813-2707-1646"/>
    <d v="2024-01-16T00:00:00"/>
    <d v="1900-01-14T07:00:00"/>
    <s v="GCI Procurement"/>
    <x v="2"/>
    <x v="32"/>
    <s v="GCI1011"/>
    <s v="Pcs"/>
    <n v="1"/>
    <s v="PRC"/>
    <x v="135"/>
    <n v="0"/>
    <n v="0"/>
    <m/>
    <m/>
    <m/>
    <m/>
    <m/>
    <s v="Lulus Supplier"/>
    <m/>
    <s v="Purchase"/>
    <e v="#N/A"/>
    <e v="#N/A"/>
    <s v="OUTBOUND_"/>
  </r>
  <r>
    <s v="2359"/>
    <m/>
    <x v="1"/>
    <s v="OUB-W0012401-197"/>
    <s v="EJ-Malang-01"/>
    <s v="Oka-0813-2707-1646"/>
    <d v="2024-01-23T00:00:00"/>
    <d v="1899-12-30T14:19:00"/>
    <s v="EJ-MALANG-01"/>
    <x v="2"/>
    <x v="32"/>
    <s v="GCI1011"/>
    <s v="Pcs"/>
    <n v="1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2360"/>
    <m/>
    <x v="3"/>
    <s v="TFI-W0012401-209"/>
    <s v="EJ-Malang-01"/>
    <s v="Oka-0813-2707-1646"/>
    <d v="2024-01-27T00:00:00"/>
    <d v="1900-01-14T07:00:00"/>
    <s v="EJ-JOMBANG-01"/>
    <x v="2"/>
    <x v="32"/>
    <s v="GCI1011"/>
    <s v="Pcs"/>
    <n v="1"/>
    <s v="TRF"/>
    <x v="138"/>
    <n v="0"/>
    <n v="0"/>
    <m/>
    <m/>
    <m/>
    <m/>
    <m/>
    <s v="Dari Jombang"/>
    <m/>
    <s v="JOMBANG"/>
    <e v="#N/A"/>
    <e v="#N/A"/>
    <s v="OUTBOUND_"/>
  </r>
  <r>
    <s v="2361"/>
    <m/>
    <x v="1"/>
    <s v="OUB-W0012401-210"/>
    <s v="EJ-Malang-01"/>
    <s v="Oka-0813-2707-1646"/>
    <d v="2024-01-28T00:00:00"/>
    <d v="1899-12-30T14:58:00"/>
    <s v="EJ-MALANG-01"/>
    <x v="2"/>
    <x v="32"/>
    <s v="GCI1011"/>
    <s v="Pcs"/>
    <n v="1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2362"/>
    <m/>
    <x v="0"/>
    <s v="INB-W0012402-252"/>
    <s v="EJ-Malang-01"/>
    <s v="Oka-0813-2707-1646"/>
    <d v="2024-02-27T00:00:00"/>
    <d v="1900-01-14T07:00:00"/>
    <s v="GCI Procurement"/>
    <x v="2"/>
    <x v="32"/>
    <s v="GCI1011"/>
    <s v="Pcs"/>
    <n v="1"/>
    <n v="0"/>
    <x v="136"/>
    <n v="0"/>
    <n v="0"/>
    <m/>
    <m/>
    <m/>
    <m/>
    <m/>
    <m/>
    <m/>
    <s v="UD RIZQI JAYA PRATAMA "/>
    <e v="#N/A"/>
    <e v="#N/A"/>
    <s v="OUTBOUND_"/>
  </r>
  <r>
    <s v="2363"/>
    <m/>
    <x v="1"/>
    <s v="OUB-W0012402-253"/>
    <s v="EJ-Malang-01"/>
    <s v="Oka-0813-2707-1646"/>
    <d v="2024-02-28T00:00:00"/>
    <d v="1899-12-30T09:12:00"/>
    <s v="EJ-MALANG-01"/>
    <x v="2"/>
    <x v="32"/>
    <s v="GCI1011"/>
    <s v="Pcs"/>
    <n v="1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2364"/>
    <m/>
    <x v="0"/>
    <s v="INB-W0012403-283"/>
    <s v="EJ-Malang-01"/>
    <s v="Oka-0813-2707-1646"/>
    <d v="2024-03-22T00:00:00"/>
    <d v="1900-01-14T07:00:00"/>
    <s v="GCI Procurement"/>
    <x v="2"/>
    <x v="32"/>
    <s v="GCI1011"/>
    <s v="Pcs"/>
    <n v="1"/>
    <n v="0"/>
    <x v="137"/>
    <n v="0"/>
    <n v="0"/>
    <m/>
    <m/>
    <m/>
    <m/>
    <m/>
    <m/>
    <m/>
    <s v="UD HALIM"/>
    <e v="#N/A"/>
    <e v="#N/A"/>
    <s v="OUTBOUND_"/>
  </r>
  <r>
    <s v="2365"/>
    <m/>
    <x v="1"/>
    <s v="OUB-W0012403-290"/>
    <s v="EJ-Malang-01"/>
    <s v="Oka-0813-2707-1646"/>
    <d v="2024-03-26T00:00:00"/>
    <d v="1899-12-30T22:31:00"/>
    <s v="EJ-MALANG-01"/>
    <x v="2"/>
    <x v="32"/>
    <s v="GCI1011"/>
    <s v="Pcs"/>
    <n v="1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2366"/>
    <m/>
    <x v="0"/>
    <s v="INB-W0012404-327"/>
    <s v="EJ-Malang-01"/>
    <s v="Oka-0813-2707-1646"/>
    <d v="2024-04-30T00:00:00"/>
    <d v="1900-01-14T07:00:00"/>
    <s v="GCI Procurement"/>
    <x v="2"/>
    <x v="32"/>
    <s v="GCI1011"/>
    <s v="Pcs"/>
    <n v="1"/>
    <n v="0"/>
    <x v="5"/>
    <n v="0"/>
    <n v="0"/>
    <m/>
    <m/>
    <m/>
    <m/>
    <m/>
    <m/>
    <m/>
    <n v="0"/>
    <e v="#N/A"/>
    <e v="#N/A"/>
    <s v="OUTBOUND_"/>
  </r>
  <r>
    <s v="2367"/>
    <m/>
    <x v="1"/>
    <s v="OUB-W0012404-326"/>
    <s v="EJ-Malang-01"/>
    <s v="Oka-0813-2707-1646"/>
    <d v="2024-04-30T00:00:00"/>
    <d v="1899-12-30T12:00:00"/>
    <s v="EJ-MALANG-01"/>
    <x v="2"/>
    <x v="32"/>
    <s v="GCI1011"/>
    <s v="Pcs"/>
    <n v="1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2368"/>
    <m/>
    <x v="0"/>
    <s v="INB-W0012406-370"/>
    <s v="EJ-Malang-01"/>
    <s v="Oka-0813-2707-1646"/>
    <d v="2024-06-06T00:00:00"/>
    <d v="1900-01-14T07:00:00"/>
    <s v="GCI Procurement"/>
    <x v="2"/>
    <x v="32"/>
    <s v="GCI1011"/>
    <s v="Pcs"/>
    <n v="1"/>
    <n v="0"/>
    <x v="5"/>
    <n v="0"/>
    <n v="0"/>
    <m/>
    <m/>
    <m/>
    <m/>
    <m/>
    <m/>
    <m/>
    <n v="0"/>
    <e v="#N/A"/>
    <e v="#N/A"/>
    <s v="OUTBOUND_"/>
  </r>
  <r>
    <s v="2369"/>
    <m/>
    <x v="1"/>
    <s v="OUB-W0012406-371"/>
    <s v="EJ-Malang-01"/>
    <s v="Oka-0813-2707-1646"/>
    <d v="2024-06-07T00:00:00"/>
    <d v="1899-12-30T17:21:00"/>
    <s v="EJ-MALANG-01"/>
    <x v="2"/>
    <x v="32"/>
    <s v="GCI1011"/>
    <s v="Pcs"/>
    <n v="1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2370"/>
    <m/>
    <x v="0"/>
    <s v="INB-W0012406-390"/>
    <s v="EJ-Malang-01"/>
    <s v="Oka-0813-2707-1646"/>
    <d v="2024-06-25T00:00:00"/>
    <d v="1900-01-14T07:00:00"/>
    <s v="GCI Procurement"/>
    <x v="2"/>
    <x v="32"/>
    <s v="GCI1011"/>
    <s v="Pcs"/>
    <n v="2.8"/>
    <n v="0"/>
    <x v="5"/>
    <n v="0"/>
    <n v="0"/>
    <m/>
    <m/>
    <m/>
    <m/>
    <m/>
    <m/>
    <m/>
    <n v="0"/>
    <e v="#N/A"/>
    <e v="#N/A"/>
    <s v="OUTBOUND_"/>
  </r>
  <r>
    <s v="2371"/>
    <m/>
    <x v="0"/>
    <s v="INB-W0012407-395"/>
    <s v="EJ-Malang-01"/>
    <s v="Oka-0813-2707-1646"/>
    <d v="2024-07-03T00:00:00"/>
    <d v="1900-01-14T07:00:00"/>
    <s v="GCI Procurement"/>
    <x v="2"/>
    <x v="32"/>
    <s v="GCI1011"/>
    <s v="Pcs"/>
    <n v="1"/>
    <n v="0"/>
    <x v="140"/>
    <n v="0"/>
    <n v="0"/>
    <m/>
    <m/>
    <m/>
    <m/>
    <m/>
    <m/>
    <m/>
    <s v="HALIM JAYA"/>
    <e v="#N/A"/>
    <e v="#N/A"/>
    <s v="OUTBOUND_"/>
  </r>
  <r>
    <s v="2372"/>
    <m/>
    <x v="1"/>
    <s v="OUB-W0012407-398"/>
    <s v="EJ-Malang-01"/>
    <s v="Oka-0813-2707-1646"/>
    <d v="2024-07-05T00:00:00"/>
    <d v="1899-12-30T13:09:00"/>
    <s v="EJ-MALANG-01"/>
    <x v="2"/>
    <x v="32"/>
    <s v="GCI1011"/>
    <s v="Pcs"/>
    <n v="1"/>
    <s v="CLR51-99-061"/>
    <x v="54"/>
    <m/>
    <m/>
    <m/>
    <s v="Riki Romansyah"/>
    <s v="Febby Supplier"/>
    <s v="3507050501950006"/>
    <s v="N 8420 EL"/>
    <m/>
    <m/>
    <s v="Perumahan Perumnas Talangagung I Malang"/>
    <e v="#N/A"/>
    <e v="#N/A"/>
    <s v="OUTBOUND_"/>
  </r>
  <r>
    <s v="2373"/>
    <m/>
    <x v="1"/>
    <s v="OUB-W0012407-404"/>
    <s v="EJ-Malang-01"/>
    <s v="Oka-0813-2707-1646"/>
    <d v="2024-07-12T00:00:00"/>
    <d v="1899-12-30T09:36:00"/>
    <s v="EJ-MALANG-01"/>
    <x v="2"/>
    <x v="32"/>
    <s v="GCI1011"/>
    <s v="Pcs"/>
    <n v="0.8"/>
    <s v="CLR51-02-016"/>
    <x v="141"/>
    <m/>
    <m/>
    <m/>
    <s v="Riki Romansyah"/>
    <s v="Febby Supplier"/>
    <s v="3507050501950006"/>
    <s v="N 8420 EL"/>
    <m/>
    <m/>
    <s v="Ngenep RW 06 Karang Ploso"/>
    <e v="#N/A"/>
    <e v="#N/A"/>
    <s v="OUTBOUND_"/>
  </r>
  <r>
    <s v="2374"/>
    <m/>
    <x v="0"/>
    <s v="INB-W0012408-426"/>
    <s v="EJ-Malang-01"/>
    <s v="Oka-0813-2707-1646"/>
    <d v="2024-08-02T00:00:00"/>
    <d v="1900-01-14T07:00:00"/>
    <s v="GCI Procurement"/>
    <x v="2"/>
    <x v="32"/>
    <s v="GCI1011"/>
    <s v="Pcs"/>
    <n v="1"/>
    <n v="0"/>
    <x v="5"/>
    <n v="0"/>
    <n v="0"/>
    <m/>
    <m/>
    <m/>
    <m/>
    <m/>
    <m/>
    <m/>
    <n v="0"/>
    <e v="#N/A"/>
    <e v="#N/A"/>
    <s v="OUTBOUND_"/>
  </r>
  <r>
    <s v="2375"/>
    <m/>
    <x v="1"/>
    <s v="OUB-W0012408-427"/>
    <s v="EJ-Malang-01"/>
    <s v="Oka-0813-2707-1646"/>
    <d v="2024-08-03T00:00:00"/>
    <d v="1899-12-30T09:36:00"/>
    <s v="EJ-MALANG-01"/>
    <x v="2"/>
    <x v="32"/>
    <s v="GCI1011"/>
    <s v="Pcs"/>
    <n v="1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2376"/>
    <m/>
    <x v="1"/>
    <s v="OUB-W0012408-448"/>
    <s v="EJ-Malang-01"/>
    <s v="Oka-0813-2707-1646"/>
    <d v="2024-08-20T00:00:00"/>
    <d v="1899-12-30T16:54:00"/>
    <s v="EJ-MALANG-01"/>
    <x v="2"/>
    <x v="32"/>
    <s v="GCI1011"/>
    <s v="Pcs"/>
    <n v="1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2377"/>
    <m/>
    <x v="3"/>
    <s v="TFI-W0012408-472"/>
    <s v="EJ-Malang-01"/>
    <s v="Oka-0813-2707-1646"/>
    <d v="2024-08-30T00:00:00"/>
    <d v="1900-01-14T07:00:00"/>
    <s v="EJ-GRESIK-01"/>
    <x v="2"/>
    <x v="32"/>
    <s v="GCI1011"/>
    <s v="Pcs"/>
    <n v="1"/>
    <s v="TRF"/>
    <x v="93"/>
    <s v="dr gresi"/>
    <n v="0"/>
    <m/>
    <m/>
    <m/>
    <m/>
    <m/>
    <m/>
    <m/>
    <s v="GRESIK"/>
    <e v="#N/A"/>
    <e v="#N/A"/>
    <s v="OUTBOUND_"/>
  </r>
  <r>
    <s v="2378"/>
    <m/>
    <x v="1"/>
    <s v="OUB-W0012409-501"/>
    <s v="EJ-Malang-01"/>
    <s v="Oka-0813-2707-1646"/>
    <d v="2024-09-12T00:00:00"/>
    <d v="1899-12-30T10:21:00"/>
    <s v="EJ-MALANG-01"/>
    <x v="2"/>
    <x v="32"/>
    <s v="GCI1011"/>
    <s v="Pcs"/>
    <n v="1"/>
    <s v="CLR51-03-005"/>
    <x v="58"/>
    <m/>
    <m/>
    <m/>
    <s v="Riki Romansyah"/>
    <n v="0"/>
    <s v="3507050501950006"/>
    <s v="N 8420 EL"/>
    <m/>
    <m/>
    <s v="Dusun Langlang IV Singosari"/>
    <e v="#N/A"/>
    <e v="#N/A"/>
    <s v="OUTBOUND_"/>
  </r>
  <r>
    <s v="2379"/>
    <m/>
    <x v="1"/>
    <s v="OUB-W0012411-553"/>
    <s v="EJ-Malang-01"/>
    <s v="Oka-0813-2707-1646"/>
    <d v="2024-11-20T00:00:00"/>
    <d v="1899-12-30T13:25:00"/>
    <s v="EJ-MALANG-01"/>
    <x v="2"/>
    <x v="32"/>
    <s v="GCI1011"/>
    <s v="Pcs"/>
    <n v="1"/>
    <s v="CLR51-01-009"/>
    <x v="79"/>
    <m/>
    <m/>
    <m/>
    <s v="Riki Romansyah"/>
    <n v="0"/>
    <s v="3507050501950006"/>
    <s v="N 8420 EL"/>
    <m/>
    <m/>
    <s v="Kalirejo RW 13 Lawang Malang"/>
    <e v="#N/A"/>
    <e v="#N/A"/>
    <s v="OUTBOUND_"/>
  </r>
  <r>
    <s v="2380"/>
    <m/>
    <x v="0"/>
    <s v="INB-W0012411-570"/>
    <s v="EJ-Malang-01"/>
    <s v="Oka-0813-2707-1646"/>
    <d v="2024-11-30T00:00:00"/>
    <d v="1900-01-14T07:00:00"/>
    <s v="GCI Procurement"/>
    <x v="2"/>
    <x v="32"/>
    <s v="GCI1011"/>
    <s v="Pcs"/>
    <n v="1"/>
    <n v="0"/>
    <x v="5"/>
    <n v="0"/>
    <n v="0"/>
    <m/>
    <m/>
    <m/>
    <m/>
    <m/>
    <m/>
    <m/>
    <n v="0"/>
    <e v="#N/A"/>
    <e v="#N/A"/>
    <s v="OUTBOUND_"/>
  </r>
  <r>
    <s v="2381"/>
    <m/>
    <x v="1"/>
    <s v="OUB-W0012412-578"/>
    <s v="EJ-Malang-01"/>
    <s v="Oka-0813-2707-1646"/>
    <d v="2024-12-16T00:00:00"/>
    <d v="1899-12-30T17:12:00"/>
    <s v="EJ-MALANG-01"/>
    <x v="2"/>
    <x v="32"/>
    <s v="GCI1011"/>
    <s v="Pcs"/>
    <n v="1"/>
    <s v="CLR51-09-007"/>
    <x v="143"/>
    <m/>
    <m/>
    <m/>
    <s v="Riki Romansyah"/>
    <n v="0"/>
    <s v="3507050501950006"/>
    <s v="N 8420 EL"/>
    <m/>
    <m/>
    <s v="PERMANU RW 01 MALANG"/>
    <e v="#N/A"/>
    <e v="#N/A"/>
    <s v="OUTBOUND_"/>
  </r>
  <r>
    <s v="2382"/>
    <m/>
    <x v="0"/>
    <s v="INB-W0012412-593"/>
    <s v="EJ-Malang-01"/>
    <s v="Oka-0813-2707-1646"/>
    <d v="2024-12-30T00:00:00"/>
    <d v="1900-01-14T07:00:00"/>
    <s v="GCI Procurement"/>
    <x v="2"/>
    <x v="32"/>
    <s v="GCI1011"/>
    <s v="Pcs"/>
    <n v="2"/>
    <n v="0"/>
    <x v="5"/>
    <n v="0"/>
    <n v="0"/>
    <m/>
    <m/>
    <m/>
    <m/>
    <m/>
    <m/>
    <m/>
    <n v="0"/>
    <e v="#N/A"/>
    <e v="#N/A"/>
    <s v="OUTBOUND_"/>
  </r>
  <r>
    <s v="2383"/>
    <m/>
    <x v="1"/>
    <s v="OUB-W0012503-636"/>
    <s v="EJ-Malang-01"/>
    <s v="Oka-0813-2707-1646"/>
    <d v="2025-03-26T00:00:00"/>
    <d v="1899-12-30T19:57:00"/>
    <s v="EJ-MALANG-01"/>
    <x v="2"/>
    <x v="32"/>
    <s v="GCI1011"/>
    <s v="Pcs"/>
    <n v="1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2384"/>
    <m/>
    <x v="0"/>
    <s v="INB-W0012506-655"/>
    <s v="EJ-Malang-01"/>
    <s v="Oka-0813-2707-1646"/>
    <d v="2025-06-23T00:00:00"/>
    <d v="1900-01-14T07:00:00"/>
    <s v="GCI Procurement"/>
    <x v="2"/>
    <x v="32"/>
    <s v="GCI1011"/>
    <s v="Pcs"/>
    <n v="2"/>
    <n v="0"/>
    <x v="5"/>
    <n v="0"/>
    <n v="0"/>
    <m/>
    <m/>
    <m/>
    <m/>
    <m/>
    <m/>
    <m/>
    <n v="0"/>
    <e v="#N/A"/>
    <e v="#N/A"/>
    <s v="OUTBOUND_"/>
  </r>
  <r>
    <s v="2385"/>
    <m/>
    <x v="1"/>
    <s v="OUB-W0012506-654"/>
    <s v="EJ-Malang-01"/>
    <s v="Oka-0813-2707-1646"/>
    <d v="2025-06-23T00:00:00"/>
    <d v="1899-12-30T15:30:00"/>
    <s v="EJ-MALANG-01"/>
    <x v="2"/>
    <x v="32"/>
    <s v="GCI1011"/>
    <s v="Pcs"/>
    <n v="1"/>
    <n v="0"/>
    <x v="148"/>
    <m/>
    <m/>
    <m/>
    <m/>
    <m/>
    <m/>
    <m/>
    <m/>
    <m/>
    <s v="Bululawang"/>
    <e v="#N/A"/>
    <e v="#N/A"/>
    <s v="OUTBOUND_"/>
  </r>
  <r>
    <s v="2386"/>
    <m/>
    <x v="1"/>
    <s v="OUB-W0012506-654"/>
    <s v="EJ-Malang-01"/>
    <s v="Oka-0813-2707-1646"/>
    <d v="2025-06-23T00:00:00"/>
    <d v="1899-12-30T15:30:00"/>
    <s v="EJ-MALANG-01"/>
    <x v="2"/>
    <x v="32"/>
    <s v="GCI1011"/>
    <s v="Pcs"/>
    <n v="2"/>
    <n v="0"/>
    <x v="147"/>
    <m/>
    <m/>
    <m/>
    <s v="Fatur"/>
    <n v="0"/>
    <s v="1812010507910004"/>
    <s v="L 9221 K"/>
    <m/>
    <m/>
    <s v="Pncokusumo"/>
    <e v="#N/A"/>
    <e v="#N/A"/>
    <s v="OUTBOUND_"/>
  </r>
  <r>
    <s v="2387"/>
    <m/>
    <x v="0"/>
    <s v="INB-W0012508-693"/>
    <s v="EJ-Malang-01"/>
    <s v="Oka-0813-2707-1646"/>
    <d v="2025-08-21T00:00:00"/>
    <d v="1900-01-14T07:00:00"/>
    <s v="GCI Procurement"/>
    <x v="2"/>
    <x v="32"/>
    <s v="GCI1011"/>
    <s v="Pcs"/>
    <n v="1"/>
    <n v="0"/>
    <x v="5"/>
    <n v="0"/>
    <n v="0"/>
    <m/>
    <m/>
    <m/>
    <m/>
    <m/>
    <m/>
    <m/>
    <n v="0"/>
    <e v="#N/A"/>
    <e v="#N/A"/>
    <s v="OUTBOUND_"/>
  </r>
  <r>
    <s v="2388"/>
    <m/>
    <x v="1"/>
    <s v="OUB-W0012508-694"/>
    <s v="EJ-Malang-01"/>
    <s v="Oka-0813-2707-1646"/>
    <d v="2025-08-23T00:00:00"/>
    <d v="1899-12-30T10:17:00"/>
    <s v="EJ-MALANG-01"/>
    <x v="2"/>
    <x v="32"/>
    <s v="GCI1011"/>
    <s v="Pcs"/>
    <n v="1"/>
    <n v="0"/>
    <x v="149"/>
    <m/>
    <m/>
    <m/>
    <s v="Riki Romansyah"/>
    <n v="0"/>
    <s v="3507050501950006"/>
    <s v="N 8420 EL"/>
    <m/>
    <m/>
    <s v="Bululawang Permai"/>
    <e v="#N/A"/>
    <e v="#N/A"/>
    <s v="OUTBOUND_"/>
  </r>
  <r>
    <s v="2389"/>
    <n v="6"/>
    <x v="0"/>
    <s v="INB-W0012510-001"/>
    <s v="EJ-Malang-01"/>
    <s v="Oka-0813-2707-1646"/>
    <d v="2025-10-14T00:00:00"/>
    <d v="1899-12-30T15:21:00"/>
    <s v="GCI Procurement"/>
    <x v="2"/>
    <x v="32"/>
    <s v="GCI1011"/>
    <s v="Pcs"/>
    <n v="1"/>
    <s v="CLR51-99-370"/>
    <x v="111"/>
    <s v="DOEID25081590"/>
    <s v="DNWID1382025081505"/>
    <m/>
    <m/>
    <m/>
    <m/>
    <m/>
    <m/>
    <m/>
    <s v="Perumahan Bululawang Permai RW 02"/>
    <d v="2025-08-19T00:00:00"/>
    <b v="0"/>
    <s v="OUTBOUND_"/>
  </r>
  <r>
    <s v="2390"/>
    <n v="6"/>
    <x v="1"/>
    <s v="OUB-W0012510-001"/>
    <s v="EJ-Malang-01"/>
    <s v="Oka-0813-2707-1646"/>
    <d v="2025-10-16T00:00:00"/>
    <d v="1899-12-30T10:21:00"/>
    <s v="EJ-MALANG-01"/>
    <x v="2"/>
    <x v="32"/>
    <s v="GCI1011"/>
    <s v="Pcs"/>
    <n v="1"/>
    <s v="CLR51-99-257"/>
    <x v="150"/>
    <m/>
    <m/>
    <m/>
    <s v="Riki Romansyah"/>
    <n v="0"/>
    <s v="3507050501950006"/>
    <s v="N 8420 EL"/>
    <m/>
    <m/>
    <s v="Asshofa Residence"/>
    <e v="#N/A"/>
    <e v="#N/A"/>
    <s v="OUTBOUND_"/>
  </r>
  <r>
    <s v="2391"/>
    <n v="5"/>
    <x v="3"/>
    <s v="TFI-W0012511-002"/>
    <s v="EJ-Malang-01"/>
    <s v="Oka-0813-2707-1646"/>
    <d v="2025-11-21T00:00:00"/>
    <d v="1899-12-30T08:00:00"/>
    <s v="EJ-Lamongan-01"/>
    <x v="2"/>
    <x v="32"/>
    <s v="GCI1011"/>
    <s v="Meter"/>
    <n v="1"/>
    <s v="CLR51-99-372"/>
    <x v="114"/>
    <s v="DOEID251024G5"/>
    <s v="DNWID1382025102406"/>
    <m/>
    <m/>
    <m/>
    <m/>
    <m/>
    <m/>
    <m/>
    <s v="PALAAN RW 01 SAMPAI 05 MALANG"/>
    <d v="2025-10-25T00:00:00"/>
    <b v="0"/>
    <s v="OUTBOUND_"/>
  </r>
  <r>
    <s v="2392"/>
    <n v="6"/>
    <x v="1"/>
    <s v="OUB-W0012511-006"/>
    <s v="EJ-Malang-01"/>
    <s v="Oka-0813-2707-1646"/>
    <d v="2025-11-22T00:00:00"/>
    <d v="1899-12-30T13:00:00"/>
    <s v="EJ-MALANG-01"/>
    <x v="2"/>
    <x v="32"/>
    <s v="GCI1011"/>
    <s v="Meter"/>
    <n v="1"/>
    <s v="CLR51-99-375"/>
    <x v="115"/>
    <s v="DOEID251024K3"/>
    <s v="DNWID1382025102408"/>
    <m/>
    <s v="Riki Romansyah"/>
    <n v="0"/>
    <s v="3507050501950006"/>
    <s v="N 8420 EL"/>
    <m/>
    <m/>
    <s v="PALAAN RW 06 SAMPAI 10 MALANG"/>
    <d v="2025-10-25T00:00:00"/>
    <b v="0"/>
    <s v="OUTBOUND_"/>
  </r>
  <r>
    <s v="2393"/>
    <n v="7"/>
    <x v="0"/>
    <s v="INB-W0012511-004"/>
    <s v="EJ-Malang-01"/>
    <s v="Oka-0813-2707-1646"/>
    <d v="2025-11-26T00:00:00"/>
    <d v="1899-12-30T16:01:00"/>
    <s v="GCI Procurement"/>
    <x v="2"/>
    <x v="32"/>
    <s v="GCI1011"/>
    <s v="Meter"/>
    <n v="1"/>
    <s v="-"/>
    <x v="3"/>
    <s v="-"/>
    <s v="-"/>
    <m/>
    <m/>
    <m/>
    <m/>
    <m/>
    <m/>
    <m/>
    <n v="0"/>
    <e v="#N/A"/>
    <e v="#N/A"/>
    <s v="OUTBOUND_"/>
  </r>
  <r>
    <s v="2394"/>
    <n v="9"/>
    <x v="1"/>
    <s v="OUB-W0012512-005"/>
    <s v="EJ-Malang-01"/>
    <s v="Oka-0813-2707-1646"/>
    <d v="2025-12-15T00:00:00"/>
    <d v="1899-12-30T08:50:00"/>
    <s v="EJ-MALANG-01"/>
    <x v="2"/>
    <x v="32"/>
    <s v="GCI1011"/>
    <s v="Meter"/>
    <n v="1"/>
    <s v="-"/>
    <x v="3"/>
    <s v="-"/>
    <s v="-"/>
    <m/>
    <s v="Riki Romansyah"/>
    <s v="Suliadi"/>
    <s v="3507050501950006"/>
    <s v="N 8420 EL"/>
    <m/>
    <m/>
    <n v="0"/>
    <e v="#N/A"/>
    <e v="#N/A"/>
    <s v="OUTBOUND_"/>
  </r>
  <r>
    <s v="2395"/>
    <n v="8"/>
    <x v="0"/>
    <s v="INB-W0012512-019"/>
    <s v="EJ-Malang-01"/>
    <s v="Oka-0813-2707-1646"/>
    <d v="2025-12-23T00:00:00"/>
    <d v="1899-12-30T08:00:00"/>
    <s v="GCI Procurement"/>
    <x v="2"/>
    <x v="32"/>
    <s v="GCI1011"/>
    <s v="Pcs"/>
    <n v="4"/>
    <m/>
    <x v="3"/>
    <m/>
    <m/>
    <m/>
    <m/>
    <m/>
    <m/>
    <m/>
    <m/>
    <m/>
    <n v="0"/>
    <e v="#N/A"/>
    <e v="#N/A"/>
    <s v="OUTBOUND_"/>
  </r>
  <r>
    <s v="2396"/>
    <n v="11"/>
    <x v="1"/>
    <s v="OUB-W0012512-024"/>
    <s v="EJ-Malang-01"/>
    <s v="Oka-0813-2707-1646"/>
    <d v="2025-12-25T00:00:00"/>
    <d v="1899-12-30T12:13:00"/>
    <s v="EJ-MALANG-01"/>
    <x v="2"/>
    <x v="32"/>
    <s v="GCI1011"/>
    <s v="Pcs"/>
    <n v="4"/>
    <m/>
    <x v="3"/>
    <m/>
    <m/>
    <m/>
    <s v="Riki Romansyah"/>
    <s v="Suliadi"/>
    <s v="3507050501950006"/>
    <s v="N 8420 EL"/>
    <m/>
    <m/>
    <n v="0"/>
    <e v="#N/A"/>
    <e v="#N/A"/>
    <s v="OUTBOUND_"/>
  </r>
  <r>
    <s v="2397"/>
    <m/>
    <x v="0"/>
    <s v="INB-W0012308-6"/>
    <s v="EJ-Malang-01"/>
    <s v="Oka-0813-2707-1646"/>
    <d v="2023-08-09T00:00:00"/>
    <d v="1900-01-14T07:00:00"/>
    <s v="GCI Procurement"/>
    <x v="2"/>
    <x v="33"/>
    <s v="GCI1007"/>
    <s v="Pcs"/>
    <n v="135"/>
    <s v="CLR51-99-004"/>
    <x v="19"/>
    <n v="0"/>
    <n v="0"/>
    <m/>
    <m/>
    <m/>
    <m/>
    <m/>
    <m/>
    <m/>
    <s v="Perumahan Bumi Podo Rukun Dau"/>
    <e v="#N/A"/>
    <e v="#N/A"/>
    <s v="OUTBOUND_"/>
  </r>
  <r>
    <s v="2398"/>
    <m/>
    <x v="1"/>
    <s v="OUB-W0012308-7"/>
    <s v="EJ-Malang-01"/>
    <s v="Oka-0813-2707-1646"/>
    <d v="2023-08-10T00:00:00"/>
    <d v="1900-01-14T16:37:24"/>
    <s v="EJ-MALANG-01"/>
    <x v="2"/>
    <x v="33"/>
    <s v="GCI1007"/>
    <s v="Pcs"/>
    <n v="135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2399"/>
    <m/>
    <x v="0"/>
    <s v="INB-W0012308-14"/>
    <s v="EJ-Malang-01"/>
    <s v="Oka-0813-2707-1646"/>
    <d v="2023-08-24T00:00:00"/>
    <d v="1900-01-14T07:00:00"/>
    <s v="GCI Procurement"/>
    <x v="2"/>
    <x v="33"/>
    <s v="GCI1007"/>
    <s v="Pcs"/>
    <n v="130"/>
    <s v="CLR51-99-006"/>
    <x v="23"/>
    <n v="0"/>
    <n v="0"/>
    <m/>
    <m/>
    <m/>
    <m/>
    <m/>
    <m/>
    <m/>
    <s v="Mulyorejo RW 04 Sukun"/>
    <e v="#N/A"/>
    <e v="#N/A"/>
    <s v="OUTBOUND_"/>
  </r>
  <r>
    <s v="2400"/>
    <m/>
    <x v="0"/>
    <s v="INB-W0012309-20"/>
    <s v="EJ-Malang-01"/>
    <s v="Oka-0813-2707-1646"/>
    <d v="2023-09-04T00:00:00"/>
    <d v="1900-01-14T07:00:00"/>
    <s v="FIELD TEAM"/>
    <x v="2"/>
    <x v="33"/>
    <s v="GCI1007"/>
    <s v="Pcs"/>
    <n v="14"/>
    <s v="CLR51-99-004"/>
    <x v="19"/>
    <n v="0"/>
    <n v="0"/>
    <m/>
    <m/>
    <m/>
    <m/>
    <m/>
    <s v="Pengembalian Perumahan Bumi Podo Rukun Dau"/>
    <m/>
    <s v="Perumahan Bumi Podo Rukun Dau"/>
    <e v="#N/A"/>
    <e v="#N/A"/>
    <s v="OUTBOUND_"/>
  </r>
  <r>
    <s v="2401"/>
    <m/>
    <x v="1"/>
    <s v="OUB-W0012309-19"/>
    <s v="EJ-Malang-01"/>
    <s v="Oka-0813-2707-1646"/>
    <d v="2023-09-04T00:00:00"/>
    <d v="1899-12-30T16:37:00"/>
    <s v="EJ-MALANG-01"/>
    <x v="2"/>
    <x v="33"/>
    <s v="GCI1007"/>
    <s v="Pcs"/>
    <n v="80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2402"/>
    <m/>
    <x v="0"/>
    <s v="INB-W0012309-26"/>
    <s v="EJ-Malang-01"/>
    <s v="Oka-0813-2707-1646"/>
    <d v="2023-09-08T00:00:00"/>
    <d v="1899-12-30T16:14:00"/>
    <s v="FIELD TEAM"/>
    <x v="2"/>
    <x v="33"/>
    <s v="GCI1007"/>
    <s v="Pcs"/>
    <n v="6"/>
    <s v="CLR51-99-006"/>
    <x v="23"/>
    <n v="0"/>
    <n v="0"/>
    <m/>
    <m/>
    <m/>
    <m/>
    <m/>
    <s v="Pengembalian dari Mulyorejo RW 04 Sukun"/>
    <m/>
    <s v="Mulyorejo RW 04 Sukun"/>
    <e v="#N/A"/>
    <e v="#N/A"/>
    <s v="OUTBOUND_"/>
  </r>
  <r>
    <s v="2403"/>
    <m/>
    <x v="1"/>
    <s v="OUB-W0012309-24"/>
    <s v="EJ-Malang-01"/>
    <s v="Oka-0813-2707-1646"/>
    <d v="2023-09-08T00:00:00"/>
    <d v="1899-12-30T08:54:00"/>
    <s v="EJ-MALANG-01"/>
    <x v="2"/>
    <x v="33"/>
    <s v="GCI1007"/>
    <s v="Pcs"/>
    <n v="20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2404"/>
    <m/>
    <x v="1"/>
    <s v="OUB-W0012310-84"/>
    <s v="EJ-Malang-01"/>
    <s v="Oka-0813-2707-1646"/>
    <d v="2023-10-18T00:00:00"/>
    <d v="1899-12-30T14:05:00"/>
    <s v="EJ-MALANG-01"/>
    <x v="2"/>
    <x v="33"/>
    <s v="GCI1007"/>
    <s v="Pcs"/>
    <n v="50"/>
    <s v="CLR51-99-013"/>
    <x v="26"/>
    <m/>
    <m/>
    <m/>
    <s v="Ahmad Subari"/>
    <n v="0"/>
    <s v="3507150401800010"/>
    <s v="N 9609 EF"/>
    <m/>
    <m/>
    <s v="Pandan Landung RW 03 Wagir"/>
    <e v="#N/A"/>
    <e v="#N/A"/>
    <s v="OUTBOUND_"/>
  </r>
  <r>
    <s v="2405"/>
    <m/>
    <x v="1"/>
    <s v="OUB-W0012310-100"/>
    <s v="EJ-Malang-01"/>
    <s v="Oka-0813-2707-1646"/>
    <d v="2023-10-21T00:00:00"/>
    <d v="1899-12-30T23:24:00"/>
    <s v="EJ-MALANG-01"/>
    <x v="2"/>
    <x v="33"/>
    <s v="GCI1007"/>
    <s v="Pcs"/>
    <n v="0"/>
    <n v="0"/>
    <x v="5"/>
    <m/>
    <m/>
    <m/>
    <s v="Mustofa"/>
    <n v="0"/>
    <s v="3209140803860003"/>
    <s v="N 9609 EF"/>
    <m/>
    <m/>
    <n v="0"/>
    <e v="#N/A"/>
    <e v="#N/A"/>
    <s v="OUTBOUND_"/>
  </r>
  <r>
    <s v="2406"/>
    <m/>
    <x v="0"/>
    <s v="INB-W0012308-6"/>
    <s v="EJ-Malang-01"/>
    <s v="Oka-0813-2707-1646"/>
    <d v="2023-08-09T00:00:00"/>
    <d v="1900-01-14T07:00:00"/>
    <s v="GCI Procurement"/>
    <x v="2"/>
    <x v="34"/>
    <s v="GCI1006"/>
    <s v="Pcs"/>
    <n v="135"/>
    <s v="CLR51-99-004"/>
    <x v="19"/>
    <n v="0"/>
    <n v="0"/>
    <m/>
    <m/>
    <m/>
    <m/>
    <m/>
    <m/>
    <m/>
    <s v="Perumahan Bumi Podo Rukun Dau"/>
    <e v="#N/A"/>
    <e v="#N/A"/>
    <s v="OUTBOUND_"/>
  </r>
  <r>
    <s v="2407"/>
    <m/>
    <x v="1"/>
    <s v="OUB-W0012308-7"/>
    <s v="EJ-Malang-01"/>
    <s v="Oka-0813-2707-1646"/>
    <d v="2023-08-10T00:00:00"/>
    <d v="1900-01-14T16:37:24"/>
    <s v="EJ-MALANG-01"/>
    <x v="2"/>
    <x v="34"/>
    <s v="GCI1006"/>
    <s v="Pcs"/>
    <n v="135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2408"/>
    <m/>
    <x v="0"/>
    <s v="INB-W0012308-14"/>
    <s v="EJ-Malang-01"/>
    <s v="Oka-0813-2707-1646"/>
    <d v="2023-08-24T00:00:00"/>
    <d v="1900-01-14T07:00:00"/>
    <s v="GCI Procurement"/>
    <x v="2"/>
    <x v="34"/>
    <s v="GCI1006"/>
    <s v="Pcs"/>
    <n v="128"/>
    <s v="CLR51-99-006"/>
    <x v="23"/>
    <n v="0"/>
    <n v="0"/>
    <m/>
    <m/>
    <m/>
    <m/>
    <m/>
    <m/>
    <m/>
    <s v="Mulyorejo RW 04 Sukun"/>
    <e v="#N/A"/>
    <e v="#N/A"/>
    <s v="OUTBOUND_"/>
  </r>
  <r>
    <s v="2409"/>
    <m/>
    <x v="0"/>
    <s v="INB-W0012309-20"/>
    <s v="EJ-Malang-01"/>
    <s v="Oka-0813-2707-1646"/>
    <d v="2023-09-04T00:00:00"/>
    <d v="1900-01-14T07:00:00"/>
    <s v="FIELD TEAM"/>
    <x v="2"/>
    <x v="34"/>
    <s v="GCI1006"/>
    <s v="Pcs"/>
    <n v="14"/>
    <s v="CLR51-99-004"/>
    <x v="19"/>
    <n v="0"/>
    <n v="0"/>
    <m/>
    <m/>
    <m/>
    <m/>
    <m/>
    <s v="Pengembalian Perumahan Bumi Podo Rukun Dau"/>
    <m/>
    <s v="Perumahan Bumi Podo Rukun Dau"/>
    <e v="#N/A"/>
    <e v="#N/A"/>
    <s v="OUTBOUND_"/>
  </r>
  <r>
    <s v="2410"/>
    <m/>
    <x v="1"/>
    <s v="OUB-W0012309-19"/>
    <s v="EJ-Malang-01"/>
    <s v="Oka-0813-2707-1646"/>
    <d v="2023-09-04T00:00:00"/>
    <d v="1899-12-30T16:37:00"/>
    <s v="EJ-MALANG-01"/>
    <x v="2"/>
    <x v="34"/>
    <s v="GCI1006"/>
    <s v="Pcs"/>
    <n v="80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2411"/>
    <m/>
    <x v="0"/>
    <s v="INB-W0012309-26"/>
    <s v="EJ-Malang-01"/>
    <s v="Oka-0813-2707-1646"/>
    <d v="2023-09-08T00:00:00"/>
    <d v="1899-12-30T16:14:00"/>
    <s v="FIELD TEAM"/>
    <x v="2"/>
    <x v="34"/>
    <s v="GCI1006"/>
    <s v="Pcs"/>
    <n v="6"/>
    <s v="CLR51-99-006"/>
    <x v="23"/>
    <n v="0"/>
    <n v="0"/>
    <m/>
    <m/>
    <m/>
    <m/>
    <m/>
    <s v="Pengembalian dari Mulyorejo RW 04 Sukun"/>
    <m/>
    <s v="Mulyorejo RW 04 Sukun"/>
    <e v="#N/A"/>
    <e v="#N/A"/>
    <s v="OUTBOUND_"/>
  </r>
  <r>
    <s v="2412"/>
    <m/>
    <x v="1"/>
    <s v="OUB-W0012309-24"/>
    <s v="EJ-Malang-01"/>
    <s v="Oka-0813-2707-1646"/>
    <d v="2023-09-08T00:00:00"/>
    <d v="1899-12-30T08:54:00"/>
    <s v="EJ-MALANG-01"/>
    <x v="2"/>
    <x v="34"/>
    <s v="GCI1006"/>
    <s v="Pcs"/>
    <n v="20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2413"/>
    <m/>
    <x v="0"/>
    <s v="INB-W0012309-37"/>
    <s v="EJ-Malang-01"/>
    <s v="Oka-0813-2707-1646"/>
    <d v="2023-09-22T00:00:00"/>
    <d v="1900-01-14T07:00:00"/>
    <s v="GCI Procurement"/>
    <x v="2"/>
    <x v="34"/>
    <s v="GCI1006"/>
    <s v="Pcs"/>
    <n v="297"/>
    <s v="CLR51-02-001"/>
    <x v="20"/>
    <n v="0"/>
    <n v="0"/>
    <m/>
    <m/>
    <m/>
    <m/>
    <m/>
    <s v="Di antar ke Khoiri Supplier "/>
    <m/>
    <s v="Puncak Dieng Exlusif"/>
    <e v="#N/A"/>
    <e v="#N/A"/>
    <s v="OUTBOUND_"/>
  </r>
  <r>
    <s v="2414"/>
    <m/>
    <x v="1"/>
    <s v="OUB-W0012309-41"/>
    <s v="EJ-Malang-01"/>
    <s v="Oka-0813-2707-1646"/>
    <d v="2023-09-24T00:00:00"/>
    <d v="1899-12-30T07:36:00"/>
    <s v="EJ-MALANG-01"/>
    <x v="2"/>
    <x v="34"/>
    <s v="GCI1006"/>
    <s v="Pcs"/>
    <n v="37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2415"/>
    <m/>
    <x v="1"/>
    <s v="OUB-W0012309-44"/>
    <s v="EJ-Malang-01"/>
    <s v="Oka-0813-2707-1646"/>
    <d v="2023-09-25T00:00:00"/>
    <d v="1899-12-30T06:30:00"/>
    <s v="EJ-MALANG-01"/>
    <x v="2"/>
    <x v="34"/>
    <s v="GCI1006"/>
    <s v="Pcs"/>
    <n v="10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2416"/>
    <m/>
    <x v="1"/>
    <s v="OUB-W0012309-44"/>
    <s v="EJ-Malang-01"/>
    <s v="Oka-0813-2707-1646"/>
    <d v="2023-09-25T00:00:00"/>
    <d v="1899-12-30T06:30:00"/>
    <s v="EJ-MALANG-01"/>
    <x v="2"/>
    <x v="34"/>
    <s v="GCI1006"/>
    <s v="Pcs"/>
    <n v="30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417"/>
    <m/>
    <x v="1"/>
    <s v="OUB-W0012309-47"/>
    <s v="EJ-Malang-01"/>
    <s v="Oka-0813-2707-1646"/>
    <d v="2023-09-26T00:00:00"/>
    <d v="1899-12-30T09:18:00"/>
    <s v="EJ-MALANG-01"/>
    <x v="2"/>
    <x v="34"/>
    <s v="GCI1006"/>
    <s v="Pcs"/>
    <n v="2"/>
    <s v="CLR51-99-004"/>
    <x v="19"/>
    <m/>
    <m/>
    <m/>
    <s v="Imam Safi'i"/>
    <n v="0"/>
    <s v="3509040409910004"/>
    <s v="W 1130 NQ"/>
    <m/>
    <m/>
    <s v="Perumahan Bumi Podo Rukun Dau"/>
    <e v="#N/A"/>
    <e v="#N/A"/>
    <s v="OUTBOUND_"/>
  </r>
  <r>
    <s v="2418"/>
    <m/>
    <x v="1"/>
    <s v="OUB-W0012309-46"/>
    <s v="EJ-Malang-01"/>
    <s v="Oka-0813-2707-1646"/>
    <d v="2023-09-26T00:00:00"/>
    <d v="1899-12-30T06:30:00"/>
    <s v="EJ-MALANG-01"/>
    <x v="2"/>
    <x v="34"/>
    <s v="GCI1006"/>
    <s v="Pcs"/>
    <n v="50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419"/>
    <m/>
    <x v="1"/>
    <s v="OUB-W0012309-51"/>
    <s v="EJ-Malang-01"/>
    <s v="Oka-0813-2707-1646"/>
    <d v="2023-09-27T00:00:00"/>
    <d v="1899-12-30T12:30:00"/>
    <s v="EJ-MALANG-01"/>
    <x v="2"/>
    <x v="34"/>
    <s v="GCI1006"/>
    <s v="Pcs"/>
    <n v="44"/>
    <s v="CLR51-99-013"/>
    <x v="26"/>
    <m/>
    <m/>
    <m/>
    <s v="Ahmad Subari"/>
    <s v="Khoiri Supplier"/>
    <s v="3507150401800010"/>
    <s v="N 9795 EM"/>
    <m/>
    <m/>
    <s v="Pandan Landung RW 03 Wagir"/>
    <e v="#N/A"/>
    <e v="#N/A"/>
    <s v="OUTBOUND_"/>
  </r>
  <r>
    <s v="2420"/>
    <m/>
    <x v="1"/>
    <s v="OUB-W0012310-55"/>
    <s v="EJ-Malang-01"/>
    <s v="Oka-0813-2707-1646"/>
    <d v="2023-10-01T00:00:00"/>
    <d v="1899-12-30T06:30:00"/>
    <s v="EJ-MALANG-01"/>
    <x v="2"/>
    <x v="34"/>
    <s v="GCI1006"/>
    <s v="Pcs"/>
    <n v="75"/>
    <s v="CLR51-02-001"/>
    <x v="20"/>
    <m/>
    <m/>
    <m/>
    <s v="Khoiri"/>
    <s v="Khoiri Supplier"/>
    <s v="3507330905820002"/>
    <s v="N 8638 ES"/>
    <m/>
    <m/>
    <s v="Puncak Dieng Exlusif"/>
    <e v="#N/A"/>
    <e v="#N/A"/>
    <s v="OUTBOUND_"/>
  </r>
  <r>
    <s v="2421"/>
    <m/>
    <x v="0"/>
    <s v="INB-W0012310-58"/>
    <s v="EJ-Malang-01"/>
    <s v="Oka-0813-2707-1646"/>
    <d v="2023-10-02T00:00:00"/>
    <d v="1900-01-14T07:00:00"/>
    <s v="GCI Procurement"/>
    <x v="2"/>
    <x v="34"/>
    <s v="GCI1006"/>
    <s v="Pcs"/>
    <n v="135"/>
    <s v="CLR51-99-013"/>
    <x v="26"/>
    <n v="0"/>
    <n v="0"/>
    <m/>
    <m/>
    <m/>
    <m/>
    <m/>
    <m/>
    <m/>
    <s v="Pandan Landung RW 03 Wagir"/>
    <e v="#N/A"/>
    <e v="#N/A"/>
    <s v="OUTBOUND_"/>
  </r>
  <r>
    <s v="2422"/>
    <m/>
    <x v="1"/>
    <s v="OUB-W0012310-59"/>
    <s v="EJ-Malang-01"/>
    <s v="Oka-0813-2707-1646"/>
    <d v="2023-10-04T00:00:00"/>
    <d v="1899-12-30T09:40:00"/>
    <s v="EJ-MALANG-01"/>
    <x v="2"/>
    <x v="34"/>
    <s v="GCI1006"/>
    <s v="Pcs"/>
    <n v="10"/>
    <s v="CLR51-99-014"/>
    <x v="29"/>
    <m/>
    <m/>
    <m/>
    <s v="Ahmad Subari"/>
    <n v="0"/>
    <s v="3507150401800010"/>
    <s v="N 9609 EF"/>
    <m/>
    <m/>
    <s v="Pandan Landung RW 04 Wagir"/>
    <e v="#N/A"/>
    <e v="#N/A"/>
    <s v="OUTBOUND_"/>
  </r>
  <r>
    <s v="2423"/>
    <m/>
    <x v="1"/>
    <s v="OUB-W0012310-62"/>
    <s v="EJ-Malang-01"/>
    <s v="Oka-0813-2707-1646"/>
    <d v="2023-10-06T00:00:00"/>
    <d v="1899-12-30T09:27:00"/>
    <s v="EJ-MALANG-01"/>
    <x v="2"/>
    <x v="34"/>
    <s v="GCI1006"/>
    <s v="Pcs"/>
    <n v="60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424"/>
    <m/>
    <x v="1"/>
    <s v="OUB-W0012310-63"/>
    <s v="EJ-Malang-01"/>
    <s v="Oka-0813-2707-1646"/>
    <d v="2023-10-08T00:00:00"/>
    <d v="1899-12-30T09:22:00"/>
    <s v="EJ-MALANG-01"/>
    <x v="2"/>
    <x v="34"/>
    <s v="GCI1006"/>
    <s v="Pcs"/>
    <n v="35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425"/>
    <m/>
    <x v="1"/>
    <s v="OUB-W0012310-66"/>
    <s v="EJ-Malang-01"/>
    <s v="Oka-0813-2707-1646"/>
    <d v="2023-10-11T00:00:00"/>
    <d v="1899-12-30T10:57:00"/>
    <s v="EJ-MALANG-01"/>
    <x v="2"/>
    <x v="34"/>
    <s v="GCI1006"/>
    <s v="Pcs"/>
    <n v="30"/>
    <s v="CLR51-02-001"/>
    <x v="20"/>
    <m/>
    <m/>
    <m/>
    <s v="Khoiri"/>
    <s v="Khoiri Supplier"/>
    <s v="3507330905820002"/>
    <s v="N 3408 ECP"/>
    <m/>
    <m/>
    <s v="Puncak Dieng Exlusif"/>
    <e v="#N/A"/>
    <e v="#N/A"/>
    <s v="OUTBOUND_"/>
  </r>
  <r>
    <s v="2426"/>
    <m/>
    <x v="1"/>
    <s v="OUB-W0012310-84"/>
    <s v="EJ-Malang-01"/>
    <s v="Oka-0813-2707-1646"/>
    <d v="2023-10-18T00:00:00"/>
    <d v="1899-12-30T14:05:00"/>
    <s v="EJ-MALANG-01"/>
    <x v="2"/>
    <x v="34"/>
    <s v="GCI1006"/>
    <s v="Pcs"/>
    <n v="50"/>
    <s v="CLR51-99-013"/>
    <x v="26"/>
    <m/>
    <m/>
    <m/>
    <s v="Ahmad Subari"/>
    <n v="0"/>
    <s v="3507150401800010"/>
    <s v="N 9609 EF"/>
    <m/>
    <m/>
    <s v="Pandan Landung RW 03 Wagir"/>
    <e v="#N/A"/>
    <e v="#N/A"/>
    <s v="OUTBOUND_"/>
  </r>
  <r>
    <s v="2427"/>
    <m/>
    <x v="1"/>
    <s v="OUB-W0012310-100"/>
    <s v="EJ-Malang-01"/>
    <s v="Oka-0813-2707-1646"/>
    <d v="2023-10-21T00:00:00"/>
    <d v="1899-12-30T23:24:00"/>
    <s v="EJ-MALANG-01"/>
    <x v="2"/>
    <x v="34"/>
    <s v="GCI1006"/>
    <s v="Pcs"/>
    <n v="46"/>
    <n v="0"/>
    <x v="5"/>
    <m/>
    <m/>
    <m/>
    <s v="Mustofa"/>
    <n v="0"/>
    <s v="3209140803860003"/>
    <s v="N 9609 EF"/>
    <m/>
    <m/>
    <n v="0"/>
    <e v="#N/A"/>
    <e v="#N/A"/>
    <s v="OUTBOUND_"/>
  </r>
  <r>
    <s v="2428"/>
    <m/>
    <x v="1"/>
    <s v="OUB-W0012310-110"/>
    <s v="EJ-Malang-01"/>
    <s v="Oka-0813-2707-1646"/>
    <d v="2023-10-24T00:00:00"/>
    <d v="1899-12-30T13:37:00"/>
    <s v="EJ-MALANG-01"/>
    <x v="2"/>
    <x v="34"/>
    <s v="GCI1006"/>
    <s v="Pcs"/>
    <n v="1"/>
    <s v="CLR51-99-006"/>
    <x v="23"/>
    <m/>
    <m/>
    <m/>
    <s v="Mohammad Febbi H"/>
    <n v="0"/>
    <s v="3524052002930003"/>
    <s v="L 9740 NM"/>
    <m/>
    <m/>
    <s v="Mulyorejo RW 04 Sukun"/>
    <e v="#N/A"/>
    <e v="#N/A"/>
    <s v="OUTBOUND_"/>
  </r>
  <r>
    <s v="2429"/>
    <m/>
    <x v="0"/>
    <s v="INB-W0012308-6"/>
    <s v="EJ-Malang-01"/>
    <s v="Oka-0813-2707-1646"/>
    <d v="2023-08-09T00:00:00"/>
    <d v="1900-01-14T07:00:00"/>
    <s v="GCI Procurement"/>
    <x v="2"/>
    <x v="35"/>
    <s v="GCI1003"/>
    <s v="Pcs"/>
    <n v="100"/>
    <s v="CLR51-99-004"/>
    <x v="19"/>
    <n v="0"/>
    <n v="0"/>
    <m/>
    <m/>
    <m/>
    <m/>
    <m/>
    <m/>
    <m/>
    <s v="Perumahan Bumi Podo Rukun Dau"/>
    <e v="#N/A"/>
    <e v="#N/A"/>
    <s v="OUTBOUND_"/>
  </r>
  <r>
    <s v="2430"/>
    <m/>
    <x v="1"/>
    <s v="OUB-W0012308-7"/>
    <s v="EJ-Malang-01"/>
    <s v="Oka-0813-2707-1646"/>
    <d v="2023-08-10T00:00:00"/>
    <d v="1900-01-14T16:37:24"/>
    <s v="EJ-MALANG-01"/>
    <x v="2"/>
    <x v="35"/>
    <s v="GCI1003"/>
    <s v="Pcs"/>
    <n v="100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2431"/>
    <m/>
    <x v="0"/>
    <s v="INB-W0012308-14"/>
    <s v="EJ-Malang-01"/>
    <s v="Oka-0813-2707-1646"/>
    <d v="2023-08-24T00:00:00"/>
    <d v="1900-01-14T07:00:00"/>
    <s v="GCI Procurement"/>
    <x v="2"/>
    <x v="35"/>
    <s v="GCI1003"/>
    <s v="Pcs"/>
    <n v="100"/>
    <s v="CLR51-99-006"/>
    <x v="23"/>
    <n v="0"/>
    <n v="0"/>
    <m/>
    <m/>
    <m/>
    <m/>
    <m/>
    <m/>
    <m/>
    <s v="Mulyorejo RW 04 Sukun"/>
    <e v="#N/A"/>
    <e v="#N/A"/>
    <s v="OUTBOUND_"/>
  </r>
  <r>
    <s v="2432"/>
    <m/>
    <x v="1"/>
    <s v="OUB-W0012309-19"/>
    <s v="EJ-Malang-01"/>
    <s v="Oka-0813-2707-1646"/>
    <d v="2023-09-04T00:00:00"/>
    <d v="1899-12-30T16:37:00"/>
    <s v="EJ-MALANG-01"/>
    <x v="2"/>
    <x v="35"/>
    <s v="GCI1003"/>
    <s v="Pcs"/>
    <n v="100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2433"/>
    <m/>
    <x v="0"/>
    <s v="INB-W0012309-37"/>
    <s v="EJ-Malang-01"/>
    <s v="Oka-0813-2707-1646"/>
    <d v="2023-09-22T00:00:00"/>
    <d v="1900-01-14T07:00:00"/>
    <s v="GCI Procurement"/>
    <x v="2"/>
    <x v="35"/>
    <s v="GCI1003"/>
    <s v="Pcs"/>
    <n v="300"/>
    <s v="CLR51-02-001"/>
    <x v="20"/>
    <n v="0"/>
    <n v="0"/>
    <m/>
    <m/>
    <m/>
    <m/>
    <m/>
    <s v="Di antar ke Khoiri Supplier "/>
    <m/>
    <s v="Puncak Dieng Exlusif"/>
    <e v="#N/A"/>
    <e v="#N/A"/>
    <s v="OUTBOUND_"/>
  </r>
  <r>
    <s v="2434"/>
    <m/>
    <x v="1"/>
    <s v="OUB-W0012309-41"/>
    <s v="EJ-Malang-01"/>
    <s v="Oka-0813-2707-1646"/>
    <d v="2023-09-24T00:00:00"/>
    <d v="1899-12-30T07:36:00"/>
    <s v="EJ-MALANG-01"/>
    <x v="2"/>
    <x v="35"/>
    <s v="GCI1003"/>
    <s v="Pcs"/>
    <n v="100"/>
    <s v="CLR51-02-001"/>
    <x v="20"/>
    <m/>
    <m/>
    <m/>
    <s v="Khoiri"/>
    <s v="Khoiri Supplier"/>
    <s v="3507330905820002"/>
    <s v="N 8638 ES"/>
    <m/>
    <m/>
    <s v="Puncak Dieng Exlusif"/>
    <e v="#N/A"/>
    <e v="#N/A"/>
    <s v="OUTBOUND_"/>
  </r>
  <r>
    <s v="2435"/>
    <m/>
    <x v="1"/>
    <s v="OUB-W0012309-41"/>
    <s v="EJ-Malang-01"/>
    <s v="Oka-0813-2707-1646"/>
    <d v="2023-09-24T00:00:00"/>
    <d v="1899-12-30T07:36:00"/>
    <s v="EJ-MALANG-01"/>
    <x v="2"/>
    <x v="35"/>
    <s v="GCI1003"/>
    <s v="Pcs"/>
    <n v="100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2436"/>
    <m/>
    <x v="0"/>
    <s v="INB-W0012310-58"/>
    <s v="EJ-Malang-01"/>
    <s v="Oka-0813-2707-1646"/>
    <d v="2023-10-02T00:00:00"/>
    <d v="1900-01-14T07:00:00"/>
    <s v="GCI Procurement"/>
    <x v="2"/>
    <x v="35"/>
    <s v="GCI1003"/>
    <s v="Pcs"/>
    <n v="200"/>
    <s v="PRC"/>
    <x v="135"/>
    <n v="0"/>
    <n v="0"/>
    <m/>
    <m/>
    <m/>
    <m/>
    <m/>
    <m/>
    <m/>
    <s v="Purchase"/>
    <e v="#N/A"/>
    <e v="#N/A"/>
    <s v="OUTBOUND_"/>
  </r>
  <r>
    <s v="2437"/>
    <m/>
    <x v="1"/>
    <s v="OUB-W0012310-59"/>
    <s v="EJ-Malang-01"/>
    <s v="Oka-0813-2707-1646"/>
    <d v="2023-10-04T00:00:00"/>
    <d v="1899-12-30T09:40:00"/>
    <s v="EJ-MALANG-01"/>
    <x v="2"/>
    <x v="35"/>
    <s v="GCI1003"/>
    <s v="Pcs"/>
    <n v="200"/>
    <s v="CLR51-99-014"/>
    <x v="29"/>
    <m/>
    <m/>
    <m/>
    <s v="Ahmad Subari"/>
    <n v="0"/>
    <s v="3507150401800010"/>
    <s v="N 9609 EF"/>
    <m/>
    <m/>
    <s v="Pandan Landung RW 04 Wagir"/>
    <e v="#N/A"/>
    <e v="#N/A"/>
    <s v="OUTBOUND_"/>
  </r>
  <r>
    <s v="2438"/>
    <m/>
    <x v="0"/>
    <s v="INB-W0012310-104"/>
    <s v="EJ-Malang-01"/>
    <s v="Oka-0813-2707-1646"/>
    <d v="2023-10-21T00:00:00"/>
    <d v="1900-01-14T07:00:00"/>
    <s v="GCI Procurement"/>
    <x v="2"/>
    <x v="35"/>
    <s v="GCI1003"/>
    <s v="Pcs"/>
    <n v="204"/>
    <s v="PRC"/>
    <x v="135"/>
    <n v="0"/>
    <n v="0"/>
    <m/>
    <m/>
    <m/>
    <m/>
    <m/>
    <s v="Pengambilan Oleh Sigit Pamungkas di UD HALIM JAYA"/>
    <m/>
    <s v="Purchase"/>
    <e v="#N/A"/>
    <e v="#N/A"/>
    <s v="OUTBOUND_"/>
  </r>
  <r>
    <s v="2439"/>
    <m/>
    <x v="1"/>
    <s v="OUB-W0012310-100"/>
    <s v="EJ-Malang-01"/>
    <s v="Oka-0813-2707-1646"/>
    <d v="2023-10-21T00:00:00"/>
    <d v="1899-12-30T23:24:00"/>
    <s v="EJ-MALANG-01"/>
    <x v="2"/>
    <x v="35"/>
    <s v="GCI1003"/>
    <s v="Pcs"/>
    <n v="0"/>
    <n v="0"/>
    <x v="5"/>
    <m/>
    <m/>
    <m/>
    <s v="Mustofa"/>
    <n v="0"/>
    <s v="3209140803860003"/>
    <s v="N 9609 EF"/>
    <m/>
    <m/>
    <n v="0"/>
    <e v="#N/A"/>
    <e v="#N/A"/>
    <s v="OUTBOUND_"/>
  </r>
  <r>
    <s v="2440"/>
    <m/>
    <x v="1"/>
    <s v="OUB-W0012310-101"/>
    <s v="EJ-Malang-01"/>
    <s v="Oka-0813-2707-1646"/>
    <d v="2023-10-21T00:00:00"/>
    <d v="1899-12-30T23:24:00"/>
    <s v="EJ-MALANG-01"/>
    <x v="2"/>
    <x v="35"/>
    <s v="GCI1003"/>
    <s v="Pcs"/>
    <n v="100"/>
    <s v="CLR51-99-020"/>
    <x v="22"/>
    <m/>
    <m/>
    <m/>
    <s v="Khoiri"/>
    <s v="Khoiri Supplier"/>
    <s v="3507330905820002"/>
    <s v="N 8408 CB"/>
    <m/>
    <m/>
    <s v="Jedong RW 08 Wagir"/>
    <e v="#N/A"/>
    <e v="#N/A"/>
    <s v="OUTBOUND_"/>
  </r>
  <r>
    <s v="2441"/>
    <m/>
    <x v="1"/>
    <s v="OUB-W0012310-101"/>
    <s v="EJ-Malang-01"/>
    <s v="Oka-0813-2707-1646"/>
    <d v="2023-10-21T00:00:00"/>
    <d v="1899-12-30T23:24:00"/>
    <s v="EJ-MALANG-01"/>
    <x v="2"/>
    <x v="35"/>
    <s v="GCI1003"/>
    <s v="Pcs"/>
    <n v="100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2442"/>
    <m/>
    <x v="1"/>
    <s v="OUB-W0012310-105"/>
    <s v="EJ-Malang-01"/>
    <s v="Oka-0813-2707-1646"/>
    <d v="2023-10-22T00:00:00"/>
    <d v="1899-12-30T22:30:00"/>
    <s v="EJ-MALANG-01"/>
    <x v="2"/>
    <x v="35"/>
    <s v="GCI1003"/>
    <s v="Pcs"/>
    <n v="50"/>
    <s v="CLR51-99-017"/>
    <x v="21"/>
    <m/>
    <m/>
    <m/>
    <s v="Mustofa"/>
    <n v="0"/>
    <s v="3209140803860003"/>
    <s v="N 9609 EF"/>
    <m/>
    <m/>
    <s v="Sukodadi RW 01 Wagir"/>
    <e v="#N/A"/>
    <e v="#N/A"/>
    <s v="OUTBOUND_"/>
  </r>
  <r>
    <s v="2443"/>
    <m/>
    <x v="1"/>
    <s v="OUB-W0012310-105"/>
    <s v="EJ-Malang-01"/>
    <s v="Oka-0813-2707-1646"/>
    <d v="2023-10-22T00:00:00"/>
    <d v="1899-12-30T22:30:00"/>
    <s v="EJ-MALANG-01"/>
    <x v="2"/>
    <x v="35"/>
    <s v="GCI1003"/>
    <s v="Pcs"/>
    <n v="50"/>
    <s v="CLR51-99-019"/>
    <x v="28"/>
    <m/>
    <m/>
    <m/>
    <s v="Mustofa"/>
    <n v="0"/>
    <s v="3209140803860003"/>
    <s v="N 9609 EF"/>
    <m/>
    <m/>
    <s v="Sidorahayu RW 02 Wagir"/>
    <e v="#N/A"/>
    <e v="#N/A"/>
    <s v="OUTBOUND_"/>
  </r>
  <r>
    <s v="2444"/>
    <m/>
    <x v="1"/>
    <s v="OUB-W0012310-105"/>
    <s v="EJ-Malang-01"/>
    <s v="Oka-0813-2707-1646"/>
    <d v="2023-10-22T00:00:00"/>
    <d v="1899-12-30T22:30:00"/>
    <s v="EJ-MALANG-01"/>
    <x v="2"/>
    <x v="35"/>
    <s v="GCI1003"/>
    <s v="Pcs"/>
    <n v="100"/>
    <s v="CLR51-99-018"/>
    <x v="151"/>
    <m/>
    <m/>
    <m/>
    <s v="Mustofa"/>
    <n v="0"/>
    <s v="3209140803860003"/>
    <s v="N 9609 EF"/>
    <m/>
    <m/>
    <s v="Sukodadi RW 02 Wagir"/>
    <e v="#N/A"/>
    <e v="#N/A"/>
    <s v="OUTBOUND_"/>
  </r>
  <r>
    <s v="2445"/>
    <m/>
    <x v="0"/>
    <s v="INB-W0012311-132"/>
    <s v="EJ-Malang-01"/>
    <s v="Oka-0813-2707-1646"/>
    <d v="2023-11-26T00:00:00"/>
    <d v="1900-01-14T07:00:00"/>
    <s v="GCI Procurement"/>
    <x v="2"/>
    <x v="35"/>
    <s v="GCI1003"/>
    <s v="Pcs"/>
    <n v="115"/>
    <s v="PRC"/>
    <x v="135"/>
    <n v="0"/>
    <n v="0"/>
    <m/>
    <m/>
    <m/>
    <m/>
    <m/>
    <m/>
    <m/>
    <s v="Purchase"/>
    <e v="#N/A"/>
    <e v="#N/A"/>
    <s v="OUTBOUND_"/>
  </r>
  <r>
    <s v="2446"/>
    <m/>
    <x v="1"/>
    <s v="OUB-W0012312-151"/>
    <s v="EJ-Malang-01"/>
    <s v="Oka-0813-2707-1646"/>
    <d v="2023-12-22T00:00:00"/>
    <d v="1899-12-30T13:27:00"/>
    <s v="EJ-MALANG-01"/>
    <x v="2"/>
    <x v="35"/>
    <s v="GCI1003"/>
    <s v="Pcs"/>
    <n v="100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2447"/>
    <m/>
    <x v="0"/>
    <s v="INB-W0012401-164"/>
    <s v="EJ-Malang-01"/>
    <s v="Oka-0813-2707-1646"/>
    <d v="2024-01-04T00:00:00"/>
    <d v="1900-01-14T07:00:00"/>
    <s v="GCI Procurement"/>
    <x v="2"/>
    <x v="35"/>
    <s v="GCI1003"/>
    <s v="Pcs"/>
    <n v="244"/>
    <s v="PRC"/>
    <x v="135"/>
    <n v="0"/>
    <n v="0"/>
    <m/>
    <m/>
    <m/>
    <m/>
    <m/>
    <s v="UD Putra Cipta Karya"/>
    <m/>
    <s v="Purchase"/>
    <e v="#N/A"/>
    <e v="#N/A"/>
    <s v="OUTBOUND_"/>
  </r>
  <r>
    <s v="2448"/>
    <m/>
    <x v="0"/>
    <s v="INB-W0012401-183"/>
    <s v="EJ-Malang-01"/>
    <s v="Oka-0813-2707-1646"/>
    <d v="2024-01-18T00:00:00"/>
    <d v="1900-01-14T07:00:00"/>
    <s v="GCI Procurement"/>
    <x v="2"/>
    <x v="35"/>
    <s v="GCI1003"/>
    <s v="Pcs"/>
    <n v="562"/>
    <s v="PRC"/>
    <x v="135"/>
    <n v="0"/>
    <n v="0"/>
    <m/>
    <m/>
    <m/>
    <m/>
    <m/>
    <s v="UD Putra Cipta Karya"/>
    <m/>
    <s v="Purchase"/>
    <e v="#N/A"/>
    <e v="#N/A"/>
    <s v="OUTBOUND_"/>
  </r>
  <r>
    <s v="2449"/>
    <m/>
    <x v="1"/>
    <s v="OUB-W0012401-186"/>
    <s v="EJ-Malang-01"/>
    <s v="Oka-0813-2707-1646"/>
    <d v="2024-01-19T00:00:00"/>
    <d v="1899-12-30T17:36:00"/>
    <s v="EJ-MALANG-01"/>
    <x v="2"/>
    <x v="35"/>
    <s v="GCI1003"/>
    <s v="Pcs"/>
    <n v="16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2450"/>
    <m/>
    <x v="1"/>
    <s v="OUB-W0012401-191"/>
    <s v="EJ-Malang-01"/>
    <s v="Oka-0813-2707-1646"/>
    <d v="2024-01-22T00:00:00"/>
    <d v="1899-12-30T09:13:00"/>
    <s v="EJ-MALANG-01"/>
    <x v="2"/>
    <x v="35"/>
    <s v="GCI1003"/>
    <s v="Pcs"/>
    <n v="40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2451"/>
    <m/>
    <x v="1"/>
    <s v="OUB-W0012401-195"/>
    <s v="EJ-Malang-01"/>
    <s v="Oka-0813-2707-1646"/>
    <d v="2024-01-22T00:00:00"/>
    <d v="1899-12-30T19:27:00"/>
    <s v="EJ-MALANG-01"/>
    <x v="2"/>
    <x v="35"/>
    <s v="GCI1003"/>
    <s v="Pcs"/>
    <n v="100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2452"/>
    <m/>
    <x v="1"/>
    <s v="OUB-W0012401-192"/>
    <s v="EJ-Malang-01"/>
    <s v="Oka-0813-2707-1646"/>
    <d v="2024-01-22T00:00:00"/>
    <d v="1899-12-30T09:18:00"/>
    <s v="EJ-MALANG-01"/>
    <x v="2"/>
    <x v="35"/>
    <s v="GCI1003"/>
    <s v="Pcs"/>
    <n v="300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2453"/>
    <m/>
    <x v="1"/>
    <s v="OUB-W0012401-206"/>
    <s v="EJ-Malang-01"/>
    <s v="Oka-0813-2707-1646"/>
    <d v="2024-01-26T00:00:00"/>
    <d v="1899-12-30T09:49:00"/>
    <s v="EJ-MALANG-01"/>
    <x v="2"/>
    <x v="35"/>
    <s v="GCI1003"/>
    <s v="Pcs"/>
    <n v="100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2454"/>
    <m/>
    <x v="0"/>
    <s v="INB-W0012401-209"/>
    <s v="EJ-Malang-01"/>
    <s v="Oka-0813-2707-1646"/>
    <d v="2024-01-27T00:00:00"/>
    <d v="1900-01-14T07:00:00"/>
    <s v="FIELD TEAM"/>
    <x v="2"/>
    <x v="35"/>
    <s v="GCI1003"/>
    <s v="Pcs"/>
    <n v="32"/>
    <s v="CLR29-99-153"/>
    <x v="34"/>
    <s v="RETURN"/>
    <n v="0"/>
    <m/>
    <m/>
    <m/>
    <m/>
    <m/>
    <m/>
    <m/>
    <s v="Perumahan Pondok Mutiara Malang"/>
    <e v="#N/A"/>
    <e v="#N/A"/>
    <s v="OUTBOUND_"/>
  </r>
  <r>
    <s v="2455"/>
    <m/>
    <x v="1"/>
    <s v="OUB-W0012402-219"/>
    <s v="EJ-Malang-01"/>
    <s v="Oka-0813-2707-1646"/>
    <d v="2024-02-09T00:00:00"/>
    <d v="1899-12-30T10:13:00"/>
    <s v="EJ-MALANG-01"/>
    <x v="2"/>
    <x v="35"/>
    <s v="GCI1003"/>
    <s v="Pcs"/>
    <n v="50"/>
    <s v="CLR51-99-082"/>
    <x v="152"/>
    <m/>
    <m/>
    <m/>
    <s v="Riki Romansyah"/>
    <s v="Febby Supplier"/>
    <s v="3507050501950006"/>
    <s v="N 8420 EL"/>
    <m/>
    <m/>
    <s v="Dengkol RW 02 Singosari Malang"/>
    <e v="#N/A"/>
    <e v="#N/A"/>
    <s v="OUTBOUND_"/>
  </r>
  <r>
    <s v="2456"/>
    <m/>
    <x v="0"/>
    <s v="INB-W0012402-226"/>
    <s v="EJ-Malang-01"/>
    <s v="Oka-0813-2707-1646"/>
    <d v="2024-02-15T00:00:00"/>
    <d v="1900-01-14T07:00:00"/>
    <s v="FIELD TEAM"/>
    <x v="2"/>
    <x v="35"/>
    <s v="GCI1003"/>
    <s v="Pcs"/>
    <n v="67"/>
    <s v="CLR51-01-005"/>
    <x v="37"/>
    <s v="RETURN"/>
    <n v="0"/>
    <m/>
    <m/>
    <m/>
    <m/>
    <m/>
    <m/>
    <m/>
    <s v="Baturetno RW 02 Singosari "/>
    <e v="#N/A"/>
    <e v="#N/A"/>
    <s v="OUTBOUND_"/>
  </r>
  <r>
    <s v="2457"/>
    <m/>
    <x v="0"/>
    <s v="INB-W0012402-226"/>
    <s v="EJ-Malang-01"/>
    <s v="Oka-0813-2707-1646"/>
    <d v="2024-02-15T00:00:00"/>
    <d v="1900-01-14T07:00:00"/>
    <s v="FIELD TEAM"/>
    <x v="2"/>
    <x v="35"/>
    <s v="GCI1003"/>
    <s v="Pcs"/>
    <n v="67"/>
    <s v="CLR51-99-038"/>
    <x v="32"/>
    <s v="RETURN"/>
    <n v="0"/>
    <m/>
    <m/>
    <m/>
    <m/>
    <m/>
    <m/>
    <m/>
    <s v="Baturetno RW 03 Singosari"/>
    <e v="#N/A"/>
    <e v="#N/A"/>
    <s v="OUTBOUND_"/>
  </r>
  <r>
    <s v="2458"/>
    <m/>
    <x v="1"/>
    <s v="OUB-W0012402-225"/>
    <s v="EJ-Malang-01"/>
    <s v="Oka-0813-2707-1646"/>
    <d v="2024-02-15T00:00:00"/>
    <d v="1899-12-30T11:04:00"/>
    <s v="EJ-MALANG-01"/>
    <x v="2"/>
    <x v="35"/>
    <s v="GCI1003"/>
    <s v="Pcs"/>
    <n v="60"/>
    <s v="CLR51-99-067"/>
    <x v="0"/>
    <m/>
    <m/>
    <m/>
    <s v="Riki Romansyah"/>
    <s v="Febby Supplier"/>
    <s v="3507050501950006"/>
    <s v="N 8420 EL"/>
    <m/>
    <m/>
    <s v="Bandulan RW 08 Sukun"/>
    <e v="#N/A"/>
    <e v="#N/A"/>
    <s v="OUTBOUND_"/>
  </r>
  <r>
    <s v="2459"/>
    <m/>
    <x v="1"/>
    <s v="OUB-W0012402-239"/>
    <s v="EJ-Malang-01"/>
    <s v="Oka-0813-2707-1646"/>
    <d v="2024-02-21T00:00:00"/>
    <d v="1899-12-30T18:56:00"/>
    <s v="EJ-MALANG-01"/>
    <x v="2"/>
    <x v="35"/>
    <s v="GCI1003"/>
    <s v="Pcs"/>
    <n v="50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2460"/>
    <m/>
    <x v="0"/>
    <s v="INB-W0012402-242"/>
    <s v="EJ-Malang-01"/>
    <s v="Oka-0813-2707-1646"/>
    <d v="2024-02-22T00:00:00"/>
    <d v="1900-01-14T07:00:00"/>
    <s v="GCI Procurement"/>
    <x v="2"/>
    <x v="35"/>
    <s v="GCI1003"/>
    <s v="Pcs"/>
    <n v="51"/>
    <s v="CLR51-99-078"/>
    <x v="1"/>
    <n v="0"/>
    <n v="0"/>
    <m/>
    <m/>
    <m/>
    <m/>
    <m/>
    <s v="JNT Cargo"/>
    <m/>
    <s v="Bumiayu RW 03 Kedungkandang"/>
    <e v="#N/A"/>
    <e v="#N/A"/>
    <s v="OUTBOUND_"/>
  </r>
  <r>
    <s v="2461"/>
    <m/>
    <x v="1"/>
    <s v="OUB-W0012402-249"/>
    <s v="EJ-Malang-01"/>
    <s v="Oka-0813-2707-1646"/>
    <d v="2024-02-26T00:00:00"/>
    <d v="1899-12-30T08:37:00"/>
    <s v="EJ-MALANG-01"/>
    <x v="2"/>
    <x v="35"/>
    <s v="GCI1003"/>
    <s v="Pcs"/>
    <n v="128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2462"/>
    <m/>
    <x v="0"/>
    <s v="INB-W0012402-252"/>
    <s v="EJ-Malang-01"/>
    <s v="Oka-0813-2707-1646"/>
    <d v="2024-02-27T00:00:00"/>
    <d v="1900-01-14T07:00:00"/>
    <s v="GCI Procurement"/>
    <x v="2"/>
    <x v="35"/>
    <s v="GCI1003"/>
    <s v="Pcs"/>
    <n v="301"/>
    <n v="0"/>
    <x v="136"/>
    <n v="0"/>
    <n v="0"/>
    <m/>
    <m/>
    <m/>
    <m/>
    <m/>
    <m/>
    <m/>
    <s v="UD RIZQI JAYA PRATAMA "/>
    <e v="#N/A"/>
    <e v="#N/A"/>
    <s v="OUTBOUND_"/>
  </r>
  <r>
    <s v="2463"/>
    <m/>
    <x v="1"/>
    <s v="OUB-W0012402-253"/>
    <s v="EJ-Malang-01"/>
    <s v="Oka-0813-2707-1646"/>
    <d v="2024-02-28T00:00:00"/>
    <d v="1899-12-30T09:12:00"/>
    <s v="EJ-MALANG-01"/>
    <x v="2"/>
    <x v="35"/>
    <s v="GCI1003"/>
    <s v="Pcs"/>
    <n v="12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2464"/>
    <m/>
    <x v="1"/>
    <s v="OUB-W0012403-261"/>
    <s v="EJ-Malang-01"/>
    <s v="Oka-0813-2707-1646"/>
    <d v="2024-03-01T00:00:00"/>
    <d v="1899-12-30T09:23:00"/>
    <s v="EJ-MALANG-01"/>
    <x v="2"/>
    <x v="35"/>
    <s v="GCI1003"/>
    <s v="Pcs"/>
    <n v="50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2465"/>
    <m/>
    <x v="1"/>
    <s v="OUB-W0012403-271"/>
    <s v="EJ-Malang-01"/>
    <s v="Oka-0813-2707-1646"/>
    <d v="2024-03-06T00:00:00"/>
    <d v="1899-12-30T09:24:00"/>
    <s v="EJ-MALANG-01"/>
    <x v="2"/>
    <x v="35"/>
    <s v="GCI1003"/>
    <s v="Pcs"/>
    <n v="50"/>
    <s v="CLR29-99-153"/>
    <x v="34"/>
    <m/>
    <m/>
    <m/>
    <s v="Riki Romansyah"/>
    <s v="Febby Supplier"/>
    <s v="3507050501950006"/>
    <s v="N 8420 EL"/>
    <m/>
    <m/>
    <s v="Perumahan Pondok Mutiara Malang"/>
    <e v="#N/A"/>
    <e v="#N/A"/>
    <s v="OUTBOUND_"/>
  </r>
  <r>
    <s v="2466"/>
    <m/>
    <x v="1"/>
    <s v="OUB-W0012403-277"/>
    <s v="EJ-Malang-01"/>
    <s v="Oka-0813-2707-1646"/>
    <d v="2024-03-15T00:00:00"/>
    <d v="1899-12-30T17:12:00"/>
    <s v="EJ-MALANG-01"/>
    <x v="2"/>
    <x v="35"/>
    <s v="GCI1003"/>
    <s v="Pcs"/>
    <n v="100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2467"/>
    <m/>
    <x v="0"/>
    <s v="INB-W0012403-283"/>
    <s v="EJ-Malang-01"/>
    <s v="Oka-0813-2707-1646"/>
    <d v="2024-03-22T00:00:00"/>
    <d v="1900-01-14T07:00:00"/>
    <s v="GCI Procurement"/>
    <x v="2"/>
    <x v="35"/>
    <s v="GCI1003"/>
    <s v="Pcs"/>
    <n v="359"/>
    <n v="0"/>
    <x v="137"/>
    <n v="0"/>
    <n v="0"/>
    <m/>
    <m/>
    <m/>
    <m/>
    <m/>
    <m/>
    <m/>
    <s v="UD HALIM"/>
    <e v="#N/A"/>
    <e v="#N/A"/>
    <s v="OUTBOUND_"/>
  </r>
  <r>
    <s v="2468"/>
    <m/>
    <x v="1"/>
    <s v="OUB-W0012403-286"/>
    <s v="EJ-Malang-01"/>
    <s v="Oka-0813-2707-1646"/>
    <d v="2024-03-23T00:00:00"/>
    <d v="1899-12-30T18:24:00"/>
    <s v="EJ-MALANG-01"/>
    <x v="2"/>
    <x v="35"/>
    <s v="GCI1003"/>
    <s v="Pcs"/>
    <n v="100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2469"/>
    <m/>
    <x v="1"/>
    <s v="OUB-W0012403-292"/>
    <s v="EJ-Malang-01"/>
    <s v="Oka-0813-2707-1646"/>
    <d v="2024-03-28T00:00:00"/>
    <d v="1899-12-30T09:57:00"/>
    <s v="EJ-MALANG-01"/>
    <x v="2"/>
    <x v="35"/>
    <s v="GCI1003"/>
    <s v="Pcs"/>
    <n v="100"/>
    <s v="CLR51-99-039"/>
    <x v="7"/>
    <m/>
    <m/>
    <m/>
    <s v="Dimas"/>
    <s v="Febby Supplier"/>
    <s v="3573032509800005"/>
    <s v="N 9454 BA"/>
    <m/>
    <m/>
    <s v="Tunjungtirto RW 01 Singosari"/>
    <e v="#N/A"/>
    <e v="#N/A"/>
    <s v="OUTBOUND_"/>
  </r>
  <r>
    <s v="2470"/>
    <m/>
    <x v="1"/>
    <s v="OUB-W0012404-295"/>
    <s v="EJ-Malang-01"/>
    <s v="Oka-0813-2707-1646"/>
    <d v="2024-04-01T00:00:00"/>
    <d v="1899-12-30T09:14:00"/>
    <s v="EJ-MALANG-01"/>
    <x v="2"/>
    <x v="35"/>
    <s v="GCI1003"/>
    <s v="Pcs"/>
    <n v="50"/>
    <s v="CLR51-99-040"/>
    <x v="41"/>
    <m/>
    <m/>
    <m/>
    <s v="Dimas"/>
    <s v="Febby Supplier"/>
    <s v="3573032509800005"/>
    <s v="N 9454 BA"/>
    <m/>
    <m/>
    <s v="Tunjungtirto RW 08 Singosari"/>
    <e v="#N/A"/>
    <e v="#N/A"/>
    <s v="OUTBOUND_"/>
  </r>
  <r>
    <s v="2471"/>
    <m/>
    <x v="1"/>
    <s v="OUB-W0012404-316"/>
    <s v="EJ-Malang-01"/>
    <s v="Oka-0813-2707-1646"/>
    <d v="2024-04-23T00:00:00"/>
    <d v="1899-12-30T17:12:00"/>
    <s v="EJ-MALANG-01"/>
    <x v="2"/>
    <x v="35"/>
    <s v="GCI1003"/>
    <s v="Pcs"/>
    <n v="200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2472"/>
    <m/>
    <x v="0"/>
    <s v="INB-W0012404-323"/>
    <s v="EJ-Malang-01"/>
    <s v="Oka-0813-2707-1646"/>
    <d v="2024-04-25T00:00:00"/>
    <d v="1900-01-14T07:00:00"/>
    <s v="GCI Procurement"/>
    <x v="2"/>
    <x v="35"/>
    <s v="GCI1003"/>
    <s v="Pcs"/>
    <n v="121"/>
    <n v="0"/>
    <x v="5"/>
    <n v="0"/>
    <n v="0"/>
    <m/>
    <m/>
    <m/>
    <m/>
    <m/>
    <m/>
    <m/>
    <n v="0"/>
    <e v="#N/A"/>
    <e v="#N/A"/>
    <s v="OUTBOUND_"/>
  </r>
  <r>
    <s v="2473"/>
    <m/>
    <x v="1"/>
    <s v="OUB-W0012404-325"/>
    <s v="EJ-Malang-01"/>
    <s v="Oka-0813-2707-1646"/>
    <d v="2024-04-30T00:00:00"/>
    <d v="1899-12-30T10:15:00"/>
    <s v="EJ-MALANG-01"/>
    <x v="2"/>
    <x v="35"/>
    <s v="GCI1003"/>
    <s v="Pcs"/>
    <n v="100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2474"/>
    <m/>
    <x v="0"/>
    <s v="INB-W0012405-331"/>
    <s v="EJ-Malang-01"/>
    <s v="Oka-0813-2707-1646"/>
    <d v="2024-05-08T00:00:00"/>
    <d v="1900-01-14T07:00:00"/>
    <s v="GCI Procurement"/>
    <x v="2"/>
    <x v="35"/>
    <s v="GCI1003"/>
    <s v="Pcs"/>
    <n v="46"/>
    <n v="0"/>
    <x v="5"/>
    <n v="0"/>
    <n v="0"/>
    <m/>
    <m/>
    <m/>
    <m/>
    <m/>
    <m/>
    <m/>
    <n v="0"/>
    <e v="#N/A"/>
    <e v="#N/A"/>
    <s v="OUTBOUND_"/>
  </r>
  <r>
    <s v="2475"/>
    <m/>
    <x v="0"/>
    <s v="INB-W0012405-337"/>
    <s v="EJ-Malang-01"/>
    <s v="Oka-0813-2707-1646"/>
    <d v="2024-05-17T00:00:00"/>
    <d v="1900-01-14T07:00:00"/>
    <s v="GCI Procurement"/>
    <x v="2"/>
    <x v="35"/>
    <s v="GCI1003"/>
    <s v="Pcs"/>
    <n v="112"/>
    <n v="0"/>
    <x v="5"/>
    <n v="0"/>
    <n v="0"/>
    <m/>
    <m/>
    <m/>
    <m/>
    <m/>
    <m/>
    <m/>
    <n v="0"/>
    <e v="#N/A"/>
    <e v="#N/A"/>
    <s v="OUTBOUND_"/>
  </r>
  <r>
    <s v="2476"/>
    <m/>
    <x v="0"/>
    <s v="INB-W0012405-337"/>
    <s v="EJ-Malang-01"/>
    <s v="Oka-0813-2707-1646"/>
    <d v="2024-05-17T00:00:00"/>
    <d v="1900-01-14T07:00:00"/>
    <s v="GCI Procurement"/>
    <x v="2"/>
    <x v="35"/>
    <s v="GCI1003"/>
    <s v="Pcs"/>
    <n v="125"/>
    <n v="0"/>
    <x v="5"/>
    <n v="0"/>
    <n v="0"/>
    <m/>
    <m/>
    <m/>
    <m/>
    <m/>
    <m/>
    <m/>
    <n v="0"/>
    <e v="#N/A"/>
    <e v="#N/A"/>
    <s v="OUTBOUND_"/>
  </r>
  <r>
    <s v="2477"/>
    <m/>
    <x v="1"/>
    <s v="OUB-W0012405-335"/>
    <s v="EJ-Malang-01"/>
    <s v="Oka-0813-2707-1646"/>
    <d v="2024-05-17T00:00:00"/>
    <d v="1899-12-30T10:43:00"/>
    <s v="EJ-MALANG-01"/>
    <x v="2"/>
    <x v="35"/>
    <s v="GCI1003"/>
    <s v="Pcs"/>
    <n v="100"/>
    <s v="MF51-02"/>
    <x v="46"/>
    <m/>
    <m/>
    <m/>
    <s v="Riki Romansyah"/>
    <s v="Febby Supplier"/>
    <s v="3507050501950006"/>
    <s v="N 8420 EL"/>
    <m/>
    <m/>
    <s v="HUBFEEDER DALISODO"/>
    <e v="#N/A"/>
    <e v="#N/A"/>
    <s v="OUTBOUND_"/>
  </r>
  <r>
    <s v="2478"/>
    <m/>
    <x v="1"/>
    <s v="OUB-W0012405-350"/>
    <s v="EJ-Malang-01"/>
    <s v="Oka-0813-2707-1646"/>
    <d v="2024-05-25T00:00:00"/>
    <d v="1899-12-30T09:40:00"/>
    <s v="EJ-MALANG-01"/>
    <x v="2"/>
    <x v="35"/>
    <s v="GCI1003"/>
    <s v="Pcs"/>
    <n v="100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2479"/>
    <m/>
    <x v="1"/>
    <s v="OUB-W0012405-359"/>
    <s v="EJ-Malang-01"/>
    <s v="Oka-0813-2707-1646"/>
    <d v="2024-05-30T00:00:00"/>
    <d v="1899-12-30T11:30:00"/>
    <s v="EJ-MALANG-01"/>
    <x v="2"/>
    <x v="35"/>
    <s v="GCI1003"/>
    <s v="Pcs"/>
    <n v="200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2480"/>
    <m/>
    <x v="0"/>
    <s v="INB-W0012406-370"/>
    <s v="EJ-Malang-01"/>
    <s v="Oka-0813-2707-1646"/>
    <d v="2024-06-06T00:00:00"/>
    <d v="1900-01-14T07:00:00"/>
    <s v="GCI Procurement"/>
    <x v="2"/>
    <x v="35"/>
    <s v="GCI1003"/>
    <s v="Pcs"/>
    <n v="228"/>
    <n v="0"/>
    <x v="5"/>
    <n v="0"/>
    <n v="0"/>
    <m/>
    <m/>
    <m/>
    <m/>
    <m/>
    <m/>
    <m/>
    <n v="0"/>
    <e v="#N/A"/>
    <e v="#N/A"/>
    <s v="OUTBOUND_"/>
  </r>
  <r>
    <s v="2481"/>
    <m/>
    <x v="1"/>
    <s v="OUB-W0012406-371"/>
    <s v="EJ-Malang-01"/>
    <s v="Oka-0813-2707-1646"/>
    <d v="2024-06-07T00:00:00"/>
    <d v="1899-12-30T17:21:00"/>
    <s v="EJ-MALANG-01"/>
    <x v="2"/>
    <x v="35"/>
    <s v="GCI1003"/>
    <s v="Pcs"/>
    <n v="200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2482"/>
    <m/>
    <x v="0"/>
    <s v="INB-W0012406-382"/>
    <s v="EJ-Malang-01"/>
    <s v="Oka-0813-2707-1646"/>
    <d v="2024-06-19T00:00:00"/>
    <d v="1900-01-14T07:00:00"/>
    <s v="GCI Procurement"/>
    <x v="2"/>
    <x v="35"/>
    <s v="GCI1003"/>
    <s v="Pcs"/>
    <n v="22"/>
    <s v="RTN"/>
    <x v="156"/>
    <n v="0"/>
    <n v="0"/>
    <m/>
    <m/>
    <m/>
    <m/>
    <m/>
    <m/>
    <m/>
    <s v="Pengembalian"/>
    <e v="#N/A"/>
    <e v="#N/A"/>
    <s v="OUTBOUND_"/>
  </r>
  <r>
    <s v="2483"/>
    <m/>
    <x v="1"/>
    <s v="OUB-W0012406-383"/>
    <s v="EJ-Malang-01"/>
    <s v="Oka-0813-2707-1646"/>
    <d v="2024-06-20T00:00:00"/>
    <d v="1899-12-30T10:40:00"/>
    <s v="EJ-MALANG-01"/>
    <x v="2"/>
    <x v="35"/>
    <s v="GCI1003"/>
    <s v="Pcs"/>
    <n v="50"/>
    <s v="CLR51-02-020"/>
    <x v="53"/>
    <m/>
    <m/>
    <m/>
    <s v="Riki Romansyah"/>
    <s v="Febby Supplier"/>
    <s v="3507050501950006"/>
    <s v="N 8420 EL"/>
    <m/>
    <m/>
    <s v="Lowokwaru RW 04"/>
    <e v="#N/A"/>
    <e v="#N/A"/>
    <s v="OUTBOUND_"/>
  </r>
  <r>
    <s v="2484"/>
    <m/>
    <x v="0"/>
    <s v="INB-W0012406-390"/>
    <s v="EJ-Malang-01"/>
    <s v="Oka-0813-2707-1646"/>
    <d v="2024-06-25T00:00:00"/>
    <d v="1900-01-14T07:00:00"/>
    <s v="GCI Procurement"/>
    <x v="2"/>
    <x v="35"/>
    <s v="GCI1003"/>
    <s v="Pcs"/>
    <n v="163"/>
    <n v="0"/>
    <x v="5"/>
    <n v="0"/>
    <n v="0"/>
    <m/>
    <m/>
    <m/>
    <m/>
    <m/>
    <m/>
    <m/>
    <n v="0"/>
    <e v="#N/A"/>
    <e v="#N/A"/>
    <s v="OUTBOUND_"/>
  </r>
  <r>
    <s v="2485"/>
    <m/>
    <x v="1"/>
    <s v="OUB-W0012406-393"/>
    <s v="EJ-Malang-01"/>
    <s v="Oka-0813-2707-1646"/>
    <d v="2024-06-27T00:00:00"/>
    <d v="1899-12-30T12:53:00"/>
    <s v="EJ-MALANG-01"/>
    <x v="2"/>
    <x v="35"/>
    <s v="GCI1003"/>
    <s v="Pcs"/>
    <n v="127"/>
    <s v="CLR51-99-063"/>
    <x v="55"/>
    <m/>
    <m/>
    <m/>
    <s v="Riki Romansyah"/>
    <s v="Febby Supplier"/>
    <s v="3507050501950006"/>
    <s v="N 8420 EL"/>
    <m/>
    <m/>
    <s v="Perumahan Kepanjen Permai II"/>
    <e v="#N/A"/>
    <e v="#N/A"/>
    <s v="OUTBOUND_"/>
  </r>
  <r>
    <s v="2486"/>
    <m/>
    <x v="0"/>
    <s v="INB-W0012407-395"/>
    <s v="EJ-Malang-01"/>
    <s v="Oka-0813-2707-1646"/>
    <d v="2024-07-03T00:00:00"/>
    <d v="1900-01-14T07:00:00"/>
    <s v="GCI Procurement"/>
    <x v="2"/>
    <x v="35"/>
    <s v="GCI1003"/>
    <s v="Pcs"/>
    <n v="430"/>
    <n v="0"/>
    <x v="140"/>
    <n v="0"/>
    <n v="0"/>
    <m/>
    <m/>
    <m/>
    <m/>
    <m/>
    <m/>
    <m/>
    <s v="HALIM JAYA"/>
    <e v="#N/A"/>
    <e v="#N/A"/>
    <s v="OUTBOUND_"/>
  </r>
  <r>
    <s v="2487"/>
    <m/>
    <x v="1"/>
    <s v="OUB-W0012407-413"/>
    <s v="EJ-Malang-01"/>
    <s v="Oka-0813-2707-1646"/>
    <d v="2024-07-24T00:00:00"/>
    <d v="1899-12-30T15:20:00"/>
    <s v="EJ-MALANG-01"/>
    <x v="2"/>
    <x v="35"/>
    <s v="GCI1003"/>
    <s v="Pcs"/>
    <n v="100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2488"/>
    <m/>
    <x v="1"/>
    <s v="OUB-W0012407-418"/>
    <s v="EJ-Malang-01"/>
    <s v="Oka-0813-2707-1646"/>
    <d v="2024-07-29T00:00:00"/>
    <d v="1899-12-30T14:10:00"/>
    <s v="EJ-MALANG-01"/>
    <x v="2"/>
    <x v="35"/>
    <s v="GCI1003"/>
    <s v="Pcs"/>
    <n v="100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2489"/>
    <m/>
    <x v="0"/>
    <s v="INB-W0012408-426"/>
    <s v="EJ-Malang-01"/>
    <s v="Oka-0813-2707-1646"/>
    <d v="2024-08-02T00:00:00"/>
    <d v="1900-01-14T07:00:00"/>
    <s v="GCI Procurement"/>
    <x v="2"/>
    <x v="35"/>
    <s v="GCI1003"/>
    <s v="Pcs"/>
    <n v="401"/>
    <n v="0"/>
    <x v="5"/>
    <n v="0"/>
    <n v="0"/>
    <m/>
    <m/>
    <m/>
    <m/>
    <m/>
    <m/>
    <m/>
    <n v="0"/>
    <e v="#N/A"/>
    <e v="#N/A"/>
    <s v="OUTBOUND_"/>
  </r>
  <r>
    <s v="2490"/>
    <m/>
    <x v="1"/>
    <s v="OUB-W0012408-433"/>
    <s v="EJ-Malang-01"/>
    <s v="Oka-0813-2707-1646"/>
    <d v="2024-08-07T00:00:00"/>
    <d v="1899-12-30T10:46:00"/>
    <s v="EJ-MALANG-01"/>
    <x v="2"/>
    <x v="35"/>
    <s v="GCI1003"/>
    <s v="Pcs"/>
    <n v="40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2491"/>
    <m/>
    <x v="1"/>
    <s v="OUB-W0012408-434"/>
    <s v="EJ-Malang-01"/>
    <s v="Oka-0813-2707-1646"/>
    <d v="2024-08-07T00:00:00"/>
    <d v="1899-12-30T18:48:00"/>
    <s v="EJ-MALANG-01"/>
    <x v="2"/>
    <x v="35"/>
    <s v="GCI1003"/>
    <s v="Pcs"/>
    <n v="100"/>
    <s v="MF51-03"/>
    <x v="57"/>
    <m/>
    <m/>
    <m/>
    <s v="Riki Romansyah"/>
    <s v="Febby Supplier"/>
    <s v="3507050501950006"/>
    <s v="N 8420 EL"/>
    <m/>
    <m/>
    <s v="HUBFEEDER KEPANJEN TO JATIKERTO"/>
    <e v="#N/A"/>
    <e v="#N/A"/>
    <s v="OUTBOUND_"/>
  </r>
  <r>
    <s v="2492"/>
    <m/>
    <x v="1"/>
    <s v="OUB-W0012408-437"/>
    <s v="EJ-Malang-01"/>
    <s v="Oka-0813-2707-1646"/>
    <d v="2024-08-08T00:00:00"/>
    <d v="1899-12-30T13:08:00"/>
    <s v="EJ-MALANG-01"/>
    <x v="2"/>
    <x v="35"/>
    <s v="GCI1003"/>
    <s v="Pcs"/>
    <n v="100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2493"/>
    <m/>
    <x v="0"/>
    <s v="INB-W0012408-440"/>
    <s v="EJ-Malang-01"/>
    <s v="Oka-0813-2707-1646"/>
    <d v="2024-08-10T00:00:00"/>
    <d v="1900-01-14T07:00:00"/>
    <s v="GCI Procurement"/>
    <x v="2"/>
    <x v="35"/>
    <s v="GCI1003"/>
    <s v="Pcs"/>
    <n v="67"/>
    <s v="RTN"/>
    <x v="156"/>
    <n v="0"/>
    <n v="0"/>
    <m/>
    <m/>
    <m/>
    <m/>
    <m/>
    <m/>
    <m/>
    <s v="Pengembalian"/>
    <e v="#N/A"/>
    <e v="#N/A"/>
    <s v="OUTBOUND_"/>
  </r>
  <r>
    <s v="2494"/>
    <m/>
    <x v="1"/>
    <s v="OUB-W0012408-442"/>
    <s v="EJ-Malang-01"/>
    <s v="Oka-0813-2707-1646"/>
    <d v="2024-08-14T00:00:00"/>
    <d v="1899-12-30T10:00:00"/>
    <s v="EJ-MALANG-01"/>
    <x v="2"/>
    <x v="35"/>
    <s v="GCI1003"/>
    <s v="Pcs"/>
    <n v="100"/>
    <s v="MF51-04"/>
    <x v="60"/>
    <m/>
    <m/>
    <m/>
    <s v="Riki Romansyah"/>
    <s v="Febby Supplier"/>
    <s v="3507050501950006"/>
    <s v="N 8420 EL"/>
    <m/>
    <m/>
    <s v="HUBFEEDER TIRTASANI TO GIRIMOYO"/>
    <e v="#N/A"/>
    <e v="#N/A"/>
    <s v="OUTBOUND_"/>
  </r>
  <r>
    <s v="2495"/>
    <m/>
    <x v="1"/>
    <s v="OUB-W0012408-448"/>
    <s v="EJ-Malang-01"/>
    <s v="Oka-0813-2707-1646"/>
    <d v="2024-08-20T00:00:00"/>
    <d v="1899-12-30T16:54:00"/>
    <s v="EJ-MALANG-01"/>
    <x v="2"/>
    <x v="35"/>
    <s v="GCI1003"/>
    <s v="Pcs"/>
    <n v="40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2496"/>
    <m/>
    <x v="1"/>
    <s v="OUB-W0012408-455"/>
    <s v="EJ-Malang-01"/>
    <s v="Oka-0813-2707-1646"/>
    <d v="2024-08-23T00:00:00"/>
    <d v="1899-12-30T11:13:00"/>
    <s v="EJ-MALANG-01"/>
    <x v="2"/>
    <x v="35"/>
    <s v="GCI1003"/>
    <s v="Pcs"/>
    <n v="100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2497"/>
    <m/>
    <x v="1"/>
    <s v="OUB-W0012408-462"/>
    <s v="EJ-Malang-01"/>
    <s v="Oka-0813-2707-1646"/>
    <d v="2024-08-27T00:00:00"/>
    <d v="1899-12-30T21:22:00"/>
    <s v="EJ-MALANG-01"/>
    <x v="2"/>
    <x v="35"/>
    <s v="GCI1003"/>
    <s v="Pcs"/>
    <n v="25"/>
    <s v="MF51-05"/>
    <x v="66"/>
    <m/>
    <m/>
    <m/>
    <s v="Nur Hidayat"/>
    <n v="0"/>
    <s v="3515141305930006"/>
    <s v="S 9102 AE"/>
    <m/>
    <m/>
    <s v="HUBFEEDER DINOYO SUMBERSEKAR"/>
    <e v="#N/A"/>
    <e v="#N/A"/>
    <s v="OUTBOUND_"/>
  </r>
  <r>
    <s v="2498"/>
    <m/>
    <x v="1"/>
    <s v="OUB-W0012408-469"/>
    <s v="EJ-Malang-01"/>
    <s v="Oka-0813-2707-1646"/>
    <d v="2024-08-29T00:00:00"/>
    <d v="1899-12-30T08:19:00"/>
    <s v="EJ-MALANG-01"/>
    <x v="2"/>
    <x v="35"/>
    <s v="GCI1003"/>
    <s v="Pcs"/>
    <n v="100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2499"/>
    <m/>
    <x v="0"/>
    <s v="INB-W0012409-494"/>
    <s v="EJ-Malang-01"/>
    <s v="Oka-0813-2707-1646"/>
    <d v="2024-09-06T00:00:00"/>
    <d v="1900-01-14T07:00:00"/>
    <s v="GCI Procurement"/>
    <x v="2"/>
    <x v="35"/>
    <s v="GCI1003"/>
    <s v="Pcs"/>
    <n v="340"/>
    <n v="0"/>
    <x v="5"/>
    <n v="0"/>
    <n v="0"/>
    <m/>
    <m/>
    <m/>
    <m/>
    <m/>
    <m/>
    <m/>
    <n v="0"/>
    <e v="#N/A"/>
    <e v="#N/A"/>
    <s v="OUTBOUND_"/>
  </r>
  <r>
    <s v="2500"/>
    <m/>
    <x v="1"/>
    <s v="OUB-W0012409-493"/>
    <s v="EJ-Malang-01"/>
    <s v="Oka-0813-2707-1646"/>
    <d v="2024-09-06T00:00:00"/>
    <d v="1899-12-30T19:13:00"/>
    <s v="EJ-MALANG-01"/>
    <x v="2"/>
    <x v="35"/>
    <s v="GCI1003"/>
    <s v="Pcs"/>
    <n v="26"/>
    <s v="CLR51-99-118"/>
    <x v="68"/>
    <m/>
    <m/>
    <m/>
    <s v="Nur Hidayat"/>
    <n v="0"/>
    <s v="3515141305930006"/>
    <s v="S 9102 AE"/>
    <m/>
    <m/>
    <s v="NGENEP UTARA RW 03 MALANG"/>
    <e v="#N/A"/>
    <e v="#N/A"/>
    <s v="OUTBOUND_"/>
  </r>
  <r>
    <s v="2501"/>
    <m/>
    <x v="1"/>
    <s v="OUB-W0012409-497"/>
    <s v="EJ-Malang-01"/>
    <s v="Oka-0813-2707-1646"/>
    <d v="2024-09-07T00:00:00"/>
    <d v="1899-12-30T17:42:00"/>
    <s v="EJ-MALANG-01"/>
    <x v="2"/>
    <x v="35"/>
    <s v="GCI1003"/>
    <s v="Pcs"/>
    <n v="100"/>
    <s v="CLR51-99-115"/>
    <x v="65"/>
    <m/>
    <m/>
    <m/>
    <s v="Riki Romansyah"/>
    <n v="0"/>
    <s v="3507050501950006"/>
    <s v="N 8420 EL"/>
    <m/>
    <m/>
    <s v="SENGGURUH RW 01 MALANG"/>
    <e v="#N/A"/>
    <e v="#N/A"/>
    <s v="OUTBOUND_"/>
  </r>
  <r>
    <s v="2502"/>
    <m/>
    <x v="1"/>
    <s v="OUB-W0012409-500"/>
    <s v="EJ-Malang-01"/>
    <s v="Oka-0813-2707-1646"/>
    <d v="2024-09-10T00:00:00"/>
    <d v="1899-12-30T17:56:00"/>
    <s v="EJ-MALANG-01"/>
    <x v="2"/>
    <x v="35"/>
    <s v="GCI1003"/>
    <s v="Pcs"/>
    <n v="150"/>
    <s v="CLR51-09-009"/>
    <x v="62"/>
    <m/>
    <m/>
    <m/>
    <s v="Riki Romansyah"/>
    <n v="0"/>
    <s v="3507050501950006"/>
    <s v="N 8420 EL"/>
    <m/>
    <m/>
    <s v="Dilem RW 03 Kepanjen"/>
    <e v="#N/A"/>
    <e v="#N/A"/>
    <s v="OUTBOUND_"/>
  </r>
  <r>
    <s v="2503"/>
    <m/>
    <x v="1"/>
    <s v="OUB-W0012409-499"/>
    <s v="EJ-Malang-01"/>
    <s v="Oka-0813-2707-1646"/>
    <d v="2024-09-10T00:00:00"/>
    <d v="1899-12-30T08:47:00"/>
    <s v="EJ-MALANG-01"/>
    <x v="2"/>
    <x v="35"/>
    <s v="GCI1003"/>
    <s v="Pcs"/>
    <n v="155"/>
    <s v="MF51-05"/>
    <x v="66"/>
    <m/>
    <m/>
    <m/>
    <s v="Nur Hidayat"/>
    <n v="0"/>
    <s v="3515141305930006"/>
    <s v="S 9102 AE"/>
    <m/>
    <m/>
    <s v="HUBFEEDER DINOYO SUMBERSEKAR"/>
    <e v="#N/A"/>
    <e v="#N/A"/>
    <s v="OUTBOUND_"/>
  </r>
  <r>
    <s v="2504"/>
    <m/>
    <x v="1"/>
    <s v="OUB-W0012409-503"/>
    <s v="EJ-Malang-01"/>
    <s v="Oka-0813-2707-1646"/>
    <d v="2024-09-18T00:00:00"/>
    <d v="1899-12-30T10:21:00"/>
    <s v="EJ-MALANG-01"/>
    <x v="2"/>
    <x v="35"/>
    <s v="GCI1003"/>
    <s v="Pcs"/>
    <n v="100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2505"/>
    <m/>
    <x v="0"/>
    <s v="INB-W0012409-504"/>
    <s v="EJ-Malang-01"/>
    <s v="Oka-0813-2707-1646"/>
    <d v="2024-09-19T00:00:00"/>
    <d v="1900-01-14T07:00:00"/>
    <s v="FIELD TEAM"/>
    <x v="2"/>
    <x v="35"/>
    <s v="GCI1003"/>
    <s v="Pcs"/>
    <n v="11"/>
    <s v="RTN"/>
    <x v="157"/>
    <n v="0"/>
    <n v="0"/>
    <m/>
    <m/>
    <m/>
    <m/>
    <m/>
    <m/>
    <m/>
    <s v="MF Sumbersekar"/>
    <e v="#N/A"/>
    <e v="#N/A"/>
    <s v="OUTBOUND_"/>
  </r>
  <r>
    <s v="2506"/>
    <m/>
    <x v="0"/>
    <s v="INB-W0012409-504"/>
    <s v="EJ-Malang-01"/>
    <s v="Oka-0813-2707-1646"/>
    <d v="2024-09-19T00:00:00"/>
    <d v="1900-01-14T07:00:00"/>
    <s v="GCI Procurement"/>
    <x v="2"/>
    <x v="35"/>
    <s v="GCI1003"/>
    <s v="Pcs"/>
    <n v="46"/>
    <n v="0"/>
    <x v="5"/>
    <n v="0"/>
    <n v="0"/>
    <m/>
    <m/>
    <m/>
    <m/>
    <m/>
    <m/>
    <m/>
    <n v="0"/>
    <e v="#N/A"/>
    <e v="#N/A"/>
    <s v="OUTBOUND_"/>
  </r>
  <r>
    <s v="2507"/>
    <m/>
    <x v="1"/>
    <s v="OUB-W0012409-508"/>
    <s v="EJ-Malang-01"/>
    <s v="Oka-0813-2707-1646"/>
    <d v="2024-09-21T00:00:00"/>
    <d v="1899-12-30T17:10:00"/>
    <s v="EJ-MALANG-01"/>
    <x v="2"/>
    <x v="35"/>
    <s v="GCI1003"/>
    <s v="Pcs"/>
    <n v="56"/>
    <s v="MF51-05"/>
    <x v="66"/>
    <m/>
    <m/>
    <m/>
    <s v="Dimas"/>
    <s v="Febby Supplier"/>
    <s v="3573032509800005"/>
    <s v="N 9454 BA"/>
    <m/>
    <m/>
    <s v="HUBFEEDER DINOYO SUMBERSEKAR"/>
    <e v="#N/A"/>
    <e v="#N/A"/>
    <s v="OUTBOUND_"/>
  </r>
  <r>
    <s v="2508"/>
    <m/>
    <x v="0"/>
    <s v="INB-W0012409-516"/>
    <s v="EJ-Malang-01"/>
    <s v="Oka-0813-2707-1646"/>
    <d v="2024-09-26T00:00:00"/>
    <d v="1900-01-14T07:00:00"/>
    <s v="FIELD TEAM"/>
    <x v="2"/>
    <x v="35"/>
    <s v="GCI1003"/>
    <s v="Pcs"/>
    <n v="150"/>
    <s v="RTN"/>
    <x v="163"/>
    <n v="0"/>
    <n v="0"/>
    <m/>
    <m/>
    <m/>
    <m/>
    <m/>
    <m/>
    <m/>
    <s v="Sengguruh"/>
    <e v="#N/A"/>
    <e v="#N/A"/>
    <s v="OUTBOUND_"/>
  </r>
  <r>
    <s v="2509"/>
    <m/>
    <x v="1"/>
    <s v="OUB-W0012409-512"/>
    <s v="EJ-Malang-01"/>
    <s v="Oka-0813-2707-1646"/>
    <d v="2024-09-26T00:00:00"/>
    <d v="1899-12-30T15:23:00"/>
    <s v="EJ-MALANG-01"/>
    <x v="2"/>
    <x v="35"/>
    <s v="GCI1003"/>
    <s v="Pcs"/>
    <n v="40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2510"/>
    <m/>
    <x v="1"/>
    <s v="OUB-W0012409-518"/>
    <s v="EJ-Malang-01"/>
    <s v="Oka-0813-2707-1646"/>
    <d v="2024-09-27T00:00:00"/>
    <d v="1899-12-30T14:30:00"/>
    <s v="EJ-MALANG-01"/>
    <x v="2"/>
    <x v="35"/>
    <s v="GCI1003"/>
    <s v="Pcs"/>
    <n v="50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2511"/>
    <m/>
    <x v="0"/>
    <s v="INB-W0012410-523"/>
    <s v="EJ-Malang-01"/>
    <s v="Oka-0813-2707-1646"/>
    <d v="2024-10-01T00:00:00"/>
    <d v="1900-01-14T07:00:00"/>
    <s v="FIELD TEAM"/>
    <x v="2"/>
    <x v="35"/>
    <s v="GCI1003"/>
    <s v="Pcs"/>
    <n v="72"/>
    <s v="RTN"/>
    <x v="159"/>
    <n v="0"/>
    <n v="0"/>
    <m/>
    <m/>
    <m/>
    <m/>
    <m/>
    <m/>
    <m/>
    <s v="Mojosari Ngenep"/>
    <e v="#N/A"/>
    <e v="#N/A"/>
    <s v="OUTBOUND_"/>
  </r>
  <r>
    <s v="2512"/>
    <m/>
    <x v="1"/>
    <s v="OUB-W0012410-526"/>
    <s v="EJ-Malang-01"/>
    <s v="Oka-0813-2707-1646"/>
    <d v="2024-10-10T00:00:00"/>
    <d v="1899-12-30T13:33:00"/>
    <s v="EJ-MALANG-01"/>
    <x v="2"/>
    <x v="35"/>
    <s v="GCI1003"/>
    <s v="Pcs"/>
    <n v="60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2513"/>
    <m/>
    <x v="0"/>
    <s v="INB-W0012410-528"/>
    <s v="EJ-Malang-01"/>
    <s v="Oka-0813-2707-1646"/>
    <d v="2024-10-18T00:00:00"/>
    <d v="1900-01-14T07:00:00"/>
    <s v="GCI Procurement"/>
    <x v="2"/>
    <x v="35"/>
    <s v="GCI1003"/>
    <s v="Pcs"/>
    <n v="137"/>
    <n v="0"/>
    <x v="5"/>
    <n v="0"/>
    <n v="0"/>
    <m/>
    <m/>
    <m/>
    <m/>
    <m/>
    <m/>
    <m/>
    <n v="0"/>
    <e v="#N/A"/>
    <e v="#N/A"/>
    <s v="OUTBOUND_"/>
  </r>
  <r>
    <s v="2514"/>
    <m/>
    <x v="1"/>
    <s v="OUB-W0012410-527"/>
    <s v="EJ-Malang-01"/>
    <s v="Oka-0813-2707-1646"/>
    <d v="2024-10-18T00:00:00"/>
    <d v="1899-12-30T09:10:00"/>
    <s v="EJ-MALANG-01"/>
    <x v="2"/>
    <x v="35"/>
    <s v="GCI1003"/>
    <s v="Pcs"/>
    <n v="55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2515"/>
    <m/>
    <x v="1"/>
    <s v="OUB-W0012410-532"/>
    <s v="EJ-Malang-01"/>
    <s v="Oka-0813-2707-1646"/>
    <d v="2024-10-25T00:00:00"/>
    <d v="1899-12-30T19:09:00"/>
    <s v="EJ-MALANG-01"/>
    <x v="2"/>
    <x v="35"/>
    <s v="GCI1003"/>
    <s v="Pcs"/>
    <n v="55"/>
    <s v="MF51-07"/>
    <x v="75"/>
    <m/>
    <m/>
    <m/>
    <s v="Sulistiono"/>
    <n v="0"/>
    <s v="3575032104720001"/>
    <s v="N 9586 WC"/>
    <m/>
    <m/>
    <s v="HUBFEEDER KLAMPOK"/>
    <e v="#N/A"/>
    <e v="#N/A"/>
    <s v="OUTBOUND_"/>
  </r>
  <r>
    <s v="2516"/>
    <m/>
    <x v="0"/>
    <s v="INB-W0012410-542"/>
    <s v="EJ-Malang-01"/>
    <s v="Oka-0813-2707-1646"/>
    <d v="2024-10-30T00:00:00"/>
    <d v="1900-01-14T07:00:00"/>
    <s v="GCI Procurement"/>
    <x v="2"/>
    <x v="35"/>
    <s v="GCI1003"/>
    <s v="Pcs"/>
    <n v="79"/>
    <n v="0"/>
    <x v="5"/>
    <n v="0"/>
    <n v="0"/>
    <m/>
    <m/>
    <m/>
    <m/>
    <m/>
    <m/>
    <m/>
    <n v="0"/>
    <e v="#N/A"/>
    <e v="#N/A"/>
    <s v="OUTBOUND_"/>
  </r>
  <r>
    <s v="2517"/>
    <m/>
    <x v="1"/>
    <s v="OUB-W0012410-539"/>
    <s v="EJ-Malang-01"/>
    <s v="Oka-0813-2707-1646"/>
    <d v="2024-10-30T00:00:00"/>
    <d v="1899-12-30T23:25:00"/>
    <s v="EJ-MALANG-01"/>
    <x v="2"/>
    <x v="35"/>
    <s v="GCI1003"/>
    <s v="Pcs"/>
    <n v="71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2518"/>
    <m/>
    <x v="1"/>
    <s v="OUB-W0012411-547"/>
    <s v="EJ-Malang-01"/>
    <s v="Oka-0813-2707-1646"/>
    <d v="2024-11-06T00:00:00"/>
    <d v="1899-12-30T08:25:00"/>
    <s v="EJ-MALANG-01"/>
    <x v="2"/>
    <x v="35"/>
    <s v="GCI1003"/>
    <s v="Pcs"/>
    <n v="38"/>
    <s v="CLR51-99-095"/>
    <x v="16"/>
    <m/>
    <m/>
    <m/>
    <s v="Riki Romansyah"/>
    <n v="0"/>
    <s v="3507050501950006"/>
    <s v="N 8420 EL"/>
    <m/>
    <m/>
    <s v="Candirenggo RW 10 Singosari"/>
    <e v="#N/A"/>
    <e v="#N/A"/>
    <s v="OUTBOUND_"/>
  </r>
  <r>
    <s v="2519"/>
    <m/>
    <x v="1"/>
    <s v="OUB-W0012411-564"/>
    <s v="EJ-Malang-01"/>
    <s v="Oka-0813-2707-1646"/>
    <d v="2024-11-26T00:00:00"/>
    <d v="1899-12-30T09:30:00"/>
    <s v="EJ-MALANG-01"/>
    <x v="2"/>
    <x v="35"/>
    <s v="GCI1003"/>
    <s v="Pcs"/>
    <n v="9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2520"/>
    <m/>
    <x v="0"/>
    <s v="INB-W0012411-570"/>
    <s v="EJ-Malang-01"/>
    <s v="Oka-0813-2707-1646"/>
    <d v="2024-11-30T00:00:00"/>
    <d v="1900-01-14T07:00:00"/>
    <s v="GCI Procurement"/>
    <x v="2"/>
    <x v="35"/>
    <s v="GCI1003"/>
    <s v="Pcs"/>
    <n v="96"/>
    <n v="0"/>
    <x v="5"/>
    <n v="0"/>
    <n v="0"/>
    <m/>
    <m/>
    <m/>
    <m/>
    <m/>
    <m/>
    <m/>
    <n v="0"/>
    <e v="#N/A"/>
    <e v="#N/A"/>
    <s v="OUTBOUND_"/>
  </r>
  <r>
    <s v="2521"/>
    <m/>
    <x v="1"/>
    <s v="OUB-W0012412-571"/>
    <s v="EJ-Malang-01"/>
    <s v="Oka-0813-2707-1646"/>
    <d v="2024-12-01T00:00:00"/>
    <d v="1899-12-30T09:30:00"/>
    <s v="EJ-MALANG-01"/>
    <x v="2"/>
    <x v="35"/>
    <s v="GCI1003"/>
    <s v="Pcs"/>
    <n v="95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2522"/>
    <m/>
    <x v="0"/>
    <s v="INB-W0012412-593"/>
    <s v="EJ-Malang-01"/>
    <s v="Oka-0813-2707-1646"/>
    <d v="2024-12-30T00:00:00"/>
    <d v="1900-01-14T07:00:00"/>
    <s v="GCI Procurement"/>
    <x v="2"/>
    <x v="35"/>
    <s v="GCI1003"/>
    <s v="Pcs"/>
    <n v="703"/>
    <n v="0"/>
    <x v="5"/>
    <n v="0"/>
    <n v="0"/>
    <m/>
    <m/>
    <m/>
    <m/>
    <m/>
    <m/>
    <m/>
    <n v="0"/>
    <e v="#N/A"/>
    <e v="#N/A"/>
    <s v="OUTBOUND_"/>
  </r>
  <r>
    <s v="2523"/>
    <m/>
    <x v="1"/>
    <s v="OUB-W0012412-591"/>
    <s v="EJ-Malang-01"/>
    <s v="Oka-0813-2707-1646"/>
    <d v="2024-12-30T00:00:00"/>
    <d v="1899-12-30T09:45:00"/>
    <s v="EJ-MALANG-01"/>
    <x v="2"/>
    <x v="35"/>
    <s v="GCI1003"/>
    <s v="Pcs"/>
    <n v="110"/>
    <s v="CLR51-09-013"/>
    <x v="144"/>
    <m/>
    <m/>
    <m/>
    <s v="Riki Romansyah"/>
    <n v="0"/>
    <s v="3507050501950006"/>
    <s v="N 8420 EL"/>
    <m/>
    <m/>
    <s v="Perum Chandra Kirana Watugede"/>
    <e v="#N/A"/>
    <e v="#N/A"/>
    <s v="OUTBOUND_"/>
  </r>
  <r>
    <s v="2524"/>
    <m/>
    <x v="1"/>
    <s v="OUB-W0012501-596"/>
    <s v="EJ-Malang-01"/>
    <s v="Oka-0813-2707-1646"/>
    <d v="2025-01-13T00:00:00"/>
    <d v="1899-12-30T13:00:00"/>
    <s v="EJ-MALANG-01"/>
    <x v="2"/>
    <x v="35"/>
    <s v="GCI1003"/>
    <s v="Pcs"/>
    <n v="50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2525"/>
    <m/>
    <x v="1"/>
    <s v="OUB-W0012501-598"/>
    <s v="EJ-Malang-01"/>
    <s v="Oka-0813-2707-1646"/>
    <d v="2025-01-15T00:00:00"/>
    <d v="1899-12-30T13:00:00"/>
    <s v="EJ-MALANG-01"/>
    <x v="2"/>
    <x v="35"/>
    <s v="GCI1003"/>
    <s v="Pcs"/>
    <n v="20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2526"/>
    <m/>
    <x v="1"/>
    <s v="OUB-W0012502-607"/>
    <s v="EJ-Malang-01"/>
    <s v="Oka-0813-2707-1646"/>
    <d v="2025-02-19T00:00:00"/>
    <d v="1899-12-30T09:35:00"/>
    <s v="EJ-MALANG-01"/>
    <x v="2"/>
    <x v="35"/>
    <s v="GCI1003"/>
    <s v="Pcs"/>
    <n v="100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2527"/>
    <m/>
    <x v="1"/>
    <s v="OUB-W0012502-613"/>
    <s v="EJ-Malang-01"/>
    <s v="Oka-0813-2707-1646"/>
    <d v="2025-02-21T00:00:00"/>
    <d v="1899-12-30T09:35:00"/>
    <s v="EJ-MALANG-01"/>
    <x v="2"/>
    <x v="35"/>
    <s v="GCI1003"/>
    <s v="Pcs"/>
    <n v="12"/>
    <s v="CLR51-02-016"/>
    <x v="141"/>
    <m/>
    <m/>
    <m/>
    <s v="Fatur"/>
    <n v="0"/>
    <s v="1812010507910004"/>
    <s v="L 9221 K"/>
    <m/>
    <m/>
    <s v="Ngenep RW 06 Karang Ploso"/>
    <e v="#N/A"/>
    <e v="#N/A"/>
    <s v="OUTBOUND_"/>
  </r>
  <r>
    <s v="2528"/>
    <m/>
    <x v="1"/>
    <s v="OUB-W0012503-621"/>
    <s v="EJ-Malang-01"/>
    <s v="Oka-0813-2707-1646"/>
    <d v="2025-03-06T00:00:00"/>
    <d v="1899-12-30T15:09:00"/>
    <s v="EJ-MALANG-01"/>
    <x v="2"/>
    <x v="35"/>
    <s v="GCI1003"/>
    <s v="Pcs"/>
    <n v="15"/>
    <s v="TRF"/>
    <x v="5"/>
    <m/>
    <m/>
    <m/>
    <s v="Fatur"/>
    <n v="0"/>
    <s v="1812010507910004"/>
    <s v="L 9221 K"/>
    <s v="Ke WH Gresik"/>
    <m/>
    <n v="0"/>
    <e v="#N/A"/>
    <e v="#N/A"/>
    <s v="OUTBOUND_"/>
  </r>
  <r>
    <s v="2529"/>
    <m/>
    <x v="1"/>
    <s v="OUB-W0012503-630"/>
    <s v="EJ-Malang-01"/>
    <s v="Oka-0813-2707-1646"/>
    <d v="2025-03-21T00:00:00"/>
    <d v="1899-12-30T18:50:00"/>
    <s v="EJ-MALANG-01"/>
    <x v="2"/>
    <x v="35"/>
    <s v="GCI1003"/>
    <s v="Pcs"/>
    <n v="20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2530"/>
    <m/>
    <x v="1"/>
    <s v="OUB-W0012503-631"/>
    <s v="EJ-Malang-01"/>
    <s v="Oka-0813-2707-1646"/>
    <d v="2025-03-22T00:00:00"/>
    <d v="1899-12-30T16:09:00"/>
    <s v="EJ-MALANG-01"/>
    <x v="2"/>
    <x v="35"/>
    <s v="GCI1003"/>
    <s v="Pcs"/>
    <n v="94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2531"/>
    <m/>
    <x v="1"/>
    <s v="OUB-W0012503-636"/>
    <s v="EJ-Malang-01"/>
    <s v="Oka-0813-2707-1646"/>
    <d v="2025-03-26T00:00:00"/>
    <d v="1899-12-30T19:57:00"/>
    <s v="EJ-MALANG-01"/>
    <x v="2"/>
    <x v="35"/>
    <s v="GCI1003"/>
    <s v="Pcs"/>
    <n v="50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2532"/>
    <m/>
    <x v="3"/>
    <s v="TFI-W0012506-645"/>
    <s v="EJ-Malang-01"/>
    <s v="Oka-0813-2707-1646"/>
    <d v="2025-06-11T00:00:00"/>
    <d v="1900-01-14T07:00:00"/>
    <s v="EJ-GRESIK-01"/>
    <x v="2"/>
    <x v="35"/>
    <s v="GCI1003"/>
    <s v="Pcs"/>
    <n v="100"/>
    <s v="TRF"/>
    <x v="93"/>
    <n v="0"/>
    <n v="0"/>
    <m/>
    <m/>
    <m/>
    <m/>
    <m/>
    <m/>
    <m/>
    <s v="GRESIK"/>
    <e v="#N/A"/>
    <e v="#N/A"/>
    <s v="OUTBOUND_"/>
  </r>
  <r>
    <s v="2533"/>
    <m/>
    <x v="1"/>
    <s v="OUB-W0012506-647"/>
    <s v="EJ-Malang-01"/>
    <s v="Oka-0813-2707-1646"/>
    <d v="2025-06-14T00:00:00"/>
    <d v="1899-12-30T12:57:00"/>
    <s v="EJ-MALANG-01"/>
    <x v="2"/>
    <x v="35"/>
    <s v="GCI1003"/>
    <s v="Pcs"/>
    <n v="100"/>
    <n v="0"/>
    <x v="161"/>
    <m/>
    <m/>
    <m/>
    <s v="Riki Romansyah"/>
    <n v="0"/>
    <s v="3507050501950006"/>
    <s v="N 8420 EL"/>
    <m/>
    <m/>
    <s v="Kebonagung RW 01"/>
    <e v="#N/A"/>
    <e v="#N/A"/>
    <s v="OUTBOUND_"/>
  </r>
  <r>
    <s v="2534"/>
    <m/>
    <x v="0"/>
    <s v="INB-W0012506-655"/>
    <s v="EJ-Malang-01"/>
    <s v="Oka-0813-2707-1646"/>
    <d v="2025-06-23T00:00:00"/>
    <d v="1900-01-14T07:00:00"/>
    <s v="GCI Procurement"/>
    <x v="2"/>
    <x v="35"/>
    <s v="GCI1003"/>
    <s v="Pcs"/>
    <n v="558"/>
    <n v="0"/>
    <x v="5"/>
    <n v="0"/>
    <n v="0"/>
    <m/>
    <m/>
    <m/>
    <m/>
    <m/>
    <m/>
    <m/>
    <n v="0"/>
    <e v="#N/A"/>
    <e v="#N/A"/>
    <s v="OUTBOUND_"/>
  </r>
  <r>
    <s v="2535"/>
    <m/>
    <x v="1"/>
    <s v="OUB-W0012506-654"/>
    <s v="EJ-Malang-01"/>
    <s v="Oka-0813-2707-1646"/>
    <d v="2025-06-23T00:00:00"/>
    <d v="1899-12-30T15:30:00"/>
    <s v="EJ-MALANG-01"/>
    <x v="2"/>
    <x v="35"/>
    <s v="GCI1003"/>
    <s v="Pcs"/>
    <n v="388"/>
    <n v="0"/>
    <x v="147"/>
    <m/>
    <m/>
    <m/>
    <s v="Fatur"/>
    <n v="0"/>
    <s v="1812010507910004"/>
    <s v="L 9221 K"/>
    <m/>
    <m/>
    <s v="Pncokusumo"/>
    <e v="#N/A"/>
    <e v="#N/A"/>
    <s v="OUTBOUND_"/>
  </r>
  <r>
    <s v="2536"/>
    <m/>
    <x v="1"/>
    <s v="OUB-W0012506-663"/>
    <s v="EJ-Malang-01"/>
    <s v="Oka-0813-2707-1646"/>
    <d v="2025-06-27T00:00:00"/>
    <d v="1899-12-30T12:57:00"/>
    <s v="EJ-MALANG-01"/>
    <x v="2"/>
    <x v="35"/>
    <s v="GCI1003"/>
    <s v="Pcs"/>
    <n v="170"/>
    <n v="0"/>
    <x v="148"/>
    <m/>
    <m/>
    <m/>
    <s v="Riki Romansyah"/>
    <n v="0"/>
    <s v="3507050501950006"/>
    <s v="N 8420 EL"/>
    <m/>
    <m/>
    <s v="Bululawang"/>
    <e v="#N/A"/>
    <e v="#N/A"/>
    <s v="OUTBOUND_"/>
  </r>
  <r>
    <s v="2537"/>
    <m/>
    <x v="0"/>
    <s v="INB-W0012507-667"/>
    <s v="EJ-Malang-01"/>
    <s v="Oka-0813-2707-1646"/>
    <d v="2025-07-11T00:00:00"/>
    <d v="1900-01-14T07:00:00"/>
    <s v="GCI Procurement"/>
    <x v="2"/>
    <x v="35"/>
    <s v="GCI1003"/>
    <s v="Pcs"/>
    <n v="45"/>
    <n v="0"/>
    <x v="5"/>
    <n v="0"/>
    <n v="0"/>
    <m/>
    <m/>
    <m/>
    <m/>
    <m/>
    <m/>
    <m/>
    <n v="0"/>
    <e v="#N/A"/>
    <e v="#N/A"/>
    <s v="OUTBOUND_"/>
  </r>
  <r>
    <s v="2538"/>
    <m/>
    <x v="1"/>
    <s v="OUB-W0012507-666"/>
    <s v="EJ-Malang-01"/>
    <s v="Oka-0813-2707-1646"/>
    <d v="2025-07-11T00:00:00"/>
    <d v="1899-12-30T14:36:00"/>
    <s v="EJ-MALANG-01"/>
    <x v="2"/>
    <x v="35"/>
    <s v="GCI1003"/>
    <s v="Pcs"/>
    <n v="45"/>
    <n v="0"/>
    <x v="148"/>
    <m/>
    <m/>
    <m/>
    <s v="Fahrudin"/>
    <n v="0"/>
    <n v="0"/>
    <s v="N 1383 G"/>
    <m/>
    <m/>
    <s v="Bululawang"/>
    <e v="#N/A"/>
    <e v="#N/A"/>
    <s v="OUTBOUND_"/>
  </r>
  <r>
    <s v="2539"/>
    <m/>
    <x v="1"/>
    <s v="OUB-W0012507-666"/>
    <s v="EJ-Malang-01"/>
    <s v="Oka-0813-2707-1646"/>
    <d v="2025-07-11T00:00:00"/>
    <d v="1899-12-30T14:36:00"/>
    <s v="EJ-MALANG-01"/>
    <x v="2"/>
    <x v="35"/>
    <s v="GCI1003"/>
    <s v="Pcs"/>
    <n v="150"/>
    <n v="0"/>
    <x v="148"/>
    <m/>
    <m/>
    <m/>
    <s v="Fahrudin"/>
    <n v="0"/>
    <n v="0"/>
    <s v="N 1383 G"/>
    <m/>
    <m/>
    <s v="Bululawang"/>
    <e v="#N/A"/>
    <e v="#N/A"/>
    <s v="OUTBOUND_"/>
  </r>
  <r>
    <s v="2540"/>
    <m/>
    <x v="0"/>
    <s v="INB-W0012507-676"/>
    <s v="EJ-Malang-01"/>
    <s v="Oka-0813-2707-1646"/>
    <d v="2025-07-30T00:00:00"/>
    <d v="1900-01-14T07:00:00"/>
    <s v="GCI Procurement"/>
    <x v="2"/>
    <x v="35"/>
    <s v="GCI1003"/>
    <s v="Pcs"/>
    <n v="245"/>
    <n v="0"/>
    <x v="5"/>
    <n v="0"/>
    <n v="0"/>
    <m/>
    <m/>
    <m/>
    <m/>
    <m/>
    <m/>
    <m/>
    <n v="0"/>
    <e v="#N/A"/>
    <e v="#N/A"/>
    <s v="OUTBOUND_"/>
  </r>
  <r>
    <s v="2541"/>
    <m/>
    <x v="1"/>
    <s v="OUB-W0012507-677"/>
    <s v="EJ-Malang-01"/>
    <s v="Oka-0813-2707-1646"/>
    <d v="2025-07-31T00:00:00"/>
    <d v="1899-12-30T11:21:00"/>
    <s v="EJ-MALANG-01"/>
    <x v="2"/>
    <x v="35"/>
    <s v="GCI1003"/>
    <s v="Pcs"/>
    <n v="245"/>
    <n v="0"/>
    <x v="162"/>
    <m/>
    <m/>
    <m/>
    <s v="Riki Romansyah"/>
    <n v="0"/>
    <s v="3507050501950006"/>
    <s v="N 8420 EL"/>
    <m/>
    <m/>
    <s v="Krebet"/>
    <e v="#N/A"/>
    <e v="#N/A"/>
    <s v="OUTBOUND_"/>
  </r>
  <r>
    <s v="2542"/>
    <m/>
    <x v="0"/>
    <s v="INB-W0012508-680"/>
    <s v="EJ-Malang-01"/>
    <s v="Oka-0813-2707-1646"/>
    <d v="2025-08-06T00:00:00"/>
    <d v="1900-01-14T07:00:00"/>
    <s v="GCI Procurement"/>
    <x v="2"/>
    <x v="35"/>
    <s v="GCI1003"/>
    <s v="Pcs"/>
    <n v="200"/>
    <n v="0"/>
    <x v="93"/>
    <n v="0"/>
    <n v="0"/>
    <m/>
    <m/>
    <m/>
    <m/>
    <m/>
    <m/>
    <m/>
    <s v="GRESIK"/>
    <e v="#N/A"/>
    <e v="#N/A"/>
    <s v="OUTBOUND_"/>
  </r>
  <r>
    <s v="2543"/>
    <m/>
    <x v="1"/>
    <s v="OUB-W0012508-681"/>
    <s v="EJ-Malang-01"/>
    <s v="Oka-0813-2707-1646"/>
    <d v="2025-08-07T00:00:00"/>
    <d v="1899-12-30T11:21:00"/>
    <s v="EJ-MALANG-01"/>
    <x v="2"/>
    <x v="35"/>
    <s v="GCI1003"/>
    <s v="Pcs"/>
    <n v="100"/>
    <s v="CLR51-99-250"/>
    <x v="103"/>
    <m/>
    <m/>
    <m/>
    <s v="Riki Romansyah"/>
    <n v="0"/>
    <s v="3507050501950006"/>
    <s v="N 8420 EL"/>
    <m/>
    <m/>
    <s v="PERMANU RW 03 MALANG"/>
    <e v="#N/A"/>
    <e v="#N/A"/>
    <s v="OUTBOUND_"/>
  </r>
  <r>
    <s v="2544"/>
    <m/>
    <x v="0"/>
    <s v="INB-W0012508-693"/>
    <s v="EJ-Malang-01"/>
    <s v="Oka-0813-2707-1646"/>
    <d v="2025-08-21T00:00:00"/>
    <d v="1900-01-14T07:00:00"/>
    <s v="GCI Procurement"/>
    <x v="2"/>
    <x v="35"/>
    <s v="GCI1003"/>
    <s v="Pcs"/>
    <n v="128"/>
    <n v="0"/>
    <x v="5"/>
    <n v="0"/>
    <n v="0"/>
    <m/>
    <m/>
    <m/>
    <m/>
    <m/>
    <m/>
    <m/>
    <n v="0"/>
    <e v="#N/A"/>
    <e v="#N/A"/>
    <s v="OUTBOUND_"/>
  </r>
  <r>
    <s v="2545"/>
    <m/>
    <x v="1"/>
    <s v="OUB-W0012508-694"/>
    <s v="EJ-Malang-01"/>
    <s v="Oka-0813-2707-1646"/>
    <d v="2025-08-23T00:00:00"/>
    <d v="1899-12-30T10:17:00"/>
    <s v="EJ-MALANG-01"/>
    <x v="2"/>
    <x v="35"/>
    <s v="GCI1003"/>
    <s v="Pcs"/>
    <n v="128"/>
    <n v="0"/>
    <x v="149"/>
    <m/>
    <m/>
    <m/>
    <s v="Riki Romansyah"/>
    <n v="0"/>
    <s v="3507050501950006"/>
    <s v="N 8420 EL"/>
    <m/>
    <m/>
    <s v="Bululawang Permai"/>
    <e v="#N/A"/>
    <e v="#N/A"/>
    <s v="OUTBOUND_"/>
  </r>
  <r>
    <s v="2546"/>
    <m/>
    <x v="1"/>
    <s v="OUB-W0012508-702"/>
    <s v="EJ-Malang-01"/>
    <s v="Oka-0813-2707-1646"/>
    <d v="2025-08-31T00:00:00"/>
    <d v="1899-12-30T21:36:25"/>
    <s v="EJ-MALANG-01"/>
    <x v="2"/>
    <x v="35"/>
    <s v="GCI1003"/>
    <s v="Pcs"/>
    <n v="182"/>
    <s v="ADJUSTMENT"/>
    <x v="18"/>
    <m/>
    <m/>
    <m/>
    <m/>
    <m/>
    <m/>
    <m/>
    <s v="ADJUSTMENT"/>
    <m/>
    <s v="ADJUSTMENT"/>
    <e v="#N/A"/>
    <e v="#N/A"/>
    <s v="OUTBOUND_"/>
  </r>
  <r>
    <s v="2547"/>
    <n v="3"/>
    <x v="0"/>
    <s v="INB-W0012510-001"/>
    <s v="EJ-Malang-01"/>
    <s v="Oka-0813-2707-1646"/>
    <d v="2025-10-14T00:00:00"/>
    <d v="1899-12-30T15:21:00"/>
    <s v="GCI Procurement"/>
    <x v="2"/>
    <x v="35"/>
    <s v="GCI1003"/>
    <s v="Pcs"/>
    <n v="336"/>
    <s v="CLR51-99-370"/>
    <x v="111"/>
    <s v="DOEID25081590"/>
    <s v="DNWID1382025081505"/>
    <m/>
    <m/>
    <m/>
    <m/>
    <m/>
    <m/>
    <m/>
    <s v="Perumahan Bululawang Permai RW 02"/>
    <d v="2025-08-19T00:00:00"/>
    <b v="0"/>
    <s v="OUTBOUND_"/>
  </r>
  <r>
    <s v="2548"/>
    <n v="3"/>
    <x v="1"/>
    <s v="OUB-W0012510-001"/>
    <s v="EJ-Malang-01"/>
    <s v="Oka-0813-2707-1646"/>
    <d v="2025-10-16T00:00:00"/>
    <d v="1899-12-30T10:21:00"/>
    <s v="EJ-MALANG-01"/>
    <x v="2"/>
    <x v="35"/>
    <s v="GCI1003"/>
    <s v="Pcs"/>
    <n v="336"/>
    <s v="CLR51-99-257"/>
    <x v="150"/>
    <m/>
    <m/>
    <m/>
    <s v="Riki Romansyah"/>
    <n v="0"/>
    <s v="3507050501950006"/>
    <s v="N 8420 EL"/>
    <m/>
    <m/>
    <s v="Asshofa Residence"/>
    <e v="#N/A"/>
    <e v="#N/A"/>
    <s v="OUTBOUND_"/>
  </r>
  <r>
    <s v="2549"/>
    <n v="3"/>
    <x v="0"/>
    <s v="INB-W0012511-004"/>
    <s v="EJ-Malang-01"/>
    <s v="Oka-0813-2707-1646"/>
    <d v="2025-11-26T00:00:00"/>
    <d v="1899-12-30T16:01:00"/>
    <s v="GCI Procurement"/>
    <x v="2"/>
    <x v="35"/>
    <s v="GCI1003"/>
    <s v="Pcs"/>
    <n v="50"/>
    <s v="-"/>
    <x v="3"/>
    <s v="-"/>
    <s v="-"/>
    <m/>
    <m/>
    <m/>
    <m/>
    <m/>
    <m/>
    <m/>
    <n v="0"/>
    <e v="#N/A"/>
    <e v="#N/A"/>
    <s v="OUTBOUND_"/>
  </r>
  <r>
    <s v="2550"/>
    <n v="4"/>
    <x v="1"/>
    <s v="OUB-W0012512-005"/>
    <s v="EJ-Malang-01"/>
    <s v="Oka-0813-2707-1646"/>
    <d v="2025-12-15T00:00:00"/>
    <d v="1899-12-30T08:50:00"/>
    <s v="EJ-MALANG-01"/>
    <x v="2"/>
    <x v="35"/>
    <s v="GCI1003"/>
    <s v="Pcs"/>
    <n v="144"/>
    <s v="-"/>
    <x v="3"/>
    <s v="-"/>
    <s v="-"/>
    <m/>
    <s v="Riki Romansyah"/>
    <s v="Suliadi"/>
    <s v="3507050501950006"/>
    <s v="N 8420 EL"/>
    <m/>
    <m/>
    <n v="0"/>
    <e v="#N/A"/>
    <e v="#N/A"/>
    <s v="OUTBOUND_"/>
  </r>
  <r>
    <s v="2551"/>
    <n v="2"/>
    <x v="0"/>
    <s v="INB-W0012512-018"/>
    <s v="EJ-Malang-01"/>
    <s v="Oka-0813-2707-1646"/>
    <d v="2025-12-22T00:00:00"/>
    <d v="1899-12-30T08:00:00"/>
    <s v="GCI Procurement"/>
    <x v="2"/>
    <x v="35"/>
    <s v="GCI1003"/>
    <s v="Pcs"/>
    <n v="94"/>
    <s v="ADJUSTMENT"/>
    <x v="18"/>
    <m/>
    <m/>
    <m/>
    <m/>
    <m/>
    <m/>
    <m/>
    <s v="ADJUSTMENT"/>
    <m/>
    <s v="ADJUSTMENT"/>
    <e v="#N/A"/>
    <e v="#N/A"/>
    <s v="OUTBOUND_"/>
  </r>
  <r>
    <s v="2552"/>
    <n v="2"/>
    <x v="0"/>
    <s v="INB-W0012512-019"/>
    <s v="EJ-Malang-01"/>
    <s v="Oka-0813-2707-1646"/>
    <d v="2025-12-23T00:00:00"/>
    <d v="1899-12-30T08:00:00"/>
    <s v="GCI Procurement"/>
    <x v="2"/>
    <x v="35"/>
    <s v="GCI1003"/>
    <s v="Pcs"/>
    <n v="1350"/>
    <m/>
    <x v="3"/>
    <m/>
    <m/>
    <m/>
    <m/>
    <m/>
    <m/>
    <m/>
    <m/>
    <m/>
    <n v="0"/>
    <e v="#N/A"/>
    <e v="#N/A"/>
    <s v="OUTBOUND_"/>
  </r>
  <r>
    <s v="2553"/>
    <n v="5"/>
    <x v="1"/>
    <s v="OUB-W0012512-024"/>
    <s v="EJ-Malang-01"/>
    <s v="Oka-0813-2707-1646"/>
    <d v="2025-12-25T00:00:00"/>
    <d v="1899-12-30T12:13:00"/>
    <s v="EJ-MALANG-01"/>
    <x v="2"/>
    <x v="35"/>
    <s v="GCI1003"/>
    <s v="Pcs"/>
    <n v="1350"/>
    <m/>
    <x v="3"/>
    <m/>
    <m/>
    <m/>
    <s v="Riki Romansyah"/>
    <s v="Suliadi"/>
    <s v="3507050501950006"/>
    <s v="N 8420 EL"/>
    <m/>
    <m/>
    <n v="0"/>
    <e v="#N/A"/>
    <e v="#N/A"/>
    <s v="OUTBOUND_"/>
  </r>
  <r>
    <s v="2554"/>
    <m/>
    <x v="0"/>
    <s v="INB-W0012308-6"/>
    <s v="EJ-Malang-01"/>
    <s v="Oka-0813-2707-1646"/>
    <d v="2023-08-09T00:00:00"/>
    <d v="1900-01-14T07:00:00"/>
    <s v="GCI Procurement"/>
    <x v="2"/>
    <x v="36"/>
    <s v="GCI1004"/>
    <s v="Pcs"/>
    <n v="100"/>
    <s v="CLR51-99-004"/>
    <x v="19"/>
    <n v="0"/>
    <n v="0"/>
    <m/>
    <m/>
    <m/>
    <m/>
    <m/>
    <m/>
    <m/>
    <s v="Perumahan Bumi Podo Rukun Dau"/>
    <e v="#N/A"/>
    <e v="#N/A"/>
    <s v="OUTBOUND_"/>
  </r>
  <r>
    <s v="2555"/>
    <m/>
    <x v="1"/>
    <s v="OUB-W0012308-7"/>
    <s v="EJ-Malang-01"/>
    <s v="Oka-0813-2707-1646"/>
    <d v="2023-08-10T00:00:00"/>
    <d v="1900-01-14T16:37:24"/>
    <s v="EJ-MALANG-01"/>
    <x v="2"/>
    <x v="36"/>
    <s v="GCI1004"/>
    <s v="Pcs"/>
    <n v="100"/>
    <s v="CLR51-99-004"/>
    <x v="19"/>
    <m/>
    <m/>
    <m/>
    <s v="Imam Safi'i"/>
    <s v="Febby Supplier"/>
    <s v="`3509040409910004"/>
    <s v="B 9407UT"/>
    <m/>
    <m/>
    <s v="Perumahan Bumi Podo Rukun Dau"/>
    <e v="#N/A"/>
    <e v="#N/A"/>
    <s v="OUTBOUND_"/>
  </r>
  <r>
    <s v="2556"/>
    <m/>
    <x v="0"/>
    <s v="INB-W0012308-14"/>
    <s v="EJ-Malang-01"/>
    <s v="Oka-0813-2707-1646"/>
    <d v="2023-08-24T00:00:00"/>
    <d v="1900-01-14T07:00:00"/>
    <s v="GCI Procurement"/>
    <x v="2"/>
    <x v="36"/>
    <s v="GCI1004"/>
    <s v="Pcs"/>
    <n v="30"/>
    <s v="CLR51-99-006"/>
    <x v="23"/>
    <n v="0"/>
    <n v="0"/>
    <m/>
    <m/>
    <m/>
    <m/>
    <m/>
    <m/>
    <m/>
    <s v="Mulyorejo RW 04 Sukun"/>
    <e v="#N/A"/>
    <e v="#N/A"/>
    <s v="OUTBOUND_"/>
  </r>
  <r>
    <s v="2557"/>
    <m/>
    <x v="0"/>
    <s v="INB-W0012309-20"/>
    <s v="EJ-Malang-01"/>
    <s v="Oka-0813-2707-1646"/>
    <d v="2023-09-04T00:00:00"/>
    <d v="1900-01-14T07:00:00"/>
    <s v="FIELD TEAM"/>
    <x v="2"/>
    <x v="36"/>
    <s v="GCI1004"/>
    <s v="Pcs"/>
    <n v="72"/>
    <s v="CLR51-99-004"/>
    <x v="19"/>
    <n v="0"/>
    <n v="0"/>
    <m/>
    <m/>
    <m/>
    <m/>
    <m/>
    <s v="Pengembalian Perumahan Bumi Podo Rukun Dau"/>
    <m/>
    <s v="Perumahan Bumi Podo Rukun Dau"/>
    <e v="#N/A"/>
    <e v="#N/A"/>
    <s v="OUTBOUND_"/>
  </r>
  <r>
    <s v="2558"/>
    <m/>
    <x v="1"/>
    <s v="OUB-W0012309-19"/>
    <s v="EJ-Malang-01"/>
    <s v="Oka-0813-2707-1646"/>
    <d v="2023-09-04T00:00:00"/>
    <d v="1899-12-30T16:37:00"/>
    <s v="EJ-MALANG-01"/>
    <x v="2"/>
    <x v="36"/>
    <s v="GCI1004"/>
    <s v="Pcs"/>
    <n v="72"/>
    <s v="CLR51-99-006"/>
    <x v="23"/>
    <m/>
    <m/>
    <m/>
    <s v="Asmat"/>
    <s v="Febby Supplier"/>
    <s v="3509041306820004"/>
    <s v="N 8267TE"/>
    <m/>
    <m/>
    <s v="Mulyorejo RW 04 Sukun"/>
    <e v="#N/A"/>
    <e v="#N/A"/>
    <s v="OUTBOUND_"/>
  </r>
  <r>
    <s v="2559"/>
    <m/>
    <x v="0"/>
    <s v="INB-W0012309-26"/>
    <s v="EJ-Malang-01"/>
    <s v="Oka-0813-2707-1646"/>
    <d v="2023-09-08T00:00:00"/>
    <d v="1899-12-30T16:14:00"/>
    <s v="FIELD TEAM"/>
    <x v="2"/>
    <x v="36"/>
    <s v="GCI1004"/>
    <s v="Pcs"/>
    <n v="60"/>
    <s v="CLR51-99-006"/>
    <x v="23"/>
    <n v="0"/>
    <n v="0"/>
    <m/>
    <m/>
    <m/>
    <m/>
    <m/>
    <s v="Pengembalian dari Mulyorejo RW 04 Sukun"/>
    <m/>
    <s v="Mulyorejo RW 04 Sukun"/>
    <e v="#N/A"/>
    <e v="#N/A"/>
    <s v="OUTBOUND_"/>
  </r>
  <r>
    <s v="2560"/>
    <m/>
    <x v="0"/>
    <s v="INB-W0012309-31"/>
    <s v="EJ-Malang-01"/>
    <s v="Oka-0813-2707-1646"/>
    <d v="2023-09-19T00:00:00"/>
    <d v="1900-01-14T07:00:00"/>
    <s v="GCI Procurement"/>
    <x v="2"/>
    <x v="36"/>
    <s v="GCI1004"/>
    <s v="Pcs"/>
    <n v="10"/>
    <s v="PRC"/>
    <x v="135"/>
    <n v="0"/>
    <n v="0"/>
    <m/>
    <m/>
    <m/>
    <m/>
    <m/>
    <s v="Penyesuaian"/>
    <m/>
    <s v="Purchase"/>
    <e v="#N/A"/>
    <e v="#N/A"/>
    <s v="OUTBOUND_"/>
  </r>
  <r>
    <s v="2561"/>
    <m/>
    <x v="0"/>
    <s v="INB-W0012309-37"/>
    <s v="EJ-Malang-01"/>
    <s v="Oka-0813-2707-1646"/>
    <d v="2023-09-22T00:00:00"/>
    <d v="1900-01-14T07:00:00"/>
    <s v="GCI Procurement"/>
    <x v="2"/>
    <x v="36"/>
    <s v="GCI1004"/>
    <s v="Pcs"/>
    <n v="77"/>
    <s v="CLR51-02-001"/>
    <x v="20"/>
    <n v="0"/>
    <n v="0"/>
    <m/>
    <m/>
    <m/>
    <m/>
    <m/>
    <s v="Di antar ke Khoiri Supplier "/>
    <m/>
    <s v="Puncak Dieng Exlusif"/>
    <e v="#N/A"/>
    <e v="#N/A"/>
    <s v="OUTBOUND_"/>
  </r>
  <r>
    <s v="2562"/>
    <m/>
    <x v="1"/>
    <s v="OUB-W0012309-41"/>
    <s v="EJ-Malang-01"/>
    <s v="Oka-0813-2707-1646"/>
    <d v="2023-09-24T00:00:00"/>
    <d v="1899-12-30T07:36:00"/>
    <s v="EJ-MALANG-01"/>
    <x v="2"/>
    <x v="36"/>
    <s v="GCI1004"/>
    <s v="Pcs"/>
    <n v="9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2563"/>
    <m/>
    <x v="1"/>
    <s v="OUB-W0012309-44"/>
    <s v="EJ-Malang-01"/>
    <s v="Oka-0813-2707-1646"/>
    <d v="2023-09-25T00:00:00"/>
    <d v="1899-12-30T06:30:00"/>
    <s v="EJ-MALANG-01"/>
    <x v="2"/>
    <x v="36"/>
    <s v="GCI1004"/>
    <s v="Pcs"/>
    <n v="5"/>
    <s v="CLR51-99-007"/>
    <x v="25"/>
    <m/>
    <m/>
    <m/>
    <s v="Khoiri"/>
    <s v="Khoiri Supplier"/>
    <s v="3507330905820002"/>
    <s v="N 8638 ES"/>
    <m/>
    <m/>
    <s v="Mulyorejo RW 06 Sukun"/>
    <e v="#N/A"/>
    <e v="#N/A"/>
    <s v="OUTBOUND_"/>
  </r>
  <r>
    <s v="2564"/>
    <m/>
    <x v="1"/>
    <s v="OUB-W0012309-44"/>
    <s v="EJ-Malang-01"/>
    <s v="Oka-0813-2707-1646"/>
    <d v="2023-09-25T00:00:00"/>
    <d v="1899-12-30T06:30:00"/>
    <s v="EJ-MALANG-01"/>
    <x v="2"/>
    <x v="36"/>
    <s v="GCI1004"/>
    <s v="Pcs"/>
    <n v="9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565"/>
    <m/>
    <x v="1"/>
    <s v="OUB-W0012309-46"/>
    <s v="EJ-Malang-01"/>
    <s v="Oka-0813-2707-1646"/>
    <d v="2023-09-26T00:00:00"/>
    <d v="1899-12-30T06:30:00"/>
    <s v="EJ-MALANG-01"/>
    <x v="2"/>
    <x v="36"/>
    <s v="GCI1004"/>
    <s v="Pcs"/>
    <n v="16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566"/>
    <m/>
    <x v="1"/>
    <s v="OUB-W0012309-51"/>
    <s v="EJ-Malang-01"/>
    <s v="Oka-0813-2707-1646"/>
    <d v="2023-09-27T00:00:00"/>
    <d v="1899-12-30T12:30:00"/>
    <s v="EJ-MALANG-01"/>
    <x v="2"/>
    <x v="36"/>
    <s v="GCI1004"/>
    <s v="Pcs"/>
    <n v="20"/>
    <s v="CLR51-99-013"/>
    <x v="26"/>
    <m/>
    <m/>
    <m/>
    <s v="Ahmad Subari"/>
    <s v="Khoiri Supplier"/>
    <s v="3507150401800010"/>
    <s v="N 9795 EM"/>
    <m/>
    <m/>
    <s v="Pandan Landung RW 03 Wagir"/>
    <e v="#N/A"/>
    <e v="#N/A"/>
    <s v="OUTBOUND_"/>
  </r>
  <r>
    <s v="2567"/>
    <m/>
    <x v="1"/>
    <s v="OUB-W0012310-55"/>
    <s v="EJ-Malang-01"/>
    <s v="Oka-0813-2707-1646"/>
    <d v="2023-10-01T00:00:00"/>
    <d v="1899-12-30T06:30:00"/>
    <s v="EJ-MALANG-01"/>
    <x v="2"/>
    <x v="36"/>
    <s v="GCI1004"/>
    <s v="Pcs"/>
    <n v="35"/>
    <s v="CLR51-02-001"/>
    <x v="20"/>
    <m/>
    <m/>
    <m/>
    <s v="Khoiri"/>
    <s v="Khoiri Supplier"/>
    <s v="3507330905820002"/>
    <s v="N 8638 ES"/>
    <m/>
    <m/>
    <s v="Puncak Dieng Exlusif"/>
    <e v="#N/A"/>
    <e v="#N/A"/>
    <s v="OUTBOUND_"/>
  </r>
  <r>
    <s v="2568"/>
    <m/>
    <x v="0"/>
    <s v="INB-W0012310-58"/>
    <s v="EJ-Malang-01"/>
    <s v="Oka-0813-2707-1646"/>
    <d v="2023-10-02T00:00:00"/>
    <d v="1900-01-14T07:00:00"/>
    <s v="GCI Procurement"/>
    <x v="2"/>
    <x v="36"/>
    <s v="GCI1004"/>
    <s v="Pcs"/>
    <n v="36"/>
    <s v="PRC"/>
    <x v="135"/>
    <n v="0"/>
    <n v="0"/>
    <m/>
    <m/>
    <m/>
    <m/>
    <m/>
    <m/>
    <m/>
    <s v="Purchase"/>
    <e v="#N/A"/>
    <e v="#N/A"/>
    <s v="OUTBOUND_"/>
  </r>
  <r>
    <s v="2569"/>
    <m/>
    <x v="1"/>
    <s v="OUB-W0012310-62"/>
    <s v="EJ-Malang-01"/>
    <s v="Oka-0813-2707-1646"/>
    <d v="2023-10-06T00:00:00"/>
    <d v="1899-12-30T09:27:00"/>
    <s v="EJ-MALANG-01"/>
    <x v="2"/>
    <x v="36"/>
    <s v="GCI1004"/>
    <s v="Pcs"/>
    <n v="50"/>
    <s v="CLR51-02-001"/>
    <x v="20"/>
    <m/>
    <m/>
    <m/>
    <s v="Khoiri"/>
    <s v="Khoiri Supplier"/>
    <s v="3507330905820002"/>
    <s v="N 8408 CB"/>
    <m/>
    <m/>
    <s v="Puncak Dieng Exlusif"/>
    <e v="#N/A"/>
    <e v="#N/A"/>
    <s v="OUTBOUND_"/>
  </r>
  <r>
    <s v="2570"/>
    <m/>
    <x v="0"/>
    <s v="INB-W0012310-104"/>
    <s v="EJ-Malang-01"/>
    <s v="Oka-0813-2707-1646"/>
    <d v="2023-10-21T00:00:00"/>
    <d v="1900-01-14T07:00:00"/>
    <s v="GCI Procurement"/>
    <x v="2"/>
    <x v="36"/>
    <s v="GCI1004"/>
    <s v="Pcs"/>
    <n v="200"/>
    <s v="PRC"/>
    <x v="135"/>
    <n v="0"/>
    <n v="0"/>
    <m/>
    <m/>
    <m/>
    <m/>
    <m/>
    <s v="Pengambilan Oleh Sigit Pamungkas di UD HALIM JAYA"/>
    <m/>
    <s v="Purchase"/>
    <e v="#N/A"/>
    <e v="#N/A"/>
    <s v="OUTBOUND_"/>
  </r>
  <r>
    <s v="2571"/>
    <m/>
    <x v="1"/>
    <s v="OUB-W0012310-102"/>
    <s v="EJ-Malang-01"/>
    <s v="Oka-0813-2707-1646"/>
    <d v="2023-10-21T00:00:00"/>
    <d v="1899-12-30T23:24:00"/>
    <s v="EJ-MALANG-01"/>
    <x v="2"/>
    <x v="36"/>
    <s v="GCI1004"/>
    <s v="Pcs"/>
    <n v="0"/>
    <n v="0"/>
    <x v="5"/>
    <m/>
    <m/>
    <m/>
    <s v="Fatur"/>
    <n v="0"/>
    <s v="1812010507910004"/>
    <s v="L 9221 K"/>
    <m/>
    <m/>
    <n v="0"/>
    <e v="#N/A"/>
    <e v="#N/A"/>
    <s v="OUTBOUND_"/>
  </r>
  <r>
    <s v="2572"/>
    <m/>
    <x v="1"/>
    <s v="OUB-W0012310-103"/>
    <s v="EJ-Malang-01"/>
    <s v="Oka-0813-2707-1646"/>
    <d v="2023-10-21T00:00:00"/>
    <d v="1899-12-30T23:24:00"/>
    <s v="EJ-MALANG-01"/>
    <x v="2"/>
    <x v="36"/>
    <s v="GCI1004"/>
    <s v="Pcs"/>
    <n v="21"/>
    <s v="CLR51-99-021"/>
    <x v="27"/>
    <m/>
    <m/>
    <m/>
    <s v="Khoiri"/>
    <s v="Khoiri Supplier"/>
    <s v="3507330905820002"/>
    <s v="N 8408 CB"/>
    <m/>
    <m/>
    <s v="Jedong RW 09 Wagir"/>
    <e v="#N/A"/>
    <e v="#N/A"/>
    <s v="OUTBOUND_"/>
  </r>
  <r>
    <s v="2573"/>
    <m/>
    <x v="1"/>
    <s v="OUB-W0012310-103"/>
    <s v="EJ-Malang-01"/>
    <s v="Oka-0813-2707-1646"/>
    <d v="2023-10-21T00:00:00"/>
    <d v="1899-12-30T23:24:00"/>
    <s v="EJ-MALANG-01"/>
    <x v="2"/>
    <x v="36"/>
    <s v="GCI1004"/>
    <s v="Pcs"/>
    <n v="39"/>
    <s v="CLR51-99-020"/>
    <x v="22"/>
    <m/>
    <m/>
    <m/>
    <s v="Khoiri"/>
    <s v="Khoiri Supplier"/>
    <s v="3507330905820002"/>
    <s v="N 8408 CB"/>
    <m/>
    <m/>
    <s v="Jedong RW 08 Wagir"/>
    <e v="#N/A"/>
    <e v="#N/A"/>
    <s v="OUTBOUND_"/>
  </r>
  <r>
    <s v="2574"/>
    <m/>
    <x v="1"/>
    <s v="OUB-W0012310-105"/>
    <s v="EJ-Malang-01"/>
    <s v="Oka-0813-2707-1646"/>
    <d v="2023-10-22T00:00:00"/>
    <d v="1899-12-30T22:30:00"/>
    <s v="EJ-MALANG-01"/>
    <x v="2"/>
    <x v="36"/>
    <s v="GCI1004"/>
    <s v="Pcs"/>
    <n v="14"/>
    <s v="CLR51-99-019"/>
    <x v="28"/>
    <m/>
    <m/>
    <m/>
    <s v="Mustofa"/>
    <n v="0"/>
    <s v="3209140803860003"/>
    <s v="N 9609 EF"/>
    <m/>
    <m/>
    <s v="Sidorahayu RW 02 Wagir"/>
    <e v="#N/A"/>
    <e v="#N/A"/>
    <s v="OUTBOUND_"/>
  </r>
  <r>
    <s v="2575"/>
    <m/>
    <x v="1"/>
    <s v="OUB-W0012310-105"/>
    <s v="EJ-Malang-01"/>
    <s v="Oka-0813-2707-1646"/>
    <d v="2023-10-22T00:00:00"/>
    <d v="1899-12-30T22:30:00"/>
    <s v="EJ-MALANG-01"/>
    <x v="2"/>
    <x v="36"/>
    <s v="GCI1004"/>
    <s v="Pcs"/>
    <n v="18"/>
    <s v="CLR51-99-017"/>
    <x v="21"/>
    <m/>
    <m/>
    <m/>
    <s v="Mustofa"/>
    <n v="0"/>
    <s v="3209140803860003"/>
    <s v="N 9609 EF"/>
    <m/>
    <m/>
    <s v="Sukodadi RW 01 Wagir"/>
    <e v="#N/A"/>
    <e v="#N/A"/>
    <s v="OUTBOUND_"/>
  </r>
  <r>
    <s v="2576"/>
    <m/>
    <x v="1"/>
    <s v="OUB-W0012310-105"/>
    <s v="EJ-Malang-01"/>
    <s v="Oka-0813-2707-1646"/>
    <d v="2023-10-22T00:00:00"/>
    <d v="1899-12-30T22:30:00"/>
    <s v="EJ-MALANG-01"/>
    <x v="2"/>
    <x v="36"/>
    <s v="GCI1004"/>
    <s v="Pcs"/>
    <n v="35"/>
    <s v="CLR51-99-018"/>
    <x v="151"/>
    <m/>
    <m/>
    <m/>
    <s v="Mustofa"/>
    <n v="0"/>
    <s v="3209140803860003"/>
    <s v="N 9609 EF"/>
    <m/>
    <m/>
    <s v="Sukodadi RW 02 Wagir"/>
    <e v="#N/A"/>
    <e v="#N/A"/>
    <s v="OUTBOUND_"/>
  </r>
  <r>
    <s v="2577"/>
    <m/>
    <x v="1"/>
    <s v="OUB-W0012310-110"/>
    <s v="EJ-Malang-01"/>
    <s v="Oka-0813-2707-1646"/>
    <d v="2023-10-24T00:00:00"/>
    <d v="1899-12-30T13:37:00"/>
    <s v="EJ-MALANG-01"/>
    <x v="2"/>
    <x v="36"/>
    <s v="GCI1004"/>
    <s v="Pcs"/>
    <n v="2"/>
    <s v="CLR51-99-006"/>
    <x v="23"/>
    <m/>
    <m/>
    <m/>
    <s v="Mohammad Febbi H"/>
    <n v="0"/>
    <s v="3524052002930003"/>
    <s v="L 9740 NM"/>
    <m/>
    <m/>
    <s v="Mulyorejo RW 04 Sukun"/>
    <e v="#N/A"/>
    <e v="#N/A"/>
    <s v="OUTBOUND_"/>
  </r>
  <r>
    <s v="2578"/>
    <m/>
    <x v="0"/>
    <s v="INB-W0012311-118"/>
    <s v="EJ-Malang-01"/>
    <s v="Oka-0813-2707-1646"/>
    <d v="2023-11-05T00:00:00"/>
    <d v="1900-01-14T07:00:00"/>
    <s v="GCI Procurement"/>
    <x v="2"/>
    <x v="36"/>
    <s v="GCI1004"/>
    <s v="Pcs"/>
    <n v="30"/>
    <n v="0"/>
    <x v="5"/>
    <n v="0"/>
    <n v="0"/>
    <m/>
    <m/>
    <m/>
    <m/>
    <m/>
    <m/>
    <m/>
    <n v="0"/>
    <e v="#N/A"/>
    <e v="#N/A"/>
    <s v="OUTBOUND_"/>
  </r>
  <r>
    <s v="2579"/>
    <m/>
    <x v="0"/>
    <s v="INB-W0012311-132"/>
    <s v="EJ-Malang-01"/>
    <s v="Oka-0813-2707-1646"/>
    <d v="2023-11-26T00:00:00"/>
    <d v="1900-01-14T07:00:00"/>
    <s v="GCI Procurement"/>
    <x v="2"/>
    <x v="36"/>
    <s v="GCI1004"/>
    <s v="Pcs"/>
    <n v="50"/>
    <s v="PRC"/>
    <x v="135"/>
    <n v="0"/>
    <n v="0"/>
    <m/>
    <m/>
    <m/>
    <m/>
    <m/>
    <m/>
    <m/>
    <s v="Purchase"/>
    <e v="#N/A"/>
    <e v="#N/A"/>
    <s v="OUTBOUND_"/>
  </r>
  <r>
    <s v="2580"/>
    <m/>
    <x v="1"/>
    <s v="OUB-W0012311-131"/>
    <s v="EJ-Malang-01"/>
    <s v="Oka-0813-2707-1646"/>
    <d v="2023-11-26T00:00:00"/>
    <d v="1899-12-30T13:24:00"/>
    <s v="EJ-MALANG-01"/>
    <x v="2"/>
    <x v="36"/>
    <s v="GCI1004"/>
    <s v="Pcs"/>
    <n v="7"/>
    <s v="CLR51-99-020"/>
    <x v="22"/>
    <m/>
    <m/>
    <m/>
    <s v="Heri Susanto"/>
    <n v="0"/>
    <s v="3506220807870002"/>
    <s v="S 9794 JC"/>
    <m/>
    <m/>
    <s v="Jedong RW 08 Wagir"/>
    <e v="#N/A"/>
    <e v="#N/A"/>
    <s v="OUTBOUND_"/>
  </r>
  <r>
    <s v="2581"/>
    <m/>
    <x v="0"/>
    <s v="INB-W0012311-135"/>
    <s v="EJ-Malang-01"/>
    <s v="Oka-0813-2707-1646"/>
    <d v="2023-11-27T00:00:00"/>
    <d v="1900-01-14T07:00:00"/>
    <s v="GCI Procurement"/>
    <x v="2"/>
    <x v="36"/>
    <s v="GCI1004"/>
    <s v="Pcs"/>
    <n v="4"/>
    <s v="CLR51-99-020"/>
    <x v="22"/>
    <n v="0"/>
    <n v="0"/>
    <m/>
    <m/>
    <m/>
    <m/>
    <m/>
    <s v="JEDONG 8"/>
    <m/>
    <s v="Jedong RW 08 Wagir"/>
    <e v="#N/A"/>
    <e v="#N/A"/>
    <s v="OUTBOUND_"/>
  </r>
  <r>
    <s v="2582"/>
    <m/>
    <x v="1"/>
    <s v="OUB-W0012311-136"/>
    <s v="EJ-Malang-01"/>
    <s v="Oka-0813-2707-1646"/>
    <d v="2023-11-28T00:00:00"/>
    <d v="1899-12-30T15:37:00"/>
    <s v="EJ-MALANG-01"/>
    <x v="2"/>
    <x v="36"/>
    <s v="GCI1004"/>
    <s v="Pcs"/>
    <n v="50"/>
    <s v="CLR51-99-026"/>
    <x v="24"/>
    <m/>
    <m/>
    <m/>
    <s v="Ahmad Subari"/>
    <n v="0"/>
    <s v="3507150401800010"/>
    <s v="N 9609 EF"/>
    <m/>
    <m/>
    <s v="Jedong RW 07 Wagir"/>
    <e v="#N/A"/>
    <e v="#N/A"/>
    <s v="OUTBOUND_"/>
  </r>
  <r>
    <s v="2583"/>
    <m/>
    <x v="0"/>
    <s v="INB-W0012312-138"/>
    <s v="EJ-Malang-01"/>
    <s v="Oka-0813-2707-1646"/>
    <d v="2023-12-01T00:00:00"/>
    <d v="1900-01-14T07:00:00"/>
    <s v="FIELD TEAM"/>
    <x v="2"/>
    <x v="36"/>
    <s v="GCI1004"/>
    <s v="Pcs"/>
    <n v="23"/>
    <s v="RTN"/>
    <x v="156"/>
    <n v="0"/>
    <n v="0"/>
    <m/>
    <m/>
    <m/>
    <m/>
    <m/>
    <s v="sisa Jedong8"/>
    <m/>
    <s v="Pengembalian"/>
    <e v="#N/A"/>
    <e v="#N/A"/>
    <s v="OUTBOUND_"/>
  </r>
  <r>
    <s v="2584"/>
    <m/>
    <x v="1"/>
    <s v="OUB-W0012312-143"/>
    <s v="EJ-Malang-01"/>
    <s v="Oka-0813-2707-1646"/>
    <d v="2023-12-07T00:00:00"/>
    <d v="1899-12-30T21:30:00"/>
    <s v="EJ-MALANG-01"/>
    <x v="2"/>
    <x v="36"/>
    <s v="GCI1004"/>
    <s v="Pcs"/>
    <n v="5"/>
    <s v="CLR51-99-013"/>
    <x v="26"/>
    <m/>
    <m/>
    <m/>
    <s v="Fatur"/>
    <n v="0"/>
    <s v="1812010507910004"/>
    <s v="L 9221 K"/>
    <m/>
    <m/>
    <s v="Pandan Landung RW 03 Wagir"/>
    <e v="#N/A"/>
    <e v="#N/A"/>
    <s v="OUTBOUND_"/>
  </r>
  <r>
    <s v="2585"/>
    <m/>
    <x v="2"/>
    <s v="TFO-W0012312-145"/>
    <s v="EJ-Malang-01"/>
    <s v="Oka-0813-2707-1646"/>
    <d v="2023-12-10T00:00:00"/>
    <d v="1899-12-30T22:10:00"/>
    <s v="EJ-MADIUN-01"/>
    <x v="2"/>
    <x v="36"/>
    <s v="GCI1004"/>
    <s v="Pcs"/>
    <n v="100"/>
    <s v="TRF"/>
    <x v="4"/>
    <m/>
    <m/>
    <m/>
    <s v="Fatur Rohman"/>
    <n v="0"/>
    <s v="1812010507910004"/>
    <s v="L 9221K"/>
    <s v="WH Malang ke WH Madiun"/>
    <m/>
    <s v="Transfer Gudang"/>
    <e v="#N/A"/>
    <e v="#N/A"/>
    <s v="TRANSFER OUT_"/>
  </r>
  <r>
    <s v="2586"/>
    <m/>
    <x v="1"/>
    <s v="OUB-W0012312-151"/>
    <s v="EJ-Malang-01"/>
    <s v="Oka-0813-2707-1646"/>
    <d v="2023-12-22T00:00:00"/>
    <d v="1899-12-30T13:27:00"/>
    <s v="EJ-MALANG-01"/>
    <x v="2"/>
    <x v="36"/>
    <s v="GCI1004"/>
    <s v="Pcs"/>
    <n v="30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2587"/>
    <m/>
    <x v="1"/>
    <s v="OUB-W0012312-154"/>
    <s v="EJ-Malang-01"/>
    <s v="Oka-0813-2707-1646"/>
    <d v="2023-12-25T00:00:00"/>
    <d v="1899-12-30T09:25:00"/>
    <s v="EJ-MALANG-01"/>
    <x v="2"/>
    <x v="36"/>
    <s v="GCI1004"/>
    <s v="Pcs"/>
    <n v="10"/>
    <s v="CLR32-99-069"/>
    <x v="30"/>
    <m/>
    <m/>
    <m/>
    <s v="Riki Romansyah"/>
    <s v="Febby Supplier"/>
    <s v="3507050501950006"/>
    <s v="N 8420 EL"/>
    <m/>
    <m/>
    <s v="Sitirejo RW 01 Wagir"/>
    <e v="#N/A"/>
    <e v="#N/A"/>
    <s v="OUTBOUND_"/>
  </r>
  <r>
    <s v="2588"/>
    <m/>
    <x v="0"/>
    <s v="INB-W0012401-164"/>
    <s v="EJ-Malang-01"/>
    <s v="Oka-0813-2707-1646"/>
    <d v="2024-01-04T00:00:00"/>
    <d v="1900-01-14T07:00:00"/>
    <s v="GCI Procurement"/>
    <x v="2"/>
    <x v="36"/>
    <s v="GCI1004"/>
    <s v="Pcs"/>
    <n v="66"/>
    <s v="PRC"/>
    <x v="135"/>
    <n v="0"/>
    <n v="0"/>
    <m/>
    <m/>
    <m/>
    <m/>
    <m/>
    <s v="UD Putra Cipta Karya"/>
    <m/>
    <s v="Purchase"/>
    <e v="#N/A"/>
    <e v="#N/A"/>
    <s v="OUTBOUND_"/>
  </r>
  <r>
    <s v="2589"/>
    <m/>
    <x v="0"/>
    <s v="INB-W0012401-176"/>
    <s v="EJ-Malang-01"/>
    <s v="Oka-0813-2707-1646"/>
    <d v="2024-01-16T00:00:00"/>
    <d v="1900-01-14T07:00:00"/>
    <s v="FIELD TEAM"/>
    <x v="2"/>
    <x v="36"/>
    <s v="GCI1004"/>
    <s v="Pcs"/>
    <n v="15"/>
    <s v="CLR32-99-069"/>
    <x v="30"/>
    <n v="0"/>
    <n v="0"/>
    <m/>
    <m/>
    <m/>
    <m/>
    <m/>
    <s v="RETURN"/>
    <m/>
    <s v="Sitirejo RW 01 Wagir"/>
    <e v="#N/A"/>
    <e v="#N/A"/>
    <s v="OUTBOUND_"/>
  </r>
  <r>
    <s v="2590"/>
    <m/>
    <x v="0"/>
    <s v="INB-W0012401-183"/>
    <s v="EJ-Malang-01"/>
    <s v="Oka-0813-2707-1646"/>
    <d v="2024-01-18T00:00:00"/>
    <d v="1900-01-14T07:00:00"/>
    <s v="GCI Procurement"/>
    <x v="2"/>
    <x v="36"/>
    <s v="GCI1004"/>
    <s v="Pcs"/>
    <n v="103"/>
    <s v="PRC"/>
    <x v="135"/>
    <n v="0"/>
    <n v="0"/>
    <m/>
    <m/>
    <m/>
    <m/>
    <m/>
    <s v="UD Putra Cipta Karya"/>
    <m/>
    <s v="Purchase"/>
    <e v="#N/A"/>
    <e v="#N/A"/>
    <s v="OUTBOUND_"/>
  </r>
  <r>
    <s v="2591"/>
    <m/>
    <x v="1"/>
    <s v="OUB-W0012401-195"/>
    <s v="EJ-Malang-01"/>
    <s v="Oka-0813-2707-1646"/>
    <d v="2024-01-22T00:00:00"/>
    <d v="1899-12-30T19:27:00"/>
    <s v="EJ-MALANG-01"/>
    <x v="2"/>
    <x v="36"/>
    <s v="GCI1004"/>
    <s v="Pcs"/>
    <n v="70"/>
    <s v="CLR51-99-038"/>
    <x v="32"/>
    <m/>
    <m/>
    <m/>
    <s v="Riki Romansyah"/>
    <s v="Febby Supplier"/>
    <s v="3507050501950006"/>
    <s v="N 8420 EL"/>
    <m/>
    <m/>
    <s v="Baturetno RW 03 Singosari"/>
    <e v="#N/A"/>
    <e v="#N/A"/>
    <s v="OUTBOUND_"/>
  </r>
  <r>
    <s v="2592"/>
    <m/>
    <x v="1"/>
    <s v="OUB-W0012401-192"/>
    <s v="EJ-Malang-01"/>
    <s v="Oka-0813-2707-1646"/>
    <d v="2024-01-22T00:00:00"/>
    <d v="1899-12-30T09:18:00"/>
    <s v="EJ-MALANG-01"/>
    <x v="2"/>
    <x v="36"/>
    <s v="GCI1004"/>
    <s v="Pcs"/>
    <n v="100"/>
    <s v="CLR29-99-153"/>
    <x v="34"/>
    <m/>
    <m/>
    <m/>
    <s v="Agus Suyoto"/>
    <s v="Febby Supplier"/>
    <s v="3515171206680002"/>
    <s v="S 9345 WB"/>
    <m/>
    <m/>
    <s v="Perumahan Pondok Mutiara Malang"/>
    <e v="#N/A"/>
    <e v="#N/A"/>
    <s v="OUTBOUND_"/>
  </r>
  <r>
    <s v="2593"/>
    <m/>
    <x v="0"/>
    <s v="INB-W0012401-204"/>
    <s v="EJ-Malang-01"/>
    <s v="Oka-0813-2707-1646"/>
    <d v="2024-01-25T00:00:00"/>
    <d v="1900-01-14T07:00:00"/>
    <s v="GCI Procurement"/>
    <x v="2"/>
    <x v="36"/>
    <s v="GCI1004"/>
    <s v="Pcs"/>
    <n v="30"/>
    <s v="CLR51-99-038"/>
    <x v="32"/>
    <n v="0"/>
    <n v="0"/>
    <m/>
    <m/>
    <m/>
    <m/>
    <m/>
    <m/>
    <m/>
    <s v="Baturetno RW 03 Singosari"/>
    <e v="#N/A"/>
    <e v="#N/A"/>
    <s v="OUTBOUND_"/>
  </r>
  <r>
    <s v="2594"/>
    <m/>
    <x v="1"/>
    <s v="OUB-W0012401-203"/>
    <s v="EJ-Malang-01"/>
    <s v="Oka-0813-2707-1646"/>
    <d v="2024-01-25T00:00:00"/>
    <d v="1899-12-30T14:58:00"/>
    <s v="EJ-MALANG-01"/>
    <x v="2"/>
    <x v="36"/>
    <s v="GCI1004"/>
    <s v="Pcs"/>
    <n v="5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2595"/>
    <m/>
    <x v="1"/>
    <s v="OUB-W0012401-206"/>
    <s v="EJ-Malang-01"/>
    <s v="Oka-0813-2707-1646"/>
    <d v="2024-01-26T00:00:00"/>
    <d v="1899-12-30T09:49:00"/>
    <s v="EJ-MALANG-01"/>
    <x v="2"/>
    <x v="36"/>
    <s v="GCI1004"/>
    <s v="Pcs"/>
    <n v="14"/>
    <s v="CLR51-01-005"/>
    <x v="37"/>
    <m/>
    <m/>
    <m/>
    <s v="Riki Romansyah"/>
    <s v="Febby Supplier"/>
    <s v="3507050501950006"/>
    <s v="N 8420 EL"/>
    <m/>
    <m/>
    <s v="Baturetno RW 02 Singosari "/>
    <e v="#N/A"/>
    <e v="#N/A"/>
    <s v="OUTBOUND_"/>
  </r>
  <r>
    <s v="2596"/>
    <m/>
    <x v="0"/>
    <s v="INB-W0012401-209"/>
    <s v="EJ-Malang-01"/>
    <s v="Oka-0813-2707-1646"/>
    <d v="2024-01-27T00:00:00"/>
    <d v="1900-01-14T07:00:00"/>
    <s v="FIELD TEAM"/>
    <x v="2"/>
    <x v="36"/>
    <s v="GCI1004"/>
    <s v="Pcs"/>
    <n v="24"/>
    <s v="CLR29-99-153"/>
    <x v="34"/>
    <s v="RETURN"/>
    <n v="0"/>
    <m/>
    <m/>
    <m/>
    <m/>
    <m/>
    <m/>
    <m/>
    <s v="Perumahan Pondok Mutiara Malang"/>
    <e v="#N/A"/>
    <e v="#N/A"/>
    <s v="OUTBOUND_"/>
  </r>
  <r>
    <s v="2597"/>
    <m/>
    <x v="3"/>
    <s v="TFI-W0012401-209"/>
    <s v="EJ-Malang-01"/>
    <s v="Oka-0813-2707-1646"/>
    <d v="2024-01-27T00:00:00"/>
    <d v="1900-01-14T07:00:00"/>
    <s v="EJ-JOMBANG-01"/>
    <x v="2"/>
    <x v="36"/>
    <s v="GCI1004"/>
    <s v="Pcs"/>
    <n v="80"/>
    <s v="TRF"/>
    <x v="138"/>
    <n v="0"/>
    <n v="0"/>
    <m/>
    <m/>
    <m/>
    <m/>
    <m/>
    <s v="Dari Jombang"/>
    <m/>
    <s v="JOMBANG"/>
    <e v="#N/A"/>
    <e v="#N/A"/>
    <s v="OUTBOUND_"/>
  </r>
  <r>
    <s v="2598"/>
    <m/>
    <x v="1"/>
    <s v="OUB-W0012402-219"/>
    <s v="EJ-Malang-01"/>
    <s v="Oka-0813-2707-1646"/>
    <d v="2024-02-09T00:00:00"/>
    <d v="1899-12-30T10:13:00"/>
    <s v="EJ-MALANG-01"/>
    <x v="2"/>
    <x v="36"/>
    <s v="GCI1004"/>
    <s v="Pcs"/>
    <n v="13"/>
    <s v="CLR51-99-082"/>
    <x v="152"/>
    <m/>
    <m/>
    <m/>
    <s v="Riki Romansyah"/>
    <s v="Febby Supplier"/>
    <s v="3507050501950006"/>
    <s v="N 8420 EL"/>
    <m/>
    <m/>
    <s v="Dengkol RW 02 Singosari Malang"/>
    <e v="#N/A"/>
    <e v="#N/A"/>
    <s v="OUTBOUND_"/>
  </r>
  <r>
    <s v="2599"/>
    <m/>
    <x v="1"/>
    <s v="OUB-W0012402-220"/>
    <s v="EJ-Malang-01"/>
    <s v="Oka-0813-2707-1646"/>
    <d v="2024-02-09T00:00:00"/>
    <d v="1899-12-30T15:13:00"/>
    <s v="EJ-MALANG-01"/>
    <x v="2"/>
    <x v="36"/>
    <s v="GCI1004"/>
    <s v="Pcs"/>
    <n v="23"/>
    <s v="CLR29-99-153"/>
    <x v="34"/>
    <m/>
    <m/>
    <m/>
    <s v="Riki Romansyah"/>
    <s v="Febby Supplier"/>
    <s v="3507050501950006"/>
    <s v="N 8420 EL"/>
    <m/>
    <m/>
    <s v="Perumahan Pondok Mutiara Malang"/>
    <e v="#N/A"/>
    <e v="#N/A"/>
    <s v="OUTBOUND_"/>
  </r>
  <r>
    <s v="2600"/>
    <m/>
    <x v="1"/>
    <s v="OUB-W0012402-225"/>
    <s v="EJ-Malang-01"/>
    <s v="Oka-0813-2707-1646"/>
    <d v="2024-02-15T00:00:00"/>
    <d v="1899-12-30T11:04:00"/>
    <s v="EJ-MALANG-01"/>
    <x v="2"/>
    <x v="36"/>
    <s v="GCI1004"/>
    <s v="Pcs"/>
    <n v="7"/>
    <s v="CLR51-99-067"/>
    <x v="0"/>
    <m/>
    <m/>
    <m/>
    <s v="Riki Romansyah"/>
    <s v="Febby Supplier"/>
    <s v="3507050501950006"/>
    <s v="N 8420 EL"/>
    <m/>
    <m/>
    <s v="Bandulan RW 08 Sukun"/>
    <e v="#N/A"/>
    <e v="#N/A"/>
    <s v="OUTBOUND_"/>
  </r>
  <r>
    <s v="2601"/>
    <m/>
    <x v="1"/>
    <s v="OUB-W0012402-229"/>
    <s v="EJ-Malang-01"/>
    <s v="Oka-0813-2707-1646"/>
    <d v="2024-02-19T00:00:00"/>
    <d v="1899-12-30T10:54:00"/>
    <s v="EJ-MALANG-01"/>
    <x v="2"/>
    <x v="36"/>
    <s v="GCI1004"/>
    <s v="Pcs"/>
    <n v="34"/>
    <s v="MF51-01"/>
    <x v="36"/>
    <m/>
    <m/>
    <m/>
    <s v="Riki Romansyah"/>
    <s v="Febby Supplier"/>
    <s v="3507050501950006"/>
    <s v="N 8420 EL"/>
    <m/>
    <m/>
    <s v="HUBFEEDER BATURETNO RW 02"/>
    <e v="#N/A"/>
    <e v="#N/A"/>
    <s v="OUTBOUND_"/>
  </r>
  <r>
    <s v="2602"/>
    <m/>
    <x v="1"/>
    <s v="OUB-W0012402-239"/>
    <s v="EJ-Malang-01"/>
    <s v="Oka-0813-2707-1646"/>
    <d v="2024-02-21T00:00:00"/>
    <d v="1899-12-30T18:56:00"/>
    <s v="EJ-MALANG-01"/>
    <x v="2"/>
    <x v="36"/>
    <s v="GCI1004"/>
    <s v="Pcs"/>
    <n v="14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2603"/>
    <m/>
    <x v="0"/>
    <s v="INB-W0012402-242"/>
    <s v="EJ-Malang-01"/>
    <s v="Oka-0813-2707-1646"/>
    <d v="2024-02-22T00:00:00"/>
    <d v="1900-01-14T07:00:00"/>
    <s v="GCI Procurement"/>
    <x v="2"/>
    <x v="36"/>
    <s v="GCI1004"/>
    <s v="Pcs"/>
    <n v="22"/>
    <s v="CLR51-99-078"/>
    <x v="1"/>
    <n v="0"/>
    <n v="0"/>
    <m/>
    <m/>
    <m/>
    <m/>
    <m/>
    <s v="JNT Cargo"/>
    <m/>
    <s v="Bumiayu RW 03 Kedungkandang"/>
    <e v="#N/A"/>
    <e v="#N/A"/>
    <s v="OUTBOUND_"/>
  </r>
  <r>
    <s v="2604"/>
    <m/>
    <x v="1"/>
    <s v="OUB-W0012402-241"/>
    <s v="EJ-Malang-01"/>
    <s v="Oka-0813-2707-1646"/>
    <d v="2024-02-22T00:00:00"/>
    <d v="1899-12-30T15:15:00"/>
    <s v="EJ-MALANG-01"/>
    <x v="2"/>
    <x v="36"/>
    <s v="GCI1004"/>
    <s v="Pcs"/>
    <n v="15"/>
    <s v="CLR51-99-066"/>
    <x v="35"/>
    <m/>
    <m/>
    <m/>
    <s v="Riki Romansyah"/>
    <s v="Febby Supplier"/>
    <s v="3507050501950006"/>
    <s v="N 8420 EL"/>
    <m/>
    <m/>
    <s v="TAMANHARJO RW 04 SINGOSARI"/>
    <e v="#N/A"/>
    <e v="#N/A"/>
    <s v="OUTBOUND_"/>
  </r>
  <r>
    <s v="2605"/>
    <m/>
    <x v="0"/>
    <s v="INB-W0012402-252"/>
    <s v="EJ-Malang-01"/>
    <s v="Oka-0813-2707-1646"/>
    <d v="2024-02-27T00:00:00"/>
    <d v="1900-01-14T07:00:00"/>
    <s v="GCI Procurement"/>
    <x v="2"/>
    <x v="36"/>
    <s v="GCI1004"/>
    <s v="Pcs"/>
    <n v="91"/>
    <n v="0"/>
    <x v="136"/>
    <n v="0"/>
    <n v="0"/>
    <m/>
    <m/>
    <m/>
    <m/>
    <m/>
    <m/>
    <m/>
    <s v="UD RIZQI JAYA PRATAMA "/>
    <e v="#N/A"/>
    <e v="#N/A"/>
    <s v="OUTBOUND_"/>
  </r>
  <r>
    <s v="2606"/>
    <m/>
    <x v="1"/>
    <s v="OUB-W0012402-256"/>
    <s v="EJ-Malang-01"/>
    <s v="Oka-0813-2707-1646"/>
    <d v="2024-02-28T00:00:00"/>
    <d v="1899-12-30T11:40:00"/>
    <s v="EJ-MALANG-01"/>
    <x v="2"/>
    <x v="36"/>
    <s v="GCI1004"/>
    <s v="Pcs"/>
    <n v="6"/>
    <s v="CLR51-99-079"/>
    <x v="2"/>
    <m/>
    <m/>
    <m/>
    <s v="Riki Romansyah"/>
    <s v="Febby Supplier"/>
    <s v="3507050501950006"/>
    <s v="N 8420 EL"/>
    <m/>
    <m/>
    <s v="Bumiayu RW 05 Kedungkandang"/>
    <e v="#N/A"/>
    <e v="#N/A"/>
    <s v="OUTBOUND_"/>
  </r>
  <r>
    <s v="2607"/>
    <m/>
    <x v="1"/>
    <s v="OUB-W0012402-253"/>
    <s v="EJ-Malang-01"/>
    <s v="Oka-0813-2707-1646"/>
    <d v="2024-02-28T00:00:00"/>
    <d v="1899-12-30T09:12:00"/>
    <s v="EJ-MALANG-01"/>
    <x v="2"/>
    <x v="36"/>
    <s v="GCI1004"/>
    <s v="Pcs"/>
    <n v="60"/>
    <s v="CLR51-99-078"/>
    <x v="1"/>
    <m/>
    <m/>
    <m/>
    <s v="Dimas"/>
    <s v="Febby Supplier"/>
    <s v="3573032509800005"/>
    <s v="N 9454 BA"/>
    <m/>
    <m/>
    <s v="Bumiayu RW 03 Kedungkandang"/>
    <e v="#N/A"/>
    <e v="#N/A"/>
    <s v="OUTBOUND_"/>
  </r>
  <r>
    <s v="2608"/>
    <m/>
    <x v="1"/>
    <s v="OUB-W0012403-271"/>
    <s v="EJ-Malang-01"/>
    <s v="Oka-0813-2707-1646"/>
    <d v="2024-03-06T00:00:00"/>
    <d v="1899-12-30T09:24:00"/>
    <s v="EJ-MALANG-01"/>
    <x v="2"/>
    <x v="36"/>
    <s v="GCI1004"/>
    <s v="Pcs"/>
    <n v="5"/>
    <s v="CLR29-99-153"/>
    <x v="34"/>
    <m/>
    <m/>
    <m/>
    <s v="Riki Romansyah"/>
    <s v="Febby Supplier"/>
    <s v="3507050501950006"/>
    <s v="N 8420 EL"/>
    <m/>
    <m/>
    <s v="Perumahan Pondok Mutiara Malang"/>
    <e v="#N/A"/>
    <e v="#N/A"/>
    <s v="OUTBOUND_"/>
  </r>
  <r>
    <s v="2609"/>
    <m/>
    <x v="1"/>
    <s v="OUB-W0012403-277"/>
    <s v="EJ-Malang-01"/>
    <s v="Oka-0813-2707-1646"/>
    <d v="2024-03-15T00:00:00"/>
    <d v="1899-12-30T17:12:00"/>
    <s v="EJ-MALANG-01"/>
    <x v="2"/>
    <x v="36"/>
    <s v="GCI1004"/>
    <s v="Pcs"/>
    <n v="50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2610"/>
    <m/>
    <x v="0"/>
    <s v="INB-W0012403-283"/>
    <s v="EJ-Malang-01"/>
    <s v="Oka-0813-2707-1646"/>
    <d v="2024-03-22T00:00:00"/>
    <d v="1900-01-14T07:00:00"/>
    <s v="GCI Procurement"/>
    <x v="2"/>
    <x v="36"/>
    <s v="GCI1004"/>
    <s v="Pcs"/>
    <n v="103"/>
    <n v="0"/>
    <x v="137"/>
    <n v="0"/>
    <n v="0"/>
    <m/>
    <m/>
    <m/>
    <m/>
    <m/>
    <m/>
    <m/>
    <s v="UD HALIM"/>
    <e v="#N/A"/>
    <e v="#N/A"/>
    <s v="OUTBOUND_"/>
  </r>
  <r>
    <s v="2611"/>
    <m/>
    <x v="1"/>
    <s v="OUB-W0012403-286"/>
    <s v="EJ-Malang-01"/>
    <s v="Oka-0813-2707-1646"/>
    <d v="2024-03-23T00:00:00"/>
    <d v="1899-12-30T18:24:00"/>
    <s v="EJ-MALANG-01"/>
    <x v="2"/>
    <x v="36"/>
    <s v="GCI1004"/>
    <s v="Pcs"/>
    <n v="100"/>
    <s v="CLR51-99-073"/>
    <x v="40"/>
    <m/>
    <m/>
    <m/>
    <s v="Riki Romansyah"/>
    <s v="Febby Supplier"/>
    <s v="3507050501950006"/>
    <s v="N 8420 EL"/>
    <m/>
    <m/>
    <s v="Dalisodo RW 01 Wagir"/>
    <e v="#N/A"/>
    <e v="#N/A"/>
    <s v="OUTBOUND_"/>
  </r>
  <r>
    <s v="2612"/>
    <m/>
    <x v="2"/>
    <s v="TFO-W0012403-288"/>
    <s v="EJ-Malang-01"/>
    <s v="Oka-0813-2707-1646"/>
    <d v="2024-03-25T00:00:00"/>
    <d v="1899-12-30T15:21:00"/>
    <s v="EJ-MALANG-01"/>
    <x v="2"/>
    <x v="36"/>
    <s v="GCI1004"/>
    <s v="Pcs"/>
    <n v="50"/>
    <s v="trf"/>
    <x v="4"/>
    <m/>
    <m/>
    <m/>
    <s v="Munip"/>
    <n v="0"/>
    <s v="3509090107770266"/>
    <s v="L 1962 QM"/>
    <m/>
    <m/>
    <s v="Transfer Gudang"/>
    <e v="#N/A"/>
    <e v="#N/A"/>
    <s v="TRANSFER OUT_"/>
  </r>
  <r>
    <s v="2613"/>
    <m/>
    <x v="3"/>
    <s v="TFI-W0012404-298"/>
    <s v="EJ-Malang-01"/>
    <s v="Oka-0813-2707-1646"/>
    <d v="2024-04-01T00:00:00"/>
    <d v="1900-01-14T07:00:00"/>
    <s v="EJ-JOMBANG-01"/>
    <x v="2"/>
    <x v="36"/>
    <s v="GCI1004"/>
    <s v="Pcs"/>
    <n v="50"/>
    <s v="TRF"/>
    <x v="138"/>
    <n v="0"/>
    <n v="0"/>
    <m/>
    <m/>
    <m/>
    <m/>
    <m/>
    <m/>
    <m/>
    <s v="JOMBANG"/>
    <e v="#N/A"/>
    <e v="#N/A"/>
    <s v="OUTBOUND_"/>
  </r>
  <r>
    <s v="2614"/>
    <m/>
    <x v="1"/>
    <s v="OUB-W0012404-315"/>
    <s v="EJ-Malang-01"/>
    <s v="Oka-0813-2707-1646"/>
    <d v="2024-04-23T00:00:00"/>
    <d v="1899-12-30T09:01:00"/>
    <s v="EJ-MALANG-01"/>
    <x v="2"/>
    <x v="36"/>
    <s v="GCI1004"/>
    <s v="Pcs"/>
    <n v="10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2615"/>
    <m/>
    <x v="1"/>
    <s v="OUB-W0012404-316"/>
    <s v="EJ-Malang-01"/>
    <s v="Oka-0813-2707-1646"/>
    <d v="2024-04-23T00:00:00"/>
    <d v="1899-12-30T17:12:00"/>
    <s v="EJ-MALANG-01"/>
    <x v="2"/>
    <x v="36"/>
    <s v="GCI1004"/>
    <s v="Pcs"/>
    <n v="39"/>
    <s v="CLR51-99-010"/>
    <x v="10"/>
    <m/>
    <m/>
    <m/>
    <s v="Riki Romansyah"/>
    <s v="Febby Supplier"/>
    <s v="3573032509800005"/>
    <s v="N8283EK"/>
    <m/>
    <m/>
    <s v="Pandan Landung RW 05 Wagir"/>
    <e v="#N/A"/>
    <e v="#N/A"/>
    <s v="OUTBOUND_"/>
  </r>
  <r>
    <s v="2616"/>
    <m/>
    <x v="3"/>
    <s v="TFI-W0012404-317"/>
    <s v="EJ-Malang-01"/>
    <s v="Oka-0813-2707-1646"/>
    <d v="2024-04-23T00:00:00"/>
    <d v="1900-01-14T07:00:00"/>
    <s v="EJ-NGAWI-01"/>
    <x v="2"/>
    <x v="36"/>
    <s v="GCI1004"/>
    <s v="Pcs"/>
    <n v="50"/>
    <s v="TRF"/>
    <x v="155"/>
    <n v="0"/>
    <n v="0"/>
    <m/>
    <m/>
    <m/>
    <m/>
    <m/>
    <m/>
    <m/>
    <s v="NGAWI"/>
    <e v="#N/A"/>
    <e v="#N/A"/>
    <s v="OUTBOUND_"/>
  </r>
  <r>
    <s v="2617"/>
    <m/>
    <x v="0"/>
    <s v="INB-W0012404-323"/>
    <s v="EJ-Malang-01"/>
    <s v="Oka-0813-2707-1646"/>
    <d v="2024-04-25T00:00:00"/>
    <d v="1900-01-14T07:00:00"/>
    <s v="GCI Procurement"/>
    <x v="2"/>
    <x v="36"/>
    <s v="GCI1004"/>
    <s v="Pcs"/>
    <n v="42"/>
    <n v="0"/>
    <x v="5"/>
    <n v="0"/>
    <n v="0"/>
    <m/>
    <m/>
    <m/>
    <m/>
    <m/>
    <m/>
    <m/>
    <n v="0"/>
    <e v="#N/A"/>
    <e v="#N/A"/>
    <s v="OUTBOUND_"/>
  </r>
  <r>
    <s v="2618"/>
    <m/>
    <x v="1"/>
    <s v="OUB-W0012404-324"/>
    <s v="EJ-Malang-01"/>
    <s v="Oka-0813-2707-1646"/>
    <d v="2024-04-26T00:00:00"/>
    <d v="1899-12-30T09:24:00"/>
    <s v="EJ-MALANG-01"/>
    <x v="2"/>
    <x v="36"/>
    <s v="GCI1004"/>
    <s v="Pcs"/>
    <n v="10"/>
    <s v="CLR51-99-010"/>
    <x v="10"/>
    <m/>
    <m/>
    <m/>
    <s v="Riki Romansyah"/>
    <s v="Febby Supplier"/>
    <s v="3507050501950006"/>
    <s v="N 8420 EL"/>
    <m/>
    <m/>
    <s v="Pandan Landung RW 05 Wagir"/>
    <e v="#N/A"/>
    <e v="#N/A"/>
    <s v="OUTBOUND_"/>
  </r>
  <r>
    <s v="2619"/>
    <m/>
    <x v="1"/>
    <s v="OUB-W0012404-325"/>
    <s v="EJ-Malang-01"/>
    <s v="Oka-0813-2707-1646"/>
    <d v="2024-04-30T00:00:00"/>
    <d v="1899-12-30T10:15:00"/>
    <s v="EJ-MALANG-01"/>
    <x v="2"/>
    <x v="36"/>
    <s v="GCI1004"/>
    <s v="Pcs"/>
    <n v="15"/>
    <s v="CLR51-99-092"/>
    <x v="139"/>
    <m/>
    <m/>
    <m/>
    <s v="Dimas"/>
    <s v="Febby Supplier"/>
    <s v="3573032509800005"/>
    <s v="N8283EK"/>
    <m/>
    <m/>
    <s v="Lowokwaru RW14"/>
    <e v="#N/A"/>
    <e v="#N/A"/>
    <s v="OUTBOUND_"/>
  </r>
  <r>
    <s v="2620"/>
    <m/>
    <x v="0"/>
    <s v="INB-W0012405-331"/>
    <s v="EJ-Malang-01"/>
    <s v="Oka-0813-2707-1646"/>
    <d v="2024-05-08T00:00:00"/>
    <d v="1900-01-14T07:00:00"/>
    <s v="GCI Procurement"/>
    <x v="2"/>
    <x v="36"/>
    <s v="GCI1004"/>
    <s v="Pcs"/>
    <n v="78"/>
    <n v="0"/>
    <x v="5"/>
    <n v="0"/>
    <n v="0"/>
    <m/>
    <m/>
    <m/>
    <m/>
    <m/>
    <m/>
    <m/>
    <n v="0"/>
    <e v="#N/A"/>
    <e v="#N/A"/>
    <s v="OUTBOUND_"/>
  </r>
  <r>
    <s v="2621"/>
    <m/>
    <x v="0"/>
    <s v="INB-W0012405-337"/>
    <s v="EJ-Malang-01"/>
    <s v="Oka-0813-2707-1646"/>
    <d v="2024-05-17T00:00:00"/>
    <d v="1900-01-14T07:00:00"/>
    <s v="GCI Procurement"/>
    <x v="2"/>
    <x v="36"/>
    <s v="GCI1004"/>
    <s v="Pcs"/>
    <n v="35"/>
    <n v="0"/>
    <x v="5"/>
    <n v="0"/>
    <n v="0"/>
    <m/>
    <m/>
    <m/>
    <m/>
    <m/>
    <m/>
    <m/>
    <n v="0"/>
    <e v="#N/A"/>
    <e v="#N/A"/>
    <s v="OUTBOUND_"/>
  </r>
  <r>
    <s v="2622"/>
    <m/>
    <x v="0"/>
    <s v="INB-W0012405-337"/>
    <s v="EJ-Malang-01"/>
    <s v="Oka-0813-2707-1646"/>
    <d v="2024-05-17T00:00:00"/>
    <d v="1900-01-14T07:00:00"/>
    <s v="GCI Procurement"/>
    <x v="2"/>
    <x v="36"/>
    <s v="GCI1004"/>
    <s v="Pcs"/>
    <n v="52"/>
    <n v="0"/>
    <x v="5"/>
    <n v="0"/>
    <n v="0"/>
    <m/>
    <m/>
    <m/>
    <m/>
    <m/>
    <m/>
    <m/>
    <n v="0"/>
    <e v="#N/A"/>
    <e v="#N/A"/>
    <s v="OUTBOUND_"/>
  </r>
  <r>
    <s v="2623"/>
    <m/>
    <x v="1"/>
    <s v="OUB-W0012405-335"/>
    <s v="EJ-Malang-01"/>
    <s v="Oka-0813-2707-1646"/>
    <d v="2024-05-17T00:00:00"/>
    <d v="1899-12-30T10:43:00"/>
    <s v="EJ-MALANG-01"/>
    <x v="2"/>
    <x v="36"/>
    <s v="GCI1004"/>
    <s v="Pcs"/>
    <n v="100"/>
    <s v="MF51-02"/>
    <x v="46"/>
    <m/>
    <m/>
    <m/>
    <s v="Riki Romansyah"/>
    <s v="Febby Supplier"/>
    <s v="3507050501950006"/>
    <s v="N 8420 EL"/>
    <m/>
    <m/>
    <s v="HUBFEEDER DALISODO"/>
    <e v="#N/A"/>
    <e v="#N/A"/>
    <s v="OUTBOUND_"/>
  </r>
  <r>
    <s v="2624"/>
    <m/>
    <x v="1"/>
    <s v="OUB-W0012405-346"/>
    <s v="EJ-Malang-01"/>
    <s v="Oka-0813-2707-1646"/>
    <d v="2024-05-22T00:00:00"/>
    <d v="1899-12-30T09:24:00"/>
    <s v="EJ-MALANG-01"/>
    <x v="2"/>
    <x v="36"/>
    <s v="GCI1004"/>
    <s v="Pcs"/>
    <n v="20"/>
    <s v="CLR51-99-095"/>
    <x v="16"/>
    <m/>
    <m/>
    <m/>
    <s v="Riki Romansyah"/>
    <s v="Febby Supplier"/>
    <s v="3507050501950006"/>
    <s v="N 8420 EL"/>
    <m/>
    <m/>
    <s v="Candirenggo RW 10 Singosari"/>
    <e v="#N/A"/>
    <e v="#N/A"/>
    <s v="OUTBOUND_"/>
  </r>
  <r>
    <s v="2625"/>
    <m/>
    <x v="1"/>
    <s v="OUB-W0012405-350"/>
    <s v="EJ-Malang-01"/>
    <s v="Oka-0813-2707-1646"/>
    <d v="2024-05-25T00:00:00"/>
    <d v="1899-12-30T09:40:00"/>
    <s v="EJ-MALANG-01"/>
    <x v="2"/>
    <x v="36"/>
    <s v="GCI1004"/>
    <s v="Pcs"/>
    <n v="64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2626"/>
    <m/>
    <x v="1"/>
    <s v="OUB-W0012405-359"/>
    <s v="EJ-Malang-01"/>
    <s v="Oka-0813-2707-1646"/>
    <d v="2024-05-30T00:00:00"/>
    <d v="1899-12-30T11:30:00"/>
    <s v="EJ-MALANG-01"/>
    <x v="2"/>
    <x v="36"/>
    <s v="GCI1004"/>
    <s v="Pcs"/>
    <n v="52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2627"/>
    <m/>
    <x v="0"/>
    <s v="INB-W0012406-370"/>
    <s v="EJ-Malang-01"/>
    <s v="Oka-0813-2707-1646"/>
    <d v="2024-06-06T00:00:00"/>
    <d v="1900-01-14T07:00:00"/>
    <s v="GCI Procurement"/>
    <x v="2"/>
    <x v="36"/>
    <s v="GCI1004"/>
    <s v="Pcs"/>
    <n v="106"/>
    <n v="0"/>
    <x v="5"/>
    <n v="0"/>
    <n v="0"/>
    <m/>
    <m/>
    <m/>
    <m/>
    <m/>
    <m/>
    <m/>
    <n v="0"/>
    <e v="#N/A"/>
    <e v="#N/A"/>
    <s v="OUTBOUND_"/>
  </r>
  <r>
    <s v="2628"/>
    <m/>
    <x v="1"/>
    <s v="OUB-W0012406-371"/>
    <s v="EJ-Malang-01"/>
    <s v="Oka-0813-2707-1646"/>
    <d v="2024-06-07T00:00:00"/>
    <d v="1899-12-30T17:21:00"/>
    <s v="EJ-MALANG-01"/>
    <x v="2"/>
    <x v="36"/>
    <s v="GCI1004"/>
    <s v="Pcs"/>
    <n v="106"/>
    <s v="CLR51-99-097"/>
    <x v="13"/>
    <m/>
    <m/>
    <m/>
    <s v="Riki Romansyah"/>
    <s v="Febby Supplier"/>
    <s v="3507050501950006"/>
    <s v="N 8420 EL"/>
    <m/>
    <m/>
    <s v="Dusun Krajan Kucur"/>
    <e v="#N/A"/>
    <e v="#N/A"/>
    <s v="OUTBOUND_"/>
  </r>
  <r>
    <s v="2629"/>
    <m/>
    <x v="0"/>
    <s v="INB-W0012406-372"/>
    <s v="EJ-Malang-01"/>
    <s v="Oka-0813-2707-1646"/>
    <d v="2024-06-09T00:00:00"/>
    <d v="1900-01-14T07:00:00"/>
    <s v="GCI Procurement"/>
    <x v="2"/>
    <x v="36"/>
    <s v="GCI1004"/>
    <s v="Pcs"/>
    <n v="20"/>
    <s v="RTN"/>
    <x v="5"/>
    <n v="0"/>
    <n v="0"/>
    <m/>
    <m/>
    <m/>
    <m/>
    <m/>
    <m/>
    <m/>
    <n v="0"/>
    <e v="#N/A"/>
    <e v="#N/A"/>
    <s v="OUTBOUND_"/>
  </r>
  <r>
    <s v="2630"/>
    <m/>
    <x v="1"/>
    <s v="OUB-W0012406-373"/>
    <s v="EJ-Malang-01"/>
    <s v="Oka-0813-2707-1646"/>
    <d v="2024-06-10T00:00:00"/>
    <d v="1899-12-30T13:27:00"/>
    <s v="EJ-MALANG-01"/>
    <x v="2"/>
    <x v="36"/>
    <s v="GCI1004"/>
    <s v="Pcs"/>
    <n v="15"/>
    <s v="CLR51-02-015"/>
    <x v="15"/>
    <m/>
    <m/>
    <m/>
    <s v="Riki Romansyah"/>
    <s v="Febby Supplier"/>
    <s v="3507050501950006"/>
    <s v="N 8420 EL"/>
    <m/>
    <m/>
    <s v="Dusun Sumber Bendo Kucur"/>
    <e v="#N/A"/>
    <e v="#N/A"/>
    <s v="OUTBOUND_"/>
  </r>
  <r>
    <s v="2631"/>
    <m/>
    <x v="0"/>
    <s v="INB-W0012406-382"/>
    <s v="EJ-Malang-01"/>
    <s v="Oka-0813-2707-1646"/>
    <d v="2024-06-19T00:00:00"/>
    <d v="1900-01-14T07:00:00"/>
    <s v="GCI Procurement"/>
    <x v="2"/>
    <x v="36"/>
    <s v="GCI1004"/>
    <s v="Pcs"/>
    <n v="30"/>
    <s v="RTN"/>
    <x v="156"/>
    <n v="0"/>
    <n v="0"/>
    <m/>
    <m/>
    <m/>
    <m/>
    <m/>
    <m/>
    <m/>
    <s v="Pengembalian"/>
    <e v="#N/A"/>
    <e v="#N/A"/>
    <s v="OUTBOUND_"/>
  </r>
  <r>
    <s v="2632"/>
    <m/>
    <x v="1"/>
    <s v="OUB-W0012406-381"/>
    <s v="EJ-Malang-01"/>
    <s v="Oka-0813-2707-1646"/>
    <d v="2024-06-19T00:00:00"/>
    <d v="1899-12-30T12:43:00"/>
    <s v="EJ-MALANG-01"/>
    <x v="2"/>
    <x v="36"/>
    <s v="GCI1004"/>
    <s v="Pcs"/>
    <n v="10"/>
    <s v="CLR51-02-020"/>
    <x v="53"/>
    <m/>
    <m/>
    <m/>
    <s v="Riki Romansyah"/>
    <s v="Febby Supplier"/>
    <s v="3507050501950006"/>
    <s v="N 8420 EL"/>
    <m/>
    <m/>
    <s v="Lowokwaru RW 04"/>
    <e v="#N/A"/>
    <e v="#N/A"/>
    <s v="OUTBOUND_"/>
  </r>
  <r>
    <s v="2633"/>
    <m/>
    <x v="1"/>
    <s v="OUB-W0012406-383"/>
    <s v="EJ-Malang-01"/>
    <s v="Oka-0813-2707-1646"/>
    <d v="2024-06-20T00:00:00"/>
    <d v="1899-12-30T10:40:00"/>
    <s v="EJ-MALANG-01"/>
    <x v="2"/>
    <x v="36"/>
    <s v="GCI1004"/>
    <s v="Pcs"/>
    <n v="10"/>
    <s v="CLR51-02-020"/>
    <x v="53"/>
    <m/>
    <m/>
    <m/>
    <s v="Riki Romansyah"/>
    <s v="Febby Supplier"/>
    <s v="3507050501950006"/>
    <s v="N 8420 EL"/>
    <m/>
    <m/>
    <s v="Lowokwaru RW 04"/>
    <e v="#N/A"/>
    <e v="#N/A"/>
    <s v="OUTBOUND_"/>
  </r>
  <r>
    <s v="2634"/>
    <m/>
    <x v="1"/>
    <s v="OUB-W0012406-385"/>
    <s v="EJ-Malang-01"/>
    <s v="Oka-0813-2707-1646"/>
    <d v="2024-06-21T00:00:00"/>
    <d v="1899-12-30T12:17:00"/>
    <s v="EJ-MALANG-01"/>
    <x v="2"/>
    <x v="36"/>
    <s v="GCI1004"/>
    <s v="Pcs"/>
    <n v="15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2635"/>
    <m/>
    <x v="0"/>
    <s v="INB-W0012406-390"/>
    <s v="EJ-Malang-01"/>
    <s v="Oka-0813-2707-1646"/>
    <d v="2024-06-25T00:00:00"/>
    <d v="1900-01-14T07:00:00"/>
    <s v="GCI Procurement"/>
    <x v="2"/>
    <x v="36"/>
    <s v="GCI1004"/>
    <s v="Pcs"/>
    <n v="127"/>
    <n v="0"/>
    <x v="5"/>
    <n v="0"/>
    <n v="0"/>
    <m/>
    <m/>
    <m/>
    <m/>
    <m/>
    <m/>
    <m/>
    <n v="0"/>
    <e v="#N/A"/>
    <e v="#N/A"/>
    <s v="OUTBOUND_"/>
  </r>
  <r>
    <s v="2636"/>
    <m/>
    <x v="1"/>
    <s v="OUB-W0012406-391"/>
    <s v="EJ-Malang-01"/>
    <s v="Oka-0813-2707-1646"/>
    <d v="2024-06-26T00:00:00"/>
    <d v="1899-12-30T09:57:00"/>
    <s v="EJ-MALANG-01"/>
    <x v="2"/>
    <x v="36"/>
    <s v="GCI1004"/>
    <s v="Pcs"/>
    <n v="51"/>
    <s v="CLR51-99-044"/>
    <x v="52"/>
    <m/>
    <m/>
    <m/>
    <s v="Riki Romansyah"/>
    <s v="Febby Supplier"/>
    <s v="3507050501950006"/>
    <s v="N 8420 EL"/>
    <m/>
    <m/>
    <s v="Kebonagung RW 13 Pakisaji"/>
    <e v="#N/A"/>
    <e v="#N/A"/>
    <s v="OUTBOUND_"/>
  </r>
  <r>
    <s v="2637"/>
    <m/>
    <x v="1"/>
    <s v="OUB-W0012406-393"/>
    <s v="EJ-Malang-01"/>
    <s v="Oka-0813-2707-1646"/>
    <d v="2024-06-27T00:00:00"/>
    <d v="1899-12-30T12:53:00"/>
    <s v="EJ-MALANG-01"/>
    <x v="2"/>
    <x v="36"/>
    <s v="GCI1004"/>
    <s v="Pcs"/>
    <n v="50"/>
    <s v="CLR51-99-063"/>
    <x v="55"/>
    <m/>
    <m/>
    <m/>
    <s v="Riki Romansyah"/>
    <s v="Febby Supplier"/>
    <s v="3507050501950006"/>
    <s v="N 8420 EL"/>
    <m/>
    <m/>
    <s v="Perumahan Kepanjen Permai II"/>
    <e v="#N/A"/>
    <e v="#N/A"/>
    <s v="OUTBOUND_"/>
  </r>
  <r>
    <s v="2638"/>
    <m/>
    <x v="0"/>
    <s v="INB-W0012407-395"/>
    <s v="EJ-Malang-01"/>
    <s v="Oka-0813-2707-1646"/>
    <d v="2024-07-03T00:00:00"/>
    <d v="1900-01-14T07:00:00"/>
    <s v="GCI Procurement"/>
    <x v="2"/>
    <x v="36"/>
    <s v="GCI1004"/>
    <s v="Pcs"/>
    <n v="157"/>
    <n v="0"/>
    <x v="140"/>
    <n v="0"/>
    <n v="0"/>
    <m/>
    <m/>
    <m/>
    <m/>
    <m/>
    <m/>
    <m/>
    <s v="HALIM JAYA"/>
    <e v="#N/A"/>
    <e v="#N/A"/>
    <s v="OUTBOUND_"/>
  </r>
  <r>
    <s v="2639"/>
    <m/>
    <x v="1"/>
    <s v="OUB-W0012407-416"/>
    <s v="EJ-Malang-01"/>
    <s v="Oka-0813-2707-1646"/>
    <d v="2024-07-27T00:00:00"/>
    <d v="1899-12-30T14:10:00"/>
    <s v="EJ-MALANG-01"/>
    <x v="2"/>
    <x v="36"/>
    <s v="GCI1004"/>
    <s v="Pcs"/>
    <n v="34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2640"/>
    <m/>
    <x v="1"/>
    <s v="OUB-W0012407-420"/>
    <s v="EJ-Malang-01"/>
    <s v="Oka-0813-2707-1646"/>
    <d v="2024-07-30T00:00:00"/>
    <d v="1899-12-30T10:24:00"/>
    <s v="EJ-MALANG-01"/>
    <x v="2"/>
    <x v="36"/>
    <s v="GCI1004"/>
    <s v="Pcs"/>
    <n v="50"/>
    <s v="CLR51-03-005"/>
    <x v="58"/>
    <m/>
    <m/>
    <m/>
    <s v="Riki Romansyah"/>
    <s v="Febby Supplier"/>
    <s v="3507050501950006"/>
    <s v="N 8420 EL"/>
    <m/>
    <m/>
    <s v="Dusun Langlang IV Singosari"/>
    <e v="#N/A"/>
    <e v="#N/A"/>
    <s v="OUTBOUND_"/>
  </r>
  <r>
    <s v="2641"/>
    <m/>
    <x v="0"/>
    <s v="INB-W0012408-426"/>
    <s v="EJ-Malang-01"/>
    <s v="Oka-0813-2707-1646"/>
    <d v="2024-08-02T00:00:00"/>
    <d v="1900-01-14T07:00:00"/>
    <s v="GCI Procurement"/>
    <x v="2"/>
    <x v="36"/>
    <s v="GCI1004"/>
    <s v="Pcs"/>
    <n v="145"/>
    <n v="0"/>
    <x v="5"/>
    <n v="0"/>
    <n v="0"/>
    <m/>
    <m/>
    <m/>
    <m/>
    <m/>
    <m/>
    <m/>
    <n v="0"/>
    <e v="#N/A"/>
    <e v="#N/A"/>
    <s v="OUTBOUND_"/>
  </r>
  <r>
    <s v="2642"/>
    <m/>
    <x v="1"/>
    <s v="OUB-W0012408-433"/>
    <s v="EJ-Malang-01"/>
    <s v="Oka-0813-2707-1646"/>
    <d v="2024-08-07T00:00:00"/>
    <d v="1899-12-30T10:46:00"/>
    <s v="EJ-MALANG-01"/>
    <x v="2"/>
    <x v="36"/>
    <s v="GCI1004"/>
    <s v="Pcs"/>
    <n v="20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2643"/>
    <m/>
    <x v="1"/>
    <s v="OUB-W0012408-434"/>
    <s v="EJ-Malang-01"/>
    <s v="Oka-0813-2707-1646"/>
    <d v="2024-08-07T00:00:00"/>
    <d v="1899-12-30T18:48:00"/>
    <s v="EJ-MALANG-01"/>
    <x v="2"/>
    <x v="36"/>
    <s v="GCI1004"/>
    <s v="Pcs"/>
    <n v="50"/>
    <s v="MF51-03"/>
    <x v="57"/>
    <m/>
    <m/>
    <m/>
    <s v="Riki Romansyah"/>
    <s v="Febby Supplier"/>
    <s v="3507050501950006"/>
    <s v="N 8420 EL"/>
    <m/>
    <m/>
    <s v="HUBFEEDER KEPANJEN TO JATIKERTO"/>
    <e v="#N/A"/>
    <e v="#N/A"/>
    <s v="OUTBOUND_"/>
  </r>
  <r>
    <s v="2644"/>
    <m/>
    <x v="1"/>
    <s v="OUB-W0012408-437"/>
    <s v="EJ-Malang-01"/>
    <s v="Oka-0813-2707-1646"/>
    <d v="2024-08-08T00:00:00"/>
    <d v="1899-12-30T13:08:00"/>
    <s v="EJ-MALANG-01"/>
    <x v="2"/>
    <x v="36"/>
    <s v="GCI1004"/>
    <s v="Pcs"/>
    <n v="50"/>
    <s v="MF51-04"/>
    <x v="60"/>
    <m/>
    <m/>
    <m/>
    <s v="Nur Hidayat"/>
    <n v="0"/>
    <s v="3515141305930006"/>
    <s v="S 9102 AE"/>
    <m/>
    <m/>
    <s v="HUBFEEDER TIRTASANI TO GIRIMOYO"/>
    <e v="#N/A"/>
    <e v="#N/A"/>
    <s v="OUTBOUND_"/>
  </r>
  <r>
    <s v="2645"/>
    <m/>
    <x v="0"/>
    <s v="INB-W0012408-440"/>
    <s v="EJ-Malang-01"/>
    <s v="Oka-0813-2707-1646"/>
    <d v="2024-08-10T00:00:00"/>
    <d v="1900-01-14T07:00:00"/>
    <s v="GCI Procurement"/>
    <x v="2"/>
    <x v="36"/>
    <s v="GCI1004"/>
    <s v="Pcs"/>
    <n v="35"/>
    <s v="RTN"/>
    <x v="156"/>
    <n v="0"/>
    <n v="0"/>
    <m/>
    <m/>
    <m/>
    <m/>
    <m/>
    <m/>
    <m/>
    <s v="Pengembalian"/>
    <e v="#N/A"/>
    <e v="#N/A"/>
    <s v="OUTBOUND_"/>
  </r>
  <r>
    <s v="2646"/>
    <m/>
    <x v="1"/>
    <s v="OUB-W0012408-442"/>
    <s v="EJ-Malang-01"/>
    <s v="Oka-0813-2707-1646"/>
    <d v="2024-08-14T00:00:00"/>
    <d v="1899-12-30T10:00:00"/>
    <s v="EJ-MALANG-01"/>
    <x v="2"/>
    <x v="36"/>
    <s v="GCI1004"/>
    <s v="Pcs"/>
    <n v="50"/>
    <s v="MF51-04"/>
    <x v="60"/>
    <m/>
    <m/>
    <m/>
    <s v="Riki Romansyah"/>
    <s v="Febby Supplier"/>
    <s v="3507050501950006"/>
    <s v="N 8420 EL"/>
    <m/>
    <m/>
    <s v="HUBFEEDER TIRTASANI TO GIRIMOYO"/>
    <e v="#N/A"/>
    <e v="#N/A"/>
    <s v="OUTBOUND_"/>
  </r>
  <r>
    <s v="2647"/>
    <m/>
    <x v="1"/>
    <s v="OUB-W0012408-448"/>
    <s v="EJ-Malang-01"/>
    <s v="Oka-0813-2707-1646"/>
    <d v="2024-08-20T00:00:00"/>
    <d v="1899-12-30T16:54:00"/>
    <s v="EJ-MALANG-01"/>
    <x v="2"/>
    <x v="36"/>
    <s v="GCI1004"/>
    <s v="Pcs"/>
    <n v="15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2648"/>
    <m/>
    <x v="1"/>
    <s v="OUB-W0012408-455"/>
    <s v="EJ-Malang-01"/>
    <s v="Oka-0813-2707-1646"/>
    <d v="2024-08-23T00:00:00"/>
    <d v="1899-12-30T11:13:00"/>
    <s v="EJ-MALANG-01"/>
    <x v="2"/>
    <x v="36"/>
    <s v="GCI1004"/>
    <s v="Pcs"/>
    <n v="50"/>
    <s v="CLR51-09-009"/>
    <x v="62"/>
    <m/>
    <m/>
    <m/>
    <s v="Riki Romansyah"/>
    <s v="Febby Supplier"/>
    <s v="3507050501950006"/>
    <s v="N 8420 EL"/>
    <m/>
    <m/>
    <s v="Dilem RW 03 Kepanjen"/>
    <e v="#N/A"/>
    <e v="#N/A"/>
    <s v="OUTBOUND_"/>
  </r>
  <r>
    <s v="2649"/>
    <m/>
    <x v="1"/>
    <s v="OUB-W0012408-462"/>
    <s v="EJ-Malang-01"/>
    <s v="Oka-0813-2707-1646"/>
    <d v="2024-08-27T00:00:00"/>
    <d v="1899-12-30T21:22:00"/>
    <s v="EJ-MALANG-01"/>
    <x v="2"/>
    <x v="36"/>
    <s v="GCI1004"/>
    <s v="Pcs"/>
    <n v="25"/>
    <s v="MF51-05"/>
    <x v="66"/>
    <m/>
    <m/>
    <m/>
    <s v="Nur Hidayat"/>
    <n v="0"/>
    <s v="3515141305930006"/>
    <s v="S 9102 AE"/>
    <m/>
    <m/>
    <s v="HUBFEEDER DINOYO SUMBERSEKAR"/>
    <e v="#N/A"/>
    <e v="#N/A"/>
    <s v="OUTBOUND_"/>
  </r>
  <r>
    <s v="2650"/>
    <m/>
    <x v="1"/>
    <s v="OUB-W0012408-469"/>
    <s v="EJ-Malang-01"/>
    <s v="Oka-0813-2707-1646"/>
    <d v="2024-08-29T00:00:00"/>
    <d v="1899-12-30T08:19:00"/>
    <s v="EJ-MALANG-01"/>
    <x v="2"/>
    <x v="36"/>
    <s v="GCI1004"/>
    <s v="Pcs"/>
    <n v="50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2651"/>
    <m/>
    <x v="3"/>
    <s v="TFI-W0012408-472"/>
    <s v="EJ-Malang-01"/>
    <s v="Oka-0813-2707-1646"/>
    <d v="2024-08-30T00:00:00"/>
    <d v="1900-01-14T07:00:00"/>
    <s v="EJ-GRESIK-01"/>
    <x v="2"/>
    <x v="36"/>
    <s v="GCI1004"/>
    <s v="Pcs"/>
    <n v="50"/>
    <s v="TRF"/>
    <x v="93"/>
    <s v="dr gresi"/>
    <n v="0"/>
    <m/>
    <m/>
    <m/>
    <m/>
    <m/>
    <m/>
    <m/>
    <s v="GRESIK"/>
    <e v="#N/A"/>
    <e v="#N/A"/>
    <s v="OUTBOUND_"/>
  </r>
  <r>
    <s v="2652"/>
    <m/>
    <x v="1"/>
    <s v="OUB-W0012409-480"/>
    <s v="EJ-Malang-01"/>
    <s v="Oka-0813-2707-1646"/>
    <d v="2024-09-02T00:00:00"/>
    <d v="1899-12-30T07:53:00"/>
    <s v="EJ-MALANG-01"/>
    <x v="2"/>
    <x v="36"/>
    <s v="GCI1004"/>
    <s v="Pcs"/>
    <n v="50"/>
    <s v="CLR51-03-010"/>
    <x v="61"/>
    <m/>
    <m/>
    <m/>
    <s v="Nur Hidayat"/>
    <n v="0"/>
    <s v="3515141305930006"/>
    <s v="S 9102 AE"/>
    <m/>
    <m/>
    <s v="Dusun Krajan Sumbersekar"/>
    <e v="#N/A"/>
    <e v="#N/A"/>
    <s v="OUTBOUND_"/>
  </r>
  <r>
    <s v="2653"/>
    <m/>
    <x v="0"/>
    <s v="INB-W0012409-494"/>
    <s v="EJ-Malang-01"/>
    <s v="Oka-0813-2707-1646"/>
    <d v="2024-09-06T00:00:00"/>
    <d v="1900-01-14T07:00:00"/>
    <s v="GCI Procurement"/>
    <x v="2"/>
    <x v="36"/>
    <s v="GCI1004"/>
    <s v="Pcs"/>
    <n v="198"/>
    <n v="0"/>
    <x v="5"/>
    <n v="0"/>
    <n v="0"/>
    <m/>
    <m/>
    <m/>
    <m/>
    <m/>
    <m/>
    <m/>
    <n v="0"/>
    <e v="#N/A"/>
    <e v="#N/A"/>
    <s v="OUTBOUND_"/>
  </r>
  <r>
    <s v="2654"/>
    <m/>
    <x v="1"/>
    <s v="OUB-W0012409-493"/>
    <s v="EJ-Malang-01"/>
    <s v="Oka-0813-2707-1646"/>
    <d v="2024-09-06T00:00:00"/>
    <d v="1899-12-30T19:13:00"/>
    <s v="EJ-MALANG-01"/>
    <x v="2"/>
    <x v="36"/>
    <s v="GCI1004"/>
    <s v="Pcs"/>
    <n v="10"/>
    <s v="CLR51-99-118"/>
    <x v="68"/>
    <m/>
    <m/>
    <m/>
    <s v="Nur Hidayat"/>
    <n v="0"/>
    <s v="3515141305930006"/>
    <s v="S 9102 AE"/>
    <m/>
    <m/>
    <s v="NGENEP UTARA RW 03 MALANG"/>
    <e v="#N/A"/>
    <e v="#N/A"/>
    <s v="OUTBOUND_"/>
  </r>
  <r>
    <s v="2655"/>
    <m/>
    <x v="1"/>
    <s v="OUB-W0012409-497"/>
    <s v="EJ-Malang-01"/>
    <s v="Oka-0813-2707-1646"/>
    <d v="2024-09-07T00:00:00"/>
    <d v="1899-12-30T17:42:00"/>
    <s v="EJ-MALANG-01"/>
    <x v="2"/>
    <x v="36"/>
    <s v="GCI1004"/>
    <s v="Pcs"/>
    <n v="50"/>
    <s v="CLR51-99-115"/>
    <x v="65"/>
    <m/>
    <m/>
    <m/>
    <s v="Riki Romansyah"/>
    <n v="0"/>
    <s v="3507050501950006"/>
    <s v="N 8420 EL"/>
    <m/>
    <m/>
    <s v="SENGGURUH RW 01 MALANG"/>
    <e v="#N/A"/>
    <e v="#N/A"/>
    <s v="OUTBOUND_"/>
  </r>
  <r>
    <s v="2656"/>
    <m/>
    <x v="1"/>
    <s v="OUB-W0012409-499"/>
    <s v="EJ-Malang-01"/>
    <s v="Oka-0813-2707-1646"/>
    <d v="2024-09-10T00:00:00"/>
    <d v="1899-12-30T08:47:00"/>
    <s v="EJ-MALANG-01"/>
    <x v="2"/>
    <x v="36"/>
    <s v="GCI1004"/>
    <s v="Pcs"/>
    <n v="136"/>
    <s v="MF51-05"/>
    <x v="66"/>
    <m/>
    <m/>
    <m/>
    <s v="Nur Hidayat"/>
    <n v="0"/>
    <s v="3515141305930006"/>
    <s v="S 9102 AE"/>
    <m/>
    <m/>
    <s v="HUBFEEDER DINOYO SUMBERSEKAR"/>
    <e v="#N/A"/>
    <e v="#N/A"/>
    <s v="OUTBOUND_"/>
  </r>
  <r>
    <s v="2657"/>
    <m/>
    <x v="0"/>
    <s v="INB-W0012409-504"/>
    <s v="EJ-Malang-01"/>
    <s v="Oka-0813-2707-1646"/>
    <d v="2024-09-19T00:00:00"/>
    <d v="1900-01-14T07:00:00"/>
    <s v="FIELD TEAM"/>
    <x v="2"/>
    <x v="36"/>
    <s v="GCI1004"/>
    <s v="Pcs"/>
    <n v="38"/>
    <s v="RTN"/>
    <x v="157"/>
    <n v="0"/>
    <n v="0"/>
    <m/>
    <m/>
    <m/>
    <m/>
    <m/>
    <m/>
    <m/>
    <s v="MF Sumbersekar"/>
    <e v="#N/A"/>
    <e v="#N/A"/>
    <s v="OUTBOUND_"/>
  </r>
  <r>
    <s v="2658"/>
    <m/>
    <x v="3"/>
    <s v="TFI-W0012409-504"/>
    <s v="EJ-Malang-01"/>
    <s v="Oka-0813-2707-1646"/>
    <d v="2024-09-19T00:00:00"/>
    <d v="1900-01-14T07:00:00"/>
    <s v="EJ-BLITAR-01"/>
    <x v="2"/>
    <x v="36"/>
    <s v="GCI1004"/>
    <s v="Pcs"/>
    <n v="32"/>
    <s v="TRF"/>
    <x v="158"/>
    <n v="0"/>
    <n v="0"/>
    <m/>
    <m/>
    <m/>
    <m/>
    <m/>
    <m/>
    <m/>
    <s v="Blitar"/>
    <e v="#N/A"/>
    <e v="#N/A"/>
    <s v="OUTBOUND_"/>
  </r>
  <r>
    <s v="2659"/>
    <m/>
    <x v="1"/>
    <s v="OUB-W0012409-508"/>
    <s v="EJ-Malang-01"/>
    <s v="Oka-0813-2707-1646"/>
    <d v="2024-09-21T00:00:00"/>
    <d v="1899-12-30T17:10:00"/>
    <s v="EJ-MALANG-01"/>
    <x v="2"/>
    <x v="36"/>
    <s v="GCI1004"/>
    <s v="Pcs"/>
    <n v="30"/>
    <s v="MF51-05"/>
    <x v="66"/>
    <m/>
    <m/>
    <m/>
    <s v="Dimas"/>
    <s v="Febby Supplier"/>
    <s v="3573032509800005"/>
    <s v="N 9454 BA"/>
    <m/>
    <m/>
    <s v="HUBFEEDER DINOYO SUMBERSEKAR"/>
    <e v="#N/A"/>
    <e v="#N/A"/>
    <s v="OUTBOUND_"/>
  </r>
  <r>
    <s v="2660"/>
    <m/>
    <x v="0"/>
    <s v="INB-W0012409-516"/>
    <s v="EJ-Malang-01"/>
    <s v="Oka-0813-2707-1646"/>
    <d v="2024-09-26T00:00:00"/>
    <d v="1900-01-14T07:00:00"/>
    <s v="FIELD TEAM"/>
    <x v="2"/>
    <x v="36"/>
    <s v="GCI1004"/>
    <s v="Pcs"/>
    <n v="19"/>
    <s v="RTN"/>
    <x v="163"/>
    <n v="0"/>
    <n v="0"/>
    <m/>
    <m/>
    <m/>
    <m/>
    <m/>
    <m/>
    <m/>
    <s v="Sengguruh"/>
    <e v="#N/A"/>
    <e v="#N/A"/>
    <s v="OUTBOUND_"/>
  </r>
  <r>
    <s v="2661"/>
    <m/>
    <x v="1"/>
    <s v="OUB-W0012409-512"/>
    <s v="EJ-Malang-01"/>
    <s v="Oka-0813-2707-1646"/>
    <d v="2024-09-26T00:00:00"/>
    <d v="1899-12-30T15:23:00"/>
    <s v="EJ-MALANG-01"/>
    <x v="2"/>
    <x v="36"/>
    <s v="GCI1004"/>
    <s v="Pcs"/>
    <n v="32"/>
    <s v="CLR51-03-006"/>
    <x v="72"/>
    <m/>
    <m/>
    <m/>
    <s v="Fatkur"/>
    <n v="0"/>
    <s v="1812010507910004"/>
    <s v="AE 8322  NH"/>
    <m/>
    <m/>
    <s v="Dusun Mojosari Ngenep"/>
    <e v="#N/A"/>
    <e v="#N/A"/>
    <s v="OUTBOUND_"/>
  </r>
  <r>
    <s v="2662"/>
    <m/>
    <x v="0"/>
    <s v="INB-W0012410-523"/>
    <s v="EJ-Malang-01"/>
    <s v="Oka-0813-2707-1646"/>
    <d v="2024-10-01T00:00:00"/>
    <d v="1900-01-14T07:00:00"/>
    <s v="FIELD TEAM"/>
    <x v="2"/>
    <x v="36"/>
    <s v="GCI1004"/>
    <s v="Pcs"/>
    <n v="53"/>
    <s v="RTN"/>
    <x v="159"/>
    <n v="0"/>
    <n v="0"/>
    <m/>
    <m/>
    <m/>
    <m/>
    <m/>
    <m/>
    <m/>
    <s v="Mojosari Ngenep"/>
    <e v="#N/A"/>
    <e v="#N/A"/>
    <s v="OUTBOUND_"/>
  </r>
  <r>
    <s v="2663"/>
    <m/>
    <x v="1"/>
    <s v="OUB-W0012410-526"/>
    <s v="EJ-Malang-01"/>
    <s v="Oka-0813-2707-1646"/>
    <d v="2024-10-10T00:00:00"/>
    <d v="1899-12-30T13:33:00"/>
    <s v="EJ-MALANG-01"/>
    <x v="2"/>
    <x v="36"/>
    <s v="GCI1004"/>
    <s v="Pcs"/>
    <n v="50"/>
    <s v="CLR51-99-086"/>
    <x v="47"/>
    <m/>
    <m/>
    <m/>
    <s v="Nur Hidayat"/>
    <n v="0"/>
    <s v="3515141305930006"/>
    <s v="S 9102 AE"/>
    <m/>
    <m/>
    <s v="Klampok RW 01 Singosari"/>
    <e v="#N/A"/>
    <e v="#N/A"/>
    <s v="OUTBOUND_"/>
  </r>
  <r>
    <s v="2664"/>
    <m/>
    <x v="0"/>
    <s v="INB-W0012410-528"/>
    <s v="EJ-Malang-01"/>
    <s v="Oka-0813-2707-1646"/>
    <d v="2024-10-18T00:00:00"/>
    <d v="1900-01-14T07:00:00"/>
    <s v="GCI Procurement"/>
    <x v="2"/>
    <x v="36"/>
    <s v="GCI1004"/>
    <s v="Pcs"/>
    <n v="68"/>
    <n v="0"/>
    <x v="5"/>
    <n v="0"/>
    <n v="0"/>
    <m/>
    <m/>
    <m/>
    <m/>
    <m/>
    <m/>
    <m/>
    <n v="0"/>
    <e v="#N/A"/>
    <e v="#N/A"/>
    <s v="OUTBOUND_"/>
  </r>
  <r>
    <s v="2665"/>
    <m/>
    <x v="1"/>
    <s v="OUB-W0012410-527"/>
    <s v="EJ-Malang-01"/>
    <s v="Oka-0813-2707-1646"/>
    <d v="2024-10-18T00:00:00"/>
    <d v="1899-12-30T09:10:00"/>
    <s v="EJ-MALANG-01"/>
    <x v="2"/>
    <x v="36"/>
    <s v="GCI1004"/>
    <s v="Pcs"/>
    <n v="50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2666"/>
    <m/>
    <x v="1"/>
    <s v="OUB-W0012410-532"/>
    <s v="EJ-Malang-01"/>
    <s v="Oka-0813-2707-1646"/>
    <d v="2024-10-25T00:00:00"/>
    <d v="1899-12-30T19:09:00"/>
    <s v="EJ-MALANG-01"/>
    <x v="2"/>
    <x v="36"/>
    <s v="GCI1004"/>
    <s v="Pcs"/>
    <n v="30"/>
    <s v="MF51-07"/>
    <x v="75"/>
    <m/>
    <m/>
    <m/>
    <s v="Sulistiono"/>
    <n v="0"/>
    <s v="3575032104720001"/>
    <s v="N 9586 WC"/>
    <m/>
    <m/>
    <s v="HUBFEEDER KLAMPOK"/>
    <e v="#N/A"/>
    <e v="#N/A"/>
    <s v="OUTBOUND_"/>
  </r>
  <r>
    <s v="2667"/>
    <m/>
    <x v="0"/>
    <s v="INB-W0012410-542"/>
    <s v="EJ-Malang-01"/>
    <s v="Oka-0813-2707-1646"/>
    <d v="2024-10-30T00:00:00"/>
    <d v="1900-01-14T07:00:00"/>
    <s v="GCI Procurement"/>
    <x v="2"/>
    <x v="36"/>
    <s v="GCI1004"/>
    <s v="Pcs"/>
    <n v="17"/>
    <n v="0"/>
    <x v="5"/>
    <n v="0"/>
    <n v="0"/>
    <m/>
    <m/>
    <m/>
    <m/>
    <m/>
    <m/>
    <m/>
    <n v="0"/>
    <e v="#N/A"/>
    <e v="#N/A"/>
    <s v="OUTBOUND_"/>
  </r>
  <r>
    <s v="2668"/>
    <m/>
    <x v="0"/>
    <s v="INB-W0012410-542"/>
    <s v="EJ-Malang-01"/>
    <s v="Oka-0813-2707-1646"/>
    <d v="2024-10-30T00:00:00"/>
    <d v="1900-01-14T07:00:00"/>
    <s v="GCI Procurement"/>
    <x v="2"/>
    <x v="36"/>
    <s v="GCI1004"/>
    <s v="Pcs"/>
    <n v="75"/>
    <n v="0"/>
    <x v="5"/>
    <n v="0"/>
    <n v="0"/>
    <m/>
    <m/>
    <m/>
    <m/>
    <m/>
    <m/>
    <m/>
    <n v="0"/>
    <e v="#N/A"/>
    <e v="#N/A"/>
    <s v="OUTBOUND_"/>
  </r>
  <r>
    <s v="2669"/>
    <m/>
    <x v="1"/>
    <s v="OUB-W0012410-540"/>
    <s v="EJ-Malang-01"/>
    <s v="Oka-0813-2707-1646"/>
    <d v="2024-10-30T00:00:00"/>
    <d v="1899-12-30T23:25:00"/>
    <s v="EJ-MALANG-01"/>
    <x v="2"/>
    <x v="36"/>
    <s v="GCI1004"/>
    <s v="Pcs"/>
    <n v="10"/>
    <s v="CLR51-09-001"/>
    <x v="142"/>
    <m/>
    <m/>
    <m/>
    <s v="Riki Romansyah"/>
    <n v="0"/>
    <s v="3507050501950006"/>
    <s v="N 8420 EL"/>
    <m/>
    <m/>
    <s v="Pakisaji RW 01 Malang"/>
    <e v="#N/A"/>
    <e v="#N/A"/>
    <s v="OUTBOUND_"/>
  </r>
  <r>
    <s v="2670"/>
    <m/>
    <x v="1"/>
    <s v="OUB-W0012410-541"/>
    <s v="EJ-Malang-01"/>
    <s v="Oka-0813-2707-1646"/>
    <d v="2024-10-30T00:00:00"/>
    <d v="1899-12-30T23:25:00"/>
    <s v="EJ-MALANG-01"/>
    <x v="2"/>
    <x v="36"/>
    <s v="GCI1004"/>
    <s v="Pcs"/>
    <n v="66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2671"/>
    <m/>
    <x v="0"/>
    <s v="INB-W0012410-544"/>
    <s v="EJ-Malang-01"/>
    <s v="Oka-0813-2707-1646"/>
    <d v="2024-10-31T00:00:00"/>
    <d v="1900-01-14T07:00:00"/>
    <s v="FIELD TEAM"/>
    <x v="2"/>
    <x v="36"/>
    <s v="GCI1004"/>
    <s v="Pcs"/>
    <n v="34"/>
    <s v="RTN"/>
    <x v="175"/>
    <n v="0"/>
    <n v="0"/>
    <m/>
    <m/>
    <m/>
    <m/>
    <m/>
    <m/>
    <m/>
    <s v="MF Singosari"/>
    <e v="#N/A"/>
    <e v="#N/A"/>
    <s v="OUTBOUND_"/>
  </r>
  <r>
    <s v="2672"/>
    <m/>
    <x v="1"/>
    <s v="OUB-W0012411-547"/>
    <s v="EJ-Malang-01"/>
    <s v="Oka-0813-2707-1646"/>
    <d v="2024-11-06T00:00:00"/>
    <d v="1899-12-30T08:25:00"/>
    <s v="EJ-MALANG-01"/>
    <x v="2"/>
    <x v="36"/>
    <s v="GCI1004"/>
    <s v="Pcs"/>
    <n v="4"/>
    <s v="CLR51-99-095"/>
    <x v="16"/>
    <m/>
    <m/>
    <m/>
    <s v="Riki Romansyah"/>
    <n v="0"/>
    <s v="3507050501950006"/>
    <s v="N 8420 EL"/>
    <m/>
    <m/>
    <s v="Candirenggo RW 10 Singosari"/>
    <e v="#N/A"/>
    <e v="#N/A"/>
    <s v="OUTBOUND_"/>
  </r>
  <r>
    <s v="2673"/>
    <m/>
    <x v="1"/>
    <s v="OUB-W0012411-553"/>
    <s v="EJ-Malang-01"/>
    <s v="Oka-0813-2707-1646"/>
    <d v="2024-11-20T00:00:00"/>
    <d v="1899-12-30T13:25:00"/>
    <s v="EJ-MALANG-01"/>
    <x v="2"/>
    <x v="36"/>
    <s v="GCI1004"/>
    <s v="Pcs"/>
    <n v="10"/>
    <s v="CLR51-01-009"/>
    <x v="79"/>
    <m/>
    <m/>
    <m/>
    <s v="Riki Romansyah"/>
    <n v="0"/>
    <s v="3507050501950006"/>
    <s v="N 8420 EL"/>
    <m/>
    <m/>
    <s v="Kalirejo RW 13 Lawang Malang"/>
    <e v="#N/A"/>
    <e v="#N/A"/>
    <s v="OUTBOUND_"/>
  </r>
  <r>
    <s v="2674"/>
    <m/>
    <x v="1"/>
    <s v="OUB-W0012411-556"/>
    <s v="EJ-Malang-01"/>
    <s v="Oka-0813-2707-1646"/>
    <d v="2024-11-21T00:00:00"/>
    <d v="1899-12-30T10:35:00"/>
    <s v="EJ-MALANG-01"/>
    <x v="2"/>
    <x v="36"/>
    <s v="GCI1004"/>
    <s v="Pcs"/>
    <n v="7"/>
    <s v="CLR51-99-049"/>
    <x v="80"/>
    <m/>
    <m/>
    <m/>
    <s v="Alexander puji krismanto"/>
    <n v="0"/>
    <s v="1812022707900006"/>
    <s v="AG 8030 KG"/>
    <m/>
    <m/>
    <s v="Perumahan Panca Garden"/>
    <e v="#N/A"/>
    <e v="#N/A"/>
    <s v="OUTBOUND_"/>
  </r>
  <r>
    <s v="2675"/>
    <m/>
    <x v="1"/>
    <s v="OUB-W0012411-559"/>
    <s v="EJ-Malang-01"/>
    <s v="Oka-0813-2707-1646"/>
    <d v="2024-11-22T00:00:00"/>
    <d v="1899-12-30T18:18:00"/>
    <s v="EJ-MALANG-01"/>
    <x v="2"/>
    <x v="36"/>
    <s v="GCI1004"/>
    <s v="Pcs"/>
    <n v="18"/>
    <s v="CLR51-99-124"/>
    <x v="17"/>
    <m/>
    <m/>
    <m/>
    <s v="Riki Romansyah"/>
    <n v="0"/>
    <s v="3507050501950006"/>
    <s v="N 8420 EL"/>
    <m/>
    <m/>
    <s v="Perumahan Bukit Lawang Indah Malang"/>
    <e v="#N/A"/>
    <e v="#N/A"/>
    <s v="OUTBOUND_"/>
  </r>
  <r>
    <s v="2676"/>
    <m/>
    <x v="0"/>
    <s v="INB-W0012411-570"/>
    <s v="EJ-Malang-01"/>
    <s v="Oka-0813-2707-1646"/>
    <d v="2024-11-30T00:00:00"/>
    <d v="1900-01-14T07:00:00"/>
    <s v="GCI Procurement"/>
    <x v="2"/>
    <x v="36"/>
    <s v="GCI1004"/>
    <s v="Pcs"/>
    <n v="101"/>
    <n v="0"/>
    <x v="5"/>
    <n v="0"/>
    <n v="0"/>
    <m/>
    <m/>
    <m/>
    <m/>
    <m/>
    <m/>
    <m/>
    <n v="0"/>
    <e v="#N/A"/>
    <e v="#N/A"/>
    <s v="OUTBOUND_"/>
  </r>
  <r>
    <s v="2677"/>
    <m/>
    <x v="1"/>
    <s v="OUB-W0012412-571"/>
    <s v="EJ-Malang-01"/>
    <s v="Oka-0813-2707-1646"/>
    <d v="2024-12-01T00:00:00"/>
    <d v="1899-12-30T09:30:00"/>
    <s v="EJ-MALANG-01"/>
    <x v="2"/>
    <x v="36"/>
    <s v="GCI1004"/>
    <s v="Pcs"/>
    <n v="55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2678"/>
    <m/>
    <x v="3"/>
    <s v="TFI-W0012412-572"/>
    <s v="EJ-Malang-01"/>
    <s v="Oka-0813-2707-1646"/>
    <d v="2024-12-08T00:00:00"/>
    <d v="1900-01-14T07:00:00"/>
    <s v="EJ-MADIUN-01"/>
    <x v="2"/>
    <x v="36"/>
    <s v="GCI1004"/>
    <s v="Pcs"/>
    <n v="100"/>
    <s v="TRF"/>
    <x v="160"/>
    <n v="0"/>
    <n v="0"/>
    <m/>
    <m/>
    <m/>
    <m/>
    <m/>
    <m/>
    <m/>
    <s v="MADIUN"/>
    <e v="#N/A"/>
    <e v="#N/A"/>
    <s v="OUTBOUND_"/>
  </r>
  <r>
    <s v="2679"/>
    <m/>
    <x v="1"/>
    <s v="OUB-W0012412-573"/>
    <s v="EJ-Malang-01"/>
    <s v="Oka-0813-2707-1646"/>
    <d v="2024-12-09T00:00:00"/>
    <d v="1899-12-30T16:32:00"/>
    <s v="EJ-MALANG-01"/>
    <x v="2"/>
    <x v="36"/>
    <s v="GCI1004"/>
    <s v="Pcs"/>
    <n v="50"/>
    <s v="CLR51-09-010"/>
    <x v="81"/>
    <m/>
    <m/>
    <m/>
    <s v="Riki Romansyah"/>
    <n v="0"/>
    <s v="3507050501950006"/>
    <s v="N 8420 EL"/>
    <m/>
    <m/>
    <s v="Bedali RW 03 Kromengan"/>
    <e v="#N/A"/>
    <e v="#N/A"/>
    <s v="OUTBOUND_"/>
  </r>
  <r>
    <s v="2680"/>
    <m/>
    <x v="1"/>
    <s v="OUB-W0012412-575"/>
    <s v="EJ-Malang-01"/>
    <s v="Oka-0813-2707-1646"/>
    <d v="2024-12-14T00:00:00"/>
    <d v="1899-12-30T11:39:00"/>
    <s v="EJ-MALANG-01"/>
    <x v="2"/>
    <x v="36"/>
    <s v="GCI1004"/>
    <s v="Pcs"/>
    <n v="50"/>
    <s v="CLR51-09-007"/>
    <x v="143"/>
    <m/>
    <m/>
    <m/>
    <s v="Riki Romansyah"/>
    <n v="0"/>
    <s v="3507050501950006"/>
    <s v="N 8420 EL"/>
    <m/>
    <m/>
    <s v="PERMANU RW 01 MALANG"/>
    <e v="#N/A"/>
    <e v="#N/A"/>
    <s v="OUTBOUND_"/>
  </r>
  <r>
    <s v="2681"/>
    <m/>
    <x v="0"/>
    <s v="INB-W0012412-593"/>
    <s v="EJ-Malang-01"/>
    <s v="Oka-0813-2707-1646"/>
    <d v="2024-12-30T00:00:00"/>
    <d v="1900-01-14T07:00:00"/>
    <s v="GCI Procurement"/>
    <x v="2"/>
    <x v="36"/>
    <s v="GCI1004"/>
    <s v="Pcs"/>
    <n v="156"/>
    <n v="0"/>
    <x v="5"/>
    <n v="0"/>
    <n v="0"/>
    <m/>
    <m/>
    <m/>
    <m/>
    <m/>
    <m/>
    <m/>
    <n v="0"/>
    <e v="#N/A"/>
    <e v="#N/A"/>
    <s v="OUTBOUND_"/>
  </r>
  <r>
    <s v="2682"/>
    <m/>
    <x v="1"/>
    <s v="OUB-W0012412-591"/>
    <s v="EJ-Malang-01"/>
    <s v="Oka-0813-2707-1646"/>
    <d v="2024-12-30T00:00:00"/>
    <d v="1899-12-30T09:45:00"/>
    <s v="EJ-MALANG-01"/>
    <x v="2"/>
    <x v="36"/>
    <s v="GCI1004"/>
    <s v="Pcs"/>
    <n v="50"/>
    <s v="CLR51-09-013"/>
    <x v="144"/>
    <m/>
    <m/>
    <m/>
    <s v="Riki Romansyah"/>
    <n v="0"/>
    <s v="3507050501950006"/>
    <s v="N 8420 EL"/>
    <m/>
    <m/>
    <s v="Perum Chandra Kirana Watugede"/>
    <e v="#N/A"/>
    <e v="#N/A"/>
    <s v="OUTBOUND_"/>
  </r>
  <r>
    <s v="2683"/>
    <m/>
    <x v="1"/>
    <s v="OUB-W0012501-594"/>
    <s v="EJ-Malang-01"/>
    <s v="Oka-0813-2707-1646"/>
    <d v="2025-01-08T00:00:00"/>
    <d v="1899-12-30T16:39:00"/>
    <s v="EJ-MALANG-01"/>
    <x v="2"/>
    <x v="36"/>
    <s v="GCI1004"/>
    <s v="Pcs"/>
    <n v="40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2684"/>
    <m/>
    <x v="1"/>
    <s v="OUB-W0012501-598"/>
    <s v="EJ-Malang-01"/>
    <s v="Oka-0813-2707-1646"/>
    <d v="2025-01-15T00:00:00"/>
    <d v="1899-12-30T13:00:00"/>
    <s v="EJ-MALANG-01"/>
    <x v="2"/>
    <x v="36"/>
    <s v="GCI1004"/>
    <s v="Pcs"/>
    <n v="10"/>
    <s v="CLR51-99-123"/>
    <x v="77"/>
    <m/>
    <m/>
    <m/>
    <s v="Riki Romansyah"/>
    <n v="0"/>
    <s v="3507050501950006"/>
    <s v="N 8420 EL"/>
    <m/>
    <m/>
    <s v="Tambakasri RW 02 Tajinan"/>
    <e v="#N/A"/>
    <e v="#N/A"/>
    <s v="OUTBOUND_"/>
  </r>
  <r>
    <s v="2685"/>
    <m/>
    <x v="1"/>
    <s v="OUB-W0012501-600"/>
    <s v="EJ-Malang-01"/>
    <s v="Oka-0813-2707-1646"/>
    <d v="2025-01-21T00:00:00"/>
    <d v="1899-12-30T13:40:00"/>
    <s v="EJ-MALANG-01"/>
    <x v="2"/>
    <x v="36"/>
    <s v="GCI1004"/>
    <s v="Pcs"/>
    <n v="10"/>
    <s v="CLR51-03-016"/>
    <x v="145"/>
    <m/>
    <m/>
    <m/>
    <s v="Riki Romansyah"/>
    <n v="0"/>
    <s v="3507050501950006"/>
    <s v="N 8420 EL"/>
    <m/>
    <m/>
    <s v="Citra Kayane Residence"/>
    <e v="#N/A"/>
    <e v="#N/A"/>
    <s v="OUTBOUND_"/>
  </r>
  <r>
    <s v="2686"/>
    <m/>
    <x v="1"/>
    <s v="OUB-W0012502-606"/>
    <s v="EJ-Malang-01"/>
    <s v="Oka-0813-2707-1646"/>
    <d v="2025-02-15T00:00:00"/>
    <d v="1899-12-30T09:35:00"/>
    <s v="EJ-MALANG-01"/>
    <x v="2"/>
    <x v="36"/>
    <s v="GCI1004"/>
    <s v="Pcs"/>
    <n v="1"/>
    <s v="CLR51-03-010"/>
    <x v="61"/>
    <m/>
    <m/>
    <m/>
    <s v="Fatur"/>
    <n v="0"/>
    <s v="1812010507910004"/>
    <s v="L 9221 K"/>
    <m/>
    <m/>
    <s v="Dusun Krajan Sumbersekar"/>
    <e v="#N/A"/>
    <e v="#N/A"/>
    <s v="OUTBOUND_"/>
  </r>
  <r>
    <s v="2687"/>
    <m/>
    <x v="1"/>
    <s v="OUB-W0012502-607"/>
    <s v="EJ-Malang-01"/>
    <s v="Oka-0813-2707-1646"/>
    <d v="2025-02-19T00:00:00"/>
    <d v="1899-12-30T09:35:00"/>
    <s v="EJ-MALANG-01"/>
    <x v="2"/>
    <x v="36"/>
    <s v="GCI1004"/>
    <s v="Pcs"/>
    <n v="29"/>
    <s v="CLR51-08-007"/>
    <x v="89"/>
    <m/>
    <m/>
    <m/>
    <s v="Riki Romansyah"/>
    <n v="0"/>
    <s v="3507050501950006"/>
    <s v="N 8420 EL"/>
    <m/>
    <m/>
    <s v="Sitirejo RW 04 Wagir"/>
    <e v="#N/A"/>
    <e v="#N/A"/>
    <s v="OUTBOUND_"/>
  </r>
  <r>
    <s v="2688"/>
    <m/>
    <x v="1"/>
    <s v="OUB-W0012502-613"/>
    <s v="EJ-Malang-01"/>
    <s v="Oka-0813-2707-1646"/>
    <d v="2025-02-21T00:00:00"/>
    <d v="1899-12-30T09:35:00"/>
    <s v="EJ-MALANG-01"/>
    <x v="2"/>
    <x v="36"/>
    <s v="GCI1004"/>
    <s v="Pcs"/>
    <n v="8"/>
    <s v="CLR51-02-016"/>
    <x v="141"/>
    <m/>
    <m/>
    <m/>
    <s v="Fatur"/>
    <n v="0"/>
    <s v="1812010507910004"/>
    <s v="L 9221 K"/>
    <m/>
    <m/>
    <s v="Ngenep RW 06 Karang Ploso"/>
    <e v="#N/A"/>
    <e v="#N/A"/>
    <s v="OUTBOUND_"/>
  </r>
  <r>
    <s v="2689"/>
    <m/>
    <x v="1"/>
    <s v="OUB-W0012503-621"/>
    <s v="EJ-Malang-01"/>
    <s v="Oka-0813-2707-1646"/>
    <d v="2025-03-06T00:00:00"/>
    <d v="1899-12-30T15:09:00"/>
    <s v="EJ-MALANG-01"/>
    <x v="2"/>
    <x v="36"/>
    <s v="GCI1004"/>
    <s v="Pcs"/>
    <n v="15"/>
    <s v="TRF"/>
    <x v="5"/>
    <m/>
    <m/>
    <m/>
    <s v="Fatur"/>
    <n v="0"/>
    <s v="1812010507910004"/>
    <s v="L 9221 K"/>
    <s v="Ke WH Gresik"/>
    <m/>
    <n v="0"/>
    <e v="#N/A"/>
    <e v="#N/A"/>
    <s v="OUTBOUND_"/>
  </r>
  <r>
    <s v="2690"/>
    <m/>
    <x v="1"/>
    <s v="OUB-W0012503-630"/>
    <s v="EJ-Malang-01"/>
    <s v="Oka-0813-2707-1646"/>
    <d v="2025-03-21T00:00:00"/>
    <d v="1899-12-30T18:50:00"/>
    <s v="EJ-MALANG-01"/>
    <x v="2"/>
    <x v="36"/>
    <s v="GCI1004"/>
    <s v="Pcs"/>
    <n v="20"/>
    <s v="MF51-06"/>
    <x v="74"/>
    <m/>
    <m/>
    <m/>
    <s v="Sulistiono"/>
    <n v="0"/>
    <s v="3575032104720001"/>
    <s v="N 9586 WC"/>
    <m/>
    <m/>
    <s v="Mainfeeder Singosari Segment 3"/>
    <e v="#N/A"/>
    <e v="#N/A"/>
    <s v="OUTBOUND_"/>
  </r>
  <r>
    <s v="2691"/>
    <m/>
    <x v="1"/>
    <s v="OUB-W0012503-631"/>
    <s v="EJ-Malang-01"/>
    <s v="Oka-0813-2707-1646"/>
    <d v="2025-03-22T00:00:00"/>
    <d v="1899-12-30T16:09:00"/>
    <s v="EJ-MALANG-01"/>
    <x v="2"/>
    <x v="36"/>
    <s v="GCI1004"/>
    <s v="Pcs"/>
    <n v="29"/>
    <s v="CLR51-99-140"/>
    <x v="91"/>
    <m/>
    <m/>
    <m/>
    <s v="Riki Romansyah"/>
    <n v="0"/>
    <s v="3507050501950006"/>
    <s v="N 8420 EL"/>
    <m/>
    <m/>
    <s v="Temas RW 04"/>
    <e v="#N/A"/>
    <e v="#N/A"/>
    <s v="OUTBOUND_"/>
  </r>
  <r>
    <s v="2692"/>
    <m/>
    <x v="3"/>
    <s v="TFI-W0012505-642"/>
    <s v="EJ-Malang-01"/>
    <s v="Oka-0813-2707-1646"/>
    <d v="2025-05-27T00:00:00"/>
    <d v="1900-01-14T07:00:00"/>
    <s v="EJ-GRESIK-01"/>
    <x v="2"/>
    <x v="36"/>
    <s v="GCI1004"/>
    <s v="Pcs"/>
    <n v="75"/>
    <s v="TRF"/>
    <x v="93"/>
    <n v="0"/>
    <n v="0"/>
    <m/>
    <m/>
    <m/>
    <m/>
    <m/>
    <m/>
    <m/>
    <s v="GRESIK"/>
    <e v="#N/A"/>
    <e v="#N/A"/>
    <s v="OUTBOUND_"/>
  </r>
  <r>
    <s v="2693"/>
    <m/>
    <x v="1"/>
    <s v="OUB-W0012506-647"/>
    <s v="EJ-Malang-01"/>
    <s v="Oka-0813-2707-1646"/>
    <d v="2025-06-14T00:00:00"/>
    <d v="1899-12-30T12:57:00"/>
    <s v="EJ-MALANG-01"/>
    <x v="2"/>
    <x v="36"/>
    <s v="GCI1004"/>
    <s v="Pcs"/>
    <n v="75"/>
    <n v="0"/>
    <x v="161"/>
    <m/>
    <m/>
    <m/>
    <s v="Riki Romansyah"/>
    <n v="0"/>
    <s v="3507050501950006"/>
    <s v="N 8420 EL"/>
    <m/>
    <m/>
    <s v="Kebonagung RW 01"/>
    <e v="#N/A"/>
    <e v="#N/A"/>
    <s v="OUTBOUND_"/>
  </r>
  <r>
    <s v="2694"/>
    <m/>
    <x v="0"/>
    <s v="INB-W0012506-655"/>
    <s v="EJ-Malang-01"/>
    <s v="Oka-0813-2707-1646"/>
    <d v="2025-06-23T00:00:00"/>
    <d v="1900-01-14T07:00:00"/>
    <s v="GCI Procurement"/>
    <x v="2"/>
    <x v="36"/>
    <s v="GCI1004"/>
    <s v="Pcs"/>
    <n v="109"/>
    <n v="0"/>
    <x v="5"/>
    <n v="0"/>
    <n v="0"/>
    <m/>
    <m/>
    <m/>
    <m/>
    <m/>
    <m/>
    <m/>
    <n v="0"/>
    <e v="#N/A"/>
    <e v="#N/A"/>
    <s v="OUTBOUND_"/>
  </r>
  <r>
    <s v="2695"/>
    <m/>
    <x v="1"/>
    <s v="OUB-W0012506-654"/>
    <s v="EJ-Malang-01"/>
    <s v="Oka-0813-2707-1646"/>
    <d v="2025-06-23T00:00:00"/>
    <d v="1899-12-30T15:30:00"/>
    <s v="EJ-MALANG-01"/>
    <x v="2"/>
    <x v="36"/>
    <s v="GCI1004"/>
    <s v="Pcs"/>
    <n v="109"/>
    <n v="0"/>
    <x v="147"/>
    <m/>
    <m/>
    <m/>
    <s v="Fatur"/>
    <n v="0"/>
    <s v="1812010507910004"/>
    <s v="L 9221 K"/>
    <m/>
    <m/>
    <s v="Pncokusumo"/>
    <e v="#N/A"/>
    <e v="#N/A"/>
    <s v="OUTBOUND_"/>
  </r>
  <r>
    <s v="2696"/>
    <m/>
    <x v="0"/>
    <s v="INB-W0012507-667"/>
    <s v="EJ-Malang-01"/>
    <s v="Oka-0813-2707-1646"/>
    <d v="2025-07-11T00:00:00"/>
    <d v="1900-01-14T07:00:00"/>
    <s v="GCI Procurement"/>
    <x v="2"/>
    <x v="36"/>
    <s v="GCI1004"/>
    <s v="Pcs"/>
    <n v="82"/>
    <n v="0"/>
    <x v="5"/>
    <n v="0"/>
    <n v="0"/>
    <m/>
    <m/>
    <m/>
    <m/>
    <m/>
    <m/>
    <m/>
    <n v="0"/>
    <e v="#N/A"/>
    <e v="#N/A"/>
    <s v="OUTBOUND_"/>
  </r>
  <r>
    <s v="2697"/>
    <m/>
    <x v="1"/>
    <s v="OUB-W0012507-666"/>
    <s v="EJ-Malang-01"/>
    <s v="Oka-0813-2707-1646"/>
    <d v="2025-07-11T00:00:00"/>
    <d v="1899-12-30T14:36:00"/>
    <s v="EJ-MALANG-01"/>
    <x v="2"/>
    <x v="36"/>
    <s v="GCI1004"/>
    <s v="Pcs"/>
    <n v="82"/>
    <n v="0"/>
    <x v="148"/>
    <m/>
    <m/>
    <m/>
    <s v="Fahrudin"/>
    <n v="0"/>
    <n v="0"/>
    <s v="N 1383 G"/>
    <m/>
    <m/>
    <s v="Bululawang"/>
    <e v="#N/A"/>
    <e v="#N/A"/>
    <s v="OUTBOUND_"/>
  </r>
  <r>
    <s v="2698"/>
    <m/>
    <x v="0"/>
    <s v="INB-W0012507-676"/>
    <s v="EJ-Malang-01"/>
    <s v="Oka-0813-2707-1646"/>
    <d v="2025-07-30T00:00:00"/>
    <d v="1900-01-14T07:00:00"/>
    <s v="GCI Procurement"/>
    <x v="2"/>
    <x v="36"/>
    <s v="GCI1004"/>
    <s v="Pcs"/>
    <n v="180"/>
    <n v="0"/>
    <x v="5"/>
    <n v="0"/>
    <n v="0"/>
    <m/>
    <m/>
    <m/>
    <m/>
    <m/>
    <m/>
    <m/>
    <n v="0"/>
    <e v="#N/A"/>
    <e v="#N/A"/>
    <s v="OUTBOUND_"/>
  </r>
  <r>
    <s v="2699"/>
    <m/>
    <x v="1"/>
    <s v="OUB-W0012507-677"/>
    <s v="EJ-Malang-01"/>
    <s v="Oka-0813-2707-1646"/>
    <d v="2025-07-31T00:00:00"/>
    <d v="1899-12-30T11:21:00"/>
    <s v="EJ-MALANG-01"/>
    <x v="2"/>
    <x v="36"/>
    <s v="GCI1004"/>
    <s v="Pcs"/>
    <n v="180"/>
    <n v="0"/>
    <x v="162"/>
    <m/>
    <m/>
    <m/>
    <s v="Riki Romansyah"/>
    <n v="0"/>
    <s v="3507050501950006"/>
    <s v="N 8420 EL"/>
    <m/>
    <m/>
    <s v="Krebet"/>
    <e v="#N/A"/>
    <e v="#N/A"/>
    <s v="OUTBOUND_"/>
  </r>
  <r>
    <s v="2700"/>
    <m/>
    <x v="0"/>
    <s v="INB-W0012508-693"/>
    <s v="EJ-Malang-01"/>
    <s v="Oka-0813-2707-1646"/>
    <d v="2025-08-21T00:00:00"/>
    <d v="1900-01-14T07:00:00"/>
    <s v="GCI Procurement"/>
    <x v="2"/>
    <x v="36"/>
    <s v="GCI1004"/>
    <s v="Pcs"/>
    <n v="155"/>
    <n v="0"/>
    <x v="5"/>
    <n v="0"/>
    <n v="0"/>
    <m/>
    <m/>
    <m/>
    <m/>
    <m/>
    <m/>
    <m/>
    <n v="0"/>
    <e v="#N/A"/>
    <e v="#N/A"/>
    <s v="OUTBOUND_"/>
  </r>
  <r>
    <s v="2701"/>
    <m/>
    <x v="1"/>
    <s v="OUB-W0012508-694"/>
    <s v="EJ-Malang-01"/>
    <s v="Oka-0813-2707-1646"/>
    <d v="2025-08-23T00:00:00"/>
    <d v="1899-12-30T10:17:00"/>
    <s v="EJ-MALANG-01"/>
    <x v="2"/>
    <x v="36"/>
    <s v="GCI1004"/>
    <s v="Pcs"/>
    <n v="155"/>
    <n v="0"/>
    <x v="149"/>
    <m/>
    <m/>
    <m/>
    <s v="Riki Romansyah"/>
    <n v="0"/>
    <s v="3507050501950006"/>
    <s v="N 8420 EL"/>
    <m/>
    <m/>
    <s v="Bululawang Permai"/>
    <e v="#N/A"/>
    <e v="#N/A"/>
    <s v="OUTBOUND_"/>
  </r>
  <r>
    <s v="2702"/>
    <n v="3"/>
    <x v="1"/>
    <s v="OUB-W0012510-002"/>
    <s v="EJ-Malang-01"/>
    <s v="Oka-0813-2707-1646"/>
    <d v="2025-10-23T00:00:00"/>
    <d v="1899-12-30T14:35:00"/>
    <s v="EJ-MALANG-01"/>
    <x v="2"/>
    <x v="36"/>
    <s v="GCI1004"/>
    <s v="Pcs"/>
    <n v="84"/>
    <s v="CLR51-99-302"/>
    <x v="112"/>
    <m/>
    <m/>
    <m/>
    <s v="Riki Romansyah"/>
    <n v="0"/>
    <s v="3507050501950006"/>
    <s v="N 8420 EL"/>
    <m/>
    <m/>
    <s v="LESANPURO RW 06 MALANG"/>
    <e v="#N/A"/>
    <e v="#N/A"/>
    <s v="OUTBOUND_"/>
  </r>
  <r>
    <s v="2703"/>
    <n v="2"/>
    <x v="0"/>
    <s v="INB-W0012510-005"/>
    <s v="EJ-Malang-01"/>
    <s v="Oka-0813-2707-1646"/>
    <d v="2025-10-26T00:00:00"/>
    <d v="1899-12-30T08:00:00"/>
    <s v="GCI Procurement"/>
    <x v="2"/>
    <x v="36"/>
    <s v="GCI1004"/>
    <s v="Pcs"/>
    <n v="84"/>
    <s v="ADJUSTMENT"/>
    <x v="18"/>
    <m/>
    <m/>
    <m/>
    <m/>
    <m/>
    <m/>
    <m/>
    <s v="ADJUSTMENT"/>
    <m/>
    <s v="ADJUSTMENT"/>
    <e v="#N/A"/>
    <e v="#N/A"/>
    <s v="OUTBOUND_"/>
  </r>
  <r>
    <s v="2704"/>
    <n v="4"/>
    <x v="0"/>
    <s v="INB-W0012511-004"/>
    <s v="EJ-Malang-01"/>
    <s v="Oka-0813-2707-1646"/>
    <d v="2025-11-26T00:00:00"/>
    <d v="1899-12-30T16:01:00"/>
    <s v="GCI Procurement"/>
    <x v="2"/>
    <x v="36"/>
    <s v="GCI1004"/>
    <s v="Pcs"/>
    <n v="97"/>
    <s v="-"/>
    <x v="3"/>
    <s v="-"/>
    <s v="-"/>
    <m/>
    <m/>
    <m/>
    <m/>
    <m/>
    <m/>
    <m/>
    <n v="0"/>
    <e v="#N/A"/>
    <e v="#N/A"/>
    <s v="OUTBOUND_"/>
  </r>
  <r>
    <s v="2705"/>
    <n v="5"/>
    <x v="1"/>
    <s v="OUB-W0012512-005"/>
    <s v="EJ-Malang-01"/>
    <s v="Oka-0813-2707-1646"/>
    <d v="2025-12-15T00:00:00"/>
    <d v="1899-12-30T08:50:00"/>
    <s v="EJ-MALANG-01"/>
    <x v="2"/>
    <x v="36"/>
    <s v="GCI1004"/>
    <s v="Pcs"/>
    <n v="97"/>
    <s v="-"/>
    <x v="3"/>
    <s v="-"/>
    <s v="-"/>
    <m/>
    <s v="Riki Romansyah"/>
    <s v="Suliadi"/>
    <s v="3507050501950006"/>
    <s v="N 8420 EL"/>
    <m/>
    <m/>
    <n v="0"/>
    <e v="#N/A"/>
    <e v="#N/A"/>
    <s v="OUTBOUND_"/>
  </r>
  <r>
    <s v="2706"/>
    <n v="4"/>
    <x v="0"/>
    <s v="INB-W0012512-019"/>
    <s v="EJ-Malang-01"/>
    <s v="Oka-0813-2707-1646"/>
    <d v="2025-12-23T00:00:00"/>
    <d v="1899-12-30T08:00:00"/>
    <s v="GCI Procurement"/>
    <x v="2"/>
    <x v="36"/>
    <s v="GCI1004"/>
    <s v="Pcs"/>
    <n v="430"/>
    <m/>
    <x v="3"/>
    <m/>
    <m/>
    <m/>
    <m/>
    <m/>
    <m/>
    <m/>
    <m/>
    <m/>
    <n v="0"/>
    <e v="#N/A"/>
    <e v="#N/A"/>
    <s v="OUTBOUND_"/>
  </r>
  <r>
    <s v="2707"/>
    <n v="7"/>
    <x v="1"/>
    <s v="OUB-W0012512-024"/>
    <s v="EJ-Malang-01"/>
    <s v="Oka-0813-2707-1646"/>
    <d v="2025-12-25T00:00:00"/>
    <d v="1899-12-30T12:13:00"/>
    <s v="EJ-MALANG-01"/>
    <x v="2"/>
    <x v="36"/>
    <s v="GCI1004"/>
    <s v="Pcs"/>
    <n v="430"/>
    <m/>
    <x v="3"/>
    <m/>
    <m/>
    <m/>
    <s v="Riki Romansyah"/>
    <s v="Suliadi"/>
    <s v="3507050501950006"/>
    <s v="N 8420 EL"/>
    <m/>
    <m/>
    <n v="0"/>
    <e v="#N/A"/>
    <e v="#N/A"/>
    <s v="OUTBOUND_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47">
  <r>
    <s v="001"/>
    <n v="1"/>
    <x v="0"/>
    <s v="INB-W0012308-1"/>
    <s v="EJ-Malang-01"/>
    <s v="Oka-0813-2707-1646"/>
    <x v="0"/>
    <d v="1900-01-14T07:00:00"/>
    <s v="ZTE Warehouse"/>
    <x v="0"/>
    <x v="0"/>
    <s v="ZTE2001"/>
    <s v="Meter"/>
    <n v="3000"/>
    <s v="CLR51-99-004"/>
    <x v="0"/>
    <s v="DOEID23080182"/>
    <s v="DNWID0342023080312"/>
    <m/>
    <m/>
    <m/>
    <m/>
    <m/>
    <m/>
    <x v="0"/>
    <s v="Perumahan Bumi Podo Rukun Dau"/>
    <d v="2023-08-04T00:00:00"/>
    <b v="1"/>
    <s v="OUTBOUND_H-ADSS 24C-202384-01"/>
  </r>
  <r>
    <s v="002"/>
    <n v="2"/>
    <x v="0"/>
    <s v="INB-W0012308-1"/>
    <s v="EJ-Malang-01"/>
    <s v="Oka-0813-2707-1646"/>
    <x v="0"/>
    <d v="1900-01-14T07:00:00"/>
    <s v="ZTE Warehouse"/>
    <x v="0"/>
    <x v="1"/>
    <s v="ZTE2003"/>
    <s v="Meter"/>
    <n v="3000"/>
    <s v="CLR51-99-004"/>
    <x v="0"/>
    <s v="DOEID23080182"/>
    <s v="DNWID0342023080312"/>
    <m/>
    <m/>
    <m/>
    <m/>
    <m/>
    <m/>
    <x v="1"/>
    <s v="Perumahan Bumi Podo Rukun Dau"/>
    <d v="2023-08-04T00:00:00"/>
    <b v="1"/>
    <s v="OUTBOUND_H-ADSS 48C-202384-01"/>
  </r>
  <r>
    <s v="003"/>
    <n v="3"/>
    <x v="0"/>
    <s v="INB-W0012308-1"/>
    <s v="EJ-Malang-01"/>
    <s v="Oka-0813-2707-1646"/>
    <x v="0"/>
    <d v="1900-01-14T07:00:00"/>
    <s v="ZTE Warehouse"/>
    <x v="0"/>
    <x v="2"/>
    <s v="ZTE2008"/>
    <s v="Pcs"/>
    <n v="16"/>
    <s v="CLR51-99-004"/>
    <x v="0"/>
    <s v="DOEID23080182"/>
    <s v="DNWID0342023080312"/>
    <m/>
    <m/>
    <m/>
    <m/>
    <m/>
    <m/>
    <x v="2"/>
    <s v="Perumahan Bumi Podo Rukun Dau"/>
    <d v="2023-08-04T00:00:00"/>
    <b v="1"/>
    <s v="OUTBOUND_"/>
  </r>
  <r>
    <s v="004"/>
    <n v="4"/>
    <x v="0"/>
    <s v="INB-W0012308-1"/>
    <s v="EJ-Malang-01"/>
    <s v="Oka-0813-2707-1646"/>
    <x v="0"/>
    <d v="1900-01-14T07:00:00"/>
    <s v="ZTE Warehouse"/>
    <x v="0"/>
    <x v="3"/>
    <s v="ZTE2005"/>
    <s v="Pcs"/>
    <n v="1"/>
    <s v="CLR51-99-004"/>
    <x v="0"/>
    <s v="DOEID23080182"/>
    <s v="DNWID0342023080312"/>
    <m/>
    <m/>
    <m/>
    <m/>
    <m/>
    <m/>
    <x v="2"/>
    <s v="Perumahan Bumi Podo Rukun Dau"/>
    <d v="2023-08-04T00:00:00"/>
    <b v="1"/>
    <s v="OUTBOUND_"/>
  </r>
  <r>
    <s v="005"/>
    <n v="5"/>
    <x v="0"/>
    <s v="INB-W0012308-1"/>
    <s v="EJ-Malang-01"/>
    <s v="Oka-0813-2707-1646"/>
    <x v="0"/>
    <d v="1900-01-14T07:00:00"/>
    <s v="ZTE Warehouse"/>
    <x v="0"/>
    <x v="4"/>
    <s v="ZTE1002"/>
    <s v="Pcs"/>
    <n v="7"/>
    <s v="CLR51-99-004"/>
    <x v="0"/>
    <s v="DOEID23080181"/>
    <s v="DNWID0362023080308"/>
    <m/>
    <m/>
    <m/>
    <m/>
    <m/>
    <m/>
    <x v="2"/>
    <s v="Perumahan Bumi Podo Rukun Dau"/>
    <d v="2023-08-04T00:00:00"/>
    <b v="1"/>
    <s v="OUTBOUND_"/>
  </r>
  <r>
    <s v="006"/>
    <n v="6"/>
    <x v="0"/>
    <s v="INB-W0012308-1"/>
    <s v="EJ-Malang-01"/>
    <s v="Oka-0813-2707-1646"/>
    <x v="0"/>
    <d v="1900-01-14T07:00:00"/>
    <s v="ZTE Warehouse"/>
    <x v="0"/>
    <x v="5"/>
    <s v="ZTE1001"/>
    <s v="Pcs"/>
    <n v="56"/>
    <s v="CLR51-99-004"/>
    <x v="0"/>
    <s v="DOEID23080181"/>
    <s v="DNWID0362023080308"/>
    <m/>
    <m/>
    <m/>
    <m/>
    <m/>
    <m/>
    <x v="2"/>
    <s v="Perumahan Bumi Podo Rukun Dau"/>
    <d v="2023-08-04T00:00:00"/>
    <b v="1"/>
    <s v="OUTBOUND_"/>
  </r>
  <r>
    <s v="007"/>
    <m/>
    <x v="1"/>
    <s v="OUB-W0012308-2"/>
    <s v="EJ-Malang-01"/>
    <s v="Oka-0813-2707-1646"/>
    <x v="1"/>
    <d v="1900-01-14T07:00:24"/>
    <s v="EJ-MALANG-01"/>
    <x v="0"/>
    <x v="4"/>
    <s v="ZTE1002"/>
    <s v="Pcs"/>
    <n v="3"/>
    <s v="CLR51-99-004"/>
    <x v="0"/>
    <m/>
    <m/>
    <m/>
    <s v="Agus Suyoto"/>
    <s v="Febby Supplier"/>
    <s v="`3515171206680002"/>
    <s v="B 9407UT"/>
    <m/>
    <x v="2"/>
    <s v="Perumahan Bumi Podo Rukun Dau"/>
    <e v="#N/A"/>
    <e v="#N/A"/>
    <s v="OUTBOUND_"/>
  </r>
  <r>
    <s v="008"/>
    <m/>
    <x v="1"/>
    <s v="OUB-W0012308-2"/>
    <s v="EJ-Malang-01"/>
    <s v="Oka-0813-2707-1646"/>
    <x v="1"/>
    <d v="1900-01-14T07:00:24"/>
    <s v="EJ-MALANG-01"/>
    <x v="0"/>
    <x v="5"/>
    <s v="ZTE1001"/>
    <s v="Pcs"/>
    <n v="12"/>
    <s v="CLR51-99-004"/>
    <x v="0"/>
    <m/>
    <m/>
    <m/>
    <s v="Agus Suyoto"/>
    <s v="Febby Supplier"/>
    <s v="`3515171206680002"/>
    <s v="B 9407UT"/>
    <m/>
    <x v="2"/>
    <s v="Perumahan Bumi Podo Rukun Dau"/>
    <e v="#N/A"/>
    <e v="#N/A"/>
    <s v="OUTBOUND_"/>
  </r>
  <r>
    <s v="009"/>
    <m/>
    <x v="1"/>
    <s v="OUB-W0012308-3"/>
    <s v="EJ-Malang-01"/>
    <s v="Oka-0813-2707-1646"/>
    <x v="2"/>
    <d v="1900-01-14T08:00:24"/>
    <s v="EJ-MALANG-01"/>
    <x v="0"/>
    <x v="5"/>
    <s v="ZTE1001"/>
    <s v="Pcs"/>
    <n v="15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10"/>
    <m/>
    <x v="1"/>
    <s v="OUB-W0012308-4"/>
    <s v="EJ-Malang-01"/>
    <s v="Oka-0813-2707-1646"/>
    <x v="3"/>
    <d v="1900-01-14T08:01:24"/>
    <s v="EJ-MALANG-01"/>
    <x v="0"/>
    <x v="5"/>
    <s v="ZTE1001"/>
    <s v="Pcs"/>
    <n v="13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11"/>
    <m/>
    <x v="0"/>
    <s v="INB-W0012308-6"/>
    <s v="EJ-Malang-01"/>
    <s v="Oka-0813-2707-1646"/>
    <x v="4"/>
    <d v="1900-01-14T07:00:00"/>
    <s v="GCI Procurement"/>
    <x v="1"/>
    <x v="6"/>
    <s v="GCI1011"/>
    <s v="Pcs"/>
    <n v="1"/>
    <s v="CLR51-99-004"/>
    <x v="0"/>
    <n v="0"/>
    <n v="0"/>
    <m/>
    <m/>
    <m/>
    <m/>
    <m/>
    <m/>
    <x v="2"/>
    <s v="Perumahan Bumi Podo Rukun Dau"/>
    <e v="#N/A"/>
    <e v="#N/A"/>
    <s v="OUTBOUND_"/>
  </r>
  <r>
    <s v="012"/>
    <m/>
    <x v="0"/>
    <s v="INB-W0012308-6"/>
    <s v="EJ-Malang-01"/>
    <s v="Oka-0813-2707-1646"/>
    <x v="4"/>
    <d v="1900-01-14T07:00:00"/>
    <s v="GCI Procurement"/>
    <x v="1"/>
    <x v="7"/>
    <s v="GCI1014"/>
    <s v="Pcs"/>
    <n v="35"/>
    <s v="CLR51-99-004"/>
    <x v="0"/>
    <n v="0"/>
    <n v="0"/>
    <m/>
    <m/>
    <m/>
    <m/>
    <m/>
    <m/>
    <x v="2"/>
    <s v="Perumahan Bumi Podo Rukun Dau"/>
    <e v="#N/A"/>
    <e v="#N/A"/>
    <s v="OUTBOUND_"/>
  </r>
  <r>
    <s v="013"/>
    <m/>
    <x v="0"/>
    <s v="INB-W0012308-6"/>
    <s v="EJ-Malang-01"/>
    <s v="Oka-0813-2707-1646"/>
    <x v="4"/>
    <d v="1900-01-14T07:00:00"/>
    <s v="GCI Procurement"/>
    <x v="1"/>
    <x v="8"/>
    <s v="GCI1005"/>
    <s v="Pcs"/>
    <n v="60"/>
    <s v="CLR51-99-004"/>
    <x v="0"/>
    <n v="0"/>
    <n v="0"/>
    <m/>
    <m/>
    <m/>
    <m/>
    <m/>
    <m/>
    <x v="2"/>
    <s v="Perumahan Bumi Podo Rukun Dau"/>
    <e v="#N/A"/>
    <e v="#N/A"/>
    <s v="OUTBOUND_"/>
  </r>
  <r>
    <s v="014"/>
    <m/>
    <x v="0"/>
    <s v="INB-W0012308-6"/>
    <s v="EJ-Malang-01"/>
    <s v="Oka-0813-2707-1646"/>
    <x v="4"/>
    <d v="1900-01-14T07:00:00"/>
    <s v="GCI Procurement"/>
    <x v="1"/>
    <x v="9"/>
    <s v="GCI1001"/>
    <s v="Pcs"/>
    <n v="35"/>
    <s v="CLR51-99-004"/>
    <x v="0"/>
    <n v="0"/>
    <n v="0"/>
    <m/>
    <m/>
    <m/>
    <m/>
    <m/>
    <m/>
    <x v="2"/>
    <s v="Perumahan Bumi Podo Rukun Dau"/>
    <e v="#N/A"/>
    <e v="#N/A"/>
    <s v="OUTBOUND_"/>
  </r>
  <r>
    <s v="015"/>
    <m/>
    <x v="0"/>
    <s v="INB-W0012308-6"/>
    <s v="EJ-Malang-01"/>
    <s v="Oka-0813-2707-1646"/>
    <x v="4"/>
    <d v="1900-01-14T07:00:00"/>
    <s v="GCI Procurement"/>
    <x v="1"/>
    <x v="10"/>
    <s v="GCI1009"/>
    <s v="Pcs"/>
    <n v="35"/>
    <s v="CLR51-99-004"/>
    <x v="0"/>
    <n v="0"/>
    <n v="0"/>
    <m/>
    <m/>
    <m/>
    <m/>
    <m/>
    <m/>
    <x v="2"/>
    <s v="Perumahan Bumi Podo Rukun Dau"/>
    <e v="#N/A"/>
    <e v="#N/A"/>
    <s v="OUTBOUND_"/>
  </r>
  <r>
    <s v="016"/>
    <m/>
    <x v="0"/>
    <s v="INB-W0012308-6"/>
    <s v="EJ-Malang-01"/>
    <s v="Oka-0813-2707-1646"/>
    <x v="4"/>
    <d v="1900-01-14T07:00:00"/>
    <s v="GCI Procurement"/>
    <x v="1"/>
    <x v="11"/>
    <s v="GCI1002"/>
    <s v="Pcs"/>
    <n v="1"/>
    <s v="CLR51-99-004"/>
    <x v="0"/>
    <n v="0"/>
    <n v="0"/>
    <m/>
    <m/>
    <m/>
    <m/>
    <m/>
    <m/>
    <x v="2"/>
    <s v="Perumahan Bumi Podo Rukun Dau"/>
    <e v="#N/A"/>
    <e v="#N/A"/>
    <s v="OUTBOUND_"/>
  </r>
  <r>
    <s v="017"/>
    <m/>
    <x v="1"/>
    <s v="OUB-W0012308-5"/>
    <s v="EJ-Malang-01"/>
    <s v="Oka-0813-2707-1646"/>
    <x v="4"/>
    <d v="1900-01-14T07:37:24"/>
    <s v="EJ-MALANG-01"/>
    <x v="0"/>
    <x v="4"/>
    <s v="ZTE1002"/>
    <s v="Pcs"/>
    <n v="3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18"/>
    <m/>
    <x v="1"/>
    <s v="OUB-W0012308-5"/>
    <s v="EJ-Malang-01"/>
    <s v="Oka-0813-2707-1646"/>
    <x v="4"/>
    <d v="1900-01-14T07:37:24"/>
    <s v="EJ-MALANG-01"/>
    <x v="0"/>
    <x v="5"/>
    <s v="ZTE1001"/>
    <s v="Pcs"/>
    <n v="16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19"/>
    <m/>
    <x v="0"/>
    <s v="INB-W0012308-6"/>
    <s v="EJ-Malang-01"/>
    <s v="Oka-0813-2707-1646"/>
    <x v="4"/>
    <d v="1900-01-14T07:00:00"/>
    <s v="GCI Procurement"/>
    <x v="1"/>
    <x v="12"/>
    <s v="GCI1008"/>
    <s v="Pcs"/>
    <n v="75"/>
    <s v="CLR51-99-004"/>
    <x v="0"/>
    <n v="0"/>
    <n v="0"/>
    <m/>
    <m/>
    <m/>
    <m/>
    <m/>
    <m/>
    <x v="2"/>
    <s v="Perumahan Bumi Podo Rukun Dau"/>
    <e v="#N/A"/>
    <e v="#N/A"/>
    <s v="OUTBOUND_"/>
  </r>
  <r>
    <s v="020"/>
    <m/>
    <x v="0"/>
    <s v="INB-W0012308-6"/>
    <s v="EJ-Malang-01"/>
    <s v="Oka-0813-2707-1646"/>
    <x v="4"/>
    <d v="1900-01-14T07:00:00"/>
    <s v="GCI Procurement"/>
    <x v="1"/>
    <x v="13"/>
    <s v="GCI1007"/>
    <s v="Pcs"/>
    <n v="135"/>
    <s v="CLR51-99-004"/>
    <x v="0"/>
    <n v="0"/>
    <n v="0"/>
    <m/>
    <m/>
    <m/>
    <m/>
    <m/>
    <m/>
    <x v="2"/>
    <s v="Perumahan Bumi Podo Rukun Dau"/>
    <e v="#N/A"/>
    <e v="#N/A"/>
    <s v="OUTBOUND_"/>
  </r>
  <r>
    <s v="021"/>
    <m/>
    <x v="0"/>
    <s v="INB-W0012308-6"/>
    <s v="EJ-Malang-01"/>
    <s v="Oka-0813-2707-1646"/>
    <x v="4"/>
    <d v="1900-01-14T07:00:00"/>
    <s v="GCI Procurement"/>
    <x v="1"/>
    <x v="14"/>
    <s v="GCI1006"/>
    <s v="Pcs"/>
    <n v="135"/>
    <s v="CLR51-99-004"/>
    <x v="0"/>
    <n v="0"/>
    <n v="0"/>
    <m/>
    <m/>
    <m/>
    <m/>
    <m/>
    <m/>
    <x v="2"/>
    <s v="Perumahan Bumi Podo Rukun Dau"/>
    <e v="#N/A"/>
    <e v="#N/A"/>
    <s v="OUTBOUND_"/>
  </r>
  <r>
    <s v="022"/>
    <m/>
    <x v="0"/>
    <s v="INB-W0012308-6"/>
    <s v="EJ-Malang-01"/>
    <s v="Oka-0813-2707-1646"/>
    <x v="4"/>
    <d v="1900-01-14T07:00:00"/>
    <s v="GCI Procurement"/>
    <x v="1"/>
    <x v="15"/>
    <s v="GCI1003"/>
    <s v="Pcs"/>
    <n v="100"/>
    <s v="CLR51-99-004"/>
    <x v="0"/>
    <n v="0"/>
    <n v="0"/>
    <m/>
    <m/>
    <m/>
    <m/>
    <m/>
    <m/>
    <x v="2"/>
    <s v="Perumahan Bumi Podo Rukun Dau"/>
    <e v="#N/A"/>
    <e v="#N/A"/>
    <s v="OUTBOUND_"/>
  </r>
  <r>
    <s v="023"/>
    <m/>
    <x v="0"/>
    <s v="INB-W0012308-6"/>
    <s v="EJ-Malang-01"/>
    <s v="Oka-0813-2707-1646"/>
    <x v="4"/>
    <d v="1900-01-14T07:00:00"/>
    <s v="GCI Procurement"/>
    <x v="1"/>
    <x v="16"/>
    <s v="GCI1004"/>
    <s v="Pcs"/>
    <n v="100"/>
    <s v="CLR51-99-004"/>
    <x v="0"/>
    <n v="0"/>
    <n v="0"/>
    <m/>
    <m/>
    <m/>
    <m/>
    <m/>
    <m/>
    <x v="2"/>
    <s v="Perumahan Bumi Podo Rukun Dau"/>
    <e v="#N/A"/>
    <e v="#N/A"/>
    <s v="OUTBOUND_"/>
  </r>
  <r>
    <s v="024"/>
    <m/>
    <x v="1"/>
    <s v="OUB-W0012308-7"/>
    <s v="EJ-Malang-01"/>
    <s v="Oka-0813-2707-1646"/>
    <x v="5"/>
    <d v="1900-01-14T16:37:24"/>
    <s v="EJ-MALANG-01"/>
    <x v="0"/>
    <x v="0"/>
    <s v="ZTE2001"/>
    <s v="Meter"/>
    <n v="3000"/>
    <s v="CLR51-99-004"/>
    <x v="0"/>
    <m/>
    <m/>
    <m/>
    <s v="Imam Safi'i"/>
    <s v="Febby Supplier"/>
    <s v="`3509040409910004"/>
    <s v="B 9407UT"/>
    <s v="3000-1279 =1721"/>
    <x v="0"/>
    <s v="Perumahan Bumi Podo Rukun Dau"/>
    <e v="#N/A"/>
    <e v="#N/A"/>
    <s v="OUTBOUND_H-ADSS 24C-202384-01"/>
  </r>
  <r>
    <s v="025"/>
    <m/>
    <x v="1"/>
    <s v="OUB-W0012308-7"/>
    <s v="EJ-Malang-01"/>
    <s v="Oka-0813-2707-1646"/>
    <x v="5"/>
    <d v="1900-01-14T16:37:24"/>
    <s v="EJ-MALANG-01"/>
    <x v="0"/>
    <x v="1"/>
    <s v="ZTE2003"/>
    <s v="Meter"/>
    <n v="3000"/>
    <s v="CLR51-99-004"/>
    <x v="0"/>
    <m/>
    <m/>
    <m/>
    <s v="Imam Safi'i"/>
    <s v="Febby Supplier"/>
    <s v="`3509040409910004"/>
    <s v="B 9407UT"/>
    <n v="890"/>
    <x v="1"/>
    <s v="Perumahan Bumi Podo Rukun Dau"/>
    <e v="#N/A"/>
    <e v="#N/A"/>
    <s v="OUTBOUND_H-ADSS 48C-202384-01"/>
  </r>
  <r>
    <s v="026"/>
    <m/>
    <x v="1"/>
    <s v="OUB-W0012308-7"/>
    <s v="EJ-Malang-01"/>
    <s v="Oka-0813-2707-1646"/>
    <x v="5"/>
    <d v="1900-01-14T16:37:24"/>
    <s v="EJ-MALANG-01"/>
    <x v="1"/>
    <x v="6"/>
    <s v="GCI1011"/>
    <s v="Pcs"/>
    <n v="1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27"/>
    <m/>
    <x v="1"/>
    <s v="OUB-W0012308-7"/>
    <s v="EJ-Malang-01"/>
    <s v="Oka-0813-2707-1646"/>
    <x v="5"/>
    <d v="1900-01-14T16:37:24"/>
    <s v="EJ-MALANG-01"/>
    <x v="1"/>
    <x v="7"/>
    <s v="GCI1014"/>
    <s v="Pcs"/>
    <n v="35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28"/>
    <m/>
    <x v="1"/>
    <s v="OUB-W0012308-7"/>
    <s v="EJ-Malang-01"/>
    <s v="Oka-0813-2707-1646"/>
    <x v="5"/>
    <d v="1900-01-14T16:37:24"/>
    <s v="EJ-MALANG-01"/>
    <x v="1"/>
    <x v="8"/>
    <s v="GCI1005"/>
    <s v="Pcs"/>
    <n v="60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29"/>
    <m/>
    <x v="1"/>
    <s v="OUB-W0012308-7"/>
    <s v="EJ-Malang-01"/>
    <s v="Oka-0813-2707-1646"/>
    <x v="5"/>
    <d v="1900-01-14T16:37:24"/>
    <s v="EJ-MALANG-01"/>
    <x v="1"/>
    <x v="9"/>
    <s v="GCI1001"/>
    <s v="Pcs"/>
    <n v="24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30"/>
    <m/>
    <x v="1"/>
    <s v="OUB-W0012308-7"/>
    <s v="EJ-Malang-01"/>
    <s v="Oka-0813-2707-1646"/>
    <x v="5"/>
    <d v="1900-01-14T16:37:24"/>
    <s v="EJ-MALANG-01"/>
    <x v="1"/>
    <x v="10"/>
    <s v="GCI1009"/>
    <s v="Pcs"/>
    <n v="35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31"/>
    <m/>
    <x v="1"/>
    <s v="OUB-W0012308-7"/>
    <s v="EJ-Malang-01"/>
    <s v="Oka-0813-2707-1646"/>
    <x v="5"/>
    <d v="1900-01-14T16:37:24"/>
    <s v="EJ-MALANG-01"/>
    <x v="1"/>
    <x v="11"/>
    <s v="GCI1002"/>
    <s v="Pcs"/>
    <n v="1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32"/>
    <m/>
    <x v="1"/>
    <s v="OUB-W0012308-7"/>
    <s v="EJ-Malang-01"/>
    <s v="Oka-0813-2707-1646"/>
    <x v="5"/>
    <d v="1900-01-14T16:37:24"/>
    <s v="EJ-MALANG-01"/>
    <x v="0"/>
    <x v="4"/>
    <s v="ZTE1002"/>
    <s v="Pcs"/>
    <n v="1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33"/>
    <m/>
    <x v="1"/>
    <s v="OUB-W0012308-7"/>
    <s v="EJ-Malang-01"/>
    <s v="Oka-0813-2707-1646"/>
    <x v="5"/>
    <d v="1900-01-14T16:37:24"/>
    <s v="EJ-MALANG-01"/>
    <x v="1"/>
    <x v="12"/>
    <s v="GCI1008"/>
    <s v="Pcs"/>
    <n v="75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34"/>
    <m/>
    <x v="1"/>
    <s v="OUB-W0012308-7"/>
    <s v="EJ-Malang-01"/>
    <s v="Oka-0813-2707-1646"/>
    <x v="5"/>
    <d v="1900-01-14T16:37:24"/>
    <s v="EJ-MALANG-01"/>
    <x v="1"/>
    <x v="13"/>
    <s v="GCI1007"/>
    <s v="Pcs"/>
    <n v="135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35"/>
    <m/>
    <x v="1"/>
    <s v="OUB-W0012308-7"/>
    <s v="EJ-Malang-01"/>
    <s v="Oka-0813-2707-1646"/>
    <x v="5"/>
    <d v="1900-01-14T16:37:24"/>
    <s v="EJ-MALANG-01"/>
    <x v="1"/>
    <x v="14"/>
    <s v="GCI1006"/>
    <s v="Pcs"/>
    <n v="135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36"/>
    <m/>
    <x v="1"/>
    <s v="OUB-W0012308-7"/>
    <s v="EJ-Malang-01"/>
    <s v="Oka-0813-2707-1646"/>
    <x v="5"/>
    <d v="1900-01-14T16:37:24"/>
    <s v="EJ-MALANG-01"/>
    <x v="1"/>
    <x v="15"/>
    <s v="GCI1003"/>
    <s v="Pcs"/>
    <n v="100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37"/>
    <m/>
    <x v="1"/>
    <s v="OUB-W0012308-7"/>
    <s v="EJ-Malang-01"/>
    <s v="Oka-0813-2707-1646"/>
    <x v="5"/>
    <d v="1900-01-14T16:37:24"/>
    <s v="EJ-MALANG-01"/>
    <x v="1"/>
    <x v="16"/>
    <s v="GCI1004"/>
    <s v="Pcs"/>
    <n v="100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38"/>
    <m/>
    <x v="1"/>
    <s v="OUB-W0012308-8"/>
    <s v="EJ-Malang-01"/>
    <s v="Oka-0813-2707-1646"/>
    <x v="6"/>
    <d v="1900-01-14T14:52:24"/>
    <s v="EJ-MALANG-01"/>
    <x v="0"/>
    <x v="2"/>
    <s v="ZTE2008"/>
    <s v="Pcs"/>
    <n v="16"/>
    <s v="CLR51-99-004"/>
    <x v="0"/>
    <m/>
    <m/>
    <m/>
    <s v="Mohammad Febbi H"/>
    <s v="Febby Supplier"/>
    <s v="3524052002930003"/>
    <s v="B 1480 BVG"/>
    <m/>
    <x v="2"/>
    <s v="Perumahan Bumi Podo Rukun Dau"/>
    <e v="#N/A"/>
    <e v="#N/A"/>
    <s v="OUTBOUND_"/>
  </r>
  <r>
    <s v="039"/>
    <m/>
    <x v="1"/>
    <s v="OUB-W0012308-8"/>
    <s v="EJ-Malang-01"/>
    <s v="Oka-0813-2707-1646"/>
    <x v="6"/>
    <d v="1900-01-14T14:52:24"/>
    <s v="EJ-MALANG-01"/>
    <x v="0"/>
    <x v="3"/>
    <s v="ZTE2005"/>
    <s v="Pcs"/>
    <n v="1"/>
    <s v="CLR51-99-004"/>
    <x v="0"/>
    <m/>
    <m/>
    <m/>
    <s v="Mohammad Febbi H"/>
    <s v="Febby Supplier"/>
    <s v="3524052002930003"/>
    <s v="B 1480 BVG"/>
    <m/>
    <x v="2"/>
    <s v="Perumahan Bumi Podo Rukun Dau"/>
    <e v="#N/A"/>
    <e v="#N/A"/>
    <s v="OUTBOUND_"/>
  </r>
  <r>
    <s v="040"/>
    <m/>
    <x v="0"/>
    <s v="INB-W0012308-9"/>
    <s v="EJ-Malang-01"/>
    <s v="Oka-0813-2707-1646"/>
    <x v="7"/>
    <d v="1900-01-14T07:00:00"/>
    <s v="GCI Procurement"/>
    <x v="1"/>
    <x v="7"/>
    <s v="GCI1014"/>
    <s v="Pcs"/>
    <n v="60"/>
    <s v="CLR51-99-004"/>
    <x v="0"/>
    <n v="0"/>
    <n v="0"/>
    <m/>
    <m/>
    <m/>
    <m/>
    <m/>
    <m/>
    <x v="2"/>
    <s v="Perumahan Bumi Podo Rukun Dau"/>
    <e v="#N/A"/>
    <e v="#N/A"/>
    <s v="OUTBOUND_"/>
  </r>
  <r>
    <s v="041"/>
    <m/>
    <x v="0"/>
    <s v="INB-W0012308-9"/>
    <s v="EJ-Malang-01"/>
    <s v="Oka-0813-2707-1646"/>
    <x v="7"/>
    <d v="1900-01-14T07:00:00"/>
    <s v="GCI Procurement"/>
    <x v="1"/>
    <x v="10"/>
    <s v="GCI1009"/>
    <s v="Pcs"/>
    <n v="60"/>
    <s v="CLR51-99-004"/>
    <x v="0"/>
    <n v="0"/>
    <n v="0"/>
    <m/>
    <m/>
    <m/>
    <m/>
    <m/>
    <m/>
    <x v="2"/>
    <s v="Perumahan Bumi Podo Rukun Dau"/>
    <e v="#N/A"/>
    <e v="#N/A"/>
    <s v="OUTBOUND_"/>
  </r>
  <r>
    <s v="042"/>
    <m/>
    <x v="0"/>
    <s v="INB-W0012308-9"/>
    <s v="EJ-Malang-01"/>
    <s v="Oka-0813-2707-1646"/>
    <x v="7"/>
    <d v="1900-01-14T07:00:00"/>
    <s v="GCI Procurement"/>
    <x v="1"/>
    <x v="17"/>
    <s v="GCI1013"/>
    <s v="Pcs"/>
    <n v="37"/>
    <s v="CLR51-99-004"/>
    <x v="0"/>
    <n v="0"/>
    <n v="0"/>
    <m/>
    <m/>
    <m/>
    <m/>
    <m/>
    <m/>
    <x v="2"/>
    <s v="Perumahan Bumi Podo Rukun Dau"/>
    <e v="#N/A"/>
    <e v="#N/A"/>
    <s v="OUTBOUND_"/>
  </r>
  <r>
    <s v="043"/>
    <m/>
    <x v="0"/>
    <s v="INB-W0012308-11"/>
    <s v="EJ-Malang-01"/>
    <s v="Oka-0813-2707-1646"/>
    <x v="8"/>
    <d v="1900-01-14T07:00:00"/>
    <s v="GCI Procurement"/>
    <x v="1"/>
    <x v="18"/>
    <s v="GCI1012"/>
    <s v="Pcs"/>
    <n v="153"/>
    <s v="CLR51-99-004"/>
    <x v="0"/>
    <n v="0"/>
    <n v="0"/>
    <m/>
    <m/>
    <m/>
    <m/>
    <m/>
    <m/>
    <x v="2"/>
    <s v="Perumahan Bumi Podo Rukun Dau"/>
    <e v="#N/A"/>
    <e v="#N/A"/>
    <s v="OUTBOUND_"/>
  </r>
  <r>
    <s v="044"/>
    <m/>
    <x v="1"/>
    <s v="OUB-W0012308-10"/>
    <s v="EJ-Malang-01"/>
    <s v="Oka-0813-2707-1646"/>
    <x v="8"/>
    <d v="1900-01-14T08:56:24"/>
    <s v="EJ-MALANG-01"/>
    <x v="1"/>
    <x v="18"/>
    <s v="GCI1012"/>
    <s v="Pcs"/>
    <n v="153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45"/>
    <m/>
    <x v="1"/>
    <s v="OUB-W0012308-10"/>
    <s v="EJ-Malang-01"/>
    <s v="Oka-0813-2707-1646"/>
    <x v="8"/>
    <d v="1900-01-14T08:56:24"/>
    <s v="EJ-MALANG-01"/>
    <x v="1"/>
    <x v="7"/>
    <s v="GCI1014"/>
    <s v="Pcs"/>
    <n v="60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46"/>
    <m/>
    <x v="1"/>
    <s v="OUB-W0012308-10"/>
    <s v="EJ-Malang-01"/>
    <s v="Oka-0813-2707-1646"/>
    <x v="8"/>
    <d v="1900-01-14T08:56:24"/>
    <s v="EJ-MALANG-01"/>
    <x v="1"/>
    <x v="10"/>
    <s v="GCI1009"/>
    <s v="Pcs"/>
    <n v="60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47"/>
    <m/>
    <x v="1"/>
    <s v="OUB-W0012308-10"/>
    <s v="EJ-Malang-01"/>
    <s v="Oka-0813-2707-1646"/>
    <x v="8"/>
    <d v="1900-01-14T08:56:24"/>
    <s v="EJ-MALANG-01"/>
    <x v="1"/>
    <x v="17"/>
    <s v="GCI1013"/>
    <s v="Pcs"/>
    <n v="37"/>
    <s v="CLR51-99-004"/>
    <x v="0"/>
    <m/>
    <m/>
    <m/>
    <s v="Imam Safi'i"/>
    <s v="Febby Supplier"/>
    <s v="`3509040409910004"/>
    <s v="B 9407UT"/>
    <m/>
    <x v="2"/>
    <s v="Perumahan Bumi Podo Rukun Dau"/>
    <e v="#N/A"/>
    <e v="#N/A"/>
    <s v="OUTBOUND_"/>
  </r>
  <r>
    <s v="048"/>
    <m/>
    <x v="0"/>
    <s v="INB-W0012308-12"/>
    <s v="EJ-Malang-01"/>
    <s v="Oka-0813-2707-1646"/>
    <x v="9"/>
    <d v="1900-01-14T07:00:00"/>
    <s v="GCI Procurement"/>
    <x v="1"/>
    <x v="7"/>
    <s v="GCI1014"/>
    <s v="Pcs"/>
    <n v="45"/>
    <s v="CLR51-99-004"/>
    <x v="0"/>
    <n v="0"/>
    <n v="0"/>
    <m/>
    <m/>
    <m/>
    <m/>
    <m/>
    <m/>
    <x v="2"/>
    <s v="Perumahan Bumi Podo Rukun Dau"/>
    <e v="#N/A"/>
    <e v="#N/A"/>
    <s v="OUTBOUND_"/>
  </r>
  <r>
    <s v="049"/>
    <m/>
    <x v="0"/>
    <s v="INB-W0012308-12"/>
    <s v="EJ-Malang-01"/>
    <s v="Oka-0813-2707-1646"/>
    <x v="9"/>
    <d v="1900-01-14T07:00:00"/>
    <s v="GCI Procurement"/>
    <x v="1"/>
    <x v="10"/>
    <s v="GCI1009"/>
    <s v="Pcs"/>
    <n v="45"/>
    <s v="CLR51-99-004"/>
    <x v="0"/>
    <n v="0"/>
    <n v="0"/>
    <m/>
    <m/>
    <m/>
    <m/>
    <m/>
    <m/>
    <x v="2"/>
    <s v="Perumahan Bumi Podo Rukun Dau"/>
    <e v="#N/A"/>
    <e v="#N/A"/>
    <s v="OUTBOUND_"/>
  </r>
  <r>
    <s v="050"/>
    <m/>
    <x v="0"/>
    <s v="INB-W0012308-12"/>
    <s v="EJ-Malang-01"/>
    <s v="Oka-0813-2707-1646"/>
    <x v="9"/>
    <d v="1900-01-14T07:00:00"/>
    <s v="GCI Procurement"/>
    <x v="1"/>
    <x v="12"/>
    <s v="GCI1008"/>
    <s v="Pcs"/>
    <n v="40"/>
    <s v="CLR51-99-004"/>
    <x v="0"/>
    <n v="0"/>
    <n v="0"/>
    <m/>
    <m/>
    <m/>
    <m/>
    <m/>
    <m/>
    <x v="2"/>
    <s v="Perumahan Bumi Podo Rukun Dau"/>
    <e v="#N/A"/>
    <e v="#N/A"/>
    <s v="OUTBOUND_"/>
  </r>
  <r>
    <s v="051"/>
    <m/>
    <x v="1"/>
    <s v="OUB-W0012308-13"/>
    <s v="EJ-Malang-01"/>
    <s v="Oka-0813-2707-1646"/>
    <x v="10"/>
    <d v="1899-12-30T08:28:00"/>
    <s v="EJ-MALANG-01"/>
    <x v="1"/>
    <x v="7"/>
    <s v="GCI1014"/>
    <s v="Pcs"/>
    <n v="45"/>
    <s v="CLR51-99-004"/>
    <x v="0"/>
    <m/>
    <m/>
    <m/>
    <s v="Agus Suyoto"/>
    <s v="Febby Supplier"/>
    <s v="3515171206680002"/>
    <s v="B-9407-UT"/>
    <m/>
    <x v="2"/>
    <s v="Perumahan Bumi Podo Rukun Dau"/>
    <e v="#N/A"/>
    <e v="#N/A"/>
    <s v="OUTBOUND_"/>
  </r>
  <r>
    <s v="052"/>
    <m/>
    <x v="1"/>
    <s v="OUB-W0012308-13"/>
    <s v="EJ-Malang-01"/>
    <s v="Oka-0813-2707-1646"/>
    <x v="10"/>
    <d v="1899-12-30T08:28:00"/>
    <s v="EJ-MALANG-01"/>
    <x v="1"/>
    <x v="10"/>
    <s v="GCI1009"/>
    <s v="Pcs"/>
    <n v="45"/>
    <s v="CLR51-99-004"/>
    <x v="0"/>
    <m/>
    <m/>
    <m/>
    <s v="Agus Suyoto"/>
    <s v="Febby Supplier"/>
    <s v="3515171206680002"/>
    <s v="B-9407-UT"/>
    <m/>
    <x v="2"/>
    <s v="Perumahan Bumi Podo Rukun Dau"/>
    <e v="#N/A"/>
    <e v="#N/A"/>
    <s v="OUTBOUND_"/>
  </r>
  <r>
    <s v="053"/>
    <m/>
    <x v="1"/>
    <s v="OUB-W0012308-13"/>
    <s v="EJ-Malang-01"/>
    <s v="Oka-0813-2707-1646"/>
    <x v="10"/>
    <d v="1899-12-30T08:28:00"/>
    <s v="EJ-MALANG-01"/>
    <x v="1"/>
    <x v="12"/>
    <s v="GCI1008"/>
    <s v="Pcs"/>
    <n v="40"/>
    <s v="CLR51-99-004"/>
    <x v="0"/>
    <m/>
    <m/>
    <m/>
    <s v="Agus Suyoto"/>
    <s v="Febby Supplier"/>
    <s v="3515171206680002"/>
    <s v="B-9407-UT"/>
    <m/>
    <x v="2"/>
    <s v="Perumahan Bumi Podo Rukun Dau"/>
    <e v="#N/A"/>
    <e v="#N/A"/>
    <s v="OUTBOUND_"/>
  </r>
  <r>
    <s v="054"/>
    <m/>
    <x v="0"/>
    <s v="INB-W0012308-14"/>
    <s v="EJ-Malang-01"/>
    <s v="Oka-0813-2707-1646"/>
    <x v="11"/>
    <d v="1900-01-14T07:00:00"/>
    <s v="GCI Procurement"/>
    <x v="1"/>
    <x v="7"/>
    <s v="GCI1014"/>
    <s v="Pcs"/>
    <n v="104"/>
    <s v="CLR51-99-006"/>
    <x v="1"/>
    <n v="0"/>
    <n v="0"/>
    <m/>
    <m/>
    <m/>
    <m/>
    <m/>
    <m/>
    <x v="2"/>
    <s v="Mulyorejo RW 04 Sukun"/>
    <e v="#N/A"/>
    <e v="#N/A"/>
    <s v="OUTBOUND_"/>
  </r>
  <r>
    <s v="055"/>
    <m/>
    <x v="0"/>
    <s v="INB-W0012308-14"/>
    <s v="EJ-Malang-01"/>
    <s v="Oka-0813-2707-1646"/>
    <x v="11"/>
    <d v="1900-01-14T07:00:00"/>
    <s v="GCI Procurement"/>
    <x v="1"/>
    <x v="8"/>
    <s v="GCI1005"/>
    <s v="Pcs"/>
    <n v="68"/>
    <s v="CLR51-99-006"/>
    <x v="1"/>
    <n v="0"/>
    <n v="0"/>
    <m/>
    <m/>
    <m/>
    <m/>
    <m/>
    <m/>
    <x v="2"/>
    <s v="Mulyorejo RW 04 Sukun"/>
    <e v="#N/A"/>
    <e v="#N/A"/>
    <s v="OUTBOUND_"/>
  </r>
  <r>
    <s v="056"/>
    <m/>
    <x v="0"/>
    <s v="INB-W0012308-14"/>
    <s v="EJ-Malang-01"/>
    <s v="Oka-0813-2707-1646"/>
    <x v="11"/>
    <d v="1900-01-14T07:00:00"/>
    <s v="GCI Procurement"/>
    <x v="1"/>
    <x v="9"/>
    <s v="GCI1001"/>
    <s v="Pcs"/>
    <n v="27"/>
    <s v="CLR51-99-006"/>
    <x v="1"/>
    <n v="0"/>
    <n v="0"/>
    <m/>
    <m/>
    <m/>
    <m/>
    <m/>
    <m/>
    <x v="2"/>
    <s v="Mulyorejo RW 04 Sukun"/>
    <e v="#N/A"/>
    <e v="#N/A"/>
    <s v="OUTBOUND_"/>
  </r>
  <r>
    <s v="057"/>
    <m/>
    <x v="0"/>
    <s v="INB-W0012308-14"/>
    <s v="EJ-Malang-01"/>
    <s v="Oka-0813-2707-1646"/>
    <x v="11"/>
    <d v="1900-01-14T07:00:00"/>
    <s v="GCI Procurement"/>
    <x v="1"/>
    <x v="10"/>
    <s v="GCI1009"/>
    <s v="Pcs"/>
    <n v="104"/>
    <s v="CLR51-99-006"/>
    <x v="1"/>
    <n v="0"/>
    <n v="0"/>
    <m/>
    <m/>
    <m/>
    <m/>
    <m/>
    <m/>
    <x v="2"/>
    <s v="Mulyorejo RW 04 Sukun"/>
    <e v="#N/A"/>
    <e v="#N/A"/>
    <s v="OUTBOUND_"/>
  </r>
  <r>
    <s v="058"/>
    <m/>
    <x v="0"/>
    <s v="INB-W0012308-14"/>
    <s v="EJ-Malang-01"/>
    <s v="Oka-0813-2707-1646"/>
    <x v="11"/>
    <d v="1900-01-14T07:00:00"/>
    <s v="GCI Procurement"/>
    <x v="1"/>
    <x v="11"/>
    <s v="GCI1002"/>
    <s v="Pcs"/>
    <n v="2"/>
    <s v="CLR51-99-006"/>
    <x v="1"/>
    <n v="0"/>
    <n v="0"/>
    <m/>
    <m/>
    <m/>
    <m/>
    <m/>
    <m/>
    <x v="2"/>
    <s v="Mulyorejo RW 04 Sukun"/>
    <e v="#N/A"/>
    <e v="#N/A"/>
    <s v="OUTBOUND_"/>
  </r>
  <r>
    <s v="059"/>
    <m/>
    <x v="0"/>
    <s v="INB-W0012308-14"/>
    <s v="EJ-Malang-01"/>
    <s v="Oka-0813-2707-1646"/>
    <x v="11"/>
    <d v="1900-01-14T07:00:00"/>
    <s v="GCI Procurement"/>
    <x v="1"/>
    <x v="12"/>
    <s v="GCI1008"/>
    <s v="Pcs"/>
    <n v="89"/>
    <s v="CLR51-99-006"/>
    <x v="1"/>
    <n v="0"/>
    <n v="0"/>
    <m/>
    <m/>
    <m/>
    <m/>
    <m/>
    <m/>
    <x v="2"/>
    <s v="Mulyorejo RW 04 Sukun"/>
    <e v="#N/A"/>
    <e v="#N/A"/>
    <s v="OUTBOUND_"/>
  </r>
  <r>
    <s v="060"/>
    <m/>
    <x v="0"/>
    <s v="INB-W0012308-14"/>
    <s v="EJ-Malang-01"/>
    <s v="Oka-0813-2707-1646"/>
    <x v="11"/>
    <d v="1900-01-14T07:00:00"/>
    <s v="GCI Procurement"/>
    <x v="1"/>
    <x v="13"/>
    <s v="GCI1007"/>
    <s v="Pcs"/>
    <n v="130"/>
    <s v="CLR51-99-006"/>
    <x v="1"/>
    <n v="0"/>
    <n v="0"/>
    <m/>
    <m/>
    <m/>
    <m/>
    <m/>
    <m/>
    <x v="2"/>
    <s v="Mulyorejo RW 04 Sukun"/>
    <e v="#N/A"/>
    <e v="#N/A"/>
    <s v="OUTBOUND_"/>
  </r>
  <r>
    <s v="061"/>
    <m/>
    <x v="0"/>
    <s v="INB-W0012308-14"/>
    <s v="EJ-Malang-01"/>
    <s v="Oka-0813-2707-1646"/>
    <x v="11"/>
    <d v="1900-01-14T07:00:00"/>
    <s v="GCI Procurement"/>
    <x v="1"/>
    <x v="14"/>
    <s v="GCI1006"/>
    <s v="Pcs"/>
    <n v="128"/>
    <s v="CLR51-99-006"/>
    <x v="1"/>
    <n v="0"/>
    <n v="0"/>
    <m/>
    <m/>
    <m/>
    <m/>
    <m/>
    <m/>
    <x v="2"/>
    <s v="Mulyorejo RW 04 Sukun"/>
    <e v="#N/A"/>
    <e v="#N/A"/>
    <s v="OUTBOUND_"/>
  </r>
  <r>
    <s v="062"/>
    <m/>
    <x v="0"/>
    <s v="INB-W0012308-14"/>
    <s v="EJ-Malang-01"/>
    <s v="Oka-0813-2707-1646"/>
    <x v="11"/>
    <d v="1900-01-14T07:00:00"/>
    <s v="GCI Procurement"/>
    <x v="1"/>
    <x v="15"/>
    <s v="GCI1003"/>
    <s v="Pcs"/>
    <n v="100"/>
    <s v="CLR51-99-006"/>
    <x v="1"/>
    <n v="0"/>
    <n v="0"/>
    <m/>
    <m/>
    <m/>
    <m/>
    <m/>
    <m/>
    <x v="2"/>
    <s v="Mulyorejo RW 04 Sukun"/>
    <e v="#N/A"/>
    <e v="#N/A"/>
    <s v="OUTBOUND_"/>
  </r>
  <r>
    <s v="063"/>
    <m/>
    <x v="0"/>
    <s v="INB-W0012308-14"/>
    <s v="EJ-Malang-01"/>
    <s v="Oka-0813-2707-1646"/>
    <x v="11"/>
    <d v="1900-01-14T07:00:00"/>
    <s v="GCI Procurement"/>
    <x v="1"/>
    <x v="16"/>
    <s v="GCI1004"/>
    <s v="Pcs"/>
    <n v="30"/>
    <s v="CLR51-99-006"/>
    <x v="1"/>
    <n v="0"/>
    <n v="0"/>
    <m/>
    <m/>
    <m/>
    <m/>
    <m/>
    <m/>
    <x v="2"/>
    <s v="Mulyorejo RW 04 Sukun"/>
    <e v="#N/A"/>
    <e v="#N/A"/>
    <s v="OUTBOUND_"/>
  </r>
  <r>
    <s v="064"/>
    <m/>
    <x v="0"/>
    <s v="INB-W0012309-15"/>
    <s v="EJ-Malang-01"/>
    <s v="Oka-0813-2707-1646"/>
    <x v="12"/>
    <d v="1900-01-14T07:00:00"/>
    <s v="ZTE Warehouse"/>
    <x v="0"/>
    <x v="1"/>
    <s v="ZTE2003"/>
    <s v="Meter"/>
    <n v="3000"/>
    <s v="CLR51-99-006"/>
    <x v="1"/>
    <s v="DOEID23083120"/>
    <s v="DNWID0342023083103"/>
    <m/>
    <m/>
    <m/>
    <m/>
    <m/>
    <m/>
    <x v="3"/>
    <s v="Mulyorejo RW 04 Sukun"/>
    <d v="2023-09-01T00:00:00"/>
    <b v="1"/>
    <s v="OUTBOUND_H-ADSS 48C-202391-01"/>
  </r>
  <r>
    <s v="065"/>
    <m/>
    <x v="0"/>
    <s v="INB-W0012309-15"/>
    <s v="EJ-Malang-01"/>
    <s v="Oka-0813-2707-1646"/>
    <x v="12"/>
    <d v="1900-01-14T07:00:00"/>
    <s v="ZTE Warehouse"/>
    <x v="0"/>
    <x v="2"/>
    <s v="ZTE2008"/>
    <s v="Pcs"/>
    <n v="17"/>
    <s v="CLR51-99-006"/>
    <x v="1"/>
    <s v="DOEID23082835"/>
    <s v="DNWID0342023082902"/>
    <m/>
    <m/>
    <m/>
    <m/>
    <m/>
    <m/>
    <x v="2"/>
    <s v="Mulyorejo RW 04 Sukun"/>
    <d v="2023-09-01T00:00:00"/>
    <b v="1"/>
    <s v="OUTBOUND_"/>
  </r>
  <r>
    <s v="066"/>
    <m/>
    <x v="0"/>
    <s v="INB-W0012309-15"/>
    <s v="EJ-Malang-01"/>
    <s v="Oka-0813-2707-1646"/>
    <x v="12"/>
    <d v="1900-01-14T07:00:00"/>
    <s v="ZTE Warehouse"/>
    <x v="0"/>
    <x v="3"/>
    <s v="ZTE2005"/>
    <s v="Pcs"/>
    <n v="1"/>
    <s v="CLR51-99-006"/>
    <x v="1"/>
    <s v="DOEID23082835"/>
    <s v="DNWID0342023082902"/>
    <m/>
    <m/>
    <m/>
    <m/>
    <m/>
    <m/>
    <x v="2"/>
    <s v="Mulyorejo RW 04 Sukun"/>
    <d v="2023-09-01T00:00:00"/>
    <b v="1"/>
    <s v="OUTBOUND_"/>
  </r>
  <r>
    <s v="067"/>
    <m/>
    <x v="0"/>
    <s v="INB-W0012309-15"/>
    <s v="EJ-Malang-01"/>
    <s v="Oka-0813-2707-1646"/>
    <x v="12"/>
    <d v="1900-01-14T07:00:00"/>
    <s v="ZTE Warehouse"/>
    <x v="0"/>
    <x v="4"/>
    <s v="ZTE1002"/>
    <s v="Pcs"/>
    <n v="8"/>
    <s v="CLR51-99-006"/>
    <x v="1"/>
    <s v="DOEID23082834"/>
    <s v="DNWID0362023082902"/>
    <m/>
    <m/>
    <m/>
    <m/>
    <m/>
    <m/>
    <x v="2"/>
    <s v="Mulyorejo RW 04 Sukun"/>
    <d v="2023-09-01T00:00:00"/>
    <b v="1"/>
    <s v="OUTBOUND_"/>
  </r>
  <r>
    <s v="068"/>
    <m/>
    <x v="0"/>
    <s v="INB-W0012309-15"/>
    <s v="EJ-Malang-01"/>
    <s v="Oka-0813-2707-1646"/>
    <x v="12"/>
    <d v="1900-01-14T07:00:00"/>
    <s v="ZTE Warehouse"/>
    <x v="0"/>
    <x v="5"/>
    <s v="ZTE1001"/>
    <s v="Pcs"/>
    <n v="30"/>
    <s v="CLR51-99-006"/>
    <x v="1"/>
    <s v="DOEID23082834"/>
    <s v="DNWID0362023082902"/>
    <m/>
    <m/>
    <m/>
    <m/>
    <m/>
    <m/>
    <x v="2"/>
    <s v="Mulyorejo RW 04 Sukun"/>
    <d v="2023-09-01T00:00:00"/>
    <b v="1"/>
    <s v="OUTBOUND_"/>
  </r>
  <r>
    <s v="069"/>
    <m/>
    <x v="0"/>
    <s v="INB-W0012309-15"/>
    <s v="EJ-Malang-01"/>
    <s v="Oka-0813-2707-1646"/>
    <x v="12"/>
    <d v="1900-01-14T07:00:00"/>
    <s v="ZTE Warehouse"/>
    <x v="0"/>
    <x v="19"/>
    <s v="ZTE1003"/>
    <s v="Pcs"/>
    <n v="3"/>
    <s v="CLR51-99-006"/>
    <x v="1"/>
    <s v="DOEID23082834"/>
    <s v="DNWID0362023082902"/>
    <m/>
    <m/>
    <m/>
    <m/>
    <m/>
    <m/>
    <x v="2"/>
    <s v="Mulyorejo RW 04 Sukun"/>
    <d v="2023-09-01T00:00:00"/>
    <b v="1"/>
    <s v="OUTBOUND_"/>
  </r>
  <r>
    <s v="070"/>
    <m/>
    <x v="1"/>
    <s v="OUB-W0012309-16"/>
    <s v="EJ-Malang-01"/>
    <s v="Oka-0813-2707-1646"/>
    <x v="13"/>
    <d v="1899-12-30T08:07:00"/>
    <s v="EJ-MALANG-01"/>
    <x v="0"/>
    <x v="5"/>
    <s v="ZTE1001"/>
    <s v="Pcs"/>
    <n v="16"/>
    <s v="CLR51-99-006"/>
    <x v="1"/>
    <m/>
    <m/>
    <m/>
    <s v="Agus Suyoto"/>
    <s v="Febby Supplier"/>
    <s v="3515171206680002"/>
    <s v="N 8267 TE"/>
    <m/>
    <x v="2"/>
    <s v="Mulyorejo RW 04 Sukun"/>
    <e v="#N/A"/>
    <e v="#N/A"/>
    <s v="OUTBOUND_"/>
  </r>
  <r>
    <s v="071"/>
    <m/>
    <x v="1"/>
    <s v="OUB-W0012309-17"/>
    <s v="EJ-Malang-01"/>
    <s v="Oka-0813-2707-1646"/>
    <x v="14"/>
    <d v="1899-12-30T07:47:00"/>
    <s v="EJ-MALANG-01"/>
    <x v="0"/>
    <x v="4"/>
    <s v="ZTE1002"/>
    <s v="Pcs"/>
    <n v="6"/>
    <s v="CLR51-99-006"/>
    <x v="1"/>
    <m/>
    <m/>
    <m/>
    <s v="Asmat"/>
    <s v="Febby Supplier"/>
    <s v="3515171206680002"/>
    <s v="N 8267 TE"/>
    <m/>
    <x v="2"/>
    <s v="Mulyorejo RW 04 Sukun"/>
    <e v="#N/A"/>
    <e v="#N/A"/>
    <s v="OUTBOUND_"/>
  </r>
  <r>
    <s v="072"/>
    <m/>
    <x v="1"/>
    <s v="OUB-W0012309-17"/>
    <s v="EJ-Malang-01"/>
    <s v="Oka-0813-2707-1646"/>
    <x v="14"/>
    <d v="1899-12-30T07:47:00"/>
    <s v="EJ-MALANG-01"/>
    <x v="0"/>
    <x v="5"/>
    <s v="ZTE1001"/>
    <s v="Pcs"/>
    <n v="12"/>
    <s v="CLR51-99-006"/>
    <x v="1"/>
    <m/>
    <m/>
    <m/>
    <s v="Asmat"/>
    <s v="Febby Supplier"/>
    <s v="3515171206680002"/>
    <s v="N 8267 TE"/>
    <m/>
    <x v="2"/>
    <s v="Mulyorejo RW 04 Sukun"/>
    <e v="#N/A"/>
    <e v="#N/A"/>
    <s v="OUTBOUND_"/>
  </r>
  <r>
    <s v="073"/>
    <m/>
    <x v="1"/>
    <s v="OUB-W0012309-19"/>
    <s v="EJ-Malang-01"/>
    <s v="Oka-0813-2707-1646"/>
    <x v="15"/>
    <d v="1899-12-30T16:37:00"/>
    <s v="EJ-MALANG-01"/>
    <x v="0"/>
    <x v="1"/>
    <s v="ZTE2003"/>
    <s v="Meter"/>
    <n v="3000"/>
    <s v="CLR51-99-006"/>
    <x v="1"/>
    <m/>
    <m/>
    <m/>
    <s v="Asmat"/>
    <s v="Febby Supplier"/>
    <s v="3509041306820004"/>
    <s v="N 8267TE"/>
    <s v="new hasbelUSE 605, sisa 2395"/>
    <x v="3"/>
    <s v="Mulyorejo RW 04 Sukun"/>
    <e v="#N/A"/>
    <e v="#N/A"/>
    <s v="OUTBOUND_H-ADSS 48C-202391-01"/>
  </r>
  <r>
    <s v="074"/>
    <m/>
    <x v="0"/>
    <s v="INB-W0012309-20"/>
    <s v="EJ-Malang-01"/>
    <s v="Oka-0813-2707-1646"/>
    <x v="15"/>
    <d v="1900-01-14T07:00:00"/>
    <s v="FIELD TEAM"/>
    <x v="1"/>
    <x v="7"/>
    <s v="GCI1014"/>
    <s v="Pcs"/>
    <n v="82"/>
    <s v="CLR51-99-004"/>
    <x v="0"/>
    <n v="0"/>
    <n v="0"/>
    <m/>
    <m/>
    <m/>
    <m/>
    <m/>
    <s v="Pengembalian Perumahan Bumi Podo Rukun Dau"/>
    <x v="2"/>
    <s v="Perumahan Bumi Podo Rukun Dau"/>
    <e v="#N/A"/>
    <e v="#N/A"/>
    <s v="OUTBOUND_"/>
  </r>
  <r>
    <s v="075"/>
    <m/>
    <x v="0"/>
    <s v="INB-W0012309-20"/>
    <s v="EJ-Malang-01"/>
    <s v="Oka-0813-2707-1646"/>
    <x v="15"/>
    <d v="1900-01-14T07:00:00"/>
    <s v="FIELD TEAM"/>
    <x v="1"/>
    <x v="9"/>
    <s v="GCI1001"/>
    <s v="Pcs"/>
    <n v="1"/>
    <s v="CLR51-99-004"/>
    <x v="0"/>
    <n v="0"/>
    <n v="0"/>
    <m/>
    <m/>
    <m/>
    <m/>
    <m/>
    <s v="Pengembalian Perumahan Bumi Podo Rukun Dau"/>
    <x v="2"/>
    <s v="Perumahan Bumi Podo Rukun Dau"/>
    <e v="#N/A"/>
    <e v="#N/A"/>
    <s v="OUTBOUND_"/>
  </r>
  <r>
    <s v="076"/>
    <m/>
    <x v="0"/>
    <s v="INB-W0012309-20"/>
    <s v="EJ-Malang-01"/>
    <s v="Oka-0813-2707-1646"/>
    <x v="15"/>
    <d v="1900-01-14T07:00:00"/>
    <s v="FIELD TEAM"/>
    <x v="1"/>
    <x v="10"/>
    <s v="GCI1009"/>
    <s v="Pcs"/>
    <n v="32"/>
    <s v="CLR51-99-004"/>
    <x v="0"/>
    <n v="0"/>
    <n v="0"/>
    <m/>
    <m/>
    <m/>
    <m/>
    <m/>
    <s v="Pengembalian Perumahan Bumi Podo Rukun Dau"/>
    <x v="2"/>
    <s v="Perumahan Bumi Podo Rukun Dau"/>
    <e v="#N/A"/>
    <e v="#N/A"/>
    <s v="OUTBOUND_"/>
  </r>
  <r>
    <s v="077"/>
    <m/>
    <x v="1"/>
    <s v="OUB-W0012309-19"/>
    <s v="EJ-Malang-01"/>
    <s v="Oka-0813-2707-1646"/>
    <x v="15"/>
    <d v="1899-12-30T16:37:00"/>
    <s v="EJ-MALANG-01"/>
    <x v="1"/>
    <x v="10"/>
    <s v="GCI1009"/>
    <s v="Pcs"/>
    <n v="32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78"/>
    <m/>
    <x v="1"/>
    <s v="OUB-W0012309-19"/>
    <s v="EJ-Malang-01"/>
    <s v="Oka-0813-2707-1646"/>
    <x v="15"/>
    <d v="1899-12-30T16:37:00"/>
    <s v="EJ-MALANG-01"/>
    <x v="1"/>
    <x v="11"/>
    <s v="GCI1002"/>
    <s v="Pcs"/>
    <n v="1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79"/>
    <m/>
    <x v="0"/>
    <s v="INB-W0012309-20"/>
    <s v="EJ-Malang-01"/>
    <s v="Oka-0813-2707-1646"/>
    <x v="15"/>
    <d v="1900-01-14T07:00:00"/>
    <s v="FIELD TEAM"/>
    <x v="0"/>
    <x v="4"/>
    <s v="ZTE1002"/>
    <s v="Pcs"/>
    <n v="2"/>
    <s v="CLR51-99-006"/>
    <x v="1"/>
    <n v="0"/>
    <n v="0"/>
    <m/>
    <m/>
    <m/>
    <m/>
    <m/>
    <m/>
    <x v="2"/>
    <s v="Mulyorejo RW 04 Sukun"/>
    <e v="#N/A"/>
    <e v="#N/A"/>
    <s v="OUTBOUND_"/>
  </r>
  <r>
    <s v="080"/>
    <m/>
    <x v="1"/>
    <s v="OUB-W0012309-18"/>
    <s v="EJ-Malang-01"/>
    <s v="Oka-0813-2707-1646"/>
    <x v="15"/>
    <d v="1899-12-30T07:38:00"/>
    <s v="EJ-MALANG-01"/>
    <x v="0"/>
    <x v="4"/>
    <s v="ZTE1002"/>
    <s v="Pcs"/>
    <n v="2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81"/>
    <m/>
    <x v="1"/>
    <s v="OUB-W0012309-18"/>
    <s v="EJ-Malang-01"/>
    <s v="Oka-0813-2707-1646"/>
    <x v="15"/>
    <d v="1899-12-30T07:38:00"/>
    <s v="EJ-MALANG-01"/>
    <x v="0"/>
    <x v="5"/>
    <s v="ZTE1001"/>
    <s v="Pcs"/>
    <n v="2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82"/>
    <m/>
    <x v="1"/>
    <s v="OUB-W0012309-18"/>
    <s v="EJ-Malang-01"/>
    <s v="Oka-0813-2707-1646"/>
    <x v="15"/>
    <d v="1899-12-30T07:38:00"/>
    <s v="EJ-MALANG-01"/>
    <x v="0"/>
    <x v="19"/>
    <s v="ZTE1003"/>
    <s v="Pcs"/>
    <n v="3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83"/>
    <m/>
    <x v="0"/>
    <s v="INB-W0012309-20"/>
    <s v="EJ-Malang-01"/>
    <s v="Oka-0813-2707-1646"/>
    <x v="15"/>
    <d v="1900-01-14T07:00:00"/>
    <s v="FIELD TEAM"/>
    <x v="1"/>
    <x v="12"/>
    <s v="GCI1008"/>
    <s v="Pcs"/>
    <n v="23"/>
    <s v="CLR51-99-004"/>
    <x v="0"/>
    <n v="0"/>
    <n v="0"/>
    <m/>
    <m/>
    <m/>
    <m/>
    <m/>
    <s v="Pengembalian Perumahan Bumi Podo Rukun Dau"/>
    <x v="2"/>
    <s v="Perumahan Bumi Podo Rukun Dau"/>
    <e v="#N/A"/>
    <e v="#N/A"/>
    <s v="OUTBOUND_"/>
  </r>
  <r>
    <s v="084"/>
    <m/>
    <x v="1"/>
    <s v="OUB-W0012309-19"/>
    <s v="EJ-Malang-01"/>
    <s v="Oka-0813-2707-1646"/>
    <x v="15"/>
    <d v="1899-12-30T16:37:00"/>
    <s v="EJ-MALANG-01"/>
    <x v="1"/>
    <x v="12"/>
    <s v="GCI1008"/>
    <s v="Pcs"/>
    <n v="20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85"/>
    <m/>
    <x v="0"/>
    <s v="INB-W0012309-20"/>
    <s v="EJ-Malang-01"/>
    <s v="Oka-0813-2707-1646"/>
    <x v="15"/>
    <d v="1900-01-14T07:00:00"/>
    <s v="FIELD TEAM"/>
    <x v="1"/>
    <x v="13"/>
    <s v="GCI1007"/>
    <s v="Pcs"/>
    <n v="14"/>
    <s v="CLR51-99-004"/>
    <x v="0"/>
    <n v="0"/>
    <n v="0"/>
    <m/>
    <m/>
    <m/>
    <m/>
    <m/>
    <s v="Pengembalian Perumahan Bumi Podo Rukun Dau"/>
    <x v="2"/>
    <s v="Perumahan Bumi Podo Rukun Dau"/>
    <e v="#N/A"/>
    <e v="#N/A"/>
    <s v="OUTBOUND_"/>
  </r>
  <r>
    <s v="086"/>
    <m/>
    <x v="1"/>
    <s v="OUB-W0012309-19"/>
    <s v="EJ-Malang-01"/>
    <s v="Oka-0813-2707-1646"/>
    <x v="15"/>
    <d v="1899-12-30T16:37:00"/>
    <s v="EJ-MALANG-01"/>
    <x v="1"/>
    <x v="13"/>
    <s v="GCI1007"/>
    <s v="Pcs"/>
    <n v="80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87"/>
    <m/>
    <x v="0"/>
    <s v="INB-W0012309-20"/>
    <s v="EJ-Malang-01"/>
    <s v="Oka-0813-2707-1646"/>
    <x v="15"/>
    <d v="1900-01-14T07:00:00"/>
    <s v="FIELD TEAM"/>
    <x v="1"/>
    <x v="14"/>
    <s v="GCI1006"/>
    <s v="Pcs"/>
    <n v="14"/>
    <s v="CLR51-99-004"/>
    <x v="0"/>
    <n v="0"/>
    <n v="0"/>
    <m/>
    <m/>
    <m/>
    <m/>
    <m/>
    <s v="Pengembalian Perumahan Bumi Podo Rukun Dau"/>
    <x v="2"/>
    <s v="Perumahan Bumi Podo Rukun Dau"/>
    <e v="#N/A"/>
    <e v="#N/A"/>
    <s v="OUTBOUND_"/>
  </r>
  <r>
    <s v="088"/>
    <m/>
    <x v="1"/>
    <s v="OUB-W0012309-19"/>
    <s v="EJ-Malang-01"/>
    <s v="Oka-0813-2707-1646"/>
    <x v="15"/>
    <d v="1899-12-30T16:37:00"/>
    <s v="EJ-MALANG-01"/>
    <x v="1"/>
    <x v="14"/>
    <s v="GCI1006"/>
    <s v="Pcs"/>
    <n v="80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89"/>
    <m/>
    <x v="1"/>
    <s v="OUB-W0012309-19"/>
    <s v="EJ-Malang-01"/>
    <s v="Oka-0813-2707-1646"/>
    <x v="15"/>
    <d v="1899-12-30T16:37:00"/>
    <s v="EJ-MALANG-01"/>
    <x v="1"/>
    <x v="15"/>
    <s v="GCI1003"/>
    <s v="Pcs"/>
    <n v="100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90"/>
    <m/>
    <x v="0"/>
    <s v="INB-W0012309-20"/>
    <s v="EJ-Malang-01"/>
    <s v="Oka-0813-2707-1646"/>
    <x v="15"/>
    <d v="1900-01-14T07:00:00"/>
    <s v="FIELD TEAM"/>
    <x v="1"/>
    <x v="16"/>
    <s v="GCI1004"/>
    <s v="Pcs"/>
    <n v="72"/>
    <s v="CLR51-99-004"/>
    <x v="0"/>
    <n v="0"/>
    <n v="0"/>
    <m/>
    <m/>
    <m/>
    <m/>
    <m/>
    <s v="Pengembalian Perumahan Bumi Podo Rukun Dau"/>
    <x v="2"/>
    <s v="Perumahan Bumi Podo Rukun Dau"/>
    <e v="#N/A"/>
    <e v="#N/A"/>
    <s v="OUTBOUND_"/>
  </r>
  <r>
    <s v="091"/>
    <m/>
    <x v="1"/>
    <s v="OUB-W0012309-19"/>
    <s v="EJ-Malang-01"/>
    <s v="Oka-0813-2707-1646"/>
    <x v="15"/>
    <d v="1899-12-30T16:37:00"/>
    <s v="EJ-MALANG-01"/>
    <x v="1"/>
    <x v="16"/>
    <s v="GCI1004"/>
    <s v="Pcs"/>
    <n v="72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92"/>
    <m/>
    <x v="0"/>
    <s v="INB-W0012309-22"/>
    <s v="EJ-Malang-01"/>
    <s v="Oka-0813-2707-1646"/>
    <x v="16"/>
    <d v="1900-01-14T07:00:00"/>
    <s v="GCI Procurement"/>
    <x v="1"/>
    <x v="18"/>
    <s v="GCI1012"/>
    <s v="Pcs"/>
    <n v="113"/>
    <s v="CLR51-99-006"/>
    <x v="1"/>
    <n v="0"/>
    <n v="0"/>
    <m/>
    <m/>
    <m/>
    <m/>
    <m/>
    <s v="Note cek di supplier kurang 13pcs"/>
    <x v="2"/>
    <s v="Mulyorejo RW 04 Sukun"/>
    <e v="#N/A"/>
    <e v="#N/A"/>
    <s v="OUTBOUND_"/>
  </r>
  <r>
    <s v="093"/>
    <m/>
    <x v="1"/>
    <s v="OUB-W0012309-21"/>
    <s v="EJ-Malang-01"/>
    <s v="Oka-0813-2707-1646"/>
    <x v="16"/>
    <d v="1899-12-30T08:38:00"/>
    <s v="EJ-MALANG-01"/>
    <x v="1"/>
    <x v="18"/>
    <s v="GCI1012"/>
    <s v="Pcs"/>
    <n v="113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94"/>
    <m/>
    <x v="1"/>
    <s v="OUB-W0012309-23"/>
    <s v="EJ-Malang-01"/>
    <s v="Oka-0813-2707-1646"/>
    <x v="17"/>
    <d v="1899-12-30T08:08:00"/>
    <s v="EJ-MALANG-01"/>
    <x v="1"/>
    <x v="8"/>
    <s v="GCI1005"/>
    <s v="Pcs"/>
    <n v="68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95"/>
    <m/>
    <x v="1"/>
    <s v="OUB-W0012309-23"/>
    <s v="EJ-Malang-01"/>
    <s v="Oka-0813-2707-1646"/>
    <x v="17"/>
    <d v="1899-12-30T08:08:00"/>
    <s v="EJ-MALANG-01"/>
    <x v="1"/>
    <x v="10"/>
    <s v="GCI1009"/>
    <s v="Pcs"/>
    <n v="30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96"/>
    <m/>
    <x v="1"/>
    <s v="OUB-W0012309-23"/>
    <s v="EJ-Malang-01"/>
    <s v="Oka-0813-2707-1646"/>
    <x v="17"/>
    <d v="1899-12-30T08:08:00"/>
    <s v="EJ-MALANG-01"/>
    <x v="0"/>
    <x v="4"/>
    <s v="ZTE1002"/>
    <s v="Pcs"/>
    <n v="2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97"/>
    <m/>
    <x v="1"/>
    <s v="OUB-W0012309-23"/>
    <s v="EJ-Malang-01"/>
    <s v="Oka-0813-2707-1646"/>
    <x v="17"/>
    <d v="1899-12-30T08:08:00"/>
    <s v="EJ-MALANG-01"/>
    <x v="1"/>
    <x v="12"/>
    <s v="GCI1008"/>
    <s v="Pcs"/>
    <n v="20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098"/>
    <m/>
    <x v="0"/>
    <s v="INB-W0012309-27"/>
    <s v="EJ-Malang-01"/>
    <s v="Oka-0813-2707-1646"/>
    <x v="18"/>
    <d v="1900-01-14T07:00:00"/>
    <s v="GCI Procurement"/>
    <x v="1"/>
    <x v="18"/>
    <s v="GCI1012"/>
    <s v="Pcs"/>
    <n v="13"/>
    <s v="CLR51-99-006"/>
    <x v="1"/>
    <n v="0"/>
    <n v="0"/>
    <m/>
    <m/>
    <m/>
    <m/>
    <m/>
    <s v="kekurangan 13 pcs di kirim supplier via bus tentrem"/>
    <x v="2"/>
    <s v="Mulyorejo RW 04 Sukun"/>
    <e v="#N/A"/>
    <e v="#N/A"/>
    <s v="OUTBOUND_"/>
  </r>
  <r>
    <s v="099"/>
    <m/>
    <x v="1"/>
    <s v="OUB-W0012309-24"/>
    <s v="EJ-Malang-01"/>
    <s v="Oka-0813-2707-1646"/>
    <x v="18"/>
    <d v="1899-12-30T08:54:00"/>
    <s v="EJ-MALANG-01"/>
    <x v="1"/>
    <x v="18"/>
    <s v="GCI1012"/>
    <s v="Pcs"/>
    <n v="13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100"/>
    <m/>
    <x v="0"/>
    <s v="INB-W0012309-26"/>
    <s v="EJ-Malang-01"/>
    <s v="Oka-0813-2707-1646"/>
    <x v="18"/>
    <d v="1899-12-30T16:14:00"/>
    <s v="FIELD TEAM"/>
    <x v="1"/>
    <x v="10"/>
    <s v="GCI1009"/>
    <s v="Pcs"/>
    <n v="8"/>
    <s v="CLR51-99-006"/>
    <x v="1"/>
    <n v="0"/>
    <n v="0"/>
    <m/>
    <m/>
    <m/>
    <m/>
    <m/>
    <s v="Pengembalian dari Mulyorejo RW 04 Sukun"/>
    <x v="2"/>
    <s v="Mulyorejo RW 04 Sukun"/>
    <e v="#N/A"/>
    <e v="#N/A"/>
    <s v="OUTBOUND_"/>
  </r>
  <r>
    <s v="101"/>
    <m/>
    <x v="1"/>
    <s v="OUB-W0012309-24"/>
    <s v="EJ-Malang-01"/>
    <s v="Oka-0813-2707-1646"/>
    <x v="18"/>
    <d v="1899-12-30T08:54:00"/>
    <s v="EJ-MALANG-01"/>
    <x v="1"/>
    <x v="10"/>
    <s v="GCI1009"/>
    <s v="Pcs"/>
    <n v="20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102"/>
    <m/>
    <x v="0"/>
    <s v="INB-W0012309-27"/>
    <s v="EJ-Malang-01"/>
    <s v="Oka-0813-2707-1646"/>
    <x v="18"/>
    <d v="1900-01-14T07:00:00"/>
    <s v="GCI Procurement"/>
    <x v="1"/>
    <x v="17"/>
    <s v="GCI1013"/>
    <s v="Pcs"/>
    <n v="36"/>
    <s v="CLR51-99-006"/>
    <x v="1"/>
    <n v="0"/>
    <n v="0"/>
    <m/>
    <m/>
    <m/>
    <m/>
    <m/>
    <m/>
    <x v="2"/>
    <s v="Mulyorejo RW 04 Sukun"/>
    <e v="#N/A"/>
    <e v="#N/A"/>
    <s v="OUTBOUND_"/>
  </r>
  <r>
    <s v="103"/>
    <m/>
    <x v="1"/>
    <s v="OUB-W0012309-24"/>
    <s v="EJ-Malang-01"/>
    <s v="Oka-0813-2707-1646"/>
    <x v="18"/>
    <d v="1899-12-30T08:54:00"/>
    <s v="EJ-MALANG-01"/>
    <x v="1"/>
    <x v="17"/>
    <s v="GCI1013"/>
    <s v="Pcs"/>
    <n v="36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104"/>
    <m/>
    <x v="0"/>
    <s v="INB-W0012309-26"/>
    <s v="EJ-Malang-01"/>
    <s v="Oka-0813-2707-1646"/>
    <x v="18"/>
    <d v="1899-12-30T16:14:00"/>
    <s v="FIELD TEAM"/>
    <x v="1"/>
    <x v="12"/>
    <s v="GCI1008"/>
    <s v="Pcs"/>
    <n v="24"/>
    <s v="CLR51-99-006"/>
    <x v="1"/>
    <n v="0"/>
    <n v="0"/>
    <m/>
    <m/>
    <m/>
    <m/>
    <m/>
    <s v="Pengembalian dari Mulyorejo RW 04 Sukun"/>
    <x v="2"/>
    <s v="Mulyorejo RW 04 Sukun"/>
    <e v="#N/A"/>
    <e v="#N/A"/>
    <s v="OUTBOUND_"/>
  </r>
  <r>
    <s v="105"/>
    <m/>
    <x v="1"/>
    <s v="OUB-W0012309-25"/>
    <s v="EJ-Malang-01"/>
    <s v="Oka-0813-2707-1646"/>
    <x v="18"/>
    <d v="1899-12-30T09:54:00"/>
    <s v="EJ-MALANG-01"/>
    <x v="1"/>
    <x v="12"/>
    <s v="GCI1008"/>
    <s v="Pcs"/>
    <n v="10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106"/>
    <m/>
    <x v="0"/>
    <s v="INB-W0012309-26"/>
    <s v="EJ-Malang-01"/>
    <s v="Oka-0813-2707-1646"/>
    <x v="18"/>
    <d v="1899-12-30T16:14:00"/>
    <s v="FIELD TEAM"/>
    <x v="1"/>
    <x v="13"/>
    <s v="GCI1007"/>
    <s v="Pcs"/>
    <n v="6"/>
    <s v="CLR51-99-006"/>
    <x v="1"/>
    <n v="0"/>
    <n v="0"/>
    <m/>
    <m/>
    <m/>
    <m/>
    <m/>
    <s v="Pengembalian dari Mulyorejo RW 04 Sukun"/>
    <x v="2"/>
    <s v="Mulyorejo RW 04 Sukun"/>
    <e v="#N/A"/>
    <e v="#N/A"/>
    <s v="OUTBOUND_"/>
  </r>
  <r>
    <s v="107"/>
    <m/>
    <x v="1"/>
    <s v="OUB-W0012309-24"/>
    <s v="EJ-Malang-01"/>
    <s v="Oka-0813-2707-1646"/>
    <x v="18"/>
    <d v="1899-12-30T08:54:00"/>
    <s v="EJ-MALANG-01"/>
    <x v="1"/>
    <x v="13"/>
    <s v="GCI1007"/>
    <s v="Pcs"/>
    <n v="20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108"/>
    <m/>
    <x v="0"/>
    <s v="INB-W0012309-26"/>
    <s v="EJ-Malang-01"/>
    <s v="Oka-0813-2707-1646"/>
    <x v="18"/>
    <d v="1899-12-30T16:14:00"/>
    <s v="FIELD TEAM"/>
    <x v="1"/>
    <x v="14"/>
    <s v="GCI1006"/>
    <s v="Pcs"/>
    <n v="6"/>
    <s v="CLR51-99-006"/>
    <x v="1"/>
    <n v="0"/>
    <n v="0"/>
    <m/>
    <m/>
    <m/>
    <m/>
    <m/>
    <s v="Pengembalian dari Mulyorejo RW 04 Sukun"/>
    <x v="2"/>
    <s v="Mulyorejo RW 04 Sukun"/>
    <e v="#N/A"/>
    <e v="#N/A"/>
    <s v="OUTBOUND_"/>
  </r>
  <r>
    <s v="109"/>
    <m/>
    <x v="1"/>
    <s v="OUB-W0012309-24"/>
    <s v="EJ-Malang-01"/>
    <s v="Oka-0813-2707-1646"/>
    <x v="18"/>
    <d v="1899-12-30T08:54:00"/>
    <s v="EJ-MALANG-01"/>
    <x v="1"/>
    <x v="14"/>
    <s v="GCI1006"/>
    <s v="Pcs"/>
    <n v="20"/>
    <s v="CLR51-99-006"/>
    <x v="1"/>
    <m/>
    <m/>
    <m/>
    <s v="Asmat"/>
    <s v="Febby Supplier"/>
    <s v="3509041306820004"/>
    <s v="N 8267TE"/>
    <m/>
    <x v="2"/>
    <s v="Mulyorejo RW 04 Sukun"/>
    <e v="#N/A"/>
    <e v="#N/A"/>
    <s v="OUTBOUND_"/>
  </r>
  <r>
    <s v="110"/>
    <m/>
    <x v="0"/>
    <s v="INB-W0012309-26"/>
    <s v="EJ-Malang-01"/>
    <s v="Oka-0813-2707-1646"/>
    <x v="18"/>
    <d v="1899-12-30T16:14:00"/>
    <s v="FIELD TEAM"/>
    <x v="1"/>
    <x v="16"/>
    <s v="GCI1004"/>
    <s v="Pcs"/>
    <n v="60"/>
    <s v="CLR51-99-006"/>
    <x v="1"/>
    <n v="0"/>
    <n v="0"/>
    <m/>
    <m/>
    <m/>
    <m/>
    <m/>
    <s v="Pengembalian dari Mulyorejo RW 04 Sukun"/>
    <x v="2"/>
    <s v="Mulyorejo RW 04 Sukun"/>
    <e v="#N/A"/>
    <e v="#N/A"/>
    <s v="OUTBOUND_"/>
  </r>
  <r>
    <s v="111"/>
    <m/>
    <x v="1"/>
    <s v="OUB-W0012309-28"/>
    <s v="EJ-Malang-01"/>
    <s v="Oka-0813-2707-1646"/>
    <x v="19"/>
    <d v="1899-12-30T09:09:00"/>
    <s v="EJ-MALANG-01"/>
    <x v="0"/>
    <x v="2"/>
    <s v="ZTE2008"/>
    <s v="Pcs"/>
    <n v="17"/>
    <s v="CLR51-99-006"/>
    <x v="1"/>
    <m/>
    <m/>
    <m/>
    <s v="Wisda Aqsa Fatwa"/>
    <s v="Febby Supplier"/>
    <s v="3515110909990007"/>
    <s v="N 8431 TD"/>
    <m/>
    <x v="2"/>
    <s v="Mulyorejo RW 04 Sukun"/>
    <e v="#N/A"/>
    <e v="#N/A"/>
    <s v="OUTBOUND_"/>
  </r>
  <r>
    <s v="112"/>
    <m/>
    <x v="1"/>
    <s v="OUB-W0012309-28"/>
    <s v="EJ-Malang-01"/>
    <s v="Oka-0813-2707-1646"/>
    <x v="19"/>
    <d v="1899-12-30T09:09:00"/>
    <s v="EJ-MALANG-01"/>
    <x v="0"/>
    <x v="3"/>
    <s v="ZTE2005"/>
    <s v="Pcs"/>
    <n v="1"/>
    <s v="CLR51-99-006"/>
    <x v="1"/>
    <m/>
    <m/>
    <m/>
    <s v="Wisda Aqsa Fatwa"/>
    <s v="Febby Supplier"/>
    <s v="3515110909990007"/>
    <s v="N 8431 TD"/>
    <m/>
    <x v="2"/>
    <s v="Mulyorejo RW 04 Sukun"/>
    <e v="#N/A"/>
    <e v="#N/A"/>
    <s v="OUTBOUND_"/>
  </r>
  <r>
    <s v="113"/>
    <m/>
    <x v="2"/>
    <s v="TFI-W0012309-29"/>
    <s v="EJ-Malang-01"/>
    <s v="Oka-0813-2707-1646"/>
    <x v="20"/>
    <d v="1900-01-14T07:00:00"/>
    <s v="EJ-KEDIRI-01"/>
    <x v="1"/>
    <x v="18"/>
    <s v="GCI1012"/>
    <s v="Pcs"/>
    <n v="8"/>
    <s v="TRF"/>
    <x v="2"/>
    <n v="0"/>
    <n v="0"/>
    <m/>
    <m/>
    <m/>
    <m/>
    <m/>
    <s v="exwonocatur untuk kekurangan bumi podo rukun"/>
    <x v="2"/>
    <s v="KEDIRI"/>
    <e v="#N/A"/>
    <e v="#N/A"/>
    <s v="OUTBOUND_"/>
  </r>
  <r>
    <s v="114"/>
    <m/>
    <x v="1"/>
    <s v="OUB-W0012309-29"/>
    <s v="EJ-Malang-01"/>
    <s v="Oka-0813-2707-1646"/>
    <x v="20"/>
    <d v="1900-01-14T07:00:00"/>
    <s v="EJ-MALANG-01"/>
    <x v="0"/>
    <x v="2"/>
    <s v="ZTE2008"/>
    <s v="Pcs"/>
    <n v="1"/>
    <s v="CLR51-99-006"/>
    <x v="1"/>
    <n v="0"/>
    <s v="TRANSFER GUDANG"/>
    <m/>
    <m/>
    <m/>
    <m/>
    <m/>
    <s v="Transfer Gudang dari Kediri ke  Malang Approval Yanuar , Untuk Site Mulyorejo4"/>
    <x v="2"/>
    <s v="Mulyorejo RW 04 Sukun"/>
    <e v="#N/A"/>
    <e v="#N/A"/>
    <s v="OUTBOUND_"/>
  </r>
  <r>
    <s v="115"/>
    <m/>
    <x v="2"/>
    <s v="TFI-W0012309-29"/>
    <s v="EJ-Malang-01"/>
    <s v="Oka-0813-2707-1646"/>
    <x v="20"/>
    <d v="1900-01-14T07:00:00"/>
    <s v="EJ-KEDIRI-01"/>
    <x v="0"/>
    <x v="2"/>
    <s v="ZTE2008"/>
    <s v="Pcs"/>
    <n v="1"/>
    <s v="TRF"/>
    <x v="2"/>
    <n v="0"/>
    <s v="TRANSFER GUDANG"/>
    <m/>
    <m/>
    <m/>
    <m/>
    <m/>
    <s v="Transfer Gudang dari Kediri ke  Malang Approval Yanuar , Untuk Site Mulyorejo4"/>
    <x v="2"/>
    <s v="KEDIRI"/>
    <e v="#N/A"/>
    <e v="#N/A"/>
    <s v="OUTBOUND_"/>
  </r>
  <r>
    <s v="116"/>
    <m/>
    <x v="0"/>
    <s v="INB-W0012309-30"/>
    <s v="EJ-Malang-01"/>
    <s v="Oka-0813-2707-1646"/>
    <x v="21"/>
    <d v="1900-01-14T07:00:00"/>
    <s v="ZTE Warehouse"/>
    <x v="0"/>
    <x v="1"/>
    <s v="ZTE2003"/>
    <s v="Meter"/>
    <n v="3000"/>
    <s v="CLR51-99-014"/>
    <x v="3"/>
    <s v="DOEID23091556"/>
    <s v="DNWID0342023091501"/>
    <m/>
    <m/>
    <m/>
    <m/>
    <m/>
    <m/>
    <x v="4"/>
    <s v="Pandan Landung RW 04 Wagir"/>
    <d v="2023-09-16T00:00:00"/>
    <b v="1"/>
    <s v="OUTBOUND_H-ADSS 48C-2023916-01"/>
  </r>
  <r>
    <s v="117"/>
    <m/>
    <x v="0"/>
    <s v="INB-W0012309-30"/>
    <s v="EJ-Malang-01"/>
    <s v="Oka-0813-2707-1646"/>
    <x v="21"/>
    <d v="1900-01-14T07:00:00"/>
    <s v="ZTE Warehouse"/>
    <x v="0"/>
    <x v="2"/>
    <s v="ZTE2008"/>
    <s v="Pcs"/>
    <n v="11"/>
    <s v="CLR51-99-014"/>
    <x v="4"/>
    <s v="DOEID23091556"/>
    <s v="DNWID0342023091501"/>
    <m/>
    <m/>
    <m/>
    <m/>
    <m/>
    <m/>
    <x v="2"/>
    <s v="Pandanlandung RW   04   Wagir"/>
    <d v="2023-09-16T00:00:00"/>
    <b v="1"/>
    <s v="OUTBOUND_"/>
  </r>
  <r>
    <s v="118"/>
    <m/>
    <x v="0"/>
    <s v="INB-W0012309-30"/>
    <s v="EJ-Malang-01"/>
    <s v="Oka-0813-2707-1646"/>
    <x v="21"/>
    <d v="1900-01-14T07:00:00"/>
    <s v="ZTE Warehouse"/>
    <x v="0"/>
    <x v="20"/>
    <s v="ZTE1004"/>
    <s v="Pcs"/>
    <n v="1"/>
    <s v="CLR51-99-013"/>
    <x v="5"/>
    <s v="DOEID23091557"/>
    <s v="DNWID0362023091502"/>
    <m/>
    <m/>
    <m/>
    <m/>
    <m/>
    <m/>
    <x v="2"/>
    <s v="Pandanlandung RW   03   Wagir"/>
    <d v="2023-09-16T00:00:00"/>
    <b v="1"/>
    <s v="OUTBOUND_"/>
  </r>
  <r>
    <s v="119"/>
    <m/>
    <x v="0"/>
    <s v="INB-W0012309-30"/>
    <s v="EJ-Malang-01"/>
    <s v="Oka-0813-2707-1646"/>
    <x v="21"/>
    <d v="1900-01-14T07:00:00"/>
    <s v="ZTE Warehouse"/>
    <x v="0"/>
    <x v="20"/>
    <s v="ZTE1004"/>
    <s v="Pcs"/>
    <n v="1"/>
    <s v="CLR51-99-014"/>
    <x v="4"/>
    <s v="DOEID23091555"/>
    <s v="DNWID0362023091501"/>
    <m/>
    <m/>
    <m/>
    <m/>
    <m/>
    <m/>
    <x v="2"/>
    <s v="Pandanlandung RW   04   Wagir"/>
    <d v="2023-09-16T00:00:00"/>
    <b v="1"/>
    <s v="OUTBOUND_"/>
  </r>
  <r>
    <s v="120"/>
    <m/>
    <x v="0"/>
    <s v="INB-W0012309-30"/>
    <s v="EJ-Malang-01"/>
    <s v="Oka-0813-2707-1646"/>
    <x v="21"/>
    <d v="1900-01-14T07:00:00"/>
    <s v="ZTE Warehouse"/>
    <x v="0"/>
    <x v="4"/>
    <s v="ZTE1002"/>
    <s v="Pcs"/>
    <n v="3"/>
    <s v="CLR51-99-013"/>
    <x v="6"/>
    <s v="DOEID23091557"/>
    <s v="DNWID0362023091502"/>
    <m/>
    <s v="Ahmad Subari"/>
    <m/>
    <m/>
    <m/>
    <m/>
    <x v="2"/>
    <s v="Pandan Landung RW 03 Wagir"/>
    <d v="2023-09-16T00:00:00"/>
    <b v="1"/>
    <s v="OUTBOUND_"/>
  </r>
  <r>
    <s v="121"/>
    <m/>
    <x v="0"/>
    <s v="INB-W0012309-30"/>
    <s v="EJ-Malang-01"/>
    <s v="Oka-0813-2707-1646"/>
    <x v="21"/>
    <d v="1900-01-14T07:00:00"/>
    <s v="ZTE Warehouse"/>
    <x v="0"/>
    <x v="4"/>
    <s v="ZTE1002"/>
    <s v="Pcs"/>
    <n v="4"/>
    <s v="CLR51-99-014"/>
    <x v="3"/>
    <s v="DOEID23091555"/>
    <s v="DNWID0362023091501"/>
    <m/>
    <s v="Ahmad Subari"/>
    <m/>
    <m/>
    <m/>
    <m/>
    <x v="2"/>
    <s v="Pandan Landung RW 04 Wagir"/>
    <d v="2023-09-16T00:00:00"/>
    <b v="1"/>
    <s v="OUTBOUND_"/>
  </r>
  <r>
    <s v="122"/>
    <m/>
    <x v="0"/>
    <s v="INB-W0012309-30"/>
    <s v="EJ-Malang-01"/>
    <s v="Oka-0813-2707-1646"/>
    <x v="21"/>
    <d v="1900-01-14T07:00:00"/>
    <s v="ZTE Warehouse"/>
    <x v="0"/>
    <x v="5"/>
    <s v="ZTE1001"/>
    <s v="Pcs"/>
    <n v="23"/>
    <s v="CLR51-99-013"/>
    <x v="6"/>
    <s v="DOEID23091557"/>
    <s v="DNWID0362023091502"/>
    <m/>
    <s v="Ahmad Subari"/>
    <m/>
    <m/>
    <m/>
    <m/>
    <x v="2"/>
    <s v="Pandan Landung RW 03 Wagir"/>
    <d v="2023-09-16T00:00:00"/>
    <b v="1"/>
    <s v="OUTBOUND_"/>
  </r>
  <r>
    <s v="123"/>
    <m/>
    <x v="0"/>
    <s v="INB-W0012309-30"/>
    <s v="EJ-Malang-01"/>
    <s v="Oka-0813-2707-1646"/>
    <x v="21"/>
    <d v="1900-01-14T07:00:00"/>
    <s v="ZTE Warehouse"/>
    <x v="0"/>
    <x v="5"/>
    <s v="ZTE1001"/>
    <s v="Pcs"/>
    <n v="42"/>
    <s v="CLR51-99-014"/>
    <x v="3"/>
    <s v="DOEID23091555"/>
    <s v="DNWID0362023091501"/>
    <m/>
    <s v="Ahmad Subari"/>
    <m/>
    <m/>
    <m/>
    <m/>
    <x v="2"/>
    <s v="Pandan Landung RW 04 Wagir"/>
    <d v="2023-09-16T00:00:00"/>
    <b v="1"/>
    <s v="OUTBOUND_"/>
  </r>
  <r>
    <s v="124"/>
    <m/>
    <x v="0"/>
    <s v="INB-W0012309-30"/>
    <s v="EJ-Malang-01"/>
    <s v="Oka-0813-2707-1646"/>
    <x v="21"/>
    <d v="1900-01-14T07:00:00"/>
    <s v="ZTE Warehouse"/>
    <x v="0"/>
    <x v="19"/>
    <s v="ZTE1003"/>
    <s v="Pcs"/>
    <n v="1"/>
    <s v="CLR51-99-004"/>
    <x v="0"/>
    <s v="DOEID230914AX"/>
    <s v="DNWID0362023091402"/>
    <m/>
    <m/>
    <m/>
    <m/>
    <m/>
    <m/>
    <x v="2"/>
    <s v="Perumahan Bumi Podo Rukun Dau"/>
    <d v="2023-09-16T00:00:00"/>
    <b v="1"/>
    <s v="OUTBOUND_"/>
  </r>
  <r>
    <s v="125"/>
    <m/>
    <x v="0"/>
    <s v="INB-W0012309-30"/>
    <s v="EJ-Malang-01"/>
    <s v="Oka-0813-2707-1646"/>
    <x v="21"/>
    <d v="1900-01-14T07:00:00"/>
    <s v="ZTE Warehouse"/>
    <x v="0"/>
    <x v="19"/>
    <s v="ZTE1003"/>
    <s v="Pcs"/>
    <n v="2"/>
    <s v="CLR51-99-014"/>
    <x v="3"/>
    <s v="DOEID23091555"/>
    <s v="DNWID0362023091501"/>
    <m/>
    <m/>
    <m/>
    <m/>
    <m/>
    <m/>
    <x v="2"/>
    <s v="Pandan Landung RW 04 Wagir"/>
    <d v="2023-09-16T00:00:00"/>
    <b v="1"/>
    <s v="OUTBOUND_"/>
  </r>
  <r>
    <s v="126"/>
    <m/>
    <x v="0"/>
    <s v="INB-W0012309-31"/>
    <s v="EJ-Malang-01"/>
    <s v="Oka-0813-2707-1646"/>
    <x v="22"/>
    <d v="1900-01-14T07:00:00"/>
    <s v="ZTE Warehouse"/>
    <x v="0"/>
    <x v="0"/>
    <s v="ZTE2001"/>
    <s v="Meter"/>
    <n v="3000"/>
    <s v="CLR51-99-007"/>
    <x v="7"/>
    <s v="DOEID230918DY"/>
    <s v="DNWID0342023091808"/>
    <m/>
    <m/>
    <m/>
    <m/>
    <m/>
    <m/>
    <x v="5"/>
    <s v="Mulyorejo RW 06 Sukun"/>
    <d v="2023-09-19T00:00:00"/>
    <b v="1"/>
    <s v="OUTBOUND_H-ADSS 24C-2023919-01"/>
  </r>
  <r>
    <s v="127"/>
    <m/>
    <x v="0"/>
    <s v="INB-W0012309-31"/>
    <s v="EJ-Malang-01"/>
    <s v="Oka-0813-2707-1646"/>
    <x v="22"/>
    <d v="1900-01-14T07:00:00"/>
    <s v="ZTE Warehouse"/>
    <x v="0"/>
    <x v="2"/>
    <s v="ZTE2008"/>
    <s v="Pcs"/>
    <n v="1"/>
    <s v="CLR51-99-014"/>
    <x v="4"/>
    <s v="DOEID230918AG"/>
    <s v="DNWID0342023091803"/>
    <m/>
    <m/>
    <m/>
    <m/>
    <m/>
    <m/>
    <x v="2"/>
    <s v="Pandanlandung RW   04   Wagir"/>
    <d v="2023-09-19T00:00:00"/>
    <b v="1"/>
    <s v="OUTBOUND_"/>
  </r>
  <r>
    <s v="128"/>
    <m/>
    <x v="0"/>
    <s v="INB-W0012309-31"/>
    <s v="EJ-Malang-01"/>
    <s v="Oka-0813-2707-1646"/>
    <x v="22"/>
    <d v="1900-01-14T07:00:00"/>
    <s v="ZTE Warehouse"/>
    <x v="0"/>
    <x v="2"/>
    <s v="ZTE2008"/>
    <s v="Pcs"/>
    <n v="11"/>
    <s v="CLR51-99-007"/>
    <x v="7"/>
    <s v="DOEID230918DY"/>
    <s v="DNWID0342023091808"/>
    <m/>
    <m/>
    <m/>
    <m/>
    <m/>
    <m/>
    <x v="2"/>
    <s v="Mulyorejo RW 06 Sukun"/>
    <d v="2023-09-19T00:00:00"/>
    <b v="1"/>
    <s v="OUTBOUND_"/>
  </r>
  <r>
    <s v="129"/>
    <m/>
    <x v="0"/>
    <s v="INB-W0012309-31"/>
    <s v="EJ-Malang-01"/>
    <s v="Oka-0813-2707-1646"/>
    <x v="22"/>
    <d v="1900-01-14T07:00:00"/>
    <s v="ZTE Warehouse"/>
    <x v="0"/>
    <x v="2"/>
    <s v="ZTE2008"/>
    <s v="Pcs"/>
    <n v="16"/>
    <s v="CLR51-99-013"/>
    <x v="5"/>
    <s v="DOEID230918AH"/>
    <s v="DNWID0342023091804"/>
    <m/>
    <m/>
    <m/>
    <m/>
    <m/>
    <m/>
    <x v="2"/>
    <s v="Pandanlandung RW   03   Wagir"/>
    <d v="2023-09-19T00:00:00"/>
    <b v="1"/>
    <s v="OUTBOUND_"/>
  </r>
  <r>
    <s v="130"/>
    <m/>
    <x v="0"/>
    <s v="INB-W0012309-31"/>
    <s v="EJ-Malang-01"/>
    <s v="Oka-0813-2707-1646"/>
    <x v="22"/>
    <d v="1900-01-14T07:00:00"/>
    <s v="ZTE Warehouse"/>
    <x v="0"/>
    <x v="3"/>
    <s v="ZTE2005"/>
    <s v="Pcs"/>
    <n v="1"/>
    <s v="CLR51-99-007"/>
    <x v="7"/>
    <s v="DOEID230918DY"/>
    <s v="DNWID0342023091808"/>
    <m/>
    <m/>
    <m/>
    <m/>
    <m/>
    <m/>
    <x v="2"/>
    <s v="Mulyorejo RW 06 Sukun"/>
    <d v="2023-09-19T00:00:00"/>
    <b v="1"/>
    <s v="OUTBOUND_"/>
  </r>
  <r>
    <s v="131"/>
    <m/>
    <x v="0"/>
    <s v="INB-W0012309-31"/>
    <s v="EJ-Malang-01"/>
    <s v="Oka-0813-2707-1646"/>
    <x v="22"/>
    <d v="1900-01-14T07:00:00"/>
    <s v="ZTE Warehouse"/>
    <x v="0"/>
    <x v="3"/>
    <s v="ZTE2005"/>
    <s v="Pcs"/>
    <n v="1"/>
    <s v="CLR51-99-014"/>
    <x v="4"/>
    <s v="DOEID230918AG"/>
    <s v="DNWID0342023091803"/>
    <m/>
    <m/>
    <m/>
    <m/>
    <m/>
    <m/>
    <x v="2"/>
    <s v="Pandanlandung RW   04   Wagir"/>
    <d v="2023-09-19T00:00:00"/>
    <b v="1"/>
    <s v="OUTBOUND_"/>
  </r>
  <r>
    <s v="132"/>
    <m/>
    <x v="0"/>
    <s v="INB-W0012309-31"/>
    <s v="EJ-Malang-01"/>
    <s v="Oka-0813-2707-1646"/>
    <x v="22"/>
    <d v="1900-01-14T07:00:00"/>
    <s v="ZTE Warehouse"/>
    <x v="0"/>
    <x v="4"/>
    <s v="ZTE1002"/>
    <s v="Pcs"/>
    <n v="3"/>
    <s v="CLR51-99-007"/>
    <x v="7"/>
    <s v="DOEID230918DX"/>
    <s v="DNWID0362023091803"/>
    <m/>
    <m/>
    <m/>
    <m/>
    <m/>
    <m/>
    <x v="2"/>
    <s v="Mulyorejo RW 06 Sukun"/>
    <d v="2023-09-19T00:00:00"/>
    <b v="1"/>
    <s v="OUTBOUND_"/>
  </r>
  <r>
    <s v="133"/>
    <m/>
    <x v="0"/>
    <s v="INB-W0012309-31"/>
    <s v="EJ-Malang-01"/>
    <s v="Oka-0813-2707-1646"/>
    <x v="22"/>
    <d v="1900-01-14T07:00:00"/>
    <s v="ZTE Warehouse"/>
    <x v="0"/>
    <x v="5"/>
    <s v="ZTE1001"/>
    <s v="Pcs"/>
    <n v="18"/>
    <s v="CLR51-99-007"/>
    <x v="7"/>
    <s v="DOEID230918DX"/>
    <s v="DNWID0362023091803"/>
    <m/>
    <m/>
    <m/>
    <m/>
    <m/>
    <m/>
    <x v="2"/>
    <s v="Mulyorejo RW 06 Sukun"/>
    <d v="2023-09-19T00:00:00"/>
    <b v="1"/>
    <s v="OUTBOUND_"/>
  </r>
  <r>
    <s v="134"/>
    <m/>
    <x v="0"/>
    <s v="INB-W0012309-31"/>
    <s v="EJ-Malang-01"/>
    <s v="Oka-0813-2707-1646"/>
    <x v="22"/>
    <d v="1900-01-14T07:00:00"/>
    <s v="ZTE Warehouse"/>
    <x v="0"/>
    <x v="19"/>
    <s v="ZTE1003"/>
    <s v="Pcs"/>
    <n v="5"/>
    <s v="CLR51-99-007"/>
    <x v="7"/>
    <s v="DOEID230918DX"/>
    <s v="DNWID0362023091803"/>
    <m/>
    <m/>
    <m/>
    <m/>
    <m/>
    <m/>
    <x v="2"/>
    <s v="Mulyorejo RW 06 Sukun"/>
    <d v="2023-09-19T00:00:00"/>
    <b v="1"/>
    <s v="OUTBOUND_"/>
  </r>
  <r>
    <s v="135"/>
    <m/>
    <x v="0"/>
    <s v="INB-W0012309-31"/>
    <s v="EJ-Malang-01"/>
    <s v="Oka-0813-2707-1646"/>
    <x v="22"/>
    <d v="1900-01-14T07:00:00"/>
    <s v="GCI Procurement"/>
    <x v="1"/>
    <x v="16"/>
    <s v="GCI1004"/>
    <s v="Pcs"/>
    <n v="10"/>
    <s v="PRC"/>
    <x v="8"/>
    <n v="0"/>
    <n v="0"/>
    <m/>
    <m/>
    <m/>
    <m/>
    <m/>
    <s v="Penyesuaian"/>
    <x v="2"/>
    <s v="Purchase"/>
    <e v="#N/A"/>
    <e v="#N/A"/>
    <s v="OUTBOUND_"/>
  </r>
  <r>
    <s v="136"/>
    <m/>
    <x v="0"/>
    <s v="INB-W0012309-32"/>
    <s v="EJ-Malang-01"/>
    <s v="Oka-0813-2707-1646"/>
    <x v="23"/>
    <d v="1900-01-14T07:00:00"/>
    <s v="ZTE Warehouse"/>
    <x v="0"/>
    <x v="0"/>
    <s v="ZTE2001"/>
    <s v="Meter"/>
    <n v="3000"/>
    <s v="CLR51-02-001"/>
    <x v="9"/>
    <s v="DOEID230919BH"/>
    <s v="DNWID0342023091906"/>
    <m/>
    <m/>
    <m/>
    <m/>
    <m/>
    <m/>
    <x v="6"/>
    <s v="Puncak Dieng Exlusif"/>
    <d v="2023-09-20T00:00:00"/>
    <b v="1"/>
    <s v="OUTBOUND_H-ADSS 24C-2023920-01"/>
  </r>
  <r>
    <s v="137"/>
    <m/>
    <x v="0"/>
    <s v="INB-W0012309-32"/>
    <s v="EJ-Malang-01"/>
    <s v="Oka-0813-2707-1646"/>
    <x v="23"/>
    <d v="1900-01-14T07:00:00"/>
    <s v="ZTE Warehouse"/>
    <x v="0"/>
    <x v="2"/>
    <s v="ZTE2008"/>
    <s v="Pcs"/>
    <n v="11"/>
    <s v="CLR51-02-001"/>
    <x v="9"/>
    <s v="DOEID230919BH"/>
    <s v="DNWID0342023091906"/>
    <m/>
    <m/>
    <m/>
    <m/>
    <m/>
    <m/>
    <x v="2"/>
    <s v="Puncak Dieng Exlusif"/>
    <d v="2023-09-20T00:00:00"/>
    <b v="1"/>
    <s v="OUTBOUND_"/>
  </r>
  <r>
    <s v="138"/>
    <m/>
    <x v="0"/>
    <s v="INB-W0012309-32"/>
    <s v="EJ-Malang-01"/>
    <s v="Oka-0813-2707-1646"/>
    <x v="23"/>
    <d v="1900-01-14T07:00:00"/>
    <s v="ZTE Warehouse"/>
    <x v="0"/>
    <x v="3"/>
    <s v="ZTE2005"/>
    <s v="Pcs"/>
    <n v="1"/>
    <s v="CLR51-02-001"/>
    <x v="9"/>
    <s v="DOEID230919BH"/>
    <s v="DNWID0342023091906"/>
    <m/>
    <m/>
    <m/>
    <m/>
    <m/>
    <m/>
    <x v="2"/>
    <s v="Puncak Dieng Exlusif"/>
    <d v="2023-09-20T00:00:00"/>
    <b v="1"/>
    <s v="OUTBOUND_"/>
  </r>
  <r>
    <s v="139"/>
    <m/>
    <x v="0"/>
    <s v="INB-W0012309-32"/>
    <s v="EJ-Malang-01"/>
    <s v="Oka-0813-2707-1646"/>
    <x v="23"/>
    <d v="1900-01-14T07:00:00"/>
    <s v="ZTE Warehouse"/>
    <x v="0"/>
    <x v="4"/>
    <s v="ZTE1002"/>
    <s v="Pcs"/>
    <n v="18"/>
    <s v="CLR51-02-001"/>
    <x v="9"/>
    <s v="DOEID230919BG"/>
    <s v="DNWID0362023091906"/>
    <m/>
    <m/>
    <m/>
    <m/>
    <m/>
    <m/>
    <x v="2"/>
    <s v="Puncak Dieng Exlusif"/>
    <d v="2023-09-20T00:00:00"/>
    <b v="1"/>
    <s v="OUTBOUND_"/>
  </r>
  <r>
    <s v="140"/>
    <m/>
    <x v="0"/>
    <s v="INB-W0012309-32"/>
    <s v="EJ-Malang-01"/>
    <s v="Oka-0813-2707-1646"/>
    <x v="23"/>
    <d v="1900-01-14T07:00:00"/>
    <s v="ZTE Warehouse"/>
    <x v="0"/>
    <x v="5"/>
    <s v="ZTE1001"/>
    <s v="Pcs"/>
    <n v="120"/>
    <s v="CLR51-02-001"/>
    <x v="9"/>
    <s v="DOEID230919BG"/>
    <s v="DNWID0362023091906"/>
    <m/>
    <m/>
    <m/>
    <m/>
    <m/>
    <m/>
    <x v="2"/>
    <s v="Puncak Dieng Exlusif"/>
    <d v="2023-09-20T00:00:00"/>
    <b v="1"/>
    <s v="OUTBOUND_"/>
  </r>
  <r>
    <s v="141"/>
    <m/>
    <x v="0"/>
    <s v="INB-W0012309-32"/>
    <s v="EJ-Malang-01"/>
    <s v="Oka-0813-2707-1646"/>
    <x v="23"/>
    <d v="1900-01-14T07:00:00"/>
    <s v="ZTE Warehouse"/>
    <x v="0"/>
    <x v="19"/>
    <s v="ZTE1003"/>
    <s v="Pcs"/>
    <n v="9"/>
    <s v="CLR51-02-001"/>
    <x v="9"/>
    <s v="DOEID230919BG"/>
    <s v="DNWID0362023091906"/>
    <m/>
    <m/>
    <m/>
    <m/>
    <m/>
    <m/>
    <x v="2"/>
    <s v="Puncak Dieng Exlusif"/>
    <d v="2023-09-20T00:00:00"/>
    <b v="1"/>
    <s v="OUTBOUND_"/>
  </r>
  <r>
    <s v="142"/>
    <m/>
    <x v="1"/>
    <s v="OUB-W0012309-33"/>
    <s v="EJ-Malang-01"/>
    <s v="Oka-0813-2707-1646"/>
    <x v="24"/>
    <d v="1899-12-30T09:09:00"/>
    <s v="EJ-MALANG-01"/>
    <x v="0"/>
    <x v="5"/>
    <s v="ZTE1001"/>
    <s v="Pcs"/>
    <n v="17"/>
    <s v="CLR51-02-001"/>
    <x v="9"/>
    <m/>
    <m/>
    <m/>
    <s v="Khoiri "/>
    <s v="Khoiri Supplier"/>
    <s v="3507330905820002"/>
    <s v="N 8638 ES"/>
    <m/>
    <x v="2"/>
    <s v="Puncak Dieng Exlusif"/>
    <e v="#N/A"/>
    <e v="#N/A"/>
    <s v="OUTBOUND_"/>
  </r>
  <r>
    <s v="143"/>
    <m/>
    <x v="1"/>
    <s v="OUB-W0012309-34"/>
    <s v="EJ-Malang-01"/>
    <s v="Oka-0813-2707-1646"/>
    <x v="24"/>
    <d v="1899-12-30T09:30:00"/>
    <s v="EJ-MALANG-01"/>
    <x v="0"/>
    <x v="5"/>
    <s v="ZTE1001"/>
    <s v="Pcs"/>
    <n v="17"/>
    <s v="CLR51-02-001"/>
    <x v="9"/>
    <m/>
    <m/>
    <m/>
    <s v="Khoiri "/>
    <s v="Khoiri Supplier"/>
    <s v="3507330905820002"/>
    <s v="N 8408 CB"/>
    <m/>
    <x v="2"/>
    <s v="Puncak Dieng Exlusif"/>
    <e v="#N/A"/>
    <e v="#N/A"/>
    <s v="OUTBOUND_"/>
  </r>
  <r>
    <s v="144"/>
    <m/>
    <x v="1"/>
    <s v="OUB-W0012309-35"/>
    <s v="EJ-Malang-01"/>
    <s v="Oka-0813-2707-1646"/>
    <x v="24"/>
    <d v="1899-12-30T10:30:00"/>
    <s v="EJ-MALANG-01"/>
    <x v="0"/>
    <x v="5"/>
    <s v="ZTE1001"/>
    <s v="Pcs"/>
    <n v="22"/>
    <s v="CLR51-99-013"/>
    <x v="6"/>
    <m/>
    <m/>
    <m/>
    <s v="Ahmad Subari"/>
    <s v="Khoiri Supplier"/>
    <s v="3507150401800010"/>
    <s v="N 9609 EF"/>
    <m/>
    <x v="2"/>
    <s v="Pandan Landung RW 03 Wagir"/>
    <e v="#N/A"/>
    <e v="#N/A"/>
    <s v="OUTBOUND_"/>
  </r>
  <r>
    <s v="145"/>
    <m/>
    <x v="0"/>
    <s v="INB-W0012309-37"/>
    <s v="EJ-Malang-01"/>
    <s v="Oka-0813-2707-1646"/>
    <x v="25"/>
    <d v="1900-01-14T07:00:00"/>
    <s v="GCI Procurement"/>
    <x v="1"/>
    <x v="6"/>
    <s v="GCI1011"/>
    <s v="Pcs"/>
    <n v="1"/>
    <s v="CLR51-02-001"/>
    <x v="9"/>
    <n v="0"/>
    <n v="0"/>
    <m/>
    <m/>
    <m/>
    <m/>
    <m/>
    <s v="Di antar ke Khoiri Supplier "/>
    <x v="2"/>
    <s v="Puncak Dieng Exlusif"/>
    <e v="#N/A"/>
    <e v="#N/A"/>
    <s v="OUTBOUND_"/>
  </r>
  <r>
    <s v="146"/>
    <m/>
    <x v="0"/>
    <s v="INB-W0012309-37"/>
    <s v="EJ-Malang-01"/>
    <s v="Oka-0813-2707-1646"/>
    <x v="25"/>
    <d v="1900-01-14T07:00:00"/>
    <s v="GCI Procurement"/>
    <x v="1"/>
    <x v="8"/>
    <s v="GCI1005"/>
    <s v="Pcs"/>
    <n v="72"/>
    <s v="CLR51-02-001"/>
    <x v="9"/>
    <n v="0"/>
    <n v="0"/>
    <m/>
    <m/>
    <m/>
    <m/>
    <m/>
    <s v="Di antar ke Khoiri Supplier "/>
    <x v="2"/>
    <s v="Puncak Dieng Exlusif"/>
    <e v="#N/A"/>
    <e v="#N/A"/>
    <s v="OUTBOUND_"/>
  </r>
  <r>
    <s v="147"/>
    <m/>
    <x v="0"/>
    <s v="INB-W0012309-37"/>
    <s v="EJ-Malang-01"/>
    <s v="Oka-0813-2707-1646"/>
    <x v="25"/>
    <d v="1900-01-14T07:00:00"/>
    <s v="GCI Procurement"/>
    <x v="1"/>
    <x v="9"/>
    <s v="GCI1001"/>
    <s v="Pcs"/>
    <n v="59"/>
    <s v="CLR51-02-001"/>
    <x v="9"/>
    <n v="0"/>
    <n v="0"/>
    <m/>
    <m/>
    <m/>
    <m/>
    <m/>
    <s v="Di antar ke Khoiri Supplier "/>
    <x v="2"/>
    <s v="Puncak Dieng Exlusif"/>
    <e v="#N/A"/>
    <e v="#N/A"/>
    <s v="OUTBOUND_"/>
  </r>
  <r>
    <s v="148"/>
    <m/>
    <x v="0"/>
    <s v="INB-W0012309-37"/>
    <s v="EJ-Malang-01"/>
    <s v="Oka-0813-2707-1646"/>
    <x v="25"/>
    <d v="1900-01-14T07:00:00"/>
    <s v="GCI Procurement"/>
    <x v="1"/>
    <x v="10"/>
    <s v="GCI1009"/>
    <s v="Pcs"/>
    <n v="272"/>
    <s v="CLR51-02-001"/>
    <x v="9"/>
    <n v="0"/>
    <n v="0"/>
    <m/>
    <m/>
    <m/>
    <m/>
    <m/>
    <s v="Di antar ke Khoiri Supplier "/>
    <x v="2"/>
    <s v="Puncak Dieng Exlusif"/>
    <e v="#N/A"/>
    <e v="#N/A"/>
    <s v="OUTBOUND_"/>
  </r>
  <r>
    <s v="149"/>
    <m/>
    <x v="0"/>
    <s v="INB-W0012309-37"/>
    <s v="EJ-Malang-01"/>
    <s v="Oka-0813-2707-1646"/>
    <x v="25"/>
    <d v="1900-01-14T07:00:00"/>
    <s v="GCI Procurement"/>
    <x v="1"/>
    <x v="11"/>
    <s v="GCI1002"/>
    <s v="Pcs"/>
    <n v="4"/>
    <s v="CLR51-02-001"/>
    <x v="9"/>
    <n v="0"/>
    <n v="0"/>
    <m/>
    <m/>
    <m/>
    <m/>
    <m/>
    <s v="Di antar ke Khoiri Supplier "/>
    <x v="2"/>
    <s v="Puncak Dieng Exlusif"/>
    <e v="#N/A"/>
    <e v="#N/A"/>
    <s v="OUTBOUND_"/>
  </r>
  <r>
    <s v="150"/>
    <m/>
    <x v="1"/>
    <s v="OUB-W0012309-36"/>
    <s v="EJ-Malang-01"/>
    <s v="Oka-0813-2707-1646"/>
    <x v="25"/>
    <d v="1899-12-30T09:20:00"/>
    <s v="EJ-MALANG-01"/>
    <x v="0"/>
    <x v="4"/>
    <s v="ZTE1002"/>
    <s v="Pcs"/>
    <n v="3"/>
    <s v="CLR51-99-013"/>
    <x v="6"/>
    <m/>
    <m/>
    <m/>
    <s v="Ahmad Subari"/>
    <s v="Khoiri Supplier"/>
    <s v="3507150401800010"/>
    <s v="N 9609 EF"/>
    <m/>
    <x v="2"/>
    <s v="Pandan Landung RW 03 Wagir"/>
    <e v="#N/A"/>
    <e v="#N/A"/>
    <s v="OUTBOUND_"/>
  </r>
  <r>
    <s v="151"/>
    <m/>
    <x v="1"/>
    <s v="OUB-W0012309-36"/>
    <s v="EJ-Malang-01"/>
    <s v="Oka-0813-2707-1646"/>
    <x v="25"/>
    <d v="1899-12-30T09:20:00"/>
    <s v="EJ-MALANG-01"/>
    <x v="0"/>
    <x v="5"/>
    <s v="ZTE1001"/>
    <s v="Pcs"/>
    <n v="19"/>
    <s v="CLR51-99-014"/>
    <x v="3"/>
    <m/>
    <m/>
    <m/>
    <s v="Ahmad Subari"/>
    <s v="Khoiri Supplier"/>
    <s v="3507150401800010"/>
    <s v="N 9609 EF"/>
    <m/>
    <x v="2"/>
    <s v="Pandan Landung RW 04 Wagir"/>
    <e v="#N/A"/>
    <e v="#N/A"/>
    <s v="OUTBOUND_"/>
  </r>
  <r>
    <s v="152"/>
    <m/>
    <x v="0"/>
    <s v="INB-W0012309-37"/>
    <s v="EJ-Malang-01"/>
    <s v="Oka-0813-2707-1646"/>
    <x v="25"/>
    <d v="1900-01-14T07:00:00"/>
    <s v="GCI Procurement"/>
    <x v="1"/>
    <x v="12"/>
    <s v="GCI1008"/>
    <s v="Pcs"/>
    <n v="158"/>
    <s v="CLR51-02-001"/>
    <x v="9"/>
    <n v="0"/>
    <n v="0"/>
    <m/>
    <m/>
    <m/>
    <m/>
    <m/>
    <s v="Di antar ke Khoiri Supplier "/>
    <x v="2"/>
    <s v="Puncak Dieng Exlusif"/>
    <e v="#N/A"/>
    <e v="#N/A"/>
    <s v="OUTBOUND_"/>
  </r>
  <r>
    <s v="153"/>
    <m/>
    <x v="0"/>
    <s v="INB-W0012309-37"/>
    <s v="EJ-Malang-01"/>
    <s v="Oka-0813-2707-1646"/>
    <x v="25"/>
    <d v="1900-01-14T07:00:00"/>
    <s v="GCI Procurement"/>
    <x v="1"/>
    <x v="14"/>
    <s v="GCI1006"/>
    <s v="Pcs"/>
    <n v="297"/>
    <s v="CLR51-02-001"/>
    <x v="9"/>
    <n v="0"/>
    <n v="0"/>
    <m/>
    <m/>
    <m/>
    <m/>
    <m/>
    <s v="Di antar ke Khoiri Supplier "/>
    <x v="2"/>
    <s v="Puncak Dieng Exlusif"/>
    <e v="#N/A"/>
    <e v="#N/A"/>
    <s v="OUTBOUND_"/>
  </r>
  <r>
    <s v="154"/>
    <m/>
    <x v="0"/>
    <s v="INB-W0012309-37"/>
    <s v="EJ-Malang-01"/>
    <s v="Oka-0813-2707-1646"/>
    <x v="25"/>
    <d v="1900-01-14T07:00:00"/>
    <s v="GCI Procurement"/>
    <x v="1"/>
    <x v="15"/>
    <s v="GCI1003"/>
    <s v="Pcs"/>
    <n v="300"/>
    <s v="CLR51-02-001"/>
    <x v="9"/>
    <n v="0"/>
    <n v="0"/>
    <m/>
    <m/>
    <m/>
    <m/>
    <m/>
    <s v="Di antar ke Khoiri Supplier "/>
    <x v="2"/>
    <s v="Puncak Dieng Exlusif"/>
    <e v="#N/A"/>
    <e v="#N/A"/>
    <s v="OUTBOUND_"/>
  </r>
  <r>
    <s v="155"/>
    <m/>
    <x v="0"/>
    <s v="INB-W0012309-37"/>
    <s v="EJ-Malang-01"/>
    <s v="Oka-0813-2707-1646"/>
    <x v="25"/>
    <d v="1900-01-14T07:00:00"/>
    <s v="GCI Procurement"/>
    <x v="1"/>
    <x v="16"/>
    <s v="GCI1004"/>
    <s v="Pcs"/>
    <n v="77"/>
    <s v="CLR51-02-001"/>
    <x v="9"/>
    <n v="0"/>
    <n v="0"/>
    <m/>
    <m/>
    <m/>
    <m/>
    <m/>
    <s v="Di antar ke Khoiri Supplier "/>
    <x v="2"/>
    <s v="Puncak Dieng Exlusif"/>
    <e v="#N/A"/>
    <e v="#N/A"/>
    <s v="OUTBOUND_"/>
  </r>
  <r>
    <s v="156"/>
    <m/>
    <x v="0"/>
    <s v="INB-W0012309-40"/>
    <s v="EJ-Malang-01"/>
    <s v="Oka-0813-2707-1646"/>
    <x v="26"/>
    <d v="1899-12-30T16:05:00"/>
    <s v="FIELD TEAM"/>
    <x v="0"/>
    <x v="4"/>
    <s v="ZTE1002"/>
    <s v="Pcs"/>
    <n v="1"/>
    <s v="CLR51-99-007"/>
    <x v="7"/>
    <n v="0"/>
    <n v="0"/>
    <m/>
    <m/>
    <m/>
    <m/>
    <m/>
    <m/>
    <x v="2"/>
    <s v="Mulyorejo RW 06 Sukun"/>
    <e v="#N/A"/>
    <e v="#N/A"/>
    <s v="OUTBOUND_"/>
  </r>
  <r>
    <s v="157"/>
    <m/>
    <x v="1"/>
    <s v="OUB-W0012309-39"/>
    <s v="EJ-Malang-01"/>
    <s v="Oka-0813-2707-1646"/>
    <x v="26"/>
    <d v="1899-12-30T14:08:00"/>
    <s v="EJ-MALANG-01"/>
    <x v="0"/>
    <x v="4"/>
    <s v="ZTE1002"/>
    <s v="Pcs"/>
    <n v="4"/>
    <s v="CLR51-99-007"/>
    <x v="7"/>
    <m/>
    <m/>
    <m/>
    <s v="Khoiri"/>
    <s v="Khoiri Supplier"/>
    <s v="3507330905820002"/>
    <s v="N 8408 CB"/>
    <m/>
    <x v="2"/>
    <s v="Mulyorejo RW 06 Sukun"/>
    <e v="#N/A"/>
    <e v="#N/A"/>
    <s v="OUTBOUND_"/>
  </r>
  <r>
    <s v="158"/>
    <m/>
    <x v="1"/>
    <s v="OUB-W0012309-39"/>
    <s v="EJ-Malang-01"/>
    <s v="Oka-0813-2707-1646"/>
    <x v="26"/>
    <d v="1899-12-30T14:08:00"/>
    <s v="EJ-MALANG-01"/>
    <x v="0"/>
    <x v="5"/>
    <s v="ZTE1001"/>
    <s v="Pcs"/>
    <n v="5"/>
    <s v="CLR51-99-007"/>
    <x v="7"/>
    <m/>
    <m/>
    <m/>
    <s v="Khoiri"/>
    <s v="Khoiri Supplier"/>
    <s v="3507330905820002"/>
    <s v="N 8408 CB"/>
    <m/>
    <x v="2"/>
    <s v="Mulyorejo RW 06 Sukun"/>
    <e v="#N/A"/>
    <e v="#N/A"/>
    <s v="OUTBOUND_"/>
  </r>
  <r>
    <s v="159"/>
    <m/>
    <x v="1"/>
    <s v="OUB-W0012309-39"/>
    <s v="EJ-Malang-01"/>
    <s v="Oka-0813-2707-1646"/>
    <x v="26"/>
    <d v="1899-12-30T14:08:00"/>
    <s v="EJ-MALANG-01"/>
    <x v="0"/>
    <x v="5"/>
    <s v="ZTE1001"/>
    <s v="Pcs"/>
    <n v="9"/>
    <s v="CLR51-02-001"/>
    <x v="9"/>
    <m/>
    <m/>
    <m/>
    <s v="Khoiri"/>
    <s v="Khoiri Supplier"/>
    <s v="3507330905820002"/>
    <s v="N 8638 ES"/>
    <m/>
    <x v="2"/>
    <s v="Puncak Dieng Exlusif"/>
    <e v="#N/A"/>
    <e v="#N/A"/>
    <s v="OUTBOUND_"/>
  </r>
  <r>
    <s v="160"/>
    <m/>
    <x v="1"/>
    <s v="OUB-W0012309-38"/>
    <s v="EJ-Malang-01"/>
    <s v="Oka-0813-2707-1646"/>
    <x v="26"/>
    <d v="1899-12-30T07:07:00"/>
    <s v="EJ-MALANG-01"/>
    <x v="0"/>
    <x v="5"/>
    <s v="ZTE1001"/>
    <s v="Pcs"/>
    <n v="11"/>
    <s v="CLR51-99-007"/>
    <x v="7"/>
    <m/>
    <m/>
    <m/>
    <s v="Khoiri"/>
    <s v="Khoiri Supplier"/>
    <s v="3507330905820002"/>
    <s v="N 8408 CB"/>
    <m/>
    <x v="2"/>
    <s v="Mulyorejo RW 06 Sukun"/>
    <e v="#N/A"/>
    <e v="#N/A"/>
    <s v="OUTBOUND_"/>
  </r>
  <r>
    <s v="161"/>
    <m/>
    <x v="1"/>
    <s v="OUB-W0012309-38"/>
    <s v="EJ-Malang-01"/>
    <s v="Oka-0813-2707-1646"/>
    <x v="26"/>
    <d v="1899-12-30T07:07:00"/>
    <s v="EJ-MALANG-01"/>
    <x v="0"/>
    <x v="5"/>
    <s v="ZTE1001"/>
    <s v="Pcs"/>
    <n v="17"/>
    <s v="CLR51-02-001"/>
    <x v="9"/>
    <m/>
    <m/>
    <m/>
    <s v="Khoiri"/>
    <s v="Khoiri Supplier"/>
    <s v="3507330905820002"/>
    <s v="N 8638 ES"/>
    <m/>
    <x v="2"/>
    <s v="Puncak Dieng Exlusif"/>
    <e v="#N/A"/>
    <e v="#N/A"/>
    <s v="OUTBOUND_"/>
  </r>
  <r>
    <s v="162"/>
    <m/>
    <x v="0"/>
    <s v="INB-W0012309-40"/>
    <s v="EJ-Malang-01"/>
    <s v="Oka-0813-2707-1646"/>
    <x v="26"/>
    <d v="1899-12-30T16:05:00"/>
    <s v="FIELD TEAM"/>
    <x v="0"/>
    <x v="19"/>
    <s v="ZTE1003"/>
    <s v="Pcs"/>
    <n v="4"/>
    <s v="CLR51-99-007"/>
    <x v="7"/>
    <n v="0"/>
    <s v="TRANSFER GUDANG"/>
    <m/>
    <m/>
    <m/>
    <m/>
    <m/>
    <s v="Pengembalian Mulyorejo 6 malang"/>
    <x v="2"/>
    <s v="Mulyorejo RW 06 Sukun"/>
    <e v="#N/A"/>
    <e v="#N/A"/>
    <s v="OUTBOUND_"/>
  </r>
  <r>
    <s v="163"/>
    <m/>
    <x v="1"/>
    <s v="OUB-W0012309-38"/>
    <s v="EJ-Malang-01"/>
    <s v="Oka-0813-2707-1646"/>
    <x v="26"/>
    <d v="1899-12-30T07:07:00"/>
    <s v="EJ-MALANG-01"/>
    <x v="0"/>
    <x v="19"/>
    <s v="ZTE1003"/>
    <s v="Pcs"/>
    <n v="6"/>
    <s v="CLR51-99-007"/>
    <x v="7"/>
    <m/>
    <m/>
    <m/>
    <s v="Khoiri"/>
    <s v="Khoiri Supplier"/>
    <s v="3507330905820002"/>
    <s v="N 8408 CB"/>
    <m/>
    <x v="2"/>
    <s v="Mulyorejo RW 06 Sukun"/>
    <e v="#N/A"/>
    <e v="#N/A"/>
    <s v="OUTBOUND_"/>
  </r>
  <r>
    <s v="164"/>
    <m/>
    <x v="1"/>
    <s v="OUB-W0012309-43"/>
    <s v="EJ-Malang-01"/>
    <s v="Oka-0813-2707-1646"/>
    <x v="27"/>
    <d v="1899-12-30T07:36:00"/>
    <s v="EJ-MALANG-01"/>
    <x v="0"/>
    <x v="0"/>
    <s v="ZTE2001"/>
    <s v="Meter"/>
    <n v="3000"/>
    <s v="CLR51-99-007"/>
    <x v="7"/>
    <m/>
    <m/>
    <m/>
    <s v="Khoiri"/>
    <s v="Khoiri Supplier"/>
    <s v="3507330905820002"/>
    <s v="N 8638 ES"/>
    <s v="3000-1235=1765"/>
    <x v="5"/>
    <s v="Mulyorejo RW 06 Sukun"/>
    <e v="#N/A"/>
    <e v="#N/A"/>
    <s v="OUTBOUND_H-ADSS 24C-2023919-01"/>
  </r>
  <r>
    <s v="165"/>
    <m/>
    <x v="1"/>
    <s v="OUB-W0012309-42"/>
    <s v="EJ-Malang-01"/>
    <s v="Oka-0813-2707-1646"/>
    <x v="27"/>
    <d v="1899-12-30T16:05:00"/>
    <s v="EJ-MALANG-01"/>
    <x v="0"/>
    <x v="1"/>
    <s v="ZTE2003"/>
    <s v="Meter"/>
    <n v="3000"/>
    <s v="CLR51-99-007"/>
    <x v="7"/>
    <m/>
    <m/>
    <m/>
    <s v="Khoiri"/>
    <s v="Khoiri Supplier"/>
    <s v="3507330905820002"/>
    <s v="N 8638 ES"/>
    <s v="387 + 2613 (PDLG3)"/>
    <x v="4"/>
    <s v="Mulyorejo RW 06 Sukun"/>
    <e v="#N/A"/>
    <e v="#N/A"/>
    <s v="OUTBOUND_H-ADSS 48C-2023916-01"/>
  </r>
  <r>
    <s v="166"/>
    <m/>
    <x v="1"/>
    <s v="OUB-W0012309-41"/>
    <s v="EJ-Malang-01"/>
    <s v="Oka-0813-2707-1646"/>
    <x v="27"/>
    <d v="1899-12-30T07:36:00"/>
    <s v="EJ-MALANG-01"/>
    <x v="1"/>
    <x v="9"/>
    <s v="GCI1001"/>
    <s v="Pcs"/>
    <n v="12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67"/>
    <m/>
    <x v="1"/>
    <s v="OUB-W0012309-41"/>
    <s v="EJ-Malang-01"/>
    <s v="Oka-0813-2707-1646"/>
    <x v="27"/>
    <d v="1899-12-30T07:36:00"/>
    <s v="EJ-MALANG-01"/>
    <x v="1"/>
    <x v="10"/>
    <s v="GCI1009"/>
    <s v="Pcs"/>
    <n v="37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68"/>
    <m/>
    <x v="1"/>
    <s v="OUB-W0012309-41"/>
    <s v="EJ-Malang-01"/>
    <s v="Oka-0813-2707-1646"/>
    <x v="27"/>
    <d v="1899-12-30T07:36:00"/>
    <s v="EJ-MALANG-01"/>
    <x v="1"/>
    <x v="11"/>
    <s v="GCI1002"/>
    <s v="Pcs"/>
    <n v="1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69"/>
    <m/>
    <x v="1"/>
    <s v="OUB-W0012309-41"/>
    <s v="EJ-Malang-01"/>
    <s v="Oka-0813-2707-1646"/>
    <x v="27"/>
    <d v="1899-12-30T07:36:00"/>
    <s v="EJ-MALANG-01"/>
    <x v="1"/>
    <x v="11"/>
    <s v="GCI1002"/>
    <s v="Pcs"/>
    <n v="2"/>
    <s v="CLR51-02-001"/>
    <x v="9"/>
    <m/>
    <m/>
    <m/>
    <s v="Khoiri"/>
    <s v="Khoiri Supplier"/>
    <s v="3507330905820002"/>
    <s v="N 8638 ES"/>
    <m/>
    <x v="2"/>
    <s v="Puncak Dieng Exlusif"/>
    <e v="#N/A"/>
    <e v="#N/A"/>
    <s v="OUTBOUND_"/>
  </r>
  <r>
    <s v="170"/>
    <m/>
    <x v="1"/>
    <s v="OUB-W0012309-41"/>
    <s v="EJ-Malang-01"/>
    <s v="Oka-0813-2707-1646"/>
    <x v="27"/>
    <d v="1899-12-30T07:36:00"/>
    <s v="EJ-MALANG-01"/>
    <x v="0"/>
    <x v="5"/>
    <s v="ZTE1001"/>
    <s v="Pcs"/>
    <n v="1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71"/>
    <m/>
    <x v="1"/>
    <s v="OUB-W0012309-41"/>
    <s v="EJ-Malang-01"/>
    <s v="Oka-0813-2707-1646"/>
    <x v="27"/>
    <d v="1899-12-30T07:36:00"/>
    <s v="EJ-MALANG-01"/>
    <x v="1"/>
    <x v="12"/>
    <s v="GCI1008"/>
    <s v="Pcs"/>
    <n v="26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72"/>
    <m/>
    <x v="1"/>
    <s v="OUB-W0012309-41"/>
    <s v="EJ-Malang-01"/>
    <s v="Oka-0813-2707-1646"/>
    <x v="27"/>
    <d v="1899-12-30T07:36:00"/>
    <s v="EJ-MALANG-01"/>
    <x v="1"/>
    <x v="14"/>
    <s v="GCI1006"/>
    <s v="Pcs"/>
    <n v="37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73"/>
    <m/>
    <x v="1"/>
    <s v="OUB-W0012309-41"/>
    <s v="EJ-Malang-01"/>
    <s v="Oka-0813-2707-1646"/>
    <x v="27"/>
    <d v="1899-12-30T07:36:00"/>
    <s v="EJ-MALANG-01"/>
    <x v="1"/>
    <x v="15"/>
    <s v="GCI1003"/>
    <s v="Pcs"/>
    <n v="100"/>
    <s v="CLR51-02-001"/>
    <x v="9"/>
    <m/>
    <m/>
    <m/>
    <s v="Khoiri"/>
    <s v="Khoiri Supplier"/>
    <s v="3507330905820002"/>
    <s v="N 8638 ES"/>
    <m/>
    <x v="2"/>
    <s v="Puncak Dieng Exlusif"/>
    <e v="#N/A"/>
    <e v="#N/A"/>
    <s v="OUTBOUND_"/>
  </r>
  <r>
    <s v="174"/>
    <m/>
    <x v="1"/>
    <s v="OUB-W0012309-41"/>
    <s v="EJ-Malang-01"/>
    <s v="Oka-0813-2707-1646"/>
    <x v="27"/>
    <d v="1899-12-30T07:36:00"/>
    <s v="EJ-MALANG-01"/>
    <x v="1"/>
    <x v="15"/>
    <s v="GCI1003"/>
    <s v="Pcs"/>
    <n v="100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75"/>
    <m/>
    <x v="1"/>
    <s v="OUB-W0012309-41"/>
    <s v="EJ-Malang-01"/>
    <s v="Oka-0813-2707-1646"/>
    <x v="27"/>
    <d v="1899-12-30T07:36:00"/>
    <s v="EJ-MALANG-01"/>
    <x v="1"/>
    <x v="16"/>
    <s v="GCI1004"/>
    <s v="Pcs"/>
    <n v="9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76"/>
    <m/>
    <x v="1"/>
    <s v="OUB-W0012309-44"/>
    <s v="EJ-Malang-01"/>
    <s v="Oka-0813-2707-1646"/>
    <x v="28"/>
    <d v="1899-12-30T06:30:00"/>
    <s v="EJ-MALANG-01"/>
    <x v="0"/>
    <x v="0"/>
    <s v="ZTE2001"/>
    <s v="Meter"/>
    <n v="3000"/>
    <s v="CLR51-02-001"/>
    <x v="9"/>
    <m/>
    <m/>
    <m/>
    <s v="Khoiri"/>
    <s v="Khoiri Supplier"/>
    <s v="3507330905820002"/>
    <s v="N 8408 CB"/>
    <s v="1100&amp;1900"/>
    <x v="6"/>
    <s v="Puncak Dieng Exlusif"/>
    <e v="#N/A"/>
    <e v="#N/A"/>
    <s v="OUTBOUND_H-ADSS 24C-2023920-01"/>
  </r>
  <r>
    <s v="177"/>
    <m/>
    <x v="1"/>
    <s v="OUB-W0012309-44"/>
    <s v="EJ-Malang-01"/>
    <s v="Oka-0813-2707-1646"/>
    <x v="28"/>
    <d v="1899-12-30T06:30:00"/>
    <s v="EJ-MALANG-01"/>
    <x v="1"/>
    <x v="9"/>
    <s v="GCI1001"/>
    <s v="Pcs"/>
    <n v="11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178"/>
    <m/>
    <x v="1"/>
    <s v="OUB-W0012309-44"/>
    <s v="EJ-Malang-01"/>
    <s v="Oka-0813-2707-1646"/>
    <x v="28"/>
    <d v="1899-12-30T06:30:00"/>
    <s v="EJ-MALANG-01"/>
    <x v="1"/>
    <x v="10"/>
    <s v="GCI1009"/>
    <s v="Pcs"/>
    <n v="10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79"/>
    <m/>
    <x v="1"/>
    <s v="OUB-W0012309-44"/>
    <s v="EJ-Malang-01"/>
    <s v="Oka-0813-2707-1646"/>
    <x v="28"/>
    <d v="1899-12-30T06:30:00"/>
    <s v="EJ-MALANG-01"/>
    <x v="1"/>
    <x v="10"/>
    <s v="GCI1009"/>
    <s v="Pcs"/>
    <n v="30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180"/>
    <m/>
    <x v="1"/>
    <s v="OUB-W0012309-44"/>
    <s v="EJ-Malang-01"/>
    <s v="Oka-0813-2707-1646"/>
    <x v="28"/>
    <d v="1899-12-30T06:30:00"/>
    <s v="EJ-MALANG-01"/>
    <x v="0"/>
    <x v="2"/>
    <s v="ZTE2008"/>
    <s v="Pcs"/>
    <n v="11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81"/>
    <m/>
    <x v="1"/>
    <s v="OUB-W0012309-44"/>
    <s v="EJ-Malang-01"/>
    <s v="Oka-0813-2707-1646"/>
    <x v="28"/>
    <d v="1899-12-30T06:30:00"/>
    <s v="EJ-MALANG-01"/>
    <x v="0"/>
    <x v="3"/>
    <s v="ZTE2005"/>
    <s v="Pcs"/>
    <n v="1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82"/>
    <m/>
    <x v="1"/>
    <s v="OUB-W0012309-44"/>
    <s v="EJ-Malang-01"/>
    <s v="Oka-0813-2707-1646"/>
    <x v="28"/>
    <d v="1899-12-30T06:30:00"/>
    <s v="EJ-MALANG-01"/>
    <x v="1"/>
    <x v="12"/>
    <s v="GCI1008"/>
    <s v="Pcs"/>
    <n v="11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83"/>
    <m/>
    <x v="1"/>
    <s v="OUB-W0012309-44"/>
    <s v="EJ-Malang-01"/>
    <s v="Oka-0813-2707-1646"/>
    <x v="28"/>
    <d v="1899-12-30T06:30:00"/>
    <s v="EJ-MALANG-01"/>
    <x v="1"/>
    <x v="12"/>
    <s v="GCI1008"/>
    <s v="Pcs"/>
    <n v="18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184"/>
    <m/>
    <x v="1"/>
    <s v="OUB-W0012309-44"/>
    <s v="EJ-Malang-01"/>
    <s v="Oka-0813-2707-1646"/>
    <x v="28"/>
    <d v="1899-12-30T06:30:00"/>
    <s v="EJ-MALANG-01"/>
    <x v="1"/>
    <x v="14"/>
    <s v="GCI1006"/>
    <s v="Pcs"/>
    <n v="10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85"/>
    <m/>
    <x v="1"/>
    <s v="OUB-W0012309-44"/>
    <s v="EJ-Malang-01"/>
    <s v="Oka-0813-2707-1646"/>
    <x v="28"/>
    <d v="1899-12-30T06:30:00"/>
    <s v="EJ-MALANG-01"/>
    <x v="1"/>
    <x v="14"/>
    <s v="GCI1006"/>
    <s v="Pcs"/>
    <n v="30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186"/>
    <m/>
    <x v="1"/>
    <s v="OUB-W0012309-44"/>
    <s v="EJ-Malang-01"/>
    <s v="Oka-0813-2707-1646"/>
    <x v="28"/>
    <d v="1899-12-30T06:30:00"/>
    <s v="EJ-MALANG-01"/>
    <x v="1"/>
    <x v="16"/>
    <s v="GCI1004"/>
    <s v="Pcs"/>
    <n v="5"/>
    <s v="CLR51-99-007"/>
    <x v="7"/>
    <m/>
    <m/>
    <m/>
    <s v="Khoiri"/>
    <s v="Khoiri Supplier"/>
    <s v="3507330905820002"/>
    <s v="N 8638 ES"/>
    <m/>
    <x v="2"/>
    <s v="Mulyorejo RW 06 Sukun"/>
    <e v="#N/A"/>
    <e v="#N/A"/>
    <s v="OUTBOUND_"/>
  </r>
  <r>
    <s v="187"/>
    <m/>
    <x v="1"/>
    <s v="OUB-W0012309-44"/>
    <s v="EJ-Malang-01"/>
    <s v="Oka-0813-2707-1646"/>
    <x v="28"/>
    <d v="1899-12-30T06:30:00"/>
    <s v="EJ-MALANG-01"/>
    <x v="1"/>
    <x v="16"/>
    <s v="GCI1004"/>
    <s v="Pcs"/>
    <n v="9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188"/>
    <m/>
    <x v="0"/>
    <s v="INB-W0012309-45"/>
    <s v="EJ-Malang-01"/>
    <s v="Oka-0813-2707-1646"/>
    <x v="29"/>
    <d v="1900-01-14T07:00:00"/>
    <s v="ZTE Warehouse"/>
    <x v="0"/>
    <x v="0"/>
    <s v="ZTE2001"/>
    <s v="Meter"/>
    <n v="3000"/>
    <s v="CLR51-99-013"/>
    <x v="6"/>
    <s v="DOEID23092445"/>
    <s v="DNWID0342023092505"/>
    <m/>
    <m/>
    <m/>
    <m/>
    <m/>
    <m/>
    <x v="7"/>
    <s v="Pandan Landung RW 03 Wagir"/>
    <d v="2023-09-26T00:00:00"/>
    <b v="1"/>
    <s v="OUTBOUND_H-ADSS 24C-2023926-01"/>
  </r>
  <r>
    <s v="189"/>
    <m/>
    <x v="0"/>
    <s v="INB-W0012309-45"/>
    <s v="EJ-Malang-01"/>
    <s v="Oka-0813-2707-1646"/>
    <x v="29"/>
    <d v="1900-01-14T07:00:00"/>
    <s v="ZTE Warehouse"/>
    <x v="0"/>
    <x v="1"/>
    <s v="ZTE2003"/>
    <s v="Meter"/>
    <n v="3000"/>
    <s v="CLR51-02-001"/>
    <x v="9"/>
    <s v="DOEID23092543"/>
    <s v="DNWID0342023092512"/>
    <m/>
    <m/>
    <m/>
    <m/>
    <m/>
    <m/>
    <x v="8"/>
    <s v="Puncak Dieng Exlusif"/>
    <d v="2023-09-26T00:00:00"/>
    <b v="1"/>
    <s v="OUTBOUND_H-ADSS 48C-2023926-01"/>
  </r>
  <r>
    <s v="190"/>
    <m/>
    <x v="0"/>
    <s v="INB-W0012309-45"/>
    <s v="EJ-Malang-01"/>
    <s v="Oka-0813-2707-1646"/>
    <x v="29"/>
    <d v="1900-01-14T07:00:00"/>
    <s v="ZTE Warehouse"/>
    <x v="0"/>
    <x v="1"/>
    <s v="ZTE2003"/>
    <s v="Meter"/>
    <n v="3000"/>
    <s v="CLR51-02-001"/>
    <x v="9"/>
    <s v="DOEID23092543"/>
    <s v="DNWID0342023092512"/>
    <m/>
    <m/>
    <m/>
    <m/>
    <m/>
    <m/>
    <x v="9"/>
    <s v="Puncak Dieng Exlusif"/>
    <d v="2023-09-26T00:00:00"/>
    <b v="1"/>
    <s v="OUTBOUND_H-ADSS 48C-2023926-02"/>
  </r>
  <r>
    <s v="191"/>
    <m/>
    <x v="0"/>
    <s v="INB-W0012309-48"/>
    <s v="EJ-Malang-01"/>
    <s v="Oka-0813-2707-1646"/>
    <x v="29"/>
    <d v="1900-01-14T07:00:00"/>
    <s v="GCI Procurement"/>
    <x v="1"/>
    <x v="18"/>
    <s v="GCI1012"/>
    <s v="Pcs"/>
    <n v="384"/>
    <s v="CLR51-02-001"/>
    <x v="9"/>
    <n v="0"/>
    <n v="0"/>
    <m/>
    <m/>
    <m/>
    <m/>
    <m/>
    <s v="Akrilik Distribusi "/>
    <x v="2"/>
    <s v="Puncak Dieng Exlusif"/>
    <e v="#N/A"/>
    <e v="#N/A"/>
    <s v="OUTBOUND_"/>
  </r>
  <r>
    <s v="192"/>
    <m/>
    <x v="1"/>
    <s v="OUB-W0012309-46"/>
    <s v="EJ-Malang-01"/>
    <s v="Oka-0813-2707-1646"/>
    <x v="29"/>
    <d v="1899-12-30T06:30:00"/>
    <s v="EJ-MALANG-01"/>
    <x v="1"/>
    <x v="9"/>
    <s v="GCI1001"/>
    <s v="Pcs"/>
    <n v="10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193"/>
    <m/>
    <x v="1"/>
    <s v="OUB-W0012309-46"/>
    <s v="EJ-Malang-01"/>
    <s v="Oka-0813-2707-1646"/>
    <x v="29"/>
    <d v="1899-12-30T06:30:00"/>
    <s v="EJ-MALANG-01"/>
    <x v="1"/>
    <x v="10"/>
    <s v="GCI1009"/>
    <s v="Pcs"/>
    <n v="50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194"/>
    <m/>
    <x v="0"/>
    <s v="INB-W0012309-48"/>
    <s v="EJ-Malang-01"/>
    <s v="Oka-0813-2707-1646"/>
    <x v="29"/>
    <d v="1900-01-14T07:00:00"/>
    <s v="ZTE Warehouse"/>
    <x v="0"/>
    <x v="2"/>
    <s v="ZTE2008"/>
    <s v="Pcs"/>
    <n v="7"/>
    <s v="CLR51-02-001"/>
    <x v="9"/>
    <s v="DOEID230925EO"/>
    <s v="DNWID0342023092613"/>
    <m/>
    <m/>
    <m/>
    <m/>
    <m/>
    <m/>
    <x v="2"/>
    <s v="Puncak Dieng Exlusif"/>
    <d v="2023-09-26T00:00:00"/>
    <b v="1"/>
    <s v="OUTBOUND_"/>
  </r>
  <r>
    <s v="195"/>
    <m/>
    <x v="0"/>
    <s v="INB-W0012309-48"/>
    <s v="EJ-Malang-01"/>
    <s v="Oka-0813-2707-1646"/>
    <x v="29"/>
    <d v="1900-01-14T07:00:00"/>
    <s v="ZTE Warehouse"/>
    <x v="0"/>
    <x v="3"/>
    <s v="ZTE2005"/>
    <s v="Pcs"/>
    <n v="1"/>
    <s v="CLR51-02-001"/>
    <x v="9"/>
    <s v="DOEID23092543"/>
    <s v="DNWID0342023092512"/>
    <m/>
    <m/>
    <m/>
    <m/>
    <m/>
    <m/>
    <x v="2"/>
    <s v="Puncak Dieng Exlusif"/>
    <d v="2023-09-26T00:00:00"/>
    <b v="1"/>
    <s v="OUTBOUND_"/>
  </r>
  <r>
    <s v="196"/>
    <m/>
    <x v="1"/>
    <s v="OUB-W0012309-46"/>
    <s v="EJ-Malang-01"/>
    <s v="Oka-0813-2707-1646"/>
    <x v="29"/>
    <d v="1899-12-30T06:30:00"/>
    <s v="EJ-MALANG-01"/>
    <x v="0"/>
    <x v="4"/>
    <s v="ZTE1002"/>
    <s v="Pcs"/>
    <n v="1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197"/>
    <m/>
    <x v="1"/>
    <s v="OUB-W0012309-46"/>
    <s v="EJ-Malang-01"/>
    <s v="Oka-0813-2707-1646"/>
    <x v="29"/>
    <d v="1899-12-30T06:30:00"/>
    <s v="EJ-MALANG-01"/>
    <x v="0"/>
    <x v="5"/>
    <s v="ZTE1001"/>
    <s v="Pcs"/>
    <n v="2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198"/>
    <m/>
    <x v="1"/>
    <s v="OUB-W0012309-46"/>
    <s v="EJ-Malang-01"/>
    <s v="Oka-0813-2707-1646"/>
    <x v="29"/>
    <d v="1899-12-30T06:30:00"/>
    <s v="EJ-MALANG-01"/>
    <x v="0"/>
    <x v="19"/>
    <s v="ZTE1003"/>
    <s v="Pcs"/>
    <n v="4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199"/>
    <m/>
    <x v="1"/>
    <s v="OUB-W0012309-46"/>
    <s v="EJ-Malang-01"/>
    <s v="Oka-0813-2707-1646"/>
    <x v="29"/>
    <d v="1899-12-30T06:30:00"/>
    <s v="EJ-MALANG-01"/>
    <x v="1"/>
    <x v="12"/>
    <s v="GCI1008"/>
    <s v="Pcs"/>
    <n v="30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00"/>
    <m/>
    <x v="1"/>
    <s v="OUB-W0012309-47"/>
    <s v="EJ-Malang-01"/>
    <s v="Oka-0813-2707-1646"/>
    <x v="29"/>
    <d v="1899-12-30T09:18:00"/>
    <s v="EJ-MALANG-01"/>
    <x v="1"/>
    <x v="14"/>
    <s v="GCI1006"/>
    <s v="Pcs"/>
    <n v="2"/>
    <s v="CLR51-99-004"/>
    <x v="0"/>
    <m/>
    <m/>
    <m/>
    <s v="Imam Safi'i"/>
    <n v="0"/>
    <s v="3509040409910004"/>
    <s v="W 1130 NQ"/>
    <m/>
    <x v="2"/>
    <s v="Perumahan Bumi Podo Rukun Dau"/>
    <e v="#N/A"/>
    <e v="#N/A"/>
    <s v="OUTBOUND_"/>
  </r>
  <r>
    <s v="201"/>
    <m/>
    <x v="1"/>
    <s v="OUB-W0012309-46"/>
    <s v="EJ-Malang-01"/>
    <s v="Oka-0813-2707-1646"/>
    <x v="29"/>
    <d v="1899-12-30T06:30:00"/>
    <s v="EJ-MALANG-01"/>
    <x v="1"/>
    <x v="14"/>
    <s v="GCI1006"/>
    <s v="Pcs"/>
    <n v="50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02"/>
    <m/>
    <x v="1"/>
    <s v="OUB-W0012309-46"/>
    <s v="EJ-Malang-01"/>
    <s v="Oka-0813-2707-1646"/>
    <x v="29"/>
    <d v="1899-12-30T06:30:00"/>
    <s v="EJ-MALANG-01"/>
    <x v="1"/>
    <x v="16"/>
    <s v="GCI1004"/>
    <s v="Pcs"/>
    <n v="16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03"/>
    <m/>
    <x v="1"/>
    <s v="OUB-W0012309-49"/>
    <s v="EJ-Malang-01"/>
    <s v="Oka-0813-2707-1646"/>
    <x v="30"/>
    <d v="1899-12-30T06:37:00"/>
    <s v="EJ-MALANG-01"/>
    <x v="0"/>
    <x v="1"/>
    <s v="ZTE2003"/>
    <s v="Meter"/>
    <n v="3000"/>
    <s v="CLR51-02-001"/>
    <x v="9"/>
    <m/>
    <m/>
    <m/>
    <s v="Khoiri "/>
    <s v="Khoiri Supplier"/>
    <s v="3507330905820002"/>
    <s v="N 8638 ES"/>
    <m/>
    <x v="8"/>
    <s v="Puncak Dieng Exlusif"/>
    <e v="#N/A"/>
    <e v="#N/A"/>
    <s v="OUTBOUND_H-ADSS 48C-2023926-01"/>
  </r>
  <r>
    <s v="204"/>
    <m/>
    <x v="1"/>
    <s v="OUB-W0012309-51"/>
    <s v="EJ-Malang-01"/>
    <s v="Oka-0813-2707-1646"/>
    <x v="30"/>
    <d v="1899-12-30T12:30:00"/>
    <s v="EJ-MALANG-01"/>
    <x v="0"/>
    <x v="1"/>
    <s v="ZTE2003"/>
    <s v="Meter"/>
    <n v="3000"/>
    <s v="CLR51-99-013"/>
    <x v="6"/>
    <m/>
    <m/>
    <m/>
    <s v="Ahmad Subari"/>
    <s v="Khoiri Supplier"/>
    <s v="3507150401800010"/>
    <s v="N 9795 EM"/>
    <m/>
    <x v="2"/>
    <s v="Pandan Landung RW 03 Wagir"/>
    <e v="#N/A"/>
    <e v="#N/A"/>
    <s v="OUTBOUND_"/>
  </r>
  <r>
    <s v="205"/>
    <m/>
    <x v="1"/>
    <s v="OUB-W0012309-51"/>
    <s v="EJ-Malang-01"/>
    <s v="Oka-0813-2707-1646"/>
    <x v="30"/>
    <d v="1899-12-30T12:30:00"/>
    <s v="EJ-MALANG-01"/>
    <x v="1"/>
    <x v="6"/>
    <s v="GCI1011"/>
    <s v="Pcs"/>
    <n v="1"/>
    <s v="CLR51-99-013"/>
    <x v="6"/>
    <m/>
    <m/>
    <m/>
    <s v="Ahmad Subari"/>
    <s v="Khoiri Supplier"/>
    <s v="3507150401800010"/>
    <s v="N 9795 EM"/>
    <m/>
    <x v="2"/>
    <s v="Pandan Landung RW 03 Wagir"/>
    <e v="#N/A"/>
    <e v="#N/A"/>
    <s v="OUTBOUND_"/>
  </r>
  <r>
    <s v="206"/>
    <m/>
    <x v="1"/>
    <s v="OUB-W0012309-51"/>
    <s v="EJ-Malang-01"/>
    <s v="Oka-0813-2707-1646"/>
    <x v="30"/>
    <d v="1899-12-30T12:30:00"/>
    <s v="EJ-MALANG-01"/>
    <x v="1"/>
    <x v="9"/>
    <s v="GCI1001"/>
    <s v="Pcs"/>
    <n v="17"/>
    <s v="CLR51-99-013"/>
    <x v="6"/>
    <m/>
    <m/>
    <m/>
    <s v="Ahmad Subari"/>
    <n v="0"/>
    <s v="3507150401800010"/>
    <s v="N 9795 EM"/>
    <m/>
    <x v="2"/>
    <s v="Pandan Landung RW 03 Wagir"/>
    <e v="#N/A"/>
    <e v="#N/A"/>
    <s v="OUTBOUND_"/>
  </r>
  <r>
    <s v="207"/>
    <m/>
    <x v="1"/>
    <s v="OUB-W0012309-51"/>
    <s v="EJ-Malang-01"/>
    <s v="Oka-0813-2707-1646"/>
    <x v="30"/>
    <d v="1899-12-30T12:30:00"/>
    <s v="EJ-MALANG-01"/>
    <x v="1"/>
    <x v="10"/>
    <s v="GCI1009"/>
    <s v="Pcs"/>
    <n v="44"/>
    <s v="CLR51-99-013"/>
    <x v="6"/>
    <m/>
    <m/>
    <m/>
    <s v="Ahmad Subari"/>
    <s v="Khoiri Supplier"/>
    <s v="3507150401800010"/>
    <s v="N 9795 EM"/>
    <m/>
    <x v="2"/>
    <s v="Pandan Landung RW 03 Wagir"/>
    <e v="#N/A"/>
    <e v="#N/A"/>
    <s v="OUTBOUND_"/>
  </r>
  <r>
    <s v="208"/>
    <m/>
    <x v="1"/>
    <s v="OUB-W0012309-50"/>
    <s v="EJ-Malang-01"/>
    <s v="Oka-0813-2707-1646"/>
    <x v="30"/>
    <d v="1899-12-30T11:20:00"/>
    <s v="EJ-MALANG-01"/>
    <x v="0"/>
    <x v="2"/>
    <s v="ZTE2008"/>
    <s v="Pcs"/>
    <n v="35"/>
    <s v="CLR51-02-001"/>
    <x v="9"/>
    <m/>
    <m/>
    <m/>
    <s v="Khoiri"/>
    <s v="Khoiri Supplier"/>
    <s v="3507330905820002"/>
    <s v="N 3408 ECP"/>
    <m/>
    <x v="2"/>
    <s v="Puncak Dieng Exlusif"/>
    <e v="#N/A"/>
    <e v="#N/A"/>
    <s v="OUTBOUND_"/>
  </r>
  <r>
    <s v="209"/>
    <m/>
    <x v="1"/>
    <s v="OUB-W0012309-50"/>
    <s v="EJ-Malang-01"/>
    <s v="Oka-0813-2707-1646"/>
    <x v="30"/>
    <d v="1899-12-30T11:20:00"/>
    <s v="EJ-MALANG-01"/>
    <x v="0"/>
    <x v="3"/>
    <s v="ZTE2005"/>
    <s v="Pcs"/>
    <n v="2"/>
    <s v="CLR51-02-001"/>
    <x v="9"/>
    <m/>
    <m/>
    <m/>
    <s v="Khoiri"/>
    <s v="Khoiri Supplier"/>
    <s v="3507330905820002"/>
    <s v="N 3408 ECP"/>
    <m/>
    <x v="2"/>
    <s v="Puncak Dieng Exlusif"/>
    <e v="#N/A"/>
    <e v="#N/A"/>
    <s v="OUTBOUND_"/>
  </r>
  <r>
    <s v="210"/>
    <m/>
    <x v="1"/>
    <s v="OUB-W0012309-51"/>
    <s v="EJ-Malang-01"/>
    <s v="Oka-0813-2707-1646"/>
    <x v="30"/>
    <d v="1899-12-30T12:30:00"/>
    <s v="EJ-MALANG-01"/>
    <x v="1"/>
    <x v="11"/>
    <s v="GCI1002"/>
    <s v="Pcs"/>
    <n v="1"/>
    <s v="CLR51-99-013"/>
    <x v="6"/>
    <m/>
    <m/>
    <m/>
    <s v="Ahmad Subari"/>
    <s v="Khoiri Supplier"/>
    <s v="3507150401800010"/>
    <s v="N 9795 EM"/>
    <m/>
    <x v="2"/>
    <s v="Pandan Landung RW 03 Wagir"/>
    <e v="#N/A"/>
    <e v="#N/A"/>
    <s v="OUTBOUND_"/>
  </r>
  <r>
    <s v="211"/>
    <m/>
    <x v="1"/>
    <s v="OUB-W0012309-49"/>
    <s v="EJ-Malang-01"/>
    <s v="Oka-0813-2707-1646"/>
    <x v="30"/>
    <d v="1899-12-30T06:37:00"/>
    <s v="EJ-MALANG-01"/>
    <x v="0"/>
    <x v="5"/>
    <s v="ZTE1001"/>
    <s v="Pcs"/>
    <n v="4"/>
    <s v="CLR51-02-001"/>
    <x v="9"/>
    <m/>
    <m/>
    <m/>
    <s v="Khoiri "/>
    <s v="Khoiri Supplier"/>
    <s v="3507330905820002"/>
    <s v="N 8638 ES"/>
    <m/>
    <x v="2"/>
    <s v="Puncak Dieng Exlusif"/>
    <e v="#N/A"/>
    <e v="#N/A"/>
    <s v="OUTBOUND_"/>
  </r>
  <r>
    <s v="212"/>
    <m/>
    <x v="1"/>
    <s v="OUB-W0012309-49"/>
    <s v="EJ-Malang-01"/>
    <s v="Oka-0813-2707-1646"/>
    <x v="30"/>
    <d v="1899-12-30T06:37:00"/>
    <s v="EJ-MALANG-01"/>
    <x v="0"/>
    <x v="19"/>
    <s v="ZTE1003"/>
    <s v="Pcs"/>
    <n v="2"/>
    <s v="CLR51-02-001"/>
    <x v="9"/>
    <m/>
    <m/>
    <m/>
    <s v="Khoiri "/>
    <s v="Khoiri Supplier"/>
    <s v="3507330905820002"/>
    <s v="N 8638 ES"/>
    <m/>
    <x v="2"/>
    <s v="Puncak Dieng Exlusif"/>
    <e v="#N/A"/>
    <e v="#N/A"/>
    <s v="OUTBOUND_"/>
  </r>
  <r>
    <s v="213"/>
    <m/>
    <x v="1"/>
    <s v="OUB-W0012309-51"/>
    <s v="EJ-Malang-01"/>
    <s v="Oka-0813-2707-1646"/>
    <x v="30"/>
    <d v="1899-12-30T12:30:00"/>
    <s v="EJ-MALANG-01"/>
    <x v="1"/>
    <x v="12"/>
    <s v="GCI1008"/>
    <s v="Pcs"/>
    <n v="30"/>
    <s v="CLR51-99-013"/>
    <x v="6"/>
    <m/>
    <m/>
    <m/>
    <s v="Ahmad Subari"/>
    <s v="Khoiri Supplier"/>
    <s v="3507150401800010"/>
    <s v="N 9795 EM"/>
    <m/>
    <x v="2"/>
    <s v="Pandan Landung RW 03 Wagir"/>
    <e v="#N/A"/>
    <e v="#N/A"/>
    <s v="OUTBOUND_"/>
  </r>
  <r>
    <s v="214"/>
    <m/>
    <x v="1"/>
    <s v="OUB-W0012309-51"/>
    <s v="EJ-Malang-01"/>
    <s v="Oka-0813-2707-1646"/>
    <x v="30"/>
    <d v="1899-12-30T12:30:00"/>
    <s v="EJ-MALANG-01"/>
    <x v="1"/>
    <x v="14"/>
    <s v="GCI1006"/>
    <s v="Pcs"/>
    <n v="44"/>
    <s v="CLR51-99-013"/>
    <x v="6"/>
    <m/>
    <m/>
    <m/>
    <s v="Ahmad Subari"/>
    <s v="Khoiri Supplier"/>
    <s v="3507150401800010"/>
    <s v="N 9795 EM"/>
    <m/>
    <x v="2"/>
    <s v="Pandan Landung RW 03 Wagir"/>
    <e v="#N/A"/>
    <e v="#N/A"/>
    <s v="OUTBOUND_"/>
  </r>
  <r>
    <s v="215"/>
    <m/>
    <x v="1"/>
    <s v="OUB-W0012309-51"/>
    <s v="EJ-Malang-01"/>
    <s v="Oka-0813-2707-1646"/>
    <x v="30"/>
    <d v="1899-12-30T12:30:00"/>
    <s v="EJ-MALANG-01"/>
    <x v="1"/>
    <x v="16"/>
    <s v="GCI1004"/>
    <s v="Pcs"/>
    <n v="20"/>
    <s v="CLR51-99-013"/>
    <x v="6"/>
    <m/>
    <m/>
    <m/>
    <s v="Ahmad Subari"/>
    <s v="Khoiri Supplier"/>
    <s v="3507150401800010"/>
    <s v="N 9795 EM"/>
    <m/>
    <x v="2"/>
    <s v="Pandan Landung RW 03 Wagir"/>
    <e v="#N/A"/>
    <e v="#N/A"/>
    <s v="OUTBOUND_"/>
  </r>
  <r>
    <s v="216"/>
    <m/>
    <x v="1"/>
    <s v="OUB-W0012309-54"/>
    <s v="EJ-Malang-01"/>
    <s v="Oka-0813-2707-1646"/>
    <x v="31"/>
    <d v="1899-12-30T22:30:00"/>
    <s v="EJ-MALANG-01"/>
    <x v="0"/>
    <x v="20"/>
    <s v="ZTE1004"/>
    <s v="Pcs"/>
    <n v="2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17"/>
    <m/>
    <x v="1"/>
    <s v="OUB-W0012309-52"/>
    <s v="EJ-Malang-01"/>
    <s v="Oka-0813-2707-1646"/>
    <x v="31"/>
    <d v="1899-12-30T06:57:00"/>
    <s v="EJ-MALANG-01"/>
    <x v="0"/>
    <x v="5"/>
    <s v="ZTE1001"/>
    <s v="Pcs"/>
    <n v="9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18"/>
    <m/>
    <x v="1"/>
    <s v="OUB-W0012309-53"/>
    <s v="EJ-Malang-01"/>
    <s v="Oka-0813-2707-1646"/>
    <x v="31"/>
    <d v="1899-12-30T08:47:00"/>
    <s v="EJ-MALANG-01"/>
    <x v="0"/>
    <x v="5"/>
    <s v="ZTE1001"/>
    <s v="Pcs"/>
    <n v="17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19"/>
    <m/>
    <x v="1"/>
    <s v="OUB-W0012310-55"/>
    <s v="EJ-Malang-01"/>
    <s v="Oka-0813-2707-1646"/>
    <x v="32"/>
    <d v="1899-12-30T06:30:00"/>
    <s v="EJ-MALANG-01"/>
    <x v="0"/>
    <x v="0"/>
    <s v="ZTE2001"/>
    <s v="Meter"/>
    <n v="3000"/>
    <s v="CLR51-02-001"/>
    <x v="9"/>
    <m/>
    <m/>
    <m/>
    <s v="Khoiri"/>
    <s v="Khoiri Supplier"/>
    <s v="3507330905820002"/>
    <s v="N 8638 ES"/>
    <s v="3000-2065=935"/>
    <x v="7"/>
    <s v="Puncak Dieng Exlusif"/>
    <e v="#N/A"/>
    <e v="#N/A"/>
    <s v="OUTBOUND_H-ADSS 24C-2023926-01"/>
  </r>
  <r>
    <s v="220"/>
    <m/>
    <x v="1"/>
    <s v="OUB-W0012310-55"/>
    <s v="EJ-Malang-01"/>
    <s v="Oka-0813-2707-1646"/>
    <x v="32"/>
    <d v="1899-12-30T06:30:00"/>
    <s v="EJ-MALANG-01"/>
    <x v="1"/>
    <x v="9"/>
    <s v="GCI1001"/>
    <s v="Pcs"/>
    <n v="20"/>
    <s v="CLR51-02-001"/>
    <x v="9"/>
    <m/>
    <m/>
    <m/>
    <s v="Khoiri"/>
    <s v="Khoiri Supplier"/>
    <s v="3507330905820002"/>
    <s v="N 8638 ES"/>
    <m/>
    <x v="2"/>
    <s v="Puncak Dieng Exlusif"/>
    <e v="#N/A"/>
    <e v="#N/A"/>
    <s v="OUTBOUND_"/>
  </r>
  <r>
    <s v="221"/>
    <m/>
    <x v="1"/>
    <s v="OUB-W0012310-55"/>
    <s v="EJ-Malang-01"/>
    <s v="Oka-0813-2707-1646"/>
    <x v="32"/>
    <d v="1899-12-30T06:30:00"/>
    <s v="EJ-MALANG-01"/>
    <x v="1"/>
    <x v="10"/>
    <s v="GCI1009"/>
    <s v="Pcs"/>
    <n v="75"/>
    <s v="CLR51-02-001"/>
    <x v="9"/>
    <m/>
    <m/>
    <m/>
    <s v="Khoiri"/>
    <s v="Khoiri Supplier"/>
    <s v="3507330905820002"/>
    <s v="N 8638 ES"/>
    <m/>
    <x v="2"/>
    <s v="Puncak Dieng Exlusif"/>
    <e v="#N/A"/>
    <e v="#N/A"/>
    <s v="OUTBOUND_"/>
  </r>
  <r>
    <s v="222"/>
    <m/>
    <x v="1"/>
    <s v="OUB-W0012310-55"/>
    <s v="EJ-Malang-01"/>
    <s v="Oka-0813-2707-1646"/>
    <x v="32"/>
    <d v="1899-12-30T06:30:00"/>
    <s v="EJ-MALANG-01"/>
    <x v="0"/>
    <x v="5"/>
    <s v="ZTE1001"/>
    <s v="Pcs"/>
    <n v="17"/>
    <s v="CLR51-02-001"/>
    <x v="9"/>
    <m/>
    <m/>
    <m/>
    <s v="Khoiri"/>
    <s v="Khoiri Supplier"/>
    <s v="3507330905820002"/>
    <s v="N 8638 ES"/>
    <m/>
    <x v="2"/>
    <s v="Puncak Dieng Exlusif"/>
    <e v="#N/A"/>
    <e v="#N/A"/>
    <s v="OUTBOUND_"/>
  </r>
  <r>
    <s v="223"/>
    <m/>
    <x v="1"/>
    <s v="OUB-W0012310-55"/>
    <s v="EJ-Malang-01"/>
    <s v="Oka-0813-2707-1646"/>
    <x v="32"/>
    <d v="1899-12-30T06:30:00"/>
    <s v="EJ-MALANG-01"/>
    <x v="0"/>
    <x v="19"/>
    <s v="ZTE1003"/>
    <s v="Pcs"/>
    <n v="2"/>
    <s v="CLR51-02-001"/>
    <x v="9"/>
    <m/>
    <m/>
    <m/>
    <s v="Khoiri"/>
    <s v="Khoiri Supplier"/>
    <s v="3507330905820002"/>
    <s v="N 8638 ES"/>
    <m/>
    <x v="2"/>
    <s v="Puncak Dieng Exlusif"/>
    <e v="#N/A"/>
    <e v="#N/A"/>
    <s v="OUTBOUND_"/>
  </r>
  <r>
    <s v="224"/>
    <m/>
    <x v="1"/>
    <s v="OUB-W0012310-55"/>
    <s v="EJ-Malang-01"/>
    <s v="Oka-0813-2707-1646"/>
    <x v="32"/>
    <d v="1899-12-30T06:30:00"/>
    <s v="EJ-MALANG-01"/>
    <x v="1"/>
    <x v="12"/>
    <s v="GCI1008"/>
    <s v="Pcs"/>
    <n v="40"/>
    <s v="CLR51-02-001"/>
    <x v="9"/>
    <m/>
    <m/>
    <m/>
    <s v="Khoiri"/>
    <s v="Khoiri Supplier"/>
    <s v="3507330905820002"/>
    <s v="N 8638 ES"/>
    <m/>
    <x v="2"/>
    <s v="Puncak Dieng Exlusif"/>
    <e v="#N/A"/>
    <e v="#N/A"/>
    <s v="OUTBOUND_"/>
  </r>
  <r>
    <s v="225"/>
    <m/>
    <x v="1"/>
    <s v="OUB-W0012310-55"/>
    <s v="EJ-Malang-01"/>
    <s v="Oka-0813-2707-1646"/>
    <x v="32"/>
    <d v="1899-12-30T06:30:00"/>
    <s v="EJ-MALANG-01"/>
    <x v="1"/>
    <x v="14"/>
    <s v="GCI1006"/>
    <s v="Pcs"/>
    <n v="75"/>
    <s v="CLR51-02-001"/>
    <x v="9"/>
    <m/>
    <m/>
    <m/>
    <s v="Khoiri"/>
    <s v="Khoiri Supplier"/>
    <s v="3507330905820002"/>
    <s v="N 8638 ES"/>
    <m/>
    <x v="2"/>
    <s v="Puncak Dieng Exlusif"/>
    <e v="#N/A"/>
    <e v="#N/A"/>
    <s v="OUTBOUND_"/>
  </r>
  <r>
    <s v="226"/>
    <m/>
    <x v="1"/>
    <s v="OUB-W0012310-55"/>
    <s v="EJ-Malang-01"/>
    <s v="Oka-0813-2707-1646"/>
    <x v="32"/>
    <d v="1899-12-30T06:30:00"/>
    <s v="EJ-MALANG-01"/>
    <x v="1"/>
    <x v="16"/>
    <s v="GCI1004"/>
    <s v="Pcs"/>
    <n v="35"/>
    <s v="CLR51-02-001"/>
    <x v="9"/>
    <m/>
    <m/>
    <m/>
    <s v="Khoiri"/>
    <s v="Khoiri Supplier"/>
    <s v="3507330905820002"/>
    <s v="N 8638 ES"/>
    <m/>
    <x v="2"/>
    <s v="Puncak Dieng Exlusif"/>
    <e v="#N/A"/>
    <e v="#N/A"/>
    <s v="OUTBOUND_"/>
  </r>
  <r>
    <s v="227"/>
    <m/>
    <x v="0"/>
    <s v="INB-W0012310-58"/>
    <s v="EJ-Malang-01"/>
    <s v="Oka-0813-2707-1646"/>
    <x v="33"/>
    <d v="1900-01-14T07:00:00"/>
    <s v="GCI Procurement"/>
    <x v="1"/>
    <x v="8"/>
    <s v="GCI1005"/>
    <s v="Pcs"/>
    <n v="44"/>
    <s v="PRC"/>
    <x v="8"/>
    <n v="0"/>
    <n v="0"/>
    <m/>
    <m/>
    <m/>
    <m/>
    <m/>
    <m/>
    <x v="2"/>
    <s v="Purchase"/>
    <e v="#N/A"/>
    <e v="#N/A"/>
    <s v="OUTBOUND_"/>
  </r>
  <r>
    <s v="228"/>
    <m/>
    <x v="0"/>
    <s v="INB-W0012310-58"/>
    <s v="EJ-Malang-01"/>
    <s v="Oka-0813-2707-1646"/>
    <x v="33"/>
    <d v="1900-01-14T07:00:00"/>
    <s v="GCI Procurement"/>
    <x v="1"/>
    <x v="9"/>
    <s v="GCI1001"/>
    <s v="Pcs"/>
    <n v="21"/>
    <s v="PRC"/>
    <x v="8"/>
    <n v="0"/>
    <n v="0"/>
    <m/>
    <m/>
    <m/>
    <m/>
    <m/>
    <m/>
    <x v="2"/>
    <s v="Purchase"/>
    <e v="#N/A"/>
    <e v="#N/A"/>
    <s v="OUTBOUND_"/>
  </r>
  <r>
    <s v="229"/>
    <m/>
    <x v="3"/>
    <s v="TFO-W0012310-57"/>
    <s v="EJ-Malang-01"/>
    <s v="Oka-0813-2707-1646"/>
    <x v="33"/>
    <d v="1899-12-30T20:58:00"/>
    <s v="EJ-MALANG-01"/>
    <x v="1"/>
    <x v="9"/>
    <s v="GCI1001"/>
    <s v="Pcs"/>
    <n v="6"/>
    <s v="TRF"/>
    <x v="10"/>
    <m/>
    <m/>
    <m/>
    <s v="Sigit Pamungkas"/>
    <n v="0"/>
    <n v="0"/>
    <n v="0"/>
    <m/>
    <x v="2"/>
    <s v="Transfer Gudang"/>
    <e v="#N/A"/>
    <e v="#N/A"/>
    <s v="TRANSFER OUT_"/>
  </r>
  <r>
    <s v="230"/>
    <m/>
    <x v="0"/>
    <s v="INB-W0012310-58"/>
    <s v="EJ-Malang-01"/>
    <s v="Oka-0813-2707-1646"/>
    <x v="33"/>
    <d v="1900-01-14T07:00:00"/>
    <s v="GCI Procurement"/>
    <x v="1"/>
    <x v="10"/>
    <s v="GCI1009"/>
    <s v="Pcs"/>
    <n v="125"/>
    <s v="PRC"/>
    <x v="8"/>
    <n v="0"/>
    <n v="0"/>
    <m/>
    <m/>
    <m/>
    <m/>
    <m/>
    <m/>
    <x v="2"/>
    <s v="Purchase"/>
    <e v="#N/A"/>
    <e v="#N/A"/>
    <s v="OUTBOUND_"/>
  </r>
  <r>
    <s v="231"/>
    <m/>
    <x v="1"/>
    <s v="OUB-W0012310-56"/>
    <s v="EJ-Malang-01"/>
    <s v="Oka-0813-2707-1646"/>
    <x v="33"/>
    <d v="1899-12-30T11:20:00"/>
    <s v="EJ-MALANG-01"/>
    <x v="0"/>
    <x v="2"/>
    <s v="ZTE2008"/>
    <s v="Pcs"/>
    <n v="3"/>
    <s v="CLR51-02-001"/>
    <x v="9"/>
    <m/>
    <m/>
    <m/>
    <s v="Khoiri"/>
    <s v="Khoiri Supplier"/>
    <s v="3507330905820002"/>
    <s v="N 3408 ECP"/>
    <m/>
    <x v="2"/>
    <s v="Puncak Dieng Exlusif"/>
    <e v="#N/A"/>
    <e v="#N/A"/>
    <s v="OUTBOUND_"/>
  </r>
  <r>
    <s v="232"/>
    <m/>
    <x v="0"/>
    <s v="INB-W0012310-58"/>
    <s v="EJ-Malang-01"/>
    <s v="Oka-0813-2707-1646"/>
    <x v="33"/>
    <d v="1900-01-14T07:00:00"/>
    <s v="GCI Procurement"/>
    <x v="1"/>
    <x v="11"/>
    <s v="GCI1002"/>
    <s v="Pcs"/>
    <n v="2"/>
    <s v="PRC"/>
    <x v="8"/>
    <n v="0"/>
    <n v="0"/>
    <m/>
    <m/>
    <m/>
    <m/>
    <m/>
    <m/>
    <x v="2"/>
    <s v="Purchase"/>
    <e v="#N/A"/>
    <e v="#N/A"/>
    <s v="OUTBOUND_"/>
  </r>
  <r>
    <s v="233"/>
    <m/>
    <x v="0"/>
    <s v="INB-W0012310-58"/>
    <s v="EJ-Malang-01"/>
    <s v="Oka-0813-2707-1646"/>
    <x v="33"/>
    <d v="1900-01-14T07:00:00"/>
    <s v="GCI Procurement"/>
    <x v="1"/>
    <x v="12"/>
    <s v="GCI1008"/>
    <s v="Pcs"/>
    <n v="85"/>
    <s v="PRC"/>
    <x v="8"/>
    <n v="0"/>
    <n v="0"/>
    <m/>
    <m/>
    <m/>
    <m/>
    <m/>
    <m/>
    <x v="2"/>
    <s v="Purchase"/>
    <e v="#N/A"/>
    <e v="#N/A"/>
    <s v="OUTBOUND_"/>
  </r>
  <r>
    <s v="234"/>
    <m/>
    <x v="0"/>
    <s v="INB-W0012310-58"/>
    <s v="EJ-Malang-01"/>
    <s v="Oka-0813-2707-1646"/>
    <x v="33"/>
    <d v="1900-01-14T07:00:00"/>
    <s v="GCI Procurement"/>
    <x v="1"/>
    <x v="14"/>
    <s v="GCI1006"/>
    <s v="Pcs"/>
    <n v="135"/>
    <s v="CLR51-99-013"/>
    <x v="6"/>
    <n v="0"/>
    <n v="0"/>
    <m/>
    <m/>
    <m/>
    <m/>
    <m/>
    <m/>
    <x v="2"/>
    <s v="Pandan Landung RW 03 Wagir"/>
    <e v="#N/A"/>
    <e v="#N/A"/>
    <s v="OUTBOUND_"/>
  </r>
  <r>
    <s v="235"/>
    <m/>
    <x v="0"/>
    <s v="INB-W0012310-58"/>
    <s v="EJ-Malang-01"/>
    <s v="Oka-0813-2707-1646"/>
    <x v="33"/>
    <d v="1900-01-14T07:00:00"/>
    <s v="GCI Procurement"/>
    <x v="1"/>
    <x v="15"/>
    <s v="GCI1003"/>
    <s v="Pcs"/>
    <n v="200"/>
    <s v="PRC"/>
    <x v="8"/>
    <n v="0"/>
    <n v="0"/>
    <m/>
    <m/>
    <m/>
    <m/>
    <m/>
    <m/>
    <x v="2"/>
    <s v="Purchase"/>
    <e v="#N/A"/>
    <e v="#N/A"/>
    <s v="OUTBOUND_"/>
  </r>
  <r>
    <s v="236"/>
    <m/>
    <x v="0"/>
    <s v="INB-W0012310-58"/>
    <s v="EJ-Malang-01"/>
    <s v="Oka-0813-2707-1646"/>
    <x v="33"/>
    <d v="1900-01-14T07:00:00"/>
    <s v="GCI Procurement"/>
    <x v="1"/>
    <x v="16"/>
    <s v="GCI1004"/>
    <s v="Pcs"/>
    <n v="36"/>
    <s v="PRC"/>
    <x v="8"/>
    <n v="0"/>
    <n v="0"/>
    <m/>
    <m/>
    <m/>
    <m/>
    <m/>
    <m/>
    <x v="2"/>
    <s v="Purchase"/>
    <e v="#N/A"/>
    <e v="#N/A"/>
    <s v="OUTBOUND_"/>
  </r>
  <r>
    <s v="237"/>
    <m/>
    <x v="1"/>
    <s v="OUB-W0012310-59"/>
    <s v="EJ-Malang-01"/>
    <s v="Oka-0813-2707-1646"/>
    <x v="34"/>
    <d v="1899-12-30T09:40:00"/>
    <s v="EJ-MALANG-01"/>
    <x v="1"/>
    <x v="8"/>
    <s v="GCI1005"/>
    <s v="Pcs"/>
    <n v="44"/>
    <s v="CLR51-99-014"/>
    <x v="3"/>
    <m/>
    <m/>
    <m/>
    <s v="Ahmad Subari"/>
    <n v="0"/>
    <s v="3507150401800010"/>
    <s v="N 9609 EF"/>
    <m/>
    <x v="2"/>
    <s v="Pandan Landung RW 04 Wagir"/>
    <e v="#N/A"/>
    <e v="#N/A"/>
    <s v="OUTBOUND_"/>
  </r>
  <r>
    <s v="238"/>
    <m/>
    <x v="1"/>
    <s v="OUB-W0012310-59"/>
    <s v="EJ-Malang-01"/>
    <s v="Oka-0813-2707-1646"/>
    <x v="34"/>
    <d v="1899-12-30T09:40:00"/>
    <s v="EJ-MALANG-01"/>
    <x v="1"/>
    <x v="9"/>
    <s v="GCI1001"/>
    <s v="Pcs"/>
    <n v="8"/>
    <s v="CLR51-99-014"/>
    <x v="3"/>
    <m/>
    <m/>
    <m/>
    <s v="Ahmad Subari"/>
    <n v="0"/>
    <s v="3507150401800010"/>
    <s v="N 9609 EF"/>
    <m/>
    <x v="2"/>
    <s v="Pandan Landung RW 04 Wagir"/>
    <e v="#N/A"/>
    <e v="#N/A"/>
    <s v="OUTBOUND_"/>
  </r>
  <r>
    <s v="239"/>
    <m/>
    <x v="1"/>
    <s v="OUB-W0012310-59"/>
    <s v="EJ-Malang-01"/>
    <s v="Oka-0813-2707-1646"/>
    <x v="34"/>
    <d v="1899-12-30T09:40:00"/>
    <s v="EJ-MALANG-01"/>
    <x v="1"/>
    <x v="10"/>
    <s v="GCI1009"/>
    <s v="Pcs"/>
    <n v="10"/>
    <s v="CLR51-99-014"/>
    <x v="3"/>
    <m/>
    <m/>
    <m/>
    <s v="Ahmad Subari"/>
    <n v="0"/>
    <s v="3507150401800010"/>
    <s v="N 9609 EF"/>
    <m/>
    <x v="2"/>
    <s v="Pandan Landung RW 04 Wagir"/>
    <e v="#N/A"/>
    <e v="#N/A"/>
    <s v="OUTBOUND_"/>
  </r>
  <r>
    <s v="240"/>
    <m/>
    <x v="1"/>
    <s v="OUB-W0012310-59"/>
    <s v="EJ-Malang-01"/>
    <s v="Oka-0813-2707-1646"/>
    <x v="34"/>
    <d v="1899-12-30T09:40:00"/>
    <s v="EJ-MALANG-01"/>
    <x v="1"/>
    <x v="11"/>
    <s v="GCI1002"/>
    <s v="Pcs"/>
    <n v="1"/>
    <s v="CLR51-99-014"/>
    <x v="3"/>
    <m/>
    <m/>
    <m/>
    <s v="Ahmad Subari"/>
    <n v="0"/>
    <s v="3507150401800010"/>
    <s v="N 9609 EF"/>
    <m/>
    <x v="2"/>
    <s v="Pandan Landung RW 04 Wagir"/>
    <e v="#N/A"/>
    <e v="#N/A"/>
    <s v="OUTBOUND_"/>
  </r>
  <r>
    <s v="241"/>
    <m/>
    <x v="1"/>
    <s v="OUB-W0012310-59"/>
    <s v="EJ-Malang-01"/>
    <s v="Oka-0813-2707-1646"/>
    <x v="34"/>
    <d v="1899-12-30T09:40:00"/>
    <s v="EJ-MALANG-01"/>
    <x v="0"/>
    <x v="4"/>
    <s v="ZTE1002"/>
    <s v="Pcs"/>
    <n v="2"/>
    <s v="CLR51-99-014"/>
    <x v="3"/>
    <m/>
    <m/>
    <m/>
    <s v="Ahmad Subari"/>
    <n v="0"/>
    <s v="3507150401800010"/>
    <s v="N 9609 EF"/>
    <m/>
    <x v="2"/>
    <s v="Pandan Landung RW 04 Wagir"/>
    <e v="#N/A"/>
    <e v="#N/A"/>
    <s v="OUTBOUND_"/>
  </r>
  <r>
    <s v="242"/>
    <m/>
    <x v="1"/>
    <s v="OUB-W0012310-59"/>
    <s v="EJ-Malang-01"/>
    <s v="Oka-0813-2707-1646"/>
    <x v="34"/>
    <d v="1899-12-30T09:40:00"/>
    <s v="EJ-MALANG-01"/>
    <x v="0"/>
    <x v="5"/>
    <s v="ZTE1001"/>
    <s v="Pcs"/>
    <n v="1"/>
    <s v="CLR51-99-014"/>
    <x v="3"/>
    <m/>
    <m/>
    <m/>
    <s v="Ahmad Subari"/>
    <n v="0"/>
    <s v="3507150401800010"/>
    <s v="N 9609 EF"/>
    <m/>
    <x v="2"/>
    <s v="Pandan Landung RW 04 Wagir"/>
    <e v="#N/A"/>
    <e v="#N/A"/>
    <s v="OUTBOUND_"/>
  </r>
  <r>
    <s v="243"/>
    <m/>
    <x v="1"/>
    <s v="OUB-W0012310-59"/>
    <s v="EJ-Malang-01"/>
    <s v="Oka-0813-2707-1646"/>
    <x v="34"/>
    <d v="1899-12-30T09:40:00"/>
    <s v="EJ-MALANG-01"/>
    <x v="1"/>
    <x v="12"/>
    <s v="GCI1008"/>
    <s v="Pcs"/>
    <n v="10"/>
    <s v="CLR51-99-014"/>
    <x v="3"/>
    <m/>
    <m/>
    <m/>
    <s v="Ahmad Subari"/>
    <n v="0"/>
    <s v="3507150401800010"/>
    <s v="N 9609 EF"/>
    <m/>
    <x v="2"/>
    <s v="Pandan Landung RW 04 Wagir"/>
    <e v="#N/A"/>
    <e v="#N/A"/>
    <s v="OUTBOUND_"/>
  </r>
  <r>
    <s v="244"/>
    <m/>
    <x v="1"/>
    <s v="OUB-W0012310-59"/>
    <s v="EJ-Malang-01"/>
    <s v="Oka-0813-2707-1646"/>
    <x v="34"/>
    <d v="1899-12-30T09:40:00"/>
    <s v="EJ-MALANG-01"/>
    <x v="1"/>
    <x v="14"/>
    <s v="GCI1006"/>
    <s v="Pcs"/>
    <n v="10"/>
    <s v="CLR51-99-014"/>
    <x v="3"/>
    <m/>
    <m/>
    <m/>
    <s v="Ahmad Subari"/>
    <n v="0"/>
    <s v="3507150401800010"/>
    <s v="N 9609 EF"/>
    <m/>
    <x v="2"/>
    <s v="Pandan Landung RW 04 Wagir"/>
    <e v="#N/A"/>
    <e v="#N/A"/>
    <s v="OUTBOUND_"/>
  </r>
  <r>
    <s v="245"/>
    <m/>
    <x v="1"/>
    <s v="OUB-W0012310-59"/>
    <s v="EJ-Malang-01"/>
    <s v="Oka-0813-2707-1646"/>
    <x v="34"/>
    <d v="1899-12-30T09:40:00"/>
    <s v="EJ-MALANG-01"/>
    <x v="1"/>
    <x v="15"/>
    <s v="GCI1003"/>
    <s v="Pcs"/>
    <n v="200"/>
    <s v="CLR51-99-014"/>
    <x v="3"/>
    <m/>
    <m/>
    <m/>
    <s v="Ahmad Subari"/>
    <n v="0"/>
    <s v="3507150401800010"/>
    <s v="N 9609 EF"/>
    <m/>
    <x v="2"/>
    <s v="Pandan Landung RW 04 Wagir"/>
    <e v="#N/A"/>
    <e v="#N/A"/>
    <s v="OUTBOUND_"/>
  </r>
  <r>
    <s v="246"/>
    <m/>
    <x v="0"/>
    <s v="INB-W0012310-61"/>
    <s v="EJ-Malang-01"/>
    <s v="Oka-0813-2707-1646"/>
    <x v="35"/>
    <d v="1900-01-14T07:00:00"/>
    <s v="GCI Procurement"/>
    <x v="1"/>
    <x v="18"/>
    <s v="GCI1012"/>
    <s v="Pcs"/>
    <n v="38"/>
    <s v="CLR51-99-004"/>
    <x v="0"/>
    <n v="0"/>
    <n v="0"/>
    <m/>
    <m/>
    <m/>
    <m/>
    <m/>
    <s v="Punchlist Arkilik Bumi Podo Rukun"/>
    <x v="2"/>
    <s v="Perumahan Bumi Podo Rukun Dau"/>
    <e v="#N/A"/>
    <e v="#N/A"/>
    <s v="OUTBOUND_"/>
  </r>
  <r>
    <s v="247"/>
    <m/>
    <x v="0"/>
    <s v="INB-W0012310-61"/>
    <s v="EJ-Malang-01"/>
    <s v="Oka-0813-2707-1646"/>
    <x v="35"/>
    <d v="1900-01-14T07:00:00"/>
    <s v="GCI Procurement"/>
    <x v="1"/>
    <x v="18"/>
    <s v="GCI1012"/>
    <s v="Pcs"/>
    <n v="60"/>
    <s v="CLR51-99-014"/>
    <x v="3"/>
    <n v="0"/>
    <n v="0"/>
    <m/>
    <m/>
    <m/>
    <m/>
    <m/>
    <m/>
    <x v="2"/>
    <s v="Pandan Landung RW 04 Wagir"/>
    <e v="#N/A"/>
    <e v="#N/A"/>
    <s v="OUTBOUND_"/>
  </r>
  <r>
    <s v="248"/>
    <m/>
    <x v="0"/>
    <s v="INB-W0012310-61"/>
    <s v="EJ-Malang-01"/>
    <s v="Oka-0813-2707-1646"/>
    <x v="35"/>
    <d v="1900-01-14T07:00:00"/>
    <s v="GCI Procurement"/>
    <x v="1"/>
    <x v="18"/>
    <s v="GCI1012"/>
    <s v="Pcs"/>
    <n v="72"/>
    <s v="CLR51-99-007"/>
    <x v="7"/>
    <n v="0"/>
    <n v="0"/>
    <m/>
    <m/>
    <m/>
    <m/>
    <m/>
    <m/>
    <x v="2"/>
    <s v="Mulyorejo RW 06 Sukun"/>
    <e v="#N/A"/>
    <e v="#N/A"/>
    <s v="OUTBOUND_"/>
  </r>
  <r>
    <s v="249"/>
    <m/>
    <x v="0"/>
    <s v="INB-W0012310-61"/>
    <s v="EJ-Malang-01"/>
    <s v="Oka-0813-2707-1646"/>
    <x v="35"/>
    <d v="1900-01-14T07:00:00"/>
    <s v="GCI Procurement"/>
    <x v="1"/>
    <x v="18"/>
    <s v="GCI1012"/>
    <s v="Pcs"/>
    <n v="74"/>
    <s v="CLR51-99-013"/>
    <x v="6"/>
    <n v="0"/>
    <n v="0"/>
    <m/>
    <m/>
    <m/>
    <m/>
    <m/>
    <m/>
    <x v="2"/>
    <s v="Pandan Landung RW 03 Wagir"/>
    <e v="#N/A"/>
    <e v="#N/A"/>
    <s v="OUTBOUND_"/>
  </r>
  <r>
    <s v="250"/>
    <m/>
    <x v="0"/>
    <s v="INB-W0012310-61"/>
    <s v="EJ-Malang-01"/>
    <s v="Oka-0813-2707-1646"/>
    <x v="35"/>
    <d v="1900-01-14T07:00:00"/>
    <s v="GCI Procurement"/>
    <x v="1"/>
    <x v="18"/>
    <s v="GCI1012"/>
    <s v="Pcs"/>
    <n v="83"/>
    <s v="CLR51-02-001"/>
    <x v="9"/>
    <n v="0"/>
    <n v="0"/>
    <m/>
    <m/>
    <m/>
    <m/>
    <m/>
    <s v="Akrilik Subfeeder"/>
    <x v="2"/>
    <s v="Puncak Dieng Exlusif"/>
    <e v="#N/A"/>
    <e v="#N/A"/>
    <s v="OUTBOUND_"/>
  </r>
  <r>
    <s v="251"/>
    <m/>
    <x v="1"/>
    <s v="OUB-W0012310-60"/>
    <s v="EJ-Malang-01"/>
    <s v="Oka-0813-2707-1646"/>
    <x v="35"/>
    <d v="1899-12-30T14:47:00"/>
    <s v="EJ-MALANG-01"/>
    <x v="0"/>
    <x v="4"/>
    <s v="ZTE1002"/>
    <s v="Pcs"/>
    <n v="7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52"/>
    <m/>
    <x v="1"/>
    <s v="OUB-W0012310-62"/>
    <s v="EJ-Malang-01"/>
    <s v="Oka-0813-2707-1646"/>
    <x v="36"/>
    <d v="1899-12-30T09:27:00"/>
    <s v="EJ-MALANG-01"/>
    <x v="1"/>
    <x v="18"/>
    <s v="GCI1012"/>
    <s v="Pcs"/>
    <n v="83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53"/>
    <m/>
    <x v="1"/>
    <s v="OUB-W0012310-62"/>
    <s v="EJ-Malang-01"/>
    <s v="Oka-0813-2707-1646"/>
    <x v="36"/>
    <d v="1899-12-30T09:27:00"/>
    <s v="EJ-MALANG-01"/>
    <x v="1"/>
    <x v="18"/>
    <s v="GCI1012"/>
    <s v="Pcs"/>
    <n v="384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54"/>
    <m/>
    <x v="1"/>
    <s v="OUB-W0012310-62"/>
    <s v="EJ-Malang-01"/>
    <s v="Oka-0813-2707-1646"/>
    <x v="36"/>
    <d v="1899-12-30T09:27:00"/>
    <s v="EJ-MALANG-01"/>
    <x v="1"/>
    <x v="10"/>
    <s v="GCI1009"/>
    <s v="Pcs"/>
    <n v="60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55"/>
    <m/>
    <x v="1"/>
    <s v="OUB-W0012310-62"/>
    <s v="EJ-Malang-01"/>
    <s v="Oka-0813-2707-1646"/>
    <x v="36"/>
    <d v="1899-12-30T09:27:00"/>
    <s v="EJ-MALANG-01"/>
    <x v="0"/>
    <x v="4"/>
    <s v="ZTE1002"/>
    <s v="Pcs"/>
    <n v="1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56"/>
    <m/>
    <x v="1"/>
    <s v="OUB-W0012310-62"/>
    <s v="EJ-Malang-01"/>
    <s v="Oka-0813-2707-1646"/>
    <x v="36"/>
    <d v="1899-12-30T09:27:00"/>
    <s v="EJ-MALANG-01"/>
    <x v="0"/>
    <x v="5"/>
    <s v="ZTE1001"/>
    <s v="Pcs"/>
    <n v="4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57"/>
    <m/>
    <x v="1"/>
    <s v="OUB-W0012310-62"/>
    <s v="EJ-Malang-01"/>
    <s v="Oka-0813-2707-1646"/>
    <x v="36"/>
    <d v="1899-12-30T09:27:00"/>
    <s v="EJ-MALANG-01"/>
    <x v="1"/>
    <x v="12"/>
    <s v="GCI1008"/>
    <s v="Pcs"/>
    <n v="70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58"/>
    <m/>
    <x v="1"/>
    <s v="OUB-W0012310-62"/>
    <s v="EJ-Malang-01"/>
    <s v="Oka-0813-2707-1646"/>
    <x v="36"/>
    <d v="1899-12-30T09:27:00"/>
    <s v="EJ-MALANG-01"/>
    <x v="1"/>
    <x v="14"/>
    <s v="GCI1006"/>
    <s v="Pcs"/>
    <n v="60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59"/>
    <m/>
    <x v="1"/>
    <s v="OUB-W0012310-62"/>
    <s v="EJ-Malang-01"/>
    <s v="Oka-0813-2707-1646"/>
    <x v="36"/>
    <d v="1899-12-30T09:27:00"/>
    <s v="EJ-MALANG-01"/>
    <x v="1"/>
    <x v="16"/>
    <s v="GCI1004"/>
    <s v="Pcs"/>
    <n v="50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60"/>
    <m/>
    <x v="1"/>
    <s v="OUB-W0012310-63"/>
    <s v="EJ-Malang-01"/>
    <s v="Oka-0813-2707-1646"/>
    <x v="37"/>
    <d v="1899-12-30T09:22:00"/>
    <s v="EJ-MALANG-01"/>
    <x v="1"/>
    <x v="10"/>
    <s v="GCI1009"/>
    <s v="Pcs"/>
    <n v="35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61"/>
    <m/>
    <x v="1"/>
    <s v="OUB-W0012310-63"/>
    <s v="EJ-Malang-01"/>
    <s v="Oka-0813-2707-1646"/>
    <x v="37"/>
    <d v="1899-12-30T09:22:00"/>
    <s v="EJ-MALANG-01"/>
    <x v="1"/>
    <x v="12"/>
    <s v="GCI1008"/>
    <s v="Pcs"/>
    <n v="12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62"/>
    <m/>
    <x v="1"/>
    <s v="OUB-W0012310-63"/>
    <s v="EJ-Malang-01"/>
    <s v="Oka-0813-2707-1646"/>
    <x v="37"/>
    <d v="1899-12-30T09:22:00"/>
    <s v="EJ-MALANG-01"/>
    <x v="1"/>
    <x v="14"/>
    <s v="GCI1006"/>
    <s v="Pcs"/>
    <n v="35"/>
    <s v="CLR51-02-001"/>
    <x v="9"/>
    <m/>
    <m/>
    <m/>
    <s v="Khoiri"/>
    <s v="Khoiri Supplier"/>
    <s v="3507330905820002"/>
    <s v="N 8408 CB"/>
    <m/>
    <x v="2"/>
    <s v="Puncak Dieng Exlusif"/>
    <e v="#N/A"/>
    <e v="#N/A"/>
    <s v="OUTBOUND_"/>
  </r>
  <r>
    <s v="263"/>
    <m/>
    <x v="2"/>
    <s v="TFI-W0012310-65"/>
    <s v="EJ-Malang-01"/>
    <s v="Oka-0813-2707-1646"/>
    <x v="38"/>
    <d v="1900-01-14T07:00:00"/>
    <s v="EJ-KEDIRI-01"/>
    <x v="1"/>
    <x v="8"/>
    <s v="GCI1005"/>
    <s v="Pcs"/>
    <n v="50"/>
    <s v="TRF"/>
    <x v="2"/>
    <n v="0"/>
    <n v="0"/>
    <m/>
    <m/>
    <m/>
    <m/>
    <m/>
    <s v="Transfer dari Kediri ke malang pak munip"/>
    <x v="2"/>
    <s v="KEDIRI"/>
    <e v="#N/A"/>
    <e v="#N/A"/>
    <s v="OUTBOUND_"/>
  </r>
  <r>
    <s v="264"/>
    <m/>
    <x v="1"/>
    <s v="OUB-W0012310-64"/>
    <s v="EJ-Malang-01"/>
    <s v="Oka-0813-2707-1646"/>
    <x v="38"/>
    <d v="1899-12-30T14:35:00"/>
    <s v="EJ-MALANG-01"/>
    <x v="0"/>
    <x v="2"/>
    <s v="ZTE2008"/>
    <s v="Pcs"/>
    <n v="8"/>
    <s v="CLR51-99-013"/>
    <x v="6"/>
    <m/>
    <m/>
    <m/>
    <s v="Mustofa"/>
    <n v="0"/>
    <s v="3209140803860003"/>
    <s v="DK 1058 FAP"/>
    <m/>
    <x v="2"/>
    <s v="Pandan Landung RW 03 Wagir"/>
    <e v="#N/A"/>
    <e v="#N/A"/>
    <s v="OUTBOUND_"/>
  </r>
  <r>
    <s v="265"/>
    <m/>
    <x v="2"/>
    <s v="TFI-W0012310-65"/>
    <s v="EJ-Malang-01"/>
    <s v="Oka-0813-2707-1646"/>
    <x v="38"/>
    <d v="1900-01-14T07:00:00"/>
    <s v="EJ-KEDIRI-01"/>
    <x v="0"/>
    <x v="2"/>
    <s v="ZTE2008"/>
    <s v="Pcs"/>
    <n v="18"/>
    <s v="TRF"/>
    <x v="2"/>
    <n v="0"/>
    <s v="TRANSFER GUDANG"/>
    <m/>
    <m/>
    <m/>
    <m/>
    <m/>
    <s v="Transfer dari Kediri ke malang pak munip"/>
    <x v="2"/>
    <s v="KEDIRI"/>
    <e v="#N/A"/>
    <e v="#N/A"/>
    <s v="OUTBOUND_"/>
  </r>
  <r>
    <s v="266"/>
    <m/>
    <x v="1"/>
    <s v="OUB-W0012310-64"/>
    <s v="EJ-Malang-01"/>
    <s v="Oka-0813-2707-1646"/>
    <x v="38"/>
    <d v="1899-12-30T14:35:00"/>
    <s v="EJ-MALANG-01"/>
    <x v="0"/>
    <x v="3"/>
    <s v="ZTE2005"/>
    <s v="Pcs"/>
    <n v="1"/>
    <s v="CLR51-99-013"/>
    <x v="6"/>
    <m/>
    <m/>
    <m/>
    <s v="Mustofa"/>
    <n v="0"/>
    <s v="3209140803860003"/>
    <s v="DK 1058 FAP"/>
    <m/>
    <x v="2"/>
    <s v="Pandan Landung RW 03 Wagir"/>
    <e v="#N/A"/>
    <e v="#N/A"/>
    <s v="OUTBOUND_"/>
  </r>
  <r>
    <s v="267"/>
    <m/>
    <x v="1"/>
    <s v="OUB-W0012310-64"/>
    <s v="EJ-Malang-01"/>
    <s v="Oka-0813-2707-1646"/>
    <x v="38"/>
    <d v="1899-12-30T14:35:00"/>
    <s v="EJ-MALANG-01"/>
    <x v="1"/>
    <x v="12"/>
    <s v="GCI1008"/>
    <s v="Pcs"/>
    <n v="18"/>
    <s v="CLR51-99-013"/>
    <x v="6"/>
    <m/>
    <m/>
    <m/>
    <s v="Mustofa"/>
    <n v="0"/>
    <s v="3209140803860003"/>
    <s v="DK 1058 FAP"/>
    <m/>
    <x v="2"/>
    <s v="Pandan Landung RW 03 Wagir"/>
    <e v="#N/A"/>
    <e v="#N/A"/>
    <s v="OUTBOUND_"/>
  </r>
  <r>
    <s v="268"/>
    <m/>
    <x v="1"/>
    <s v="OUB-W0012310-66"/>
    <s v="EJ-Malang-01"/>
    <s v="Oka-0813-2707-1646"/>
    <x v="39"/>
    <d v="1899-12-30T10:57:00"/>
    <s v="EJ-MALANG-01"/>
    <x v="1"/>
    <x v="8"/>
    <s v="GCI1005"/>
    <s v="Pcs"/>
    <n v="50"/>
    <s v="CLR51-02-001"/>
    <x v="9"/>
    <m/>
    <m/>
    <m/>
    <s v="Khoiri"/>
    <s v="Khoiri Supplier"/>
    <s v="3507330905820002"/>
    <s v="N 3408 ECP"/>
    <m/>
    <x v="2"/>
    <s v="Puncak Dieng Exlusif"/>
    <e v="#N/A"/>
    <e v="#N/A"/>
    <s v="OUTBOUND_"/>
  </r>
  <r>
    <s v="269"/>
    <m/>
    <x v="1"/>
    <s v="OUB-W0012310-66"/>
    <s v="EJ-Malang-01"/>
    <s v="Oka-0813-2707-1646"/>
    <x v="39"/>
    <d v="1899-12-30T10:57:00"/>
    <s v="EJ-MALANG-01"/>
    <x v="1"/>
    <x v="10"/>
    <s v="GCI1009"/>
    <s v="Pcs"/>
    <n v="30"/>
    <s v="CLR51-02-001"/>
    <x v="9"/>
    <m/>
    <m/>
    <m/>
    <s v="Khoiri"/>
    <s v="Khoiri Supplier"/>
    <s v="3507330905820002"/>
    <s v="N 3408 ECP"/>
    <m/>
    <x v="2"/>
    <s v="Puncak Dieng Exlusif"/>
    <e v="#N/A"/>
    <e v="#N/A"/>
    <s v="OUTBOUND_"/>
  </r>
  <r>
    <s v="270"/>
    <m/>
    <x v="1"/>
    <s v="OUB-W0012310-67"/>
    <s v="EJ-Malang-01"/>
    <s v="Oka-0813-2707-1646"/>
    <x v="39"/>
    <d v="1899-12-30T11:37:00"/>
    <s v="EJ-MALANG-01"/>
    <x v="0"/>
    <x v="2"/>
    <s v="ZTE2008"/>
    <s v="Pcs"/>
    <n v="8"/>
    <s v="CLR51-99-013"/>
    <x v="6"/>
    <m/>
    <m/>
    <m/>
    <s v="Mustofa"/>
    <n v="0"/>
    <s v="3209140803860003"/>
    <s v="DK 1058 FAP"/>
    <m/>
    <x v="2"/>
    <s v="Pandan Landung RW 03 Wagir"/>
    <e v="#N/A"/>
    <e v="#N/A"/>
    <s v="OUTBOUND_"/>
  </r>
  <r>
    <s v="271"/>
    <m/>
    <x v="1"/>
    <s v="OUB-W0012310-67"/>
    <s v="EJ-Malang-01"/>
    <s v="Oka-0813-2707-1646"/>
    <x v="39"/>
    <d v="1899-12-30T11:37:00"/>
    <s v="EJ-MALANG-01"/>
    <x v="0"/>
    <x v="2"/>
    <s v="ZTE2008"/>
    <s v="Pcs"/>
    <n v="10"/>
    <s v="CLR51-99-014"/>
    <x v="3"/>
    <m/>
    <m/>
    <m/>
    <s v="Mustofa"/>
    <n v="0"/>
    <s v="3209140803860003"/>
    <s v="DK 1058 FAP"/>
    <m/>
    <x v="2"/>
    <s v="Pandan Landung RW 04 Wagir"/>
    <e v="#N/A"/>
    <e v="#N/A"/>
    <s v="OUTBOUND_"/>
  </r>
  <r>
    <s v="272"/>
    <m/>
    <x v="2"/>
    <s v="TFI-W0012310-69"/>
    <s v="EJ-Malang-01"/>
    <s v="Oka-0813-2707-1646"/>
    <x v="39"/>
    <d v="1900-01-14T07:00:00"/>
    <s v="EJ-GRESIK-01"/>
    <x v="0"/>
    <x v="3"/>
    <s v="ZTE2005"/>
    <s v="Pcs"/>
    <n v="1"/>
    <s v="TRF"/>
    <x v="11"/>
    <n v="0"/>
    <s v="TRANSFER GUDANG"/>
    <m/>
    <m/>
    <m/>
    <m/>
    <m/>
    <s v="WH Gresik ke WH Malang (via bus Tentrem)"/>
    <x v="2"/>
    <s v="GRESIK"/>
    <e v="#N/A"/>
    <e v="#N/A"/>
    <s v="OUTBOUND_"/>
  </r>
  <r>
    <s v="273"/>
    <m/>
    <x v="2"/>
    <s v="TFI-W0012310-69"/>
    <s v="EJ-Malang-01"/>
    <s v="Oka-0813-2707-1646"/>
    <x v="39"/>
    <d v="1900-01-14T07:00:00"/>
    <s v="EJ-GRESIK-01"/>
    <x v="0"/>
    <x v="20"/>
    <s v="ZTE1004"/>
    <s v="Pcs"/>
    <n v="1"/>
    <s v="TRF"/>
    <x v="11"/>
    <n v="0"/>
    <s v="TRANSFER GUDANG"/>
    <m/>
    <m/>
    <m/>
    <m/>
    <m/>
    <s v="WH Gresik ke WH Malang (via bus Tentrem)"/>
    <x v="2"/>
    <s v="GRESIK"/>
    <e v="#N/A"/>
    <e v="#N/A"/>
    <s v="OUTBOUND_"/>
  </r>
  <r>
    <s v="274"/>
    <m/>
    <x v="1"/>
    <s v="OUB-W0012310-68"/>
    <s v="EJ-Malang-01"/>
    <s v="Oka-0813-2707-1646"/>
    <x v="39"/>
    <d v="1899-12-30T21:34:00"/>
    <s v="EJ-MALANG-01"/>
    <x v="0"/>
    <x v="5"/>
    <s v="ZTE1001"/>
    <s v="Pcs"/>
    <n v="1"/>
    <s v="CLR51-99-004"/>
    <x v="0"/>
    <m/>
    <m/>
    <m/>
    <s v="Mohammad Febbi H"/>
    <s v="Febby Supplier"/>
    <s v="3524052002930003"/>
    <s v=" W 8940 PC"/>
    <m/>
    <x v="2"/>
    <s v="Perumahan Bumi Podo Rukun Dau"/>
    <e v="#N/A"/>
    <e v="#N/A"/>
    <s v="OUTBOUND_"/>
  </r>
  <r>
    <s v="275"/>
    <m/>
    <x v="1"/>
    <s v="OUB-W0012310-66"/>
    <s v="EJ-Malang-01"/>
    <s v="Oka-0813-2707-1646"/>
    <x v="39"/>
    <d v="1899-12-30T10:57:00"/>
    <s v="EJ-MALANG-01"/>
    <x v="1"/>
    <x v="14"/>
    <s v="GCI1006"/>
    <s v="Pcs"/>
    <n v="30"/>
    <s v="CLR51-02-001"/>
    <x v="9"/>
    <m/>
    <m/>
    <m/>
    <s v="Khoiri"/>
    <s v="Khoiri Supplier"/>
    <s v="3507330905820002"/>
    <s v="N 3408 ECP"/>
    <m/>
    <x v="2"/>
    <s v="Puncak Dieng Exlusif"/>
    <e v="#N/A"/>
    <e v="#N/A"/>
    <s v="OUTBOUND_"/>
  </r>
  <r>
    <s v="276"/>
    <m/>
    <x v="1"/>
    <s v="OUB-W0012310-71"/>
    <s v="EJ-Malang-01"/>
    <s v="Oka-0813-2707-1646"/>
    <x v="40"/>
    <d v="1899-12-30T12:30:00"/>
    <s v="EJ-MALANG-01"/>
    <x v="0"/>
    <x v="1"/>
    <s v="ZTE2003"/>
    <s v="Meter"/>
    <n v="3000"/>
    <s v="CLR51-99-014"/>
    <x v="3"/>
    <m/>
    <m/>
    <m/>
    <s v="Ahmad Subari"/>
    <s v="Khoiri Supplier"/>
    <s v="3507150401800010"/>
    <s v="N 9795 EM"/>
    <m/>
    <x v="2"/>
    <s v="Pandan Landung RW 04 Wagir"/>
    <e v="#N/A"/>
    <e v="#N/A"/>
    <s v="OUTBOUND_"/>
  </r>
  <r>
    <s v="277"/>
    <m/>
    <x v="1"/>
    <s v="OUB-W0012310-73"/>
    <s v="EJ-Malang-01"/>
    <s v="Oka-0813-2707-1646"/>
    <x v="40"/>
    <d v="1899-12-30T20:31:00"/>
    <s v="EJ-MALANG-01"/>
    <x v="1"/>
    <x v="18"/>
    <s v="GCI1012"/>
    <s v="Pcs"/>
    <n v="59"/>
    <s v="CLR51-99-014"/>
    <x v="3"/>
    <m/>
    <m/>
    <m/>
    <s v="NASRUL"/>
    <n v="0"/>
    <s v="3573042706820008"/>
    <s v="N 4292 DT"/>
    <m/>
    <x v="2"/>
    <s v="Pandan Landung RW 04 Wagir"/>
    <e v="#N/A"/>
    <e v="#N/A"/>
    <s v="OUTBOUND_"/>
  </r>
  <r>
    <s v="278"/>
    <m/>
    <x v="1"/>
    <s v="OUB-W0012310-73"/>
    <s v="EJ-Malang-01"/>
    <s v="Oka-0813-2707-1646"/>
    <x v="40"/>
    <d v="1899-12-30T20:31:00"/>
    <s v="EJ-MALANG-01"/>
    <x v="1"/>
    <x v="18"/>
    <s v="GCI1012"/>
    <s v="Pcs"/>
    <n v="73"/>
    <s v="CLR51-99-013"/>
    <x v="6"/>
    <m/>
    <m/>
    <m/>
    <s v="NASRUL"/>
    <n v="0"/>
    <s v="3573042706820008"/>
    <s v="N 4292 DT"/>
    <m/>
    <x v="2"/>
    <s v="Pandan Landung RW 03 Wagir"/>
    <e v="#N/A"/>
    <e v="#N/A"/>
    <s v="OUTBOUND_"/>
  </r>
  <r>
    <s v="279"/>
    <m/>
    <x v="1"/>
    <s v="OUB-W0012310-70"/>
    <s v="EJ-Malang-01"/>
    <s v="Oka-0813-2707-1646"/>
    <x v="40"/>
    <d v="1899-12-30T10:57:00"/>
    <s v="EJ-MALANG-01"/>
    <x v="1"/>
    <x v="8"/>
    <s v="GCI1005"/>
    <s v="Pcs"/>
    <n v="72"/>
    <s v="CLR51-02-001"/>
    <x v="9"/>
    <m/>
    <m/>
    <m/>
    <s v="Khoiri"/>
    <s v="Khoiri Supplier"/>
    <s v="3507330905820002"/>
    <s v="N 3408 ECP"/>
    <m/>
    <x v="2"/>
    <s v="Puncak Dieng Exlusif"/>
    <e v="#N/A"/>
    <e v="#N/A"/>
    <s v="OUTBOUND_"/>
  </r>
  <r>
    <s v="280"/>
    <m/>
    <x v="0"/>
    <s v="INB-W0012310-74"/>
    <s v="EJ-Malang-01"/>
    <s v="Oka-0813-2707-1646"/>
    <x v="40"/>
    <d v="1900-01-14T07:00:00"/>
    <s v="ZTE Warehouse"/>
    <x v="0"/>
    <x v="2"/>
    <s v="ZTE2008"/>
    <s v="Pcs"/>
    <n v="15"/>
    <s v="CLR51-02-001"/>
    <x v="9"/>
    <s v="DOEID23100920"/>
    <s v="DNWID0342023100920"/>
    <m/>
    <m/>
    <m/>
    <m/>
    <m/>
    <m/>
    <x v="2"/>
    <s v="Puncak Dieng Exlusif"/>
    <d v="2023-10-12T00:00:00"/>
    <b v="1"/>
    <s v="OUTBOUND_"/>
  </r>
  <r>
    <s v="281"/>
    <m/>
    <x v="1"/>
    <s v="OUB-W0012310-73"/>
    <s v="EJ-Malang-01"/>
    <s v="Oka-0813-2707-1646"/>
    <x v="40"/>
    <d v="1899-12-30T20:31:00"/>
    <s v="EJ-MALANG-01"/>
    <x v="0"/>
    <x v="3"/>
    <s v="ZTE2005"/>
    <s v="Pcs"/>
    <n v="1"/>
    <s v="CLR51-99-014"/>
    <x v="3"/>
    <m/>
    <m/>
    <m/>
    <s v="NASRUL"/>
    <n v="0"/>
    <s v="3573042706820008"/>
    <s v="N 4292 DT"/>
    <m/>
    <x v="2"/>
    <s v="Pandan Landung RW 04 Wagir"/>
    <e v="#N/A"/>
    <e v="#N/A"/>
    <s v="OUTBOUND_"/>
  </r>
  <r>
    <s v="282"/>
    <m/>
    <x v="0"/>
    <s v="INB-W0012310-74"/>
    <s v="EJ-Malang-01"/>
    <s v="Oka-0813-2707-1646"/>
    <x v="40"/>
    <d v="1900-01-14T07:00:00"/>
    <s v="ZTE Warehouse"/>
    <x v="0"/>
    <x v="20"/>
    <s v="ZTE1004"/>
    <s v="Pcs"/>
    <n v="2"/>
    <s v="CLR51-02-001"/>
    <x v="9"/>
    <s v="DOEID23101242"/>
    <s v="DNWID0362023101201"/>
    <m/>
    <m/>
    <m/>
    <m/>
    <m/>
    <m/>
    <x v="2"/>
    <s v="Puncak Dieng Exlusif"/>
    <d v="2023-10-12T00:00:00"/>
    <b v="1"/>
    <s v="OUTBOUND_"/>
  </r>
  <r>
    <s v="283"/>
    <m/>
    <x v="1"/>
    <s v="OUB-W0012310-73"/>
    <s v="EJ-Malang-01"/>
    <s v="Oka-0813-2707-1646"/>
    <x v="40"/>
    <d v="1899-12-30T20:31:00"/>
    <s v="EJ-MALANG-01"/>
    <x v="0"/>
    <x v="20"/>
    <s v="ZTE1004"/>
    <s v="Pcs"/>
    <n v="1"/>
    <s v="CLR51-99-013"/>
    <x v="12"/>
    <m/>
    <m/>
    <m/>
    <s v="NASRUL"/>
    <n v="0"/>
    <s v="3573042706820008"/>
    <s v="N 4292 DT"/>
    <m/>
    <x v="2"/>
    <s v="Pandanlandung RW 03 Wagir"/>
    <e v="#N/A"/>
    <e v="#N/A"/>
    <s v="OUTBOUND_"/>
  </r>
  <r>
    <s v="284"/>
    <m/>
    <x v="3"/>
    <s v="TFO-W0012310-72"/>
    <s v="EJ-Malang-01"/>
    <s v="Oka-0813-2707-1646"/>
    <x v="40"/>
    <d v="1899-12-30T19:25:00"/>
    <s v="EJ-MALANG-01"/>
    <x v="0"/>
    <x v="20"/>
    <s v="ZTE1004"/>
    <s v="Pcs"/>
    <n v="1"/>
    <s v="TRF"/>
    <x v="10"/>
    <m/>
    <m/>
    <m/>
    <s v="Sigit Pamungkas"/>
    <n v="0"/>
    <n v="0"/>
    <n v="0"/>
    <s v="Pengambilan dari gudang ZTE dari DO Puncak dieng Ex diantar sigit Pamungkas "/>
    <x v="2"/>
    <s v="Transfer Gudang"/>
    <e v="#N/A"/>
    <e v="#N/A"/>
    <s v="TRANSFER OUT_"/>
  </r>
  <r>
    <s v="285"/>
    <m/>
    <x v="0"/>
    <s v="INB-W0012310-75"/>
    <s v="EJ-Malang-01"/>
    <s v="Oka-0813-2707-1646"/>
    <x v="41"/>
    <d v="1900-01-14T07:00:00"/>
    <s v="ZTE Warehouse"/>
    <x v="0"/>
    <x v="0"/>
    <s v="ZTE2001"/>
    <s v="Meter"/>
    <n v="3000"/>
    <s v="CLR51-99-017"/>
    <x v="13"/>
    <s v="DOEID23101403"/>
    <s v="DNWID0342023101406"/>
    <m/>
    <m/>
    <m/>
    <m/>
    <m/>
    <m/>
    <x v="10"/>
    <s v="Sukodadi RW 01 Wagir"/>
    <d v="2023-10-14T00:00:00"/>
    <b v="1"/>
    <s v="OUTBOUND_H-ADSS 24C-20231014-01"/>
  </r>
  <r>
    <s v="286"/>
    <m/>
    <x v="0"/>
    <s v="INB-W0012310-75"/>
    <s v="EJ-Malang-01"/>
    <s v="Oka-0813-2707-1646"/>
    <x v="41"/>
    <d v="1900-01-14T07:00:00"/>
    <s v="ZTE Warehouse"/>
    <x v="0"/>
    <x v="0"/>
    <s v="ZTE2001"/>
    <s v="Meter"/>
    <n v="3000"/>
    <s v="CLR51-99-019"/>
    <x v="14"/>
    <s v="DOEID231013AT"/>
    <s v="DNWID0342023101408"/>
    <m/>
    <m/>
    <m/>
    <m/>
    <m/>
    <m/>
    <x v="11"/>
    <s v="Sidorahayu RW 02 Wagir"/>
    <d v="2023-10-14T00:00:00"/>
    <b v="1"/>
    <s v="OUTBOUND_H-ADSS 24C-20231014-02"/>
  </r>
  <r>
    <s v="287"/>
    <m/>
    <x v="0"/>
    <s v="INB-W0012310-75"/>
    <s v="EJ-Malang-01"/>
    <s v="Oka-0813-2707-1646"/>
    <x v="41"/>
    <d v="1900-01-14T07:00:00"/>
    <s v="ZTE Warehouse"/>
    <x v="0"/>
    <x v="0"/>
    <s v="ZTE2001"/>
    <s v="Meter"/>
    <n v="3000"/>
    <s v="CLR51-99-021"/>
    <x v="15"/>
    <s v="DOEID231013AX"/>
    <s v="DNWID0342023101405"/>
    <m/>
    <m/>
    <m/>
    <m/>
    <m/>
    <m/>
    <x v="12"/>
    <s v="Jedong RW 09 Wagir"/>
    <d v="2023-10-14T00:00:00"/>
    <b v="1"/>
    <s v="OUTBOUND_H-ADSS 24C-20231014-03"/>
  </r>
  <r>
    <s v="288"/>
    <m/>
    <x v="0"/>
    <s v="INB-W0012310-75"/>
    <s v="EJ-Malang-01"/>
    <s v="Oka-0813-2707-1646"/>
    <x v="41"/>
    <d v="1900-01-14T07:00:00"/>
    <s v="ZTE Warehouse"/>
    <x v="0"/>
    <x v="1"/>
    <s v="ZTE2003"/>
    <s v="Meter"/>
    <n v="3000"/>
    <s v="CLR51-99-017"/>
    <x v="13"/>
    <s v="DOEID23101403"/>
    <s v="DNWID0342023101406"/>
    <m/>
    <m/>
    <m/>
    <m/>
    <m/>
    <m/>
    <x v="13"/>
    <s v="Sukodadi RW 01 Wagir"/>
    <d v="2023-10-14T00:00:00"/>
    <b v="1"/>
    <s v="OUTBOUND_H-ADSS 48C-20231014-01"/>
  </r>
  <r>
    <s v="289"/>
    <m/>
    <x v="0"/>
    <s v="INB-W0012310-75"/>
    <s v="EJ-Malang-01"/>
    <s v="Oka-0813-2707-1646"/>
    <x v="41"/>
    <d v="1900-01-14T07:00:00"/>
    <s v="ZTE Warehouse"/>
    <x v="0"/>
    <x v="1"/>
    <s v="ZTE2003"/>
    <s v="Meter"/>
    <n v="3000"/>
    <s v="CLR51-99-020"/>
    <x v="16"/>
    <s v="DOEID231013AV"/>
    <s v="DNWID0342023101409"/>
    <m/>
    <m/>
    <m/>
    <m/>
    <m/>
    <m/>
    <x v="14"/>
    <s v="Jedong RW 08 Wagir"/>
    <d v="2023-10-14T00:00:00"/>
    <b v="1"/>
    <s v="OUTBOUND_H-ADSS 48C-20231014-02"/>
  </r>
  <r>
    <s v="290"/>
    <m/>
    <x v="0"/>
    <s v="INB-W0012310-75"/>
    <s v="EJ-Malang-01"/>
    <s v="Oka-0813-2707-1646"/>
    <x v="41"/>
    <d v="1900-01-14T07:00:00"/>
    <s v="ZTE Warehouse"/>
    <x v="0"/>
    <x v="2"/>
    <s v="ZTE2008"/>
    <s v="Pcs"/>
    <n v="5"/>
    <s v="CLR51-99-020"/>
    <x v="16"/>
    <s v="DOEID231013AV"/>
    <s v="DNWID0342023101409"/>
    <m/>
    <m/>
    <m/>
    <m/>
    <m/>
    <m/>
    <x v="2"/>
    <s v="Jedong RW 08 Wagir"/>
    <d v="2023-10-14T00:00:00"/>
    <b v="1"/>
    <s v="OUTBOUND_"/>
  </r>
  <r>
    <s v="291"/>
    <m/>
    <x v="0"/>
    <s v="INB-W0012310-75"/>
    <s v="EJ-Malang-01"/>
    <s v="Oka-0813-2707-1646"/>
    <x v="41"/>
    <d v="1900-01-14T07:00:00"/>
    <s v="ZTE Warehouse"/>
    <x v="0"/>
    <x v="2"/>
    <s v="ZTE2008"/>
    <s v="Pcs"/>
    <n v="6"/>
    <s v="CLR51-99-019"/>
    <x v="14"/>
    <s v="DOEID231013AT"/>
    <s v="DNWID0342023101408"/>
    <m/>
    <m/>
    <m/>
    <m/>
    <m/>
    <m/>
    <x v="2"/>
    <s v="Sidorahayu RW 02 Wagir"/>
    <d v="2023-10-14T00:00:00"/>
    <b v="1"/>
    <s v="OUTBOUND_"/>
  </r>
  <r>
    <s v="292"/>
    <m/>
    <x v="0"/>
    <s v="INB-W0012310-75"/>
    <s v="EJ-Malang-01"/>
    <s v="Oka-0813-2707-1646"/>
    <x v="41"/>
    <d v="1900-01-14T07:00:00"/>
    <s v="ZTE Warehouse"/>
    <x v="0"/>
    <x v="2"/>
    <s v="ZTE2008"/>
    <s v="Pcs"/>
    <n v="8"/>
    <s v="CLR51-99-017"/>
    <x v="13"/>
    <s v="DOEID23101403"/>
    <s v="DNWID0342023101406"/>
    <m/>
    <m/>
    <m/>
    <m/>
    <m/>
    <m/>
    <x v="2"/>
    <s v="Sukodadi RW 01 Wagir"/>
    <d v="2023-10-14T00:00:00"/>
    <b v="1"/>
    <s v="OUTBOUND_"/>
  </r>
  <r>
    <s v="293"/>
    <m/>
    <x v="0"/>
    <s v="INB-W0012310-75"/>
    <s v="EJ-Malang-01"/>
    <s v="Oka-0813-2707-1646"/>
    <x v="41"/>
    <d v="1900-01-14T07:00:00"/>
    <s v="ZTE Warehouse"/>
    <x v="0"/>
    <x v="2"/>
    <s v="ZTE2008"/>
    <s v="Pcs"/>
    <n v="14"/>
    <s v="CLR51-99-021"/>
    <x v="15"/>
    <s v="DOEID231013AX"/>
    <s v="DNWID0342023101405"/>
    <m/>
    <m/>
    <m/>
    <m/>
    <m/>
    <m/>
    <x v="2"/>
    <s v="Jedong RW 09 Wagir"/>
    <d v="2023-10-14T00:00:00"/>
    <b v="1"/>
    <s v="OUTBOUND_"/>
  </r>
  <r>
    <s v="294"/>
    <m/>
    <x v="2"/>
    <s v="TFI-W0012310-75"/>
    <s v="EJ-Malang-01"/>
    <s v="Oka-0813-2707-1646"/>
    <x v="41"/>
    <d v="1900-01-14T07:00:00"/>
    <s v="ZTE Warehouse"/>
    <x v="0"/>
    <x v="2"/>
    <s v="ZTE2008"/>
    <s v="Pcs"/>
    <n v="8"/>
    <s v="TRF"/>
    <x v="17"/>
    <n v="0"/>
    <s v="TRANSFER GUDANG"/>
    <m/>
    <m/>
    <m/>
    <m/>
    <m/>
    <m/>
    <x v="2"/>
    <n v="0"/>
    <e v="#N/A"/>
    <e v="#N/A"/>
    <s v="OUTBOUND_"/>
  </r>
  <r>
    <s v="295"/>
    <m/>
    <x v="0"/>
    <s v="INB-W0012310-75"/>
    <s v="EJ-Malang-01"/>
    <s v="Oka-0813-2707-1646"/>
    <x v="41"/>
    <d v="1900-01-14T07:00:00"/>
    <s v="ZTE Warehouse"/>
    <x v="0"/>
    <x v="3"/>
    <s v="ZTE2005"/>
    <s v="Pcs"/>
    <n v="1"/>
    <s v="CLR51-99-017"/>
    <x v="13"/>
    <s v="DOEID23101403"/>
    <s v="DNWID0342023101406"/>
    <m/>
    <m/>
    <m/>
    <m/>
    <m/>
    <m/>
    <x v="2"/>
    <s v="Sukodadi RW 01 Wagir"/>
    <d v="2023-10-14T00:00:00"/>
    <b v="1"/>
    <s v="OUTBOUND_"/>
  </r>
  <r>
    <s v="296"/>
    <m/>
    <x v="0"/>
    <s v="INB-W0012310-75"/>
    <s v="EJ-Malang-01"/>
    <s v="Oka-0813-2707-1646"/>
    <x v="41"/>
    <d v="1900-01-14T07:00:00"/>
    <s v="ZTE Warehouse"/>
    <x v="0"/>
    <x v="3"/>
    <s v="ZTE2005"/>
    <s v="Pcs"/>
    <n v="1"/>
    <s v="CLR51-99-018_x0009_"/>
    <x v="18"/>
    <s v="DOEID23101405"/>
    <s v="DNWID0342023101407"/>
    <m/>
    <m/>
    <m/>
    <m/>
    <m/>
    <m/>
    <x v="2"/>
    <s v="Sukodadi RW 02 Wagir"/>
    <d v="2023-10-14T00:00:00"/>
    <b v="1"/>
    <s v="OUTBOUND_"/>
  </r>
  <r>
    <s v="297"/>
    <m/>
    <x v="0"/>
    <s v="INB-W0012310-75"/>
    <s v="EJ-Malang-01"/>
    <s v="Oka-0813-2707-1646"/>
    <x v="41"/>
    <d v="1900-01-14T07:00:00"/>
    <s v="ZTE Warehouse"/>
    <x v="0"/>
    <x v="3"/>
    <s v="ZTE2005"/>
    <s v="Pcs"/>
    <n v="1"/>
    <s v="CLR51-99-020"/>
    <x v="16"/>
    <s v="DOEID231013AV"/>
    <s v="DNWID0342023101409"/>
    <m/>
    <m/>
    <m/>
    <m/>
    <m/>
    <m/>
    <x v="2"/>
    <s v="Jedong RW 08 Wagir"/>
    <d v="2023-10-14T00:00:00"/>
    <b v="1"/>
    <s v="OUTBOUND_"/>
  </r>
  <r>
    <s v="298"/>
    <m/>
    <x v="0"/>
    <s v="INB-W0012310-75"/>
    <s v="EJ-Malang-01"/>
    <s v="Oka-0813-2707-1646"/>
    <x v="41"/>
    <d v="1900-01-14T07:00:00"/>
    <s v="ZTE Warehouse"/>
    <x v="0"/>
    <x v="20"/>
    <s v="ZTE1004"/>
    <s v="Pcs"/>
    <n v="1"/>
    <s v="CLR51-99-017"/>
    <x v="13"/>
    <s v="DOEID23101402"/>
    <s v="DNWID0362023101403"/>
    <m/>
    <m/>
    <m/>
    <m/>
    <m/>
    <m/>
    <x v="2"/>
    <s v="Sukodadi RW 01 Wagir"/>
    <d v="2023-10-14T00:00:00"/>
    <b v="1"/>
    <s v="OUTBOUND_"/>
  </r>
  <r>
    <s v="299"/>
    <m/>
    <x v="0"/>
    <s v="INB-W0012310-75"/>
    <s v="EJ-Malang-01"/>
    <s v="Oka-0813-2707-1646"/>
    <x v="41"/>
    <d v="1900-01-14T07:00:00"/>
    <s v="ZTE Warehouse"/>
    <x v="0"/>
    <x v="4"/>
    <s v="ZTE1002"/>
    <s v="Pcs"/>
    <n v="2"/>
    <s v="CLR51-99-018"/>
    <x v="18"/>
    <s v="DOEID23101404"/>
    <s v="DNWID0362023101404"/>
    <m/>
    <m/>
    <m/>
    <m/>
    <m/>
    <m/>
    <x v="2"/>
    <s v="Sukodadi RW 02 Wagir"/>
    <d v="2023-10-14T00:00:00"/>
    <b v="1"/>
    <s v="OUTBOUND_"/>
  </r>
  <r>
    <s v="300"/>
    <m/>
    <x v="0"/>
    <s v="INB-W0012310-75"/>
    <s v="EJ-Malang-01"/>
    <s v="Oka-0813-2707-1646"/>
    <x v="41"/>
    <d v="1900-01-14T07:00:00"/>
    <s v="ZTE Warehouse"/>
    <x v="0"/>
    <x v="4"/>
    <s v="ZTE1002"/>
    <s v="Pcs"/>
    <n v="2"/>
    <s v="CLR51-99-020"/>
    <x v="16"/>
    <s v="DOEID231013AU"/>
    <s v="DNWID0362023101401"/>
    <m/>
    <m/>
    <m/>
    <m/>
    <m/>
    <m/>
    <x v="2"/>
    <s v="Jedong RW 08 Wagir"/>
    <d v="2023-10-14T00:00:00"/>
    <b v="1"/>
    <s v="OUTBOUND_"/>
  </r>
  <r>
    <s v="301"/>
    <m/>
    <x v="0"/>
    <s v="INB-W0012310-75"/>
    <s v="EJ-Malang-01"/>
    <s v="Oka-0813-2707-1646"/>
    <x v="41"/>
    <d v="1900-01-14T07:00:00"/>
    <s v="ZTE Warehouse"/>
    <x v="0"/>
    <x v="4"/>
    <s v="ZTE1002"/>
    <s v="Pcs"/>
    <n v="2"/>
    <s v="CLR51-99-021"/>
    <x v="15"/>
    <s v="DOEID231013AW"/>
    <s v="DNWID0362023101402"/>
    <m/>
    <m/>
    <m/>
    <m/>
    <m/>
    <m/>
    <x v="2"/>
    <s v="Jedong RW 09 Wagir"/>
    <d v="2023-10-14T00:00:00"/>
    <b v="1"/>
    <s v="OUTBOUND_"/>
  </r>
  <r>
    <s v="302"/>
    <m/>
    <x v="0"/>
    <s v="INB-W0012310-75"/>
    <s v="EJ-Malang-01"/>
    <s v="Oka-0813-2707-1646"/>
    <x v="41"/>
    <d v="1900-01-14T07:00:00"/>
    <s v="ZTE Warehouse"/>
    <x v="0"/>
    <x v="4"/>
    <s v="ZTE1002"/>
    <s v="Pcs"/>
    <n v="4"/>
    <s v="CLR51-99-019"/>
    <x v="14"/>
    <s v="DOEID231013AS"/>
    <s v="DNWID0362023101405"/>
    <m/>
    <m/>
    <m/>
    <m/>
    <m/>
    <m/>
    <x v="2"/>
    <s v="Sidorahayu RW 02 Wagir"/>
    <d v="2023-10-14T00:00:00"/>
    <b v="1"/>
    <s v="OUTBOUND_"/>
  </r>
  <r>
    <s v="303"/>
    <m/>
    <x v="0"/>
    <s v="INB-W0012310-75"/>
    <s v="EJ-Malang-01"/>
    <s v="Oka-0813-2707-1646"/>
    <x v="41"/>
    <d v="1900-01-14T07:00:00"/>
    <s v="ZTE Warehouse"/>
    <x v="0"/>
    <x v="5"/>
    <s v="ZTE1001"/>
    <s v="Pcs"/>
    <n v="14"/>
    <s v="CLR51-99-021"/>
    <x v="15"/>
    <s v="DOEID231013AW"/>
    <s v="DNWID0362023101402"/>
    <m/>
    <m/>
    <m/>
    <m/>
    <m/>
    <m/>
    <x v="2"/>
    <s v="Jedong RW 09 Wagir"/>
    <d v="2023-10-14T00:00:00"/>
    <b v="1"/>
    <s v="OUTBOUND_"/>
  </r>
  <r>
    <s v="304"/>
    <m/>
    <x v="0"/>
    <s v="INB-W0012310-75"/>
    <s v="EJ-Malang-01"/>
    <s v="Oka-0813-2707-1646"/>
    <x v="41"/>
    <d v="1900-01-14T07:00:00"/>
    <s v="ZTE Warehouse"/>
    <x v="0"/>
    <x v="5"/>
    <s v="ZTE1001"/>
    <s v="Pcs"/>
    <n v="22"/>
    <s v="CLR51-99-021"/>
    <x v="15"/>
    <s v="DOEID231013AW"/>
    <s v="DNWID0362023101402"/>
    <m/>
    <m/>
    <m/>
    <m/>
    <m/>
    <m/>
    <x v="2"/>
    <s v="Jedong RW 09 Wagir"/>
    <d v="2023-10-14T00:00:00"/>
    <b v="1"/>
    <s v="OUTBOUND_"/>
  </r>
  <r>
    <s v="305"/>
    <m/>
    <x v="0"/>
    <s v="INB-W0012310-75"/>
    <s v="EJ-Malang-01"/>
    <s v="Oka-0813-2707-1646"/>
    <x v="41"/>
    <d v="1900-01-14T07:00:00"/>
    <s v="ZTE Warehouse"/>
    <x v="0"/>
    <x v="5"/>
    <s v="ZTE1001"/>
    <s v="Pcs"/>
    <n v="24"/>
    <s v="CLR51-99-017"/>
    <x v="13"/>
    <s v="DOEID23101402"/>
    <s v="DNWID0362023101403"/>
    <m/>
    <m/>
    <m/>
    <m/>
    <m/>
    <m/>
    <x v="2"/>
    <s v="Sukodadi RW 01 Wagir"/>
    <d v="2023-10-14T00:00:00"/>
    <b v="1"/>
    <s v="OUTBOUND_"/>
  </r>
  <r>
    <s v="306"/>
    <m/>
    <x v="0"/>
    <s v="INB-W0012310-75"/>
    <s v="EJ-Malang-01"/>
    <s v="Oka-0813-2707-1646"/>
    <x v="41"/>
    <d v="1900-01-14T07:00:00"/>
    <s v="ZTE Warehouse"/>
    <x v="0"/>
    <x v="5"/>
    <s v="ZTE1001"/>
    <s v="Pcs"/>
    <n v="27"/>
    <s v="CLR51-99-017"/>
    <x v="13"/>
    <s v="DOEID23101402"/>
    <s v="DNWID0362023101403"/>
    <m/>
    <m/>
    <m/>
    <m/>
    <m/>
    <m/>
    <x v="2"/>
    <s v="Sukodadi RW 01 Wagir"/>
    <d v="2023-10-14T00:00:00"/>
    <b v="1"/>
    <s v="OUTBOUND_"/>
  </r>
  <r>
    <s v="307"/>
    <m/>
    <x v="0"/>
    <s v="INB-W0012310-75"/>
    <s v="EJ-Malang-01"/>
    <s v="Oka-0813-2707-1646"/>
    <x v="41"/>
    <d v="1900-01-14T07:00:00"/>
    <s v="ZTE Warehouse"/>
    <x v="0"/>
    <x v="5"/>
    <s v="ZTE1001"/>
    <s v="Pcs"/>
    <n v="34"/>
    <s v="CLR51-99-020"/>
    <x v="16"/>
    <s v="DOEID231013AU"/>
    <s v="DNWID0362023101401"/>
    <m/>
    <m/>
    <m/>
    <m/>
    <m/>
    <m/>
    <x v="2"/>
    <s v="Jedong RW 08 Wagir"/>
    <d v="2023-10-14T00:00:00"/>
    <b v="1"/>
    <s v="OUTBOUND_"/>
  </r>
  <r>
    <s v="308"/>
    <m/>
    <x v="0"/>
    <s v="INB-W0012310-75"/>
    <s v="EJ-Malang-01"/>
    <s v="Oka-0813-2707-1646"/>
    <x v="41"/>
    <d v="1900-01-14T07:00:00"/>
    <s v="ZTE Warehouse"/>
    <x v="0"/>
    <x v="5"/>
    <s v="ZTE1001"/>
    <s v="Pcs"/>
    <n v="50"/>
    <s v="CLR51-99-018"/>
    <x v="18"/>
    <s v="DOEID23101404"/>
    <s v="DNWID0362023101404"/>
    <m/>
    <m/>
    <m/>
    <m/>
    <m/>
    <m/>
    <x v="2"/>
    <s v="Sukodadi RW 02 Wagir"/>
    <d v="2023-10-14T00:00:00"/>
    <b v="1"/>
    <s v="OUTBOUND_"/>
  </r>
  <r>
    <s v="309"/>
    <m/>
    <x v="0"/>
    <s v="INB-W0012310-75"/>
    <s v="EJ-Malang-01"/>
    <s v="Oka-0813-2707-1646"/>
    <x v="41"/>
    <d v="1900-01-14T07:00:00"/>
    <s v="FIELD TEAM"/>
    <x v="0"/>
    <x v="5"/>
    <s v="ZTE1001"/>
    <s v="Pcs"/>
    <n v="3"/>
    <s v="CLR51-99-019"/>
    <x v="14"/>
    <n v="0"/>
    <s v="TRANSFER GUDANG"/>
    <m/>
    <m/>
    <m/>
    <m/>
    <m/>
    <s v="Pengembalian"/>
    <x v="2"/>
    <s v="Sidorahayu RW 02 Wagir"/>
    <e v="#N/A"/>
    <e v="#N/A"/>
    <s v="OUTBOUND_"/>
  </r>
  <r>
    <s v="310"/>
    <m/>
    <x v="2"/>
    <s v="TFI-W0012310-75"/>
    <s v="EJ-Malang-01"/>
    <s v="Oka-0813-2707-1646"/>
    <x v="41"/>
    <d v="1900-01-14T07:00:00"/>
    <s v="ZTE Warehouse"/>
    <x v="0"/>
    <x v="5"/>
    <s v="ZTE1001"/>
    <s v="Pcs"/>
    <n v="4"/>
    <s v="TRF"/>
    <x v="17"/>
    <n v="0"/>
    <s v="TRANSFER GUDANG"/>
    <m/>
    <m/>
    <m/>
    <m/>
    <m/>
    <m/>
    <x v="2"/>
    <n v="0"/>
    <e v="#N/A"/>
    <e v="#N/A"/>
    <s v="OUTBOUND_"/>
  </r>
  <r>
    <s v="311"/>
    <m/>
    <x v="0"/>
    <s v="INB-W0012310-75"/>
    <s v="EJ-Malang-01"/>
    <s v="Oka-0813-2707-1646"/>
    <x v="41"/>
    <d v="1900-01-14T07:00:00"/>
    <s v="ZTE Warehouse"/>
    <x v="0"/>
    <x v="19"/>
    <s v="ZTE1003"/>
    <s v="Pcs"/>
    <n v="2"/>
    <s v="CLR51-99-017"/>
    <x v="13"/>
    <s v="DOEID23101402"/>
    <s v="DNWID0362023101403"/>
    <m/>
    <m/>
    <m/>
    <m/>
    <m/>
    <m/>
    <x v="2"/>
    <s v="Sukodadi RW 01 Wagir"/>
    <d v="2023-10-14T00:00:00"/>
    <b v="1"/>
    <s v="OUTBOUND_"/>
  </r>
  <r>
    <s v="312"/>
    <m/>
    <x v="0"/>
    <s v="INB-W0012310-75"/>
    <s v="EJ-Malang-01"/>
    <s v="Oka-0813-2707-1646"/>
    <x v="41"/>
    <d v="1900-01-14T07:00:00"/>
    <s v="ZTE Warehouse"/>
    <x v="0"/>
    <x v="19"/>
    <s v="ZTE1003"/>
    <s v="Pcs"/>
    <n v="3"/>
    <s v="CLR51-99-020"/>
    <x v="16"/>
    <s v="DOEID231013AU"/>
    <s v="DNWID0362023101401"/>
    <m/>
    <m/>
    <m/>
    <m/>
    <m/>
    <m/>
    <x v="2"/>
    <s v="Jedong RW 08 Wagir"/>
    <d v="2023-10-14T00:00:00"/>
    <b v="1"/>
    <s v="OUTBOUND_"/>
  </r>
  <r>
    <s v="313"/>
    <m/>
    <x v="0"/>
    <s v="INB-W0012310-75"/>
    <s v="EJ-Malang-01"/>
    <s v="Oka-0813-2707-1646"/>
    <x v="41"/>
    <d v="1900-01-14T07:00:00"/>
    <s v="ZTE Warehouse"/>
    <x v="0"/>
    <x v="19"/>
    <s v="ZTE1003"/>
    <s v="Pcs"/>
    <n v="4"/>
    <s v="CLR51-99-021"/>
    <x v="15"/>
    <s v="DOEID231013AW"/>
    <s v="DNWID0362023101402"/>
    <m/>
    <m/>
    <m/>
    <m/>
    <m/>
    <m/>
    <x v="2"/>
    <s v="Jedong RW 09 Wagir"/>
    <d v="2023-10-14T00:00:00"/>
    <b v="1"/>
    <s v="OUTBOUND_"/>
  </r>
  <r>
    <s v="314"/>
    <m/>
    <x v="1"/>
    <s v="OUB-W0012310-76"/>
    <s v="EJ-Malang-01"/>
    <s v="Oka-0813-2707-1646"/>
    <x v="42"/>
    <d v="1899-12-30T07:10:00"/>
    <s v="EJ-MALANG-01"/>
    <x v="0"/>
    <x v="4"/>
    <s v="ZTE1002"/>
    <s v="Pcs"/>
    <n v="3"/>
    <s v="CLR51-99-021"/>
    <x v="15"/>
    <m/>
    <m/>
    <m/>
    <s v="Khoiri"/>
    <s v="Khoiri Supplier"/>
    <s v="3507330905820002"/>
    <s v="N 8408 CB"/>
    <m/>
    <x v="2"/>
    <s v="Jedong RW 09 Wagir"/>
    <e v="#N/A"/>
    <e v="#N/A"/>
    <s v="OUTBOUND_"/>
  </r>
  <r>
    <s v="315"/>
    <m/>
    <x v="1"/>
    <s v="OUB-W0012310-78"/>
    <s v="EJ-Malang-01"/>
    <s v="Oka-0813-2707-1646"/>
    <x v="42"/>
    <d v="1899-12-30T07:10:00"/>
    <s v="EJ-MALANG-01"/>
    <x v="0"/>
    <x v="5"/>
    <s v="ZTE1001"/>
    <s v="Pcs"/>
    <n v="14"/>
    <s v="CLR51-99-021"/>
    <x v="15"/>
    <m/>
    <m/>
    <m/>
    <s v="Khoiri"/>
    <s v="Khoiri Supplier"/>
    <s v="3507330905820002"/>
    <s v="N 8408 CB"/>
    <m/>
    <x v="2"/>
    <s v="Jedong RW 09 Wagir"/>
    <e v="#N/A"/>
    <e v="#N/A"/>
    <s v="OUTBOUND_"/>
  </r>
  <r>
    <s v="316"/>
    <m/>
    <x v="1"/>
    <s v="OUB-W0012310-77"/>
    <s v="EJ-Malang-01"/>
    <s v="Oka-0813-2707-1646"/>
    <x v="42"/>
    <d v="1899-12-30T07:10:00"/>
    <s v="EJ-MALANG-01"/>
    <x v="0"/>
    <x v="5"/>
    <s v="ZTE1001"/>
    <s v="Pcs"/>
    <n v="17"/>
    <s v="CLR51-99-017"/>
    <x v="13"/>
    <m/>
    <m/>
    <m/>
    <s v="Mail"/>
    <n v="0"/>
    <s v="507180502880002"/>
    <s v="N 8546 ED"/>
    <m/>
    <x v="2"/>
    <s v="Sukodadi RW 01 Wagir"/>
    <e v="#N/A"/>
    <e v="#N/A"/>
    <s v="OUTBOUND_"/>
  </r>
  <r>
    <s v="317"/>
    <m/>
    <x v="1"/>
    <s v="OUB-W0012310-81"/>
    <s v="EJ-Malang-01"/>
    <s v="Oka-0813-2707-1646"/>
    <x v="43"/>
    <d v="1899-12-30T14:11:00"/>
    <s v="EJ-MALANG-01"/>
    <x v="1"/>
    <x v="18"/>
    <s v="GCI1012"/>
    <s v="Pcs"/>
    <n v="38"/>
    <s v="CLR51-99-004"/>
    <x v="0"/>
    <m/>
    <m/>
    <m/>
    <s v="Mohammad Febbi H"/>
    <s v="Febby Supplier"/>
    <s v="3524052002930003"/>
    <s v=" W 8940 PC"/>
    <m/>
    <x v="2"/>
    <s v="Perumahan Bumi Podo Rukun Dau"/>
    <e v="#N/A"/>
    <e v="#N/A"/>
    <s v="OUTBOUND_"/>
  </r>
  <r>
    <s v="318"/>
    <m/>
    <x v="1"/>
    <s v="OUB-W0012310-79"/>
    <s v="EJ-Malang-01"/>
    <s v="Oka-0813-2707-1646"/>
    <x v="43"/>
    <d v="1899-12-30T08:19:00"/>
    <s v="EJ-MALANG-01"/>
    <x v="0"/>
    <x v="5"/>
    <s v="ZTE1001"/>
    <s v="Pcs"/>
    <n v="17"/>
    <s v="CLR51-99-017"/>
    <x v="13"/>
    <m/>
    <m/>
    <m/>
    <s v="Mail"/>
    <n v="0"/>
    <s v="507180502880002"/>
    <s v="N 8546 ED"/>
    <m/>
    <x v="2"/>
    <s v="Sukodadi RW 01 Wagir"/>
    <e v="#N/A"/>
    <e v="#N/A"/>
    <s v="OUTBOUND_"/>
  </r>
  <r>
    <s v="319"/>
    <m/>
    <x v="1"/>
    <s v="OUB-W0012310-80"/>
    <s v="EJ-Malang-01"/>
    <s v="Oka-0813-2707-1646"/>
    <x v="43"/>
    <d v="1899-12-30T08:19:00"/>
    <s v="EJ-MALANG-01"/>
    <x v="0"/>
    <x v="5"/>
    <s v="ZTE1001"/>
    <s v="Pcs"/>
    <n v="17"/>
    <s v="CLR51-99-021"/>
    <x v="15"/>
    <m/>
    <m/>
    <m/>
    <s v="Khoiri"/>
    <s v="Khoiri Supplier"/>
    <s v="3507330905820002"/>
    <s v="N 8408 CB"/>
    <m/>
    <x v="2"/>
    <s v="Jedong RW 09 Wagir"/>
    <e v="#N/A"/>
    <e v="#N/A"/>
    <s v="OUTBOUND_"/>
  </r>
  <r>
    <s v="320"/>
    <m/>
    <x v="1"/>
    <s v="OUB-W0012310-81"/>
    <s v="EJ-Malang-01"/>
    <s v="Oka-0813-2707-1646"/>
    <x v="43"/>
    <d v="1899-12-30T14:11:00"/>
    <s v="EJ-MALANG-01"/>
    <x v="0"/>
    <x v="19"/>
    <s v="ZTE1003"/>
    <s v="Pcs"/>
    <n v="1"/>
    <s v="CLR51-99-004"/>
    <x v="0"/>
    <m/>
    <m/>
    <m/>
    <s v="Mohammad Febbi H"/>
    <s v="Febby Supplier"/>
    <s v="3524052002930003"/>
    <s v=" W 8940 PC"/>
    <s v="PL change 7m to 9m"/>
    <x v="2"/>
    <s v="Perumahan Bumi Podo Rukun Dau"/>
    <e v="#N/A"/>
    <e v="#N/A"/>
    <s v="OUTBOUND_"/>
  </r>
  <r>
    <s v="321"/>
    <m/>
    <x v="1"/>
    <s v="OUB-W0012310-84"/>
    <s v="EJ-Malang-01"/>
    <s v="Oka-0813-2707-1646"/>
    <x v="44"/>
    <d v="1899-12-30T14:05:00"/>
    <s v="EJ-MALANG-01"/>
    <x v="1"/>
    <x v="9"/>
    <s v="GCI1001"/>
    <s v="Pcs"/>
    <n v="6"/>
    <s v="CLR51-99-013"/>
    <x v="6"/>
    <m/>
    <m/>
    <m/>
    <s v="Ahmad Subari"/>
    <n v="0"/>
    <s v="3507150401800010"/>
    <s v="N 9609 EF"/>
    <m/>
    <x v="2"/>
    <s v="Pandan Landung RW 03 Wagir"/>
    <e v="#N/A"/>
    <e v="#N/A"/>
    <s v="OUTBOUND_"/>
  </r>
  <r>
    <s v="322"/>
    <m/>
    <x v="1"/>
    <s v="OUB-W0012310-84"/>
    <s v="EJ-Malang-01"/>
    <s v="Oka-0813-2707-1646"/>
    <x v="44"/>
    <d v="1899-12-30T14:05:00"/>
    <s v="EJ-MALANG-01"/>
    <x v="1"/>
    <x v="10"/>
    <s v="GCI1009"/>
    <s v="Pcs"/>
    <n v="50"/>
    <s v="CLR51-99-013"/>
    <x v="6"/>
    <m/>
    <m/>
    <m/>
    <s v="Ahmad Subari"/>
    <n v="0"/>
    <s v="3507150401800010"/>
    <s v="N 9609 EF"/>
    <m/>
    <x v="2"/>
    <s v="Pandan Landung RW 03 Wagir"/>
    <e v="#N/A"/>
    <e v="#N/A"/>
    <s v="OUTBOUND_"/>
  </r>
  <r>
    <s v="323"/>
    <m/>
    <x v="1"/>
    <s v="OUB-W0012310-82"/>
    <s v="EJ-Malang-01"/>
    <s v="Oka-0813-2707-1646"/>
    <x v="44"/>
    <d v="1899-12-30T07:13:00"/>
    <s v="EJ-MALANG-01"/>
    <x v="0"/>
    <x v="5"/>
    <s v="ZTE1001"/>
    <s v="Pcs"/>
    <n v="3"/>
    <s v="CLR51-99-021"/>
    <x v="15"/>
    <m/>
    <m/>
    <m/>
    <s v="Khoiri"/>
    <s v="Khoiri Supplier"/>
    <s v="3507330905820002"/>
    <s v="N 8408 CB"/>
    <m/>
    <x v="2"/>
    <s v="Jedong RW 09 Wagir"/>
    <e v="#N/A"/>
    <e v="#N/A"/>
    <s v="OUTBOUND_"/>
  </r>
  <r>
    <s v="324"/>
    <m/>
    <x v="1"/>
    <s v="OUB-W0012310-82"/>
    <s v="EJ-Malang-01"/>
    <s v="Oka-0813-2707-1646"/>
    <x v="44"/>
    <d v="1899-12-30T07:13:00"/>
    <s v="EJ-MALANG-01"/>
    <x v="0"/>
    <x v="5"/>
    <s v="ZTE1001"/>
    <s v="Pcs"/>
    <n v="11"/>
    <s v="CLR51-99-020"/>
    <x v="16"/>
    <m/>
    <m/>
    <m/>
    <s v="Khoiri"/>
    <s v="Khoiri Supplier"/>
    <s v="3507330905820002"/>
    <s v="N 8408 CB"/>
    <m/>
    <x v="2"/>
    <s v="Jedong RW 08 Wagir"/>
    <e v="#N/A"/>
    <e v="#N/A"/>
    <s v="OUTBOUND_"/>
  </r>
  <r>
    <s v="325"/>
    <m/>
    <x v="1"/>
    <s v="OUB-W0012310-83"/>
    <s v="EJ-Malang-01"/>
    <s v="Oka-0813-2707-1646"/>
    <x v="44"/>
    <d v="1899-12-30T08:19:00"/>
    <s v="EJ-MALANG-01"/>
    <x v="0"/>
    <x v="5"/>
    <s v="ZTE1001"/>
    <s v="Pcs"/>
    <n v="17"/>
    <s v="CLR51-99-019"/>
    <x v="14"/>
    <m/>
    <m/>
    <m/>
    <s v="Mail"/>
    <n v="0"/>
    <s v="507180502880002"/>
    <s v="N 8546 ED"/>
    <m/>
    <x v="2"/>
    <s v="Sidorahayu RW 02 Wagir"/>
    <e v="#N/A"/>
    <e v="#N/A"/>
    <s v="OUTBOUND_"/>
  </r>
  <r>
    <s v="326"/>
    <m/>
    <x v="1"/>
    <s v="OUB-W0012310-82"/>
    <s v="EJ-Malang-01"/>
    <s v="Oka-0813-2707-1646"/>
    <x v="44"/>
    <d v="1899-12-30T07:13:00"/>
    <s v="EJ-MALANG-01"/>
    <x v="0"/>
    <x v="19"/>
    <s v="ZTE1003"/>
    <s v="Pcs"/>
    <n v="1"/>
    <s v="CLR51-99-021"/>
    <x v="15"/>
    <m/>
    <m/>
    <m/>
    <s v="Khoiri"/>
    <s v="Khoiri Supplier"/>
    <s v="3507330905820002"/>
    <s v="N 8408 CB"/>
    <m/>
    <x v="2"/>
    <s v="Jedong RW 09 Wagir"/>
    <e v="#N/A"/>
    <e v="#N/A"/>
    <s v="OUTBOUND_"/>
  </r>
  <r>
    <s v="327"/>
    <m/>
    <x v="1"/>
    <s v="OUB-W0012310-82"/>
    <s v="EJ-Malang-01"/>
    <s v="Oka-0813-2707-1646"/>
    <x v="44"/>
    <d v="1899-12-30T07:13:00"/>
    <s v="EJ-MALANG-01"/>
    <x v="0"/>
    <x v="19"/>
    <s v="ZTE1003"/>
    <s v="Pcs"/>
    <n v="2"/>
    <s v="CLR51-99-020"/>
    <x v="16"/>
    <m/>
    <m/>
    <m/>
    <s v="Khoiri"/>
    <s v="Khoiri Supplier"/>
    <s v="3507330905820002"/>
    <s v="N 8408 CB"/>
    <m/>
    <x v="2"/>
    <s v="Jedong RW 08 Wagir"/>
    <e v="#N/A"/>
    <e v="#N/A"/>
    <s v="OUTBOUND_"/>
  </r>
  <r>
    <s v="328"/>
    <m/>
    <x v="2"/>
    <s v="TFI-W0012310-85"/>
    <s v="EJ-Malang-01"/>
    <s v="Oka-0813-2707-1646"/>
    <x v="44"/>
    <d v="1900-01-14T07:00:00"/>
    <s v="EJ-GRESIK-01"/>
    <x v="1"/>
    <x v="12"/>
    <s v="GCI1008"/>
    <s v="Pcs"/>
    <n v="20"/>
    <s v="TRF"/>
    <x v="11"/>
    <n v="0"/>
    <n v="0"/>
    <m/>
    <m/>
    <m/>
    <m/>
    <m/>
    <s v="dari WH Gresik Diambil Oka Sendiri"/>
    <x v="2"/>
    <s v="GRESIK"/>
    <e v="#N/A"/>
    <e v="#N/A"/>
    <s v="OUTBOUND_"/>
  </r>
  <r>
    <s v="329"/>
    <m/>
    <x v="1"/>
    <s v="OUB-W0012310-84"/>
    <s v="EJ-Malang-01"/>
    <s v="Oka-0813-2707-1646"/>
    <x v="44"/>
    <d v="1899-12-30T14:05:00"/>
    <s v="EJ-MALANG-01"/>
    <x v="1"/>
    <x v="13"/>
    <s v="GCI1007"/>
    <s v="Pcs"/>
    <n v="50"/>
    <s v="CLR51-99-013"/>
    <x v="6"/>
    <m/>
    <m/>
    <m/>
    <s v="Ahmad Subari"/>
    <n v="0"/>
    <s v="3507150401800010"/>
    <s v="N 9609 EF"/>
    <m/>
    <x v="2"/>
    <s v="Pandan Landung RW 03 Wagir"/>
    <e v="#N/A"/>
    <e v="#N/A"/>
    <s v="OUTBOUND_"/>
  </r>
  <r>
    <s v="330"/>
    <m/>
    <x v="1"/>
    <s v="OUB-W0012310-84"/>
    <s v="EJ-Malang-01"/>
    <s v="Oka-0813-2707-1646"/>
    <x v="44"/>
    <d v="1899-12-30T14:05:00"/>
    <s v="EJ-MALANG-01"/>
    <x v="1"/>
    <x v="14"/>
    <s v="GCI1006"/>
    <s v="Pcs"/>
    <n v="50"/>
    <s v="CLR51-99-013"/>
    <x v="6"/>
    <m/>
    <m/>
    <m/>
    <s v="Ahmad Subari"/>
    <n v="0"/>
    <s v="3507150401800010"/>
    <s v="N 9609 EF"/>
    <m/>
    <x v="2"/>
    <s v="Pandan Landung RW 03 Wagir"/>
    <e v="#N/A"/>
    <e v="#N/A"/>
    <s v="OUTBOUND_"/>
  </r>
  <r>
    <s v="331"/>
    <m/>
    <x v="1"/>
    <s v="OUB-W0012310-87"/>
    <s v="EJ-Malang-01"/>
    <s v="Oka-0813-2707-1646"/>
    <x v="45"/>
    <d v="1899-12-30T07:59:00"/>
    <s v="EJ-MALANG-01"/>
    <x v="0"/>
    <x v="0"/>
    <s v="ZTE2001"/>
    <s v="Meter"/>
    <n v="3000"/>
    <s v="CLR51-99-021"/>
    <x v="15"/>
    <m/>
    <m/>
    <m/>
    <s v="Khoiri"/>
    <s v="Khoiri Supplier"/>
    <s v="3507330905820002"/>
    <s v="N 8408 CB"/>
    <s v="3000-1260=1740"/>
    <x v="12"/>
    <s v="Jedong RW 09 Wagir"/>
    <e v="#N/A"/>
    <e v="#N/A"/>
    <s v="OUTBOUND_H-ADSS 24C-20231014-03"/>
  </r>
  <r>
    <s v="332"/>
    <m/>
    <x v="1"/>
    <s v="OUB-W0012310-86"/>
    <s v="EJ-Malang-01"/>
    <s v="Oka-0813-2707-1646"/>
    <x v="45"/>
    <d v="1899-12-30T08:19:00"/>
    <s v="EJ-MALANG-01"/>
    <x v="0"/>
    <x v="5"/>
    <s v="ZTE1001"/>
    <s v="Pcs"/>
    <n v="17"/>
    <s v="CLR51-99-017"/>
    <x v="13"/>
    <m/>
    <m/>
    <m/>
    <s v="Mail"/>
    <n v="0"/>
    <s v="507180502880002"/>
    <s v="N 8546 ED"/>
    <m/>
    <x v="2"/>
    <s v="Sukodadi RW 01 Wagir"/>
    <e v="#N/A"/>
    <e v="#N/A"/>
    <s v="OUTBOUND_"/>
  </r>
  <r>
    <s v="333"/>
    <m/>
    <x v="1"/>
    <s v="OUB-W0012310-88"/>
    <s v="EJ-Malang-01"/>
    <s v="Oka-0813-2707-1646"/>
    <x v="46"/>
    <d v="1899-12-30T08:19:00"/>
    <s v="EJ-MALANG-01"/>
    <x v="0"/>
    <x v="5"/>
    <s v="ZTE1001"/>
    <s v="Pcs"/>
    <n v="16"/>
    <s v="CLR51-99-018"/>
    <x v="18"/>
    <m/>
    <m/>
    <m/>
    <s v="Mail"/>
    <n v="0"/>
    <s v="507180502880002"/>
    <s v="N 8546 ED"/>
    <m/>
    <x v="2"/>
    <s v="Sukodadi RW 02 Wagir"/>
    <e v="#N/A"/>
    <e v="#N/A"/>
    <s v="OUTBOUND_"/>
  </r>
  <r>
    <s v="334"/>
    <m/>
    <x v="1"/>
    <s v="OUB-W0012310-100"/>
    <s v="EJ-Malang-01"/>
    <s v="Oka-0813-2707-1646"/>
    <x v="47"/>
    <d v="1899-12-30T23:24:00"/>
    <s v="EJ-MALANG-01"/>
    <x v="1"/>
    <x v="6"/>
    <s v="GCI1011"/>
    <s v="Pcs"/>
    <n v="1"/>
    <n v="0"/>
    <x v="17"/>
    <m/>
    <m/>
    <m/>
    <s v="Mustofa"/>
    <n v="0"/>
    <s v="3209140803860003"/>
    <s v="N 9609 EF"/>
    <m/>
    <x v="2"/>
    <n v="0"/>
    <e v="#N/A"/>
    <e v="#N/A"/>
    <s v="OUTBOUND_"/>
  </r>
  <r>
    <s v="335"/>
    <m/>
    <x v="1"/>
    <s v="OUB-W0012310-90"/>
    <s v="EJ-Malang-01"/>
    <s v="Oka-0813-2707-1646"/>
    <x v="47"/>
    <d v="1899-12-30T23:24:00"/>
    <s v="EJ-MALANG-01"/>
    <x v="1"/>
    <x v="18"/>
    <s v="GCI1012"/>
    <s v="Pcs"/>
    <n v="82"/>
    <n v="0"/>
    <x v="17"/>
    <m/>
    <m/>
    <m/>
    <s v="Mustofa"/>
    <n v="0"/>
    <s v="3209140803860003"/>
    <s v="N 9609 EF"/>
    <m/>
    <x v="2"/>
    <n v="0"/>
    <e v="#N/A"/>
    <e v="#N/A"/>
    <s v="OUTBOUND_"/>
  </r>
  <r>
    <s v="336"/>
    <m/>
    <x v="1"/>
    <s v="OUB-W0012310-90"/>
    <s v="EJ-Malang-01"/>
    <s v="Oka-0813-2707-1646"/>
    <x v="47"/>
    <d v="1899-12-30T23:24:00"/>
    <s v="EJ-MALANG-01"/>
    <x v="1"/>
    <x v="7"/>
    <s v="GCI1014"/>
    <s v="Pcs"/>
    <n v="186"/>
    <n v="0"/>
    <x v="17"/>
    <m/>
    <m/>
    <m/>
    <s v="Mustofa"/>
    <n v="0"/>
    <s v="3209140803860003"/>
    <s v="N 9609 EF"/>
    <m/>
    <x v="2"/>
    <n v="0"/>
    <e v="#N/A"/>
    <e v="#N/A"/>
    <s v="OUTBOUND_"/>
  </r>
  <r>
    <s v="337"/>
    <m/>
    <x v="0"/>
    <s v="INB-W0012310-104"/>
    <s v="EJ-Malang-01"/>
    <s v="Oka-0813-2707-1646"/>
    <x v="47"/>
    <d v="1900-01-14T07:00:00"/>
    <s v="GCI Procurement"/>
    <x v="1"/>
    <x v="8"/>
    <s v="GCI1005"/>
    <s v="Pcs"/>
    <n v="143"/>
    <s v="PRC"/>
    <x v="8"/>
    <n v="0"/>
    <n v="0"/>
    <m/>
    <m/>
    <m/>
    <m/>
    <m/>
    <s v="Pengambilan Oleh Sigit Pamungkas di UD HALIM JAYA"/>
    <x v="2"/>
    <s v="Purchase"/>
    <e v="#N/A"/>
    <e v="#N/A"/>
    <s v="OUTBOUND_"/>
  </r>
  <r>
    <s v="338"/>
    <m/>
    <x v="1"/>
    <s v="OUB-W0012310-91"/>
    <s v="EJ-Malang-01"/>
    <s v="Oka-0813-2707-1646"/>
    <x v="47"/>
    <d v="1899-12-30T23:24:00"/>
    <s v="EJ-MALANG-01"/>
    <x v="1"/>
    <x v="8"/>
    <s v="GCI1005"/>
    <s v="Pcs"/>
    <n v="22"/>
    <s v="CLR51-99-020"/>
    <x v="16"/>
    <m/>
    <m/>
    <m/>
    <s v="Khoiri"/>
    <s v="Khoiri Supplier"/>
    <s v="3507330905820002"/>
    <s v="N 8408 CB"/>
    <m/>
    <x v="2"/>
    <s v="Jedong RW 08 Wagir"/>
    <e v="#N/A"/>
    <e v="#N/A"/>
    <s v="OUTBOUND_"/>
  </r>
  <r>
    <s v="339"/>
    <m/>
    <x v="1"/>
    <s v="OUB-W0012310-91"/>
    <s v="EJ-Malang-01"/>
    <s v="Oka-0813-2707-1646"/>
    <x v="47"/>
    <d v="1899-12-30T23:24:00"/>
    <s v="EJ-MALANG-01"/>
    <x v="1"/>
    <x v="8"/>
    <s v="GCI1005"/>
    <s v="Pcs"/>
    <n v="60"/>
    <s v="CLR51-99-021"/>
    <x v="15"/>
    <m/>
    <m/>
    <m/>
    <s v="Khoiri"/>
    <s v="Khoiri Supplier"/>
    <s v="3507330905820002"/>
    <s v="N 8408 CB"/>
    <m/>
    <x v="2"/>
    <s v="Jedong RW 09 Wagir"/>
    <e v="#N/A"/>
    <e v="#N/A"/>
    <s v="OUTBOUND_"/>
  </r>
  <r>
    <s v="340"/>
    <m/>
    <x v="0"/>
    <s v="INB-W0012310-104"/>
    <s v="EJ-Malang-01"/>
    <s v="Oka-0813-2707-1646"/>
    <x v="47"/>
    <d v="1900-01-14T07:00:00"/>
    <s v="GCI Procurement"/>
    <x v="1"/>
    <x v="9"/>
    <s v="GCI1001"/>
    <s v="Pcs"/>
    <n v="88"/>
    <s v="PRC"/>
    <x v="8"/>
    <n v="0"/>
    <n v="0"/>
    <m/>
    <m/>
    <m/>
    <m/>
    <m/>
    <s v="Pengambilan Oleh Sigit Pamungkas di UD HALIM JAYA"/>
    <x v="2"/>
    <s v="Purchase"/>
    <e v="#N/A"/>
    <e v="#N/A"/>
    <s v="OUTBOUND_"/>
  </r>
  <r>
    <s v="341"/>
    <m/>
    <x v="1"/>
    <s v="OUB-W0012310-92"/>
    <s v="EJ-Malang-01"/>
    <s v="Oka-0813-2707-1646"/>
    <x v="47"/>
    <d v="1899-12-30T23:24:00"/>
    <s v="EJ-MALANG-01"/>
    <x v="1"/>
    <x v="9"/>
    <s v="GCI1001"/>
    <s v="Pcs"/>
    <n v="2"/>
    <n v="0"/>
    <x v="17"/>
    <m/>
    <m/>
    <m/>
    <s v="Mustofa"/>
    <n v="0"/>
    <s v="3209140803860003"/>
    <s v="N 9609 EF"/>
    <m/>
    <x v="2"/>
    <n v="0"/>
    <e v="#N/A"/>
    <e v="#N/A"/>
    <s v="OUTBOUND_"/>
  </r>
  <r>
    <s v="342"/>
    <m/>
    <x v="1"/>
    <s v="OUB-W0012310-91"/>
    <s v="EJ-Malang-01"/>
    <s v="Oka-0813-2707-1646"/>
    <x v="47"/>
    <d v="1899-12-30T23:24:00"/>
    <s v="EJ-MALANG-01"/>
    <x v="1"/>
    <x v="9"/>
    <s v="GCI1001"/>
    <s v="Pcs"/>
    <n v="18"/>
    <s v="CLR51-99-021"/>
    <x v="15"/>
    <m/>
    <m/>
    <m/>
    <s v="Khoiri"/>
    <s v="Khoiri Supplier"/>
    <s v="3507330905820002"/>
    <s v="N 8408 CB"/>
    <m/>
    <x v="2"/>
    <s v="Jedong RW 09 Wagir"/>
    <e v="#N/A"/>
    <e v="#N/A"/>
    <s v="OUTBOUND_"/>
  </r>
  <r>
    <s v="343"/>
    <m/>
    <x v="1"/>
    <s v="OUB-W0012310-93"/>
    <s v="EJ-Malang-01"/>
    <s v="Oka-0813-2707-1646"/>
    <x v="47"/>
    <d v="1899-12-30T23:24:00"/>
    <s v="EJ-MALANG-01"/>
    <x v="1"/>
    <x v="9"/>
    <s v="GCI1001"/>
    <s v="Pcs"/>
    <n v="26"/>
    <s v="CLR51-99-020"/>
    <x v="16"/>
    <m/>
    <m/>
    <m/>
    <s v="Khoiri"/>
    <s v="Khoiri Supplier"/>
    <s v="3507330905820002"/>
    <s v="N 8408 CB"/>
    <m/>
    <x v="2"/>
    <s v="Jedong RW 08 Wagir"/>
    <e v="#N/A"/>
    <e v="#N/A"/>
    <s v="OUTBOUND_"/>
  </r>
  <r>
    <s v="344"/>
    <m/>
    <x v="0"/>
    <s v="INB-W0012310-104"/>
    <s v="EJ-Malang-01"/>
    <s v="Oka-0813-2707-1646"/>
    <x v="47"/>
    <d v="1900-01-14T07:00:00"/>
    <s v="GCI Procurement"/>
    <x v="1"/>
    <x v="10"/>
    <s v="GCI1009"/>
    <s v="Pcs"/>
    <n v="310"/>
    <s v="PRC"/>
    <x v="8"/>
    <n v="0"/>
    <n v="0"/>
    <m/>
    <m/>
    <m/>
    <m/>
    <m/>
    <s v="Pengambilan Oleh Sigit Pamungkas di UD HALIM JAYA"/>
    <x v="2"/>
    <s v="Purchase"/>
    <e v="#N/A"/>
    <e v="#N/A"/>
    <s v="OUTBOUND_"/>
  </r>
  <r>
    <s v="345"/>
    <m/>
    <x v="1"/>
    <s v="OUB-W0012310-95"/>
    <s v="EJ-Malang-01"/>
    <s v="Oka-0813-2707-1646"/>
    <x v="47"/>
    <d v="1899-12-30T23:24:00"/>
    <s v="EJ-MALANG-01"/>
    <x v="1"/>
    <x v="10"/>
    <s v="GCI1009"/>
    <s v="Pcs"/>
    <n v="60"/>
    <s v="CLR51-99-021"/>
    <x v="15"/>
    <m/>
    <m/>
    <m/>
    <s v="Khoiri"/>
    <s v="Khoiri Supplier"/>
    <s v="3507330905820002"/>
    <s v="N 8408 CB"/>
    <m/>
    <x v="2"/>
    <s v="Jedong RW 09 Wagir"/>
    <e v="#N/A"/>
    <e v="#N/A"/>
    <s v="OUTBOUND_"/>
  </r>
  <r>
    <s v="346"/>
    <m/>
    <x v="1"/>
    <s v="OUB-W0012310-95"/>
    <s v="EJ-Malang-01"/>
    <s v="Oka-0813-2707-1646"/>
    <x v="47"/>
    <d v="1899-12-30T23:24:00"/>
    <s v="EJ-MALANG-01"/>
    <x v="1"/>
    <x v="10"/>
    <s v="GCI1009"/>
    <s v="Pcs"/>
    <n v="72"/>
    <s v="CLR51-99-020"/>
    <x v="16"/>
    <m/>
    <m/>
    <m/>
    <s v="Khoiri"/>
    <s v="Khoiri Supplier"/>
    <s v="3507330905820002"/>
    <s v="N 8408 CB"/>
    <m/>
    <x v="2"/>
    <s v="Jedong RW 08 Wagir"/>
    <e v="#N/A"/>
    <e v="#N/A"/>
    <s v="OUTBOUND_"/>
  </r>
  <r>
    <s v="347"/>
    <m/>
    <x v="1"/>
    <s v="OUB-W0012310-94"/>
    <s v="EJ-Malang-01"/>
    <s v="Oka-0813-2707-1646"/>
    <x v="47"/>
    <d v="1899-12-30T23:24:00"/>
    <s v="EJ-MALANG-01"/>
    <x v="1"/>
    <x v="10"/>
    <s v="GCI1009"/>
    <s v="Pcs"/>
    <n v="136"/>
    <n v="0"/>
    <x v="17"/>
    <m/>
    <m/>
    <m/>
    <s v="Mustofa"/>
    <n v="0"/>
    <s v="3209140803860003"/>
    <s v="N 9609 EF"/>
    <m/>
    <x v="2"/>
    <n v="0"/>
    <e v="#N/A"/>
    <e v="#N/A"/>
    <s v="OUTBOUND_"/>
  </r>
  <r>
    <s v="348"/>
    <m/>
    <x v="3"/>
    <s v="TFO-W0012310-96"/>
    <s v="EJ-Malang-01"/>
    <s v="Oka-0813-2707-1646"/>
    <x v="47"/>
    <d v="1899-12-30T23:24:00"/>
    <s v="EJ-MALANG-01"/>
    <x v="0"/>
    <x v="2"/>
    <s v="ZTE2008"/>
    <s v="Pcs"/>
    <n v="1"/>
    <s v="TRF"/>
    <x v="10"/>
    <m/>
    <m/>
    <m/>
    <s v="Mustofa"/>
    <n v="0"/>
    <s v="3209140803860003"/>
    <s v="N 9609 EF"/>
    <m/>
    <x v="2"/>
    <s v="Transfer Gudang"/>
    <e v="#N/A"/>
    <e v="#N/A"/>
    <s v="TRANSFER OUT_"/>
  </r>
  <r>
    <s v="349"/>
    <m/>
    <x v="1"/>
    <s v="OUB-W0012310-96"/>
    <s v="EJ-Malang-01"/>
    <s v="Oka-0813-2707-1646"/>
    <x v="47"/>
    <d v="1899-12-30T23:24:00"/>
    <s v="EJ-MALANG-01"/>
    <x v="0"/>
    <x v="3"/>
    <s v="ZTE2005"/>
    <s v="Pcs"/>
    <n v="0"/>
    <n v="0"/>
    <x v="17"/>
    <m/>
    <m/>
    <m/>
    <s v="Mustofa"/>
    <n v="0"/>
    <s v="3209140803860003"/>
    <s v="N 9609 EF"/>
    <m/>
    <x v="2"/>
    <n v="0"/>
    <e v="#N/A"/>
    <e v="#N/A"/>
    <s v="OUTBOUND_"/>
  </r>
  <r>
    <s v="350"/>
    <m/>
    <x v="0"/>
    <s v="INB-W0012310-104"/>
    <s v="EJ-Malang-01"/>
    <s v="Oka-0813-2707-1646"/>
    <x v="47"/>
    <d v="1900-01-14T07:00:00"/>
    <s v="GCI Procurement"/>
    <x v="1"/>
    <x v="11"/>
    <s v="GCI1002"/>
    <s v="Pcs"/>
    <n v="9"/>
    <s v="PRC"/>
    <x v="8"/>
    <n v="0"/>
    <n v="0"/>
    <m/>
    <m/>
    <m/>
    <m/>
    <m/>
    <s v="Pengambilan Oleh Sigit Pamungkas di UD HALIM JAYA"/>
    <x v="2"/>
    <s v="Purchase"/>
    <e v="#N/A"/>
    <e v="#N/A"/>
    <s v="OUTBOUND_"/>
  </r>
  <r>
    <s v="351"/>
    <m/>
    <x v="1"/>
    <s v="OUB-W0012310-97"/>
    <s v="EJ-Malang-01"/>
    <s v="Oka-0813-2707-1646"/>
    <x v="47"/>
    <d v="1899-12-30T23:24:00"/>
    <s v="EJ-MALANG-01"/>
    <x v="1"/>
    <x v="11"/>
    <s v="GCI1002"/>
    <s v="Pcs"/>
    <n v="1"/>
    <s v="CLR51-99-021"/>
    <x v="15"/>
    <m/>
    <m/>
    <m/>
    <s v="Khoiri"/>
    <s v="Khoiri Supplier"/>
    <s v="3507330905820002"/>
    <s v="N 8408 CB"/>
    <m/>
    <x v="2"/>
    <s v="Jedong RW 09 Wagir"/>
    <e v="#N/A"/>
    <e v="#N/A"/>
    <s v="OUTBOUND_"/>
  </r>
  <r>
    <s v="352"/>
    <m/>
    <x v="1"/>
    <s v="OUB-W0012310-97"/>
    <s v="EJ-Malang-01"/>
    <s v="Oka-0813-2707-1646"/>
    <x v="47"/>
    <d v="1899-12-30T23:24:00"/>
    <s v="EJ-MALANG-01"/>
    <x v="1"/>
    <x v="11"/>
    <s v="GCI1002"/>
    <s v="Pcs"/>
    <n v="3"/>
    <s v="CLR51-99-020"/>
    <x v="16"/>
    <m/>
    <m/>
    <m/>
    <s v="Khoiri"/>
    <s v="Khoiri Supplier"/>
    <s v="3507330905820002"/>
    <s v="N 8408 CB"/>
    <m/>
    <x v="2"/>
    <s v="Jedong RW 08 Wagir"/>
    <e v="#N/A"/>
    <e v="#N/A"/>
    <s v="OUTBOUND_"/>
  </r>
  <r>
    <s v="353"/>
    <m/>
    <x v="1"/>
    <s v="OUB-W0012310-97"/>
    <s v="EJ-Malang-01"/>
    <s v="Oka-0813-2707-1646"/>
    <x v="47"/>
    <d v="1899-12-30T23:24:00"/>
    <s v="EJ-MALANG-01"/>
    <x v="0"/>
    <x v="4"/>
    <s v="ZTE1002"/>
    <s v="Pcs"/>
    <n v="12"/>
    <s v="CLR51-99-021"/>
    <x v="15"/>
    <m/>
    <m/>
    <m/>
    <s v="Khoiri"/>
    <s v="Khoiri Supplier"/>
    <s v="3507330905820002"/>
    <s v="N 8408 CB"/>
    <m/>
    <x v="2"/>
    <s v="Jedong RW 09 Wagir"/>
    <e v="#N/A"/>
    <e v="#N/A"/>
    <s v="OUTBOUND_"/>
  </r>
  <r>
    <s v="354"/>
    <m/>
    <x v="1"/>
    <s v="OUB-W0012310-89"/>
    <s v="EJ-Malang-01"/>
    <s v="Oka-0813-2707-1646"/>
    <x v="47"/>
    <d v="1899-12-30T08:19:00"/>
    <s v="EJ-MALANG-01"/>
    <x v="0"/>
    <x v="5"/>
    <s v="ZTE1001"/>
    <s v="Pcs"/>
    <n v="3"/>
    <s v="CLR51-99-017"/>
    <x v="13"/>
    <m/>
    <m/>
    <m/>
    <s v="Mail"/>
    <n v="0"/>
    <s v="507180502880002"/>
    <s v="N 8546 ED"/>
    <m/>
    <x v="2"/>
    <s v="Sukodadi RW 01 Wagir"/>
    <e v="#N/A"/>
    <e v="#N/A"/>
    <s v="OUTBOUND_"/>
  </r>
  <r>
    <s v="355"/>
    <m/>
    <x v="1"/>
    <s v="OUB-W0012310-97"/>
    <s v="EJ-Malang-01"/>
    <s v="Oka-0813-2707-1646"/>
    <x v="47"/>
    <d v="1899-12-30T23:24:00"/>
    <s v="EJ-MALANG-01"/>
    <x v="0"/>
    <x v="5"/>
    <s v="ZTE1001"/>
    <s v="Pcs"/>
    <n v="5"/>
    <s v="CLR51-99-021"/>
    <x v="15"/>
    <m/>
    <m/>
    <m/>
    <s v="Khoiri"/>
    <s v="Khoiri Supplier"/>
    <s v="3507330905820002"/>
    <s v="N 8408 CB"/>
    <m/>
    <x v="2"/>
    <s v="Jedong RW 09 Wagir"/>
    <e v="#N/A"/>
    <e v="#N/A"/>
    <s v="OUTBOUND_"/>
  </r>
  <r>
    <s v="356"/>
    <m/>
    <x v="1"/>
    <s v="OUB-W0012310-89"/>
    <s v="EJ-Malang-01"/>
    <s v="Oka-0813-2707-1646"/>
    <x v="47"/>
    <d v="1899-12-30T08:19:00"/>
    <s v="EJ-MALANG-01"/>
    <x v="0"/>
    <x v="5"/>
    <s v="ZTE1001"/>
    <s v="Pcs"/>
    <n v="12"/>
    <s v="CLR51-99-018"/>
    <x v="18"/>
    <m/>
    <m/>
    <m/>
    <s v="Mail"/>
    <n v="0"/>
    <s v="507180502880002"/>
    <s v="N 8546 ED"/>
    <m/>
    <x v="2"/>
    <s v="Sukodadi RW 02 Wagir"/>
    <e v="#N/A"/>
    <e v="#N/A"/>
    <s v="OUTBOUND_"/>
  </r>
  <r>
    <s v="357"/>
    <m/>
    <x v="1"/>
    <s v="OUB-W0012310-89"/>
    <s v="EJ-Malang-01"/>
    <s v="Oka-0813-2707-1646"/>
    <x v="47"/>
    <d v="1899-12-30T08:19:00"/>
    <s v="EJ-MALANG-01"/>
    <x v="0"/>
    <x v="19"/>
    <s v="ZTE1003"/>
    <s v="Pcs"/>
    <n v="2"/>
    <s v="CLR51-99-018"/>
    <x v="18"/>
    <m/>
    <m/>
    <m/>
    <s v="Mail"/>
    <n v="0"/>
    <s v="507180502880002"/>
    <s v="N 8546 ED"/>
    <m/>
    <x v="2"/>
    <s v="Sukodadi RW 02 Wagir"/>
    <e v="#N/A"/>
    <e v="#N/A"/>
    <s v="OUTBOUND_"/>
  </r>
  <r>
    <s v="358"/>
    <m/>
    <x v="3"/>
    <s v="TFO-W0012310-97"/>
    <s v="EJ-Malang-01"/>
    <s v="Oka-0813-2707-1646"/>
    <x v="47"/>
    <d v="1899-12-30T23:24:00"/>
    <s v="EJ-MALANG-01"/>
    <x v="0"/>
    <x v="19"/>
    <s v="ZTE1003"/>
    <s v="Pcs"/>
    <n v="4"/>
    <s v="TRF"/>
    <x v="10"/>
    <m/>
    <m/>
    <m/>
    <s v="Khoiri"/>
    <s v="Khoiri Supplier"/>
    <s v="3507330905820002"/>
    <s v="N 8408 CB"/>
    <m/>
    <x v="2"/>
    <s v="Transfer Gudang"/>
    <e v="#N/A"/>
    <e v="#N/A"/>
    <s v="TRANSFER OUT_"/>
  </r>
  <r>
    <s v="359"/>
    <m/>
    <x v="0"/>
    <s v="INB-W0012310-104"/>
    <s v="EJ-Malang-01"/>
    <s v="Oka-0813-2707-1646"/>
    <x v="47"/>
    <d v="1900-01-14T07:00:00"/>
    <s v="GCI Procurement"/>
    <x v="1"/>
    <x v="12"/>
    <s v="GCI1008"/>
    <s v="Pcs"/>
    <n v="204"/>
    <s v="PRC"/>
    <x v="8"/>
    <n v="0"/>
    <n v="0"/>
    <m/>
    <m/>
    <m/>
    <m/>
    <m/>
    <s v="Pengambilan Oleh Sigit Pamungkas di UD HALIM JAYA"/>
    <x v="2"/>
    <s v="Purchase"/>
    <e v="#N/A"/>
    <e v="#N/A"/>
    <s v="OUTBOUND_"/>
  </r>
  <r>
    <s v="360"/>
    <m/>
    <x v="1"/>
    <s v="OUB-W0012310-99"/>
    <s v="EJ-Malang-01"/>
    <s v="Oka-0813-2707-1646"/>
    <x v="47"/>
    <d v="1899-12-30T23:24:00"/>
    <s v="EJ-MALANG-01"/>
    <x v="1"/>
    <x v="12"/>
    <s v="GCI1008"/>
    <s v="Pcs"/>
    <n v="44"/>
    <s v="CLR51-99-020"/>
    <x v="16"/>
    <m/>
    <m/>
    <m/>
    <s v="Khoiri"/>
    <s v="Khoiri Supplier"/>
    <s v="3507330905820002"/>
    <s v="N 8408 CB"/>
    <m/>
    <x v="2"/>
    <s v="Jedong RW 08 Wagir"/>
    <e v="#N/A"/>
    <e v="#N/A"/>
    <s v="OUTBOUND_"/>
  </r>
  <r>
    <s v="361"/>
    <m/>
    <x v="1"/>
    <s v="OUB-W0012310-99"/>
    <s v="EJ-Malang-01"/>
    <s v="Oka-0813-2707-1646"/>
    <x v="47"/>
    <d v="1899-12-30T23:24:00"/>
    <s v="EJ-MALANG-01"/>
    <x v="1"/>
    <x v="12"/>
    <s v="GCI1008"/>
    <s v="Pcs"/>
    <n v="46"/>
    <s v="CLR51-99-021"/>
    <x v="15"/>
    <m/>
    <m/>
    <m/>
    <s v="Khoiri"/>
    <s v="Khoiri Supplier"/>
    <s v="3507330905820002"/>
    <s v="N 8408 CB"/>
    <m/>
    <x v="2"/>
    <s v="Jedong RW 09 Wagir"/>
    <e v="#N/A"/>
    <e v="#N/A"/>
    <s v="OUTBOUND_"/>
  </r>
  <r>
    <s v="362"/>
    <m/>
    <x v="1"/>
    <s v="OUB-W0012310-98"/>
    <s v="EJ-Malang-01"/>
    <s v="Oka-0813-2707-1646"/>
    <x v="47"/>
    <d v="1899-12-30T23:24:00"/>
    <s v="EJ-MALANG-01"/>
    <x v="1"/>
    <x v="12"/>
    <s v="GCI1008"/>
    <s v="Pcs"/>
    <n v="106"/>
    <n v="0"/>
    <x v="17"/>
    <m/>
    <m/>
    <m/>
    <s v="Mustofa"/>
    <n v="0"/>
    <s v="3209140803860003"/>
    <s v="N 9609 EF"/>
    <m/>
    <x v="2"/>
    <n v="0"/>
    <e v="#N/A"/>
    <e v="#N/A"/>
    <s v="OUTBOUND_"/>
  </r>
  <r>
    <s v="363"/>
    <m/>
    <x v="1"/>
    <s v="OUB-W0012310-100"/>
    <s v="EJ-Malang-01"/>
    <s v="Oka-0813-2707-1646"/>
    <x v="47"/>
    <d v="1899-12-30T23:24:00"/>
    <s v="EJ-MALANG-01"/>
    <x v="1"/>
    <x v="13"/>
    <s v="GCI1007"/>
    <s v="Pcs"/>
    <n v="0"/>
    <n v="0"/>
    <x v="17"/>
    <m/>
    <m/>
    <m/>
    <s v="Mustofa"/>
    <n v="0"/>
    <s v="3209140803860003"/>
    <s v="N 9609 EF"/>
    <m/>
    <x v="2"/>
    <n v="0"/>
    <e v="#N/A"/>
    <e v="#N/A"/>
    <s v="OUTBOUND_"/>
  </r>
  <r>
    <s v="364"/>
    <m/>
    <x v="1"/>
    <s v="OUB-W0012310-100"/>
    <s v="EJ-Malang-01"/>
    <s v="Oka-0813-2707-1646"/>
    <x v="47"/>
    <d v="1899-12-30T23:24:00"/>
    <s v="EJ-MALANG-01"/>
    <x v="1"/>
    <x v="14"/>
    <s v="GCI1006"/>
    <s v="Pcs"/>
    <n v="46"/>
    <n v="0"/>
    <x v="17"/>
    <m/>
    <m/>
    <m/>
    <s v="Mustofa"/>
    <n v="0"/>
    <s v="3209140803860003"/>
    <s v="N 9609 EF"/>
    <m/>
    <x v="2"/>
    <n v="0"/>
    <e v="#N/A"/>
    <e v="#N/A"/>
    <s v="OUTBOUND_"/>
  </r>
  <r>
    <s v="365"/>
    <m/>
    <x v="0"/>
    <s v="INB-W0012310-104"/>
    <s v="EJ-Malang-01"/>
    <s v="Oka-0813-2707-1646"/>
    <x v="47"/>
    <d v="1900-01-14T07:00:00"/>
    <s v="GCI Procurement"/>
    <x v="1"/>
    <x v="15"/>
    <s v="GCI1003"/>
    <s v="Pcs"/>
    <n v="204"/>
    <s v="PRC"/>
    <x v="8"/>
    <n v="0"/>
    <n v="0"/>
    <m/>
    <m/>
    <m/>
    <m/>
    <m/>
    <s v="Pengambilan Oleh Sigit Pamungkas di UD HALIM JAYA"/>
    <x v="2"/>
    <s v="Purchase"/>
    <e v="#N/A"/>
    <e v="#N/A"/>
    <s v="OUTBOUND_"/>
  </r>
  <r>
    <s v="366"/>
    <m/>
    <x v="1"/>
    <s v="OUB-W0012310-100"/>
    <s v="EJ-Malang-01"/>
    <s v="Oka-0813-2707-1646"/>
    <x v="47"/>
    <d v="1899-12-30T23:24:00"/>
    <s v="EJ-MALANG-01"/>
    <x v="1"/>
    <x v="15"/>
    <s v="GCI1003"/>
    <s v="Pcs"/>
    <n v="0"/>
    <n v="0"/>
    <x v="17"/>
    <m/>
    <m/>
    <m/>
    <s v="Mustofa"/>
    <n v="0"/>
    <s v="3209140803860003"/>
    <s v="N 9609 EF"/>
    <m/>
    <x v="2"/>
    <n v="0"/>
    <e v="#N/A"/>
    <e v="#N/A"/>
    <s v="OUTBOUND_"/>
  </r>
  <r>
    <s v="367"/>
    <m/>
    <x v="1"/>
    <s v="OUB-W0012310-101"/>
    <s v="EJ-Malang-01"/>
    <s v="Oka-0813-2707-1646"/>
    <x v="47"/>
    <d v="1899-12-30T23:24:00"/>
    <s v="EJ-MALANG-01"/>
    <x v="1"/>
    <x v="15"/>
    <s v="GCI1003"/>
    <s v="Pcs"/>
    <n v="100"/>
    <s v="CLR51-99-020"/>
    <x v="16"/>
    <m/>
    <m/>
    <m/>
    <s v="Khoiri"/>
    <s v="Khoiri Supplier"/>
    <s v="3507330905820002"/>
    <s v="N 8408 CB"/>
    <m/>
    <x v="2"/>
    <s v="Jedong RW 08 Wagir"/>
    <e v="#N/A"/>
    <e v="#N/A"/>
    <s v="OUTBOUND_"/>
  </r>
  <r>
    <s v="368"/>
    <m/>
    <x v="1"/>
    <s v="OUB-W0012310-101"/>
    <s v="EJ-Malang-01"/>
    <s v="Oka-0813-2707-1646"/>
    <x v="47"/>
    <d v="1899-12-30T23:24:00"/>
    <s v="EJ-MALANG-01"/>
    <x v="1"/>
    <x v="15"/>
    <s v="GCI1003"/>
    <s v="Pcs"/>
    <n v="100"/>
    <s v="CLR51-99-021"/>
    <x v="15"/>
    <m/>
    <m/>
    <m/>
    <s v="Khoiri"/>
    <s v="Khoiri Supplier"/>
    <s v="3507330905820002"/>
    <s v="N 8408 CB"/>
    <m/>
    <x v="2"/>
    <s v="Jedong RW 09 Wagir"/>
    <e v="#N/A"/>
    <e v="#N/A"/>
    <s v="OUTBOUND_"/>
  </r>
  <r>
    <s v="369"/>
    <m/>
    <x v="0"/>
    <s v="INB-W0012310-104"/>
    <s v="EJ-Malang-01"/>
    <s v="Oka-0813-2707-1646"/>
    <x v="47"/>
    <d v="1900-01-14T07:00:00"/>
    <s v="GCI Procurement"/>
    <x v="1"/>
    <x v="16"/>
    <s v="GCI1004"/>
    <s v="Pcs"/>
    <n v="200"/>
    <s v="PRC"/>
    <x v="8"/>
    <n v="0"/>
    <n v="0"/>
    <m/>
    <m/>
    <m/>
    <m/>
    <m/>
    <s v="Pengambilan Oleh Sigit Pamungkas di UD HALIM JAYA"/>
    <x v="2"/>
    <s v="Purchase"/>
    <e v="#N/A"/>
    <e v="#N/A"/>
    <s v="OUTBOUND_"/>
  </r>
  <r>
    <s v="370"/>
    <m/>
    <x v="1"/>
    <s v="OUB-W0012310-102"/>
    <s v="EJ-Malang-01"/>
    <s v="Oka-0813-2707-1646"/>
    <x v="47"/>
    <d v="1899-12-30T23:24:00"/>
    <s v="EJ-MALANG-01"/>
    <x v="1"/>
    <x v="16"/>
    <s v="GCI1004"/>
    <s v="Pcs"/>
    <n v="0"/>
    <n v="0"/>
    <x v="17"/>
    <m/>
    <m/>
    <m/>
    <s v="Fatur"/>
    <n v="0"/>
    <s v="1812010507910004"/>
    <s v="L 9221 K"/>
    <m/>
    <x v="2"/>
    <n v="0"/>
    <e v="#N/A"/>
    <e v="#N/A"/>
    <s v="OUTBOUND_"/>
  </r>
  <r>
    <s v="371"/>
    <m/>
    <x v="1"/>
    <s v="OUB-W0012310-103"/>
    <s v="EJ-Malang-01"/>
    <s v="Oka-0813-2707-1646"/>
    <x v="47"/>
    <d v="1899-12-30T23:24:00"/>
    <s v="EJ-MALANG-01"/>
    <x v="1"/>
    <x v="16"/>
    <s v="GCI1004"/>
    <s v="Pcs"/>
    <n v="21"/>
    <s v="CLR51-99-021"/>
    <x v="15"/>
    <m/>
    <m/>
    <m/>
    <s v="Khoiri"/>
    <s v="Khoiri Supplier"/>
    <s v="3507330905820002"/>
    <s v="N 8408 CB"/>
    <m/>
    <x v="2"/>
    <s v="Jedong RW 09 Wagir"/>
    <e v="#N/A"/>
    <e v="#N/A"/>
    <s v="OUTBOUND_"/>
  </r>
  <r>
    <s v="372"/>
    <m/>
    <x v="1"/>
    <s v="OUB-W0012310-103"/>
    <s v="EJ-Malang-01"/>
    <s v="Oka-0813-2707-1646"/>
    <x v="47"/>
    <d v="1899-12-30T23:24:00"/>
    <s v="EJ-MALANG-01"/>
    <x v="1"/>
    <x v="16"/>
    <s v="GCI1004"/>
    <s v="Pcs"/>
    <n v="39"/>
    <s v="CLR51-99-020"/>
    <x v="16"/>
    <m/>
    <m/>
    <m/>
    <s v="Khoiri"/>
    <s v="Khoiri Supplier"/>
    <s v="3507330905820002"/>
    <s v="N 8408 CB"/>
    <m/>
    <x v="2"/>
    <s v="Jedong RW 08 Wagir"/>
    <e v="#N/A"/>
    <e v="#N/A"/>
    <s v="OUTBOUND_"/>
  </r>
  <r>
    <s v="373"/>
    <m/>
    <x v="1"/>
    <s v="OUB-W0012310-105"/>
    <s v="EJ-Malang-01"/>
    <s v="Oka-0813-2707-1646"/>
    <x v="48"/>
    <d v="1899-12-30T22:30:00"/>
    <s v="EJ-MALANG-01"/>
    <x v="1"/>
    <x v="8"/>
    <s v="GCI1005"/>
    <s v="Pcs"/>
    <n v="17"/>
    <s v="CLR51-99-017"/>
    <x v="13"/>
    <m/>
    <m/>
    <m/>
    <s v="Mustofa"/>
    <n v="0"/>
    <s v="3209140803860003"/>
    <s v="N 9609 EF"/>
    <m/>
    <x v="2"/>
    <s v="Sukodadi RW 01 Wagir"/>
    <e v="#N/A"/>
    <e v="#N/A"/>
    <s v="OUTBOUND_"/>
  </r>
  <r>
    <s v="374"/>
    <m/>
    <x v="1"/>
    <s v="OUB-W0012310-105"/>
    <s v="EJ-Malang-01"/>
    <s v="Oka-0813-2707-1646"/>
    <x v="48"/>
    <d v="1899-12-30T22:30:00"/>
    <s v="EJ-MALANG-01"/>
    <x v="1"/>
    <x v="8"/>
    <s v="GCI1005"/>
    <s v="Pcs"/>
    <n v="44"/>
    <s v="CLR51-99-019"/>
    <x v="14"/>
    <m/>
    <m/>
    <m/>
    <s v="Mustofa"/>
    <n v="0"/>
    <s v="3209140803860003"/>
    <s v="N 9609 EF"/>
    <m/>
    <x v="2"/>
    <s v="Sidorahayu RW 02 Wagir"/>
    <e v="#N/A"/>
    <e v="#N/A"/>
    <s v="OUTBOUND_"/>
  </r>
  <r>
    <s v="375"/>
    <m/>
    <x v="0"/>
    <s v="INB-W0012310-106"/>
    <s v="EJ-Malang-01"/>
    <s v="Oka-0813-2707-1646"/>
    <x v="48"/>
    <d v="1900-01-14T07:00:00"/>
    <s v="GCI Procurement"/>
    <x v="1"/>
    <x v="9"/>
    <s v="GCI1001"/>
    <s v="Pcs"/>
    <n v="10"/>
    <s v="CLR51-99-019"/>
    <x v="14"/>
    <n v="0"/>
    <n v="0"/>
    <m/>
    <m/>
    <m/>
    <m/>
    <m/>
    <m/>
    <x v="2"/>
    <s v="Sidorahayu RW 02 Wagir"/>
    <e v="#N/A"/>
    <e v="#N/A"/>
    <s v="OUTBOUND_"/>
  </r>
  <r>
    <s v="376"/>
    <m/>
    <x v="1"/>
    <s v="OUB-W0012310-105"/>
    <s v="EJ-Malang-01"/>
    <s v="Oka-0813-2707-1646"/>
    <x v="48"/>
    <d v="1899-12-30T22:30:00"/>
    <s v="EJ-MALANG-01"/>
    <x v="1"/>
    <x v="9"/>
    <s v="GCI1001"/>
    <s v="Pcs"/>
    <n v="14"/>
    <s v="CLR51-99-017"/>
    <x v="13"/>
    <m/>
    <m/>
    <m/>
    <s v="Mustofa"/>
    <n v="0"/>
    <s v="3209140803860003"/>
    <s v="N 9609 EF"/>
    <m/>
    <x v="2"/>
    <s v="Sukodadi RW 01 Wagir"/>
    <e v="#N/A"/>
    <e v="#N/A"/>
    <s v="OUTBOUND_"/>
  </r>
  <r>
    <s v="377"/>
    <m/>
    <x v="1"/>
    <s v="OUB-W0012310-105"/>
    <s v="EJ-Malang-01"/>
    <s v="Oka-0813-2707-1646"/>
    <x v="48"/>
    <d v="1899-12-30T22:30:00"/>
    <s v="EJ-MALANG-01"/>
    <x v="1"/>
    <x v="9"/>
    <s v="GCI1001"/>
    <s v="Pcs"/>
    <n v="15"/>
    <s v="CLR51-99-018"/>
    <x v="18"/>
    <m/>
    <m/>
    <m/>
    <s v="Mustofa"/>
    <n v="0"/>
    <s v="3209140803860003"/>
    <s v="N 9609 EF"/>
    <m/>
    <x v="2"/>
    <s v="Sukodadi RW 02 Wagir"/>
    <e v="#N/A"/>
    <e v="#N/A"/>
    <s v="OUTBOUND_"/>
  </r>
  <r>
    <s v="378"/>
    <m/>
    <x v="1"/>
    <s v="OUB-W0012310-105"/>
    <s v="EJ-Malang-01"/>
    <s v="Oka-0813-2707-1646"/>
    <x v="48"/>
    <d v="1899-12-30T22:30:00"/>
    <s v="EJ-MALANG-01"/>
    <x v="1"/>
    <x v="9"/>
    <s v="GCI1001"/>
    <s v="Pcs"/>
    <n v="15"/>
    <s v="CLR51-99-019"/>
    <x v="14"/>
    <m/>
    <m/>
    <m/>
    <s v="Mustofa"/>
    <n v="0"/>
    <s v="3209140803860003"/>
    <s v="N 9609 EF"/>
    <m/>
    <x v="2"/>
    <s v="Sidorahayu RW 02 Wagir"/>
    <e v="#N/A"/>
    <e v="#N/A"/>
    <s v="OUTBOUND_"/>
  </r>
  <r>
    <s v="379"/>
    <m/>
    <x v="1"/>
    <s v="OUB-W0012310-105"/>
    <s v="EJ-Malang-01"/>
    <s v="Oka-0813-2707-1646"/>
    <x v="48"/>
    <d v="1899-12-30T22:30:00"/>
    <s v="EJ-MALANG-01"/>
    <x v="1"/>
    <x v="10"/>
    <s v="GCI1009"/>
    <s v="Pcs"/>
    <n v="36"/>
    <s v="CLR51-99-019"/>
    <x v="14"/>
    <m/>
    <m/>
    <m/>
    <s v="Mustofa"/>
    <n v="0"/>
    <s v="3209140803860003"/>
    <s v="N 9609 EF"/>
    <m/>
    <x v="2"/>
    <s v="Sidorahayu RW 02 Wagir"/>
    <e v="#N/A"/>
    <e v="#N/A"/>
    <s v="OUTBOUND_"/>
  </r>
  <r>
    <s v="380"/>
    <m/>
    <x v="1"/>
    <s v="OUB-W0012310-105"/>
    <s v="EJ-Malang-01"/>
    <s v="Oka-0813-2707-1646"/>
    <x v="48"/>
    <d v="1899-12-30T22:30:00"/>
    <s v="EJ-MALANG-01"/>
    <x v="1"/>
    <x v="10"/>
    <s v="GCI1009"/>
    <s v="Pcs"/>
    <n v="42"/>
    <s v="CLR51-99-017"/>
    <x v="13"/>
    <m/>
    <m/>
    <m/>
    <s v="Mustofa"/>
    <n v="0"/>
    <s v="3209140803860003"/>
    <s v="N 9609 EF"/>
    <m/>
    <x v="2"/>
    <s v="Sukodadi RW 01 Wagir"/>
    <e v="#N/A"/>
    <e v="#N/A"/>
    <s v="OUTBOUND_"/>
  </r>
  <r>
    <s v="381"/>
    <m/>
    <x v="1"/>
    <s v="OUB-W0012310-105"/>
    <s v="EJ-Malang-01"/>
    <s v="Oka-0813-2707-1646"/>
    <x v="48"/>
    <d v="1899-12-30T22:30:00"/>
    <s v="EJ-MALANG-01"/>
    <x v="1"/>
    <x v="10"/>
    <s v="GCI1009"/>
    <s v="Pcs"/>
    <n v="100"/>
    <s v="CLR51-99-018"/>
    <x v="18"/>
    <m/>
    <m/>
    <m/>
    <s v="Mustofa"/>
    <n v="0"/>
    <s v="3209140803860003"/>
    <s v="N 9609 EF"/>
    <m/>
    <x v="2"/>
    <s v="Sukodadi RW 02 Wagir"/>
    <e v="#N/A"/>
    <e v="#N/A"/>
    <s v="OUTBOUND_"/>
  </r>
  <r>
    <s v="382"/>
    <m/>
    <x v="1"/>
    <s v="OUB-W0012310-105"/>
    <s v="EJ-Malang-01"/>
    <s v="Oka-0813-2707-1646"/>
    <x v="48"/>
    <d v="1899-12-30T22:30:00"/>
    <s v="EJ-MALANG-01"/>
    <x v="1"/>
    <x v="11"/>
    <s v="GCI1002"/>
    <s v="Pcs"/>
    <n v="1"/>
    <s v="CLR51-99-017"/>
    <x v="13"/>
    <m/>
    <m/>
    <m/>
    <s v="Mustofa"/>
    <n v="0"/>
    <s v="3209140803860003"/>
    <s v="N 9609 EF"/>
    <m/>
    <x v="2"/>
    <s v="Sukodadi RW 01 Wagir"/>
    <e v="#N/A"/>
    <e v="#N/A"/>
    <s v="OUTBOUND_"/>
  </r>
  <r>
    <s v="383"/>
    <m/>
    <x v="1"/>
    <s v="OUB-W0012310-105"/>
    <s v="EJ-Malang-01"/>
    <s v="Oka-0813-2707-1646"/>
    <x v="48"/>
    <d v="1899-12-30T22:30:00"/>
    <s v="EJ-MALANG-01"/>
    <x v="1"/>
    <x v="11"/>
    <s v="GCI1002"/>
    <s v="Pcs"/>
    <n v="1"/>
    <s v="CLR51-99-019"/>
    <x v="14"/>
    <m/>
    <m/>
    <m/>
    <s v="Mustofa"/>
    <n v="0"/>
    <s v="3209140803860003"/>
    <s v="N 9609 EF"/>
    <m/>
    <x v="2"/>
    <s v="Sidorahayu RW 02 Wagir"/>
    <e v="#N/A"/>
    <e v="#N/A"/>
    <s v="OUTBOUND_"/>
  </r>
  <r>
    <s v="384"/>
    <m/>
    <x v="1"/>
    <s v="OUB-W0012310-105"/>
    <s v="EJ-Malang-01"/>
    <s v="Oka-0813-2707-1646"/>
    <x v="48"/>
    <d v="1899-12-30T22:30:00"/>
    <s v="EJ-MALANG-01"/>
    <x v="1"/>
    <x v="11"/>
    <s v="GCI1002"/>
    <s v="Pcs"/>
    <n v="2"/>
    <s v="CLR51-99-018"/>
    <x v="18"/>
    <m/>
    <m/>
    <m/>
    <s v="Mustofa"/>
    <n v="0"/>
    <s v="3209140803860003"/>
    <s v="N 9609 EF"/>
    <m/>
    <x v="2"/>
    <s v="Sukodadi RW 02 Wagir"/>
    <e v="#N/A"/>
    <e v="#N/A"/>
    <s v="OUTBOUND_"/>
  </r>
  <r>
    <s v="385"/>
    <m/>
    <x v="1"/>
    <s v="OUB-W0012310-105"/>
    <s v="EJ-Malang-01"/>
    <s v="Oka-0813-2707-1646"/>
    <x v="48"/>
    <d v="1899-12-30T22:30:00"/>
    <s v="EJ-MALANG-01"/>
    <x v="1"/>
    <x v="12"/>
    <s v="GCI1008"/>
    <s v="Pcs"/>
    <n v="28"/>
    <s v="CLR51-99-017"/>
    <x v="13"/>
    <m/>
    <m/>
    <m/>
    <s v="Mustofa"/>
    <n v="0"/>
    <s v="3209140803860003"/>
    <s v="N 9609 EF"/>
    <m/>
    <x v="2"/>
    <s v="Sukodadi RW 01 Wagir"/>
    <e v="#N/A"/>
    <e v="#N/A"/>
    <s v="OUTBOUND_"/>
  </r>
  <r>
    <s v="386"/>
    <m/>
    <x v="1"/>
    <s v="OUB-W0012310-105"/>
    <s v="EJ-Malang-01"/>
    <s v="Oka-0813-2707-1646"/>
    <x v="48"/>
    <d v="1899-12-30T22:30:00"/>
    <s v="EJ-MALANG-01"/>
    <x v="1"/>
    <x v="12"/>
    <s v="GCI1008"/>
    <s v="Pcs"/>
    <n v="35"/>
    <s v="CLR51-99-019"/>
    <x v="14"/>
    <m/>
    <m/>
    <m/>
    <s v="Mustofa"/>
    <n v="0"/>
    <s v="3209140803860003"/>
    <s v="N 9609 EF"/>
    <m/>
    <x v="2"/>
    <s v="Sidorahayu RW 02 Wagir"/>
    <e v="#N/A"/>
    <e v="#N/A"/>
    <s v="OUTBOUND_"/>
  </r>
  <r>
    <s v="387"/>
    <m/>
    <x v="1"/>
    <s v="OUB-W0012310-105"/>
    <s v="EJ-Malang-01"/>
    <s v="Oka-0813-2707-1646"/>
    <x v="48"/>
    <d v="1899-12-30T22:30:00"/>
    <s v="EJ-MALANG-01"/>
    <x v="1"/>
    <x v="12"/>
    <s v="GCI1008"/>
    <s v="Pcs"/>
    <n v="51"/>
    <s v="CLR51-99-018"/>
    <x v="18"/>
    <m/>
    <m/>
    <m/>
    <s v="Mustofa"/>
    <n v="0"/>
    <s v="3209140803860003"/>
    <s v="N 9609 EF"/>
    <m/>
    <x v="2"/>
    <s v="Sukodadi RW 02 Wagir"/>
    <e v="#N/A"/>
    <e v="#N/A"/>
    <s v="OUTBOUND_"/>
  </r>
  <r>
    <s v="388"/>
    <m/>
    <x v="1"/>
    <s v="OUB-W0012310-105"/>
    <s v="EJ-Malang-01"/>
    <s v="Oka-0813-2707-1646"/>
    <x v="48"/>
    <d v="1899-12-30T22:30:00"/>
    <s v="EJ-MALANG-01"/>
    <x v="1"/>
    <x v="15"/>
    <s v="GCI1003"/>
    <s v="Pcs"/>
    <n v="50"/>
    <s v="CLR51-99-017"/>
    <x v="13"/>
    <m/>
    <m/>
    <m/>
    <s v="Mustofa"/>
    <n v="0"/>
    <s v="3209140803860003"/>
    <s v="N 9609 EF"/>
    <m/>
    <x v="2"/>
    <s v="Sukodadi RW 01 Wagir"/>
    <e v="#N/A"/>
    <e v="#N/A"/>
    <s v="OUTBOUND_"/>
  </r>
  <r>
    <s v="389"/>
    <m/>
    <x v="1"/>
    <s v="OUB-W0012310-105"/>
    <s v="EJ-Malang-01"/>
    <s v="Oka-0813-2707-1646"/>
    <x v="48"/>
    <d v="1899-12-30T22:30:00"/>
    <s v="EJ-MALANG-01"/>
    <x v="1"/>
    <x v="15"/>
    <s v="GCI1003"/>
    <s v="Pcs"/>
    <n v="50"/>
    <s v="CLR51-99-019"/>
    <x v="14"/>
    <m/>
    <m/>
    <m/>
    <s v="Mustofa"/>
    <n v="0"/>
    <s v="3209140803860003"/>
    <s v="N 9609 EF"/>
    <m/>
    <x v="2"/>
    <s v="Sidorahayu RW 02 Wagir"/>
    <e v="#N/A"/>
    <e v="#N/A"/>
    <s v="OUTBOUND_"/>
  </r>
  <r>
    <s v="390"/>
    <m/>
    <x v="1"/>
    <s v="OUB-W0012310-105"/>
    <s v="EJ-Malang-01"/>
    <s v="Oka-0813-2707-1646"/>
    <x v="48"/>
    <d v="1899-12-30T22:30:00"/>
    <s v="EJ-MALANG-01"/>
    <x v="1"/>
    <x v="15"/>
    <s v="GCI1003"/>
    <s v="Pcs"/>
    <n v="100"/>
    <s v="CLR51-99-018"/>
    <x v="18"/>
    <m/>
    <m/>
    <m/>
    <s v="Mustofa"/>
    <n v="0"/>
    <s v="3209140803860003"/>
    <s v="N 9609 EF"/>
    <m/>
    <x v="2"/>
    <s v="Sukodadi RW 02 Wagir"/>
    <e v="#N/A"/>
    <e v="#N/A"/>
    <s v="OUTBOUND_"/>
  </r>
  <r>
    <s v="391"/>
    <m/>
    <x v="1"/>
    <s v="OUB-W0012310-105"/>
    <s v="EJ-Malang-01"/>
    <s v="Oka-0813-2707-1646"/>
    <x v="48"/>
    <d v="1899-12-30T22:30:00"/>
    <s v="EJ-MALANG-01"/>
    <x v="1"/>
    <x v="16"/>
    <s v="GCI1004"/>
    <s v="Pcs"/>
    <n v="14"/>
    <s v="CLR51-99-019"/>
    <x v="14"/>
    <m/>
    <m/>
    <m/>
    <s v="Mustofa"/>
    <n v="0"/>
    <s v="3209140803860003"/>
    <s v="N 9609 EF"/>
    <m/>
    <x v="2"/>
    <s v="Sidorahayu RW 02 Wagir"/>
    <e v="#N/A"/>
    <e v="#N/A"/>
    <s v="OUTBOUND_"/>
  </r>
  <r>
    <s v="392"/>
    <m/>
    <x v="1"/>
    <s v="OUB-W0012310-105"/>
    <s v="EJ-Malang-01"/>
    <s v="Oka-0813-2707-1646"/>
    <x v="48"/>
    <d v="1899-12-30T22:30:00"/>
    <s v="EJ-MALANG-01"/>
    <x v="1"/>
    <x v="16"/>
    <s v="GCI1004"/>
    <s v="Pcs"/>
    <n v="18"/>
    <s v="CLR51-99-017"/>
    <x v="13"/>
    <m/>
    <m/>
    <m/>
    <s v="Mustofa"/>
    <n v="0"/>
    <s v="3209140803860003"/>
    <s v="N 9609 EF"/>
    <m/>
    <x v="2"/>
    <s v="Sukodadi RW 01 Wagir"/>
    <e v="#N/A"/>
    <e v="#N/A"/>
    <s v="OUTBOUND_"/>
  </r>
  <r>
    <s v="393"/>
    <m/>
    <x v="1"/>
    <s v="OUB-W0012310-105"/>
    <s v="EJ-Malang-01"/>
    <s v="Oka-0813-2707-1646"/>
    <x v="48"/>
    <d v="1899-12-30T22:30:00"/>
    <s v="EJ-MALANG-01"/>
    <x v="1"/>
    <x v="16"/>
    <s v="GCI1004"/>
    <s v="Pcs"/>
    <n v="35"/>
    <s v="CLR51-99-018"/>
    <x v="18"/>
    <m/>
    <m/>
    <m/>
    <s v="Mustofa"/>
    <n v="0"/>
    <s v="3209140803860003"/>
    <s v="N 9609 EF"/>
    <m/>
    <x v="2"/>
    <s v="Sukodadi RW 02 Wagir"/>
    <e v="#N/A"/>
    <e v="#N/A"/>
    <s v="OUTBOUND_"/>
  </r>
  <r>
    <s v="394"/>
    <m/>
    <x v="1"/>
    <s v="OUB-W0012310-107"/>
    <s v="EJ-Malang-01"/>
    <s v="Oka-0813-2707-1646"/>
    <x v="49"/>
    <d v="1899-12-30T08:19:00"/>
    <s v="EJ-MALANG-01"/>
    <x v="0"/>
    <x v="0"/>
    <s v="ZTE2001"/>
    <s v="Meter"/>
    <n v="3000"/>
    <s v="CLR51-99-017"/>
    <x v="13"/>
    <m/>
    <m/>
    <m/>
    <s v="Mail"/>
    <s v="Mustofa"/>
    <s v="507180502880002"/>
    <s v="N 8546 ED"/>
    <s v="USE 1200 + 1800"/>
    <x v="10"/>
    <s v="Sukodadi RW 01 Wagir"/>
    <e v="#N/A"/>
    <e v="#N/A"/>
    <s v="OUTBOUND_H-ADSS 24C-20231014-01"/>
  </r>
  <r>
    <s v="395"/>
    <m/>
    <x v="1"/>
    <s v="OUB-W0012310-108"/>
    <s v="EJ-Malang-01"/>
    <s v="Oka-0813-2707-1646"/>
    <x v="49"/>
    <d v="1899-12-30T08:19:00"/>
    <s v="EJ-MALANG-01"/>
    <x v="0"/>
    <x v="0"/>
    <s v="ZTE2001"/>
    <s v="Meter"/>
    <n v="3000"/>
    <s v="CLR51-99-018"/>
    <x v="14"/>
    <m/>
    <m/>
    <m/>
    <s v="Mail"/>
    <s v="Mustofa"/>
    <s v="507180502880002"/>
    <s v="N 8546 ED"/>
    <s v="USE 1650"/>
    <x v="11"/>
    <s v="Sidorahayu RW 02 Wagir"/>
    <e v="#N/A"/>
    <e v="#N/A"/>
    <s v="OUTBOUND_H-ADSS 24C-20231014-02"/>
  </r>
  <r>
    <s v="396"/>
    <m/>
    <x v="1"/>
    <s v="OUB-W0012310-107"/>
    <s v="EJ-Malang-01"/>
    <s v="Oka-0813-2707-1646"/>
    <x v="49"/>
    <d v="1899-12-30T08:19:00"/>
    <s v="EJ-MALANG-01"/>
    <x v="0"/>
    <x v="4"/>
    <s v="ZTE1002"/>
    <s v="Pcs"/>
    <n v="1"/>
    <s v="CLR51-99-018"/>
    <x v="18"/>
    <m/>
    <m/>
    <m/>
    <s v="Mail"/>
    <n v="0"/>
    <s v="507180502880002"/>
    <s v="N 8546 ED"/>
    <m/>
    <x v="2"/>
    <s v="Sukodadi RW 02 Wagir"/>
    <e v="#N/A"/>
    <e v="#N/A"/>
    <s v="OUTBOUND_"/>
  </r>
  <r>
    <s v="397"/>
    <m/>
    <x v="1"/>
    <s v="OUB-W0012310-107"/>
    <s v="EJ-Malang-01"/>
    <s v="Oka-0813-2707-1646"/>
    <x v="49"/>
    <d v="1899-12-30T08:19:00"/>
    <s v="EJ-MALANG-01"/>
    <x v="0"/>
    <x v="19"/>
    <s v="ZTE1003"/>
    <s v="Pcs"/>
    <n v="1"/>
    <s v="CLR51-99-017"/>
    <x v="13"/>
    <m/>
    <m/>
    <m/>
    <s v="Mail"/>
    <n v="0"/>
    <s v="507180502880002"/>
    <s v="N 8546 ED"/>
    <m/>
    <x v="2"/>
    <s v="Sukodadi RW 01 Wagir"/>
    <e v="#N/A"/>
    <e v="#N/A"/>
    <s v="OUTBOUND_"/>
  </r>
  <r>
    <s v="398"/>
    <m/>
    <x v="1"/>
    <s v="OUB-W0012310-110"/>
    <s v="EJ-Malang-01"/>
    <s v="Oka-0813-2707-1646"/>
    <x v="50"/>
    <d v="1899-12-30T13:37:00"/>
    <s v="EJ-MALANG-01"/>
    <x v="1"/>
    <x v="10"/>
    <s v="GCI1009"/>
    <s v="Pcs"/>
    <n v="2"/>
    <s v="CLR51-99-006"/>
    <x v="1"/>
    <m/>
    <m/>
    <m/>
    <s v="Mohammad Febbi H"/>
    <n v="0"/>
    <s v="3524052002930003"/>
    <s v="L 9740 NM"/>
    <m/>
    <x v="2"/>
    <s v="Mulyorejo RW 04 Sukun"/>
    <e v="#N/A"/>
    <e v="#N/A"/>
    <s v="OUTBOUND_"/>
  </r>
  <r>
    <s v="399"/>
    <m/>
    <x v="1"/>
    <s v="OUB-W0012310-109"/>
    <s v="EJ-Malang-01"/>
    <s v="Oka-0813-2707-1646"/>
    <x v="50"/>
    <d v="1899-12-30T11:20:00"/>
    <s v="EJ-MALANG-01"/>
    <x v="0"/>
    <x v="2"/>
    <s v="ZTE2008"/>
    <s v="Pcs"/>
    <n v="5"/>
    <s v="CLR51-99-020"/>
    <x v="16"/>
    <m/>
    <m/>
    <m/>
    <s v="Khoiri"/>
    <s v="Khoiri Supplier"/>
    <s v="3507330905820002"/>
    <s v="N 3408 ECP"/>
    <m/>
    <x v="2"/>
    <s v="Jedong RW 08 Wagir"/>
    <e v="#N/A"/>
    <e v="#N/A"/>
    <s v="OUTBOUND_"/>
  </r>
  <r>
    <s v="400"/>
    <m/>
    <x v="1"/>
    <s v="OUB-W0012310-109"/>
    <s v="EJ-Malang-01"/>
    <s v="Oka-0813-2707-1646"/>
    <x v="50"/>
    <d v="1899-12-30T11:20:00"/>
    <s v="EJ-MALANG-01"/>
    <x v="0"/>
    <x v="2"/>
    <s v="ZTE2008"/>
    <s v="Pcs"/>
    <n v="14"/>
    <s v="CLR51-99-021"/>
    <x v="15"/>
    <m/>
    <m/>
    <m/>
    <s v="Khoiri"/>
    <s v="Khoiri Supplier"/>
    <s v="3507330905820002"/>
    <s v="N 3408 ECP"/>
    <m/>
    <x v="2"/>
    <s v="Jedong RW 09 Wagir"/>
    <e v="#N/A"/>
    <e v="#N/A"/>
    <s v="OUTBOUND_"/>
  </r>
  <r>
    <s v="401"/>
    <m/>
    <x v="1"/>
    <s v="OUB-W0012310-109"/>
    <s v="EJ-Malang-01"/>
    <s v="Oka-0813-2707-1646"/>
    <x v="50"/>
    <d v="1899-12-30T11:20:00"/>
    <s v="EJ-MALANG-01"/>
    <x v="0"/>
    <x v="3"/>
    <s v="ZTE2005"/>
    <s v="Pcs"/>
    <n v="1"/>
    <s v="CLR51-99-020"/>
    <x v="16"/>
    <m/>
    <m/>
    <m/>
    <s v="Khoiri"/>
    <s v="Khoiri Supplier"/>
    <s v="3507330905820002"/>
    <s v="N 3408 ECP"/>
    <m/>
    <x v="2"/>
    <s v="Jedong RW 08 Wagir"/>
    <e v="#N/A"/>
    <e v="#N/A"/>
    <s v="OUTBOUND_"/>
  </r>
  <r>
    <s v="402"/>
    <m/>
    <x v="1"/>
    <s v="OUB-W0012310-110"/>
    <s v="EJ-Malang-01"/>
    <s v="Oka-0813-2707-1646"/>
    <x v="50"/>
    <d v="1899-12-30T13:37:00"/>
    <s v="EJ-MALANG-01"/>
    <x v="0"/>
    <x v="19"/>
    <s v="ZTE1003"/>
    <s v="Pcs"/>
    <n v="1"/>
    <s v="CLR51-99-006"/>
    <x v="1"/>
    <m/>
    <m/>
    <m/>
    <s v="Mohammad Febbi H"/>
    <n v="0"/>
    <s v="3524052002930003"/>
    <s v="L 9740 NM"/>
    <s v="PL change 7m to 9m"/>
    <x v="2"/>
    <s v="Mulyorejo RW 04 Sukun"/>
    <e v="#N/A"/>
    <e v="#N/A"/>
    <s v="OUTBOUND_"/>
  </r>
  <r>
    <s v="403"/>
    <m/>
    <x v="1"/>
    <s v="OUB-W0012310-111"/>
    <s v="EJ-Malang-01"/>
    <s v="Oka-0813-2707-1646"/>
    <x v="50"/>
    <d v="1899-12-30T13:50:00"/>
    <s v="EJ-MALANG-01"/>
    <x v="0"/>
    <x v="19"/>
    <s v="ZTE1003"/>
    <s v="Pcs"/>
    <n v="1"/>
    <s v="CLR51-99-020"/>
    <x v="16"/>
    <m/>
    <m/>
    <m/>
    <s v="Khoiri"/>
    <s v="Khoiri Supplier"/>
    <s v="3507330905820002"/>
    <s v="N 8638 ES"/>
    <m/>
    <x v="2"/>
    <s v="Jedong RW 08 Wagir"/>
    <e v="#N/A"/>
    <e v="#N/A"/>
    <s v="OUTBOUND_"/>
  </r>
  <r>
    <s v="404"/>
    <m/>
    <x v="1"/>
    <s v="OUB-W0012310-110"/>
    <s v="EJ-Malang-01"/>
    <s v="Oka-0813-2707-1646"/>
    <x v="50"/>
    <d v="1899-12-30T13:37:00"/>
    <s v="EJ-MALANG-01"/>
    <x v="1"/>
    <x v="14"/>
    <s v="GCI1006"/>
    <s v="Pcs"/>
    <n v="1"/>
    <s v="CLR51-99-006"/>
    <x v="1"/>
    <m/>
    <m/>
    <m/>
    <s v="Mohammad Febbi H"/>
    <n v="0"/>
    <s v="3524052002930003"/>
    <s v="L 9740 NM"/>
    <m/>
    <x v="2"/>
    <s v="Mulyorejo RW 04 Sukun"/>
    <e v="#N/A"/>
    <e v="#N/A"/>
    <s v="OUTBOUND_"/>
  </r>
  <r>
    <s v="405"/>
    <m/>
    <x v="1"/>
    <s v="OUB-W0012310-110"/>
    <s v="EJ-Malang-01"/>
    <s v="Oka-0813-2707-1646"/>
    <x v="50"/>
    <d v="1899-12-30T13:37:00"/>
    <s v="EJ-MALANG-01"/>
    <x v="1"/>
    <x v="16"/>
    <s v="GCI1004"/>
    <s v="Pcs"/>
    <n v="2"/>
    <s v="CLR51-99-006"/>
    <x v="1"/>
    <m/>
    <m/>
    <m/>
    <s v="Mohammad Febbi H"/>
    <n v="0"/>
    <s v="3524052002930003"/>
    <s v="L 9740 NM"/>
    <m/>
    <x v="2"/>
    <s v="Mulyorejo RW 04 Sukun"/>
    <e v="#N/A"/>
    <e v="#N/A"/>
    <s v="OUTBOUND_"/>
  </r>
  <r>
    <s v="406"/>
    <m/>
    <x v="1"/>
    <s v="OUB-W0012310-112"/>
    <s v="EJ-Malang-01"/>
    <s v="Oka-0813-2707-1646"/>
    <x v="51"/>
    <d v="1899-12-30T12:30:00"/>
    <s v="EJ-MALANG-01"/>
    <x v="0"/>
    <x v="1"/>
    <s v="ZTE2003"/>
    <s v="Meter"/>
    <n v="3000"/>
    <s v="CLR51-99-017"/>
    <x v="13"/>
    <m/>
    <m/>
    <m/>
    <s v="Ahmad Subari"/>
    <s v="Mustofa"/>
    <s v="3507150401800010"/>
    <s v="N 9795 EM"/>
    <m/>
    <x v="13"/>
    <s v="Sukodadi RW 01 Wagir"/>
    <e v="#N/A"/>
    <e v="#N/A"/>
    <s v="OUTBOUND_H-ADSS 48C-20231014-01"/>
  </r>
  <r>
    <s v="407"/>
    <m/>
    <x v="0"/>
    <s v="INB-W0012310-113"/>
    <s v="EJ-Malang-01"/>
    <s v="Oka-0813-2707-1646"/>
    <x v="51"/>
    <d v="1900-01-14T07:00:00"/>
    <s v="GCI Procurement"/>
    <x v="1"/>
    <x v="6"/>
    <s v="GCI1011"/>
    <s v="Pcs"/>
    <n v="1"/>
    <s v="PRC"/>
    <x v="8"/>
    <n v="0"/>
    <n v="0"/>
    <m/>
    <m/>
    <m/>
    <m/>
    <m/>
    <s v="Dari UD Cipta karya"/>
    <x v="2"/>
    <s v="Purchase"/>
    <e v="#N/A"/>
    <e v="#N/A"/>
    <s v="OUTBOUND_"/>
  </r>
  <r>
    <s v="408"/>
    <m/>
    <x v="3"/>
    <s v="TFO-W0012310-114"/>
    <s v="EJ-Malang-01"/>
    <s v="Oka-0813-2707-1646"/>
    <x v="52"/>
    <d v="1899-12-30T21:30:00"/>
    <s v="EJ-KEDIRI-01"/>
    <x v="0"/>
    <x v="2"/>
    <s v="ZTE2008"/>
    <s v="Pcs"/>
    <n v="15"/>
    <s v="TRF"/>
    <x v="10"/>
    <m/>
    <m/>
    <m/>
    <s v="Riskomara"/>
    <n v="0"/>
    <n v="0"/>
    <s v="L 1962 QM"/>
    <m/>
    <x v="2"/>
    <s v="Transfer Gudang"/>
    <e v="#N/A"/>
    <e v="#N/A"/>
    <s v="TRANSFER OUT_"/>
  </r>
  <r>
    <s v="409"/>
    <m/>
    <x v="0"/>
    <s v="INB-W0012310-115"/>
    <s v="EJ-Malang-01"/>
    <s v="Oka-0813-2707-1646"/>
    <x v="53"/>
    <d v="1900-01-14T07:00:00"/>
    <s v="GCI Procurement"/>
    <x v="1"/>
    <x v="21"/>
    <s v="GCI1019"/>
    <s v="Pcs"/>
    <n v="200"/>
    <s v="PRC"/>
    <x v="8"/>
    <n v="0"/>
    <n v="0"/>
    <m/>
    <m/>
    <m/>
    <m/>
    <m/>
    <s v="Fahrudin"/>
    <x v="2"/>
    <s v="Purchase"/>
    <e v="#N/A"/>
    <e v="#N/A"/>
    <s v="OUTBOUND_"/>
  </r>
  <r>
    <s v="410"/>
    <m/>
    <x v="1"/>
    <s v="OUB-W0012310-116"/>
    <s v="EJ-Malang-01"/>
    <s v="Oka-0813-2707-1646"/>
    <x v="54"/>
    <d v="1899-12-30T22:30:00"/>
    <s v="EJ-MALANG-01"/>
    <x v="0"/>
    <x v="2"/>
    <s v="ZTE2008"/>
    <s v="Pcs"/>
    <n v="6"/>
    <s v="CLR51-99-019"/>
    <x v="14"/>
    <m/>
    <m/>
    <m/>
    <s v="Mustofa"/>
    <n v="0"/>
    <s v="3209140803860003"/>
    <s v="N 9609 EF"/>
    <m/>
    <x v="2"/>
    <s v="Sidorahayu RW 02 Wagir"/>
    <e v="#N/A"/>
    <e v="#N/A"/>
    <s v="OUTBOUND_"/>
  </r>
  <r>
    <s v="411"/>
    <m/>
    <x v="1"/>
    <s v="OUB-W0012310-116"/>
    <s v="EJ-Malang-01"/>
    <s v="Oka-0813-2707-1646"/>
    <x v="54"/>
    <d v="1899-12-30T22:30:00"/>
    <s v="EJ-MALANG-01"/>
    <x v="0"/>
    <x v="2"/>
    <s v="ZTE2008"/>
    <s v="Pcs"/>
    <n v="8"/>
    <s v="CLR51-99-017"/>
    <x v="13"/>
    <m/>
    <m/>
    <m/>
    <s v="Mustofa"/>
    <n v="0"/>
    <s v="3209140803860003"/>
    <s v="N 9609 EF"/>
    <m/>
    <x v="2"/>
    <s v="Sukodadi RW 01 Wagir"/>
    <e v="#N/A"/>
    <e v="#N/A"/>
    <s v="OUTBOUND_"/>
  </r>
  <r>
    <s v="412"/>
    <m/>
    <x v="1"/>
    <s v="OUB-W0012310-116"/>
    <s v="EJ-Malang-01"/>
    <s v="Oka-0813-2707-1646"/>
    <x v="54"/>
    <d v="1899-12-30T22:30:00"/>
    <s v="EJ-MALANG-01"/>
    <x v="0"/>
    <x v="2"/>
    <s v="ZTE2008"/>
    <s v="Pcs"/>
    <n v="8"/>
    <s v="CLR51-99-018"/>
    <x v="18"/>
    <m/>
    <m/>
    <m/>
    <s v="Mustofa"/>
    <n v="0"/>
    <s v="3209140803860003"/>
    <s v="N 9609 EF"/>
    <m/>
    <x v="2"/>
    <s v="Sukodadi RW 02 Wagir"/>
    <e v="#N/A"/>
    <e v="#N/A"/>
    <s v="OUTBOUND_"/>
  </r>
  <r>
    <s v="413"/>
    <m/>
    <x v="1"/>
    <s v="OUB-W0012310-116"/>
    <s v="EJ-Malang-01"/>
    <s v="Oka-0813-2707-1646"/>
    <x v="54"/>
    <d v="1899-12-30T22:30:00"/>
    <s v="EJ-MALANG-01"/>
    <x v="0"/>
    <x v="3"/>
    <s v="ZTE2005"/>
    <s v="Pcs"/>
    <n v="1"/>
    <s v="CLR51-99-017"/>
    <x v="13"/>
    <m/>
    <m/>
    <m/>
    <s v="Mustofa"/>
    <n v="0"/>
    <s v="3209140803860003"/>
    <s v="N 9609 EF"/>
    <m/>
    <x v="2"/>
    <s v="Sukodadi RW 01 Wagir"/>
    <e v="#N/A"/>
    <e v="#N/A"/>
    <s v="OUTBOUND_"/>
  </r>
  <r>
    <s v="414"/>
    <m/>
    <x v="1"/>
    <s v="OUB-W0012310-116"/>
    <s v="EJ-Malang-01"/>
    <s v="Oka-0813-2707-1646"/>
    <x v="54"/>
    <d v="1899-12-30T22:30:00"/>
    <s v="EJ-MALANG-01"/>
    <x v="0"/>
    <x v="20"/>
    <s v="ZTE1004"/>
    <s v="Pcs"/>
    <n v="1"/>
    <s v="CLR51-99-017"/>
    <x v="13"/>
    <m/>
    <m/>
    <m/>
    <s v="Mustofa"/>
    <n v="0"/>
    <s v="3209140803860003"/>
    <s v="N 9609 EF"/>
    <m/>
    <x v="2"/>
    <s v="Sukodadi RW 01 Wagir"/>
    <e v="#N/A"/>
    <e v="#N/A"/>
    <s v="OUTBOUND_"/>
  </r>
  <r>
    <s v="415"/>
    <m/>
    <x v="1"/>
    <s v="OUB-W0012311-117"/>
    <s v="EJ-Malang-01"/>
    <s v="Oka-0813-2707-1646"/>
    <x v="55"/>
    <d v="1899-12-30T12:06:00"/>
    <s v="EJ-MALANG-01"/>
    <x v="1"/>
    <x v="6"/>
    <s v="GCI1011"/>
    <s v="Pcs"/>
    <n v="0"/>
    <s v="CLR51-99-021"/>
    <x v="15"/>
    <m/>
    <m/>
    <m/>
    <s v="Khoiri"/>
    <n v="0"/>
    <s v="3507330905820002"/>
    <s v="N 8638 ES"/>
    <s v="160m"/>
    <x v="2"/>
    <s v="Jedong RW 09 Wagir"/>
    <e v="#N/A"/>
    <e v="#N/A"/>
    <s v="OUTBOUND_"/>
  </r>
  <r>
    <s v="416"/>
    <m/>
    <x v="0"/>
    <s v="INB-W0012311-118"/>
    <s v="EJ-Malang-01"/>
    <s v="Oka-0813-2707-1646"/>
    <x v="55"/>
    <d v="1900-01-14T07:00:00"/>
    <s v="GCI Procurement"/>
    <x v="1"/>
    <x v="22"/>
    <s v="GCI1018"/>
    <s v="Pcs"/>
    <n v="60"/>
    <n v="0"/>
    <x v="17"/>
    <n v="0"/>
    <n v="0"/>
    <m/>
    <m/>
    <m/>
    <m/>
    <m/>
    <m/>
    <x v="2"/>
    <n v="0"/>
    <e v="#N/A"/>
    <e v="#N/A"/>
    <s v="OUTBOUND_"/>
  </r>
  <r>
    <s v="417"/>
    <m/>
    <x v="0"/>
    <s v="INB-W0012311-118"/>
    <s v="EJ-Malang-01"/>
    <s v="Oka-0813-2707-1646"/>
    <x v="55"/>
    <d v="1900-01-14T07:00:00"/>
    <s v="GCI Procurement"/>
    <x v="1"/>
    <x v="16"/>
    <s v="GCI1004"/>
    <s v="Pcs"/>
    <n v="30"/>
    <n v="0"/>
    <x v="17"/>
    <n v="0"/>
    <n v="0"/>
    <m/>
    <m/>
    <m/>
    <m/>
    <m/>
    <m/>
    <x v="2"/>
    <n v="0"/>
    <e v="#N/A"/>
    <e v="#N/A"/>
    <s v="OUTBOUND_"/>
  </r>
  <r>
    <s v="418"/>
    <m/>
    <x v="0"/>
    <s v="INB-W0012311-119"/>
    <s v="EJ-Malang-01"/>
    <s v="Oka-0813-2707-1646"/>
    <x v="56"/>
    <d v="1900-01-14T07:00:00"/>
    <s v="GCI Procurement"/>
    <x v="1"/>
    <x v="23"/>
    <s v="GCI1015"/>
    <s v="Pcs"/>
    <n v="35"/>
    <s v="PRC"/>
    <x v="8"/>
    <n v="0"/>
    <n v="0"/>
    <m/>
    <m/>
    <m/>
    <m/>
    <m/>
    <s v="UD Halim Jaya "/>
    <x v="2"/>
    <s v="Purchase"/>
    <e v="#N/A"/>
    <e v="#N/A"/>
    <s v="OUTBOUND_"/>
  </r>
  <r>
    <s v="419"/>
    <m/>
    <x v="1"/>
    <s v="OUB-W0012311-120"/>
    <s v="EJ-Malang-01"/>
    <s v="Oka-0813-2707-1646"/>
    <x v="57"/>
    <d v="1899-12-30T18:01:00"/>
    <s v="EJ-MALANG-01"/>
    <x v="1"/>
    <x v="6"/>
    <s v="GCI1011"/>
    <s v="Pcs"/>
    <n v="0"/>
    <s v="CLR51-99-017"/>
    <x v="13"/>
    <m/>
    <m/>
    <m/>
    <s v="Mustofa"/>
    <n v="0"/>
    <n v="0"/>
    <s v="L 9116 CA"/>
    <s v="840m"/>
    <x v="2"/>
    <s v="Sukodadi RW 01 Wagir"/>
    <e v="#N/A"/>
    <e v="#N/A"/>
    <s v="OUTBOUND_"/>
  </r>
  <r>
    <s v="420"/>
    <m/>
    <x v="1"/>
    <s v="OUB-W0012311-120"/>
    <s v="EJ-Malang-01"/>
    <s v="Oka-0813-2707-1646"/>
    <x v="57"/>
    <d v="1899-12-30T18:01:00"/>
    <s v="EJ-MALANG-01"/>
    <x v="1"/>
    <x v="6"/>
    <s v="GCI1011"/>
    <s v="Pcs"/>
    <n v="0"/>
    <s v="CLR51-99-018"/>
    <x v="18"/>
    <m/>
    <m/>
    <m/>
    <s v="Mustofa"/>
    <n v="0"/>
    <n v="0"/>
    <s v="L 9116 CA"/>
    <m/>
    <x v="2"/>
    <s v="Sukodadi RW 02 Wagir"/>
    <e v="#N/A"/>
    <e v="#N/A"/>
    <s v="OUTBOUND_"/>
  </r>
  <r>
    <s v="421"/>
    <m/>
    <x v="0"/>
    <s v="INB-W0012311-121"/>
    <s v="EJ-Malang-01"/>
    <s v="Oka-0813-2707-1646"/>
    <x v="58"/>
    <d v="1900-01-14T07:00:00"/>
    <s v="ZTE Warehouse"/>
    <x v="0"/>
    <x v="0"/>
    <s v="ZTE2001"/>
    <s v="Meter"/>
    <n v="3000"/>
    <s v="CLR51-99-026"/>
    <x v="19"/>
    <s v="DOEID231113AY"/>
    <s v="DNWID0342023111301"/>
    <m/>
    <m/>
    <m/>
    <m/>
    <m/>
    <m/>
    <x v="15"/>
    <s v="Jedong RW 07 Wagir"/>
    <d v="2023-11-15T00:00:00"/>
    <b v="1"/>
    <s v="OUTBOUND_H-ADSS 24C-20231115-01"/>
  </r>
  <r>
    <s v="422"/>
    <m/>
    <x v="0"/>
    <s v="INB-W0012311-121"/>
    <s v="EJ-Malang-01"/>
    <s v="Oka-0813-2707-1646"/>
    <x v="58"/>
    <d v="1900-01-14T07:00:00"/>
    <s v="ZTE Warehouse"/>
    <x v="0"/>
    <x v="1"/>
    <s v="ZTE2003"/>
    <s v="Meter"/>
    <n v="3000"/>
    <s v="CLR51-99-026"/>
    <x v="19"/>
    <s v="DOEID231113AY"/>
    <s v="DNWID0342023111301"/>
    <m/>
    <m/>
    <m/>
    <m/>
    <m/>
    <m/>
    <x v="16"/>
    <s v="Jedong RW 07 Wagir"/>
    <d v="2023-11-15T00:00:00"/>
    <b v="1"/>
    <s v="OUTBOUND_H-ADSS 48C-20231115-01"/>
  </r>
  <r>
    <s v="423"/>
    <m/>
    <x v="0"/>
    <s v="INB-W0012311-121"/>
    <s v="EJ-Malang-01"/>
    <s v="Oka-0813-2707-1646"/>
    <x v="58"/>
    <d v="1900-01-14T07:00:00"/>
    <s v="ZTE Warehouse"/>
    <x v="0"/>
    <x v="3"/>
    <s v="ZTE2005"/>
    <s v="Pcs"/>
    <n v="1"/>
    <s v="CLR51-99-026"/>
    <x v="19"/>
    <s v="DOEID231113AY"/>
    <s v="DNWID0342023111301"/>
    <m/>
    <m/>
    <m/>
    <m/>
    <m/>
    <m/>
    <x v="2"/>
    <s v="Jedong RW 07 Wagir"/>
    <d v="2023-11-15T00:00:00"/>
    <b v="1"/>
    <s v="OUTBOUND_"/>
  </r>
  <r>
    <s v="424"/>
    <m/>
    <x v="0"/>
    <s v="INB-W0012311-121"/>
    <s v="EJ-Malang-01"/>
    <s v="Oka-0813-2707-1646"/>
    <x v="58"/>
    <d v="1900-01-14T07:00:00"/>
    <s v="ZTE Warehouse"/>
    <x v="0"/>
    <x v="4"/>
    <s v="ZTE1002"/>
    <s v="Pcs"/>
    <n v="26"/>
    <s v="CLR51-99-026"/>
    <x v="19"/>
    <s v="DOEID231113AX"/>
    <s v="DNWID0362023111303"/>
    <m/>
    <m/>
    <m/>
    <m/>
    <m/>
    <m/>
    <x v="2"/>
    <s v="Jedong RW 07 Wagir"/>
    <d v="2023-11-15T00:00:00"/>
    <b v="1"/>
    <s v="OUTBOUND_"/>
  </r>
  <r>
    <s v="425"/>
    <m/>
    <x v="0"/>
    <s v="INB-W0012311-121"/>
    <s v="EJ-Malang-01"/>
    <s v="Oka-0813-2707-1646"/>
    <x v="58"/>
    <d v="1900-01-14T07:00:00"/>
    <s v="ZTE Warehouse"/>
    <x v="0"/>
    <x v="5"/>
    <s v="ZTE1001"/>
    <s v="Pcs"/>
    <n v="36"/>
    <s v="CLR51-99-026"/>
    <x v="19"/>
    <s v="DOEID231113AX"/>
    <s v="DNWID0362023111303"/>
    <m/>
    <m/>
    <m/>
    <m/>
    <m/>
    <m/>
    <x v="2"/>
    <s v="Jedong RW 07 Wagir"/>
    <d v="2023-11-15T00:00:00"/>
    <b v="1"/>
    <s v="OUTBOUND_"/>
  </r>
  <r>
    <s v="426"/>
    <m/>
    <x v="2"/>
    <s v="TFI-W0012311-121"/>
    <s v="EJ-Malang-01"/>
    <s v="Oka-0813-2707-1646"/>
    <x v="58"/>
    <d v="1900-01-14T07:00:00"/>
    <s v="ZTE Warehouse"/>
    <x v="0"/>
    <x v="5"/>
    <s v="ZTE1001"/>
    <s v="Pcs"/>
    <n v="6"/>
    <s v="TRF"/>
    <x v="17"/>
    <n v="0"/>
    <s v="TRANSFER GUDANG"/>
    <m/>
    <m/>
    <m/>
    <m/>
    <m/>
    <m/>
    <x v="2"/>
    <n v="0"/>
    <e v="#N/A"/>
    <e v="#N/A"/>
    <s v="OUTBOUND_"/>
  </r>
  <r>
    <s v="427"/>
    <m/>
    <x v="2"/>
    <s v="TFI-W0012311-121"/>
    <s v="EJ-Malang-01"/>
    <s v="Oka-0813-2707-1646"/>
    <x v="58"/>
    <d v="1900-01-14T07:00:00"/>
    <s v="ZTE Warehouse"/>
    <x v="0"/>
    <x v="5"/>
    <s v="ZTE1001"/>
    <s v="Pcs"/>
    <n v="6"/>
    <s v="TRF"/>
    <x v="17"/>
    <n v="0"/>
    <s v="TRANSFER GUDANG"/>
    <m/>
    <m/>
    <m/>
    <m/>
    <m/>
    <m/>
    <x v="2"/>
    <n v="0"/>
    <e v="#N/A"/>
    <e v="#N/A"/>
    <s v="OUTBOUND_"/>
  </r>
  <r>
    <s v="428"/>
    <m/>
    <x v="1"/>
    <s v="OUB-W0012311-122"/>
    <s v="EJ-Malang-01"/>
    <s v="Oka-0813-2707-1646"/>
    <x v="59"/>
    <d v="1899-12-30T14:35:00"/>
    <s v="EJ-MALANG-01"/>
    <x v="1"/>
    <x v="23"/>
    <s v="GCI1015"/>
    <s v="Pcs"/>
    <n v="35"/>
    <s v="CLR51-99-017"/>
    <x v="13"/>
    <m/>
    <m/>
    <m/>
    <s v="Mustofa"/>
    <n v="0"/>
    <s v="3209140803860003"/>
    <s v="N 9609 EF"/>
    <m/>
    <x v="2"/>
    <s v="Sukodadi RW 01 Wagir"/>
    <e v="#N/A"/>
    <e v="#N/A"/>
    <s v="OUTBOUND_"/>
  </r>
  <r>
    <s v="429"/>
    <m/>
    <x v="2"/>
    <s v="TFI-W0012311-123"/>
    <s v="EJ-Malang-01"/>
    <s v="Oka-0813-2707-1646"/>
    <x v="60"/>
    <d v="1900-01-14T07:00:00"/>
    <s v="EJ-JOMBANG-01"/>
    <x v="0"/>
    <x v="19"/>
    <s v="ZTE1003"/>
    <s v="Pcs"/>
    <n v="7"/>
    <s v="TRF"/>
    <x v="20"/>
    <n v="0"/>
    <s v="TRANSFER GUDANG"/>
    <m/>
    <m/>
    <m/>
    <m/>
    <m/>
    <s v="WH JOMBANG ke WH MALANG"/>
    <x v="2"/>
    <s v="JOMBANG"/>
    <e v="#N/A"/>
    <e v="#N/A"/>
    <s v="OUTBOUND_"/>
  </r>
  <r>
    <s v="430"/>
    <m/>
    <x v="1"/>
    <s v="OUB-W0012311-124"/>
    <s v="EJ-Malang-01"/>
    <s v="Oka-0813-2707-1646"/>
    <x v="61"/>
    <d v="1899-12-30T15:14:00"/>
    <s v="EJ-MALANG-01"/>
    <x v="0"/>
    <x v="4"/>
    <s v="ZTE1002"/>
    <s v="Pcs"/>
    <n v="4"/>
    <s v="CLR51-99-026"/>
    <x v="19"/>
    <m/>
    <m/>
    <m/>
    <s v="Mustofa"/>
    <n v="0"/>
    <s v="3209140803860003"/>
    <s v="N 8869 UQ"/>
    <m/>
    <x v="2"/>
    <s v="Jedong RW 07 Wagir"/>
    <e v="#N/A"/>
    <e v="#N/A"/>
    <s v="OUTBOUND_"/>
  </r>
  <r>
    <s v="431"/>
    <m/>
    <x v="1"/>
    <s v="OUB-W0012311-124"/>
    <s v="EJ-Malang-01"/>
    <s v="Oka-0813-2707-1646"/>
    <x v="61"/>
    <d v="1899-12-30T15:14:00"/>
    <s v="EJ-MALANG-01"/>
    <x v="0"/>
    <x v="5"/>
    <s v="ZTE1001"/>
    <s v="Pcs"/>
    <n v="50"/>
    <s v="CLR51-99-026"/>
    <x v="19"/>
    <m/>
    <m/>
    <m/>
    <s v="Mustofa"/>
    <n v="0"/>
    <s v="3209140803860003"/>
    <s v="N 8869 UQ"/>
    <m/>
    <x v="2"/>
    <s v="Jedong RW 07 Wagir"/>
    <e v="#N/A"/>
    <e v="#N/A"/>
    <s v="OUTBOUND_"/>
  </r>
  <r>
    <s v="432"/>
    <m/>
    <x v="1"/>
    <s v="OUB-W0012311-124"/>
    <s v="EJ-Malang-01"/>
    <s v="Oka-0813-2707-1646"/>
    <x v="61"/>
    <d v="1899-12-30T15:14:00"/>
    <s v="EJ-MALANG-01"/>
    <x v="0"/>
    <x v="19"/>
    <s v="ZTE1003"/>
    <s v="Pcs"/>
    <n v="7"/>
    <s v="CLR51-99-013"/>
    <x v="6"/>
    <m/>
    <m/>
    <m/>
    <s v="Mustofa"/>
    <n v="0"/>
    <s v="3209140803860003"/>
    <s v="N 8869 UQ"/>
    <m/>
    <x v="2"/>
    <s v="Pandan Landung RW 03 Wagir"/>
    <e v="#N/A"/>
    <e v="#N/A"/>
    <s v="OUTBOUND_"/>
  </r>
  <r>
    <s v="433"/>
    <m/>
    <x v="1"/>
    <s v="OUB-W0012311-125"/>
    <s v="EJ-Malang-01"/>
    <s v="Oka-0813-2707-1646"/>
    <x v="62"/>
    <d v="1899-12-30T11:00:00"/>
    <s v="EJ-MALANG-01"/>
    <x v="1"/>
    <x v="9"/>
    <s v="GCI1001"/>
    <s v="Pcs"/>
    <n v="1"/>
    <s v="CLR51-99-020"/>
    <x v="16"/>
    <m/>
    <m/>
    <m/>
    <s v="Agus Oka"/>
    <n v="0"/>
    <s v="3503011606970003"/>
    <s v="AG 2455 YBO"/>
    <m/>
    <x v="2"/>
    <s v="Jedong RW 08 Wagir"/>
    <e v="#N/A"/>
    <e v="#N/A"/>
    <s v="OUTBOUND_"/>
  </r>
  <r>
    <s v="434"/>
    <m/>
    <x v="1"/>
    <s v="OUB-W0012311-125"/>
    <s v="EJ-Malang-01"/>
    <s v="Oka-0813-2707-1646"/>
    <x v="62"/>
    <d v="1899-12-30T11:00:00"/>
    <s v="EJ-MALANG-01"/>
    <x v="1"/>
    <x v="10"/>
    <s v="GCI1009"/>
    <s v="Pcs"/>
    <n v="10"/>
    <s v="CLR51-99-020"/>
    <x v="16"/>
    <m/>
    <m/>
    <m/>
    <s v="Agus Oka"/>
    <n v="0"/>
    <s v="3503011606970003"/>
    <s v="AG 2455 YBO"/>
    <m/>
    <x v="2"/>
    <s v="Jedong RW 08 Wagir"/>
    <e v="#N/A"/>
    <e v="#N/A"/>
    <s v="OUTBOUND_"/>
  </r>
  <r>
    <s v="435"/>
    <m/>
    <x v="1"/>
    <s v="OUB-W0012311-129"/>
    <s v="EJ-Malang-01"/>
    <s v="Oka-0813-2707-1646"/>
    <x v="63"/>
    <d v="1899-12-30T09:06:00"/>
    <s v="EJ-MALANG-01"/>
    <x v="0"/>
    <x v="0"/>
    <s v="ZTE2001"/>
    <s v="Meter"/>
    <n v="3000"/>
    <s v="CLR51-99-026"/>
    <x v="19"/>
    <m/>
    <m/>
    <m/>
    <s v="Ahmad Subari"/>
    <s v="Mustofa"/>
    <s v="3507150401800010"/>
    <s v="N 9609 EF"/>
    <m/>
    <x v="15"/>
    <s v="Jedong RW 07 Wagir"/>
    <e v="#N/A"/>
    <e v="#N/A"/>
    <s v="OUTBOUND_H-ADSS 24C-20231115-01"/>
  </r>
  <r>
    <s v="436"/>
    <m/>
    <x v="1"/>
    <s v="OUB-W0012311-127"/>
    <s v="EJ-Malang-01"/>
    <s v="Oka-0813-2707-1646"/>
    <x v="63"/>
    <d v="1899-12-30T09:06:00"/>
    <s v="EJ-MALANG-01"/>
    <x v="0"/>
    <x v="1"/>
    <s v="ZTE2003"/>
    <s v="Meter"/>
    <n v="3000"/>
    <s v="CLR51-99-026"/>
    <x v="19"/>
    <m/>
    <m/>
    <m/>
    <s v="Ahmad Subari"/>
    <s v="Mustofa"/>
    <s v="3507150401800010"/>
    <s v="N 9609 EF"/>
    <m/>
    <x v="16"/>
    <s v="Jedong RW 07 Wagir"/>
    <e v="#N/A"/>
    <e v="#N/A"/>
    <s v="OUTBOUND_H-ADSS 48C-20231115-01"/>
  </r>
  <r>
    <s v="437"/>
    <m/>
    <x v="1"/>
    <s v="OUB-W0012311-126"/>
    <s v="EJ-Malang-01"/>
    <s v="Oka-0813-2707-1646"/>
    <x v="63"/>
    <d v="1899-12-30T07:12:00"/>
    <s v="EJ-MALANG-01"/>
    <x v="1"/>
    <x v="11"/>
    <s v="GCI1002"/>
    <s v="Pcs"/>
    <n v="1"/>
    <s v="CLR51-99-020"/>
    <x v="16"/>
    <m/>
    <m/>
    <m/>
    <s v="Heri Susanto"/>
    <n v="0"/>
    <s v="3506220807870002"/>
    <s v="S 9794 JC"/>
    <m/>
    <x v="2"/>
    <s v="Jedong RW 08 Wagir"/>
    <e v="#N/A"/>
    <e v="#N/A"/>
    <s v="OUTBOUND_"/>
  </r>
  <r>
    <s v="438"/>
    <m/>
    <x v="1"/>
    <s v="OUB-W0012311-126"/>
    <s v="EJ-Malang-01"/>
    <s v="Oka-0813-2707-1646"/>
    <x v="63"/>
    <d v="1899-12-30T07:12:00"/>
    <s v="EJ-MALANG-01"/>
    <x v="0"/>
    <x v="5"/>
    <s v="ZTE1001"/>
    <s v="Pcs"/>
    <n v="1"/>
    <s v="CLR51-99-020"/>
    <x v="16"/>
    <m/>
    <m/>
    <m/>
    <s v="Heri Susanto"/>
    <n v="0"/>
    <s v="3506220807870002"/>
    <s v="S 9794 JC"/>
    <m/>
    <x v="2"/>
    <s v="Jedong RW 08 Wagir"/>
    <e v="#N/A"/>
    <e v="#N/A"/>
    <s v="OUTBOUND_"/>
  </r>
  <r>
    <s v="439"/>
    <m/>
    <x v="1"/>
    <s v="OUB-W0012311-128"/>
    <s v="EJ-Malang-01"/>
    <s v="Oka-0813-2707-1646"/>
    <x v="63"/>
    <d v="1899-12-30T15:14:00"/>
    <s v="EJ-MALANG-01"/>
    <x v="0"/>
    <x v="19"/>
    <s v="ZTE1003"/>
    <s v="Pcs"/>
    <n v="3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40"/>
    <m/>
    <x v="0"/>
    <s v="INB-W0012311-132"/>
    <s v="EJ-Malang-01"/>
    <s v="Oka-0813-2707-1646"/>
    <x v="64"/>
    <d v="1900-01-14T07:00:00"/>
    <s v="GCI Procurement"/>
    <x v="1"/>
    <x v="6"/>
    <s v="GCI1011"/>
    <s v="Pcs"/>
    <n v="1"/>
    <s v="PRC"/>
    <x v="8"/>
    <n v="0"/>
    <n v="0"/>
    <m/>
    <m/>
    <m/>
    <m/>
    <m/>
    <m/>
    <x v="2"/>
    <s v="Purchase"/>
    <e v="#N/A"/>
    <e v="#N/A"/>
    <s v="OUTBOUND_"/>
  </r>
  <r>
    <s v="441"/>
    <m/>
    <x v="0"/>
    <s v="INB-W0012311-132"/>
    <s v="EJ-Malang-01"/>
    <s v="Oka-0813-2707-1646"/>
    <x v="64"/>
    <d v="1900-01-14T07:00:00"/>
    <s v="GCI Procurement"/>
    <x v="1"/>
    <x v="8"/>
    <s v="GCI1005"/>
    <s v="Pcs"/>
    <n v="20"/>
    <s v="PRC"/>
    <x v="8"/>
    <n v="0"/>
    <n v="0"/>
    <m/>
    <m/>
    <m/>
    <m/>
    <m/>
    <m/>
    <x v="2"/>
    <s v="Purchase"/>
    <e v="#N/A"/>
    <e v="#N/A"/>
    <s v="OUTBOUND_"/>
  </r>
  <r>
    <s v="442"/>
    <m/>
    <x v="1"/>
    <s v="OUB-W0012311-130"/>
    <s v="EJ-Malang-01"/>
    <s v="Oka-0813-2707-1646"/>
    <x v="64"/>
    <d v="1899-12-30T07:35:00"/>
    <s v="EJ-MALANG-01"/>
    <x v="1"/>
    <x v="9"/>
    <s v="GCI1001"/>
    <s v="Pcs"/>
    <n v="1"/>
    <s v="CLR51-99-020"/>
    <x v="16"/>
    <m/>
    <m/>
    <m/>
    <s v="Heri Susanto"/>
    <n v="0"/>
    <s v="3506220807870002"/>
    <s v="S 9794 JC"/>
    <m/>
    <x v="2"/>
    <s v="Jedong RW 08 Wagir"/>
    <e v="#N/A"/>
    <e v="#N/A"/>
    <s v="OUTBOUND_"/>
  </r>
  <r>
    <s v="443"/>
    <m/>
    <x v="2"/>
    <s v="TFI-W0012311-132"/>
    <s v="EJ-Malang-01"/>
    <s v="Oka-0813-2707-1646"/>
    <x v="64"/>
    <d v="1900-01-14T07:00:00"/>
    <s v="EJ-JOMBANG-01"/>
    <x v="0"/>
    <x v="2"/>
    <s v="ZTE2008"/>
    <s v="Pcs"/>
    <n v="12"/>
    <s v="TRF"/>
    <x v="20"/>
    <n v="0"/>
    <s v="TRANSFER GUDANG"/>
    <m/>
    <m/>
    <m/>
    <m/>
    <m/>
    <s v="WH JOMBANG ke WH MALANG"/>
    <x v="2"/>
    <s v="JOMBANG"/>
    <e v="#N/A"/>
    <e v="#N/A"/>
    <s v="OUTBOUND_"/>
  </r>
  <r>
    <s v="444"/>
    <m/>
    <x v="0"/>
    <s v="INB-W0012311-132"/>
    <s v="EJ-Malang-01"/>
    <s v="Oka-0813-2707-1646"/>
    <x v="64"/>
    <d v="1900-01-14T07:00:00"/>
    <s v="GCI Procurement"/>
    <x v="1"/>
    <x v="12"/>
    <s v="GCI1008"/>
    <s v="Pcs"/>
    <n v="120"/>
    <s v="PRC"/>
    <x v="8"/>
    <n v="0"/>
    <n v="0"/>
    <m/>
    <m/>
    <m/>
    <m/>
    <m/>
    <m/>
    <x v="2"/>
    <s v="Purchase"/>
    <e v="#N/A"/>
    <e v="#N/A"/>
    <s v="OUTBOUND_"/>
  </r>
  <r>
    <s v="445"/>
    <m/>
    <x v="1"/>
    <s v="OUB-W0012311-131"/>
    <s v="EJ-Malang-01"/>
    <s v="Oka-0813-2707-1646"/>
    <x v="64"/>
    <d v="1899-12-30T13:24:00"/>
    <s v="EJ-MALANG-01"/>
    <x v="1"/>
    <x v="12"/>
    <s v="GCI1008"/>
    <s v="Pcs"/>
    <n v="2"/>
    <s v="CLR51-99-020"/>
    <x v="16"/>
    <m/>
    <m/>
    <m/>
    <s v="Heri Susanto"/>
    <n v="0"/>
    <s v="3506220807870002"/>
    <s v="S 9794 JC"/>
    <m/>
    <x v="2"/>
    <s v="Jedong RW 08 Wagir"/>
    <e v="#N/A"/>
    <e v="#N/A"/>
    <s v="OUTBOUND_"/>
  </r>
  <r>
    <s v="446"/>
    <m/>
    <x v="0"/>
    <s v="INB-W0012311-132"/>
    <s v="EJ-Malang-01"/>
    <s v="Oka-0813-2707-1646"/>
    <x v="64"/>
    <d v="1900-01-14T07:00:00"/>
    <s v="GCI Procurement"/>
    <x v="1"/>
    <x v="15"/>
    <s v="GCI1003"/>
    <s v="Pcs"/>
    <n v="115"/>
    <s v="PRC"/>
    <x v="8"/>
    <n v="0"/>
    <n v="0"/>
    <m/>
    <m/>
    <m/>
    <m/>
    <m/>
    <m/>
    <x v="2"/>
    <s v="Purchase"/>
    <e v="#N/A"/>
    <e v="#N/A"/>
    <s v="OUTBOUND_"/>
  </r>
  <r>
    <s v="447"/>
    <m/>
    <x v="0"/>
    <s v="INB-W0012311-132"/>
    <s v="EJ-Malang-01"/>
    <s v="Oka-0813-2707-1646"/>
    <x v="64"/>
    <d v="1900-01-14T07:00:00"/>
    <s v="GCI Procurement"/>
    <x v="1"/>
    <x v="16"/>
    <s v="GCI1004"/>
    <s v="Pcs"/>
    <n v="50"/>
    <s v="PRC"/>
    <x v="8"/>
    <n v="0"/>
    <n v="0"/>
    <m/>
    <m/>
    <m/>
    <m/>
    <m/>
    <m/>
    <x v="2"/>
    <s v="Purchase"/>
    <e v="#N/A"/>
    <e v="#N/A"/>
    <s v="OUTBOUND_"/>
  </r>
  <r>
    <s v="448"/>
    <m/>
    <x v="1"/>
    <s v="OUB-W0012311-131"/>
    <s v="EJ-Malang-01"/>
    <s v="Oka-0813-2707-1646"/>
    <x v="64"/>
    <d v="1899-12-30T13:24:00"/>
    <s v="EJ-MALANG-01"/>
    <x v="1"/>
    <x v="16"/>
    <s v="GCI1004"/>
    <s v="Pcs"/>
    <n v="7"/>
    <s v="CLR51-99-020"/>
    <x v="16"/>
    <m/>
    <m/>
    <m/>
    <s v="Heri Susanto"/>
    <n v="0"/>
    <s v="3506220807870002"/>
    <s v="S 9794 JC"/>
    <m/>
    <x v="2"/>
    <s v="Jedong RW 08 Wagir"/>
    <e v="#N/A"/>
    <e v="#N/A"/>
    <s v="OUTBOUND_"/>
  </r>
  <r>
    <s v="449"/>
    <m/>
    <x v="4"/>
    <s v="BOI-W0012311-135"/>
    <s v="EJ-Malang-01"/>
    <s v="Oka-0813-2707-1646"/>
    <x v="65"/>
    <d v="1900-01-14T07:00:00"/>
    <s v="Other Subcon"/>
    <x v="0"/>
    <x v="2"/>
    <s v="ZTE2008"/>
    <s v="Pcs"/>
    <n v="15"/>
    <s v="BR005"/>
    <x v="21"/>
    <n v="0"/>
    <s v="TRANSFER GUDANG"/>
    <m/>
    <m/>
    <m/>
    <m/>
    <m/>
    <s v="Pinjam Morasa"/>
    <x v="2"/>
    <s v="MORASHA"/>
    <e v="#N/A"/>
    <e v="#N/A"/>
    <s v="OUTBOUND_"/>
  </r>
  <r>
    <s v="450"/>
    <m/>
    <x v="1"/>
    <s v="OUB-W0012311-134"/>
    <s v="EJ-Malang-01"/>
    <s v="Oka-0813-2707-1646"/>
    <x v="65"/>
    <d v="1899-12-30T22:17:00"/>
    <s v="EJ-MALANG-01"/>
    <x v="0"/>
    <x v="2"/>
    <s v="ZTE2008"/>
    <s v="Pcs"/>
    <n v="7"/>
    <s v="CLR51-99-026"/>
    <x v="19"/>
    <m/>
    <m/>
    <m/>
    <s v="Catur"/>
    <n v="0"/>
    <n v="0"/>
    <s v="L 1153 BAT"/>
    <m/>
    <x v="2"/>
    <s v="Jedong RW 07 Wagir"/>
    <e v="#N/A"/>
    <e v="#N/A"/>
    <s v="OUTBOUND_"/>
  </r>
  <r>
    <s v="451"/>
    <m/>
    <x v="1"/>
    <s v="OUB-W0012311-134"/>
    <s v="EJ-Malang-01"/>
    <s v="Oka-0813-2707-1646"/>
    <x v="65"/>
    <d v="1899-12-30T22:17:00"/>
    <s v="EJ-MALANG-01"/>
    <x v="0"/>
    <x v="2"/>
    <s v="ZTE2008"/>
    <s v="Pcs"/>
    <n v="15"/>
    <s v="CLR51-99-026"/>
    <x v="19"/>
    <m/>
    <m/>
    <m/>
    <s v="Catur"/>
    <n v="0"/>
    <n v="0"/>
    <s v="L 1153 BAT"/>
    <m/>
    <x v="2"/>
    <s v="Jedong RW 07 Wagir"/>
    <e v="#N/A"/>
    <e v="#N/A"/>
    <s v="OUTBOUND_"/>
  </r>
  <r>
    <s v="452"/>
    <m/>
    <x v="3"/>
    <s v="TFO-W0012311-133"/>
    <s v="EJ-Malang-01"/>
    <s v="Oka-0813-2707-1646"/>
    <x v="65"/>
    <d v="1899-12-30T15:21:00"/>
    <s v="EJ-KEDIRI-01"/>
    <x v="0"/>
    <x v="2"/>
    <s v="ZTE2008"/>
    <s v="Pcs"/>
    <n v="5"/>
    <s v="TRF"/>
    <x v="10"/>
    <m/>
    <m/>
    <m/>
    <s v="Munip"/>
    <n v="0"/>
    <s v="3509090107770266"/>
    <s v="L 1962 QM"/>
    <s v="TRANSFER KEDIRI"/>
    <x v="2"/>
    <s v="Transfer Gudang"/>
    <e v="#N/A"/>
    <e v="#N/A"/>
    <s v="TRANSFER OUT_"/>
  </r>
  <r>
    <s v="453"/>
    <m/>
    <x v="0"/>
    <s v="INB-W0012311-135"/>
    <s v="EJ-Malang-01"/>
    <s v="Oka-0813-2707-1646"/>
    <x v="65"/>
    <d v="1900-01-14T07:00:00"/>
    <s v="GCI Procurement"/>
    <x v="1"/>
    <x v="11"/>
    <s v="GCI1002"/>
    <s v="Pcs"/>
    <n v="1"/>
    <s v="CLR51-99-020"/>
    <x v="16"/>
    <n v="0"/>
    <n v="0"/>
    <m/>
    <m/>
    <m/>
    <m/>
    <m/>
    <s v="JEDONG 8"/>
    <x v="2"/>
    <s v="Jedong RW 08 Wagir"/>
    <e v="#N/A"/>
    <e v="#N/A"/>
    <s v="OUTBOUND_"/>
  </r>
  <r>
    <s v="454"/>
    <m/>
    <x v="0"/>
    <s v="INB-W0012311-135"/>
    <s v="EJ-Malang-01"/>
    <s v="Oka-0813-2707-1646"/>
    <x v="65"/>
    <d v="1900-01-14T07:00:00"/>
    <s v="GCI Procurement"/>
    <x v="1"/>
    <x v="12"/>
    <s v="GCI1008"/>
    <s v="Pcs"/>
    <n v="2"/>
    <s v="CLR51-99-020"/>
    <x v="16"/>
    <n v="0"/>
    <n v="0"/>
    <m/>
    <m/>
    <m/>
    <m/>
    <m/>
    <s v="JEDONG 8"/>
    <x v="2"/>
    <s v="Jedong RW 08 Wagir"/>
    <e v="#N/A"/>
    <e v="#N/A"/>
    <s v="OUTBOUND_"/>
  </r>
  <r>
    <s v="455"/>
    <m/>
    <x v="0"/>
    <s v="INB-W0012311-135"/>
    <s v="EJ-Malang-01"/>
    <s v="Oka-0813-2707-1646"/>
    <x v="65"/>
    <d v="1900-01-14T07:00:00"/>
    <s v="GCI Procurement"/>
    <x v="1"/>
    <x v="16"/>
    <s v="GCI1004"/>
    <s v="Pcs"/>
    <n v="4"/>
    <s v="CLR51-99-020"/>
    <x v="16"/>
    <n v="0"/>
    <n v="0"/>
    <m/>
    <m/>
    <m/>
    <m/>
    <m/>
    <s v="JEDONG 8"/>
    <x v="2"/>
    <s v="Jedong RW 08 Wagir"/>
    <e v="#N/A"/>
    <e v="#N/A"/>
    <s v="OUTBOUND_"/>
  </r>
  <r>
    <s v="456"/>
    <m/>
    <x v="0"/>
    <s v="INB-W0012311-137"/>
    <s v="EJ-Malang-01"/>
    <s v="Oka-0813-2707-1646"/>
    <x v="66"/>
    <d v="1900-01-14T07:00:00"/>
    <s v="GCI Procurement"/>
    <x v="1"/>
    <x v="9"/>
    <s v="GCI1001"/>
    <s v="Pcs"/>
    <n v="27"/>
    <s v="PRC"/>
    <x v="8"/>
    <n v="0"/>
    <n v="0"/>
    <m/>
    <m/>
    <m/>
    <m/>
    <m/>
    <m/>
    <x v="2"/>
    <s v="Purchase"/>
    <e v="#N/A"/>
    <e v="#N/A"/>
    <s v="OUTBOUND_"/>
  </r>
  <r>
    <s v="457"/>
    <m/>
    <x v="0"/>
    <s v="INB-W0012311-137"/>
    <s v="EJ-Malang-01"/>
    <s v="Oka-0813-2707-1646"/>
    <x v="66"/>
    <d v="1900-01-14T07:00:00"/>
    <s v="GCI Procurement"/>
    <x v="1"/>
    <x v="10"/>
    <s v="GCI1009"/>
    <s v="Pcs"/>
    <n v="240"/>
    <s v="PRC"/>
    <x v="8"/>
    <n v="0"/>
    <n v="0"/>
    <m/>
    <m/>
    <m/>
    <m/>
    <m/>
    <m/>
    <x v="2"/>
    <s v="Purchase"/>
    <e v="#N/A"/>
    <e v="#N/A"/>
    <s v="OUTBOUND_"/>
  </r>
  <r>
    <s v="458"/>
    <m/>
    <x v="1"/>
    <s v="OUB-W0012311-136"/>
    <s v="EJ-Malang-01"/>
    <s v="Oka-0813-2707-1646"/>
    <x v="66"/>
    <d v="1899-12-30T15:37:00"/>
    <s v="EJ-MALANG-01"/>
    <x v="0"/>
    <x v="3"/>
    <s v="ZTE2005"/>
    <s v="Pcs"/>
    <n v="1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59"/>
    <m/>
    <x v="1"/>
    <s v="OUB-W0012311-136"/>
    <s v="EJ-Malang-01"/>
    <s v="Oka-0813-2707-1646"/>
    <x v="66"/>
    <d v="1899-12-30T15:37:00"/>
    <s v="EJ-MALANG-01"/>
    <x v="1"/>
    <x v="21"/>
    <s v="GCI1019"/>
    <s v="Pcs"/>
    <n v="25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60"/>
    <m/>
    <x v="1"/>
    <s v="OUB-W0012311-136"/>
    <s v="EJ-Malang-01"/>
    <s v="Oka-0813-2707-1646"/>
    <x v="66"/>
    <d v="1899-12-30T15:37:00"/>
    <s v="EJ-MALANG-01"/>
    <x v="1"/>
    <x v="16"/>
    <s v="GCI1004"/>
    <s v="Pcs"/>
    <n v="50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61"/>
    <m/>
    <x v="0"/>
    <s v="INB-W0012312-138"/>
    <s v="EJ-Malang-01"/>
    <s v="Oka-0813-2707-1646"/>
    <x v="67"/>
    <d v="1900-01-14T07:00:00"/>
    <s v="FIELD TEAM"/>
    <x v="1"/>
    <x v="23"/>
    <s v="GCI1015"/>
    <s v="Pcs"/>
    <n v="15"/>
    <s v="CLR51-99-017"/>
    <x v="13"/>
    <n v="0"/>
    <n v="0"/>
    <m/>
    <m/>
    <m/>
    <m/>
    <m/>
    <s v="sisa"/>
    <x v="2"/>
    <s v="Sukodadi RW 01 Wagir"/>
    <e v="#N/A"/>
    <e v="#N/A"/>
    <s v="OUTBOUND_"/>
  </r>
  <r>
    <s v="462"/>
    <m/>
    <x v="0"/>
    <s v="INB-W0012312-138"/>
    <s v="EJ-Malang-01"/>
    <s v="Oka-0813-2707-1646"/>
    <x v="67"/>
    <d v="1900-01-14T07:00:00"/>
    <s v="FIELD TEAM"/>
    <x v="1"/>
    <x v="12"/>
    <s v="GCI1008"/>
    <s v="Pcs"/>
    <n v="51"/>
    <s v="RTN"/>
    <x v="22"/>
    <n v="0"/>
    <n v="0"/>
    <m/>
    <m/>
    <m/>
    <m/>
    <m/>
    <s v="sisa Jedong8"/>
    <x v="2"/>
    <s v="Pengembalian"/>
    <e v="#N/A"/>
    <e v="#N/A"/>
    <s v="OUTBOUND_"/>
  </r>
  <r>
    <s v="463"/>
    <m/>
    <x v="0"/>
    <s v="INB-W0012312-138"/>
    <s v="EJ-Malang-01"/>
    <s v="Oka-0813-2707-1646"/>
    <x v="67"/>
    <d v="1900-01-14T07:00:00"/>
    <s v="FIELD TEAM"/>
    <x v="1"/>
    <x v="16"/>
    <s v="GCI1004"/>
    <s v="Pcs"/>
    <n v="23"/>
    <s v="RTN"/>
    <x v="22"/>
    <n v="0"/>
    <n v="0"/>
    <m/>
    <m/>
    <m/>
    <m/>
    <m/>
    <s v="sisa Jedong8"/>
    <x v="2"/>
    <s v="Pengembalian"/>
    <e v="#N/A"/>
    <e v="#N/A"/>
    <s v="OUTBOUND_"/>
  </r>
  <r>
    <s v="464"/>
    <m/>
    <x v="5"/>
    <s v="BOO-W0012312-141"/>
    <s v="EJ-Malang-01"/>
    <s v="Oka-0813-2707-1646"/>
    <x v="68"/>
    <d v="1900-01-14T07:00:00"/>
    <s v="Other Subcon"/>
    <x v="0"/>
    <x v="2"/>
    <s v="ZTE2008"/>
    <s v="Pcs"/>
    <n v="15"/>
    <s v="BR005"/>
    <x v="21"/>
    <n v="0"/>
    <s v="TRANSFER GUDANG"/>
    <m/>
    <m/>
    <m/>
    <m/>
    <m/>
    <s v="WH GRESIK KE WH MALANG TO MORASHA"/>
    <x v="2"/>
    <s v="MORASHA"/>
    <e v="#N/A"/>
    <e v="#N/A"/>
    <s v="BORROW OUT_"/>
  </r>
  <r>
    <s v="465"/>
    <m/>
    <x v="3"/>
    <s v="TFO-W0012312-140"/>
    <s v="EJ-Malang-01"/>
    <s v="Oka-0813-2707-1646"/>
    <x v="68"/>
    <d v="1899-12-30T17:25:00"/>
    <s v="EJ-JOMBANG-01"/>
    <x v="0"/>
    <x v="2"/>
    <s v="ZTE2008"/>
    <s v="Pcs"/>
    <n v="15"/>
    <s v="TRF"/>
    <x v="10"/>
    <m/>
    <m/>
    <m/>
    <n v="0"/>
    <n v="0"/>
    <n v="0"/>
    <s v="L 1962 QM"/>
    <m/>
    <x v="2"/>
    <s v="Transfer Gudang"/>
    <e v="#N/A"/>
    <e v="#N/A"/>
    <s v="TRANSFER OUT_"/>
  </r>
  <r>
    <s v="466"/>
    <m/>
    <x v="1"/>
    <s v="OUB-W0012312-139"/>
    <s v="EJ-Malang-01"/>
    <s v="Oka-0813-2707-1646"/>
    <x v="68"/>
    <d v="1899-12-30T11:30:00"/>
    <s v="EJ-MALANG-01"/>
    <x v="0"/>
    <x v="5"/>
    <s v="ZTE1001"/>
    <s v="Pcs"/>
    <n v="7"/>
    <s v="CLR51-99-026"/>
    <x v="19"/>
    <m/>
    <m/>
    <m/>
    <s v="Mail"/>
    <n v="0"/>
    <s v="507180502880002"/>
    <s v="N 8546 ED"/>
    <m/>
    <x v="2"/>
    <s v="Jedong RW 07 Wagir"/>
    <e v="#N/A"/>
    <e v="#N/A"/>
    <s v="OUTBOUND_"/>
  </r>
  <r>
    <s v="467"/>
    <m/>
    <x v="1"/>
    <s v="OUB-W0012312-142"/>
    <s v="EJ-Malang-01"/>
    <s v="Oka-0813-2707-1646"/>
    <x v="69"/>
    <d v="1899-12-30T09:36:00"/>
    <s v="EJ-MALANG-01"/>
    <x v="1"/>
    <x v="6"/>
    <s v="GCI1011"/>
    <s v="Pcs"/>
    <n v="1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68"/>
    <m/>
    <x v="1"/>
    <s v="OUB-W0012312-142"/>
    <s v="EJ-Malang-01"/>
    <s v="Oka-0813-2707-1646"/>
    <x v="69"/>
    <d v="1899-12-30T09:36:00"/>
    <s v="EJ-MALANG-01"/>
    <x v="1"/>
    <x v="9"/>
    <s v="GCI1001"/>
    <s v="Pcs"/>
    <n v="4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69"/>
    <m/>
    <x v="1"/>
    <s v="OUB-W0012312-142"/>
    <s v="EJ-Malang-01"/>
    <s v="Oka-0813-2707-1646"/>
    <x v="69"/>
    <d v="1899-12-30T09:36:00"/>
    <s v="EJ-MALANG-01"/>
    <x v="1"/>
    <x v="9"/>
    <s v="GCI1001"/>
    <s v="Pcs"/>
    <n v="18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70"/>
    <m/>
    <x v="1"/>
    <s v="OUB-W0012312-142"/>
    <s v="EJ-Malang-01"/>
    <s v="Oka-0813-2707-1646"/>
    <x v="69"/>
    <d v="1899-12-30T09:36:00"/>
    <s v="EJ-MALANG-01"/>
    <x v="1"/>
    <x v="11"/>
    <s v="GCI1002"/>
    <s v="Pcs"/>
    <n v="1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71"/>
    <m/>
    <x v="1"/>
    <s v="OUB-W0012312-142"/>
    <s v="EJ-Malang-01"/>
    <s v="Oka-0813-2707-1646"/>
    <x v="69"/>
    <d v="1899-12-30T09:36:00"/>
    <s v="EJ-MALANG-01"/>
    <x v="0"/>
    <x v="5"/>
    <s v="ZTE1001"/>
    <s v="Pcs"/>
    <n v="4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72"/>
    <n v="1"/>
    <x v="0"/>
    <s v="INB-W0012212-001"/>
    <s v="EJ-Malang-01"/>
    <s v="Oka-0813-2707-1646"/>
    <x v="69"/>
    <d v="1899-12-30T20:56:42"/>
    <s v="FIELD TEAM"/>
    <x v="0"/>
    <x v="19"/>
    <s v="ZTE1003"/>
    <s v="Pcs"/>
    <n v="3"/>
    <s v="CLR51-99-013"/>
    <x v="12"/>
    <s v="DOEID23091557"/>
    <s v="DNWID0362023091502"/>
    <m/>
    <m/>
    <m/>
    <m/>
    <m/>
    <m/>
    <x v="2"/>
    <s v="Pandanlandung RW 03 Wagir"/>
    <d v="2023-09-16T00:00:00"/>
    <b v="0"/>
    <s v="OUTBOUND_"/>
  </r>
  <r>
    <s v="473"/>
    <m/>
    <x v="1"/>
    <s v="OUB-W0012312-143"/>
    <s v="EJ-Malang-01"/>
    <s v="Oka-0813-2707-1646"/>
    <x v="70"/>
    <d v="1899-12-30T21:30:00"/>
    <s v="EJ-MALANG-01"/>
    <x v="1"/>
    <x v="10"/>
    <s v="GCI1009"/>
    <s v="Pcs"/>
    <n v="46"/>
    <s v="CLR51-99-013"/>
    <x v="6"/>
    <m/>
    <m/>
    <m/>
    <s v="Fatur"/>
    <n v="0"/>
    <s v="1812010507910004"/>
    <s v="L 9221 K"/>
    <m/>
    <x v="2"/>
    <s v="Pandan Landung RW 03 Wagir"/>
    <e v="#N/A"/>
    <e v="#N/A"/>
    <s v="OUTBOUND_"/>
  </r>
  <r>
    <s v="474"/>
    <m/>
    <x v="1"/>
    <s v="OUB-W0012312-143"/>
    <s v="EJ-Malang-01"/>
    <s v="Oka-0813-2707-1646"/>
    <x v="70"/>
    <d v="1899-12-30T21:30:00"/>
    <s v="EJ-MALANG-01"/>
    <x v="0"/>
    <x v="4"/>
    <s v="ZTE1002"/>
    <s v="Pcs"/>
    <n v="1"/>
    <s v="CLR51-99-014"/>
    <x v="3"/>
    <m/>
    <m/>
    <m/>
    <s v="Fatur"/>
    <n v="0"/>
    <s v="1812010507910004"/>
    <s v="L 9221 K"/>
    <m/>
    <x v="2"/>
    <s v="Pandan Landung RW 04 Wagir"/>
    <e v="#N/A"/>
    <e v="#N/A"/>
    <s v="OUTBOUND_"/>
  </r>
  <r>
    <s v="475"/>
    <m/>
    <x v="1"/>
    <s v="OUB-W0012312-143"/>
    <s v="EJ-Malang-01"/>
    <s v="Oka-0813-2707-1646"/>
    <x v="70"/>
    <d v="1899-12-30T21:30:00"/>
    <s v="EJ-MALANG-01"/>
    <x v="0"/>
    <x v="5"/>
    <s v="ZTE1001"/>
    <s v="Pcs"/>
    <n v="2"/>
    <s v="CLR51-99-013"/>
    <x v="6"/>
    <m/>
    <m/>
    <m/>
    <s v="Fatur"/>
    <n v="0"/>
    <s v="1812010507910004"/>
    <s v="L 9221 K"/>
    <m/>
    <x v="2"/>
    <s v="Pandan Landung RW 03 Wagir"/>
    <e v="#N/A"/>
    <e v="#N/A"/>
    <s v="OUTBOUND_"/>
  </r>
  <r>
    <s v="476"/>
    <m/>
    <x v="1"/>
    <s v="OUB-W0012312-143"/>
    <s v="EJ-Malang-01"/>
    <s v="Oka-0813-2707-1646"/>
    <x v="70"/>
    <d v="1899-12-30T21:30:00"/>
    <s v="EJ-MALANG-01"/>
    <x v="1"/>
    <x v="12"/>
    <s v="GCI1008"/>
    <s v="Pcs"/>
    <n v="15"/>
    <s v="CLR51-99-013"/>
    <x v="6"/>
    <m/>
    <m/>
    <m/>
    <s v="Fatur"/>
    <n v="0"/>
    <s v="1812010507910004"/>
    <s v="L 9221 K"/>
    <m/>
    <x v="2"/>
    <s v="Pandan Landung RW 03 Wagir"/>
    <e v="#N/A"/>
    <e v="#N/A"/>
    <s v="OUTBOUND_"/>
  </r>
  <r>
    <s v="477"/>
    <m/>
    <x v="1"/>
    <s v="OUB-W0012312-143"/>
    <s v="EJ-Malang-01"/>
    <s v="Oka-0813-2707-1646"/>
    <x v="70"/>
    <d v="1899-12-30T21:30:00"/>
    <s v="EJ-MALANG-01"/>
    <x v="1"/>
    <x v="22"/>
    <s v="GCI1018"/>
    <s v="Pcs"/>
    <n v="8"/>
    <s v="CLR51-99-013"/>
    <x v="6"/>
    <m/>
    <m/>
    <m/>
    <s v="Fatur"/>
    <n v="0"/>
    <s v="1812010507910004"/>
    <s v="L 9221 K"/>
    <m/>
    <x v="2"/>
    <s v="Pandan Landung RW 03 Wagir"/>
    <e v="#N/A"/>
    <e v="#N/A"/>
    <s v="OUTBOUND_"/>
  </r>
  <r>
    <s v="478"/>
    <m/>
    <x v="1"/>
    <s v="OUB-W0012312-143"/>
    <s v="EJ-Malang-01"/>
    <s v="Oka-0813-2707-1646"/>
    <x v="70"/>
    <d v="1899-12-30T21:30:00"/>
    <s v="EJ-MALANG-01"/>
    <x v="1"/>
    <x v="16"/>
    <s v="GCI1004"/>
    <s v="Pcs"/>
    <n v="5"/>
    <s v="CLR51-99-013"/>
    <x v="6"/>
    <m/>
    <m/>
    <m/>
    <s v="Fatur"/>
    <n v="0"/>
    <s v="1812010507910004"/>
    <s v="L 9221 K"/>
    <m/>
    <x v="2"/>
    <s v="Pandan Landung RW 03 Wagir"/>
    <e v="#N/A"/>
    <e v="#N/A"/>
    <s v="OUTBOUND_"/>
  </r>
  <r>
    <s v="479"/>
    <m/>
    <x v="0"/>
    <s v="INB-W0012312-144"/>
    <s v="EJ-Malang-01"/>
    <s v="Oka-0813-2707-1646"/>
    <x v="71"/>
    <d v="1900-01-14T07:00:00"/>
    <s v="FIELD TEAM"/>
    <x v="0"/>
    <x v="4"/>
    <s v="ZTE1002"/>
    <s v="Pcs"/>
    <n v="1"/>
    <s v="CLR51-99-014"/>
    <x v="3"/>
    <s v="DOEID23091555"/>
    <s v="DNWID0362023091501"/>
    <m/>
    <s v="Ahmad Subari"/>
    <m/>
    <m/>
    <m/>
    <m/>
    <x v="2"/>
    <s v="Pandan Landung RW 04 Wagir"/>
    <d v="2023-09-16T00:00:00"/>
    <b v="0"/>
    <s v="OUTBOUND_"/>
  </r>
  <r>
    <s v="480"/>
    <m/>
    <x v="0"/>
    <s v="INB-W0012312-144"/>
    <s v="EJ-Malang-01"/>
    <s v="Oka-0813-2707-1646"/>
    <x v="71"/>
    <d v="1900-01-14T07:00:00"/>
    <s v="FIELD TEAM"/>
    <x v="0"/>
    <x v="5"/>
    <s v="ZTE1001"/>
    <s v="Pcs"/>
    <n v="4"/>
    <s v="CLR51-99-014"/>
    <x v="3"/>
    <s v="DOEID23091555"/>
    <s v="DNWID0362023091501"/>
    <m/>
    <s v="Ahmad Subari"/>
    <m/>
    <m/>
    <m/>
    <s v="Kembali dari gudang mustofa"/>
    <x v="2"/>
    <s v="Pandan Landung RW 04 Wagir"/>
    <d v="2023-09-16T00:00:00"/>
    <b v="0"/>
    <s v="OUTBOUND_"/>
  </r>
  <r>
    <s v="481"/>
    <m/>
    <x v="0"/>
    <s v="INB-W0012312-144"/>
    <s v="EJ-Malang-01"/>
    <s v="Oka-0813-2707-1646"/>
    <x v="71"/>
    <d v="1900-01-14T07:00:00"/>
    <s v="FIELD TEAM"/>
    <x v="0"/>
    <x v="19"/>
    <s v="ZTE1003"/>
    <s v="Pcs"/>
    <n v="2"/>
    <s v="CLR51-99-014"/>
    <x v="3"/>
    <s v="DOEID23091555"/>
    <s v="DNWID0362023091501"/>
    <m/>
    <m/>
    <m/>
    <m/>
    <m/>
    <s v="kembali dari gudang mustofa"/>
    <x v="2"/>
    <s v="Pandan Landung RW 04 Wagir"/>
    <d v="2023-09-16T00:00:00"/>
    <b v="0"/>
    <s v="OUTBOUND_"/>
  </r>
  <r>
    <s v="482"/>
    <m/>
    <x v="3"/>
    <s v="TFO-W0012312-145"/>
    <s v="EJ-Malang-01"/>
    <s v="Oka-0813-2707-1646"/>
    <x v="72"/>
    <d v="1899-12-30T22:10:00"/>
    <s v="EJ-MADIUN-01"/>
    <x v="1"/>
    <x v="10"/>
    <s v="GCI1009"/>
    <s v="Pcs"/>
    <n v="95"/>
    <s v="TRF"/>
    <x v="10"/>
    <m/>
    <m/>
    <m/>
    <s v="Fatur Rohman"/>
    <n v="0"/>
    <s v="1812010507910004"/>
    <s v="L 9221K"/>
    <s v="WH Malang ke WH Madiun"/>
    <x v="2"/>
    <s v="Transfer Gudang"/>
    <e v="#N/A"/>
    <e v="#N/A"/>
    <s v="TRANSFER OUT_"/>
  </r>
  <r>
    <s v="483"/>
    <m/>
    <x v="3"/>
    <s v="TFO-W0012312-145"/>
    <s v="EJ-Malang-01"/>
    <s v="Oka-0813-2707-1646"/>
    <x v="72"/>
    <d v="1899-12-30T22:10:00"/>
    <s v="EJ-MADIUN-01"/>
    <x v="1"/>
    <x v="12"/>
    <s v="GCI1008"/>
    <s v="Pcs"/>
    <n v="75"/>
    <s v="TRF"/>
    <x v="10"/>
    <m/>
    <m/>
    <m/>
    <s v="Fatur Rohman"/>
    <n v="0"/>
    <s v="1812010507910004"/>
    <s v="L 9221K"/>
    <s v="WH Malang ke WH Madiun"/>
    <x v="2"/>
    <s v="Transfer Gudang"/>
    <e v="#N/A"/>
    <e v="#N/A"/>
    <s v="TRANSFER OUT_"/>
  </r>
  <r>
    <s v="484"/>
    <m/>
    <x v="3"/>
    <s v="TFO-W0012312-145"/>
    <s v="EJ-Malang-01"/>
    <s v="Oka-0813-2707-1646"/>
    <x v="72"/>
    <d v="1899-12-30T22:10:00"/>
    <s v="EJ-MADIUN-01"/>
    <x v="1"/>
    <x v="16"/>
    <s v="GCI1004"/>
    <s v="Pcs"/>
    <n v="100"/>
    <s v="TRF"/>
    <x v="10"/>
    <m/>
    <m/>
    <m/>
    <s v="Fatur Rohman"/>
    <n v="0"/>
    <s v="1812010507910004"/>
    <s v="L 9221K"/>
    <s v="WH Malang ke WH Madiun"/>
    <x v="2"/>
    <s v="Transfer Gudang"/>
    <e v="#N/A"/>
    <e v="#N/A"/>
    <s v="TRANSFER OUT_"/>
  </r>
  <r>
    <s v="485"/>
    <m/>
    <x v="1"/>
    <s v="OUB-W0012312-146"/>
    <s v="EJ-Malang-01"/>
    <s v="Oka-0813-2707-1646"/>
    <x v="73"/>
    <d v="1899-12-30T11:30:00"/>
    <s v="EJ-MALANG-01"/>
    <x v="1"/>
    <x v="9"/>
    <s v="GCI1001"/>
    <s v="Pcs"/>
    <n v="3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86"/>
    <m/>
    <x v="1"/>
    <s v="OUB-W0012312-146"/>
    <s v="EJ-Malang-01"/>
    <s v="Oka-0813-2707-1646"/>
    <x v="73"/>
    <d v="1899-12-30T11:30:00"/>
    <s v="EJ-MALANG-01"/>
    <x v="0"/>
    <x v="4"/>
    <s v="ZTE1002"/>
    <s v="Pcs"/>
    <n v="2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87"/>
    <m/>
    <x v="1"/>
    <s v="OUB-W0012312-146"/>
    <s v="EJ-Malang-01"/>
    <s v="Oka-0813-2707-1646"/>
    <x v="73"/>
    <d v="1899-12-30T11:30:00"/>
    <s v="EJ-MALANG-01"/>
    <x v="0"/>
    <x v="5"/>
    <s v="ZTE1001"/>
    <s v="Pcs"/>
    <n v="1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88"/>
    <m/>
    <x v="1"/>
    <s v="OUB-W0012312-146"/>
    <s v="EJ-Malang-01"/>
    <s v="Oka-0813-2707-1646"/>
    <x v="73"/>
    <d v="1899-12-30T11:30:00"/>
    <s v="EJ-MALANG-01"/>
    <x v="1"/>
    <x v="12"/>
    <s v="GCI1008"/>
    <s v="Pcs"/>
    <n v="50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489"/>
    <m/>
    <x v="1"/>
    <s v="OUB-W0012312-147"/>
    <s v="EJ-Malang-01"/>
    <s v="Oka-0813-2707-1646"/>
    <x v="74"/>
    <d v="1899-12-30T10:35:00"/>
    <s v="EJ-MALANG-01"/>
    <x v="1"/>
    <x v="8"/>
    <s v="GCI1005"/>
    <s v="Pcs"/>
    <n v="20"/>
    <s v="CLR51-99-017"/>
    <x v="13"/>
    <m/>
    <m/>
    <m/>
    <s v="Heri Susanto"/>
    <n v="0"/>
    <s v="3506220807870002"/>
    <s v="S 9794 JC"/>
    <m/>
    <x v="2"/>
    <s v="Sukodadi RW 01 Wagir"/>
    <e v="#N/A"/>
    <e v="#N/A"/>
    <s v="OUTBOUND_"/>
  </r>
  <r>
    <s v="490"/>
    <m/>
    <x v="1"/>
    <s v="OUB-W0012312-147"/>
    <s v="EJ-Malang-01"/>
    <s v="Oka-0813-2707-1646"/>
    <x v="74"/>
    <d v="1899-12-30T10:35:00"/>
    <s v="EJ-MALANG-01"/>
    <x v="1"/>
    <x v="10"/>
    <s v="GCI1009"/>
    <s v="Pcs"/>
    <n v="5"/>
    <s v="CLR51-99-017"/>
    <x v="13"/>
    <m/>
    <m/>
    <m/>
    <s v="Heri Susanto"/>
    <n v="0"/>
    <s v="3506220807870002"/>
    <s v="S 9794 JC"/>
    <m/>
    <x v="2"/>
    <s v="Sukodadi RW 01 Wagir"/>
    <e v="#N/A"/>
    <e v="#N/A"/>
    <s v="OUTBOUND_"/>
  </r>
  <r>
    <s v="491"/>
    <m/>
    <x v="2"/>
    <s v="TFI-W0012312-148"/>
    <s v="EJ-Malang-01"/>
    <s v="Oka-0813-2707-1646"/>
    <x v="74"/>
    <d v="1900-01-14T07:00:00"/>
    <s v="EJ-KEDIRI-01"/>
    <x v="1"/>
    <x v="10"/>
    <s v="GCI1009"/>
    <s v="Pcs"/>
    <n v="188"/>
    <s v="TRF"/>
    <x v="2"/>
    <n v="0"/>
    <n v="0"/>
    <m/>
    <m/>
    <m/>
    <m/>
    <m/>
    <s v="WH KEDIRI KE WH MALANG"/>
    <x v="2"/>
    <s v="KEDIRI"/>
    <e v="#N/A"/>
    <e v="#N/A"/>
    <s v="OUTBOUND_"/>
  </r>
  <r>
    <s v="492"/>
    <m/>
    <x v="1"/>
    <s v="OUB-W0012312-147"/>
    <s v="EJ-Malang-01"/>
    <s v="Oka-0813-2707-1646"/>
    <x v="74"/>
    <d v="1899-12-30T10:35:00"/>
    <s v="EJ-MALANG-01"/>
    <x v="0"/>
    <x v="4"/>
    <s v="ZTE1002"/>
    <s v="Pcs"/>
    <n v="1"/>
    <s v="CLR51-99-014"/>
    <x v="3"/>
    <m/>
    <m/>
    <m/>
    <s v="Heri Susanto"/>
    <n v="0"/>
    <s v="3506220807870002"/>
    <s v="S 9794 JC"/>
    <m/>
    <x v="2"/>
    <s v="Pandan Landung RW 04 Wagir"/>
    <e v="#N/A"/>
    <e v="#N/A"/>
    <s v="OUTBOUND_"/>
  </r>
  <r>
    <s v="493"/>
    <m/>
    <x v="1"/>
    <s v="OUB-W0012312-147"/>
    <s v="EJ-Malang-01"/>
    <s v="Oka-0813-2707-1646"/>
    <x v="74"/>
    <d v="1899-12-30T10:35:00"/>
    <s v="EJ-MALANG-01"/>
    <x v="0"/>
    <x v="4"/>
    <s v="ZTE1002"/>
    <s v="Pcs"/>
    <n v="1"/>
    <s v="CLR51-99-019"/>
    <x v="14"/>
    <m/>
    <m/>
    <m/>
    <s v="Heri Susanto"/>
    <n v="0"/>
    <s v="3506220807870002"/>
    <s v="S 9794 JC"/>
    <m/>
    <x v="2"/>
    <s v="Sidorahayu RW 02 Wagir"/>
    <e v="#N/A"/>
    <e v="#N/A"/>
    <s v="OUTBOUND_"/>
  </r>
  <r>
    <s v="494"/>
    <m/>
    <x v="1"/>
    <s v="OUB-W0012312-147"/>
    <s v="EJ-Malang-01"/>
    <s v="Oka-0813-2707-1646"/>
    <x v="74"/>
    <d v="1899-12-30T10:35:00"/>
    <s v="EJ-MALANG-01"/>
    <x v="0"/>
    <x v="19"/>
    <s v="ZTE1003"/>
    <s v="Pcs"/>
    <n v="1"/>
    <s v="CLR51-99-017"/>
    <x v="13"/>
    <m/>
    <m/>
    <m/>
    <s v="Heri Susanto"/>
    <n v="0"/>
    <s v="3506220807870002"/>
    <s v="S 9794 JC"/>
    <m/>
    <x v="2"/>
    <s v="Sukodadi RW 01 Wagir"/>
    <e v="#N/A"/>
    <e v="#N/A"/>
    <s v="OUTBOUND_"/>
  </r>
  <r>
    <s v="495"/>
    <m/>
    <x v="1"/>
    <s v="OUB-W0012312-147"/>
    <s v="EJ-Malang-01"/>
    <s v="Oka-0813-2707-1646"/>
    <x v="74"/>
    <d v="1899-12-30T10:35:00"/>
    <s v="EJ-MALANG-01"/>
    <x v="1"/>
    <x v="12"/>
    <s v="GCI1008"/>
    <s v="Pcs"/>
    <n v="4"/>
    <s v="CLR51-99-017"/>
    <x v="13"/>
    <m/>
    <m/>
    <m/>
    <s v="Heri Susanto"/>
    <n v="0"/>
    <s v="3506220807870002"/>
    <s v="S 9794 JC"/>
    <m/>
    <x v="2"/>
    <s v="Sukodadi RW 01 Wagir"/>
    <e v="#N/A"/>
    <e v="#N/A"/>
    <s v="OUTBOUND_"/>
  </r>
  <r>
    <s v="496"/>
    <m/>
    <x v="2"/>
    <s v="TFI-W0012312-148"/>
    <s v="EJ-Malang-01"/>
    <s v="Oka-0813-2707-1646"/>
    <x v="74"/>
    <d v="1900-01-14T07:00:00"/>
    <s v="EJ-KEDIRI-01"/>
    <x v="1"/>
    <x v="12"/>
    <s v="GCI1008"/>
    <s v="Pcs"/>
    <n v="46"/>
    <s v="TRF"/>
    <x v="2"/>
    <n v="0"/>
    <n v="0"/>
    <m/>
    <m/>
    <m/>
    <m/>
    <m/>
    <s v="WH KEDIRI KE WH MALANG"/>
    <x v="2"/>
    <s v="KEDIRI"/>
    <e v="#N/A"/>
    <e v="#N/A"/>
    <s v="OUTBOUND_"/>
  </r>
  <r>
    <s v="497"/>
    <m/>
    <x v="1"/>
    <s v="OUB-W0012312-149"/>
    <s v="EJ-Malang-01"/>
    <s v="Oka-0813-2707-1646"/>
    <x v="75"/>
    <d v="1899-12-30T07:51:00"/>
    <s v="EJ-MALANG-01"/>
    <x v="1"/>
    <x v="10"/>
    <s v="GCI1009"/>
    <s v="Pcs"/>
    <n v="20"/>
    <s v="CLR51-99-019"/>
    <x v="14"/>
    <m/>
    <m/>
    <m/>
    <s v="Heri Susanto"/>
    <n v="0"/>
    <s v="3506220807870002"/>
    <s v="S 9794 JC"/>
    <m/>
    <x v="2"/>
    <s v="Sidorahayu RW 02 Wagir"/>
    <e v="#N/A"/>
    <e v="#N/A"/>
    <s v="OUTBOUND_"/>
  </r>
  <r>
    <s v="498"/>
    <m/>
    <x v="1"/>
    <s v="OUB-W0012312-149"/>
    <s v="EJ-Malang-01"/>
    <s v="Oka-0813-2707-1646"/>
    <x v="75"/>
    <d v="1899-12-30T07:51:00"/>
    <s v="EJ-MALANG-01"/>
    <x v="1"/>
    <x v="12"/>
    <s v="GCI1008"/>
    <s v="Pcs"/>
    <n v="15"/>
    <s v="CLR51-99-019"/>
    <x v="14"/>
    <m/>
    <m/>
    <m/>
    <s v="Heri Susanto"/>
    <n v="0"/>
    <s v="3506220807870002"/>
    <s v="S 9794 JC"/>
    <m/>
    <x v="2"/>
    <s v="Sidorahayu RW 02 Wagir"/>
    <e v="#N/A"/>
    <e v="#N/A"/>
    <s v="OUTBOUND_"/>
  </r>
  <r>
    <s v="499"/>
    <m/>
    <x v="0"/>
    <s v="INB-W0012312-150"/>
    <s v="EJ-Malang-01"/>
    <s v="Oka-0813-2707-1646"/>
    <x v="76"/>
    <d v="1900-01-14T07:00:00"/>
    <s v="GCI Procurement"/>
    <x v="1"/>
    <x v="6"/>
    <s v="GCI1011"/>
    <s v="Pcs"/>
    <n v="1"/>
    <s v="RTN"/>
    <x v="22"/>
    <n v="0"/>
    <n v="0"/>
    <m/>
    <m/>
    <m/>
    <m/>
    <m/>
    <s v="Fahrudin sisa +-750m"/>
    <x v="2"/>
    <s v="Pengembalian"/>
    <e v="#N/A"/>
    <e v="#N/A"/>
    <s v="OUTBOUND_"/>
  </r>
  <r>
    <s v="500"/>
    <m/>
    <x v="0"/>
    <s v="INB-W0012312-150"/>
    <s v="EJ-Malang-01"/>
    <s v="Oka-0813-2707-1646"/>
    <x v="76"/>
    <d v="1900-01-14T07:00:00"/>
    <s v="FIELD TEAM"/>
    <x v="1"/>
    <x v="10"/>
    <s v="GCI1009"/>
    <s v="Pcs"/>
    <n v="185"/>
    <s v="RTN"/>
    <x v="22"/>
    <n v="0"/>
    <n v="0"/>
    <m/>
    <m/>
    <m/>
    <m/>
    <m/>
    <s v="Fahrudin sisa"/>
    <x v="2"/>
    <s v="Pengembalian"/>
    <e v="#N/A"/>
    <e v="#N/A"/>
    <s v="OUTBOUND_"/>
  </r>
  <r>
    <s v="501"/>
    <m/>
    <x v="0"/>
    <s v="INB-W0012312-150"/>
    <s v="EJ-Malang-01"/>
    <s v="Oka-0813-2707-1646"/>
    <x v="76"/>
    <d v="1900-01-14T07:00:00"/>
    <s v="GCI Procurement"/>
    <x v="1"/>
    <x v="12"/>
    <s v="GCI1008"/>
    <s v="Pcs"/>
    <n v="41"/>
    <s v="RTN"/>
    <x v="22"/>
    <n v="0"/>
    <n v="0"/>
    <m/>
    <m/>
    <m/>
    <m/>
    <m/>
    <s v="Fahrudin sisa"/>
    <x v="2"/>
    <s v="Pengembalian"/>
    <e v="#N/A"/>
    <e v="#N/A"/>
    <s v="OUTBOUND_"/>
  </r>
  <r>
    <s v="502"/>
    <m/>
    <x v="1"/>
    <s v="OUB-W0012312-151"/>
    <s v="EJ-Malang-01"/>
    <s v="Oka-0813-2707-1646"/>
    <x v="77"/>
    <d v="1899-12-30T13:27:00"/>
    <s v="EJ-MALANG-01"/>
    <x v="1"/>
    <x v="9"/>
    <s v="GCI1001"/>
    <s v="Pcs"/>
    <n v="17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03"/>
    <m/>
    <x v="1"/>
    <s v="OUB-W0012312-151"/>
    <s v="EJ-Malang-01"/>
    <s v="Oka-0813-2707-1646"/>
    <x v="77"/>
    <d v="1899-12-30T13:27:00"/>
    <s v="EJ-MALANG-01"/>
    <x v="1"/>
    <x v="10"/>
    <s v="GCI1009"/>
    <s v="Pcs"/>
    <n v="40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04"/>
    <m/>
    <x v="1"/>
    <s v="OUB-W0012312-151"/>
    <s v="EJ-Malang-01"/>
    <s v="Oka-0813-2707-1646"/>
    <x v="77"/>
    <d v="1899-12-30T13:27:00"/>
    <s v="EJ-MALANG-01"/>
    <x v="1"/>
    <x v="11"/>
    <s v="GCI1002"/>
    <s v="Pcs"/>
    <n v="1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05"/>
    <m/>
    <x v="1"/>
    <s v="OUB-W0012312-151"/>
    <s v="EJ-Malang-01"/>
    <s v="Oka-0813-2707-1646"/>
    <x v="77"/>
    <d v="1899-12-30T13:27:00"/>
    <s v="EJ-MALANG-01"/>
    <x v="1"/>
    <x v="11"/>
    <s v="GCI1002"/>
    <s v="Pcs"/>
    <n v="1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06"/>
    <m/>
    <x v="1"/>
    <s v="OUB-W0012312-151"/>
    <s v="EJ-Malang-01"/>
    <s v="Oka-0813-2707-1646"/>
    <x v="77"/>
    <d v="1899-12-30T13:27:00"/>
    <s v="EJ-MALANG-01"/>
    <x v="0"/>
    <x v="4"/>
    <s v="ZTE1002"/>
    <s v="Pcs"/>
    <n v="5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07"/>
    <m/>
    <x v="1"/>
    <s v="OUB-W0012312-151"/>
    <s v="EJ-Malang-01"/>
    <s v="Oka-0813-2707-1646"/>
    <x v="77"/>
    <d v="1899-12-30T13:27:00"/>
    <s v="EJ-MALANG-01"/>
    <x v="0"/>
    <x v="5"/>
    <s v="ZTE1001"/>
    <s v="Pcs"/>
    <n v="8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08"/>
    <m/>
    <x v="1"/>
    <s v="OUB-W0012312-151"/>
    <s v="EJ-Malang-01"/>
    <s v="Oka-0813-2707-1646"/>
    <x v="77"/>
    <d v="1899-12-30T13:27:00"/>
    <s v="EJ-MALANG-01"/>
    <x v="1"/>
    <x v="12"/>
    <s v="GCI1008"/>
    <s v="Pcs"/>
    <n v="25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09"/>
    <m/>
    <x v="1"/>
    <s v="OUB-W0012312-151"/>
    <s v="EJ-Malang-01"/>
    <s v="Oka-0813-2707-1646"/>
    <x v="77"/>
    <d v="1899-12-30T13:27:00"/>
    <s v="EJ-MALANG-01"/>
    <x v="1"/>
    <x v="15"/>
    <s v="GCI1003"/>
    <s v="Pcs"/>
    <n v="100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10"/>
    <m/>
    <x v="1"/>
    <s v="OUB-W0012312-151"/>
    <s v="EJ-Malang-01"/>
    <s v="Oka-0813-2707-1646"/>
    <x v="77"/>
    <d v="1899-12-30T13:27:00"/>
    <s v="EJ-MALANG-01"/>
    <x v="1"/>
    <x v="16"/>
    <s v="GCI1004"/>
    <s v="Pcs"/>
    <n v="30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11"/>
    <m/>
    <x v="1"/>
    <s v="OUB-W0012312-152"/>
    <s v="EJ-Malang-01"/>
    <s v="Oka-0813-2707-1646"/>
    <x v="78"/>
    <d v="1899-12-30T09:36:00"/>
    <s v="EJ-MALANG-01"/>
    <x v="1"/>
    <x v="6"/>
    <s v="GCI1011"/>
    <s v="Pcs"/>
    <n v="1"/>
    <s v="CLR51-99-026"/>
    <x v="19"/>
    <m/>
    <m/>
    <m/>
    <s v="Ahmad Subari"/>
    <n v="0"/>
    <s v="3507150401800010"/>
    <s v="N 9609 EF"/>
    <m/>
    <x v="2"/>
    <s v="Jedong RW 07 Wagir"/>
    <e v="#N/A"/>
    <e v="#N/A"/>
    <s v="OUTBOUND_"/>
  </r>
  <r>
    <s v="512"/>
    <m/>
    <x v="2"/>
    <s v="TFI-W0012312-155"/>
    <s v="EJ-Malang-01"/>
    <s v="Oka-0813-2707-1646"/>
    <x v="79"/>
    <d v="1900-01-14T07:00:00"/>
    <s v="EJ-KEDIRI-01"/>
    <x v="1"/>
    <x v="8"/>
    <s v="GCI1005"/>
    <s v="Pcs"/>
    <n v="22"/>
    <s v="TRF"/>
    <x v="2"/>
    <n v="0"/>
    <n v="0"/>
    <m/>
    <m/>
    <m/>
    <m/>
    <m/>
    <s v="WH JOMBANG KE WH MALANG"/>
    <x v="2"/>
    <s v="KEDIRI"/>
    <e v="#N/A"/>
    <e v="#N/A"/>
    <s v="OUTBOUND_"/>
  </r>
  <r>
    <s v="513"/>
    <m/>
    <x v="1"/>
    <s v="OUB-W0012312-154"/>
    <s v="EJ-Malang-01"/>
    <s v="Oka-0813-2707-1646"/>
    <x v="79"/>
    <d v="1899-12-30T09:25:00"/>
    <s v="EJ-MALANG-01"/>
    <x v="1"/>
    <x v="10"/>
    <s v="GCI1009"/>
    <s v="Pcs"/>
    <n v="10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14"/>
    <m/>
    <x v="2"/>
    <s v="TFI-W0012312-155"/>
    <s v="EJ-Malang-01"/>
    <s v="Oka-0813-2707-1646"/>
    <x v="79"/>
    <d v="1900-01-14T07:00:00"/>
    <s v="EJ-JOMBANG-01"/>
    <x v="0"/>
    <x v="2"/>
    <s v="ZTE2008"/>
    <s v="Pcs"/>
    <n v="16"/>
    <s v="TRF"/>
    <x v="20"/>
    <n v="0"/>
    <s v="TRANSFER GUDANG"/>
    <m/>
    <m/>
    <m/>
    <m/>
    <m/>
    <s v="WH JOMBANG KE WH MALANG"/>
    <x v="2"/>
    <s v="JOMBANG"/>
    <e v="#N/A"/>
    <e v="#N/A"/>
    <s v="OUTBOUND_"/>
  </r>
  <r>
    <s v="515"/>
    <m/>
    <x v="2"/>
    <s v="TFI-W0012312-155"/>
    <s v="EJ-Malang-01"/>
    <s v="Oka-0813-2707-1646"/>
    <x v="79"/>
    <d v="1900-01-14T07:00:00"/>
    <s v="EJ-JOMBANG-01"/>
    <x v="0"/>
    <x v="3"/>
    <s v="ZTE2005"/>
    <s v="Pcs"/>
    <n v="1"/>
    <s v="TRF"/>
    <x v="20"/>
    <n v="0"/>
    <s v="TRANSFER GUDANG"/>
    <m/>
    <m/>
    <m/>
    <m/>
    <m/>
    <s v="WH JOMBANG KE WH MALANG"/>
    <x v="2"/>
    <s v="JOMBANG"/>
    <e v="#N/A"/>
    <e v="#N/A"/>
    <s v="OUTBOUND_"/>
  </r>
  <r>
    <s v="516"/>
    <m/>
    <x v="2"/>
    <s v="TFI-W0012312-155"/>
    <s v="EJ-Malang-01"/>
    <s v="Oka-0813-2707-1646"/>
    <x v="79"/>
    <d v="1900-01-14T07:00:00"/>
    <s v="EJ-JOMBANG-01"/>
    <x v="0"/>
    <x v="20"/>
    <s v="ZTE1004"/>
    <s v="Pcs"/>
    <n v="1"/>
    <s v="TRF"/>
    <x v="20"/>
    <n v="0"/>
    <s v="TRANSFER GUDANG"/>
    <m/>
    <m/>
    <m/>
    <m/>
    <m/>
    <s v="WH JOMBANG KE WH MALANG"/>
    <x v="2"/>
    <s v="JOMBANG"/>
    <e v="#N/A"/>
    <e v="#N/A"/>
    <s v="OUTBOUND_"/>
  </r>
  <r>
    <s v="517"/>
    <m/>
    <x v="4"/>
    <s v="BOI-W0012312-155"/>
    <s v="EJ-Malang-01"/>
    <s v="Oka-0813-2707-1646"/>
    <x v="79"/>
    <d v="1900-01-14T07:00:00"/>
    <s v="Other Subcon"/>
    <x v="0"/>
    <x v="5"/>
    <s v="ZTE1001"/>
    <s v="Pcs"/>
    <n v="25"/>
    <s v="BR004"/>
    <x v="24"/>
    <n v="0"/>
    <n v="0"/>
    <m/>
    <m/>
    <m/>
    <m/>
    <m/>
    <s v="Borrow From YPTT"/>
    <x v="2"/>
    <s v="YPTT"/>
    <e v="#N/A"/>
    <e v="#N/A"/>
    <s v="OUTBOUND_"/>
  </r>
  <r>
    <s v="518"/>
    <m/>
    <x v="1"/>
    <s v="OUB-W0012312-153"/>
    <s v="EJ-Malang-01"/>
    <s v="Oka-0813-2707-1646"/>
    <x v="79"/>
    <d v="1899-12-30T08:27:00"/>
    <s v="EJ-MALANG-01"/>
    <x v="0"/>
    <x v="5"/>
    <s v="ZTE1001"/>
    <s v="Pcs"/>
    <n v="25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19"/>
    <m/>
    <x v="1"/>
    <s v="OUB-W0012312-154"/>
    <s v="EJ-Malang-01"/>
    <s v="Oka-0813-2707-1646"/>
    <x v="79"/>
    <d v="1899-12-30T09:25:00"/>
    <s v="EJ-MALANG-01"/>
    <x v="1"/>
    <x v="12"/>
    <s v="GCI1008"/>
    <s v="Pcs"/>
    <n v="9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20"/>
    <m/>
    <x v="1"/>
    <s v="OUB-W0012312-154"/>
    <s v="EJ-Malang-01"/>
    <s v="Oka-0813-2707-1646"/>
    <x v="79"/>
    <d v="1899-12-30T09:25:00"/>
    <s v="EJ-MALANG-01"/>
    <x v="1"/>
    <x v="16"/>
    <s v="GCI1004"/>
    <s v="Pcs"/>
    <n v="10"/>
    <s v="CLR32-99-069"/>
    <x v="23"/>
    <m/>
    <m/>
    <m/>
    <s v="Riki Romansyah"/>
    <s v="Febby Supplier"/>
    <s v="3507050501950006"/>
    <s v="N 8420 EL"/>
    <m/>
    <x v="2"/>
    <s v="Sitirejo RW 01 Wagir"/>
    <e v="#N/A"/>
    <e v="#N/A"/>
    <s v="OUTBOUND_"/>
  </r>
  <r>
    <s v="521"/>
    <m/>
    <x v="4"/>
    <s v="BOI-W0012312-156"/>
    <s v="EJ-Malang-01"/>
    <s v="Oka-0813-2707-1646"/>
    <x v="80"/>
    <d v="1900-01-14T07:00:00"/>
    <s v="Other Subcon"/>
    <x v="0"/>
    <x v="0"/>
    <s v="ZTE2001"/>
    <s v="Meter"/>
    <n v="3000"/>
    <s v="BR004"/>
    <x v="24"/>
    <s v="Borrow"/>
    <n v="0"/>
    <m/>
    <s v="Riki Romansyah"/>
    <s v="Febby Supplier"/>
    <s v="3507050501950006"/>
    <s v="N 8420 EL"/>
    <s v="Borrow From YPTT"/>
    <x v="17"/>
    <s v="YPTT"/>
    <e v="#N/A"/>
    <e v="#N/A"/>
    <s v="OUTBOUND_H-ADSS 24C-20231226-01"/>
  </r>
  <r>
    <s v="522"/>
    <m/>
    <x v="1"/>
    <s v="OUB-W0012312-158"/>
    <s v="EJ-Malang-01"/>
    <s v="Oka-0813-2707-1646"/>
    <x v="80"/>
    <d v="1899-12-30T09:25:00"/>
    <s v="EJ-MALANG-01"/>
    <x v="0"/>
    <x v="0"/>
    <s v="ZTE2001"/>
    <s v="Meter"/>
    <n v="3000"/>
    <s v="CLR32-99-069"/>
    <x v="23"/>
    <m/>
    <m/>
    <m/>
    <s v="Riki Romansyah"/>
    <s v="Febby Supplier"/>
    <s v="3507050501950006"/>
    <s v="N 8420 EL"/>
    <s v="use 2300. sisa 700"/>
    <x v="17"/>
    <s v="Sitirejo RW 01 Wagir"/>
    <e v="#N/A"/>
    <e v="#N/A"/>
    <s v="OUTBOUND_H-ADSS 24C-20231226-01"/>
  </r>
  <r>
    <s v="523"/>
    <m/>
    <x v="1"/>
    <s v="OUB-W0012312-157"/>
    <s v="EJ-Malang-01"/>
    <s v="Oka-0813-2707-1646"/>
    <x v="80"/>
    <d v="1899-12-30T09:25:00"/>
    <s v="EJ-MALANG-01"/>
    <x v="1"/>
    <x v="8"/>
    <s v="GCI1005"/>
    <s v="Pcs"/>
    <n v="22"/>
    <s v="CLR32-99-069"/>
    <x v="23"/>
    <m/>
    <m/>
    <m/>
    <s v="Fatur"/>
    <s v="Febby Supplier"/>
    <s v="3515082712870005"/>
    <s v="L 9340 BM"/>
    <m/>
    <x v="2"/>
    <s v="Sitirejo RW 01 Wagir"/>
    <e v="#N/A"/>
    <e v="#N/A"/>
    <s v="OUTBOUND_"/>
  </r>
  <r>
    <s v="524"/>
    <m/>
    <x v="1"/>
    <s v="OUB-W0012312-157"/>
    <s v="EJ-Malang-01"/>
    <s v="Oka-0813-2707-1646"/>
    <x v="80"/>
    <d v="1899-12-30T09:25:00"/>
    <s v="EJ-MALANG-01"/>
    <x v="1"/>
    <x v="10"/>
    <s v="GCI1009"/>
    <s v="Pcs"/>
    <n v="6"/>
    <s v="CLR32-99-069"/>
    <x v="23"/>
    <m/>
    <m/>
    <m/>
    <s v="Fatur"/>
    <s v="Febby Supplier"/>
    <s v="3515082712870005"/>
    <s v="L 9340 BM"/>
    <m/>
    <x v="2"/>
    <s v="Sitirejo RW 01 Wagir"/>
    <e v="#N/A"/>
    <e v="#N/A"/>
    <s v="OUTBOUND_"/>
  </r>
  <r>
    <s v="525"/>
    <m/>
    <x v="1"/>
    <s v="OUB-W0012312-157"/>
    <s v="EJ-Malang-01"/>
    <s v="Oka-0813-2707-1646"/>
    <x v="80"/>
    <d v="1899-12-30T09:25:00"/>
    <s v="EJ-MALANG-01"/>
    <x v="0"/>
    <x v="2"/>
    <s v="ZTE2008"/>
    <s v="Pcs"/>
    <n v="16"/>
    <s v="CLR32-99-069"/>
    <x v="23"/>
    <m/>
    <m/>
    <m/>
    <s v="Fatur"/>
    <s v="Febby Supplier"/>
    <s v="3515082712870005"/>
    <s v="L 9340 BM"/>
    <m/>
    <x v="2"/>
    <s v="Sitirejo RW 01 Wagir"/>
    <e v="#N/A"/>
    <e v="#N/A"/>
    <s v="OUTBOUND_"/>
  </r>
  <r>
    <s v="526"/>
    <m/>
    <x v="1"/>
    <s v="OUB-W0012312-157"/>
    <s v="EJ-Malang-01"/>
    <s v="Oka-0813-2707-1646"/>
    <x v="80"/>
    <d v="1899-12-30T09:25:00"/>
    <s v="EJ-MALANG-01"/>
    <x v="0"/>
    <x v="3"/>
    <s v="ZTE2005"/>
    <s v="Pcs"/>
    <n v="1"/>
    <s v="CLR32-99-069"/>
    <x v="23"/>
    <m/>
    <m/>
    <m/>
    <s v="Fatur"/>
    <s v="Febby Supplier"/>
    <s v="3515082712870005"/>
    <s v="L 9340 BM"/>
    <m/>
    <x v="2"/>
    <s v="Sitirejo RW 01 Wagir"/>
    <e v="#N/A"/>
    <e v="#N/A"/>
    <s v="OUTBOUND_"/>
  </r>
  <r>
    <s v="527"/>
    <m/>
    <x v="1"/>
    <s v="OUB-W0012312-157"/>
    <s v="EJ-Malang-01"/>
    <s v="Oka-0813-2707-1646"/>
    <x v="80"/>
    <d v="1899-12-30T09:25:00"/>
    <s v="EJ-MALANG-01"/>
    <x v="0"/>
    <x v="20"/>
    <s v="ZTE1004"/>
    <s v="Pcs"/>
    <n v="1"/>
    <s v="CLR32-99-069"/>
    <x v="23"/>
    <m/>
    <m/>
    <m/>
    <s v="Fatur"/>
    <s v="Febby Supplier"/>
    <s v="3515082712870005"/>
    <s v="L 9340 BM"/>
    <m/>
    <x v="2"/>
    <s v="Sitirejo RW 01 Wagir"/>
    <e v="#N/A"/>
    <e v="#N/A"/>
    <s v="OUTBOUND_"/>
  </r>
  <r>
    <s v="528"/>
    <m/>
    <x v="5"/>
    <s v="BOO-W0012312-160"/>
    <s v="EJ-Malang-01"/>
    <s v="Oka-0813-2707-1646"/>
    <x v="81"/>
    <d v="1899-12-30T08:00:00"/>
    <s v="Other Subcon"/>
    <x v="0"/>
    <x v="0"/>
    <s v="ZTE2001"/>
    <s v="Meter"/>
    <n v="3000"/>
    <s v="BR004"/>
    <x v="24"/>
    <m/>
    <m/>
    <m/>
    <s v="Wawan Setiawan"/>
    <n v="0"/>
    <n v="0"/>
    <n v="0"/>
    <s v="Return to YPTT"/>
    <x v="18"/>
    <s v="YPTT"/>
    <e v="#N/A"/>
    <e v="#N/A"/>
    <s v="BORROW OUT_H-ADSS 24C-20231227-01"/>
  </r>
  <r>
    <s v="529"/>
    <m/>
    <x v="0"/>
    <s v="INB-W0012312-159"/>
    <s v="EJ-Malang-01"/>
    <s v="Oka-0813-2707-1646"/>
    <x v="81"/>
    <d v="1900-01-14T07:00:00"/>
    <s v="ZTE Warehouse"/>
    <x v="0"/>
    <x v="0"/>
    <s v="ZTE2001"/>
    <s v="Meter"/>
    <n v="3000"/>
    <s v="CLR51-99-038"/>
    <x v="25"/>
    <m/>
    <m/>
    <m/>
    <m/>
    <m/>
    <m/>
    <m/>
    <s v="Diambil Bayu"/>
    <x v="18"/>
    <s v="Baturetno RW 03 Singosari"/>
    <e v="#N/A"/>
    <e v="#N/A"/>
    <s v="OUTBOUND_H-ADSS 24C-20231227-01"/>
  </r>
  <r>
    <s v="530"/>
    <m/>
    <x v="0"/>
    <s v="INB-W0012312-159"/>
    <s v="EJ-Malang-01"/>
    <s v="Oka-0813-2707-1646"/>
    <x v="81"/>
    <d v="1900-01-14T07:00:00"/>
    <s v="ZTE Warehouse"/>
    <x v="0"/>
    <x v="0"/>
    <s v="ZTE2001"/>
    <s v="Meter"/>
    <n v="3000"/>
    <s v="CLR51-99-038"/>
    <x v="25"/>
    <m/>
    <m/>
    <m/>
    <m/>
    <m/>
    <m/>
    <m/>
    <m/>
    <x v="19"/>
    <s v="Baturetno RW 03 Singosari"/>
    <e v="#N/A"/>
    <e v="#N/A"/>
    <s v="OUTBOUND_H-ADSS 24C-20231227-02"/>
  </r>
  <r>
    <s v="531"/>
    <m/>
    <x v="0"/>
    <s v="INB-W0012312-159"/>
    <s v="EJ-Malang-01"/>
    <s v="Oka-0813-2707-1646"/>
    <x v="81"/>
    <d v="1900-01-14T07:00:00"/>
    <s v="ZTE Warehouse"/>
    <x v="0"/>
    <x v="0"/>
    <s v="ZTE2001"/>
    <s v="Meter"/>
    <n v="3000"/>
    <s v="CLR51-99-038"/>
    <x v="25"/>
    <m/>
    <m/>
    <m/>
    <m/>
    <m/>
    <m/>
    <m/>
    <m/>
    <x v="20"/>
    <s v="Baturetno RW 03 Singosari"/>
    <e v="#N/A"/>
    <e v="#N/A"/>
    <s v="OUTBOUND_H-ADSS 24C-20231227-03"/>
  </r>
  <r>
    <s v="532"/>
    <m/>
    <x v="0"/>
    <s v="INB-W0012312-161"/>
    <s v="EJ-Malang-01"/>
    <s v="Oka-0813-2707-1646"/>
    <x v="81"/>
    <d v="1900-01-14T07:00:00"/>
    <s v="ZTE Warehouse"/>
    <x v="0"/>
    <x v="3"/>
    <s v="ZTE2005"/>
    <s v="Pcs"/>
    <n v="3"/>
    <s v="CLR51-01-005"/>
    <x v="26"/>
    <s v="DOEID231223A6"/>
    <s v="DNWID0342023122352"/>
    <m/>
    <m/>
    <m/>
    <m/>
    <m/>
    <s v="Diambil Bayu"/>
    <x v="2"/>
    <s v="Baturetno RW 02 Singosari "/>
    <d v="2023-12-27T00:00:00"/>
    <b v="1"/>
    <s v="OUTBOUND_"/>
  </r>
  <r>
    <s v="533"/>
    <m/>
    <x v="0"/>
    <s v="INB-W0012312-161"/>
    <s v="EJ-Malang-01"/>
    <s v="Oka-0813-2707-1646"/>
    <x v="81"/>
    <d v="1900-01-14T07:00:00"/>
    <s v="ZTE Warehouse"/>
    <x v="0"/>
    <x v="20"/>
    <s v="ZTE1004"/>
    <s v="Pcs"/>
    <n v="2"/>
    <s v="CLR51-01-005"/>
    <x v="26"/>
    <m/>
    <m/>
    <m/>
    <m/>
    <m/>
    <m/>
    <m/>
    <s v="Diambil Bayu"/>
    <x v="2"/>
    <s v="Baturetno RW 02 Singosari "/>
    <e v="#N/A"/>
    <e v="#N/A"/>
    <s v="OUTBOUND_"/>
  </r>
  <r>
    <s v="534"/>
    <m/>
    <x v="0"/>
    <s v="INB-W0012312-161"/>
    <s v="EJ-Malang-01"/>
    <s v="Oka-0813-2707-1646"/>
    <x v="81"/>
    <d v="1900-01-14T07:00:00"/>
    <s v="FIELD TEAM"/>
    <x v="0"/>
    <x v="4"/>
    <s v="ZTE1002"/>
    <s v="Pcs"/>
    <n v="27"/>
    <s v="CLR51-99-014"/>
    <x v="3"/>
    <s v="DOEID23091555"/>
    <s v="DNWID0362023091501"/>
    <m/>
    <m/>
    <m/>
    <m/>
    <m/>
    <s v="Diambil Bayu"/>
    <x v="2"/>
    <s v="Pandan Landung RW 04 Wagir"/>
    <d v="2023-09-16T00:00:00"/>
    <b v="0"/>
    <s v="OUTBOUND_"/>
  </r>
  <r>
    <s v="535"/>
    <m/>
    <x v="5"/>
    <s v="BOO-W0012312-160"/>
    <s v="EJ-Malang-01"/>
    <s v="Oka-0813-2707-1646"/>
    <x v="81"/>
    <d v="1899-12-30T08:00:00"/>
    <s v="Other Subcon"/>
    <x v="0"/>
    <x v="5"/>
    <s v="ZTE1001"/>
    <s v="Pcs"/>
    <n v="25"/>
    <s v="BR004"/>
    <x v="24"/>
    <m/>
    <m/>
    <m/>
    <s v="Wawan Setiawan"/>
    <n v="0"/>
    <n v="0"/>
    <n v="0"/>
    <s v="Return to YPTT"/>
    <x v="2"/>
    <s v="YPTT"/>
    <e v="#N/A"/>
    <e v="#N/A"/>
    <s v="BORROW OUT_"/>
  </r>
  <r>
    <s v="536"/>
    <m/>
    <x v="0"/>
    <s v="INB-W0012312-161"/>
    <s v="EJ-Malang-01"/>
    <s v="Oka-0813-2707-1646"/>
    <x v="81"/>
    <d v="1900-01-14T07:00:00"/>
    <s v="ZTE Warehouse"/>
    <x v="0"/>
    <x v="5"/>
    <s v="ZTE1001"/>
    <s v="Pcs"/>
    <n v="165"/>
    <s v="CLR51-01-005"/>
    <x v="26"/>
    <s v="DOEID231223A5"/>
    <s v="DNWID0362023122307"/>
    <m/>
    <m/>
    <m/>
    <m/>
    <m/>
    <s v="Diambil Bayu"/>
    <x v="2"/>
    <s v="Baturetno RW 02 Singosari "/>
    <d v="2023-12-27T00:00:00"/>
    <b v="1"/>
    <s v="OUTBOUND_"/>
  </r>
  <r>
    <s v="537"/>
    <m/>
    <x v="0"/>
    <s v="INB-W0012312-161"/>
    <s v="EJ-Malang-01"/>
    <s v="Oka-0813-2707-1646"/>
    <x v="81"/>
    <d v="1900-01-14T07:00:00"/>
    <s v="FIELD TEAM"/>
    <x v="0"/>
    <x v="19"/>
    <s v="ZTE1003"/>
    <s v="Pcs"/>
    <n v="2"/>
    <s v="CLR51-99-014"/>
    <x v="3"/>
    <s v="DOEID23091555"/>
    <s v="DNWID0362023091501"/>
    <m/>
    <m/>
    <m/>
    <m/>
    <m/>
    <s v="Diambil Bayu"/>
    <x v="2"/>
    <s v="Pandan Landung RW 04 Wagir"/>
    <d v="2023-09-16T00:00:00"/>
    <b v="0"/>
    <s v="OUTBOUND_"/>
  </r>
  <r>
    <s v="538"/>
    <m/>
    <x v="3"/>
    <s v="TFO-W0012401-163"/>
    <s v="EJ-Malang-01"/>
    <s v="Oka-0813-2707-1646"/>
    <x v="82"/>
    <d v="1899-12-30T21:27:00"/>
    <s v="EJ-KEDIRI-01"/>
    <x v="0"/>
    <x v="0"/>
    <s v="ZTE2001"/>
    <s v="Meter"/>
    <n v="3000"/>
    <s v="TRF"/>
    <x v="27"/>
    <m/>
    <m/>
    <m/>
    <s v="nadiyin"/>
    <n v="0"/>
    <n v="0"/>
    <s v="S 9794 JC"/>
    <s v="WH MALANG KE WH JOMBANG"/>
    <x v="19"/>
    <s v="Transfer Gudang TO KEDIRI"/>
    <e v="#N/A"/>
    <e v="#N/A"/>
    <s v="TRANSFER OUT_H-ADSS 24C-20231227-02"/>
  </r>
  <r>
    <s v="539"/>
    <m/>
    <x v="3"/>
    <s v="TFO-W0012401-163"/>
    <s v="EJ-Malang-01"/>
    <s v="Oka-0813-2707-1646"/>
    <x v="82"/>
    <d v="1899-12-30T21:27:00"/>
    <s v="EJ-KEDIRI-01"/>
    <x v="0"/>
    <x v="0"/>
    <s v="ZTE2001"/>
    <s v="Meter"/>
    <n v="3000"/>
    <s v="TRF"/>
    <x v="27"/>
    <m/>
    <m/>
    <m/>
    <s v="nadiyin"/>
    <n v="0"/>
    <n v="0"/>
    <s v="S 9794 JC"/>
    <s v="WH MALANG KE WH JOMBANG"/>
    <x v="20"/>
    <s v="Transfer Gudang TO KEDIRI"/>
    <e v="#N/A"/>
    <e v="#N/A"/>
    <s v="TRANSFER OUT_H-ADSS 24C-20231227-03"/>
  </r>
  <r>
    <s v="540"/>
    <m/>
    <x v="1"/>
    <s v="OUB-W0012401-162"/>
    <s v="EJ-Malang-01"/>
    <s v="Oka-0813-2707-1646"/>
    <x v="82"/>
    <d v="1899-12-30T13:40:00"/>
    <s v="EJ-MALANG-01"/>
    <x v="0"/>
    <x v="4"/>
    <s v="ZTE1002"/>
    <s v="Pcs"/>
    <n v="3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541"/>
    <m/>
    <x v="1"/>
    <s v="OUB-W0012401-162"/>
    <s v="EJ-Malang-01"/>
    <s v="Oka-0813-2707-1646"/>
    <x v="82"/>
    <d v="1899-12-30T13:40:00"/>
    <s v="EJ-MALANG-01"/>
    <x v="0"/>
    <x v="5"/>
    <s v="ZTE1001"/>
    <s v="Pcs"/>
    <n v="23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542"/>
    <m/>
    <x v="0"/>
    <s v="INB-W0012401-164"/>
    <s v="EJ-Malang-01"/>
    <s v="Oka-0813-2707-1646"/>
    <x v="83"/>
    <d v="1900-01-14T07:00:00"/>
    <s v="GCI Procurement"/>
    <x v="1"/>
    <x v="8"/>
    <s v="GCI1005"/>
    <s v="Pcs"/>
    <n v="140"/>
    <s v="PRC"/>
    <x v="8"/>
    <n v="0"/>
    <n v="0"/>
    <m/>
    <m/>
    <m/>
    <m/>
    <m/>
    <s v="UD Putra Cipta Karya"/>
    <x v="2"/>
    <s v="Purchase"/>
    <e v="#N/A"/>
    <e v="#N/A"/>
    <s v="OUTBOUND_"/>
  </r>
  <r>
    <s v="543"/>
    <m/>
    <x v="0"/>
    <s v="INB-W0012401-164"/>
    <s v="EJ-Malang-01"/>
    <s v="Oka-0813-2707-1646"/>
    <x v="83"/>
    <d v="1900-01-14T07:00:00"/>
    <s v="GCI Procurement"/>
    <x v="1"/>
    <x v="9"/>
    <s v="GCI1001"/>
    <s v="Pcs"/>
    <n v="32"/>
    <s v="PRC"/>
    <x v="8"/>
    <n v="0"/>
    <n v="0"/>
    <m/>
    <m/>
    <m/>
    <m/>
    <m/>
    <s v="UD Putra Cipta Karya"/>
    <x v="2"/>
    <s v="Purchase"/>
    <e v="#N/A"/>
    <e v="#N/A"/>
    <s v="OUTBOUND_"/>
  </r>
  <r>
    <s v="544"/>
    <m/>
    <x v="0"/>
    <s v="INB-W0012401-164"/>
    <s v="EJ-Malang-01"/>
    <s v="Oka-0813-2707-1646"/>
    <x v="83"/>
    <d v="1900-01-14T07:00:00"/>
    <s v="GCI Procurement"/>
    <x v="1"/>
    <x v="11"/>
    <s v="GCI1002"/>
    <s v="Pcs"/>
    <n v="5"/>
    <s v="PRC"/>
    <x v="8"/>
    <n v="0"/>
    <n v="0"/>
    <m/>
    <m/>
    <m/>
    <m/>
    <m/>
    <s v="UD Putra Cipta Karya"/>
    <x v="2"/>
    <s v="Purchase"/>
    <e v="#N/A"/>
    <e v="#N/A"/>
    <s v="OUTBOUND_"/>
  </r>
  <r>
    <s v="545"/>
    <m/>
    <x v="0"/>
    <s v="INB-W0012401-164"/>
    <s v="EJ-Malang-01"/>
    <s v="Oka-0813-2707-1646"/>
    <x v="83"/>
    <d v="1900-01-14T07:00:00"/>
    <s v="GCI Procurement"/>
    <x v="1"/>
    <x v="12"/>
    <s v="GCI1008"/>
    <s v="Pcs"/>
    <n v="170"/>
    <s v="PRC"/>
    <x v="8"/>
    <n v="0"/>
    <n v="0"/>
    <m/>
    <m/>
    <m/>
    <m/>
    <m/>
    <s v="UD Putra Cipta Karya"/>
    <x v="2"/>
    <s v="Purchase"/>
    <e v="#N/A"/>
    <e v="#N/A"/>
    <s v="OUTBOUND_"/>
  </r>
  <r>
    <s v="546"/>
    <m/>
    <x v="0"/>
    <s v="INB-W0012401-164"/>
    <s v="EJ-Malang-01"/>
    <s v="Oka-0813-2707-1646"/>
    <x v="83"/>
    <d v="1900-01-14T07:00:00"/>
    <s v="GCI Procurement"/>
    <x v="1"/>
    <x v="15"/>
    <s v="GCI1003"/>
    <s v="Pcs"/>
    <n v="244"/>
    <s v="PRC"/>
    <x v="8"/>
    <n v="0"/>
    <n v="0"/>
    <m/>
    <m/>
    <m/>
    <m/>
    <m/>
    <s v="UD Putra Cipta Karya"/>
    <x v="2"/>
    <s v="Purchase"/>
    <e v="#N/A"/>
    <e v="#N/A"/>
    <s v="OUTBOUND_"/>
  </r>
  <r>
    <s v="547"/>
    <m/>
    <x v="0"/>
    <s v="INB-W0012401-164"/>
    <s v="EJ-Malang-01"/>
    <s v="Oka-0813-2707-1646"/>
    <x v="83"/>
    <d v="1900-01-14T07:00:00"/>
    <s v="GCI Procurement"/>
    <x v="1"/>
    <x v="16"/>
    <s v="GCI1004"/>
    <s v="Pcs"/>
    <n v="66"/>
    <s v="PRC"/>
    <x v="8"/>
    <n v="0"/>
    <n v="0"/>
    <m/>
    <m/>
    <m/>
    <m/>
    <m/>
    <s v="UD Putra Cipta Karya"/>
    <x v="2"/>
    <s v="Purchase"/>
    <e v="#N/A"/>
    <e v="#N/A"/>
    <s v="OUTBOUND_"/>
  </r>
  <r>
    <s v="548"/>
    <m/>
    <x v="1"/>
    <s v="OUB-W0012401-165"/>
    <s v="EJ-Malang-01"/>
    <s v="Oka-0813-2707-1646"/>
    <x v="84"/>
    <d v="1899-12-30T15:24:00"/>
    <s v="EJ-MALANG-01"/>
    <x v="0"/>
    <x v="5"/>
    <s v="ZTE1001"/>
    <s v="Pcs"/>
    <n v="26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549"/>
    <m/>
    <x v="1"/>
    <s v="OUB-W0012401-166"/>
    <s v="EJ-Malang-01"/>
    <s v="Oka-0813-2707-1646"/>
    <x v="85"/>
    <d v="1899-12-30T08:54:00"/>
    <s v="EJ-MALANG-01"/>
    <x v="0"/>
    <x v="5"/>
    <s v="ZTE1001"/>
    <s v="Pcs"/>
    <n v="26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550"/>
    <m/>
    <x v="0"/>
    <s v="INB-W0012401-168"/>
    <s v="EJ-Malang-01"/>
    <s v="Oka-0813-2707-1646"/>
    <x v="86"/>
    <d v="1900-01-14T07:00:00"/>
    <s v="FIELD TEAM"/>
    <x v="0"/>
    <x v="5"/>
    <s v="ZTE1001"/>
    <s v="Pcs"/>
    <n v="7"/>
    <m/>
    <x v="28"/>
    <n v="0"/>
    <s v="TRANSFER GUDANG"/>
    <m/>
    <m/>
    <m/>
    <m/>
    <m/>
    <s v="Riki Romansyah Sisa"/>
    <x v="2"/>
    <n v="0"/>
    <e v="#N/A"/>
    <e v="#N/A"/>
    <s v="OUTBOUND_"/>
  </r>
  <r>
    <s v="551"/>
    <m/>
    <x v="1"/>
    <s v="OUB-W0012401-167"/>
    <s v="EJ-Malang-01"/>
    <s v="Oka-0813-2707-1646"/>
    <x v="86"/>
    <d v="1899-12-30T08:12:00"/>
    <s v="EJ-MALANG-01"/>
    <x v="0"/>
    <x v="5"/>
    <s v="ZTE1001"/>
    <s v="Pcs"/>
    <n v="24"/>
    <s v="CLR51-99-038"/>
    <x v="25"/>
    <m/>
    <m/>
    <m/>
    <s v="Riki Romansyah"/>
    <s v="Febby Supplier"/>
    <s v="3507050501950006"/>
    <s v="N 8420 EL"/>
    <s v="dr khoiri"/>
    <x v="2"/>
    <s v="Baturetno RW 03 Singosari"/>
    <e v="#N/A"/>
    <e v="#N/A"/>
    <s v="OUTBOUND_"/>
  </r>
  <r>
    <s v="552"/>
    <m/>
    <x v="3"/>
    <s v="TFO-W0012401-169"/>
    <s v="EJ-Malang-01"/>
    <s v="Oka-0813-2707-1646"/>
    <x v="87"/>
    <d v="1899-12-30T18:08:00"/>
    <s v="EJ-JOMBANG-01"/>
    <x v="0"/>
    <x v="3"/>
    <s v="ZTE2005"/>
    <s v="Pcs"/>
    <n v="1"/>
    <s v="TRF"/>
    <x v="10"/>
    <m/>
    <m/>
    <m/>
    <s v="Yanuar"/>
    <n v="0"/>
    <n v="0"/>
    <s v="L 1962 QM"/>
    <s v="WH MALANG KE WH JOMBANG"/>
    <x v="2"/>
    <s v="Transfer Gudang"/>
    <e v="#N/A"/>
    <e v="#N/A"/>
    <s v="TRANSFER OUT_"/>
  </r>
  <r>
    <s v="553"/>
    <m/>
    <x v="1"/>
    <s v="OUB-W0012401-170"/>
    <s v="EJ-Malang-01"/>
    <s v="Oka-0813-2707-1646"/>
    <x v="88"/>
    <d v="1899-12-30T09:00:00"/>
    <s v="EJ-MALANG-01"/>
    <x v="0"/>
    <x v="5"/>
    <s v="ZTE1001"/>
    <s v="Pcs"/>
    <n v="25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554"/>
    <m/>
    <x v="1"/>
    <s v="OUB-W0012401-171"/>
    <s v="EJ-Malang-01"/>
    <s v="Oka-0813-2707-1646"/>
    <x v="89"/>
    <d v="1899-12-30T09:00:00"/>
    <s v="EJ-MALANG-01"/>
    <x v="0"/>
    <x v="4"/>
    <s v="ZTE1002"/>
    <s v="Pcs"/>
    <n v="1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555"/>
    <m/>
    <x v="1"/>
    <s v="OUB-W0012401-171"/>
    <s v="EJ-Malang-01"/>
    <s v="Oka-0813-2707-1646"/>
    <x v="89"/>
    <d v="1899-12-30T09:00:00"/>
    <s v="EJ-MALANG-01"/>
    <x v="0"/>
    <x v="5"/>
    <s v="ZTE1001"/>
    <s v="Pcs"/>
    <n v="24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556"/>
    <m/>
    <x v="0"/>
    <s v="INB-W0012401-172"/>
    <s v="EJ-Malang-01"/>
    <s v="Oka-0813-2707-1646"/>
    <x v="90"/>
    <d v="1900-01-14T07:00:00"/>
    <s v="ZTE Warehouse"/>
    <x v="0"/>
    <x v="0"/>
    <s v="ZTE2001"/>
    <s v="Meter"/>
    <n v="3000"/>
    <s v="CLR29-99-153"/>
    <x v="29"/>
    <s v="DOEID24011540"/>
    <s v="DNWID0342024011501"/>
    <m/>
    <m/>
    <m/>
    <m/>
    <m/>
    <s v="Diambil Bayu"/>
    <x v="21"/>
    <s v="Perumahan Pondok Mutiara Malang"/>
    <d v="2024-01-16T00:00:00"/>
    <b v="1"/>
    <s v="OUTBOUND_H-ADSS 24C-2024116-01"/>
  </r>
  <r>
    <s v="557"/>
    <m/>
    <x v="0"/>
    <s v="INB-W0012401-172"/>
    <s v="EJ-Malang-01"/>
    <s v="Oka-0813-2707-1646"/>
    <x v="90"/>
    <d v="1900-01-14T07:00:00"/>
    <s v="ZTE Warehouse"/>
    <x v="0"/>
    <x v="0"/>
    <s v="ZTE2001"/>
    <s v="Meter"/>
    <n v="3000"/>
    <s v="CLR29-99-153"/>
    <x v="29"/>
    <s v="DOEID24011540"/>
    <s v="DNWID0342024011501"/>
    <m/>
    <m/>
    <m/>
    <m/>
    <m/>
    <s v="Diambil Bayu"/>
    <x v="22"/>
    <s v="Perumahan Pondok Mutiara Malang"/>
    <d v="2024-01-16T00:00:00"/>
    <b v="1"/>
    <s v="OUTBOUND_H-ADSS 24C-2024116-02"/>
  </r>
  <r>
    <s v="558"/>
    <m/>
    <x v="0"/>
    <s v="INB-W0012401-172"/>
    <s v="EJ-Malang-01"/>
    <s v="Oka-0813-2707-1646"/>
    <x v="90"/>
    <d v="1900-01-14T07:00:00"/>
    <s v="ZTE Warehouse"/>
    <x v="0"/>
    <x v="1"/>
    <s v="ZTE2003"/>
    <s v="Meter"/>
    <n v="3000"/>
    <s v="CLR29-99-153"/>
    <x v="29"/>
    <s v="DOEID24011540"/>
    <s v="DNWID0342024011501"/>
    <m/>
    <m/>
    <m/>
    <m/>
    <m/>
    <s v="Diambil Bayu"/>
    <x v="23"/>
    <s v="Perumahan Pondok Mutiara Malang"/>
    <d v="2024-01-16T00:00:00"/>
    <b v="1"/>
    <s v="OUTBOUND_H-ADSS 48C-2024116-01"/>
  </r>
  <r>
    <s v="559"/>
    <m/>
    <x v="0"/>
    <s v="INB-W0012401-172"/>
    <s v="EJ-Malang-01"/>
    <s v="Oka-0813-2707-1646"/>
    <x v="90"/>
    <d v="1900-01-14T07:00:00"/>
    <s v="ZTE Warehouse"/>
    <x v="0"/>
    <x v="1"/>
    <s v="ZTE2003"/>
    <s v="Meter"/>
    <n v="3000"/>
    <s v="CLR51-99-066"/>
    <x v="30"/>
    <s v="DOEID24011542"/>
    <s v="DNWID0342024011502"/>
    <m/>
    <m/>
    <m/>
    <m/>
    <m/>
    <m/>
    <x v="24"/>
    <s v="TAMANHARJO RW 04 SINGOSARI"/>
    <d v="2024-01-16T00:00:00"/>
    <b v="1"/>
    <s v="OUTBOUND_H-ADSS 48C-2024116-02"/>
  </r>
  <r>
    <s v="560"/>
    <m/>
    <x v="0"/>
    <s v="INB-W0012401-172"/>
    <s v="EJ-Malang-01"/>
    <s v="Oka-0813-2707-1646"/>
    <x v="90"/>
    <d v="1900-01-14T07:00:00"/>
    <s v="ZTE Warehouse"/>
    <x v="0"/>
    <x v="24"/>
    <s v="ZTE2013"/>
    <s v="Meter"/>
    <n v="3000"/>
    <s v="MF51-01"/>
    <x v="31"/>
    <s v="DOEID24011537"/>
    <s v="DNWID0342024011503"/>
    <m/>
    <m/>
    <m/>
    <m/>
    <m/>
    <s v="Diambil Bayu"/>
    <x v="25"/>
    <s v="HUBFEEDER BATURETNO RW 02"/>
    <d v="2024-01-16T00:00:00"/>
    <b v="1"/>
    <s v="OUTBOUND_H-ADSS 96C-2024116-01"/>
  </r>
  <r>
    <s v="561"/>
    <m/>
    <x v="0"/>
    <s v="INB-W0012401-172"/>
    <s v="EJ-Malang-01"/>
    <s v="Oka-0813-2707-1646"/>
    <x v="90"/>
    <d v="1900-01-14T07:00:00"/>
    <s v="ZTE Warehouse"/>
    <x v="0"/>
    <x v="24"/>
    <s v="ZTE2013"/>
    <s v="Meter"/>
    <n v="3000"/>
    <s v="MF51-01"/>
    <x v="31"/>
    <s v="DOEID24011537"/>
    <s v="DNWID0342024011503"/>
    <m/>
    <m/>
    <m/>
    <m/>
    <m/>
    <m/>
    <x v="26"/>
    <s v="HUBFEEDER BATURETNO RW 02"/>
    <d v="2024-01-16T00:00:00"/>
    <b v="1"/>
    <s v="OUTBOUND_H-ADSS 96C-2024116-02"/>
  </r>
  <r>
    <s v="562"/>
    <m/>
    <x v="0"/>
    <s v="INB-W0012401-176"/>
    <s v="EJ-Malang-01"/>
    <s v="Oka-0813-2707-1646"/>
    <x v="90"/>
    <d v="1900-01-14T07:00:00"/>
    <s v="GCI Procurement"/>
    <x v="1"/>
    <x v="6"/>
    <s v="GCI1011"/>
    <s v="Pcs"/>
    <n v="1"/>
    <s v="PRC"/>
    <x v="8"/>
    <n v="0"/>
    <n v="0"/>
    <m/>
    <m/>
    <m/>
    <m/>
    <m/>
    <s v="Lulus Supplier"/>
    <x v="2"/>
    <s v="Purchase"/>
    <e v="#N/A"/>
    <e v="#N/A"/>
    <s v="OUTBOUND_"/>
  </r>
  <r>
    <s v="563"/>
    <m/>
    <x v="1"/>
    <s v="OUB-W0012401-175"/>
    <s v="EJ-Malang-01"/>
    <s v="Oka-0813-2707-1646"/>
    <x v="90"/>
    <d v="1899-12-30T09:25:00"/>
    <s v="EJ-MALANG-01"/>
    <x v="1"/>
    <x v="8"/>
    <s v="GCI1005"/>
    <s v="Pcs"/>
    <n v="30"/>
    <s v="CLR32-99-069"/>
    <x v="23"/>
    <m/>
    <m/>
    <m/>
    <s v="Fahrudin"/>
    <s v="Febby Supplier"/>
    <s v="3507131605830004"/>
    <s v="N 1383 G"/>
    <m/>
    <x v="2"/>
    <s v="Sitirejo RW 01 Wagir"/>
    <e v="#N/A"/>
    <e v="#N/A"/>
    <s v="OUTBOUND_"/>
  </r>
  <r>
    <s v="564"/>
    <m/>
    <x v="0"/>
    <s v="INB-W0012401-176"/>
    <s v="EJ-Malang-01"/>
    <s v="Oka-0813-2707-1646"/>
    <x v="90"/>
    <d v="1900-01-14T07:00:00"/>
    <s v="ZTE Warehouse"/>
    <x v="0"/>
    <x v="2"/>
    <s v="ZTE2008"/>
    <s v="Pcs"/>
    <n v="24"/>
    <s v="CLR51-99-038"/>
    <x v="25"/>
    <s v="DOEID24010322"/>
    <s v="DNWID0342024010303"/>
    <m/>
    <m/>
    <m/>
    <m/>
    <m/>
    <s v="Diambil Bayu"/>
    <x v="2"/>
    <s v="Baturetno RW 03 Singosari"/>
    <d v="2024-01-16T00:00:00"/>
    <b v="1"/>
    <s v="OUTBOUND_"/>
  </r>
  <r>
    <s v="565"/>
    <m/>
    <x v="0"/>
    <s v="INB-W0012401-176"/>
    <s v="EJ-Malang-01"/>
    <s v="Oka-0813-2707-1646"/>
    <x v="90"/>
    <d v="1900-01-14T07:00:00"/>
    <s v="ZTE Warehouse"/>
    <x v="0"/>
    <x v="2"/>
    <s v="ZTE2008"/>
    <s v="Pcs"/>
    <n v="65"/>
    <s v="CLR29-99-153"/>
    <x v="29"/>
    <s v="DOEID24011540"/>
    <s v="DNWID0342024011501"/>
    <m/>
    <m/>
    <m/>
    <m/>
    <m/>
    <s v="Diambil Bayu"/>
    <x v="2"/>
    <s v="Perumahan Pondok Mutiara Malang"/>
    <d v="2024-01-16T00:00:00"/>
    <b v="1"/>
    <s v="OUTBOUND_"/>
  </r>
  <r>
    <s v="566"/>
    <m/>
    <x v="2"/>
    <s v="TFI-W0012401-176"/>
    <s v="EJ-Malang-01"/>
    <s v="Oka-0813-2707-1646"/>
    <x v="90"/>
    <d v="1900-01-14T07:00:00"/>
    <s v="ZTE Warehouse"/>
    <x v="0"/>
    <x v="2"/>
    <s v="ZTE2008"/>
    <s v="Pcs"/>
    <n v="17"/>
    <s v="TRF"/>
    <x v="17"/>
    <n v="0"/>
    <s v="TRANSFER GUDANG"/>
    <m/>
    <m/>
    <m/>
    <m/>
    <m/>
    <s v="Diambil Bayu"/>
    <x v="2"/>
    <n v="0"/>
    <e v="#N/A"/>
    <e v="#N/A"/>
    <s v="OUTBOUND_"/>
  </r>
  <r>
    <s v="567"/>
    <m/>
    <x v="2"/>
    <s v="TFI-W0012401-176"/>
    <s v="EJ-Malang-01"/>
    <s v="Oka-0813-2707-1646"/>
    <x v="90"/>
    <d v="1900-01-14T07:00:00"/>
    <s v="ZTE Warehouse"/>
    <x v="0"/>
    <x v="2"/>
    <s v="ZTE2008"/>
    <s v="Pcs"/>
    <n v="19"/>
    <s v="TRF"/>
    <x v="17"/>
    <n v="0"/>
    <s v="TRANSFER GUDANG"/>
    <m/>
    <m/>
    <m/>
    <m/>
    <m/>
    <s v="Diambil Bayu"/>
    <x v="2"/>
    <n v="0"/>
    <e v="#N/A"/>
    <e v="#N/A"/>
    <s v="OUTBOUND_"/>
  </r>
  <r>
    <s v="568"/>
    <m/>
    <x v="2"/>
    <s v="TFI-W0012401-176"/>
    <s v="EJ-Malang-01"/>
    <s v="Oka-0813-2707-1646"/>
    <x v="90"/>
    <d v="1900-01-14T07:00:00"/>
    <s v="ZTE Warehouse"/>
    <x v="0"/>
    <x v="2"/>
    <s v="ZTE2008"/>
    <s v="Pcs"/>
    <n v="19"/>
    <s v="TRF"/>
    <x v="17"/>
    <n v="0"/>
    <s v="TRANSFER GUDANG"/>
    <m/>
    <m/>
    <m/>
    <m/>
    <m/>
    <m/>
    <x v="2"/>
    <n v="0"/>
    <e v="#N/A"/>
    <e v="#N/A"/>
    <s v="OUTBOUND_"/>
  </r>
  <r>
    <s v="569"/>
    <m/>
    <x v="0"/>
    <s v="INB-W0012401-176"/>
    <s v="EJ-Malang-01"/>
    <s v="Oka-0813-2707-1646"/>
    <x v="90"/>
    <d v="1900-01-14T07:00:00"/>
    <s v="ZTE Warehouse"/>
    <x v="0"/>
    <x v="3"/>
    <s v="ZTE2005"/>
    <s v="Pcs"/>
    <n v="1"/>
    <s v="CLR51-99-066"/>
    <x v="30"/>
    <s v="DOEID24011542"/>
    <s v="DNWID0342024011502"/>
    <m/>
    <m/>
    <m/>
    <m/>
    <m/>
    <m/>
    <x v="2"/>
    <s v="TAMANHARJO RW 04 SINGOSARI"/>
    <d v="2024-01-16T00:00:00"/>
    <b v="1"/>
    <s v="OUTBOUND_"/>
  </r>
  <r>
    <s v="570"/>
    <m/>
    <x v="0"/>
    <s v="INB-W0012401-176"/>
    <s v="EJ-Malang-01"/>
    <s v="Oka-0813-2707-1646"/>
    <x v="90"/>
    <d v="1900-01-14T07:00:00"/>
    <s v="ZTE Warehouse"/>
    <x v="0"/>
    <x v="3"/>
    <s v="ZTE2005"/>
    <s v="Pcs"/>
    <n v="3"/>
    <s v="CLR29-99-153"/>
    <x v="29"/>
    <s v="DOEID24011540"/>
    <s v="DNWID0342024011501"/>
    <m/>
    <m/>
    <m/>
    <m/>
    <m/>
    <s v="Diambil Bayu"/>
    <x v="2"/>
    <s v="Perumahan Pondok Mutiara Malang"/>
    <d v="2024-01-16T00:00:00"/>
    <b v="1"/>
    <s v="OUTBOUND_"/>
  </r>
  <r>
    <s v="571"/>
    <m/>
    <x v="0"/>
    <s v="INB-W0012401-176"/>
    <s v="EJ-Malang-01"/>
    <s v="Oka-0813-2707-1646"/>
    <x v="90"/>
    <d v="1900-01-14T07:00:00"/>
    <s v="ZTE Warehouse"/>
    <x v="0"/>
    <x v="20"/>
    <s v="ZTE1004"/>
    <s v="Pcs"/>
    <n v="1"/>
    <s v="CLR29-99-153"/>
    <x v="29"/>
    <m/>
    <m/>
    <m/>
    <m/>
    <m/>
    <m/>
    <m/>
    <m/>
    <x v="2"/>
    <s v="Perumahan Pondok Mutiara Malang"/>
    <e v="#N/A"/>
    <e v="#N/A"/>
    <s v="OUTBOUND_"/>
  </r>
  <r>
    <s v="572"/>
    <m/>
    <x v="0"/>
    <s v="INB-W0012401-176"/>
    <s v="EJ-Malang-01"/>
    <s v="Oka-0813-2707-1646"/>
    <x v="90"/>
    <d v="1900-01-14T07:00:00"/>
    <s v="ZTE Warehouse"/>
    <x v="0"/>
    <x v="20"/>
    <s v="ZTE1004"/>
    <s v="Pcs"/>
    <n v="1"/>
    <s v="CLR51-99-066"/>
    <x v="30"/>
    <m/>
    <m/>
    <m/>
    <m/>
    <m/>
    <m/>
    <m/>
    <m/>
    <x v="2"/>
    <s v="TAMANHARJO RW 04 SINGOSARI"/>
    <e v="#N/A"/>
    <e v="#N/A"/>
    <s v="OUTBOUND_"/>
  </r>
  <r>
    <s v="573"/>
    <m/>
    <x v="0"/>
    <s v="INB-W0012401-176"/>
    <s v="EJ-Malang-01"/>
    <s v="Oka-0813-2707-1646"/>
    <x v="90"/>
    <d v="1900-01-14T07:00:00"/>
    <s v="ZTE Warehouse"/>
    <x v="0"/>
    <x v="20"/>
    <s v="ZTE1004"/>
    <s v="Pcs"/>
    <n v="2"/>
    <s v="MF51-01"/>
    <x v="31"/>
    <m/>
    <m/>
    <m/>
    <m/>
    <m/>
    <m/>
    <m/>
    <m/>
    <x v="2"/>
    <s v="HUBFEEDER BATURETNO RW 02"/>
    <e v="#N/A"/>
    <e v="#N/A"/>
    <s v="OUTBOUND_"/>
  </r>
  <r>
    <s v="574"/>
    <m/>
    <x v="0"/>
    <s v="INB-W0012401-176"/>
    <s v="EJ-Malang-01"/>
    <s v="Oka-0813-2707-1646"/>
    <x v="90"/>
    <d v="1900-01-14T07:00:00"/>
    <s v="ZTE Warehouse"/>
    <x v="0"/>
    <x v="4"/>
    <s v="ZTE1002"/>
    <s v="Pcs"/>
    <n v="17"/>
    <s v="CLR51-99-066"/>
    <x v="30"/>
    <s v="DOEID24011541"/>
    <s v="DNWID0362024011513"/>
    <m/>
    <m/>
    <m/>
    <m/>
    <m/>
    <m/>
    <x v="2"/>
    <s v="TAMANHARJO RW 04 SINGOSARI"/>
    <d v="2024-01-16T00:00:00"/>
    <b v="1"/>
    <s v="OUTBOUND_"/>
  </r>
  <r>
    <s v="575"/>
    <m/>
    <x v="0"/>
    <s v="INB-W0012401-176"/>
    <s v="EJ-Malang-01"/>
    <s v="Oka-0813-2707-1646"/>
    <x v="90"/>
    <d v="1900-01-14T07:00:00"/>
    <s v="ZTE Warehouse"/>
    <x v="0"/>
    <x v="4"/>
    <s v="ZTE1002"/>
    <s v="Pcs"/>
    <n v="21"/>
    <s v="CLR29-99-153"/>
    <x v="29"/>
    <s v="DOEID24011539"/>
    <s v="DNWID0362024011512"/>
    <m/>
    <m/>
    <m/>
    <m/>
    <m/>
    <m/>
    <x v="2"/>
    <s v="Perumahan Pondok Mutiara Malang"/>
    <d v="2024-01-16T00:00:00"/>
    <b v="1"/>
    <s v="OUTBOUND_"/>
  </r>
  <r>
    <s v="576"/>
    <m/>
    <x v="1"/>
    <s v="OUB-W0012401-174"/>
    <s v="EJ-Malang-01"/>
    <s v="Oka-0813-2707-1646"/>
    <x v="90"/>
    <d v="1899-12-30T09:00:00"/>
    <s v="EJ-MALANG-01"/>
    <x v="0"/>
    <x v="4"/>
    <s v="ZTE1002"/>
    <s v="Pcs"/>
    <n v="2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577"/>
    <m/>
    <x v="1"/>
    <s v="OUB-W0012401-173"/>
    <s v="EJ-Malang-01"/>
    <s v="Oka-0813-2707-1646"/>
    <x v="90"/>
    <d v="1899-12-30T08:27:00"/>
    <s v="EJ-MALANG-01"/>
    <x v="0"/>
    <x v="4"/>
    <s v="ZTE1002"/>
    <s v="Pcs"/>
    <n v="6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578"/>
    <m/>
    <x v="1"/>
    <s v="OUB-W0012401-173"/>
    <s v="EJ-Malang-01"/>
    <s v="Oka-0813-2707-1646"/>
    <x v="90"/>
    <d v="1899-12-30T08:27:00"/>
    <s v="EJ-MALANG-01"/>
    <x v="0"/>
    <x v="4"/>
    <s v="ZTE1002"/>
    <s v="Pcs"/>
    <n v="9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579"/>
    <m/>
    <x v="4"/>
    <s v="BOI-W0012401-176"/>
    <s v="EJ-Malang-01"/>
    <s v="Oka-0813-2707-1646"/>
    <x v="90"/>
    <d v="1900-01-14T07:00:00"/>
    <s v="Other Subcon"/>
    <x v="0"/>
    <x v="5"/>
    <s v="ZTE1001"/>
    <s v="Pcs"/>
    <n v="25"/>
    <s v="BR004"/>
    <x v="24"/>
    <n v="0"/>
    <n v="0"/>
    <m/>
    <m/>
    <m/>
    <m/>
    <m/>
    <s v="Borrow From YPTT"/>
    <x v="2"/>
    <s v="YPTT"/>
    <e v="#N/A"/>
    <e v="#N/A"/>
    <s v="OUTBOUND_"/>
  </r>
  <r>
    <s v="580"/>
    <m/>
    <x v="0"/>
    <s v="INB-W0012401-176"/>
    <s v="EJ-Malang-01"/>
    <s v="Oka-0813-2707-1646"/>
    <x v="90"/>
    <d v="1900-01-14T07:00:00"/>
    <s v="ZTE Warehouse"/>
    <x v="0"/>
    <x v="5"/>
    <s v="ZTE1001"/>
    <s v="Pcs"/>
    <n v="33"/>
    <s v="CLR51-99-066"/>
    <x v="30"/>
    <s v="DOEID24011541"/>
    <s v="DNWID0362024011513"/>
    <m/>
    <m/>
    <m/>
    <m/>
    <m/>
    <m/>
    <x v="2"/>
    <s v="TAMANHARJO RW 04 SINGOSARI"/>
    <d v="2024-01-16T00:00:00"/>
    <b v="1"/>
    <s v="OUTBOUND_"/>
  </r>
  <r>
    <s v="581"/>
    <m/>
    <x v="0"/>
    <s v="INB-W0012401-176"/>
    <s v="EJ-Malang-01"/>
    <s v="Oka-0813-2707-1646"/>
    <x v="90"/>
    <d v="1900-01-14T07:00:00"/>
    <s v="ZTE Warehouse"/>
    <x v="0"/>
    <x v="5"/>
    <s v="ZTE1001"/>
    <s v="Pcs"/>
    <n v="61"/>
    <s v="MF51-01"/>
    <x v="31"/>
    <s v="DOEID24011534"/>
    <s v="DNWID0362024011514"/>
    <m/>
    <m/>
    <m/>
    <m/>
    <m/>
    <m/>
    <x v="2"/>
    <s v="HUBFEEDER BATURETNO RW 02"/>
    <d v="2024-01-16T00:00:00"/>
    <b v="1"/>
    <s v="OUTBOUND_"/>
  </r>
  <r>
    <s v="582"/>
    <m/>
    <x v="0"/>
    <s v="INB-W0012401-176"/>
    <s v="EJ-Malang-01"/>
    <s v="Oka-0813-2707-1646"/>
    <x v="90"/>
    <d v="1900-01-14T07:00:00"/>
    <s v="ZTE Warehouse"/>
    <x v="0"/>
    <x v="5"/>
    <s v="ZTE1001"/>
    <s v="Pcs"/>
    <n v="173"/>
    <s v="CLR29-99-153"/>
    <x v="29"/>
    <s v="DOEID24011539"/>
    <s v="DNWID0362024011512"/>
    <m/>
    <m/>
    <m/>
    <m/>
    <m/>
    <m/>
    <x v="2"/>
    <s v="Perumahan Pondok Mutiara Malang"/>
    <d v="2024-01-16T00:00:00"/>
    <b v="1"/>
    <s v="OUTBOUND_"/>
  </r>
  <r>
    <s v="583"/>
    <m/>
    <x v="1"/>
    <s v="OUB-W0012401-174"/>
    <s v="EJ-Malang-01"/>
    <s v="Oka-0813-2707-1646"/>
    <x v="90"/>
    <d v="1899-12-30T09:00:00"/>
    <s v="EJ-MALANG-01"/>
    <x v="0"/>
    <x v="5"/>
    <s v="ZTE1001"/>
    <s v="Pcs"/>
    <n v="23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584"/>
    <m/>
    <x v="1"/>
    <s v="OUB-W0012401-173"/>
    <s v="EJ-Malang-01"/>
    <s v="Oka-0813-2707-1646"/>
    <x v="90"/>
    <d v="1899-12-30T08:27:00"/>
    <s v="EJ-MALANG-01"/>
    <x v="0"/>
    <x v="5"/>
    <s v="ZTE1001"/>
    <s v="Pcs"/>
    <n v="25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585"/>
    <m/>
    <x v="2"/>
    <s v="TFI-W0012401-176"/>
    <s v="EJ-Malang-01"/>
    <s v="Oka-0813-2707-1646"/>
    <x v="90"/>
    <d v="1900-01-14T07:00:00"/>
    <s v="ZTE Warehouse"/>
    <x v="0"/>
    <x v="5"/>
    <s v="ZTE1001"/>
    <s v="Pcs"/>
    <n v="9"/>
    <s v="TRF"/>
    <x v="17"/>
    <n v="0"/>
    <s v="TRANSFER GUDANG"/>
    <m/>
    <m/>
    <m/>
    <m/>
    <m/>
    <m/>
    <x v="2"/>
    <n v="0"/>
    <e v="#N/A"/>
    <e v="#N/A"/>
    <s v="OUTBOUND_"/>
  </r>
  <r>
    <s v="586"/>
    <m/>
    <x v="0"/>
    <s v="INB-W0012401-176"/>
    <s v="EJ-Malang-01"/>
    <s v="Oka-0813-2707-1646"/>
    <x v="90"/>
    <d v="1900-01-14T07:00:00"/>
    <s v="ZTE Warehouse"/>
    <x v="0"/>
    <x v="19"/>
    <s v="ZTE1003"/>
    <s v="Pcs"/>
    <n v="9"/>
    <s v="MF51-01"/>
    <x v="31"/>
    <s v="DOEID24011534"/>
    <s v="DNWID0362024011514"/>
    <m/>
    <m/>
    <m/>
    <m/>
    <m/>
    <m/>
    <x v="2"/>
    <s v="HUBFEEDER BATURETNO RW 02"/>
    <d v="2024-01-16T00:00:00"/>
    <b v="1"/>
    <s v="OUTBOUND_"/>
  </r>
  <r>
    <s v="587"/>
    <m/>
    <x v="0"/>
    <s v="INB-W0012401-176"/>
    <s v="EJ-Malang-01"/>
    <s v="Oka-0813-2707-1646"/>
    <x v="90"/>
    <d v="1900-01-14T07:00:00"/>
    <s v="ZTE Warehouse"/>
    <x v="0"/>
    <x v="19"/>
    <s v="ZTE1003"/>
    <s v="Pcs"/>
    <n v="10"/>
    <s v="CLR51-99-038"/>
    <x v="25"/>
    <s v="DOEID24011211"/>
    <s v="DNWID0362024011201"/>
    <m/>
    <m/>
    <m/>
    <m/>
    <m/>
    <m/>
    <x v="2"/>
    <s v="Baturetno RW 03 Singosari"/>
    <d v="2024-01-16T00:00:00"/>
    <b v="1"/>
    <s v="OUTBOUND_"/>
  </r>
  <r>
    <s v="588"/>
    <m/>
    <x v="0"/>
    <s v="INB-W0012401-176"/>
    <s v="EJ-Malang-01"/>
    <s v="Oka-0813-2707-1646"/>
    <x v="90"/>
    <d v="1900-01-14T07:00:00"/>
    <s v="FIELD TEAM"/>
    <x v="1"/>
    <x v="16"/>
    <s v="GCI1004"/>
    <s v="Pcs"/>
    <n v="15"/>
    <s v="CLR32-99-069"/>
    <x v="23"/>
    <n v="0"/>
    <n v="0"/>
    <m/>
    <m/>
    <m/>
    <m/>
    <m/>
    <s v="RETURN"/>
    <x v="2"/>
    <s v="Sitirejo RW 01 Wagir"/>
    <e v="#N/A"/>
    <e v="#N/A"/>
    <s v="OUTBOUND_"/>
  </r>
  <r>
    <s v="589"/>
    <m/>
    <x v="0"/>
    <s v="INB-W0012401-179"/>
    <s v="EJ-Malang-01"/>
    <s v="Oka-0813-2707-1646"/>
    <x v="91"/>
    <d v="1900-01-14T07:00:00"/>
    <s v="ZTE Warehouse"/>
    <x v="0"/>
    <x v="4"/>
    <s v="ZTE1002"/>
    <s v="Pcs"/>
    <n v="2"/>
    <s v="CLR51-01-005"/>
    <x v="26"/>
    <s v="DOEID231223A5"/>
    <s v="DNWID0362023122307"/>
    <m/>
    <m/>
    <m/>
    <m/>
    <m/>
    <m/>
    <x v="2"/>
    <s v="Baturetno RW 02 Singosari "/>
    <d v="2023-12-27T00:00:00"/>
    <b v="0"/>
    <s v="OUTBOUND_"/>
  </r>
  <r>
    <s v="590"/>
    <m/>
    <x v="1"/>
    <s v="OUB-W0012401-177"/>
    <s v="EJ-Malang-01"/>
    <s v="Oka-0813-2707-1646"/>
    <x v="91"/>
    <d v="1899-12-30T08:30:00"/>
    <s v="EJ-MALANG-01"/>
    <x v="0"/>
    <x v="5"/>
    <s v="ZTE1001"/>
    <s v="Pcs"/>
    <n v="20"/>
    <s v="CLR29-99-153"/>
    <x v="29"/>
    <m/>
    <m/>
    <m/>
    <s v="Rofik"/>
    <s v="Febby Supplier"/>
    <s v="3578180505790001"/>
    <s v="S 9345 WB"/>
    <m/>
    <x v="2"/>
    <s v="Perumahan Pondok Mutiara Malang"/>
    <e v="#N/A"/>
    <e v="#N/A"/>
    <s v="OUTBOUND_"/>
  </r>
  <r>
    <s v="591"/>
    <m/>
    <x v="1"/>
    <s v="OUB-W0012401-177"/>
    <s v="EJ-Malang-01"/>
    <s v="Oka-0813-2707-1646"/>
    <x v="91"/>
    <d v="1899-12-30T08:30:00"/>
    <s v="EJ-MALANG-01"/>
    <x v="0"/>
    <x v="5"/>
    <s v="ZTE1001"/>
    <s v="Pcs"/>
    <n v="26"/>
    <s v="CLR29-99-153"/>
    <x v="29"/>
    <m/>
    <m/>
    <m/>
    <s v="Rofik"/>
    <s v="Febby Supplier"/>
    <s v="3578180505790001"/>
    <s v="S 9345 WB"/>
    <m/>
    <x v="2"/>
    <s v="Perumahan Pondok Mutiara Malang"/>
    <e v="#N/A"/>
    <e v="#N/A"/>
    <s v="OUTBOUND_"/>
  </r>
  <r>
    <s v="592"/>
    <m/>
    <x v="1"/>
    <s v="OUB-W0012401-178"/>
    <s v="EJ-Malang-01"/>
    <s v="Oka-0813-2707-1646"/>
    <x v="91"/>
    <d v="1899-12-30T10:27:00"/>
    <s v="EJ-MALANG-01"/>
    <x v="0"/>
    <x v="19"/>
    <s v="ZTE1003"/>
    <s v="Pcs"/>
    <n v="2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593"/>
    <m/>
    <x v="1"/>
    <s v="OUB-W0012401-178"/>
    <s v="EJ-Malang-01"/>
    <s v="Oka-0813-2707-1646"/>
    <x v="91"/>
    <d v="1899-12-30T10:27:00"/>
    <s v="EJ-MALANG-01"/>
    <x v="0"/>
    <x v="19"/>
    <s v="ZTE1003"/>
    <s v="Pcs"/>
    <n v="6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594"/>
    <m/>
    <x v="0"/>
    <s v="INB-W0012401-183"/>
    <s v="EJ-Malang-01"/>
    <s v="Oka-0813-2707-1646"/>
    <x v="92"/>
    <d v="1900-01-14T07:00:00"/>
    <s v="GCI Procurement"/>
    <x v="1"/>
    <x v="25"/>
    <s v="GCI1010"/>
    <s v="Pcs"/>
    <n v="194"/>
    <s v="PRC"/>
    <x v="8"/>
    <n v="0"/>
    <n v="0"/>
    <m/>
    <m/>
    <m/>
    <m/>
    <m/>
    <m/>
    <x v="2"/>
    <s v="Purchase"/>
    <e v="#N/A"/>
    <e v="#N/A"/>
    <s v="OUTBOUND_"/>
  </r>
  <r>
    <s v="595"/>
    <m/>
    <x v="0"/>
    <s v="INB-W0012401-183"/>
    <s v="EJ-Malang-01"/>
    <s v="Oka-0813-2707-1646"/>
    <x v="92"/>
    <d v="1900-01-14T07:00:00"/>
    <s v="GCI Procurement"/>
    <x v="1"/>
    <x v="8"/>
    <s v="GCI1005"/>
    <s v="Pcs"/>
    <n v="205"/>
    <s v="PRC"/>
    <x v="8"/>
    <n v="0"/>
    <n v="0"/>
    <m/>
    <m/>
    <m/>
    <m/>
    <m/>
    <s v="UD Putra Cipta Karya"/>
    <x v="2"/>
    <s v="Purchase"/>
    <e v="#N/A"/>
    <e v="#N/A"/>
    <s v="OUTBOUND_"/>
  </r>
  <r>
    <s v="596"/>
    <m/>
    <x v="0"/>
    <s v="INB-W0012401-183"/>
    <s v="EJ-Malang-01"/>
    <s v="Oka-0813-2707-1646"/>
    <x v="92"/>
    <d v="1900-01-14T07:00:00"/>
    <s v="GCI Procurement"/>
    <x v="1"/>
    <x v="9"/>
    <s v="GCI1001"/>
    <s v="Pcs"/>
    <n v="131"/>
    <s v="PRC"/>
    <x v="8"/>
    <n v="0"/>
    <n v="0"/>
    <m/>
    <m/>
    <m/>
    <m/>
    <m/>
    <s v="UD Putra Cipta Karya"/>
    <x v="2"/>
    <s v="Purchase"/>
    <e v="#N/A"/>
    <e v="#N/A"/>
    <s v="OUTBOUND_"/>
  </r>
  <r>
    <s v="597"/>
    <m/>
    <x v="0"/>
    <s v="INB-W0012401-183"/>
    <s v="EJ-Malang-01"/>
    <s v="Oka-0813-2707-1646"/>
    <x v="92"/>
    <d v="1900-01-14T07:00:00"/>
    <s v="GCI Procurement"/>
    <x v="1"/>
    <x v="10"/>
    <s v="GCI1009"/>
    <s v="Pcs"/>
    <n v="252"/>
    <s v="PRC"/>
    <x v="8"/>
    <n v="0"/>
    <n v="0"/>
    <m/>
    <m/>
    <m/>
    <m/>
    <m/>
    <s v="UD Putra Cipta Karya"/>
    <x v="2"/>
    <s v="Purchase"/>
    <e v="#N/A"/>
    <e v="#N/A"/>
    <s v="OUTBOUND_"/>
  </r>
  <r>
    <s v="598"/>
    <m/>
    <x v="0"/>
    <s v="INB-W0012401-183"/>
    <s v="EJ-Malang-01"/>
    <s v="Oka-0813-2707-1646"/>
    <x v="92"/>
    <d v="1900-01-14T07:00:00"/>
    <s v="GCI Procurement"/>
    <x v="1"/>
    <x v="11"/>
    <s v="GCI1002"/>
    <s v="Pcs"/>
    <n v="11"/>
    <s v="PRC"/>
    <x v="8"/>
    <n v="0"/>
    <n v="0"/>
    <m/>
    <m/>
    <m/>
    <m/>
    <m/>
    <s v="UD Putra Cipta Karya"/>
    <x v="2"/>
    <s v="Purchase"/>
    <e v="#N/A"/>
    <e v="#N/A"/>
    <s v="OUTBOUND_"/>
  </r>
  <r>
    <s v="599"/>
    <m/>
    <x v="1"/>
    <s v="OUB-W0012401-180"/>
    <s v="EJ-Malang-01"/>
    <s v="Oka-0813-2707-1646"/>
    <x v="92"/>
    <d v="1899-12-30T11:25:00"/>
    <s v="EJ-MALANG-01"/>
    <x v="0"/>
    <x v="4"/>
    <s v="ZTE1002"/>
    <s v="Pcs"/>
    <n v="6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00"/>
    <m/>
    <x v="1"/>
    <s v="OUB-W0012401-181"/>
    <s v="EJ-Malang-01"/>
    <s v="Oka-0813-2707-1646"/>
    <x v="92"/>
    <d v="1899-12-30T16:19:00"/>
    <s v="EJ-MALANG-01"/>
    <x v="0"/>
    <x v="4"/>
    <s v="ZTE1002"/>
    <s v="Pcs"/>
    <n v="9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01"/>
    <m/>
    <x v="5"/>
    <s v="BOO-W0012401-182"/>
    <s v="EJ-Malang-01"/>
    <s v="Oka-0813-2707-1646"/>
    <x v="92"/>
    <d v="1899-12-30T17:52:00"/>
    <s v="Other Subcon"/>
    <x v="0"/>
    <x v="5"/>
    <s v="ZTE1001"/>
    <s v="Pcs"/>
    <n v="4"/>
    <s v="BR004"/>
    <x v="24"/>
    <m/>
    <m/>
    <m/>
    <s v="Agung"/>
    <n v="0"/>
    <n v="0"/>
    <n v="0"/>
    <s v="Return to YPTT"/>
    <x v="2"/>
    <s v="YPTT"/>
    <e v="#N/A"/>
    <e v="#N/A"/>
    <s v="BORROW OUT_"/>
  </r>
  <r>
    <s v="602"/>
    <m/>
    <x v="1"/>
    <s v="OUB-W0012401-181"/>
    <s v="EJ-Malang-01"/>
    <s v="Oka-0813-2707-1646"/>
    <x v="92"/>
    <d v="1899-12-30T16:19:00"/>
    <s v="EJ-MALANG-01"/>
    <x v="0"/>
    <x v="5"/>
    <s v="ZTE1001"/>
    <s v="Pcs"/>
    <n v="10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03"/>
    <m/>
    <x v="1"/>
    <s v="OUB-W0012401-180"/>
    <s v="EJ-Malang-01"/>
    <s v="Oka-0813-2707-1646"/>
    <x v="92"/>
    <d v="1899-12-30T11:25:00"/>
    <s v="EJ-MALANG-01"/>
    <x v="0"/>
    <x v="5"/>
    <s v="ZTE1001"/>
    <s v="Pcs"/>
    <n v="19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04"/>
    <m/>
    <x v="0"/>
    <s v="INB-W0012401-183"/>
    <s v="EJ-Malang-01"/>
    <s v="Oka-0813-2707-1646"/>
    <x v="92"/>
    <d v="1900-01-14T07:00:00"/>
    <s v="GCI Procurement"/>
    <x v="1"/>
    <x v="12"/>
    <s v="GCI1008"/>
    <s v="Pcs"/>
    <n v="210"/>
    <s v="PRC"/>
    <x v="8"/>
    <n v="0"/>
    <n v="0"/>
    <m/>
    <m/>
    <m/>
    <m/>
    <m/>
    <s v="UD Putra Cipta Karya"/>
    <x v="2"/>
    <s v="Purchase"/>
    <e v="#N/A"/>
    <e v="#N/A"/>
    <s v="OUTBOUND_"/>
  </r>
  <r>
    <s v="605"/>
    <m/>
    <x v="0"/>
    <s v="INB-W0012401-183"/>
    <s v="EJ-Malang-01"/>
    <s v="Oka-0813-2707-1646"/>
    <x v="92"/>
    <d v="1900-01-14T07:00:00"/>
    <s v="GCI Procurement"/>
    <x v="1"/>
    <x v="15"/>
    <s v="GCI1003"/>
    <s v="Pcs"/>
    <n v="562"/>
    <s v="PRC"/>
    <x v="8"/>
    <n v="0"/>
    <n v="0"/>
    <m/>
    <m/>
    <m/>
    <m/>
    <m/>
    <s v="UD Putra Cipta Karya"/>
    <x v="2"/>
    <s v="Purchase"/>
    <e v="#N/A"/>
    <e v="#N/A"/>
    <s v="OUTBOUND_"/>
  </r>
  <r>
    <s v="606"/>
    <m/>
    <x v="0"/>
    <s v="INB-W0012401-183"/>
    <s v="EJ-Malang-01"/>
    <s v="Oka-0813-2707-1646"/>
    <x v="92"/>
    <d v="1900-01-14T07:00:00"/>
    <s v="GCI Procurement"/>
    <x v="1"/>
    <x v="16"/>
    <s v="GCI1004"/>
    <s v="Pcs"/>
    <n v="103"/>
    <s v="PRC"/>
    <x v="8"/>
    <n v="0"/>
    <n v="0"/>
    <m/>
    <m/>
    <m/>
    <m/>
    <m/>
    <s v="UD Putra Cipta Karya"/>
    <x v="2"/>
    <s v="Purchase"/>
    <e v="#N/A"/>
    <e v="#N/A"/>
    <s v="OUTBOUND_"/>
  </r>
  <r>
    <s v="607"/>
    <m/>
    <x v="1"/>
    <s v="OUB-W0012401-186"/>
    <s v="EJ-Malang-01"/>
    <s v="Oka-0813-2707-1646"/>
    <x v="93"/>
    <d v="1899-12-30T17:36:00"/>
    <s v="EJ-MALANG-01"/>
    <x v="0"/>
    <x v="24"/>
    <s v="ZTE2013"/>
    <s v="Meter"/>
    <n v="3000"/>
    <s v="MF51-01"/>
    <x v="31"/>
    <m/>
    <m/>
    <m/>
    <s v="Riki Romansyah"/>
    <s v="Febby Supplier"/>
    <s v="3507050501950006"/>
    <s v="N 8420 EL"/>
    <m/>
    <x v="25"/>
    <s v="HUBFEEDER BATURETNO RW 02"/>
    <e v="#N/A"/>
    <e v="#N/A"/>
    <s v="OUTBOUND_H-ADSS 96C-2024116-01"/>
  </r>
  <r>
    <s v="608"/>
    <m/>
    <x v="1"/>
    <s v="OUB-W0012401-184"/>
    <s v="EJ-Malang-01"/>
    <s v="Oka-0813-2707-1646"/>
    <x v="93"/>
    <d v="1899-12-30T08:30:00"/>
    <s v="EJ-MALANG-01"/>
    <x v="0"/>
    <x v="1"/>
    <s v="ZTE2003"/>
    <s v="Meter"/>
    <n v="3000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09"/>
    <m/>
    <x v="1"/>
    <s v="OUB-W0012401-186"/>
    <s v="EJ-Malang-01"/>
    <s v="Oka-0813-2707-1646"/>
    <x v="93"/>
    <d v="1899-12-30T17:36:00"/>
    <s v="EJ-MALANG-01"/>
    <x v="1"/>
    <x v="9"/>
    <s v="GCI1001"/>
    <s v="Pcs"/>
    <n v="7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610"/>
    <m/>
    <x v="1"/>
    <s v="OUB-W0012401-186"/>
    <s v="EJ-Malang-01"/>
    <s v="Oka-0813-2707-1646"/>
    <x v="93"/>
    <d v="1899-12-30T17:36:00"/>
    <s v="EJ-MALANG-01"/>
    <x v="1"/>
    <x v="10"/>
    <s v="GCI1009"/>
    <s v="Pcs"/>
    <n v="16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611"/>
    <m/>
    <x v="5"/>
    <s v="BOO-W0012401-185"/>
    <s v="EJ-Malang-01"/>
    <s v="Oka-0813-2707-1646"/>
    <x v="93"/>
    <d v="1899-12-30T13:14:00"/>
    <s v="Other Subcon"/>
    <x v="0"/>
    <x v="5"/>
    <s v="ZTE1001"/>
    <s v="Pcs"/>
    <n v="2"/>
    <s v="BR004"/>
    <x v="24"/>
    <m/>
    <m/>
    <m/>
    <s v="Hendra"/>
    <n v="0"/>
    <n v="0"/>
    <n v="0"/>
    <s v="Return to YPTT"/>
    <x v="2"/>
    <s v="YPTT"/>
    <e v="#N/A"/>
    <e v="#N/A"/>
    <s v="BORROW OUT_"/>
  </r>
  <r>
    <s v="612"/>
    <m/>
    <x v="1"/>
    <s v="OUB-W0012401-186"/>
    <s v="EJ-Malang-01"/>
    <s v="Oka-0813-2707-1646"/>
    <x v="93"/>
    <d v="1899-12-30T17:36:00"/>
    <s v="EJ-MALANG-01"/>
    <x v="0"/>
    <x v="5"/>
    <s v="ZTE1001"/>
    <s v="Pcs"/>
    <n v="2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613"/>
    <m/>
    <x v="1"/>
    <s v="OUB-W0012401-186"/>
    <s v="EJ-Malang-01"/>
    <s v="Oka-0813-2707-1646"/>
    <x v="93"/>
    <d v="1899-12-30T17:36:00"/>
    <s v="EJ-MALANG-01"/>
    <x v="0"/>
    <x v="19"/>
    <s v="ZTE1003"/>
    <s v="Pcs"/>
    <n v="1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614"/>
    <m/>
    <x v="1"/>
    <s v="OUB-W0012401-186"/>
    <s v="EJ-Malang-01"/>
    <s v="Oka-0813-2707-1646"/>
    <x v="93"/>
    <d v="1899-12-30T17:36:00"/>
    <s v="EJ-MALANG-01"/>
    <x v="1"/>
    <x v="12"/>
    <s v="GCI1008"/>
    <s v="Pcs"/>
    <n v="8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615"/>
    <m/>
    <x v="1"/>
    <s v="OUB-W0012401-186"/>
    <s v="EJ-Malang-01"/>
    <s v="Oka-0813-2707-1646"/>
    <x v="93"/>
    <d v="1899-12-30T17:36:00"/>
    <s v="EJ-MALANG-01"/>
    <x v="1"/>
    <x v="15"/>
    <s v="GCI1003"/>
    <s v="Pcs"/>
    <n v="16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616"/>
    <m/>
    <x v="1"/>
    <s v="OUB-W0012401-188"/>
    <s v="EJ-Malang-01"/>
    <s v="Oka-0813-2707-1646"/>
    <x v="94"/>
    <d v="1899-12-30T08:18:00"/>
    <s v="EJ-MALANG-01"/>
    <x v="0"/>
    <x v="0"/>
    <s v="ZTE2001"/>
    <s v="Meter"/>
    <n v="3000"/>
    <s v="CLR29-99-153"/>
    <x v="29"/>
    <m/>
    <m/>
    <m/>
    <s v="Agus Suyoto"/>
    <s v="Febby Supplier"/>
    <s v="3515171206680002"/>
    <s v="S 9345 WB"/>
    <s v="+410 dari kabel potongan (leftover)"/>
    <x v="21"/>
    <s v="Perumahan Pondok Mutiara Malang"/>
    <e v="#N/A"/>
    <e v="#N/A"/>
    <s v="OUTBOUND_H-ADSS 24C-2024116-01"/>
  </r>
  <r>
    <s v="617"/>
    <m/>
    <x v="0"/>
    <s v="INB-W0012401-187"/>
    <s v="EJ-Malang-01"/>
    <s v="Oka-0813-2707-1646"/>
    <x v="94"/>
    <d v="1900-01-14T07:00:00"/>
    <s v="GCI Procurement"/>
    <x v="1"/>
    <x v="9"/>
    <s v="GCI1001"/>
    <s v="Pcs"/>
    <n v="1"/>
    <s v="MF51-01"/>
    <x v="31"/>
    <n v="0"/>
    <n v="0"/>
    <m/>
    <m/>
    <m/>
    <m/>
    <m/>
    <m/>
    <x v="2"/>
    <s v="HUBFEEDER BATURETNO RW 02"/>
    <e v="#N/A"/>
    <e v="#N/A"/>
    <s v="OUTBOUND_"/>
  </r>
  <r>
    <s v="618"/>
    <m/>
    <x v="2"/>
    <s v="TFI-W0012401-187"/>
    <s v="EJ-Malang-01"/>
    <s v="Oka-0813-2707-1646"/>
    <x v="94"/>
    <d v="1900-01-14T07:00:00"/>
    <s v="ZTE Warehouse"/>
    <x v="0"/>
    <x v="5"/>
    <s v="ZTE1001"/>
    <s v="Pcs"/>
    <n v="1"/>
    <s v="TRF"/>
    <x v="17"/>
    <n v="0"/>
    <s v="TRANSFER GUDANG"/>
    <m/>
    <m/>
    <m/>
    <m/>
    <m/>
    <m/>
    <x v="2"/>
    <n v="0"/>
    <e v="#N/A"/>
    <e v="#N/A"/>
    <s v="OUTBOUND_"/>
  </r>
  <r>
    <s v="619"/>
    <m/>
    <x v="0"/>
    <s v="INB-W0012401-187"/>
    <s v="EJ-Malang-01"/>
    <s v="Oka-0813-2707-1646"/>
    <x v="94"/>
    <d v="1900-01-14T07:00:00"/>
    <s v="ZTE Warehouse"/>
    <x v="0"/>
    <x v="19"/>
    <s v="ZTE1003"/>
    <s v="Pcs"/>
    <n v="1"/>
    <s v="MF51-01"/>
    <x v="31"/>
    <s v="DOEID24011534"/>
    <s v="DNWID0362024011514"/>
    <m/>
    <m/>
    <m/>
    <m/>
    <m/>
    <m/>
    <x v="2"/>
    <s v="HUBFEEDER BATURETNO RW 02"/>
    <d v="2024-01-16T00:00:00"/>
    <b v="0"/>
    <s v="OUTBOUND_"/>
  </r>
  <r>
    <s v="620"/>
    <m/>
    <x v="1"/>
    <s v="OUB-W0012401-190"/>
    <s v="EJ-Malang-01"/>
    <s v="Oka-0813-2707-1646"/>
    <x v="95"/>
    <d v="1899-12-30T08:34:00"/>
    <s v="EJ-MALANG-01"/>
    <x v="0"/>
    <x v="0"/>
    <s v="ZTE2001"/>
    <s v="Meter"/>
    <n v="3000"/>
    <s v="CLR29-99-153"/>
    <x v="29"/>
    <m/>
    <m/>
    <m/>
    <s v="Agus Suyoto"/>
    <s v="Febby Supplier"/>
    <s v="3515171206680002"/>
    <s v="S 9345 WB"/>
    <s v="1000+1363"/>
    <x v="22"/>
    <s v="Perumahan Pondok Mutiara Malang"/>
    <e v="#N/A"/>
    <e v="#N/A"/>
    <s v="OUTBOUND_H-ADSS 24C-2024116-02"/>
  </r>
  <r>
    <s v="621"/>
    <m/>
    <x v="1"/>
    <s v="OUB-W0012401-189"/>
    <s v="EJ-Malang-01"/>
    <s v="Oka-0813-2707-1646"/>
    <x v="95"/>
    <d v="1899-12-30T08:34:00"/>
    <s v="EJ-MALANG-01"/>
    <x v="0"/>
    <x v="1"/>
    <s v="ZTE2003"/>
    <s v="Meter"/>
    <n v="3000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22"/>
    <m/>
    <x v="1"/>
    <s v="OUB-W0012401-190"/>
    <s v="EJ-Malang-01"/>
    <s v="Oka-0813-2707-1646"/>
    <x v="95"/>
    <d v="1899-12-30T08:34:00"/>
    <s v="EJ-MALANG-01"/>
    <x v="0"/>
    <x v="4"/>
    <s v="ZTE1002"/>
    <s v="Pcs"/>
    <n v="3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23"/>
    <m/>
    <x v="1"/>
    <s v="OUB-W0012401-190"/>
    <s v="EJ-Malang-01"/>
    <s v="Oka-0813-2707-1646"/>
    <x v="95"/>
    <d v="1899-12-30T08:34:00"/>
    <s v="EJ-MALANG-01"/>
    <x v="0"/>
    <x v="5"/>
    <s v="ZTE1001"/>
    <s v="Pcs"/>
    <n v="4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24"/>
    <m/>
    <x v="1"/>
    <s v="OUB-W0012401-191"/>
    <s v="EJ-Malang-01"/>
    <s v="Oka-0813-2707-1646"/>
    <x v="96"/>
    <d v="1899-12-30T09:13:00"/>
    <s v="EJ-MALANG-01"/>
    <x v="0"/>
    <x v="24"/>
    <s v="ZTE2013"/>
    <s v="Meter"/>
    <n v="3000"/>
    <s v="MF51-01"/>
    <x v="31"/>
    <m/>
    <m/>
    <m/>
    <s v="Riki Romansyah"/>
    <s v="Febby Supplier"/>
    <s v="3507050501950006"/>
    <s v="N 8420 EL"/>
    <s v="USE 1250"/>
    <x v="26"/>
    <s v="HUBFEEDER BATURETNO RW 02"/>
    <e v="#N/A"/>
    <e v="#N/A"/>
    <s v="OUTBOUND_H-ADSS 96C-2024116-02"/>
  </r>
  <r>
    <s v="625"/>
    <m/>
    <x v="4"/>
    <s v="BOI-W0012401-196"/>
    <s v="EJ-Malang-01"/>
    <s v="Oka-0813-2707-1646"/>
    <x v="96"/>
    <d v="1900-01-14T07:00:00"/>
    <s v="Other Subcon"/>
    <x v="1"/>
    <x v="26"/>
    <s v="ZTE2020"/>
    <s v="Meter"/>
    <n v="127"/>
    <s v="MF51-01"/>
    <x v="31"/>
    <n v="0"/>
    <n v="0"/>
    <m/>
    <m/>
    <m/>
    <m/>
    <m/>
    <s v="ambil di YOFC (BSI)"/>
    <x v="2"/>
    <s v="HUBFEEDER BATURETNO RW 02"/>
    <e v="#N/A"/>
    <e v="#N/A"/>
    <s v="OUTBOUND_"/>
  </r>
  <r>
    <s v="626"/>
    <m/>
    <x v="1"/>
    <s v="OUB-W0012401-194"/>
    <s v="EJ-Malang-01"/>
    <s v="Oka-0813-2707-1646"/>
    <x v="96"/>
    <d v="1899-12-30T15:09:00"/>
    <s v="EJ-MALANG-01"/>
    <x v="1"/>
    <x v="26"/>
    <s v="ZTE2020"/>
    <s v="Meter"/>
    <n v="127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627"/>
    <m/>
    <x v="1"/>
    <s v="OUB-W0012401-191"/>
    <s v="EJ-Malang-01"/>
    <s v="Oka-0813-2707-1646"/>
    <x v="96"/>
    <d v="1899-12-30T09:13:00"/>
    <s v="EJ-MALANG-01"/>
    <x v="1"/>
    <x v="25"/>
    <s v="GCI1010"/>
    <s v="Pcs"/>
    <n v="20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628"/>
    <m/>
    <x v="1"/>
    <s v="OUB-W0012401-191"/>
    <s v="EJ-Malang-01"/>
    <s v="Oka-0813-2707-1646"/>
    <x v="96"/>
    <d v="1899-12-30T09:13:00"/>
    <s v="EJ-MALANG-01"/>
    <x v="1"/>
    <x v="9"/>
    <s v="GCI1001"/>
    <s v="Pcs"/>
    <n v="4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629"/>
    <m/>
    <x v="1"/>
    <s v="OUB-W0012401-195"/>
    <s v="EJ-Malang-01"/>
    <s v="Oka-0813-2707-1646"/>
    <x v="96"/>
    <d v="1899-12-30T19:27:00"/>
    <s v="EJ-MALANG-01"/>
    <x v="1"/>
    <x v="9"/>
    <s v="GCI1001"/>
    <s v="Pcs"/>
    <n v="27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30"/>
    <m/>
    <x v="1"/>
    <s v="OUB-W0012401-192"/>
    <s v="EJ-Malang-01"/>
    <s v="Oka-0813-2707-1646"/>
    <x v="96"/>
    <d v="1899-12-30T09:18:00"/>
    <s v="EJ-MALANG-01"/>
    <x v="1"/>
    <x v="9"/>
    <s v="GCI1001"/>
    <s v="Pcs"/>
    <n v="51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31"/>
    <m/>
    <x v="1"/>
    <s v="OUB-W0012401-195"/>
    <s v="EJ-Malang-01"/>
    <s v="Oka-0813-2707-1646"/>
    <x v="96"/>
    <d v="1899-12-30T19:27:00"/>
    <s v="EJ-MALANG-01"/>
    <x v="1"/>
    <x v="10"/>
    <s v="GCI1009"/>
    <s v="Pcs"/>
    <n v="100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32"/>
    <m/>
    <x v="1"/>
    <s v="OUB-W0012401-192"/>
    <s v="EJ-Malang-01"/>
    <s v="Oka-0813-2707-1646"/>
    <x v="96"/>
    <d v="1899-12-30T09:18:00"/>
    <s v="EJ-MALANG-01"/>
    <x v="1"/>
    <x v="10"/>
    <s v="GCI1009"/>
    <s v="Pcs"/>
    <n v="200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33"/>
    <m/>
    <x v="1"/>
    <s v="OUB-W0012401-193"/>
    <s v="EJ-Malang-01"/>
    <s v="Oka-0813-2707-1646"/>
    <x v="96"/>
    <d v="1899-12-30T14:57:00"/>
    <s v="EJ-MALANG-01"/>
    <x v="0"/>
    <x v="2"/>
    <s v="ZTE2008"/>
    <s v="Pcs"/>
    <n v="60"/>
    <s v="CLR29-99-153"/>
    <x v="29"/>
    <m/>
    <m/>
    <m/>
    <s v="Fatur"/>
    <s v="Febby Supplier"/>
    <s v="3515082712870005"/>
    <s v="W 1130 NQ"/>
    <m/>
    <x v="2"/>
    <s v="Perumahan Pondok Mutiara Malang"/>
    <e v="#N/A"/>
    <e v="#N/A"/>
    <s v="OUTBOUND_"/>
  </r>
  <r>
    <s v="634"/>
    <m/>
    <x v="1"/>
    <s v="OUB-W0012401-193"/>
    <s v="EJ-Malang-01"/>
    <s v="Oka-0813-2707-1646"/>
    <x v="96"/>
    <d v="1899-12-30T14:57:00"/>
    <s v="EJ-MALANG-01"/>
    <x v="0"/>
    <x v="3"/>
    <s v="ZTE2005"/>
    <s v="Pcs"/>
    <n v="1"/>
    <s v="CLR51-01-005"/>
    <x v="26"/>
    <m/>
    <m/>
    <m/>
    <s v="Fatur"/>
    <s v="Febby Supplier"/>
    <s v="3515082712870005"/>
    <s v="W 1130 NQ"/>
    <m/>
    <x v="2"/>
    <s v="Baturetno RW 02 Singosari "/>
    <e v="#N/A"/>
    <e v="#N/A"/>
    <s v="OUTBOUND_"/>
  </r>
  <r>
    <s v="635"/>
    <m/>
    <x v="1"/>
    <s v="OUB-W0012401-193"/>
    <s v="EJ-Malang-01"/>
    <s v="Oka-0813-2707-1646"/>
    <x v="96"/>
    <d v="1899-12-30T14:57:00"/>
    <s v="EJ-MALANG-01"/>
    <x v="0"/>
    <x v="3"/>
    <s v="ZTE2005"/>
    <s v="Pcs"/>
    <n v="1"/>
    <s v="CLR51-99-038"/>
    <x v="25"/>
    <m/>
    <m/>
    <m/>
    <s v="Fatur"/>
    <s v="Febby Supplier"/>
    <s v="3515082712870005"/>
    <s v="W 1130 NQ"/>
    <m/>
    <x v="2"/>
    <s v="Baturetno RW 03 Singosari"/>
    <e v="#N/A"/>
    <e v="#N/A"/>
    <s v="OUTBOUND_"/>
  </r>
  <r>
    <s v="636"/>
    <m/>
    <x v="1"/>
    <s v="OUB-W0012401-193"/>
    <s v="EJ-Malang-01"/>
    <s v="Oka-0813-2707-1646"/>
    <x v="96"/>
    <d v="1899-12-30T14:57:00"/>
    <s v="EJ-MALANG-01"/>
    <x v="0"/>
    <x v="3"/>
    <s v="ZTE2005"/>
    <s v="Pcs"/>
    <n v="3"/>
    <s v="CLR29-99-153"/>
    <x v="29"/>
    <m/>
    <m/>
    <m/>
    <s v="Fatur"/>
    <s v="Febby Supplier"/>
    <s v="3515082712870005"/>
    <s v="W 1130 NQ"/>
    <m/>
    <x v="2"/>
    <s v="Perumahan Pondok Mutiara Malang"/>
    <e v="#N/A"/>
    <e v="#N/A"/>
    <s v="OUTBOUND_"/>
  </r>
  <r>
    <s v="637"/>
    <m/>
    <x v="1"/>
    <s v="OUB-W0012401-193"/>
    <s v="EJ-Malang-01"/>
    <s v="Oka-0813-2707-1646"/>
    <x v="96"/>
    <d v="1899-12-30T14:57:00"/>
    <s v="EJ-MALANG-01"/>
    <x v="0"/>
    <x v="20"/>
    <s v="ZTE1004"/>
    <s v="Pcs"/>
    <n v="1"/>
    <s v="CLR29-99-153"/>
    <x v="29"/>
    <m/>
    <m/>
    <m/>
    <s v="Fatur"/>
    <s v="Febby Supplier"/>
    <s v="3515082712870005"/>
    <s v="W 1130 NQ"/>
    <m/>
    <x v="2"/>
    <s v="Perumahan Pondok Mutiara Malang"/>
    <e v="#N/A"/>
    <e v="#N/A"/>
    <s v="OUTBOUND_"/>
  </r>
  <r>
    <s v="638"/>
    <m/>
    <x v="1"/>
    <s v="OUB-W0012401-193"/>
    <s v="EJ-Malang-01"/>
    <s v="Oka-0813-2707-1646"/>
    <x v="96"/>
    <d v="1899-12-30T14:57:00"/>
    <s v="EJ-MALANG-01"/>
    <x v="0"/>
    <x v="20"/>
    <s v="ZTE1004"/>
    <s v="Pcs"/>
    <n v="1"/>
    <s v="CLR51-01-005"/>
    <x v="32"/>
    <m/>
    <m/>
    <m/>
    <s v="Fatur"/>
    <s v="Febby Supplier"/>
    <s v="3515082712870005"/>
    <s v="W 1130 NQ"/>
    <m/>
    <x v="2"/>
    <s v="Baturetno RW 02 Singosari Malang"/>
    <e v="#N/A"/>
    <e v="#N/A"/>
    <s v="OUTBOUND_"/>
  </r>
  <r>
    <s v="639"/>
    <m/>
    <x v="1"/>
    <s v="OUB-W0012401-193"/>
    <s v="EJ-Malang-01"/>
    <s v="Oka-0813-2707-1646"/>
    <x v="96"/>
    <d v="1899-12-30T14:57:00"/>
    <s v="EJ-MALANG-01"/>
    <x v="0"/>
    <x v="20"/>
    <s v="ZTE1004"/>
    <s v="Pcs"/>
    <n v="2"/>
    <s v="MF51-01"/>
    <x v="31"/>
    <m/>
    <m/>
    <m/>
    <s v="Fatur"/>
    <s v="Febby Supplier"/>
    <s v="3515082712870005"/>
    <s v="W 1130 NQ"/>
    <m/>
    <x v="2"/>
    <s v="HUBFEEDER BATURETNO RW 02"/>
    <e v="#N/A"/>
    <e v="#N/A"/>
    <s v="OUTBOUND_"/>
  </r>
  <r>
    <s v="640"/>
    <m/>
    <x v="0"/>
    <s v="INB-W0012401-196"/>
    <s v="EJ-Malang-01"/>
    <s v="Oka-0813-2707-1646"/>
    <x v="96"/>
    <d v="1900-01-14T07:00:00"/>
    <s v="GCI Procurement"/>
    <x v="1"/>
    <x v="27"/>
    <s v="GCI1021"/>
    <s v="Pcs"/>
    <n v="2"/>
    <s v="PRC"/>
    <x v="8"/>
    <n v="0"/>
    <n v="0"/>
    <m/>
    <m/>
    <m/>
    <m/>
    <m/>
    <m/>
    <x v="2"/>
    <s v="Purchase"/>
    <e v="#N/A"/>
    <e v="#N/A"/>
    <s v="OUTBOUND_"/>
  </r>
  <r>
    <s v="641"/>
    <m/>
    <x v="1"/>
    <s v="OUB-W0012401-195"/>
    <s v="EJ-Malang-01"/>
    <s v="Oka-0813-2707-1646"/>
    <x v="96"/>
    <d v="1899-12-30T19:27:00"/>
    <s v="EJ-MALANG-01"/>
    <x v="1"/>
    <x v="11"/>
    <s v="GCI1002"/>
    <s v="Pcs"/>
    <n v="1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42"/>
    <m/>
    <x v="1"/>
    <s v="OUB-W0012401-192"/>
    <s v="EJ-Malang-01"/>
    <s v="Oka-0813-2707-1646"/>
    <x v="96"/>
    <d v="1899-12-30T09:18:00"/>
    <s v="EJ-MALANG-01"/>
    <x v="1"/>
    <x v="11"/>
    <s v="GCI1002"/>
    <s v="Pcs"/>
    <n v="5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43"/>
    <m/>
    <x v="0"/>
    <s v="INB-W0012401-196"/>
    <s v="EJ-Malang-01"/>
    <s v="Oka-0813-2707-1646"/>
    <x v="96"/>
    <d v="1900-01-14T07:00:00"/>
    <s v="ZTE Warehouse"/>
    <x v="0"/>
    <x v="4"/>
    <s v="ZTE1002"/>
    <s v="Pcs"/>
    <n v="1"/>
    <s v="CLR51-01-005"/>
    <x v="26"/>
    <s v="DOEID231223A5"/>
    <s v="DNWID0362023122307"/>
    <m/>
    <m/>
    <m/>
    <m/>
    <m/>
    <m/>
    <x v="2"/>
    <s v="Baturetno RW 02 Singosari "/>
    <d v="2023-12-27T00:00:00"/>
    <b v="0"/>
    <s v="OUTBOUND_"/>
  </r>
  <r>
    <s v="644"/>
    <m/>
    <x v="2"/>
    <s v="TFI-W0012401-196"/>
    <s v="EJ-Malang-01"/>
    <s v="Oka-0813-2707-1646"/>
    <x v="96"/>
    <d v="1900-01-14T07:00:00"/>
    <s v="ZTE Warehouse"/>
    <x v="0"/>
    <x v="5"/>
    <s v="ZTE1001"/>
    <s v="Pcs"/>
    <n v="1"/>
    <s v="TRF"/>
    <x v="17"/>
    <n v="0"/>
    <s v="TRANSFER GUDANG"/>
    <m/>
    <m/>
    <m/>
    <m/>
    <m/>
    <m/>
    <x v="2"/>
    <n v="0"/>
    <e v="#N/A"/>
    <e v="#N/A"/>
    <s v="OUTBOUND_"/>
  </r>
  <r>
    <s v="645"/>
    <m/>
    <x v="2"/>
    <s v="TFI-W0012401-196"/>
    <s v="EJ-Malang-01"/>
    <s v="Oka-0813-2707-1646"/>
    <x v="96"/>
    <d v="1900-01-14T07:00:00"/>
    <s v="ZTE Warehouse"/>
    <x v="0"/>
    <x v="5"/>
    <s v="ZTE1001"/>
    <s v="Pcs"/>
    <n v="1"/>
    <s v="TRF"/>
    <x v="17"/>
    <n v="0"/>
    <s v="TRANSFER GUDANG"/>
    <m/>
    <m/>
    <m/>
    <m/>
    <m/>
    <m/>
    <x v="2"/>
    <n v="0"/>
    <e v="#N/A"/>
    <e v="#N/A"/>
    <s v="OUTBOUND_"/>
  </r>
  <r>
    <s v="646"/>
    <m/>
    <x v="1"/>
    <s v="OUB-W0012401-191"/>
    <s v="EJ-Malang-01"/>
    <s v="Oka-0813-2707-1646"/>
    <x v="96"/>
    <d v="1899-12-30T09:13:00"/>
    <s v="EJ-MALANG-01"/>
    <x v="1"/>
    <x v="12"/>
    <s v="GCI1008"/>
    <s v="Pcs"/>
    <n v="10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647"/>
    <m/>
    <x v="1"/>
    <s v="OUB-W0012401-195"/>
    <s v="EJ-Malang-01"/>
    <s v="Oka-0813-2707-1646"/>
    <x v="96"/>
    <d v="1899-12-30T19:27:00"/>
    <s v="EJ-MALANG-01"/>
    <x v="1"/>
    <x v="12"/>
    <s v="GCI1008"/>
    <s v="Pcs"/>
    <n v="50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48"/>
    <m/>
    <x v="1"/>
    <s v="OUB-W0012401-192"/>
    <s v="EJ-Malang-01"/>
    <s v="Oka-0813-2707-1646"/>
    <x v="96"/>
    <d v="1899-12-30T09:18:00"/>
    <s v="EJ-MALANG-01"/>
    <x v="1"/>
    <x v="12"/>
    <s v="GCI1008"/>
    <s v="Pcs"/>
    <n v="150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49"/>
    <m/>
    <x v="1"/>
    <s v="OUB-W0012401-191"/>
    <s v="EJ-Malang-01"/>
    <s v="Oka-0813-2707-1646"/>
    <x v="96"/>
    <d v="1899-12-30T09:13:00"/>
    <s v="EJ-MALANG-01"/>
    <x v="1"/>
    <x v="15"/>
    <s v="GCI1003"/>
    <s v="Pcs"/>
    <n v="40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650"/>
    <m/>
    <x v="1"/>
    <s v="OUB-W0012401-195"/>
    <s v="EJ-Malang-01"/>
    <s v="Oka-0813-2707-1646"/>
    <x v="96"/>
    <d v="1899-12-30T19:27:00"/>
    <s v="EJ-MALANG-01"/>
    <x v="1"/>
    <x v="15"/>
    <s v="GCI1003"/>
    <s v="Pcs"/>
    <n v="100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51"/>
    <m/>
    <x v="1"/>
    <s v="OUB-W0012401-192"/>
    <s v="EJ-Malang-01"/>
    <s v="Oka-0813-2707-1646"/>
    <x v="96"/>
    <d v="1899-12-30T09:18:00"/>
    <s v="EJ-MALANG-01"/>
    <x v="1"/>
    <x v="15"/>
    <s v="GCI1003"/>
    <s v="Pcs"/>
    <n v="300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52"/>
    <m/>
    <x v="1"/>
    <s v="OUB-W0012401-195"/>
    <s v="EJ-Malang-01"/>
    <s v="Oka-0813-2707-1646"/>
    <x v="96"/>
    <d v="1899-12-30T19:27:00"/>
    <s v="EJ-MALANG-01"/>
    <x v="1"/>
    <x v="16"/>
    <s v="GCI1004"/>
    <s v="Pcs"/>
    <n v="70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53"/>
    <m/>
    <x v="1"/>
    <s v="OUB-W0012401-192"/>
    <s v="EJ-Malang-01"/>
    <s v="Oka-0813-2707-1646"/>
    <x v="96"/>
    <d v="1899-12-30T09:18:00"/>
    <s v="EJ-MALANG-01"/>
    <x v="1"/>
    <x v="16"/>
    <s v="GCI1004"/>
    <s v="Pcs"/>
    <n v="100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54"/>
    <m/>
    <x v="1"/>
    <s v="OUB-W0012401-197"/>
    <s v="EJ-Malang-01"/>
    <s v="Oka-0813-2707-1646"/>
    <x v="97"/>
    <d v="1899-12-30T14:19:00"/>
    <s v="EJ-MALANG-01"/>
    <x v="1"/>
    <x v="6"/>
    <s v="GCI1011"/>
    <s v="Pcs"/>
    <n v="1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55"/>
    <m/>
    <x v="1"/>
    <s v="OUB-W0012401-197"/>
    <s v="EJ-Malang-01"/>
    <s v="Oka-0813-2707-1646"/>
    <x v="97"/>
    <d v="1899-12-30T14:19:00"/>
    <s v="EJ-MALANG-01"/>
    <x v="1"/>
    <x v="8"/>
    <s v="GCI1005"/>
    <s v="Pcs"/>
    <n v="160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56"/>
    <m/>
    <x v="1"/>
    <s v="OUB-W0012401-197"/>
    <s v="EJ-Malang-01"/>
    <s v="Oka-0813-2707-1646"/>
    <x v="97"/>
    <d v="1899-12-30T14:19:00"/>
    <s v="EJ-MALANG-01"/>
    <x v="1"/>
    <x v="9"/>
    <s v="GCI1001"/>
    <s v="Pcs"/>
    <n v="32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57"/>
    <m/>
    <x v="1"/>
    <s v="OUB-W0012401-198"/>
    <s v="EJ-Malang-01"/>
    <s v="Oka-0813-2707-1646"/>
    <x v="97"/>
    <d v="1899-12-30T20:11:00"/>
    <s v="EJ-MALANG-01"/>
    <x v="1"/>
    <x v="10"/>
    <s v="GCI1009"/>
    <s v="Pcs"/>
    <n v="20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58"/>
    <m/>
    <x v="1"/>
    <s v="OUB-W0012401-197"/>
    <s v="EJ-Malang-01"/>
    <s v="Oka-0813-2707-1646"/>
    <x v="97"/>
    <d v="1899-12-30T14:19:00"/>
    <s v="EJ-MALANG-01"/>
    <x v="1"/>
    <x v="10"/>
    <s v="GCI1009"/>
    <s v="Pcs"/>
    <n v="50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59"/>
    <m/>
    <x v="1"/>
    <s v="OUB-W0012401-198"/>
    <s v="EJ-Malang-01"/>
    <s v="Oka-0813-2707-1646"/>
    <x v="97"/>
    <d v="1899-12-30T20:11:00"/>
    <s v="EJ-MALANG-01"/>
    <x v="1"/>
    <x v="12"/>
    <s v="GCI1008"/>
    <s v="Pcs"/>
    <n v="20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60"/>
    <m/>
    <x v="1"/>
    <s v="OUB-W0012401-197"/>
    <s v="EJ-Malang-01"/>
    <s v="Oka-0813-2707-1646"/>
    <x v="97"/>
    <d v="1899-12-30T14:19:00"/>
    <s v="EJ-MALANG-01"/>
    <x v="1"/>
    <x v="12"/>
    <s v="GCI1008"/>
    <s v="Pcs"/>
    <n v="50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61"/>
    <m/>
    <x v="5"/>
    <s v="BOO-W0012401-200"/>
    <s v="EJ-Malang-01"/>
    <s v="Oka-0813-2707-1646"/>
    <x v="98"/>
    <d v="1899-12-30T22:46:00"/>
    <s v="Other Subcon"/>
    <x v="0"/>
    <x v="20"/>
    <s v="ZTE1004"/>
    <s v="Pcs"/>
    <n v="1"/>
    <s v="BR004"/>
    <x v="24"/>
    <m/>
    <m/>
    <m/>
    <s v="Agung"/>
    <n v="0"/>
    <n v="0"/>
    <n v="0"/>
    <s v="YPTT Borrowed"/>
    <x v="2"/>
    <s v="YPTT"/>
    <e v="#N/A"/>
    <e v="#N/A"/>
    <s v="BORROW OUT_"/>
  </r>
  <r>
    <s v="662"/>
    <m/>
    <x v="5"/>
    <s v="BOO-W0012401-199"/>
    <s v="EJ-Malang-01"/>
    <s v="Oka-0813-2707-1646"/>
    <x v="98"/>
    <d v="1899-12-30T11:01:00"/>
    <s v="Other Subcon"/>
    <x v="0"/>
    <x v="5"/>
    <s v="ZTE1001"/>
    <s v="Pcs"/>
    <n v="17"/>
    <s v="BR004"/>
    <x v="24"/>
    <m/>
    <m/>
    <m/>
    <s v="Agung"/>
    <n v="0"/>
    <n v="0"/>
    <n v="0"/>
    <s v="Return to YPTT"/>
    <x v="2"/>
    <s v="YPTT"/>
    <e v="#N/A"/>
    <e v="#N/A"/>
    <s v="BORROW OUT_"/>
  </r>
  <r>
    <s v="663"/>
    <m/>
    <x v="0"/>
    <s v="INB-W0012401-204"/>
    <s v="EJ-Malang-01"/>
    <s v="Oka-0813-2707-1646"/>
    <x v="99"/>
    <d v="1900-01-14T07:00:00"/>
    <s v="GCI Procurement"/>
    <x v="1"/>
    <x v="25"/>
    <s v="GCI1010"/>
    <s v="Pcs"/>
    <n v="4"/>
    <s v="MF51-01"/>
    <x v="31"/>
    <n v="0"/>
    <n v="0"/>
    <m/>
    <m/>
    <m/>
    <m/>
    <m/>
    <m/>
    <x v="2"/>
    <s v="HUBFEEDER BATURETNO RW 02"/>
    <e v="#N/A"/>
    <e v="#N/A"/>
    <s v="OUTBOUND_"/>
  </r>
  <r>
    <s v="664"/>
    <m/>
    <x v="0"/>
    <s v="INB-W0012401-204"/>
    <s v="EJ-Malang-01"/>
    <s v="Oka-0813-2707-1646"/>
    <x v="99"/>
    <d v="1900-01-14T07:00:00"/>
    <s v="GCI Procurement"/>
    <x v="1"/>
    <x v="9"/>
    <s v="GCI1001"/>
    <s v="Pcs"/>
    <n v="2"/>
    <s v="CLR51-99-038"/>
    <x v="25"/>
    <n v="0"/>
    <n v="0"/>
    <m/>
    <m/>
    <m/>
    <m/>
    <m/>
    <m/>
    <x v="2"/>
    <s v="Baturetno RW 03 Singosari"/>
    <e v="#N/A"/>
    <e v="#N/A"/>
    <s v="OUTBOUND_"/>
  </r>
  <r>
    <s v="665"/>
    <m/>
    <x v="0"/>
    <s v="INB-W0012401-204"/>
    <s v="EJ-Malang-01"/>
    <s v="Oka-0813-2707-1646"/>
    <x v="99"/>
    <d v="1900-01-14T07:00:00"/>
    <s v="GCI Procurement"/>
    <x v="1"/>
    <x v="10"/>
    <s v="GCI1009"/>
    <s v="Pcs"/>
    <n v="20"/>
    <s v="CLR51-99-038"/>
    <x v="25"/>
    <n v="0"/>
    <n v="0"/>
    <m/>
    <m/>
    <m/>
    <m/>
    <m/>
    <m/>
    <x v="2"/>
    <s v="Baturetno RW 03 Singosari"/>
    <e v="#N/A"/>
    <e v="#N/A"/>
    <s v="OUTBOUND_"/>
  </r>
  <r>
    <s v="666"/>
    <m/>
    <x v="1"/>
    <s v="OUB-W0012401-203"/>
    <s v="EJ-Malang-01"/>
    <s v="Oka-0813-2707-1646"/>
    <x v="99"/>
    <d v="1899-12-30T14:58:00"/>
    <s v="EJ-MALANG-01"/>
    <x v="1"/>
    <x v="10"/>
    <s v="GCI1009"/>
    <s v="Pcs"/>
    <n v="4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667"/>
    <m/>
    <x v="1"/>
    <s v="OUB-W0012401-201"/>
    <s v="EJ-Malang-01"/>
    <s v="Oka-0813-2707-1646"/>
    <x v="99"/>
    <d v="1899-12-30T11:25:00"/>
    <s v="EJ-MALANG-01"/>
    <x v="0"/>
    <x v="2"/>
    <s v="ZTE2008"/>
    <s v="Pcs"/>
    <n v="5"/>
    <s v="CLR29-99-153"/>
    <x v="29"/>
    <m/>
    <m/>
    <m/>
    <s v="Fatur"/>
    <s v="Febby Supplier"/>
    <s v="3515082712870005"/>
    <s v="W 1130 NQ"/>
    <m/>
    <x v="2"/>
    <s v="Perumahan Pondok Mutiara Malang"/>
    <e v="#N/A"/>
    <e v="#N/A"/>
    <s v="OUTBOUND_"/>
  </r>
  <r>
    <s v="668"/>
    <m/>
    <x v="1"/>
    <s v="OUB-W0012401-201"/>
    <s v="EJ-Malang-01"/>
    <s v="Oka-0813-2707-1646"/>
    <x v="99"/>
    <d v="1899-12-30T11:25:00"/>
    <s v="EJ-MALANG-01"/>
    <x v="0"/>
    <x v="2"/>
    <s v="ZTE2008"/>
    <s v="Pcs"/>
    <n v="16"/>
    <s v="CLR51-01-005"/>
    <x v="26"/>
    <m/>
    <m/>
    <m/>
    <s v="Fatur"/>
    <s v="Febby Supplier"/>
    <s v="3515082712870005"/>
    <s v="W 1130 NQ"/>
    <m/>
    <x v="2"/>
    <s v="Baturetno RW 02 Singosari "/>
    <e v="#N/A"/>
    <e v="#N/A"/>
    <s v="OUTBOUND_"/>
  </r>
  <r>
    <s v="669"/>
    <m/>
    <x v="1"/>
    <s v="OUB-W0012401-201"/>
    <s v="EJ-Malang-01"/>
    <s v="Oka-0813-2707-1646"/>
    <x v="99"/>
    <d v="1899-12-30T11:25:00"/>
    <s v="EJ-MALANG-01"/>
    <x v="0"/>
    <x v="2"/>
    <s v="ZTE2008"/>
    <s v="Pcs"/>
    <n v="24"/>
    <s v="CLR51-99-038"/>
    <x v="25"/>
    <m/>
    <m/>
    <m/>
    <s v="Fatur"/>
    <s v="Febby Supplier"/>
    <s v="3515082712870005"/>
    <s v="W 1130 NQ"/>
    <m/>
    <x v="2"/>
    <s v="Baturetno RW 03 Singosari"/>
    <e v="#N/A"/>
    <e v="#N/A"/>
    <s v="OUTBOUND_"/>
  </r>
  <r>
    <s v="670"/>
    <m/>
    <x v="1"/>
    <s v="OUB-W0012401-202"/>
    <s v="EJ-Malang-01"/>
    <s v="Oka-0813-2707-1646"/>
    <x v="99"/>
    <d v="1899-12-30T14:19:00"/>
    <s v="EJ-MALANG-01"/>
    <x v="0"/>
    <x v="5"/>
    <s v="ZTE1001"/>
    <s v="Pcs"/>
    <n v="1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71"/>
    <m/>
    <x v="0"/>
    <s v="INB-W0012401-204"/>
    <s v="EJ-Malang-01"/>
    <s v="Oka-0813-2707-1646"/>
    <x v="99"/>
    <d v="1900-01-14T07:00:00"/>
    <s v="GCI Procurement"/>
    <x v="1"/>
    <x v="12"/>
    <s v="GCI1008"/>
    <s v="Pcs"/>
    <n v="5"/>
    <s v="CLR51-99-038"/>
    <x v="25"/>
    <n v="0"/>
    <n v="0"/>
    <m/>
    <m/>
    <m/>
    <m/>
    <m/>
    <m/>
    <x v="2"/>
    <s v="Baturetno RW 03 Singosari"/>
    <e v="#N/A"/>
    <e v="#N/A"/>
    <s v="OUTBOUND_"/>
  </r>
  <r>
    <s v="672"/>
    <m/>
    <x v="1"/>
    <s v="OUB-W0012401-203"/>
    <s v="EJ-Malang-01"/>
    <s v="Oka-0813-2707-1646"/>
    <x v="99"/>
    <d v="1899-12-30T14:58:00"/>
    <s v="EJ-MALANG-01"/>
    <x v="1"/>
    <x v="12"/>
    <s v="GCI1008"/>
    <s v="Pcs"/>
    <n v="2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673"/>
    <m/>
    <x v="0"/>
    <s v="INB-W0012401-204"/>
    <s v="EJ-Malang-01"/>
    <s v="Oka-0813-2707-1646"/>
    <x v="99"/>
    <d v="1900-01-14T07:00:00"/>
    <s v="GCI Procurement"/>
    <x v="1"/>
    <x v="16"/>
    <s v="GCI1004"/>
    <s v="Pcs"/>
    <n v="30"/>
    <s v="CLR51-99-038"/>
    <x v="25"/>
    <n v="0"/>
    <n v="0"/>
    <m/>
    <m/>
    <m/>
    <m/>
    <m/>
    <m/>
    <x v="2"/>
    <s v="Baturetno RW 03 Singosari"/>
    <e v="#N/A"/>
    <e v="#N/A"/>
    <s v="OUTBOUND_"/>
  </r>
  <r>
    <s v="674"/>
    <m/>
    <x v="1"/>
    <s v="OUB-W0012401-203"/>
    <s v="EJ-Malang-01"/>
    <s v="Oka-0813-2707-1646"/>
    <x v="99"/>
    <d v="1899-12-30T14:58:00"/>
    <s v="EJ-MALANG-01"/>
    <x v="1"/>
    <x v="16"/>
    <s v="GCI1004"/>
    <s v="Pcs"/>
    <n v="5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675"/>
    <m/>
    <x v="1"/>
    <s v="OUB-W0012401-208"/>
    <s v="EJ-Malang-01"/>
    <s v="Oka-0813-2707-1646"/>
    <x v="100"/>
    <d v="1899-12-30T09:49:00"/>
    <s v="EJ-MALANG-01"/>
    <x v="0"/>
    <x v="0"/>
    <s v="ZTE2001"/>
    <s v="Meter"/>
    <n v="3000"/>
    <s v="CLR51-01-005"/>
    <x v="26"/>
    <m/>
    <m/>
    <m/>
    <s v="Riki Romansyah"/>
    <s v="Febby Supplier"/>
    <s v="3507050501950006"/>
    <s v="N 8420 EL"/>
    <s v="1265+735"/>
    <x v="17"/>
    <s v="Baturetno RW 02 Singosari "/>
    <e v="#N/A"/>
    <e v="#N/A"/>
    <s v="OUTBOUND_H-ADSS 24C-20231226-01"/>
  </r>
  <r>
    <s v="676"/>
    <m/>
    <x v="1"/>
    <s v="OUB-W0012401-206"/>
    <s v="EJ-Malang-01"/>
    <s v="Oka-0813-2707-1646"/>
    <x v="100"/>
    <d v="1899-12-30T09:49:00"/>
    <s v="EJ-MALANG-01"/>
    <x v="1"/>
    <x v="9"/>
    <s v="GCI1001"/>
    <s v="Pcs"/>
    <n v="15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677"/>
    <m/>
    <x v="1"/>
    <s v="OUB-W0012401-206"/>
    <s v="EJ-Malang-01"/>
    <s v="Oka-0813-2707-1646"/>
    <x v="100"/>
    <d v="1899-12-30T09:49:00"/>
    <s v="EJ-MALANG-01"/>
    <x v="1"/>
    <x v="10"/>
    <s v="GCI1009"/>
    <s v="Pcs"/>
    <n v="50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678"/>
    <m/>
    <x v="5"/>
    <s v="BOO-W0012401-207"/>
    <s v="EJ-Malang-01"/>
    <s v="Oka-0813-2707-1646"/>
    <x v="100"/>
    <d v="1899-12-30T22:46:00"/>
    <s v="Other Subcon"/>
    <x v="0"/>
    <x v="2"/>
    <s v="ZTE2008"/>
    <s v="Pcs"/>
    <n v="5"/>
    <s v="BR004"/>
    <x v="24"/>
    <m/>
    <m/>
    <m/>
    <s v="Agung"/>
    <n v="0"/>
    <n v="0"/>
    <n v="0"/>
    <s v="YPTT Borrowed"/>
    <x v="2"/>
    <s v="YPTT"/>
    <e v="#N/A"/>
    <e v="#N/A"/>
    <s v="BORROW OUT_"/>
  </r>
  <r>
    <s v="679"/>
    <m/>
    <x v="5"/>
    <s v="BOO-W0012401-207"/>
    <s v="EJ-Malang-01"/>
    <s v="Oka-0813-2707-1646"/>
    <x v="100"/>
    <d v="1899-12-30T22:46:00"/>
    <s v="Other Subcon"/>
    <x v="0"/>
    <x v="3"/>
    <s v="ZTE2005"/>
    <s v="Pcs"/>
    <n v="1"/>
    <s v="BR004"/>
    <x v="24"/>
    <m/>
    <m/>
    <m/>
    <s v="Agung"/>
    <n v="0"/>
    <n v="0"/>
    <n v="0"/>
    <s v="YPTT Borrowed"/>
    <x v="2"/>
    <s v="YPTT"/>
    <e v="#N/A"/>
    <e v="#N/A"/>
    <s v="BORROW OUT_"/>
  </r>
  <r>
    <s v="680"/>
    <m/>
    <x v="1"/>
    <s v="OUB-W0012401-206"/>
    <s v="EJ-Malang-01"/>
    <s v="Oka-0813-2707-1646"/>
    <x v="100"/>
    <d v="1899-12-30T09:49:00"/>
    <s v="EJ-MALANG-01"/>
    <x v="1"/>
    <x v="11"/>
    <s v="GCI1002"/>
    <s v="Pcs"/>
    <n v="1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681"/>
    <m/>
    <x v="1"/>
    <s v="OUB-W0012401-205"/>
    <s v="EJ-Malang-01"/>
    <s v="Oka-0813-2707-1646"/>
    <x v="100"/>
    <d v="1899-12-30T08:30:00"/>
    <s v="EJ-MALANG-01"/>
    <x v="0"/>
    <x v="5"/>
    <s v="ZTE1001"/>
    <s v="Pcs"/>
    <n v="1"/>
    <s v="CLR29-99-153"/>
    <x v="29"/>
    <m/>
    <m/>
    <m/>
    <s v="Agus Suyoto"/>
    <s v="Febby Supplier"/>
    <s v="3515171206680002"/>
    <s v="S 9345 WB"/>
    <m/>
    <x v="2"/>
    <s v="Perumahan Pondok Mutiara Malang"/>
    <e v="#N/A"/>
    <e v="#N/A"/>
    <s v="OUTBOUND_"/>
  </r>
  <r>
    <s v="682"/>
    <m/>
    <x v="1"/>
    <s v="OUB-W0012401-206"/>
    <s v="EJ-Malang-01"/>
    <s v="Oka-0813-2707-1646"/>
    <x v="100"/>
    <d v="1899-12-30T09:49:00"/>
    <s v="EJ-MALANG-01"/>
    <x v="1"/>
    <x v="12"/>
    <s v="GCI1008"/>
    <s v="Pcs"/>
    <n v="32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683"/>
    <m/>
    <x v="1"/>
    <s v="OUB-W0012401-206"/>
    <s v="EJ-Malang-01"/>
    <s v="Oka-0813-2707-1646"/>
    <x v="100"/>
    <d v="1899-12-30T09:49:00"/>
    <s v="EJ-MALANG-01"/>
    <x v="1"/>
    <x v="15"/>
    <s v="GCI1003"/>
    <s v="Pcs"/>
    <n v="100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684"/>
    <m/>
    <x v="1"/>
    <s v="OUB-W0012401-206"/>
    <s v="EJ-Malang-01"/>
    <s v="Oka-0813-2707-1646"/>
    <x v="100"/>
    <d v="1899-12-30T09:49:00"/>
    <s v="EJ-MALANG-01"/>
    <x v="1"/>
    <x v="16"/>
    <s v="GCI1004"/>
    <s v="Pcs"/>
    <n v="14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685"/>
    <m/>
    <x v="2"/>
    <s v="TFI-W0012401-209"/>
    <s v="EJ-Malang-01"/>
    <s v="Oka-0813-2707-1646"/>
    <x v="101"/>
    <d v="1900-01-14T07:00:00"/>
    <s v="EJ-JOMBANG-01"/>
    <x v="1"/>
    <x v="6"/>
    <s v="GCI1011"/>
    <s v="Pcs"/>
    <n v="1"/>
    <s v="TRF"/>
    <x v="20"/>
    <n v="0"/>
    <n v="0"/>
    <m/>
    <m/>
    <m/>
    <m/>
    <m/>
    <s v="Dari Jombang"/>
    <x v="2"/>
    <s v="JOMBANG"/>
    <e v="#N/A"/>
    <e v="#N/A"/>
    <s v="OUTBOUND_"/>
  </r>
  <r>
    <s v="686"/>
    <m/>
    <x v="0"/>
    <s v="INB-W0012401-209"/>
    <s v="EJ-Malang-01"/>
    <s v="Oka-0813-2707-1646"/>
    <x v="101"/>
    <d v="1900-01-14T07:00:00"/>
    <s v="FIELD TEAM"/>
    <x v="1"/>
    <x v="8"/>
    <s v="GCI1005"/>
    <s v="Pcs"/>
    <n v="30"/>
    <s v="CLR29-99-153"/>
    <x v="29"/>
    <s v="RETURN"/>
    <n v="0"/>
    <m/>
    <m/>
    <m/>
    <m/>
    <m/>
    <m/>
    <x v="2"/>
    <s v="Perumahan Pondok Mutiara Malang"/>
    <e v="#N/A"/>
    <e v="#N/A"/>
    <s v="OUTBOUND_"/>
  </r>
  <r>
    <s v="687"/>
    <m/>
    <x v="0"/>
    <s v="INB-W0012401-209"/>
    <s v="EJ-Malang-01"/>
    <s v="Oka-0813-2707-1646"/>
    <x v="101"/>
    <d v="1900-01-14T07:00:00"/>
    <s v="FIELD TEAM"/>
    <x v="1"/>
    <x v="9"/>
    <s v="GCI1001"/>
    <s v="Pcs"/>
    <n v="12"/>
    <s v="CLR29-99-153"/>
    <x v="29"/>
    <s v="RETURN"/>
    <n v="0"/>
    <m/>
    <m/>
    <m/>
    <m/>
    <m/>
    <m/>
    <x v="2"/>
    <s v="Perumahan Pondok Mutiara Malang"/>
    <e v="#N/A"/>
    <e v="#N/A"/>
    <s v="OUTBOUND_"/>
  </r>
  <r>
    <s v="688"/>
    <m/>
    <x v="0"/>
    <s v="INB-W0012401-209"/>
    <s v="EJ-Malang-01"/>
    <s v="Oka-0813-2707-1646"/>
    <x v="101"/>
    <d v="1900-01-14T07:00:00"/>
    <s v="FIELD TEAM"/>
    <x v="1"/>
    <x v="10"/>
    <s v="GCI1009"/>
    <s v="Pcs"/>
    <n v="22"/>
    <s v="CLR29-99-153"/>
    <x v="29"/>
    <s v="RETURN"/>
    <n v="0"/>
    <m/>
    <m/>
    <m/>
    <m/>
    <m/>
    <m/>
    <x v="2"/>
    <s v="Perumahan Pondok Mutiara Malang"/>
    <e v="#N/A"/>
    <e v="#N/A"/>
    <s v="OUTBOUND_"/>
  </r>
  <r>
    <s v="689"/>
    <m/>
    <x v="0"/>
    <s v="INB-W0012401-209"/>
    <s v="EJ-Malang-01"/>
    <s v="Oka-0813-2707-1646"/>
    <x v="101"/>
    <d v="1900-01-14T07:00:00"/>
    <s v="FIELD TEAM"/>
    <x v="1"/>
    <x v="11"/>
    <s v="GCI1002"/>
    <s v="Pcs"/>
    <n v="2"/>
    <s v="CLR29-99-153"/>
    <x v="29"/>
    <s v="RETURN"/>
    <n v="0"/>
    <m/>
    <m/>
    <m/>
    <m/>
    <m/>
    <m/>
    <x v="2"/>
    <s v="Perumahan Pondok Mutiara Malang"/>
    <e v="#N/A"/>
    <e v="#N/A"/>
    <s v="OUTBOUND_"/>
  </r>
  <r>
    <s v="690"/>
    <m/>
    <x v="0"/>
    <s v="INB-W0012401-209"/>
    <s v="EJ-Malang-01"/>
    <s v="Oka-0813-2707-1646"/>
    <x v="101"/>
    <d v="1900-01-14T07:00:00"/>
    <s v="FIELD TEAM"/>
    <x v="1"/>
    <x v="12"/>
    <s v="GCI1008"/>
    <s v="Pcs"/>
    <n v="21"/>
    <s v="CLR29-99-153"/>
    <x v="29"/>
    <s v="RETURN"/>
    <n v="0"/>
    <m/>
    <m/>
    <m/>
    <m/>
    <m/>
    <m/>
    <x v="2"/>
    <s v="Perumahan Pondok Mutiara Malang"/>
    <e v="#N/A"/>
    <e v="#N/A"/>
    <s v="OUTBOUND_"/>
  </r>
  <r>
    <s v="691"/>
    <m/>
    <x v="2"/>
    <s v="TFI-W0012401-209"/>
    <s v="EJ-Malang-01"/>
    <s v="Oka-0813-2707-1646"/>
    <x v="101"/>
    <d v="1900-01-14T07:00:00"/>
    <s v="EJ-JOMBANG-01"/>
    <x v="1"/>
    <x v="12"/>
    <s v="GCI1008"/>
    <s v="Pcs"/>
    <n v="100"/>
    <s v="TRF"/>
    <x v="20"/>
    <n v="0"/>
    <n v="0"/>
    <m/>
    <m/>
    <m/>
    <m/>
    <m/>
    <s v="Dari Jombang"/>
    <x v="2"/>
    <s v="JOMBANG"/>
    <e v="#N/A"/>
    <e v="#N/A"/>
    <s v="OUTBOUND_"/>
  </r>
  <r>
    <s v="692"/>
    <m/>
    <x v="0"/>
    <s v="INB-W0012401-209"/>
    <s v="EJ-Malang-01"/>
    <s v="Oka-0813-2707-1646"/>
    <x v="101"/>
    <d v="1900-01-14T07:00:00"/>
    <s v="FIELD TEAM"/>
    <x v="1"/>
    <x v="15"/>
    <s v="GCI1003"/>
    <s v="Pcs"/>
    <n v="32"/>
    <s v="CLR29-99-153"/>
    <x v="29"/>
    <s v="RETURN"/>
    <n v="0"/>
    <m/>
    <m/>
    <m/>
    <m/>
    <m/>
    <m/>
    <x v="2"/>
    <s v="Perumahan Pondok Mutiara Malang"/>
    <e v="#N/A"/>
    <e v="#N/A"/>
    <s v="OUTBOUND_"/>
  </r>
  <r>
    <s v="693"/>
    <m/>
    <x v="0"/>
    <s v="INB-W0012401-209"/>
    <s v="EJ-Malang-01"/>
    <s v="Oka-0813-2707-1646"/>
    <x v="101"/>
    <d v="1900-01-14T07:00:00"/>
    <s v="FIELD TEAM"/>
    <x v="1"/>
    <x v="16"/>
    <s v="GCI1004"/>
    <s v="Pcs"/>
    <n v="24"/>
    <s v="CLR29-99-153"/>
    <x v="29"/>
    <s v="RETURN"/>
    <n v="0"/>
    <m/>
    <m/>
    <m/>
    <m/>
    <m/>
    <m/>
    <x v="2"/>
    <s v="Perumahan Pondok Mutiara Malang"/>
    <e v="#N/A"/>
    <e v="#N/A"/>
    <s v="OUTBOUND_"/>
  </r>
  <r>
    <s v="694"/>
    <m/>
    <x v="2"/>
    <s v="TFI-W0012401-209"/>
    <s v="EJ-Malang-01"/>
    <s v="Oka-0813-2707-1646"/>
    <x v="101"/>
    <d v="1900-01-14T07:00:00"/>
    <s v="EJ-JOMBANG-01"/>
    <x v="1"/>
    <x v="16"/>
    <s v="GCI1004"/>
    <s v="Pcs"/>
    <n v="80"/>
    <s v="TRF"/>
    <x v="20"/>
    <n v="0"/>
    <n v="0"/>
    <m/>
    <m/>
    <m/>
    <m/>
    <m/>
    <s v="Dari Jombang"/>
    <x v="2"/>
    <s v="JOMBANG"/>
    <e v="#N/A"/>
    <e v="#N/A"/>
    <s v="OUTBOUND_"/>
  </r>
  <r>
    <s v="695"/>
    <m/>
    <x v="1"/>
    <s v="OUB-W0012401-210"/>
    <s v="EJ-Malang-01"/>
    <s v="Oka-0813-2707-1646"/>
    <x v="102"/>
    <d v="1899-12-30T14:58:00"/>
    <s v="EJ-MALANG-01"/>
    <x v="1"/>
    <x v="6"/>
    <s v="GCI1011"/>
    <s v="Pcs"/>
    <n v="1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96"/>
    <m/>
    <x v="1"/>
    <s v="OUB-W0012401-210"/>
    <s v="EJ-Malang-01"/>
    <s v="Oka-0813-2707-1646"/>
    <x v="102"/>
    <d v="1899-12-30T14:58:00"/>
    <s v="EJ-MALANG-01"/>
    <x v="1"/>
    <x v="8"/>
    <s v="GCI1005"/>
    <s v="Pcs"/>
    <n v="110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97"/>
    <m/>
    <x v="1"/>
    <s v="OUB-W0012401-210"/>
    <s v="EJ-Malang-01"/>
    <s v="Oka-0813-2707-1646"/>
    <x v="102"/>
    <d v="1899-12-30T14:58:00"/>
    <s v="EJ-MALANG-01"/>
    <x v="1"/>
    <x v="12"/>
    <s v="GCI1008"/>
    <s v="Pcs"/>
    <n v="36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98"/>
    <m/>
    <x v="1"/>
    <s v="OUB-W0012401-211"/>
    <s v="EJ-Malang-01"/>
    <s v="Oka-0813-2707-1646"/>
    <x v="103"/>
    <d v="1899-12-30T17:17:00"/>
    <s v="EJ-MALANG-01"/>
    <x v="0"/>
    <x v="4"/>
    <s v="ZTE1002"/>
    <s v="Pcs"/>
    <n v="1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699"/>
    <m/>
    <x v="1"/>
    <s v="OUB-W0012401-211"/>
    <s v="EJ-Malang-01"/>
    <s v="Oka-0813-2707-1646"/>
    <x v="103"/>
    <d v="1899-12-30T17:17:00"/>
    <s v="EJ-MALANG-01"/>
    <x v="0"/>
    <x v="5"/>
    <s v="ZTE1001"/>
    <s v="Pcs"/>
    <n v="1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700"/>
    <m/>
    <x v="5"/>
    <s v="BOO-W0012402-212"/>
    <s v="EJ-Malang-01"/>
    <s v="Oka-0813-2707-1646"/>
    <x v="104"/>
    <d v="1899-12-30T08:30:00"/>
    <s v="Other Subcon"/>
    <x v="0"/>
    <x v="4"/>
    <s v="ZTE1002"/>
    <s v="Pcs"/>
    <n v="3"/>
    <s v="BR004"/>
    <x v="24"/>
    <m/>
    <m/>
    <m/>
    <s v="Hendra"/>
    <n v="0"/>
    <n v="0"/>
    <n v="0"/>
    <s v="YPTT"/>
    <x v="2"/>
    <s v="YPTT"/>
    <e v="#N/A"/>
    <e v="#N/A"/>
    <s v="BORROW OUT_"/>
  </r>
  <r>
    <s v="701"/>
    <m/>
    <x v="5"/>
    <s v="BOO-W0012402-212"/>
    <s v="EJ-Malang-01"/>
    <s v="Oka-0813-2707-1646"/>
    <x v="104"/>
    <d v="1899-12-30T08:30:00"/>
    <s v="Other Subcon"/>
    <x v="0"/>
    <x v="5"/>
    <s v="ZTE1001"/>
    <s v="Pcs"/>
    <n v="2"/>
    <s v="BR004"/>
    <x v="24"/>
    <m/>
    <m/>
    <m/>
    <s v="Hendra"/>
    <n v="0"/>
    <n v="0"/>
    <n v="0"/>
    <s v="Return to YPTT"/>
    <x v="2"/>
    <s v="YPTT"/>
    <e v="#N/A"/>
    <e v="#N/A"/>
    <s v="BORROW OUT_"/>
  </r>
  <r>
    <s v="702"/>
    <m/>
    <x v="5"/>
    <s v="BOO-W0012402-212"/>
    <s v="EJ-Malang-01"/>
    <s v="Oka-0813-2707-1646"/>
    <x v="104"/>
    <d v="1899-12-30T08:30:00"/>
    <s v="Other Subcon"/>
    <x v="0"/>
    <x v="5"/>
    <s v="ZTE1001"/>
    <s v="Pcs"/>
    <n v="6"/>
    <s v="BR004"/>
    <x v="24"/>
    <m/>
    <m/>
    <m/>
    <s v="Hendra"/>
    <n v="0"/>
    <n v="0"/>
    <n v="0"/>
    <s v="YPTT Borrowed"/>
    <x v="2"/>
    <s v="YPTT"/>
    <e v="#N/A"/>
    <e v="#N/A"/>
    <s v="BORROW OUT_"/>
  </r>
  <r>
    <s v="703"/>
    <m/>
    <x v="1"/>
    <s v="OUB-W0012402-213"/>
    <s v="EJ-Malang-01"/>
    <s v="Oka-0813-2707-1646"/>
    <x v="105"/>
    <d v="1899-12-30T15:10:00"/>
    <s v="EJ-MALANG-01"/>
    <x v="1"/>
    <x v="9"/>
    <s v="GCI1001"/>
    <s v="Pcs"/>
    <n v="1"/>
    <s v="CLR51-99-038"/>
    <x v="25"/>
    <m/>
    <m/>
    <m/>
    <s v="Riki Romansyah"/>
    <s v="Febby Supplier"/>
    <s v="3507050501950006"/>
    <s v="N 8420 EL"/>
    <m/>
    <x v="2"/>
    <s v="Baturetno RW 03 Singosari"/>
    <e v="#N/A"/>
    <e v="#N/A"/>
    <s v="OUTBOUND_"/>
  </r>
  <r>
    <s v="704"/>
    <m/>
    <x v="1"/>
    <s v="OUB-W0012402-213"/>
    <s v="EJ-Malang-01"/>
    <s v="Oka-0813-2707-1646"/>
    <x v="105"/>
    <d v="1899-12-30T15:10:00"/>
    <s v="EJ-MALANG-01"/>
    <x v="1"/>
    <x v="10"/>
    <s v="GCI1009"/>
    <s v="Pcs"/>
    <n v="10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705"/>
    <m/>
    <x v="1"/>
    <s v="OUB-W0012402-213"/>
    <s v="EJ-Malang-01"/>
    <s v="Oka-0813-2707-1646"/>
    <x v="105"/>
    <d v="1899-12-30T15:10:00"/>
    <s v="EJ-MALANG-01"/>
    <x v="1"/>
    <x v="12"/>
    <s v="GCI1008"/>
    <s v="Pcs"/>
    <n v="5"/>
    <s v="CLR51-01-005"/>
    <x v="26"/>
    <m/>
    <m/>
    <m/>
    <s v="Riki Romansyah"/>
    <s v="Febby Supplier"/>
    <s v="3507050501950006"/>
    <s v="N 8420 EL"/>
    <m/>
    <x v="2"/>
    <s v="Baturetno RW 02 Singosari "/>
    <e v="#N/A"/>
    <e v="#N/A"/>
    <s v="OUTBOUND_"/>
  </r>
  <r>
    <s v="706"/>
    <m/>
    <x v="0"/>
    <s v="INB-W0012402-214"/>
    <s v="EJ-Malang-01"/>
    <s v="Oka-0813-2707-1646"/>
    <x v="106"/>
    <d v="1900-01-14T07:00:00"/>
    <s v="FIELD TEAM"/>
    <x v="1"/>
    <x v="9"/>
    <s v="GCI1001"/>
    <s v="Pcs"/>
    <n v="1"/>
    <s v="CLR51-99-026"/>
    <x v="19"/>
    <s v="RETURN"/>
    <n v="0"/>
    <m/>
    <m/>
    <m/>
    <m/>
    <m/>
    <m/>
    <x v="2"/>
    <s v="Jedong RW 07 Wagir"/>
    <e v="#N/A"/>
    <e v="#N/A"/>
    <s v="OUTBOUND_"/>
  </r>
  <r>
    <s v="707"/>
    <m/>
    <x v="2"/>
    <s v="TFI-W0012402-217"/>
    <s v="EJ-Malang-01"/>
    <s v="Oka-0813-2707-1646"/>
    <x v="107"/>
    <d v="1900-01-14T07:00:00"/>
    <s v="ZTE Warehouse"/>
    <x v="0"/>
    <x v="2"/>
    <s v="ZTE2008"/>
    <s v="Pcs"/>
    <n v="1"/>
    <s v="TRF"/>
    <x v="17"/>
    <n v="0"/>
    <s v="TRANSFER GUDANG"/>
    <m/>
    <m/>
    <m/>
    <m/>
    <m/>
    <m/>
    <x v="2"/>
    <n v="0"/>
    <e v="#N/A"/>
    <e v="#N/A"/>
    <s v="OUTBOUND_"/>
  </r>
  <r>
    <s v="708"/>
    <m/>
    <x v="1"/>
    <s v="OUB-W0012402-216"/>
    <s v="EJ-Malang-01"/>
    <s v="Oka-0813-2707-1646"/>
    <x v="107"/>
    <d v="1899-12-30T22:41:00"/>
    <s v="EJ-MALANG-01"/>
    <x v="0"/>
    <x v="5"/>
    <s v="ZTE1001"/>
    <s v="Pcs"/>
    <n v="3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709"/>
    <m/>
    <x v="1"/>
    <s v="OUB-W0012402-215"/>
    <s v="EJ-Malang-01"/>
    <s v="Oka-0813-2707-1646"/>
    <x v="107"/>
    <d v="1899-12-30T01:49:00"/>
    <s v="EJ-MALANG-01"/>
    <x v="0"/>
    <x v="5"/>
    <s v="ZTE1001"/>
    <s v="Pcs"/>
    <n v="24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710"/>
    <m/>
    <x v="1"/>
    <s v="OUB-W0012402-216"/>
    <s v="EJ-Malang-01"/>
    <s v="Oka-0813-2707-1646"/>
    <x v="107"/>
    <d v="1899-12-30T22:41:00"/>
    <s v="EJ-MALANG-01"/>
    <x v="0"/>
    <x v="19"/>
    <s v="ZTE1003"/>
    <s v="Pcs"/>
    <n v="2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711"/>
    <m/>
    <x v="1"/>
    <s v="OUB-W0012402-215"/>
    <s v="EJ-Malang-01"/>
    <s v="Oka-0813-2707-1646"/>
    <x v="107"/>
    <d v="1899-12-30T01:49:00"/>
    <s v="EJ-MALANG-01"/>
    <x v="0"/>
    <x v="19"/>
    <s v="ZTE1003"/>
    <s v="Pcs"/>
    <n v="3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712"/>
    <m/>
    <x v="1"/>
    <s v="OUB-W0012402-218"/>
    <s v="EJ-Malang-01"/>
    <s v="Oka-0813-2707-1646"/>
    <x v="108"/>
    <d v="1899-12-30T10:35:00"/>
    <s v="EJ-MALANG-01"/>
    <x v="0"/>
    <x v="5"/>
    <s v="ZTE1001"/>
    <s v="Pcs"/>
    <n v="19"/>
    <s v="CLR29-99-153"/>
    <x v="29"/>
    <m/>
    <m/>
    <m/>
    <s v="Riki Romansyah"/>
    <s v="Febby Supplier"/>
    <s v="3507050501950006"/>
    <s v="N 8420 EL"/>
    <m/>
    <x v="2"/>
    <s v="Perumahan Pondok Mutiara Malang"/>
    <e v="#N/A"/>
    <e v="#N/A"/>
    <s v="OUTBOUND_"/>
  </r>
  <r>
    <s v="713"/>
    <m/>
    <x v="0"/>
    <s v="INB-W0012402-222"/>
    <s v="EJ-Malang-01"/>
    <s v="Oka-0813-2707-1646"/>
    <x v="109"/>
    <d v="1900-01-14T07:00:00"/>
    <s v="GCI Procurement"/>
    <x v="1"/>
    <x v="18"/>
    <s v="GCI1012"/>
    <s v="Pcs"/>
    <n v="110"/>
    <s v="MF51-01"/>
    <x v="31"/>
    <n v="0"/>
    <n v="0"/>
    <m/>
    <m/>
    <m/>
    <m/>
    <m/>
    <s v="dari Fahrudin"/>
    <x v="2"/>
    <s v="HUBFEEDER BATURETNO RW 02"/>
    <e v="#N/A"/>
    <e v="#N/A"/>
    <s v="OUTBOUND_"/>
  </r>
  <r>
    <s v="714"/>
    <m/>
    <x v="1"/>
    <s v="OUB-W0012402-219"/>
    <s v="EJ-Malang-01"/>
    <s v="Oka-0813-2707-1646"/>
    <x v="109"/>
    <d v="1899-12-30T10:13:00"/>
    <s v="EJ-MALANG-01"/>
    <x v="1"/>
    <x v="9"/>
    <s v="GCI1001"/>
    <s v="Pcs"/>
    <n v="5"/>
    <s v="CLR51-99-082"/>
    <x v="33"/>
    <m/>
    <m/>
    <m/>
    <s v="Riki Romansyah"/>
    <s v="Febby Supplier"/>
    <s v="3507050501950006"/>
    <s v="N 8420 EL"/>
    <m/>
    <x v="2"/>
    <s v="Dengkol RW 02 Singosari Malang"/>
    <e v="#N/A"/>
    <e v="#N/A"/>
    <s v="OUTBOUND_"/>
  </r>
  <r>
    <s v="715"/>
    <m/>
    <x v="1"/>
    <s v="OUB-W0012402-220"/>
    <s v="EJ-Malang-01"/>
    <s v="Oka-0813-2707-1646"/>
    <x v="109"/>
    <d v="1899-12-30T15:13:00"/>
    <s v="EJ-MALANG-01"/>
    <x v="1"/>
    <x v="10"/>
    <s v="GCI1009"/>
    <s v="Pcs"/>
    <n v="11"/>
    <s v="CLR29-99-153"/>
    <x v="29"/>
    <m/>
    <m/>
    <m/>
    <s v="Riki Romansyah"/>
    <s v="Febby Supplier"/>
    <s v="3507050501950006"/>
    <s v="N 8420 EL"/>
    <m/>
    <x v="2"/>
    <s v="Perumahan Pondok Mutiara Malang"/>
    <e v="#N/A"/>
    <e v="#N/A"/>
    <s v="OUTBOUND_"/>
  </r>
  <r>
    <s v="716"/>
    <m/>
    <x v="1"/>
    <s v="OUB-W0012402-219"/>
    <s v="EJ-Malang-01"/>
    <s v="Oka-0813-2707-1646"/>
    <x v="109"/>
    <d v="1899-12-30T10:13:00"/>
    <s v="EJ-MALANG-01"/>
    <x v="1"/>
    <x v="10"/>
    <s v="GCI1009"/>
    <s v="Pcs"/>
    <n v="16"/>
    <s v="CLR51-99-082"/>
    <x v="33"/>
    <m/>
    <m/>
    <m/>
    <s v="Riki Romansyah"/>
    <s v="Febby Supplier"/>
    <s v="3507050501950006"/>
    <s v="N 8420 EL"/>
    <m/>
    <x v="2"/>
    <s v="Dengkol RW 02 Singosari Malang"/>
    <e v="#N/A"/>
    <e v="#N/A"/>
    <s v="OUTBOUND_"/>
  </r>
  <r>
    <s v="717"/>
    <m/>
    <x v="1"/>
    <s v="OUB-W0012402-219"/>
    <s v="EJ-Malang-01"/>
    <s v="Oka-0813-2707-1646"/>
    <x v="109"/>
    <d v="1899-12-30T10:13:00"/>
    <s v="EJ-MALANG-01"/>
    <x v="1"/>
    <x v="11"/>
    <s v="GCI1002"/>
    <s v="Pcs"/>
    <n v="1"/>
    <s v="CLR51-99-082"/>
    <x v="33"/>
    <m/>
    <m/>
    <m/>
    <s v="Riki Romansyah"/>
    <s v="Febby Supplier"/>
    <s v="3507050501950006"/>
    <s v="N 8420 EL"/>
    <m/>
    <x v="2"/>
    <s v="Dengkol RW 02 Singosari Malang"/>
    <e v="#N/A"/>
    <e v="#N/A"/>
    <s v="OUTBOUND_"/>
  </r>
  <r>
    <s v="718"/>
    <m/>
    <x v="1"/>
    <s v="OUB-W0012402-221"/>
    <s v="EJ-Malang-01"/>
    <s v="Oka-0813-2707-1646"/>
    <x v="109"/>
    <d v="1899-12-30T16:59:00"/>
    <s v="EJ-MALANG-01"/>
    <x v="0"/>
    <x v="5"/>
    <s v="ZTE1001"/>
    <s v="Pcs"/>
    <n v="1"/>
    <s v="CLR29-99-153"/>
    <x v="29"/>
    <m/>
    <m/>
    <m/>
    <s v="Riki Romansyah"/>
    <s v="Febby Supplier"/>
    <s v="3507050501950006"/>
    <s v="N 8420 EL"/>
    <m/>
    <x v="2"/>
    <s v="Perumahan Pondok Mutiara Malang"/>
    <e v="#N/A"/>
    <e v="#N/A"/>
    <s v="OUTBOUND_"/>
  </r>
  <r>
    <s v="719"/>
    <m/>
    <x v="1"/>
    <s v="OUB-W0012402-219"/>
    <s v="EJ-Malang-01"/>
    <s v="Oka-0813-2707-1646"/>
    <x v="109"/>
    <d v="1899-12-30T10:13:00"/>
    <s v="EJ-MALANG-01"/>
    <x v="1"/>
    <x v="12"/>
    <s v="GCI1008"/>
    <s v="Pcs"/>
    <n v="7"/>
    <s v="CLR51-99-082"/>
    <x v="33"/>
    <m/>
    <m/>
    <m/>
    <s v="Riki Romansyah"/>
    <s v="Febby Supplier"/>
    <s v="3507050501950006"/>
    <s v="N 8420 EL"/>
    <m/>
    <x v="2"/>
    <s v="Dengkol RW 02 Singosari Malang"/>
    <e v="#N/A"/>
    <e v="#N/A"/>
    <s v="OUTBOUND_"/>
  </r>
  <r>
    <s v="720"/>
    <m/>
    <x v="1"/>
    <s v="OUB-W0012402-220"/>
    <s v="EJ-Malang-01"/>
    <s v="Oka-0813-2707-1646"/>
    <x v="109"/>
    <d v="1899-12-30T15:13:00"/>
    <s v="EJ-MALANG-01"/>
    <x v="1"/>
    <x v="12"/>
    <s v="GCI1008"/>
    <s v="Pcs"/>
    <n v="20"/>
    <s v="CLR29-99-153"/>
    <x v="29"/>
    <m/>
    <m/>
    <m/>
    <s v="Riki Romansyah"/>
    <s v="Febby Supplier"/>
    <s v="3507050501950006"/>
    <s v="N 8420 EL"/>
    <m/>
    <x v="2"/>
    <s v="Perumahan Pondok Mutiara Malang"/>
    <e v="#N/A"/>
    <e v="#N/A"/>
    <s v="OUTBOUND_"/>
  </r>
  <r>
    <s v="721"/>
    <m/>
    <x v="1"/>
    <s v="OUB-W0012402-219"/>
    <s v="EJ-Malang-01"/>
    <s v="Oka-0813-2707-1646"/>
    <x v="109"/>
    <d v="1899-12-30T10:13:00"/>
    <s v="EJ-MALANG-01"/>
    <x v="1"/>
    <x v="15"/>
    <s v="GCI1003"/>
    <s v="Pcs"/>
    <n v="50"/>
    <s v="CLR51-99-082"/>
    <x v="33"/>
    <m/>
    <m/>
    <m/>
    <s v="Riki Romansyah"/>
    <s v="Febby Supplier"/>
    <s v="3507050501950006"/>
    <s v="N 8420 EL"/>
    <m/>
    <x v="2"/>
    <s v="Dengkol RW 02 Singosari Malang"/>
    <e v="#N/A"/>
    <e v="#N/A"/>
    <s v="OUTBOUND_"/>
  </r>
  <r>
    <s v="722"/>
    <m/>
    <x v="1"/>
    <s v="OUB-W0012402-219"/>
    <s v="EJ-Malang-01"/>
    <s v="Oka-0813-2707-1646"/>
    <x v="109"/>
    <d v="1899-12-30T10:13:00"/>
    <s v="EJ-MALANG-01"/>
    <x v="1"/>
    <x v="16"/>
    <s v="GCI1004"/>
    <s v="Pcs"/>
    <n v="13"/>
    <s v="CLR51-99-082"/>
    <x v="33"/>
    <m/>
    <m/>
    <m/>
    <s v="Riki Romansyah"/>
    <s v="Febby Supplier"/>
    <s v="3507050501950006"/>
    <s v="N 8420 EL"/>
    <m/>
    <x v="2"/>
    <s v="Dengkol RW 02 Singosari Malang"/>
    <e v="#N/A"/>
    <e v="#N/A"/>
    <s v="OUTBOUND_"/>
  </r>
  <r>
    <s v="723"/>
    <m/>
    <x v="1"/>
    <s v="OUB-W0012402-220"/>
    <s v="EJ-Malang-01"/>
    <s v="Oka-0813-2707-1646"/>
    <x v="109"/>
    <d v="1899-12-30T15:13:00"/>
    <s v="EJ-MALANG-01"/>
    <x v="1"/>
    <x v="16"/>
    <s v="GCI1004"/>
    <s v="Pcs"/>
    <n v="23"/>
    <s v="CLR29-99-153"/>
    <x v="29"/>
    <m/>
    <m/>
    <m/>
    <s v="Riki Romansyah"/>
    <s v="Febby Supplier"/>
    <s v="3507050501950006"/>
    <s v="N 8420 EL"/>
    <m/>
    <x v="2"/>
    <s v="Perumahan Pondok Mutiara Malang"/>
    <e v="#N/A"/>
    <e v="#N/A"/>
    <s v="OUTBOUND_"/>
  </r>
  <r>
    <s v="724"/>
    <m/>
    <x v="1"/>
    <s v="OUB-W0012402-223"/>
    <s v="EJ-Malang-01"/>
    <s v="Oka-0813-2707-1646"/>
    <x v="110"/>
    <d v="1899-12-30T13:25:00"/>
    <s v="EJ-MALANG-01"/>
    <x v="0"/>
    <x v="2"/>
    <s v="ZTE2008"/>
    <s v="Pcs"/>
    <n v="2"/>
    <s v="CLR51-99-083"/>
    <x v="34"/>
    <m/>
    <m/>
    <m/>
    <s v="Fatur"/>
    <s v="Febby Supplier"/>
    <s v="3515082712870005"/>
    <s v="W 1130 NQ"/>
    <m/>
    <x v="2"/>
    <s v="Dengkol RW 03 Singosari Malang"/>
    <e v="#N/A"/>
    <e v="#N/A"/>
    <s v="OUTBOUND_"/>
  </r>
  <r>
    <s v="725"/>
    <m/>
    <x v="1"/>
    <s v="OUB-W0012402-223"/>
    <s v="EJ-Malang-01"/>
    <s v="Oka-0813-2707-1646"/>
    <x v="110"/>
    <d v="1899-12-30T13:25:00"/>
    <s v="EJ-MALANG-01"/>
    <x v="0"/>
    <x v="2"/>
    <s v="ZTE2008"/>
    <s v="Pcs"/>
    <n v="3"/>
    <s v="CLR51-99-082"/>
    <x v="33"/>
    <m/>
    <m/>
    <m/>
    <s v="Fatur"/>
    <s v="Febby Supplier"/>
    <s v="3515082712870005"/>
    <s v="W 1130 NQ"/>
    <m/>
    <x v="2"/>
    <s v="Dengkol RW 02 Singosari Malang"/>
    <e v="#N/A"/>
    <e v="#N/A"/>
    <s v="OUTBOUND_"/>
  </r>
  <r>
    <s v="726"/>
    <m/>
    <x v="0"/>
    <s v="INB-W0012402-224"/>
    <s v="EJ-Malang-01"/>
    <s v="Oka-0813-2707-1646"/>
    <x v="111"/>
    <d v="1900-01-14T07:00:00"/>
    <s v="ZTE Warehouse"/>
    <x v="0"/>
    <x v="0"/>
    <s v="ZTE2001"/>
    <s v="Meter"/>
    <n v="3000"/>
    <s v="CLR51-99-078"/>
    <x v="35"/>
    <s v="DOEID24021521"/>
    <s v="DNWID0342024021507"/>
    <m/>
    <m/>
    <m/>
    <m/>
    <m/>
    <m/>
    <x v="27"/>
    <s v="Bumiayu RW 03 Kedungkandang"/>
    <d v="2024-02-15T00:00:00"/>
    <b v="1"/>
    <s v="OUTBOUND_H-ADSS 24C-2024215-01"/>
  </r>
  <r>
    <s v="727"/>
    <m/>
    <x v="0"/>
    <s v="INB-W0012402-224"/>
    <s v="EJ-Malang-01"/>
    <s v="Oka-0813-2707-1646"/>
    <x v="111"/>
    <d v="1900-01-14T07:00:00"/>
    <s v="ZTE Warehouse"/>
    <x v="0"/>
    <x v="1"/>
    <s v="ZTE2003"/>
    <s v="Meter"/>
    <n v="3000"/>
    <s v="CLR51-99-078"/>
    <x v="35"/>
    <s v="DOEID24021521"/>
    <s v="DNWID0342024021507"/>
    <m/>
    <m/>
    <m/>
    <m/>
    <m/>
    <m/>
    <x v="28"/>
    <s v="Bumiayu RW 03 Kedungkandang"/>
    <d v="2024-02-15T00:00:00"/>
    <b v="1"/>
    <s v="OUTBOUND_H-ADSS 48C-2024215-01"/>
  </r>
  <r>
    <s v="728"/>
    <m/>
    <x v="0"/>
    <s v="INB-W0012402-224"/>
    <s v="EJ-Malang-01"/>
    <s v="Oka-0813-2707-1646"/>
    <x v="111"/>
    <d v="1900-01-14T07:00:00"/>
    <s v="ZTE Warehouse"/>
    <x v="0"/>
    <x v="1"/>
    <s v="ZTE2003"/>
    <s v="Meter"/>
    <n v="3000"/>
    <s v="CLR51-99-078"/>
    <x v="35"/>
    <s v="DOEID24021521"/>
    <s v="DNWID0342024021507"/>
    <m/>
    <m/>
    <m/>
    <m/>
    <m/>
    <m/>
    <x v="29"/>
    <s v="Bumiayu RW 03 Kedungkandang"/>
    <d v="2024-02-15T00:00:00"/>
    <b v="1"/>
    <s v="OUTBOUND_H-ADSS 48C-2024215-02"/>
  </r>
  <r>
    <s v="729"/>
    <m/>
    <x v="0"/>
    <s v="INB-W0012402-224"/>
    <s v="EJ-Malang-01"/>
    <s v="Oka-0813-2707-1646"/>
    <x v="111"/>
    <d v="1900-01-14T07:00:00"/>
    <s v="ZTE Warehouse"/>
    <x v="0"/>
    <x v="28"/>
    <s v="ZTE2010"/>
    <s v="Pcs"/>
    <n v="3"/>
    <s v="CLR51-99-067"/>
    <x v="36"/>
    <s v="DOEID24021519"/>
    <s v="DNWID0342024021506"/>
    <m/>
    <m/>
    <m/>
    <m/>
    <m/>
    <m/>
    <x v="2"/>
    <s v="Bandulan RW 08 Sukun"/>
    <d v="2024-02-15T00:00:00"/>
    <b v="1"/>
    <s v="OUTBOUND_"/>
  </r>
  <r>
    <s v="730"/>
    <m/>
    <x v="0"/>
    <s v="INB-W0012402-226"/>
    <s v="EJ-Malang-01"/>
    <s v="Oka-0813-2707-1646"/>
    <x v="111"/>
    <d v="1900-01-14T07:00:00"/>
    <s v="ZTE Warehouse"/>
    <x v="0"/>
    <x v="28"/>
    <s v="ZTE2010"/>
    <s v="Pcs"/>
    <n v="6"/>
    <s v="CLR51-99-078"/>
    <x v="35"/>
    <s v="DOEID24021521"/>
    <s v="DNWID0342024021507"/>
    <m/>
    <m/>
    <m/>
    <m/>
    <m/>
    <m/>
    <x v="2"/>
    <s v="Bumiayu RW 03 Kedungkandang"/>
    <d v="2024-02-15T00:00:00"/>
    <b v="1"/>
    <s v="OUTBOUND_"/>
  </r>
  <r>
    <s v="731"/>
    <m/>
    <x v="1"/>
    <s v="OUB-W0012402-225"/>
    <s v="EJ-Malang-01"/>
    <s v="Oka-0813-2707-1646"/>
    <x v="111"/>
    <d v="1899-12-30T11:04:00"/>
    <s v="EJ-MALANG-01"/>
    <x v="1"/>
    <x v="8"/>
    <s v="GCI1005"/>
    <s v="Pcs"/>
    <n v="25"/>
    <s v="CLR51-99-067"/>
    <x v="36"/>
    <m/>
    <m/>
    <m/>
    <s v="Riki Romansyah"/>
    <s v="Febby Supplier"/>
    <s v="3507050501950006"/>
    <s v="N 8420 EL"/>
    <m/>
    <x v="2"/>
    <s v="Bandulan RW 08 Sukun"/>
    <e v="#N/A"/>
    <e v="#N/A"/>
    <s v="OUTBOUND_"/>
  </r>
  <r>
    <s v="732"/>
    <m/>
    <x v="1"/>
    <s v="OUB-W0012402-225"/>
    <s v="EJ-Malang-01"/>
    <s v="Oka-0813-2707-1646"/>
    <x v="111"/>
    <d v="1899-12-30T11:04:00"/>
    <s v="EJ-MALANG-01"/>
    <x v="1"/>
    <x v="9"/>
    <s v="GCI1001"/>
    <s v="Pcs"/>
    <n v="6"/>
    <s v="CLR51-99-067"/>
    <x v="36"/>
    <m/>
    <m/>
    <m/>
    <s v="Riki Romansyah"/>
    <s v="Febby Supplier"/>
    <s v="3507050501950006"/>
    <s v="N 8420 EL"/>
    <m/>
    <x v="2"/>
    <s v="Bandulan RW 08 Sukun"/>
    <e v="#N/A"/>
    <e v="#N/A"/>
    <s v="OUTBOUND_"/>
  </r>
  <r>
    <s v="733"/>
    <m/>
    <x v="1"/>
    <s v="OUB-W0012402-225"/>
    <s v="EJ-Malang-01"/>
    <s v="Oka-0813-2707-1646"/>
    <x v="111"/>
    <d v="1899-12-30T11:04:00"/>
    <s v="EJ-MALANG-01"/>
    <x v="1"/>
    <x v="10"/>
    <s v="GCI1009"/>
    <s v="Pcs"/>
    <n v="50"/>
    <s v="CLR51-99-067"/>
    <x v="36"/>
    <m/>
    <m/>
    <m/>
    <s v="Riki Romansyah"/>
    <s v="Febby Supplier"/>
    <s v="3507050501950006"/>
    <s v="N 8420 EL"/>
    <m/>
    <x v="2"/>
    <s v="Bandulan RW 08 Sukun"/>
    <e v="#N/A"/>
    <e v="#N/A"/>
    <s v="OUTBOUND_"/>
  </r>
  <r>
    <s v="734"/>
    <m/>
    <x v="2"/>
    <s v="TFI-W0012402-226"/>
    <s v="EJ-Malang-01"/>
    <s v="Oka-0813-2707-1646"/>
    <x v="111"/>
    <d v="1900-01-14T07:00:00"/>
    <s v="ZTE Warehouse"/>
    <x v="0"/>
    <x v="2"/>
    <s v="ZTE2008"/>
    <s v="Pcs"/>
    <n v="7"/>
    <s v="TRF"/>
    <x v="17"/>
    <n v="0"/>
    <s v="TRANSFER GUDANG"/>
    <m/>
    <m/>
    <m/>
    <m/>
    <m/>
    <m/>
    <x v="2"/>
    <n v="0"/>
    <e v="#N/A"/>
    <e v="#N/A"/>
    <s v="OUTBOUND_"/>
  </r>
  <r>
    <s v="735"/>
    <m/>
    <x v="0"/>
    <s v="INB-W0012402-226"/>
    <s v="EJ-Malang-01"/>
    <s v="Oka-0813-2707-1646"/>
    <x v="111"/>
    <d v="1900-01-14T07:00:00"/>
    <s v="ZTE Warehouse"/>
    <x v="0"/>
    <x v="29"/>
    <s v="GCI2013"/>
    <s v="Pcs"/>
    <n v="2"/>
    <s v="CLR51-99-083"/>
    <x v="34"/>
    <m/>
    <m/>
    <m/>
    <m/>
    <m/>
    <m/>
    <m/>
    <m/>
    <x v="2"/>
    <s v="Dengkol RW 03 Singosari Malang"/>
    <e v="#N/A"/>
    <e v="#N/A"/>
    <s v="OUTBOUND_"/>
  </r>
  <r>
    <s v="736"/>
    <m/>
    <x v="0"/>
    <s v="INB-W0012402-226"/>
    <s v="EJ-Malang-01"/>
    <s v="Oka-0813-2707-1646"/>
    <x v="111"/>
    <d v="1900-01-14T07:00:00"/>
    <s v="ZTE Warehouse"/>
    <x v="0"/>
    <x v="29"/>
    <s v="GCI2013"/>
    <s v="Pcs"/>
    <n v="3"/>
    <s v="CLR51-99-082"/>
    <x v="33"/>
    <m/>
    <m/>
    <m/>
    <m/>
    <m/>
    <m/>
    <m/>
    <m/>
    <x v="2"/>
    <s v="Dengkol RW 02 Singosari Malang"/>
    <e v="#N/A"/>
    <e v="#N/A"/>
    <s v="OUTBOUND_"/>
  </r>
  <r>
    <s v="737"/>
    <m/>
    <x v="0"/>
    <s v="INB-W0012402-226"/>
    <s v="EJ-Malang-01"/>
    <s v="Oka-0813-2707-1646"/>
    <x v="111"/>
    <d v="1900-01-14T07:00:00"/>
    <s v="ZTE Warehouse"/>
    <x v="0"/>
    <x v="29"/>
    <s v="GCI2013"/>
    <s v="Pcs"/>
    <n v="45"/>
    <s v="CLR51-99-078"/>
    <x v="35"/>
    <m/>
    <m/>
    <m/>
    <m/>
    <m/>
    <m/>
    <m/>
    <m/>
    <x v="2"/>
    <s v="Bumiayu RW 03 Kedungkandang"/>
    <e v="#N/A"/>
    <e v="#N/A"/>
    <s v="OUTBOUND_"/>
  </r>
  <r>
    <s v="738"/>
    <m/>
    <x v="0"/>
    <s v="INB-W0012402-226"/>
    <s v="EJ-Malang-01"/>
    <s v="Oka-0813-2707-1646"/>
    <x v="111"/>
    <d v="1900-01-14T07:00:00"/>
    <s v="ZTE Warehouse"/>
    <x v="0"/>
    <x v="3"/>
    <s v="ZTE2005"/>
    <s v="Pcs"/>
    <n v="1"/>
    <s v="CLR51-99-067"/>
    <x v="36"/>
    <s v="DOEID24021519"/>
    <s v="DNWID0342024021506"/>
    <m/>
    <m/>
    <m/>
    <m/>
    <m/>
    <m/>
    <x v="2"/>
    <s v="Bandulan RW 08 Sukun"/>
    <d v="2024-02-15T00:00:00"/>
    <b v="1"/>
    <s v="OUTBOUND_"/>
  </r>
  <r>
    <s v="739"/>
    <m/>
    <x v="0"/>
    <s v="INB-W0012402-226"/>
    <s v="EJ-Malang-01"/>
    <s v="Oka-0813-2707-1646"/>
    <x v="111"/>
    <d v="1900-01-14T07:00:00"/>
    <s v="ZTE Warehouse"/>
    <x v="0"/>
    <x v="3"/>
    <s v="ZTE2005"/>
    <s v="Pcs"/>
    <n v="2"/>
    <s v="CLR51-99-078"/>
    <x v="35"/>
    <s v="DOEID24021521"/>
    <s v="DNWID0342024021507"/>
    <m/>
    <m/>
    <m/>
    <m/>
    <m/>
    <s v="Diambil Bayu"/>
    <x v="2"/>
    <s v="Bumiayu RW 03 Kedungkandang"/>
    <d v="2024-02-15T00:00:00"/>
    <b v="1"/>
    <s v="OUTBOUND_"/>
  </r>
  <r>
    <s v="740"/>
    <m/>
    <x v="0"/>
    <s v="INB-W0012402-226"/>
    <s v="EJ-Malang-01"/>
    <s v="Oka-0813-2707-1646"/>
    <x v="111"/>
    <d v="1900-01-14T07:00:00"/>
    <s v="ZTE Warehouse"/>
    <x v="0"/>
    <x v="4"/>
    <s v="ZTE1002"/>
    <s v="Pcs"/>
    <n v="7"/>
    <s v="CLR51-99-067"/>
    <x v="36"/>
    <s v="DOEID24021518"/>
    <s v="DNWID0362024021507"/>
    <m/>
    <m/>
    <m/>
    <m/>
    <m/>
    <m/>
    <x v="2"/>
    <s v="Bandulan RW 08 Sukun"/>
    <d v="2024-02-15T00:00:00"/>
    <b v="1"/>
    <s v="OUTBOUND_"/>
  </r>
  <r>
    <s v="741"/>
    <m/>
    <x v="0"/>
    <s v="INB-W0012402-226"/>
    <s v="EJ-Malang-01"/>
    <s v="Oka-0813-2707-1646"/>
    <x v="111"/>
    <d v="1900-01-14T07:00:00"/>
    <s v="ZTE Warehouse"/>
    <x v="0"/>
    <x v="4"/>
    <s v="ZTE1002"/>
    <s v="Pcs"/>
    <n v="15"/>
    <s v="CLR51-99-078"/>
    <x v="35"/>
    <s v="DOEID24021520"/>
    <s v="DNWID0362024021508"/>
    <m/>
    <m/>
    <m/>
    <m/>
    <m/>
    <m/>
    <x v="2"/>
    <s v="Bumiayu RW 03 Kedungkandang"/>
    <d v="2024-02-15T00:00:00"/>
    <b v="1"/>
    <s v="OUTBOUND_"/>
  </r>
  <r>
    <s v="742"/>
    <m/>
    <x v="1"/>
    <s v="OUB-W0012402-225"/>
    <s v="EJ-Malang-01"/>
    <s v="Oka-0813-2707-1646"/>
    <x v="111"/>
    <d v="1899-12-30T11:04:00"/>
    <s v="EJ-MALANG-01"/>
    <x v="0"/>
    <x v="4"/>
    <s v="ZTE1002"/>
    <s v="Pcs"/>
    <n v="7"/>
    <s v="CLR51-99-067"/>
    <x v="36"/>
    <m/>
    <m/>
    <m/>
    <s v="Riki Romansyah"/>
    <s v="Febby Supplier"/>
    <s v="3507050501950006"/>
    <s v="N 8420 EL"/>
    <m/>
    <x v="2"/>
    <s v="Bandulan RW 08 Sukun"/>
    <e v="#N/A"/>
    <e v="#N/A"/>
    <s v="OUTBOUND_"/>
  </r>
  <r>
    <s v="743"/>
    <m/>
    <x v="0"/>
    <s v="INB-W0012402-226"/>
    <s v="EJ-Malang-01"/>
    <s v="Oka-0813-2707-1646"/>
    <x v="111"/>
    <d v="1900-01-14T07:00:00"/>
    <s v="ZTE Warehouse"/>
    <x v="0"/>
    <x v="5"/>
    <s v="ZTE1001"/>
    <s v="Pcs"/>
    <n v="113"/>
    <s v="CLR51-99-078"/>
    <x v="35"/>
    <s v="DOEID24021520"/>
    <s v="DNWID0362024021508"/>
    <m/>
    <m/>
    <m/>
    <m/>
    <m/>
    <m/>
    <x v="2"/>
    <s v="Bumiayu RW 03 Kedungkandang"/>
    <d v="2024-02-15T00:00:00"/>
    <b v="1"/>
    <s v="OUTBOUND_"/>
  </r>
  <r>
    <s v="744"/>
    <m/>
    <x v="1"/>
    <s v="OUB-W0012402-225"/>
    <s v="EJ-Malang-01"/>
    <s v="Oka-0813-2707-1646"/>
    <x v="111"/>
    <d v="1899-12-30T11:04:00"/>
    <s v="EJ-MALANG-01"/>
    <x v="0"/>
    <x v="5"/>
    <s v="ZTE1001"/>
    <s v="Pcs"/>
    <n v="15"/>
    <s v="CLR51-99-067"/>
    <x v="36"/>
    <m/>
    <m/>
    <m/>
    <s v="Riki Romansyah"/>
    <s v="Febby Supplier"/>
    <s v="3507050501950006"/>
    <s v="N 8420 EL"/>
    <m/>
    <x v="2"/>
    <s v="Bandulan RW 08 Sukun"/>
    <e v="#N/A"/>
    <e v="#N/A"/>
    <s v="OUTBOUND_"/>
  </r>
  <r>
    <s v="745"/>
    <m/>
    <x v="2"/>
    <s v="TFI-W0012402-226"/>
    <s v="EJ-Malang-01"/>
    <s v="Oka-0813-2707-1646"/>
    <x v="111"/>
    <d v="1900-01-14T07:00:00"/>
    <s v="ZTE Warehouse"/>
    <x v="0"/>
    <x v="5"/>
    <s v="ZTE1001"/>
    <s v="Pcs"/>
    <n v="15"/>
    <s v="TRF"/>
    <x v="17"/>
    <n v="0"/>
    <s v="TRANSFER GUDANG"/>
    <m/>
    <m/>
    <m/>
    <m/>
    <m/>
    <m/>
    <x v="2"/>
    <n v="0"/>
    <e v="#N/A"/>
    <e v="#N/A"/>
    <s v="OUTBOUND_"/>
  </r>
  <r>
    <s v="746"/>
    <m/>
    <x v="0"/>
    <s v="INB-W0012402-226"/>
    <s v="EJ-Malang-01"/>
    <s v="Oka-0813-2707-1646"/>
    <x v="111"/>
    <d v="1900-01-14T07:00:00"/>
    <s v="FIELD TEAM"/>
    <x v="1"/>
    <x v="15"/>
    <s v="GCI1003"/>
    <s v="Pcs"/>
    <n v="67"/>
    <s v="CLR51-01-005"/>
    <x v="26"/>
    <s v="RETURN"/>
    <n v="0"/>
    <m/>
    <m/>
    <m/>
    <m/>
    <m/>
    <m/>
    <x v="2"/>
    <s v="Baturetno RW 02 Singosari "/>
    <e v="#N/A"/>
    <e v="#N/A"/>
    <s v="OUTBOUND_"/>
  </r>
  <r>
    <s v="747"/>
    <m/>
    <x v="0"/>
    <s v="INB-W0012402-226"/>
    <s v="EJ-Malang-01"/>
    <s v="Oka-0813-2707-1646"/>
    <x v="111"/>
    <d v="1900-01-14T07:00:00"/>
    <s v="FIELD TEAM"/>
    <x v="1"/>
    <x v="15"/>
    <s v="GCI1003"/>
    <s v="Pcs"/>
    <n v="67"/>
    <s v="CLR51-99-038"/>
    <x v="25"/>
    <s v="RETURN"/>
    <n v="0"/>
    <m/>
    <m/>
    <m/>
    <m/>
    <m/>
    <m/>
    <x v="2"/>
    <s v="Baturetno RW 03 Singosari"/>
    <e v="#N/A"/>
    <e v="#N/A"/>
    <s v="OUTBOUND_"/>
  </r>
  <r>
    <s v="748"/>
    <m/>
    <x v="1"/>
    <s v="OUB-W0012402-225"/>
    <s v="EJ-Malang-01"/>
    <s v="Oka-0813-2707-1646"/>
    <x v="111"/>
    <d v="1899-12-30T11:04:00"/>
    <s v="EJ-MALANG-01"/>
    <x v="1"/>
    <x v="15"/>
    <s v="GCI1003"/>
    <s v="Pcs"/>
    <n v="60"/>
    <s v="CLR51-99-067"/>
    <x v="36"/>
    <m/>
    <m/>
    <m/>
    <s v="Riki Romansyah"/>
    <s v="Febby Supplier"/>
    <s v="3507050501950006"/>
    <s v="N 8420 EL"/>
    <m/>
    <x v="2"/>
    <s v="Bandulan RW 08 Sukun"/>
    <e v="#N/A"/>
    <e v="#N/A"/>
    <s v="OUTBOUND_"/>
  </r>
  <r>
    <s v="749"/>
    <m/>
    <x v="1"/>
    <s v="OUB-W0012402-225"/>
    <s v="EJ-Malang-01"/>
    <s v="Oka-0813-2707-1646"/>
    <x v="111"/>
    <d v="1899-12-30T11:04:00"/>
    <s v="EJ-MALANG-01"/>
    <x v="1"/>
    <x v="16"/>
    <s v="GCI1004"/>
    <s v="Pcs"/>
    <n v="7"/>
    <s v="CLR51-99-067"/>
    <x v="36"/>
    <m/>
    <m/>
    <m/>
    <s v="Riki Romansyah"/>
    <s v="Febby Supplier"/>
    <s v="3507050501950006"/>
    <s v="N 8420 EL"/>
    <m/>
    <x v="2"/>
    <s v="Bandulan RW 08 Sukun"/>
    <e v="#N/A"/>
    <e v="#N/A"/>
    <s v="OUTBOUND_"/>
  </r>
  <r>
    <s v="750"/>
    <m/>
    <x v="1"/>
    <s v="OUB-W0012402-228"/>
    <s v="EJ-Malang-01"/>
    <s v="Oka-0813-2707-1646"/>
    <x v="112"/>
    <d v="1899-12-30T13:01:00"/>
    <s v="EJ-MALANG-01"/>
    <x v="0"/>
    <x v="0"/>
    <s v="ZTE2001"/>
    <s v="Meter"/>
    <n v="3000"/>
    <s v="CLR51-99-067"/>
    <x v="36"/>
    <m/>
    <m/>
    <m/>
    <s v="Riki Romansyah"/>
    <s v="Febby Supplier"/>
    <s v="3507050501950006"/>
    <s v="N 8420 EL"/>
    <m/>
    <x v="2"/>
    <s v="Bandulan RW 08 Sukun"/>
    <e v="#N/A"/>
    <e v="#N/A"/>
    <s v="OUTBOUND_"/>
  </r>
  <r>
    <s v="751"/>
    <m/>
    <x v="0"/>
    <s v="INB-W0012402-227"/>
    <s v="EJ-Malang-01"/>
    <s v="Oka-0813-2707-1646"/>
    <x v="112"/>
    <d v="1900-01-14T07:00:00"/>
    <s v="FIELD TEAM"/>
    <x v="0"/>
    <x v="4"/>
    <s v="ZTE1002"/>
    <s v="Pcs"/>
    <n v="1"/>
    <s v="CLR51-99-067"/>
    <x v="36"/>
    <s v="RETURN"/>
    <n v="0"/>
    <m/>
    <m/>
    <m/>
    <m/>
    <m/>
    <m/>
    <x v="2"/>
    <s v="Bandulan RW 08 Sukun"/>
    <e v="#N/A"/>
    <e v="#N/A"/>
    <s v="OUTBOUND_"/>
  </r>
  <r>
    <s v="752"/>
    <m/>
    <x v="1"/>
    <s v="OUB-W0012402-229"/>
    <s v="EJ-Malang-01"/>
    <s v="Oka-0813-2707-1646"/>
    <x v="113"/>
    <d v="1899-12-30T10:54:00"/>
    <s v="EJ-MALANG-01"/>
    <x v="1"/>
    <x v="25"/>
    <s v="GCI1010"/>
    <s v="Pcs"/>
    <n v="50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753"/>
    <m/>
    <x v="1"/>
    <s v="OUB-W0012402-230"/>
    <s v="EJ-Malang-01"/>
    <s v="Oka-0813-2707-1646"/>
    <x v="113"/>
    <d v="1899-12-30T15:10:00"/>
    <s v="EJ-MALANG-01"/>
    <x v="1"/>
    <x v="18"/>
    <s v="GCI1012"/>
    <s v="Pcs"/>
    <n v="110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754"/>
    <m/>
    <x v="1"/>
    <s v="OUB-W0012402-229"/>
    <s v="EJ-Malang-01"/>
    <s v="Oka-0813-2707-1646"/>
    <x v="113"/>
    <d v="1899-12-30T10:54:00"/>
    <s v="EJ-MALANG-01"/>
    <x v="1"/>
    <x v="9"/>
    <s v="GCI1001"/>
    <s v="Pcs"/>
    <n v="7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755"/>
    <m/>
    <x v="0"/>
    <s v="INB-W0012402-232"/>
    <s v="EJ-Malang-01"/>
    <s v="Oka-0813-2707-1646"/>
    <x v="113"/>
    <d v="1900-01-14T07:00:00"/>
    <s v="FIELD TEAM"/>
    <x v="1"/>
    <x v="10"/>
    <s v="GCI1009"/>
    <s v="Pcs"/>
    <n v="50"/>
    <s v="CLR51-99-067"/>
    <x v="36"/>
    <s v="RETURN"/>
    <n v="0"/>
    <m/>
    <m/>
    <m/>
    <m/>
    <m/>
    <m/>
    <x v="2"/>
    <s v="Bandulan RW 08 Sukun"/>
    <e v="#N/A"/>
    <e v="#N/A"/>
    <s v="OUTBOUND_"/>
  </r>
  <r>
    <s v="756"/>
    <m/>
    <x v="1"/>
    <s v="OUB-W0012402-231"/>
    <s v="EJ-Malang-01"/>
    <s v="Oka-0813-2707-1646"/>
    <x v="113"/>
    <d v="1899-12-30T16:33:00"/>
    <s v="EJ-MALANG-01"/>
    <x v="0"/>
    <x v="2"/>
    <s v="ZTE2008"/>
    <s v="Pcs"/>
    <n v="7"/>
    <s v="CLR51-99-067"/>
    <x v="36"/>
    <m/>
    <m/>
    <m/>
    <s v="Fatur"/>
    <s v="Febby Supplier"/>
    <s v="3515082712870005"/>
    <s v="W 1130 NQ"/>
    <m/>
    <x v="2"/>
    <s v="Bandulan RW 08 Sukun"/>
    <e v="#N/A"/>
    <e v="#N/A"/>
    <s v="OUTBOUND_"/>
  </r>
  <r>
    <s v="757"/>
    <m/>
    <x v="1"/>
    <s v="OUB-W0012402-231"/>
    <s v="EJ-Malang-01"/>
    <s v="Oka-0813-2707-1646"/>
    <x v="113"/>
    <d v="1899-12-30T16:33:00"/>
    <s v="EJ-MALANG-01"/>
    <x v="0"/>
    <x v="3"/>
    <s v="ZTE2005"/>
    <s v="Pcs"/>
    <n v="1"/>
    <s v="CLR51-99-067"/>
    <x v="36"/>
    <m/>
    <m/>
    <m/>
    <s v="Fatur"/>
    <s v="Febby Supplier"/>
    <s v="3515082712870005"/>
    <s v="W 1130 NQ"/>
    <m/>
    <x v="2"/>
    <s v="Bandulan RW 08 Sukun"/>
    <e v="#N/A"/>
    <e v="#N/A"/>
    <s v="OUTBOUND_"/>
  </r>
  <r>
    <s v="758"/>
    <m/>
    <x v="1"/>
    <s v="OUB-W0012402-230"/>
    <s v="EJ-Malang-01"/>
    <s v="Oka-0813-2707-1646"/>
    <x v="113"/>
    <d v="1899-12-30T15:10:00"/>
    <s v="EJ-MALANG-01"/>
    <x v="0"/>
    <x v="19"/>
    <s v="ZTE1003"/>
    <s v="Pcs"/>
    <n v="2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759"/>
    <m/>
    <x v="1"/>
    <s v="OUB-W0012402-229"/>
    <s v="EJ-Malang-01"/>
    <s v="Oka-0813-2707-1646"/>
    <x v="113"/>
    <d v="1899-12-30T10:54:00"/>
    <s v="EJ-MALANG-01"/>
    <x v="1"/>
    <x v="12"/>
    <s v="GCI1008"/>
    <s v="Pcs"/>
    <n v="6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760"/>
    <m/>
    <x v="1"/>
    <s v="OUB-W0012402-229"/>
    <s v="EJ-Malang-01"/>
    <s v="Oka-0813-2707-1646"/>
    <x v="113"/>
    <d v="1899-12-30T10:54:00"/>
    <s v="EJ-MALANG-01"/>
    <x v="1"/>
    <x v="16"/>
    <s v="GCI1004"/>
    <s v="Pcs"/>
    <n v="34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761"/>
    <m/>
    <x v="1"/>
    <s v="OUB-W0012402-235"/>
    <s v="EJ-Malang-01"/>
    <s v="Oka-0813-2707-1646"/>
    <x v="114"/>
    <d v="1899-12-30T16:46:00"/>
    <s v="EJ-MALANG-01"/>
    <x v="0"/>
    <x v="4"/>
    <s v="ZTE1002"/>
    <s v="Pcs"/>
    <n v="9"/>
    <s v="CLR51-99-078"/>
    <x v="35"/>
    <m/>
    <m/>
    <m/>
    <s v="Dimas"/>
    <s v="Febby Supplier"/>
    <s v="3573032509800005"/>
    <s v="N 9454 BA"/>
    <m/>
    <x v="2"/>
    <s v="Bumiayu RW 03 Kedungkandang"/>
    <e v="#N/A"/>
    <e v="#N/A"/>
    <s v="OUTBOUND_"/>
  </r>
  <r>
    <s v="762"/>
    <m/>
    <x v="1"/>
    <s v="OUB-W0012402-235"/>
    <s v="EJ-Malang-01"/>
    <s v="Oka-0813-2707-1646"/>
    <x v="114"/>
    <d v="1899-12-30T16:46:00"/>
    <s v="EJ-MALANG-01"/>
    <x v="0"/>
    <x v="5"/>
    <s v="ZTE1001"/>
    <s v="Pcs"/>
    <n v="14"/>
    <s v="CLR51-99-078"/>
    <x v="35"/>
    <m/>
    <m/>
    <m/>
    <s v="Dimas"/>
    <s v="Febby Supplier"/>
    <s v="3573032509800005"/>
    <s v="N 9454 BA"/>
    <m/>
    <x v="2"/>
    <s v="Bumiayu RW 03 Kedungkandang"/>
    <e v="#N/A"/>
    <e v="#N/A"/>
    <s v="OUTBOUND_"/>
  </r>
  <r>
    <s v="763"/>
    <m/>
    <x v="1"/>
    <s v="OUB-W0012402-234"/>
    <s v="EJ-Malang-01"/>
    <s v="Oka-0813-2707-1646"/>
    <x v="114"/>
    <d v="1899-12-30T12:15:00"/>
    <s v="EJ-MALANG-01"/>
    <x v="0"/>
    <x v="5"/>
    <s v="ZTE1001"/>
    <s v="Pcs"/>
    <n v="21"/>
    <s v="MF51-01"/>
    <x v="31"/>
    <m/>
    <m/>
    <m/>
    <s v="Riki Romansyah"/>
    <s v="Febby Supplier"/>
    <s v="3507050501950006"/>
    <s v="N 8420 EL"/>
    <m/>
    <x v="2"/>
    <s v="HUBFEEDER BATURETNO RW 02"/>
    <e v="#N/A"/>
    <e v="#N/A"/>
    <s v="OUTBOUND_"/>
  </r>
  <r>
    <s v="764"/>
    <m/>
    <x v="1"/>
    <s v="OUB-W0012402-233"/>
    <s v="EJ-Malang-01"/>
    <s v="Oka-0813-2707-1646"/>
    <x v="114"/>
    <d v="1899-12-30T08:51:00"/>
    <s v="EJ-MALANG-01"/>
    <x v="0"/>
    <x v="5"/>
    <s v="ZTE1001"/>
    <s v="Pcs"/>
    <n v="25"/>
    <s v="CLR51-99-078"/>
    <x v="35"/>
    <m/>
    <m/>
    <m/>
    <s v="Dimas"/>
    <s v="Febby Supplier"/>
    <s v="3573032509800005"/>
    <s v="N 9454 BA"/>
    <m/>
    <x v="2"/>
    <s v="Bumiayu RW 03 Kedungkandang"/>
    <e v="#N/A"/>
    <e v="#N/A"/>
    <s v="OUTBOUND_"/>
  </r>
  <r>
    <s v="765"/>
    <m/>
    <x v="1"/>
    <s v="OUB-W0012402-235"/>
    <s v="EJ-Malang-01"/>
    <s v="Oka-0813-2707-1646"/>
    <x v="114"/>
    <d v="1899-12-30T16:46:00"/>
    <s v="EJ-MALANG-01"/>
    <x v="0"/>
    <x v="19"/>
    <s v="ZTE1003"/>
    <s v="Pcs"/>
    <n v="2"/>
    <s v="CLR51-99-078"/>
    <x v="35"/>
    <m/>
    <m/>
    <m/>
    <s v="Dimas"/>
    <s v="Febby Supplier"/>
    <s v="3573032509800005"/>
    <s v="N 9454 BA"/>
    <m/>
    <x v="2"/>
    <s v="Bumiayu RW 03 Kedungkandang"/>
    <e v="#N/A"/>
    <e v="#N/A"/>
    <s v="OUTBOUND_"/>
  </r>
  <r>
    <s v="766"/>
    <m/>
    <x v="1"/>
    <s v="OUB-W0012402-239"/>
    <s v="EJ-Malang-01"/>
    <s v="Oka-0813-2707-1646"/>
    <x v="115"/>
    <d v="1899-12-30T18:56:00"/>
    <s v="EJ-MALANG-01"/>
    <x v="1"/>
    <x v="9"/>
    <s v="GCI1001"/>
    <s v="Pcs"/>
    <n v="7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67"/>
    <m/>
    <x v="1"/>
    <s v="OUB-W0012402-239"/>
    <s v="EJ-Malang-01"/>
    <s v="Oka-0813-2707-1646"/>
    <x v="115"/>
    <d v="1899-12-30T18:56:00"/>
    <s v="EJ-MALANG-01"/>
    <x v="1"/>
    <x v="10"/>
    <s v="GCI1009"/>
    <s v="Pcs"/>
    <n v="50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68"/>
    <m/>
    <x v="1"/>
    <s v="OUB-W0012402-237"/>
    <s v="EJ-Malang-01"/>
    <s v="Oka-0813-2707-1646"/>
    <x v="115"/>
    <d v="1899-12-30T16:20:00"/>
    <s v="EJ-MALANG-01"/>
    <x v="0"/>
    <x v="4"/>
    <s v="ZTE1002"/>
    <s v="Pcs"/>
    <n v="7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69"/>
    <m/>
    <x v="1"/>
    <s v="OUB-W0012402-237"/>
    <s v="EJ-Malang-01"/>
    <s v="Oka-0813-2707-1646"/>
    <x v="115"/>
    <d v="1899-12-30T16:20:00"/>
    <s v="EJ-MALANG-01"/>
    <x v="0"/>
    <x v="5"/>
    <s v="ZTE1001"/>
    <s v="Pcs"/>
    <n v="5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70"/>
    <m/>
    <x v="1"/>
    <s v="OUB-W0012402-236"/>
    <s v="EJ-Malang-01"/>
    <s v="Oka-0813-2707-1646"/>
    <x v="115"/>
    <d v="1899-12-30T12:55:00"/>
    <s v="EJ-MALANG-01"/>
    <x v="0"/>
    <x v="5"/>
    <s v="ZTE1001"/>
    <s v="Pcs"/>
    <n v="21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71"/>
    <m/>
    <x v="1"/>
    <s v="OUB-W0012402-238"/>
    <s v="EJ-Malang-01"/>
    <s v="Oka-0813-2707-1646"/>
    <x v="115"/>
    <d v="1899-12-30T17:07:00"/>
    <s v="EJ-MALANG-01"/>
    <x v="0"/>
    <x v="5"/>
    <s v="ZTE1001"/>
    <s v="Pcs"/>
    <n v="23"/>
    <s v="CLR51-99-078"/>
    <x v="35"/>
    <m/>
    <m/>
    <m/>
    <s v="Dimas"/>
    <s v="Febby Supplier"/>
    <s v="3573032509800005"/>
    <s v="N 9454 BA"/>
    <m/>
    <x v="2"/>
    <s v="Bumiayu RW 03 Kedungkandang"/>
    <e v="#N/A"/>
    <e v="#N/A"/>
    <s v="OUTBOUND_"/>
  </r>
  <r>
    <s v="772"/>
    <m/>
    <x v="1"/>
    <s v="OUB-W0012402-237"/>
    <s v="EJ-Malang-01"/>
    <s v="Oka-0813-2707-1646"/>
    <x v="115"/>
    <d v="1899-12-30T16:20:00"/>
    <s v="EJ-MALANG-01"/>
    <x v="0"/>
    <x v="19"/>
    <s v="ZTE1003"/>
    <s v="Pcs"/>
    <n v="1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73"/>
    <m/>
    <x v="1"/>
    <s v="OUB-W0012402-238"/>
    <s v="EJ-Malang-01"/>
    <s v="Oka-0813-2707-1646"/>
    <x v="115"/>
    <d v="1899-12-30T17:07:00"/>
    <s v="EJ-MALANG-01"/>
    <x v="0"/>
    <x v="19"/>
    <s v="ZTE1003"/>
    <s v="Pcs"/>
    <n v="2"/>
    <s v="CLR51-99-078"/>
    <x v="35"/>
    <m/>
    <m/>
    <m/>
    <s v="Dimas"/>
    <s v="Febby Supplier"/>
    <s v="3573032509800005"/>
    <s v="N 9454 BA"/>
    <m/>
    <x v="2"/>
    <s v="Bumiayu RW 03 Kedungkandang"/>
    <e v="#N/A"/>
    <e v="#N/A"/>
    <s v="OUTBOUND_"/>
  </r>
  <r>
    <s v="774"/>
    <m/>
    <x v="1"/>
    <s v="OUB-W0012402-239"/>
    <s v="EJ-Malang-01"/>
    <s v="Oka-0813-2707-1646"/>
    <x v="115"/>
    <d v="1899-12-30T18:56:00"/>
    <s v="EJ-MALANG-01"/>
    <x v="1"/>
    <x v="12"/>
    <s v="GCI1008"/>
    <s v="Pcs"/>
    <n v="39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75"/>
    <m/>
    <x v="1"/>
    <s v="OUB-W0012402-239"/>
    <s v="EJ-Malang-01"/>
    <s v="Oka-0813-2707-1646"/>
    <x v="115"/>
    <d v="1899-12-30T18:56:00"/>
    <s v="EJ-MALANG-01"/>
    <x v="1"/>
    <x v="15"/>
    <s v="GCI1003"/>
    <s v="Pcs"/>
    <n v="50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76"/>
    <m/>
    <x v="1"/>
    <s v="OUB-W0012402-239"/>
    <s v="EJ-Malang-01"/>
    <s v="Oka-0813-2707-1646"/>
    <x v="115"/>
    <d v="1899-12-30T18:56:00"/>
    <s v="EJ-MALANG-01"/>
    <x v="1"/>
    <x v="16"/>
    <s v="GCI1004"/>
    <s v="Pcs"/>
    <n v="14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77"/>
    <m/>
    <x v="1"/>
    <s v="OUB-W0012402-241"/>
    <s v="EJ-Malang-01"/>
    <s v="Oka-0813-2707-1646"/>
    <x v="116"/>
    <d v="1899-12-30T15:15:00"/>
    <s v="EJ-MALANG-01"/>
    <x v="0"/>
    <x v="1"/>
    <s v="ZTE2003"/>
    <s v="Meter"/>
    <n v="3000"/>
    <s v="CLR51-99-066"/>
    <x v="30"/>
    <m/>
    <m/>
    <m/>
    <s v="Riki Romansyah"/>
    <s v="Febby Supplier"/>
    <s v="3507050501950006"/>
    <s v="N 8420 EL"/>
    <s v="uses 1670, 1330 left over"/>
    <x v="2"/>
    <s v="TAMANHARJO RW 04 SINGOSARI"/>
    <e v="#N/A"/>
    <e v="#N/A"/>
    <s v="OUTBOUND_"/>
  </r>
  <r>
    <s v="778"/>
    <m/>
    <x v="0"/>
    <s v="INB-W0012402-242"/>
    <s v="EJ-Malang-01"/>
    <s v="Oka-0813-2707-1646"/>
    <x v="116"/>
    <d v="1900-01-14T07:00:00"/>
    <s v="GCI Procurement"/>
    <x v="1"/>
    <x v="8"/>
    <s v="GCI1005"/>
    <s v="Pcs"/>
    <n v="54"/>
    <s v="CLR51-99-078"/>
    <x v="35"/>
    <n v="0"/>
    <n v="0"/>
    <m/>
    <m/>
    <m/>
    <m/>
    <m/>
    <s v="JNT Cargo"/>
    <x v="2"/>
    <s v="Bumiayu RW 03 Kedungkandang"/>
    <e v="#N/A"/>
    <e v="#N/A"/>
    <s v="OUTBOUND_"/>
  </r>
  <r>
    <s v="779"/>
    <m/>
    <x v="0"/>
    <s v="INB-W0012402-242"/>
    <s v="EJ-Malang-01"/>
    <s v="Oka-0813-2707-1646"/>
    <x v="116"/>
    <d v="1900-01-14T07:00:00"/>
    <s v="GCI Procurement"/>
    <x v="1"/>
    <x v="9"/>
    <s v="GCI1001"/>
    <s v="Pcs"/>
    <n v="10"/>
    <s v="CLR51-99-078"/>
    <x v="35"/>
    <n v="0"/>
    <n v="0"/>
    <m/>
    <m/>
    <m/>
    <m/>
    <m/>
    <s v="JNT Cargo"/>
    <x v="2"/>
    <s v="Bumiayu RW 03 Kedungkandang"/>
    <e v="#N/A"/>
    <e v="#N/A"/>
    <s v="OUTBOUND_"/>
  </r>
  <r>
    <s v="780"/>
    <m/>
    <x v="1"/>
    <s v="OUB-W0012402-241"/>
    <s v="EJ-Malang-01"/>
    <s v="Oka-0813-2707-1646"/>
    <x v="116"/>
    <d v="1899-12-30T15:15:00"/>
    <s v="EJ-MALANG-01"/>
    <x v="1"/>
    <x v="9"/>
    <s v="GCI1001"/>
    <s v="Pcs"/>
    <n v="13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81"/>
    <m/>
    <x v="0"/>
    <s v="INB-W0012402-242"/>
    <s v="EJ-Malang-01"/>
    <s v="Oka-0813-2707-1646"/>
    <x v="116"/>
    <d v="1900-01-14T07:00:00"/>
    <s v="GCI Procurement"/>
    <x v="1"/>
    <x v="10"/>
    <s v="GCI1009"/>
    <s v="Pcs"/>
    <n v="86"/>
    <s v="CLR51-99-078"/>
    <x v="35"/>
    <n v="0"/>
    <n v="0"/>
    <m/>
    <m/>
    <m/>
    <m/>
    <m/>
    <s v="JNT Cargo"/>
    <x v="2"/>
    <s v="Bumiayu RW 03 Kedungkandang"/>
    <e v="#N/A"/>
    <e v="#N/A"/>
    <s v="OUTBOUND_"/>
  </r>
  <r>
    <s v="782"/>
    <m/>
    <x v="1"/>
    <s v="OUB-W0012402-241"/>
    <s v="EJ-Malang-01"/>
    <s v="Oka-0813-2707-1646"/>
    <x v="116"/>
    <d v="1899-12-30T15:15:00"/>
    <s v="EJ-MALANG-01"/>
    <x v="1"/>
    <x v="10"/>
    <s v="GCI1009"/>
    <s v="Pcs"/>
    <n v="38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83"/>
    <m/>
    <x v="4"/>
    <s v="BOI-W0012402-242"/>
    <s v="EJ-Malang-01"/>
    <s v="Oka-0813-2707-1646"/>
    <x v="116"/>
    <d v="1900-01-14T07:00:00"/>
    <s v="Other Subcon"/>
    <x v="0"/>
    <x v="2"/>
    <s v="ZTE2008"/>
    <s v="Pcs"/>
    <n v="5"/>
    <s v="BR004"/>
    <x v="24"/>
    <s v="pengembalian dr yptt"/>
    <n v="0"/>
    <m/>
    <m/>
    <m/>
    <m/>
    <m/>
    <s v="dari YPTT"/>
    <x v="2"/>
    <s v="YPTT"/>
    <e v="#N/A"/>
    <e v="#N/A"/>
    <s v="OUTBOUND_"/>
  </r>
  <r>
    <s v="784"/>
    <m/>
    <x v="4"/>
    <s v="BOI-W0012402-242"/>
    <s v="EJ-Malang-01"/>
    <s v="Oka-0813-2707-1646"/>
    <x v="116"/>
    <d v="1900-01-14T07:00:00"/>
    <s v="Other Subcon"/>
    <x v="0"/>
    <x v="3"/>
    <s v="ZTE2005"/>
    <s v="Pcs"/>
    <n v="1"/>
    <s v="BR004"/>
    <x v="24"/>
    <s v="pengembalian dr yptt"/>
    <n v="0"/>
    <m/>
    <m/>
    <m/>
    <m/>
    <m/>
    <s v="YPTT Return"/>
    <x v="2"/>
    <s v="YPTT"/>
    <e v="#N/A"/>
    <e v="#N/A"/>
    <s v="OUTBOUND_"/>
  </r>
  <r>
    <s v="785"/>
    <m/>
    <x v="2"/>
    <s v="TFI-W0012402-242"/>
    <s v="EJ-Malang-01"/>
    <s v="Oka-0813-2707-1646"/>
    <x v="116"/>
    <d v="1900-01-14T07:00:00"/>
    <s v="ZTE Warehouse"/>
    <x v="0"/>
    <x v="20"/>
    <s v="ZTE1004"/>
    <s v="Pcs"/>
    <n v="1"/>
    <s v="TRF"/>
    <x v="17"/>
    <n v="0"/>
    <s v="TRANSFER GUDANG"/>
    <m/>
    <m/>
    <m/>
    <m/>
    <m/>
    <m/>
    <x v="2"/>
    <n v="0"/>
    <e v="#N/A"/>
    <e v="#N/A"/>
    <s v="OUTBOUND_"/>
  </r>
  <r>
    <s v="786"/>
    <m/>
    <x v="0"/>
    <s v="INB-W0012402-242"/>
    <s v="EJ-Malang-01"/>
    <s v="Oka-0813-2707-1646"/>
    <x v="116"/>
    <d v="1900-01-14T07:00:00"/>
    <s v="GCI Procurement"/>
    <x v="1"/>
    <x v="11"/>
    <s v="GCI1002"/>
    <s v="Pcs"/>
    <n v="1"/>
    <s v="CLR51-99-078"/>
    <x v="35"/>
    <n v="0"/>
    <n v="0"/>
    <m/>
    <m/>
    <m/>
    <m/>
    <m/>
    <s v="JNT Cargo"/>
    <x v="2"/>
    <s v="Bumiayu RW 03 Kedungkandang"/>
    <e v="#N/A"/>
    <e v="#N/A"/>
    <s v="OUTBOUND_"/>
  </r>
  <r>
    <s v="787"/>
    <m/>
    <x v="1"/>
    <s v="OUB-W0012402-241"/>
    <s v="EJ-Malang-01"/>
    <s v="Oka-0813-2707-1646"/>
    <x v="116"/>
    <d v="1899-12-30T15:15:00"/>
    <s v="EJ-MALANG-01"/>
    <x v="0"/>
    <x v="5"/>
    <s v="ZTE1001"/>
    <s v="Pcs"/>
    <n v="1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88"/>
    <m/>
    <x v="1"/>
    <s v="OUB-W0012402-240"/>
    <s v="EJ-Malang-01"/>
    <s v="Oka-0813-2707-1646"/>
    <x v="116"/>
    <d v="1899-12-30T11:57:00"/>
    <s v="EJ-MALANG-01"/>
    <x v="0"/>
    <x v="5"/>
    <s v="ZTE1001"/>
    <s v="Pcs"/>
    <n v="25"/>
    <s v="CLR51-99-078"/>
    <x v="35"/>
    <m/>
    <m/>
    <m/>
    <s v="Dimas"/>
    <s v="Febby Supplier"/>
    <s v="3573032509800005"/>
    <s v="N 9454 BA"/>
    <m/>
    <x v="2"/>
    <s v="Bumiayu RW 03 Kedungkandang"/>
    <e v="#N/A"/>
    <e v="#N/A"/>
    <s v="OUTBOUND_"/>
  </r>
  <r>
    <s v="789"/>
    <m/>
    <x v="0"/>
    <s v="INB-W0012402-242"/>
    <s v="EJ-Malang-01"/>
    <s v="Oka-0813-2707-1646"/>
    <x v="116"/>
    <d v="1900-01-14T07:00:00"/>
    <s v="GCI Procurement"/>
    <x v="1"/>
    <x v="12"/>
    <s v="GCI1008"/>
    <s v="Pcs"/>
    <n v="43"/>
    <s v="CLR51-99-078"/>
    <x v="35"/>
    <n v="0"/>
    <n v="0"/>
    <m/>
    <m/>
    <m/>
    <m/>
    <m/>
    <s v="JNT Cargo"/>
    <x v="2"/>
    <s v="Bumiayu RW 03 Kedungkandang"/>
    <e v="#N/A"/>
    <e v="#N/A"/>
    <s v="OUTBOUND_"/>
  </r>
  <r>
    <s v="790"/>
    <m/>
    <x v="1"/>
    <s v="OUB-W0012402-241"/>
    <s v="EJ-Malang-01"/>
    <s v="Oka-0813-2707-1646"/>
    <x v="116"/>
    <d v="1899-12-30T15:15:00"/>
    <s v="EJ-MALANG-01"/>
    <x v="1"/>
    <x v="12"/>
    <s v="GCI1008"/>
    <s v="Pcs"/>
    <n v="33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91"/>
    <m/>
    <x v="0"/>
    <s v="INB-W0012402-242"/>
    <s v="EJ-Malang-01"/>
    <s v="Oka-0813-2707-1646"/>
    <x v="116"/>
    <d v="1900-01-14T07:00:00"/>
    <s v="GCI Procurement"/>
    <x v="1"/>
    <x v="15"/>
    <s v="GCI1003"/>
    <s v="Pcs"/>
    <n v="51"/>
    <s v="CLR51-99-078"/>
    <x v="35"/>
    <n v="0"/>
    <n v="0"/>
    <m/>
    <m/>
    <m/>
    <m/>
    <m/>
    <s v="JNT Cargo"/>
    <x v="2"/>
    <s v="Bumiayu RW 03 Kedungkandang"/>
    <e v="#N/A"/>
    <e v="#N/A"/>
    <s v="OUTBOUND_"/>
  </r>
  <r>
    <s v="792"/>
    <m/>
    <x v="0"/>
    <s v="INB-W0012402-242"/>
    <s v="EJ-Malang-01"/>
    <s v="Oka-0813-2707-1646"/>
    <x v="116"/>
    <d v="1900-01-14T07:00:00"/>
    <s v="GCI Procurement"/>
    <x v="1"/>
    <x v="16"/>
    <s v="GCI1004"/>
    <s v="Pcs"/>
    <n v="22"/>
    <s v="CLR51-99-078"/>
    <x v="35"/>
    <n v="0"/>
    <n v="0"/>
    <m/>
    <m/>
    <m/>
    <m/>
    <m/>
    <s v="JNT Cargo"/>
    <x v="2"/>
    <s v="Bumiayu RW 03 Kedungkandang"/>
    <e v="#N/A"/>
    <e v="#N/A"/>
    <s v="OUTBOUND_"/>
  </r>
  <r>
    <s v="793"/>
    <m/>
    <x v="1"/>
    <s v="OUB-W0012402-241"/>
    <s v="EJ-Malang-01"/>
    <s v="Oka-0813-2707-1646"/>
    <x v="116"/>
    <d v="1899-12-30T15:15:00"/>
    <s v="EJ-MALANG-01"/>
    <x v="1"/>
    <x v="16"/>
    <s v="GCI1004"/>
    <s v="Pcs"/>
    <n v="15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794"/>
    <m/>
    <x v="4"/>
    <s v="BOI-W0012402-243"/>
    <s v="EJ-Malang-01"/>
    <s v="Oka-0813-2707-1646"/>
    <x v="117"/>
    <d v="1900-01-14T07:00:00"/>
    <s v="Other Subcon"/>
    <x v="0"/>
    <x v="1"/>
    <s v="ZTE2003"/>
    <s v="Meter"/>
    <n v="3000"/>
    <s v="BR005"/>
    <x v="21"/>
    <s v="Pinjem MORASA"/>
    <n v="0"/>
    <m/>
    <m/>
    <m/>
    <m/>
    <m/>
    <s v="Borrow From Morasa"/>
    <x v="30"/>
    <s v="MORASHA"/>
    <e v="#N/A"/>
    <e v="#N/A"/>
    <s v="OUTBOUND_H-ADSS 48C-2024223-01"/>
  </r>
  <r>
    <s v="795"/>
    <m/>
    <x v="4"/>
    <s v="BOI-W0012402-243"/>
    <s v="EJ-Malang-01"/>
    <s v="Oka-0813-2707-1646"/>
    <x v="117"/>
    <d v="1900-01-14T07:00:00"/>
    <s v="Other Subcon"/>
    <x v="0"/>
    <x v="1"/>
    <s v="ZTE2003"/>
    <s v="Meter"/>
    <n v="3000"/>
    <s v="BR005"/>
    <x v="21"/>
    <s v="Pinjem MORASA"/>
    <n v="0"/>
    <m/>
    <m/>
    <m/>
    <m/>
    <m/>
    <m/>
    <x v="31"/>
    <s v="MORASHA"/>
    <e v="#N/A"/>
    <e v="#N/A"/>
    <s v="OUTBOUND_H-ADSS 48C-2024223-02"/>
  </r>
  <r>
    <s v="796"/>
    <m/>
    <x v="1"/>
    <s v="OUB-W0012402-245"/>
    <s v="EJ-Malang-01"/>
    <s v="Oka-0813-2707-1646"/>
    <x v="117"/>
    <d v="1899-12-30T18:47:00"/>
    <s v="EJ-MALANG-01"/>
    <x v="0"/>
    <x v="1"/>
    <s v="ZTE2003"/>
    <s v="Meter"/>
    <n v="3000"/>
    <s v="CLR51-99-078"/>
    <x v="35"/>
    <m/>
    <m/>
    <m/>
    <s v="Dimas"/>
    <s v="Febby Supplier"/>
    <s v="3573032509800005"/>
    <s v="N 9454 BA"/>
    <s v="use 2075, 925 leftover"/>
    <x v="2"/>
    <s v="Bumiayu RW 03 Kedungkandang"/>
    <e v="#N/A"/>
    <e v="#N/A"/>
    <s v="OUTBOUND_"/>
  </r>
  <r>
    <s v="797"/>
    <m/>
    <x v="1"/>
    <s v="OUB-W0012402-247"/>
    <s v="EJ-Malang-01"/>
    <s v="Oka-0813-2707-1646"/>
    <x v="117"/>
    <d v="1899-12-30T20:47:00"/>
    <s v="EJ-MALANG-01"/>
    <x v="0"/>
    <x v="1"/>
    <s v="ZTE2003"/>
    <s v="Meter"/>
    <n v="3000"/>
    <s v="CLR51-99-078"/>
    <x v="35"/>
    <m/>
    <m/>
    <m/>
    <s v="Dimas"/>
    <s v="Febby Supplier"/>
    <s v="3573032509800005"/>
    <s v="N 9454 BA"/>
    <s v="drmorasa"/>
    <x v="2"/>
    <s v="Bumiayu RW 03 Kedungkandang"/>
    <e v="#N/A"/>
    <e v="#N/A"/>
    <s v="OUTBOUND_"/>
  </r>
  <r>
    <s v="798"/>
    <m/>
    <x v="1"/>
    <s v="OUB-W0012402-247"/>
    <s v="EJ-Malang-01"/>
    <s v="Oka-0813-2707-1646"/>
    <x v="117"/>
    <d v="1899-12-30T20:47:00"/>
    <s v="EJ-MALANG-01"/>
    <x v="0"/>
    <x v="1"/>
    <s v="ZTE2003"/>
    <s v="Meter"/>
    <n v="3000"/>
    <s v="CLR51-99-078"/>
    <x v="35"/>
    <m/>
    <m/>
    <m/>
    <s v="Dimas"/>
    <s v="Febby Supplier"/>
    <s v="3573032509800005"/>
    <s v="N 9454 BA"/>
    <s v="drmorasa"/>
    <x v="2"/>
    <s v="Bumiayu RW 03 Kedungkandang"/>
    <e v="#N/A"/>
    <e v="#N/A"/>
    <s v="OUTBOUND_"/>
  </r>
  <r>
    <s v="799"/>
    <m/>
    <x v="1"/>
    <s v="OUB-W0012402-245"/>
    <s v="EJ-Malang-01"/>
    <s v="Oka-0813-2707-1646"/>
    <x v="117"/>
    <d v="1899-12-30T18:47:00"/>
    <s v="EJ-MALANG-01"/>
    <x v="1"/>
    <x v="26"/>
    <s v="ZTE2020"/>
    <s v="Meter"/>
    <n v="1"/>
    <s v="CLR51-99-078"/>
    <x v="35"/>
    <m/>
    <m/>
    <m/>
    <s v="Dimas"/>
    <s v="Febby Supplier"/>
    <s v="3573032509800005"/>
    <s v="N 9454 BA"/>
    <s v="1.6m dr left over"/>
    <x v="2"/>
    <s v="Bumiayu RW 03 Kedungkandang"/>
    <e v="#N/A"/>
    <e v="#N/A"/>
    <s v="OUTBOUND_"/>
  </r>
  <r>
    <s v="800"/>
    <m/>
    <x v="1"/>
    <s v="OUB-W0012402-246"/>
    <s v="EJ-Malang-01"/>
    <s v="Oka-0813-2707-1646"/>
    <x v="117"/>
    <d v="1899-12-30T19:07:00"/>
    <s v="EJ-MALANG-01"/>
    <x v="0"/>
    <x v="2"/>
    <s v="ZTE2008"/>
    <s v="Pcs"/>
    <n v="11"/>
    <s v="CLR51-99-078"/>
    <x v="35"/>
    <m/>
    <m/>
    <m/>
    <s v="Fatur"/>
    <s v="Febby Supplier"/>
    <s v="3515082712870005"/>
    <s v="W 1130 NQ"/>
    <m/>
    <x v="2"/>
    <s v="Bumiayu RW 03 Kedungkandang"/>
    <e v="#N/A"/>
    <e v="#N/A"/>
    <s v="OUTBOUND_"/>
  </r>
  <r>
    <s v="801"/>
    <m/>
    <x v="1"/>
    <s v="OUB-W0012402-244"/>
    <s v="EJ-Malang-01"/>
    <s v="Oka-0813-2707-1646"/>
    <x v="117"/>
    <d v="1899-12-30T09:13:00"/>
    <s v="EJ-MALANG-01"/>
    <x v="0"/>
    <x v="2"/>
    <s v="ZTE2008"/>
    <s v="Pcs"/>
    <n v="18"/>
    <s v="CLR51-99-066"/>
    <x v="30"/>
    <m/>
    <m/>
    <m/>
    <s v="Fatur"/>
    <s v="Febby Supplier"/>
    <s v="3515082712870005"/>
    <s v="W 1130 NQ"/>
    <m/>
    <x v="2"/>
    <s v="TAMANHARJO RW 04 SINGOSARI"/>
    <e v="#N/A"/>
    <e v="#N/A"/>
    <s v="OUTBOUND_"/>
  </r>
  <r>
    <s v="802"/>
    <m/>
    <x v="1"/>
    <s v="OUB-W0012402-246"/>
    <s v="EJ-Malang-01"/>
    <s v="Oka-0813-2707-1646"/>
    <x v="117"/>
    <d v="1899-12-30T19:07:00"/>
    <s v="EJ-MALANG-01"/>
    <x v="0"/>
    <x v="29"/>
    <s v="GCI2013"/>
    <s v="Pcs"/>
    <n v="22"/>
    <s v="CLR51-99-078"/>
    <x v="35"/>
    <m/>
    <m/>
    <m/>
    <s v="Fatur"/>
    <s v="Febby Supplier"/>
    <s v="3515082712870005"/>
    <s v="W 1130 NQ"/>
    <m/>
    <x v="2"/>
    <s v="Bumiayu RW 03 Kedungkandang"/>
    <e v="#N/A"/>
    <e v="#N/A"/>
    <s v="OUTBOUND_"/>
  </r>
  <r>
    <s v="803"/>
    <m/>
    <x v="1"/>
    <s v="OUB-W0012402-244"/>
    <s v="EJ-Malang-01"/>
    <s v="Oka-0813-2707-1646"/>
    <x v="117"/>
    <d v="1899-12-30T09:13:00"/>
    <s v="EJ-MALANG-01"/>
    <x v="0"/>
    <x v="3"/>
    <s v="ZTE2005"/>
    <s v="Pcs"/>
    <n v="1"/>
    <s v="CLR51-99-066"/>
    <x v="30"/>
    <m/>
    <m/>
    <m/>
    <s v="Fatur"/>
    <s v="Febby Supplier"/>
    <s v="3515082712870005"/>
    <s v="W 1130 NQ"/>
    <m/>
    <x v="2"/>
    <s v="TAMANHARJO RW 04 SINGOSARI"/>
    <e v="#N/A"/>
    <e v="#N/A"/>
    <s v="OUTBOUND_"/>
  </r>
  <r>
    <s v="804"/>
    <m/>
    <x v="1"/>
    <s v="OUB-W0012402-246"/>
    <s v="EJ-Malang-01"/>
    <s v="Oka-0813-2707-1646"/>
    <x v="117"/>
    <d v="1899-12-30T19:07:00"/>
    <s v="EJ-MALANG-01"/>
    <x v="0"/>
    <x v="3"/>
    <s v="ZTE2005"/>
    <s v="Pcs"/>
    <n v="2"/>
    <s v="CLR51-99-078"/>
    <x v="35"/>
    <m/>
    <m/>
    <m/>
    <s v="Fatur"/>
    <s v="Febby Supplier"/>
    <s v="3515082712870005"/>
    <s v="W 1130 NQ"/>
    <m/>
    <x v="2"/>
    <s v="Bumiayu RW 03 Kedungkandang"/>
    <e v="#N/A"/>
    <e v="#N/A"/>
    <s v="OUTBOUND_"/>
  </r>
  <r>
    <s v="805"/>
    <m/>
    <x v="1"/>
    <s v="OUB-W0012402-244"/>
    <s v="EJ-Malang-01"/>
    <s v="Oka-0813-2707-1646"/>
    <x v="117"/>
    <d v="1899-12-30T09:13:00"/>
    <s v="EJ-MALANG-01"/>
    <x v="0"/>
    <x v="20"/>
    <s v="ZTE1004"/>
    <s v="Pcs"/>
    <n v="1"/>
    <s v="CLR51-99-066"/>
    <x v="30"/>
    <m/>
    <m/>
    <m/>
    <s v="Fatur"/>
    <s v="Febby Supplier"/>
    <s v="3515082712870005"/>
    <s v="W 1130 NQ"/>
    <m/>
    <x v="2"/>
    <s v="TAMANHARJO RW 04 SINGOSARI"/>
    <e v="#N/A"/>
    <e v="#N/A"/>
    <s v="OUTBOUND_"/>
  </r>
  <r>
    <s v="806"/>
    <m/>
    <x v="1"/>
    <s v="OUB-W0012402-246"/>
    <s v="EJ-Malang-01"/>
    <s v="Oka-0813-2707-1646"/>
    <x v="117"/>
    <d v="1899-12-30T19:07:00"/>
    <s v="EJ-MALANG-01"/>
    <x v="0"/>
    <x v="20"/>
    <s v="ZTE1004"/>
    <s v="Pcs"/>
    <n v="2"/>
    <s v="CLR51-99-078"/>
    <x v="35"/>
    <m/>
    <m/>
    <m/>
    <s v="Fatur"/>
    <s v="Febby Supplier"/>
    <s v="3515082712870005"/>
    <s v="W 1130 NQ"/>
    <m/>
    <x v="2"/>
    <s v="Bumiayu RW 03 Kedungkandang"/>
    <e v="#N/A"/>
    <e v="#N/A"/>
    <s v="OUTBOUND_"/>
  </r>
  <r>
    <s v="807"/>
    <m/>
    <x v="1"/>
    <s v="OUB-W0012402-248"/>
    <s v="EJ-Malang-01"/>
    <s v="Oka-0813-2707-1646"/>
    <x v="118"/>
    <d v="1899-12-30T15:15:00"/>
    <s v="EJ-MALANG-01"/>
    <x v="1"/>
    <x v="8"/>
    <s v="GCI1005"/>
    <s v="Pcs"/>
    <n v="40"/>
    <s v="CLR51-99-066"/>
    <x v="30"/>
    <m/>
    <m/>
    <m/>
    <s v="Riki Romansyah"/>
    <s v="Febby Supplier"/>
    <s v="3507050501950006"/>
    <s v="N 8420 EL"/>
    <m/>
    <x v="2"/>
    <s v="TAMANHARJO RW 04 SINGOSARI"/>
    <e v="#N/A"/>
    <e v="#N/A"/>
    <s v="OUTBOUND_"/>
  </r>
  <r>
    <s v="808"/>
    <m/>
    <x v="1"/>
    <s v="OUB-W0012402-248"/>
    <s v="EJ-Malang-01"/>
    <s v="Oka-0813-2707-1646"/>
    <x v="118"/>
    <d v="1899-12-30T15:15:00"/>
    <s v="EJ-MALANG-01"/>
    <x v="1"/>
    <x v="9"/>
    <s v="GCI1001"/>
    <s v="Pcs"/>
    <n v="3"/>
    <s v="CLR51-99-067"/>
    <x v="36"/>
    <m/>
    <m/>
    <m/>
    <s v="Riki Romansyah"/>
    <s v="Febby Supplier"/>
    <s v="3507050501950006"/>
    <s v="N 8420 EL"/>
    <m/>
    <x v="2"/>
    <s v="Bandulan RW 08 Sukun"/>
    <e v="#N/A"/>
    <e v="#N/A"/>
    <s v="OUTBOUND_"/>
  </r>
  <r>
    <s v="809"/>
    <m/>
    <x v="1"/>
    <s v="OUB-W0012402-249"/>
    <s v="EJ-Malang-01"/>
    <s v="Oka-0813-2707-1646"/>
    <x v="119"/>
    <d v="1899-12-30T08:37:00"/>
    <s v="EJ-MALANG-01"/>
    <x v="1"/>
    <x v="9"/>
    <s v="GCI1001"/>
    <s v="Pcs"/>
    <n v="22"/>
    <s v="CLR51-99-078"/>
    <x v="35"/>
    <m/>
    <m/>
    <m/>
    <s v="Dimas"/>
    <s v="Febby Supplier"/>
    <s v="3573032509800005"/>
    <s v="N 9454 BA"/>
    <m/>
    <x v="2"/>
    <s v="Bumiayu RW 03 Kedungkandang"/>
    <e v="#N/A"/>
    <e v="#N/A"/>
    <s v="OUTBOUND_"/>
  </r>
  <r>
    <s v="810"/>
    <m/>
    <x v="2"/>
    <s v="TFI-W0012402-250"/>
    <s v="EJ-Malang-01"/>
    <s v="Oka-0813-2707-1646"/>
    <x v="119"/>
    <d v="1900-01-14T07:00:00"/>
    <s v="ZTE Warehouse"/>
    <x v="0"/>
    <x v="20"/>
    <s v="ZTE1004"/>
    <s v="Pcs"/>
    <n v="6"/>
    <s v="TRF"/>
    <x v="17"/>
    <n v="0"/>
    <s v="TRANSFER GUDANG"/>
    <m/>
    <m/>
    <m/>
    <m/>
    <m/>
    <m/>
    <x v="2"/>
    <n v="0"/>
    <e v="#N/A"/>
    <e v="#N/A"/>
    <s v="OUTBOUND_"/>
  </r>
  <r>
    <s v="811"/>
    <m/>
    <x v="1"/>
    <s v="OUB-W0012402-249"/>
    <s v="EJ-Malang-01"/>
    <s v="Oka-0813-2707-1646"/>
    <x v="119"/>
    <d v="1899-12-30T08:37:00"/>
    <s v="EJ-MALANG-01"/>
    <x v="1"/>
    <x v="11"/>
    <s v="GCI1002"/>
    <s v="Pcs"/>
    <n v="3"/>
    <s v="CLR51-99-078"/>
    <x v="35"/>
    <m/>
    <m/>
    <m/>
    <s v="Dimas"/>
    <s v="Febby Supplier"/>
    <s v="3573032509800005"/>
    <s v="N 9454 BA"/>
    <m/>
    <x v="2"/>
    <s v="Bumiayu RW 03 Kedungkandang"/>
    <e v="#N/A"/>
    <e v="#N/A"/>
    <s v="OUTBOUND_"/>
  </r>
  <r>
    <s v="812"/>
    <m/>
    <x v="1"/>
    <s v="OUB-W0012402-249"/>
    <s v="EJ-Malang-01"/>
    <s v="Oka-0813-2707-1646"/>
    <x v="119"/>
    <d v="1899-12-30T08:37:00"/>
    <s v="EJ-MALANG-01"/>
    <x v="0"/>
    <x v="4"/>
    <s v="ZTE1002"/>
    <s v="Pcs"/>
    <n v="5"/>
    <s v="CLR51-99-078"/>
    <x v="35"/>
    <m/>
    <m/>
    <m/>
    <s v="Dimas"/>
    <s v="Febby Supplier"/>
    <s v="3573032509800005"/>
    <s v="N 9454 BA"/>
    <m/>
    <x v="2"/>
    <s v="Bumiayu RW 03 Kedungkandang"/>
    <e v="#N/A"/>
    <e v="#N/A"/>
    <s v="OUTBOUND_"/>
  </r>
  <r>
    <s v="813"/>
    <m/>
    <x v="1"/>
    <s v="OUB-W0012402-249"/>
    <s v="EJ-Malang-01"/>
    <s v="Oka-0813-2707-1646"/>
    <x v="119"/>
    <d v="1899-12-30T08:37:00"/>
    <s v="EJ-MALANG-01"/>
    <x v="0"/>
    <x v="5"/>
    <s v="ZTE1001"/>
    <s v="Pcs"/>
    <n v="8"/>
    <s v="CLR51-99-078"/>
    <x v="35"/>
    <m/>
    <m/>
    <m/>
    <s v="Dimas"/>
    <s v="Febby Supplier"/>
    <s v="3573032509800005"/>
    <s v="N 9454 BA"/>
    <m/>
    <x v="2"/>
    <s v="Bumiayu RW 03 Kedungkandang"/>
    <e v="#N/A"/>
    <e v="#N/A"/>
    <s v="OUTBOUND_"/>
  </r>
  <r>
    <s v="814"/>
    <m/>
    <x v="1"/>
    <s v="OUB-W0012402-249"/>
    <s v="EJ-Malang-01"/>
    <s v="Oka-0813-2707-1646"/>
    <x v="119"/>
    <d v="1899-12-30T08:37:00"/>
    <s v="EJ-MALANG-01"/>
    <x v="1"/>
    <x v="15"/>
    <s v="GCI1003"/>
    <s v="Pcs"/>
    <n v="128"/>
    <s v="CLR51-99-078"/>
    <x v="35"/>
    <m/>
    <m/>
    <m/>
    <s v="Dimas"/>
    <s v="Febby Supplier"/>
    <s v="3573032509800005"/>
    <s v="N 9454 BA"/>
    <m/>
    <x v="2"/>
    <s v="Bumiayu RW 03 Kedungkandang"/>
    <e v="#N/A"/>
    <e v="#N/A"/>
    <s v="OUTBOUND_"/>
  </r>
  <r>
    <s v="815"/>
    <m/>
    <x v="0"/>
    <s v="INB-W0012402-252"/>
    <s v="EJ-Malang-01"/>
    <s v="Oka-0813-2707-1646"/>
    <x v="120"/>
    <d v="1900-01-14T07:00:00"/>
    <s v="GCI Procurement"/>
    <x v="1"/>
    <x v="6"/>
    <s v="GCI1011"/>
    <s v="Pcs"/>
    <n v="1"/>
    <n v="0"/>
    <x v="37"/>
    <n v="0"/>
    <n v="0"/>
    <m/>
    <m/>
    <m/>
    <m/>
    <m/>
    <m/>
    <x v="2"/>
    <s v="UD RIZQI JAYA PRATAMA "/>
    <e v="#N/A"/>
    <e v="#N/A"/>
    <s v="OUTBOUND_"/>
  </r>
  <r>
    <s v="816"/>
    <m/>
    <x v="0"/>
    <s v="INB-W0012402-252"/>
    <s v="EJ-Malang-01"/>
    <s v="Oka-0813-2707-1646"/>
    <x v="120"/>
    <d v="1900-01-14T07:00:00"/>
    <s v="GCI Procurement"/>
    <x v="1"/>
    <x v="8"/>
    <s v="GCI1005"/>
    <s v="Pcs"/>
    <n v="141"/>
    <n v="0"/>
    <x v="37"/>
    <n v="0"/>
    <n v="0"/>
    <m/>
    <m/>
    <m/>
    <m/>
    <m/>
    <m/>
    <x v="2"/>
    <s v="UD RIZQI JAYA PRATAMA "/>
    <e v="#N/A"/>
    <e v="#N/A"/>
    <s v="OUTBOUND_"/>
  </r>
  <r>
    <s v="817"/>
    <m/>
    <x v="0"/>
    <s v="INB-W0012402-252"/>
    <s v="EJ-Malang-01"/>
    <s v="Oka-0813-2707-1646"/>
    <x v="120"/>
    <d v="1900-01-14T07:00:00"/>
    <s v="GCI Procurement"/>
    <x v="1"/>
    <x v="9"/>
    <s v="GCI1001"/>
    <s v="Pcs"/>
    <n v="83"/>
    <n v="0"/>
    <x v="37"/>
    <n v="0"/>
    <n v="0"/>
    <m/>
    <m/>
    <m/>
    <m/>
    <m/>
    <m/>
    <x v="2"/>
    <s v="UD RIZQI JAYA PRATAMA "/>
    <e v="#N/A"/>
    <e v="#N/A"/>
    <s v="OUTBOUND_"/>
  </r>
  <r>
    <s v="818"/>
    <m/>
    <x v="0"/>
    <s v="INB-W0012402-252"/>
    <s v="EJ-Malang-01"/>
    <s v="Oka-0813-2707-1646"/>
    <x v="120"/>
    <d v="1900-01-14T07:00:00"/>
    <s v="GCI Procurement"/>
    <x v="1"/>
    <x v="10"/>
    <s v="GCI1009"/>
    <s v="Pcs"/>
    <n v="314"/>
    <n v="0"/>
    <x v="37"/>
    <n v="0"/>
    <n v="0"/>
    <m/>
    <m/>
    <m/>
    <m/>
    <m/>
    <m/>
    <x v="2"/>
    <s v="UD RIZQI JAYA PRATAMA "/>
    <e v="#N/A"/>
    <e v="#N/A"/>
    <s v="OUTBOUND_"/>
  </r>
  <r>
    <s v="819"/>
    <m/>
    <x v="1"/>
    <s v="OUB-W0012402-251"/>
    <s v="EJ-Malang-01"/>
    <s v="Oka-0813-2707-1646"/>
    <x v="120"/>
    <d v="1899-12-30T14:15:00"/>
    <s v="EJ-MALANG-01"/>
    <x v="0"/>
    <x v="5"/>
    <s v="ZTE1001"/>
    <s v="Pcs"/>
    <n v="21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20"/>
    <m/>
    <x v="0"/>
    <s v="INB-W0012402-252"/>
    <s v="EJ-Malang-01"/>
    <s v="Oka-0813-2707-1646"/>
    <x v="120"/>
    <d v="1900-01-14T07:00:00"/>
    <s v="GCI Procurement"/>
    <x v="1"/>
    <x v="12"/>
    <s v="GCI1008"/>
    <s v="Pcs"/>
    <n v="183"/>
    <n v="0"/>
    <x v="37"/>
    <n v="0"/>
    <n v="0"/>
    <m/>
    <m/>
    <m/>
    <m/>
    <m/>
    <m/>
    <x v="2"/>
    <s v="UD RIZQI JAYA PRATAMA "/>
    <e v="#N/A"/>
    <e v="#N/A"/>
    <s v="OUTBOUND_"/>
  </r>
  <r>
    <s v="821"/>
    <m/>
    <x v="0"/>
    <s v="INB-W0012402-252"/>
    <s v="EJ-Malang-01"/>
    <s v="Oka-0813-2707-1646"/>
    <x v="120"/>
    <d v="1900-01-14T07:00:00"/>
    <s v="GCI Procurement"/>
    <x v="1"/>
    <x v="15"/>
    <s v="GCI1003"/>
    <s v="Pcs"/>
    <n v="301"/>
    <n v="0"/>
    <x v="37"/>
    <n v="0"/>
    <n v="0"/>
    <m/>
    <m/>
    <m/>
    <m/>
    <m/>
    <m/>
    <x v="2"/>
    <s v="UD RIZQI JAYA PRATAMA "/>
    <e v="#N/A"/>
    <e v="#N/A"/>
    <s v="OUTBOUND_"/>
  </r>
  <r>
    <s v="822"/>
    <m/>
    <x v="0"/>
    <s v="INB-W0012402-252"/>
    <s v="EJ-Malang-01"/>
    <s v="Oka-0813-2707-1646"/>
    <x v="120"/>
    <d v="1900-01-14T07:00:00"/>
    <s v="GCI Procurement"/>
    <x v="1"/>
    <x v="16"/>
    <s v="GCI1004"/>
    <s v="Pcs"/>
    <n v="91"/>
    <n v="0"/>
    <x v="37"/>
    <n v="0"/>
    <n v="0"/>
    <m/>
    <m/>
    <m/>
    <m/>
    <m/>
    <m/>
    <x v="2"/>
    <s v="UD RIZQI JAYA PRATAMA "/>
    <e v="#N/A"/>
    <e v="#N/A"/>
    <s v="OUTBOUND_"/>
  </r>
  <r>
    <s v="823"/>
    <m/>
    <x v="1"/>
    <s v="OUB-W0012402-254"/>
    <s v="EJ-Malang-01"/>
    <s v="Oka-0813-2707-1646"/>
    <x v="121"/>
    <d v="1899-12-30T11:40:00"/>
    <s v="EJ-MALANG-01"/>
    <x v="1"/>
    <x v="26"/>
    <s v="ZTE2020"/>
    <s v="Meter"/>
    <n v="1"/>
    <s v="CLR51-99-078"/>
    <x v="35"/>
    <m/>
    <m/>
    <m/>
    <s v="Riki Romansyah"/>
    <s v="Febby Supplier"/>
    <s v="3507050501950006"/>
    <s v="N 9454 BA"/>
    <s v="0.5 dr left over"/>
    <x v="2"/>
    <s v="Bumiayu RW 03 Kedungkandang"/>
    <e v="#N/A"/>
    <e v="#N/A"/>
    <s v="OUTBOUND_"/>
  </r>
  <r>
    <s v="824"/>
    <m/>
    <x v="1"/>
    <s v="OUB-W0012402-255"/>
    <s v="EJ-Malang-01"/>
    <s v="Oka-0813-2707-1646"/>
    <x v="121"/>
    <d v="1899-12-30T11:40:00"/>
    <s v="EJ-MALANG-01"/>
    <x v="1"/>
    <x v="26"/>
    <s v="ZTE2020"/>
    <s v="Meter"/>
    <n v="4"/>
    <s v="CLR51-99-079"/>
    <x v="38"/>
    <m/>
    <m/>
    <m/>
    <m/>
    <m/>
    <m/>
    <m/>
    <m/>
    <x v="2"/>
    <s v="Bumiayu RW 05 Kedungkandang"/>
    <e v="#N/A"/>
    <e v="#N/A"/>
    <s v="OUTBOUND_"/>
  </r>
  <r>
    <s v="825"/>
    <m/>
    <x v="1"/>
    <s v="OUB-W0012402-253"/>
    <s v="EJ-Malang-01"/>
    <s v="Oka-0813-2707-1646"/>
    <x v="121"/>
    <d v="1899-12-30T09:12:00"/>
    <s v="EJ-MALANG-01"/>
    <x v="1"/>
    <x v="6"/>
    <s v="GCI1011"/>
    <s v="Pcs"/>
    <n v="1"/>
    <s v="CLR51-99-078"/>
    <x v="35"/>
    <m/>
    <m/>
    <m/>
    <s v="Dimas"/>
    <s v="Febby Supplier"/>
    <s v="3573032509800005"/>
    <s v="N 9454 BA"/>
    <m/>
    <x v="2"/>
    <s v="Bumiayu RW 03 Kedungkandang"/>
    <e v="#N/A"/>
    <e v="#N/A"/>
    <s v="OUTBOUND_"/>
  </r>
  <r>
    <s v="826"/>
    <m/>
    <x v="1"/>
    <s v="OUB-W0012402-253"/>
    <s v="EJ-Malang-01"/>
    <s v="Oka-0813-2707-1646"/>
    <x v="121"/>
    <d v="1899-12-30T09:12:00"/>
    <s v="EJ-MALANG-01"/>
    <x v="1"/>
    <x v="8"/>
    <s v="GCI1005"/>
    <s v="Pcs"/>
    <n v="50"/>
    <s v="CLR51-99-078"/>
    <x v="35"/>
    <m/>
    <m/>
    <m/>
    <s v="Dimas"/>
    <s v="Febby Supplier"/>
    <s v="3573032509800005"/>
    <s v="N 9454 BA"/>
    <m/>
    <x v="2"/>
    <s v="Bumiayu RW 03 Kedungkandang"/>
    <e v="#N/A"/>
    <e v="#N/A"/>
    <s v="OUTBOUND_"/>
  </r>
  <r>
    <s v="827"/>
    <m/>
    <x v="1"/>
    <s v="OUB-W0012402-254"/>
    <s v="EJ-Malang-01"/>
    <s v="Oka-0813-2707-1646"/>
    <x v="121"/>
    <d v="1899-12-30T11:40:00"/>
    <s v="EJ-MALANG-01"/>
    <x v="1"/>
    <x v="10"/>
    <s v="GCI1009"/>
    <s v="Pcs"/>
    <n v="14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28"/>
    <m/>
    <x v="1"/>
    <s v="OUB-W0012402-253"/>
    <s v="EJ-Malang-01"/>
    <s v="Oka-0813-2707-1646"/>
    <x v="121"/>
    <d v="1899-12-30T09:12:00"/>
    <s v="EJ-MALANG-01"/>
    <x v="1"/>
    <x v="10"/>
    <s v="GCI1009"/>
    <s v="Pcs"/>
    <n v="220"/>
    <s v="CLR51-99-078"/>
    <x v="35"/>
    <m/>
    <m/>
    <m/>
    <s v="Dimas"/>
    <s v="Febby Supplier"/>
    <s v="3573032509800005"/>
    <s v="N 9454 BA"/>
    <m/>
    <x v="2"/>
    <s v="Bumiayu RW 03 Kedungkandang"/>
    <e v="#N/A"/>
    <e v="#N/A"/>
    <s v="OUTBOUND_"/>
  </r>
  <r>
    <s v="829"/>
    <m/>
    <x v="1"/>
    <s v="OUB-W0012402-256"/>
    <s v="EJ-Malang-01"/>
    <s v="Oka-0813-2707-1646"/>
    <x v="121"/>
    <d v="1899-12-30T11:40:00"/>
    <s v="EJ-MALANG-01"/>
    <x v="0"/>
    <x v="4"/>
    <s v="ZTE1002"/>
    <s v="Pcs"/>
    <n v="1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30"/>
    <m/>
    <x v="1"/>
    <s v="OUB-W0012402-256"/>
    <s v="EJ-Malang-01"/>
    <s v="Oka-0813-2707-1646"/>
    <x v="121"/>
    <d v="1899-12-30T11:40:00"/>
    <s v="EJ-MALANG-01"/>
    <x v="0"/>
    <x v="5"/>
    <s v="ZTE1001"/>
    <s v="Pcs"/>
    <n v="18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31"/>
    <m/>
    <x v="1"/>
    <s v="OUB-W0012402-256"/>
    <s v="EJ-Malang-01"/>
    <s v="Oka-0813-2707-1646"/>
    <x v="121"/>
    <d v="1899-12-30T11:40:00"/>
    <s v="EJ-MALANG-01"/>
    <x v="1"/>
    <x v="12"/>
    <s v="GCI1008"/>
    <s v="Pcs"/>
    <n v="9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32"/>
    <m/>
    <x v="1"/>
    <s v="OUB-W0012402-253"/>
    <s v="EJ-Malang-01"/>
    <s v="Oka-0813-2707-1646"/>
    <x v="121"/>
    <d v="1899-12-30T09:12:00"/>
    <s v="EJ-MALANG-01"/>
    <x v="1"/>
    <x v="12"/>
    <s v="GCI1008"/>
    <s v="Pcs"/>
    <n v="150"/>
    <s v="CLR51-99-078"/>
    <x v="35"/>
    <m/>
    <m/>
    <m/>
    <s v="Dimas"/>
    <s v="Febby Supplier"/>
    <s v="3573032509800005"/>
    <s v="N 9454 BA"/>
    <m/>
    <x v="2"/>
    <s v="Bumiayu RW 03 Kedungkandang"/>
    <e v="#N/A"/>
    <e v="#N/A"/>
    <s v="OUTBOUND_"/>
  </r>
  <r>
    <s v="833"/>
    <m/>
    <x v="1"/>
    <s v="OUB-W0012402-253"/>
    <s v="EJ-Malang-01"/>
    <s v="Oka-0813-2707-1646"/>
    <x v="121"/>
    <d v="1899-12-30T09:12:00"/>
    <s v="EJ-MALANG-01"/>
    <x v="1"/>
    <x v="15"/>
    <s v="GCI1003"/>
    <s v="Pcs"/>
    <n v="12"/>
    <s v="CLR51-99-078"/>
    <x v="35"/>
    <m/>
    <m/>
    <m/>
    <s v="Dimas"/>
    <s v="Febby Supplier"/>
    <s v="3573032509800005"/>
    <s v="N 9454 BA"/>
    <m/>
    <x v="2"/>
    <s v="Bumiayu RW 03 Kedungkandang"/>
    <e v="#N/A"/>
    <e v="#N/A"/>
    <s v="OUTBOUND_"/>
  </r>
  <r>
    <s v="834"/>
    <m/>
    <x v="1"/>
    <s v="OUB-W0012402-256"/>
    <s v="EJ-Malang-01"/>
    <s v="Oka-0813-2707-1646"/>
    <x v="121"/>
    <d v="1899-12-30T11:40:00"/>
    <s v="EJ-MALANG-01"/>
    <x v="1"/>
    <x v="16"/>
    <s v="GCI1004"/>
    <s v="Pcs"/>
    <n v="6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35"/>
    <m/>
    <x v="1"/>
    <s v="OUB-W0012402-253"/>
    <s v="EJ-Malang-01"/>
    <s v="Oka-0813-2707-1646"/>
    <x v="121"/>
    <d v="1899-12-30T09:12:00"/>
    <s v="EJ-MALANG-01"/>
    <x v="1"/>
    <x v="16"/>
    <s v="GCI1004"/>
    <s v="Pcs"/>
    <n v="60"/>
    <s v="CLR51-99-078"/>
    <x v="35"/>
    <m/>
    <m/>
    <m/>
    <s v="Dimas"/>
    <s v="Febby Supplier"/>
    <s v="3573032509800005"/>
    <s v="N 9454 BA"/>
    <m/>
    <x v="2"/>
    <s v="Bumiayu RW 03 Kedungkandang"/>
    <e v="#N/A"/>
    <e v="#N/A"/>
    <s v="OUTBOUND_"/>
  </r>
  <r>
    <s v="836"/>
    <m/>
    <x v="0"/>
    <s v="INB-W0012402-257"/>
    <s v="EJ-Malang-01"/>
    <s v="Oka-0813-2707-1646"/>
    <x v="122"/>
    <d v="1900-01-14T07:00:00"/>
    <s v="ZTE Warehouse"/>
    <x v="0"/>
    <x v="1"/>
    <s v="ZTE2003"/>
    <s v="Meter"/>
    <n v="3000"/>
    <s v="CLR51-99-078"/>
    <x v="35"/>
    <s v="DOEID24021521"/>
    <s v="DNWID0342024021507"/>
    <m/>
    <m/>
    <m/>
    <m/>
    <m/>
    <m/>
    <x v="32"/>
    <s v="Bumiayu RW 03 Kedungkandang"/>
    <d v="2024-02-15T00:00:00"/>
    <b v="0"/>
    <s v="OUTBOUND_H-ADSS 48C-2024229-01"/>
  </r>
  <r>
    <s v="837"/>
    <m/>
    <x v="0"/>
    <s v="INB-W0012402-257"/>
    <s v="EJ-Malang-01"/>
    <s v="Oka-0813-2707-1646"/>
    <x v="122"/>
    <d v="1900-01-14T07:00:00"/>
    <s v="ZTE Warehouse"/>
    <x v="0"/>
    <x v="1"/>
    <s v="ZTE2003"/>
    <s v="Meter"/>
    <n v="3000"/>
    <s v="CLR51-99-079"/>
    <x v="38"/>
    <s v="DOEID240226C9"/>
    <s v="DNWID0342024022616"/>
    <m/>
    <m/>
    <m/>
    <m/>
    <m/>
    <m/>
    <x v="33"/>
    <s v="Bumiayu RW 05 Kedungkandang"/>
    <d v="2024-02-29T00:00:00"/>
    <b v="1"/>
    <s v="OUTBOUND_H-ADSS 48C-2024229-02"/>
  </r>
  <r>
    <s v="838"/>
    <m/>
    <x v="0"/>
    <s v="INB-W0012402-259"/>
    <s v="EJ-Malang-01"/>
    <s v="Oka-0813-2707-1646"/>
    <x v="122"/>
    <d v="1900-01-14T07:00:00"/>
    <s v="ZTE Warehouse"/>
    <x v="0"/>
    <x v="28"/>
    <s v="ZTE2010"/>
    <s v="Pcs"/>
    <n v="3"/>
    <s v="CLR51-99-079"/>
    <x v="38"/>
    <s v="DOEID240226C9"/>
    <s v="DNWID0342024022616"/>
    <m/>
    <m/>
    <m/>
    <m/>
    <m/>
    <m/>
    <x v="2"/>
    <s v="Bumiayu RW 05 Kedungkandang"/>
    <d v="2024-02-29T00:00:00"/>
    <b v="1"/>
    <s v="OUTBOUND_"/>
  </r>
  <r>
    <s v="839"/>
    <m/>
    <x v="1"/>
    <s v="OUB-W0012402-258"/>
    <s v="EJ-Malang-01"/>
    <s v="Oka-0813-2707-1646"/>
    <x v="122"/>
    <d v="1899-12-30T13:20:00"/>
    <s v="EJ-MALANG-01"/>
    <x v="0"/>
    <x v="28"/>
    <s v="ZTE2010"/>
    <s v="Pcs"/>
    <n v="3"/>
    <s v="CLR51-99-079"/>
    <x v="38"/>
    <m/>
    <m/>
    <m/>
    <s v="Fatur"/>
    <s v="Febby Supplier"/>
    <s v="3515082712870005"/>
    <s v="W 1130 NQ"/>
    <m/>
    <x v="2"/>
    <s v="Bumiayu RW 05 Kedungkandang"/>
    <e v="#N/A"/>
    <e v="#N/A"/>
    <s v="OUTBOUND_"/>
  </r>
  <r>
    <s v="840"/>
    <m/>
    <x v="1"/>
    <s v="OUB-W0012402-258"/>
    <s v="EJ-Malang-01"/>
    <s v="Oka-0813-2707-1646"/>
    <x v="122"/>
    <d v="1899-12-30T13:20:00"/>
    <s v="EJ-MALANG-01"/>
    <x v="0"/>
    <x v="29"/>
    <s v="GCI2013"/>
    <s v="Pcs"/>
    <n v="22"/>
    <s v="CLR51-99-079"/>
    <x v="38"/>
    <m/>
    <m/>
    <m/>
    <s v="Fatur"/>
    <s v="Febby Supplier"/>
    <s v="3515082712870005"/>
    <s v="W 1130 NQ"/>
    <m/>
    <x v="2"/>
    <s v="Bumiayu RW 05 Kedungkandang"/>
    <e v="#N/A"/>
    <e v="#N/A"/>
    <s v="OUTBOUND_"/>
  </r>
  <r>
    <s v="841"/>
    <m/>
    <x v="0"/>
    <s v="INB-W0012402-259"/>
    <s v="EJ-Malang-01"/>
    <s v="Oka-0813-2707-1646"/>
    <x v="122"/>
    <d v="1900-01-14T07:00:00"/>
    <s v="ZTE Warehouse"/>
    <x v="0"/>
    <x v="3"/>
    <s v="ZTE2005"/>
    <s v="Pcs"/>
    <n v="1"/>
    <s v="CLR51-99-079"/>
    <x v="38"/>
    <s v="DOEID240226C9"/>
    <s v="DNWID0342024022616"/>
    <m/>
    <m/>
    <m/>
    <m/>
    <m/>
    <m/>
    <x v="2"/>
    <s v="Bumiayu RW 05 Kedungkandang"/>
    <d v="2024-02-29T00:00:00"/>
    <b v="1"/>
    <s v="OUTBOUND_"/>
  </r>
  <r>
    <s v="842"/>
    <m/>
    <x v="1"/>
    <s v="OUB-W0012402-258"/>
    <s v="EJ-Malang-01"/>
    <s v="Oka-0813-2707-1646"/>
    <x v="122"/>
    <d v="1899-12-30T13:20:00"/>
    <s v="EJ-MALANG-01"/>
    <x v="0"/>
    <x v="3"/>
    <s v="ZTE2005"/>
    <s v="Pcs"/>
    <n v="1"/>
    <s v="CLR51-99-079"/>
    <x v="38"/>
    <m/>
    <m/>
    <m/>
    <s v="Fatur"/>
    <s v="Febby Supplier"/>
    <s v="3515082712870005"/>
    <s v="W 1130 NQ"/>
    <m/>
    <x v="2"/>
    <s v="Bumiayu RW 05 Kedungkandang"/>
    <e v="#N/A"/>
    <e v="#N/A"/>
    <s v="OUTBOUND_"/>
  </r>
  <r>
    <s v="843"/>
    <m/>
    <x v="0"/>
    <s v="INB-W0012402-259"/>
    <s v="EJ-Malang-01"/>
    <s v="Oka-0813-2707-1646"/>
    <x v="122"/>
    <d v="1900-01-14T07:00:00"/>
    <s v="ZTE Warehouse"/>
    <x v="0"/>
    <x v="4"/>
    <s v="ZTE1002"/>
    <s v="Pcs"/>
    <n v="17"/>
    <s v="CLR51-99-079"/>
    <x v="38"/>
    <s v="DOEID240226C8"/>
    <s v="DNWID0362024022659"/>
    <m/>
    <m/>
    <m/>
    <m/>
    <m/>
    <m/>
    <x v="2"/>
    <s v="Bumiayu RW 05 Kedungkandang"/>
    <d v="2024-02-29T00:00:00"/>
    <b v="1"/>
    <s v="OUTBOUND_"/>
  </r>
  <r>
    <s v="844"/>
    <m/>
    <x v="0"/>
    <s v="INB-W0012402-259"/>
    <s v="EJ-Malang-01"/>
    <s v="Oka-0813-2707-1646"/>
    <x v="122"/>
    <d v="1900-01-14T07:00:00"/>
    <s v="ZTE Warehouse"/>
    <x v="0"/>
    <x v="5"/>
    <s v="ZTE1001"/>
    <s v="Pcs"/>
    <n v="51"/>
    <s v="CLR51-99-079"/>
    <x v="38"/>
    <s v="DOEID240226C8"/>
    <s v="DNWID0362024022659"/>
    <m/>
    <m/>
    <m/>
    <m/>
    <m/>
    <m/>
    <x v="2"/>
    <s v="Bumiayu RW 05 Kedungkandang"/>
    <d v="2024-02-29T00:00:00"/>
    <b v="1"/>
    <s v="OUTBOUND_"/>
  </r>
  <r>
    <s v="845"/>
    <m/>
    <x v="0"/>
    <s v="INB-W0012403-260"/>
    <s v="EJ-Malang-01"/>
    <s v="Oka-0813-2707-1646"/>
    <x v="123"/>
    <d v="1900-01-14T07:00:00"/>
    <s v="ZTE Warehouse"/>
    <x v="0"/>
    <x v="0"/>
    <s v="ZTE2001"/>
    <s v="Meter"/>
    <n v="3000"/>
    <s v="CLR51-99-075"/>
    <x v="39"/>
    <s v="DOEID240322BC"/>
    <s v="DNWID0342024032220"/>
    <m/>
    <m/>
    <m/>
    <m/>
    <m/>
    <m/>
    <x v="34"/>
    <s v="Dalisodo RW 03 Wagir"/>
    <d v="2024-03-23T00:00:00"/>
    <b v="0"/>
    <s v="OUTBOUND_H-ADSS 24C-202431-01"/>
  </r>
  <r>
    <s v="846"/>
    <m/>
    <x v="0"/>
    <s v="INB-W0012403-260"/>
    <s v="EJ-Malang-01"/>
    <s v="Oka-0813-2707-1646"/>
    <x v="123"/>
    <d v="1900-01-14T07:00:00"/>
    <s v="ZTE Warehouse"/>
    <x v="0"/>
    <x v="0"/>
    <s v="ZTE2001"/>
    <s v="Meter"/>
    <n v="3000"/>
    <s v="CLR51-99-075"/>
    <x v="39"/>
    <s v="DOEID240322BC"/>
    <s v="DNWID0342024032220"/>
    <m/>
    <m/>
    <m/>
    <m/>
    <m/>
    <m/>
    <x v="35"/>
    <s v="Dalisodo RW 03 Wagir"/>
    <d v="2024-03-23T00:00:00"/>
    <b v="0"/>
    <s v="OUTBOUND_H-ADSS 24C-202431-02"/>
  </r>
  <r>
    <s v="847"/>
    <m/>
    <x v="2"/>
    <s v="TFI-W0012403-260"/>
    <s v="EJ-Malang-01"/>
    <s v="Oka-0813-2707-1646"/>
    <x v="123"/>
    <d v="1900-01-14T07:00:00"/>
    <s v="ZTE Warehouse"/>
    <x v="0"/>
    <x v="1"/>
    <s v="ZTE2003"/>
    <s v="Meter"/>
    <n v="3000"/>
    <s v="TRF"/>
    <x v="17"/>
    <n v="0"/>
    <s v="TRANSFER GUDANG"/>
    <m/>
    <m/>
    <m/>
    <m/>
    <m/>
    <m/>
    <x v="36"/>
    <n v="0"/>
    <e v="#N/A"/>
    <e v="#N/A"/>
    <s v="OUTBOUND_H-ADSS 48C-202431-01"/>
  </r>
  <r>
    <s v="848"/>
    <m/>
    <x v="2"/>
    <s v="TFI-W0012403-260"/>
    <s v="EJ-Malang-01"/>
    <s v="Oka-0813-2707-1646"/>
    <x v="123"/>
    <d v="1900-01-14T07:00:00"/>
    <s v="ZTE Warehouse"/>
    <x v="0"/>
    <x v="1"/>
    <s v="ZTE2003"/>
    <s v="Meter"/>
    <n v="3000"/>
    <s v="TRF"/>
    <x v="17"/>
    <n v="0"/>
    <s v="TRANSFER GUDANG"/>
    <m/>
    <m/>
    <m/>
    <m/>
    <m/>
    <m/>
    <x v="37"/>
    <n v="0"/>
    <e v="#N/A"/>
    <e v="#N/A"/>
    <s v="OUTBOUND_H-ADSS 48C-202431-02"/>
  </r>
  <r>
    <s v="849"/>
    <m/>
    <x v="2"/>
    <s v="TFI-W0012403-260"/>
    <s v="EJ-Malang-01"/>
    <s v="Oka-0813-2707-1646"/>
    <x v="123"/>
    <d v="1900-01-14T07:00:00"/>
    <s v="ZTE Warehouse"/>
    <x v="0"/>
    <x v="1"/>
    <s v="ZTE2003"/>
    <s v="Meter"/>
    <n v="3000"/>
    <s v="TRF"/>
    <x v="17"/>
    <n v="0"/>
    <s v="TRANSFER GUDANG"/>
    <m/>
    <m/>
    <m/>
    <m/>
    <m/>
    <m/>
    <x v="38"/>
    <n v="0"/>
    <e v="#N/A"/>
    <e v="#N/A"/>
    <s v="OUTBOUND_H-ADSS 48C-202431-03"/>
  </r>
  <r>
    <s v="850"/>
    <m/>
    <x v="1"/>
    <s v="OUB-W0012403-261"/>
    <s v="EJ-Malang-01"/>
    <s v="Oka-0813-2707-1646"/>
    <x v="123"/>
    <d v="1899-12-30T09:23:00"/>
    <s v="EJ-MALANG-01"/>
    <x v="0"/>
    <x v="1"/>
    <s v="ZTE2003"/>
    <s v="Meter"/>
    <n v="3000"/>
    <s v="CLR51-99-079"/>
    <x v="38"/>
    <m/>
    <m/>
    <m/>
    <s v="Riki Romansyah"/>
    <s v="Febby Supplier"/>
    <s v="3507050501950006"/>
    <s v="N 9454 BA"/>
    <s v="use 2480 , 520 leftover"/>
    <x v="2"/>
    <s v="Bumiayu RW 05 Kedungkandang"/>
    <e v="#N/A"/>
    <e v="#N/A"/>
    <s v="OUTBOUND_"/>
  </r>
  <r>
    <s v="851"/>
    <m/>
    <x v="0"/>
    <s v="INB-W0012403-263"/>
    <s v="EJ-Malang-01"/>
    <s v="Oka-0813-2707-1646"/>
    <x v="123"/>
    <d v="1900-01-14T07:00:00"/>
    <s v="ZTE Warehouse"/>
    <x v="0"/>
    <x v="28"/>
    <s v="ZTE2010"/>
    <s v="Pcs"/>
    <n v="14"/>
    <m/>
    <x v="28"/>
    <n v="0"/>
    <n v="0"/>
    <m/>
    <m/>
    <m/>
    <m/>
    <m/>
    <m/>
    <x v="2"/>
    <n v="0"/>
    <e v="#N/A"/>
    <e v="#N/A"/>
    <s v="OUTBOUND_"/>
  </r>
  <r>
    <s v="852"/>
    <m/>
    <x v="1"/>
    <s v="OUB-W0012403-261"/>
    <s v="EJ-Malang-01"/>
    <s v="Oka-0813-2707-1646"/>
    <x v="123"/>
    <d v="1899-12-30T09:23:00"/>
    <s v="EJ-MALANG-01"/>
    <x v="1"/>
    <x v="9"/>
    <s v="GCI1001"/>
    <s v="Pcs"/>
    <n v="23"/>
    <s v="CLR51-99-078"/>
    <x v="35"/>
    <m/>
    <m/>
    <m/>
    <s v="Riki Romansyah"/>
    <s v="Febby Supplier"/>
    <s v="3507050501950006"/>
    <s v="N 9454 BA"/>
    <m/>
    <x v="2"/>
    <s v="Bumiayu RW 03 Kedungkandang"/>
    <e v="#N/A"/>
    <e v="#N/A"/>
    <s v="OUTBOUND_"/>
  </r>
  <r>
    <s v="853"/>
    <m/>
    <x v="1"/>
    <s v="OUB-W0012403-261"/>
    <s v="EJ-Malang-01"/>
    <s v="Oka-0813-2707-1646"/>
    <x v="123"/>
    <d v="1899-12-30T09:23:00"/>
    <s v="EJ-MALANG-01"/>
    <x v="1"/>
    <x v="10"/>
    <s v="GCI1009"/>
    <s v="Pcs"/>
    <n v="14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54"/>
    <m/>
    <x v="1"/>
    <s v="OUB-W0012403-262"/>
    <s v="EJ-Malang-01"/>
    <s v="Oka-0813-2707-1646"/>
    <x v="123"/>
    <d v="1899-12-30T10:12:00"/>
    <s v="EJ-MALANG-01"/>
    <x v="1"/>
    <x v="10"/>
    <s v="GCI1009"/>
    <s v="Pcs"/>
    <n v="40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55"/>
    <m/>
    <x v="0"/>
    <s v="INB-W0012403-263"/>
    <s v="EJ-Malang-01"/>
    <s v="Oka-0813-2707-1646"/>
    <x v="123"/>
    <d v="1900-01-14T07:00:00"/>
    <s v="ZTE Warehouse"/>
    <x v="0"/>
    <x v="3"/>
    <s v="ZTE2005"/>
    <s v="Pcs"/>
    <n v="1"/>
    <m/>
    <x v="28"/>
    <n v="0"/>
    <n v="0"/>
    <m/>
    <m/>
    <m/>
    <m/>
    <m/>
    <m/>
    <x v="2"/>
    <n v="0"/>
    <e v="#N/A"/>
    <e v="#N/A"/>
    <s v="OUTBOUND_"/>
  </r>
  <r>
    <s v="856"/>
    <m/>
    <x v="0"/>
    <s v="INB-W0012403-263"/>
    <s v="EJ-Malang-01"/>
    <s v="Oka-0813-2707-1646"/>
    <x v="123"/>
    <d v="1900-01-14T07:00:00"/>
    <s v="ZTE Warehouse"/>
    <x v="0"/>
    <x v="30"/>
    <s v="ZTE2006"/>
    <s v="Pcs"/>
    <n v="3"/>
    <m/>
    <x v="28"/>
    <n v="0"/>
    <n v="0"/>
    <m/>
    <m/>
    <m/>
    <m/>
    <m/>
    <m/>
    <x v="2"/>
    <n v="0"/>
    <e v="#N/A"/>
    <e v="#N/A"/>
    <s v="OUTBOUND_"/>
  </r>
  <r>
    <s v="857"/>
    <m/>
    <x v="0"/>
    <s v="INB-W0012403-263"/>
    <s v="EJ-Malang-01"/>
    <s v="Oka-0813-2707-1646"/>
    <x v="123"/>
    <d v="1900-01-14T07:00:00"/>
    <s v="ZTE Warehouse"/>
    <x v="0"/>
    <x v="4"/>
    <s v="ZTE1002"/>
    <s v="Pcs"/>
    <n v="28"/>
    <m/>
    <x v="28"/>
    <n v="0"/>
    <n v="0"/>
    <m/>
    <m/>
    <m/>
    <m/>
    <m/>
    <m/>
    <x v="2"/>
    <n v="0"/>
    <e v="#N/A"/>
    <e v="#N/A"/>
    <s v="OUTBOUND_"/>
  </r>
  <r>
    <s v="858"/>
    <m/>
    <x v="0"/>
    <s v="INB-W0012403-263"/>
    <s v="EJ-Malang-01"/>
    <s v="Oka-0813-2707-1646"/>
    <x v="123"/>
    <d v="1900-01-14T07:00:00"/>
    <s v="ZTE Warehouse"/>
    <x v="0"/>
    <x v="5"/>
    <s v="ZTE1001"/>
    <s v="Pcs"/>
    <n v="203"/>
    <m/>
    <x v="28"/>
    <n v="0"/>
    <n v="0"/>
    <m/>
    <m/>
    <m/>
    <m/>
    <m/>
    <m/>
    <x v="2"/>
    <n v="0"/>
    <e v="#N/A"/>
    <e v="#N/A"/>
    <s v="OUTBOUND_"/>
  </r>
  <r>
    <s v="859"/>
    <m/>
    <x v="0"/>
    <s v="INB-W0012403-263"/>
    <s v="EJ-Malang-01"/>
    <s v="Oka-0813-2707-1646"/>
    <x v="123"/>
    <d v="1900-01-14T07:00:00"/>
    <s v="ZTE Warehouse"/>
    <x v="0"/>
    <x v="19"/>
    <s v="ZTE1003"/>
    <s v="Pcs"/>
    <n v="8"/>
    <m/>
    <x v="28"/>
    <n v="0"/>
    <n v="0"/>
    <m/>
    <m/>
    <m/>
    <m/>
    <m/>
    <m/>
    <x v="2"/>
    <n v="0"/>
    <e v="#N/A"/>
    <e v="#N/A"/>
    <s v="OUTBOUND_"/>
  </r>
  <r>
    <s v="860"/>
    <m/>
    <x v="1"/>
    <s v="OUB-W0012403-261"/>
    <s v="EJ-Malang-01"/>
    <s v="Oka-0813-2707-1646"/>
    <x v="123"/>
    <d v="1899-12-30T09:23:00"/>
    <s v="EJ-MALANG-01"/>
    <x v="1"/>
    <x v="12"/>
    <s v="GCI1008"/>
    <s v="Pcs"/>
    <n v="10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61"/>
    <m/>
    <x v="1"/>
    <s v="OUB-W0012403-262"/>
    <s v="EJ-Malang-01"/>
    <s v="Oka-0813-2707-1646"/>
    <x v="123"/>
    <d v="1899-12-30T10:12:00"/>
    <s v="EJ-MALANG-01"/>
    <x v="1"/>
    <x v="12"/>
    <s v="GCI1008"/>
    <s v="Pcs"/>
    <n v="25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62"/>
    <m/>
    <x v="1"/>
    <s v="OUB-W0012403-261"/>
    <s v="EJ-Malang-01"/>
    <s v="Oka-0813-2707-1646"/>
    <x v="123"/>
    <d v="1899-12-30T09:23:00"/>
    <s v="EJ-MALANG-01"/>
    <x v="1"/>
    <x v="15"/>
    <s v="GCI1003"/>
    <s v="Pcs"/>
    <n v="50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63"/>
    <m/>
    <x v="1"/>
    <s v="OUB-W0012403-265"/>
    <s v="EJ-Malang-01"/>
    <s v="Oka-0813-2707-1646"/>
    <x v="124"/>
    <d v="1899-12-30T10:12:00"/>
    <s v="EJ-MALANG-01"/>
    <x v="1"/>
    <x v="10"/>
    <s v="GCI1009"/>
    <s v="Pcs"/>
    <n v="40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64"/>
    <m/>
    <x v="0"/>
    <s v="INB-W0012403-266"/>
    <s v="EJ-Malang-01"/>
    <s v="Oka-0813-2707-1646"/>
    <x v="124"/>
    <d v="1900-01-14T07:00:00"/>
    <s v="ZTE Warehouse"/>
    <x v="0"/>
    <x v="4"/>
    <s v="ZTE1002"/>
    <s v="Pcs"/>
    <n v="1"/>
    <s v="CLR51-99-078"/>
    <x v="35"/>
    <s v="DOEID24021520"/>
    <s v="DNWID0362024021508"/>
    <m/>
    <m/>
    <m/>
    <m/>
    <m/>
    <m/>
    <x v="2"/>
    <s v="Bumiayu RW 03 Kedungkandang"/>
    <d v="2024-02-15T00:00:00"/>
    <b v="0"/>
    <s v="OUTBOUND_"/>
  </r>
  <r>
    <s v="865"/>
    <m/>
    <x v="1"/>
    <s v="OUB-W0012403-264"/>
    <s v="EJ-Malang-01"/>
    <s v="Oka-0813-2707-1646"/>
    <x v="124"/>
    <d v="1899-12-30T08:37:00"/>
    <s v="EJ-MALANG-01"/>
    <x v="0"/>
    <x v="5"/>
    <s v="ZTE1001"/>
    <s v="Pcs"/>
    <n v="1"/>
    <s v="CLR51-99-078"/>
    <x v="35"/>
    <m/>
    <m/>
    <m/>
    <s v="Dimas"/>
    <s v="Febby Supplier"/>
    <s v="3573032509800005"/>
    <s v="N 9454 BA"/>
    <m/>
    <x v="2"/>
    <s v="Bumiayu RW 03 Kedungkandang"/>
    <e v="#N/A"/>
    <e v="#N/A"/>
    <s v="OUTBOUND_"/>
  </r>
  <r>
    <s v="866"/>
    <m/>
    <x v="1"/>
    <s v="OUB-W0012403-265"/>
    <s v="EJ-Malang-01"/>
    <s v="Oka-0813-2707-1646"/>
    <x v="124"/>
    <d v="1899-12-30T10:12:00"/>
    <s v="EJ-MALANG-01"/>
    <x v="1"/>
    <x v="12"/>
    <s v="GCI1008"/>
    <s v="Pcs"/>
    <n v="25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67"/>
    <m/>
    <x v="1"/>
    <s v="OUB-W0012403-267"/>
    <s v="EJ-Malang-01"/>
    <s v="Oka-0813-2707-1646"/>
    <x v="125"/>
    <d v="1899-12-30T13:54:00"/>
    <s v="EJ-MALANG-01"/>
    <x v="1"/>
    <x v="8"/>
    <s v="GCI1005"/>
    <s v="Pcs"/>
    <n v="50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68"/>
    <m/>
    <x v="1"/>
    <s v="OUB-W0012403-267"/>
    <s v="EJ-Malang-01"/>
    <s v="Oka-0813-2707-1646"/>
    <x v="125"/>
    <d v="1899-12-30T13:54:00"/>
    <s v="EJ-MALANG-01"/>
    <x v="1"/>
    <x v="10"/>
    <s v="GCI1009"/>
    <s v="Pcs"/>
    <n v="12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69"/>
    <m/>
    <x v="1"/>
    <s v="OUB-W0012403-267"/>
    <s v="EJ-Malang-01"/>
    <s v="Oka-0813-2707-1646"/>
    <x v="125"/>
    <d v="1899-12-30T13:54:00"/>
    <s v="EJ-MALANG-01"/>
    <x v="1"/>
    <x v="11"/>
    <s v="GCI1002"/>
    <s v="Pcs"/>
    <n v="1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70"/>
    <m/>
    <x v="1"/>
    <s v="OUB-W0012403-267"/>
    <s v="EJ-Malang-01"/>
    <s v="Oka-0813-2707-1646"/>
    <x v="125"/>
    <d v="1899-12-30T13:54:00"/>
    <s v="EJ-MALANG-01"/>
    <x v="0"/>
    <x v="4"/>
    <s v="ZTE1002"/>
    <s v="Pcs"/>
    <n v="5"/>
    <s v="CLR51-99-079"/>
    <x v="38"/>
    <m/>
    <m/>
    <m/>
    <s v="Riki Romansyah"/>
    <s v="Febby Supplier"/>
    <s v="3507050501950006"/>
    <s v="N 8420 EL"/>
    <m/>
    <x v="2"/>
    <s v="Bumiayu RW 05 Kedungkandang"/>
    <e v="#N/A"/>
    <e v="#N/A"/>
    <s v="OUTBOUND_"/>
  </r>
  <r>
    <s v="871"/>
    <m/>
    <x v="2"/>
    <s v="TFI-W0012403-268"/>
    <s v="EJ-Malang-01"/>
    <s v="Oka-0813-2707-1646"/>
    <x v="125"/>
    <d v="1900-01-14T07:00:00"/>
    <s v="ZTE Warehouse"/>
    <x v="0"/>
    <x v="5"/>
    <s v="ZTE1001"/>
    <s v="Pcs"/>
    <n v="2"/>
    <s v="TRF"/>
    <x v="17"/>
    <n v="0"/>
    <s v="TRANSFER GUDANG"/>
    <m/>
    <m/>
    <m/>
    <m/>
    <m/>
    <m/>
    <x v="2"/>
    <n v="0"/>
    <e v="#N/A"/>
    <e v="#N/A"/>
    <s v="OUTBOUND_"/>
  </r>
  <r>
    <s v="872"/>
    <m/>
    <x v="1"/>
    <s v="OUB-W0012403-269"/>
    <s v="EJ-Malang-01"/>
    <s v="Oka-0813-2707-1646"/>
    <x v="126"/>
    <d v="1899-12-30T09:24:00"/>
    <s v="EJ-MALANG-01"/>
    <x v="1"/>
    <x v="10"/>
    <s v="GCI1009"/>
    <s v="Pcs"/>
    <n v="10"/>
    <s v="CLR29-99-153"/>
    <x v="29"/>
    <m/>
    <m/>
    <m/>
    <s v="Riki Romansyah"/>
    <s v="Febby Supplier"/>
    <s v="3507050501950006"/>
    <s v="N 8420 EL"/>
    <m/>
    <x v="2"/>
    <s v="Perumahan Pondok Mutiara Malang"/>
    <e v="#N/A"/>
    <e v="#N/A"/>
    <s v="OUTBOUND_"/>
  </r>
  <r>
    <s v="873"/>
    <m/>
    <x v="1"/>
    <s v="OUB-W0012403-270"/>
    <s v="EJ-Malang-01"/>
    <s v="Oka-0813-2707-1646"/>
    <x v="126"/>
    <d v="1899-12-30T09:24:00"/>
    <s v="EJ-MALANG-01"/>
    <x v="0"/>
    <x v="20"/>
    <s v="ZTE1004"/>
    <s v="Pcs"/>
    <n v="1"/>
    <s v="CLR51-99-079"/>
    <x v="38"/>
    <m/>
    <m/>
    <m/>
    <s v="Fatur"/>
    <s v="Febby Supplier"/>
    <s v="3515082712870005"/>
    <s v="W 1130 NQ"/>
    <m/>
    <x v="2"/>
    <s v="Bumiayu RW 05 Kedungkandang"/>
    <e v="#N/A"/>
    <e v="#N/A"/>
    <s v="OUTBOUND_"/>
  </r>
  <r>
    <s v="874"/>
    <m/>
    <x v="2"/>
    <s v="TFI-W0012403-272"/>
    <s v="EJ-Malang-01"/>
    <s v="Oka-0813-2707-1646"/>
    <x v="126"/>
    <d v="1900-01-14T07:00:00"/>
    <s v="EJ-GRESIK-01"/>
    <x v="0"/>
    <x v="20"/>
    <s v="ZTE1004"/>
    <s v="Pcs"/>
    <n v="3"/>
    <s v="TRF"/>
    <x v="11"/>
    <n v="0"/>
    <s v="TRANSFER GUDANG"/>
    <m/>
    <m/>
    <m/>
    <m/>
    <m/>
    <s v="dari gresik"/>
    <x v="2"/>
    <s v="GRESIK"/>
    <e v="#N/A"/>
    <e v="#N/A"/>
    <s v="OUTBOUND_"/>
  </r>
  <r>
    <s v="875"/>
    <m/>
    <x v="1"/>
    <s v="OUB-W0012403-271"/>
    <s v="EJ-Malang-01"/>
    <s v="Oka-0813-2707-1646"/>
    <x v="126"/>
    <d v="1899-12-30T09:24:00"/>
    <s v="EJ-MALANG-01"/>
    <x v="1"/>
    <x v="12"/>
    <s v="GCI1008"/>
    <s v="Pcs"/>
    <n v="5"/>
    <s v="CLR29-99-153"/>
    <x v="29"/>
    <m/>
    <m/>
    <m/>
    <s v="Riki Romansyah"/>
    <s v="Febby Supplier"/>
    <s v="3507050501950006"/>
    <s v="N 8420 EL"/>
    <m/>
    <x v="2"/>
    <s v="Perumahan Pondok Mutiara Malang"/>
    <e v="#N/A"/>
    <e v="#N/A"/>
    <s v="OUTBOUND_"/>
  </r>
  <r>
    <s v="876"/>
    <m/>
    <x v="1"/>
    <s v="OUB-W0012403-271"/>
    <s v="EJ-Malang-01"/>
    <s v="Oka-0813-2707-1646"/>
    <x v="126"/>
    <d v="1899-12-30T09:24:00"/>
    <s v="EJ-MALANG-01"/>
    <x v="1"/>
    <x v="15"/>
    <s v="GCI1003"/>
    <s v="Pcs"/>
    <n v="50"/>
    <s v="CLR29-99-153"/>
    <x v="29"/>
    <m/>
    <m/>
    <m/>
    <s v="Riki Romansyah"/>
    <s v="Febby Supplier"/>
    <s v="3507050501950006"/>
    <s v="N 8420 EL"/>
    <m/>
    <x v="2"/>
    <s v="Perumahan Pondok Mutiara Malang"/>
    <e v="#N/A"/>
    <e v="#N/A"/>
    <s v="OUTBOUND_"/>
  </r>
  <r>
    <s v="877"/>
    <m/>
    <x v="1"/>
    <s v="OUB-W0012403-271"/>
    <s v="EJ-Malang-01"/>
    <s v="Oka-0813-2707-1646"/>
    <x v="126"/>
    <d v="1899-12-30T09:24:00"/>
    <s v="EJ-MALANG-01"/>
    <x v="1"/>
    <x v="16"/>
    <s v="GCI1004"/>
    <s v="Pcs"/>
    <n v="5"/>
    <s v="CLR29-99-153"/>
    <x v="29"/>
    <m/>
    <m/>
    <m/>
    <s v="Riki Romansyah"/>
    <s v="Febby Supplier"/>
    <s v="3507050501950006"/>
    <s v="N 8420 EL"/>
    <m/>
    <x v="2"/>
    <s v="Perumahan Pondok Mutiara Malang"/>
    <e v="#N/A"/>
    <e v="#N/A"/>
    <s v="OUTBOUND_"/>
  </r>
  <r>
    <s v="878"/>
    <m/>
    <x v="3"/>
    <s v="TFO-W0012403-273"/>
    <s v="EJ-Malang-01"/>
    <s v="Oka-0813-2707-1646"/>
    <x v="127"/>
    <d v="1899-12-30T21:01:00"/>
    <s v="EJ-GRESIK-01"/>
    <x v="0"/>
    <x v="0"/>
    <s v="ZTE2001"/>
    <s v="Meter"/>
    <n v="3000"/>
    <s v="TRF"/>
    <x v="40"/>
    <m/>
    <m/>
    <m/>
    <s v="Jamil"/>
    <n v="0"/>
    <n v="0"/>
    <n v="0"/>
    <s v="WH MALANg ke Wh Gresik"/>
    <x v="34"/>
    <s v="Transfer Gudang TO GRESIK"/>
    <e v="#N/A"/>
    <e v="#N/A"/>
    <s v="TRANSFER OUT_H-ADSS 24C-202431-01"/>
  </r>
  <r>
    <s v="879"/>
    <m/>
    <x v="3"/>
    <s v="TFO-W0012403-273"/>
    <s v="EJ-Malang-01"/>
    <s v="Oka-0813-2707-1646"/>
    <x v="127"/>
    <d v="1899-12-30T21:01:00"/>
    <s v="EJ-GRESIK-01"/>
    <x v="0"/>
    <x v="0"/>
    <s v="ZTE2001"/>
    <s v="Meter"/>
    <n v="3000"/>
    <s v="TRF"/>
    <x v="40"/>
    <m/>
    <m/>
    <m/>
    <s v="Jamil"/>
    <n v="0"/>
    <n v="0"/>
    <n v="0"/>
    <s v="WH MALANg ke Wh Gresik"/>
    <x v="35"/>
    <s v="Transfer Gudang TO GRESIK"/>
    <e v="#N/A"/>
    <e v="#N/A"/>
    <s v="TRANSFER OUT_H-ADSS 24C-202431-02"/>
  </r>
  <r>
    <s v="880"/>
    <m/>
    <x v="2"/>
    <s v="TFI-W0012403-274"/>
    <s v="EJ-Malang-01"/>
    <s v="Oka-0813-2707-1646"/>
    <x v="127"/>
    <d v="1900-01-14T07:00:00"/>
    <s v="EJ-GRESIK-01"/>
    <x v="0"/>
    <x v="2"/>
    <s v="ZTE2008"/>
    <s v="Pcs"/>
    <n v="90"/>
    <s v="TRF"/>
    <x v="11"/>
    <n v="0"/>
    <s v="TRANSFER GUDANG"/>
    <m/>
    <m/>
    <m/>
    <m/>
    <m/>
    <s v="dari gresik"/>
    <x v="2"/>
    <s v="GRESIK"/>
    <e v="#N/A"/>
    <e v="#N/A"/>
    <s v="OUTBOUND_"/>
  </r>
  <r>
    <s v="881"/>
    <m/>
    <x v="3"/>
    <s v="TFO-W0012403-275"/>
    <s v="EJ-Malang-01"/>
    <s v="Oka-0813-2707-1646"/>
    <x v="128"/>
    <d v="1899-12-30T10:28:00"/>
    <s v="EJ-MALANG-01"/>
    <x v="0"/>
    <x v="28"/>
    <s v="ZTE2010"/>
    <s v="Pcs"/>
    <n v="14"/>
    <s v="TRF"/>
    <x v="10"/>
    <m/>
    <m/>
    <m/>
    <s v="Fatur"/>
    <s v="Febby Supplier"/>
    <s v="3515082712870005"/>
    <s v="W 1130 NQ"/>
    <m/>
    <x v="2"/>
    <s v="Transfer Gudang"/>
    <e v="#N/A"/>
    <e v="#N/A"/>
    <s v="TRANSFER OUT_"/>
  </r>
  <r>
    <s v="882"/>
    <m/>
    <x v="3"/>
    <s v="TFO-W0012403-275"/>
    <s v="EJ-Malang-01"/>
    <s v="Oka-0813-2707-1646"/>
    <x v="128"/>
    <d v="1899-12-30T10:28:00"/>
    <s v="EJ-MALANG-01"/>
    <x v="0"/>
    <x v="3"/>
    <s v="ZTE2005"/>
    <s v="Pcs"/>
    <n v="1"/>
    <s v="TRF"/>
    <x v="10"/>
    <m/>
    <m/>
    <m/>
    <s v="Fatur"/>
    <s v="Febby Supplier"/>
    <s v="3515082712870005"/>
    <s v="W 1130 NQ"/>
    <m/>
    <x v="2"/>
    <s v="Transfer Gudang"/>
    <e v="#N/A"/>
    <e v="#N/A"/>
    <s v="TRANSFER OUT_"/>
  </r>
  <r>
    <s v="883"/>
    <m/>
    <x v="3"/>
    <s v="TFO-W0012403-275"/>
    <s v="EJ-Malang-01"/>
    <s v="Oka-0813-2707-1646"/>
    <x v="128"/>
    <d v="1899-12-30T10:28:00"/>
    <s v="EJ-MALANG-01"/>
    <x v="0"/>
    <x v="30"/>
    <s v="ZTE2006"/>
    <s v="Pcs"/>
    <n v="3"/>
    <s v="TRF"/>
    <x v="10"/>
    <m/>
    <m/>
    <m/>
    <s v="Fatur"/>
    <s v="Febby Supplier"/>
    <s v="3515082712870005"/>
    <s v="W 1130 NQ"/>
    <m/>
    <x v="2"/>
    <s v="Transfer Gudang"/>
    <e v="#N/A"/>
    <e v="#N/A"/>
    <s v="TRANSFER OUT_"/>
  </r>
  <r>
    <s v="884"/>
    <m/>
    <x v="1"/>
    <s v="OUB-W0012403-276"/>
    <s v="EJ-Malang-01"/>
    <s v="Oka-0813-2707-1646"/>
    <x v="129"/>
    <d v="1899-12-30T10:12:00"/>
    <s v="EJ-MALANG-01"/>
    <x v="0"/>
    <x v="4"/>
    <s v="ZTE1002"/>
    <s v="Pcs"/>
    <n v="8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885"/>
    <m/>
    <x v="1"/>
    <s v="OUB-W0012403-276"/>
    <s v="EJ-Malang-01"/>
    <s v="Oka-0813-2707-1646"/>
    <x v="129"/>
    <d v="1899-12-30T10:12:00"/>
    <s v="EJ-MALANG-01"/>
    <x v="0"/>
    <x v="5"/>
    <s v="ZTE1001"/>
    <s v="Pcs"/>
    <n v="131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886"/>
    <m/>
    <x v="1"/>
    <s v="OUB-W0012403-277"/>
    <s v="EJ-Malang-01"/>
    <s v="Oka-0813-2707-1646"/>
    <x v="130"/>
    <d v="1899-12-30T17:12:00"/>
    <s v="EJ-MALANG-01"/>
    <x v="0"/>
    <x v="1"/>
    <s v="ZTE2003"/>
    <s v="Meter"/>
    <n v="3000"/>
    <s v="CLR51-99-073"/>
    <x v="41"/>
    <m/>
    <m/>
    <m/>
    <s v="Riki Romansyah"/>
    <s v="Febby Supplier"/>
    <s v="3507050501950006"/>
    <s v="N 8420 EL"/>
    <n v="320"/>
    <x v="2"/>
    <s v="Dalisodo RW 01 Wagir"/>
    <e v="#N/A"/>
    <e v="#N/A"/>
    <s v="OUTBOUND_"/>
  </r>
  <r>
    <s v="887"/>
    <m/>
    <x v="1"/>
    <s v="OUB-W0012403-277"/>
    <s v="EJ-Malang-01"/>
    <s v="Oka-0813-2707-1646"/>
    <x v="130"/>
    <d v="1899-12-30T17:12:00"/>
    <s v="EJ-MALANG-01"/>
    <x v="1"/>
    <x v="8"/>
    <s v="GCI1005"/>
    <s v="Pcs"/>
    <n v="42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888"/>
    <m/>
    <x v="1"/>
    <s v="OUB-W0012403-277"/>
    <s v="EJ-Malang-01"/>
    <s v="Oka-0813-2707-1646"/>
    <x v="130"/>
    <d v="1899-12-30T17:12:00"/>
    <s v="EJ-MALANG-01"/>
    <x v="1"/>
    <x v="10"/>
    <s v="GCI1009"/>
    <s v="Pcs"/>
    <n v="50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889"/>
    <m/>
    <x v="4"/>
    <s v="BOI-W0012403-278"/>
    <s v="EJ-Malang-01"/>
    <s v="Oka-0813-2707-1646"/>
    <x v="130"/>
    <d v="1900-01-14T07:00:00"/>
    <s v="Other Subcon"/>
    <x v="0"/>
    <x v="4"/>
    <s v="ZTE1002"/>
    <s v="Pcs"/>
    <n v="3"/>
    <s v="BR004"/>
    <x v="24"/>
    <n v="0"/>
    <m/>
    <m/>
    <m/>
    <m/>
    <m/>
    <m/>
    <s v="dari YPTT"/>
    <x v="2"/>
    <s v="YPTT"/>
    <e v="#N/A"/>
    <e v="#N/A"/>
    <s v="OUTBOUND_"/>
  </r>
  <r>
    <s v="890"/>
    <m/>
    <x v="4"/>
    <s v="BOI-W0012403-278"/>
    <s v="EJ-Malang-01"/>
    <s v="Oka-0813-2707-1646"/>
    <x v="130"/>
    <d v="1900-01-14T07:00:00"/>
    <s v="Other Subcon"/>
    <x v="0"/>
    <x v="5"/>
    <s v="ZTE1001"/>
    <s v="Pcs"/>
    <n v="6"/>
    <s v="BR004"/>
    <x v="24"/>
    <n v="0"/>
    <s v="TRANSFER GUDANG"/>
    <m/>
    <m/>
    <m/>
    <m/>
    <m/>
    <s v="dari YPTT"/>
    <x v="2"/>
    <s v="YPTT"/>
    <e v="#N/A"/>
    <e v="#N/A"/>
    <s v="OUTBOUND_"/>
  </r>
  <r>
    <s v="891"/>
    <m/>
    <x v="1"/>
    <s v="OUB-W0012403-277"/>
    <s v="EJ-Malang-01"/>
    <s v="Oka-0813-2707-1646"/>
    <x v="130"/>
    <d v="1899-12-30T17:12:00"/>
    <s v="EJ-MALANG-01"/>
    <x v="0"/>
    <x v="5"/>
    <s v="ZTE1001"/>
    <s v="Pcs"/>
    <n v="18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892"/>
    <m/>
    <x v="1"/>
    <s v="OUB-W0012403-277"/>
    <s v="EJ-Malang-01"/>
    <s v="Oka-0813-2707-1646"/>
    <x v="130"/>
    <d v="1899-12-30T17:12:00"/>
    <s v="EJ-MALANG-01"/>
    <x v="1"/>
    <x v="12"/>
    <s v="GCI1008"/>
    <s v="Pcs"/>
    <n v="40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893"/>
    <m/>
    <x v="1"/>
    <s v="OUB-W0012403-277"/>
    <s v="EJ-Malang-01"/>
    <s v="Oka-0813-2707-1646"/>
    <x v="130"/>
    <d v="1899-12-30T17:12:00"/>
    <s v="EJ-MALANG-01"/>
    <x v="1"/>
    <x v="15"/>
    <s v="GCI1003"/>
    <s v="Pcs"/>
    <n v="100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894"/>
    <m/>
    <x v="1"/>
    <s v="OUB-W0012403-277"/>
    <s v="EJ-Malang-01"/>
    <s v="Oka-0813-2707-1646"/>
    <x v="130"/>
    <d v="1899-12-30T17:12:00"/>
    <s v="EJ-MALANG-01"/>
    <x v="1"/>
    <x v="16"/>
    <s v="GCI1004"/>
    <s v="Pcs"/>
    <n v="50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895"/>
    <m/>
    <x v="0"/>
    <s v="INB-W0012403-279"/>
    <s v="EJ-Malang-01"/>
    <s v="Oka-0813-2707-1646"/>
    <x v="131"/>
    <d v="1900-01-14T07:00:00"/>
    <s v="ZTE Warehouse"/>
    <x v="0"/>
    <x v="0"/>
    <s v="ZTE2001"/>
    <s v="Meter"/>
    <n v="3000"/>
    <s v="CLR51-99-040"/>
    <x v="42"/>
    <s v="DOEID24031923"/>
    <s v="DNWID0342024031908"/>
    <m/>
    <m/>
    <m/>
    <m/>
    <m/>
    <m/>
    <x v="39"/>
    <s v="Tunjungtirto RW 08 Singosari"/>
    <d v="2024-03-19T00:00:00"/>
    <b v="1"/>
    <s v="OUTBOUND_H-ADSS 24C-2024319-01"/>
  </r>
  <r>
    <s v="896"/>
    <m/>
    <x v="2"/>
    <s v="TFI-W0012403-279"/>
    <s v="EJ-Malang-01"/>
    <s v="Oka-0813-2707-1646"/>
    <x v="131"/>
    <d v="1900-01-14T07:00:00"/>
    <s v="ZTE Warehouse"/>
    <x v="0"/>
    <x v="1"/>
    <s v="ZTE2003"/>
    <s v="Meter"/>
    <n v="3000"/>
    <s v="TRF"/>
    <x v="17"/>
    <n v="0"/>
    <s v="TRANSFER GUDANG"/>
    <m/>
    <m/>
    <m/>
    <m/>
    <m/>
    <m/>
    <x v="40"/>
    <n v="0"/>
    <e v="#N/A"/>
    <e v="#N/A"/>
    <s v="OUTBOUND_H-ADSS 48C-2024319-01"/>
  </r>
  <r>
    <s v="897"/>
    <m/>
    <x v="2"/>
    <s v="TFI-W0012403-279"/>
    <s v="EJ-Malang-01"/>
    <s v="Oka-0813-2707-1646"/>
    <x v="131"/>
    <d v="1900-01-14T07:00:00"/>
    <s v="ZTE Warehouse"/>
    <x v="0"/>
    <x v="28"/>
    <s v="ZTE2010"/>
    <s v="Pcs"/>
    <n v="3"/>
    <s v="TRF"/>
    <x v="17"/>
    <n v="0"/>
    <n v="0"/>
    <m/>
    <m/>
    <m/>
    <m/>
    <m/>
    <s v="TRANSFER GUDANG"/>
    <x v="2"/>
    <n v="0"/>
    <e v="#N/A"/>
    <e v="#N/A"/>
    <s v="OUTBOUND_"/>
  </r>
  <r>
    <s v="898"/>
    <m/>
    <x v="2"/>
    <s v="TFI-W0012403-279"/>
    <s v="EJ-Malang-01"/>
    <s v="Oka-0813-2707-1646"/>
    <x v="131"/>
    <d v="1900-01-14T07:00:00"/>
    <s v="ZTE Warehouse"/>
    <x v="0"/>
    <x v="28"/>
    <s v="ZTE2010"/>
    <s v="Pcs"/>
    <n v="6"/>
    <s v="TRF"/>
    <x v="17"/>
    <n v="0"/>
    <n v="0"/>
    <m/>
    <m/>
    <m/>
    <m/>
    <m/>
    <s v="TRANSFER GUDANG"/>
    <x v="2"/>
    <n v="0"/>
    <e v="#N/A"/>
    <e v="#N/A"/>
    <s v="OUTBOUND_"/>
  </r>
  <r>
    <s v="899"/>
    <m/>
    <x v="0"/>
    <s v="INB-W0012403-279"/>
    <s v="EJ-Malang-01"/>
    <s v="Oka-0813-2707-1646"/>
    <x v="131"/>
    <d v="1900-01-14T07:00:00"/>
    <s v="ZTE Warehouse"/>
    <x v="0"/>
    <x v="2"/>
    <s v="ZTE2008"/>
    <s v="Pcs"/>
    <n v="28"/>
    <m/>
    <x v="28"/>
    <n v="0"/>
    <n v="0"/>
    <m/>
    <m/>
    <m/>
    <m/>
    <m/>
    <m/>
    <x v="2"/>
    <n v="0"/>
    <e v="#N/A"/>
    <e v="#N/A"/>
    <s v="OUTBOUND_"/>
  </r>
  <r>
    <s v="900"/>
    <m/>
    <x v="0"/>
    <s v="INB-W0012403-279"/>
    <s v="EJ-Malang-01"/>
    <s v="Oka-0813-2707-1646"/>
    <x v="131"/>
    <d v="1900-01-14T07:00:00"/>
    <s v="ZTE Warehouse"/>
    <x v="0"/>
    <x v="3"/>
    <s v="ZTE2005"/>
    <s v="Pcs"/>
    <n v="2"/>
    <m/>
    <x v="28"/>
    <n v="0"/>
    <n v="0"/>
    <m/>
    <m/>
    <m/>
    <m/>
    <m/>
    <m/>
    <x v="2"/>
    <n v="0"/>
    <e v="#N/A"/>
    <e v="#N/A"/>
    <s v="OUTBOUND_"/>
  </r>
  <r>
    <s v="901"/>
    <m/>
    <x v="0"/>
    <s v="INB-W0012403-279"/>
    <s v="EJ-Malang-01"/>
    <s v="Oka-0813-2707-1646"/>
    <x v="131"/>
    <d v="1900-01-14T07:00:00"/>
    <s v="ZTE Warehouse"/>
    <x v="0"/>
    <x v="4"/>
    <s v="ZTE1002"/>
    <s v="Pcs"/>
    <n v="7"/>
    <m/>
    <x v="28"/>
    <n v="0"/>
    <n v="0"/>
    <m/>
    <m/>
    <m/>
    <m/>
    <m/>
    <m/>
    <x v="2"/>
    <n v="0"/>
    <e v="#N/A"/>
    <e v="#N/A"/>
    <s v="OUTBOUND_"/>
  </r>
  <r>
    <s v="902"/>
    <m/>
    <x v="0"/>
    <s v="INB-W0012403-279"/>
    <s v="EJ-Malang-01"/>
    <s v="Oka-0813-2707-1646"/>
    <x v="131"/>
    <d v="1900-01-14T07:00:00"/>
    <s v="ZTE Warehouse"/>
    <x v="0"/>
    <x v="5"/>
    <s v="ZTE1001"/>
    <s v="Pcs"/>
    <n v="53"/>
    <m/>
    <x v="28"/>
    <n v="0"/>
    <n v="0"/>
    <m/>
    <m/>
    <m/>
    <m/>
    <m/>
    <m/>
    <x v="2"/>
    <n v="0"/>
    <e v="#N/A"/>
    <e v="#N/A"/>
    <s v="OUTBOUND_"/>
  </r>
  <r>
    <s v="903"/>
    <m/>
    <x v="0"/>
    <s v="INB-W0012403-279"/>
    <s v="EJ-Malang-01"/>
    <s v="Oka-0813-2707-1646"/>
    <x v="131"/>
    <d v="1900-01-14T07:00:00"/>
    <s v="ZTE Warehouse"/>
    <x v="0"/>
    <x v="19"/>
    <s v="ZTE1003"/>
    <s v="Pcs"/>
    <n v="1"/>
    <m/>
    <x v="28"/>
    <n v="0"/>
    <n v="0"/>
    <m/>
    <m/>
    <m/>
    <m/>
    <m/>
    <m/>
    <x v="2"/>
    <n v="0"/>
    <e v="#N/A"/>
    <e v="#N/A"/>
    <s v="OUTBOUND_"/>
  </r>
  <r>
    <s v="904"/>
    <m/>
    <x v="1"/>
    <s v="OUB-W0012403-280"/>
    <s v="EJ-Malang-01"/>
    <s v="Oka-0813-2707-1646"/>
    <x v="132"/>
    <d v="1899-12-30T10:17:00"/>
    <s v="EJ-MALANG-01"/>
    <x v="0"/>
    <x v="4"/>
    <s v="ZTE1002"/>
    <s v="Pcs"/>
    <n v="4"/>
    <s v="CLR51-99-039"/>
    <x v="43"/>
    <m/>
    <m/>
    <m/>
    <s v="Dimas"/>
    <s v="Febby Supplier"/>
    <s v="3573032509800005"/>
    <s v="N 9454 BA"/>
    <m/>
    <x v="2"/>
    <s v="Tunjungtirto RW 01 Singosari"/>
    <e v="#N/A"/>
    <e v="#N/A"/>
    <s v="OUTBOUND_"/>
  </r>
  <r>
    <s v="905"/>
    <m/>
    <x v="1"/>
    <s v="OUB-W0012403-280"/>
    <s v="EJ-Malang-01"/>
    <s v="Oka-0813-2707-1646"/>
    <x v="132"/>
    <d v="1899-12-30T10:17:00"/>
    <s v="EJ-MALANG-01"/>
    <x v="0"/>
    <x v="5"/>
    <s v="ZTE1001"/>
    <s v="Pcs"/>
    <n v="20"/>
    <s v="CLR51-99-039"/>
    <x v="43"/>
    <m/>
    <m/>
    <m/>
    <s v="Dimas"/>
    <s v="Febby Supplier"/>
    <s v="3573032509800005"/>
    <s v="N 9454 BA"/>
    <m/>
    <x v="2"/>
    <s v="Tunjungtirto RW 01 Singosari"/>
    <e v="#N/A"/>
    <e v="#N/A"/>
    <s v="OUTBOUND_"/>
  </r>
  <r>
    <s v="906"/>
    <m/>
    <x v="3"/>
    <s v="TFO-W0012403-282"/>
    <s v="EJ-Malang-01"/>
    <s v="Oka-0813-2707-1646"/>
    <x v="133"/>
    <d v="1899-12-30T21:01:00"/>
    <s v="EJ-MALANG-01"/>
    <x v="0"/>
    <x v="1"/>
    <s v="ZTE2003"/>
    <s v="Meter"/>
    <n v="3000"/>
    <n v="0"/>
    <x v="10"/>
    <m/>
    <m/>
    <m/>
    <s v="Jamil"/>
    <n v="0"/>
    <n v="0"/>
    <n v="0"/>
    <m/>
    <x v="2"/>
    <s v="Transfer Gudang"/>
    <e v="#N/A"/>
    <e v="#N/A"/>
    <s v="TRANSFER OUT_"/>
  </r>
  <r>
    <s v="907"/>
    <m/>
    <x v="3"/>
    <s v="TFO-W0012403-282"/>
    <s v="EJ-Malang-01"/>
    <s v="Oka-0813-2707-1646"/>
    <x v="133"/>
    <d v="1899-12-30T21:01:00"/>
    <s v="EJ-MALANG-01"/>
    <x v="0"/>
    <x v="1"/>
    <s v="ZTE2003"/>
    <s v="Meter"/>
    <n v="3000"/>
    <n v="0"/>
    <x v="10"/>
    <m/>
    <m/>
    <m/>
    <s v="Jamil"/>
    <n v="0"/>
    <n v="0"/>
    <n v="0"/>
    <m/>
    <x v="2"/>
    <s v="Transfer Gudang"/>
    <e v="#N/A"/>
    <e v="#N/A"/>
    <s v="TRANSFER OUT_"/>
  </r>
  <r>
    <s v="908"/>
    <m/>
    <x v="1"/>
    <s v="OUB-W0012403-281"/>
    <s v="EJ-Malang-01"/>
    <s v="Oka-0813-2707-1646"/>
    <x v="133"/>
    <d v="1899-12-30T09:45:00"/>
    <s v="EJ-MALANG-01"/>
    <x v="0"/>
    <x v="5"/>
    <s v="ZTE1001"/>
    <s v="Pcs"/>
    <n v="11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09"/>
    <m/>
    <x v="1"/>
    <s v="OUB-W0012403-281"/>
    <s v="EJ-Malang-01"/>
    <s v="Oka-0813-2707-1646"/>
    <x v="133"/>
    <d v="1899-12-30T09:45:00"/>
    <s v="EJ-MALANG-01"/>
    <x v="0"/>
    <x v="19"/>
    <s v="ZTE1003"/>
    <s v="Pcs"/>
    <n v="1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10"/>
    <m/>
    <x v="0"/>
    <s v="INB-W0012403-283"/>
    <s v="EJ-Malang-01"/>
    <s v="Oka-0813-2707-1646"/>
    <x v="134"/>
    <d v="1900-01-14T07:00:00"/>
    <s v="GCI Procurement"/>
    <x v="1"/>
    <x v="6"/>
    <s v="GCI1011"/>
    <s v="Pcs"/>
    <n v="1"/>
    <n v="0"/>
    <x v="44"/>
    <n v="0"/>
    <n v="0"/>
    <m/>
    <m/>
    <m/>
    <m/>
    <m/>
    <m/>
    <x v="2"/>
    <s v="UD HALIM"/>
    <e v="#N/A"/>
    <e v="#N/A"/>
    <s v="OUTBOUND_"/>
  </r>
  <r>
    <s v="911"/>
    <m/>
    <x v="0"/>
    <s v="INB-W0012403-283"/>
    <s v="EJ-Malang-01"/>
    <s v="Oka-0813-2707-1646"/>
    <x v="134"/>
    <d v="1900-01-14T07:00:00"/>
    <s v="GCI Procurement"/>
    <x v="1"/>
    <x v="8"/>
    <s v="GCI1005"/>
    <s v="Pcs"/>
    <n v="230"/>
    <n v="0"/>
    <x v="44"/>
    <n v="0"/>
    <n v="0"/>
    <m/>
    <m/>
    <m/>
    <m/>
    <m/>
    <m/>
    <x v="2"/>
    <s v="UD HALIM"/>
    <e v="#N/A"/>
    <e v="#N/A"/>
    <s v="OUTBOUND_"/>
  </r>
  <r>
    <s v="912"/>
    <m/>
    <x v="0"/>
    <s v="INB-W0012403-283"/>
    <s v="EJ-Malang-01"/>
    <s v="Oka-0813-2707-1646"/>
    <x v="134"/>
    <d v="1900-01-14T07:00:00"/>
    <s v="GCI Procurement"/>
    <x v="1"/>
    <x v="12"/>
    <s v="GCI1008"/>
    <s v="Pcs"/>
    <n v="248"/>
    <n v="0"/>
    <x v="44"/>
    <n v="0"/>
    <n v="0"/>
    <m/>
    <m/>
    <m/>
    <m/>
    <m/>
    <m/>
    <x v="2"/>
    <s v="UD HALIM"/>
    <e v="#N/A"/>
    <e v="#N/A"/>
    <s v="OUTBOUND_"/>
  </r>
  <r>
    <s v="913"/>
    <m/>
    <x v="0"/>
    <s v="INB-W0012403-283"/>
    <s v="EJ-Malang-01"/>
    <s v="Oka-0813-2707-1646"/>
    <x v="134"/>
    <d v="1900-01-14T07:00:00"/>
    <s v="GCI Procurement"/>
    <x v="1"/>
    <x v="15"/>
    <s v="GCI1003"/>
    <s v="Pcs"/>
    <n v="359"/>
    <n v="0"/>
    <x v="44"/>
    <n v="0"/>
    <n v="0"/>
    <m/>
    <m/>
    <m/>
    <m/>
    <m/>
    <m/>
    <x v="2"/>
    <s v="UD HALIM"/>
    <e v="#N/A"/>
    <e v="#N/A"/>
    <s v="OUTBOUND_"/>
  </r>
  <r>
    <s v="914"/>
    <m/>
    <x v="0"/>
    <s v="INB-W0012403-283"/>
    <s v="EJ-Malang-01"/>
    <s v="Oka-0813-2707-1646"/>
    <x v="134"/>
    <d v="1900-01-14T07:00:00"/>
    <s v="GCI Procurement"/>
    <x v="1"/>
    <x v="16"/>
    <s v="GCI1004"/>
    <s v="Pcs"/>
    <n v="103"/>
    <n v="0"/>
    <x v="44"/>
    <n v="0"/>
    <n v="0"/>
    <m/>
    <m/>
    <m/>
    <m/>
    <m/>
    <m/>
    <x v="2"/>
    <s v="UD HALIM"/>
    <e v="#N/A"/>
    <e v="#N/A"/>
    <s v="OUTBOUND_"/>
  </r>
  <r>
    <s v="915"/>
    <m/>
    <x v="0"/>
    <s v="INB-W0012403-284"/>
    <s v="EJ-Malang-01"/>
    <s v="Oka-0813-2707-1646"/>
    <x v="135"/>
    <d v="1900-01-14T07:00:00"/>
    <s v="ZTE Warehouse"/>
    <x v="0"/>
    <x v="0"/>
    <s v="ZTE2001"/>
    <s v="Meter"/>
    <n v="3000"/>
    <s v="CLR51-99-075"/>
    <x v="39"/>
    <s v="DOEID240322BC"/>
    <s v="DNWID0342024032220"/>
    <m/>
    <m/>
    <m/>
    <m/>
    <m/>
    <m/>
    <x v="41"/>
    <s v="Dalisodo RW 03 Wagir"/>
    <d v="2024-03-23T00:00:00"/>
    <b v="1"/>
    <s v="OUTBOUND_H-ADSS 24C-2024323-01"/>
  </r>
  <r>
    <s v="916"/>
    <m/>
    <x v="0"/>
    <s v="INB-W0012403-284"/>
    <s v="EJ-Malang-01"/>
    <s v="Oka-0813-2707-1646"/>
    <x v="135"/>
    <d v="1900-01-14T07:00:00"/>
    <s v="ZTE Warehouse"/>
    <x v="0"/>
    <x v="0"/>
    <s v="ZTE2001"/>
    <s v="Meter"/>
    <n v="3000"/>
    <s v="CLR51-99-077"/>
    <x v="45"/>
    <s v="DOEID240322BD"/>
    <s v="DNWID0342024032219"/>
    <m/>
    <m/>
    <m/>
    <m/>
    <m/>
    <m/>
    <x v="42"/>
    <s v="Dalisodo RW 05 Wagir"/>
    <d v="2024-03-23T00:00:00"/>
    <b v="1"/>
    <s v="OUTBOUND_H-ADSS 24C-2024323-02"/>
  </r>
  <r>
    <s v="917"/>
    <m/>
    <x v="1"/>
    <s v="OUB-W0012403-286"/>
    <s v="EJ-Malang-01"/>
    <s v="Oka-0813-2707-1646"/>
    <x v="135"/>
    <d v="1899-12-30T18:24:00"/>
    <s v="EJ-MALANG-01"/>
    <x v="0"/>
    <x v="0"/>
    <s v="ZTE2001"/>
    <s v="Meter"/>
    <n v="3000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18"/>
    <m/>
    <x v="1"/>
    <s v="OUB-W0012403-286"/>
    <s v="EJ-Malang-01"/>
    <s v="Oka-0813-2707-1646"/>
    <x v="135"/>
    <d v="1899-12-30T18:24:00"/>
    <s v="EJ-MALANG-01"/>
    <x v="0"/>
    <x v="0"/>
    <s v="ZTE2001"/>
    <s v="Meter"/>
    <n v="3000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19"/>
    <m/>
    <x v="1"/>
    <s v="OUB-W0012403-286"/>
    <s v="EJ-Malang-01"/>
    <s v="Oka-0813-2707-1646"/>
    <x v="135"/>
    <d v="1899-12-30T18:24:00"/>
    <s v="EJ-MALANG-01"/>
    <x v="1"/>
    <x v="11"/>
    <s v="GCI1002"/>
    <s v="Pcs"/>
    <n v="2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20"/>
    <m/>
    <x v="1"/>
    <s v="OUB-W0012403-285"/>
    <s v="EJ-Malang-01"/>
    <s v="Oka-0813-2707-1646"/>
    <x v="135"/>
    <d v="1899-12-30T10:17:00"/>
    <s v="EJ-MALANG-01"/>
    <x v="0"/>
    <x v="4"/>
    <s v="ZTE1002"/>
    <s v="Pcs"/>
    <n v="3"/>
    <s v="CLR51-99-039"/>
    <x v="43"/>
    <m/>
    <m/>
    <m/>
    <s v="Dimas"/>
    <s v="Febby Supplier"/>
    <s v="3573032509800005"/>
    <s v="N 9454 BA"/>
    <m/>
    <x v="2"/>
    <s v="Tunjungtirto RW 01 Singosari"/>
    <e v="#N/A"/>
    <e v="#N/A"/>
    <s v="OUTBOUND_"/>
  </r>
  <r>
    <s v="921"/>
    <m/>
    <x v="1"/>
    <s v="OUB-W0012403-285"/>
    <s v="EJ-Malang-01"/>
    <s v="Oka-0813-2707-1646"/>
    <x v="135"/>
    <d v="1899-12-30T10:17:00"/>
    <s v="EJ-MALANG-01"/>
    <x v="0"/>
    <x v="5"/>
    <s v="ZTE1001"/>
    <s v="Pcs"/>
    <n v="21"/>
    <s v="CLR51-99-039"/>
    <x v="43"/>
    <m/>
    <m/>
    <m/>
    <s v="Dimas"/>
    <s v="Febby Supplier"/>
    <s v="3573032509800005"/>
    <s v="N 9454 BA"/>
    <m/>
    <x v="2"/>
    <s v="Tunjungtirto RW 01 Singosari"/>
    <e v="#N/A"/>
    <e v="#N/A"/>
    <s v="OUTBOUND_"/>
  </r>
  <r>
    <s v="922"/>
    <m/>
    <x v="1"/>
    <s v="OUB-W0012403-286"/>
    <s v="EJ-Malang-01"/>
    <s v="Oka-0813-2707-1646"/>
    <x v="135"/>
    <d v="1899-12-30T18:24:00"/>
    <s v="EJ-MALANG-01"/>
    <x v="1"/>
    <x v="12"/>
    <s v="GCI1008"/>
    <s v="Pcs"/>
    <n v="100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23"/>
    <m/>
    <x v="1"/>
    <s v="OUB-W0012403-286"/>
    <s v="EJ-Malang-01"/>
    <s v="Oka-0813-2707-1646"/>
    <x v="135"/>
    <d v="1899-12-30T18:24:00"/>
    <s v="EJ-MALANG-01"/>
    <x v="1"/>
    <x v="15"/>
    <s v="GCI1003"/>
    <s v="Pcs"/>
    <n v="100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24"/>
    <m/>
    <x v="1"/>
    <s v="OUB-W0012403-286"/>
    <s v="EJ-Malang-01"/>
    <s v="Oka-0813-2707-1646"/>
    <x v="135"/>
    <d v="1899-12-30T18:24:00"/>
    <s v="EJ-MALANG-01"/>
    <x v="1"/>
    <x v="16"/>
    <s v="GCI1004"/>
    <s v="Pcs"/>
    <n v="100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25"/>
    <m/>
    <x v="1"/>
    <s v="OUB-W0012403-287"/>
    <s v="EJ-Malang-01"/>
    <s v="Oka-0813-2707-1646"/>
    <x v="136"/>
    <d v="1899-12-30T10:28:00"/>
    <s v="EJ-MALANG-01"/>
    <x v="0"/>
    <x v="28"/>
    <s v="ZTE2010"/>
    <s v="Pcs"/>
    <n v="2"/>
    <s v="CLR51-99-076"/>
    <x v="46"/>
    <m/>
    <m/>
    <m/>
    <s v="Fatur"/>
    <n v="0"/>
    <s v="3515082712870005"/>
    <s v="W 1130 NQ"/>
    <m/>
    <x v="2"/>
    <s v="Dalisodo RW 04 Wagir"/>
    <e v="#N/A"/>
    <e v="#N/A"/>
    <s v="OUTBOUND_"/>
  </r>
  <r>
    <s v="926"/>
    <m/>
    <x v="1"/>
    <s v="OUB-W0012403-287"/>
    <s v="EJ-Malang-01"/>
    <s v="Oka-0813-2707-1646"/>
    <x v="136"/>
    <d v="1899-12-30T10:28:00"/>
    <s v="EJ-MALANG-01"/>
    <x v="0"/>
    <x v="28"/>
    <s v="ZTE2010"/>
    <s v="Pcs"/>
    <n v="3"/>
    <s v="CLR51-99-039"/>
    <x v="43"/>
    <m/>
    <m/>
    <m/>
    <s v="Fatur"/>
    <n v="0"/>
    <s v="3515082712870005"/>
    <s v="W 1130 NQ"/>
    <m/>
    <x v="2"/>
    <s v="Tunjungtirto RW 01 Singosari"/>
    <e v="#N/A"/>
    <e v="#N/A"/>
    <s v="OUTBOUND_"/>
  </r>
  <r>
    <s v="927"/>
    <m/>
    <x v="3"/>
    <s v="TFO-W0012403-288"/>
    <s v="EJ-Malang-01"/>
    <s v="Oka-0813-2707-1646"/>
    <x v="136"/>
    <d v="1899-12-30T15:21:00"/>
    <s v="EJ-MALANG-01"/>
    <x v="1"/>
    <x v="8"/>
    <s v="GCI1005"/>
    <s v="Pcs"/>
    <n v="230"/>
    <s v="trf"/>
    <x v="10"/>
    <m/>
    <m/>
    <m/>
    <s v="Munip"/>
    <n v="0"/>
    <s v="3509090107770266"/>
    <s v="L 1962 QM"/>
    <m/>
    <x v="2"/>
    <s v="Transfer Gudang"/>
    <e v="#N/A"/>
    <e v="#N/A"/>
    <s v="TRANSFER OUT_"/>
  </r>
  <r>
    <s v="928"/>
    <m/>
    <x v="0"/>
    <s v="INB-W0012403-289"/>
    <s v="EJ-Malang-01"/>
    <s v="Oka-0813-2707-1646"/>
    <x v="136"/>
    <d v="1900-01-14T07:00:00"/>
    <s v="GCI Procurement"/>
    <x v="1"/>
    <x v="9"/>
    <s v="GCI1001"/>
    <s v="Pcs"/>
    <n v="53"/>
    <n v="0"/>
    <x v="47"/>
    <n v="0"/>
    <n v="0"/>
    <m/>
    <m/>
    <m/>
    <m/>
    <m/>
    <m/>
    <x v="2"/>
    <s v="TEGAL"/>
    <e v="#N/A"/>
    <e v="#N/A"/>
    <s v="OUTBOUND_"/>
  </r>
  <r>
    <s v="929"/>
    <m/>
    <x v="0"/>
    <s v="INB-W0012403-289"/>
    <s v="EJ-Malang-01"/>
    <s v="Oka-0813-2707-1646"/>
    <x v="136"/>
    <d v="1900-01-14T07:00:00"/>
    <s v="GCI Procurement"/>
    <x v="1"/>
    <x v="10"/>
    <s v="GCI1009"/>
    <s v="Pcs"/>
    <n v="412"/>
    <n v="0"/>
    <x v="47"/>
    <n v="0"/>
    <n v="0"/>
    <m/>
    <m/>
    <m/>
    <m/>
    <m/>
    <m/>
    <x v="2"/>
    <s v="TEGAL"/>
    <e v="#N/A"/>
    <e v="#N/A"/>
    <s v="OUTBOUND_"/>
  </r>
  <r>
    <s v="930"/>
    <m/>
    <x v="1"/>
    <s v="OUB-W0012403-287"/>
    <s v="EJ-Malang-01"/>
    <s v="Oka-0813-2707-1646"/>
    <x v="136"/>
    <d v="1899-12-30T10:28:00"/>
    <s v="EJ-MALANG-01"/>
    <x v="0"/>
    <x v="2"/>
    <s v="ZTE2008"/>
    <s v="Pcs"/>
    <n v="12"/>
    <s v="CLR51-99-076"/>
    <x v="46"/>
    <m/>
    <m/>
    <m/>
    <s v="Fatur"/>
    <n v="0"/>
    <s v="3515082712870005"/>
    <s v="W 1130 NQ"/>
    <m/>
    <x v="2"/>
    <s v="Dalisodo RW 04 Wagir"/>
    <e v="#N/A"/>
    <e v="#N/A"/>
    <s v="OUTBOUND_"/>
  </r>
  <r>
    <s v="931"/>
    <m/>
    <x v="1"/>
    <s v="OUB-W0012403-287"/>
    <s v="EJ-Malang-01"/>
    <s v="Oka-0813-2707-1646"/>
    <x v="136"/>
    <d v="1899-12-30T10:28:00"/>
    <s v="EJ-MALANG-01"/>
    <x v="0"/>
    <x v="2"/>
    <s v="ZTE2008"/>
    <s v="Pcs"/>
    <n v="17"/>
    <s v="CLR51-99-039"/>
    <x v="43"/>
    <m/>
    <m/>
    <m/>
    <s v="Fatur"/>
    <n v="0"/>
    <s v="3515082712870005"/>
    <s v="W 1130 NQ"/>
    <m/>
    <x v="2"/>
    <s v="Tunjungtirto RW 01 Singosari"/>
    <e v="#N/A"/>
    <e v="#N/A"/>
    <s v="OUTBOUND_"/>
  </r>
  <r>
    <s v="932"/>
    <m/>
    <x v="1"/>
    <s v="OUB-W0012403-287"/>
    <s v="EJ-Malang-01"/>
    <s v="Oka-0813-2707-1646"/>
    <x v="136"/>
    <d v="1899-12-30T10:28:00"/>
    <s v="EJ-MALANG-01"/>
    <x v="0"/>
    <x v="3"/>
    <s v="ZTE2005"/>
    <s v="Pcs"/>
    <n v="1"/>
    <s v="CLR51-99-076"/>
    <x v="46"/>
    <m/>
    <m/>
    <m/>
    <s v="Fatur"/>
    <n v="0"/>
    <s v="3515082712870005"/>
    <s v="W 1130 NQ"/>
    <m/>
    <x v="2"/>
    <s v="Dalisodo RW 04 Wagir"/>
    <e v="#N/A"/>
    <e v="#N/A"/>
    <s v="OUTBOUND_"/>
  </r>
  <r>
    <s v="933"/>
    <m/>
    <x v="1"/>
    <s v="OUB-W0012403-287"/>
    <s v="EJ-Malang-01"/>
    <s v="Oka-0813-2707-1646"/>
    <x v="136"/>
    <d v="1899-12-30T10:28:00"/>
    <s v="EJ-MALANG-01"/>
    <x v="0"/>
    <x v="3"/>
    <s v="ZTE2005"/>
    <s v="Pcs"/>
    <n v="2"/>
    <s v="CLR51-99-039"/>
    <x v="43"/>
    <m/>
    <m/>
    <m/>
    <s v="Fatur"/>
    <n v="0"/>
    <s v="3515082712870005"/>
    <s v="W 1130 NQ"/>
    <m/>
    <x v="2"/>
    <s v="Tunjungtirto RW 01 Singosari"/>
    <e v="#N/A"/>
    <e v="#N/A"/>
    <s v="OUTBOUND_"/>
  </r>
  <r>
    <s v="934"/>
    <m/>
    <x v="1"/>
    <s v="OUB-W0012403-287"/>
    <s v="EJ-Malang-01"/>
    <s v="Oka-0813-2707-1646"/>
    <x v="136"/>
    <d v="1899-12-30T10:28:00"/>
    <s v="EJ-MALANG-01"/>
    <x v="0"/>
    <x v="20"/>
    <s v="ZTE1004"/>
    <s v="Pcs"/>
    <n v="2"/>
    <s v="CLR51-99-039"/>
    <x v="43"/>
    <m/>
    <m/>
    <m/>
    <s v="Fatur"/>
    <n v="0"/>
    <s v="3515082712870005"/>
    <s v="W 1130 NQ"/>
    <m/>
    <x v="2"/>
    <s v="Tunjungtirto RW 01 Singosari"/>
    <e v="#N/A"/>
    <e v="#N/A"/>
    <s v="OUTBOUND_"/>
  </r>
  <r>
    <s v="935"/>
    <m/>
    <x v="0"/>
    <s v="INB-W0012403-289"/>
    <s v="EJ-Malang-01"/>
    <s v="Oka-0813-2707-1646"/>
    <x v="136"/>
    <d v="1900-01-14T07:00:00"/>
    <s v="GCI Procurement"/>
    <x v="1"/>
    <x v="11"/>
    <s v="GCI1002"/>
    <s v="Pcs"/>
    <n v="5"/>
    <n v="0"/>
    <x v="47"/>
    <n v="0"/>
    <n v="0"/>
    <m/>
    <m/>
    <m/>
    <m/>
    <m/>
    <m/>
    <x v="2"/>
    <s v="TEGAL"/>
    <e v="#N/A"/>
    <e v="#N/A"/>
    <s v="OUTBOUND_"/>
  </r>
  <r>
    <s v="936"/>
    <m/>
    <x v="3"/>
    <s v="TFO-W0012403-288"/>
    <s v="EJ-Malang-01"/>
    <s v="Oka-0813-2707-1646"/>
    <x v="136"/>
    <d v="1899-12-30T15:21:00"/>
    <s v="EJ-MALANG-01"/>
    <x v="1"/>
    <x v="16"/>
    <s v="GCI1004"/>
    <s v="Pcs"/>
    <n v="50"/>
    <s v="trf"/>
    <x v="10"/>
    <m/>
    <m/>
    <m/>
    <s v="Munip"/>
    <n v="0"/>
    <s v="3509090107770266"/>
    <s v="L 1962 QM"/>
    <m/>
    <x v="2"/>
    <s v="Transfer Gudang"/>
    <e v="#N/A"/>
    <e v="#N/A"/>
    <s v="TRANSFER OUT_"/>
  </r>
  <r>
    <s v="937"/>
    <m/>
    <x v="1"/>
    <s v="OUB-W0012403-290"/>
    <s v="EJ-Malang-01"/>
    <s v="Oka-0813-2707-1646"/>
    <x v="137"/>
    <d v="1899-12-30T22:31:00"/>
    <s v="EJ-MALANG-01"/>
    <x v="1"/>
    <x v="6"/>
    <s v="GCI1011"/>
    <s v="Pcs"/>
    <n v="1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38"/>
    <m/>
    <x v="1"/>
    <s v="OUB-W0012403-290"/>
    <s v="EJ-Malang-01"/>
    <s v="Oka-0813-2707-1646"/>
    <x v="137"/>
    <d v="1899-12-30T22:31:00"/>
    <s v="EJ-MALANG-01"/>
    <x v="1"/>
    <x v="8"/>
    <s v="GCI1005"/>
    <s v="Pcs"/>
    <n v="20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39"/>
    <m/>
    <x v="1"/>
    <s v="OUB-W0012403-290"/>
    <s v="EJ-Malang-01"/>
    <s v="Oka-0813-2707-1646"/>
    <x v="137"/>
    <d v="1899-12-30T22:31:00"/>
    <s v="EJ-MALANG-01"/>
    <x v="1"/>
    <x v="9"/>
    <s v="GCI1001"/>
    <s v="Pcs"/>
    <n v="45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40"/>
    <m/>
    <x v="1"/>
    <s v="OUB-W0012403-290"/>
    <s v="EJ-Malang-01"/>
    <s v="Oka-0813-2707-1646"/>
    <x v="137"/>
    <d v="1899-12-30T22:31:00"/>
    <s v="EJ-MALANG-01"/>
    <x v="1"/>
    <x v="10"/>
    <s v="GCI1009"/>
    <s v="Pcs"/>
    <n v="200"/>
    <s v="CLR51-99-073"/>
    <x v="41"/>
    <m/>
    <m/>
    <m/>
    <s v="Riki Romansyah"/>
    <s v="Febby Supplier"/>
    <s v="3507050501950006"/>
    <s v="N 8420 EL"/>
    <m/>
    <x v="2"/>
    <s v="Dalisodo RW 01 Wagir"/>
    <e v="#N/A"/>
    <e v="#N/A"/>
    <s v="OUTBOUND_"/>
  </r>
  <r>
    <s v="941"/>
    <m/>
    <x v="1"/>
    <s v="OUB-W0012403-292"/>
    <s v="EJ-Malang-01"/>
    <s v="Oka-0813-2707-1646"/>
    <x v="138"/>
    <d v="1899-12-30T09:57:00"/>
    <s v="EJ-MALANG-01"/>
    <x v="1"/>
    <x v="9"/>
    <s v="GCI1001"/>
    <s v="Pcs"/>
    <n v="17"/>
    <s v="CLR51-99-039"/>
    <x v="43"/>
    <m/>
    <m/>
    <m/>
    <s v="Dimas"/>
    <s v="Febby Supplier"/>
    <s v="3573032509800005"/>
    <s v="N 9454 BA"/>
    <m/>
    <x v="2"/>
    <s v="Tunjungtirto RW 01 Singosari"/>
    <e v="#N/A"/>
    <e v="#N/A"/>
    <s v="OUTBOUND_"/>
  </r>
  <r>
    <s v="942"/>
    <m/>
    <x v="1"/>
    <s v="OUB-W0012403-292"/>
    <s v="EJ-Malang-01"/>
    <s v="Oka-0813-2707-1646"/>
    <x v="138"/>
    <d v="1899-12-30T09:57:00"/>
    <s v="EJ-MALANG-01"/>
    <x v="1"/>
    <x v="10"/>
    <s v="GCI1009"/>
    <s v="Pcs"/>
    <n v="150"/>
    <s v="CLR51-99-039"/>
    <x v="43"/>
    <m/>
    <m/>
    <m/>
    <s v="Dimas"/>
    <s v="Febby Supplier"/>
    <s v="3573032509800005"/>
    <s v="N 9454 BA"/>
    <m/>
    <x v="2"/>
    <s v="Tunjungtirto RW 01 Singosari"/>
    <e v="#N/A"/>
    <e v="#N/A"/>
    <s v="OUTBOUND_"/>
  </r>
  <r>
    <s v="943"/>
    <m/>
    <x v="1"/>
    <s v="OUB-W0012403-292"/>
    <s v="EJ-Malang-01"/>
    <s v="Oka-0813-2707-1646"/>
    <x v="138"/>
    <d v="1899-12-30T09:57:00"/>
    <s v="EJ-MALANG-01"/>
    <x v="1"/>
    <x v="11"/>
    <s v="GCI1002"/>
    <s v="Pcs"/>
    <n v="2"/>
    <s v="CLR51-99-039"/>
    <x v="43"/>
    <m/>
    <m/>
    <m/>
    <s v="Dimas"/>
    <s v="Febby Supplier"/>
    <s v="3573032509800005"/>
    <s v="N 9454 BA"/>
    <m/>
    <x v="2"/>
    <s v="Tunjungtirto RW 01 Singosari"/>
    <e v="#N/A"/>
    <e v="#N/A"/>
    <s v="OUTBOUND_"/>
  </r>
  <r>
    <s v="944"/>
    <m/>
    <x v="0"/>
    <s v="INB-W0012403-294"/>
    <s v="EJ-Malang-01"/>
    <s v="Oka-0813-2707-1646"/>
    <x v="138"/>
    <d v="1900-01-14T07:00:00"/>
    <s v="ZTE Warehouse"/>
    <x v="0"/>
    <x v="4"/>
    <s v="ZTE1002"/>
    <s v="Pcs"/>
    <n v="4"/>
    <s v="CLR51-99-039"/>
    <x v="43"/>
    <s v="DOEID24031918"/>
    <s v="DNWID0362024031906"/>
    <m/>
    <m/>
    <m/>
    <m/>
    <m/>
    <m/>
    <x v="2"/>
    <s v="Tunjungtirto RW 01 Singosari"/>
    <d v="2024-03-19T00:00:00"/>
    <b v="0"/>
    <s v="OUTBOUND_"/>
  </r>
  <r>
    <s v="945"/>
    <m/>
    <x v="1"/>
    <s v="OUB-W0012403-293"/>
    <s v="EJ-Malang-01"/>
    <s v="Oka-0813-2707-1646"/>
    <x v="138"/>
    <d v="1899-12-30T18:31:00"/>
    <s v="EJ-MALANG-01"/>
    <x v="0"/>
    <x v="5"/>
    <s v="ZTE1001"/>
    <s v="Pcs"/>
    <n v="6"/>
    <s v="CLR51-99-039"/>
    <x v="43"/>
    <m/>
    <m/>
    <m/>
    <s v="Dimas"/>
    <s v="Febby Supplier"/>
    <s v="3573032509800005"/>
    <s v="N 9454 BA"/>
    <m/>
    <x v="2"/>
    <s v="Tunjungtirto RW 01 Singosari"/>
    <e v="#N/A"/>
    <e v="#N/A"/>
    <s v="OUTBOUND_"/>
  </r>
  <r>
    <s v="946"/>
    <m/>
    <x v="1"/>
    <s v="OUB-W0012403-291"/>
    <s v="EJ-Malang-01"/>
    <s v="Oka-0813-2707-1646"/>
    <x v="138"/>
    <d v="1899-12-30T09:32:00"/>
    <s v="EJ-MALANG-01"/>
    <x v="0"/>
    <x v="5"/>
    <s v="ZTE1001"/>
    <s v="Pcs"/>
    <n v="7"/>
    <s v="CLR51-99-039"/>
    <x v="43"/>
    <m/>
    <m/>
    <m/>
    <s v="Dimas"/>
    <s v="Febby Supplier"/>
    <s v="3573032509800005"/>
    <s v="N 9454 BA"/>
    <m/>
    <x v="2"/>
    <s v="Tunjungtirto RW 01 Singosari"/>
    <e v="#N/A"/>
    <e v="#N/A"/>
    <s v="OUTBOUND_"/>
  </r>
  <r>
    <s v="947"/>
    <m/>
    <x v="2"/>
    <s v="TFI-W0012403-294"/>
    <s v="EJ-Malang-01"/>
    <s v="Oka-0813-2707-1646"/>
    <x v="138"/>
    <d v="1900-01-14T07:00:00"/>
    <s v="ZTE Warehouse"/>
    <x v="0"/>
    <x v="5"/>
    <s v="ZTE1001"/>
    <s v="Pcs"/>
    <n v="1"/>
    <s v="TRF"/>
    <x v="17"/>
    <n v="0"/>
    <s v="TRANSFER GUDANG"/>
    <m/>
    <m/>
    <m/>
    <m/>
    <m/>
    <m/>
    <x v="2"/>
    <n v="0"/>
    <e v="#N/A"/>
    <e v="#N/A"/>
    <s v="OUTBOUND_"/>
  </r>
  <r>
    <s v="948"/>
    <m/>
    <x v="1"/>
    <s v="OUB-W0012403-292"/>
    <s v="EJ-Malang-01"/>
    <s v="Oka-0813-2707-1646"/>
    <x v="138"/>
    <d v="1899-12-30T09:57:00"/>
    <s v="EJ-MALANG-01"/>
    <x v="1"/>
    <x v="12"/>
    <s v="GCI1008"/>
    <s v="Pcs"/>
    <n v="50"/>
    <s v="CLR51-99-039"/>
    <x v="43"/>
    <m/>
    <m/>
    <m/>
    <s v="Dimas"/>
    <s v="Febby Supplier"/>
    <s v="3573032509800005"/>
    <s v="N 9454 BA"/>
    <m/>
    <x v="2"/>
    <s v="Tunjungtirto RW 01 Singosari"/>
    <e v="#N/A"/>
    <e v="#N/A"/>
    <s v="OUTBOUND_"/>
  </r>
  <r>
    <s v="949"/>
    <m/>
    <x v="1"/>
    <s v="OUB-W0012403-292"/>
    <s v="EJ-Malang-01"/>
    <s v="Oka-0813-2707-1646"/>
    <x v="138"/>
    <d v="1899-12-30T09:57:00"/>
    <s v="EJ-MALANG-01"/>
    <x v="1"/>
    <x v="15"/>
    <s v="GCI1003"/>
    <s v="Pcs"/>
    <n v="100"/>
    <s v="CLR51-99-039"/>
    <x v="43"/>
    <m/>
    <m/>
    <m/>
    <s v="Dimas"/>
    <s v="Febby Supplier"/>
    <s v="3573032509800005"/>
    <s v="N 9454 BA"/>
    <m/>
    <x v="2"/>
    <s v="Tunjungtirto RW 01 Singosari"/>
    <e v="#N/A"/>
    <e v="#N/A"/>
    <s v="OUTBOUND_"/>
  </r>
  <r>
    <s v="950"/>
    <m/>
    <x v="1"/>
    <s v="OUB-W0012404-295"/>
    <s v="EJ-Malang-01"/>
    <s v="Oka-0813-2707-1646"/>
    <x v="139"/>
    <d v="1899-12-30T09:14:00"/>
    <s v="EJ-MALANG-01"/>
    <x v="1"/>
    <x v="8"/>
    <s v="GCI1005"/>
    <s v="Pcs"/>
    <n v="22"/>
    <s v="CLR51-99-040"/>
    <x v="42"/>
    <m/>
    <m/>
    <m/>
    <s v="Dimas"/>
    <s v="Febby Supplier"/>
    <s v="3573032509800005"/>
    <s v="N 9454 BA"/>
    <m/>
    <x v="2"/>
    <s v="Tunjungtirto RW 08 Singosari"/>
    <e v="#N/A"/>
    <e v="#N/A"/>
    <s v="OUTBOUND_"/>
  </r>
  <r>
    <s v="951"/>
    <m/>
    <x v="2"/>
    <s v="TFI-W0012404-298"/>
    <s v="EJ-Malang-01"/>
    <s v="Oka-0813-2707-1646"/>
    <x v="139"/>
    <d v="1900-01-14T07:00:00"/>
    <s v="EJ-JOMBANG-01"/>
    <x v="1"/>
    <x v="8"/>
    <s v="GCI1005"/>
    <s v="Pcs"/>
    <n v="300"/>
    <s v="TRF"/>
    <x v="20"/>
    <n v="0"/>
    <n v="0"/>
    <m/>
    <m/>
    <m/>
    <m/>
    <m/>
    <m/>
    <x v="2"/>
    <s v="JOMBANG"/>
    <e v="#N/A"/>
    <e v="#N/A"/>
    <s v="OUTBOUND_"/>
  </r>
  <r>
    <s v="952"/>
    <m/>
    <x v="1"/>
    <s v="OUB-W0012404-295"/>
    <s v="EJ-Malang-01"/>
    <s v="Oka-0813-2707-1646"/>
    <x v="139"/>
    <d v="1899-12-30T09:14:00"/>
    <s v="EJ-MALANG-01"/>
    <x v="1"/>
    <x v="10"/>
    <s v="GCI1009"/>
    <s v="Pcs"/>
    <n v="25"/>
    <s v="CLR51-99-040"/>
    <x v="42"/>
    <m/>
    <m/>
    <m/>
    <s v="Dimas"/>
    <s v="Febby Supplier"/>
    <s v="3573032509800005"/>
    <s v="N 9454 BA"/>
    <m/>
    <x v="2"/>
    <s v="Tunjungtirto RW 08 Singosari"/>
    <e v="#N/A"/>
    <e v="#N/A"/>
    <s v="OUTBOUND_"/>
  </r>
  <r>
    <s v="953"/>
    <m/>
    <x v="1"/>
    <s v="OUB-W0012404-295"/>
    <s v="EJ-Malang-01"/>
    <s v="Oka-0813-2707-1646"/>
    <x v="139"/>
    <d v="1899-12-30T09:14:00"/>
    <s v="EJ-MALANG-01"/>
    <x v="1"/>
    <x v="11"/>
    <s v="GCI1002"/>
    <s v="Pcs"/>
    <n v="1"/>
    <s v="CLR51-99-040"/>
    <x v="42"/>
    <m/>
    <m/>
    <m/>
    <s v="Dimas"/>
    <s v="Febby Supplier"/>
    <s v="3573032509800005"/>
    <s v="N 9454 BA"/>
    <m/>
    <x v="2"/>
    <s v="Tunjungtirto RW 08 Singosari"/>
    <e v="#N/A"/>
    <e v="#N/A"/>
    <s v="OUTBOUND_"/>
  </r>
  <r>
    <s v="954"/>
    <m/>
    <x v="1"/>
    <s v="OUB-W0012404-297"/>
    <s v="EJ-Malang-01"/>
    <s v="Oka-0813-2707-1646"/>
    <x v="139"/>
    <d v="1899-12-30T13:19:00"/>
    <s v="EJ-MALANG-01"/>
    <x v="0"/>
    <x v="4"/>
    <s v="ZTE1002"/>
    <s v="Pcs"/>
    <n v="1"/>
    <s v="CLR51-99-040"/>
    <x v="42"/>
    <m/>
    <m/>
    <m/>
    <s v="Dimas"/>
    <s v="Febby Supplier"/>
    <s v="3573032509800005"/>
    <s v="N 9454 BA"/>
    <m/>
    <x v="2"/>
    <s v="Tunjungtirto RW 08 Singosari"/>
    <e v="#N/A"/>
    <e v="#N/A"/>
    <s v="OUTBOUND_"/>
  </r>
  <r>
    <s v="955"/>
    <m/>
    <x v="1"/>
    <s v="OUB-W0012404-296"/>
    <s v="EJ-Malang-01"/>
    <s v="Oka-0813-2707-1646"/>
    <x v="139"/>
    <d v="1899-12-30T09:38:00"/>
    <s v="EJ-MALANG-01"/>
    <x v="0"/>
    <x v="5"/>
    <s v="ZTE1001"/>
    <s v="Pcs"/>
    <n v="4"/>
    <s v="CLR51-99-075"/>
    <x v="39"/>
    <m/>
    <m/>
    <m/>
    <s v="Riki Romansyah"/>
    <s v="Febby Supplier"/>
    <s v="3507050501950006"/>
    <s v="N 8420 EL"/>
    <m/>
    <x v="2"/>
    <s v="Dalisodo RW 03 Wagir"/>
    <e v="#N/A"/>
    <e v="#N/A"/>
    <s v="OUTBOUND_"/>
  </r>
  <r>
    <s v="956"/>
    <m/>
    <x v="1"/>
    <s v="OUB-W0012404-297"/>
    <s v="EJ-Malang-01"/>
    <s v="Oka-0813-2707-1646"/>
    <x v="139"/>
    <d v="1899-12-30T13:19:00"/>
    <s v="EJ-MALANG-01"/>
    <x v="0"/>
    <x v="5"/>
    <s v="ZTE1001"/>
    <s v="Pcs"/>
    <n v="5"/>
    <s v="CLR51-99-040"/>
    <x v="42"/>
    <m/>
    <m/>
    <m/>
    <s v="Dimas"/>
    <s v="Febby Supplier"/>
    <s v="3573032509800005"/>
    <s v="N 9454 BA"/>
    <m/>
    <x v="2"/>
    <s v="Tunjungtirto RW 08 Singosari"/>
    <e v="#N/A"/>
    <e v="#N/A"/>
    <s v="OUTBOUND_"/>
  </r>
  <r>
    <s v="957"/>
    <m/>
    <x v="0"/>
    <s v="INB-W0012404-298"/>
    <s v="EJ-Malang-01"/>
    <s v="Oka-0813-2707-1646"/>
    <x v="139"/>
    <d v="1900-01-14T07:00:00"/>
    <s v="GCI Procurement"/>
    <x v="1"/>
    <x v="12"/>
    <s v="GCI1008"/>
    <s v="Pcs"/>
    <n v="8"/>
    <n v="0"/>
    <x v="17"/>
    <n v="0"/>
    <n v="0"/>
    <m/>
    <m/>
    <m/>
    <m/>
    <m/>
    <m/>
    <x v="2"/>
    <n v="0"/>
    <e v="#N/A"/>
    <e v="#N/A"/>
    <s v="OUTBOUND_"/>
  </r>
  <r>
    <s v="958"/>
    <m/>
    <x v="1"/>
    <s v="OUB-W0012404-296"/>
    <s v="EJ-Malang-01"/>
    <s v="Oka-0813-2707-1646"/>
    <x v="139"/>
    <d v="1899-12-30T09:38:00"/>
    <s v="EJ-MALANG-01"/>
    <x v="1"/>
    <x v="12"/>
    <s v="GCI1008"/>
    <s v="Pcs"/>
    <n v="20"/>
    <s v="CLR51-99-075"/>
    <x v="39"/>
    <m/>
    <m/>
    <m/>
    <s v="Riki Romansyah"/>
    <s v="Febby Supplier"/>
    <s v="3507050501950006"/>
    <s v="N 8420 EL"/>
    <m/>
    <x v="2"/>
    <s v="Dalisodo RW 03 Wagir"/>
    <e v="#N/A"/>
    <e v="#N/A"/>
    <s v="OUTBOUND_"/>
  </r>
  <r>
    <s v="959"/>
    <m/>
    <x v="1"/>
    <s v="OUB-W0012404-295"/>
    <s v="EJ-Malang-01"/>
    <s v="Oka-0813-2707-1646"/>
    <x v="139"/>
    <d v="1899-12-30T09:14:00"/>
    <s v="EJ-MALANG-01"/>
    <x v="1"/>
    <x v="12"/>
    <s v="GCI1008"/>
    <s v="Pcs"/>
    <n v="55"/>
    <s v="CLR51-99-040"/>
    <x v="42"/>
    <m/>
    <m/>
    <m/>
    <s v="Dimas"/>
    <s v="Febby Supplier"/>
    <s v="3573032509800005"/>
    <s v="N 9454 BA"/>
    <m/>
    <x v="2"/>
    <s v="Tunjungtirto RW 08 Singosari"/>
    <e v="#N/A"/>
    <e v="#N/A"/>
    <s v="OUTBOUND_"/>
  </r>
  <r>
    <s v="960"/>
    <m/>
    <x v="1"/>
    <s v="OUB-W0012404-295"/>
    <s v="EJ-Malang-01"/>
    <s v="Oka-0813-2707-1646"/>
    <x v="139"/>
    <d v="1899-12-30T09:14:00"/>
    <s v="EJ-MALANG-01"/>
    <x v="1"/>
    <x v="15"/>
    <s v="GCI1003"/>
    <s v="Pcs"/>
    <n v="50"/>
    <s v="CLR51-99-040"/>
    <x v="42"/>
    <m/>
    <m/>
    <m/>
    <s v="Dimas"/>
    <s v="Febby Supplier"/>
    <s v="3573032509800005"/>
    <s v="N 9454 BA"/>
    <m/>
    <x v="2"/>
    <s v="Tunjungtirto RW 08 Singosari"/>
    <e v="#N/A"/>
    <e v="#N/A"/>
    <s v="OUTBOUND_"/>
  </r>
  <r>
    <s v="961"/>
    <m/>
    <x v="2"/>
    <s v="TFI-W0012404-298"/>
    <s v="EJ-Malang-01"/>
    <s v="Oka-0813-2707-1646"/>
    <x v="139"/>
    <d v="1900-01-14T07:00:00"/>
    <s v="EJ-JOMBANG-01"/>
    <x v="1"/>
    <x v="16"/>
    <s v="GCI1004"/>
    <s v="Pcs"/>
    <n v="50"/>
    <s v="TRF"/>
    <x v="20"/>
    <n v="0"/>
    <n v="0"/>
    <m/>
    <m/>
    <m/>
    <m/>
    <m/>
    <m/>
    <x v="2"/>
    <s v="JOMBANG"/>
    <e v="#N/A"/>
    <e v="#N/A"/>
    <s v="OUTBOUND_"/>
  </r>
  <r>
    <s v="962"/>
    <m/>
    <x v="2"/>
    <s v="TFI-W0012404-299"/>
    <s v="EJ-Malang-01"/>
    <s v="Oka-0813-2707-1646"/>
    <x v="140"/>
    <d v="1900-01-14T07:00:00"/>
    <s v="ZTE Warehouse"/>
    <x v="0"/>
    <x v="31"/>
    <s v="ZTE2004"/>
    <s v="Meter"/>
    <n v="3000"/>
    <s v="TRF"/>
    <x v="17"/>
    <n v="0"/>
    <s v="TRANSFER GUDANG"/>
    <m/>
    <m/>
    <m/>
    <m/>
    <m/>
    <m/>
    <x v="43"/>
    <n v="0"/>
    <e v="#N/A"/>
    <e v="#N/A"/>
    <s v="OUTBOUND_H-ADSS 144C-202443-01"/>
  </r>
  <r>
    <s v="963"/>
    <m/>
    <x v="2"/>
    <s v="TFI-W0012404-299"/>
    <s v="EJ-Malang-01"/>
    <s v="Oka-0813-2707-1646"/>
    <x v="140"/>
    <d v="1900-01-14T07:00:00"/>
    <s v="ZTE Warehouse"/>
    <x v="0"/>
    <x v="31"/>
    <s v="ZTE2004"/>
    <s v="Meter"/>
    <n v="3000"/>
    <s v="TRF"/>
    <x v="17"/>
    <n v="0"/>
    <s v="TRANSFER GUDANG"/>
    <m/>
    <m/>
    <m/>
    <m/>
    <m/>
    <m/>
    <x v="44"/>
    <n v="0"/>
    <e v="#N/A"/>
    <e v="#N/A"/>
    <s v="OUTBOUND_H-ADSS 144C-202443-02"/>
  </r>
  <r>
    <s v="964"/>
    <m/>
    <x v="1"/>
    <s v="OUB-W0012404-302"/>
    <s v="EJ-Malang-01"/>
    <s v="Oka-0813-2707-1646"/>
    <x v="141"/>
    <d v="1899-12-30T15:39:00"/>
    <s v="EJ-MALANG-01"/>
    <x v="0"/>
    <x v="0"/>
    <s v="ZTE2001"/>
    <s v="Meter"/>
    <n v="3000"/>
    <s v="CLR51-99-040"/>
    <x v="42"/>
    <m/>
    <m/>
    <m/>
    <s v="Dimas"/>
    <s v="Febby Supplier"/>
    <s v="3573032509800005"/>
    <s v="N 9454 BA"/>
    <m/>
    <x v="2"/>
    <s v="Tunjungtirto RW 08 Singosari"/>
    <e v="#N/A"/>
    <e v="#N/A"/>
    <s v="OUTBOUND_"/>
  </r>
  <r>
    <s v="965"/>
    <m/>
    <x v="1"/>
    <s v="OUB-W0012404-300"/>
    <s v="EJ-Malang-01"/>
    <s v="Oka-0813-2707-1646"/>
    <x v="141"/>
    <d v="1899-12-30T15:39:00"/>
    <s v="EJ-MALANG-01"/>
    <x v="1"/>
    <x v="9"/>
    <s v="GCI1001"/>
    <s v="Pcs"/>
    <n v="14"/>
    <s v="CLR51-99-040"/>
    <x v="42"/>
    <m/>
    <m/>
    <m/>
    <s v="Dimas"/>
    <s v="Febby Supplier"/>
    <s v="3573032509800005"/>
    <s v="N 9454 BA"/>
    <m/>
    <x v="2"/>
    <s v="Tunjungtirto RW 08 Singosari"/>
    <e v="#N/A"/>
    <e v="#N/A"/>
    <s v="OUTBOUND_"/>
  </r>
  <r>
    <s v="966"/>
    <m/>
    <x v="2"/>
    <s v="TFI-W0012404-301"/>
    <s v="EJ-Malang-01"/>
    <s v="Oka-0813-2707-1646"/>
    <x v="141"/>
    <d v="1900-01-14T07:00:00"/>
    <s v="ZTE Warehouse"/>
    <x v="0"/>
    <x v="3"/>
    <s v="ZTE2005"/>
    <s v="Pcs"/>
    <n v="1"/>
    <s v="TRF"/>
    <x v="17"/>
    <n v="0"/>
    <s v="TRANSFER GUDANG"/>
    <m/>
    <m/>
    <m/>
    <m/>
    <m/>
    <m/>
    <x v="2"/>
    <n v="0"/>
    <e v="#N/A"/>
    <e v="#N/A"/>
    <s v="OUTBOUND_"/>
  </r>
  <r>
    <s v="967"/>
    <m/>
    <x v="2"/>
    <s v="TFI-W0012404-301"/>
    <s v="EJ-Malang-01"/>
    <s v="Oka-0813-2707-1646"/>
    <x v="141"/>
    <d v="1900-01-14T07:00:00"/>
    <s v="ZTE Warehouse"/>
    <x v="0"/>
    <x v="3"/>
    <s v="ZTE2005"/>
    <s v="Pcs"/>
    <n v="1"/>
    <s v="TRF"/>
    <x v="17"/>
    <n v="0"/>
    <s v="TRANSFER GUDANG"/>
    <m/>
    <m/>
    <m/>
    <m/>
    <m/>
    <m/>
    <x v="2"/>
    <n v="0"/>
    <e v="#N/A"/>
    <e v="#N/A"/>
    <s v="OUTBOUND_"/>
  </r>
  <r>
    <s v="968"/>
    <m/>
    <x v="1"/>
    <s v="OUB-W0012404-303"/>
    <s v="EJ-Malang-01"/>
    <s v="Oka-0813-2707-1646"/>
    <x v="142"/>
    <d v="1899-12-30T10:28:00"/>
    <s v="EJ-MALANG-01"/>
    <x v="0"/>
    <x v="28"/>
    <s v="ZTE2010"/>
    <s v="Pcs"/>
    <n v="5"/>
    <s v="CLR51-99-075"/>
    <x v="39"/>
    <m/>
    <m/>
    <m/>
    <s v="Fatur"/>
    <n v="0"/>
    <s v="3515082712870005"/>
    <s v="W 1130 NQ"/>
    <m/>
    <x v="2"/>
    <s v="Dalisodo RW 03 Wagir"/>
    <e v="#N/A"/>
    <e v="#N/A"/>
    <s v="OUTBOUND_"/>
  </r>
  <r>
    <s v="969"/>
    <m/>
    <x v="1"/>
    <s v="OUB-W0012404-303"/>
    <s v="EJ-Malang-01"/>
    <s v="Oka-0813-2707-1646"/>
    <x v="142"/>
    <d v="1899-12-30T10:28:00"/>
    <s v="EJ-MALANG-01"/>
    <x v="0"/>
    <x v="2"/>
    <s v="ZTE2008"/>
    <s v="Pcs"/>
    <n v="38"/>
    <s v="CLR51-99-075"/>
    <x v="39"/>
    <m/>
    <m/>
    <m/>
    <s v="Fatur"/>
    <n v="0"/>
    <s v="3515082712870005"/>
    <s v="W 1130 NQ"/>
    <m/>
    <x v="2"/>
    <s v="Dalisodo RW 03 Wagir"/>
    <e v="#N/A"/>
    <e v="#N/A"/>
    <s v="OUTBOUND_"/>
  </r>
  <r>
    <s v="970"/>
    <m/>
    <x v="1"/>
    <s v="OUB-W0012404-303"/>
    <s v="EJ-Malang-01"/>
    <s v="Oka-0813-2707-1646"/>
    <x v="142"/>
    <d v="1899-12-30T10:28:00"/>
    <s v="EJ-MALANG-01"/>
    <x v="0"/>
    <x v="3"/>
    <s v="ZTE2005"/>
    <s v="Pcs"/>
    <n v="2"/>
    <s v="CLR51-99-075"/>
    <x v="39"/>
    <m/>
    <m/>
    <m/>
    <s v="Fatur"/>
    <n v="0"/>
    <s v="3515082712870005"/>
    <s v="W 1130 NQ"/>
    <m/>
    <x v="2"/>
    <s v="Dalisodo RW 03 Wagir"/>
    <e v="#N/A"/>
    <e v="#N/A"/>
    <s v="OUTBOUND_"/>
  </r>
  <r>
    <s v="971"/>
    <m/>
    <x v="1"/>
    <s v="OUB-W0012404-304"/>
    <s v="EJ-Malang-01"/>
    <s v="Oka-0813-2707-1646"/>
    <x v="143"/>
    <d v="1899-12-30T09:29:00"/>
    <s v="EJ-MALANG-01"/>
    <x v="1"/>
    <x v="9"/>
    <s v="GCI1001"/>
    <s v="Pcs"/>
    <n v="5"/>
    <s v="CLR51-99-094"/>
    <x v="48"/>
    <m/>
    <m/>
    <m/>
    <s v="Riki Romansyah"/>
    <s v="Febby Supplier"/>
    <s v="3507050501950006"/>
    <s v="N 8420 EL"/>
    <m/>
    <x v="2"/>
    <s v="Tunjungtirto RW 06 Singosari"/>
    <e v="#N/A"/>
    <e v="#N/A"/>
    <s v="OUTBOUND_"/>
  </r>
  <r>
    <s v="972"/>
    <m/>
    <x v="1"/>
    <s v="OUB-W0012404-304"/>
    <s v="EJ-Malang-01"/>
    <s v="Oka-0813-2707-1646"/>
    <x v="143"/>
    <d v="1899-12-30T09:29:00"/>
    <s v="EJ-MALANG-01"/>
    <x v="0"/>
    <x v="5"/>
    <s v="ZTE1001"/>
    <s v="Pcs"/>
    <n v="16"/>
    <s v="CLR51-99-094"/>
    <x v="48"/>
    <m/>
    <m/>
    <m/>
    <s v="Riki Romansyah"/>
    <s v="Febby Supplier"/>
    <s v="3507050501950006"/>
    <s v="N 8420 EL"/>
    <m/>
    <x v="2"/>
    <s v="Tunjungtirto RW 06 Singosari"/>
    <e v="#N/A"/>
    <e v="#N/A"/>
    <s v="OUTBOUND_"/>
  </r>
  <r>
    <s v="973"/>
    <m/>
    <x v="2"/>
    <s v="TFI-W0012404-306"/>
    <s v="EJ-Malang-01"/>
    <s v="Oka-0813-2707-1646"/>
    <x v="143"/>
    <d v="1900-01-14T07:00:00"/>
    <s v="ZTE Warehouse"/>
    <x v="0"/>
    <x v="5"/>
    <s v="ZTE1001"/>
    <s v="Pcs"/>
    <n v="2"/>
    <s v="TRF"/>
    <x v="17"/>
    <n v="0"/>
    <s v="TRANSFER GUDANG"/>
    <m/>
    <m/>
    <m/>
    <m/>
    <m/>
    <m/>
    <x v="2"/>
    <n v="0"/>
    <e v="#N/A"/>
    <e v="#N/A"/>
    <s v="OUTBOUND_"/>
  </r>
  <r>
    <s v="974"/>
    <m/>
    <x v="1"/>
    <s v="OUB-W0012404-305"/>
    <s v="EJ-Malang-01"/>
    <s v="Oka-0813-2707-1646"/>
    <x v="143"/>
    <d v="1899-12-30T10:12:00"/>
    <s v="EJ-MALANG-01"/>
    <x v="0"/>
    <x v="19"/>
    <s v="ZTE1003"/>
    <s v="Pcs"/>
    <n v="2"/>
    <s v="CLR51-99-040"/>
    <x v="42"/>
    <m/>
    <m/>
    <m/>
    <s v="Dimas"/>
    <s v="Febby Supplier"/>
    <s v="3573032509800005"/>
    <s v="N 9454 BA"/>
    <m/>
    <x v="2"/>
    <s v="Tunjungtirto RW 08 Singosari"/>
    <e v="#N/A"/>
    <e v="#N/A"/>
    <s v="OUTBOUND_"/>
  </r>
  <r>
    <s v="975"/>
    <m/>
    <x v="4"/>
    <s v="BOI-W0012404-307"/>
    <s v="EJ-Malang-01"/>
    <s v="Oka-0813-2707-1646"/>
    <x v="144"/>
    <d v="1900-01-14T07:00:00"/>
    <s v="Other Subcon"/>
    <x v="0"/>
    <x v="0"/>
    <s v="ZTE2001"/>
    <s v="Meter"/>
    <n v="4000"/>
    <s v="FH2HASBEL@4000"/>
    <x v="49"/>
    <n v="0"/>
    <s v="TRANSFER GUDANG"/>
    <m/>
    <m/>
    <m/>
    <m/>
    <m/>
    <s v="FH 2 HASBEL @4000"/>
    <x v="45"/>
    <s v="FH 2 HASBEL @4000"/>
    <e v="#N/A"/>
    <e v="#N/A"/>
    <s v="OUTBOUND_H-ADSS 24C-2024419-01"/>
  </r>
  <r>
    <s v="976"/>
    <m/>
    <x v="4"/>
    <s v="BOI-W0012404-307"/>
    <s v="EJ-Malang-01"/>
    <s v="Oka-0813-2707-1646"/>
    <x v="144"/>
    <d v="1900-01-14T07:00:00"/>
    <s v="Other Subcon"/>
    <x v="0"/>
    <x v="0"/>
    <s v="ZTE2001"/>
    <s v="Meter"/>
    <n v="4000"/>
    <s v="FH2HASBEL@4000"/>
    <x v="49"/>
    <m/>
    <m/>
    <m/>
    <m/>
    <m/>
    <m/>
    <m/>
    <m/>
    <x v="46"/>
    <s v="FH 2 HASBEL @4000"/>
    <e v="#N/A"/>
    <e v="#N/A"/>
    <s v="OUTBOUND_H-ADSS 24C-2024419-02"/>
  </r>
  <r>
    <s v="977"/>
    <m/>
    <x v="1"/>
    <s v="OUB-W0012404-309"/>
    <s v="EJ-Malang-01"/>
    <s v="Oka-0813-2707-1646"/>
    <x v="144"/>
    <d v="1899-12-30T17:21:00"/>
    <s v="EJ-MALANG-01"/>
    <x v="0"/>
    <x v="28"/>
    <s v="ZTE2010"/>
    <s v="Pcs"/>
    <n v="1"/>
    <s v="CLR51-99-034"/>
    <x v="50"/>
    <m/>
    <m/>
    <m/>
    <s v="Fatur"/>
    <n v="0"/>
    <s v="3515082712870005"/>
    <s v="W 1130 NQ"/>
    <m/>
    <x v="2"/>
    <s v="Tanjungtirto RW 05 Singosari"/>
    <e v="#N/A"/>
    <e v="#N/A"/>
    <s v="OUTBOUND_"/>
  </r>
  <r>
    <s v="978"/>
    <m/>
    <x v="3"/>
    <s v="TFO-W0012404-309"/>
    <s v="EJ-Malang-01"/>
    <s v="Oka-0813-2707-1646"/>
    <x v="144"/>
    <d v="1899-12-30T17:21:00"/>
    <s v="EJ-MALANG-01"/>
    <x v="0"/>
    <x v="28"/>
    <s v="ZTE2010"/>
    <s v="Pcs"/>
    <n v="1"/>
    <s v="TRF"/>
    <x v="10"/>
    <m/>
    <m/>
    <m/>
    <s v="Fatur"/>
    <n v="0"/>
    <s v="3515082712870005"/>
    <s v="W 1130 NQ"/>
    <s v="Transfer"/>
    <x v="2"/>
    <s v="Transfer Gudang"/>
    <e v="#N/A"/>
    <e v="#N/A"/>
    <s v="TRANSFER OUT_"/>
  </r>
  <r>
    <s v="979"/>
    <m/>
    <x v="1"/>
    <s v="OUB-W0012404-309"/>
    <s v="EJ-Malang-01"/>
    <s v="Oka-0813-2707-1646"/>
    <x v="144"/>
    <d v="1899-12-30T17:21:00"/>
    <s v="EJ-MALANG-01"/>
    <x v="0"/>
    <x v="2"/>
    <s v="ZTE2008"/>
    <s v="Pcs"/>
    <n v="5"/>
    <s v="CLR51-99-094"/>
    <x v="48"/>
    <m/>
    <m/>
    <m/>
    <s v="Fatur"/>
    <n v="0"/>
    <s v="3515082712870005"/>
    <s v="W 1130 NQ"/>
    <m/>
    <x v="2"/>
    <s v="Tunjungtirto RW 06 Singosari"/>
    <e v="#N/A"/>
    <e v="#N/A"/>
    <s v="OUTBOUND_"/>
  </r>
  <r>
    <s v="980"/>
    <m/>
    <x v="1"/>
    <s v="OUB-W0012404-308"/>
    <s v="EJ-Malang-01"/>
    <s v="Oka-0813-2707-1646"/>
    <x v="144"/>
    <d v="1899-12-30T12:35:00"/>
    <s v="EJ-MALANG-01"/>
    <x v="0"/>
    <x v="4"/>
    <s v="ZTE1002"/>
    <s v="Pcs"/>
    <n v="1"/>
    <s v="CLR51-99-012"/>
    <x v="51"/>
    <m/>
    <m/>
    <m/>
    <s v="Riki Romansyah"/>
    <s v="Febby Supplier"/>
    <s v="3507050501950006"/>
    <s v="N 8420 EL"/>
    <m/>
    <x v="2"/>
    <s v="Pandanlandung RW 01 Wagir"/>
    <e v="#N/A"/>
    <e v="#N/A"/>
    <s v="OUTBOUND_"/>
  </r>
  <r>
    <s v="981"/>
    <m/>
    <x v="1"/>
    <s v="OUB-W0012404-308"/>
    <s v="EJ-Malang-01"/>
    <s v="Oka-0813-2707-1646"/>
    <x v="144"/>
    <d v="1899-12-30T12:35:00"/>
    <s v="EJ-MALANG-01"/>
    <x v="0"/>
    <x v="5"/>
    <s v="ZTE1001"/>
    <s v="Pcs"/>
    <n v="24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982"/>
    <m/>
    <x v="1"/>
    <s v="OUB-W0012404-310"/>
    <s v="EJ-Malang-01"/>
    <s v="Oka-0813-2707-1646"/>
    <x v="145"/>
    <d v="1899-12-30T12:43:00"/>
    <s v="EJ-MALANG-01"/>
    <x v="0"/>
    <x v="5"/>
    <s v="ZTE1001"/>
    <s v="Pcs"/>
    <n v="25"/>
    <s v="CLR51-99-088"/>
    <x v="53"/>
    <m/>
    <m/>
    <m/>
    <s v="Riki Romansyah"/>
    <s v="Febby Supplier"/>
    <s v="3507050501950006"/>
    <s v="N 8420 EL"/>
    <m/>
    <x v="2"/>
    <s v="Pandanlandung RW 02 Wagir"/>
    <e v="#N/A"/>
    <e v="#N/A"/>
    <s v="OUTBOUND_"/>
  </r>
  <r>
    <s v="983"/>
    <m/>
    <x v="1"/>
    <s v="OUB-W0012404-313"/>
    <s v="EJ-Malang-01"/>
    <s v="Oka-0813-2707-1646"/>
    <x v="146"/>
    <d v="1899-12-30T18:35:00"/>
    <s v="EJ-MALANG-01"/>
    <x v="0"/>
    <x v="1"/>
    <s v="ZTE2003"/>
    <s v="Meter"/>
    <n v="3000"/>
    <s v="CLR51-99-010"/>
    <x v="54"/>
    <m/>
    <m/>
    <m/>
    <s v="Riki Romansyah"/>
    <s v="Febby Supplier"/>
    <s v="3507050501950006"/>
    <s v="N 8420 EL"/>
    <m/>
    <x v="2"/>
    <s v="Pandan Landung RW 01 Wagir"/>
    <e v="#N/A"/>
    <e v="#N/A"/>
    <s v="OUTBOUND_"/>
  </r>
  <r>
    <s v="984"/>
    <m/>
    <x v="2"/>
    <s v="TFI-W0012404-314"/>
    <s v="EJ-Malang-01"/>
    <s v="Oka-0813-2707-1646"/>
    <x v="146"/>
    <d v="1900-01-14T07:00:00"/>
    <s v="ZTE Warehouse"/>
    <x v="0"/>
    <x v="28"/>
    <s v="ZTE2010"/>
    <s v="Pcs"/>
    <n v="9"/>
    <s v="TRF"/>
    <x v="17"/>
    <n v="0"/>
    <n v="0"/>
    <m/>
    <m/>
    <m/>
    <m/>
    <m/>
    <s v="TRANSFER GUDANG"/>
    <x v="2"/>
    <n v="0"/>
    <e v="#N/A"/>
    <e v="#N/A"/>
    <s v="OUTBOUND_"/>
  </r>
  <r>
    <s v="985"/>
    <m/>
    <x v="0"/>
    <s v="INB-W0012404-314"/>
    <s v="EJ-Malang-01"/>
    <s v="Oka-0813-2707-1646"/>
    <x v="146"/>
    <d v="1900-01-14T07:00:00"/>
    <s v="ZTE Warehouse"/>
    <x v="0"/>
    <x v="2"/>
    <s v="ZTE2008"/>
    <s v="Pcs"/>
    <n v="28"/>
    <m/>
    <x v="28"/>
    <n v="0"/>
    <n v="0"/>
    <m/>
    <m/>
    <m/>
    <m/>
    <m/>
    <m/>
    <x v="2"/>
    <n v="0"/>
    <e v="#N/A"/>
    <e v="#N/A"/>
    <s v="OUTBOUND_"/>
  </r>
  <r>
    <s v="986"/>
    <m/>
    <x v="2"/>
    <s v="TFI-W0012404-314"/>
    <s v="EJ-Malang-01"/>
    <s v="Oka-0813-2707-1646"/>
    <x v="146"/>
    <d v="1900-01-14T07:00:00"/>
    <s v="ZTE Warehouse"/>
    <x v="0"/>
    <x v="3"/>
    <s v="ZTE2005"/>
    <s v="Pcs"/>
    <n v="3"/>
    <s v="TRF"/>
    <x v="17"/>
    <n v="0"/>
    <s v="TRANSFER GUDANG"/>
    <m/>
    <m/>
    <m/>
    <m/>
    <m/>
    <m/>
    <x v="2"/>
    <n v="0"/>
    <e v="#N/A"/>
    <e v="#N/A"/>
    <s v="OUTBOUND_"/>
  </r>
  <r>
    <s v="987"/>
    <m/>
    <x v="2"/>
    <s v="TFI-W0012404-314"/>
    <s v="EJ-Malang-01"/>
    <s v="Oka-0813-2707-1646"/>
    <x v="146"/>
    <d v="1900-01-14T07:00:00"/>
    <s v="ZTE Warehouse"/>
    <x v="0"/>
    <x v="20"/>
    <s v="ZTE1004"/>
    <s v="Pcs"/>
    <n v="3"/>
    <s v="TRF"/>
    <x v="17"/>
    <n v="0"/>
    <s v="TRANSFER GUDANG"/>
    <m/>
    <m/>
    <m/>
    <m/>
    <m/>
    <m/>
    <x v="2"/>
    <n v="0"/>
    <e v="#N/A"/>
    <e v="#N/A"/>
    <s v="OUTBOUND_"/>
  </r>
  <r>
    <s v="988"/>
    <m/>
    <x v="1"/>
    <s v="OUB-W0012404-313"/>
    <s v="EJ-Malang-01"/>
    <s v="Oka-0813-2707-1646"/>
    <x v="146"/>
    <d v="1899-12-30T18:35:00"/>
    <s v="EJ-MALANG-01"/>
    <x v="0"/>
    <x v="4"/>
    <s v="ZTE1002"/>
    <s v="Pcs"/>
    <n v="8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989"/>
    <m/>
    <x v="1"/>
    <s v="OUB-W0012404-313"/>
    <s v="EJ-Malang-01"/>
    <s v="Oka-0813-2707-1646"/>
    <x v="146"/>
    <d v="1899-12-30T18:35:00"/>
    <s v="EJ-MALANG-01"/>
    <x v="0"/>
    <x v="5"/>
    <s v="ZTE1001"/>
    <s v="Pcs"/>
    <n v="9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990"/>
    <m/>
    <x v="1"/>
    <s v="OUB-W0012404-311"/>
    <s v="EJ-Malang-01"/>
    <s v="Oka-0813-2707-1646"/>
    <x v="146"/>
    <d v="1899-12-30T09:49:00"/>
    <s v="EJ-MALANG-01"/>
    <x v="0"/>
    <x v="5"/>
    <s v="ZTE1001"/>
    <s v="Pcs"/>
    <n v="13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991"/>
    <m/>
    <x v="1"/>
    <s v="OUB-W0012404-312"/>
    <s v="EJ-Malang-01"/>
    <s v="Oka-0813-2707-1646"/>
    <x v="146"/>
    <d v="1899-12-30T13:33:00"/>
    <s v="EJ-MALANG-01"/>
    <x v="0"/>
    <x v="5"/>
    <s v="ZTE1001"/>
    <s v="Pcs"/>
    <n v="25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992"/>
    <m/>
    <x v="1"/>
    <s v="OUB-W0012404-318"/>
    <s v="EJ-Malang-01"/>
    <s v="Oka-0813-2707-1646"/>
    <x v="147"/>
    <d v="1899-12-30T17:12:00"/>
    <s v="EJ-MALANG-01"/>
    <x v="0"/>
    <x v="0"/>
    <s v="ZTE2001"/>
    <s v="Meter"/>
    <n v="4000"/>
    <s v="CLR51-99-012"/>
    <x v="51"/>
    <m/>
    <m/>
    <m/>
    <s v="Riki Romansyah"/>
    <s v="Febby Supplier"/>
    <s v="3507050501950006"/>
    <s v="N 8420 EL"/>
    <s v="1200+750+1350"/>
    <x v="2"/>
    <s v="Pandanlandung RW 01 Wagir"/>
    <e v="#N/A"/>
    <e v="#N/A"/>
    <s v="OUTBOUND_"/>
  </r>
  <r>
    <s v="993"/>
    <m/>
    <x v="1"/>
    <s v="OUB-W0012404-315"/>
    <s v="EJ-Malang-01"/>
    <s v="Oka-0813-2707-1646"/>
    <x v="147"/>
    <d v="1899-12-30T09:01:00"/>
    <s v="EJ-MALANG-01"/>
    <x v="1"/>
    <x v="9"/>
    <s v="GCI1001"/>
    <s v="Pcs"/>
    <n v="2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994"/>
    <m/>
    <x v="1"/>
    <s v="OUB-W0012404-316"/>
    <s v="EJ-Malang-01"/>
    <s v="Oka-0813-2707-1646"/>
    <x v="147"/>
    <d v="1899-12-30T17:12:00"/>
    <s v="EJ-MALANG-01"/>
    <x v="1"/>
    <x v="9"/>
    <s v="GCI1001"/>
    <s v="Pcs"/>
    <n v="43"/>
    <s v="CLR51-99-010"/>
    <x v="52"/>
    <m/>
    <m/>
    <m/>
    <s v="Riki Romansyah"/>
    <s v="Febby Supplier"/>
    <s v="3573032509800005"/>
    <s v="N8283EK"/>
    <m/>
    <x v="2"/>
    <s v="Pandan Landung RW 05 Wagir"/>
    <e v="#N/A"/>
    <e v="#N/A"/>
    <s v="OUTBOUND_"/>
  </r>
  <r>
    <s v="995"/>
    <m/>
    <x v="2"/>
    <s v="TFI-W0012404-317"/>
    <s v="EJ-Malang-01"/>
    <s v="Oka-0813-2707-1646"/>
    <x v="147"/>
    <d v="1900-01-14T07:00:00"/>
    <s v="EJ-NGAWI-01"/>
    <x v="1"/>
    <x v="9"/>
    <s v="GCI1001"/>
    <s v="Pcs"/>
    <n v="75"/>
    <s v="TRF"/>
    <x v="56"/>
    <n v="0"/>
    <n v="0"/>
    <m/>
    <m/>
    <m/>
    <m/>
    <m/>
    <m/>
    <x v="2"/>
    <s v="NGAWI"/>
    <e v="#N/A"/>
    <e v="#N/A"/>
    <s v="OUTBOUND_"/>
  </r>
  <r>
    <s v="996"/>
    <m/>
    <x v="1"/>
    <s v="OUB-W0012404-315"/>
    <s v="EJ-Malang-01"/>
    <s v="Oka-0813-2707-1646"/>
    <x v="147"/>
    <d v="1899-12-30T09:01:00"/>
    <s v="EJ-MALANG-01"/>
    <x v="1"/>
    <x v="10"/>
    <s v="GCI1009"/>
    <s v="Pcs"/>
    <n v="30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997"/>
    <m/>
    <x v="2"/>
    <s v="TFI-W0012404-317"/>
    <s v="EJ-Malang-01"/>
    <s v="Oka-0813-2707-1646"/>
    <x v="147"/>
    <d v="1900-01-14T07:00:00"/>
    <s v="EJ-NGAWI-01"/>
    <x v="1"/>
    <x v="10"/>
    <s v="GCI1009"/>
    <s v="Pcs"/>
    <n v="291"/>
    <s v="TRF"/>
    <x v="56"/>
    <n v="0"/>
    <n v="0"/>
    <m/>
    <m/>
    <m/>
    <m/>
    <m/>
    <m/>
    <x v="2"/>
    <s v="NGAWI"/>
    <e v="#N/A"/>
    <e v="#N/A"/>
    <s v="OUTBOUND_"/>
  </r>
  <r>
    <s v="998"/>
    <m/>
    <x v="1"/>
    <s v="OUB-W0012404-316"/>
    <s v="EJ-Malang-01"/>
    <s v="Oka-0813-2707-1646"/>
    <x v="147"/>
    <d v="1899-12-30T17:12:00"/>
    <s v="EJ-MALANG-01"/>
    <x v="1"/>
    <x v="11"/>
    <s v="GCI1002"/>
    <s v="Pcs"/>
    <n v="2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999"/>
    <m/>
    <x v="2"/>
    <s v="TFI-W0012404-317"/>
    <s v="EJ-Malang-01"/>
    <s v="Oka-0813-2707-1646"/>
    <x v="147"/>
    <d v="1900-01-14T07:00:00"/>
    <s v="EJ-NGAWI-01"/>
    <x v="1"/>
    <x v="11"/>
    <s v="GCI1002"/>
    <s v="Pcs"/>
    <n v="6"/>
    <s v="TRF"/>
    <x v="56"/>
    <n v="0"/>
    <n v="0"/>
    <m/>
    <m/>
    <m/>
    <m/>
    <m/>
    <m/>
    <x v="2"/>
    <s v="NGAWI"/>
    <e v="#N/A"/>
    <e v="#N/A"/>
    <s v="OUTBOUND_"/>
  </r>
  <r>
    <s v="1000"/>
    <m/>
    <x v="1"/>
    <s v="OUB-W0012404-315"/>
    <s v="EJ-Malang-01"/>
    <s v="Oka-0813-2707-1646"/>
    <x v="147"/>
    <d v="1899-12-30T09:01:00"/>
    <s v="EJ-MALANG-01"/>
    <x v="0"/>
    <x v="4"/>
    <s v="ZTE1002"/>
    <s v="Pcs"/>
    <n v="3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1001"/>
    <m/>
    <x v="1"/>
    <s v="OUB-W0012404-316"/>
    <s v="EJ-Malang-01"/>
    <s v="Oka-0813-2707-1646"/>
    <x v="147"/>
    <d v="1899-12-30T17:12:00"/>
    <s v="EJ-MALANG-01"/>
    <x v="0"/>
    <x v="4"/>
    <s v="ZTE1002"/>
    <s v="Pcs"/>
    <n v="5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1002"/>
    <m/>
    <x v="1"/>
    <s v="OUB-W0012404-316"/>
    <s v="EJ-Malang-01"/>
    <s v="Oka-0813-2707-1646"/>
    <x v="147"/>
    <d v="1899-12-30T17:12:00"/>
    <s v="EJ-MALANG-01"/>
    <x v="0"/>
    <x v="5"/>
    <s v="ZTE1001"/>
    <s v="Pcs"/>
    <n v="4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1003"/>
    <m/>
    <x v="1"/>
    <s v="OUB-W0012404-315"/>
    <s v="EJ-Malang-01"/>
    <s v="Oka-0813-2707-1646"/>
    <x v="147"/>
    <d v="1899-12-30T09:01:00"/>
    <s v="EJ-MALANG-01"/>
    <x v="0"/>
    <x v="5"/>
    <s v="ZTE1001"/>
    <s v="Pcs"/>
    <n v="6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1004"/>
    <m/>
    <x v="1"/>
    <s v="OUB-W0012404-315"/>
    <s v="EJ-Malang-01"/>
    <s v="Oka-0813-2707-1646"/>
    <x v="147"/>
    <d v="1899-12-30T09:01:00"/>
    <s v="EJ-MALANG-01"/>
    <x v="1"/>
    <x v="12"/>
    <s v="GCI1008"/>
    <s v="Pcs"/>
    <n v="28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1005"/>
    <m/>
    <x v="1"/>
    <s v="OUB-W0012404-316"/>
    <s v="EJ-Malang-01"/>
    <s v="Oka-0813-2707-1646"/>
    <x v="147"/>
    <d v="1899-12-30T17:12:00"/>
    <s v="EJ-MALANG-01"/>
    <x v="1"/>
    <x v="15"/>
    <s v="GCI1003"/>
    <s v="Pcs"/>
    <n v="200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1006"/>
    <m/>
    <x v="1"/>
    <s v="OUB-W0012404-315"/>
    <s v="EJ-Malang-01"/>
    <s v="Oka-0813-2707-1646"/>
    <x v="147"/>
    <d v="1899-12-30T09:01:00"/>
    <s v="EJ-MALANG-01"/>
    <x v="1"/>
    <x v="16"/>
    <s v="GCI1004"/>
    <s v="Pcs"/>
    <n v="10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1007"/>
    <m/>
    <x v="1"/>
    <s v="OUB-W0012404-316"/>
    <s v="EJ-Malang-01"/>
    <s v="Oka-0813-2707-1646"/>
    <x v="147"/>
    <d v="1899-12-30T17:12:00"/>
    <s v="EJ-MALANG-01"/>
    <x v="1"/>
    <x v="16"/>
    <s v="GCI1004"/>
    <s v="Pcs"/>
    <n v="39"/>
    <s v="CLR51-99-010"/>
    <x v="52"/>
    <m/>
    <m/>
    <m/>
    <s v="Riki Romansyah"/>
    <s v="Febby Supplier"/>
    <s v="3573032509800005"/>
    <s v="N8283EK"/>
    <m/>
    <x v="2"/>
    <s v="Pandan Landung RW 05 Wagir"/>
    <e v="#N/A"/>
    <e v="#N/A"/>
    <s v="OUTBOUND_"/>
  </r>
  <r>
    <s v="1008"/>
    <m/>
    <x v="2"/>
    <s v="TFI-W0012404-317"/>
    <s v="EJ-Malang-01"/>
    <s v="Oka-0813-2707-1646"/>
    <x v="147"/>
    <d v="1900-01-14T07:00:00"/>
    <s v="EJ-NGAWI-01"/>
    <x v="1"/>
    <x v="16"/>
    <s v="GCI1004"/>
    <s v="Pcs"/>
    <n v="50"/>
    <s v="TRF"/>
    <x v="56"/>
    <n v="0"/>
    <n v="0"/>
    <m/>
    <m/>
    <m/>
    <m/>
    <m/>
    <m/>
    <x v="2"/>
    <s v="NGAWI"/>
    <e v="#N/A"/>
    <e v="#N/A"/>
    <s v="OUTBOUND_"/>
  </r>
  <r>
    <s v="1009"/>
    <m/>
    <x v="1"/>
    <s v="OUB-W0012404-319"/>
    <s v="EJ-Malang-01"/>
    <s v="Oka-0813-2707-1646"/>
    <x v="148"/>
    <d v="1899-12-30T10:00:00"/>
    <s v="EJ-MALANG-01"/>
    <x v="0"/>
    <x v="28"/>
    <s v="ZTE2010"/>
    <s v="Pcs"/>
    <n v="9"/>
    <s v="CLR51-99-010"/>
    <x v="52"/>
    <m/>
    <m/>
    <m/>
    <s v="Fahrudin"/>
    <s v="Febby Supplier"/>
    <s v="3507131605830004"/>
    <s v="N 1383 G"/>
    <m/>
    <x v="2"/>
    <s v="Pandan Landung RW 05 Wagir"/>
    <e v="#N/A"/>
    <e v="#N/A"/>
    <s v="OUTBOUND_"/>
  </r>
  <r>
    <s v="1010"/>
    <m/>
    <x v="3"/>
    <s v="TFO-W0012404-320"/>
    <s v="EJ-Malang-01"/>
    <s v="Oka-0813-2707-1646"/>
    <x v="148"/>
    <d v="1899-12-30T10:00:00"/>
    <s v="EJ-GRESIK-01"/>
    <x v="0"/>
    <x v="29"/>
    <s v="GCI2013"/>
    <s v="Pcs"/>
    <n v="6"/>
    <s v="TRF"/>
    <x v="10"/>
    <m/>
    <m/>
    <m/>
    <s v="Munip"/>
    <n v="0"/>
    <s v="3509090107770266"/>
    <s v="L 1962 QM"/>
    <m/>
    <x v="2"/>
    <s v="Transfer Gudang"/>
    <e v="#N/A"/>
    <e v="#N/A"/>
    <s v="TRANSFER OUT_"/>
  </r>
  <r>
    <s v="1011"/>
    <m/>
    <x v="1"/>
    <s v="OUB-W0012404-321"/>
    <s v="EJ-Malang-01"/>
    <s v="Oka-0813-2707-1646"/>
    <x v="148"/>
    <d v="1899-12-30T10:00:00"/>
    <s v="EJ-MALANG-01"/>
    <x v="0"/>
    <x v="3"/>
    <s v="ZTE2005"/>
    <s v="Pcs"/>
    <n v="3"/>
    <s v="CLR51-99-010"/>
    <x v="52"/>
    <m/>
    <m/>
    <m/>
    <s v="Fahrudin"/>
    <s v="Febby Supplier"/>
    <s v="3507131605830004"/>
    <s v="N 1383 G"/>
    <m/>
    <x v="2"/>
    <s v="Pandan Landung RW 05 Wagir"/>
    <e v="#N/A"/>
    <e v="#N/A"/>
    <s v="OUTBOUND_"/>
  </r>
  <r>
    <s v="1012"/>
    <m/>
    <x v="1"/>
    <s v="OUB-W0012404-321"/>
    <s v="EJ-Malang-01"/>
    <s v="Oka-0813-2707-1646"/>
    <x v="148"/>
    <d v="1899-12-30T10:00:00"/>
    <s v="EJ-MALANG-01"/>
    <x v="0"/>
    <x v="20"/>
    <s v="ZTE1004"/>
    <s v="Pcs"/>
    <n v="1"/>
    <s v="CLR51-99-010"/>
    <x v="52"/>
    <m/>
    <m/>
    <m/>
    <s v="Fahrudin"/>
    <s v="Febby Supplier"/>
    <s v="3507131605830004"/>
    <s v="N 1383 G"/>
    <m/>
    <x v="2"/>
    <s v="Pandan Landung RW 05 Wagir"/>
    <e v="#N/A"/>
    <e v="#N/A"/>
    <s v="OUTBOUND_"/>
  </r>
  <r>
    <s v="1013"/>
    <m/>
    <x v="0"/>
    <s v="INB-W0012404-323"/>
    <s v="EJ-Malang-01"/>
    <s v="Oka-0813-2707-1646"/>
    <x v="149"/>
    <d v="1900-01-14T07:00:00"/>
    <s v="GCI Procurement"/>
    <x v="1"/>
    <x v="8"/>
    <s v="GCI1005"/>
    <s v="Pcs"/>
    <n v="84"/>
    <n v="0"/>
    <x v="17"/>
    <n v="0"/>
    <n v="0"/>
    <m/>
    <m/>
    <m/>
    <m/>
    <m/>
    <m/>
    <x v="2"/>
    <n v="0"/>
    <e v="#N/A"/>
    <e v="#N/A"/>
    <s v="OUTBOUND_"/>
  </r>
  <r>
    <s v="1014"/>
    <m/>
    <x v="1"/>
    <s v="OUB-W0012404-322"/>
    <s v="EJ-Malang-01"/>
    <s v="Oka-0813-2707-1646"/>
    <x v="149"/>
    <d v="1899-12-30T17:21:00"/>
    <s v="EJ-MALANG-01"/>
    <x v="0"/>
    <x v="2"/>
    <s v="ZTE2008"/>
    <s v="Pcs"/>
    <n v="15"/>
    <s v="CLR51-99-010"/>
    <x v="52"/>
    <m/>
    <m/>
    <m/>
    <s v="Fatur"/>
    <n v="0"/>
    <s v="3515082712870005"/>
    <s v="W 1130 NQ"/>
    <m/>
    <x v="2"/>
    <s v="Pandan Landung RW 05 Wagir"/>
    <e v="#N/A"/>
    <e v="#N/A"/>
    <s v="OUTBOUND_"/>
  </r>
  <r>
    <s v="1015"/>
    <m/>
    <x v="1"/>
    <s v="OUB-W0012404-322"/>
    <s v="EJ-Malang-01"/>
    <s v="Oka-0813-2707-1646"/>
    <x v="149"/>
    <d v="1899-12-30T17:21:00"/>
    <s v="EJ-MALANG-01"/>
    <x v="0"/>
    <x v="2"/>
    <s v="ZTE2008"/>
    <s v="Pcs"/>
    <n v="28"/>
    <s v="CLR51-99-010"/>
    <x v="52"/>
    <m/>
    <m/>
    <m/>
    <s v="Fatur"/>
    <n v="0"/>
    <s v="3515082712870005"/>
    <s v="W 1130 NQ"/>
    <m/>
    <x v="2"/>
    <s v="Pandan Landung RW 05 Wagir"/>
    <e v="#N/A"/>
    <e v="#N/A"/>
    <s v="OUTBOUND_"/>
  </r>
  <r>
    <s v="1016"/>
    <m/>
    <x v="0"/>
    <s v="INB-W0012404-323"/>
    <s v="EJ-Malang-01"/>
    <s v="Oka-0813-2707-1646"/>
    <x v="149"/>
    <d v="1900-01-14T07:00:00"/>
    <s v="GCI Procurement"/>
    <x v="1"/>
    <x v="12"/>
    <s v="GCI1008"/>
    <s v="Pcs"/>
    <n v="84"/>
    <n v="0"/>
    <x v="17"/>
    <n v="0"/>
    <n v="0"/>
    <m/>
    <m/>
    <m/>
    <m/>
    <m/>
    <m/>
    <x v="2"/>
    <n v="0"/>
    <e v="#N/A"/>
    <e v="#N/A"/>
    <s v="OUTBOUND_"/>
  </r>
  <r>
    <s v="1017"/>
    <m/>
    <x v="0"/>
    <s v="INB-W0012404-323"/>
    <s v="EJ-Malang-01"/>
    <s v="Oka-0813-2707-1646"/>
    <x v="149"/>
    <d v="1900-01-14T07:00:00"/>
    <s v="GCI Procurement"/>
    <x v="1"/>
    <x v="15"/>
    <s v="GCI1003"/>
    <s v="Pcs"/>
    <n v="121"/>
    <n v="0"/>
    <x v="17"/>
    <n v="0"/>
    <n v="0"/>
    <m/>
    <m/>
    <m/>
    <m/>
    <m/>
    <m/>
    <x v="2"/>
    <n v="0"/>
    <e v="#N/A"/>
    <e v="#N/A"/>
    <s v="OUTBOUND_"/>
  </r>
  <r>
    <s v="1018"/>
    <m/>
    <x v="0"/>
    <s v="INB-W0012404-323"/>
    <s v="EJ-Malang-01"/>
    <s v="Oka-0813-2707-1646"/>
    <x v="149"/>
    <d v="1900-01-14T07:00:00"/>
    <s v="GCI Procurement"/>
    <x v="1"/>
    <x v="16"/>
    <s v="GCI1004"/>
    <s v="Pcs"/>
    <n v="42"/>
    <n v="0"/>
    <x v="17"/>
    <n v="0"/>
    <n v="0"/>
    <m/>
    <m/>
    <m/>
    <m/>
    <m/>
    <m/>
    <x v="2"/>
    <n v="0"/>
    <e v="#N/A"/>
    <e v="#N/A"/>
    <s v="OUTBOUND_"/>
  </r>
  <r>
    <s v="1019"/>
    <m/>
    <x v="1"/>
    <s v="OUB-W0012404-324"/>
    <s v="EJ-Malang-01"/>
    <s v="Oka-0813-2707-1646"/>
    <x v="150"/>
    <d v="1899-12-30T09:24:00"/>
    <s v="EJ-MALANG-01"/>
    <x v="1"/>
    <x v="8"/>
    <s v="GCI1005"/>
    <s v="Pcs"/>
    <n v="100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1020"/>
    <m/>
    <x v="1"/>
    <s v="OUB-W0012404-324"/>
    <s v="EJ-Malang-01"/>
    <s v="Oka-0813-2707-1646"/>
    <x v="150"/>
    <d v="1899-12-30T09:24:00"/>
    <s v="EJ-MALANG-01"/>
    <x v="1"/>
    <x v="10"/>
    <s v="GCI1009"/>
    <s v="Pcs"/>
    <n v="68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1021"/>
    <m/>
    <x v="1"/>
    <s v="OUB-W0012404-324"/>
    <s v="EJ-Malang-01"/>
    <s v="Oka-0813-2707-1646"/>
    <x v="150"/>
    <d v="1899-12-30T09:24:00"/>
    <s v="EJ-MALANG-01"/>
    <x v="1"/>
    <x v="12"/>
    <s v="GCI1008"/>
    <s v="Pcs"/>
    <n v="84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1022"/>
    <m/>
    <x v="1"/>
    <s v="OUB-W0012404-324"/>
    <s v="EJ-Malang-01"/>
    <s v="Oka-0813-2707-1646"/>
    <x v="150"/>
    <d v="1899-12-30T09:24:00"/>
    <s v="EJ-MALANG-01"/>
    <x v="1"/>
    <x v="16"/>
    <s v="GCI1004"/>
    <s v="Pcs"/>
    <n v="10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1023"/>
    <m/>
    <x v="0"/>
    <s v="INB-W0012404-327"/>
    <s v="EJ-Malang-01"/>
    <s v="Oka-0813-2707-1646"/>
    <x v="151"/>
    <d v="1900-01-14T07:00:00"/>
    <s v="GCI Procurement"/>
    <x v="1"/>
    <x v="6"/>
    <s v="GCI1011"/>
    <s v="Pcs"/>
    <n v="1"/>
    <n v="0"/>
    <x v="17"/>
    <n v="0"/>
    <n v="0"/>
    <m/>
    <m/>
    <m/>
    <m/>
    <m/>
    <m/>
    <x v="2"/>
    <n v="0"/>
    <e v="#N/A"/>
    <e v="#N/A"/>
    <s v="OUTBOUND_"/>
  </r>
  <r>
    <s v="1024"/>
    <m/>
    <x v="1"/>
    <s v="OUB-W0012404-326"/>
    <s v="EJ-Malang-01"/>
    <s v="Oka-0813-2707-1646"/>
    <x v="151"/>
    <d v="1899-12-30T12:00:00"/>
    <s v="EJ-MALANG-01"/>
    <x v="1"/>
    <x v="6"/>
    <s v="GCI1011"/>
    <s v="Pcs"/>
    <n v="1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1025"/>
    <m/>
    <x v="1"/>
    <s v="OUB-W0012404-325"/>
    <s v="EJ-Malang-01"/>
    <s v="Oka-0813-2707-1646"/>
    <x v="151"/>
    <d v="1899-12-30T10:15:00"/>
    <s v="EJ-MALANG-01"/>
    <x v="1"/>
    <x v="8"/>
    <s v="GCI1005"/>
    <s v="Pcs"/>
    <n v="30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1026"/>
    <m/>
    <x v="1"/>
    <s v="OUB-W0012404-325"/>
    <s v="EJ-Malang-01"/>
    <s v="Oka-0813-2707-1646"/>
    <x v="151"/>
    <d v="1899-12-30T10:15:00"/>
    <s v="EJ-MALANG-01"/>
    <x v="1"/>
    <x v="9"/>
    <s v="GCI1001"/>
    <s v="Pcs"/>
    <n v="10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1027"/>
    <m/>
    <x v="1"/>
    <s v="OUB-W0012404-325"/>
    <s v="EJ-Malang-01"/>
    <s v="Oka-0813-2707-1646"/>
    <x v="151"/>
    <d v="1899-12-30T10:15:00"/>
    <s v="EJ-MALANG-01"/>
    <x v="1"/>
    <x v="10"/>
    <s v="GCI1009"/>
    <s v="Pcs"/>
    <n v="30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1028"/>
    <m/>
    <x v="2"/>
    <s v="TFI-W0012404-327"/>
    <s v="EJ-Malang-01"/>
    <s v="Oka-0813-2707-1646"/>
    <x v="151"/>
    <d v="1900-01-14T07:00:00"/>
    <s v="ZTE Warehouse"/>
    <x v="0"/>
    <x v="5"/>
    <s v="ZTE1001"/>
    <s v="Pcs"/>
    <n v="2"/>
    <s v="TRF"/>
    <x v="17"/>
    <n v="0"/>
    <s v="TRANSFER GUDANG"/>
    <m/>
    <m/>
    <m/>
    <m/>
    <m/>
    <m/>
    <x v="2"/>
    <n v="0"/>
    <e v="#N/A"/>
    <e v="#N/A"/>
    <s v="OUTBOUND_"/>
  </r>
  <r>
    <s v="1029"/>
    <m/>
    <x v="0"/>
    <s v="INB-W0012404-327"/>
    <s v="EJ-Malang-01"/>
    <s v="Oka-0813-2707-1646"/>
    <x v="151"/>
    <d v="1900-01-14T07:00:00"/>
    <s v="GCI Procurement"/>
    <x v="1"/>
    <x v="12"/>
    <s v="GCI1008"/>
    <s v="Pcs"/>
    <n v="100"/>
    <n v="0"/>
    <x v="17"/>
    <n v="0"/>
    <n v="0"/>
    <m/>
    <m/>
    <m/>
    <m/>
    <m/>
    <m/>
    <x v="2"/>
    <n v="0"/>
    <e v="#N/A"/>
    <e v="#N/A"/>
    <s v="OUTBOUND_"/>
  </r>
  <r>
    <s v="1030"/>
    <m/>
    <x v="1"/>
    <s v="OUB-W0012404-326"/>
    <s v="EJ-Malang-01"/>
    <s v="Oka-0813-2707-1646"/>
    <x v="151"/>
    <d v="1899-12-30T12:00:00"/>
    <s v="EJ-MALANG-01"/>
    <x v="1"/>
    <x v="12"/>
    <s v="GCI1008"/>
    <s v="Pcs"/>
    <n v="20"/>
    <s v="CLR51-99-010"/>
    <x v="52"/>
    <m/>
    <m/>
    <m/>
    <s v="Riki Romansyah"/>
    <s v="Febby Supplier"/>
    <s v="3507050501950006"/>
    <s v="N 8420 EL"/>
    <m/>
    <x v="2"/>
    <s v="Pandan Landung RW 05 Wagir"/>
    <e v="#N/A"/>
    <e v="#N/A"/>
    <s v="OUTBOUND_"/>
  </r>
  <r>
    <s v="1031"/>
    <m/>
    <x v="1"/>
    <s v="OUB-W0012404-325"/>
    <s v="EJ-Malang-01"/>
    <s v="Oka-0813-2707-1646"/>
    <x v="151"/>
    <d v="1899-12-30T10:15:00"/>
    <s v="EJ-MALANG-01"/>
    <x v="1"/>
    <x v="12"/>
    <s v="GCI1008"/>
    <s v="Pcs"/>
    <n v="56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1032"/>
    <m/>
    <x v="1"/>
    <s v="OUB-W0012404-325"/>
    <s v="EJ-Malang-01"/>
    <s v="Oka-0813-2707-1646"/>
    <x v="151"/>
    <d v="1899-12-30T10:15:00"/>
    <s v="EJ-MALANG-01"/>
    <x v="1"/>
    <x v="15"/>
    <s v="GCI1003"/>
    <s v="Pcs"/>
    <n v="100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1033"/>
    <m/>
    <x v="1"/>
    <s v="OUB-W0012404-325"/>
    <s v="EJ-Malang-01"/>
    <s v="Oka-0813-2707-1646"/>
    <x v="151"/>
    <d v="1899-12-30T10:15:00"/>
    <s v="EJ-MALANG-01"/>
    <x v="1"/>
    <x v="16"/>
    <s v="GCI1004"/>
    <s v="Pcs"/>
    <n v="15"/>
    <s v="CLR51-99-092"/>
    <x v="55"/>
    <m/>
    <m/>
    <m/>
    <s v="Dimas"/>
    <s v="Febby Supplier"/>
    <s v="3573032509800005"/>
    <s v="N8283EK"/>
    <m/>
    <x v="2"/>
    <s v="Lowokwaru RW14"/>
    <e v="#N/A"/>
    <e v="#N/A"/>
    <s v="OUTBOUND_"/>
  </r>
  <r>
    <s v="1034"/>
    <m/>
    <x v="1"/>
    <s v="OUB-W0012405-329"/>
    <s v="EJ-Malang-01"/>
    <s v="Oka-0813-2707-1646"/>
    <x v="152"/>
    <d v="1899-12-30T17:21:00"/>
    <s v="EJ-MALANG-01"/>
    <x v="0"/>
    <x v="2"/>
    <s v="ZTE2008"/>
    <s v="Pcs"/>
    <n v="3"/>
    <s v="CLR51-99-010"/>
    <x v="52"/>
    <m/>
    <m/>
    <m/>
    <s v="Fatur"/>
    <n v="0"/>
    <s v="3515082712870005"/>
    <s v="W 1130 NQ"/>
    <m/>
    <x v="2"/>
    <s v="Pandan Landung RW 05 Wagir"/>
    <e v="#N/A"/>
    <e v="#N/A"/>
    <s v="OUTBOUND_"/>
  </r>
  <r>
    <s v="1035"/>
    <m/>
    <x v="1"/>
    <s v="OUB-W0012405-328"/>
    <s v="EJ-Malang-01"/>
    <s v="Oka-0813-2707-1646"/>
    <x v="152"/>
    <d v="1899-12-30T10:15:00"/>
    <s v="EJ-MALANG-01"/>
    <x v="0"/>
    <x v="4"/>
    <s v="ZTE1002"/>
    <s v="Pcs"/>
    <n v="1"/>
    <s v="CLR51-99-039"/>
    <x v="43"/>
    <m/>
    <m/>
    <m/>
    <s v="Dimas"/>
    <s v="Febby Supplier"/>
    <s v="3573032509800005"/>
    <s v="N8283EK"/>
    <m/>
    <x v="2"/>
    <s v="Tunjungtirto RW 01 Singosari"/>
    <e v="#N/A"/>
    <e v="#N/A"/>
    <s v="OUTBOUND_"/>
  </r>
  <r>
    <s v="1036"/>
    <m/>
    <x v="0"/>
    <s v="INB-W0012405-331"/>
    <s v="EJ-Malang-01"/>
    <s v="Oka-0813-2707-1646"/>
    <x v="153"/>
    <d v="1900-01-14T07:00:00"/>
    <s v="GCI Procurement"/>
    <x v="1"/>
    <x v="8"/>
    <s v="GCI1005"/>
    <s v="Pcs"/>
    <n v="52"/>
    <n v="0"/>
    <x v="17"/>
    <n v="0"/>
    <n v="0"/>
    <m/>
    <m/>
    <m/>
    <m/>
    <m/>
    <m/>
    <x v="2"/>
    <n v="0"/>
    <e v="#N/A"/>
    <e v="#N/A"/>
    <s v="OUTBOUND_"/>
  </r>
  <r>
    <s v="1037"/>
    <m/>
    <x v="0"/>
    <s v="INB-W0012405-331"/>
    <s v="EJ-Malang-01"/>
    <s v="Oka-0813-2707-1646"/>
    <x v="153"/>
    <d v="1900-01-14T07:00:00"/>
    <s v="GCI Procurement"/>
    <x v="1"/>
    <x v="10"/>
    <s v="GCI1009"/>
    <s v="Pcs"/>
    <n v="310"/>
    <n v="0"/>
    <x v="17"/>
    <n v="0"/>
    <n v="0"/>
    <m/>
    <m/>
    <m/>
    <m/>
    <m/>
    <m/>
    <x v="2"/>
    <n v="0"/>
    <e v="#N/A"/>
    <e v="#N/A"/>
    <s v="OUTBOUND_"/>
  </r>
  <r>
    <s v="1038"/>
    <m/>
    <x v="0"/>
    <s v="INB-W0012405-331"/>
    <s v="EJ-Malang-01"/>
    <s v="Oka-0813-2707-1646"/>
    <x v="153"/>
    <d v="1900-01-14T07:00:00"/>
    <s v="GCI Procurement"/>
    <x v="1"/>
    <x v="11"/>
    <s v="GCI1002"/>
    <s v="Pcs"/>
    <n v="1"/>
    <n v="0"/>
    <x v="17"/>
    <n v="0"/>
    <n v="0"/>
    <m/>
    <m/>
    <m/>
    <m/>
    <m/>
    <m/>
    <x v="2"/>
    <n v="0"/>
    <e v="#N/A"/>
    <e v="#N/A"/>
    <s v="OUTBOUND_"/>
  </r>
  <r>
    <s v="1039"/>
    <m/>
    <x v="2"/>
    <s v="TFI-W0012405-331"/>
    <s v="EJ-Malang-01"/>
    <s v="Oka-0813-2707-1646"/>
    <x v="153"/>
    <d v="1900-01-14T07:00:00"/>
    <s v="ZTE Warehouse"/>
    <x v="0"/>
    <x v="5"/>
    <s v="ZTE1001"/>
    <s v="Pcs"/>
    <n v="1"/>
    <s v="TRF"/>
    <x v="17"/>
    <n v="0"/>
    <s v="TRANSFER GUDANG"/>
    <m/>
    <m/>
    <m/>
    <m/>
    <m/>
    <m/>
    <x v="2"/>
    <n v="0"/>
    <e v="#N/A"/>
    <e v="#N/A"/>
    <s v="OUTBOUND_"/>
  </r>
  <r>
    <s v="1040"/>
    <m/>
    <x v="1"/>
    <s v="OUB-W0012405-330"/>
    <s v="EJ-Malang-01"/>
    <s v="Oka-0813-2707-1646"/>
    <x v="153"/>
    <d v="1899-12-30T09:22:00"/>
    <s v="EJ-MALANG-01"/>
    <x v="0"/>
    <x v="19"/>
    <s v="ZTE1003"/>
    <s v="Pcs"/>
    <n v="1"/>
    <s v="CLR51-99-040"/>
    <x v="42"/>
    <m/>
    <m/>
    <m/>
    <s v="Dimas"/>
    <s v="Febby Supplier"/>
    <s v="3573032509800005"/>
    <s v="N8283EK"/>
    <m/>
    <x v="2"/>
    <s v="Tunjungtirto RW 08 Singosari"/>
    <e v="#N/A"/>
    <e v="#N/A"/>
    <s v="OUTBOUND_"/>
  </r>
  <r>
    <s v="1041"/>
    <m/>
    <x v="0"/>
    <s v="INB-W0012405-331"/>
    <s v="EJ-Malang-01"/>
    <s v="Oka-0813-2707-1646"/>
    <x v="153"/>
    <d v="1900-01-14T07:00:00"/>
    <s v="GCI Procurement"/>
    <x v="1"/>
    <x v="12"/>
    <s v="GCI1008"/>
    <s v="Pcs"/>
    <n v="55"/>
    <n v="0"/>
    <x v="17"/>
    <n v="0"/>
    <n v="0"/>
    <m/>
    <m/>
    <m/>
    <m/>
    <m/>
    <m/>
    <x v="2"/>
    <n v="0"/>
    <e v="#N/A"/>
    <e v="#N/A"/>
    <s v="OUTBOUND_"/>
  </r>
  <r>
    <s v="1042"/>
    <m/>
    <x v="0"/>
    <s v="INB-W0012405-331"/>
    <s v="EJ-Malang-01"/>
    <s v="Oka-0813-2707-1646"/>
    <x v="153"/>
    <d v="1900-01-14T07:00:00"/>
    <s v="GCI Procurement"/>
    <x v="1"/>
    <x v="15"/>
    <s v="GCI1003"/>
    <s v="Pcs"/>
    <n v="46"/>
    <n v="0"/>
    <x v="17"/>
    <n v="0"/>
    <n v="0"/>
    <m/>
    <m/>
    <m/>
    <m/>
    <m/>
    <m/>
    <x v="2"/>
    <n v="0"/>
    <e v="#N/A"/>
    <e v="#N/A"/>
    <s v="OUTBOUND_"/>
  </r>
  <r>
    <s v="1043"/>
    <m/>
    <x v="0"/>
    <s v="INB-W0012405-331"/>
    <s v="EJ-Malang-01"/>
    <s v="Oka-0813-2707-1646"/>
    <x v="153"/>
    <d v="1900-01-14T07:00:00"/>
    <s v="GCI Procurement"/>
    <x v="1"/>
    <x v="16"/>
    <s v="GCI1004"/>
    <s v="Pcs"/>
    <n v="78"/>
    <n v="0"/>
    <x v="17"/>
    <n v="0"/>
    <n v="0"/>
    <m/>
    <m/>
    <m/>
    <m/>
    <m/>
    <m/>
    <x v="2"/>
    <n v="0"/>
    <e v="#N/A"/>
    <e v="#N/A"/>
    <s v="OUTBOUND_"/>
  </r>
  <r>
    <s v="1044"/>
    <m/>
    <x v="1"/>
    <s v="OUB-W0012405-332"/>
    <s v="EJ-Malang-01"/>
    <s v="Oka-0813-2707-1646"/>
    <x v="154"/>
    <d v="1899-12-30T19:30:00"/>
    <s v="EJ-MALANG-01"/>
    <x v="0"/>
    <x v="31"/>
    <s v="ZTE2004"/>
    <s v="Meter"/>
    <n v="3000"/>
    <s v="MF51-02"/>
    <x v="57"/>
    <m/>
    <m/>
    <m/>
    <s v="Riki Romansyah"/>
    <s v="Febby Supplier"/>
    <s v="3507050501950006"/>
    <s v="N 8420 EL"/>
    <m/>
    <x v="43"/>
    <s v="HUBFEEDER DALISODO"/>
    <e v="#N/A"/>
    <e v="#N/A"/>
    <s v="OUTBOUND_H-ADSS 144C-202443-01"/>
  </r>
  <r>
    <s v="1045"/>
    <m/>
    <x v="1"/>
    <s v="OUB-W0012405-333"/>
    <s v="EJ-Malang-01"/>
    <s v="Oka-0813-2707-1646"/>
    <x v="155"/>
    <d v="1899-12-30T14:09:00"/>
    <s v="EJ-MALANG-01"/>
    <x v="0"/>
    <x v="31"/>
    <s v="ZTE2004"/>
    <s v="Meter"/>
    <n v="3000"/>
    <s v="MF51-02"/>
    <x v="57"/>
    <m/>
    <m/>
    <m/>
    <s v="Riki Romansyah"/>
    <s v="Febby Supplier"/>
    <s v="3507050501950006"/>
    <s v="N 8420 EL"/>
    <m/>
    <x v="44"/>
    <s v="HUBFEEDER DALISODO"/>
    <e v="#N/A"/>
    <e v="#N/A"/>
    <s v="OUTBOUND_H-ADSS 144C-202443-02"/>
  </r>
  <r>
    <s v="1046"/>
    <m/>
    <x v="1"/>
    <s v="OUB-W0012405-334"/>
    <s v="EJ-Malang-01"/>
    <s v="Oka-0813-2707-1646"/>
    <x v="156"/>
    <d v="1899-12-30T12:56:00"/>
    <s v="EJ-MALANG-01"/>
    <x v="1"/>
    <x v="10"/>
    <s v="GCI1009"/>
    <s v="Pcs"/>
    <n v="12"/>
    <s v="CLR51-99-075"/>
    <x v="39"/>
    <m/>
    <m/>
    <m/>
    <s v="Riki Romansyah"/>
    <s v="Febby Supplier"/>
    <s v="3507050501950006"/>
    <s v="N 8420 EL"/>
    <m/>
    <x v="2"/>
    <s v="Dalisodo RW 03 Wagir"/>
    <e v="#N/A"/>
    <e v="#N/A"/>
    <s v="OUTBOUND_"/>
  </r>
  <r>
    <s v="1047"/>
    <m/>
    <x v="1"/>
    <s v="OUB-W0012405-334"/>
    <s v="EJ-Malang-01"/>
    <s v="Oka-0813-2707-1646"/>
    <x v="156"/>
    <d v="1899-12-30T12:56:00"/>
    <s v="EJ-MALANG-01"/>
    <x v="1"/>
    <x v="12"/>
    <s v="GCI1008"/>
    <s v="Pcs"/>
    <n v="6"/>
    <s v="CLR51-99-075"/>
    <x v="39"/>
    <m/>
    <m/>
    <m/>
    <s v="Riki Romansyah"/>
    <s v="Febby Supplier"/>
    <s v="3507050501950006"/>
    <s v="N 8420 EL"/>
    <m/>
    <x v="2"/>
    <s v="Dalisodo RW 03 Wagir"/>
    <e v="#N/A"/>
    <e v="#N/A"/>
    <s v="OUTBOUND_"/>
  </r>
  <r>
    <s v="1048"/>
    <m/>
    <x v="0"/>
    <s v="INB-W0012405-337"/>
    <s v="EJ-Malang-01"/>
    <s v="Oka-0813-2707-1646"/>
    <x v="157"/>
    <d v="1900-01-14T07:00:00"/>
    <s v="GCI Procurement"/>
    <x v="1"/>
    <x v="9"/>
    <s v="GCI1001"/>
    <s v="Pcs"/>
    <n v="16"/>
    <n v="0"/>
    <x v="17"/>
    <n v="0"/>
    <n v="0"/>
    <m/>
    <m/>
    <m/>
    <m/>
    <m/>
    <m/>
    <x v="2"/>
    <n v="0"/>
    <e v="#N/A"/>
    <e v="#N/A"/>
    <s v="OUTBOUND_"/>
  </r>
  <r>
    <s v="1049"/>
    <m/>
    <x v="1"/>
    <s v="OUB-W0012405-335"/>
    <s v="EJ-Malang-01"/>
    <s v="Oka-0813-2707-1646"/>
    <x v="157"/>
    <d v="1899-12-30T10:43:00"/>
    <s v="EJ-MALANG-01"/>
    <x v="1"/>
    <x v="9"/>
    <s v="GCI1001"/>
    <s v="Pcs"/>
    <n v="17"/>
    <s v="MF51-02"/>
    <x v="57"/>
    <m/>
    <m/>
    <m/>
    <s v="Riki Romansyah"/>
    <s v="Febby Supplier"/>
    <s v="3507050501950006"/>
    <s v="N 8420 EL"/>
    <m/>
    <x v="2"/>
    <s v="HUBFEEDER DALISODO"/>
    <e v="#N/A"/>
    <e v="#N/A"/>
    <s v="OUTBOUND_"/>
  </r>
  <r>
    <s v="1050"/>
    <m/>
    <x v="0"/>
    <s v="INB-W0012405-337"/>
    <s v="EJ-Malang-01"/>
    <s v="Oka-0813-2707-1646"/>
    <x v="157"/>
    <d v="1900-01-14T07:00:00"/>
    <s v="FIELD TEAM"/>
    <x v="1"/>
    <x v="10"/>
    <s v="GCI1009"/>
    <s v="Pcs"/>
    <n v="19"/>
    <s v="RTN"/>
    <x v="17"/>
    <n v="0"/>
    <n v="0"/>
    <m/>
    <m/>
    <m/>
    <m/>
    <m/>
    <m/>
    <x v="2"/>
    <n v="0"/>
    <e v="#N/A"/>
    <e v="#N/A"/>
    <s v="OUTBOUND_"/>
  </r>
  <r>
    <s v="1051"/>
    <m/>
    <x v="0"/>
    <s v="INB-W0012405-337"/>
    <s v="EJ-Malang-01"/>
    <s v="Oka-0813-2707-1646"/>
    <x v="157"/>
    <d v="1900-01-14T07:00:00"/>
    <s v="GCI Procurement"/>
    <x v="1"/>
    <x v="32"/>
    <s v="GCI1020"/>
    <s v="Pcs"/>
    <n v="206"/>
    <n v="0"/>
    <x v="17"/>
    <n v="0"/>
    <n v="0"/>
    <m/>
    <m/>
    <m/>
    <m/>
    <m/>
    <m/>
    <x v="2"/>
    <n v="0"/>
    <e v="#N/A"/>
    <e v="#N/A"/>
    <s v="OUTBOUND_"/>
  </r>
  <r>
    <s v="1052"/>
    <m/>
    <x v="1"/>
    <s v="OUB-W0012405-335"/>
    <s v="EJ-Malang-01"/>
    <s v="Oka-0813-2707-1646"/>
    <x v="157"/>
    <d v="1899-12-30T10:43:00"/>
    <s v="EJ-MALANG-01"/>
    <x v="1"/>
    <x v="32"/>
    <s v="GCI1020"/>
    <s v="Pcs"/>
    <n v="206"/>
    <s v="MF51-02"/>
    <x v="57"/>
    <m/>
    <m/>
    <m/>
    <s v="Riki Romansyah"/>
    <s v="Febby Supplier"/>
    <s v="3507050501950006"/>
    <s v="N 8420 EL"/>
    <m/>
    <x v="2"/>
    <s v="HUBFEEDER DALISODO"/>
    <e v="#N/A"/>
    <e v="#N/A"/>
    <s v="OUTBOUND_"/>
  </r>
  <r>
    <s v="1053"/>
    <m/>
    <x v="1"/>
    <s v="OUB-W0012405-336"/>
    <s v="EJ-Malang-01"/>
    <s v="Oka-0813-2707-1646"/>
    <x v="157"/>
    <d v="1899-12-30T23:56:00"/>
    <s v="EJ-MALANG-01"/>
    <x v="0"/>
    <x v="20"/>
    <s v="ZTE1004"/>
    <s v="Pcs"/>
    <n v="3"/>
    <s v="MF51-02"/>
    <x v="57"/>
    <m/>
    <m/>
    <m/>
    <s v="Fatur"/>
    <n v="0"/>
    <s v="3515082712870005"/>
    <s v="W 1130 NQ"/>
    <m/>
    <x v="2"/>
    <s v="HUBFEEDER DALISODO"/>
    <e v="#N/A"/>
    <e v="#N/A"/>
    <s v="OUTBOUND_"/>
  </r>
  <r>
    <s v="1054"/>
    <m/>
    <x v="2"/>
    <s v="TFI-W0012405-337"/>
    <s v="EJ-Malang-01"/>
    <s v="Oka-0813-2707-1646"/>
    <x v="157"/>
    <d v="1900-01-14T07:00:00"/>
    <s v="ZTE Warehouse"/>
    <x v="0"/>
    <x v="20"/>
    <s v="ZTE1004"/>
    <s v="Pcs"/>
    <n v="5"/>
    <s v="TRF"/>
    <x v="17"/>
    <n v="0"/>
    <s v="TRANSFER GUDANG"/>
    <m/>
    <m/>
    <m/>
    <m/>
    <m/>
    <m/>
    <x v="2"/>
    <n v="0"/>
    <e v="#N/A"/>
    <e v="#N/A"/>
    <s v="OUTBOUND_"/>
  </r>
  <r>
    <s v="1055"/>
    <m/>
    <x v="0"/>
    <s v="INB-W0012405-337"/>
    <s v="EJ-Malang-01"/>
    <s v="Oka-0813-2707-1646"/>
    <x v="157"/>
    <d v="1900-01-14T07:00:00"/>
    <s v="GCI Procurement"/>
    <x v="1"/>
    <x v="11"/>
    <s v="GCI1002"/>
    <s v="Pcs"/>
    <n v="1"/>
    <n v="0"/>
    <x v="17"/>
    <n v="0"/>
    <n v="0"/>
    <m/>
    <m/>
    <m/>
    <m/>
    <m/>
    <m/>
    <x v="2"/>
    <n v="0"/>
    <e v="#N/A"/>
    <e v="#N/A"/>
    <s v="OUTBOUND_"/>
  </r>
  <r>
    <s v="1056"/>
    <m/>
    <x v="1"/>
    <s v="OUB-W0012405-335"/>
    <s v="EJ-Malang-01"/>
    <s v="Oka-0813-2707-1646"/>
    <x v="157"/>
    <d v="1899-12-30T10:43:00"/>
    <s v="EJ-MALANG-01"/>
    <x v="1"/>
    <x v="11"/>
    <s v="GCI1002"/>
    <s v="Pcs"/>
    <n v="1"/>
    <s v="MF51-02"/>
    <x v="57"/>
    <m/>
    <m/>
    <m/>
    <s v="Riki Romansyah"/>
    <s v="Febby Supplier"/>
    <s v="3507050501950006"/>
    <s v="N 8420 EL"/>
    <m/>
    <x v="2"/>
    <s v="HUBFEEDER DALISODO"/>
    <e v="#N/A"/>
    <e v="#N/A"/>
    <s v="OUTBOUND_"/>
  </r>
  <r>
    <s v="1057"/>
    <m/>
    <x v="0"/>
    <s v="INB-W0012405-337"/>
    <s v="EJ-Malang-01"/>
    <s v="Oka-0813-2707-1646"/>
    <x v="157"/>
    <d v="1900-01-14T07:00:00"/>
    <s v="GCI Procurement"/>
    <x v="1"/>
    <x v="12"/>
    <s v="GCI1008"/>
    <s v="Pcs"/>
    <n v="11"/>
    <s v="RTN"/>
    <x v="17"/>
    <n v="0"/>
    <n v="0"/>
    <m/>
    <m/>
    <m/>
    <m/>
    <m/>
    <m/>
    <x v="2"/>
    <n v="0"/>
    <e v="#N/A"/>
    <e v="#N/A"/>
    <s v="OUTBOUND_"/>
  </r>
  <r>
    <s v="1058"/>
    <m/>
    <x v="0"/>
    <s v="INB-W0012405-337"/>
    <s v="EJ-Malang-01"/>
    <s v="Oka-0813-2707-1646"/>
    <x v="157"/>
    <d v="1900-01-14T07:00:00"/>
    <s v="GCI Procurement"/>
    <x v="1"/>
    <x v="12"/>
    <s v="GCI1008"/>
    <s v="Pcs"/>
    <n v="150"/>
    <n v="0"/>
    <x v="17"/>
    <n v="0"/>
    <n v="0"/>
    <m/>
    <m/>
    <m/>
    <m/>
    <m/>
    <m/>
    <x v="2"/>
    <n v="0"/>
    <e v="#N/A"/>
    <e v="#N/A"/>
    <s v="OUTBOUND_"/>
  </r>
  <r>
    <s v="1059"/>
    <m/>
    <x v="1"/>
    <s v="OUB-W0012405-335"/>
    <s v="EJ-Malang-01"/>
    <s v="Oka-0813-2707-1646"/>
    <x v="157"/>
    <d v="1899-12-30T10:43:00"/>
    <s v="EJ-MALANG-01"/>
    <x v="1"/>
    <x v="12"/>
    <s v="GCI1008"/>
    <s v="Pcs"/>
    <n v="50"/>
    <s v="MF51-02"/>
    <x v="57"/>
    <m/>
    <m/>
    <m/>
    <s v="Riki Romansyah"/>
    <s v="Febby Supplier"/>
    <s v="3507050501950006"/>
    <s v="N 8420 EL"/>
    <m/>
    <x v="2"/>
    <s v="HUBFEEDER DALISODO"/>
    <e v="#N/A"/>
    <e v="#N/A"/>
    <s v="OUTBOUND_"/>
  </r>
  <r>
    <s v="1060"/>
    <m/>
    <x v="0"/>
    <s v="INB-W0012405-337"/>
    <s v="EJ-Malang-01"/>
    <s v="Oka-0813-2707-1646"/>
    <x v="157"/>
    <d v="1900-01-14T07:00:00"/>
    <s v="GCI Procurement"/>
    <x v="1"/>
    <x v="15"/>
    <s v="GCI1003"/>
    <s v="Pcs"/>
    <n v="112"/>
    <n v="0"/>
    <x v="17"/>
    <n v="0"/>
    <n v="0"/>
    <m/>
    <m/>
    <m/>
    <m/>
    <m/>
    <m/>
    <x v="2"/>
    <n v="0"/>
    <e v="#N/A"/>
    <e v="#N/A"/>
    <s v="OUTBOUND_"/>
  </r>
  <r>
    <s v="1061"/>
    <m/>
    <x v="0"/>
    <s v="INB-W0012405-337"/>
    <s v="EJ-Malang-01"/>
    <s v="Oka-0813-2707-1646"/>
    <x v="157"/>
    <d v="1900-01-14T07:00:00"/>
    <s v="GCI Procurement"/>
    <x v="1"/>
    <x v="15"/>
    <s v="GCI1003"/>
    <s v="Pcs"/>
    <n v="125"/>
    <n v="0"/>
    <x v="17"/>
    <n v="0"/>
    <n v="0"/>
    <m/>
    <m/>
    <m/>
    <m/>
    <m/>
    <m/>
    <x v="2"/>
    <n v="0"/>
    <e v="#N/A"/>
    <e v="#N/A"/>
    <s v="OUTBOUND_"/>
  </r>
  <r>
    <s v="1062"/>
    <m/>
    <x v="1"/>
    <s v="OUB-W0012405-335"/>
    <s v="EJ-Malang-01"/>
    <s v="Oka-0813-2707-1646"/>
    <x v="157"/>
    <d v="1899-12-30T10:43:00"/>
    <s v="EJ-MALANG-01"/>
    <x v="1"/>
    <x v="15"/>
    <s v="GCI1003"/>
    <s v="Pcs"/>
    <n v="100"/>
    <s v="MF51-02"/>
    <x v="57"/>
    <m/>
    <m/>
    <m/>
    <s v="Riki Romansyah"/>
    <s v="Febby Supplier"/>
    <s v="3507050501950006"/>
    <s v="N 8420 EL"/>
    <m/>
    <x v="2"/>
    <s v="HUBFEEDER DALISODO"/>
    <e v="#N/A"/>
    <e v="#N/A"/>
    <s v="OUTBOUND_"/>
  </r>
  <r>
    <s v="1063"/>
    <m/>
    <x v="0"/>
    <s v="INB-W0012405-337"/>
    <s v="EJ-Malang-01"/>
    <s v="Oka-0813-2707-1646"/>
    <x v="157"/>
    <d v="1900-01-14T07:00:00"/>
    <s v="GCI Procurement"/>
    <x v="1"/>
    <x v="16"/>
    <s v="GCI1004"/>
    <s v="Pcs"/>
    <n v="35"/>
    <n v="0"/>
    <x v="17"/>
    <n v="0"/>
    <n v="0"/>
    <m/>
    <m/>
    <m/>
    <m/>
    <m/>
    <m/>
    <x v="2"/>
    <n v="0"/>
    <e v="#N/A"/>
    <e v="#N/A"/>
    <s v="OUTBOUND_"/>
  </r>
  <r>
    <s v="1064"/>
    <m/>
    <x v="0"/>
    <s v="INB-W0012405-337"/>
    <s v="EJ-Malang-01"/>
    <s v="Oka-0813-2707-1646"/>
    <x v="157"/>
    <d v="1900-01-14T07:00:00"/>
    <s v="GCI Procurement"/>
    <x v="1"/>
    <x v="16"/>
    <s v="GCI1004"/>
    <s v="Pcs"/>
    <n v="52"/>
    <n v="0"/>
    <x v="17"/>
    <n v="0"/>
    <n v="0"/>
    <m/>
    <m/>
    <m/>
    <m/>
    <m/>
    <m/>
    <x v="2"/>
    <n v="0"/>
    <e v="#N/A"/>
    <e v="#N/A"/>
    <s v="OUTBOUND_"/>
  </r>
  <r>
    <s v="1065"/>
    <m/>
    <x v="1"/>
    <s v="OUB-W0012405-335"/>
    <s v="EJ-Malang-01"/>
    <s v="Oka-0813-2707-1646"/>
    <x v="157"/>
    <d v="1899-12-30T10:43:00"/>
    <s v="EJ-MALANG-01"/>
    <x v="1"/>
    <x v="16"/>
    <s v="GCI1004"/>
    <s v="Pcs"/>
    <n v="100"/>
    <s v="MF51-02"/>
    <x v="57"/>
    <m/>
    <m/>
    <m/>
    <s v="Riki Romansyah"/>
    <s v="Febby Supplier"/>
    <s v="3507050501950006"/>
    <s v="N 8420 EL"/>
    <m/>
    <x v="2"/>
    <s v="HUBFEEDER DALISODO"/>
    <e v="#N/A"/>
    <e v="#N/A"/>
    <s v="OUTBOUND_"/>
  </r>
  <r>
    <s v="1066"/>
    <m/>
    <x v="3"/>
    <s v="TFO-W0012405-338"/>
    <s v="EJ-Malang-01"/>
    <s v="Oka-0813-2707-1646"/>
    <x v="158"/>
    <d v="1899-12-30T17:21:00"/>
    <s v="EJ-GRESIK-01"/>
    <x v="0"/>
    <x v="2"/>
    <s v="ZTE2008"/>
    <s v="Pcs"/>
    <n v="12"/>
    <n v="0"/>
    <x v="10"/>
    <m/>
    <m/>
    <m/>
    <s v="Munip"/>
    <n v="0"/>
    <s v="3509090107770266"/>
    <s v="L 1962 QM"/>
    <s v="to Gresik"/>
    <x v="2"/>
    <s v="Transfer Gudang"/>
    <e v="#N/A"/>
    <e v="#N/A"/>
    <s v="TRANSFER OUT_"/>
  </r>
  <r>
    <s v="1067"/>
    <m/>
    <x v="0"/>
    <s v="INB-W0012405-339"/>
    <s v="EJ-Malang-01"/>
    <s v="Oka-0813-2707-1646"/>
    <x v="159"/>
    <d v="1900-01-14T07:00:00"/>
    <s v="ZTE Warehouse"/>
    <x v="0"/>
    <x v="0"/>
    <s v="ZTE2001"/>
    <s v="Meter"/>
    <n v="3000"/>
    <s v="CLR51-99-086"/>
    <x v="58"/>
    <s v="DOEID240517C6"/>
    <s v="DNWID0342024051708"/>
    <m/>
    <m/>
    <m/>
    <m/>
    <m/>
    <m/>
    <x v="47"/>
    <s v="Klampok RW 01 Singosari"/>
    <d v="2024-05-20T00:00:00"/>
    <b v="1"/>
    <s v="OUTBOUND_H-ADSS 24C-2024520-01"/>
  </r>
  <r>
    <s v="1068"/>
    <m/>
    <x v="0"/>
    <s v="INB-W0012405-339"/>
    <s v="EJ-Malang-01"/>
    <s v="Oka-0813-2707-1646"/>
    <x v="159"/>
    <d v="1900-01-14T07:00:00"/>
    <s v="ZTE Warehouse"/>
    <x v="0"/>
    <x v="0"/>
    <s v="ZTE2001"/>
    <s v="Meter"/>
    <n v="3000"/>
    <s v="CLR51-99-087"/>
    <x v="59"/>
    <s v="DOEID240517DK"/>
    <s v="DNWID0342024051713"/>
    <m/>
    <m/>
    <m/>
    <m/>
    <m/>
    <m/>
    <x v="48"/>
    <s v="Lawang RW 06 Malang"/>
    <d v="2024-05-20T00:00:00"/>
    <b v="1"/>
    <s v="OUTBOUND_H-ADSS 24C-2024520-02"/>
  </r>
  <r>
    <s v="1069"/>
    <m/>
    <x v="1"/>
    <s v="OUB-W0012405-340"/>
    <s v="EJ-Malang-01"/>
    <s v="Oka-0813-2707-1646"/>
    <x v="159"/>
    <d v="1899-12-30T09:33:00"/>
    <s v="EJ-MALANG-01"/>
    <x v="1"/>
    <x v="10"/>
    <s v="GCI1009"/>
    <s v="Pcs"/>
    <n v="40"/>
    <s v="CLR51-99-087"/>
    <x v="59"/>
    <m/>
    <m/>
    <m/>
    <s v="Riki Romansyah"/>
    <s v="Febby Supplier"/>
    <s v="3507050501950006"/>
    <s v="N 8420 EL"/>
    <m/>
    <x v="2"/>
    <s v="Lawang RW 06 Malang"/>
    <e v="#N/A"/>
    <e v="#N/A"/>
    <s v="OUTBOUND_"/>
  </r>
  <r>
    <s v="1070"/>
    <m/>
    <x v="3"/>
    <s v="TFO-W0012405-341"/>
    <s v="EJ-Malang-01"/>
    <s v="Oka-0813-2707-1646"/>
    <x v="159"/>
    <d v="1899-12-30T17:21:00"/>
    <s v="EJ-MADIUN-01"/>
    <x v="0"/>
    <x v="2"/>
    <s v="ZTE2008"/>
    <s v="Pcs"/>
    <n v="6"/>
    <n v="0"/>
    <x v="10"/>
    <m/>
    <m/>
    <m/>
    <s v="Munip"/>
    <n v="0"/>
    <s v="3509090107770266"/>
    <s v="L 1962 QM"/>
    <s v="to Mediun"/>
    <x v="2"/>
    <s v="Transfer Gudang"/>
    <e v="#N/A"/>
    <e v="#N/A"/>
    <s v="TRANSFER OUT_"/>
  </r>
  <r>
    <s v="1071"/>
    <m/>
    <x v="1"/>
    <s v="OUB-W0012405-340"/>
    <s v="EJ-Malang-01"/>
    <s v="Oka-0813-2707-1646"/>
    <x v="159"/>
    <d v="1899-12-30T09:33:00"/>
    <s v="EJ-MALANG-01"/>
    <x v="1"/>
    <x v="11"/>
    <s v="GCI1002"/>
    <s v="Pcs"/>
    <n v="1"/>
    <s v="CLR51-99-087"/>
    <x v="59"/>
    <m/>
    <m/>
    <m/>
    <s v="Riki Romansyah"/>
    <s v="Febby Supplier"/>
    <s v="3507050501950006"/>
    <s v="N 8420 EL"/>
    <m/>
    <x v="2"/>
    <s v="Lawang RW 06 Malang"/>
    <e v="#N/A"/>
    <e v="#N/A"/>
    <s v="OUTBOUND_"/>
  </r>
  <r>
    <s v="1072"/>
    <m/>
    <x v="1"/>
    <s v="OUB-W0012405-340"/>
    <s v="EJ-Malang-01"/>
    <s v="Oka-0813-2707-1646"/>
    <x v="159"/>
    <d v="1899-12-30T09:33:00"/>
    <s v="EJ-MALANG-01"/>
    <x v="0"/>
    <x v="5"/>
    <s v="ZTE1001"/>
    <s v="Pcs"/>
    <n v="23"/>
    <s v="CLR51-99-087"/>
    <x v="59"/>
    <m/>
    <m/>
    <m/>
    <s v="Riki Romansyah"/>
    <n v="0"/>
    <s v="3507050501950006"/>
    <s v="N 8420 EL"/>
    <m/>
    <x v="2"/>
    <s v="Lawang RW 06 Malang"/>
    <e v="#N/A"/>
    <e v="#N/A"/>
    <s v="OUTBOUND_"/>
  </r>
  <r>
    <s v="1073"/>
    <m/>
    <x v="1"/>
    <s v="OUB-W0012405-340"/>
    <s v="EJ-Malang-01"/>
    <s v="Oka-0813-2707-1646"/>
    <x v="159"/>
    <d v="1899-12-30T09:33:00"/>
    <s v="EJ-MALANG-01"/>
    <x v="1"/>
    <x v="12"/>
    <s v="GCI1008"/>
    <s v="Pcs"/>
    <n v="50"/>
    <s v="CLR51-99-087"/>
    <x v="59"/>
    <m/>
    <m/>
    <m/>
    <s v="Riki Romansyah"/>
    <s v="Febby Supplier"/>
    <s v="3507050501950006"/>
    <s v="N 8420 EL"/>
    <m/>
    <x v="2"/>
    <s v="Lawang RW 06 Malang"/>
    <e v="#N/A"/>
    <e v="#N/A"/>
    <s v="OUTBOUND_"/>
  </r>
  <r>
    <s v="1074"/>
    <m/>
    <x v="1"/>
    <s v="OUB-W0012405-345"/>
    <s v="EJ-Malang-01"/>
    <s v="Oka-0813-2707-1646"/>
    <x v="160"/>
    <d v="1899-12-30T09:03:00"/>
    <s v="EJ-MALANG-01"/>
    <x v="0"/>
    <x v="0"/>
    <s v="ZTE2001"/>
    <s v="Meter"/>
    <n v="4000"/>
    <s v="CLR51-99-087"/>
    <x v="59"/>
    <m/>
    <m/>
    <m/>
    <s v="Riki Romansyah"/>
    <s v="Febby Supplier"/>
    <s v="3507050501950006"/>
    <s v="N 8420 EL"/>
    <s v="dari hasbel fh (4000-1950) sisa 2050"/>
    <x v="45"/>
    <s v="Lawang RW 06 Malang"/>
    <e v="#N/A"/>
    <e v="#N/A"/>
    <s v="OUTBOUND_H-ADSS 24C-2024419-01"/>
  </r>
  <r>
    <s v="1075"/>
    <m/>
    <x v="2"/>
    <s v="TFI-W0012405-342"/>
    <s v="EJ-Malang-01"/>
    <s v="Oka-0813-2707-1646"/>
    <x v="160"/>
    <d v="1900-01-14T07:00:00"/>
    <s v="ZTE Warehouse"/>
    <x v="0"/>
    <x v="1"/>
    <s v="ZTE2003"/>
    <s v="Meter"/>
    <n v="3000"/>
    <s v="TRF"/>
    <x v="17"/>
    <n v="0"/>
    <s v="TRANSFER GUDANG"/>
    <m/>
    <m/>
    <m/>
    <m/>
    <m/>
    <m/>
    <x v="49"/>
    <n v="0"/>
    <e v="#N/A"/>
    <e v="#N/A"/>
    <s v="OUTBOUND_H-ADSS 48C-2024521-01"/>
  </r>
  <r>
    <s v="1076"/>
    <m/>
    <x v="2"/>
    <s v="TFI-W0012405-344"/>
    <s v="EJ-Malang-01"/>
    <s v="Oka-0813-2707-1646"/>
    <x v="160"/>
    <d v="1900-01-14T07:00:00"/>
    <s v="ZTE Warehouse"/>
    <x v="0"/>
    <x v="28"/>
    <s v="ZTE2010"/>
    <s v="Pcs"/>
    <n v="9"/>
    <s v="TRF"/>
    <x v="17"/>
    <n v="0"/>
    <n v="0"/>
    <m/>
    <m/>
    <m/>
    <m/>
    <m/>
    <s v="TRANSFER GUDANG"/>
    <x v="2"/>
    <n v="0"/>
    <e v="#N/A"/>
    <e v="#N/A"/>
    <s v="OUTBOUND_"/>
  </r>
  <r>
    <s v="1077"/>
    <m/>
    <x v="1"/>
    <s v="OUB-W0012405-343"/>
    <s v="EJ-Malang-01"/>
    <s v="Oka-0813-2707-1646"/>
    <x v="160"/>
    <d v="1899-12-30T09:03:00"/>
    <s v="EJ-MALANG-01"/>
    <x v="1"/>
    <x v="9"/>
    <s v="GCI1001"/>
    <s v="Pcs"/>
    <n v="6"/>
    <s v="CLR51-99-087"/>
    <x v="59"/>
    <m/>
    <m/>
    <m/>
    <s v="Riki Romansyah"/>
    <s v="Febby Supplier"/>
    <s v="3507050501950006"/>
    <s v="N 8420 EL"/>
    <m/>
    <x v="2"/>
    <s v="Lawang RW 06 Malang"/>
    <e v="#N/A"/>
    <e v="#N/A"/>
    <s v="OUTBOUND_"/>
  </r>
  <r>
    <s v="1078"/>
    <m/>
    <x v="0"/>
    <s v="INB-W0012405-344"/>
    <s v="EJ-Malang-01"/>
    <s v="Oka-0813-2707-1646"/>
    <x v="160"/>
    <d v="1900-01-14T07:00:00"/>
    <s v="ZTE Warehouse"/>
    <x v="0"/>
    <x v="2"/>
    <s v="ZTE2008"/>
    <s v="Pcs"/>
    <n v="47"/>
    <m/>
    <x v="28"/>
    <n v="0"/>
    <n v="0"/>
    <m/>
    <m/>
    <m/>
    <m/>
    <m/>
    <m/>
    <x v="2"/>
    <n v="0"/>
    <e v="#N/A"/>
    <e v="#N/A"/>
    <s v="OUTBOUND_"/>
  </r>
  <r>
    <s v="1079"/>
    <m/>
    <x v="0"/>
    <s v="INB-W0012405-344"/>
    <s v="EJ-Malang-01"/>
    <s v="Oka-0813-2707-1646"/>
    <x v="160"/>
    <d v="1900-01-14T07:00:00"/>
    <s v="ZTE Warehouse"/>
    <x v="0"/>
    <x v="3"/>
    <s v="ZTE2005"/>
    <s v="Pcs"/>
    <n v="4"/>
    <m/>
    <x v="28"/>
    <n v="0"/>
    <n v="0"/>
    <m/>
    <m/>
    <m/>
    <m/>
    <m/>
    <m/>
    <x v="2"/>
    <n v="0"/>
    <e v="#N/A"/>
    <e v="#N/A"/>
    <s v="OUTBOUND_"/>
  </r>
  <r>
    <s v="1080"/>
    <m/>
    <x v="0"/>
    <s v="INB-W0012405-344"/>
    <s v="EJ-Malang-01"/>
    <s v="Oka-0813-2707-1646"/>
    <x v="160"/>
    <d v="1900-01-14T07:00:00"/>
    <s v="ZTE Warehouse"/>
    <x v="0"/>
    <x v="20"/>
    <s v="ZTE1004"/>
    <s v="Pcs"/>
    <n v="1"/>
    <m/>
    <x v="28"/>
    <n v="0"/>
    <n v="0"/>
    <m/>
    <m/>
    <m/>
    <m/>
    <m/>
    <m/>
    <x v="2"/>
    <n v="0"/>
    <e v="#N/A"/>
    <e v="#N/A"/>
    <s v="OUTBOUND_"/>
  </r>
  <r>
    <s v="1081"/>
    <m/>
    <x v="0"/>
    <s v="INB-W0012405-344"/>
    <s v="EJ-Malang-01"/>
    <s v="Oka-0813-2707-1646"/>
    <x v="160"/>
    <d v="1900-01-14T07:00:00"/>
    <s v="ZTE Warehouse"/>
    <x v="0"/>
    <x v="4"/>
    <s v="ZTE1002"/>
    <s v="Pcs"/>
    <n v="7"/>
    <m/>
    <x v="28"/>
    <n v="0"/>
    <n v="0"/>
    <m/>
    <m/>
    <m/>
    <m/>
    <m/>
    <m/>
    <x v="2"/>
    <n v="0"/>
    <e v="#N/A"/>
    <e v="#N/A"/>
    <s v="OUTBOUND_"/>
  </r>
  <r>
    <s v="1082"/>
    <m/>
    <x v="1"/>
    <s v="OUB-W0012405-343"/>
    <s v="EJ-Malang-01"/>
    <s v="Oka-0813-2707-1646"/>
    <x v="160"/>
    <d v="1899-12-30T09:03:00"/>
    <s v="EJ-MALANG-01"/>
    <x v="0"/>
    <x v="4"/>
    <s v="ZTE1002"/>
    <s v="Pcs"/>
    <n v="5"/>
    <s v="CLR51-99-087"/>
    <x v="59"/>
    <m/>
    <m/>
    <m/>
    <s v="Riki Romansyah"/>
    <n v="0"/>
    <s v="3507050501950006"/>
    <s v="N 8420 EL"/>
    <m/>
    <x v="2"/>
    <s v="Lawang RW 06 Malang"/>
    <e v="#N/A"/>
    <e v="#N/A"/>
    <s v="OUTBOUND_"/>
  </r>
  <r>
    <s v="1083"/>
    <m/>
    <x v="0"/>
    <s v="INB-W0012405-344"/>
    <s v="EJ-Malang-01"/>
    <s v="Oka-0813-2707-1646"/>
    <x v="160"/>
    <d v="1900-01-14T07:00:00"/>
    <s v="ZTE Warehouse"/>
    <x v="0"/>
    <x v="5"/>
    <s v="ZTE1001"/>
    <s v="Pcs"/>
    <n v="246"/>
    <m/>
    <x v="28"/>
    <n v="0"/>
    <n v="0"/>
    <m/>
    <m/>
    <m/>
    <m/>
    <m/>
    <m/>
    <x v="2"/>
    <n v="0"/>
    <e v="#N/A"/>
    <e v="#N/A"/>
    <s v="OUTBOUND_"/>
  </r>
  <r>
    <s v="1084"/>
    <m/>
    <x v="1"/>
    <s v="OUB-W0012405-343"/>
    <s v="EJ-Malang-01"/>
    <s v="Oka-0813-2707-1646"/>
    <x v="160"/>
    <d v="1899-12-30T09:03:00"/>
    <s v="EJ-MALANG-01"/>
    <x v="0"/>
    <x v="5"/>
    <s v="ZTE1001"/>
    <s v="Pcs"/>
    <n v="12"/>
    <s v="CLR51-99-087"/>
    <x v="59"/>
    <m/>
    <m/>
    <m/>
    <s v="Riki Romansyah"/>
    <n v="0"/>
    <s v="3507050501950006"/>
    <s v="N 8420 EL"/>
    <m/>
    <x v="2"/>
    <s v="Lawang RW 06 Malang"/>
    <e v="#N/A"/>
    <e v="#N/A"/>
    <s v="OUTBOUND_"/>
  </r>
  <r>
    <s v="1085"/>
    <m/>
    <x v="1"/>
    <s v="OUB-W0012405-343"/>
    <s v="EJ-Malang-01"/>
    <s v="Oka-0813-2707-1646"/>
    <x v="160"/>
    <d v="1899-12-30T09:03:00"/>
    <s v="EJ-MALANG-01"/>
    <x v="0"/>
    <x v="19"/>
    <s v="ZTE1003"/>
    <s v="Pcs"/>
    <n v="2"/>
    <s v="CLR51-99-087"/>
    <x v="59"/>
    <m/>
    <m/>
    <m/>
    <s v="Riki Romansyah"/>
    <s v="Febby Supplier"/>
    <s v="3507050501950006"/>
    <s v="N 8420 EL"/>
    <m/>
    <x v="2"/>
    <s v="Lawang RW 06 Malang"/>
    <e v="#N/A"/>
    <e v="#N/A"/>
    <s v="OUTBOUND_"/>
  </r>
  <r>
    <s v="1086"/>
    <m/>
    <x v="1"/>
    <s v="OUB-W0012405-346"/>
    <s v="EJ-Malang-01"/>
    <s v="Oka-0813-2707-1646"/>
    <x v="161"/>
    <d v="1899-12-30T09:24:00"/>
    <s v="EJ-MALANG-01"/>
    <x v="1"/>
    <x v="9"/>
    <s v="GCI1001"/>
    <s v="Pcs"/>
    <n v="18"/>
    <s v="CLR51-99-095"/>
    <x v="60"/>
    <m/>
    <m/>
    <m/>
    <s v="Riki Romansyah"/>
    <s v="Febby Supplier"/>
    <s v="3507050501950006"/>
    <s v="N 8420 EL"/>
    <m/>
    <x v="2"/>
    <s v="Candirenggo RW 10 Singosari"/>
    <e v="#N/A"/>
    <e v="#N/A"/>
    <s v="OUTBOUND_"/>
  </r>
  <r>
    <s v="1087"/>
    <m/>
    <x v="1"/>
    <s v="OUB-W0012405-346"/>
    <s v="EJ-Malang-01"/>
    <s v="Oka-0813-2707-1646"/>
    <x v="161"/>
    <d v="1899-12-30T09:24:00"/>
    <s v="EJ-MALANG-01"/>
    <x v="1"/>
    <x v="10"/>
    <s v="GCI1009"/>
    <s v="Pcs"/>
    <n v="70"/>
    <s v="CLR51-99-095"/>
    <x v="60"/>
    <m/>
    <m/>
    <m/>
    <s v="Riki Romansyah"/>
    <s v="Febby Supplier"/>
    <s v="3507050501950006"/>
    <s v="N 8420 EL"/>
    <m/>
    <x v="2"/>
    <s v="Candirenggo RW 10 Singosari"/>
    <e v="#N/A"/>
    <e v="#N/A"/>
    <s v="OUTBOUND_"/>
  </r>
  <r>
    <s v="1088"/>
    <m/>
    <x v="0"/>
    <s v="INB-W0012405-347"/>
    <s v="EJ-Malang-01"/>
    <s v="Oka-0813-2707-1646"/>
    <x v="161"/>
    <d v="1900-01-14T07:00:00"/>
    <s v="FIELD TEAM"/>
    <x v="0"/>
    <x v="5"/>
    <s v="ZTE1001"/>
    <s v="Pcs"/>
    <n v="8"/>
    <m/>
    <x v="28"/>
    <n v="0"/>
    <s v="TRANSFER GUDANG"/>
    <m/>
    <m/>
    <m/>
    <m/>
    <m/>
    <s v="gagal pasang, comcase"/>
    <x v="2"/>
    <n v="0"/>
    <e v="#N/A"/>
    <e v="#N/A"/>
    <s v="OUTBOUND_"/>
  </r>
  <r>
    <s v="1089"/>
    <m/>
    <x v="1"/>
    <s v="OUB-W0012405-346"/>
    <s v="EJ-Malang-01"/>
    <s v="Oka-0813-2707-1646"/>
    <x v="161"/>
    <d v="1899-12-30T09:24:00"/>
    <s v="EJ-MALANG-01"/>
    <x v="0"/>
    <x v="5"/>
    <s v="ZTE1001"/>
    <s v="Pcs"/>
    <n v="21"/>
    <s v="CLR51-99-095"/>
    <x v="60"/>
    <m/>
    <m/>
    <m/>
    <s v="Riki Romansyah"/>
    <s v="Febby Supplier"/>
    <s v="3507050501950006"/>
    <s v="N 8420 EL"/>
    <m/>
    <x v="2"/>
    <s v="Candirenggo RW 10 Singosari"/>
    <e v="#N/A"/>
    <e v="#N/A"/>
    <s v="OUTBOUND_"/>
  </r>
  <r>
    <s v="1090"/>
    <m/>
    <x v="1"/>
    <s v="OUB-W0012405-346"/>
    <s v="EJ-Malang-01"/>
    <s v="Oka-0813-2707-1646"/>
    <x v="161"/>
    <d v="1899-12-30T09:24:00"/>
    <s v="EJ-MALANG-01"/>
    <x v="1"/>
    <x v="12"/>
    <s v="GCI1008"/>
    <s v="Pcs"/>
    <n v="34"/>
    <s v="CLR51-99-095"/>
    <x v="60"/>
    <m/>
    <m/>
    <m/>
    <s v="Riki Romansyah"/>
    <s v="Febby Supplier"/>
    <s v="3507050501950006"/>
    <s v="N 8420 EL"/>
    <m/>
    <x v="2"/>
    <s v="Candirenggo RW 10 Singosari"/>
    <e v="#N/A"/>
    <e v="#N/A"/>
    <s v="OUTBOUND_"/>
  </r>
  <r>
    <s v="1091"/>
    <m/>
    <x v="1"/>
    <s v="OUB-W0012405-346"/>
    <s v="EJ-Malang-01"/>
    <s v="Oka-0813-2707-1646"/>
    <x v="161"/>
    <d v="1899-12-30T09:24:00"/>
    <s v="EJ-MALANG-01"/>
    <x v="1"/>
    <x v="16"/>
    <s v="GCI1004"/>
    <s v="Pcs"/>
    <n v="20"/>
    <s v="CLR51-99-095"/>
    <x v="60"/>
    <m/>
    <m/>
    <m/>
    <s v="Riki Romansyah"/>
    <s v="Febby Supplier"/>
    <s v="3507050501950006"/>
    <s v="N 8420 EL"/>
    <m/>
    <x v="2"/>
    <s v="Candirenggo RW 10 Singosari"/>
    <e v="#N/A"/>
    <e v="#N/A"/>
    <s v="OUTBOUND_"/>
  </r>
  <r>
    <s v="1092"/>
    <m/>
    <x v="1"/>
    <s v="OUB-W0012405-348"/>
    <s v="EJ-Malang-01"/>
    <s v="Oka-0813-2707-1646"/>
    <x v="162"/>
    <d v="1899-12-30T11:22:00"/>
    <s v="EJ-MALANG-01"/>
    <x v="0"/>
    <x v="28"/>
    <s v="ZTE2010"/>
    <s v="Pcs"/>
    <n v="2"/>
    <s v="CLR51-99-087"/>
    <x v="59"/>
    <m/>
    <m/>
    <m/>
    <s v="Fatur"/>
    <n v="0"/>
    <s v="3515082712870005"/>
    <s v="W 1130 NQ"/>
    <m/>
    <x v="2"/>
    <s v="Lawang RW 06 Malang"/>
    <e v="#N/A"/>
    <e v="#N/A"/>
    <s v="OUTBOUND_"/>
  </r>
  <r>
    <s v="1093"/>
    <m/>
    <x v="1"/>
    <s v="OUB-W0012405-348"/>
    <s v="EJ-Malang-01"/>
    <s v="Oka-0813-2707-1646"/>
    <x v="162"/>
    <d v="1899-12-30T11:22:00"/>
    <s v="EJ-MALANG-01"/>
    <x v="0"/>
    <x v="2"/>
    <s v="ZTE2008"/>
    <s v="Pcs"/>
    <n v="10"/>
    <s v="CLR51-99-087"/>
    <x v="59"/>
    <m/>
    <m/>
    <m/>
    <s v="Fatur"/>
    <n v="0"/>
    <s v="3515082712870005"/>
    <s v="W 1130 NQ"/>
    <m/>
    <x v="2"/>
    <s v="Lawang RW 06 Malang"/>
    <e v="#N/A"/>
    <e v="#N/A"/>
    <s v="OUTBOUND_"/>
  </r>
  <r>
    <s v="1094"/>
    <m/>
    <x v="1"/>
    <s v="OUB-W0012405-348"/>
    <s v="EJ-Malang-01"/>
    <s v="Oka-0813-2707-1646"/>
    <x v="162"/>
    <d v="1899-12-30T11:22:00"/>
    <s v="EJ-MALANG-01"/>
    <x v="0"/>
    <x v="3"/>
    <s v="ZTE2005"/>
    <s v="Pcs"/>
    <n v="1"/>
    <s v="CLR51-99-087"/>
    <x v="59"/>
    <m/>
    <m/>
    <m/>
    <s v="Fatur"/>
    <n v="0"/>
    <s v="3515082712870005"/>
    <s v="W 1130 NQ"/>
    <m/>
    <x v="2"/>
    <s v="Lawang RW 06 Malang"/>
    <e v="#N/A"/>
    <e v="#N/A"/>
    <s v="OUTBOUND_"/>
  </r>
  <r>
    <s v="1095"/>
    <m/>
    <x v="1"/>
    <s v="OUB-W0012405-348"/>
    <s v="EJ-Malang-01"/>
    <s v="Oka-0813-2707-1646"/>
    <x v="162"/>
    <d v="1899-12-30T11:22:00"/>
    <s v="EJ-MALANG-01"/>
    <x v="0"/>
    <x v="20"/>
    <s v="ZTE1004"/>
    <s v="Pcs"/>
    <n v="1"/>
    <s v="CLR51-99-087"/>
    <x v="59"/>
    <m/>
    <m/>
    <m/>
    <s v="Fatur"/>
    <n v="0"/>
    <s v="3515082712870005"/>
    <s v="W 1130 NQ"/>
    <m/>
    <x v="2"/>
    <s v="Lawang RW 06 Malang"/>
    <e v="#N/A"/>
    <e v="#N/A"/>
    <s v="OUTBOUND_"/>
  </r>
  <r>
    <s v="1096"/>
    <m/>
    <x v="1"/>
    <s v="OUB-W0012405-349"/>
    <s v="EJ-Malang-01"/>
    <s v="Oka-0813-2707-1646"/>
    <x v="163"/>
    <d v="1899-12-30T10:45:00"/>
    <s v="EJ-MALANG-01"/>
    <x v="0"/>
    <x v="5"/>
    <s v="ZTE1001"/>
    <s v="Pcs"/>
    <n v="21"/>
    <s v="CLR51-99-099"/>
    <x v="61"/>
    <m/>
    <m/>
    <m/>
    <s v="Riki Romansyah"/>
    <s v="Febby Supplier"/>
    <s v="3507050501950006"/>
    <s v="N 8420 EL"/>
    <m/>
    <x v="2"/>
    <s v="Dusun Klaseman Kucur"/>
    <e v="#N/A"/>
    <e v="#N/A"/>
    <s v="OUTBOUND_"/>
  </r>
  <r>
    <s v="1097"/>
    <m/>
    <x v="1"/>
    <s v="OUB-W0012405-355"/>
    <s v="EJ-Malang-01"/>
    <s v="Oka-0813-2707-1646"/>
    <x v="164"/>
    <d v="1899-12-30T09:40:00"/>
    <s v="EJ-MALANG-01"/>
    <x v="0"/>
    <x v="0"/>
    <s v="ZTE2001"/>
    <s v="Meter"/>
    <n v="3000"/>
    <s v="CLR51-99-099"/>
    <x v="61"/>
    <m/>
    <m/>
    <m/>
    <s v="Riki Romansyah"/>
    <s v="Febby Supplier"/>
    <s v="3507050501950006"/>
    <s v="N 8420 EL"/>
    <s v="line A 1000, line B 2000"/>
    <x v="2"/>
    <s v="Dusun Klaseman Kucur"/>
    <e v="#N/A"/>
    <e v="#N/A"/>
    <s v="OUTBOUND_"/>
  </r>
  <r>
    <s v="1098"/>
    <m/>
    <x v="1"/>
    <s v="OUB-W0012405-351"/>
    <s v="EJ-Malang-01"/>
    <s v="Oka-0813-2707-1646"/>
    <x v="164"/>
    <d v="1899-12-30T11:22:00"/>
    <s v="EJ-MALANG-01"/>
    <x v="0"/>
    <x v="28"/>
    <s v="ZTE2010"/>
    <s v="Pcs"/>
    <n v="2"/>
    <s v="CLR51-99-099"/>
    <x v="61"/>
    <m/>
    <m/>
    <m/>
    <s v="Fatur"/>
    <n v="0"/>
    <s v="3515082712870005"/>
    <s v="W 1130 NQ"/>
    <m/>
    <x v="2"/>
    <s v="Dusun Klaseman Kucur"/>
    <e v="#N/A"/>
    <e v="#N/A"/>
    <s v="OUTBOUND_"/>
  </r>
  <r>
    <s v="1099"/>
    <m/>
    <x v="1"/>
    <s v="OUB-W0012405-350"/>
    <s v="EJ-Malang-01"/>
    <s v="Oka-0813-2707-1646"/>
    <x v="164"/>
    <d v="1899-12-30T09:40:00"/>
    <s v="EJ-MALANG-01"/>
    <x v="1"/>
    <x v="10"/>
    <s v="GCI1009"/>
    <s v="Pcs"/>
    <n v="162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00"/>
    <m/>
    <x v="1"/>
    <s v="OUB-W0012405-351"/>
    <s v="EJ-Malang-01"/>
    <s v="Oka-0813-2707-1646"/>
    <x v="164"/>
    <d v="1899-12-30T11:22:00"/>
    <s v="EJ-MALANG-01"/>
    <x v="0"/>
    <x v="2"/>
    <s v="ZTE2008"/>
    <s v="Pcs"/>
    <n v="14"/>
    <s v="CLR51-99-099"/>
    <x v="61"/>
    <m/>
    <m/>
    <m/>
    <s v="Fatur"/>
    <n v="0"/>
    <s v="3515082712870005"/>
    <s v="W 1130 NQ"/>
    <m/>
    <x v="2"/>
    <s v="Dusun Klaseman Kucur"/>
    <e v="#N/A"/>
    <e v="#N/A"/>
    <s v="OUTBOUND_"/>
  </r>
  <r>
    <s v="1101"/>
    <m/>
    <x v="1"/>
    <s v="OUB-W0012405-351"/>
    <s v="EJ-Malang-01"/>
    <s v="Oka-0813-2707-1646"/>
    <x v="164"/>
    <d v="1899-12-30T11:22:00"/>
    <s v="EJ-MALANG-01"/>
    <x v="0"/>
    <x v="3"/>
    <s v="ZTE2005"/>
    <s v="Pcs"/>
    <n v="1"/>
    <s v="CLR51-99-099"/>
    <x v="61"/>
    <m/>
    <m/>
    <m/>
    <s v="Fatur"/>
    <n v="0"/>
    <s v="3515082712870005"/>
    <s v="W 1130 NQ"/>
    <m/>
    <x v="2"/>
    <s v="Dusun Klaseman Kucur"/>
    <e v="#N/A"/>
    <e v="#N/A"/>
    <s v="OUTBOUND_"/>
  </r>
  <r>
    <s v="1102"/>
    <m/>
    <x v="1"/>
    <s v="OUB-W0012405-351"/>
    <s v="EJ-Malang-01"/>
    <s v="Oka-0813-2707-1646"/>
    <x v="164"/>
    <d v="1899-12-30T11:22:00"/>
    <s v="EJ-MALANG-01"/>
    <x v="0"/>
    <x v="20"/>
    <s v="ZTE1004"/>
    <s v="Pcs"/>
    <n v="1"/>
    <s v="CLR51-99-099"/>
    <x v="61"/>
    <m/>
    <m/>
    <m/>
    <s v="Fatur"/>
    <n v="0"/>
    <s v="3515082712870005"/>
    <s v="W 1130 NQ"/>
    <m/>
    <x v="2"/>
    <s v="Dusun Klaseman Kucur"/>
    <e v="#N/A"/>
    <e v="#N/A"/>
    <s v="OUTBOUND_"/>
  </r>
  <r>
    <s v="1103"/>
    <m/>
    <x v="1"/>
    <s v="OUB-W0012405-350"/>
    <s v="EJ-Malang-01"/>
    <s v="Oka-0813-2707-1646"/>
    <x v="164"/>
    <d v="1899-12-30T09:40:00"/>
    <s v="EJ-MALANG-01"/>
    <x v="1"/>
    <x v="11"/>
    <s v="GCI1002"/>
    <s v="Pcs"/>
    <n v="1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04"/>
    <m/>
    <x v="1"/>
    <s v="OUB-W0012405-352"/>
    <s v="EJ-Malang-01"/>
    <s v="Oka-0813-2707-1646"/>
    <x v="164"/>
    <d v="1899-12-30T17:05:00"/>
    <s v="EJ-MALANG-01"/>
    <x v="0"/>
    <x v="4"/>
    <s v="ZTE1002"/>
    <s v="Pcs"/>
    <n v="24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05"/>
    <m/>
    <x v="1"/>
    <s v="OUB-W0012405-353"/>
    <s v="EJ-Malang-01"/>
    <s v="Oka-0813-2707-1646"/>
    <x v="164"/>
    <d v="1899-12-30T18:00:00"/>
    <s v="EJ-MALANG-01"/>
    <x v="0"/>
    <x v="5"/>
    <s v="ZTE1001"/>
    <s v="Pcs"/>
    <n v="2"/>
    <s v="CLR51-99-097"/>
    <x v="62"/>
    <m/>
    <m/>
    <m/>
    <s v="Agus Oka"/>
    <n v="0"/>
    <n v="0"/>
    <n v="0"/>
    <s v="Broken move to left over"/>
    <x v="2"/>
    <s v="Dusun Krajan Kucur"/>
    <e v="#N/A"/>
    <e v="#N/A"/>
    <s v="OUTBOUND_"/>
  </r>
  <r>
    <s v="1106"/>
    <m/>
    <x v="1"/>
    <s v="OUB-W0012405-352"/>
    <s v="EJ-Malang-01"/>
    <s v="Oka-0813-2707-1646"/>
    <x v="164"/>
    <d v="1899-12-30T17:05:00"/>
    <s v="EJ-MALANG-01"/>
    <x v="0"/>
    <x v="5"/>
    <s v="ZTE1001"/>
    <s v="Pcs"/>
    <n v="82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07"/>
    <m/>
    <x v="1"/>
    <s v="OUB-W0012405-350"/>
    <s v="EJ-Malang-01"/>
    <s v="Oka-0813-2707-1646"/>
    <x v="164"/>
    <d v="1899-12-30T09:40:00"/>
    <s v="EJ-MALANG-01"/>
    <x v="0"/>
    <x v="5"/>
    <s v="ZTE1001"/>
    <s v="Pcs"/>
    <n v="131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08"/>
    <m/>
    <x v="1"/>
    <s v="OUB-W0012405-350"/>
    <s v="EJ-Malang-01"/>
    <s v="Oka-0813-2707-1646"/>
    <x v="164"/>
    <d v="1899-12-30T09:40:00"/>
    <s v="EJ-MALANG-01"/>
    <x v="1"/>
    <x v="12"/>
    <s v="GCI1008"/>
    <s v="Pcs"/>
    <n v="60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09"/>
    <m/>
    <x v="1"/>
    <s v="OUB-W0012405-350"/>
    <s v="EJ-Malang-01"/>
    <s v="Oka-0813-2707-1646"/>
    <x v="164"/>
    <d v="1899-12-30T09:40:00"/>
    <s v="EJ-MALANG-01"/>
    <x v="1"/>
    <x v="15"/>
    <s v="GCI1003"/>
    <s v="Pcs"/>
    <n v="100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10"/>
    <m/>
    <x v="1"/>
    <s v="OUB-W0012405-350"/>
    <s v="EJ-Malang-01"/>
    <s v="Oka-0813-2707-1646"/>
    <x v="164"/>
    <d v="1899-12-30T09:40:00"/>
    <s v="EJ-MALANG-01"/>
    <x v="1"/>
    <x v="16"/>
    <s v="GCI1004"/>
    <s v="Pcs"/>
    <n v="64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11"/>
    <m/>
    <x v="1"/>
    <s v="OUB-W0012405-356"/>
    <s v="EJ-Malang-01"/>
    <s v="Oka-0813-2707-1646"/>
    <x v="165"/>
    <d v="1899-12-30T19:00:00"/>
    <s v="EJ-MALANG-01"/>
    <x v="0"/>
    <x v="0"/>
    <s v="ZTE2001"/>
    <s v="Meter"/>
    <n v="3000"/>
    <s v="CLR51-99-097"/>
    <x v="62"/>
    <m/>
    <m/>
    <m/>
    <s v="Riki Romansyah"/>
    <s v="Febby Supplier"/>
    <s v="3507050501950006"/>
    <s v="N 8420 EL"/>
    <s v="Line A Krajan"/>
    <x v="2"/>
    <s v="Dusun Krajan Kucur"/>
    <e v="#N/A"/>
    <e v="#N/A"/>
    <s v="OUTBOUND_"/>
  </r>
  <r>
    <s v="1112"/>
    <m/>
    <x v="1"/>
    <s v="OUB-W0012405-356"/>
    <s v="EJ-Malang-01"/>
    <s v="Oka-0813-2707-1646"/>
    <x v="165"/>
    <d v="1899-12-30T19:00:00"/>
    <s v="EJ-MALANG-01"/>
    <x v="0"/>
    <x v="1"/>
    <s v="ZTE2003"/>
    <s v="Meter"/>
    <n v="3000"/>
    <s v="CLR51-99-097"/>
    <x v="63"/>
    <m/>
    <m/>
    <m/>
    <s v="Riki Romansyah"/>
    <s v="Febby Supplier"/>
    <s v="3507050501950006"/>
    <s v="N 8420 EL"/>
    <s v="sf ketohan 600, sf sumerbedno 2400"/>
    <x v="2"/>
    <s v="Dusun Sumber Bendo Kucur"/>
    <e v="#N/A"/>
    <e v="#N/A"/>
    <s v="OUTBOUND_"/>
  </r>
  <r>
    <s v="1113"/>
    <m/>
    <x v="1"/>
    <s v="OUB-W0012405-356"/>
    <s v="EJ-Malang-01"/>
    <s v="Oka-0813-2707-1646"/>
    <x v="165"/>
    <d v="1899-12-30T19:00:00"/>
    <s v="EJ-MALANG-01"/>
    <x v="0"/>
    <x v="1"/>
    <s v="ZTE2003"/>
    <s v="Meter"/>
    <n v="3000"/>
    <s v="CLR51-99-097"/>
    <x v="62"/>
    <m/>
    <m/>
    <m/>
    <s v="Riki Romansyah"/>
    <s v="Febby Supplier"/>
    <s v="3507050501950006"/>
    <s v="N 8420 EL"/>
    <s v="sf klampok (1000), SF krajan  (1600) Sisa 400"/>
    <x v="2"/>
    <s v="Dusun Krajan Kucur"/>
    <e v="#N/A"/>
    <e v="#N/A"/>
    <s v="OUTBOUND_"/>
  </r>
  <r>
    <s v="1114"/>
    <m/>
    <x v="1"/>
    <s v="OUB-W0012405-357"/>
    <s v="EJ-Malang-01"/>
    <s v="Oka-0813-2707-1646"/>
    <x v="166"/>
    <d v="1899-12-30T12:45:00"/>
    <s v="EJ-MALANG-01"/>
    <x v="0"/>
    <x v="28"/>
    <s v="ZTE2010"/>
    <s v="Pcs"/>
    <n v="2"/>
    <s v="CLR51-99-097"/>
    <x v="62"/>
    <m/>
    <m/>
    <m/>
    <s v="Fahrudin"/>
    <s v="Febby Supplier"/>
    <s v="3507131605830004"/>
    <s v="N 1383 G"/>
    <m/>
    <x v="2"/>
    <s v="Dusun Krajan Kucur"/>
    <e v="#N/A"/>
    <e v="#N/A"/>
    <s v="OUTBOUND_"/>
  </r>
  <r>
    <s v="1115"/>
    <m/>
    <x v="1"/>
    <s v="OUB-W0012405-357"/>
    <s v="EJ-Malang-01"/>
    <s v="Oka-0813-2707-1646"/>
    <x v="166"/>
    <d v="1899-12-30T12:45:00"/>
    <s v="EJ-MALANG-01"/>
    <x v="0"/>
    <x v="2"/>
    <s v="ZTE2008"/>
    <s v="Pcs"/>
    <n v="15"/>
    <s v="CLR51-99-097"/>
    <x v="62"/>
    <m/>
    <m/>
    <m/>
    <s v="Fahrudin"/>
    <s v="Febby Supplier"/>
    <s v="3507131605830004"/>
    <s v="N 1383 G"/>
    <m/>
    <x v="2"/>
    <s v="Dusun Krajan Kucur"/>
    <e v="#N/A"/>
    <e v="#N/A"/>
    <s v="OUTBOUND_"/>
  </r>
  <r>
    <s v="1116"/>
    <m/>
    <x v="1"/>
    <s v="OUB-W0012405-357"/>
    <s v="EJ-Malang-01"/>
    <s v="Oka-0813-2707-1646"/>
    <x v="166"/>
    <d v="1899-12-30T12:45:00"/>
    <s v="EJ-MALANG-01"/>
    <x v="0"/>
    <x v="3"/>
    <s v="ZTE2005"/>
    <s v="Pcs"/>
    <n v="1"/>
    <s v="CLR51-99-097"/>
    <x v="62"/>
    <m/>
    <m/>
    <m/>
    <s v="Fahrudin"/>
    <s v="Febby Supplier"/>
    <s v="3507131605830004"/>
    <s v="N 1383 G"/>
    <m/>
    <x v="2"/>
    <s v="Dusun Krajan Kucur"/>
    <e v="#N/A"/>
    <e v="#N/A"/>
    <s v="OUTBOUND_"/>
  </r>
  <r>
    <s v="1117"/>
    <m/>
    <x v="1"/>
    <s v="OUB-W0012405-357"/>
    <s v="EJ-Malang-01"/>
    <s v="Oka-0813-2707-1646"/>
    <x v="166"/>
    <d v="1899-12-30T12:45:00"/>
    <s v="EJ-MALANG-01"/>
    <x v="0"/>
    <x v="20"/>
    <s v="ZTE1004"/>
    <s v="Pcs"/>
    <n v="3"/>
    <s v="CLR51-99-097"/>
    <x v="62"/>
    <m/>
    <m/>
    <m/>
    <s v="Fahrudin"/>
    <s v="Febby Supplier"/>
    <s v="3507131605830004"/>
    <s v="N 1383 G"/>
    <m/>
    <x v="2"/>
    <s v="Dusun Krajan Kucur"/>
    <e v="#N/A"/>
    <e v="#N/A"/>
    <s v="OUTBOUND_"/>
  </r>
  <r>
    <s v="1118"/>
    <m/>
    <x v="1"/>
    <s v="OUB-W0012405-358"/>
    <s v="EJ-Malang-01"/>
    <s v="Oka-0813-2707-1646"/>
    <x v="167"/>
    <d v="1899-12-30T12:09:00"/>
    <s v="EJ-MALANG-01"/>
    <x v="1"/>
    <x v="9"/>
    <s v="GCI1001"/>
    <s v="Pcs"/>
    <n v="25"/>
    <s v="CLR51-99-097"/>
    <x v="62"/>
    <m/>
    <m/>
    <m/>
    <s v="Fatur"/>
    <n v="0"/>
    <s v="3515082712870005"/>
    <s v="W 1130 NQ"/>
    <m/>
    <x v="2"/>
    <s v="Dusun Krajan Kucur"/>
    <e v="#N/A"/>
    <e v="#N/A"/>
    <s v="OUTBOUND_"/>
  </r>
  <r>
    <s v="1119"/>
    <m/>
    <x v="1"/>
    <s v="OUB-W0012405-359"/>
    <s v="EJ-Malang-01"/>
    <s v="Oka-0813-2707-1646"/>
    <x v="168"/>
    <d v="1899-12-30T11:30:00"/>
    <s v="EJ-MALANG-01"/>
    <x v="0"/>
    <x v="0"/>
    <s v="ZTE2001"/>
    <s v="Meter"/>
    <n v="3000"/>
    <s v="CLR51-99-098"/>
    <x v="64"/>
    <m/>
    <m/>
    <m/>
    <s v="Riki Romansyah"/>
    <s v="Febby Supplier"/>
    <s v="3507050501950006"/>
    <s v="N 8420 EL"/>
    <s v="Ketohan 1100, Godehan 1050, sisa 850"/>
    <x v="2"/>
    <s v="Dusun Ketohan Kucur"/>
    <e v="#N/A"/>
    <e v="#N/A"/>
    <s v="OUTBOUND_"/>
  </r>
  <r>
    <s v="1120"/>
    <m/>
    <x v="1"/>
    <s v="OUB-W0012405-359"/>
    <s v="EJ-Malang-01"/>
    <s v="Oka-0813-2707-1646"/>
    <x v="168"/>
    <d v="1899-12-30T11:30:00"/>
    <s v="EJ-MALANG-01"/>
    <x v="0"/>
    <x v="1"/>
    <s v="ZTE2003"/>
    <s v="Meter"/>
    <n v="3000"/>
    <s v="CLR51-02-014"/>
    <x v="65"/>
    <m/>
    <m/>
    <m/>
    <s v="Riki Romansyah"/>
    <s v="Febby Supplier"/>
    <s v="3507050501950006"/>
    <s v="N 8420 EL"/>
    <s v="Cluster klampok 17fat 2750, sisa 250"/>
    <x v="2"/>
    <s v="Dusun Klampok Kucur"/>
    <e v="#N/A"/>
    <e v="#N/A"/>
    <s v="OUTBOUND_"/>
  </r>
  <r>
    <s v="1121"/>
    <m/>
    <x v="3"/>
    <s v="TFO-W0012405-359"/>
    <s v="EJ-Malang-01"/>
    <s v="Oka-0813-2707-1646"/>
    <x v="168"/>
    <d v="1899-12-30T11:30:00"/>
    <s v="EJ-MALANG-01"/>
    <x v="0"/>
    <x v="28"/>
    <s v="ZTE2010"/>
    <s v="Pcs"/>
    <n v="2"/>
    <s v="TRF"/>
    <x v="10"/>
    <m/>
    <m/>
    <m/>
    <s v="Riki Romansyah"/>
    <s v="Febby Supplier"/>
    <s v="3507050501950006"/>
    <s v="N 8420 EL"/>
    <s v="Transfer"/>
    <x v="2"/>
    <s v="Transfer Gudang"/>
    <e v="#N/A"/>
    <e v="#N/A"/>
    <s v="TRANSFER OUT_"/>
  </r>
  <r>
    <s v="1122"/>
    <m/>
    <x v="1"/>
    <s v="OUB-W0012405-359"/>
    <s v="EJ-Malang-01"/>
    <s v="Oka-0813-2707-1646"/>
    <x v="168"/>
    <d v="1899-12-30T11:30:00"/>
    <s v="EJ-MALANG-01"/>
    <x v="1"/>
    <x v="9"/>
    <s v="GCI1001"/>
    <s v="Pcs"/>
    <n v="10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23"/>
    <m/>
    <x v="1"/>
    <s v="OUB-W0012405-359"/>
    <s v="EJ-Malang-01"/>
    <s v="Oka-0813-2707-1646"/>
    <x v="168"/>
    <d v="1899-12-30T11:30:00"/>
    <s v="EJ-MALANG-01"/>
    <x v="1"/>
    <x v="10"/>
    <s v="GCI1009"/>
    <s v="Pcs"/>
    <n v="73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24"/>
    <m/>
    <x v="1"/>
    <s v="OUB-W0012405-359"/>
    <s v="EJ-Malang-01"/>
    <s v="Oka-0813-2707-1646"/>
    <x v="168"/>
    <d v="1899-12-30T11:30:00"/>
    <s v="EJ-MALANG-01"/>
    <x v="0"/>
    <x v="2"/>
    <s v="ZTE2008"/>
    <s v="Pcs"/>
    <n v="5"/>
    <s v="CLR51-03-014"/>
    <x v="66"/>
    <m/>
    <m/>
    <m/>
    <s v="Riki Romansyah"/>
    <s v="Febby Supplier"/>
    <s v="3507050501950006"/>
    <s v="N 8420 EL"/>
    <m/>
    <x v="2"/>
    <s v="Dusun Godehan RW 10 Kucur"/>
    <e v="#N/A"/>
    <e v="#N/A"/>
    <s v="OUTBOUND_"/>
  </r>
  <r>
    <s v="1125"/>
    <m/>
    <x v="1"/>
    <s v="OUB-W0012405-359"/>
    <s v="EJ-Malang-01"/>
    <s v="Oka-0813-2707-1646"/>
    <x v="168"/>
    <d v="1899-12-30T11:30:00"/>
    <s v="EJ-MALANG-01"/>
    <x v="0"/>
    <x v="2"/>
    <s v="ZTE2008"/>
    <s v="Pcs"/>
    <n v="5"/>
    <s v="CLR51-99-098"/>
    <x v="64"/>
    <m/>
    <m/>
    <m/>
    <s v="Riki Romansyah"/>
    <s v="Febby Supplier"/>
    <s v="3507050501950006"/>
    <s v="N 8420 EL"/>
    <m/>
    <x v="2"/>
    <s v="Dusun Ketohan Kucur"/>
    <e v="#N/A"/>
    <e v="#N/A"/>
    <s v="OUTBOUND_"/>
  </r>
  <r>
    <s v="1126"/>
    <m/>
    <x v="1"/>
    <s v="OUB-W0012405-359"/>
    <s v="EJ-Malang-01"/>
    <s v="Oka-0813-2707-1646"/>
    <x v="168"/>
    <d v="1899-12-30T11:30:00"/>
    <s v="EJ-MALANG-01"/>
    <x v="0"/>
    <x v="3"/>
    <s v="ZTE2005"/>
    <s v="Pcs"/>
    <n v="1"/>
    <s v="CLR51-99-098"/>
    <x v="64"/>
    <m/>
    <m/>
    <m/>
    <s v="Riki Romansyah"/>
    <s v="Febby Supplier"/>
    <s v="3507050501950006"/>
    <s v="N 8420 EL"/>
    <m/>
    <x v="2"/>
    <s v="Dusun Ketohan Kucur"/>
    <e v="#N/A"/>
    <e v="#N/A"/>
    <s v="OUTBOUND_"/>
  </r>
  <r>
    <s v="1127"/>
    <m/>
    <x v="1"/>
    <s v="OUB-W0012405-359"/>
    <s v="EJ-Malang-01"/>
    <s v="Oka-0813-2707-1646"/>
    <x v="168"/>
    <d v="1899-12-30T11:30:00"/>
    <s v="EJ-MALANG-01"/>
    <x v="1"/>
    <x v="11"/>
    <s v="GCI1002"/>
    <s v="Pcs"/>
    <n v="2"/>
    <s v="CLR51-99-098"/>
    <x v="64"/>
    <m/>
    <m/>
    <m/>
    <s v="Riki Romansyah"/>
    <s v="Febby Supplier"/>
    <s v="3507050501950006"/>
    <s v="N 8420 EL"/>
    <m/>
    <x v="2"/>
    <s v="Dusun Ketohan Kucur"/>
    <e v="#N/A"/>
    <e v="#N/A"/>
    <s v="OUTBOUND_"/>
  </r>
  <r>
    <s v="1128"/>
    <m/>
    <x v="1"/>
    <s v="OUB-W0012405-359"/>
    <s v="EJ-Malang-01"/>
    <s v="Oka-0813-2707-1646"/>
    <x v="168"/>
    <d v="1899-12-30T11:30:00"/>
    <s v="EJ-MALANG-01"/>
    <x v="1"/>
    <x v="12"/>
    <s v="GCI1008"/>
    <s v="Pcs"/>
    <n v="21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29"/>
    <m/>
    <x v="1"/>
    <s v="OUB-W0012405-359"/>
    <s v="EJ-Malang-01"/>
    <s v="Oka-0813-2707-1646"/>
    <x v="168"/>
    <d v="1899-12-30T11:30:00"/>
    <s v="EJ-MALANG-01"/>
    <x v="1"/>
    <x v="15"/>
    <s v="GCI1003"/>
    <s v="Pcs"/>
    <n v="200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30"/>
    <m/>
    <x v="1"/>
    <s v="OUB-W0012405-359"/>
    <s v="EJ-Malang-01"/>
    <s v="Oka-0813-2707-1646"/>
    <x v="168"/>
    <d v="1899-12-30T11:30:00"/>
    <s v="EJ-MALANG-01"/>
    <x v="1"/>
    <x v="16"/>
    <s v="GCI1004"/>
    <s v="Pcs"/>
    <n v="52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31"/>
    <m/>
    <x v="0"/>
    <s v="INB-W0012406-360"/>
    <s v="EJ-Malang-01"/>
    <s v="Oka-0813-2707-1646"/>
    <x v="169"/>
    <d v="1900-01-14T07:00:00"/>
    <s v="ZTE Warehouse"/>
    <x v="0"/>
    <x v="1"/>
    <s v="ZTE2003"/>
    <s v="Meter"/>
    <n v="3000"/>
    <s v="CLR51-02-014"/>
    <x v="65"/>
    <s v="DOEID24053159"/>
    <s v="DNWID0342024053102"/>
    <m/>
    <m/>
    <m/>
    <m/>
    <m/>
    <m/>
    <x v="50"/>
    <s v="Dusun Klampok Kucur"/>
    <d v="2024-05-31T00:00:00"/>
    <b v="1"/>
    <s v="OUTBOUND_H-ADSS 48C-202461-01"/>
  </r>
  <r>
    <s v="1132"/>
    <m/>
    <x v="0"/>
    <s v="INB-W0012406-360"/>
    <s v="EJ-Malang-01"/>
    <s v="Oka-0813-2707-1646"/>
    <x v="169"/>
    <d v="1900-01-14T07:00:00"/>
    <s v="ZTE Warehouse"/>
    <x v="0"/>
    <x v="1"/>
    <s v="ZTE2003"/>
    <s v="Meter"/>
    <n v="3000"/>
    <s v="CLR51-02-014"/>
    <x v="65"/>
    <s v="DOEID24053159"/>
    <s v="DNWID0342024053102"/>
    <m/>
    <m/>
    <m/>
    <m/>
    <m/>
    <m/>
    <x v="51"/>
    <s v="Dusun Klampok Kucur"/>
    <d v="2024-05-31T00:00:00"/>
    <b v="1"/>
    <s v="OUTBOUND_H-ADSS 48C-202461-02"/>
  </r>
  <r>
    <s v="1133"/>
    <m/>
    <x v="0"/>
    <s v="INB-W0012406-360"/>
    <s v="EJ-Malang-01"/>
    <s v="Oka-0813-2707-1646"/>
    <x v="169"/>
    <d v="1900-01-14T07:00:00"/>
    <s v="ZTE Warehouse"/>
    <x v="0"/>
    <x v="5"/>
    <s v="ZTE1001"/>
    <s v="Pcs"/>
    <n v="285"/>
    <s v="CLR51-02-014"/>
    <x v="65"/>
    <s v="DOEID24053158"/>
    <s v="DNWID0362024053104"/>
    <m/>
    <m/>
    <m/>
    <m/>
    <m/>
    <m/>
    <x v="2"/>
    <s v="Dusun Klampok Kucur"/>
    <d v="2024-05-31T00:00:00"/>
    <b v="1"/>
    <s v="OUTBOUND_"/>
  </r>
  <r>
    <s v="1134"/>
    <m/>
    <x v="2"/>
    <s v="TFI-W0012406-360"/>
    <s v="EJ-Malang-01"/>
    <s v="Oka-0813-2707-1646"/>
    <x v="170"/>
    <d v="1900-01-14T07:00:00"/>
    <s v="ZTE Warehouse"/>
    <x v="0"/>
    <x v="1"/>
    <s v="ZTE2003"/>
    <s v="Meter"/>
    <n v="3000"/>
    <s v="CLR51-02-014"/>
    <x v="65"/>
    <n v="0"/>
    <s v="TRANSFER GUDANG"/>
    <m/>
    <m/>
    <m/>
    <m/>
    <m/>
    <m/>
    <x v="52"/>
    <s v="Dusun Klampok Kucur"/>
    <e v="#N/A"/>
    <e v="#N/A"/>
    <s v="OUTBOUND_H-ADSS 48C-202461-03"/>
  </r>
  <r>
    <s v="1135"/>
    <m/>
    <x v="1"/>
    <s v="OUB-W0012406-361"/>
    <s v="EJ-Malang-01"/>
    <s v="Oka-0813-2707-1646"/>
    <x v="171"/>
    <d v="1899-12-30T10:08:00"/>
    <s v="EJ-MALANG-01"/>
    <x v="1"/>
    <x v="8"/>
    <s v="GCI1005"/>
    <s v="Pcs"/>
    <n v="100"/>
    <s v="CLR51-99-095"/>
    <x v="60"/>
    <m/>
    <m/>
    <m/>
    <s v="Riki Romansyah"/>
    <s v="Febby Supplier"/>
    <s v="3507050501950006"/>
    <s v="N 8420 EL"/>
    <m/>
    <x v="2"/>
    <s v="Candirenggo RW 10 Singosari"/>
    <e v="#N/A"/>
    <e v="#N/A"/>
    <s v="OUTBOUND_"/>
  </r>
  <r>
    <s v="1136"/>
    <m/>
    <x v="1"/>
    <s v="OUB-W0012406-361"/>
    <s v="EJ-Malang-01"/>
    <s v="Oka-0813-2707-1646"/>
    <x v="171"/>
    <d v="1899-12-30T10:08:00"/>
    <s v="EJ-MALANG-01"/>
    <x v="0"/>
    <x v="4"/>
    <s v="ZTE1002"/>
    <s v="Pcs"/>
    <n v="1"/>
    <s v="CLR51-99-095"/>
    <x v="60"/>
    <m/>
    <m/>
    <m/>
    <s v="Riki Romansyah"/>
    <s v="Febby Supplier"/>
    <s v="3507050501950006"/>
    <s v="N 8420 EL"/>
    <m/>
    <x v="2"/>
    <s v="Candirenggo RW 10 Singosari"/>
    <e v="#N/A"/>
    <e v="#N/A"/>
    <s v="OUTBOUND_"/>
  </r>
  <r>
    <s v="1137"/>
    <m/>
    <x v="1"/>
    <s v="OUB-W0012406-361"/>
    <s v="EJ-Malang-01"/>
    <s v="Oka-0813-2707-1646"/>
    <x v="171"/>
    <d v="1899-12-30T10:08:00"/>
    <s v="EJ-MALANG-01"/>
    <x v="1"/>
    <x v="12"/>
    <s v="GCI1008"/>
    <s v="Pcs"/>
    <n v="13"/>
    <s v="CLR51-99-095"/>
    <x v="60"/>
    <m/>
    <m/>
    <m/>
    <s v="Riki Romansyah"/>
    <s v="Febby Supplier"/>
    <s v="3507050501950006"/>
    <s v="N 8420 EL"/>
    <m/>
    <x v="2"/>
    <s v="Candirenggo RW 10 Singosari"/>
    <e v="#N/A"/>
    <e v="#N/A"/>
    <s v="OUTBOUND_"/>
  </r>
  <r>
    <s v="1138"/>
    <m/>
    <x v="0"/>
    <s v="INB-W0012406-362"/>
    <s v="EJ-Malang-01"/>
    <s v="Oka-0813-2707-1646"/>
    <x v="172"/>
    <d v="1900-01-14T07:00:00"/>
    <s v="GCI Procurement"/>
    <x v="1"/>
    <x v="9"/>
    <s v="GCI1001"/>
    <s v="Pcs"/>
    <n v="58"/>
    <n v="0"/>
    <x v="17"/>
    <n v="0"/>
    <n v="0"/>
    <m/>
    <m/>
    <m/>
    <m/>
    <m/>
    <m/>
    <x v="2"/>
    <n v="0"/>
    <e v="#N/A"/>
    <e v="#N/A"/>
    <s v="OUTBOUND_"/>
  </r>
  <r>
    <s v="1139"/>
    <m/>
    <x v="0"/>
    <s v="INB-W0012406-362"/>
    <s v="EJ-Malang-01"/>
    <s v="Oka-0813-2707-1646"/>
    <x v="172"/>
    <d v="1900-01-14T07:00:00"/>
    <s v="GCI Procurement"/>
    <x v="1"/>
    <x v="10"/>
    <s v="GCI1009"/>
    <s v="Pcs"/>
    <n v="202"/>
    <n v="0"/>
    <x v="17"/>
    <n v="0"/>
    <n v="0"/>
    <m/>
    <m/>
    <m/>
    <m/>
    <m/>
    <m/>
    <x v="2"/>
    <n v="0"/>
    <e v="#N/A"/>
    <e v="#N/A"/>
    <s v="OUTBOUND_"/>
  </r>
  <r>
    <s v="1140"/>
    <m/>
    <x v="0"/>
    <s v="INB-W0012406-362"/>
    <s v="EJ-Malang-01"/>
    <s v="Oka-0813-2707-1646"/>
    <x v="172"/>
    <d v="1900-01-14T07:00:00"/>
    <s v="GCI Procurement"/>
    <x v="1"/>
    <x v="11"/>
    <s v="GCI1002"/>
    <s v="Pcs"/>
    <n v="5"/>
    <n v="0"/>
    <x v="17"/>
    <n v="0"/>
    <n v="0"/>
    <m/>
    <m/>
    <m/>
    <m/>
    <m/>
    <m/>
    <x v="2"/>
    <n v="0"/>
    <e v="#N/A"/>
    <e v="#N/A"/>
    <s v="OUTBOUND_"/>
  </r>
  <r>
    <s v="1141"/>
    <m/>
    <x v="0"/>
    <s v="INB-W0012406-363"/>
    <s v="EJ-Malang-01"/>
    <s v="Oka-0813-2707-1646"/>
    <x v="173"/>
    <d v="1900-01-14T07:00:00"/>
    <s v="ZTE Warehouse"/>
    <x v="0"/>
    <x v="0"/>
    <s v="ZTE2001"/>
    <s v="Meter"/>
    <n v="3000"/>
    <s v="CLR51-03-014"/>
    <x v="66"/>
    <m/>
    <m/>
    <m/>
    <m/>
    <m/>
    <m/>
    <m/>
    <m/>
    <x v="53"/>
    <s v="Dusun Godehan RW 10 Kucur"/>
    <e v="#N/A"/>
    <e v="#N/A"/>
    <s v="OUTBOUND_H-ADSS 24C-202465-01"/>
  </r>
  <r>
    <s v="1142"/>
    <m/>
    <x v="0"/>
    <s v="INB-W0012406-363"/>
    <s v="EJ-Malang-01"/>
    <s v="Oka-0813-2707-1646"/>
    <x v="173"/>
    <d v="1900-01-14T07:00:00"/>
    <s v="ZTE Warehouse"/>
    <x v="0"/>
    <x v="0"/>
    <s v="ZTE2001"/>
    <s v="Meter"/>
    <n v="3000"/>
    <s v="CLR51-03-014"/>
    <x v="66"/>
    <m/>
    <m/>
    <m/>
    <m/>
    <m/>
    <m/>
    <m/>
    <m/>
    <x v="54"/>
    <s v="Dusun Godehan RW 10 Kucur"/>
    <e v="#N/A"/>
    <e v="#N/A"/>
    <s v="OUTBOUND_H-ADSS 24C-202465-02"/>
  </r>
  <r>
    <s v="1143"/>
    <m/>
    <x v="1"/>
    <s v="OUB-W0012406-368"/>
    <s v="EJ-Malang-01"/>
    <s v="Oka-0813-2707-1646"/>
    <x v="173"/>
    <d v="1899-12-30T17:51:00"/>
    <s v="EJ-MALANG-01"/>
    <x v="0"/>
    <x v="0"/>
    <s v="ZTE2001"/>
    <s v="Meter"/>
    <n v="3000"/>
    <s v="CLR51-02-015"/>
    <x v="63"/>
    <m/>
    <m/>
    <m/>
    <s v="Riki Romansyah"/>
    <s v="Febby Supplier"/>
    <s v="3507050501950006"/>
    <s v="N 9068 EC"/>
    <m/>
    <x v="2"/>
    <s v="Dusun Sumber Bendo Kucur"/>
    <e v="#N/A"/>
    <e v="#N/A"/>
    <s v="OUTBOUND_"/>
  </r>
  <r>
    <s v="1144"/>
    <m/>
    <x v="1"/>
    <s v="OUB-W0012406-368"/>
    <s v="EJ-Malang-01"/>
    <s v="Oka-0813-2707-1646"/>
    <x v="173"/>
    <d v="1899-12-30T17:51:00"/>
    <s v="EJ-MALANG-01"/>
    <x v="0"/>
    <x v="0"/>
    <s v="ZTE2001"/>
    <s v="Meter"/>
    <n v="3000"/>
    <s v="CLR51-99-096"/>
    <x v="67"/>
    <m/>
    <m/>
    <m/>
    <s v="Riki Romansyah"/>
    <s v="Febby Supplier"/>
    <s v="3507050501950006"/>
    <s v="N 9068 EC"/>
    <m/>
    <x v="2"/>
    <s v="Dusun Turi Kucur"/>
    <e v="#N/A"/>
    <e v="#N/A"/>
    <s v="OUTBOUND_"/>
  </r>
  <r>
    <s v="1145"/>
    <m/>
    <x v="5"/>
    <s v="BOO-W0012406-366"/>
    <s v="EJ-Malang-01"/>
    <s v="Oka-0813-2707-1646"/>
    <x v="173"/>
    <d v="1899-12-30T17:51:00"/>
    <s v="Other Subcon"/>
    <x v="0"/>
    <x v="1"/>
    <s v="ZTE2003"/>
    <s v="Meter"/>
    <n v="3000"/>
    <s v="BR005"/>
    <x v="21"/>
    <m/>
    <m/>
    <m/>
    <s v="Riki Romansyah"/>
    <s v="Febby Supplier"/>
    <s v="3507050501950006"/>
    <s v="N 9068 EC"/>
    <s v="TO MORASHA"/>
    <x v="2"/>
    <s v="MORASHA"/>
    <e v="#N/A"/>
    <e v="#N/A"/>
    <s v="BORROW OUT_"/>
  </r>
  <r>
    <s v="1146"/>
    <m/>
    <x v="5"/>
    <s v="BOO-W0012406-366"/>
    <s v="EJ-Malang-01"/>
    <s v="Oka-0813-2707-1646"/>
    <x v="173"/>
    <d v="1899-12-30T17:51:00"/>
    <s v="Other Subcon"/>
    <x v="0"/>
    <x v="1"/>
    <s v="ZTE2003"/>
    <s v="Meter"/>
    <n v="3000"/>
    <s v="BR005"/>
    <x v="21"/>
    <m/>
    <m/>
    <m/>
    <s v="Riki Romansyah"/>
    <s v="Febby Supplier"/>
    <s v="3507050501950006"/>
    <s v="N 9068 EC"/>
    <s v="TO MORASHA"/>
    <x v="2"/>
    <s v="MORASHA"/>
    <e v="#N/A"/>
    <e v="#N/A"/>
    <s v="BORROW OUT_"/>
  </r>
  <r>
    <s v="1147"/>
    <m/>
    <x v="2"/>
    <s v="TFI-W0012406-367"/>
    <s v="EJ-Malang-01"/>
    <s v="Oka-0813-2707-1646"/>
    <x v="173"/>
    <d v="1900-01-14T07:00:00"/>
    <s v="ZTE Warehouse"/>
    <x v="0"/>
    <x v="2"/>
    <s v="ZTE2008"/>
    <s v="Pcs"/>
    <n v="36"/>
    <s v="CLR51-02-015"/>
    <x v="63"/>
    <n v="0"/>
    <s v="TRANSFER GUDANG"/>
    <m/>
    <m/>
    <m/>
    <m/>
    <m/>
    <m/>
    <x v="2"/>
    <s v="Dusun Sumber Bendo Kucur"/>
    <e v="#N/A"/>
    <e v="#N/A"/>
    <s v="OUTBOUND_"/>
  </r>
  <r>
    <s v="1148"/>
    <m/>
    <x v="0"/>
    <s v="INB-W0012406-367"/>
    <s v="EJ-Malang-01"/>
    <s v="Oka-0813-2707-1646"/>
    <x v="173"/>
    <d v="1900-01-14T07:00:00"/>
    <s v="ZTE Warehouse"/>
    <x v="0"/>
    <x v="3"/>
    <s v="ZTE2005"/>
    <s v="Pcs"/>
    <n v="4"/>
    <s v="CLR51-02-014"/>
    <x v="65"/>
    <s v="DOEID24060449"/>
    <s v="DNWID0342024060430"/>
    <m/>
    <m/>
    <m/>
    <m/>
    <m/>
    <m/>
    <x v="2"/>
    <s v="Dusun Klampok Kucur"/>
    <d v="2024-06-05T00:00:00"/>
    <b v="1"/>
    <s v="OUTBOUND_"/>
  </r>
  <r>
    <s v="1149"/>
    <m/>
    <x v="0"/>
    <s v="INB-W0012406-367"/>
    <s v="EJ-Malang-01"/>
    <s v="Oka-0813-2707-1646"/>
    <x v="173"/>
    <d v="1900-01-14T07:00:00"/>
    <s v="ZTE Warehouse"/>
    <x v="0"/>
    <x v="20"/>
    <s v="ZTE1004"/>
    <s v="Pcs"/>
    <n v="3"/>
    <s v="CLR51-02-014"/>
    <x v="65"/>
    <m/>
    <m/>
    <m/>
    <m/>
    <m/>
    <m/>
    <m/>
    <m/>
    <x v="2"/>
    <s v="Dusun Klampok Kucur"/>
    <e v="#N/A"/>
    <e v="#N/A"/>
    <s v="OUTBOUND_"/>
  </r>
  <r>
    <s v="1150"/>
    <m/>
    <x v="1"/>
    <s v="OUB-W0012406-364"/>
    <s v="EJ-Malang-01"/>
    <s v="Oka-0813-2707-1646"/>
    <x v="173"/>
    <d v="1899-12-30T09:24:00"/>
    <s v="EJ-MALANG-01"/>
    <x v="0"/>
    <x v="5"/>
    <s v="ZTE1001"/>
    <s v="Pcs"/>
    <n v="4"/>
    <s v="CLR51-99-095"/>
    <x v="60"/>
    <m/>
    <m/>
    <m/>
    <s v="Riki Romansyah"/>
    <s v="Febby Supplier"/>
    <s v="3507050501950006"/>
    <s v="N 9068 EC"/>
    <m/>
    <x v="2"/>
    <s v="Candirenggo RW 10 Singosari"/>
    <e v="#N/A"/>
    <e v="#N/A"/>
    <s v="OUTBOUND_"/>
  </r>
  <r>
    <s v="1151"/>
    <m/>
    <x v="1"/>
    <s v="OUB-W0012406-364"/>
    <s v="EJ-Malang-01"/>
    <s v="Oka-0813-2707-1646"/>
    <x v="173"/>
    <d v="1899-12-30T09:24:00"/>
    <s v="EJ-MALANG-01"/>
    <x v="0"/>
    <x v="5"/>
    <s v="ZTE1001"/>
    <s v="Pcs"/>
    <n v="21"/>
    <s v="CLR51-02-015"/>
    <x v="63"/>
    <m/>
    <m/>
    <m/>
    <s v="Riki Romansyah"/>
    <s v="Febby Supplier"/>
    <s v="3507050501950006"/>
    <s v="N 9068 EC"/>
    <m/>
    <x v="2"/>
    <s v="Dusun Sumber Bendo Kucur"/>
    <e v="#N/A"/>
    <e v="#N/A"/>
    <s v="OUTBOUND_"/>
  </r>
  <r>
    <s v="1152"/>
    <m/>
    <x v="1"/>
    <s v="OUB-W0012406-366"/>
    <s v="EJ-Malang-01"/>
    <s v="Oka-0813-2707-1646"/>
    <x v="173"/>
    <d v="1899-12-30T17:51:00"/>
    <s v="EJ-MALANG-01"/>
    <x v="0"/>
    <x v="5"/>
    <s v="ZTE1001"/>
    <s v="Pcs"/>
    <n v="21"/>
    <s v="CLR51-02-015"/>
    <x v="63"/>
    <m/>
    <m/>
    <m/>
    <s v="Riki Romansyah"/>
    <s v="Febby Supplier"/>
    <s v="3507050501950006"/>
    <s v="N 9068 EC"/>
    <m/>
    <x v="2"/>
    <s v="Dusun Sumber Bendo Kucur"/>
    <e v="#N/A"/>
    <e v="#N/A"/>
    <s v="OUTBOUND_"/>
  </r>
  <r>
    <s v="1153"/>
    <m/>
    <x v="1"/>
    <s v="OUB-W0012406-365"/>
    <s v="EJ-Malang-01"/>
    <s v="Oka-0813-2707-1646"/>
    <x v="173"/>
    <d v="1899-12-30T11:59:00"/>
    <s v="EJ-MALANG-01"/>
    <x v="0"/>
    <x v="5"/>
    <s v="ZTE1001"/>
    <s v="Pcs"/>
    <n v="23"/>
    <s v="CLR51-02-015"/>
    <x v="63"/>
    <m/>
    <m/>
    <m/>
    <s v="Riki Romansyah"/>
    <s v="Febby Supplier"/>
    <s v="3507050501950006"/>
    <s v="N 9068 EC"/>
    <m/>
    <x v="2"/>
    <s v="Dusun Sumber Bendo Kucur"/>
    <e v="#N/A"/>
    <e v="#N/A"/>
    <s v="OUTBOUND_"/>
  </r>
  <r>
    <s v="1154"/>
    <m/>
    <x v="0"/>
    <s v="INB-W0012406-370"/>
    <s v="EJ-Malang-01"/>
    <s v="Oka-0813-2707-1646"/>
    <x v="174"/>
    <d v="1900-01-14T07:00:00"/>
    <s v="GCI Procurement"/>
    <x v="1"/>
    <x v="6"/>
    <s v="GCI1011"/>
    <s v="Pcs"/>
    <n v="1"/>
    <n v="0"/>
    <x v="17"/>
    <n v="0"/>
    <n v="0"/>
    <m/>
    <m/>
    <m/>
    <m/>
    <m/>
    <m/>
    <x v="2"/>
    <n v="0"/>
    <e v="#N/A"/>
    <e v="#N/A"/>
    <s v="OUTBOUND_"/>
  </r>
  <r>
    <s v="1155"/>
    <m/>
    <x v="0"/>
    <s v="INB-W0012406-370"/>
    <s v="EJ-Malang-01"/>
    <s v="Oka-0813-2707-1646"/>
    <x v="174"/>
    <d v="1900-01-14T07:00:00"/>
    <s v="GCI Procurement"/>
    <x v="1"/>
    <x v="8"/>
    <s v="GCI1005"/>
    <s v="Pcs"/>
    <n v="145"/>
    <n v="0"/>
    <x v="17"/>
    <n v="0"/>
    <n v="0"/>
    <m/>
    <m/>
    <m/>
    <m/>
    <m/>
    <m/>
    <x v="2"/>
    <n v="0"/>
    <e v="#N/A"/>
    <e v="#N/A"/>
    <s v="OUTBOUND_"/>
  </r>
  <r>
    <s v="1156"/>
    <m/>
    <x v="1"/>
    <s v="OUB-W0012406-369"/>
    <s v="EJ-Malang-01"/>
    <s v="Oka-0813-2707-1646"/>
    <x v="174"/>
    <d v="1899-12-30T11:58:00"/>
    <s v="EJ-MALANG-01"/>
    <x v="0"/>
    <x v="5"/>
    <s v="ZTE1001"/>
    <s v="Pcs"/>
    <n v="9"/>
    <s v="CLR51-02-015"/>
    <x v="63"/>
    <m/>
    <m/>
    <m/>
    <s v="Riki Romansyah"/>
    <s v="Febby Supplier"/>
    <s v="3507050501950006"/>
    <s v="N 8420 EL"/>
    <m/>
    <x v="2"/>
    <s v="Dusun Sumber Bendo Kucur"/>
    <e v="#N/A"/>
    <e v="#N/A"/>
    <s v="OUTBOUND_"/>
  </r>
  <r>
    <s v="1157"/>
    <m/>
    <x v="0"/>
    <s v="INB-W0012406-370"/>
    <s v="EJ-Malang-01"/>
    <s v="Oka-0813-2707-1646"/>
    <x v="174"/>
    <d v="1900-01-14T07:00:00"/>
    <s v="GCI Procurement"/>
    <x v="1"/>
    <x v="12"/>
    <s v="GCI1008"/>
    <s v="Pcs"/>
    <n v="212"/>
    <n v="0"/>
    <x v="17"/>
    <n v="0"/>
    <n v="0"/>
    <m/>
    <m/>
    <m/>
    <m/>
    <m/>
    <m/>
    <x v="2"/>
    <n v="0"/>
    <e v="#N/A"/>
    <e v="#N/A"/>
    <s v="OUTBOUND_"/>
  </r>
  <r>
    <s v="1158"/>
    <m/>
    <x v="0"/>
    <s v="INB-W0012406-370"/>
    <s v="EJ-Malang-01"/>
    <s v="Oka-0813-2707-1646"/>
    <x v="174"/>
    <d v="1900-01-14T07:00:00"/>
    <s v="GCI Procurement"/>
    <x v="1"/>
    <x v="15"/>
    <s v="GCI1003"/>
    <s v="Pcs"/>
    <n v="228"/>
    <n v="0"/>
    <x v="17"/>
    <n v="0"/>
    <n v="0"/>
    <m/>
    <m/>
    <m/>
    <m/>
    <m/>
    <m/>
    <x v="2"/>
    <n v="0"/>
    <e v="#N/A"/>
    <e v="#N/A"/>
    <s v="OUTBOUND_"/>
  </r>
  <r>
    <s v="1159"/>
    <m/>
    <x v="0"/>
    <s v="INB-W0012406-370"/>
    <s v="EJ-Malang-01"/>
    <s v="Oka-0813-2707-1646"/>
    <x v="174"/>
    <d v="1900-01-14T07:00:00"/>
    <s v="GCI Procurement"/>
    <x v="1"/>
    <x v="16"/>
    <s v="GCI1004"/>
    <s v="Pcs"/>
    <n v="106"/>
    <n v="0"/>
    <x v="17"/>
    <n v="0"/>
    <n v="0"/>
    <m/>
    <m/>
    <m/>
    <m/>
    <m/>
    <m/>
    <x v="2"/>
    <n v="0"/>
    <e v="#N/A"/>
    <e v="#N/A"/>
    <s v="OUTBOUND_"/>
  </r>
  <r>
    <s v="1160"/>
    <m/>
    <x v="1"/>
    <s v="OUB-W0012406-371"/>
    <s v="EJ-Malang-01"/>
    <s v="Oka-0813-2707-1646"/>
    <x v="175"/>
    <d v="1899-12-30T17:21:00"/>
    <s v="EJ-MALANG-01"/>
    <x v="1"/>
    <x v="6"/>
    <s v="GCI1011"/>
    <s v="Pcs"/>
    <n v="1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61"/>
    <m/>
    <x v="1"/>
    <s v="OUB-W0012406-371"/>
    <s v="EJ-Malang-01"/>
    <s v="Oka-0813-2707-1646"/>
    <x v="175"/>
    <d v="1899-12-30T17:21:00"/>
    <s v="EJ-MALANG-01"/>
    <x v="1"/>
    <x v="8"/>
    <s v="GCI1005"/>
    <s v="Pcs"/>
    <n v="12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62"/>
    <m/>
    <x v="1"/>
    <s v="OUB-W0012406-371"/>
    <s v="EJ-Malang-01"/>
    <s v="Oka-0813-2707-1646"/>
    <x v="175"/>
    <d v="1899-12-30T17:21:00"/>
    <s v="EJ-MALANG-01"/>
    <x v="1"/>
    <x v="9"/>
    <s v="GCI1001"/>
    <s v="Pcs"/>
    <n v="42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63"/>
    <m/>
    <x v="1"/>
    <s v="OUB-W0012406-371"/>
    <s v="EJ-Malang-01"/>
    <s v="Oka-0813-2707-1646"/>
    <x v="175"/>
    <d v="1899-12-30T17:21:00"/>
    <s v="EJ-MALANG-01"/>
    <x v="1"/>
    <x v="10"/>
    <s v="GCI1009"/>
    <s v="Pcs"/>
    <n v="202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64"/>
    <m/>
    <x v="1"/>
    <s v="OUB-W0012406-371"/>
    <s v="EJ-Malang-01"/>
    <s v="Oka-0813-2707-1646"/>
    <x v="175"/>
    <d v="1899-12-30T17:21:00"/>
    <s v="EJ-MALANG-01"/>
    <x v="1"/>
    <x v="11"/>
    <s v="GCI1002"/>
    <s v="Pcs"/>
    <n v="2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65"/>
    <m/>
    <x v="1"/>
    <s v="OUB-W0012406-371"/>
    <s v="EJ-Malang-01"/>
    <s v="Oka-0813-2707-1646"/>
    <x v="175"/>
    <d v="1899-12-30T17:21:00"/>
    <s v="EJ-MALANG-01"/>
    <x v="0"/>
    <x v="5"/>
    <s v="ZTE1001"/>
    <s v="Pcs"/>
    <n v="3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66"/>
    <m/>
    <x v="1"/>
    <s v="OUB-W0012406-371"/>
    <s v="EJ-Malang-01"/>
    <s v="Oka-0813-2707-1646"/>
    <x v="175"/>
    <d v="1899-12-30T17:21:00"/>
    <s v="EJ-MALANG-01"/>
    <x v="1"/>
    <x v="12"/>
    <s v="GCI1008"/>
    <s v="Pcs"/>
    <n v="112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67"/>
    <m/>
    <x v="1"/>
    <s v="OUB-W0012406-371"/>
    <s v="EJ-Malang-01"/>
    <s v="Oka-0813-2707-1646"/>
    <x v="175"/>
    <d v="1899-12-30T17:21:00"/>
    <s v="EJ-MALANG-01"/>
    <x v="1"/>
    <x v="15"/>
    <s v="GCI1003"/>
    <s v="Pcs"/>
    <n v="200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68"/>
    <m/>
    <x v="1"/>
    <s v="OUB-W0012406-371"/>
    <s v="EJ-Malang-01"/>
    <s v="Oka-0813-2707-1646"/>
    <x v="175"/>
    <d v="1899-12-30T17:21:00"/>
    <s v="EJ-MALANG-01"/>
    <x v="1"/>
    <x v="16"/>
    <s v="GCI1004"/>
    <s v="Pcs"/>
    <n v="106"/>
    <s v="CLR51-99-097"/>
    <x v="62"/>
    <m/>
    <m/>
    <m/>
    <s v="Riki Romansyah"/>
    <s v="Febby Supplier"/>
    <s v="3507050501950006"/>
    <s v="N 8420 EL"/>
    <m/>
    <x v="2"/>
    <s v="Dusun Krajan Kucur"/>
    <e v="#N/A"/>
    <e v="#N/A"/>
    <s v="OUTBOUND_"/>
  </r>
  <r>
    <s v="1169"/>
    <m/>
    <x v="0"/>
    <s v="INB-W0012406-372"/>
    <s v="EJ-Malang-01"/>
    <s v="Oka-0813-2707-1646"/>
    <x v="176"/>
    <d v="1900-01-14T07:00:00"/>
    <s v="GCI Procurement"/>
    <x v="1"/>
    <x v="32"/>
    <s v="GCI1020"/>
    <s v="Pcs"/>
    <n v="107"/>
    <s v="RTN"/>
    <x v="17"/>
    <n v="0"/>
    <n v="0"/>
    <m/>
    <m/>
    <m/>
    <m/>
    <m/>
    <m/>
    <x v="2"/>
    <n v="0"/>
    <e v="#N/A"/>
    <e v="#N/A"/>
    <s v="OUTBOUND_"/>
  </r>
  <r>
    <s v="1170"/>
    <m/>
    <x v="0"/>
    <s v="INB-W0012406-372"/>
    <s v="EJ-Malang-01"/>
    <s v="Oka-0813-2707-1646"/>
    <x v="176"/>
    <d v="1900-01-14T07:00:00"/>
    <s v="GCI Procurement"/>
    <x v="1"/>
    <x v="16"/>
    <s v="GCI1004"/>
    <s v="Pcs"/>
    <n v="20"/>
    <s v="RTN"/>
    <x v="17"/>
    <n v="0"/>
    <n v="0"/>
    <m/>
    <m/>
    <m/>
    <m/>
    <m/>
    <m/>
    <x v="2"/>
    <n v="0"/>
    <e v="#N/A"/>
    <e v="#N/A"/>
    <s v="OUTBOUND_"/>
  </r>
  <r>
    <s v="1171"/>
    <m/>
    <x v="1"/>
    <s v="OUB-W0012406-373"/>
    <s v="EJ-Malang-01"/>
    <s v="Oka-0813-2707-1646"/>
    <x v="177"/>
    <d v="1899-12-30T13:27:00"/>
    <s v="EJ-MALANG-01"/>
    <x v="1"/>
    <x v="10"/>
    <s v="GCI1009"/>
    <s v="Pcs"/>
    <n v="10"/>
    <s v="CLR51-02-015"/>
    <x v="63"/>
    <m/>
    <m/>
    <m/>
    <s v="Riki Romansyah"/>
    <s v="Febby Supplier"/>
    <s v="3507050501950006"/>
    <s v="N 8420 EL"/>
    <m/>
    <x v="2"/>
    <s v="Dusun Sumber Bendo Kucur"/>
    <e v="#N/A"/>
    <e v="#N/A"/>
    <s v="OUTBOUND_"/>
  </r>
  <r>
    <s v="1172"/>
    <m/>
    <x v="1"/>
    <s v="OUB-W0012406-373"/>
    <s v="EJ-Malang-01"/>
    <s v="Oka-0813-2707-1646"/>
    <x v="177"/>
    <d v="1899-12-30T13:27:00"/>
    <s v="EJ-MALANG-01"/>
    <x v="1"/>
    <x v="12"/>
    <s v="GCI1008"/>
    <s v="Pcs"/>
    <n v="30"/>
    <s v="CLR51-02-015"/>
    <x v="63"/>
    <m/>
    <m/>
    <m/>
    <s v="Riki Romansyah"/>
    <s v="Febby Supplier"/>
    <s v="3507050501950006"/>
    <s v="N 8420 EL"/>
    <m/>
    <x v="2"/>
    <s v="Dusun Sumber Bendo Kucur"/>
    <e v="#N/A"/>
    <e v="#N/A"/>
    <s v="OUTBOUND_"/>
  </r>
  <r>
    <s v="1173"/>
    <m/>
    <x v="1"/>
    <s v="OUB-W0012406-373"/>
    <s v="EJ-Malang-01"/>
    <s v="Oka-0813-2707-1646"/>
    <x v="177"/>
    <d v="1899-12-30T13:27:00"/>
    <s v="EJ-MALANG-01"/>
    <x v="1"/>
    <x v="16"/>
    <s v="GCI1004"/>
    <s v="Pcs"/>
    <n v="15"/>
    <s v="CLR51-02-015"/>
    <x v="63"/>
    <m/>
    <m/>
    <m/>
    <s v="Riki Romansyah"/>
    <s v="Febby Supplier"/>
    <s v="3507050501950006"/>
    <s v="N 8420 EL"/>
    <m/>
    <x v="2"/>
    <s v="Dusun Sumber Bendo Kucur"/>
    <e v="#N/A"/>
    <e v="#N/A"/>
    <s v="OUTBOUND_"/>
  </r>
  <r>
    <s v="1174"/>
    <m/>
    <x v="1"/>
    <s v="OUB-W0012406-374"/>
    <s v="EJ-Malang-01"/>
    <s v="Oka-0813-2707-1646"/>
    <x v="178"/>
    <d v="1899-12-30T14:01:00"/>
    <s v="EJ-MALANG-01"/>
    <x v="0"/>
    <x v="28"/>
    <s v="ZTE2010"/>
    <s v="Pcs"/>
    <n v="2"/>
    <s v="CLR51-02-014"/>
    <x v="65"/>
    <m/>
    <m/>
    <m/>
    <s v="Deny Indra"/>
    <n v="0"/>
    <n v="0"/>
    <s v="N 1547 IR"/>
    <s v="Transfer"/>
    <x v="2"/>
    <s v="Dusun Klampok Kucur"/>
    <e v="#N/A"/>
    <e v="#N/A"/>
    <s v="OUTBOUND_"/>
  </r>
  <r>
    <s v="1175"/>
    <m/>
    <x v="1"/>
    <s v="OUB-W0012406-374"/>
    <s v="EJ-Malang-01"/>
    <s v="Oka-0813-2707-1646"/>
    <x v="178"/>
    <d v="1899-12-30T14:01:00"/>
    <s v="EJ-MALANG-01"/>
    <x v="0"/>
    <x v="28"/>
    <s v="ZTE2010"/>
    <s v="Pcs"/>
    <n v="3"/>
    <s v="CLR51-02-015"/>
    <x v="63"/>
    <m/>
    <m/>
    <m/>
    <s v="Deny Indra"/>
    <n v="0"/>
    <n v="0"/>
    <s v="N 1547 IR"/>
    <s v="Transfer"/>
    <x v="2"/>
    <s v="Dusun Sumber Bendo Kucur"/>
    <e v="#N/A"/>
    <e v="#N/A"/>
    <s v="OUTBOUND_"/>
  </r>
  <r>
    <s v="1176"/>
    <m/>
    <x v="1"/>
    <s v="OUB-W0012406-375"/>
    <s v="EJ-Malang-01"/>
    <s v="Oka-0813-2707-1646"/>
    <x v="178"/>
    <d v="1899-12-30T18:40:00"/>
    <s v="EJ-MALANG-01"/>
    <x v="1"/>
    <x v="9"/>
    <s v="GCI1001"/>
    <s v="Pcs"/>
    <n v="1"/>
    <s v="CLR51-02-015"/>
    <x v="63"/>
    <m/>
    <m/>
    <m/>
    <s v="Riki Romansyah"/>
    <s v="Febby Supplier"/>
    <s v="3507050501950006"/>
    <s v="N 8420 EL"/>
    <m/>
    <x v="2"/>
    <s v="Dusun Sumber Bendo Kucur"/>
    <e v="#N/A"/>
    <e v="#N/A"/>
    <s v="OUTBOUND_"/>
  </r>
  <r>
    <s v="1177"/>
    <m/>
    <x v="1"/>
    <s v="OUB-W0012406-374"/>
    <s v="EJ-Malang-01"/>
    <s v="Oka-0813-2707-1646"/>
    <x v="178"/>
    <d v="1899-12-30T14:01:00"/>
    <s v="EJ-MALANG-01"/>
    <x v="0"/>
    <x v="2"/>
    <s v="ZTE2008"/>
    <s v="Pcs"/>
    <n v="7"/>
    <s v="CLR51-99-096"/>
    <x v="67"/>
    <m/>
    <m/>
    <m/>
    <s v="Deny Indra"/>
    <n v="0"/>
    <n v="0"/>
    <s v="N 1547 IR"/>
    <m/>
    <x v="2"/>
    <s v="Dusun Turi Kucur"/>
    <e v="#N/A"/>
    <e v="#N/A"/>
    <s v="OUTBOUND_"/>
  </r>
  <r>
    <s v="1178"/>
    <m/>
    <x v="1"/>
    <s v="OUB-W0012406-374"/>
    <s v="EJ-Malang-01"/>
    <s v="Oka-0813-2707-1646"/>
    <x v="178"/>
    <d v="1899-12-30T14:01:00"/>
    <s v="EJ-MALANG-01"/>
    <x v="0"/>
    <x v="2"/>
    <s v="ZTE2008"/>
    <s v="Pcs"/>
    <n v="12"/>
    <s v="CLR51-02-015"/>
    <x v="63"/>
    <m/>
    <m/>
    <m/>
    <s v="Deny Indra"/>
    <n v="0"/>
    <n v="0"/>
    <s v="N 1547 IR"/>
    <m/>
    <x v="2"/>
    <s v="Dusun Sumber Bendo Kucur"/>
    <e v="#N/A"/>
    <e v="#N/A"/>
    <s v="OUTBOUND_"/>
  </r>
  <r>
    <s v="1179"/>
    <m/>
    <x v="1"/>
    <s v="OUB-W0012406-374"/>
    <s v="EJ-Malang-01"/>
    <s v="Oka-0813-2707-1646"/>
    <x v="178"/>
    <d v="1899-12-30T14:01:00"/>
    <s v="EJ-MALANG-01"/>
    <x v="0"/>
    <x v="2"/>
    <s v="ZTE2008"/>
    <s v="Pcs"/>
    <n v="17"/>
    <s v="CLR51-02-014"/>
    <x v="65"/>
    <m/>
    <m/>
    <m/>
    <s v="Deny Indra"/>
    <n v="0"/>
    <n v="0"/>
    <s v="N 1547 IR"/>
    <m/>
    <x v="2"/>
    <s v="Dusun Klampok Kucur"/>
    <e v="#N/A"/>
    <e v="#N/A"/>
    <s v="OUTBOUND_"/>
  </r>
  <r>
    <s v="1180"/>
    <m/>
    <x v="1"/>
    <s v="OUB-W0012406-374"/>
    <s v="EJ-Malang-01"/>
    <s v="Oka-0813-2707-1646"/>
    <x v="178"/>
    <d v="1899-12-30T14:01:00"/>
    <s v="EJ-MALANG-01"/>
    <x v="0"/>
    <x v="3"/>
    <s v="ZTE2005"/>
    <s v="Pcs"/>
    <n v="1"/>
    <s v="CLR51-02-014"/>
    <x v="65"/>
    <m/>
    <m/>
    <m/>
    <s v="Deny Indra"/>
    <n v="0"/>
    <n v="0"/>
    <s v="N 1547 IR"/>
    <m/>
    <x v="2"/>
    <s v="Dusun Klampok Kucur"/>
    <e v="#N/A"/>
    <e v="#N/A"/>
    <s v="OUTBOUND_"/>
  </r>
  <r>
    <s v="1181"/>
    <m/>
    <x v="1"/>
    <s v="OUB-W0012406-374"/>
    <s v="EJ-Malang-01"/>
    <s v="Oka-0813-2707-1646"/>
    <x v="178"/>
    <d v="1899-12-30T14:01:00"/>
    <s v="EJ-MALANG-01"/>
    <x v="0"/>
    <x v="3"/>
    <s v="ZTE2005"/>
    <s v="Pcs"/>
    <n v="1"/>
    <s v="CLR51-02-015"/>
    <x v="63"/>
    <m/>
    <m/>
    <m/>
    <s v="Deny Indra"/>
    <n v="0"/>
    <n v="0"/>
    <s v="N 1547 IR"/>
    <m/>
    <x v="2"/>
    <s v="Dusun Sumber Bendo Kucur"/>
    <e v="#N/A"/>
    <e v="#N/A"/>
    <s v="OUTBOUND_"/>
  </r>
  <r>
    <s v="1182"/>
    <m/>
    <x v="1"/>
    <s v="OUB-W0012406-375"/>
    <s v="EJ-Malang-01"/>
    <s v="Oka-0813-2707-1646"/>
    <x v="178"/>
    <d v="1899-12-30T18:40:00"/>
    <s v="EJ-MALANG-01"/>
    <x v="0"/>
    <x v="4"/>
    <s v="ZTE1002"/>
    <s v="Pcs"/>
    <n v="1"/>
    <s v="CLR51-02-015"/>
    <x v="63"/>
    <m/>
    <m/>
    <m/>
    <s v="Riki Romansyah"/>
    <s v="Febby Supplier"/>
    <s v="3507050501950006"/>
    <s v="N 8420 EL"/>
    <m/>
    <x v="2"/>
    <s v="Dusun Sumber Bendo Kucur"/>
    <e v="#N/A"/>
    <e v="#N/A"/>
    <s v="OUTBOUND_"/>
  </r>
  <r>
    <s v="1183"/>
    <m/>
    <x v="1"/>
    <s v="OUB-W0012406-376"/>
    <s v="EJ-Malang-01"/>
    <s v="Oka-0813-2707-1646"/>
    <x v="179"/>
    <d v="1899-12-30T13:51:00"/>
    <s v="EJ-MALANG-01"/>
    <x v="1"/>
    <x v="10"/>
    <s v="GCI1009"/>
    <s v="Pcs"/>
    <n v="6"/>
    <s v="CLR51-02-015"/>
    <x v="63"/>
    <m/>
    <m/>
    <m/>
    <s v="Fahrudin"/>
    <s v="Febby Supplier"/>
    <s v="3507131605830004"/>
    <s v="N 1383 G"/>
    <m/>
    <x v="2"/>
    <s v="Dusun Sumber Bendo Kucur"/>
    <e v="#N/A"/>
    <e v="#N/A"/>
    <s v="OUTBOUND_"/>
  </r>
  <r>
    <s v="1184"/>
    <m/>
    <x v="1"/>
    <s v="OUB-W0012406-376"/>
    <s v="EJ-Malang-01"/>
    <s v="Oka-0813-2707-1646"/>
    <x v="179"/>
    <d v="1899-12-30T13:51:00"/>
    <s v="EJ-MALANG-01"/>
    <x v="1"/>
    <x v="32"/>
    <s v="GCI1020"/>
    <s v="Pcs"/>
    <n v="7"/>
    <s v="CLR51-02-015"/>
    <x v="63"/>
    <m/>
    <m/>
    <m/>
    <s v="Fahrudin"/>
    <s v="Febby Supplier"/>
    <s v="3507131605830004"/>
    <s v="N 1383 G"/>
    <m/>
    <x v="2"/>
    <s v="Dusun Sumber Bendo Kucur"/>
    <e v="#N/A"/>
    <e v="#N/A"/>
    <s v="OUTBOUND_"/>
  </r>
  <r>
    <s v="1185"/>
    <m/>
    <x v="1"/>
    <s v="OUB-W0012406-376"/>
    <s v="EJ-Malang-01"/>
    <s v="Oka-0813-2707-1646"/>
    <x v="179"/>
    <d v="1899-12-30T13:51:00"/>
    <s v="EJ-MALANG-01"/>
    <x v="1"/>
    <x v="12"/>
    <s v="GCI1008"/>
    <s v="Pcs"/>
    <n v="7"/>
    <s v="CLR51-02-015"/>
    <x v="63"/>
    <m/>
    <m/>
    <m/>
    <s v="Fahrudin"/>
    <s v="Febby Supplier"/>
    <s v="3507131605830004"/>
    <s v="N 1383 G"/>
    <m/>
    <x v="2"/>
    <s v="Dusun Sumber Bendo Kucur"/>
    <e v="#N/A"/>
    <e v="#N/A"/>
    <s v="OUTBOUND_"/>
  </r>
  <r>
    <s v="1186"/>
    <m/>
    <x v="0"/>
    <s v="INB-W0012406-382"/>
    <s v="EJ-Malang-01"/>
    <s v="Oka-0813-2707-1646"/>
    <x v="180"/>
    <d v="1900-01-14T07:00:00"/>
    <s v="GCI Procurement"/>
    <x v="1"/>
    <x v="9"/>
    <s v="GCI1001"/>
    <s v="Pcs"/>
    <n v="13"/>
    <s v="RTN"/>
    <x v="22"/>
    <n v="0"/>
    <n v="0"/>
    <m/>
    <m/>
    <m/>
    <m/>
    <m/>
    <m/>
    <x v="2"/>
    <s v="Pengembalian"/>
    <e v="#N/A"/>
    <e v="#N/A"/>
    <s v="OUTBOUND_"/>
  </r>
  <r>
    <s v="1187"/>
    <m/>
    <x v="1"/>
    <s v="OUB-W0012406-377"/>
    <s v="EJ-Malang-01"/>
    <s v="Oka-0813-2707-1646"/>
    <x v="180"/>
    <d v="1899-12-30T12:43:00"/>
    <s v="EJ-MALANG-01"/>
    <x v="1"/>
    <x v="10"/>
    <s v="GCI1009"/>
    <s v="Pcs"/>
    <n v="10"/>
    <s v="CLR51-02-020"/>
    <x v="68"/>
    <m/>
    <m/>
    <m/>
    <s v="Riki Romansyah"/>
    <s v="Febby Supplier"/>
    <s v="3507050501950006"/>
    <s v="N 8420 EL"/>
    <m/>
    <x v="2"/>
    <s v="Lowokwaru RW 04"/>
    <e v="#N/A"/>
    <e v="#N/A"/>
    <s v="OUTBOUND_"/>
  </r>
  <r>
    <s v="1188"/>
    <m/>
    <x v="5"/>
    <s v="BOO-W0012406-378"/>
    <s v="EJ-Malang-01"/>
    <s v="Oka-0813-2707-1646"/>
    <x v="180"/>
    <d v="1899-12-30T12:43:00"/>
    <s v="Other Subcon"/>
    <x v="0"/>
    <x v="3"/>
    <s v="ZTE2005"/>
    <s v="Pcs"/>
    <n v="1"/>
    <s v="BR005"/>
    <x v="21"/>
    <m/>
    <m/>
    <m/>
    <n v="0"/>
    <n v="0"/>
    <n v="0"/>
    <n v="0"/>
    <s v="Morasha Borrowed"/>
    <x v="2"/>
    <s v="MORASHA"/>
    <e v="#N/A"/>
    <e v="#N/A"/>
    <s v="BORROW OUT_"/>
  </r>
  <r>
    <s v="1189"/>
    <m/>
    <x v="0"/>
    <s v="INB-W0012406-382"/>
    <s v="EJ-Malang-01"/>
    <s v="Oka-0813-2707-1646"/>
    <x v="180"/>
    <d v="1900-01-14T07:00:00"/>
    <s v="GCI Procurement"/>
    <x v="1"/>
    <x v="32"/>
    <s v="GCI1020"/>
    <s v="Pcs"/>
    <n v="120"/>
    <s v="RTN"/>
    <x v="22"/>
    <n v="0"/>
    <n v="0"/>
    <m/>
    <m/>
    <m/>
    <m/>
    <m/>
    <m/>
    <x v="2"/>
    <s v="Pengembalian"/>
    <e v="#N/A"/>
    <e v="#N/A"/>
    <s v="OUTBOUND_"/>
  </r>
  <r>
    <s v="1190"/>
    <m/>
    <x v="1"/>
    <s v="OUB-W0012406-379"/>
    <s v="EJ-Malang-01"/>
    <s v="Oka-0813-2707-1646"/>
    <x v="180"/>
    <d v="1899-12-30T12:43:00"/>
    <s v="EJ-MALANG-01"/>
    <x v="0"/>
    <x v="5"/>
    <s v="ZTE1001"/>
    <s v="Pcs"/>
    <n v="11"/>
    <s v="CLR51-02-020"/>
    <x v="68"/>
    <m/>
    <m/>
    <m/>
    <s v="Riki Romansyah"/>
    <n v="0"/>
    <s v="3507050501950006"/>
    <s v="N 8420 EL"/>
    <m/>
    <x v="2"/>
    <s v="Lowokwaru RW 04"/>
    <e v="#N/A"/>
    <e v="#N/A"/>
    <s v="OUTBOUND_"/>
  </r>
  <r>
    <s v="1191"/>
    <m/>
    <x v="3"/>
    <s v="TFO-W0012406-380"/>
    <s v="EJ-Malang-01"/>
    <s v="Oka-0813-2707-1646"/>
    <x v="180"/>
    <d v="1899-12-30T12:43:00"/>
    <s v="EJ-MALANG-01"/>
    <x v="0"/>
    <x v="5"/>
    <s v="ZTE1001"/>
    <s v="Pcs"/>
    <n v="25"/>
    <n v="0"/>
    <x v="10"/>
    <m/>
    <m/>
    <m/>
    <n v="0"/>
    <n v="0"/>
    <n v="0"/>
    <n v="0"/>
    <m/>
    <x v="2"/>
    <s v="Transfer Gudang"/>
    <e v="#N/A"/>
    <e v="#N/A"/>
    <s v="TRANSFER OUT_"/>
  </r>
  <r>
    <s v="1192"/>
    <m/>
    <x v="0"/>
    <s v="INB-W0012406-382"/>
    <s v="EJ-Malang-01"/>
    <s v="Oka-0813-2707-1646"/>
    <x v="180"/>
    <d v="1900-01-14T07:00:00"/>
    <s v="GCI Procurement"/>
    <x v="1"/>
    <x v="15"/>
    <s v="GCI1003"/>
    <s v="Pcs"/>
    <n v="22"/>
    <s v="RTN"/>
    <x v="22"/>
    <n v="0"/>
    <n v="0"/>
    <m/>
    <m/>
    <m/>
    <m/>
    <m/>
    <m/>
    <x v="2"/>
    <s v="Pengembalian"/>
    <e v="#N/A"/>
    <e v="#N/A"/>
    <s v="OUTBOUND_"/>
  </r>
  <r>
    <s v="1193"/>
    <m/>
    <x v="0"/>
    <s v="INB-W0012406-382"/>
    <s v="EJ-Malang-01"/>
    <s v="Oka-0813-2707-1646"/>
    <x v="180"/>
    <d v="1900-01-14T07:00:00"/>
    <s v="GCI Procurement"/>
    <x v="1"/>
    <x v="16"/>
    <s v="GCI1004"/>
    <s v="Pcs"/>
    <n v="30"/>
    <s v="RTN"/>
    <x v="22"/>
    <n v="0"/>
    <n v="0"/>
    <m/>
    <m/>
    <m/>
    <m/>
    <m/>
    <m/>
    <x v="2"/>
    <s v="Pengembalian"/>
    <e v="#N/A"/>
    <e v="#N/A"/>
    <s v="OUTBOUND_"/>
  </r>
  <r>
    <s v="1194"/>
    <m/>
    <x v="1"/>
    <s v="OUB-W0012406-381"/>
    <s v="EJ-Malang-01"/>
    <s v="Oka-0813-2707-1646"/>
    <x v="180"/>
    <d v="1899-12-30T12:43:00"/>
    <s v="EJ-MALANG-01"/>
    <x v="1"/>
    <x v="16"/>
    <s v="GCI1004"/>
    <s v="Pcs"/>
    <n v="10"/>
    <s v="CLR51-02-020"/>
    <x v="68"/>
    <m/>
    <m/>
    <m/>
    <s v="Riki Romansyah"/>
    <s v="Febby Supplier"/>
    <s v="3507050501950006"/>
    <s v="N 8420 EL"/>
    <m/>
    <x v="2"/>
    <s v="Lowokwaru RW 04"/>
    <e v="#N/A"/>
    <e v="#N/A"/>
    <s v="OUTBOUND_"/>
  </r>
  <r>
    <s v="1195"/>
    <m/>
    <x v="2"/>
    <s v="TFI-W0012406-384"/>
    <s v="EJ-Malang-01"/>
    <s v="Oka-0813-2707-1646"/>
    <x v="181"/>
    <d v="1900-01-14T07:00:00"/>
    <s v="ZTE Warehouse"/>
    <x v="0"/>
    <x v="28"/>
    <s v="ZTE2010"/>
    <s v="Pcs"/>
    <n v="12"/>
    <s v="TRF"/>
    <x v="17"/>
    <n v="0"/>
    <n v="0"/>
    <m/>
    <m/>
    <m/>
    <m/>
    <m/>
    <s v="TRANSFER GUDANG"/>
    <x v="2"/>
    <n v="0"/>
    <e v="#N/A"/>
    <e v="#N/A"/>
    <s v="OUTBOUND_"/>
  </r>
  <r>
    <s v="1196"/>
    <m/>
    <x v="1"/>
    <s v="OUB-W0012406-383"/>
    <s v="EJ-Malang-01"/>
    <s v="Oka-0813-2707-1646"/>
    <x v="181"/>
    <d v="1899-12-30T10:40:00"/>
    <s v="EJ-MALANG-01"/>
    <x v="1"/>
    <x v="8"/>
    <s v="GCI1005"/>
    <s v="Pcs"/>
    <n v="23"/>
    <s v="CLR51-02-020"/>
    <x v="68"/>
    <m/>
    <m/>
    <m/>
    <s v="Riki Romansyah"/>
    <s v="Febby Supplier"/>
    <s v="3507050501950006"/>
    <s v="N 8420 EL"/>
    <m/>
    <x v="2"/>
    <s v="Lowokwaru RW 04"/>
    <e v="#N/A"/>
    <e v="#N/A"/>
    <s v="OUTBOUND_"/>
  </r>
  <r>
    <s v="1197"/>
    <m/>
    <x v="1"/>
    <s v="OUB-W0012406-383"/>
    <s v="EJ-Malang-01"/>
    <s v="Oka-0813-2707-1646"/>
    <x v="181"/>
    <d v="1899-12-30T10:40:00"/>
    <s v="EJ-MALANG-01"/>
    <x v="1"/>
    <x v="9"/>
    <s v="GCI1001"/>
    <s v="Pcs"/>
    <n v="11"/>
    <s v="CLR51-02-020"/>
    <x v="68"/>
    <m/>
    <m/>
    <m/>
    <s v="Riki Romansyah"/>
    <s v="Febby Supplier"/>
    <s v="3507050501950006"/>
    <s v="N 8420 EL"/>
    <m/>
    <x v="2"/>
    <s v="Lowokwaru RW 04"/>
    <e v="#N/A"/>
    <e v="#N/A"/>
    <s v="OUTBOUND_"/>
  </r>
  <r>
    <s v="1198"/>
    <m/>
    <x v="1"/>
    <s v="OUB-W0012406-383"/>
    <s v="EJ-Malang-01"/>
    <s v="Oka-0813-2707-1646"/>
    <x v="181"/>
    <d v="1899-12-30T10:40:00"/>
    <s v="EJ-MALANG-01"/>
    <x v="1"/>
    <x v="10"/>
    <s v="GCI1009"/>
    <s v="Pcs"/>
    <n v="20"/>
    <s v="CLR51-02-020"/>
    <x v="68"/>
    <m/>
    <m/>
    <m/>
    <s v="Riki Romansyah"/>
    <s v="Febby Supplier"/>
    <s v="3507050501950006"/>
    <s v="N 8420 EL"/>
    <m/>
    <x v="2"/>
    <s v="Lowokwaru RW 04"/>
    <e v="#N/A"/>
    <e v="#N/A"/>
    <s v="OUTBOUND_"/>
  </r>
  <r>
    <s v="1199"/>
    <m/>
    <x v="2"/>
    <s v="TFI-W0012406-384"/>
    <s v="EJ-Malang-01"/>
    <s v="Oka-0813-2707-1646"/>
    <x v="181"/>
    <d v="1900-01-14T07:00:00"/>
    <s v="ZTE Warehouse"/>
    <x v="0"/>
    <x v="2"/>
    <s v="ZTE2008"/>
    <s v="Pcs"/>
    <n v="30"/>
    <s v="TRF"/>
    <x v="17"/>
    <n v="0"/>
    <s v="TRANSFER GUDANG"/>
    <m/>
    <m/>
    <m/>
    <m/>
    <m/>
    <m/>
    <x v="2"/>
    <n v="0"/>
    <e v="#N/A"/>
    <e v="#N/A"/>
    <s v="OUTBOUND_"/>
  </r>
  <r>
    <s v="1200"/>
    <m/>
    <x v="1"/>
    <s v="OUB-W0012406-383"/>
    <s v="EJ-Malang-01"/>
    <s v="Oka-0813-2707-1646"/>
    <x v="181"/>
    <d v="1899-12-30T10:40:00"/>
    <s v="EJ-MALANG-01"/>
    <x v="1"/>
    <x v="11"/>
    <s v="GCI1002"/>
    <s v="Pcs"/>
    <n v="1"/>
    <s v="CLR51-02-020"/>
    <x v="68"/>
    <m/>
    <m/>
    <m/>
    <s v="Riki Romansyah"/>
    <s v="Febby Supplier"/>
    <s v="3507050501950006"/>
    <s v="N 8420 EL"/>
    <m/>
    <x v="2"/>
    <s v="Lowokwaru RW 04"/>
    <e v="#N/A"/>
    <e v="#N/A"/>
    <s v="OUTBOUND_"/>
  </r>
  <r>
    <s v="1201"/>
    <m/>
    <x v="1"/>
    <s v="OUB-W0012406-383"/>
    <s v="EJ-Malang-01"/>
    <s v="Oka-0813-2707-1646"/>
    <x v="181"/>
    <d v="1899-12-30T10:40:00"/>
    <s v="EJ-MALANG-01"/>
    <x v="0"/>
    <x v="4"/>
    <s v="ZTE1002"/>
    <s v="Pcs"/>
    <n v="4"/>
    <s v="CLR51-02-020"/>
    <x v="68"/>
    <m/>
    <m/>
    <m/>
    <s v="Riki Romansyah"/>
    <n v="0"/>
    <s v="3507050501950006"/>
    <s v="N 8420 EL"/>
    <m/>
    <x v="2"/>
    <s v="Lowokwaru RW 04"/>
    <e v="#N/A"/>
    <e v="#N/A"/>
    <s v="OUTBOUND_"/>
  </r>
  <r>
    <s v="1202"/>
    <m/>
    <x v="1"/>
    <s v="OUB-W0012406-383"/>
    <s v="EJ-Malang-01"/>
    <s v="Oka-0813-2707-1646"/>
    <x v="181"/>
    <d v="1899-12-30T10:40:00"/>
    <s v="EJ-MALANG-01"/>
    <x v="0"/>
    <x v="5"/>
    <s v="ZTE1001"/>
    <s v="Pcs"/>
    <n v="11"/>
    <s v="CLR51-02-020"/>
    <x v="68"/>
    <m/>
    <m/>
    <m/>
    <s v="Riki Romansyah"/>
    <n v="0"/>
    <s v="3507050501950006"/>
    <s v="N 8420 EL"/>
    <m/>
    <x v="2"/>
    <s v="Lowokwaru RW 04"/>
    <e v="#N/A"/>
    <e v="#N/A"/>
    <s v="OUTBOUND_"/>
  </r>
  <r>
    <s v="1203"/>
    <m/>
    <x v="1"/>
    <s v="OUB-W0012406-383"/>
    <s v="EJ-Malang-01"/>
    <s v="Oka-0813-2707-1646"/>
    <x v="181"/>
    <d v="1899-12-30T10:40:00"/>
    <s v="EJ-MALANG-01"/>
    <x v="1"/>
    <x v="12"/>
    <s v="GCI1008"/>
    <s v="Pcs"/>
    <n v="10"/>
    <s v="CLR51-02-020"/>
    <x v="68"/>
    <m/>
    <m/>
    <m/>
    <s v="Riki Romansyah"/>
    <s v="Febby Supplier"/>
    <s v="3507050501950006"/>
    <s v="N 8420 EL"/>
    <m/>
    <x v="2"/>
    <s v="Lowokwaru RW 04"/>
    <e v="#N/A"/>
    <e v="#N/A"/>
    <s v="OUTBOUND_"/>
  </r>
  <r>
    <s v="1204"/>
    <m/>
    <x v="1"/>
    <s v="OUB-W0012406-383"/>
    <s v="EJ-Malang-01"/>
    <s v="Oka-0813-2707-1646"/>
    <x v="181"/>
    <d v="1899-12-30T10:40:00"/>
    <s v="EJ-MALANG-01"/>
    <x v="1"/>
    <x v="15"/>
    <s v="GCI1003"/>
    <s v="Pcs"/>
    <n v="50"/>
    <s v="CLR51-02-020"/>
    <x v="68"/>
    <m/>
    <m/>
    <m/>
    <s v="Riki Romansyah"/>
    <s v="Febby Supplier"/>
    <s v="3507050501950006"/>
    <s v="N 8420 EL"/>
    <m/>
    <x v="2"/>
    <s v="Lowokwaru RW 04"/>
    <e v="#N/A"/>
    <e v="#N/A"/>
    <s v="OUTBOUND_"/>
  </r>
  <r>
    <s v="1205"/>
    <m/>
    <x v="1"/>
    <s v="OUB-W0012406-383"/>
    <s v="EJ-Malang-01"/>
    <s v="Oka-0813-2707-1646"/>
    <x v="181"/>
    <d v="1899-12-30T10:40:00"/>
    <s v="EJ-MALANG-01"/>
    <x v="1"/>
    <x v="16"/>
    <s v="GCI1004"/>
    <s v="Pcs"/>
    <n v="10"/>
    <s v="CLR51-02-020"/>
    <x v="68"/>
    <m/>
    <m/>
    <m/>
    <s v="Riki Romansyah"/>
    <s v="Febby Supplier"/>
    <s v="3507050501950006"/>
    <s v="N 8420 EL"/>
    <m/>
    <x v="2"/>
    <s v="Lowokwaru RW 04"/>
    <e v="#N/A"/>
    <e v="#N/A"/>
    <s v="OUTBOUND_"/>
  </r>
  <r>
    <s v="1206"/>
    <m/>
    <x v="1"/>
    <s v="OUB-W0012406-385"/>
    <s v="EJ-Malang-01"/>
    <s v="Oka-0813-2707-1646"/>
    <x v="182"/>
    <d v="1899-12-30T12:17:00"/>
    <s v="EJ-MALANG-01"/>
    <x v="1"/>
    <x v="9"/>
    <s v="GCI1001"/>
    <s v="Pcs"/>
    <n v="10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07"/>
    <m/>
    <x v="1"/>
    <s v="OUB-W0012406-385"/>
    <s v="EJ-Malang-01"/>
    <s v="Oka-0813-2707-1646"/>
    <x v="182"/>
    <d v="1899-12-30T12:17:00"/>
    <s v="EJ-MALANG-01"/>
    <x v="1"/>
    <x v="10"/>
    <s v="GCI1009"/>
    <s v="Pcs"/>
    <n v="60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08"/>
    <m/>
    <x v="1"/>
    <s v="OUB-W0012406-385"/>
    <s v="EJ-Malang-01"/>
    <s v="Oka-0813-2707-1646"/>
    <x v="182"/>
    <d v="1899-12-30T12:17:00"/>
    <s v="EJ-MALANG-01"/>
    <x v="0"/>
    <x v="4"/>
    <s v="ZTE1002"/>
    <s v="Pcs"/>
    <n v="4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09"/>
    <m/>
    <x v="1"/>
    <s v="OUB-W0012406-385"/>
    <s v="EJ-Malang-01"/>
    <s v="Oka-0813-2707-1646"/>
    <x v="182"/>
    <d v="1899-12-30T12:17:00"/>
    <s v="EJ-MALANG-01"/>
    <x v="0"/>
    <x v="5"/>
    <s v="ZTE1001"/>
    <s v="Pcs"/>
    <n v="21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10"/>
    <m/>
    <x v="1"/>
    <s v="OUB-W0012406-385"/>
    <s v="EJ-Malang-01"/>
    <s v="Oka-0813-2707-1646"/>
    <x v="182"/>
    <d v="1899-12-30T12:17:00"/>
    <s v="EJ-MALANG-01"/>
    <x v="1"/>
    <x v="12"/>
    <s v="GCI1008"/>
    <s v="Pcs"/>
    <n v="53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11"/>
    <m/>
    <x v="1"/>
    <s v="OUB-W0012406-385"/>
    <s v="EJ-Malang-01"/>
    <s v="Oka-0813-2707-1646"/>
    <x v="182"/>
    <d v="1899-12-30T12:17:00"/>
    <s v="EJ-MALANG-01"/>
    <x v="1"/>
    <x v="16"/>
    <s v="GCI1004"/>
    <s v="Pcs"/>
    <n v="15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12"/>
    <m/>
    <x v="1"/>
    <s v="OUB-W0012406-386"/>
    <s v="EJ-Malang-01"/>
    <s v="Oka-0813-2707-1646"/>
    <x v="183"/>
    <d v="1899-12-30T15:01:00"/>
    <s v="EJ-MALANG-01"/>
    <x v="0"/>
    <x v="1"/>
    <s v="ZTE2003"/>
    <s v="Meter"/>
    <n v="3000"/>
    <s v="CLR51-99-044"/>
    <x v="69"/>
    <m/>
    <m/>
    <m/>
    <s v="Riki Romansyah"/>
    <s v="Febby Supplier"/>
    <s v="3507050501950006"/>
    <s v="N 8420 EL"/>
    <s v="kepake 1700, 1300 lefover"/>
    <x v="2"/>
    <s v="Kebonagung RW 13 Pakisaji"/>
    <e v="#N/A"/>
    <e v="#N/A"/>
    <s v="OUTBOUND_"/>
  </r>
  <r>
    <s v="1213"/>
    <m/>
    <x v="1"/>
    <s v="OUB-W0012406-386"/>
    <s v="EJ-Malang-01"/>
    <s v="Oka-0813-2707-1646"/>
    <x v="183"/>
    <d v="1899-12-30T15:01:00"/>
    <s v="EJ-MALANG-01"/>
    <x v="1"/>
    <x v="8"/>
    <s v="GCI1005"/>
    <s v="Pcs"/>
    <n v="40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14"/>
    <m/>
    <x v="1"/>
    <s v="OUB-W0012406-386"/>
    <s v="EJ-Malang-01"/>
    <s v="Oka-0813-2707-1646"/>
    <x v="183"/>
    <d v="1899-12-30T15:01:00"/>
    <s v="EJ-MALANG-01"/>
    <x v="1"/>
    <x v="9"/>
    <s v="GCI1001"/>
    <s v="Pcs"/>
    <n v="7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15"/>
    <m/>
    <x v="1"/>
    <s v="OUB-W0012406-386"/>
    <s v="EJ-Malang-01"/>
    <s v="Oka-0813-2707-1646"/>
    <x v="183"/>
    <d v="1899-12-30T15:01:00"/>
    <s v="EJ-MALANG-01"/>
    <x v="0"/>
    <x v="4"/>
    <s v="ZTE1002"/>
    <s v="Pcs"/>
    <n v="3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16"/>
    <m/>
    <x v="1"/>
    <s v="OUB-W0012406-386"/>
    <s v="EJ-Malang-01"/>
    <s v="Oka-0813-2707-1646"/>
    <x v="183"/>
    <d v="1899-12-30T15:01:00"/>
    <s v="EJ-MALANG-01"/>
    <x v="0"/>
    <x v="5"/>
    <s v="ZTE1001"/>
    <s v="Pcs"/>
    <n v="22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17"/>
    <m/>
    <x v="0"/>
    <s v="INB-W0012406-387"/>
    <s v="EJ-Malang-01"/>
    <s v="Oka-0813-2707-1646"/>
    <x v="184"/>
    <d v="1900-01-14T07:00:00"/>
    <s v="ZTE Warehouse"/>
    <x v="0"/>
    <x v="1"/>
    <s v="ZTE2003"/>
    <s v="Meter"/>
    <n v="3000"/>
    <s v="CLR51-99-044"/>
    <x v="69"/>
    <s v="DOEID240620EP"/>
    <s v="DNWID0342024062018"/>
    <m/>
    <m/>
    <m/>
    <m/>
    <m/>
    <m/>
    <x v="55"/>
    <s v="Kebonagung RW 13 Pakisaji"/>
    <d v="2024-06-24T00:00:00"/>
    <b v="1"/>
    <s v="OUTBOUND_H-ADSS 48C-2024624-01"/>
  </r>
  <r>
    <s v="1218"/>
    <m/>
    <x v="0"/>
    <s v="INB-W0012406-387"/>
    <s v="EJ-Malang-01"/>
    <s v="Oka-0813-2707-1646"/>
    <x v="184"/>
    <d v="1900-01-14T07:00:00"/>
    <s v="ZTE Warehouse"/>
    <x v="0"/>
    <x v="2"/>
    <s v="ZTE2008"/>
    <s v="Pcs"/>
    <n v="30"/>
    <s v="CLR51-02-020"/>
    <x v="68"/>
    <n v="0"/>
    <n v="0"/>
    <m/>
    <m/>
    <m/>
    <m/>
    <m/>
    <m/>
    <x v="2"/>
    <s v="Lowokwaru RW 04"/>
    <e v="#N/A"/>
    <e v="#N/A"/>
    <s v="OUTBOUND_"/>
  </r>
  <r>
    <s v="1219"/>
    <m/>
    <x v="0"/>
    <s v="INB-W0012406-387"/>
    <s v="EJ-Malang-01"/>
    <s v="Oka-0813-2707-1646"/>
    <x v="184"/>
    <d v="1900-01-14T07:00:00"/>
    <s v="ZTE Warehouse"/>
    <x v="0"/>
    <x v="4"/>
    <s v="ZTE1002"/>
    <s v="Pcs"/>
    <n v="13"/>
    <m/>
    <x v="28"/>
    <n v="0"/>
    <n v="0"/>
    <m/>
    <m/>
    <m/>
    <m/>
    <m/>
    <m/>
    <x v="2"/>
    <n v="0"/>
    <e v="#N/A"/>
    <e v="#N/A"/>
    <s v="OUTBOUND_"/>
  </r>
  <r>
    <s v="1220"/>
    <m/>
    <x v="0"/>
    <s v="INB-W0012406-387"/>
    <s v="EJ-Malang-01"/>
    <s v="Oka-0813-2707-1646"/>
    <x v="184"/>
    <d v="1900-01-14T07:00:00"/>
    <s v="ZTE Warehouse"/>
    <x v="0"/>
    <x v="5"/>
    <s v="ZTE1001"/>
    <s v="Pcs"/>
    <n v="165"/>
    <m/>
    <x v="28"/>
    <n v="0"/>
    <n v="0"/>
    <m/>
    <m/>
    <m/>
    <m/>
    <m/>
    <m/>
    <x v="2"/>
    <n v="0"/>
    <e v="#N/A"/>
    <e v="#N/A"/>
    <s v="OUTBOUND_"/>
  </r>
  <r>
    <s v="1221"/>
    <m/>
    <x v="0"/>
    <s v="INB-W0012406-388"/>
    <s v="EJ-Malang-01"/>
    <s v="Oka-0813-2707-1646"/>
    <x v="185"/>
    <d v="1900-01-14T07:00:00"/>
    <s v="ZTE Warehouse"/>
    <x v="0"/>
    <x v="0"/>
    <s v="ZTE2001"/>
    <s v="Meter"/>
    <n v="3000"/>
    <m/>
    <x v="28"/>
    <n v="0"/>
    <n v="0"/>
    <m/>
    <m/>
    <m/>
    <m/>
    <m/>
    <m/>
    <x v="56"/>
    <n v="0"/>
    <e v="#N/A"/>
    <e v="#N/A"/>
    <s v="OUTBOUND_H-ADSS 24C-2024625-01"/>
  </r>
  <r>
    <s v="1222"/>
    <m/>
    <x v="2"/>
    <s v="TFI-W0012406-388"/>
    <s v="EJ-Malang-01"/>
    <s v="Oka-0813-2707-1646"/>
    <x v="185"/>
    <d v="1900-01-14T07:00:00"/>
    <s v="ZTE Warehouse"/>
    <x v="0"/>
    <x v="1"/>
    <s v="ZTE2003"/>
    <s v="Meter"/>
    <n v="3000"/>
    <s v="TRF"/>
    <x v="17"/>
    <n v="0"/>
    <s v="TRANSFER GUDANG"/>
    <m/>
    <m/>
    <m/>
    <m/>
    <m/>
    <m/>
    <x v="57"/>
    <n v="0"/>
    <e v="#N/A"/>
    <e v="#N/A"/>
    <s v="OUTBOUND_H-ADSS 48C-2024625-01"/>
  </r>
  <r>
    <s v="1223"/>
    <m/>
    <x v="2"/>
    <s v="TFI-W0012406-388"/>
    <s v="EJ-Malang-01"/>
    <s v="Oka-0813-2707-1646"/>
    <x v="185"/>
    <d v="1900-01-14T07:00:00"/>
    <s v="ZTE Warehouse"/>
    <x v="0"/>
    <x v="1"/>
    <s v="ZTE2003"/>
    <s v="Meter"/>
    <n v="3000"/>
    <s v="TRF"/>
    <x v="17"/>
    <n v="0"/>
    <s v="TRANSFER GUDANG"/>
    <m/>
    <m/>
    <m/>
    <m/>
    <m/>
    <m/>
    <x v="58"/>
    <n v="0"/>
    <e v="#N/A"/>
    <e v="#N/A"/>
    <s v="OUTBOUND_H-ADSS 48C-2024625-02"/>
  </r>
  <r>
    <s v="1224"/>
    <m/>
    <x v="2"/>
    <s v="TFI-W0012406-388"/>
    <s v="EJ-Malang-01"/>
    <s v="Oka-0813-2707-1646"/>
    <x v="185"/>
    <d v="1900-01-14T07:00:00"/>
    <s v="ZTE Warehouse"/>
    <x v="0"/>
    <x v="1"/>
    <s v="ZTE2003"/>
    <s v="Meter"/>
    <n v="3000"/>
    <s v="TRF"/>
    <x v="17"/>
    <n v="0"/>
    <s v="TRANSFER GUDANG"/>
    <m/>
    <m/>
    <m/>
    <m/>
    <m/>
    <m/>
    <x v="59"/>
    <n v="0"/>
    <e v="#N/A"/>
    <e v="#N/A"/>
    <s v="OUTBOUND_H-ADSS 48C-2024625-03"/>
  </r>
  <r>
    <s v="1225"/>
    <m/>
    <x v="0"/>
    <s v="INB-W0012406-390"/>
    <s v="EJ-Malang-01"/>
    <s v="Oka-0813-2707-1646"/>
    <x v="185"/>
    <d v="1900-01-14T07:00:00"/>
    <s v="GCI Procurement"/>
    <x v="1"/>
    <x v="6"/>
    <s v="GCI1011"/>
    <s v="Pcs"/>
    <n v="2.8"/>
    <n v="0"/>
    <x v="17"/>
    <n v="0"/>
    <n v="0"/>
    <m/>
    <m/>
    <m/>
    <m/>
    <m/>
    <m/>
    <x v="2"/>
    <n v="0"/>
    <e v="#N/A"/>
    <e v="#N/A"/>
    <s v="OUTBOUND_"/>
  </r>
  <r>
    <s v="1226"/>
    <m/>
    <x v="2"/>
    <s v="TFI-W0012406-390"/>
    <s v="EJ-Malang-01"/>
    <s v="Oka-0813-2707-1646"/>
    <x v="185"/>
    <d v="1900-01-14T07:00:00"/>
    <s v="ZTE Warehouse"/>
    <x v="0"/>
    <x v="28"/>
    <s v="ZTE2010"/>
    <s v="Pcs"/>
    <n v="3"/>
    <s v="TRF"/>
    <x v="17"/>
    <n v="0"/>
    <n v="0"/>
    <m/>
    <m/>
    <m/>
    <m/>
    <m/>
    <s v="TRANSFER GUDANG"/>
    <x v="2"/>
    <n v="0"/>
    <e v="#N/A"/>
    <e v="#N/A"/>
    <s v="OUTBOUND_"/>
  </r>
  <r>
    <s v="1227"/>
    <m/>
    <x v="3"/>
    <s v="TFO-W0012406-389"/>
    <s v="EJ-Malang-01"/>
    <s v="Oka-0813-2707-1646"/>
    <x v="185"/>
    <d v="1899-12-30T12:54:00"/>
    <s v="EJ-MALANG-01"/>
    <x v="0"/>
    <x v="28"/>
    <s v="ZTE2010"/>
    <s v="Pcs"/>
    <n v="2"/>
    <s v="TRF"/>
    <x v="10"/>
    <m/>
    <m/>
    <m/>
    <s v="Riki Romansyah"/>
    <s v="Febby Supplier"/>
    <s v="3507050501950006"/>
    <s v="N 8420 EL"/>
    <s v="Transfer"/>
    <x v="2"/>
    <s v="Transfer Gudang"/>
    <e v="#N/A"/>
    <e v="#N/A"/>
    <s v="TRANSFER OUT_"/>
  </r>
  <r>
    <s v="1228"/>
    <m/>
    <x v="0"/>
    <s v="INB-W0012406-390"/>
    <s v="EJ-Malang-01"/>
    <s v="Oka-0813-2707-1646"/>
    <x v="185"/>
    <d v="1900-01-14T07:00:00"/>
    <s v="GCI Procurement"/>
    <x v="1"/>
    <x v="8"/>
    <s v="GCI1005"/>
    <s v="Pcs"/>
    <n v="288"/>
    <n v="0"/>
    <x v="17"/>
    <n v="0"/>
    <n v="0"/>
    <m/>
    <m/>
    <m/>
    <m/>
    <m/>
    <m/>
    <x v="2"/>
    <n v="0"/>
    <e v="#N/A"/>
    <e v="#N/A"/>
    <s v="OUTBOUND_"/>
  </r>
  <r>
    <s v="1229"/>
    <m/>
    <x v="0"/>
    <s v="INB-W0012406-390"/>
    <s v="EJ-Malang-01"/>
    <s v="Oka-0813-2707-1646"/>
    <x v="185"/>
    <d v="1900-01-14T07:00:00"/>
    <s v="GCI Procurement"/>
    <x v="1"/>
    <x v="10"/>
    <s v="GCI1009"/>
    <s v="Pcs"/>
    <n v="680"/>
    <n v="0"/>
    <x v="17"/>
    <n v="0"/>
    <n v="0"/>
    <m/>
    <m/>
    <m/>
    <m/>
    <m/>
    <m/>
    <x v="2"/>
    <n v="0"/>
    <e v="#N/A"/>
    <e v="#N/A"/>
    <s v="OUTBOUND_"/>
  </r>
  <r>
    <s v="1230"/>
    <m/>
    <x v="1"/>
    <s v="OUB-W0012406-389"/>
    <s v="EJ-Malang-01"/>
    <s v="Oka-0813-2707-1646"/>
    <x v="185"/>
    <d v="1899-12-30T12:54:00"/>
    <s v="EJ-MALANG-01"/>
    <x v="0"/>
    <x v="2"/>
    <s v="ZTE2008"/>
    <s v="Pcs"/>
    <n v="10"/>
    <s v="CLR51-02-020"/>
    <x v="68"/>
    <m/>
    <m/>
    <m/>
    <s v="Riki Romansyah"/>
    <s v="Febby Supplier"/>
    <s v="3507050501950006"/>
    <s v="N 8420 EL"/>
    <m/>
    <x v="2"/>
    <s v="Lowokwaru RW 04"/>
    <e v="#N/A"/>
    <e v="#N/A"/>
    <s v="OUTBOUND_"/>
  </r>
  <r>
    <s v="1231"/>
    <m/>
    <x v="1"/>
    <s v="OUB-W0012406-389"/>
    <s v="EJ-Malang-01"/>
    <s v="Oka-0813-2707-1646"/>
    <x v="185"/>
    <d v="1899-12-30T12:54:00"/>
    <s v="EJ-MALANG-01"/>
    <x v="0"/>
    <x v="2"/>
    <s v="ZTE2008"/>
    <s v="Pcs"/>
    <n v="18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32"/>
    <m/>
    <x v="0"/>
    <s v="INB-W0012406-390"/>
    <s v="EJ-Malang-01"/>
    <s v="Oka-0813-2707-1646"/>
    <x v="185"/>
    <d v="1900-01-14T07:00:00"/>
    <s v="ZTE Warehouse"/>
    <x v="0"/>
    <x v="3"/>
    <s v="ZTE2005"/>
    <s v="Pcs"/>
    <n v="1"/>
    <m/>
    <x v="28"/>
    <n v="0"/>
    <n v="0"/>
    <m/>
    <m/>
    <m/>
    <m/>
    <m/>
    <m/>
    <x v="2"/>
    <n v="0"/>
    <e v="#N/A"/>
    <e v="#N/A"/>
    <s v="OUTBOUND_"/>
  </r>
  <r>
    <s v="1233"/>
    <m/>
    <x v="1"/>
    <s v="OUB-W0012406-389"/>
    <s v="EJ-Malang-01"/>
    <s v="Oka-0813-2707-1646"/>
    <x v="185"/>
    <d v="1899-12-30T12:54:00"/>
    <s v="EJ-MALANG-01"/>
    <x v="0"/>
    <x v="3"/>
    <s v="ZTE2005"/>
    <s v="Pcs"/>
    <n v="1"/>
    <s v="CLR51-02-020"/>
    <x v="68"/>
    <m/>
    <m/>
    <m/>
    <s v="Riki Romansyah"/>
    <s v="Febby Supplier"/>
    <s v="3507050501950006"/>
    <s v="N 8420 EL"/>
    <m/>
    <x v="2"/>
    <s v="Lowokwaru RW 04"/>
    <e v="#N/A"/>
    <e v="#N/A"/>
    <s v="OUTBOUND_"/>
  </r>
  <r>
    <s v="1234"/>
    <m/>
    <x v="0"/>
    <s v="INB-W0012406-390"/>
    <s v="EJ-Malang-01"/>
    <s v="Oka-0813-2707-1646"/>
    <x v="185"/>
    <d v="1900-01-14T07:00:00"/>
    <s v="GCI Procurement"/>
    <x v="1"/>
    <x v="11"/>
    <s v="GCI1002"/>
    <s v="Pcs"/>
    <n v="31"/>
    <n v="0"/>
    <x v="17"/>
    <n v="0"/>
    <n v="0"/>
    <m/>
    <m/>
    <m/>
    <m/>
    <m/>
    <m/>
    <x v="2"/>
    <n v="0"/>
    <e v="#N/A"/>
    <e v="#N/A"/>
    <s v="OUTBOUND_"/>
  </r>
  <r>
    <s v="1235"/>
    <m/>
    <x v="2"/>
    <s v="TFI-W0012406-390"/>
    <s v="EJ-Malang-01"/>
    <s v="Oka-0813-2707-1646"/>
    <x v="185"/>
    <d v="1900-01-14T07:00:00"/>
    <s v="ZTE Warehouse"/>
    <x v="0"/>
    <x v="5"/>
    <s v="ZTE1001"/>
    <s v="Pcs"/>
    <n v="1"/>
    <s v="TRF"/>
    <x v="17"/>
    <n v="0"/>
    <s v="TRANSFER GUDANG"/>
    <m/>
    <m/>
    <m/>
    <m/>
    <m/>
    <m/>
    <x v="2"/>
    <n v="0"/>
    <e v="#N/A"/>
    <e v="#N/A"/>
    <s v="OUTBOUND_"/>
  </r>
  <r>
    <s v="1236"/>
    <m/>
    <x v="0"/>
    <s v="INB-W0012406-390"/>
    <s v="EJ-Malang-01"/>
    <s v="Oka-0813-2707-1646"/>
    <x v="185"/>
    <d v="1900-01-14T07:00:00"/>
    <s v="GCI Procurement"/>
    <x v="1"/>
    <x v="12"/>
    <s v="GCI1008"/>
    <s v="Pcs"/>
    <n v="63"/>
    <n v="0"/>
    <x v="17"/>
    <n v="0"/>
    <n v="0"/>
    <m/>
    <m/>
    <m/>
    <m/>
    <m/>
    <m/>
    <x v="2"/>
    <n v="0"/>
    <e v="#N/A"/>
    <e v="#N/A"/>
    <s v="OUTBOUND_"/>
  </r>
  <r>
    <s v="1237"/>
    <m/>
    <x v="0"/>
    <s v="INB-W0012406-390"/>
    <s v="EJ-Malang-01"/>
    <s v="Oka-0813-2707-1646"/>
    <x v="185"/>
    <d v="1900-01-14T07:00:00"/>
    <s v="GCI Procurement"/>
    <x v="1"/>
    <x v="15"/>
    <s v="GCI1003"/>
    <s v="Pcs"/>
    <n v="163"/>
    <n v="0"/>
    <x v="17"/>
    <n v="0"/>
    <n v="0"/>
    <m/>
    <m/>
    <m/>
    <m/>
    <m/>
    <m/>
    <x v="2"/>
    <n v="0"/>
    <e v="#N/A"/>
    <e v="#N/A"/>
    <s v="OUTBOUND_"/>
  </r>
  <r>
    <s v="1238"/>
    <m/>
    <x v="0"/>
    <s v="INB-W0012406-390"/>
    <s v="EJ-Malang-01"/>
    <s v="Oka-0813-2707-1646"/>
    <x v="185"/>
    <d v="1900-01-14T07:00:00"/>
    <s v="GCI Procurement"/>
    <x v="1"/>
    <x v="16"/>
    <s v="GCI1004"/>
    <s v="Pcs"/>
    <n v="127"/>
    <n v="0"/>
    <x v="17"/>
    <n v="0"/>
    <n v="0"/>
    <m/>
    <m/>
    <m/>
    <m/>
    <m/>
    <m/>
    <x v="2"/>
    <n v="0"/>
    <e v="#N/A"/>
    <e v="#N/A"/>
    <s v="OUTBOUND_"/>
  </r>
  <r>
    <s v="1239"/>
    <m/>
    <x v="3"/>
    <s v="TFO-W0012406-392"/>
    <s v="EJ-Malang-01"/>
    <s v="Oka-0813-2707-1646"/>
    <x v="186"/>
    <d v="1899-12-30T21:14:00"/>
    <s v="EJ-MALANG-01"/>
    <x v="0"/>
    <x v="28"/>
    <s v="ZTE2010"/>
    <s v="Pcs"/>
    <n v="3"/>
    <s v="TRF"/>
    <x v="10"/>
    <m/>
    <m/>
    <m/>
    <s v="Sifak"/>
    <n v="0"/>
    <s v="3507312107950002"/>
    <s v="N 1969 FF"/>
    <s v="Transfer"/>
    <x v="2"/>
    <s v="Transfer Gudang"/>
    <e v="#N/A"/>
    <e v="#N/A"/>
    <s v="TRANSFER OUT_"/>
  </r>
  <r>
    <s v="1240"/>
    <m/>
    <x v="1"/>
    <s v="OUB-W0012406-391"/>
    <s v="EJ-Malang-01"/>
    <s v="Oka-0813-2707-1646"/>
    <x v="186"/>
    <d v="1899-12-30T09:57:00"/>
    <s v="EJ-MALANG-01"/>
    <x v="1"/>
    <x v="10"/>
    <s v="GCI1009"/>
    <s v="Pcs"/>
    <n v="222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41"/>
    <m/>
    <x v="1"/>
    <s v="OUB-W0012406-392"/>
    <s v="EJ-Malang-01"/>
    <s v="Oka-0813-2707-1646"/>
    <x v="186"/>
    <d v="1899-12-30T21:14:00"/>
    <s v="EJ-MALANG-01"/>
    <x v="0"/>
    <x v="3"/>
    <s v="ZTE2005"/>
    <s v="Pcs"/>
    <n v="1"/>
    <s v="CLR51-99-044"/>
    <x v="69"/>
    <m/>
    <m/>
    <m/>
    <s v="Sifak"/>
    <n v="0"/>
    <s v="3507312107950002"/>
    <s v="N 1969 FF"/>
    <m/>
    <x v="2"/>
    <s v="Kebonagung RW 13 Pakisaji"/>
    <e v="#N/A"/>
    <e v="#N/A"/>
    <s v="OUTBOUND_"/>
  </r>
  <r>
    <s v="1242"/>
    <m/>
    <x v="1"/>
    <s v="OUB-W0012406-392"/>
    <s v="EJ-Malang-01"/>
    <s v="Oka-0813-2707-1646"/>
    <x v="186"/>
    <d v="1899-12-30T21:14:00"/>
    <s v="EJ-MALANG-01"/>
    <x v="0"/>
    <x v="20"/>
    <s v="ZTE1004"/>
    <s v="Pcs"/>
    <n v="1"/>
    <s v="CLR51-99-044"/>
    <x v="69"/>
    <m/>
    <m/>
    <m/>
    <s v="Sifak"/>
    <n v="0"/>
    <s v="3507312107950002"/>
    <s v="N 1969 FF"/>
    <m/>
    <x v="2"/>
    <s v="Kebonagung RW 13 Pakisaji"/>
    <e v="#N/A"/>
    <e v="#N/A"/>
    <s v="OUTBOUND_"/>
  </r>
  <r>
    <s v="1243"/>
    <m/>
    <x v="1"/>
    <s v="OUB-W0012406-391"/>
    <s v="EJ-Malang-01"/>
    <s v="Oka-0813-2707-1646"/>
    <x v="186"/>
    <d v="1899-12-30T09:57:00"/>
    <s v="EJ-MALANG-01"/>
    <x v="1"/>
    <x v="12"/>
    <s v="GCI1008"/>
    <s v="Pcs"/>
    <n v="60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44"/>
    <m/>
    <x v="1"/>
    <s v="OUB-W0012406-391"/>
    <s v="EJ-Malang-01"/>
    <s v="Oka-0813-2707-1646"/>
    <x v="186"/>
    <d v="1899-12-30T09:57:00"/>
    <s v="EJ-MALANG-01"/>
    <x v="1"/>
    <x v="22"/>
    <s v="GCI1018"/>
    <s v="Pcs"/>
    <n v="15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45"/>
    <m/>
    <x v="1"/>
    <s v="OUB-W0012406-391"/>
    <s v="EJ-Malang-01"/>
    <s v="Oka-0813-2707-1646"/>
    <x v="186"/>
    <d v="1899-12-30T09:57:00"/>
    <s v="EJ-MALANG-01"/>
    <x v="1"/>
    <x v="16"/>
    <s v="GCI1004"/>
    <s v="Pcs"/>
    <n v="51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46"/>
    <m/>
    <x v="1"/>
    <s v="OUB-W0012406-393"/>
    <s v="EJ-Malang-01"/>
    <s v="Oka-0813-2707-1646"/>
    <x v="187"/>
    <d v="1899-12-30T12:53:00"/>
    <s v="EJ-MALANG-01"/>
    <x v="0"/>
    <x v="1"/>
    <s v="ZTE2003"/>
    <s v="Meter"/>
    <n v="3000"/>
    <s v="CLR51-99-061"/>
    <x v="70"/>
    <m/>
    <m/>
    <m/>
    <s v="Riki Romansyah"/>
    <s v="Febby Supplier"/>
    <s v="3507050501950006"/>
    <s v="N 8420 EL"/>
    <n v="2875"/>
    <x v="2"/>
    <s v="Perumahan Perumnas Talangagung I Malang"/>
    <e v="#N/A"/>
    <e v="#N/A"/>
    <s v="OUTBOUND_"/>
  </r>
  <r>
    <s v="1247"/>
    <m/>
    <x v="1"/>
    <s v="OUB-W0012406-393"/>
    <s v="EJ-Malang-01"/>
    <s v="Oka-0813-2707-1646"/>
    <x v="187"/>
    <d v="1899-12-30T12:53:00"/>
    <s v="EJ-MALANG-01"/>
    <x v="0"/>
    <x v="1"/>
    <s v="ZTE2003"/>
    <s v="Meter"/>
    <n v="3000"/>
    <s v="CLR51-99-063"/>
    <x v="71"/>
    <m/>
    <m/>
    <m/>
    <s v="Riki Romansyah"/>
    <s v="Febby Supplier"/>
    <s v="3507050501950006"/>
    <s v="N 8420 EL"/>
    <n v="2725"/>
    <x v="2"/>
    <s v="Perumahan Kepanjen Permai II"/>
    <e v="#N/A"/>
    <e v="#N/A"/>
    <s v="OUTBOUND_"/>
  </r>
  <r>
    <s v="1248"/>
    <m/>
    <x v="1"/>
    <s v="OUB-W0012406-393"/>
    <s v="EJ-Malang-01"/>
    <s v="Oka-0813-2707-1646"/>
    <x v="187"/>
    <d v="1899-12-30T12:53:00"/>
    <s v="EJ-MALANG-01"/>
    <x v="1"/>
    <x v="11"/>
    <s v="GCI1002"/>
    <s v="Pcs"/>
    <n v="2"/>
    <s v="CLR51-99-063"/>
    <x v="71"/>
    <m/>
    <m/>
    <m/>
    <s v="Riki Romansyah"/>
    <s v="Febby Supplier"/>
    <s v="3507050501950006"/>
    <s v="N 8420 EL"/>
    <m/>
    <x v="2"/>
    <s v="Perumahan Kepanjen Permai II"/>
    <e v="#N/A"/>
    <e v="#N/A"/>
    <s v="OUTBOUND_"/>
  </r>
  <r>
    <s v="1249"/>
    <m/>
    <x v="1"/>
    <s v="OUB-W0012406-393"/>
    <s v="EJ-Malang-01"/>
    <s v="Oka-0813-2707-1646"/>
    <x v="187"/>
    <d v="1899-12-30T12:53:00"/>
    <s v="EJ-MALANG-01"/>
    <x v="0"/>
    <x v="5"/>
    <s v="ZTE1001"/>
    <s v="Pcs"/>
    <n v="117"/>
    <s v="CLR51-99-063"/>
    <x v="71"/>
    <m/>
    <m/>
    <m/>
    <s v="Riki Romansyah"/>
    <s v="Febby Supplier"/>
    <s v="3507050501950006"/>
    <s v="N 8420 EL"/>
    <m/>
    <x v="2"/>
    <s v="Perumahan Kepanjen Permai II"/>
    <e v="#N/A"/>
    <e v="#N/A"/>
    <s v="OUTBOUND_"/>
  </r>
  <r>
    <s v="1250"/>
    <m/>
    <x v="1"/>
    <s v="OUB-W0012406-393"/>
    <s v="EJ-Malang-01"/>
    <s v="Oka-0813-2707-1646"/>
    <x v="187"/>
    <d v="1899-12-30T12:53:00"/>
    <s v="EJ-MALANG-01"/>
    <x v="0"/>
    <x v="19"/>
    <s v="ZTE1003"/>
    <s v="Pcs"/>
    <n v="4"/>
    <s v="CLR51-99-044"/>
    <x v="69"/>
    <m/>
    <m/>
    <m/>
    <s v="Riki Romansyah"/>
    <s v="Febby Supplier"/>
    <s v="3507050501950006"/>
    <s v="N 8420 EL"/>
    <m/>
    <x v="2"/>
    <s v="Kebonagung RW 13 Pakisaji"/>
    <e v="#N/A"/>
    <e v="#N/A"/>
    <s v="OUTBOUND_"/>
  </r>
  <r>
    <s v="1251"/>
    <m/>
    <x v="1"/>
    <s v="OUB-W0012406-393"/>
    <s v="EJ-Malang-01"/>
    <s v="Oka-0813-2707-1646"/>
    <x v="187"/>
    <d v="1899-12-30T12:53:00"/>
    <s v="EJ-MALANG-01"/>
    <x v="1"/>
    <x v="15"/>
    <s v="GCI1003"/>
    <s v="Pcs"/>
    <n v="127"/>
    <s v="CLR51-99-063"/>
    <x v="71"/>
    <m/>
    <m/>
    <m/>
    <s v="Riki Romansyah"/>
    <s v="Febby Supplier"/>
    <s v="3507050501950006"/>
    <s v="N 8420 EL"/>
    <m/>
    <x v="2"/>
    <s v="Perumahan Kepanjen Permai II"/>
    <e v="#N/A"/>
    <e v="#N/A"/>
    <s v="OUTBOUND_"/>
  </r>
  <r>
    <s v="1252"/>
    <m/>
    <x v="1"/>
    <s v="OUB-W0012406-393"/>
    <s v="EJ-Malang-01"/>
    <s v="Oka-0813-2707-1646"/>
    <x v="187"/>
    <d v="1899-12-30T12:53:00"/>
    <s v="EJ-MALANG-01"/>
    <x v="1"/>
    <x v="16"/>
    <s v="GCI1004"/>
    <s v="Pcs"/>
    <n v="50"/>
    <s v="CLR51-99-063"/>
    <x v="71"/>
    <m/>
    <m/>
    <m/>
    <s v="Riki Romansyah"/>
    <s v="Febby Supplier"/>
    <s v="3507050501950006"/>
    <s v="N 8420 EL"/>
    <m/>
    <x v="2"/>
    <s v="Perumahan Kepanjen Permai II"/>
    <e v="#N/A"/>
    <e v="#N/A"/>
    <s v="OUTBOUND_"/>
  </r>
  <r>
    <s v="1253"/>
    <m/>
    <x v="0"/>
    <s v="INB-W0012407-395"/>
    <s v="EJ-Malang-01"/>
    <s v="Oka-0813-2707-1646"/>
    <x v="188"/>
    <d v="1900-01-14T07:00:00"/>
    <s v="GCI Procurement"/>
    <x v="1"/>
    <x v="6"/>
    <s v="GCI1011"/>
    <s v="Pcs"/>
    <n v="1"/>
    <n v="0"/>
    <x v="72"/>
    <n v="0"/>
    <n v="0"/>
    <m/>
    <m/>
    <m/>
    <m/>
    <m/>
    <m/>
    <x v="2"/>
    <s v="HALIM JAYA"/>
    <e v="#N/A"/>
    <e v="#N/A"/>
    <s v="OUTBOUND_"/>
  </r>
  <r>
    <s v="1254"/>
    <m/>
    <x v="0"/>
    <s v="INB-W0012407-395"/>
    <s v="EJ-Malang-01"/>
    <s v="Oka-0813-2707-1646"/>
    <x v="188"/>
    <d v="1900-01-14T07:00:00"/>
    <s v="GCI Procurement"/>
    <x v="1"/>
    <x v="8"/>
    <s v="GCI1005"/>
    <s v="Pcs"/>
    <n v="287"/>
    <n v="0"/>
    <x v="72"/>
    <n v="0"/>
    <n v="0"/>
    <m/>
    <m/>
    <m/>
    <m/>
    <m/>
    <m/>
    <x v="2"/>
    <s v="HALIM JAYA"/>
    <e v="#N/A"/>
    <e v="#N/A"/>
    <s v="OUTBOUND_"/>
  </r>
  <r>
    <s v="1255"/>
    <m/>
    <x v="1"/>
    <s v="OUB-W0012407-394"/>
    <s v="EJ-Malang-01"/>
    <s v="Oka-0813-2707-1646"/>
    <x v="188"/>
    <d v="1899-12-30T14:30:00"/>
    <s v="EJ-MALANG-01"/>
    <x v="0"/>
    <x v="4"/>
    <s v="ZTE1002"/>
    <s v="Pcs"/>
    <n v="9"/>
    <s v="CLR51-99-063"/>
    <x v="71"/>
    <m/>
    <m/>
    <m/>
    <s v="Riki Romansyah"/>
    <s v="Febby Supplier"/>
    <s v="3507050501950006"/>
    <s v="N 8420 EL"/>
    <m/>
    <x v="2"/>
    <s v="Perumahan Kepanjen Permai II"/>
    <e v="#N/A"/>
    <e v="#N/A"/>
    <s v="OUTBOUND_"/>
  </r>
  <r>
    <s v="1256"/>
    <m/>
    <x v="1"/>
    <s v="OUB-W0012407-394"/>
    <s v="EJ-Malang-01"/>
    <s v="Oka-0813-2707-1646"/>
    <x v="188"/>
    <d v="1899-12-30T14:30:00"/>
    <s v="EJ-MALANG-01"/>
    <x v="0"/>
    <x v="5"/>
    <s v="ZTE1001"/>
    <s v="Pcs"/>
    <n v="11"/>
    <s v="CLR51-99-063"/>
    <x v="71"/>
    <m/>
    <m/>
    <m/>
    <s v="Riki Romansyah"/>
    <s v="Febby Supplier"/>
    <s v="3507050501950006"/>
    <s v="N 8420 EL"/>
    <m/>
    <x v="2"/>
    <s v="Perumahan Kepanjen Permai II"/>
    <e v="#N/A"/>
    <e v="#N/A"/>
    <s v="OUTBOUND_"/>
  </r>
  <r>
    <s v="1257"/>
    <m/>
    <x v="0"/>
    <s v="INB-W0012407-395"/>
    <s v="EJ-Malang-01"/>
    <s v="Oka-0813-2707-1646"/>
    <x v="188"/>
    <d v="1900-01-14T07:00:00"/>
    <s v="GCI Procurement"/>
    <x v="1"/>
    <x v="12"/>
    <s v="GCI1008"/>
    <s v="Pcs"/>
    <n v="314"/>
    <n v="0"/>
    <x v="72"/>
    <n v="0"/>
    <n v="0"/>
    <m/>
    <m/>
    <m/>
    <m/>
    <m/>
    <m/>
    <x v="2"/>
    <s v="HALIM JAYA"/>
    <e v="#N/A"/>
    <e v="#N/A"/>
    <s v="OUTBOUND_"/>
  </r>
  <r>
    <s v="1258"/>
    <m/>
    <x v="0"/>
    <s v="INB-W0012407-395"/>
    <s v="EJ-Malang-01"/>
    <s v="Oka-0813-2707-1646"/>
    <x v="188"/>
    <d v="1900-01-14T07:00:00"/>
    <s v="GCI Procurement"/>
    <x v="1"/>
    <x v="15"/>
    <s v="GCI1003"/>
    <s v="Pcs"/>
    <n v="430"/>
    <n v="0"/>
    <x v="72"/>
    <n v="0"/>
    <n v="0"/>
    <m/>
    <m/>
    <m/>
    <m/>
    <m/>
    <m/>
    <x v="2"/>
    <s v="HALIM JAYA"/>
    <e v="#N/A"/>
    <e v="#N/A"/>
    <s v="OUTBOUND_"/>
  </r>
  <r>
    <s v="1259"/>
    <m/>
    <x v="0"/>
    <s v="INB-W0012407-395"/>
    <s v="EJ-Malang-01"/>
    <s v="Oka-0813-2707-1646"/>
    <x v="188"/>
    <d v="1900-01-14T07:00:00"/>
    <s v="GCI Procurement"/>
    <x v="1"/>
    <x v="16"/>
    <s v="GCI1004"/>
    <s v="Pcs"/>
    <n v="157"/>
    <n v="0"/>
    <x v="72"/>
    <n v="0"/>
    <n v="0"/>
    <m/>
    <m/>
    <m/>
    <m/>
    <m/>
    <m/>
    <x v="2"/>
    <s v="HALIM JAYA"/>
    <e v="#N/A"/>
    <e v="#N/A"/>
    <s v="OUTBOUND_"/>
  </r>
  <r>
    <s v="1260"/>
    <m/>
    <x v="1"/>
    <s v="OUB-W0012407-396"/>
    <s v="EJ-Malang-01"/>
    <s v="Oka-0813-2707-1646"/>
    <x v="189"/>
    <d v="1899-12-30T10:10:00"/>
    <s v="EJ-MALANG-01"/>
    <x v="0"/>
    <x v="5"/>
    <s v="ZTE1001"/>
    <s v="Pcs"/>
    <n v="28"/>
    <s v="CLR51-99-049"/>
    <x v="73"/>
    <m/>
    <m/>
    <m/>
    <s v="Riki Romansyah"/>
    <s v="Febby Supplier"/>
    <s v="3507050501950006"/>
    <s v="N 8420 EL"/>
    <m/>
    <x v="2"/>
    <s v="Perumahan Panca Garden"/>
    <e v="#N/A"/>
    <e v="#N/A"/>
    <s v="OUTBOUND_"/>
  </r>
  <r>
    <s v="1261"/>
    <m/>
    <x v="1"/>
    <s v="OUB-W0012407-396"/>
    <s v="EJ-Malang-01"/>
    <s v="Oka-0813-2707-1646"/>
    <x v="189"/>
    <d v="1899-12-30T10:10:00"/>
    <s v="EJ-MALANG-01"/>
    <x v="1"/>
    <x v="12"/>
    <s v="GCI1008"/>
    <s v="Pcs"/>
    <n v="100"/>
    <s v="CLR51-99-049"/>
    <x v="73"/>
    <m/>
    <m/>
    <m/>
    <s v="Riki Romansyah"/>
    <s v="Febby Supplier"/>
    <s v="3507050501950006"/>
    <s v="N 8420 EL"/>
    <m/>
    <x v="2"/>
    <s v="Perumahan Panca Garden"/>
    <e v="#N/A"/>
    <e v="#N/A"/>
    <s v="OUTBOUND_"/>
  </r>
  <r>
    <s v="1262"/>
    <m/>
    <x v="1"/>
    <s v="OUB-W0012407-398"/>
    <s v="EJ-Malang-01"/>
    <s v="Oka-0813-2707-1646"/>
    <x v="190"/>
    <d v="1899-12-30T13:09:00"/>
    <s v="EJ-MALANG-01"/>
    <x v="1"/>
    <x v="6"/>
    <s v="GCI1011"/>
    <s v="Pcs"/>
    <n v="1"/>
    <s v="CLR51-99-061"/>
    <x v="70"/>
    <m/>
    <m/>
    <m/>
    <s v="Riki Romansyah"/>
    <s v="Febby Supplier"/>
    <s v="3507050501950006"/>
    <s v="N 8420 EL"/>
    <m/>
    <x v="2"/>
    <s v="Perumahan Perumnas Talangagung I Malang"/>
    <e v="#N/A"/>
    <e v="#N/A"/>
    <s v="OUTBOUND_"/>
  </r>
  <r>
    <s v="1263"/>
    <m/>
    <x v="1"/>
    <s v="OUB-W0012407-398"/>
    <s v="EJ-Malang-01"/>
    <s v="Oka-0813-2707-1646"/>
    <x v="190"/>
    <d v="1899-12-30T13:09:00"/>
    <s v="EJ-MALANG-01"/>
    <x v="1"/>
    <x v="8"/>
    <s v="GCI1005"/>
    <s v="Pcs"/>
    <n v="100"/>
    <s v="CLR51-99-061"/>
    <x v="70"/>
    <m/>
    <m/>
    <m/>
    <s v="Riki Romansyah"/>
    <s v="Febby Supplier"/>
    <s v="3507050501950006"/>
    <s v="N 8420 EL"/>
    <m/>
    <x v="2"/>
    <s v="Perumahan Perumnas Talangagung I Malang"/>
    <e v="#N/A"/>
    <e v="#N/A"/>
    <s v="OUTBOUND_"/>
  </r>
  <r>
    <s v="1264"/>
    <m/>
    <x v="0"/>
    <s v="INB-W0012407-399"/>
    <s v="EJ-Malang-01"/>
    <s v="Oka-0813-2707-1646"/>
    <x v="190"/>
    <d v="1900-01-14T07:00:00"/>
    <s v="GCI Procurement"/>
    <x v="1"/>
    <x v="9"/>
    <s v="GCI1001"/>
    <s v="Pcs"/>
    <n v="133"/>
    <n v="0"/>
    <x v="17"/>
    <n v="0"/>
    <n v="0"/>
    <m/>
    <m/>
    <m/>
    <m/>
    <m/>
    <m/>
    <x v="2"/>
    <n v="0"/>
    <e v="#N/A"/>
    <e v="#N/A"/>
    <s v="OUTBOUND_"/>
  </r>
  <r>
    <s v="1265"/>
    <m/>
    <x v="1"/>
    <s v="OUB-W0012407-398"/>
    <s v="EJ-Malang-01"/>
    <s v="Oka-0813-2707-1646"/>
    <x v="190"/>
    <d v="1899-12-30T13:09:00"/>
    <s v="EJ-MALANG-01"/>
    <x v="1"/>
    <x v="9"/>
    <s v="GCI1001"/>
    <s v="Pcs"/>
    <n v="89"/>
    <s v="CLR51-99-061"/>
    <x v="70"/>
    <m/>
    <m/>
    <m/>
    <s v="Riki Romansyah"/>
    <s v="Febby Supplier"/>
    <s v="3507050501950006"/>
    <s v="N 8420 EL"/>
    <m/>
    <x v="2"/>
    <s v="Perumahan Perumnas Talangagung I Malang"/>
    <e v="#N/A"/>
    <e v="#N/A"/>
    <s v="OUTBOUND_"/>
  </r>
  <r>
    <s v="1266"/>
    <m/>
    <x v="0"/>
    <s v="INB-W0012407-399"/>
    <s v="EJ-Malang-01"/>
    <s v="Oka-0813-2707-1646"/>
    <x v="190"/>
    <d v="1900-01-14T07:00:00"/>
    <s v="GCI Procurement"/>
    <x v="1"/>
    <x v="10"/>
    <s v="GCI1009"/>
    <s v="Pcs"/>
    <n v="628"/>
    <n v="0"/>
    <x v="17"/>
    <n v="0"/>
    <n v="0"/>
    <m/>
    <m/>
    <m/>
    <m/>
    <m/>
    <m/>
    <x v="2"/>
    <n v="0"/>
    <e v="#N/A"/>
    <e v="#N/A"/>
    <s v="OUTBOUND_"/>
  </r>
  <r>
    <s v="1267"/>
    <m/>
    <x v="1"/>
    <s v="OUB-W0012407-398"/>
    <s v="EJ-Malang-01"/>
    <s v="Oka-0813-2707-1646"/>
    <x v="190"/>
    <d v="1899-12-30T13:09:00"/>
    <s v="EJ-MALANG-01"/>
    <x v="1"/>
    <x v="10"/>
    <s v="GCI1009"/>
    <s v="Pcs"/>
    <n v="55"/>
    <s v="CLR51-99-061"/>
    <x v="70"/>
    <m/>
    <m/>
    <m/>
    <s v="Riki Romansyah"/>
    <s v="Febby Supplier"/>
    <s v="3507050501950006"/>
    <s v="N 8420 EL"/>
    <m/>
    <x v="2"/>
    <s v="Perumahan Perumnas Talangagung I Malang"/>
    <e v="#N/A"/>
    <e v="#N/A"/>
    <s v="OUTBOUND_"/>
  </r>
  <r>
    <s v="1268"/>
    <m/>
    <x v="0"/>
    <s v="INB-W0012407-399"/>
    <s v="EJ-Malang-01"/>
    <s v="Oka-0813-2707-1646"/>
    <x v="190"/>
    <d v="1900-01-14T07:00:00"/>
    <s v="GCI Procurement"/>
    <x v="1"/>
    <x v="11"/>
    <s v="GCI1002"/>
    <s v="Pcs"/>
    <n v="9"/>
    <n v="0"/>
    <x v="17"/>
    <n v="0"/>
    <n v="0"/>
    <m/>
    <m/>
    <m/>
    <m/>
    <m/>
    <m/>
    <x v="2"/>
    <n v="0"/>
    <e v="#N/A"/>
    <e v="#N/A"/>
    <s v="OUTBOUND_"/>
  </r>
  <r>
    <s v="1269"/>
    <m/>
    <x v="1"/>
    <s v="OUB-W0012407-398"/>
    <s v="EJ-Malang-01"/>
    <s v="Oka-0813-2707-1646"/>
    <x v="190"/>
    <d v="1899-12-30T13:09:00"/>
    <s v="EJ-MALANG-01"/>
    <x v="1"/>
    <x v="12"/>
    <s v="GCI1008"/>
    <s v="Pcs"/>
    <n v="50"/>
    <s v="CLR51-99-061"/>
    <x v="70"/>
    <m/>
    <m/>
    <m/>
    <s v="Riki Romansyah"/>
    <s v="Febby Supplier"/>
    <s v="3507050501950006"/>
    <s v="N 8420 EL"/>
    <m/>
    <x v="2"/>
    <s v="Perumahan Perumnas Talangagung I Malang"/>
    <e v="#N/A"/>
    <e v="#N/A"/>
    <s v="OUTBOUND_"/>
  </r>
  <r>
    <s v="1270"/>
    <m/>
    <x v="1"/>
    <s v="OUB-W0012407-397"/>
    <s v="EJ-Malang-01"/>
    <s v="Oka-0813-2707-1646"/>
    <x v="190"/>
    <d v="1899-12-30T10:10:00"/>
    <s v="EJ-MALANG-01"/>
    <x v="1"/>
    <x v="12"/>
    <s v="GCI1008"/>
    <s v="Pcs"/>
    <n v="60"/>
    <s v="CLR51-99-063"/>
    <x v="71"/>
    <m/>
    <m/>
    <m/>
    <s v="Riki Romansyah"/>
    <s v="Febby Supplier"/>
    <s v="3507050501950006"/>
    <s v="N 8420 EL"/>
    <m/>
    <x v="2"/>
    <s v="Perumahan Kepanjen Permai II"/>
    <e v="#N/A"/>
    <e v="#N/A"/>
    <s v="OUTBOUND_"/>
  </r>
  <r>
    <s v="1271"/>
    <m/>
    <x v="0"/>
    <s v="INB-W0012407-400"/>
    <s v="EJ-Malang-01"/>
    <s v="Oka-0813-2707-1646"/>
    <x v="191"/>
    <d v="1900-01-14T07:00:00"/>
    <s v="ZTE Warehouse"/>
    <x v="0"/>
    <x v="0"/>
    <s v="ZTE2001"/>
    <s v="Meter"/>
    <n v="3000"/>
    <m/>
    <x v="28"/>
    <n v="0"/>
    <n v="0"/>
    <m/>
    <m/>
    <m/>
    <m/>
    <m/>
    <m/>
    <x v="60"/>
    <n v="0"/>
    <e v="#N/A"/>
    <e v="#N/A"/>
    <s v="OUTBOUND_H-ADSS 24C-202478-01"/>
  </r>
  <r>
    <s v="1272"/>
    <m/>
    <x v="0"/>
    <s v="INB-W0012407-400"/>
    <s v="EJ-Malang-01"/>
    <s v="Oka-0813-2707-1646"/>
    <x v="191"/>
    <d v="1900-01-14T07:00:00"/>
    <s v="ZTE Warehouse"/>
    <x v="0"/>
    <x v="1"/>
    <s v="ZTE2003"/>
    <s v="Meter"/>
    <n v="3000"/>
    <s v="CLR51-99-063"/>
    <x v="71"/>
    <s v="DOEID24070182"/>
    <s v="DNWID0342024070103"/>
    <m/>
    <m/>
    <m/>
    <m/>
    <m/>
    <m/>
    <x v="61"/>
    <s v="Perumahan Kepanjen Permai II"/>
    <d v="2024-07-08T00:00:00"/>
    <b v="1"/>
    <s v="OUTBOUND_H-ADSS 48C-202478-01"/>
  </r>
  <r>
    <s v="1273"/>
    <m/>
    <x v="0"/>
    <s v="INB-W0012407-400"/>
    <s v="EJ-Malang-01"/>
    <s v="Oka-0813-2707-1646"/>
    <x v="191"/>
    <d v="1900-01-14T07:00:00"/>
    <s v="ZTE Warehouse"/>
    <x v="0"/>
    <x v="2"/>
    <s v="ZTE2008"/>
    <s v="Pcs"/>
    <n v="60"/>
    <s v="CLR51-99-061"/>
    <x v="70"/>
    <n v="0"/>
    <n v="0"/>
    <m/>
    <m/>
    <m/>
    <m/>
    <m/>
    <m/>
    <x v="2"/>
    <s v="Perumahan Perumnas Talangagung I Malang"/>
    <e v="#N/A"/>
    <e v="#N/A"/>
    <s v="OUTBOUND_"/>
  </r>
  <r>
    <s v="1274"/>
    <m/>
    <x v="0"/>
    <s v="INB-W0012407-400"/>
    <s v="EJ-Malang-01"/>
    <s v="Oka-0813-2707-1646"/>
    <x v="191"/>
    <d v="1900-01-14T07:00:00"/>
    <s v="ZTE Warehouse"/>
    <x v="0"/>
    <x v="3"/>
    <s v="ZTE2005"/>
    <s v="Pcs"/>
    <n v="6"/>
    <s v="CLR51-99-044"/>
    <x v="69"/>
    <n v="0"/>
    <n v="0"/>
    <m/>
    <m/>
    <m/>
    <m/>
    <m/>
    <m/>
    <x v="2"/>
    <s v="Kebonagung RW 13 Pakisaji"/>
    <e v="#N/A"/>
    <e v="#N/A"/>
    <s v="OUTBOUND_"/>
  </r>
  <r>
    <s v="1275"/>
    <m/>
    <x v="3"/>
    <s v="TFO-W0012407-401"/>
    <s v="EJ-Malang-01"/>
    <s v="Oka-0813-2707-1646"/>
    <x v="192"/>
    <d v="1899-12-30T09:40:00"/>
    <s v="EJ-MALANG-01"/>
    <x v="0"/>
    <x v="28"/>
    <s v="ZTE2010"/>
    <s v="Pcs"/>
    <n v="4"/>
    <s v="TRF"/>
    <x v="10"/>
    <m/>
    <m/>
    <m/>
    <s v="Fatur"/>
    <n v="0"/>
    <s v="3515082712870005"/>
    <s v="W 3265 OH"/>
    <s v="Transfer"/>
    <x v="2"/>
    <s v="Transfer Gudang"/>
    <e v="#N/A"/>
    <e v="#N/A"/>
    <s v="TRANSFER OUT_"/>
  </r>
  <r>
    <s v="1276"/>
    <m/>
    <x v="3"/>
    <s v="TFO-W0012407-402"/>
    <s v="EJ-Malang-01"/>
    <s v="Oka-0813-2707-1646"/>
    <x v="192"/>
    <d v="1899-12-30T15:41:00"/>
    <s v="EJ-MALANG-01"/>
    <x v="0"/>
    <x v="28"/>
    <s v="ZTE2010"/>
    <s v="Pcs"/>
    <n v="4"/>
    <s v="TRF"/>
    <x v="10"/>
    <m/>
    <m/>
    <m/>
    <s v="Sifak"/>
    <n v="0"/>
    <s v="3507312107950002"/>
    <s v="N 1969 FF"/>
    <s v="Transfer"/>
    <x v="2"/>
    <s v="Transfer Gudang"/>
    <e v="#N/A"/>
    <e v="#N/A"/>
    <s v="TRANSFER OUT_"/>
  </r>
  <r>
    <s v="1277"/>
    <m/>
    <x v="1"/>
    <s v="OUB-W0012407-401"/>
    <s v="EJ-Malang-01"/>
    <s v="Oka-0813-2707-1646"/>
    <x v="192"/>
    <d v="1899-12-30T09:40:00"/>
    <s v="EJ-MALANG-01"/>
    <x v="0"/>
    <x v="2"/>
    <s v="ZTE2008"/>
    <s v="Pcs"/>
    <n v="15"/>
    <s v="CLR51-99-061"/>
    <x v="70"/>
    <m/>
    <m/>
    <m/>
    <s v="Fatur"/>
    <n v="0"/>
    <s v="3515082712870005"/>
    <s v="W 3265 OH"/>
    <m/>
    <x v="2"/>
    <s v="Perumahan Perumnas Talangagung I Malang"/>
    <e v="#N/A"/>
    <e v="#N/A"/>
    <s v="OUTBOUND_"/>
  </r>
  <r>
    <s v="1278"/>
    <m/>
    <x v="1"/>
    <s v="OUB-W0012407-402"/>
    <s v="EJ-Malang-01"/>
    <s v="Oka-0813-2707-1646"/>
    <x v="192"/>
    <d v="1899-12-30T15:41:00"/>
    <s v="EJ-MALANG-01"/>
    <x v="0"/>
    <x v="2"/>
    <s v="ZTE2008"/>
    <s v="Pcs"/>
    <n v="31"/>
    <s v="CLR51-99-063"/>
    <x v="71"/>
    <m/>
    <m/>
    <m/>
    <s v="Sifak"/>
    <n v="0"/>
    <s v="3507312107950002"/>
    <s v="N 1969 FF"/>
    <m/>
    <x v="2"/>
    <s v="Perumahan Kepanjen Permai II"/>
    <e v="#N/A"/>
    <e v="#N/A"/>
    <s v="OUTBOUND_"/>
  </r>
  <r>
    <s v="1279"/>
    <m/>
    <x v="1"/>
    <s v="OUB-W0012407-401"/>
    <s v="EJ-Malang-01"/>
    <s v="Oka-0813-2707-1646"/>
    <x v="192"/>
    <d v="1899-12-30T09:40:00"/>
    <s v="EJ-MALANG-01"/>
    <x v="0"/>
    <x v="3"/>
    <s v="ZTE2005"/>
    <s v="Pcs"/>
    <n v="1"/>
    <s v="CLR51-99-061"/>
    <x v="70"/>
    <m/>
    <m/>
    <m/>
    <s v="Fatur"/>
    <n v="0"/>
    <s v="3515082712870005"/>
    <s v="W 3265 OH"/>
    <m/>
    <x v="2"/>
    <s v="Perumahan Perumnas Talangagung I Malang"/>
    <e v="#N/A"/>
    <e v="#N/A"/>
    <s v="OUTBOUND_"/>
  </r>
  <r>
    <s v="1280"/>
    <m/>
    <x v="1"/>
    <s v="OUB-W0012407-402"/>
    <s v="EJ-Malang-01"/>
    <s v="Oka-0813-2707-1646"/>
    <x v="192"/>
    <d v="1899-12-30T15:41:00"/>
    <s v="EJ-MALANG-01"/>
    <x v="0"/>
    <x v="3"/>
    <s v="ZTE2005"/>
    <s v="Pcs"/>
    <n v="2"/>
    <s v="CLR51-99-063"/>
    <x v="71"/>
    <m/>
    <m/>
    <m/>
    <s v="Sifak"/>
    <n v="0"/>
    <s v="3507312107950002"/>
    <s v="N 1969 FF"/>
    <m/>
    <x v="2"/>
    <s v="Perumahan Kepanjen Permai II"/>
    <e v="#N/A"/>
    <e v="#N/A"/>
    <s v="OUTBOUND_"/>
  </r>
  <r>
    <s v="1281"/>
    <m/>
    <x v="1"/>
    <s v="OUB-W0012407-403"/>
    <s v="EJ-Malang-01"/>
    <s v="Oka-0813-2707-1646"/>
    <x v="193"/>
    <d v="1899-12-30T21:28:00"/>
    <s v="EJ-MALANG-01"/>
    <x v="0"/>
    <x v="2"/>
    <s v="ZTE2008"/>
    <s v="Pcs"/>
    <n v="14"/>
    <s v="CLR51-99-061"/>
    <x v="70"/>
    <m/>
    <m/>
    <m/>
    <s v="Fatur"/>
    <n v="0"/>
    <s v="3515082712870005"/>
    <s v="W 3265 OH"/>
    <m/>
    <x v="2"/>
    <s v="Perumahan Perumnas Talangagung I Malang"/>
    <e v="#N/A"/>
    <e v="#N/A"/>
    <s v="OUTBOUND_"/>
  </r>
  <r>
    <s v="1282"/>
    <m/>
    <x v="1"/>
    <s v="OUB-W0012407-403"/>
    <s v="EJ-Malang-01"/>
    <s v="Oka-0813-2707-1646"/>
    <x v="193"/>
    <d v="1899-12-30T21:28:00"/>
    <s v="EJ-MALANG-01"/>
    <x v="0"/>
    <x v="3"/>
    <s v="ZTE2005"/>
    <s v="Pcs"/>
    <n v="1"/>
    <s v="CLR51-99-061"/>
    <x v="70"/>
    <m/>
    <m/>
    <m/>
    <s v="Fatur"/>
    <n v="0"/>
    <s v="3515082712870005"/>
    <s v="W 3265 OH"/>
    <m/>
    <x v="2"/>
    <s v="Perumahan Perumnas Talangagung I Malang"/>
    <e v="#N/A"/>
    <e v="#N/A"/>
    <s v="OUTBOUND_"/>
  </r>
  <r>
    <s v="1283"/>
    <m/>
    <x v="1"/>
    <s v="OUB-W0012407-404"/>
    <s v="EJ-Malang-01"/>
    <s v="Oka-0813-2707-1646"/>
    <x v="194"/>
    <d v="1899-12-30T09:36:00"/>
    <s v="EJ-MALANG-01"/>
    <x v="0"/>
    <x v="0"/>
    <s v="ZTE2001"/>
    <s v="Meter"/>
    <n v="3000"/>
    <s v="CLR51-02-017"/>
    <x v="74"/>
    <m/>
    <m/>
    <m/>
    <s v="Riki Romansyah"/>
    <s v="Febby Supplier"/>
    <s v="3507050501950006"/>
    <s v="N 8420 EL"/>
    <m/>
    <x v="2"/>
    <s v="Ngenep RW 04 Karang Ploso"/>
    <e v="#N/A"/>
    <e v="#N/A"/>
    <s v="OUTBOUND_"/>
  </r>
  <r>
    <s v="1284"/>
    <m/>
    <x v="1"/>
    <s v="OUB-W0012407-404"/>
    <s v="EJ-Malang-01"/>
    <s v="Oka-0813-2707-1646"/>
    <x v="194"/>
    <d v="1899-12-30T09:36:00"/>
    <s v="EJ-MALANG-01"/>
    <x v="1"/>
    <x v="6"/>
    <s v="GCI1011"/>
    <s v="Pcs"/>
    <n v="0.8"/>
    <s v="CLR51-02-016"/>
    <x v="75"/>
    <m/>
    <m/>
    <m/>
    <s v="Riki Romansyah"/>
    <s v="Febby Supplier"/>
    <s v="3507050501950006"/>
    <s v="N 8420 EL"/>
    <m/>
    <x v="2"/>
    <s v="Ngenep RW 06 Karang Ploso"/>
    <e v="#N/A"/>
    <e v="#N/A"/>
    <s v="OUTBOUND_"/>
  </r>
  <r>
    <s v="1285"/>
    <m/>
    <x v="1"/>
    <s v="OUB-W0012407-404"/>
    <s v="EJ-Malang-01"/>
    <s v="Oka-0813-2707-1646"/>
    <x v="194"/>
    <d v="1899-12-30T09:36:00"/>
    <s v="EJ-MALANG-01"/>
    <x v="1"/>
    <x v="8"/>
    <s v="GCI1005"/>
    <s v="Pcs"/>
    <n v="30"/>
    <s v="CLR51-02-016"/>
    <x v="75"/>
    <m/>
    <m/>
    <m/>
    <s v="Riki Romansyah"/>
    <s v="Febby Supplier"/>
    <s v="3507050501950006"/>
    <s v="N 8420 EL"/>
    <m/>
    <x v="2"/>
    <s v="Ngenep RW 06 Karang Ploso"/>
    <e v="#N/A"/>
    <e v="#N/A"/>
    <s v="OUTBOUND_"/>
  </r>
  <r>
    <s v="1286"/>
    <m/>
    <x v="1"/>
    <s v="OUB-W0012407-404"/>
    <s v="EJ-Malang-01"/>
    <s v="Oka-0813-2707-1646"/>
    <x v="194"/>
    <d v="1899-12-30T09:36:00"/>
    <s v="EJ-MALANG-01"/>
    <x v="1"/>
    <x v="9"/>
    <s v="GCI1001"/>
    <s v="Pcs"/>
    <n v="6"/>
    <s v="CLR51-02-016"/>
    <x v="75"/>
    <m/>
    <m/>
    <m/>
    <s v="Riki Romansyah"/>
    <s v="Febby Supplier"/>
    <s v="3507050501950006"/>
    <s v="N 8420 EL"/>
    <m/>
    <x v="2"/>
    <s v="Ngenep RW 06 Karang Ploso"/>
    <e v="#N/A"/>
    <e v="#N/A"/>
    <s v="OUTBOUND_"/>
  </r>
  <r>
    <s v="1287"/>
    <m/>
    <x v="1"/>
    <s v="OUB-W0012407-404"/>
    <s v="EJ-Malang-01"/>
    <s v="Oka-0813-2707-1646"/>
    <x v="194"/>
    <d v="1899-12-30T09:36:00"/>
    <s v="EJ-MALANG-01"/>
    <x v="1"/>
    <x v="10"/>
    <s v="GCI1009"/>
    <s v="Pcs"/>
    <n v="70"/>
    <s v="CLR51-02-016"/>
    <x v="75"/>
    <m/>
    <m/>
    <m/>
    <s v="Riki Romansyah"/>
    <s v="Febby Supplier"/>
    <s v="3507050501950006"/>
    <s v="N 8420 EL"/>
    <m/>
    <x v="2"/>
    <s v="Ngenep RW 06 Karang Ploso"/>
    <e v="#N/A"/>
    <e v="#N/A"/>
    <s v="OUTBOUND_"/>
  </r>
  <r>
    <s v="1288"/>
    <m/>
    <x v="1"/>
    <s v="OUB-W0012407-404"/>
    <s v="EJ-Malang-01"/>
    <s v="Oka-0813-2707-1646"/>
    <x v="194"/>
    <d v="1899-12-30T09:36:00"/>
    <s v="EJ-MALANG-01"/>
    <x v="0"/>
    <x v="4"/>
    <s v="ZTE1002"/>
    <s v="Pcs"/>
    <n v="3"/>
    <s v="CLR51-02-016"/>
    <x v="75"/>
    <m/>
    <m/>
    <m/>
    <s v="Riki Romansyah"/>
    <s v="Febby Supplier"/>
    <s v="3507050501950006"/>
    <s v="N 8420 EL"/>
    <m/>
    <x v="2"/>
    <s v="Ngenep RW 06 Karang Ploso"/>
    <e v="#N/A"/>
    <e v="#N/A"/>
    <s v="OUTBOUND_"/>
  </r>
  <r>
    <s v="1289"/>
    <m/>
    <x v="1"/>
    <s v="OUB-W0012407-404"/>
    <s v="EJ-Malang-01"/>
    <s v="Oka-0813-2707-1646"/>
    <x v="194"/>
    <d v="1899-12-30T09:36:00"/>
    <s v="EJ-MALANG-01"/>
    <x v="0"/>
    <x v="5"/>
    <s v="ZTE1001"/>
    <s v="Pcs"/>
    <n v="23"/>
    <s v="CLR51-02-016"/>
    <x v="75"/>
    <m/>
    <m/>
    <m/>
    <s v="Riki Romansyah"/>
    <s v="Febby Supplier"/>
    <s v="3507050501950006"/>
    <s v="N 8420 EL"/>
    <m/>
    <x v="2"/>
    <s v="Ngenep RW 06 Karang Ploso"/>
    <e v="#N/A"/>
    <e v="#N/A"/>
    <s v="OUTBOUND_"/>
  </r>
  <r>
    <s v="1290"/>
    <m/>
    <x v="1"/>
    <s v="OUB-W0012407-404"/>
    <s v="EJ-Malang-01"/>
    <s v="Oka-0813-2707-1646"/>
    <x v="194"/>
    <d v="1899-12-30T09:36:00"/>
    <s v="EJ-MALANG-01"/>
    <x v="1"/>
    <x v="12"/>
    <s v="GCI1008"/>
    <s v="Pcs"/>
    <n v="12"/>
    <s v="CLR51-02-016"/>
    <x v="75"/>
    <m/>
    <m/>
    <m/>
    <s v="Riki Romansyah"/>
    <s v="Febby Supplier"/>
    <s v="3507050501950006"/>
    <s v="N 8420 EL"/>
    <m/>
    <x v="2"/>
    <s v="Ngenep RW 06 Karang Ploso"/>
    <e v="#N/A"/>
    <e v="#N/A"/>
    <s v="OUTBOUND_"/>
  </r>
  <r>
    <s v="1291"/>
    <m/>
    <x v="3"/>
    <s v="TFO-W0012407-405"/>
    <s v="EJ-Malang-01"/>
    <s v="Oka-0813-2707-1646"/>
    <x v="195"/>
    <d v="1899-12-30T16:08:00"/>
    <s v="EJ-MALANG-01"/>
    <x v="0"/>
    <x v="28"/>
    <s v="ZTE2010"/>
    <s v="Pcs"/>
    <n v="2"/>
    <s v="TRF"/>
    <x v="10"/>
    <m/>
    <m/>
    <m/>
    <s v="Riki Romansyah"/>
    <s v="Febby Supplier"/>
    <s v="3507050501950006"/>
    <s v="N 8420 EL"/>
    <s v="Transfer"/>
    <x v="2"/>
    <s v="Transfer Gudang"/>
    <e v="#N/A"/>
    <e v="#N/A"/>
    <s v="TRANSFER OUT_"/>
  </r>
  <r>
    <s v="1292"/>
    <m/>
    <x v="1"/>
    <s v="OUB-W0012407-405"/>
    <s v="EJ-Malang-01"/>
    <s v="Oka-0813-2707-1646"/>
    <x v="195"/>
    <d v="1899-12-30T16:08:00"/>
    <s v="EJ-MALANG-01"/>
    <x v="1"/>
    <x v="10"/>
    <s v="GCI1009"/>
    <s v="Pcs"/>
    <n v="50"/>
    <s v="CLR51-99-061"/>
    <x v="70"/>
    <m/>
    <m/>
    <m/>
    <s v="Riki Romansyah"/>
    <s v="Febby Supplier"/>
    <s v="3507050501950006"/>
    <s v="N 8420 EL"/>
    <m/>
    <x v="2"/>
    <s v="Perumahan Perumnas Talangagung I Malang"/>
    <e v="#N/A"/>
    <e v="#N/A"/>
    <s v="OUTBOUND_"/>
  </r>
  <r>
    <s v="1293"/>
    <m/>
    <x v="1"/>
    <s v="OUB-W0012407-405"/>
    <s v="EJ-Malang-01"/>
    <s v="Oka-0813-2707-1646"/>
    <x v="195"/>
    <d v="1899-12-30T16:08:00"/>
    <s v="EJ-MALANG-01"/>
    <x v="0"/>
    <x v="2"/>
    <s v="ZTE2008"/>
    <s v="Pcs"/>
    <n v="9"/>
    <s v="CLR51-99-049"/>
    <x v="73"/>
    <m/>
    <m/>
    <m/>
    <s v="Riki Romansyah"/>
    <s v="Febby Supplier"/>
    <s v="3507050501950006"/>
    <s v="N 8420 EL"/>
    <m/>
    <x v="2"/>
    <s v="Perumahan Panca Garden"/>
    <e v="#N/A"/>
    <e v="#N/A"/>
    <s v="OUTBOUND_"/>
  </r>
  <r>
    <s v="1294"/>
    <m/>
    <x v="1"/>
    <s v="OUB-W0012407-406"/>
    <s v="EJ-Malang-01"/>
    <s v="Oka-0813-2707-1646"/>
    <x v="195"/>
    <d v="1899-12-30T18:29:00"/>
    <s v="EJ-MALANG-01"/>
    <x v="0"/>
    <x v="2"/>
    <s v="ZTE2008"/>
    <s v="Pcs"/>
    <n v="12"/>
    <s v="CLR51-02-016"/>
    <x v="75"/>
    <m/>
    <m/>
    <m/>
    <s v="Sifak"/>
    <n v="0"/>
    <s v="3507312107950002"/>
    <s v="N 1969 FF"/>
    <m/>
    <x v="2"/>
    <s v="Ngenep RW 06 Karang Ploso"/>
    <e v="#N/A"/>
    <e v="#N/A"/>
    <s v="OUTBOUND_"/>
  </r>
  <r>
    <s v="1295"/>
    <m/>
    <x v="1"/>
    <s v="OUB-W0012407-405"/>
    <s v="EJ-Malang-01"/>
    <s v="Oka-0813-2707-1646"/>
    <x v="195"/>
    <d v="1899-12-30T16:08:00"/>
    <s v="EJ-MALANG-01"/>
    <x v="0"/>
    <x v="3"/>
    <s v="ZTE2005"/>
    <s v="Pcs"/>
    <n v="1"/>
    <s v="CLR51-99-049"/>
    <x v="73"/>
    <m/>
    <m/>
    <m/>
    <s v="Riki Romansyah"/>
    <s v="Febby Supplier"/>
    <s v="3507050501950006"/>
    <s v="N 8420 EL"/>
    <m/>
    <x v="2"/>
    <s v="Perumahan Panca Garden"/>
    <e v="#N/A"/>
    <e v="#N/A"/>
    <s v="OUTBOUND_"/>
  </r>
  <r>
    <s v="1296"/>
    <m/>
    <x v="1"/>
    <s v="OUB-W0012407-406"/>
    <s v="EJ-Malang-01"/>
    <s v="Oka-0813-2707-1646"/>
    <x v="195"/>
    <d v="1899-12-30T18:29:00"/>
    <s v="EJ-MALANG-01"/>
    <x v="0"/>
    <x v="3"/>
    <s v="ZTE2005"/>
    <s v="Pcs"/>
    <n v="1"/>
    <s v="CLR51-02-016"/>
    <x v="75"/>
    <m/>
    <m/>
    <m/>
    <s v="Sifak"/>
    <n v="0"/>
    <s v="3507312107950002"/>
    <s v="N 1969 FF"/>
    <m/>
    <x v="2"/>
    <s v="Ngenep RW 06 Karang Ploso"/>
    <e v="#N/A"/>
    <e v="#N/A"/>
    <s v="OUTBOUND_"/>
  </r>
  <r>
    <s v="1297"/>
    <m/>
    <x v="1"/>
    <s v="OUB-W0012407-405"/>
    <s v="EJ-Malang-01"/>
    <s v="Oka-0813-2707-1646"/>
    <x v="195"/>
    <d v="1899-12-30T16:08:00"/>
    <s v="EJ-MALANG-01"/>
    <x v="0"/>
    <x v="5"/>
    <s v="ZTE1001"/>
    <s v="Pcs"/>
    <n v="20"/>
    <s v="CLR51-99-061"/>
    <x v="70"/>
    <m/>
    <m/>
    <m/>
    <s v="Riki Romansyah"/>
    <s v="Febby Supplier"/>
    <s v="3507050501950006"/>
    <s v="N 8420 EL"/>
    <m/>
    <x v="2"/>
    <s v="Perumahan Perumnas Talangagung I Malang"/>
    <e v="#N/A"/>
    <e v="#N/A"/>
    <s v="OUTBOUND_"/>
  </r>
  <r>
    <s v="1298"/>
    <m/>
    <x v="1"/>
    <s v="OUB-W0012407-405"/>
    <s v="EJ-Malang-01"/>
    <s v="Oka-0813-2707-1646"/>
    <x v="195"/>
    <d v="1899-12-30T16:08:00"/>
    <s v="EJ-MALANG-01"/>
    <x v="1"/>
    <x v="12"/>
    <s v="GCI1008"/>
    <s v="Pcs"/>
    <n v="50"/>
    <s v="CLR51-99-061"/>
    <x v="70"/>
    <m/>
    <m/>
    <m/>
    <s v="Riki Romansyah"/>
    <s v="Febby Supplier"/>
    <s v="3507050501950006"/>
    <s v="N 8420 EL"/>
    <m/>
    <x v="2"/>
    <s v="Perumahan Perumnas Talangagung I Malang"/>
    <e v="#N/A"/>
    <e v="#N/A"/>
    <s v="OUTBOUND_"/>
  </r>
  <r>
    <s v="1299"/>
    <m/>
    <x v="1"/>
    <s v="OUB-W0012407-407"/>
    <s v="EJ-Malang-01"/>
    <s v="Oka-0813-2707-1646"/>
    <x v="196"/>
    <d v="1899-12-30T09:40:00"/>
    <s v="EJ-MALANG-01"/>
    <x v="1"/>
    <x v="8"/>
    <s v="GCI1005"/>
    <s v="Pcs"/>
    <n v="15"/>
    <s v="CLR51-02-016"/>
    <x v="75"/>
    <m/>
    <m/>
    <m/>
    <s v="Riki Romansyah"/>
    <s v="Febby Supplier"/>
    <s v="3507050501950006"/>
    <s v="N 8420 EL"/>
    <m/>
    <x v="2"/>
    <s v="Ngenep RW 06 Karang Ploso"/>
    <e v="#N/A"/>
    <e v="#N/A"/>
    <s v="OUTBOUND_"/>
  </r>
  <r>
    <s v="1300"/>
    <m/>
    <x v="1"/>
    <s v="OUB-W0012407-407"/>
    <s v="EJ-Malang-01"/>
    <s v="Oka-0813-2707-1646"/>
    <x v="196"/>
    <d v="1899-12-30T09:40:00"/>
    <s v="EJ-MALANG-01"/>
    <x v="1"/>
    <x v="9"/>
    <s v="GCI1001"/>
    <s v="Pcs"/>
    <n v="3"/>
    <s v="CLR51-02-016"/>
    <x v="75"/>
    <m/>
    <m/>
    <m/>
    <s v="Riki Romansyah"/>
    <s v="Febby Supplier"/>
    <s v="3507050501950006"/>
    <s v="N 8420 EL"/>
    <m/>
    <x v="2"/>
    <s v="Ngenep RW 06 Karang Ploso"/>
    <e v="#N/A"/>
    <e v="#N/A"/>
    <s v="OUTBOUND_"/>
  </r>
  <r>
    <s v="1301"/>
    <m/>
    <x v="1"/>
    <s v="OUB-W0012407-407"/>
    <s v="EJ-Malang-01"/>
    <s v="Oka-0813-2707-1646"/>
    <x v="196"/>
    <d v="1899-12-30T09:40:00"/>
    <s v="EJ-MALANG-01"/>
    <x v="0"/>
    <x v="4"/>
    <s v="ZTE1002"/>
    <s v="Pcs"/>
    <n v="2"/>
    <s v="CLR51-02-016"/>
    <x v="75"/>
    <m/>
    <m/>
    <m/>
    <s v="Riki Romansyah"/>
    <s v="Febby Supplier"/>
    <s v="3507050501950006"/>
    <s v="N 8420 EL"/>
    <m/>
    <x v="2"/>
    <s v="Ngenep RW 06 Karang Ploso"/>
    <e v="#N/A"/>
    <e v="#N/A"/>
    <s v="OUTBOUND_"/>
  </r>
  <r>
    <s v="1302"/>
    <m/>
    <x v="4"/>
    <s v="BOI-W0012407-408"/>
    <s v="EJ-Malang-01"/>
    <s v="Oka-0813-2707-1646"/>
    <x v="197"/>
    <d v="1900-01-14T07:00:00"/>
    <s v="Other Subcon"/>
    <x v="0"/>
    <x v="31"/>
    <s v="ZTE2004"/>
    <s v="Meter"/>
    <n v="3000"/>
    <s v="BR005"/>
    <x v="21"/>
    <n v="0"/>
    <n v="0"/>
    <m/>
    <m/>
    <m/>
    <m/>
    <m/>
    <s v="Borrow From Morasa"/>
    <x v="62"/>
    <s v="MORASHA"/>
    <e v="#N/A"/>
    <e v="#N/A"/>
    <s v="OUTBOUND_H-ADSS 144C-2024722-01"/>
  </r>
  <r>
    <s v="1303"/>
    <m/>
    <x v="4"/>
    <s v="BOI-W0012407-408"/>
    <s v="EJ-Malang-01"/>
    <s v="Oka-0813-2707-1646"/>
    <x v="197"/>
    <d v="1900-01-14T07:00:00"/>
    <s v="Other Subcon"/>
    <x v="0"/>
    <x v="31"/>
    <s v="ZTE2004"/>
    <s v="Meter"/>
    <n v="3000"/>
    <s v="BR005"/>
    <x v="21"/>
    <n v="0"/>
    <n v="0"/>
    <m/>
    <m/>
    <m/>
    <m/>
    <m/>
    <m/>
    <x v="63"/>
    <s v="MORASHA"/>
    <e v="#N/A"/>
    <e v="#N/A"/>
    <s v="OUTBOUND_H-ADSS 144C-2024722-02"/>
  </r>
  <r>
    <s v="1304"/>
    <m/>
    <x v="1"/>
    <s v="OUB-W0012407-410"/>
    <s v="EJ-Malang-01"/>
    <s v="Oka-0813-2707-1646"/>
    <x v="198"/>
    <d v="1899-12-30T07:00:00"/>
    <s v="EJ-MALANG-01"/>
    <x v="0"/>
    <x v="31"/>
    <s v="ZTE2004"/>
    <s v="Meter"/>
    <n v="3000"/>
    <s v="MF51-03"/>
    <x v="76"/>
    <m/>
    <m/>
    <m/>
    <s v="Riki Romansyah"/>
    <s v="Febby Supplier"/>
    <s v="3507050501950006"/>
    <s v="N 8420 EL"/>
    <m/>
    <x v="62"/>
    <s v="HUBFEEDER KEPANJEN TO JATIKERTO"/>
    <e v="#N/A"/>
    <e v="#N/A"/>
    <s v="OUTBOUND_H-ADSS 144C-2024722-01"/>
  </r>
  <r>
    <s v="1305"/>
    <m/>
    <x v="1"/>
    <s v="OUB-W0012407-410"/>
    <s v="EJ-Malang-01"/>
    <s v="Oka-0813-2707-1646"/>
    <x v="198"/>
    <d v="1899-12-30T07:00:00"/>
    <s v="EJ-MALANG-01"/>
    <x v="0"/>
    <x v="31"/>
    <s v="ZTE2004"/>
    <s v="Meter"/>
    <n v="3000"/>
    <s v="MF51-03"/>
    <x v="76"/>
    <m/>
    <m/>
    <m/>
    <s v="Riki Romansyah"/>
    <s v="Febby Supplier"/>
    <s v="3507050501950006"/>
    <s v="N 8420 EL"/>
    <s v="use 1500"/>
    <x v="63"/>
    <s v="HUBFEEDER KEPANJEN TO JATIKERTO"/>
    <e v="#N/A"/>
    <e v="#N/A"/>
    <s v="OUTBOUND_H-ADSS 144C-2024722-02"/>
  </r>
  <r>
    <s v="1306"/>
    <m/>
    <x v="0"/>
    <s v="INB-W0012407-409"/>
    <s v="EJ-Malang-01"/>
    <s v="Oka-0813-2707-1646"/>
    <x v="198"/>
    <d v="1900-01-14T07:00:00"/>
    <s v="ZTE Warehouse"/>
    <x v="0"/>
    <x v="0"/>
    <s v="ZTE2001"/>
    <s v="Meter"/>
    <n v="3000"/>
    <m/>
    <x v="28"/>
    <n v="0"/>
    <n v="0"/>
    <m/>
    <m/>
    <m/>
    <m/>
    <m/>
    <m/>
    <x v="64"/>
    <n v="0"/>
    <e v="#N/A"/>
    <e v="#N/A"/>
    <s v="OUTBOUND_H-ADSS 24C-2024723-01"/>
  </r>
  <r>
    <s v="1307"/>
    <m/>
    <x v="0"/>
    <s v="INB-W0012407-409"/>
    <s v="EJ-Malang-01"/>
    <s v="Oka-0813-2707-1646"/>
    <x v="198"/>
    <d v="1900-01-14T07:00:00"/>
    <s v="ZTE Warehouse"/>
    <x v="0"/>
    <x v="0"/>
    <s v="ZTE2001"/>
    <s v="Meter"/>
    <n v="3000"/>
    <m/>
    <x v="28"/>
    <n v="0"/>
    <n v="0"/>
    <m/>
    <m/>
    <m/>
    <m/>
    <m/>
    <m/>
    <x v="65"/>
    <n v="0"/>
    <e v="#N/A"/>
    <e v="#N/A"/>
    <s v="OUTBOUND_H-ADSS 24C-2024723-02"/>
  </r>
  <r>
    <s v="1308"/>
    <m/>
    <x v="0"/>
    <s v="INB-W0012407-409"/>
    <s v="EJ-Malang-01"/>
    <s v="Oka-0813-2707-1646"/>
    <x v="198"/>
    <d v="1900-01-14T07:00:00"/>
    <s v="ZTE Warehouse"/>
    <x v="0"/>
    <x v="1"/>
    <s v="ZTE2003"/>
    <s v="Meter"/>
    <n v="3000"/>
    <s v="CLR51-03-005"/>
    <x v="77"/>
    <s v="DOEID240722D0"/>
    <s v="DNWID0342024072313"/>
    <m/>
    <m/>
    <m/>
    <m/>
    <m/>
    <m/>
    <x v="66"/>
    <s v="Dusun Langlang IV Singosari"/>
    <d v="2024-07-23T00:00:00"/>
    <b v="1"/>
    <s v="OUTBOUND_H-ADSS 48C-2024723-01"/>
  </r>
  <r>
    <s v="1309"/>
    <m/>
    <x v="2"/>
    <s v="TFI-W0012407-412"/>
    <s v="EJ-Malang-01"/>
    <s v="Oka-0813-2707-1646"/>
    <x v="198"/>
    <d v="1900-01-14T07:00:00"/>
    <s v="ZTE Warehouse"/>
    <x v="0"/>
    <x v="28"/>
    <s v="ZTE2010"/>
    <s v="Pcs"/>
    <n v="6"/>
    <s v="TRF"/>
    <x v="17"/>
    <n v="0"/>
    <n v="0"/>
    <m/>
    <m/>
    <m/>
    <m/>
    <m/>
    <s v="TRANSFER GUDANG"/>
    <x v="2"/>
    <n v="0"/>
    <e v="#N/A"/>
    <e v="#N/A"/>
    <s v="OUTBOUND_"/>
  </r>
  <r>
    <s v="1310"/>
    <m/>
    <x v="0"/>
    <s v="INB-W0012407-412"/>
    <s v="EJ-Malang-01"/>
    <s v="Oka-0813-2707-1646"/>
    <x v="198"/>
    <d v="1900-01-14T07:00:00"/>
    <s v="GCI Procurement"/>
    <x v="1"/>
    <x v="10"/>
    <s v="GCI1009"/>
    <s v="Pcs"/>
    <n v="400"/>
    <n v="0"/>
    <x v="17"/>
    <n v="0"/>
    <n v="0"/>
    <m/>
    <m/>
    <m/>
    <m/>
    <m/>
    <m/>
    <x v="2"/>
    <n v="0"/>
    <e v="#N/A"/>
    <e v="#N/A"/>
    <s v="OUTBOUND_"/>
  </r>
  <r>
    <s v="1311"/>
    <m/>
    <x v="0"/>
    <s v="INB-W0012407-412"/>
    <s v="EJ-Malang-01"/>
    <s v="Oka-0813-2707-1646"/>
    <x v="198"/>
    <d v="1900-01-14T07:00:00"/>
    <s v="ZTE Warehouse"/>
    <x v="0"/>
    <x v="2"/>
    <s v="ZTE2008"/>
    <s v="Pcs"/>
    <n v="37"/>
    <m/>
    <x v="28"/>
    <n v="0"/>
    <n v="0"/>
    <m/>
    <m/>
    <m/>
    <m/>
    <m/>
    <m/>
    <x v="2"/>
    <n v="0"/>
    <e v="#N/A"/>
    <e v="#N/A"/>
    <s v="OUTBOUND_"/>
  </r>
  <r>
    <s v="1312"/>
    <m/>
    <x v="0"/>
    <s v="INB-W0012407-412"/>
    <s v="EJ-Malang-01"/>
    <s v="Oka-0813-2707-1646"/>
    <x v="198"/>
    <d v="1900-01-14T07:00:00"/>
    <s v="ZTE Warehouse"/>
    <x v="0"/>
    <x v="3"/>
    <s v="ZTE2005"/>
    <s v="Pcs"/>
    <n v="2"/>
    <m/>
    <x v="28"/>
    <n v="0"/>
    <n v="0"/>
    <m/>
    <m/>
    <m/>
    <m/>
    <m/>
    <m/>
    <x v="2"/>
    <n v="0"/>
    <e v="#N/A"/>
    <e v="#N/A"/>
    <s v="OUTBOUND_"/>
  </r>
  <r>
    <s v="1313"/>
    <m/>
    <x v="0"/>
    <s v="INB-W0012407-412"/>
    <s v="EJ-Malang-01"/>
    <s v="Oka-0813-2707-1646"/>
    <x v="198"/>
    <d v="1900-01-14T07:00:00"/>
    <s v="GCI Procurement"/>
    <x v="1"/>
    <x v="32"/>
    <s v="GCI1020"/>
    <s v="Pcs"/>
    <n v="18"/>
    <n v="0"/>
    <x v="17"/>
    <n v="0"/>
    <n v="0"/>
    <m/>
    <m/>
    <m/>
    <m/>
    <m/>
    <m/>
    <x v="2"/>
    <n v="0"/>
    <e v="#N/A"/>
    <e v="#N/A"/>
    <s v="OUTBOUND_"/>
  </r>
  <r>
    <s v="1314"/>
    <m/>
    <x v="4"/>
    <s v="BOI-W0012407-412"/>
    <s v="EJ-Malang-01"/>
    <s v="Oka-0813-2707-1646"/>
    <x v="198"/>
    <d v="1900-01-14T07:00:00"/>
    <s v="Other Subcon"/>
    <x v="0"/>
    <x v="20"/>
    <s v="ZTE1004"/>
    <s v="Pcs"/>
    <n v="1"/>
    <s v="BR004"/>
    <x v="24"/>
    <n v="0"/>
    <n v="0"/>
    <m/>
    <m/>
    <m/>
    <m/>
    <m/>
    <s v="Return From YPTT"/>
    <x v="2"/>
    <s v="YPTT"/>
    <e v="#N/A"/>
    <e v="#N/A"/>
    <s v="OUTBOUND_"/>
  </r>
  <r>
    <s v="1315"/>
    <m/>
    <x v="0"/>
    <s v="INB-W0012407-412"/>
    <s v="EJ-Malang-01"/>
    <s v="Oka-0813-2707-1646"/>
    <x v="198"/>
    <d v="1900-01-14T07:00:00"/>
    <s v="ZTE Warehouse"/>
    <x v="0"/>
    <x v="20"/>
    <s v="ZTE1004"/>
    <s v="Pcs"/>
    <n v="5"/>
    <m/>
    <x v="28"/>
    <n v="0"/>
    <n v="0"/>
    <m/>
    <m/>
    <m/>
    <m/>
    <m/>
    <m/>
    <x v="2"/>
    <n v="0"/>
    <e v="#N/A"/>
    <e v="#N/A"/>
    <s v="OUTBOUND_"/>
  </r>
  <r>
    <s v="1316"/>
    <m/>
    <x v="1"/>
    <s v="OUB-W0012407-411"/>
    <s v="EJ-Malang-01"/>
    <s v="Oka-0813-2707-1646"/>
    <x v="198"/>
    <d v="1899-12-30T17:34:00"/>
    <s v="EJ-MALANG-01"/>
    <x v="0"/>
    <x v="20"/>
    <s v="ZTE1004"/>
    <s v="Pcs"/>
    <n v="1"/>
    <s v="CLR51-02-016"/>
    <x v="75"/>
    <m/>
    <m/>
    <m/>
    <s v="Sifak"/>
    <n v="0"/>
    <s v="3507312107950002"/>
    <s v="N 1969 FF"/>
    <m/>
    <x v="2"/>
    <s v="Ngenep RW 06 Karang Ploso"/>
    <e v="#N/A"/>
    <e v="#N/A"/>
    <s v="OUTBOUND_"/>
  </r>
  <r>
    <s v="1317"/>
    <m/>
    <x v="0"/>
    <s v="INB-W0012407-412"/>
    <s v="EJ-Malang-01"/>
    <s v="Oka-0813-2707-1646"/>
    <x v="198"/>
    <d v="1900-01-14T07:00:00"/>
    <s v="GCI Procurement"/>
    <x v="1"/>
    <x v="11"/>
    <s v="GCI1002"/>
    <s v="Pcs"/>
    <n v="8"/>
    <n v="0"/>
    <x v="17"/>
    <n v="0"/>
    <n v="0"/>
    <m/>
    <m/>
    <m/>
    <m/>
    <m/>
    <m/>
    <x v="2"/>
    <n v="0"/>
    <e v="#N/A"/>
    <e v="#N/A"/>
    <s v="OUTBOUND_"/>
  </r>
  <r>
    <s v="1318"/>
    <m/>
    <x v="0"/>
    <s v="INB-W0012407-412"/>
    <s v="EJ-Malang-01"/>
    <s v="Oka-0813-2707-1646"/>
    <x v="198"/>
    <d v="1900-01-14T07:00:00"/>
    <s v="ZTE Warehouse"/>
    <x v="0"/>
    <x v="5"/>
    <s v="ZTE1001"/>
    <s v="Pcs"/>
    <n v="256"/>
    <m/>
    <x v="28"/>
    <n v="0"/>
    <n v="0"/>
    <m/>
    <m/>
    <m/>
    <m/>
    <m/>
    <m/>
    <x v="2"/>
    <n v="0"/>
    <e v="#N/A"/>
    <e v="#N/A"/>
    <s v="OUTBOUND_"/>
  </r>
  <r>
    <s v="1319"/>
    <m/>
    <x v="0"/>
    <s v="INB-W0012407-412"/>
    <s v="EJ-Malang-01"/>
    <s v="Oka-0813-2707-1646"/>
    <x v="198"/>
    <d v="1900-01-14T07:00:00"/>
    <s v="ZTE Warehouse"/>
    <x v="0"/>
    <x v="19"/>
    <s v="ZTE1003"/>
    <s v="Pcs"/>
    <n v="9"/>
    <m/>
    <x v="28"/>
    <n v="0"/>
    <n v="0"/>
    <m/>
    <m/>
    <m/>
    <m/>
    <m/>
    <m/>
    <x v="2"/>
    <n v="0"/>
    <e v="#N/A"/>
    <e v="#N/A"/>
    <s v="OUTBOUND_"/>
  </r>
  <r>
    <s v="1320"/>
    <m/>
    <x v="1"/>
    <s v="OUB-W0012407-413"/>
    <s v="EJ-Malang-01"/>
    <s v="Oka-0813-2707-1646"/>
    <x v="199"/>
    <d v="1899-12-30T15:20:00"/>
    <s v="EJ-MALANG-01"/>
    <x v="1"/>
    <x v="9"/>
    <s v="GCI1001"/>
    <s v="Pcs"/>
    <n v="13"/>
    <s v="CLR51-03-005"/>
    <x v="77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21"/>
    <m/>
    <x v="1"/>
    <s v="OUB-W0012407-413"/>
    <s v="EJ-Malang-01"/>
    <s v="Oka-0813-2707-1646"/>
    <x v="199"/>
    <d v="1899-12-30T15:20:00"/>
    <s v="EJ-MALANG-01"/>
    <x v="1"/>
    <x v="10"/>
    <s v="GCI1009"/>
    <s v="Pcs"/>
    <n v="100"/>
    <s v="CLR51-03-005"/>
    <x v="77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22"/>
    <m/>
    <x v="1"/>
    <s v="OUB-W0012407-413"/>
    <s v="EJ-Malang-01"/>
    <s v="Oka-0813-2707-1646"/>
    <x v="199"/>
    <d v="1899-12-30T15:20:00"/>
    <s v="EJ-MALANG-01"/>
    <x v="0"/>
    <x v="5"/>
    <s v="ZTE1001"/>
    <s v="Pcs"/>
    <n v="25"/>
    <s v="CLR51-03-005"/>
    <x v="77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23"/>
    <m/>
    <x v="1"/>
    <s v="OUB-W0012407-413"/>
    <s v="EJ-Malang-01"/>
    <s v="Oka-0813-2707-1646"/>
    <x v="199"/>
    <d v="1899-12-30T15:20:00"/>
    <s v="EJ-MALANG-01"/>
    <x v="1"/>
    <x v="12"/>
    <s v="GCI1008"/>
    <s v="Pcs"/>
    <n v="49"/>
    <s v="CLR51-03-005"/>
    <x v="77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24"/>
    <m/>
    <x v="1"/>
    <s v="OUB-W0012407-413"/>
    <s v="EJ-Malang-01"/>
    <s v="Oka-0813-2707-1646"/>
    <x v="199"/>
    <d v="1899-12-30T15:20:00"/>
    <s v="EJ-MALANG-01"/>
    <x v="1"/>
    <x v="15"/>
    <s v="GCI1003"/>
    <s v="Pcs"/>
    <n v="100"/>
    <s v="CLR51-03-005"/>
    <x v="77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25"/>
    <m/>
    <x v="1"/>
    <s v="OUB-W0012407-414"/>
    <s v="EJ-Malang-01"/>
    <s v="Oka-0813-2707-1646"/>
    <x v="200"/>
    <d v="1899-12-30T19:00:00"/>
    <s v="EJ-MALANG-01"/>
    <x v="0"/>
    <x v="20"/>
    <s v="ZTE1004"/>
    <s v="Pcs"/>
    <n v="3"/>
    <s v="MF51-04"/>
    <x v="78"/>
    <m/>
    <m/>
    <m/>
    <s v="Sifak"/>
    <n v="0"/>
    <s v="3507312107950002"/>
    <s v="N 1969 FF"/>
    <m/>
    <x v="2"/>
    <s v="HUBFEEDER TIRTASANI TO GIRIMOYO"/>
    <e v="#N/A"/>
    <e v="#N/A"/>
    <s v="OUTBOUND_"/>
  </r>
  <r>
    <s v="1326"/>
    <m/>
    <x v="1"/>
    <s v="OUB-W0012407-415"/>
    <s v="EJ-Malang-01"/>
    <s v="Oka-0813-2707-1646"/>
    <x v="201"/>
    <d v="1899-12-30T13:30:00"/>
    <s v="EJ-MALANG-01"/>
    <x v="1"/>
    <x v="9"/>
    <s v="GCI1001"/>
    <s v="Pcs"/>
    <n v="12"/>
    <s v="CLR51-03-005"/>
    <x v="77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27"/>
    <m/>
    <x v="1"/>
    <s v="OUB-W0012407-415"/>
    <s v="EJ-Malang-01"/>
    <s v="Oka-0813-2707-1646"/>
    <x v="201"/>
    <d v="1899-12-30T13:30:00"/>
    <s v="EJ-MALANG-01"/>
    <x v="0"/>
    <x v="5"/>
    <s v="ZTE1001"/>
    <s v="Pcs"/>
    <n v="21"/>
    <s v="CLR51-03-005"/>
    <x v="77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28"/>
    <m/>
    <x v="1"/>
    <s v="OUB-W0012407-417"/>
    <s v="EJ-Malang-01"/>
    <s v="Oka-0813-2707-1646"/>
    <x v="202"/>
    <d v="1899-12-30T15:05:00"/>
    <s v="EJ-MALANG-01"/>
    <x v="0"/>
    <x v="0"/>
    <s v="ZTE2001"/>
    <s v="Meter"/>
    <n v="3000"/>
    <s v="CLR51-03-005"/>
    <x v="77"/>
    <m/>
    <m/>
    <m/>
    <s v="Riki Romansyah"/>
    <s v="Febby Supplier"/>
    <s v="3507050501950006"/>
    <s v="N 8420 EL"/>
    <s v="used (1250+900) , 850 masuk leftover"/>
    <x v="2"/>
    <s v="Dusun Langlang IV Singosari"/>
    <e v="#N/A"/>
    <e v="#N/A"/>
    <s v="OUTBOUND_"/>
  </r>
  <r>
    <s v="1329"/>
    <m/>
    <x v="1"/>
    <s v="OUB-W0012407-417"/>
    <s v="EJ-Malang-01"/>
    <s v="Oka-0813-2707-1646"/>
    <x v="202"/>
    <d v="1899-12-30T15:05:00"/>
    <s v="EJ-MALANG-01"/>
    <x v="0"/>
    <x v="1"/>
    <s v="ZTE2003"/>
    <s v="Meter"/>
    <n v="3000"/>
    <s v="CLR51-03-005"/>
    <x v="77"/>
    <m/>
    <m/>
    <m/>
    <s v="Riki Romansyah"/>
    <s v="Febby Supplier"/>
    <s v="3507050501950006"/>
    <s v="N 8420 EL"/>
    <s v="Transfer"/>
    <x v="2"/>
    <s v="Dusun Langlang IV Singosari"/>
    <e v="#N/A"/>
    <e v="#N/A"/>
    <s v="OUTBOUND_"/>
  </r>
  <r>
    <s v="1330"/>
    <m/>
    <x v="1"/>
    <s v="OUB-W0012407-416"/>
    <s v="EJ-Malang-01"/>
    <s v="Oka-0813-2707-1646"/>
    <x v="202"/>
    <d v="1899-12-30T14:10:00"/>
    <s v="EJ-MALANG-01"/>
    <x v="0"/>
    <x v="5"/>
    <s v="ZTE1001"/>
    <s v="Pcs"/>
    <n v="21"/>
    <s v="CLR51-03-005"/>
    <x v="77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31"/>
    <m/>
    <x v="1"/>
    <s v="OUB-W0012407-416"/>
    <s v="EJ-Malang-01"/>
    <s v="Oka-0813-2707-1646"/>
    <x v="202"/>
    <d v="1899-12-30T14:10:00"/>
    <s v="EJ-MALANG-01"/>
    <x v="1"/>
    <x v="12"/>
    <s v="GCI1008"/>
    <s v="Pcs"/>
    <n v="4"/>
    <s v="CLR51-03-005"/>
    <x v="77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32"/>
    <m/>
    <x v="1"/>
    <s v="OUB-W0012407-416"/>
    <s v="EJ-Malang-01"/>
    <s v="Oka-0813-2707-1646"/>
    <x v="202"/>
    <d v="1899-12-30T14:10:00"/>
    <s v="EJ-MALANG-01"/>
    <x v="1"/>
    <x v="16"/>
    <s v="GCI1004"/>
    <s v="Pcs"/>
    <n v="34"/>
    <s v="CLR51-03-005"/>
    <x v="77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33"/>
    <m/>
    <x v="1"/>
    <s v="OUB-W0012407-418"/>
    <s v="EJ-Malang-01"/>
    <s v="Oka-0813-2707-1646"/>
    <x v="203"/>
    <d v="1899-12-30T14:10:00"/>
    <s v="EJ-MALANG-01"/>
    <x v="1"/>
    <x v="9"/>
    <s v="GCI1001"/>
    <s v="Pcs"/>
    <n v="5"/>
    <s v="CLR51-03-005"/>
    <x v="77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34"/>
    <m/>
    <x v="1"/>
    <s v="OUB-W0012407-418"/>
    <s v="EJ-Malang-01"/>
    <s v="Oka-0813-2707-1646"/>
    <x v="203"/>
    <d v="1899-12-30T14:10:00"/>
    <s v="EJ-MALANG-01"/>
    <x v="1"/>
    <x v="11"/>
    <s v="GCI1002"/>
    <s v="Pcs"/>
    <n v="1"/>
    <s v="CLR51-03-005"/>
    <x v="77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35"/>
    <m/>
    <x v="1"/>
    <s v="OUB-W0012407-418"/>
    <s v="EJ-Malang-01"/>
    <s v="Oka-0813-2707-1646"/>
    <x v="203"/>
    <d v="1899-12-30T14:10:00"/>
    <s v="EJ-MALANG-01"/>
    <x v="0"/>
    <x v="5"/>
    <s v="ZTE1001"/>
    <s v="Pcs"/>
    <n v="15"/>
    <s v="CLR51-03-005"/>
    <x v="77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36"/>
    <m/>
    <x v="1"/>
    <s v="OUB-W0012407-418"/>
    <s v="EJ-Malang-01"/>
    <s v="Oka-0813-2707-1646"/>
    <x v="203"/>
    <d v="1899-12-30T14:10:00"/>
    <s v="EJ-MALANG-01"/>
    <x v="1"/>
    <x v="15"/>
    <s v="GCI1003"/>
    <s v="Pcs"/>
    <n v="100"/>
    <s v="CLR51-03-005"/>
    <x v="77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37"/>
    <m/>
    <x v="5"/>
    <s v="BOO-W0012407-421"/>
    <s v="EJ-Malang-01"/>
    <s v="Oka-0813-2707-1646"/>
    <x v="204"/>
    <d v="1899-12-30T18:00:00"/>
    <s v="Other Subcon"/>
    <x v="0"/>
    <x v="31"/>
    <s v="ZTE2004"/>
    <s v="Meter"/>
    <n v="3000"/>
    <s v="BR005"/>
    <x v="21"/>
    <m/>
    <m/>
    <m/>
    <s v="Nur Hidayat"/>
    <n v="0"/>
    <s v="3515141305930006"/>
    <s v="S 9102 AE"/>
    <s v="Return to Morasa"/>
    <x v="67"/>
    <s v="MORASHA"/>
    <e v="#N/A"/>
    <e v="#N/A"/>
    <s v="BORROW OUT_H-ADSS 144C-2024730-01"/>
  </r>
  <r>
    <s v="1338"/>
    <m/>
    <x v="0"/>
    <s v="INB-W0012407-419"/>
    <s v="EJ-Malang-01"/>
    <s v="Oka-0813-2707-1646"/>
    <x v="204"/>
    <d v="1900-01-14T07:00:00"/>
    <s v="ZTE Warehouse"/>
    <x v="0"/>
    <x v="31"/>
    <s v="ZTE2004"/>
    <s v="Meter"/>
    <n v="3000"/>
    <s v="MF51-04"/>
    <x v="79"/>
    <n v="0"/>
    <n v="0"/>
    <m/>
    <m/>
    <m/>
    <m/>
    <m/>
    <m/>
    <x v="67"/>
    <s v="Hub Feeder Segment 1 OLT Singosari to Girimoyo"/>
    <e v="#N/A"/>
    <e v="#N/A"/>
    <s v="OUTBOUND_H-ADSS 144C-2024730-01"/>
  </r>
  <r>
    <s v="1339"/>
    <m/>
    <x v="5"/>
    <s v="BOO-W0012407-421"/>
    <s v="EJ-Malang-01"/>
    <s v="Oka-0813-2707-1646"/>
    <x v="204"/>
    <d v="1899-12-30T18:00:00"/>
    <s v="Other Subcon"/>
    <x v="0"/>
    <x v="31"/>
    <s v="ZTE2004"/>
    <s v="Meter"/>
    <n v="3000"/>
    <s v="BR005"/>
    <x v="21"/>
    <m/>
    <m/>
    <m/>
    <s v="Nur Hidayat"/>
    <n v="0"/>
    <s v="3515141305930006"/>
    <s v="S 9102 AE"/>
    <s v="Return to Morasa"/>
    <x v="68"/>
    <s v="MORASHA"/>
    <e v="#N/A"/>
    <e v="#N/A"/>
    <s v="BORROW OUT_H-ADSS 144C-2024730-02"/>
  </r>
  <r>
    <s v="1340"/>
    <m/>
    <x v="0"/>
    <s v="INB-W0012407-419"/>
    <s v="EJ-Malang-01"/>
    <s v="Oka-0813-2707-1646"/>
    <x v="204"/>
    <d v="1900-01-14T07:00:00"/>
    <s v="ZTE Warehouse"/>
    <x v="0"/>
    <x v="31"/>
    <s v="ZTE2004"/>
    <s v="Meter"/>
    <n v="3000"/>
    <s v="MF51-04"/>
    <x v="79"/>
    <m/>
    <m/>
    <m/>
    <m/>
    <m/>
    <m/>
    <m/>
    <m/>
    <x v="68"/>
    <s v="Hub Feeder Segment 1 OLT Singosari to Girimoyo"/>
    <e v="#N/A"/>
    <e v="#N/A"/>
    <s v="OUTBOUND_H-ADSS 144C-2024730-02"/>
  </r>
  <r>
    <s v="1341"/>
    <m/>
    <x v="0"/>
    <s v="INB-W0012407-419"/>
    <s v="EJ-Malang-01"/>
    <s v="Oka-0813-2707-1646"/>
    <x v="204"/>
    <d v="1900-01-14T07:00:00"/>
    <s v="ZTE Warehouse"/>
    <x v="0"/>
    <x v="31"/>
    <s v="ZTE2004"/>
    <s v="Meter"/>
    <n v="3000"/>
    <s v="MF51-04"/>
    <x v="79"/>
    <m/>
    <m/>
    <m/>
    <m/>
    <m/>
    <m/>
    <m/>
    <m/>
    <x v="69"/>
    <s v="Hub Feeder Segment 1 OLT Singosari to Girimoyo"/>
    <e v="#N/A"/>
    <e v="#N/A"/>
    <s v="OUTBOUND_H-ADSS 144C-2024730-03"/>
  </r>
  <r>
    <s v="1342"/>
    <m/>
    <x v="1"/>
    <s v="OUB-W0012407-422"/>
    <s v="EJ-Malang-01"/>
    <s v="Oka-0813-2707-1646"/>
    <x v="204"/>
    <d v="1899-12-30T10:24:00"/>
    <s v="EJ-MALANG-01"/>
    <x v="0"/>
    <x v="0"/>
    <s v="ZTE2001"/>
    <s v="Meter"/>
    <n v="3000"/>
    <s v="CLR51-03-005"/>
    <x v="77"/>
    <m/>
    <m/>
    <m/>
    <s v="Riki Romansyah"/>
    <s v="Febby Supplier"/>
    <s v="3507050501950006"/>
    <s v="N 8420 EL"/>
    <s v="used (950+700)1650, 1350 masuk Leftover"/>
    <x v="2"/>
    <s v="Dusun Langlang IV Singosari"/>
    <e v="#N/A"/>
    <e v="#N/A"/>
    <s v="OUTBOUND_"/>
  </r>
  <r>
    <s v="1343"/>
    <m/>
    <x v="1"/>
    <s v="OUB-W0012407-420"/>
    <s v="EJ-Malang-01"/>
    <s v="Oka-0813-2707-1646"/>
    <x v="204"/>
    <d v="1899-12-30T10:24:00"/>
    <s v="EJ-MALANG-01"/>
    <x v="0"/>
    <x v="1"/>
    <s v="ZTE2003"/>
    <s v="Meter"/>
    <n v="3000"/>
    <s v="CLR51-03-005"/>
    <x v="77"/>
    <m/>
    <m/>
    <m/>
    <s v="Riki Romansyah"/>
    <s v="Febby Supplier"/>
    <s v="3507050501950006"/>
    <s v="N 8420 EL"/>
    <s v="Transfer"/>
    <x v="2"/>
    <s v="Dusun Langlang IV Singosari"/>
    <e v="#N/A"/>
    <e v="#N/A"/>
    <s v="OUTBOUND_"/>
  </r>
  <r>
    <s v="1344"/>
    <m/>
    <x v="1"/>
    <s v="OUB-W0012407-420"/>
    <s v="EJ-Malang-01"/>
    <s v="Oka-0813-2707-1646"/>
    <x v="204"/>
    <d v="1899-12-30T10:24:00"/>
    <s v="EJ-MALANG-01"/>
    <x v="1"/>
    <x v="10"/>
    <s v="GCI1009"/>
    <s v="Pcs"/>
    <n v="50"/>
    <s v="CLR51-03-005"/>
    <x v="77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45"/>
    <m/>
    <x v="1"/>
    <s v="OUB-W0012407-420"/>
    <s v="EJ-Malang-01"/>
    <s v="Oka-0813-2707-1646"/>
    <x v="204"/>
    <d v="1899-12-30T10:24:00"/>
    <s v="EJ-MALANG-01"/>
    <x v="0"/>
    <x v="2"/>
    <s v="ZTE2008"/>
    <s v="Pcs"/>
    <n v="10"/>
    <s v="CLR51-03-005"/>
    <x v="77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46"/>
    <m/>
    <x v="1"/>
    <s v="OUB-W0012407-420"/>
    <s v="EJ-Malang-01"/>
    <s v="Oka-0813-2707-1646"/>
    <x v="204"/>
    <d v="1899-12-30T10:24:00"/>
    <s v="EJ-MALANG-01"/>
    <x v="0"/>
    <x v="3"/>
    <s v="ZTE2005"/>
    <s v="Pcs"/>
    <n v="2"/>
    <s v="CLR51-03-005"/>
    <x v="77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47"/>
    <m/>
    <x v="1"/>
    <s v="OUB-W0012407-420"/>
    <s v="EJ-Malang-01"/>
    <s v="Oka-0813-2707-1646"/>
    <x v="204"/>
    <d v="1899-12-30T10:24:00"/>
    <s v="EJ-MALANG-01"/>
    <x v="0"/>
    <x v="20"/>
    <s v="ZTE1004"/>
    <s v="Pcs"/>
    <n v="1"/>
    <s v="CLR51-03-005"/>
    <x v="77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48"/>
    <m/>
    <x v="1"/>
    <s v="OUB-W0012407-420"/>
    <s v="EJ-Malang-01"/>
    <s v="Oka-0813-2707-1646"/>
    <x v="204"/>
    <d v="1899-12-30T10:24:00"/>
    <s v="EJ-MALANG-01"/>
    <x v="1"/>
    <x v="16"/>
    <s v="GCI1004"/>
    <s v="Pcs"/>
    <n v="50"/>
    <s v="CLR51-03-005"/>
    <x v="77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49"/>
    <m/>
    <x v="1"/>
    <s v="OUB-W0012407-423"/>
    <s v="EJ-Malang-01"/>
    <s v="Oka-0813-2707-1646"/>
    <x v="205"/>
    <d v="1899-12-30T17:26:00"/>
    <s v="EJ-MALANG-01"/>
    <x v="0"/>
    <x v="2"/>
    <s v="ZTE2008"/>
    <s v="Pcs"/>
    <n v="27"/>
    <s v="CLR51-03-005"/>
    <x v="77"/>
    <m/>
    <m/>
    <m/>
    <s v="Sifak"/>
    <n v="0"/>
    <s v="3507312107950002"/>
    <s v="N 1969 FF"/>
    <m/>
    <x v="2"/>
    <s v="Dusun Langlang IV Singosari"/>
    <e v="#N/A"/>
    <e v="#N/A"/>
    <s v="OUTBOUND_"/>
  </r>
  <r>
    <s v="1350"/>
    <m/>
    <x v="1"/>
    <s v="OUB-W0012408-424"/>
    <s v="EJ-Malang-01"/>
    <s v="Oka-0813-2707-1646"/>
    <x v="206"/>
    <d v="1899-12-30T16:17:00"/>
    <s v="EJ-MALANG-01"/>
    <x v="1"/>
    <x v="9"/>
    <s v="GCI1001"/>
    <s v="Pcs"/>
    <n v="5"/>
    <s v="CLR51-03-005"/>
    <x v="77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51"/>
    <m/>
    <x v="1"/>
    <s v="OUB-W0012408-424"/>
    <s v="EJ-Malang-01"/>
    <s v="Oka-0813-2707-1646"/>
    <x v="206"/>
    <d v="1899-12-30T16:17:00"/>
    <s v="EJ-MALANG-01"/>
    <x v="0"/>
    <x v="5"/>
    <s v="ZTE1001"/>
    <s v="Pcs"/>
    <n v="19"/>
    <s v="CLR51-03-005"/>
    <x v="77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52"/>
    <m/>
    <x v="0"/>
    <s v="INB-W0012408-426"/>
    <s v="EJ-Malang-01"/>
    <s v="Oka-0813-2707-1646"/>
    <x v="207"/>
    <d v="1900-01-14T07:00:00"/>
    <s v="GCI Procurement"/>
    <x v="1"/>
    <x v="6"/>
    <s v="GCI1011"/>
    <s v="Pcs"/>
    <n v="1"/>
    <n v="0"/>
    <x v="17"/>
    <n v="0"/>
    <n v="0"/>
    <m/>
    <m/>
    <m/>
    <m/>
    <m/>
    <m/>
    <x v="2"/>
    <n v="0"/>
    <e v="#N/A"/>
    <e v="#N/A"/>
    <s v="OUTBOUND_"/>
  </r>
  <r>
    <s v="1353"/>
    <m/>
    <x v="0"/>
    <s v="INB-W0012408-426"/>
    <s v="EJ-Malang-01"/>
    <s v="Oka-0813-2707-1646"/>
    <x v="207"/>
    <d v="1900-01-14T07:00:00"/>
    <s v="GCI Procurement"/>
    <x v="1"/>
    <x v="8"/>
    <s v="GCI1005"/>
    <s v="Pcs"/>
    <n v="193"/>
    <n v="0"/>
    <x v="17"/>
    <n v="0"/>
    <n v="0"/>
    <m/>
    <m/>
    <m/>
    <m/>
    <m/>
    <m/>
    <x v="2"/>
    <n v="0"/>
    <e v="#N/A"/>
    <e v="#N/A"/>
    <s v="OUTBOUND_"/>
  </r>
  <r>
    <s v="1354"/>
    <m/>
    <x v="0"/>
    <s v="INB-W0012408-426"/>
    <s v="EJ-Malang-01"/>
    <s v="Oka-0813-2707-1646"/>
    <x v="207"/>
    <d v="1900-01-14T07:00:00"/>
    <s v="GCI Procurement"/>
    <x v="1"/>
    <x v="9"/>
    <s v="GCI1001"/>
    <s v="Pcs"/>
    <n v="158"/>
    <n v="0"/>
    <x v="17"/>
    <n v="0"/>
    <n v="0"/>
    <m/>
    <m/>
    <m/>
    <m/>
    <m/>
    <m/>
    <x v="2"/>
    <n v="0"/>
    <e v="#N/A"/>
    <e v="#N/A"/>
    <s v="OUTBOUND_"/>
  </r>
  <r>
    <s v="1355"/>
    <m/>
    <x v="1"/>
    <s v="OUB-W0012408-425"/>
    <s v="EJ-Malang-01"/>
    <s v="Oka-0813-2707-1646"/>
    <x v="207"/>
    <d v="1899-12-30T13:31:00"/>
    <s v="EJ-MALANG-01"/>
    <x v="0"/>
    <x v="4"/>
    <s v="ZTE1002"/>
    <s v="Pcs"/>
    <n v="9"/>
    <s v="CLR51-03-005"/>
    <x v="77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56"/>
    <m/>
    <x v="1"/>
    <s v="OUB-W0012408-425"/>
    <s v="EJ-Malang-01"/>
    <s v="Oka-0813-2707-1646"/>
    <x v="207"/>
    <d v="1899-12-30T13:31:00"/>
    <s v="EJ-MALANG-01"/>
    <x v="0"/>
    <x v="5"/>
    <s v="ZTE1001"/>
    <s v="Pcs"/>
    <n v="5"/>
    <s v="CLR51-03-005"/>
    <x v="77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57"/>
    <m/>
    <x v="2"/>
    <s v="TFI-W0012408-426"/>
    <s v="EJ-Malang-01"/>
    <s v="Oka-0813-2707-1646"/>
    <x v="207"/>
    <d v="1900-01-14T07:00:00"/>
    <s v="ZTE Warehouse"/>
    <x v="0"/>
    <x v="5"/>
    <s v="ZTE1001"/>
    <s v="Pcs"/>
    <n v="1"/>
    <s v="TRF"/>
    <x v="17"/>
    <n v="0"/>
    <s v="TRANSFER GUDANG"/>
    <m/>
    <m/>
    <m/>
    <m/>
    <m/>
    <m/>
    <x v="2"/>
    <n v="0"/>
    <e v="#N/A"/>
    <e v="#N/A"/>
    <s v="OUTBOUND_"/>
  </r>
  <r>
    <s v="1358"/>
    <m/>
    <x v="0"/>
    <s v="INB-W0012408-426"/>
    <s v="EJ-Malang-01"/>
    <s v="Oka-0813-2707-1646"/>
    <x v="207"/>
    <d v="1900-01-14T07:00:00"/>
    <s v="GCI Procurement"/>
    <x v="1"/>
    <x v="12"/>
    <s v="GCI1008"/>
    <s v="Pcs"/>
    <n v="290"/>
    <n v="0"/>
    <x v="17"/>
    <n v="0"/>
    <n v="0"/>
    <m/>
    <m/>
    <m/>
    <m/>
    <m/>
    <m/>
    <x v="2"/>
    <n v="0"/>
    <e v="#N/A"/>
    <e v="#N/A"/>
    <s v="OUTBOUND_"/>
  </r>
  <r>
    <s v="1359"/>
    <m/>
    <x v="0"/>
    <s v="INB-W0012408-426"/>
    <s v="EJ-Malang-01"/>
    <s v="Oka-0813-2707-1646"/>
    <x v="207"/>
    <d v="1900-01-14T07:00:00"/>
    <s v="GCI Procurement"/>
    <x v="1"/>
    <x v="15"/>
    <s v="GCI1003"/>
    <s v="Pcs"/>
    <n v="401"/>
    <n v="0"/>
    <x v="17"/>
    <n v="0"/>
    <n v="0"/>
    <m/>
    <m/>
    <m/>
    <m/>
    <m/>
    <m/>
    <x v="2"/>
    <n v="0"/>
    <e v="#N/A"/>
    <e v="#N/A"/>
    <s v="OUTBOUND_"/>
  </r>
  <r>
    <s v="1360"/>
    <m/>
    <x v="0"/>
    <s v="INB-W0012408-426"/>
    <s v="EJ-Malang-01"/>
    <s v="Oka-0813-2707-1646"/>
    <x v="207"/>
    <d v="1900-01-14T07:00:00"/>
    <s v="GCI Procurement"/>
    <x v="1"/>
    <x v="16"/>
    <s v="GCI1004"/>
    <s v="Pcs"/>
    <n v="145"/>
    <n v="0"/>
    <x v="17"/>
    <n v="0"/>
    <n v="0"/>
    <m/>
    <m/>
    <m/>
    <m/>
    <m/>
    <m/>
    <x v="2"/>
    <n v="0"/>
    <e v="#N/A"/>
    <e v="#N/A"/>
    <s v="OUTBOUND_"/>
  </r>
  <r>
    <s v="1361"/>
    <m/>
    <x v="1"/>
    <s v="OUB-W0012408-427"/>
    <s v="EJ-Malang-01"/>
    <s v="Oka-0813-2707-1646"/>
    <x v="208"/>
    <d v="1899-12-30T09:36:00"/>
    <s v="EJ-MALANG-01"/>
    <x v="1"/>
    <x v="6"/>
    <s v="GCI1011"/>
    <s v="Pcs"/>
    <n v="1"/>
    <s v="CLR51-03-005"/>
    <x v="77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62"/>
    <m/>
    <x v="1"/>
    <s v="OUB-W0012408-427"/>
    <s v="EJ-Malang-01"/>
    <s v="Oka-0813-2707-1646"/>
    <x v="208"/>
    <d v="1899-12-30T09:36:00"/>
    <s v="EJ-MALANG-01"/>
    <x v="1"/>
    <x v="8"/>
    <s v="GCI1005"/>
    <s v="Pcs"/>
    <n v="54"/>
    <s v="CLR51-03-005"/>
    <x v="77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63"/>
    <m/>
    <x v="1"/>
    <s v="OUB-W0012408-427"/>
    <s v="EJ-Malang-01"/>
    <s v="Oka-0813-2707-1646"/>
    <x v="208"/>
    <d v="1899-12-30T09:36:00"/>
    <s v="EJ-MALANG-01"/>
    <x v="1"/>
    <x v="9"/>
    <s v="GCI1001"/>
    <s v="Pcs"/>
    <n v="10"/>
    <s v="CLR51-03-005"/>
    <x v="77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64"/>
    <m/>
    <x v="1"/>
    <s v="OUB-W0012408-427"/>
    <s v="EJ-Malang-01"/>
    <s v="Oka-0813-2707-1646"/>
    <x v="208"/>
    <d v="1899-12-30T09:36:00"/>
    <s v="EJ-MALANG-01"/>
    <x v="0"/>
    <x v="4"/>
    <s v="ZTE1002"/>
    <s v="Pcs"/>
    <n v="3"/>
    <s v="CLR51-03-005"/>
    <x v="77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65"/>
    <m/>
    <x v="1"/>
    <s v="OUB-W0012408-427"/>
    <s v="EJ-Malang-01"/>
    <s v="Oka-0813-2707-1646"/>
    <x v="208"/>
    <d v="1899-12-30T09:36:00"/>
    <s v="EJ-MALANG-01"/>
    <x v="0"/>
    <x v="5"/>
    <s v="ZTE1001"/>
    <s v="Pcs"/>
    <n v="4"/>
    <s v="CLR51-03-005"/>
    <x v="77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66"/>
    <m/>
    <x v="1"/>
    <s v="OUB-W0012408-430"/>
    <s v="EJ-Malang-01"/>
    <s v="Oka-0813-2707-1646"/>
    <x v="208"/>
    <d v="1899-12-30T23:20:00"/>
    <s v="EJ-MALANG-01"/>
    <x v="0"/>
    <x v="5"/>
    <s v="ZTE1001"/>
    <s v="Pcs"/>
    <n v="18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67"/>
    <m/>
    <x v="1"/>
    <s v="OUB-W0012408-428"/>
    <s v="EJ-Malang-01"/>
    <s v="Oka-0813-2707-1646"/>
    <x v="208"/>
    <d v="1899-12-30T19:00:00"/>
    <s v="EJ-MALANG-01"/>
    <x v="0"/>
    <x v="5"/>
    <s v="ZTE1001"/>
    <s v="Pcs"/>
    <n v="25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68"/>
    <m/>
    <x v="1"/>
    <s v="OUB-W0012408-429"/>
    <s v="EJ-Malang-01"/>
    <s v="Oka-0813-2707-1646"/>
    <x v="208"/>
    <d v="1899-12-30T19:44:00"/>
    <s v="EJ-MALANG-01"/>
    <x v="0"/>
    <x v="5"/>
    <s v="ZTE1001"/>
    <s v="Pcs"/>
    <n v="30"/>
    <s v="MF51-03"/>
    <x v="76"/>
    <m/>
    <m/>
    <m/>
    <s v="Riki Romansyah"/>
    <s v="Febby Supplier"/>
    <s v="3507050501950006"/>
    <s v="N 8420 EL"/>
    <m/>
    <x v="2"/>
    <s v="HUBFEEDER KEPANJEN TO JATIKERTO"/>
    <e v="#N/A"/>
    <e v="#N/A"/>
    <s v="OUTBOUND_"/>
  </r>
  <r>
    <s v="1369"/>
    <m/>
    <x v="1"/>
    <s v="OUB-W0012408-430"/>
    <s v="EJ-Malang-01"/>
    <s v="Oka-0813-2707-1646"/>
    <x v="208"/>
    <d v="1899-12-30T23:20:00"/>
    <s v="EJ-MALANG-01"/>
    <x v="0"/>
    <x v="19"/>
    <s v="ZTE1003"/>
    <s v="Pcs"/>
    <n v="3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70"/>
    <m/>
    <x v="1"/>
    <s v="OUB-W0012408-427"/>
    <s v="EJ-Malang-01"/>
    <s v="Oka-0813-2707-1646"/>
    <x v="208"/>
    <d v="1899-12-30T09:36:00"/>
    <s v="EJ-MALANG-01"/>
    <x v="1"/>
    <x v="12"/>
    <s v="GCI1008"/>
    <s v="Pcs"/>
    <n v="20"/>
    <s v="CLR51-03-005"/>
    <x v="77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371"/>
    <m/>
    <x v="1"/>
    <s v="OUB-W0012408-431"/>
    <s v="EJ-Malang-01"/>
    <s v="Oka-0813-2707-1646"/>
    <x v="209"/>
    <d v="1899-12-30T17:52:00"/>
    <s v="EJ-MALANG-01"/>
    <x v="0"/>
    <x v="31"/>
    <s v="ZTE2004"/>
    <s v="Meter"/>
    <n v="3000"/>
    <s v="MF51-04"/>
    <x v="78"/>
    <m/>
    <m/>
    <m/>
    <s v="Nur Hidayat"/>
    <s v="Febby Supplier"/>
    <s v="3515141305930006"/>
    <s v="S 9102 AE"/>
    <m/>
    <x v="69"/>
    <s v="HUBFEEDER TIRTASANI TO GIRIMOYO"/>
    <e v="#N/A"/>
    <e v="#N/A"/>
    <s v="OUTBOUND_H-ADSS 144C-2024730-03"/>
  </r>
  <r>
    <s v="1372"/>
    <m/>
    <x v="1"/>
    <s v="OUB-W0012408-432"/>
    <s v="EJ-Malang-01"/>
    <s v="Oka-0813-2707-1646"/>
    <x v="210"/>
    <d v="1899-12-30T19:16:00"/>
    <s v="EJ-MALANG-01"/>
    <x v="0"/>
    <x v="5"/>
    <s v="ZTE1001"/>
    <s v="Pcs"/>
    <n v="25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73"/>
    <m/>
    <x v="1"/>
    <s v="OUB-W0012408-433"/>
    <s v="EJ-Malang-01"/>
    <s v="Oka-0813-2707-1646"/>
    <x v="211"/>
    <d v="1899-12-30T10:46:00"/>
    <s v="EJ-MALANG-01"/>
    <x v="1"/>
    <x v="9"/>
    <s v="GCI1001"/>
    <s v="Pcs"/>
    <n v="8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74"/>
    <m/>
    <x v="1"/>
    <s v="OUB-W0012408-435"/>
    <s v="EJ-Malang-01"/>
    <s v="Oka-0813-2707-1646"/>
    <x v="211"/>
    <d v="1899-12-30T19:39:00"/>
    <s v="EJ-MALANG-01"/>
    <x v="1"/>
    <x v="9"/>
    <s v="GCI1001"/>
    <s v="Pcs"/>
    <n v="12"/>
    <s v="MF51-03"/>
    <x v="76"/>
    <m/>
    <m/>
    <m/>
    <s v="Riki Romansyah"/>
    <s v="Febby Supplier"/>
    <s v="3507050501950006"/>
    <s v="N 8420 EL"/>
    <m/>
    <x v="2"/>
    <s v="HUBFEEDER KEPANJEN TO JATIKERTO"/>
    <e v="#N/A"/>
    <e v="#N/A"/>
    <s v="OUTBOUND_"/>
  </r>
  <r>
    <s v="1375"/>
    <m/>
    <x v="1"/>
    <s v="OUB-W0012408-433"/>
    <s v="EJ-Malang-01"/>
    <s v="Oka-0813-2707-1646"/>
    <x v="211"/>
    <d v="1899-12-30T10:46:00"/>
    <s v="EJ-MALANG-01"/>
    <x v="1"/>
    <x v="32"/>
    <s v="GCI1020"/>
    <s v="Pcs"/>
    <n v="80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76"/>
    <m/>
    <x v="1"/>
    <s v="OUB-W0012408-434"/>
    <s v="EJ-Malang-01"/>
    <s v="Oka-0813-2707-1646"/>
    <x v="211"/>
    <d v="1899-12-30T18:48:00"/>
    <s v="EJ-MALANG-01"/>
    <x v="1"/>
    <x v="32"/>
    <s v="GCI1020"/>
    <s v="Pcs"/>
    <n v="180"/>
    <s v="MF51-03"/>
    <x v="76"/>
    <m/>
    <m/>
    <m/>
    <s v="Riki Romansyah"/>
    <s v="Febby Supplier"/>
    <s v="3507050501950006"/>
    <s v="N 8420 EL"/>
    <m/>
    <x v="2"/>
    <s v="HUBFEEDER KEPANJEN TO JATIKERTO"/>
    <e v="#N/A"/>
    <e v="#N/A"/>
    <s v="OUTBOUND_"/>
  </r>
  <r>
    <s v="1377"/>
    <m/>
    <x v="1"/>
    <s v="OUB-W0012408-433"/>
    <s v="EJ-Malang-01"/>
    <s v="Oka-0813-2707-1646"/>
    <x v="211"/>
    <d v="1899-12-30T10:46:00"/>
    <s v="EJ-MALANG-01"/>
    <x v="1"/>
    <x v="11"/>
    <s v="GCI1002"/>
    <s v="Pcs"/>
    <n v="1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78"/>
    <m/>
    <x v="1"/>
    <s v="OUB-W0012408-434"/>
    <s v="EJ-Malang-01"/>
    <s v="Oka-0813-2707-1646"/>
    <x v="211"/>
    <d v="1899-12-30T18:48:00"/>
    <s v="EJ-MALANG-01"/>
    <x v="1"/>
    <x v="11"/>
    <s v="GCI1002"/>
    <s v="Pcs"/>
    <n v="1"/>
    <s v="MF51-03"/>
    <x v="76"/>
    <m/>
    <m/>
    <m/>
    <s v="Riki Romansyah"/>
    <s v="Febby Supplier"/>
    <s v="3507050501950006"/>
    <s v="N 8420 EL"/>
    <m/>
    <x v="2"/>
    <s v="HUBFEEDER KEPANJEN TO JATIKERTO"/>
    <e v="#N/A"/>
    <e v="#N/A"/>
    <s v="OUTBOUND_"/>
  </r>
  <r>
    <s v="1379"/>
    <m/>
    <x v="1"/>
    <s v="OUB-W0012408-435"/>
    <s v="EJ-Malang-01"/>
    <s v="Oka-0813-2707-1646"/>
    <x v="211"/>
    <d v="1899-12-30T19:39:00"/>
    <s v="EJ-MALANG-01"/>
    <x v="0"/>
    <x v="4"/>
    <s v="ZTE1002"/>
    <s v="Pcs"/>
    <n v="3"/>
    <s v="MF51-03"/>
    <x v="76"/>
    <m/>
    <m/>
    <m/>
    <s v="Riki Romansyah"/>
    <s v="Febby Supplier"/>
    <s v="3507050501950006"/>
    <s v="N 8420 EL"/>
    <m/>
    <x v="2"/>
    <s v="HUBFEEDER KEPANJEN TO JATIKERTO"/>
    <e v="#N/A"/>
    <e v="#N/A"/>
    <s v="OUTBOUND_"/>
  </r>
  <r>
    <s v="1380"/>
    <m/>
    <x v="1"/>
    <s v="OUB-W0012408-436"/>
    <s v="EJ-Malang-01"/>
    <s v="Oka-0813-2707-1646"/>
    <x v="211"/>
    <d v="1899-12-30T20:20:00"/>
    <s v="EJ-MALANG-01"/>
    <x v="0"/>
    <x v="5"/>
    <s v="ZTE1001"/>
    <s v="Pcs"/>
    <n v="19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81"/>
    <m/>
    <x v="1"/>
    <s v="OUB-W0012408-434"/>
    <s v="EJ-Malang-01"/>
    <s v="Oka-0813-2707-1646"/>
    <x v="211"/>
    <d v="1899-12-30T18:48:00"/>
    <s v="EJ-MALANG-01"/>
    <x v="0"/>
    <x v="5"/>
    <s v="ZTE1001"/>
    <s v="Pcs"/>
    <n v="30"/>
    <s v="MF51-03"/>
    <x v="76"/>
    <m/>
    <m/>
    <m/>
    <s v="Riki Romansyah"/>
    <s v="Febby Supplier"/>
    <s v="3507050501950006"/>
    <s v="N 8420 EL"/>
    <m/>
    <x v="2"/>
    <s v="HUBFEEDER KEPANJEN TO JATIKERTO"/>
    <e v="#N/A"/>
    <e v="#N/A"/>
    <s v="OUTBOUND_"/>
  </r>
  <r>
    <s v="1382"/>
    <m/>
    <x v="1"/>
    <s v="OUB-W0012408-435"/>
    <s v="EJ-Malang-01"/>
    <s v="Oka-0813-2707-1646"/>
    <x v="211"/>
    <d v="1899-12-30T19:39:00"/>
    <s v="EJ-MALANG-01"/>
    <x v="0"/>
    <x v="19"/>
    <s v="ZTE1003"/>
    <s v="Pcs"/>
    <n v="2"/>
    <s v="MF51-03"/>
    <x v="76"/>
    <m/>
    <m/>
    <m/>
    <s v="Riki Romansyah"/>
    <s v="Febby Supplier"/>
    <s v="3507050501950006"/>
    <s v="N 8420 EL"/>
    <m/>
    <x v="2"/>
    <s v="HUBFEEDER KEPANJEN TO JATIKERTO"/>
    <e v="#N/A"/>
    <e v="#N/A"/>
    <s v="OUTBOUND_"/>
  </r>
  <r>
    <s v="1383"/>
    <m/>
    <x v="1"/>
    <s v="OUB-W0012408-436"/>
    <s v="EJ-Malang-01"/>
    <s v="Oka-0813-2707-1646"/>
    <x v="211"/>
    <d v="1899-12-30T20:20:00"/>
    <s v="EJ-MALANG-01"/>
    <x v="0"/>
    <x v="19"/>
    <s v="ZTE1003"/>
    <s v="Pcs"/>
    <n v="3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84"/>
    <m/>
    <x v="1"/>
    <s v="OUB-W0012408-433"/>
    <s v="EJ-Malang-01"/>
    <s v="Oka-0813-2707-1646"/>
    <x v="211"/>
    <d v="1899-12-30T10:46:00"/>
    <s v="EJ-MALANG-01"/>
    <x v="1"/>
    <x v="12"/>
    <s v="GCI1008"/>
    <s v="Pcs"/>
    <n v="40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85"/>
    <m/>
    <x v="1"/>
    <s v="OUB-W0012408-434"/>
    <s v="EJ-Malang-01"/>
    <s v="Oka-0813-2707-1646"/>
    <x v="211"/>
    <d v="1899-12-30T18:48:00"/>
    <s v="EJ-MALANG-01"/>
    <x v="1"/>
    <x v="12"/>
    <s v="GCI1008"/>
    <s v="Pcs"/>
    <n v="100"/>
    <s v="MF51-03"/>
    <x v="76"/>
    <m/>
    <m/>
    <m/>
    <s v="Riki Romansyah"/>
    <s v="Febby Supplier"/>
    <s v="3507050501950006"/>
    <s v="N 8420 EL"/>
    <m/>
    <x v="2"/>
    <s v="HUBFEEDER KEPANJEN TO JATIKERTO"/>
    <e v="#N/A"/>
    <e v="#N/A"/>
    <s v="OUTBOUND_"/>
  </r>
  <r>
    <s v="1386"/>
    <m/>
    <x v="1"/>
    <s v="OUB-W0012408-433"/>
    <s v="EJ-Malang-01"/>
    <s v="Oka-0813-2707-1646"/>
    <x v="211"/>
    <d v="1899-12-30T10:46:00"/>
    <s v="EJ-MALANG-01"/>
    <x v="1"/>
    <x v="15"/>
    <s v="GCI1003"/>
    <s v="Pcs"/>
    <n v="40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87"/>
    <m/>
    <x v="1"/>
    <s v="OUB-W0012408-434"/>
    <s v="EJ-Malang-01"/>
    <s v="Oka-0813-2707-1646"/>
    <x v="211"/>
    <d v="1899-12-30T18:48:00"/>
    <s v="EJ-MALANG-01"/>
    <x v="1"/>
    <x v="15"/>
    <s v="GCI1003"/>
    <s v="Pcs"/>
    <n v="100"/>
    <s v="MF51-03"/>
    <x v="76"/>
    <m/>
    <m/>
    <m/>
    <s v="Riki Romansyah"/>
    <s v="Febby Supplier"/>
    <s v="3507050501950006"/>
    <s v="N 8420 EL"/>
    <m/>
    <x v="2"/>
    <s v="HUBFEEDER KEPANJEN TO JATIKERTO"/>
    <e v="#N/A"/>
    <e v="#N/A"/>
    <s v="OUTBOUND_"/>
  </r>
  <r>
    <s v="1388"/>
    <m/>
    <x v="1"/>
    <s v="OUB-W0012408-433"/>
    <s v="EJ-Malang-01"/>
    <s v="Oka-0813-2707-1646"/>
    <x v="211"/>
    <d v="1899-12-30T10:46:00"/>
    <s v="EJ-MALANG-01"/>
    <x v="1"/>
    <x v="16"/>
    <s v="GCI1004"/>
    <s v="Pcs"/>
    <n v="20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89"/>
    <m/>
    <x v="1"/>
    <s v="OUB-W0012408-434"/>
    <s v="EJ-Malang-01"/>
    <s v="Oka-0813-2707-1646"/>
    <x v="211"/>
    <d v="1899-12-30T18:48:00"/>
    <s v="EJ-MALANG-01"/>
    <x v="1"/>
    <x v="16"/>
    <s v="GCI1004"/>
    <s v="Pcs"/>
    <n v="50"/>
    <s v="MF51-03"/>
    <x v="76"/>
    <m/>
    <m/>
    <m/>
    <s v="Riki Romansyah"/>
    <s v="Febby Supplier"/>
    <s v="3507050501950006"/>
    <s v="N 8420 EL"/>
    <m/>
    <x v="2"/>
    <s v="HUBFEEDER KEPANJEN TO JATIKERTO"/>
    <e v="#N/A"/>
    <e v="#N/A"/>
    <s v="OUTBOUND_"/>
  </r>
  <r>
    <s v="1390"/>
    <m/>
    <x v="2"/>
    <s v="TFI-W0012408-438"/>
    <s v="EJ-Malang-01"/>
    <s v="Oka-0813-2707-1646"/>
    <x v="212"/>
    <d v="1900-01-14T07:00:00"/>
    <s v="ZTE Warehouse"/>
    <x v="0"/>
    <x v="5"/>
    <s v="ZTE1001"/>
    <s v="Pcs"/>
    <n v="2"/>
    <s v="TRF"/>
    <x v="17"/>
    <n v="0"/>
    <s v="TRANSFER GUDANG"/>
    <m/>
    <m/>
    <m/>
    <m/>
    <m/>
    <m/>
    <x v="2"/>
    <n v="0"/>
    <e v="#N/A"/>
    <e v="#N/A"/>
    <s v="OUTBOUND_"/>
  </r>
  <r>
    <s v="1391"/>
    <m/>
    <x v="2"/>
    <s v="TFI-W0012408-438"/>
    <s v="EJ-Malang-01"/>
    <s v="Oka-0813-2707-1646"/>
    <x v="212"/>
    <d v="1900-01-14T07:00:00"/>
    <s v="ZTE Warehouse"/>
    <x v="0"/>
    <x v="19"/>
    <s v="ZTE1003"/>
    <s v="Pcs"/>
    <n v="2"/>
    <s v="TRF"/>
    <x v="17"/>
    <n v="0"/>
    <s v="TRANSFER GUDANG"/>
    <m/>
    <m/>
    <m/>
    <m/>
    <m/>
    <m/>
    <x v="2"/>
    <n v="0"/>
    <e v="#N/A"/>
    <e v="#N/A"/>
    <s v="OUTBOUND_"/>
  </r>
  <r>
    <s v="1392"/>
    <m/>
    <x v="1"/>
    <s v="OUB-W0012408-437"/>
    <s v="EJ-Malang-01"/>
    <s v="Oka-0813-2707-1646"/>
    <x v="212"/>
    <d v="1899-12-30T13:08:00"/>
    <s v="EJ-MALANG-01"/>
    <x v="1"/>
    <x v="15"/>
    <s v="GCI1003"/>
    <s v="Pcs"/>
    <n v="100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93"/>
    <m/>
    <x v="1"/>
    <s v="OUB-W0012408-437"/>
    <s v="EJ-Malang-01"/>
    <s v="Oka-0813-2707-1646"/>
    <x v="212"/>
    <d v="1899-12-30T13:08:00"/>
    <s v="EJ-MALANG-01"/>
    <x v="1"/>
    <x v="16"/>
    <s v="GCI1004"/>
    <s v="Pcs"/>
    <n v="50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394"/>
    <m/>
    <x v="1"/>
    <s v="OUB-W0012408-439"/>
    <s v="EJ-Malang-01"/>
    <s v="Oka-0813-2707-1646"/>
    <x v="213"/>
    <d v="1899-12-30T10:07:00"/>
    <s v="EJ-MALANG-01"/>
    <x v="0"/>
    <x v="4"/>
    <s v="ZTE1002"/>
    <s v="Pcs"/>
    <n v="9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395"/>
    <m/>
    <x v="0"/>
    <s v="INB-W0012408-440"/>
    <s v="EJ-Malang-01"/>
    <s v="Oka-0813-2707-1646"/>
    <x v="214"/>
    <d v="1900-01-14T07:00:00"/>
    <s v="GCI Procurement"/>
    <x v="1"/>
    <x v="32"/>
    <s v="GCI1020"/>
    <s v="Pcs"/>
    <n v="22"/>
    <s v="RTN"/>
    <x v="22"/>
    <n v="0"/>
    <n v="0"/>
    <m/>
    <m/>
    <m/>
    <m/>
    <m/>
    <m/>
    <x v="2"/>
    <s v="Pengembalian"/>
    <e v="#N/A"/>
    <e v="#N/A"/>
    <s v="OUTBOUND_"/>
  </r>
  <r>
    <s v="1396"/>
    <m/>
    <x v="0"/>
    <s v="INB-W0012408-440"/>
    <s v="EJ-Malang-01"/>
    <s v="Oka-0813-2707-1646"/>
    <x v="214"/>
    <d v="1900-01-14T07:00:00"/>
    <s v="GCI Procurement"/>
    <x v="1"/>
    <x v="12"/>
    <s v="GCI1008"/>
    <s v="Pcs"/>
    <n v="6"/>
    <s v="RTN"/>
    <x v="22"/>
    <n v="0"/>
    <n v="0"/>
    <m/>
    <m/>
    <m/>
    <m/>
    <m/>
    <m/>
    <x v="2"/>
    <s v="Pengembalian"/>
    <e v="#N/A"/>
    <e v="#N/A"/>
    <s v="OUTBOUND_"/>
  </r>
  <r>
    <s v="1397"/>
    <m/>
    <x v="0"/>
    <s v="INB-W0012408-440"/>
    <s v="EJ-Malang-01"/>
    <s v="Oka-0813-2707-1646"/>
    <x v="214"/>
    <d v="1900-01-14T07:00:00"/>
    <s v="GCI Procurement"/>
    <x v="1"/>
    <x v="15"/>
    <s v="GCI1003"/>
    <s v="Pcs"/>
    <n v="67"/>
    <s v="RTN"/>
    <x v="22"/>
    <n v="0"/>
    <n v="0"/>
    <m/>
    <m/>
    <m/>
    <m/>
    <m/>
    <m/>
    <x v="2"/>
    <s v="Pengembalian"/>
    <e v="#N/A"/>
    <e v="#N/A"/>
    <s v="OUTBOUND_"/>
  </r>
  <r>
    <s v="1398"/>
    <m/>
    <x v="0"/>
    <s v="INB-W0012408-440"/>
    <s v="EJ-Malang-01"/>
    <s v="Oka-0813-2707-1646"/>
    <x v="214"/>
    <d v="1900-01-14T07:00:00"/>
    <s v="GCI Procurement"/>
    <x v="1"/>
    <x v="16"/>
    <s v="GCI1004"/>
    <s v="Pcs"/>
    <n v="35"/>
    <s v="RTN"/>
    <x v="22"/>
    <n v="0"/>
    <n v="0"/>
    <m/>
    <m/>
    <m/>
    <m/>
    <m/>
    <m/>
    <x v="2"/>
    <s v="Pengembalian"/>
    <e v="#N/A"/>
    <e v="#N/A"/>
    <s v="OUTBOUND_"/>
  </r>
  <r>
    <s v="1399"/>
    <m/>
    <x v="1"/>
    <s v="OUB-W0012408-442"/>
    <s v="EJ-Malang-01"/>
    <s v="Oka-0813-2707-1646"/>
    <x v="215"/>
    <d v="1899-12-30T10:00:00"/>
    <s v="EJ-MALANG-01"/>
    <x v="1"/>
    <x v="9"/>
    <s v="GCI1001"/>
    <s v="Pcs"/>
    <n v="5"/>
    <s v="MF51-04"/>
    <x v="78"/>
    <m/>
    <m/>
    <m/>
    <s v="Riki Romansyah"/>
    <s v="Febby Supplier"/>
    <s v="3507050501950006"/>
    <s v="N 8420 EL"/>
    <m/>
    <x v="2"/>
    <s v="HUBFEEDER TIRTASANI TO GIRIMOYO"/>
    <e v="#N/A"/>
    <e v="#N/A"/>
    <s v="OUTBOUND_"/>
  </r>
  <r>
    <s v="1400"/>
    <m/>
    <x v="1"/>
    <s v="OUB-W0012408-441"/>
    <s v="EJ-Malang-01"/>
    <s v="Oka-0813-2707-1646"/>
    <x v="215"/>
    <d v="1899-12-30T06:58:00"/>
    <s v="EJ-MALANG-01"/>
    <x v="0"/>
    <x v="20"/>
    <s v="ZTE1004"/>
    <s v="Pcs"/>
    <n v="2"/>
    <s v="MF51-03"/>
    <x v="76"/>
    <m/>
    <m/>
    <m/>
    <s v="Fatur"/>
    <n v="0"/>
    <s v="3515082712870005"/>
    <s v="W 3265 OH"/>
    <m/>
    <x v="2"/>
    <s v="HUBFEEDER KEPANJEN TO JATIKERTO"/>
    <e v="#N/A"/>
    <e v="#N/A"/>
    <s v="OUTBOUND_"/>
  </r>
  <r>
    <s v="1401"/>
    <m/>
    <x v="1"/>
    <s v="OUB-W0012408-442"/>
    <s v="EJ-Malang-01"/>
    <s v="Oka-0813-2707-1646"/>
    <x v="215"/>
    <d v="1899-12-30T10:00:00"/>
    <s v="EJ-MALANG-01"/>
    <x v="1"/>
    <x v="11"/>
    <s v="GCI1002"/>
    <s v="Pcs"/>
    <n v="1"/>
    <s v="MF51-04"/>
    <x v="78"/>
    <m/>
    <m/>
    <m/>
    <s v="Riki Romansyah"/>
    <s v="Febby Supplier"/>
    <s v="3507050501950006"/>
    <s v="N 8420 EL"/>
    <m/>
    <x v="2"/>
    <s v="HUBFEEDER TIRTASANI TO GIRIMOYO"/>
    <e v="#N/A"/>
    <e v="#N/A"/>
    <s v="OUTBOUND_"/>
  </r>
  <r>
    <s v="1402"/>
    <m/>
    <x v="1"/>
    <s v="OUB-W0012408-443"/>
    <s v="EJ-Malang-01"/>
    <s v="Oka-0813-2707-1646"/>
    <x v="215"/>
    <d v="1899-12-30T16:23:00"/>
    <s v="EJ-MALANG-01"/>
    <x v="0"/>
    <x v="5"/>
    <s v="ZTE1001"/>
    <s v="Pcs"/>
    <n v="1"/>
    <s v="CLR51-03-005"/>
    <x v="77"/>
    <m/>
    <m/>
    <m/>
    <s v="Riki Romansyah"/>
    <s v="Febby Supplier"/>
    <s v="3507050501950006"/>
    <s v="N 8420 EL"/>
    <m/>
    <x v="2"/>
    <s v="Dusun Langlang IV Singosari"/>
    <e v="#N/A"/>
    <e v="#N/A"/>
    <s v="OUTBOUND_"/>
  </r>
  <r>
    <s v="1403"/>
    <m/>
    <x v="1"/>
    <s v="OUB-W0012408-442"/>
    <s v="EJ-Malang-01"/>
    <s v="Oka-0813-2707-1646"/>
    <x v="215"/>
    <d v="1899-12-30T10:00:00"/>
    <s v="EJ-MALANG-01"/>
    <x v="1"/>
    <x v="15"/>
    <s v="GCI1003"/>
    <s v="Pcs"/>
    <n v="100"/>
    <s v="MF51-04"/>
    <x v="78"/>
    <m/>
    <m/>
    <m/>
    <s v="Riki Romansyah"/>
    <s v="Febby Supplier"/>
    <s v="3507050501950006"/>
    <s v="N 8420 EL"/>
    <m/>
    <x v="2"/>
    <s v="HUBFEEDER TIRTASANI TO GIRIMOYO"/>
    <e v="#N/A"/>
    <e v="#N/A"/>
    <s v="OUTBOUND_"/>
  </r>
  <r>
    <s v="1404"/>
    <m/>
    <x v="1"/>
    <s v="OUB-W0012408-442"/>
    <s v="EJ-Malang-01"/>
    <s v="Oka-0813-2707-1646"/>
    <x v="215"/>
    <d v="1899-12-30T10:00:00"/>
    <s v="EJ-MALANG-01"/>
    <x v="1"/>
    <x v="16"/>
    <s v="GCI1004"/>
    <s v="Pcs"/>
    <n v="50"/>
    <s v="MF51-04"/>
    <x v="78"/>
    <m/>
    <m/>
    <m/>
    <s v="Riki Romansyah"/>
    <s v="Febby Supplier"/>
    <s v="3507050501950006"/>
    <s v="N 8420 EL"/>
    <m/>
    <x v="2"/>
    <s v="HUBFEEDER TIRTASANI TO GIRIMOYO"/>
    <e v="#N/A"/>
    <e v="#N/A"/>
    <s v="OUTBOUND_"/>
  </r>
  <r>
    <s v="1405"/>
    <m/>
    <x v="1"/>
    <s v="OUB-W0012408-444"/>
    <s v="EJ-Malang-01"/>
    <s v="Oka-0813-2707-1646"/>
    <x v="216"/>
    <d v="1899-12-30T21:28:00"/>
    <s v="EJ-MALANG-01"/>
    <x v="0"/>
    <x v="2"/>
    <s v="ZTE2008"/>
    <s v="Pcs"/>
    <n v="4"/>
    <s v="CLR51-99-049"/>
    <x v="73"/>
    <m/>
    <m/>
    <m/>
    <s v="Fatur"/>
    <n v="0"/>
    <s v="3515082712870005"/>
    <s v="W 3265 OH"/>
    <m/>
    <x v="2"/>
    <s v="Perumahan Panca Garden"/>
    <e v="#N/A"/>
    <e v="#N/A"/>
    <s v="OUTBOUND_"/>
  </r>
  <r>
    <s v="1406"/>
    <m/>
    <x v="2"/>
    <s v="TFI-W0012408-445"/>
    <s v="EJ-Malang-01"/>
    <s v="Oka-0813-2707-1646"/>
    <x v="217"/>
    <d v="1900-01-14T07:00:00"/>
    <s v="ZTE Warehouse"/>
    <x v="0"/>
    <x v="2"/>
    <s v="ZTE2008"/>
    <s v="Pcs"/>
    <n v="1"/>
    <s v="TRF"/>
    <x v="17"/>
    <n v="0"/>
    <s v="TRANSFER GUDANG"/>
    <m/>
    <m/>
    <m/>
    <m/>
    <m/>
    <m/>
    <x v="2"/>
    <n v="0"/>
    <e v="#N/A"/>
    <e v="#N/A"/>
    <s v="OUTBOUND_"/>
  </r>
  <r>
    <s v="1407"/>
    <m/>
    <x v="1"/>
    <s v="OUB-W0012408-448"/>
    <s v="EJ-Malang-01"/>
    <s v="Oka-0813-2707-1646"/>
    <x v="218"/>
    <d v="1899-12-30T16:54:00"/>
    <s v="EJ-MALANG-01"/>
    <x v="1"/>
    <x v="6"/>
    <s v="GCI1011"/>
    <s v="Pcs"/>
    <n v="1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408"/>
    <m/>
    <x v="1"/>
    <s v="OUB-W0012408-448"/>
    <s v="EJ-Malang-01"/>
    <s v="Oka-0813-2707-1646"/>
    <x v="218"/>
    <d v="1899-12-30T16:54:00"/>
    <s v="EJ-MALANG-01"/>
    <x v="1"/>
    <x v="8"/>
    <s v="GCI1005"/>
    <s v="Pcs"/>
    <n v="25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409"/>
    <m/>
    <x v="1"/>
    <s v="OUB-W0012408-448"/>
    <s v="EJ-Malang-01"/>
    <s v="Oka-0813-2707-1646"/>
    <x v="218"/>
    <d v="1899-12-30T16:54:00"/>
    <s v="EJ-MALANG-01"/>
    <x v="1"/>
    <x v="9"/>
    <s v="GCI1001"/>
    <s v="Pcs"/>
    <n v="14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410"/>
    <m/>
    <x v="1"/>
    <s v="OUB-W0012408-448"/>
    <s v="EJ-Malang-01"/>
    <s v="Oka-0813-2707-1646"/>
    <x v="218"/>
    <d v="1899-12-30T16:54:00"/>
    <s v="EJ-MALANG-01"/>
    <x v="1"/>
    <x v="10"/>
    <s v="GCI1009"/>
    <s v="Pcs"/>
    <n v="35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411"/>
    <m/>
    <x v="1"/>
    <s v="OUB-W0012408-447"/>
    <s v="EJ-Malang-01"/>
    <s v="Oka-0813-2707-1646"/>
    <x v="218"/>
    <d v="1899-12-30T13:20:00"/>
    <s v="EJ-MALANG-01"/>
    <x v="0"/>
    <x v="4"/>
    <s v="ZTE1002"/>
    <s v="Pcs"/>
    <n v="3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412"/>
    <m/>
    <x v="1"/>
    <s v="OUB-W0012408-448"/>
    <s v="EJ-Malang-01"/>
    <s v="Oka-0813-2707-1646"/>
    <x v="218"/>
    <d v="1899-12-30T16:54:00"/>
    <s v="EJ-MALANG-01"/>
    <x v="0"/>
    <x v="5"/>
    <s v="ZTE1001"/>
    <s v="Pcs"/>
    <n v="2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413"/>
    <m/>
    <x v="1"/>
    <s v="OUB-W0012408-447"/>
    <s v="EJ-Malang-01"/>
    <s v="Oka-0813-2707-1646"/>
    <x v="218"/>
    <d v="1899-12-30T13:20:00"/>
    <s v="EJ-MALANG-01"/>
    <x v="0"/>
    <x v="5"/>
    <s v="ZTE1001"/>
    <s v="Pcs"/>
    <n v="10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414"/>
    <m/>
    <x v="1"/>
    <s v="OUB-W0012408-446"/>
    <s v="EJ-Malang-01"/>
    <s v="Oka-0813-2707-1646"/>
    <x v="218"/>
    <d v="1899-12-30T08:50:00"/>
    <s v="EJ-MALANG-01"/>
    <x v="0"/>
    <x v="5"/>
    <s v="ZTE1001"/>
    <s v="Pcs"/>
    <n v="20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415"/>
    <m/>
    <x v="1"/>
    <s v="OUB-W0012408-448"/>
    <s v="EJ-Malang-01"/>
    <s v="Oka-0813-2707-1646"/>
    <x v="218"/>
    <d v="1899-12-30T16:54:00"/>
    <s v="EJ-MALANG-01"/>
    <x v="1"/>
    <x v="12"/>
    <s v="GCI1008"/>
    <s v="Pcs"/>
    <n v="30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416"/>
    <m/>
    <x v="1"/>
    <s v="OUB-W0012408-448"/>
    <s v="EJ-Malang-01"/>
    <s v="Oka-0813-2707-1646"/>
    <x v="218"/>
    <d v="1899-12-30T16:54:00"/>
    <s v="EJ-MALANG-01"/>
    <x v="1"/>
    <x v="15"/>
    <s v="GCI1003"/>
    <s v="Pcs"/>
    <n v="40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417"/>
    <m/>
    <x v="1"/>
    <s v="OUB-W0012408-448"/>
    <s v="EJ-Malang-01"/>
    <s v="Oka-0813-2707-1646"/>
    <x v="218"/>
    <d v="1899-12-30T16:54:00"/>
    <s v="EJ-MALANG-01"/>
    <x v="1"/>
    <x v="16"/>
    <s v="GCI1004"/>
    <s v="Pcs"/>
    <n v="15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418"/>
    <m/>
    <x v="1"/>
    <s v="OUB-W0012408-449"/>
    <s v="EJ-Malang-01"/>
    <s v="Oka-0813-2707-1646"/>
    <x v="219"/>
    <d v="1899-12-30T18:53:00"/>
    <s v="EJ-MALANG-01"/>
    <x v="0"/>
    <x v="2"/>
    <s v="ZTE2008"/>
    <s v="Pcs"/>
    <n v="13"/>
    <s v="CLR51-99-086"/>
    <x v="58"/>
    <m/>
    <m/>
    <m/>
    <s v="Sifak"/>
    <n v="0"/>
    <s v="3507312107950002"/>
    <s v="N 1969 FF"/>
    <m/>
    <x v="2"/>
    <s v="Klampok RW 01 Singosari"/>
    <e v="#N/A"/>
    <e v="#N/A"/>
    <s v="OUTBOUND_"/>
  </r>
  <r>
    <s v="1419"/>
    <m/>
    <x v="0"/>
    <s v="INB-W0012408-450"/>
    <s v="EJ-Malang-01"/>
    <s v="Oka-0813-2707-1646"/>
    <x v="220"/>
    <d v="1900-01-14T07:00:00"/>
    <s v="ZTE Warehouse"/>
    <x v="0"/>
    <x v="0"/>
    <s v="ZTE2001"/>
    <s v="Meter"/>
    <n v="3000"/>
    <m/>
    <x v="28"/>
    <n v="0"/>
    <n v="0"/>
    <m/>
    <m/>
    <m/>
    <m/>
    <m/>
    <m/>
    <x v="70"/>
    <n v="0"/>
    <e v="#N/A"/>
    <e v="#N/A"/>
    <s v="OUTBOUND_H-ADSS 24C-2024822-01"/>
  </r>
  <r>
    <s v="1420"/>
    <m/>
    <x v="0"/>
    <s v="INB-W0012408-450"/>
    <s v="EJ-Malang-01"/>
    <s v="Oka-0813-2707-1646"/>
    <x v="220"/>
    <d v="1900-01-14T07:00:00"/>
    <s v="ZTE Warehouse"/>
    <x v="0"/>
    <x v="0"/>
    <s v="ZTE2001"/>
    <s v="Meter"/>
    <n v="3000"/>
    <m/>
    <x v="28"/>
    <m/>
    <m/>
    <m/>
    <m/>
    <m/>
    <m/>
    <m/>
    <m/>
    <x v="71"/>
    <n v="0"/>
    <e v="#N/A"/>
    <e v="#N/A"/>
    <s v="OUTBOUND_H-ADSS 24C-2024822-02"/>
  </r>
  <r>
    <s v="1421"/>
    <m/>
    <x v="0"/>
    <s v="INB-W0012408-450"/>
    <s v="EJ-Malang-01"/>
    <s v="Oka-0813-2707-1646"/>
    <x v="220"/>
    <d v="1900-01-14T07:00:00"/>
    <s v="ZTE Warehouse"/>
    <x v="0"/>
    <x v="0"/>
    <s v="ZTE2001"/>
    <s v="Meter"/>
    <n v="3000"/>
    <m/>
    <x v="28"/>
    <m/>
    <m/>
    <m/>
    <m/>
    <m/>
    <m/>
    <m/>
    <m/>
    <x v="72"/>
    <n v="0"/>
    <e v="#N/A"/>
    <e v="#N/A"/>
    <s v="OUTBOUND_H-ADSS 24C-2024822-03"/>
  </r>
  <r>
    <s v="1422"/>
    <m/>
    <x v="0"/>
    <s v="INB-W0012408-450"/>
    <s v="EJ-Malang-01"/>
    <s v="Oka-0813-2707-1646"/>
    <x v="220"/>
    <d v="1900-01-14T07:00:00"/>
    <s v="ZTE Warehouse"/>
    <x v="0"/>
    <x v="1"/>
    <s v="ZTE2003"/>
    <s v="Meter"/>
    <n v="3000"/>
    <s v="CLR51-03-010"/>
    <x v="81"/>
    <s v="DOEID24081996"/>
    <s v="DNWID0342024081910"/>
    <m/>
    <m/>
    <m/>
    <m/>
    <m/>
    <m/>
    <x v="73"/>
    <s v="Dusun Krajan Sumbersekar"/>
    <d v="2024-08-22T00:00:00"/>
    <b v="1"/>
    <s v="OUTBOUND_H-ADSS 48C-2024822-01"/>
  </r>
  <r>
    <s v="1423"/>
    <m/>
    <x v="0"/>
    <s v="INB-W0012408-450"/>
    <s v="EJ-Malang-01"/>
    <s v="Oka-0813-2707-1646"/>
    <x v="220"/>
    <d v="1900-01-14T07:00:00"/>
    <s v="ZTE Warehouse"/>
    <x v="0"/>
    <x v="1"/>
    <s v="ZTE2003"/>
    <s v="Meter"/>
    <n v="3000"/>
    <s v="CLR51-09-009"/>
    <x v="82"/>
    <s v="DOEID24081989"/>
    <s v="DNWID0342024081905"/>
    <m/>
    <m/>
    <m/>
    <m/>
    <m/>
    <m/>
    <x v="74"/>
    <s v="Dilem RW 03 Kepanjen"/>
    <d v="2024-08-22T00:00:00"/>
    <b v="1"/>
    <s v="OUTBOUND_H-ADSS 48C-2024822-02"/>
  </r>
  <r>
    <s v="1424"/>
    <m/>
    <x v="2"/>
    <s v="TFI-W0012408-453"/>
    <s v="EJ-Malang-01"/>
    <s v="Oka-0813-2707-1646"/>
    <x v="220"/>
    <d v="1900-01-14T07:00:00"/>
    <s v="ZTE Warehouse"/>
    <x v="0"/>
    <x v="28"/>
    <s v="ZTE2010"/>
    <s v="Pcs"/>
    <n v="15"/>
    <s v="TRF"/>
    <x v="17"/>
    <n v="0"/>
    <n v="0"/>
    <m/>
    <m/>
    <m/>
    <m/>
    <m/>
    <s v="TRANSFER GUDANG"/>
    <x v="2"/>
    <n v="0"/>
    <e v="#N/A"/>
    <e v="#N/A"/>
    <s v="OUTBOUND_"/>
  </r>
  <r>
    <s v="1425"/>
    <m/>
    <x v="0"/>
    <s v="INB-W0012408-453"/>
    <s v="EJ-Malang-01"/>
    <s v="Oka-0813-2707-1646"/>
    <x v="220"/>
    <d v="1900-01-14T07:00:00"/>
    <s v="ZTE Warehouse"/>
    <x v="0"/>
    <x v="2"/>
    <s v="ZTE2008"/>
    <s v="Pcs"/>
    <n v="90"/>
    <m/>
    <x v="28"/>
    <n v="0"/>
    <n v="0"/>
    <m/>
    <m/>
    <m/>
    <m/>
    <m/>
    <m/>
    <x v="2"/>
    <n v="0"/>
    <e v="#N/A"/>
    <e v="#N/A"/>
    <s v="OUTBOUND_"/>
  </r>
  <r>
    <s v="1426"/>
    <m/>
    <x v="4"/>
    <s v="BOI-W0012408-453"/>
    <s v="EJ-Malang-01"/>
    <s v="Oka-0813-2707-1646"/>
    <x v="220"/>
    <d v="1900-01-14T07:00:00"/>
    <s v="Other Subcon"/>
    <x v="0"/>
    <x v="3"/>
    <s v="ZTE2005"/>
    <s v="Pcs"/>
    <n v="1"/>
    <s v="BR005"/>
    <x v="21"/>
    <n v="0"/>
    <n v="0"/>
    <m/>
    <m/>
    <m/>
    <m/>
    <m/>
    <s v="Morasa Return"/>
    <x v="2"/>
    <s v="MORASHA"/>
    <e v="#N/A"/>
    <e v="#N/A"/>
    <s v="OUTBOUND_"/>
  </r>
  <r>
    <s v="1427"/>
    <m/>
    <x v="0"/>
    <s v="INB-W0012408-453"/>
    <s v="EJ-Malang-01"/>
    <s v="Oka-0813-2707-1646"/>
    <x v="220"/>
    <d v="1900-01-14T07:00:00"/>
    <s v="ZTE Warehouse"/>
    <x v="0"/>
    <x v="3"/>
    <s v="ZTE2005"/>
    <s v="Pcs"/>
    <n v="5"/>
    <m/>
    <x v="28"/>
    <n v="0"/>
    <n v="0"/>
    <m/>
    <m/>
    <m/>
    <m/>
    <m/>
    <m/>
    <x v="2"/>
    <n v="0"/>
    <e v="#N/A"/>
    <e v="#N/A"/>
    <s v="OUTBOUND_"/>
  </r>
  <r>
    <s v="1428"/>
    <m/>
    <x v="1"/>
    <s v="OUB-W0012408-452"/>
    <s v="EJ-Malang-01"/>
    <s v="Oka-0813-2707-1646"/>
    <x v="220"/>
    <d v="1899-12-30T11:13:00"/>
    <s v="EJ-MALANG-01"/>
    <x v="0"/>
    <x v="3"/>
    <s v="ZTE2005"/>
    <s v="Pcs"/>
    <n v="1"/>
    <s v="CLR51-99-086"/>
    <x v="58"/>
    <m/>
    <m/>
    <m/>
    <s v="Sifak"/>
    <n v="0"/>
    <s v="3507312107950002"/>
    <s v="N 1969 FF"/>
    <m/>
    <x v="2"/>
    <s v="Klampok RW 01 Singosari"/>
    <e v="#N/A"/>
    <e v="#N/A"/>
    <s v="OUTBOUND_"/>
  </r>
  <r>
    <s v="1429"/>
    <m/>
    <x v="0"/>
    <s v="INB-W0012408-453"/>
    <s v="EJ-Malang-01"/>
    <s v="Oka-0813-2707-1646"/>
    <x v="220"/>
    <d v="1900-01-14T07:00:00"/>
    <s v="ZTE Warehouse"/>
    <x v="0"/>
    <x v="20"/>
    <s v="ZTE1004"/>
    <s v="Pcs"/>
    <n v="1"/>
    <m/>
    <x v="28"/>
    <n v="0"/>
    <n v="0"/>
    <m/>
    <m/>
    <m/>
    <m/>
    <m/>
    <m/>
    <x v="2"/>
    <n v="0"/>
    <e v="#N/A"/>
    <e v="#N/A"/>
    <s v="OUTBOUND_"/>
  </r>
  <r>
    <s v="1430"/>
    <m/>
    <x v="0"/>
    <s v="INB-W0012408-453"/>
    <s v="EJ-Malang-01"/>
    <s v="Oka-0813-2707-1646"/>
    <x v="220"/>
    <d v="1900-01-14T07:00:00"/>
    <s v="ZTE Warehouse"/>
    <x v="0"/>
    <x v="4"/>
    <s v="ZTE1002"/>
    <s v="Pcs"/>
    <n v="19"/>
    <m/>
    <x v="28"/>
    <n v="0"/>
    <n v="0"/>
    <m/>
    <m/>
    <m/>
    <m/>
    <m/>
    <m/>
    <x v="2"/>
    <n v="0"/>
    <e v="#N/A"/>
    <e v="#N/A"/>
    <s v="OUTBOUND_"/>
  </r>
  <r>
    <s v="1431"/>
    <m/>
    <x v="0"/>
    <s v="INB-W0012408-453"/>
    <s v="EJ-Malang-01"/>
    <s v="Oka-0813-2707-1646"/>
    <x v="220"/>
    <d v="1900-01-14T07:00:00"/>
    <s v="ZTE Warehouse"/>
    <x v="0"/>
    <x v="5"/>
    <s v="ZTE1001"/>
    <s v="Pcs"/>
    <n v="175"/>
    <m/>
    <x v="28"/>
    <n v="0"/>
    <n v="0"/>
    <m/>
    <m/>
    <m/>
    <m/>
    <m/>
    <m/>
    <x v="2"/>
    <n v="0"/>
    <e v="#N/A"/>
    <e v="#N/A"/>
    <s v="OUTBOUND_"/>
  </r>
  <r>
    <s v="1432"/>
    <m/>
    <x v="1"/>
    <s v="OUB-W0012408-451"/>
    <s v="EJ-Malang-01"/>
    <s v="Oka-0813-2707-1646"/>
    <x v="220"/>
    <d v="1899-12-30T10:59:00"/>
    <s v="EJ-MALANG-01"/>
    <x v="0"/>
    <x v="5"/>
    <s v="ZTE1001"/>
    <s v="Pcs"/>
    <n v="24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33"/>
    <m/>
    <x v="0"/>
    <s v="INB-W0012408-453"/>
    <s v="EJ-Malang-01"/>
    <s v="Oka-0813-2707-1646"/>
    <x v="220"/>
    <d v="1900-01-14T07:00:00"/>
    <s v="ZTE Warehouse"/>
    <x v="0"/>
    <x v="19"/>
    <s v="ZTE1003"/>
    <s v="Pcs"/>
    <n v="15"/>
    <m/>
    <x v="28"/>
    <n v="0"/>
    <n v="0"/>
    <m/>
    <m/>
    <m/>
    <m/>
    <m/>
    <m/>
    <x v="2"/>
    <n v="0"/>
    <e v="#N/A"/>
    <e v="#N/A"/>
    <s v="OUTBOUND_"/>
  </r>
  <r>
    <s v="1434"/>
    <m/>
    <x v="1"/>
    <s v="OUB-W0012408-457"/>
    <s v="EJ-Malang-01"/>
    <s v="Oka-0813-2707-1646"/>
    <x v="221"/>
    <d v="1899-12-30T11:13:00"/>
    <s v="EJ-MALANG-01"/>
    <x v="0"/>
    <x v="0"/>
    <s v="ZTE2001"/>
    <s v="Meter"/>
    <n v="3000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435"/>
    <m/>
    <x v="3"/>
    <s v="TFO-W0012408-456"/>
    <s v="EJ-Malang-01"/>
    <s v="Oka-0813-2707-1646"/>
    <x v="221"/>
    <d v="1899-12-30T18:59:00"/>
    <s v="EJ-MALANG-01"/>
    <x v="0"/>
    <x v="1"/>
    <s v="ZTE2003"/>
    <s v="Meter"/>
    <n v="3000"/>
    <s v="CLR51-99-086"/>
    <x v="10"/>
    <m/>
    <m/>
    <m/>
    <s v="Nur Hidayat"/>
    <n v="0"/>
    <s v="3515141305930006"/>
    <s v="S 9102 AE"/>
    <s v="Transfer"/>
    <x v="2"/>
    <s v="Transfer Gudang"/>
    <e v="#N/A"/>
    <e v="#N/A"/>
    <s v="TRANSFER OUT_"/>
  </r>
  <r>
    <s v="1436"/>
    <m/>
    <x v="1"/>
    <s v="OUB-W0012408-455"/>
    <s v="EJ-Malang-01"/>
    <s v="Oka-0813-2707-1646"/>
    <x v="221"/>
    <d v="1899-12-30T11:13:00"/>
    <s v="EJ-MALANG-01"/>
    <x v="1"/>
    <x v="8"/>
    <s v="GCI1005"/>
    <s v="Pcs"/>
    <n v="30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437"/>
    <m/>
    <x v="1"/>
    <s v="OUB-W0012408-455"/>
    <s v="EJ-Malang-01"/>
    <s v="Oka-0813-2707-1646"/>
    <x v="221"/>
    <d v="1899-12-30T11:13:00"/>
    <s v="EJ-MALANG-01"/>
    <x v="1"/>
    <x v="9"/>
    <s v="GCI1001"/>
    <s v="Pcs"/>
    <n v="14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438"/>
    <m/>
    <x v="1"/>
    <s v="OUB-W0012408-455"/>
    <s v="EJ-Malang-01"/>
    <s v="Oka-0813-2707-1646"/>
    <x v="221"/>
    <d v="1899-12-30T11:13:00"/>
    <s v="EJ-MALANG-01"/>
    <x v="1"/>
    <x v="10"/>
    <s v="GCI1009"/>
    <s v="Pcs"/>
    <n v="200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439"/>
    <m/>
    <x v="1"/>
    <s v="OUB-W0012408-455"/>
    <s v="EJ-Malang-01"/>
    <s v="Oka-0813-2707-1646"/>
    <x v="221"/>
    <d v="1899-12-30T11:13:00"/>
    <s v="EJ-MALANG-01"/>
    <x v="1"/>
    <x v="11"/>
    <s v="GCI1002"/>
    <s v="Pcs"/>
    <n v="1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440"/>
    <m/>
    <x v="1"/>
    <s v="OUB-W0012408-455"/>
    <s v="EJ-Malang-01"/>
    <s v="Oka-0813-2707-1646"/>
    <x v="221"/>
    <d v="1899-12-30T11:13:00"/>
    <s v="EJ-MALANG-01"/>
    <x v="0"/>
    <x v="4"/>
    <s v="ZTE1002"/>
    <s v="Pcs"/>
    <n v="1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441"/>
    <m/>
    <x v="1"/>
    <s v="OUB-W0012408-454"/>
    <s v="EJ-Malang-01"/>
    <s v="Oka-0813-2707-1646"/>
    <x v="221"/>
    <d v="1899-12-30T07:23:00"/>
    <s v="EJ-MALANG-01"/>
    <x v="0"/>
    <x v="5"/>
    <s v="ZTE1001"/>
    <s v="Pcs"/>
    <n v="21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42"/>
    <m/>
    <x v="1"/>
    <s v="OUB-W0012408-455"/>
    <s v="EJ-Malang-01"/>
    <s v="Oka-0813-2707-1646"/>
    <x v="221"/>
    <d v="1899-12-30T11:13:00"/>
    <s v="EJ-MALANG-01"/>
    <x v="0"/>
    <x v="5"/>
    <s v="ZTE1001"/>
    <s v="Pcs"/>
    <n v="21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443"/>
    <m/>
    <x v="1"/>
    <s v="OUB-W0012408-455"/>
    <s v="EJ-Malang-01"/>
    <s v="Oka-0813-2707-1646"/>
    <x v="221"/>
    <d v="1899-12-30T11:13:00"/>
    <s v="EJ-MALANG-01"/>
    <x v="0"/>
    <x v="19"/>
    <s v="ZTE1003"/>
    <s v="Pcs"/>
    <n v="2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444"/>
    <m/>
    <x v="1"/>
    <s v="OUB-W0012408-455"/>
    <s v="EJ-Malang-01"/>
    <s v="Oka-0813-2707-1646"/>
    <x v="221"/>
    <d v="1899-12-30T11:13:00"/>
    <s v="EJ-MALANG-01"/>
    <x v="1"/>
    <x v="12"/>
    <s v="GCI1008"/>
    <s v="Pcs"/>
    <n v="50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445"/>
    <m/>
    <x v="1"/>
    <s v="OUB-W0012408-455"/>
    <s v="EJ-Malang-01"/>
    <s v="Oka-0813-2707-1646"/>
    <x v="221"/>
    <d v="1899-12-30T11:13:00"/>
    <s v="EJ-MALANG-01"/>
    <x v="1"/>
    <x v="15"/>
    <s v="GCI1003"/>
    <s v="Pcs"/>
    <n v="100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446"/>
    <m/>
    <x v="1"/>
    <s v="OUB-W0012408-455"/>
    <s v="EJ-Malang-01"/>
    <s v="Oka-0813-2707-1646"/>
    <x v="221"/>
    <d v="1899-12-30T11:13:00"/>
    <s v="EJ-MALANG-01"/>
    <x v="1"/>
    <x v="16"/>
    <s v="GCI1004"/>
    <s v="Pcs"/>
    <n v="50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447"/>
    <m/>
    <x v="4"/>
    <s v="BOI-W0012408-458"/>
    <s v="EJ-Malang-01"/>
    <s v="Oka-0813-2707-1646"/>
    <x v="222"/>
    <d v="1900-01-14T07:00:00"/>
    <s v="Other Subcon"/>
    <x v="0"/>
    <x v="31"/>
    <s v="ZTE2004"/>
    <s v="Meter"/>
    <n v="3000"/>
    <s v="BR006"/>
    <x v="83"/>
    <n v="0"/>
    <n v="0"/>
    <m/>
    <m/>
    <m/>
    <m/>
    <m/>
    <s v="Borrow From Midgo"/>
    <x v="75"/>
    <s v="MIDGO"/>
    <e v="#N/A"/>
    <e v="#N/A"/>
    <s v="OUTBOUND_H-ADSS 144C-2024826-01"/>
  </r>
  <r>
    <s v="1448"/>
    <m/>
    <x v="4"/>
    <s v="BOI-W0012408-458"/>
    <s v="EJ-Malang-01"/>
    <s v="Oka-0813-2707-1646"/>
    <x v="222"/>
    <d v="1900-01-14T07:00:00"/>
    <s v="Other Subcon"/>
    <x v="1"/>
    <x v="26"/>
    <s v="ZTE2020"/>
    <s v="Meter"/>
    <n v="200"/>
    <s v="BR006"/>
    <x v="83"/>
    <n v="0"/>
    <n v="0"/>
    <m/>
    <m/>
    <m/>
    <m/>
    <m/>
    <s v="Borrow from Midgo"/>
    <x v="2"/>
    <s v="MIDGO"/>
    <e v="#N/A"/>
    <e v="#N/A"/>
    <s v="OUTBOUND_"/>
  </r>
  <r>
    <s v="1449"/>
    <m/>
    <x v="0"/>
    <s v="INB-W0012408-459"/>
    <s v="EJ-Malang-01"/>
    <s v="Oka-0813-2707-1646"/>
    <x v="223"/>
    <d v="1900-01-14T07:00:00"/>
    <s v="ZTE Warehouse"/>
    <x v="0"/>
    <x v="31"/>
    <s v="ZTE2004"/>
    <s v="Meter"/>
    <n v="3000"/>
    <s v="MF51-02"/>
    <x v="84"/>
    <n v="0"/>
    <n v="0"/>
    <m/>
    <m/>
    <m/>
    <m/>
    <m/>
    <m/>
    <x v="76"/>
    <s v="HUBFEEDER DALISODO WAGIR MALANG"/>
    <e v="#N/A"/>
    <e v="#N/A"/>
    <s v="OUTBOUND_H-ADSS 144C-2024827-01"/>
  </r>
  <r>
    <s v="1450"/>
    <m/>
    <x v="0"/>
    <s v="INB-W0012408-459"/>
    <s v="EJ-Malang-01"/>
    <s v="Oka-0813-2707-1646"/>
    <x v="223"/>
    <d v="1900-01-14T07:00:00"/>
    <s v="ZTE Warehouse"/>
    <x v="0"/>
    <x v="31"/>
    <s v="ZTE2004"/>
    <s v="Meter"/>
    <n v="3000"/>
    <s v="MF51-02"/>
    <x v="84"/>
    <m/>
    <m/>
    <m/>
    <m/>
    <m/>
    <m/>
    <m/>
    <m/>
    <x v="77"/>
    <s v="HUBFEEDER DALISODO WAGIR MALANG"/>
    <e v="#N/A"/>
    <e v="#N/A"/>
    <s v="OUTBOUND_H-ADSS 144C-2024827-02"/>
  </r>
  <r>
    <s v="1451"/>
    <m/>
    <x v="0"/>
    <s v="INB-W0012408-464"/>
    <s v="EJ-Malang-01"/>
    <s v="Oka-0813-2707-1646"/>
    <x v="223"/>
    <d v="1900-01-14T07:00:00"/>
    <s v="ZTE Warehouse"/>
    <x v="0"/>
    <x v="0"/>
    <s v="ZTE2001"/>
    <s v="Meter"/>
    <n v="3000"/>
    <m/>
    <x v="28"/>
    <n v="0"/>
    <n v="0"/>
    <m/>
    <m/>
    <m/>
    <m/>
    <m/>
    <m/>
    <x v="78"/>
    <n v="0"/>
    <e v="#N/A"/>
    <e v="#N/A"/>
    <s v="OUTBOUND_H-ADSS 24C-2024827-01"/>
  </r>
  <r>
    <s v="1452"/>
    <m/>
    <x v="0"/>
    <s v="INB-W0012408-464"/>
    <s v="EJ-Malang-01"/>
    <s v="Oka-0813-2707-1646"/>
    <x v="223"/>
    <d v="1900-01-14T07:00:00"/>
    <s v="ZTE Warehouse"/>
    <x v="0"/>
    <x v="0"/>
    <s v="ZTE2001"/>
    <s v="Meter"/>
    <n v="3000"/>
    <m/>
    <x v="28"/>
    <n v="0"/>
    <n v="0"/>
    <m/>
    <m/>
    <m/>
    <m/>
    <m/>
    <m/>
    <x v="79"/>
    <n v="0"/>
    <e v="#N/A"/>
    <e v="#N/A"/>
    <s v="OUTBOUND_H-ADSS 24C-2024827-02"/>
  </r>
  <r>
    <s v="1453"/>
    <m/>
    <x v="0"/>
    <s v="INB-W0012408-464"/>
    <s v="EJ-Malang-01"/>
    <s v="Oka-0813-2707-1646"/>
    <x v="223"/>
    <d v="1900-01-14T07:00:00"/>
    <s v="ZTE Warehouse"/>
    <x v="0"/>
    <x v="1"/>
    <s v="ZTE2003"/>
    <s v="Meter"/>
    <n v="3000"/>
    <s v="CLR51-99-115"/>
    <x v="80"/>
    <s v="DOEID240822C5"/>
    <s v="DNWID0342024082301"/>
    <m/>
    <m/>
    <m/>
    <m/>
    <m/>
    <m/>
    <x v="80"/>
    <s v="Sengguruh RW 01 Malang"/>
    <d v="2024-08-27T00:00:00"/>
    <b v="1"/>
    <s v="OUTBOUND_H-ADSS 48C-2024828-01"/>
  </r>
  <r>
    <s v="1454"/>
    <m/>
    <x v="0"/>
    <s v="INB-W0012408-464"/>
    <s v="EJ-Malang-01"/>
    <s v="Oka-0813-2707-1646"/>
    <x v="223"/>
    <d v="1900-01-14T07:00:00"/>
    <s v="ZTE Warehouse"/>
    <x v="0"/>
    <x v="1"/>
    <s v="ZTE2003"/>
    <s v="Meter"/>
    <n v="3000"/>
    <s v="CLR51-99-115"/>
    <x v="80"/>
    <s v="DOEID240822C5"/>
    <s v="DNWID0342024082301"/>
    <m/>
    <m/>
    <m/>
    <m/>
    <m/>
    <m/>
    <x v="81"/>
    <s v="Sengguruh RW 01 Malang"/>
    <d v="2024-08-27T00:00:00"/>
    <b v="1"/>
    <s v="OUTBOUND_H-ADSS 48C-2024828-02"/>
  </r>
  <r>
    <s v="1455"/>
    <m/>
    <x v="0"/>
    <s v="INB-W0012408-464"/>
    <s v="EJ-Malang-01"/>
    <s v="Oka-0813-2707-1646"/>
    <x v="223"/>
    <d v="1900-01-14T07:00:00"/>
    <s v="ZTE Warehouse"/>
    <x v="0"/>
    <x v="1"/>
    <s v="ZTE2003"/>
    <s v="Meter"/>
    <n v="3000"/>
    <s v="CLR51-99-115"/>
    <x v="80"/>
    <s v="DOEID240822C5"/>
    <s v="DNWID0342024082301"/>
    <m/>
    <m/>
    <m/>
    <m/>
    <m/>
    <m/>
    <x v="82"/>
    <s v="Sengguruh RW 01 Malang"/>
    <d v="2024-08-27T00:00:00"/>
    <b v="1"/>
    <s v="OUTBOUND_H-ADSS 48C-2024828-03"/>
  </r>
  <r>
    <s v="1456"/>
    <m/>
    <x v="3"/>
    <s v="TFO-W0012408-461"/>
    <s v="EJ-Malang-01"/>
    <s v="Oka-0813-2707-1646"/>
    <x v="223"/>
    <d v="1899-12-30T15:34:00"/>
    <s v="EJ-MALANG-01"/>
    <x v="0"/>
    <x v="28"/>
    <s v="ZTE2010"/>
    <s v="Pcs"/>
    <n v="2"/>
    <s v="TRF"/>
    <x v="10"/>
    <m/>
    <m/>
    <m/>
    <s v="Sifak"/>
    <n v="0"/>
    <s v="3507312107950002"/>
    <s v="N 1969 FF"/>
    <s v="Transfer"/>
    <x v="2"/>
    <s v="Transfer Gudang"/>
    <e v="#N/A"/>
    <e v="#N/A"/>
    <s v="TRANSFER OUT_"/>
  </r>
  <r>
    <s v="1457"/>
    <m/>
    <x v="1"/>
    <s v="OUB-W0012408-462"/>
    <s v="EJ-Malang-01"/>
    <s v="Oka-0813-2707-1646"/>
    <x v="223"/>
    <d v="1899-12-30T21:22:00"/>
    <s v="EJ-MALANG-01"/>
    <x v="1"/>
    <x v="9"/>
    <s v="GCI1001"/>
    <s v="Pcs"/>
    <n v="4"/>
    <s v="MF51-05"/>
    <x v="85"/>
    <m/>
    <m/>
    <m/>
    <s v="Nur Hidayat"/>
    <n v="0"/>
    <s v="3515141305930006"/>
    <s v="S 9102 AE"/>
    <m/>
    <x v="2"/>
    <s v="HUBFEEDER DINOYO SUMBERSEKAR"/>
    <e v="#N/A"/>
    <e v="#N/A"/>
    <s v="OUTBOUND_"/>
  </r>
  <r>
    <s v="1458"/>
    <m/>
    <x v="1"/>
    <s v="OUB-W0012408-462"/>
    <s v="EJ-Malang-01"/>
    <s v="Oka-0813-2707-1646"/>
    <x v="223"/>
    <d v="1899-12-30T21:22:00"/>
    <s v="EJ-MALANG-01"/>
    <x v="1"/>
    <x v="32"/>
    <s v="GCI1020"/>
    <s v="Pcs"/>
    <n v="47"/>
    <s v="MF51-05"/>
    <x v="85"/>
    <m/>
    <m/>
    <m/>
    <s v="Nur Hidayat"/>
    <n v="0"/>
    <s v="3515141305930006"/>
    <s v="S 9102 AE"/>
    <m/>
    <x v="2"/>
    <s v="HUBFEEDER DINOYO SUMBERSEKAR"/>
    <e v="#N/A"/>
    <e v="#N/A"/>
    <s v="OUTBOUND_"/>
  </r>
  <r>
    <s v="1459"/>
    <m/>
    <x v="0"/>
    <s v="INB-W0012408-463"/>
    <s v="EJ-Malang-01"/>
    <s v="Oka-0813-2707-1646"/>
    <x v="223"/>
    <d v="1900-01-14T07:00:00"/>
    <s v="ZTE Warehouse"/>
    <x v="0"/>
    <x v="20"/>
    <s v="ZTE1004"/>
    <s v="Pcs"/>
    <n v="2"/>
    <m/>
    <x v="28"/>
    <n v="0"/>
    <n v="0"/>
    <m/>
    <m/>
    <m/>
    <m/>
    <m/>
    <m/>
    <x v="2"/>
    <n v="0"/>
    <e v="#N/A"/>
    <e v="#N/A"/>
    <s v="OUTBOUND_"/>
  </r>
  <r>
    <s v="1460"/>
    <m/>
    <x v="1"/>
    <s v="OUB-W0012408-461"/>
    <s v="EJ-Malang-01"/>
    <s v="Oka-0813-2707-1646"/>
    <x v="223"/>
    <d v="1899-12-30T15:34:00"/>
    <s v="EJ-MALANG-01"/>
    <x v="0"/>
    <x v="20"/>
    <s v="ZTE1004"/>
    <s v="Pcs"/>
    <n v="2"/>
    <s v="CLR51-09-009"/>
    <x v="82"/>
    <m/>
    <m/>
    <m/>
    <s v="Sifak"/>
    <n v="0"/>
    <s v="3507312107950002"/>
    <s v="N 1969 FF"/>
    <m/>
    <x v="2"/>
    <s v="Dilem RW 03 Kepanjen"/>
    <e v="#N/A"/>
    <e v="#N/A"/>
    <s v="OUTBOUND_"/>
  </r>
  <r>
    <s v="1461"/>
    <m/>
    <x v="1"/>
    <s v="OUB-W0012408-462"/>
    <s v="EJ-Malang-01"/>
    <s v="Oka-0813-2707-1646"/>
    <x v="223"/>
    <d v="1899-12-30T21:22:00"/>
    <s v="EJ-MALANG-01"/>
    <x v="1"/>
    <x v="11"/>
    <s v="GCI1002"/>
    <s v="Pcs"/>
    <n v="1"/>
    <s v="MF51-05"/>
    <x v="85"/>
    <m/>
    <m/>
    <m/>
    <s v="Nur Hidayat"/>
    <n v="0"/>
    <s v="3515141305930006"/>
    <s v="S 9102 AE"/>
    <m/>
    <x v="2"/>
    <s v="HUBFEEDER DINOYO SUMBERSEKAR"/>
    <e v="#N/A"/>
    <e v="#N/A"/>
    <s v="OUTBOUND_"/>
  </r>
  <r>
    <s v="1462"/>
    <m/>
    <x v="1"/>
    <s v="OUB-W0012408-460"/>
    <s v="EJ-Malang-01"/>
    <s v="Oka-0813-2707-1646"/>
    <x v="223"/>
    <d v="1899-12-30T09:37:00"/>
    <s v="EJ-MALANG-01"/>
    <x v="0"/>
    <x v="5"/>
    <s v="ZTE1001"/>
    <s v="Pcs"/>
    <n v="21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63"/>
    <m/>
    <x v="1"/>
    <s v="OUB-W0012408-462"/>
    <s v="EJ-Malang-01"/>
    <s v="Oka-0813-2707-1646"/>
    <x v="223"/>
    <d v="1899-12-30T21:22:00"/>
    <s v="EJ-MALANG-01"/>
    <x v="1"/>
    <x v="15"/>
    <s v="GCI1003"/>
    <s v="Pcs"/>
    <n v="25"/>
    <s v="MF51-05"/>
    <x v="85"/>
    <m/>
    <m/>
    <m/>
    <s v="Nur Hidayat"/>
    <n v="0"/>
    <s v="3515141305930006"/>
    <s v="S 9102 AE"/>
    <m/>
    <x v="2"/>
    <s v="HUBFEEDER DINOYO SUMBERSEKAR"/>
    <e v="#N/A"/>
    <e v="#N/A"/>
    <s v="OUTBOUND_"/>
  </r>
  <r>
    <s v="1464"/>
    <m/>
    <x v="1"/>
    <s v="OUB-W0012408-462"/>
    <s v="EJ-Malang-01"/>
    <s v="Oka-0813-2707-1646"/>
    <x v="223"/>
    <d v="1899-12-30T21:22:00"/>
    <s v="EJ-MALANG-01"/>
    <x v="1"/>
    <x v="16"/>
    <s v="GCI1004"/>
    <s v="Pcs"/>
    <n v="25"/>
    <s v="MF51-05"/>
    <x v="85"/>
    <m/>
    <m/>
    <m/>
    <s v="Nur Hidayat"/>
    <n v="0"/>
    <s v="3515141305930006"/>
    <s v="S 9102 AE"/>
    <m/>
    <x v="2"/>
    <s v="HUBFEEDER DINOYO SUMBERSEKAR"/>
    <e v="#N/A"/>
    <e v="#N/A"/>
    <s v="OUTBOUND_"/>
  </r>
  <r>
    <s v="1465"/>
    <m/>
    <x v="2"/>
    <s v="TFI-W0012408-467"/>
    <s v="EJ-Malang-01"/>
    <s v="Oka-0813-2707-1646"/>
    <x v="224"/>
    <d v="1900-01-14T07:00:00"/>
    <s v="ZTE Warehouse"/>
    <x v="0"/>
    <x v="28"/>
    <s v="ZTE2010"/>
    <s v="Pcs"/>
    <n v="10"/>
    <s v="TRF"/>
    <x v="17"/>
    <n v="0"/>
    <n v="0"/>
    <m/>
    <m/>
    <m/>
    <m/>
    <m/>
    <s v="TRANSFER GUDANG"/>
    <x v="2"/>
    <n v="0"/>
    <e v="#N/A"/>
    <e v="#N/A"/>
    <s v="OUTBOUND_"/>
  </r>
  <r>
    <s v="1466"/>
    <m/>
    <x v="3"/>
    <s v="TFO-W0012408-466"/>
    <s v="EJ-Malang-01"/>
    <s v="Oka-0813-2707-1646"/>
    <x v="224"/>
    <d v="1899-12-30T11:29:00"/>
    <s v="EJ-MALANG-01"/>
    <x v="0"/>
    <x v="28"/>
    <s v="ZTE2010"/>
    <s v="Pcs"/>
    <n v="4"/>
    <s v="TRF"/>
    <x v="10"/>
    <m/>
    <m/>
    <m/>
    <s v="Sifak"/>
    <n v="0"/>
    <s v="3507312107950002"/>
    <s v="N 1969 FF"/>
    <s v="Transfer"/>
    <x v="2"/>
    <s v="Transfer Gudang"/>
    <e v="#N/A"/>
    <e v="#N/A"/>
    <s v="TRANSFER OUT_"/>
  </r>
  <r>
    <s v="1467"/>
    <m/>
    <x v="0"/>
    <s v="INB-W0012408-467"/>
    <s v="EJ-Malang-01"/>
    <s v="Oka-0813-2707-1646"/>
    <x v="224"/>
    <d v="1900-01-14T07:00:00"/>
    <s v="ZTE Warehouse"/>
    <x v="0"/>
    <x v="2"/>
    <s v="ZTE2008"/>
    <s v="Pcs"/>
    <n v="94"/>
    <m/>
    <x v="28"/>
    <n v="0"/>
    <n v="0"/>
    <m/>
    <m/>
    <m/>
    <m/>
    <m/>
    <m/>
    <x v="2"/>
    <n v="0"/>
    <e v="#N/A"/>
    <e v="#N/A"/>
    <s v="OUTBOUND_"/>
  </r>
  <r>
    <s v="1468"/>
    <m/>
    <x v="1"/>
    <s v="OUB-W0012408-466"/>
    <s v="EJ-Malang-01"/>
    <s v="Oka-0813-2707-1646"/>
    <x v="224"/>
    <d v="1899-12-30T11:29:00"/>
    <s v="EJ-MALANG-01"/>
    <x v="0"/>
    <x v="2"/>
    <s v="ZTE2008"/>
    <s v="Pcs"/>
    <n v="30"/>
    <s v="CLR51-09-009"/>
    <x v="82"/>
    <m/>
    <m/>
    <m/>
    <s v="Sifak"/>
    <n v="0"/>
    <s v="3507312107950002"/>
    <s v="N 1969 FF"/>
    <m/>
    <x v="2"/>
    <s v="Dilem RW 03 Kepanjen"/>
    <e v="#N/A"/>
    <e v="#N/A"/>
    <s v="OUTBOUND_"/>
  </r>
  <r>
    <s v="1469"/>
    <m/>
    <x v="0"/>
    <s v="INB-W0012408-467"/>
    <s v="EJ-Malang-01"/>
    <s v="Oka-0813-2707-1646"/>
    <x v="224"/>
    <d v="1900-01-14T07:00:00"/>
    <s v="ZTE Warehouse"/>
    <x v="0"/>
    <x v="3"/>
    <s v="ZTE2005"/>
    <s v="Pcs"/>
    <n v="4"/>
    <m/>
    <x v="28"/>
    <n v="0"/>
    <n v="0"/>
    <m/>
    <m/>
    <m/>
    <m/>
    <m/>
    <m/>
    <x v="2"/>
    <n v="0"/>
    <e v="#N/A"/>
    <e v="#N/A"/>
    <s v="OUTBOUND_"/>
  </r>
  <r>
    <s v="1470"/>
    <m/>
    <x v="1"/>
    <s v="OUB-W0012408-466"/>
    <s v="EJ-Malang-01"/>
    <s v="Oka-0813-2707-1646"/>
    <x v="224"/>
    <d v="1899-12-30T11:29:00"/>
    <s v="EJ-MALANG-01"/>
    <x v="0"/>
    <x v="3"/>
    <s v="ZTE2005"/>
    <s v="Pcs"/>
    <n v="2"/>
    <s v="CLR51-09-009"/>
    <x v="82"/>
    <m/>
    <m/>
    <m/>
    <s v="Sifak"/>
    <n v="0"/>
    <s v="3507312107950002"/>
    <s v="N 1969 FF"/>
    <m/>
    <x v="2"/>
    <s v="Dilem RW 03 Kepanjen"/>
    <e v="#N/A"/>
    <e v="#N/A"/>
    <s v="OUTBOUND_"/>
  </r>
  <r>
    <s v="1471"/>
    <m/>
    <x v="0"/>
    <s v="INB-W0012408-467"/>
    <s v="EJ-Malang-01"/>
    <s v="Oka-0813-2707-1646"/>
    <x v="224"/>
    <d v="1900-01-14T07:00:00"/>
    <s v="ZTE Warehouse"/>
    <x v="0"/>
    <x v="30"/>
    <s v="ZTE2006"/>
    <s v="Pcs"/>
    <n v="1"/>
    <m/>
    <x v="28"/>
    <n v="0"/>
    <n v="0"/>
    <m/>
    <m/>
    <m/>
    <m/>
    <m/>
    <m/>
    <x v="2"/>
    <n v="0"/>
    <e v="#N/A"/>
    <e v="#N/A"/>
    <s v="OUTBOUND_"/>
  </r>
  <r>
    <s v="1472"/>
    <m/>
    <x v="0"/>
    <s v="INB-W0012408-467"/>
    <s v="EJ-Malang-01"/>
    <s v="Oka-0813-2707-1646"/>
    <x v="224"/>
    <d v="1900-01-14T07:00:00"/>
    <s v="ZTE Warehouse"/>
    <x v="0"/>
    <x v="20"/>
    <s v="ZTE1004"/>
    <s v="Pcs"/>
    <n v="2"/>
    <m/>
    <x v="28"/>
    <n v="0"/>
    <n v="0"/>
    <m/>
    <m/>
    <m/>
    <m/>
    <m/>
    <m/>
    <x v="2"/>
    <n v="0"/>
    <e v="#N/A"/>
    <e v="#N/A"/>
    <s v="OUTBOUND_"/>
  </r>
  <r>
    <s v="1473"/>
    <m/>
    <x v="0"/>
    <s v="INB-W0012408-467"/>
    <s v="EJ-Malang-01"/>
    <s v="Oka-0813-2707-1646"/>
    <x v="224"/>
    <d v="1900-01-14T07:00:00"/>
    <s v="ZTE Warehouse"/>
    <x v="0"/>
    <x v="4"/>
    <s v="ZTE1002"/>
    <s v="Pcs"/>
    <n v="22"/>
    <m/>
    <x v="28"/>
    <n v="0"/>
    <n v="0"/>
    <m/>
    <m/>
    <m/>
    <m/>
    <m/>
    <m/>
    <x v="2"/>
    <n v="0"/>
    <e v="#N/A"/>
    <e v="#N/A"/>
    <s v="OUTBOUND_"/>
  </r>
  <r>
    <s v="1474"/>
    <m/>
    <x v="1"/>
    <s v="OUB-W0012408-465"/>
    <s v="EJ-Malang-01"/>
    <s v="Oka-0813-2707-1646"/>
    <x v="224"/>
    <d v="1899-12-30T08:27:00"/>
    <s v="EJ-MALANG-01"/>
    <x v="0"/>
    <x v="4"/>
    <s v="ZTE1002"/>
    <s v="Pcs"/>
    <n v="4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75"/>
    <m/>
    <x v="0"/>
    <s v="INB-W0012408-467"/>
    <s v="EJ-Malang-01"/>
    <s v="Oka-0813-2707-1646"/>
    <x v="224"/>
    <d v="1900-01-14T07:00:00"/>
    <s v="ZTE Warehouse"/>
    <x v="0"/>
    <x v="5"/>
    <s v="ZTE1001"/>
    <s v="Pcs"/>
    <n v="109"/>
    <m/>
    <x v="28"/>
    <n v="0"/>
    <n v="0"/>
    <m/>
    <m/>
    <m/>
    <m/>
    <m/>
    <m/>
    <x v="2"/>
    <n v="0"/>
    <e v="#N/A"/>
    <e v="#N/A"/>
    <s v="OUTBOUND_"/>
  </r>
  <r>
    <s v="1476"/>
    <m/>
    <x v="0"/>
    <s v="INB-W0012408-467"/>
    <s v="EJ-Malang-01"/>
    <s v="Oka-0813-2707-1646"/>
    <x v="224"/>
    <d v="1900-01-14T07:00:00"/>
    <s v="ZTE Warehouse"/>
    <x v="0"/>
    <x v="19"/>
    <s v="ZTE1003"/>
    <s v="Pcs"/>
    <n v="2"/>
    <m/>
    <x v="28"/>
    <n v="0"/>
    <n v="0"/>
    <m/>
    <m/>
    <m/>
    <m/>
    <m/>
    <m/>
    <x v="2"/>
    <n v="0"/>
    <e v="#N/A"/>
    <e v="#N/A"/>
    <s v="OUTBOUND_"/>
  </r>
  <r>
    <s v="1477"/>
    <m/>
    <x v="1"/>
    <s v="OUB-W0012408-469"/>
    <s v="EJ-Malang-01"/>
    <s v="Oka-0813-2707-1646"/>
    <x v="225"/>
    <d v="1899-12-30T08:19:00"/>
    <s v="EJ-MALANG-01"/>
    <x v="0"/>
    <x v="1"/>
    <s v="ZTE2003"/>
    <s v="Meter"/>
    <n v="3000"/>
    <s v="CLR51-03-010"/>
    <x v="81"/>
    <m/>
    <m/>
    <m/>
    <s v="Nur Hidayat"/>
    <s v="Febby Supplier"/>
    <s v="3515141305930006"/>
    <s v="S 9102 AE"/>
    <s v="use 1400. 1600 masuk leftofer"/>
    <x v="2"/>
    <s v="Dusun Krajan Sumbersekar"/>
    <e v="#N/A"/>
    <e v="#N/A"/>
    <s v="OUTBOUND_"/>
  </r>
  <r>
    <s v="1478"/>
    <m/>
    <x v="1"/>
    <s v="OUB-W0012408-469"/>
    <s v="EJ-Malang-01"/>
    <s v="Oka-0813-2707-1646"/>
    <x v="225"/>
    <d v="1899-12-30T08:19:00"/>
    <s v="EJ-MALANG-01"/>
    <x v="1"/>
    <x v="8"/>
    <s v="GCI1005"/>
    <s v="Pcs"/>
    <n v="40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79"/>
    <m/>
    <x v="1"/>
    <s v="OUB-W0012408-469"/>
    <s v="EJ-Malang-01"/>
    <s v="Oka-0813-2707-1646"/>
    <x v="225"/>
    <d v="1899-12-30T08:19:00"/>
    <s v="EJ-MALANG-01"/>
    <x v="0"/>
    <x v="4"/>
    <s v="ZTE1002"/>
    <s v="Pcs"/>
    <n v="2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80"/>
    <m/>
    <x v="1"/>
    <s v="OUB-W0012408-468"/>
    <s v="EJ-Malang-01"/>
    <s v="Oka-0813-2707-1646"/>
    <x v="225"/>
    <d v="1899-12-30T06:37:00"/>
    <s v="EJ-MALANG-01"/>
    <x v="0"/>
    <x v="5"/>
    <s v="ZTE1001"/>
    <s v="Pcs"/>
    <n v="17"/>
    <s v="CLR51-09-008"/>
    <x v="86"/>
    <m/>
    <m/>
    <m/>
    <s v="Riki Romansyah"/>
    <s v="Febby Supplier"/>
    <s v="3507050501950006"/>
    <s v="N 8420 EL"/>
    <m/>
    <x v="2"/>
    <s v="Dilem RW 04 Kepanjen"/>
    <e v="#N/A"/>
    <e v="#N/A"/>
    <s v="OUTBOUND_"/>
  </r>
  <r>
    <s v="1481"/>
    <m/>
    <x v="1"/>
    <s v="OUB-W0012408-468"/>
    <s v="EJ-Malang-01"/>
    <s v="Oka-0813-2707-1646"/>
    <x v="225"/>
    <d v="1899-12-30T06:37:00"/>
    <s v="EJ-MALANG-01"/>
    <x v="0"/>
    <x v="5"/>
    <s v="ZTE1001"/>
    <s v="Pcs"/>
    <n v="19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482"/>
    <m/>
    <x v="1"/>
    <s v="OUB-W0012408-469"/>
    <s v="EJ-Malang-01"/>
    <s v="Oka-0813-2707-1646"/>
    <x v="225"/>
    <d v="1899-12-30T08:19:00"/>
    <s v="EJ-MALANG-01"/>
    <x v="0"/>
    <x v="19"/>
    <s v="ZTE1003"/>
    <s v="Pcs"/>
    <n v="1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83"/>
    <m/>
    <x v="1"/>
    <s v="OUB-W0012408-469"/>
    <s v="EJ-Malang-01"/>
    <s v="Oka-0813-2707-1646"/>
    <x v="225"/>
    <d v="1899-12-30T08:19:00"/>
    <s v="EJ-MALANG-01"/>
    <x v="1"/>
    <x v="12"/>
    <s v="GCI1008"/>
    <s v="Pcs"/>
    <n v="50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84"/>
    <m/>
    <x v="1"/>
    <s v="OUB-W0012408-469"/>
    <s v="EJ-Malang-01"/>
    <s v="Oka-0813-2707-1646"/>
    <x v="225"/>
    <d v="1899-12-30T08:19:00"/>
    <s v="EJ-MALANG-01"/>
    <x v="1"/>
    <x v="15"/>
    <s v="GCI1003"/>
    <s v="Pcs"/>
    <n v="100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85"/>
    <m/>
    <x v="1"/>
    <s v="OUB-W0012408-469"/>
    <s v="EJ-Malang-01"/>
    <s v="Oka-0813-2707-1646"/>
    <x v="225"/>
    <d v="1899-12-30T08:19:00"/>
    <s v="EJ-MALANG-01"/>
    <x v="1"/>
    <x v="16"/>
    <s v="GCI1004"/>
    <s v="Pcs"/>
    <n v="50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86"/>
    <m/>
    <x v="1"/>
    <s v="OUB-W0012408-471"/>
    <s v="EJ-Malang-01"/>
    <s v="Oka-0813-2707-1646"/>
    <x v="226"/>
    <d v="1899-12-30T14:46:00"/>
    <s v="EJ-MALANG-01"/>
    <x v="0"/>
    <x v="31"/>
    <s v="ZTE2004"/>
    <s v="Meter"/>
    <n v="3000"/>
    <s v="MF51-05"/>
    <x v="85"/>
    <m/>
    <m/>
    <m/>
    <s v="Nur Hidayat"/>
    <s v="Febby Supplier"/>
    <s v="3515141305930006"/>
    <s v="S 9102 AE"/>
    <m/>
    <x v="75"/>
    <s v="HUBFEEDER DINOYO SUMBERSEKAR"/>
    <e v="#N/A"/>
    <e v="#N/A"/>
    <s v="OUTBOUND_H-ADSS 144C-2024826-01"/>
  </r>
  <r>
    <s v="1487"/>
    <m/>
    <x v="1"/>
    <s v="OUB-W0012408-471"/>
    <s v="EJ-Malang-01"/>
    <s v="Oka-0813-2707-1646"/>
    <x v="226"/>
    <d v="1899-12-30T14:46:00"/>
    <s v="EJ-MALANG-01"/>
    <x v="0"/>
    <x v="31"/>
    <s v="ZTE2004"/>
    <s v="Meter"/>
    <n v="3000"/>
    <s v="MF51-05"/>
    <x v="85"/>
    <m/>
    <m/>
    <m/>
    <s v="Nur Hidayat"/>
    <s v="Febby Supplier"/>
    <s v="3515141305930006"/>
    <s v="S 9102 AE"/>
    <m/>
    <x v="76"/>
    <s v="HUBFEEDER DINOYO SUMBERSEKAR"/>
    <e v="#N/A"/>
    <e v="#N/A"/>
    <s v="OUTBOUND_H-ADSS 144C-2024827-01"/>
  </r>
  <r>
    <s v="1488"/>
    <m/>
    <x v="1"/>
    <s v="OUB-W0012408-470"/>
    <s v="EJ-Malang-01"/>
    <s v="Oka-0813-2707-1646"/>
    <x v="226"/>
    <d v="1899-12-30T06:37:00"/>
    <s v="EJ-MALANG-01"/>
    <x v="0"/>
    <x v="1"/>
    <s v="ZTE2003"/>
    <s v="Meter"/>
    <n v="3000"/>
    <s v="CLR51-99-115"/>
    <x v="80"/>
    <m/>
    <m/>
    <m/>
    <s v="Riki Romansyah"/>
    <s v="Febby Supplier"/>
    <s v="3507050501950006"/>
    <s v="N 8420 EL"/>
    <s v="use 2525 , 475 masuk leftover"/>
    <x v="2"/>
    <s v="SENGGURUH RW 01 MALANG"/>
    <e v="#N/A"/>
    <e v="#N/A"/>
    <s v="OUTBOUND_"/>
  </r>
  <r>
    <s v="1489"/>
    <m/>
    <x v="2"/>
    <s v="TFI-W0012408-472"/>
    <s v="EJ-Malang-01"/>
    <s v="Oka-0813-2707-1646"/>
    <x v="226"/>
    <d v="1900-01-14T07:00:00"/>
    <s v="EJ-GRESIK-01"/>
    <x v="1"/>
    <x v="6"/>
    <s v="GCI1011"/>
    <s v="Pcs"/>
    <n v="1"/>
    <s v="TRF"/>
    <x v="11"/>
    <s v="dr gresi"/>
    <n v="0"/>
    <m/>
    <m/>
    <m/>
    <m/>
    <m/>
    <m/>
    <x v="2"/>
    <s v="GRESIK"/>
    <e v="#N/A"/>
    <e v="#N/A"/>
    <s v="OUTBOUND_"/>
  </r>
  <r>
    <s v="1490"/>
    <m/>
    <x v="1"/>
    <s v="OUB-W0012408-471"/>
    <s v="EJ-Malang-01"/>
    <s v="Oka-0813-2707-1646"/>
    <x v="226"/>
    <d v="1899-12-30T14:46:00"/>
    <s v="EJ-MALANG-01"/>
    <x v="1"/>
    <x v="9"/>
    <s v="GCI1001"/>
    <s v="Pcs"/>
    <n v="40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91"/>
    <m/>
    <x v="2"/>
    <s v="TFI-W0012408-472"/>
    <s v="EJ-Malang-01"/>
    <s v="Oka-0813-2707-1646"/>
    <x v="226"/>
    <d v="1900-01-14T07:00:00"/>
    <s v="EJ-GRESIK-01"/>
    <x v="1"/>
    <x v="32"/>
    <s v="GCI1020"/>
    <s v="Pcs"/>
    <n v="800"/>
    <s v="TRF"/>
    <x v="11"/>
    <s v="dr gresi"/>
    <n v="0"/>
    <m/>
    <m/>
    <m/>
    <m/>
    <m/>
    <m/>
    <x v="2"/>
    <s v="GRESIK"/>
    <e v="#N/A"/>
    <e v="#N/A"/>
    <s v="OUTBOUND_"/>
  </r>
  <r>
    <s v="1492"/>
    <m/>
    <x v="1"/>
    <s v="OUB-W0012408-470"/>
    <s v="EJ-Malang-01"/>
    <s v="Oka-0813-2707-1646"/>
    <x v="226"/>
    <d v="1899-12-30T06:37:00"/>
    <s v="EJ-MALANG-01"/>
    <x v="0"/>
    <x v="5"/>
    <s v="ZTE1001"/>
    <s v="Pcs"/>
    <n v="6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493"/>
    <m/>
    <x v="1"/>
    <s v="OUB-W0012408-470"/>
    <s v="EJ-Malang-01"/>
    <s v="Oka-0813-2707-1646"/>
    <x v="226"/>
    <d v="1899-12-30T06:37:00"/>
    <s v="EJ-MALANG-01"/>
    <x v="0"/>
    <x v="5"/>
    <s v="ZTE1001"/>
    <s v="Pcs"/>
    <n v="9"/>
    <s v="CLR51-09-008"/>
    <x v="86"/>
    <m/>
    <m/>
    <m/>
    <s v="Riki Romansyah"/>
    <s v="Febby Supplier"/>
    <s v="3507050501950006"/>
    <s v="N 8420 EL"/>
    <m/>
    <x v="2"/>
    <s v="Dilem RW 04 Kepanjen"/>
    <e v="#N/A"/>
    <e v="#N/A"/>
    <s v="OUTBOUND_"/>
  </r>
  <r>
    <s v="1494"/>
    <m/>
    <x v="1"/>
    <s v="OUB-W0012408-471"/>
    <s v="EJ-Malang-01"/>
    <s v="Oka-0813-2707-1646"/>
    <x v="226"/>
    <d v="1899-12-30T14:46:00"/>
    <s v="EJ-MALANG-01"/>
    <x v="0"/>
    <x v="5"/>
    <s v="ZTE1001"/>
    <s v="Pcs"/>
    <n v="21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495"/>
    <m/>
    <x v="1"/>
    <s v="OUB-W0012408-470"/>
    <s v="EJ-Malang-01"/>
    <s v="Oka-0813-2707-1646"/>
    <x v="226"/>
    <d v="1899-12-30T06:37:00"/>
    <s v="EJ-MALANG-01"/>
    <x v="0"/>
    <x v="19"/>
    <s v="ZTE1003"/>
    <s v="Pcs"/>
    <n v="2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496"/>
    <m/>
    <x v="2"/>
    <s v="TFI-W0012408-472"/>
    <s v="EJ-Malang-01"/>
    <s v="Oka-0813-2707-1646"/>
    <x v="226"/>
    <d v="1900-01-14T07:00:00"/>
    <s v="EJ-GRESIK-01"/>
    <x v="1"/>
    <x v="16"/>
    <s v="GCI1004"/>
    <s v="Pcs"/>
    <n v="50"/>
    <s v="TRF"/>
    <x v="11"/>
    <s v="dr gresi"/>
    <n v="0"/>
    <m/>
    <m/>
    <m/>
    <m/>
    <m/>
    <m/>
    <x v="2"/>
    <s v="GRESIK"/>
    <e v="#N/A"/>
    <e v="#N/A"/>
    <s v="OUTBOUND_"/>
  </r>
  <r>
    <s v="1497"/>
    <m/>
    <x v="1"/>
    <s v="OUB-W0012408-473"/>
    <s v="EJ-Malang-01"/>
    <s v="Oka-0813-2707-1646"/>
    <x v="227"/>
    <d v="1899-12-30T09:56:00"/>
    <s v="EJ-MALANG-01"/>
    <x v="0"/>
    <x v="31"/>
    <s v="ZTE2004"/>
    <s v="Meter"/>
    <n v="3000"/>
    <s v="MF51-05"/>
    <x v="85"/>
    <m/>
    <m/>
    <m/>
    <s v="Nur Hidayat"/>
    <s v="Febby Supplier"/>
    <s v="3515141305930006"/>
    <s v="S 9102 AE"/>
    <m/>
    <x v="77"/>
    <s v="HUBFEEDER DINOYO SUMBERSEKAR"/>
    <e v="#N/A"/>
    <e v="#N/A"/>
    <s v="OUTBOUND_H-ADSS 144C-2024827-02"/>
  </r>
  <r>
    <s v="1498"/>
    <m/>
    <x v="1"/>
    <s v="OUB-W0012408-477"/>
    <s v="EJ-Malang-01"/>
    <s v="Oka-0813-2707-1646"/>
    <x v="227"/>
    <d v="1899-12-30T12:17:00"/>
    <s v="EJ-MALANG-01"/>
    <x v="0"/>
    <x v="0"/>
    <s v="ZTE2001"/>
    <s v="Meter"/>
    <n v="3000"/>
    <s v="CLR51-99-115"/>
    <x v="80"/>
    <m/>
    <m/>
    <m/>
    <s v="Riki Romansyah"/>
    <s v="Febby Supplier"/>
    <s v="3507050501950006"/>
    <s v="N 8420 EL"/>
    <s v="use 1500+900, 600 masuk leftover"/>
    <x v="78"/>
    <s v="SENGGURUH RW 01 MALANG"/>
    <e v="#N/A"/>
    <e v="#N/A"/>
    <s v="OUTBOUND_H-ADSS 24C-2024827-01"/>
  </r>
  <r>
    <s v="1499"/>
    <m/>
    <x v="1"/>
    <s v="OUB-W0012408-473"/>
    <s v="EJ-Malang-01"/>
    <s v="Oka-0813-2707-1646"/>
    <x v="227"/>
    <d v="1899-12-30T09:56:00"/>
    <s v="EJ-MALANG-01"/>
    <x v="1"/>
    <x v="26"/>
    <s v="ZTE2020"/>
    <s v="Meter"/>
    <n v="160"/>
    <s v="MF51-05"/>
    <x v="85"/>
    <m/>
    <m/>
    <m/>
    <s v="Nur Hidayat"/>
    <n v="0"/>
    <s v="3515141305930006"/>
    <s v="S 9102 AE"/>
    <m/>
    <x v="2"/>
    <s v="HUBFEEDER DINOYO SUMBERSEKAR"/>
    <e v="#N/A"/>
    <e v="#N/A"/>
    <s v="OUTBOUND_"/>
  </r>
  <r>
    <s v="1500"/>
    <m/>
    <x v="3"/>
    <s v="TFO-W0012408-475"/>
    <s v="EJ-Malang-01"/>
    <s v="Oka-0813-2707-1646"/>
    <x v="227"/>
    <d v="1899-12-30T12:30:00"/>
    <s v="EJ-MALANG-01"/>
    <x v="0"/>
    <x v="28"/>
    <s v="ZTE2010"/>
    <s v="Pcs"/>
    <n v="6"/>
    <s v="TRF"/>
    <x v="10"/>
    <m/>
    <m/>
    <m/>
    <s v="Nur Hidayat"/>
    <n v="0"/>
    <s v="3515141305930006"/>
    <s v="S 9102 AE"/>
    <s v="Transfer"/>
    <x v="2"/>
    <s v="Transfer Gudang"/>
    <e v="#N/A"/>
    <e v="#N/A"/>
    <s v="TRANSFER OUT_"/>
  </r>
  <r>
    <s v="1501"/>
    <m/>
    <x v="1"/>
    <s v="OUB-W0012408-475"/>
    <s v="EJ-Malang-01"/>
    <s v="Oka-0813-2707-1646"/>
    <x v="227"/>
    <d v="1899-12-30T12:30:00"/>
    <s v="EJ-MALANG-01"/>
    <x v="1"/>
    <x v="9"/>
    <s v="GCI1001"/>
    <s v="Pcs"/>
    <n v="2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502"/>
    <m/>
    <x v="1"/>
    <s v="OUB-W0012408-473"/>
    <s v="EJ-Malang-01"/>
    <s v="Oka-0813-2707-1646"/>
    <x v="227"/>
    <d v="1899-12-30T09:56:00"/>
    <s v="EJ-MALANG-01"/>
    <x v="1"/>
    <x v="9"/>
    <s v="GCI1001"/>
    <s v="Pcs"/>
    <n v="25"/>
    <s v="MF51-05"/>
    <x v="85"/>
    <m/>
    <m/>
    <m/>
    <s v="Nur Hidayat"/>
    <n v="0"/>
    <s v="3515141305930006"/>
    <s v="S 9102 AE"/>
    <m/>
    <x v="2"/>
    <s v="HUBFEEDER DINOYO SUMBERSEKAR"/>
    <e v="#N/A"/>
    <e v="#N/A"/>
    <s v="OUTBOUND_"/>
  </r>
  <r>
    <s v="1503"/>
    <m/>
    <x v="1"/>
    <s v="OUB-W0012408-475"/>
    <s v="EJ-Malang-01"/>
    <s v="Oka-0813-2707-1646"/>
    <x v="227"/>
    <d v="1899-12-30T12:30:00"/>
    <s v="EJ-MALANG-01"/>
    <x v="0"/>
    <x v="2"/>
    <s v="ZTE2008"/>
    <s v="Pcs"/>
    <n v="38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504"/>
    <m/>
    <x v="1"/>
    <s v="OUB-W0012408-475"/>
    <s v="EJ-Malang-01"/>
    <s v="Oka-0813-2707-1646"/>
    <x v="227"/>
    <d v="1899-12-30T12:30:00"/>
    <s v="EJ-MALANG-01"/>
    <x v="0"/>
    <x v="3"/>
    <s v="ZTE2005"/>
    <s v="Pcs"/>
    <n v="2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505"/>
    <m/>
    <x v="1"/>
    <s v="OUB-W0012408-476"/>
    <s v="EJ-Malang-01"/>
    <s v="Oka-0813-2707-1646"/>
    <x v="227"/>
    <d v="1899-12-30T12:30:00"/>
    <s v="EJ-MALANG-01"/>
    <x v="0"/>
    <x v="20"/>
    <s v="ZTE1004"/>
    <s v="Pcs"/>
    <n v="1"/>
    <s v="CLR51-03-010"/>
    <x v="81"/>
    <m/>
    <m/>
    <m/>
    <s v="Fatur"/>
    <n v="0"/>
    <s v="3515082712870005"/>
    <s v="W 3265 OH"/>
    <m/>
    <x v="2"/>
    <s v="Dusun Krajan Sumbersekar"/>
    <e v="#N/A"/>
    <e v="#N/A"/>
    <s v="OUTBOUND_"/>
  </r>
  <r>
    <s v="1506"/>
    <m/>
    <x v="1"/>
    <s v="OUB-W0012408-476"/>
    <s v="EJ-Malang-01"/>
    <s v="Oka-0813-2707-1646"/>
    <x v="227"/>
    <d v="1899-12-30T12:30:00"/>
    <s v="EJ-MALANG-01"/>
    <x v="0"/>
    <x v="20"/>
    <s v="ZTE1004"/>
    <s v="Pcs"/>
    <n v="3"/>
    <s v="MF51-05"/>
    <x v="85"/>
    <m/>
    <m/>
    <m/>
    <s v="Fatur"/>
    <n v="0"/>
    <s v="3515082712870005"/>
    <s v="W 3265 OH"/>
    <m/>
    <x v="2"/>
    <s v="HUBFEEDER DINOYO SUMBERSEKAR"/>
    <e v="#N/A"/>
    <e v="#N/A"/>
    <s v="OUTBOUND_"/>
  </r>
  <r>
    <s v="1507"/>
    <m/>
    <x v="1"/>
    <s v="OUB-W0012408-474"/>
    <s v="EJ-Malang-01"/>
    <s v="Oka-0813-2707-1646"/>
    <x v="227"/>
    <d v="1899-12-30T12:17:00"/>
    <s v="EJ-MALANG-01"/>
    <x v="0"/>
    <x v="5"/>
    <s v="ZTE1001"/>
    <s v="Pcs"/>
    <n v="12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508"/>
    <m/>
    <x v="1"/>
    <s v="OUB-W0012409-479"/>
    <s v="EJ-Malang-01"/>
    <s v="Oka-0813-2707-1646"/>
    <x v="228"/>
    <d v="1899-12-30T14:17:00"/>
    <s v="EJ-MALANG-01"/>
    <x v="0"/>
    <x v="1"/>
    <s v="ZTE2003"/>
    <s v="Meter"/>
    <n v="3000"/>
    <s v="CLR51-99-115"/>
    <x v="80"/>
    <m/>
    <m/>
    <m/>
    <s v="Riki Romansyah"/>
    <s v="Febby Supplier"/>
    <s v="3507050501950006"/>
    <s v="N 8420 EL"/>
    <s v="use 1850 sisa 1150 masuk leftover"/>
    <x v="2"/>
    <s v="SENGGURUH RW 01 MALANG"/>
    <e v="#N/A"/>
    <e v="#N/A"/>
    <s v="OUTBOUND_"/>
  </r>
  <r>
    <s v="1509"/>
    <m/>
    <x v="3"/>
    <s v="TFO-W0012409-478"/>
    <s v="EJ-Malang-01"/>
    <s v="Oka-0813-2707-1646"/>
    <x v="228"/>
    <d v="1899-12-30T01:58:00"/>
    <s v="EJ-MALANG-01"/>
    <x v="0"/>
    <x v="28"/>
    <s v="ZTE2010"/>
    <s v="Pcs"/>
    <n v="5"/>
    <s v="TRF"/>
    <x v="10"/>
    <m/>
    <m/>
    <m/>
    <s v="Fatur"/>
    <n v="0"/>
    <s v="3515082712870005"/>
    <s v="W 3265 OH"/>
    <s v="Transfer"/>
    <x v="2"/>
    <s v="Transfer Gudang"/>
    <e v="#N/A"/>
    <e v="#N/A"/>
    <s v="TRANSFER OUT_"/>
  </r>
  <r>
    <s v="1510"/>
    <m/>
    <x v="1"/>
    <s v="OUB-W0012409-478"/>
    <s v="EJ-Malang-01"/>
    <s v="Oka-0813-2707-1646"/>
    <x v="228"/>
    <d v="1899-12-30T01:58:00"/>
    <s v="EJ-MALANG-01"/>
    <x v="0"/>
    <x v="30"/>
    <s v="ZTE2006"/>
    <s v="Pcs"/>
    <n v="1"/>
    <s v="CLR51-99-115"/>
    <x v="80"/>
    <m/>
    <m/>
    <m/>
    <s v="Fatur"/>
    <n v="0"/>
    <s v="3515082712870005"/>
    <s v="W 3265 OH"/>
    <m/>
    <x v="2"/>
    <s v="SENGGURUH RW 01 MALANG"/>
    <e v="#N/A"/>
    <e v="#N/A"/>
    <s v="OUTBOUND_"/>
  </r>
  <r>
    <s v="1511"/>
    <m/>
    <x v="1"/>
    <s v="OUB-W0012409-478"/>
    <s v="EJ-Malang-01"/>
    <s v="Oka-0813-2707-1646"/>
    <x v="228"/>
    <d v="1899-12-30T01:58:00"/>
    <s v="EJ-MALANG-01"/>
    <x v="0"/>
    <x v="20"/>
    <s v="ZTE1004"/>
    <s v="Pcs"/>
    <n v="1"/>
    <s v="CLR51-99-115"/>
    <x v="80"/>
    <m/>
    <m/>
    <m/>
    <s v="Fatur"/>
    <n v="0"/>
    <s v="3515082712870005"/>
    <s v="W 3265 OH"/>
    <m/>
    <x v="2"/>
    <s v="SENGGURUH RW 01 MALANG"/>
    <e v="#N/A"/>
    <e v="#N/A"/>
    <s v="OUTBOUND_"/>
  </r>
  <r>
    <s v="1512"/>
    <m/>
    <x v="1"/>
    <s v="OUB-W0012409-479"/>
    <s v="EJ-Malang-01"/>
    <s v="Oka-0813-2707-1646"/>
    <x v="228"/>
    <d v="1899-12-30T14:17:00"/>
    <s v="EJ-MALANG-01"/>
    <x v="0"/>
    <x v="5"/>
    <s v="ZTE1001"/>
    <s v="Pcs"/>
    <n v="12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513"/>
    <m/>
    <x v="1"/>
    <s v="OUB-W0012409-480"/>
    <s v="EJ-Malang-01"/>
    <s v="Oka-0813-2707-1646"/>
    <x v="229"/>
    <d v="1899-12-30T07:53:00"/>
    <s v="EJ-MALANG-01"/>
    <x v="1"/>
    <x v="9"/>
    <s v="GCI1001"/>
    <s v="Pcs"/>
    <n v="1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514"/>
    <m/>
    <x v="1"/>
    <s v="OUB-W0012409-480"/>
    <s v="EJ-Malang-01"/>
    <s v="Oka-0813-2707-1646"/>
    <x v="229"/>
    <d v="1899-12-30T07:53:00"/>
    <s v="EJ-MALANG-01"/>
    <x v="1"/>
    <x v="11"/>
    <s v="GCI1002"/>
    <s v="Pcs"/>
    <n v="1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515"/>
    <m/>
    <x v="1"/>
    <s v="OUB-W0012409-480"/>
    <s v="EJ-Malang-01"/>
    <s v="Oka-0813-2707-1646"/>
    <x v="229"/>
    <d v="1899-12-30T07:53:00"/>
    <s v="EJ-MALANG-01"/>
    <x v="0"/>
    <x v="4"/>
    <s v="ZTE1002"/>
    <s v="Pcs"/>
    <n v="5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516"/>
    <m/>
    <x v="1"/>
    <s v="OUB-W0012409-480"/>
    <s v="EJ-Malang-01"/>
    <s v="Oka-0813-2707-1646"/>
    <x v="229"/>
    <d v="1899-12-30T07:53:00"/>
    <s v="EJ-MALANG-01"/>
    <x v="0"/>
    <x v="5"/>
    <s v="ZTE1001"/>
    <s v="Pcs"/>
    <n v="5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517"/>
    <m/>
    <x v="1"/>
    <s v="OUB-W0012409-481"/>
    <s v="EJ-Malang-01"/>
    <s v="Oka-0813-2707-1646"/>
    <x v="229"/>
    <d v="1899-12-30T14:17:00"/>
    <s v="EJ-MALANG-01"/>
    <x v="0"/>
    <x v="5"/>
    <s v="ZTE1001"/>
    <s v="Pcs"/>
    <n v="12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518"/>
    <m/>
    <x v="1"/>
    <s v="OUB-W0012409-480"/>
    <s v="EJ-Malang-01"/>
    <s v="Oka-0813-2707-1646"/>
    <x v="229"/>
    <d v="1899-12-30T07:53:00"/>
    <s v="EJ-MALANG-01"/>
    <x v="1"/>
    <x v="16"/>
    <s v="GCI1004"/>
    <s v="Pcs"/>
    <n v="50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519"/>
    <m/>
    <x v="1"/>
    <s v="OUB-W0012409-483"/>
    <s v="EJ-Malang-01"/>
    <s v="Oka-0813-2707-1646"/>
    <x v="230"/>
    <d v="1899-12-30T14:17:00"/>
    <s v="EJ-MALANG-01"/>
    <x v="0"/>
    <x v="0"/>
    <s v="ZTE2001"/>
    <s v="Meter"/>
    <n v="3000"/>
    <s v="CLR51-99-116"/>
    <x v="87"/>
    <m/>
    <m/>
    <m/>
    <s v="Riki Romansyah"/>
    <s v="Febby Supplier"/>
    <s v="3507050501950006"/>
    <s v="N 8420 EL"/>
    <n v="1025"/>
    <x v="2"/>
    <s v="SENGGURUH RW 02 MALANG"/>
    <e v="#N/A"/>
    <e v="#N/A"/>
    <s v="OUTBOUND_"/>
  </r>
  <r>
    <s v="1520"/>
    <m/>
    <x v="1"/>
    <s v="OUB-W0012409-482"/>
    <s v="EJ-Malang-01"/>
    <s v="Oka-0813-2707-1646"/>
    <x v="230"/>
    <d v="1899-12-30T08:37:00"/>
    <s v="EJ-MALANG-01"/>
    <x v="0"/>
    <x v="5"/>
    <s v="ZTE1001"/>
    <s v="Pcs"/>
    <n v="22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521"/>
    <m/>
    <x v="1"/>
    <s v="OUB-W0012409-485"/>
    <s v="EJ-Malang-01"/>
    <s v="Oka-0813-2707-1646"/>
    <x v="231"/>
    <d v="1899-12-30T09:46:00"/>
    <s v="EJ-MALANG-01"/>
    <x v="1"/>
    <x v="9"/>
    <s v="GCI1001"/>
    <s v="Pcs"/>
    <n v="22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522"/>
    <m/>
    <x v="1"/>
    <s v="OUB-W0012409-484"/>
    <s v="EJ-Malang-01"/>
    <s v="Oka-0813-2707-1646"/>
    <x v="231"/>
    <d v="1899-12-30T01:58:00"/>
    <s v="EJ-MALANG-01"/>
    <x v="0"/>
    <x v="2"/>
    <s v="ZTE2008"/>
    <s v="Pcs"/>
    <n v="26"/>
    <s v="CLR51-99-115"/>
    <x v="80"/>
    <m/>
    <m/>
    <m/>
    <s v="Fatur"/>
    <n v="0"/>
    <s v="3515082712870005"/>
    <s v="W 3265 OH"/>
    <m/>
    <x v="2"/>
    <s v="SENGGURUH RW 01 MALANG"/>
    <e v="#N/A"/>
    <e v="#N/A"/>
    <s v="OUTBOUND_"/>
  </r>
  <r>
    <s v="1523"/>
    <m/>
    <x v="0"/>
    <s v="INB-W0012409-486"/>
    <s v="EJ-Malang-01"/>
    <s v="Oka-0813-2707-1646"/>
    <x v="231"/>
    <d v="1900-01-14T07:00:00"/>
    <s v="GCI Procurement"/>
    <x v="1"/>
    <x v="32"/>
    <s v="GCI1020"/>
    <s v="Pcs"/>
    <n v="80"/>
    <s v="RTN"/>
    <x v="22"/>
    <n v="0"/>
    <n v="0"/>
    <m/>
    <m/>
    <m/>
    <m/>
    <m/>
    <m/>
    <x v="2"/>
    <s v="Pengembalian"/>
    <e v="#N/A"/>
    <e v="#N/A"/>
    <s v="OUTBOUND_"/>
  </r>
  <r>
    <s v="1524"/>
    <m/>
    <x v="1"/>
    <s v="OUB-W0012409-485"/>
    <s v="EJ-Malang-01"/>
    <s v="Oka-0813-2707-1646"/>
    <x v="231"/>
    <d v="1899-12-30T09:46:00"/>
    <s v="EJ-MALANG-01"/>
    <x v="0"/>
    <x v="5"/>
    <s v="ZTE1001"/>
    <s v="Pcs"/>
    <n v="38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525"/>
    <m/>
    <x v="1"/>
    <s v="OUB-W0012409-485"/>
    <s v="EJ-Malang-01"/>
    <s v="Oka-0813-2707-1646"/>
    <x v="231"/>
    <d v="1899-12-30T09:46:00"/>
    <s v="EJ-MALANG-01"/>
    <x v="0"/>
    <x v="19"/>
    <s v="ZTE1003"/>
    <s v="Pcs"/>
    <n v="6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526"/>
    <m/>
    <x v="1"/>
    <s v="OUB-W0012409-490"/>
    <s v="EJ-Malang-01"/>
    <s v="Oka-0813-2707-1646"/>
    <x v="232"/>
    <d v="1899-12-30T14:17:00"/>
    <s v="EJ-MALANG-01"/>
    <x v="0"/>
    <x v="0"/>
    <s v="ZTE2001"/>
    <s v="Meter"/>
    <n v="3000"/>
    <s v="CLR51-99-118"/>
    <x v="88"/>
    <m/>
    <m/>
    <m/>
    <s v="Nur Hidayat"/>
    <s v="Febby Supplier"/>
    <s v="3515141305930006"/>
    <s v="S 9102 AE"/>
    <s v="975, 2025 masuk left over"/>
    <x v="2"/>
    <s v="NGENEP UTARA RW 03 MALANG"/>
    <e v="#N/A"/>
    <e v="#N/A"/>
    <s v="OUTBOUND_"/>
  </r>
  <r>
    <s v="1527"/>
    <m/>
    <x v="1"/>
    <s v="OUB-W0012409-489"/>
    <s v="EJ-Malang-01"/>
    <s v="Oka-0813-2707-1646"/>
    <x v="232"/>
    <d v="1899-12-30T10:07:00"/>
    <s v="EJ-MALANG-01"/>
    <x v="0"/>
    <x v="0"/>
    <s v="ZTE2001"/>
    <s v="Meter"/>
    <n v="3000"/>
    <s v="CLR51-99-116"/>
    <x v="87"/>
    <m/>
    <m/>
    <m/>
    <s v="Riki Romansyah"/>
    <s v="Febby Supplier"/>
    <s v="3507050501950006"/>
    <s v="N 8420 EL"/>
    <s v="use 1025, 1975 leftover"/>
    <x v="2"/>
    <s v="SENGGURUH RW 02 MALANG"/>
    <e v="#N/A"/>
    <e v="#N/A"/>
    <s v="OUTBOUND_"/>
  </r>
  <r>
    <s v="1528"/>
    <m/>
    <x v="3"/>
    <s v="TFO-W0012409-487"/>
    <s v="EJ-Malang-01"/>
    <s v="Oka-0813-2707-1646"/>
    <x v="232"/>
    <d v="1899-12-30T01:58:00"/>
    <s v="EJ-MALANG-01"/>
    <x v="0"/>
    <x v="28"/>
    <s v="ZTE2010"/>
    <s v="Pcs"/>
    <n v="3"/>
    <s v="TRF"/>
    <x v="10"/>
    <m/>
    <m/>
    <m/>
    <s v="Fatur"/>
    <n v="0"/>
    <s v="3515082712870005"/>
    <s v="W 3265 OH"/>
    <s v="Transfer"/>
    <x v="2"/>
    <s v="Transfer Gudang"/>
    <e v="#N/A"/>
    <e v="#N/A"/>
    <s v="TRANSFER OUT_"/>
  </r>
  <r>
    <s v="1529"/>
    <m/>
    <x v="1"/>
    <s v="OUB-W0012409-487"/>
    <s v="EJ-Malang-01"/>
    <s v="Oka-0813-2707-1646"/>
    <x v="232"/>
    <d v="1899-12-30T01:58:00"/>
    <s v="EJ-MALANG-01"/>
    <x v="0"/>
    <x v="3"/>
    <s v="ZTE2005"/>
    <s v="Pcs"/>
    <n v="1"/>
    <s v="CLR51-99-116"/>
    <x v="87"/>
    <m/>
    <m/>
    <m/>
    <s v="Fatur"/>
    <n v="0"/>
    <s v="3515082712870005"/>
    <s v="W 3265 OH"/>
    <m/>
    <x v="2"/>
    <s v="SENGGURUH RW 02 MALANG"/>
    <e v="#N/A"/>
    <e v="#N/A"/>
    <s v="OUTBOUND_"/>
  </r>
  <r>
    <s v="1530"/>
    <m/>
    <x v="1"/>
    <s v="OUB-W0012409-487"/>
    <s v="EJ-Malang-01"/>
    <s v="Oka-0813-2707-1646"/>
    <x v="232"/>
    <d v="1899-12-30T01:58:00"/>
    <s v="EJ-MALANG-01"/>
    <x v="0"/>
    <x v="20"/>
    <s v="ZTE1004"/>
    <s v="Pcs"/>
    <n v="1"/>
    <s v="CLR51-99-116"/>
    <x v="87"/>
    <m/>
    <m/>
    <m/>
    <s v="Fatur"/>
    <n v="0"/>
    <s v="3515082712870005"/>
    <s v="W 3265 OH"/>
    <m/>
    <x v="2"/>
    <s v="SENGGURUH RW 02 MALANG"/>
    <e v="#N/A"/>
    <e v="#N/A"/>
    <s v="OUTBOUND_"/>
  </r>
  <r>
    <s v="1531"/>
    <m/>
    <x v="1"/>
    <s v="OUB-W0012409-488"/>
    <s v="EJ-Malang-01"/>
    <s v="Oka-0813-2707-1646"/>
    <x v="232"/>
    <d v="1899-12-30T14:17:00"/>
    <s v="EJ-MALANG-01"/>
    <x v="0"/>
    <x v="5"/>
    <s v="ZTE1001"/>
    <s v="Pcs"/>
    <n v="15"/>
    <s v="CLR51-99-118"/>
    <x v="88"/>
    <m/>
    <m/>
    <m/>
    <s v="Nur Hidayat"/>
    <n v="0"/>
    <s v="3515141305930006"/>
    <s v="S 9102 AE"/>
    <m/>
    <x v="2"/>
    <s v="NGENEP UTARA RW 03 MALANG"/>
    <e v="#N/A"/>
    <e v="#N/A"/>
    <s v="OUTBOUND_"/>
  </r>
  <r>
    <s v="1532"/>
    <m/>
    <x v="0"/>
    <s v="INB-W0012409-494"/>
    <s v="EJ-Malang-01"/>
    <s v="Oka-0813-2707-1646"/>
    <x v="233"/>
    <d v="1900-01-14T07:00:00"/>
    <s v="GCI Procurement"/>
    <x v="1"/>
    <x v="8"/>
    <s v="GCI1005"/>
    <s v="Pcs"/>
    <n v="189"/>
    <n v="0"/>
    <x v="17"/>
    <n v="0"/>
    <n v="0"/>
    <m/>
    <m/>
    <m/>
    <m/>
    <m/>
    <m/>
    <x v="2"/>
    <n v="0"/>
    <e v="#N/A"/>
    <e v="#N/A"/>
    <s v="OUTBOUND_"/>
  </r>
  <r>
    <s v="1533"/>
    <m/>
    <x v="1"/>
    <s v="OUB-W0012409-493"/>
    <s v="EJ-Malang-01"/>
    <s v="Oka-0813-2707-1646"/>
    <x v="233"/>
    <d v="1899-12-30T19:13:00"/>
    <s v="EJ-MALANG-01"/>
    <x v="1"/>
    <x v="8"/>
    <s v="GCI1005"/>
    <s v="Pcs"/>
    <n v="12"/>
    <s v="CLR51-99-118"/>
    <x v="88"/>
    <m/>
    <m/>
    <m/>
    <s v="Nur Hidayat"/>
    <n v="0"/>
    <s v="3515141305930006"/>
    <s v="S 9102 AE"/>
    <m/>
    <x v="2"/>
    <s v="NGENEP UTARA RW 03 MALANG"/>
    <e v="#N/A"/>
    <e v="#N/A"/>
    <s v="OUTBOUND_"/>
  </r>
  <r>
    <s v="1534"/>
    <m/>
    <x v="0"/>
    <s v="INB-W0012409-494"/>
    <s v="EJ-Malang-01"/>
    <s v="Oka-0813-2707-1646"/>
    <x v="233"/>
    <d v="1900-01-14T07:00:00"/>
    <s v="GCI Procurement"/>
    <x v="1"/>
    <x v="9"/>
    <s v="GCI1001"/>
    <s v="Pcs"/>
    <n v="107"/>
    <n v="0"/>
    <x v="17"/>
    <n v="0"/>
    <n v="0"/>
    <m/>
    <m/>
    <m/>
    <m/>
    <m/>
    <m/>
    <x v="2"/>
    <n v="0"/>
    <e v="#N/A"/>
    <e v="#N/A"/>
    <s v="OUTBOUND_"/>
  </r>
  <r>
    <s v="1535"/>
    <m/>
    <x v="1"/>
    <s v="OUB-W0012409-493"/>
    <s v="EJ-Malang-01"/>
    <s v="Oka-0813-2707-1646"/>
    <x v="233"/>
    <d v="1899-12-30T19:13:00"/>
    <s v="EJ-MALANG-01"/>
    <x v="1"/>
    <x v="9"/>
    <s v="GCI1001"/>
    <s v="Pcs"/>
    <n v="8"/>
    <s v="CLR51-99-118"/>
    <x v="88"/>
    <m/>
    <m/>
    <m/>
    <s v="Nur Hidayat"/>
    <n v="0"/>
    <s v="3515141305930006"/>
    <s v="S 9102 AE"/>
    <m/>
    <x v="2"/>
    <s v="NGENEP UTARA RW 03 MALANG"/>
    <e v="#N/A"/>
    <e v="#N/A"/>
    <s v="OUTBOUND_"/>
  </r>
  <r>
    <s v="1536"/>
    <m/>
    <x v="0"/>
    <s v="INB-W0012409-494"/>
    <s v="EJ-Malang-01"/>
    <s v="Oka-0813-2707-1646"/>
    <x v="233"/>
    <d v="1900-01-14T07:00:00"/>
    <s v="GCI Procurement"/>
    <x v="1"/>
    <x v="10"/>
    <s v="GCI1009"/>
    <s v="Pcs"/>
    <n v="482"/>
    <n v="0"/>
    <x v="17"/>
    <n v="0"/>
    <n v="0"/>
    <m/>
    <m/>
    <m/>
    <m/>
    <m/>
    <m/>
    <x v="2"/>
    <n v="0"/>
    <e v="#N/A"/>
    <e v="#N/A"/>
    <s v="OUTBOUND_"/>
  </r>
  <r>
    <s v="1537"/>
    <m/>
    <x v="1"/>
    <s v="OUB-W0012409-493"/>
    <s v="EJ-Malang-01"/>
    <s v="Oka-0813-2707-1646"/>
    <x v="233"/>
    <d v="1899-12-30T19:13:00"/>
    <s v="EJ-MALANG-01"/>
    <x v="1"/>
    <x v="10"/>
    <s v="GCI1009"/>
    <s v="Pcs"/>
    <n v="30"/>
    <s v="CLR51-99-118"/>
    <x v="88"/>
    <m/>
    <m/>
    <m/>
    <s v="Nur Hidayat"/>
    <n v="0"/>
    <s v="3515141305930006"/>
    <s v="S 9102 AE"/>
    <m/>
    <x v="2"/>
    <s v="NGENEP UTARA RW 03 MALANG"/>
    <e v="#N/A"/>
    <e v="#N/A"/>
    <s v="OUTBOUND_"/>
  </r>
  <r>
    <s v="1538"/>
    <m/>
    <x v="1"/>
    <s v="OUB-W0012409-491"/>
    <s v="EJ-Malang-01"/>
    <s v="Oka-0813-2707-1646"/>
    <x v="233"/>
    <d v="1899-12-30T01:58:00"/>
    <s v="EJ-MALANG-01"/>
    <x v="0"/>
    <x v="2"/>
    <s v="ZTE2008"/>
    <s v="Pcs"/>
    <n v="13"/>
    <s v="CLR51-99-116"/>
    <x v="87"/>
    <m/>
    <m/>
    <m/>
    <s v="Fatur"/>
    <n v="0"/>
    <s v="3515082712870005"/>
    <s v="W 3265 OH"/>
    <m/>
    <x v="2"/>
    <s v="SENGGURUH RW 02 MALANG"/>
    <e v="#N/A"/>
    <e v="#N/A"/>
    <s v="OUTBOUND_"/>
  </r>
  <r>
    <s v="1539"/>
    <m/>
    <x v="0"/>
    <s v="INB-W0012409-494"/>
    <s v="EJ-Malang-01"/>
    <s v="Oka-0813-2707-1646"/>
    <x v="233"/>
    <d v="1900-01-14T07:00:00"/>
    <s v="GCI Procurement"/>
    <x v="1"/>
    <x v="32"/>
    <s v="GCI1020"/>
    <s v="Pcs"/>
    <n v="310"/>
    <n v="0"/>
    <x v="17"/>
    <n v="0"/>
    <n v="0"/>
    <m/>
    <m/>
    <m/>
    <m/>
    <m/>
    <m/>
    <x v="2"/>
    <n v="0"/>
    <e v="#N/A"/>
    <e v="#N/A"/>
    <s v="OUTBOUND_"/>
  </r>
  <r>
    <s v="1540"/>
    <m/>
    <x v="0"/>
    <s v="INB-W0012409-494"/>
    <s v="EJ-Malang-01"/>
    <s v="Oka-0813-2707-1646"/>
    <x v="233"/>
    <d v="1900-01-14T07:00:00"/>
    <s v="GCI Procurement"/>
    <x v="1"/>
    <x v="11"/>
    <s v="GCI1002"/>
    <s v="Pcs"/>
    <n v="7"/>
    <n v="0"/>
    <x v="17"/>
    <n v="0"/>
    <n v="0"/>
    <m/>
    <m/>
    <m/>
    <m/>
    <m/>
    <m/>
    <x v="2"/>
    <n v="0"/>
    <e v="#N/A"/>
    <e v="#N/A"/>
    <s v="OUTBOUND_"/>
  </r>
  <r>
    <s v="1541"/>
    <m/>
    <x v="1"/>
    <s v="OUB-W0012409-493"/>
    <s v="EJ-Malang-01"/>
    <s v="Oka-0813-2707-1646"/>
    <x v="233"/>
    <d v="1899-12-30T19:13:00"/>
    <s v="EJ-MALANG-01"/>
    <x v="1"/>
    <x v="11"/>
    <s v="GCI1002"/>
    <s v="Pcs"/>
    <n v="1"/>
    <s v="CLR51-99-118"/>
    <x v="88"/>
    <m/>
    <m/>
    <m/>
    <s v="Nur Hidayat"/>
    <n v="0"/>
    <s v="3515141305930006"/>
    <s v="S 9102 AE"/>
    <m/>
    <x v="2"/>
    <s v="NGENEP UTARA RW 03 MALANG"/>
    <e v="#N/A"/>
    <e v="#N/A"/>
    <s v="OUTBOUND_"/>
  </r>
  <r>
    <s v="1542"/>
    <m/>
    <x v="1"/>
    <s v="OUB-W0012409-492"/>
    <s v="EJ-Malang-01"/>
    <s v="Oka-0813-2707-1646"/>
    <x v="233"/>
    <d v="1899-12-30T10:07:00"/>
    <s v="EJ-MALANG-01"/>
    <x v="0"/>
    <x v="5"/>
    <s v="ZTE1001"/>
    <s v="Pcs"/>
    <n v="44"/>
    <s v="CLR51-99-115"/>
    <x v="80"/>
    <m/>
    <m/>
    <m/>
    <s v="Riki Romansyah"/>
    <s v="Febby Supplier"/>
    <s v="3507050501950006"/>
    <s v="N 8420 EL"/>
    <m/>
    <x v="2"/>
    <s v="SENGGURUH RW 01 MALANG"/>
    <e v="#N/A"/>
    <e v="#N/A"/>
    <s v="OUTBOUND_"/>
  </r>
  <r>
    <s v="1543"/>
    <m/>
    <x v="0"/>
    <s v="INB-W0012409-494"/>
    <s v="EJ-Malang-01"/>
    <s v="Oka-0813-2707-1646"/>
    <x v="233"/>
    <d v="1900-01-14T07:00:00"/>
    <s v="GCI Procurement"/>
    <x v="1"/>
    <x v="12"/>
    <s v="GCI1008"/>
    <s v="Pcs"/>
    <n v="396"/>
    <n v="0"/>
    <x v="17"/>
    <n v="0"/>
    <n v="0"/>
    <m/>
    <m/>
    <m/>
    <m/>
    <m/>
    <m/>
    <x v="2"/>
    <n v="0"/>
    <e v="#N/A"/>
    <e v="#N/A"/>
    <s v="OUTBOUND_"/>
  </r>
  <r>
    <s v="1544"/>
    <m/>
    <x v="1"/>
    <s v="OUB-W0012409-493"/>
    <s v="EJ-Malang-01"/>
    <s v="Oka-0813-2707-1646"/>
    <x v="233"/>
    <d v="1899-12-30T19:13:00"/>
    <s v="EJ-MALANG-01"/>
    <x v="1"/>
    <x v="12"/>
    <s v="GCI1008"/>
    <s v="Pcs"/>
    <n v="20"/>
    <s v="CLR51-99-118"/>
    <x v="88"/>
    <m/>
    <m/>
    <m/>
    <s v="Nur Hidayat"/>
    <n v="0"/>
    <s v="3515141305930006"/>
    <s v="S 9102 AE"/>
    <m/>
    <x v="2"/>
    <s v="NGENEP UTARA RW 03 MALANG"/>
    <e v="#N/A"/>
    <e v="#N/A"/>
    <s v="OUTBOUND_"/>
  </r>
  <r>
    <s v="1545"/>
    <m/>
    <x v="1"/>
    <s v="OUB-W0012409-493"/>
    <s v="EJ-Malang-01"/>
    <s v="Oka-0813-2707-1646"/>
    <x v="233"/>
    <d v="1899-12-30T19:13:00"/>
    <s v="EJ-MALANG-01"/>
    <x v="1"/>
    <x v="12"/>
    <s v="GCI1008"/>
    <s v="Pcs"/>
    <n v="26"/>
    <s v="CLR51-03-010"/>
    <x v="81"/>
    <m/>
    <m/>
    <m/>
    <s v="Nur Hidayat"/>
    <n v="0"/>
    <s v="3515141305930006"/>
    <s v="S 9102 AE"/>
    <m/>
    <x v="2"/>
    <s v="Dusun Krajan Sumbersekar"/>
    <e v="#N/A"/>
    <e v="#N/A"/>
    <s v="OUTBOUND_"/>
  </r>
  <r>
    <s v="1546"/>
    <m/>
    <x v="0"/>
    <s v="INB-W0012409-494"/>
    <s v="EJ-Malang-01"/>
    <s v="Oka-0813-2707-1646"/>
    <x v="233"/>
    <d v="1900-01-14T07:00:00"/>
    <s v="GCI Procurement"/>
    <x v="1"/>
    <x v="15"/>
    <s v="GCI1003"/>
    <s v="Pcs"/>
    <n v="340"/>
    <n v="0"/>
    <x v="17"/>
    <n v="0"/>
    <n v="0"/>
    <m/>
    <m/>
    <m/>
    <m/>
    <m/>
    <m/>
    <x v="2"/>
    <n v="0"/>
    <e v="#N/A"/>
    <e v="#N/A"/>
    <s v="OUTBOUND_"/>
  </r>
  <r>
    <s v="1547"/>
    <m/>
    <x v="1"/>
    <s v="OUB-W0012409-493"/>
    <s v="EJ-Malang-01"/>
    <s v="Oka-0813-2707-1646"/>
    <x v="233"/>
    <d v="1899-12-30T19:13:00"/>
    <s v="EJ-MALANG-01"/>
    <x v="1"/>
    <x v="15"/>
    <s v="GCI1003"/>
    <s v="Pcs"/>
    <n v="26"/>
    <s v="CLR51-99-118"/>
    <x v="88"/>
    <m/>
    <m/>
    <m/>
    <s v="Nur Hidayat"/>
    <n v="0"/>
    <s v="3515141305930006"/>
    <s v="S 9102 AE"/>
    <m/>
    <x v="2"/>
    <s v="NGENEP UTARA RW 03 MALANG"/>
    <e v="#N/A"/>
    <e v="#N/A"/>
    <s v="OUTBOUND_"/>
  </r>
  <r>
    <s v="1548"/>
    <m/>
    <x v="0"/>
    <s v="INB-W0012409-494"/>
    <s v="EJ-Malang-01"/>
    <s v="Oka-0813-2707-1646"/>
    <x v="233"/>
    <d v="1900-01-14T07:00:00"/>
    <s v="GCI Procurement"/>
    <x v="1"/>
    <x v="16"/>
    <s v="GCI1004"/>
    <s v="Pcs"/>
    <n v="198"/>
    <n v="0"/>
    <x v="17"/>
    <n v="0"/>
    <n v="0"/>
    <m/>
    <m/>
    <m/>
    <m/>
    <m/>
    <m/>
    <x v="2"/>
    <n v="0"/>
    <e v="#N/A"/>
    <e v="#N/A"/>
    <s v="OUTBOUND_"/>
  </r>
  <r>
    <s v="1549"/>
    <m/>
    <x v="1"/>
    <s v="OUB-W0012409-493"/>
    <s v="EJ-Malang-01"/>
    <s v="Oka-0813-2707-1646"/>
    <x v="233"/>
    <d v="1899-12-30T19:13:00"/>
    <s v="EJ-MALANG-01"/>
    <x v="1"/>
    <x v="16"/>
    <s v="GCI1004"/>
    <s v="Pcs"/>
    <n v="10"/>
    <s v="CLR51-99-118"/>
    <x v="88"/>
    <m/>
    <m/>
    <m/>
    <s v="Nur Hidayat"/>
    <n v="0"/>
    <s v="3515141305930006"/>
    <s v="S 9102 AE"/>
    <m/>
    <x v="2"/>
    <s v="NGENEP UTARA RW 03 MALANG"/>
    <e v="#N/A"/>
    <e v="#N/A"/>
    <s v="OUTBOUND_"/>
  </r>
  <r>
    <s v="1550"/>
    <m/>
    <x v="1"/>
    <s v="OUB-W0012409-496"/>
    <s v="EJ-Malang-01"/>
    <s v="Oka-0813-2707-1646"/>
    <x v="234"/>
    <d v="1899-12-30T08:17:00"/>
    <s v="EJ-MALANG-01"/>
    <x v="0"/>
    <x v="1"/>
    <s v="ZTE2003"/>
    <s v="Meter"/>
    <n v="3000"/>
    <s v="CLR51-99-117"/>
    <x v="89"/>
    <m/>
    <m/>
    <m/>
    <s v="Riki Romansyah"/>
    <s v="Febby Supplier"/>
    <s v="3507050501950006"/>
    <s v="N 8420 EL"/>
    <s v="use 1750 sisa 1250 masuk leftover"/>
    <x v="2"/>
    <s v="SENGGURUH RW 03 MALANG"/>
    <e v="#N/A"/>
    <e v="#N/A"/>
    <s v="OUTBOUND_"/>
  </r>
  <r>
    <s v="1551"/>
    <m/>
    <x v="1"/>
    <s v="OUB-W0012409-497"/>
    <s v="EJ-Malang-01"/>
    <s v="Oka-0813-2707-1646"/>
    <x v="234"/>
    <d v="1899-12-30T17:42:00"/>
    <s v="EJ-MALANG-01"/>
    <x v="1"/>
    <x v="8"/>
    <s v="GCI1005"/>
    <s v="Pcs"/>
    <n v="100"/>
    <s v="CLR51-99-115"/>
    <x v="80"/>
    <m/>
    <m/>
    <m/>
    <s v="Riki Romansyah"/>
    <n v="0"/>
    <s v="3507050501950006"/>
    <s v="N 8420 EL"/>
    <m/>
    <x v="2"/>
    <s v="SENGGURUH RW 01 MALANG"/>
    <e v="#N/A"/>
    <e v="#N/A"/>
    <s v="OUTBOUND_"/>
  </r>
  <r>
    <s v="1552"/>
    <m/>
    <x v="1"/>
    <s v="OUB-W0012409-497"/>
    <s v="EJ-Malang-01"/>
    <s v="Oka-0813-2707-1646"/>
    <x v="234"/>
    <d v="1899-12-30T17:42:00"/>
    <s v="EJ-MALANG-01"/>
    <x v="1"/>
    <x v="9"/>
    <s v="GCI1001"/>
    <s v="Pcs"/>
    <n v="20"/>
    <s v="CLR51-99-115"/>
    <x v="80"/>
    <m/>
    <m/>
    <m/>
    <s v="Riki Romansyah"/>
    <n v="0"/>
    <s v="3507050501950006"/>
    <s v="N 8420 EL"/>
    <m/>
    <x v="2"/>
    <s v="SENGGURUH RW 01 MALANG"/>
    <e v="#N/A"/>
    <e v="#N/A"/>
    <s v="OUTBOUND_"/>
  </r>
  <r>
    <s v="1553"/>
    <m/>
    <x v="1"/>
    <s v="OUB-W0012409-497"/>
    <s v="EJ-Malang-01"/>
    <s v="Oka-0813-2707-1646"/>
    <x v="234"/>
    <d v="1899-12-30T17:42:00"/>
    <s v="EJ-MALANG-01"/>
    <x v="1"/>
    <x v="10"/>
    <s v="GCI1009"/>
    <s v="Pcs"/>
    <n v="200"/>
    <s v="CLR51-99-115"/>
    <x v="80"/>
    <m/>
    <m/>
    <m/>
    <s v="Riki Romansyah"/>
    <n v="0"/>
    <s v="3507050501950006"/>
    <s v="N 8420 EL"/>
    <m/>
    <x v="2"/>
    <s v="SENGGURUH RW 01 MALANG"/>
    <e v="#N/A"/>
    <e v="#N/A"/>
    <s v="OUTBOUND_"/>
  </r>
  <r>
    <s v="1554"/>
    <m/>
    <x v="1"/>
    <s v="OUB-W0012409-495"/>
    <s v="EJ-Malang-01"/>
    <s v="Oka-0813-2707-1646"/>
    <x v="234"/>
    <d v="1899-12-30T01:58:00"/>
    <s v="EJ-MALANG-01"/>
    <x v="0"/>
    <x v="2"/>
    <s v="ZTE2008"/>
    <s v="Pcs"/>
    <n v="11"/>
    <s v="CLR51-99-117"/>
    <x v="89"/>
    <m/>
    <m/>
    <m/>
    <s v="Fatur"/>
    <n v="0"/>
    <s v="3515082712870005"/>
    <s v="W 3265 OH"/>
    <m/>
    <x v="2"/>
    <s v="SENGGURUH RW 03 MALANG"/>
    <e v="#N/A"/>
    <e v="#N/A"/>
    <s v="OUTBOUND_"/>
  </r>
  <r>
    <s v="1555"/>
    <m/>
    <x v="1"/>
    <s v="OUB-W0012409-497"/>
    <s v="EJ-Malang-01"/>
    <s v="Oka-0813-2707-1646"/>
    <x v="234"/>
    <d v="1899-12-30T17:42:00"/>
    <s v="EJ-MALANG-01"/>
    <x v="1"/>
    <x v="11"/>
    <s v="GCI1002"/>
    <s v="Pcs"/>
    <n v="2"/>
    <s v="CLR51-99-115"/>
    <x v="80"/>
    <m/>
    <m/>
    <m/>
    <s v="Riki Romansyah"/>
    <n v="0"/>
    <s v="3507050501950006"/>
    <s v="N 8420 EL"/>
    <m/>
    <x v="2"/>
    <s v="SENGGURUH RW 01 MALANG"/>
    <e v="#N/A"/>
    <e v="#N/A"/>
    <s v="OUTBOUND_"/>
  </r>
  <r>
    <s v="1556"/>
    <m/>
    <x v="1"/>
    <s v="OUB-W0012409-497"/>
    <s v="EJ-Malang-01"/>
    <s v="Oka-0813-2707-1646"/>
    <x v="234"/>
    <d v="1899-12-30T17:42:00"/>
    <s v="EJ-MALANG-01"/>
    <x v="1"/>
    <x v="12"/>
    <s v="GCI1008"/>
    <s v="Pcs"/>
    <n v="200"/>
    <s v="CLR51-99-115"/>
    <x v="80"/>
    <m/>
    <m/>
    <m/>
    <s v="Riki Romansyah"/>
    <n v="0"/>
    <s v="3507050501950006"/>
    <s v="N 8420 EL"/>
    <m/>
    <x v="2"/>
    <s v="SENGGURUH RW 01 MALANG"/>
    <e v="#N/A"/>
    <e v="#N/A"/>
    <s v="OUTBOUND_"/>
  </r>
  <r>
    <s v="1557"/>
    <m/>
    <x v="1"/>
    <s v="OUB-W0012409-497"/>
    <s v="EJ-Malang-01"/>
    <s v="Oka-0813-2707-1646"/>
    <x v="234"/>
    <d v="1899-12-30T17:42:00"/>
    <s v="EJ-MALANG-01"/>
    <x v="1"/>
    <x v="15"/>
    <s v="GCI1003"/>
    <s v="Pcs"/>
    <n v="100"/>
    <s v="CLR51-99-115"/>
    <x v="80"/>
    <m/>
    <m/>
    <m/>
    <s v="Riki Romansyah"/>
    <n v="0"/>
    <s v="3507050501950006"/>
    <s v="N 8420 EL"/>
    <m/>
    <x v="2"/>
    <s v="SENGGURUH RW 01 MALANG"/>
    <e v="#N/A"/>
    <e v="#N/A"/>
    <s v="OUTBOUND_"/>
  </r>
  <r>
    <s v="1558"/>
    <m/>
    <x v="1"/>
    <s v="OUB-W0012409-497"/>
    <s v="EJ-Malang-01"/>
    <s v="Oka-0813-2707-1646"/>
    <x v="234"/>
    <d v="1899-12-30T17:42:00"/>
    <s v="EJ-MALANG-01"/>
    <x v="1"/>
    <x v="16"/>
    <s v="GCI1004"/>
    <s v="Pcs"/>
    <n v="50"/>
    <s v="CLR51-99-115"/>
    <x v="80"/>
    <m/>
    <m/>
    <m/>
    <s v="Riki Romansyah"/>
    <n v="0"/>
    <s v="3507050501950006"/>
    <s v="N 8420 EL"/>
    <m/>
    <x v="2"/>
    <s v="SENGGURUH RW 01 MALANG"/>
    <e v="#N/A"/>
    <e v="#N/A"/>
    <s v="OUTBOUND_"/>
  </r>
  <r>
    <s v="1559"/>
    <m/>
    <x v="1"/>
    <s v="OUB-W0012409-498"/>
    <s v="EJ-Malang-01"/>
    <s v="Oka-0813-2707-1646"/>
    <x v="235"/>
    <d v="1899-12-30T07:58:00"/>
    <s v="EJ-MALANG-01"/>
    <x v="0"/>
    <x v="2"/>
    <s v="ZTE2008"/>
    <s v="Pcs"/>
    <n v="7"/>
    <s v="CLR51-99-118"/>
    <x v="88"/>
    <m/>
    <m/>
    <m/>
    <s v="Fatur"/>
    <n v="0"/>
    <s v="3515082712870005"/>
    <s v="W 3265 OH"/>
    <m/>
    <x v="2"/>
    <s v="NGENEP UTARA RW 03 MALANG"/>
    <e v="#N/A"/>
    <e v="#N/A"/>
    <s v="OUTBOUND_"/>
  </r>
  <r>
    <s v="1560"/>
    <m/>
    <x v="1"/>
    <s v="OUB-W0012409-500"/>
    <s v="EJ-Malang-01"/>
    <s v="Oka-0813-2707-1646"/>
    <x v="236"/>
    <d v="1899-12-30T17:56:00"/>
    <s v="EJ-MALANG-01"/>
    <x v="1"/>
    <x v="9"/>
    <s v="GCI1001"/>
    <s v="Pcs"/>
    <n v="43"/>
    <s v="CLR51-09-009"/>
    <x v="82"/>
    <m/>
    <m/>
    <m/>
    <s v="Riki Romansyah"/>
    <n v="0"/>
    <s v="3507050501950006"/>
    <s v="N 8420 EL"/>
    <m/>
    <x v="2"/>
    <s v="Dilem RW 03 Kepanjen"/>
    <e v="#N/A"/>
    <e v="#N/A"/>
    <s v="OUTBOUND_"/>
  </r>
  <r>
    <s v="1561"/>
    <m/>
    <x v="1"/>
    <s v="OUB-W0012409-500"/>
    <s v="EJ-Malang-01"/>
    <s v="Oka-0813-2707-1646"/>
    <x v="236"/>
    <d v="1899-12-30T17:56:00"/>
    <s v="EJ-MALANG-01"/>
    <x v="1"/>
    <x v="11"/>
    <s v="GCI1002"/>
    <s v="Pcs"/>
    <n v="1"/>
    <s v="CLR51-09-009"/>
    <x v="82"/>
    <m/>
    <m/>
    <m/>
    <s v="Riki Romansyah"/>
    <n v="0"/>
    <s v="3507050501950006"/>
    <s v="N 8420 EL"/>
    <m/>
    <x v="2"/>
    <s v="Dilem RW 03 Kepanjen"/>
    <e v="#N/A"/>
    <e v="#N/A"/>
    <s v="OUTBOUND_"/>
  </r>
  <r>
    <s v="1562"/>
    <m/>
    <x v="1"/>
    <s v="OUB-W0012409-499"/>
    <s v="EJ-Malang-01"/>
    <s v="Oka-0813-2707-1646"/>
    <x v="236"/>
    <d v="1899-12-30T08:47:00"/>
    <s v="EJ-MALANG-01"/>
    <x v="1"/>
    <x v="11"/>
    <s v="GCI1002"/>
    <s v="Pcs"/>
    <n v="2"/>
    <s v="MF51-05"/>
    <x v="85"/>
    <m/>
    <m/>
    <m/>
    <s v="Nur Hidayat"/>
    <n v="0"/>
    <s v="3515141305930006"/>
    <s v="S 9102 AE"/>
    <m/>
    <x v="2"/>
    <s v="HUBFEEDER DINOYO SUMBERSEKAR"/>
    <e v="#N/A"/>
    <e v="#N/A"/>
    <s v="OUTBOUND_"/>
  </r>
  <r>
    <s v="1563"/>
    <m/>
    <x v="1"/>
    <s v="OUB-W0012409-499"/>
    <s v="EJ-Malang-01"/>
    <s v="Oka-0813-2707-1646"/>
    <x v="236"/>
    <d v="1899-12-30T08:47:00"/>
    <s v="EJ-MALANG-01"/>
    <x v="1"/>
    <x v="12"/>
    <s v="GCI1008"/>
    <s v="Pcs"/>
    <n v="125"/>
    <s v="MF51-05"/>
    <x v="85"/>
    <m/>
    <m/>
    <m/>
    <s v="Nur Hidayat"/>
    <n v="0"/>
    <s v="3515141305930006"/>
    <s v="S 9102 AE"/>
    <m/>
    <x v="2"/>
    <s v="HUBFEEDER DINOYO SUMBERSEKAR"/>
    <e v="#N/A"/>
    <e v="#N/A"/>
    <s v="OUTBOUND_"/>
  </r>
  <r>
    <s v="1564"/>
    <m/>
    <x v="1"/>
    <s v="OUB-W0012409-500"/>
    <s v="EJ-Malang-01"/>
    <s v="Oka-0813-2707-1646"/>
    <x v="236"/>
    <d v="1899-12-30T17:56:00"/>
    <s v="EJ-MALANG-01"/>
    <x v="1"/>
    <x v="15"/>
    <s v="GCI1003"/>
    <s v="Pcs"/>
    <n v="150"/>
    <s v="CLR51-09-009"/>
    <x v="82"/>
    <m/>
    <m/>
    <m/>
    <s v="Riki Romansyah"/>
    <n v="0"/>
    <s v="3507050501950006"/>
    <s v="N 8420 EL"/>
    <m/>
    <x v="2"/>
    <s v="Dilem RW 03 Kepanjen"/>
    <e v="#N/A"/>
    <e v="#N/A"/>
    <s v="OUTBOUND_"/>
  </r>
  <r>
    <s v="1565"/>
    <m/>
    <x v="1"/>
    <s v="OUB-W0012409-499"/>
    <s v="EJ-Malang-01"/>
    <s v="Oka-0813-2707-1646"/>
    <x v="236"/>
    <d v="1899-12-30T08:47:00"/>
    <s v="EJ-MALANG-01"/>
    <x v="1"/>
    <x v="15"/>
    <s v="GCI1003"/>
    <s v="Pcs"/>
    <n v="155"/>
    <s v="MF51-05"/>
    <x v="85"/>
    <m/>
    <m/>
    <m/>
    <s v="Nur Hidayat"/>
    <n v="0"/>
    <s v="3515141305930006"/>
    <s v="S 9102 AE"/>
    <m/>
    <x v="2"/>
    <s v="HUBFEEDER DINOYO SUMBERSEKAR"/>
    <e v="#N/A"/>
    <e v="#N/A"/>
    <s v="OUTBOUND_"/>
  </r>
  <r>
    <s v="1566"/>
    <m/>
    <x v="1"/>
    <s v="OUB-W0012409-499"/>
    <s v="EJ-Malang-01"/>
    <s v="Oka-0813-2707-1646"/>
    <x v="236"/>
    <d v="1899-12-30T08:47:00"/>
    <s v="EJ-MALANG-01"/>
    <x v="1"/>
    <x v="16"/>
    <s v="GCI1004"/>
    <s v="Pcs"/>
    <n v="136"/>
    <s v="MF51-05"/>
    <x v="85"/>
    <m/>
    <m/>
    <m/>
    <s v="Nur Hidayat"/>
    <n v="0"/>
    <s v="3515141305930006"/>
    <s v="S 9102 AE"/>
    <m/>
    <x v="2"/>
    <s v="HUBFEEDER DINOYO SUMBERSEKAR"/>
    <e v="#N/A"/>
    <e v="#N/A"/>
    <s v="OUTBOUND_"/>
  </r>
  <r>
    <s v="1567"/>
    <m/>
    <x v="1"/>
    <s v="OUB-W0012409-501"/>
    <s v="EJ-Malang-01"/>
    <s v="Oka-0813-2707-1646"/>
    <x v="237"/>
    <d v="1899-12-30T10:21:00"/>
    <s v="EJ-MALANG-01"/>
    <x v="1"/>
    <x v="6"/>
    <s v="GCI1011"/>
    <s v="Pcs"/>
    <n v="1"/>
    <s v="CLR51-03-005"/>
    <x v="77"/>
    <m/>
    <m/>
    <m/>
    <s v="Riki Romansyah"/>
    <n v="0"/>
    <s v="3507050501950006"/>
    <s v="N 8420 EL"/>
    <m/>
    <x v="2"/>
    <s v="Dusun Langlang IV Singosari"/>
    <e v="#N/A"/>
    <e v="#N/A"/>
    <s v="OUTBOUND_"/>
  </r>
  <r>
    <s v="1568"/>
    <m/>
    <x v="1"/>
    <s v="OUB-W0012409-501"/>
    <s v="EJ-Malang-01"/>
    <s v="Oka-0813-2707-1646"/>
    <x v="237"/>
    <d v="1899-12-30T10:21:00"/>
    <s v="EJ-MALANG-01"/>
    <x v="1"/>
    <x v="10"/>
    <s v="GCI1009"/>
    <s v="Pcs"/>
    <n v="30"/>
    <s v="CLR51-03-005"/>
    <x v="77"/>
    <m/>
    <m/>
    <m/>
    <s v="Riki Romansyah"/>
    <n v="0"/>
    <s v="3507050501950006"/>
    <s v="N 8420 EL"/>
    <m/>
    <x v="2"/>
    <s v="Dusun Langlang IV Singosari"/>
    <e v="#N/A"/>
    <e v="#N/A"/>
    <s v="OUTBOUND_"/>
  </r>
  <r>
    <s v="1569"/>
    <m/>
    <x v="1"/>
    <s v="OUB-W0012409-501"/>
    <s v="EJ-Malang-01"/>
    <s v="Oka-0813-2707-1646"/>
    <x v="237"/>
    <d v="1899-12-30T10:21:00"/>
    <s v="EJ-MALANG-01"/>
    <x v="1"/>
    <x v="32"/>
    <s v="GCI1020"/>
    <s v="Pcs"/>
    <n v="4"/>
    <s v="CLR51-03-005"/>
    <x v="77"/>
    <m/>
    <m/>
    <m/>
    <s v="Riki Romansyah"/>
    <n v="0"/>
    <s v="3507050501950006"/>
    <s v="N 8420 EL"/>
    <m/>
    <x v="2"/>
    <s v="Dusun Langlang IV Singosari"/>
    <e v="#N/A"/>
    <e v="#N/A"/>
    <s v="OUTBOUND_"/>
  </r>
  <r>
    <s v="1570"/>
    <m/>
    <x v="1"/>
    <s v="OUB-W0012409-502"/>
    <s v="EJ-Malang-01"/>
    <s v="Oka-0813-2707-1646"/>
    <x v="238"/>
    <d v="1899-12-30T08:21:00"/>
    <s v="EJ-MALANG-01"/>
    <x v="0"/>
    <x v="4"/>
    <s v="ZTE1002"/>
    <s v="Pcs"/>
    <n v="2"/>
    <s v="CLR51-09-008"/>
    <x v="86"/>
    <m/>
    <m/>
    <m/>
    <s v="Riki Romansyah"/>
    <s v="Febby Supplier"/>
    <s v="3507050501950006"/>
    <s v="N 8420 EL"/>
    <m/>
    <x v="2"/>
    <s v="Dilem RW 04 Kepanjen"/>
    <e v="#N/A"/>
    <e v="#N/A"/>
    <s v="OUTBOUND_"/>
  </r>
  <r>
    <s v="1571"/>
    <m/>
    <x v="1"/>
    <s v="OUB-W0012409-502"/>
    <s v="EJ-Malang-01"/>
    <s v="Oka-0813-2707-1646"/>
    <x v="238"/>
    <d v="1899-12-30T08:21:00"/>
    <s v="EJ-MALANG-01"/>
    <x v="0"/>
    <x v="5"/>
    <s v="ZTE1001"/>
    <s v="Pcs"/>
    <n v="1"/>
    <s v="CLR51-99-063"/>
    <x v="71"/>
    <m/>
    <m/>
    <m/>
    <s v="Riki Romansyah"/>
    <n v="0"/>
    <s v="3507050501950006"/>
    <s v="N 8420 EL"/>
    <m/>
    <x v="2"/>
    <s v="Perumahan Kepanjen Permai II"/>
    <e v="#N/A"/>
    <e v="#N/A"/>
    <s v="OUTBOUND_"/>
  </r>
  <r>
    <s v="1572"/>
    <m/>
    <x v="1"/>
    <s v="OUB-W0012409-502"/>
    <s v="EJ-Malang-01"/>
    <s v="Oka-0813-2707-1646"/>
    <x v="238"/>
    <d v="1899-12-30T08:21:00"/>
    <s v="EJ-MALANG-01"/>
    <x v="0"/>
    <x v="5"/>
    <s v="ZTE1001"/>
    <s v="Pcs"/>
    <n v="9"/>
    <s v="CLR51-09-009"/>
    <x v="82"/>
    <m/>
    <m/>
    <m/>
    <s v="Riki Romansyah"/>
    <s v="Febby Supplier"/>
    <s v="3507050501950006"/>
    <s v="N 8420 EL"/>
    <m/>
    <x v="2"/>
    <s v="Dilem RW 03 Kepanjen"/>
    <e v="#N/A"/>
    <e v="#N/A"/>
    <s v="OUTBOUND_"/>
  </r>
  <r>
    <s v="1573"/>
    <m/>
    <x v="1"/>
    <s v="OUB-W0012409-502"/>
    <s v="EJ-Malang-01"/>
    <s v="Oka-0813-2707-1646"/>
    <x v="238"/>
    <d v="1899-12-30T08:21:00"/>
    <s v="EJ-MALANG-01"/>
    <x v="0"/>
    <x v="19"/>
    <s v="ZTE1003"/>
    <s v="Pcs"/>
    <n v="1"/>
    <s v="CLR51-99-116"/>
    <x v="87"/>
    <m/>
    <m/>
    <m/>
    <s v="Riki Romansyah"/>
    <s v="Febby Supplier"/>
    <s v="3507050501950006"/>
    <s v="N 8420 EL"/>
    <m/>
    <x v="2"/>
    <s v="SENGGURUH RW 02 MALANG"/>
    <e v="#N/A"/>
    <e v="#N/A"/>
    <s v="OUTBOUND_"/>
  </r>
  <r>
    <s v="1574"/>
    <m/>
    <x v="1"/>
    <s v="OUB-W0012409-502"/>
    <s v="EJ-Malang-01"/>
    <s v="Oka-0813-2707-1646"/>
    <x v="238"/>
    <d v="1899-12-30T08:21:00"/>
    <s v="EJ-MALANG-01"/>
    <x v="0"/>
    <x v="19"/>
    <s v="ZTE1003"/>
    <s v="Pcs"/>
    <n v="3"/>
    <s v="CLR51-09-008"/>
    <x v="86"/>
    <m/>
    <m/>
    <m/>
    <s v="Riki Romansyah"/>
    <s v="Febby Supplier"/>
    <s v="3507050501950006"/>
    <s v="N 8420 EL"/>
    <m/>
    <x v="2"/>
    <s v="Dilem RW 04 Kepanjen"/>
    <e v="#N/A"/>
    <e v="#N/A"/>
    <s v="OUTBOUND_"/>
  </r>
  <r>
    <s v="1575"/>
    <m/>
    <x v="1"/>
    <s v="OUB-W0012409-503"/>
    <s v="EJ-Malang-01"/>
    <s v="Oka-0813-2707-1646"/>
    <x v="239"/>
    <d v="1899-12-30T10:21:00"/>
    <s v="EJ-MALANG-01"/>
    <x v="1"/>
    <x v="8"/>
    <s v="GCI1005"/>
    <s v="Pcs"/>
    <n v="50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576"/>
    <m/>
    <x v="1"/>
    <s v="OUB-W0012409-503"/>
    <s v="EJ-Malang-01"/>
    <s v="Oka-0813-2707-1646"/>
    <x v="239"/>
    <d v="1899-12-30T10:21:00"/>
    <s v="EJ-MALANG-01"/>
    <x v="1"/>
    <x v="9"/>
    <s v="GCI1001"/>
    <s v="Pcs"/>
    <n v="8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577"/>
    <m/>
    <x v="1"/>
    <s v="OUB-W0012409-503"/>
    <s v="EJ-Malang-01"/>
    <s v="Oka-0813-2707-1646"/>
    <x v="239"/>
    <d v="1899-12-30T10:21:00"/>
    <s v="EJ-MALANG-01"/>
    <x v="0"/>
    <x v="4"/>
    <s v="ZTE1002"/>
    <s v="Pcs"/>
    <n v="3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578"/>
    <m/>
    <x v="1"/>
    <s v="OUB-W0012409-503"/>
    <s v="EJ-Malang-01"/>
    <s v="Oka-0813-2707-1646"/>
    <x v="239"/>
    <d v="1899-12-30T10:21:00"/>
    <s v="EJ-MALANG-01"/>
    <x v="0"/>
    <x v="5"/>
    <s v="ZTE1001"/>
    <s v="Pcs"/>
    <n v="19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579"/>
    <m/>
    <x v="1"/>
    <s v="OUB-W0012409-503"/>
    <s v="EJ-Malang-01"/>
    <s v="Oka-0813-2707-1646"/>
    <x v="239"/>
    <d v="1899-12-30T10:21:00"/>
    <s v="EJ-MALANG-01"/>
    <x v="0"/>
    <x v="19"/>
    <s v="ZTE1003"/>
    <s v="Pcs"/>
    <n v="2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580"/>
    <m/>
    <x v="1"/>
    <s v="OUB-W0012409-503"/>
    <s v="EJ-Malang-01"/>
    <s v="Oka-0813-2707-1646"/>
    <x v="239"/>
    <d v="1899-12-30T10:21:00"/>
    <s v="EJ-MALANG-01"/>
    <x v="1"/>
    <x v="15"/>
    <s v="GCI1003"/>
    <s v="Pcs"/>
    <n v="100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581"/>
    <m/>
    <x v="2"/>
    <s v="TFI-W0012409-504"/>
    <s v="EJ-Malang-01"/>
    <s v="Oka-0813-2707-1646"/>
    <x v="240"/>
    <d v="1900-01-14T07:00:00"/>
    <s v="EJ-BLITAR-01"/>
    <x v="1"/>
    <x v="25"/>
    <s v="GCI1010"/>
    <s v="Pcs"/>
    <n v="6"/>
    <s v="TRF"/>
    <x v="91"/>
    <n v="0"/>
    <n v="0"/>
    <m/>
    <m/>
    <m/>
    <m/>
    <m/>
    <m/>
    <x v="2"/>
    <s v="Blitar"/>
    <e v="#N/A"/>
    <e v="#N/A"/>
    <s v="OUTBOUND_"/>
  </r>
  <r>
    <s v="1582"/>
    <m/>
    <x v="0"/>
    <s v="INB-W0012409-504"/>
    <s v="EJ-Malang-01"/>
    <s v="Oka-0813-2707-1646"/>
    <x v="240"/>
    <d v="1900-01-14T07:00:00"/>
    <s v="FIELD TEAM"/>
    <x v="1"/>
    <x v="9"/>
    <s v="GCI1001"/>
    <s v="Pcs"/>
    <n v="3"/>
    <s v="RTN"/>
    <x v="92"/>
    <n v="0"/>
    <n v="0"/>
    <m/>
    <m/>
    <m/>
    <m/>
    <m/>
    <m/>
    <x v="2"/>
    <s v="MF Sumbersekar"/>
    <e v="#N/A"/>
    <e v="#N/A"/>
    <s v="OUTBOUND_"/>
  </r>
  <r>
    <s v="1583"/>
    <m/>
    <x v="2"/>
    <s v="TFI-W0012409-504"/>
    <s v="EJ-Malang-01"/>
    <s v="Oka-0813-2707-1646"/>
    <x v="240"/>
    <d v="1900-01-14T07:00:00"/>
    <s v="EJ-BLITAR-01"/>
    <x v="1"/>
    <x v="9"/>
    <s v="GCI1001"/>
    <s v="Pcs"/>
    <n v="25"/>
    <s v="TRF"/>
    <x v="91"/>
    <n v="0"/>
    <n v="0"/>
    <m/>
    <m/>
    <m/>
    <m/>
    <m/>
    <m/>
    <x v="2"/>
    <s v="Blitar"/>
    <e v="#N/A"/>
    <e v="#N/A"/>
    <s v="OUTBOUND_"/>
  </r>
  <r>
    <s v="1584"/>
    <m/>
    <x v="2"/>
    <s v="TFI-W0012409-504"/>
    <s v="EJ-Malang-01"/>
    <s v="Oka-0813-2707-1646"/>
    <x v="240"/>
    <d v="1900-01-14T07:00:00"/>
    <s v="EJ-BLITAR-01"/>
    <x v="1"/>
    <x v="10"/>
    <s v="GCI1009"/>
    <s v="Pcs"/>
    <n v="142"/>
    <s v="TRF"/>
    <x v="91"/>
    <n v="0"/>
    <n v="0"/>
    <m/>
    <m/>
    <m/>
    <m/>
    <m/>
    <m/>
    <x v="2"/>
    <s v="Blitar"/>
    <e v="#N/A"/>
    <e v="#N/A"/>
    <s v="OUTBOUND_"/>
  </r>
  <r>
    <s v="1585"/>
    <m/>
    <x v="2"/>
    <s v="TFI-W0012409-504"/>
    <s v="EJ-Malang-01"/>
    <s v="Oka-0813-2707-1646"/>
    <x v="240"/>
    <d v="1900-01-14T07:00:00"/>
    <s v="EJ-BLITAR-01"/>
    <x v="0"/>
    <x v="2"/>
    <s v="ZTE2008"/>
    <s v="Pcs"/>
    <n v="35"/>
    <s v="TRF"/>
    <x v="91"/>
    <n v="0"/>
    <n v="0"/>
    <m/>
    <m/>
    <m/>
    <m/>
    <m/>
    <s v="ZTE 2,  Corning 17, Janjora 16"/>
    <x v="2"/>
    <s v="Blitar"/>
    <e v="#N/A"/>
    <e v="#N/A"/>
    <s v="OUTBOUND_"/>
  </r>
  <r>
    <s v="1586"/>
    <m/>
    <x v="0"/>
    <s v="INB-W0012409-504"/>
    <s v="EJ-Malang-01"/>
    <s v="Oka-0813-2707-1646"/>
    <x v="240"/>
    <d v="1900-01-14T07:00:00"/>
    <s v="FIELD TEAM"/>
    <x v="1"/>
    <x v="32"/>
    <s v="GCI1020"/>
    <s v="Pcs"/>
    <n v="232"/>
    <s v="RTN"/>
    <x v="92"/>
    <n v="0"/>
    <n v="0"/>
    <m/>
    <m/>
    <m/>
    <m/>
    <m/>
    <m/>
    <x v="2"/>
    <s v="MF Sumbersekar"/>
    <e v="#N/A"/>
    <e v="#N/A"/>
    <s v="OUTBOUND_"/>
  </r>
  <r>
    <s v="1587"/>
    <m/>
    <x v="2"/>
    <s v="TFI-W0012409-504"/>
    <s v="EJ-Malang-01"/>
    <s v="Oka-0813-2707-1646"/>
    <x v="240"/>
    <d v="1900-01-14T07:00:00"/>
    <s v="EJ-BLITAR-01"/>
    <x v="0"/>
    <x v="20"/>
    <s v="ZTE1004"/>
    <s v="Pcs"/>
    <n v="1"/>
    <s v="TRF"/>
    <x v="91"/>
    <n v="0"/>
    <s v="TRANSFER GUDANG"/>
    <m/>
    <m/>
    <m/>
    <m/>
    <m/>
    <m/>
    <x v="2"/>
    <s v="Blitar"/>
    <e v="#N/A"/>
    <e v="#N/A"/>
    <s v="OUTBOUND_"/>
  </r>
  <r>
    <s v="1588"/>
    <m/>
    <x v="2"/>
    <s v="TFI-W0012409-504"/>
    <s v="EJ-Malang-01"/>
    <s v="Oka-0813-2707-1646"/>
    <x v="240"/>
    <d v="1900-01-14T07:00:00"/>
    <s v="EJ-BLITAR-01"/>
    <x v="1"/>
    <x v="11"/>
    <s v="GCI1002"/>
    <s v="Pcs"/>
    <n v="3"/>
    <s v="TRF"/>
    <x v="91"/>
    <n v="0"/>
    <n v="0"/>
    <m/>
    <m/>
    <m/>
    <m/>
    <m/>
    <m/>
    <x v="2"/>
    <s v="Blitar"/>
    <e v="#N/A"/>
    <e v="#N/A"/>
    <s v="OUTBOUND_"/>
  </r>
  <r>
    <s v="1589"/>
    <m/>
    <x v="2"/>
    <s v="TFI-W0012409-504"/>
    <s v="EJ-Malang-01"/>
    <s v="Oka-0813-2707-1646"/>
    <x v="240"/>
    <d v="1900-01-14T07:00:00"/>
    <s v="EJ-BLITAR-01"/>
    <x v="0"/>
    <x v="4"/>
    <s v="ZTE1002"/>
    <s v="Pcs"/>
    <n v="1"/>
    <s v="TRF"/>
    <x v="91"/>
    <n v="0"/>
    <n v="0"/>
    <m/>
    <m/>
    <m/>
    <m/>
    <m/>
    <m/>
    <x v="2"/>
    <s v="Blitar"/>
    <e v="#N/A"/>
    <e v="#N/A"/>
    <s v="OUTBOUND_"/>
  </r>
  <r>
    <s v="1590"/>
    <m/>
    <x v="2"/>
    <s v="TFI-W0012409-504"/>
    <s v="EJ-Malang-01"/>
    <s v="Oka-0813-2707-1646"/>
    <x v="240"/>
    <d v="1900-01-14T07:00:00"/>
    <s v="EJ-BLITAR-01"/>
    <x v="0"/>
    <x v="5"/>
    <s v="ZTE1001"/>
    <s v="Pcs"/>
    <n v="98"/>
    <s v="TRF"/>
    <x v="91"/>
    <n v="0"/>
    <n v="0"/>
    <m/>
    <m/>
    <m/>
    <m/>
    <m/>
    <m/>
    <x v="2"/>
    <s v="Blitar"/>
    <e v="#N/A"/>
    <e v="#N/A"/>
    <s v="OUTBOUND_"/>
  </r>
  <r>
    <s v="1591"/>
    <m/>
    <x v="0"/>
    <s v="INB-W0012409-504"/>
    <s v="EJ-Malang-01"/>
    <s v="Oka-0813-2707-1646"/>
    <x v="240"/>
    <d v="1900-01-14T07:00:00"/>
    <s v="FIELD TEAM"/>
    <x v="1"/>
    <x v="12"/>
    <s v="GCI1008"/>
    <s v="Pcs"/>
    <n v="52"/>
    <s v="RTN"/>
    <x v="92"/>
    <n v="0"/>
    <n v="0"/>
    <m/>
    <m/>
    <m/>
    <m/>
    <m/>
    <m/>
    <x v="2"/>
    <s v="MF Sumbersekar"/>
    <e v="#N/A"/>
    <e v="#N/A"/>
    <s v="OUTBOUND_"/>
  </r>
  <r>
    <s v="1592"/>
    <m/>
    <x v="2"/>
    <s v="TFI-W0012409-504"/>
    <s v="EJ-Malang-01"/>
    <s v="Oka-0813-2707-1646"/>
    <x v="240"/>
    <d v="1900-01-14T07:00:00"/>
    <s v="EJ-BLITAR-01"/>
    <x v="1"/>
    <x v="12"/>
    <s v="GCI1008"/>
    <s v="Pcs"/>
    <n v="49"/>
    <s v="TRF"/>
    <x v="91"/>
    <n v="0"/>
    <n v="0"/>
    <m/>
    <m/>
    <m/>
    <m/>
    <m/>
    <m/>
    <x v="2"/>
    <s v="Blitar"/>
    <e v="#N/A"/>
    <e v="#N/A"/>
    <s v="OUTBOUND_"/>
  </r>
  <r>
    <s v="1593"/>
    <m/>
    <x v="0"/>
    <s v="INB-W0012409-504"/>
    <s v="EJ-Malang-01"/>
    <s v="Oka-0813-2707-1646"/>
    <x v="240"/>
    <d v="1900-01-14T07:00:00"/>
    <s v="FIELD TEAM"/>
    <x v="1"/>
    <x v="15"/>
    <s v="GCI1003"/>
    <s v="Pcs"/>
    <n v="11"/>
    <s v="RTN"/>
    <x v="92"/>
    <n v="0"/>
    <n v="0"/>
    <m/>
    <m/>
    <m/>
    <m/>
    <m/>
    <m/>
    <x v="2"/>
    <s v="MF Sumbersekar"/>
    <e v="#N/A"/>
    <e v="#N/A"/>
    <s v="OUTBOUND_"/>
  </r>
  <r>
    <s v="1594"/>
    <m/>
    <x v="0"/>
    <s v="INB-W0012409-504"/>
    <s v="EJ-Malang-01"/>
    <s v="Oka-0813-2707-1646"/>
    <x v="240"/>
    <d v="1900-01-14T07:00:00"/>
    <s v="GCI Procurement"/>
    <x v="1"/>
    <x v="15"/>
    <s v="GCI1003"/>
    <s v="Pcs"/>
    <n v="46"/>
    <n v="0"/>
    <x v="17"/>
    <n v="0"/>
    <n v="0"/>
    <m/>
    <m/>
    <m/>
    <m/>
    <m/>
    <m/>
    <x v="2"/>
    <n v="0"/>
    <e v="#N/A"/>
    <e v="#N/A"/>
    <s v="OUTBOUND_"/>
  </r>
  <r>
    <s v="1595"/>
    <m/>
    <x v="0"/>
    <s v="INB-W0012409-504"/>
    <s v="EJ-Malang-01"/>
    <s v="Oka-0813-2707-1646"/>
    <x v="240"/>
    <d v="1900-01-14T07:00:00"/>
    <s v="FIELD TEAM"/>
    <x v="1"/>
    <x v="16"/>
    <s v="GCI1004"/>
    <s v="Pcs"/>
    <n v="38"/>
    <s v="RTN"/>
    <x v="92"/>
    <n v="0"/>
    <n v="0"/>
    <m/>
    <m/>
    <m/>
    <m/>
    <m/>
    <m/>
    <x v="2"/>
    <s v="MF Sumbersekar"/>
    <e v="#N/A"/>
    <e v="#N/A"/>
    <s v="OUTBOUND_"/>
  </r>
  <r>
    <s v="1596"/>
    <m/>
    <x v="2"/>
    <s v="TFI-W0012409-504"/>
    <s v="EJ-Malang-01"/>
    <s v="Oka-0813-2707-1646"/>
    <x v="240"/>
    <d v="1900-01-14T07:00:00"/>
    <s v="EJ-BLITAR-01"/>
    <x v="1"/>
    <x v="16"/>
    <s v="GCI1004"/>
    <s v="Pcs"/>
    <n v="32"/>
    <s v="TRF"/>
    <x v="91"/>
    <n v="0"/>
    <n v="0"/>
    <m/>
    <m/>
    <m/>
    <m/>
    <m/>
    <m/>
    <x v="2"/>
    <s v="Blitar"/>
    <e v="#N/A"/>
    <e v="#N/A"/>
    <s v="OUTBOUND_"/>
  </r>
  <r>
    <s v="1597"/>
    <m/>
    <x v="0"/>
    <s v="INB-W0012409-505"/>
    <s v="EJ-Malang-01"/>
    <s v="Oka-0813-2707-1646"/>
    <x v="241"/>
    <d v="1900-01-14T07:00:00"/>
    <s v="ZTE Warehouse"/>
    <x v="0"/>
    <x v="31"/>
    <s v="ZTE2004"/>
    <s v="Meter"/>
    <n v="3000"/>
    <s v="MF51-05"/>
    <x v="93"/>
    <n v="0"/>
    <n v="0"/>
    <m/>
    <m/>
    <m/>
    <m/>
    <m/>
    <m/>
    <x v="83"/>
    <s v="Main Feeder - OLT Smart Malang   Segment 8 to Sumbersekar"/>
    <e v="#N/A"/>
    <e v="#N/A"/>
    <s v="OUTBOUND_H-ADSS 144C-2024920-01"/>
  </r>
  <r>
    <s v="1598"/>
    <m/>
    <x v="0"/>
    <s v="INB-W0012409-505"/>
    <s v="EJ-Malang-01"/>
    <s v="Oka-0813-2707-1646"/>
    <x v="241"/>
    <d v="1900-01-14T07:00:00"/>
    <s v="ZTE Warehouse"/>
    <x v="0"/>
    <x v="31"/>
    <s v="ZTE2004"/>
    <s v="Meter"/>
    <n v="3000"/>
    <s v="MF51-05"/>
    <x v="93"/>
    <m/>
    <m/>
    <m/>
    <m/>
    <m/>
    <m/>
    <m/>
    <m/>
    <x v="84"/>
    <s v="Main Feeder - OLT Smart Malang   Segment 8 to Sumbersekar"/>
    <e v="#N/A"/>
    <e v="#N/A"/>
    <s v="OUTBOUND_H-ADSS 144C-2024920-02"/>
  </r>
  <r>
    <s v="1599"/>
    <m/>
    <x v="0"/>
    <s v="INB-W0012409-505"/>
    <s v="EJ-Malang-01"/>
    <s v="Oka-0813-2707-1646"/>
    <x v="241"/>
    <d v="1900-01-14T07:00:00"/>
    <s v="ZTE Warehouse"/>
    <x v="0"/>
    <x v="0"/>
    <s v="ZTE2001"/>
    <s v="Meter"/>
    <n v="3000"/>
    <m/>
    <x v="28"/>
    <n v="0"/>
    <n v="0"/>
    <m/>
    <m/>
    <m/>
    <m/>
    <m/>
    <m/>
    <x v="85"/>
    <n v="0"/>
    <e v="#N/A"/>
    <e v="#N/A"/>
    <s v="OUTBOUND_H-ADSS 24C-2024920-01"/>
  </r>
  <r>
    <s v="1600"/>
    <m/>
    <x v="0"/>
    <s v="INB-W0012409-505"/>
    <s v="EJ-Malang-01"/>
    <s v="Oka-0813-2707-1646"/>
    <x v="241"/>
    <d v="1900-01-14T07:00:00"/>
    <s v="ZTE Warehouse"/>
    <x v="0"/>
    <x v="1"/>
    <s v="ZTE2003"/>
    <s v="Meter"/>
    <n v="3000"/>
    <s v="CLR51-03-006"/>
    <x v="94"/>
    <s v="DOEID24092015"/>
    <s v="DNWID0342024092001"/>
    <m/>
    <m/>
    <m/>
    <m/>
    <m/>
    <m/>
    <x v="86"/>
    <s v="Dusun Mojosari Ngenep"/>
    <d v="2024-09-20T00:00:00"/>
    <b v="1"/>
    <s v="OUTBOUND_H-ADSS 48C-2024920-01"/>
  </r>
  <r>
    <s v="1601"/>
    <m/>
    <x v="0"/>
    <s v="INB-W0012409-505"/>
    <s v="EJ-Malang-01"/>
    <s v="Oka-0813-2707-1646"/>
    <x v="241"/>
    <d v="1900-01-14T07:00:00"/>
    <s v="ZTE Warehouse"/>
    <x v="0"/>
    <x v="1"/>
    <s v="ZTE2003"/>
    <s v="Meter"/>
    <n v="3000"/>
    <s v="CLR51-03-006"/>
    <x v="94"/>
    <s v="DOEID24092015"/>
    <s v="DNWID0342024092001"/>
    <m/>
    <m/>
    <m/>
    <m/>
    <m/>
    <m/>
    <x v="87"/>
    <s v="Dusun Mojosari Ngenep"/>
    <d v="2024-09-20T00:00:00"/>
    <b v="1"/>
    <s v="OUTBOUND_H-ADSS 48C-2024920-02"/>
  </r>
  <r>
    <s v="1602"/>
    <m/>
    <x v="0"/>
    <s v="INB-W0012409-507"/>
    <s v="EJ-Malang-01"/>
    <s v="Oka-0813-2707-1646"/>
    <x v="241"/>
    <d v="1900-01-14T07:00:00"/>
    <s v="ZTE Warehouse"/>
    <x v="1"/>
    <x v="26"/>
    <s v="ZTE2020"/>
    <s v="Meter"/>
    <n v="328"/>
    <n v="0"/>
    <x v="17"/>
    <n v="0"/>
    <n v="0"/>
    <m/>
    <m/>
    <m/>
    <m/>
    <m/>
    <m/>
    <x v="2"/>
    <n v="0"/>
    <e v="#N/A"/>
    <e v="#N/A"/>
    <s v="OUTBOUND_"/>
  </r>
  <r>
    <s v="1603"/>
    <m/>
    <x v="2"/>
    <s v="TFI-W0012409-507"/>
    <s v="EJ-Malang-01"/>
    <s v="Oka-0813-2707-1646"/>
    <x v="241"/>
    <d v="1900-01-14T07:00:00"/>
    <s v="ZTE Warehouse"/>
    <x v="0"/>
    <x v="28"/>
    <s v="ZTE2010"/>
    <s v="Pcs"/>
    <n v="4"/>
    <s v="TRF"/>
    <x v="17"/>
    <n v="0"/>
    <n v="0"/>
    <m/>
    <m/>
    <m/>
    <m/>
    <m/>
    <s v="TRANSFER GUDANG"/>
    <x v="2"/>
    <n v="0"/>
    <e v="#N/A"/>
    <e v="#N/A"/>
    <s v="OUTBOUND_"/>
  </r>
  <r>
    <s v="1604"/>
    <m/>
    <x v="1"/>
    <s v="OUB-W0012409-506"/>
    <s v="EJ-Malang-01"/>
    <s v="Oka-0813-2707-1646"/>
    <x v="241"/>
    <d v="1899-12-30T15:26:00"/>
    <s v="EJ-MALANG-01"/>
    <x v="1"/>
    <x v="9"/>
    <s v="GCI1001"/>
    <s v="Pcs"/>
    <n v="8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605"/>
    <m/>
    <x v="0"/>
    <s v="INB-W0012409-507"/>
    <s v="EJ-Malang-01"/>
    <s v="Oka-0813-2707-1646"/>
    <x v="241"/>
    <d v="1900-01-14T07:00:00"/>
    <s v="ZTE Warehouse"/>
    <x v="0"/>
    <x v="2"/>
    <s v="ZTE2008"/>
    <s v="Pcs"/>
    <n v="22"/>
    <m/>
    <x v="28"/>
    <n v="0"/>
    <n v="0"/>
    <m/>
    <m/>
    <m/>
    <m/>
    <m/>
    <m/>
    <x v="2"/>
    <n v="0"/>
    <e v="#N/A"/>
    <e v="#N/A"/>
    <s v="OUTBOUND_"/>
  </r>
  <r>
    <s v="1606"/>
    <m/>
    <x v="0"/>
    <s v="INB-W0012409-507"/>
    <s v="EJ-Malang-01"/>
    <s v="Oka-0813-2707-1646"/>
    <x v="241"/>
    <d v="1900-01-14T07:00:00"/>
    <s v="ZTE Warehouse"/>
    <x v="0"/>
    <x v="30"/>
    <s v="ZTE2006"/>
    <s v="Pcs"/>
    <n v="1"/>
    <m/>
    <x v="28"/>
    <n v="0"/>
    <n v="0"/>
    <m/>
    <m/>
    <m/>
    <m/>
    <m/>
    <m/>
    <x v="2"/>
    <n v="0"/>
    <e v="#N/A"/>
    <e v="#N/A"/>
    <s v="OUTBOUND_"/>
  </r>
  <r>
    <s v="1607"/>
    <m/>
    <x v="0"/>
    <s v="INB-W0012409-507"/>
    <s v="EJ-Malang-01"/>
    <s v="Oka-0813-2707-1646"/>
    <x v="241"/>
    <d v="1900-01-14T07:00:00"/>
    <s v="ZTE Warehouse"/>
    <x v="0"/>
    <x v="20"/>
    <s v="ZTE1004"/>
    <s v="Pcs"/>
    <n v="4"/>
    <m/>
    <x v="28"/>
    <n v="0"/>
    <n v="0"/>
    <m/>
    <m/>
    <m/>
    <m/>
    <m/>
    <m/>
    <x v="2"/>
    <n v="0"/>
    <e v="#N/A"/>
    <e v="#N/A"/>
    <s v="OUTBOUND_"/>
  </r>
  <r>
    <s v="1608"/>
    <m/>
    <x v="0"/>
    <s v="INB-W0012409-507"/>
    <s v="EJ-Malang-01"/>
    <s v="Oka-0813-2707-1646"/>
    <x v="241"/>
    <d v="1900-01-14T07:00:00"/>
    <s v="ZTE Warehouse"/>
    <x v="0"/>
    <x v="4"/>
    <s v="ZTE1002"/>
    <s v="Pcs"/>
    <n v="14"/>
    <m/>
    <x v="28"/>
    <n v="0"/>
    <n v="0"/>
    <m/>
    <m/>
    <m/>
    <m/>
    <m/>
    <m/>
    <x v="2"/>
    <n v="0"/>
    <e v="#N/A"/>
    <e v="#N/A"/>
    <s v="OUTBOUND_"/>
  </r>
  <r>
    <s v="1609"/>
    <m/>
    <x v="0"/>
    <s v="INB-W0012409-507"/>
    <s v="EJ-Malang-01"/>
    <s v="Oka-0813-2707-1646"/>
    <x v="241"/>
    <d v="1900-01-14T07:00:00"/>
    <s v="ZTE Warehouse"/>
    <x v="0"/>
    <x v="5"/>
    <s v="ZTE1001"/>
    <s v="Pcs"/>
    <n v="126"/>
    <m/>
    <x v="28"/>
    <n v="0"/>
    <n v="0"/>
    <m/>
    <m/>
    <m/>
    <m/>
    <m/>
    <m/>
    <x v="2"/>
    <n v="0"/>
    <e v="#N/A"/>
    <e v="#N/A"/>
    <s v="OUTBOUND_"/>
  </r>
  <r>
    <s v="1610"/>
    <m/>
    <x v="1"/>
    <s v="OUB-W0012409-506"/>
    <s v="EJ-Malang-01"/>
    <s v="Oka-0813-2707-1646"/>
    <x v="241"/>
    <d v="1899-12-30T15:26:00"/>
    <s v="EJ-MALANG-01"/>
    <x v="0"/>
    <x v="5"/>
    <s v="ZTE1001"/>
    <s v="Pcs"/>
    <n v="21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611"/>
    <m/>
    <x v="0"/>
    <s v="INB-W0012409-507"/>
    <s v="EJ-Malang-01"/>
    <s v="Oka-0813-2707-1646"/>
    <x v="241"/>
    <d v="1900-01-14T07:00:00"/>
    <s v="ZTE Warehouse"/>
    <x v="0"/>
    <x v="19"/>
    <s v="ZTE1003"/>
    <s v="Pcs"/>
    <n v="10"/>
    <s v="CLR51-99-049"/>
    <x v="73"/>
    <n v="0"/>
    <n v="0"/>
    <m/>
    <m/>
    <m/>
    <m/>
    <m/>
    <m/>
    <x v="2"/>
    <s v="Perumahan Panca Garden"/>
    <e v="#N/A"/>
    <e v="#N/A"/>
    <s v="OUTBOUND_"/>
  </r>
  <r>
    <s v="1612"/>
    <m/>
    <x v="1"/>
    <s v="OUB-W0012409-508"/>
    <s v="EJ-Malang-01"/>
    <s v="Oka-0813-2707-1646"/>
    <x v="242"/>
    <d v="1899-12-30T17:10:00"/>
    <s v="EJ-MALANG-01"/>
    <x v="0"/>
    <x v="31"/>
    <s v="ZTE2004"/>
    <s v="Meter"/>
    <n v="3000"/>
    <s v="MF51-05"/>
    <x v="85"/>
    <m/>
    <m/>
    <m/>
    <s v="Dimas"/>
    <s v="Febby Supplier"/>
    <s v="3573032509800005"/>
    <s v="N 9454 BA"/>
    <s v="Transfer"/>
    <x v="83"/>
    <s v="HUBFEEDER DINOYO SUMBERSEKAR"/>
    <e v="#N/A"/>
    <e v="#N/A"/>
    <s v="OUTBOUND_H-ADSS 144C-2024920-01"/>
  </r>
  <r>
    <s v="1613"/>
    <m/>
    <x v="1"/>
    <s v="OUB-W0012409-508"/>
    <s v="EJ-Malang-01"/>
    <s v="Oka-0813-2707-1646"/>
    <x v="242"/>
    <d v="1899-12-30T17:10:00"/>
    <s v="EJ-MALANG-01"/>
    <x v="1"/>
    <x v="9"/>
    <s v="GCI1001"/>
    <s v="Pcs"/>
    <n v="12"/>
    <s v="MF51-05"/>
    <x v="85"/>
    <m/>
    <m/>
    <m/>
    <s v="Dimas"/>
    <s v="Febby Supplier"/>
    <s v="3573032509800005"/>
    <s v="N 9454 BA"/>
    <m/>
    <x v="2"/>
    <s v="HUBFEEDER DINOYO SUMBERSEKAR"/>
    <e v="#N/A"/>
    <e v="#N/A"/>
    <s v="OUTBOUND_"/>
  </r>
  <r>
    <s v="1614"/>
    <m/>
    <x v="1"/>
    <s v="OUB-W0012409-508"/>
    <s v="EJ-Malang-01"/>
    <s v="Oka-0813-2707-1646"/>
    <x v="242"/>
    <d v="1899-12-30T17:10:00"/>
    <s v="EJ-MALANG-01"/>
    <x v="1"/>
    <x v="32"/>
    <s v="GCI1020"/>
    <s v="Pcs"/>
    <n v="200"/>
    <s v="MF51-05"/>
    <x v="85"/>
    <m/>
    <m/>
    <m/>
    <s v="Dimas"/>
    <s v="Febby Supplier"/>
    <s v="3573032509800005"/>
    <s v="N 9454 BA"/>
    <m/>
    <x v="2"/>
    <s v="HUBFEEDER DINOYO SUMBERSEKAR"/>
    <e v="#N/A"/>
    <e v="#N/A"/>
    <s v="OUTBOUND_"/>
  </r>
  <r>
    <s v="1615"/>
    <m/>
    <x v="1"/>
    <s v="OUB-W0012409-508"/>
    <s v="EJ-Malang-01"/>
    <s v="Oka-0813-2707-1646"/>
    <x v="242"/>
    <d v="1899-12-30T17:10:00"/>
    <s v="EJ-MALANG-01"/>
    <x v="1"/>
    <x v="11"/>
    <s v="GCI1002"/>
    <s v="Pcs"/>
    <n v="1"/>
    <s v="MF51-05"/>
    <x v="85"/>
    <m/>
    <m/>
    <m/>
    <s v="Dimas"/>
    <s v="Febby Supplier"/>
    <s v="3573032509800005"/>
    <s v="N 9454 BA"/>
    <m/>
    <x v="2"/>
    <s v="HUBFEEDER DINOYO SUMBERSEKAR"/>
    <e v="#N/A"/>
    <e v="#N/A"/>
    <s v="OUTBOUND_"/>
  </r>
  <r>
    <s v="1616"/>
    <m/>
    <x v="1"/>
    <s v="OUB-W0012409-508"/>
    <s v="EJ-Malang-01"/>
    <s v="Oka-0813-2707-1646"/>
    <x v="242"/>
    <d v="1899-12-30T17:10:00"/>
    <s v="EJ-MALANG-01"/>
    <x v="1"/>
    <x v="12"/>
    <s v="GCI1008"/>
    <s v="Pcs"/>
    <n v="54"/>
    <s v="MF51-05"/>
    <x v="85"/>
    <m/>
    <m/>
    <m/>
    <s v="Dimas"/>
    <s v="Febby Supplier"/>
    <s v="3573032509800005"/>
    <s v="N 9454 BA"/>
    <m/>
    <x v="2"/>
    <s v="HUBFEEDER DINOYO SUMBERSEKAR"/>
    <e v="#N/A"/>
    <e v="#N/A"/>
    <s v="OUTBOUND_"/>
  </r>
  <r>
    <s v="1617"/>
    <m/>
    <x v="1"/>
    <s v="OUB-W0012409-508"/>
    <s v="EJ-Malang-01"/>
    <s v="Oka-0813-2707-1646"/>
    <x v="242"/>
    <d v="1899-12-30T17:10:00"/>
    <s v="EJ-MALANG-01"/>
    <x v="1"/>
    <x v="15"/>
    <s v="GCI1003"/>
    <s v="Pcs"/>
    <n v="56"/>
    <s v="MF51-05"/>
    <x v="85"/>
    <m/>
    <m/>
    <m/>
    <s v="Dimas"/>
    <s v="Febby Supplier"/>
    <s v="3573032509800005"/>
    <s v="N 9454 BA"/>
    <m/>
    <x v="2"/>
    <s v="HUBFEEDER DINOYO SUMBERSEKAR"/>
    <e v="#N/A"/>
    <e v="#N/A"/>
    <s v="OUTBOUND_"/>
  </r>
  <r>
    <s v="1618"/>
    <m/>
    <x v="1"/>
    <s v="OUB-W0012409-508"/>
    <s v="EJ-Malang-01"/>
    <s v="Oka-0813-2707-1646"/>
    <x v="242"/>
    <d v="1899-12-30T17:10:00"/>
    <s v="EJ-MALANG-01"/>
    <x v="1"/>
    <x v="16"/>
    <s v="GCI1004"/>
    <s v="Pcs"/>
    <n v="30"/>
    <s v="MF51-05"/>
    <x v="85"/>
    <m/>
    <m/>
    <m/>
    <s v="Dimas"/>
    <s v="Febby Supplier"/>
    <s v="3573032509800005"/>
    <s v="N 9454 BA"/>
    <m/>
    <x v="2"/>
    <s v="HUBFEEDER DINOYO SUMBERSEKAR"/>
    <e v="#N/A"/>
    <e v="#N/A"/>
    <s v="OUTBOUND_"/>
  </r>
  <r>
    <s v="1619"/>
    <m/>
    <x v="1"/>
    <s v="OUB-W0012409-509"/>
    <s v="EJ-Malang-01"/>
    <s v="Oka-0813-2707-1646"/>
    <x v="243"/>
    <d v="1899-12-30T12:45:00"/>
    <s v="EJ-MALANG-01"/>
    <x v="0"/>
    <x v="4"/>
    <s v="ZTE1002"/>
    <s v="Pcs"/>
    <n v="1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20"/>
    <m/>
    <x v="1"/>
    <s v="OUB-W0012409-509"/>
    <s v="EJ-Malang-01"/>
    <s v="Oka-0813-2707-1646"/>
    <x v="243"/>
    <d v="1899-12-30T12:45:00"/>
    <s v="EJ-MALANG-01"/>
    <x v="0"/>
    <x v="5"/>
    <s v="ZTE1001"/>
    <s v="Pcs"/>
    <n v="20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21"/>
    <m/>
    <x v="1"/>
    <s v="OUB-W0012409-510"/>
    <s v="EJ-Malang-01"/>
    <s v="Oka-0813-2707-1646"/>
    <x v="244"/>
    <d v="1899-12-30T16:12:00"/>
    <s v="EJ-MALANG-01"/>
    <x v="0"/>
    <x v="5"/>
    <s v="ZTE1001"/>
    <s v="Pcs"/>
    <n v="21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22"/>
    <m/>
    <x v="1"/>
    <s v="OUB-W0012409-517"/>
    <s v="EJ-Malang-01"/>
    <s v="Oka-0813-2707-1646"/>
    <x v="245"/>
    <d v="1899-12-30T15:23:00"/>
    <s v="EJ-MALANG-01"/>
    <x v="0"/>
    <x v="0"/>
    <s v="ZTE2001"/>
    <s v="Meter"/>
    <n v="3000"/>
    <s v="CLR51-03-006"/>
    <x v="94"/>
    <m/>
    <m/>
    <m/>
    <s v="Fatkur"/>
    <s v="Fatkur"/>
    <s v="1812010507910004"/>
    <s v="AE 8322  NH"/>
    <m/>
    <x v="2"/>
    <s v="Dusun Mojosari Ngenep"/>
    <e v="#N/A"/>
    <e v="#N/A"/>
    <s v="OUTBOUND_"/>
  </r>
  <r>
    <s v="1623"/>
    <m/>
    <x v="1"/>
    <s v="OUB-W0012409-517"/>
    <s v="EJ-Malang-01"/>
    <s v="Oka-0813-2707-1646"/>
    <x v="245"/>
    <d v="1899-12-30T15:23:00"/>
    <s v="EJ-MALANG-01"/>
    <x v="0"/>
    <x v="0"/>
    <s v="ZTE2001"/>
    <s v="Meter"/>
    <n v="3000"/>
    <s v="CLR51-99-122"/>
    <x v="95"/>
    <m/>
    <m/>
    <m/>
    <s v="Fatkur"/>
    <s v="Fatkur"/>
    <s v="1812010507910004"/>
    <s v="AE 8322  NH"/>
    <m/>
    <x v="2"/>
    <s v="Ngenep RW 10 Malang"/>
    <e v="#N/A"/>
    <e v="#N/A"/>
    <s v="OUTBOUND_"/>
  </r>
  <r>
    <s v="1624"/>
    <m/>
    <x v="1"/>
    <s v="OUB-W0012409-513"/>
    <s v="EJ-Malang-01"/>
    <s v="Oka-0813-2707-1646"/>
    <x v="245"/>
    <d v="1899-12-30T16:21:00"/>
    <s v="EJ-MALANG-01"/>
    <x v="0"/>
    <x v="1"/>
    <s v="ZTE2003"/>
    <s v="Meter"/>
    <n v="3000"/>
    <s v="CLR51-03-006"/>
    <x v="94"/>
    <m/>
    <m/>
    <m/>
    <s v="Fatkur"/>
    <s v="Fatkur"/>
    <s v="1812010507910004"/>
    <s v="AE 8322  NH"/>
    <m/>
    <x v="2"/>
    <s v="Dusun Mojosari Ngenep"/>
    <e v="#N/A"/>
    <e v="#N/A"/>
    <s v="OUTBOUND_"/>
  </r>
  <r>
    <s v="1625"/>
    <m/>
    <x v="3"/>
    <s v="TFO-W0012409-515"/>
    <s v="EJ-Malang-01"/>
    <s v="Oka-0813-2707-1646"/>
    <x v="245"/>
    <d v="1899-12-30T18:58:00"/>
    <s v="EJ-MALANG-01"/>
    <x v="0"/>
    <x v="28"/>
    <s v="ZTE2010"/>
    <s v="Pcs"/>
    <n v="5"/>
    <s v="TRF"/>
    <x v="10"/>
    <m/>
    <m/>
    <m/>
    <s v="Zainal Abidin"/>
    <n v="0"/>
    <s v="3519010810930003"/>
    <s v="W 1074 XF"/>
    <s v="Transfer"/>
    <x v="2"/>
    <s v="Transfer Gudang"/>
    <e v="#N/A"/>
    <e v="#N/A"/>
    <s v="TRANSFER OUT_"/>
  </r>
  <r>
    <s v="1626"/>
    <m/>
    <x v="1"/>
    <s v="OUB-W0012409-513"/>
    <s v="EJ-Malang-01"/>
    <s v="Oka-0813-2707-1646"/>
    <x v="245"/>
    <d v="1899-12-30T16:21:00"/>
    <s v="EJ-MALANG-01"/>
    <x v="1"/>
    <x v="8"/>
    <s v="GCI1005"/>
    <s v="Pcs"/>
    <n v="30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27"/>
    <m/>
    <x v="1"/>
    <s v="OUB-W0012409-512"/>
    <s v="EJ-Malang-01"/>
    <s v="Oka-0813-2707-1646"/>
    <x v="245"/>
    <d v="1899-12-30T15:23:00"/>
    <s v="EJ-MALANG-01"/>
    <x v="1"/>
    <x v="9"/>
    <s v="GCI1001"/>
    <s v="Pcs"/>
    <n v="33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28"/>
    <m/>
    <x v="1"/>
    <s v="OUB-W0012409-512"/>
    <s v="EJ-Malang-01"/>
    <s v="Oka-0813-2707-1646"/>
    <x v="245"/>
    <d v="1899-12-30T15:23:00"/>
    <s v="EJ-MALANG-01"/>
    <x v="1"/>
    <x v="10"/>
    <s v="GCI1009"/>
    <s v="Pcs"/>
    <n v="200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29"/>
    <m/>
    <x v="1"/>
    <s v="OUB-W0012409-515"/>
    <s v="EJ-Malang-01"/>
    <s v="Oka-0813-2707-1646"/>
    <x v="245"/>
    <d v="1899-12-30T18:58:00"/>
    <s v="EJ-MALANG-01"/>
    <x v="0"/>
    <x v="2"/>
    <s v="ZTE2008"/>
    <s v="Pcs"/>
    <n v="12"/>
    <s v="CLR51-99-122"/>
    <x v="95"/>
    <m/>
    <m/>
    <m/>
    <s v="Zainal Abidin"/>
    <n v="0"/>
    <s v="3519010810930003"/>
    <s v="W 1074 XF"/>
    <m/>
    <x v="2"/>
    <s v="Ngenep RW 10 Malang"/>
    <e v="#N/A"/>
    <e v="#N/A"/>
    <s v="OUTBOUND_"/>
  </r>
  <r>
    <s v="1630"/>
    <m/>
    <x v="1"/>
    <s v="OUB-W0012409-515"/>
    <s v="EJ-Malang-01"/>
    <s v="Oka-0813-2707-1646"/>
    <x v="245"/>
    <d v="1899-12-30T18:58:00"/>
    <s v="EJ-MALANG-01"/>
    <x v="0"/>
    <x v="30"/>
    <s v="ZTE2006"/>
    <s v="Pcs"/>
    <n v="1"/>
    <s v="CLR51-03-006"/>
    <x v="94"/>
    <m/>
    <m/>
    <m/>
    <s v="Zainal Abidin"/>
    <n v="0"/>
    <s v="3519010810930003"/>
    <s v="W 1074 XF"/>
    <m/>
    <x v="2"/>
    <s v="Dusun Mojosari Ngenep"/>
    <e v="#N/A"/>
    <e v="#N/A"/>
    <s v="OUTBOUND_"/>
  </r>
  <r>
    <s v="1631"/>
    <m/>
    <x v="1"/>
    <s v="OUB-W0012409-512"/>
    <s v="EJ-Malang-01"/>
    <s v="Oka-0813-2707-1646"/>
    <x v="245"/>
    <d v="1899-12-30T15:23:00"/>
    <s v="EJ-MALANG-01"/>
    <x v="1"/>
    <x v="11"/>
    <s v="GCI1002"/>
    <s v="Pcs"/>
    <n v="1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32"/>
    <m/>
    <x v="1"/>
    <s v="OUB-W0012409-514"/>
    <s v="EJ-Malang-01"/>
    <s v="Oka-0813-2707-1646"/>
    <x v="245"/>
    <d v="1899-12-30T17:35:00"/>
    <s v="EJ-MALANG-01"/>
    <x v="0"/>
    <x v="4"/>
    <s v="ZTE1002"/>
    <s v="Pcs"/>
    <n v="2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33"/>
    <m/>
    <x v="1"/>
    <s v="OUB-W0012409-514"/>
    <s v="EJ-Malang-01"/>
    <s v="Oka-0813-2707-1646"/>
    <x v="245"/>
    <d v="1899-12-30T17:35:00"/>
    <s v="EJ-MALANG-01"/>
    <x v="0"/>
    <x v="5"/>
    <s v="ZTE1001"/>
    <s v="Pcs"/>
    <n v="13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34"/>
    <m/>
    <x v="2"/>
    <s v="TFI-W0012409-516"/>
    <s v="EJ-Malang-01"/>
    <s v="Oka-0813-2707-1646"/>
    <x v="245"/>
    <d v="1900-01-14T07:00:00"/>
    <s v="ZTE Warehouse"/>
    <x v="0"/>
    <x v="5"/>
    <s v="ZTE1001"/>
    <s v="Pcs"/>
    <n v="4"/>
    <s v="TRF"/>
    <x v="17"/>
    <n v="0"/>
    <s v="TRANSFER GUDANG"/>
    <m/>
    <m/>
    <m/>
    <m/>
    <m/>
    <m/>
    <x v="2"/>
    <n v="0"/>
    <e v="#N/A"/>
    <e v="#N/A"/>
    <s v="OUTBOUND_"/>
  </r>
  <r>
    <s v="1635"/>
    <m/>
    <x v="1"/>
    <s v="OUB-W0012409-511"/>
    <s v="EJ-Malang-01"/>
    <s v="Oka-0813-2707-1646"/>
    <x v="245"/>
    <d v="1899-12-30T09:05:00"/>
    <s v="EJ-MALANG-01"/>
    <x v="0"/>
    <x v="19"/>
    <s v="ZTE1003"/>
    <s v="Pcs"/>
    <n v="4"/>
    <s v="CLR51-03-006"/>
    <x v="94"/>
    <m/>
    <m/>
    <m/>
    <s v="Riki Romansyah"/>
    <n v="0"/>
    <s v="3507050501950006"/>
    <s v="N 8420 EL"/>
    <m/>
    <x v="2"/>
    <s v="Dusun Mojosari Ngenep"/>
    <e v="#N/A"/>
    <e v="#N/A"/>
    <s v="OUTBOUND_"/>
  </r>
  <r>
    <s v="1636"/>
    <m/>
    <x v="0"/>
    <s v="INB-W0012409-516"/>
    <s v="EJ-Malang-01"/>
    <s v="Oka-0813-2707-1646"/>
    <x v="245"/>
    <d v="1900-01-14T07:00:00"/>
    <s v="FIELD TEAM"/>
    <x v="1"/>
    <x v="12"/>
    <s v="GCI1008"/>
    <s v="Pcs"/>
    <n v="29"/>
    <s v="RTN"/>
    <x v="96"/>
    <n v="0"/>
    <n v="0"/>
    <m/>
    <m/>
    <m/>
    <m/>
    <m/>
    <m/>
    <x v="2"/>
    <s v="Sengguruh"/>
    <e v="#N/A"/>
    <e v="#N/A"/>
    <s v="OUTBOUND_"/>
  </r>
  <r>
    <s v="1637"/>
    <m/>
    <x v="1"/>
    <s v="OUB-W0012409-512"/>
    <s v="EJ-Malang-01"/>
    <s v="Oka-0813-2707-1646"/>
    <x v="245"/>
    <d v="1899-12-30T15:23:00"/>
    <s v="EJ-MALANG-01"/>
    <x v="1"/>
    <x v="12"/>
    <s v="GCI1008"/>
    <s v="Pcs"/>
    <n v="60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38"/>
    <m/>
    <x v="0"/>
    <s v="INB-W0012409-516"/>
    <s v="EJ-Malang-01"/>
    <s v="Oka-0813-2707-1646"/>
    <x v="245"/>
    <d v="1900-01-14T07:00:00"/>
    <s v="FIELD TEAM"/>
    <x v="1"/>
    <x v="15"/>
    <s v="GCI1003"/>
    <s v="Pcs"/>
    <n v="150"/>
    <s v="RTN"/>
    <x v="96"/>
    <n v="0"/>
    <n v="0"/>
    <m/>
    <m/>
    <m/>
    <m/>
    <m/>
    <m/>
    <x v="2"/>
    <s v="Sengguruh"/>
    <e v="#N/A"/>
    <e v="#N/A"/>
    <s v="OUTBOUND_"/>
  </r>
  <r>
    <s v="1639"/>
    <m/>
    <x v="1"/>
    <s v="OUB-W0012409-512"/>
    <s v="EJ-Malang-01"/>
    <s v="Oka-0813-2707-1646"/>
    <x v="245"/>
    <d v="1899-12-30T15:23:00"/>
    <s v="EJ-MALANG-01"/>
    <x v="1"/>
    <x v="15"/>
    <s v="GCI1003"/>
    <s v="Pcs"/>
    <n v="40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40"/>
    <m/>
    <x v="0"/>
    <s v="INB-W0012409-516"/>
    <s v="EJ-Malang-01"/>
    <s v="Oka-0813-2707-1646"/>
    <x v="245"/>
    <d v="1900-01-14T07:00:00"/>
    <s v="FIELD TEAM"/>
    <x v="1"/>
    <x v="16"/>
    <s v="GCI1004"/>
    <s v="Pcs"/>
    <n v="19"/>
    <s v="RTN"/>
    <x v="96"/>
    <n v="0"/>
    <n v="0"/>
    <m/>
    <m/>
    <m/>
    <m/>
    <m/>
    <m/>
    <x v="2"/>
    <s v="Sengguruh"/>
    <e v="#N/A"/>
    <e v="#N/A"/>
    <s v="OUTBOUND_"/>
  </r>
  <r>
    <s v="1641"/>
    <m/>
    <x v="1"/>
    <s v="OUB-W0012409-512"/>
    <s v="EJ-Malang-01"/>
    <s v="Oka-0813-2707-1646"/>
    <x v="245"/>
    <d v="1899-12-30T15:23:00"/>
    <s v="EJ-MALANG-01"/>
    <x v="1"/>
    <x v="16"/>
    <s v="GCI1004"/>
    <s v="Pcs"/>
    <n v="32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42"/>
    <m/>
    <x v="0"/>
    <s v="INB-W0012409-519"/>
    <s v="EJ-Malang-01"/>
    <s v="Oka-0813-2707-1646"/>
    <x v="246"/>
    <d v="1900-01-14T07:00:00"/>
    <s v="FIELD TEAM"/>
    <x v="1"/>
    <x v="10"/>
    <s v="GCI1009"/>
    <s v="Pcs"/>
    <n v="5"/>
    <s v="RTN"/>
    <x v="96"/>
    <n v="0"/>
    <n v="0"/>
    <m/>
    <m/>
    <m/>
    <m/>
    <m/>
    <m/>
    <x v="2"/>
    <s v="Sengguruh"/>
    <e v="#N/A"/>
    <e v="#N/A"/>
    <s v="OUTBOUND_"/>
  </r>
  <r>
    <s v="1643"/>
    <m/>
    <x v="1"/>
    <s v="OUB-W0012409-518"/>
    <s v="EJ-Malang-01"/>
    <s v="Oka-0813-2707-1646"/>
    <x v="246"/>
    <d v="1899-12-30T14:30:00"/>
    <s v="EJ-MALANG-01"/>
    <x v="0"/>
    <x v="5"/>
    <s v="ZTE1001"/>
    <s v="Pcs"/>
    <n v="3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44"/>
    <m/>
    <x v="1"/>
    <s v="OUB-W0012409-518"/>
    <s v="EJ-Malang-01"/>
    <s v="Oka-0813-2707-1646"/>
    <x v="246"/>
    <d v="1899-12-30T14:30:00"/>
    <s v="EJ-MALANG-01"/>
    <x v="1"/>
    <x v="15"/>
    <s v="GCI1003"/>
    <s v="Pcs"/>
    <n v="50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45"/>
    <m/>
    <x v="1"/>
    <s v="OUB-W0012409-520"/>
    <s v="EJ-Malang-01"/>
    <s v="Oka-0813-2707-1646"/>
    <x v="247"/>
    <d v="1899-12-30T18:58:00"/>
    <s v="EJ-MALANG-01"/>
    <x v="0"/>
    <x v="2"/>
    <s v="ZTE2008"/>
    <s v="Pcs"/>
    <n v="17"/>
    <s v="CLR51-03-006"/>
    <x v="94"/>
    <m/>
    <m/>
    <m/>
    <s v="Fahrudin"/>
    <n v="0"/>
    <s v="3507131605830004"/>
    <s v="N 1383 G"/>
    <m/>
    <x v="2"/>
    <s v="Dusun Mojosari Ngenep"/>
    <e v="#N/A"/>
    <e v="#N/A"/>
    <s v="OUTBOUND_"/>
  </r>
  <r>
    <s v="1646"/>
    <m/>
    <x v="1"/>
    <s v="OUB-W0012409-520"/>
    <s v="EJ-Malang-01"/>
    <s v="Oka-0813-2707-1646"/>
    <x v="247"/>
    <d v="1899-12-30T18:58:00"/>
    <s v="EJ-MALANG-01"/>
    <x v="0"/>
    <x v="20"/>
    <s v="ZTE1004"/>
    <s v="Pcs"/>
    <n v="1"/>
    <s v="CLR51-03-006"/>
    <x v="94"/>
    <m/>
    <m/>
    <m/>
    <s v="Fahrudin"/>
    <n v="0"/>
    <s v="3507131605830004"/>
    <s v="N 1383 G"/>
    <m/>
    <x v="2"/>
    <s v="Dusun Mojosari Ngenep"/>
    <e v="#N/A"/>
    <e v="#N/A"/>
    <s v="OUTBOUND_"/>
  </r>
  <r>
    <s v="1647"/>
    <m/>
    <x v="1"/>
    <s v="OUB-W0012409-521"/>
    <s v="EJ-Malang-01"/>
    <s v="Oka-0813-2707-1646"/>
    <x v="248"/>
    <d v="1899-12-30T17:35:00"/>
    <s v="EJ-MALANG-01"/>
    <x v="0"/>
    <x v="4"/>
    <s v="ZTE1002"/>
    <s v="Pcs"/>
    <n v="1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48"/>
    <m/>
    <x v="1"/>
    <s v="OUB-W0012409-521"/>
    <s v="EJ-Malang-01"/>
    <s v="Oka-0813-2707-1646"/>
    <x v="248"/>
    <d v="1899-12-30T17:35:00"/>
    <s v="EJ-MALANG-01"/>
    <x v="0"/>
    <x v="5"/>
    <s v="ZTE1001"/>
    <s v="Pcs"/>
    <n v="12"/>
    <s v="CLR51-03-006"/>
    <x v="94"/>
    <m/>
    <m/>
    <m/>
    <s v="Fatkur"/>
    <n v="0"/>
    <s v="1812010507910004"/>
    <s v="AE 8322  NH"/>
    <m/>
    <x v="2"/>
    <s v="Dusun Mojosari Ngenep"/>
    <e v="#N/A"/>
    <e v="#N/A"/>
    <s v="OUTBOUND_"/>
  </r>
  <r>
    <s v="1649"/>
    <m/>
    <x v="3"/>
    <s v="TFO-W0012409-522"/>
    <s v="EJ-Malang-01"/>
    <s v="Oka-0813-2707-1646"/>
    <x v="249"/>
    <d v="1899-12-30T17:35:00"/>
    <s v="EJ-NGAWI-01"/>
    <x v="0"/>
    <x v="28"/>
    <s v="ZTE2010"/>
    <s v="Pcs"/>
    <n v="2"/>
    <s v="TRF"/>
    <x v="10"/>
    <m/>
    <m/>
    <m/>
    <s v="Fatkur"/>
    <n v="0"/>
    <s v="1812010507910004"/>
    <s v="AE 8322  NH"/>
    <s v="to Ngawi"/>
    <x v="2"/>
    <s v="Transfer Gudang"/>
    <e v="#N/A"/>
    <e v="#N/A"/>
    <s v="TRANSFER OUT_"/>
  </r>
  <r>
    <s v="1650"/>
    <m/>
    <x v="3"/>
    <s v="TFO-W0012409-522"/>
    <s v="EJ-Malang-01"/>
    <s v="Oka-0813-2707-1646"/>
    <x v="249"/>
    <d v="1899-12-30T17:35:00"/>
    <s v="EJ-NGAWI-01"/>
    <x v="0"/>
    <x v="3"/>
    <s v="ZTE2005"/>
    <s v="Pcs"/>
    <n v="1"/>
    <n v="0"/>
    <x v="10"/>
    <m/>
    <m/>
    <m/>
    <s v="Fatkur"/>
    <n v="0"/>
    <s v="1812010507910004"/>
    <s v="AE 8322  NH"/>
    <s v="to Ngawi"/>
    <x v="2"/>
    <s v="Transfer Gudang"/>
    <e v="#N/A"/>
    <e v="#N/A"/>
    <s v="TRANSFER OUT_"/>
  </r>
  <r>
    <s v="1651"/>
    <m/>
    <x v="0"/>
    <s v="INB-W0012410-523"/>
    <s v="EJ-Malang-01"/>
    <s v="Oka-0813-2707-1646"/>
    <x v="250"/>
    <d v="1900-01-14T07:00:00"/>
    <s v="FIELD TEAM"/>
    <x v="1"/>
    <x v="9"/>
    <s v="GCI1001"/>
    <s v="Pcs"/>
    <n v="7"/>
    <s v="RTN"/>
    <x v="97"/>
    <n v="0"/>
    <n v="0"/>
    <m/>
    <m/>
    <m/>
    <m/>
    <m/>
    <m/>
    <x v="2"/>
    <s v="Mojosari Ngenep"/>
    <e v="#N/A"/>
    <e v="#N/A"/>
    <s v="OUTBOUND_"/>
  </r>
  <r>
    <s v="1652"/>
    <m/>
    <x v="0"/>
    <s v="INB-W0012410-523"/>
    <s v="EJ-Malang-01"/>
    <s v="Oka-0813-2707-1646"/>
    <x v="250"/>
    <d v="1900-01-14T07:00:00"/>
    <s v="FIELD TEAM"/>
    <x v="1"/>
    <x v="10"/>
    <s v="GCI1009"/>
    <s v="Pcs"/>
    <n v="22"/>
    <s v="RTN"/>
    <x v="97"/>
    <n v="0"/>
    <n v="0"/>
    <m/>
    <m/>
    <m/>
    <m/>
    <m/>
    <m/>
    <x v="2"/>
    <s v="Mojosari Ngenep"/>
    <e v="#N/A"/>
    <e v="#N/A"/>
    <s v="OUTBOUND_"/>
  </r>
  <r>
    <s v="1653"/>
    <m/>
    <x v="0"/>
    <s v="INB-W0012410-523"/>
    <s v="EJ-Malang-01"/>
    <s v="Oka-0813-2707-1646"/>
    <x v="250"/>
    <d v="1900-01-14T07:00:00"/>
    <s v="FIELD TEAM"/>
    <x v="1"/>
    <x v="12"/>
    <s v="GCI1008"/>
    <s v="Pcs"/>
    <n v="19"/>
    <s v="RTN"/>
    <x v="97"/>
    <n v="0"/>
    <n v="0"/>
    <m/>
    <m/>
    <m/>
    <m/>
    <m/>
    <m/>
    <x v="2"/>
    <s v="Mojosari Ngenep"/>
    <e v="#N/A"/>
    <e v="#N/A"/>
    <s v="OUTBOUND_"/>
  </r>
  <r>
    <s v="1654"/>
    <m/>
    <x v="0"/>
    <s v="INB-W0012410-523"/>
    <s v="EJ-Malang-01"/>
    <s v="Oka-0813-2707-1646"/>
    <x v="250"/>
    <d v="1900-01-14T07:00:00"/>
    <s v="FIELD TEAM"/>
    <x v="1"/>
    <x v="15"/>
    <s v="GCI1003"/>
    <s v="Pcs"/>
    <n v="72"/>
    <s v="RTN"/>
    <x v="97"/>
    <n v="0"/>
    <n v="0"/>
    <m/>
    <m/>
    <m/>
    <m/>
    <m/>
    <m/>
    <x v="2"/>
    <s v="Mojosari Ngenep"/>
    <e v="#N/A"/>
    <e v="#N/A"/>
    <s v="OUTBOUND_"/>
  </r>
  <r>
    <s v="1655"/>
    <m/>
    <x v="0"/>
    <s v="INB-W0012410-523"/>
    <s v="EJ-Malang-01"/>
    <s v="Oka-0813-2707-1646"/>
    <x v="250"/>
    <d v="1900-01-14T07:00:00"/>
    <s v="FIELD TEAM"/>
    <x v="1"/>
    <x v="16"/>
    <s v="GCI1004"/>
    <s v="Pcs"/>
    <n v="53"/>
    <s v="RTN"/>
    <x v="97"/>
    <n v="0"/>
    <n v="0"/>
    <m/>
    <m/>
    <m/>
    <m/>
    <m/>
    <m/>
    <x v="2"/>
    <s v="Mojosari Ngenep"/>
    <e v="#N/A"/>
    <e v="#N/A"/>
    <s v="OUTBOUND_"/>
  </r>
  <r>
    <s v="1656"/>
    <m/>
    <x v="3"/>
    <s v="TFO-W0012410-524"/>
    <s v="EJ-Malang-01"/>
    <s v="Oka-0813-2707-1646"/>
    <x v="251"/>
    <d v="1899-12-30T18:58:00"/>
    <s v="EJ-MALANG-01"/>
    <x v="0"/>
    <x v="28"/>
    <s v="ZTE2010"/>
    <s v="Pcs"/>
    <n v="3"/>
    <s v="TRF"/>
    <x v="10"/>
    <m/>
    <m/>
    <m/>
    <s v="Fahrudin"/>
    <n v="0"/>
    <s v="3507131605830004"/>
    <s v="N 1383 G"/>
    <s v="Transfer"/>
    <x v="2"/>
    <s v="Transfer Gudang"/>
    <e v="#N/A"/>
    <e v="#N/A"/>
    <s v="TRANSFER OUT_"/>
  </r>
  <r>
    <s v="1657"/>
    <m/>
    <x v="1"/>
    <s v="OUB-W0012410-524"/>
    <s v="EJ-Malang-01"/>
    <s v="Oka-0813-2707-1646"/>
    <x v="251"/>
    <d v="1899-12-30T18:58:00"/>
    <s v="EJ-MALANG-01"/>
    <x v="0"/>
    <x v="2"/>
    <s v="ZTE2008"/>
    <s v="Pcs"/>
    <n v="22"/>
    <s v="CLR51-09-001"/>
    <x v="90"/>
    <m/>
    <m/>
    <m/>
    <s v="Fahrudin"/>
    <n v="0"/>
    <s v="3507131605830004"/>
    <s v="N 1383 G"/>
    <m/>
    <x v="2"/>
    <s v="Pakisaji RW 01 Malang"/>
    <e v="#N/A"/>
    <e v="#N/A"/>
    <s v="OUTBOUND_"/>
  </r>
  <r>
    <s v="1658"/>
    <m/>
    <x v="1"/>
    <s v="OUB-W0012410-524"/>
    <s v="EJ-Malang-01"/>
    <s v="Oka-0813-2707-1646"/>
    <x v="251"/>
    <d v="1899-12-30T18:58:00"/>
    <s v="EJ-MALANG-01"/>
    <x v="0"/>
    <x v="3"/>
    <s v="ZTE2005"/>
    <s v="Pcs"/>
    <n v="1"/>
    <s v="CLR51-09-001"/>
    <x v="90"/>
    <m/>
    <m/>
    <m/>
    <s v="Fahrudin"/>
    <n v="0"/>
    <s v="3507131605830004"/>
    <s v="N 1383 G"/>
    <m/>
    <x v="2"/>
    <s v="Pakisaji RW 01 Malang"/>
    <e v="#N/A"/>
    <e v="#N/A"/>
    <s v="OUTBOUND_"/>
  </r>
  <r>
    <s v="1659"/>
    <m/>
    <x v="1"/>
    <s v="OUB-W0012410-525"/>
    <s v="EJ-Malang-01"/>
    <s v="Oka-0813-2707-1646"/>
    <x v="252"/>
    <d v="1899-12-30T19:00:00"/>
    <s v="EJ-MALANG-01"/>
    <x v="0"/>
    <x v="20"/>
    <s v="ZTE1004"/>
    <s v="Pcs"/>
    <n v="2"/>
    <s v="MF51-05"/>
    <x v="85"/>
    <m/>
    <m/>
    <m/>
    <s v="Fahrudin"/>
    <n v="0"/>
    <s v="3507131605830004"/>
    <s v="N 1383 G"/>
    <s v="INSIDEN"/>
    <x v="2"/>
    <s v="HUBFEEDER DINOYO SUMBERSEKAR"/>
    <e v="#N/A"/>
    <e v="#N/A"/>
    <s v="OUTBOUND_"/>
  </r>
  <r>
    <s v="1660"/>
    <m/>
    <x v="1"/>
    <s v="OUB-W0012410-526"/>
    <s v="EJ-Malang-01"/>
    <s v="Oka-0813-2707-1646"/>
    <x v="253"/>
    <d v="1899-12-30T13:33:00"/>
    <s v="EJ-MALANG-01"/>
    <x v="1"/>
    <x v="9"/>
    <s v="GCI1001"/>
    <s v="Pcs"/>
    <n v="6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661"/>
    <m/>
    <x v="1"/>
    <s v="OUB-W0012410-526"/>
    <s v="EJ-Malang-01"/>
    <s v="Oka-0813-2707-1646"/>
    <x v="253"/>
    <d v="1899-12-30T13:33:00"/>
    <s v="EJ-MALANG-01"/>
    <x v="1"/>
    <x v="10"/>
    <s v="GCI1009"/>
    <s v="Pcs"/>
    <n v="54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662"/>
    <m/>
    <x v="1"/>
    <s v="OUB-W0012410-526"/>
    <s v="EJ-Malang-01"/>
    <s v="Oka-0813-2707-1646"/>
    <x v="253"/>
    <d v="1899-12-30T13:33:00"/>
    <s v="EJ-MALANG-01"/>
    <x v="1"/>
    <x v="32"/>
    <s v="GCI1020"/>
    <s v="Pcs"/>
    <n v="1"/>
    <s v="MF51-04"/>
    <x v="78"/>
    <m/>
    <m/>
    <m/>
    <s v="Nur Hidayat"/>
    <n v="0"/>
    <s v="3515141305930006"/>
    <s v="S 9102 AE"/>
    <m/>
    <x v="2"/>
    <s v="HUBFEEDER TIRTASANI TO GIRIMOYO"/>
    <e v="#N/A"/>
    <e v="#N/A"/>
    <s v="OUTBOUND_"/>
  </r>
  <r>
    <s v="1663"/>
    <m/>
    <x v="1"/>
    <s v="OUB-W0012410-526"/>
    <s v="EJ-Malang-01"/>
    <s v="Oka-0813-2707-1646"/>
    <x v="253"/>
    <d v="1899-12-30T13:33:00"/>
    <s v="EJ-MALANG-01"/>
    <x v="1"/>
    <x v="11"/>
    <s v="GCI1002"/>
    <s v="Pcs"/>
    <n v="1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664"/>
    <m/>
    <x v="1"/>
    <s v="OUB-W0012410-526"/>
    <s v="EJ-Malang-01"/>
    <s v="Oka-0813-2707-1646"/>
    <x v="253"/>
    <d v="1899-12-30T13:33:00"/>
    <s v="EJ-MALANG-01"/>
    <x v="0"/>
    <x v="5"/>
    <s v="ZTE1001"/>
    <s v="Pcs"/>
    <n v="2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665"/>
    <m/>
    <x v="1"/>
    <s v="OUB-W0012410-526"/>
    <s v="EJ-Malang-01"/>
    <s v="Oka-0813-2707-1646"/>
    <x v="253"/>
    <d v="1899-12-30T13:33:00"/>
    <s v="EJ-MALANG-01"/>
    <x v="1"/>
    <x v="12"/>
    <s v="GCI1008"/>
    <s v="Pcs"/>
    <n v="30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666"/>
    <m/>
    <x v="1"/>
    <s v="OUB-W0012410-526"/>
    <s v="EJ-Malang-01"/>
    <s v="Oka-0813-2707-1646"/>
    <x v="253"/>
    <d v="1899-12-30T13:33:00"/>
    <s v="EJ-MALANG-01"/>
    <x v="1"/>
    <x v="15"/>
    <s v="GCI1003"/>
    <s v="Pcs"/>
    <n v="60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667"/>
    <m/>
    <x v="1"/>
    <s v="OUB-W0012410-526"/>
    <s v="EJ-Malang-01"/>
    <s v="Oka-0813-2707-1646"/>
    <x v="253"/>
    <d v="1899-12-30T13:33:00"/>
    <s v="EJ-MALANG-01"/>
    <x v="1"/>
    <x v="16"/>
    <s v="GCI1004"/>
    <s v="Pcs"/>
    <n v="50"/>
    <s v="CLR51-99-086"/>
    <x v="58"/>
    <m/>
    <m/>
    <m/>
    <s v="Nur Hidayat"/>
    <n v="0"/>
    <s v="3515141305930006"/>
    <s v="S 9102 AE"/>
    <m/>
    <x v="2"/>
    <s v="Klampok RW 01 Singosari"/>
    <e v="#N/A"/>
    <e v="#N/A"/>
    <s v="OUTBOUND_"/>
  </r>
  <r>
    <s v="1668"/>
    <m/>
    <x v="1"/>
    <s v="OUB-W0012410-527"/>
    <s v="EJ-Malang-01"/>
    <s v="Oka-0813-2707-1646"/>
    <x v="254"/>
    <d v="1899-12-30T09:10:00"/>
    <s v="EJ-MALANG-01"/>
    <x v="0"/>
    <x v="31"/>
    <s v="ZTE2004"/>
    <s v="Meter"/>
    <n v="3000"/>
    <s v="MF51-06"/>
    <x v="98"/>
    <m/>
    <m/>
    <m/>
    <s v="Sulistiono"/>
    <s v="Susilo"/>
    <s v="3575032104720001"/>
    <s v="N 9586 WC"/>
    <m/>
    <x v="84"/>
    <s v="Mainfeeder Singosari Segment 3"/>
    <e v="#N/A"/>
    <e v="#N/A"/>
    <s v="OUTBOUND_H-ADSS 144C-2024920-02"/>
  </r>
  <r>
    <s v="1669"/>
    <m/>
    <x v="1"/>
    <s v="OUB-W0012410-527"/>
    <s v="EJ-Malang-01"/>
    <s v="Oka-0813-2707-1646"/>
    <x v="254"/>
    <d v="1899-12-30T09:10:00"/>
    <s v="EJ-MALANG-01"/>
    <x v="1"/>
    <x v="32"/>
    <s v="GCI1020"/>
    <s v="Pcs"/>
    <n v="50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670"/>
    <m/>
    <x v="0"/>
    <s v="INB-W0012410-528"/>
    <s v="EJ-Malang-01"/>
    <s v="Oka-0813-2707-1646"/>
    <x v="254"/>
    <d v="1900-01-14T07:00:00"/>
    <s v="GCI Procurement"/>
    <x v="1"/>
    <x v="12"/>
    <s v="GCI1008"/>
    <s v="Pcs"/>
    <n v="136"/>
    <n v="0"/>
    <x v="17"/>
    <n v="0"/>
    <n v="0"/>
    <m/>
    <m/>
    <m/>
    <m/>
    <m/>
    <m/>
    <x v="2"/>
    <n v="0"/>
    <e v="#N/A"/>
    <e v="#N/A"/>
    <s v="OUTBOUND_"/>
  </r>
  <r>
    <s v="1671"/>
    <m/>
    <x v="1"/>
    <s v="OUB-W0012410-527"/>
    <s v="EJ-Malang-01"/>
    <s v="Oka-0813-2707-1646"/>
    <x v="254"/>
    <d v="1899-12-30T09:10:00"/>
    <s v="EJ-MALANG-01"/>
    <x v="1"/>
    <x v="12"/>
    <s v="GCI1008"/>
    <s v="Pcs"/>
    <n v="50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672"/>
    <m/>
    <x v="0"/>
    <s v="INB-W0012410-528"/>
    <s v="EJ-Malang-01"/>
    <s v="Oka-0813-2707-1646"/>
    <x v="254"/>
    <d v="1900-01-14T07:00:00"/>
    <s v="GCI Procurement"/>
    <x v="1"/>
    <x v="15"/>
    <s v="GCI1003"/>
    <s v="Pcs"/>
    <n v="137"/>
    <n v="0"/>
    <x v="17"/>
    <n v="0"/>
    <n v="0"/>
    <m/>
    <m/>
    <m/>
    <m/>
    <m/>
    <m/>
    <x v="2"/>
    <n v="0"/>
    <e v="#N/A"/>
    <e v="#N/A"/>
    <s v="OUTBOUND_"/>
  </r>
  <r>
    <s v="1673"/>
    <m/>
    <x v="1"/>
    <s v="OUB-W0012410-527"/>
    <s v="EJ-Malang-01"/>
    <s v="Oka-0813-2707-1646"/>
    <x v="254"/>
    <d v="1899-12-30T09:10:00"/>
    <s v="EJ-MALANG-01"/>
    <x v="1"/>
    <x v="15"/>
    <s v="GCI1003"/>
    <s v="Pcs"/>
    <n v="55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674"/>
    <m/>
    <x v="0"/>
    <s v="INB-W0012410-528"/>
    <s v="EJ-Malang-01"/>
    <s v="Oka-0813-2707-1646"/>
    <x v="254"/>
    <d v="1900-01-14T07:00:00"/>
    <s v="GCI Procurement"/>
    <x v="1"/>
    <x v="16"/>
    <s v="GCI1004"/>
    <s v="Pcs"/>
    <n v="68"/>
    <n v="0"/>
    <x v="17"/>
    <n v="0"/>
    <n v="0"/>
    <m/>
    <m/>
    <m/>
    <m/>
    <m/>
    <m/>
    <x v="2"/>
    <n v="0"/>
    <e v="#N/A"/>
    <e v="#N/A"/>
    <s v="OUTBOUND_"/>
  </r>
  <r>
    <s v="1675"/>
    <m/>
    <x v="1"/>
    <s v="OUB-W0012410-527"/>
    <s v="EJ-Malang-01"/>
    <s v="Oka-0813-2707-1646"/>
    <x v="254"/>
    <d v="1899-12-30T09:10:00"/>
    <s v="EJ-MALANG-01"/>
    <x v="1"/>
    <x v="16"/>
    <s v="GCI1004"/>
    <s v="Pcs"/>
    <n v="50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676"/>
    <m/>
    <x v="0"/>
    <s v="INB-W0012410-529"/>
    <s v="EJ-Malang-01"/>
    <s v="Oka-0813-2707-1646"/>
    <x v="255"/>
    <d v="1900-01-14T07:00:00"/>
    <s v="ZTE Warehouse"/>
    <x v="0"/>
    <x v="31"/>
    <s v="ZTE2004"/>
    <s v="Meter"/>
    <n v="3000"/>
    <s v="MF51-06"/>
    <x v="98"/>
    <s v="DOEID24102314"/>
    <s v="DNWID0342024102301"/>
    <m/>
    <m/>
    <m/>
    <m/>
    <m/>
    <m/>
    <x v="88"/>
    <s v="Mainfeeder Singosari Segment 3"/>
    <d v="2024-10-23T00:00:00"/>
    <b v="1"/>
    <s v="OUTBOUND_H-ADSS 144C-20241023-01"/>
  </r>
  <r>
    <s v="1677"/>
    <m/>
    <x v="0"/>
    <s v="INB-W0012410-529"/>
    <s v="EJ-Malang-01"/>
    <s v="Oka-0813-2707-1646"/>
    <x v="255"/>
    <d v="1900-01-14T07:00:00"/>
    <s v="ZTE Warehouse"/>
    <x v="0"/>
    <x v="31"/>
    <s v="ZTE2004"/>
    <s v="Meter"/>
    <n v="3000"/>
    <s v="MF51-06"/>
    <x v="98"/>
    <s v="DOEID24102314"/>
    <s v="DNWID0342024102301"/>
    <m/>
    <m/>
    <m/>
    <m/>
    <m/>
    <m/>
    <x v="89"/>
    <s v="Mainfeeder Singosari Segment 3"/>
    <d v="2024-10-23T00:00:00"/>
    <b v="1"/>
    <s v="OUTBOUND_H-ADSS 144C-20241023-02"/>
  </r>
  <r>
    <s v="1678"/>
    <m/>
    <x v="5"/>
    <s v="BOO-W0012410-530"/>
    <s v="EJ-Malang-01"/>
    <s v="Oka-0813-2707-1646"/>
    <x v="255"/>
    <d v="1899-12-30T19:09:00"/>
    <s v="Other Subcon"/>
    <x v="1"/>
    <x v="26"/>
    <s v="ZTE2020"/>
    <s v="Meter"/>
    <n v="20"/>
    <s v="TRF"/>
    <x v="99"/>
    <m/>
    <m/>
    <m/>
    <n v="0"/>
    <n v="0"/>
    <n v="0"/>
    <n v="0"/>
    <m/>
    <x v="2"/>
    <s v="MYREP"/>
    <e v="#N/A"/>
    <e v="#N/A"/>
    <s v="BORROW OUT_"/>
  </r>
  <r>
    <s v="1679"/>
    <m/>
    <x v="5"/>
    <s v="BOO-W0012410-530"/>
    <s v="EJ-Malang-01"/>
    <s v="Oka-0813-2707-1646"/>
    <x v="255"/>
    <d v="1899-12-30T19:09:00"/>
    <s v="Other Subcon"/>
    <x v="1"/>
    <x v="26"/>
    <s v="ZTE2020"/>
    <s v="Meter"/>
    <n v="200"/>
    <s v="BR006"/>
    <x v="83"/>
    <m/>
    <m/>
    <m/>
    <n v="0"/>
    <n v="0"/>
    <n v="0"/>
    <n v="0"/>
    <s v="Return to Midgo"/>
    <x v="2"/>
    <s v="MIDGO"/>
    <e v="#N/A"/>
    <e v="#N/A"/>
    <s v="BORROW OUT_"/>
  </r>
  <r>
    <s v="1680"/>
    <m/>
    <x v="0"/>
    <s v="INB-W0012410-531"/>
    <s v="EJ-Malang-01"/>
    <s v="Oka-0813-2707-1646"/>
    <x v="255"/>
    <d v="1900-01-14T07:00:00"/>
    <s v="ZTE Warehouse"/>
    <x v="0"/>
    <x v="20"/>
    <s v="ZTE1004"/>
    <s v="Pcs"/>
    <n v="3"/>
    <m/>
    <x v="28"/>
    <n v="0"/>
    <n v="0"/>
    <m/>
    <m/>
    <m/>
    <m/>
    <m/>
    <m/>
    <x v="2"/>
    <n v="0"/>
    <e v="#N/A"/>
    <e v="#N/A"/>
    <s v="OUTBOUND_"/>
  </r>
  <r>
    <s v="1681"/>
    <m/>
    <x v="5"/>
    <s v="BOO-W0012410-530"/>
    <s v="EJ-Malang-01"/>
    <s v="Oka-0813-2707-1646"/>
    <x v="255"/>
    <d v="1899-12-30T19:09:00"/>
    <s v="Other Subcon"/>
    <x v="0"/>
    <x v="19"/>
    <s v="ZTE1003"/>
    <s v="Pcs"/>
    <n v="7"/>
    <s v="BR001"/>
    <x v="100"/>
    <m/>
    <m/>
    <m/>
    <n v="0"/>
    <n v="0"/>
    <n v="0"/>
    <n v="0"/>
    <s v="diPinjem BEAUT"/>
    <x v="2"/>
    <s v="BEAUT"/>
    <e v="#N/A"/>
    <e v="#N/A"/>
    <s v="BORROW OUT_"/>
  </r>
  <r>
    <s v="1682"/>
    <m/>
    <x v="1"/>
    <s v="OUB-W0012410-532"/>
    <s v="EJ-Malang-01"/>
    <s v="Oka-0813-2707-1646"/>
    <x v="256"/>
    <d v="1899-12-30T19:09:00"/>
    <s v="EJ-MALANG-01"/>
    <x v="0"/>
    <x v="31"/>
    <s v="ZTE2004"/>
    <s v="Meter"/>
    <n v="3000"/>
    <s v="MF51-07"/>
    <x v="101"/>
    <m/>
    <m/>
    <m/>
    <s v="Sulistiono"/>
    <s v="Susilo"/>
    <s v="3575032104720001"/>
    <s v="N 9586 WC"/>
    <m/>
    <x v="88"/>
    <s v="HUBFEEDER KLAMPOK"/>
    <e v="#N/A"/>
    <e v="#N/A"/>
    <s v="OUTBOUND_H-ADSS 144C-20241023-01"/>
  </r>
  <r>
    <s v="1683"/>
    <m/>
    <x v="1"/>
    <s v="OUB-W0012410-532"/>
    <s v="EJ-Malang-01"/>
    <s v="Oka-0813-2707-1646"/>
    <x v="256"/>
    <d v="1899-12-30T19:09:00"/>
    <s v="EJ-MALANG-01"/>
    <x v="1"/>
    <x v="32"/>
    <s v="GCI1020"/>
    <s v="Pcs"/>
    <n v="100"/>
    <s v="MF51-07"/>
    <x v="101"/>
    <m/>
    <m/>
    <m/>
    <s v="Sulistiono"/>
    <n v="0"/>
    <s v="3575032104720001"/>
    <s v="N 9586 WC"/>
    <m/>
    <x v="2"/>
    <s v="HUBFEEDER KLAMPOK"/>
    <e v="#N/A"/>
    <e v="#N/A"/>
    <s v="OUTBOUND_"/>
  </r>
  <r>
    <s v="1684"/>
    <m/>
    <x v="1"/>
    <s v="OUB-W0012410-532"/>
    <s v="EJ-Malang-01"/>
    <s v="Oka-0813-2707-1646"/>
    <x v="256"/>
    <d v="1899-12-30T19:09:00"/>
    <s v="EJ-MALANG-01"/>
    <x v="1"/>
    <x v="12"/>
    <s v="GCI1008"/>
    <s v="Pcs"/>
    <n v="87"/>
    <s v="MF51-07"/>
    <x v="101"/>
    <m/>
    <m/>
    <m/>
    <s v="Sulistiono"/>
    <n v="0"/>
    <s v="3575032104720001"/>
    <s v="N 9586 WC"/>
    <m/>
    <x v="2"/>
    <s v="HUBFEEDER KLAMPOK"/>
    <e v="#N/A"/>
    <e v="#N/A"/>
    <s v="OUTBOUND_"/>
  </r>
  <r>
    <s v="1685"/>
    <m/>
    <x v="1"/>
    <s v="OUB-W0012410-532"/>
    <s v="EJ-Malang-01"/>
    <s v="Oka-0813-2707-1646"/>
    <x v="256"/>
    <d v="1899-12-30T19:09:00"/>
    <s v="EJ-MALANG-01"/>
    <x v="1"/>
    <x v="15"/>
    <s v="GCI1003"/>
    <s v="Pcs"/>
    <n v="55"/>
    <s v="MF51-07"/>
    <x v="101"/>
    <m/>
    <m/>
    <m/>
    <s v="Sulistiono"/>
    <n v="0"/>
    <s v="3575032104720001"/>
    <s v="N 9586 WC"/>
    <m/>
    <x v="2"/>
    <s v="HUBFEEDER KLAMPOK"/>
    <e v="#N/A"/>
    <e v="#N/A"/>
    <s v="OUTBOUND_"/>
  </r>
  <r>
    <s v="1686"/>
    <m/>
    <x v="1"/>
    <s v="OUB-W0012410-532"/>
    <s v="EJ-Malang-01"/>
    <s v="Oka-0813-2707-1646"/>
    <x v="256"/>
    <d v="1899-12-30T19:09:00"/>
    <s v="EJ-MALANG-01"/>
    <x v="1"/>
    <x v="16"/>
    <s v="GCI1004"/>
    <s v="Pcs"/>
    <n v="30"/>
    <s v="MF51-07"/>
    <x v="101"/>
    <m/>
    <m/>
    <m/>
    <s v="Sulistiono"/>
    <n v="0"/>
    <s v="3575032104720001"/>
    <s v="N 9586 WC"/>
    <m/>
    <x v="2"/>
    <s v="HUBFEEDER KLAMPOK"/>
    <e v="#N/A"/>
    <e v="#N/A"/>
    <s v="OUTBOUND_"/>
  </r>
  <r>
    <s v="1687"/>
    <m/>
    <x v="1"/>
    <s v="OUB-W0012410-533"/>
    <s v="EJ-Malang-01"/>
    <s v="Oka-0813-2707-1646"/>
    <x v="257"/>
    <d v="1899-12-30T09:10:00"/>
    <s v="EJ-MALANG-01"/>
    <x v="0"/>
    <x v="31"/>
    <s v="ZTE2004"/>
    <s v="Meter"/>
    <n v="3000"/>
    <s v="MF51-06"/>
    <x v="98"/>
    <m/>
    <m/>
    <m/>
    <s v="Sulistiono"/>
    <s v="Susilo"/>
    <s v="3575032104720001"/>
    <s v="N 9586 WC"/>
    <m/>
    <x v="89"/>
    <s v="Mainfeeder Singosari Segment 3"/>
    <e v="#N/A"/>
    <e v="#N/A"/>
    <s v="OUTBOUND_H-ADSS 144C-20241023-02"/>
  </r>
  <r>
    <s v="1688"/>
    <m/>
    <x v="1"/>
    <s v="OUB-W0012410-534"/>
    <s v="EJ-Malang-01"/>
    <s v="Oka-0813-2707-1646"/>
    <x v="258"/>
    <d v="1899-12-30T23:25:00"/>
    <s v="EJ-MALANG-01"/>
    <x v="1"/>
    <x v="8"/>
    <s v="GCI1005"/>
    <s v="Pcs"/>
    <n v="6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689"/>
    <m/>
    <x v="0"/>
    <s v="INB-W0012410-542"/>
    <s v="EJ-Malang-01"/>
    <s v="Oka-0813-2707-1646"/>
    <x v="258"/>
    <d v="1900-01-14T07:00:00"/>
    <s v="GCI Procurement"/>
    <x v="1"/>
    <x v="9"/>
    <s v="GCI1001"/>
    <s v="Pcs"/>
    <n v="7"/>
    <n v="0"/>
    <x v="17"/>
    <n v="0"/>
    <n v="0"/>
    <m/>
    <m/>
    <m/>
    <m/>
    <m/>
    <m/>
    <x v="2"/>
    <n v="0"/>
    <e v="#N/A"/>
    <e v="#N/A"/>
    <s v="OUTBOUND_"/>
  </r>
  <r>
    <s v="1690"/>
    <m/>
    <x v="0"/>
    <s v="INB-W0012410-542"/>
    <s v="EJ-Malang-01"/>
    <s v="Oka-0813-2707-1646"/>
    <x v="258"/>
    <d v="1900-01-14T07:00:00"/>
    <s v="GCI Procurement"/>
    <x v="1"/>
    <x v="9"/>
    <s v="GCI1001"/>
    <s v="Pcs"/>
    <n v="25"/>
    <n v="0"/>
    <x v="17"/>
    <n v="0"/>
    <n v="0"/>
    <m/>
    <m/>
    <m/>
    <m/>
    <m/>
    <m/>
    <x v="2"/>
    <n v="0"/>
    <e v="#N/A"/>
    <e v="#N/A"/>
    <s v="OUTBOUND_"/>
  </r>
  <r>
    <s v="1691"/>
    <m/>
    <x v="1"/>
    <s v="OUB-W0012410-535"/>
    <s v="EJ-Malang-01"/>
    <s v="Oka-0813-2707-1646"/>
    <x v="258"/>
    <d v="1899-12-30T23:25:00"/>
    <s v="EJ-MALANG-01"/>
    <x v="1"/>
    <x v="9"/>
    <s v="GCI1001"/>
    <s v="Pcs"/>
    <n v="24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692"/>
    <m/>
    <x v="1"/>
    <s v="OUB-W0012410-536"/>
    <s v="EJ-Malang-01"/>
    <s v="Oka-0813-2707-1646"/>
    <x v="258"/>
    <d v="1899-12-30T23:25:00"/>
    <s v="EJ-MALANG-01"/>
    <x v="1"/>
    <x v="10"/>
    <s v="GCI1009"/>
    <s v="Pcs"/>
    <n v="20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693"/>
    <m/>
    <x v="0"/>
    <s v="INB-W0012410-542"/>
    <s v="EJ-Malang-01"/>
    <s v="Oka-0813-2707-1646"/>
    <x v="258"/>
    <d v="1900-01-14T07:00:00"/>
    <s v="GCI Procurement"/>
    <x v="1"/>
    <x v="32"/>
    <s v="GCI1020"/>
    <s v="Pcs"/>
    <n v="400"/>
    <n v="0"/>
    <x v="17"/>
    <n v="0"/>
    <n v="0"/>
    <m/>
    <m/>
    <m/>
    <m/>
    <m/>
    <m/>
    <x v="2"/>
    <n v="0"/>
    <e v="#N/A"/>
    <e v="#N/A"/>
    <s v="OUTBOUND_"/>
  </r>
  <r>
    <s v="1694"/>
    <m/>
    <x v="1"/>
    <s v="OUB-W0012410-537"/>
    <s v="EJ-Malang-01"/>
    <s v="Oka-0813-2707-1646"/>
    <x v="258"/>
    <d v="1899-12-30T23:25:00"/>
    <s v="EJ-MALANG-01"/>
    <x v="1"/>
    <x v="32"/>
    <s v="GCI1020"/>
    <s v="Pcs"/>
    <n v="20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695"/>
    <m/>
    <x v="0"/>
    <s v="INB-W0012410-542"/>
    <s v="EJ-Malang-01"/>
    <s v="Oka-0813-2707-1646"/>
    <x v="258"/>
    <d v="1900-01-14T07:00:00"/>
    <s v="GCI Procurement"/>
    <x v="1"/>
    <x v="11"/>
    <s v="GCI1002"/>
    <s v="Pcs"/>
    <n v="1"/>
    <n v="0"/>
    <x v="17"/>
    <n v="0"/>
    <n v="0"/>
    <m/>
    <m/>
    <m/>
    <m/>
    <m/>
    <m/>
    <x v="2"/>
    <n v="0"/>
    <e v="#N/A"/>
    <e v="#N/A"/>
    <s v="OUTBOUND_"/>
  </r>
  <r>
    <s v="1696"/>
    <m/>
    <x v="1"/>
    <s v="OUB-W0012410-537"/>
    <s v="EJ-Malang-01"/>
    <s v="Oka-0813-2707-1646"/>
    <x v="258"/>
    <d v="1899-12-30T23:25:00"/>
    <s v="EJ-MALANG-01"/>
    <x v="1"/>
    <x v="11"/>
    <s v="GCI1002"/>
    <s v="Pcs"/>
    <n v="1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697"/>
    <m/>
    <x v="0"/>
    <s v="INB-W0012410-542"/>
    <s v="EJ-Malang-01"/>
    <s v="Oka-0813-2707-1646"/>
    <x v="258"/>
    <d v="1900-01-14T07:00:00"/>
    <s v="GCI Procurement"/>
    <x v="1"/>
    <x v="12"/>
    <s v="GCI1008"/>
    <s v="Pcs"/>
    <n v="34"/>
    <n v="0"/>
    <x v="17"/>
    <n v="0"/>
    <n v="0"/>
    <m/>
    <m/>
    <m/>
    <m/>
    <m/>
    <m/>
    <x v="2"/>
    <n v="0"/>
    <e v="#N/A"/>
    <e v="#N/A"/>
    <s v="OUTBOUND_"/>
  </r>
  <r>
    <s v="1698"/>
    <m/>
    <x v="0"/>
    <s v="INB-W0012410-542"/>
    <s v="EJ-Malang-01"/>
    <s v="Oka-0813-2707-1646"/>
    <x v="258"/>
    <d v="1900-01-14T07:00:00"/>
    <s v="GCI Procurement"/>
    <x v="1"/>
    <x v="12"/>
    <s v="GCI1008"/>
    <s v="Pcs"/>
    <n v="150"/>
    <n v="0"/>
    <x v="17"/>
    <n v="0"/>
    <n v="0"/>
    <m/>
    <m/>
    <m/>
    <m/>
    <m/>
    <m/>
    <x v="2"/>
    <n v="0"/>
    <e v="#N/A"/>
    <e v="#N/A"/>
    <s v="OUTBOUND_"/>
  </r>
  <r>
    <s v="1699"/>
    <m/>
    <x v="1"/>
    <s v="OUB-W0012410-538"/>
    <s v="EJ-Malang-01"/>
    <s v="Oka-0813-2707-1646"/>
    <x v="258"/>
    <d v="1899-12-30T23:25:00"/>
    <s v="EJ-MALANG-01"/>
    <x v="1"/>
    <x v="12"/>
    <s v="GCI1008"/>
    <s v="Pcs"/>
    <n v="10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700"/>
    <m/>
    <x v="1"/>
    <s v="OUB-W0012410-539"/>
    <s v="EJ-Malang-01"/>
    <s v="Oka-0813-2707-1646"/>
    <x v="258"/>
    <d v="1899-12-30T23:25:00"/>
    <s v="EJ-MALANG-01"/>
    <x v="1"/>
    <x v="12"/>
    <s v="GCI1008"/>
    <s v="Pcs"/>
    <n v="20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701"/>
    <m/>
    <x v="0"/>
    <s v="INB-W0012410-542"/>
    <s v="EJ-Malang-01"/>
    <s v="Oka-0813-2707-1646"/>
    <x v="258"/>
    <d v="1900-01-14T07:00:00"/>
    <s v="GCI Procurement"/>
    <x v="1"/>
    <x v="15"/>
    <s v="GCI1003"/>
    <s v="Pcs"/>
    <n v="79"/>
    <n v="0"/>
    <x v="17"/>
    <n v="0"/>
    <n v="0"/>
    <m/>
    <m/>
    <m/>
    <m/>
    <m/>
    <m/>
    <x v="2"/>
    <n v="0"/>
    <e v="#N/A"/>
    <e v="#N/A"/>
    <s v="OUTBOUND_"/>
  </r>
  <r>
    <s v="1702"/>
    <m/>
    <x v="1"/>
    <s v="OUB-W0012410-539"/>
    <s v="EJ-Malang-01"/>
    <s v="Oka-0813-2707-1646"/>
    <x v="258"/>
    <d v="1899-12-30T23:25:00"/>
    <s v="EJ-MALANG-01"/>
    <x v="1"/>
    <x v="15"/>
    <s v="GCI1003"/>
    <s v="Pcs"/>
    <n v="71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703"/>
    <m/>
    <x v="0"/>
    <s v="INB-W0012410-542"/>
    <s v="EJ-Malang-01"/>
    <s v="Oka-0813-2707-1646"/>
    <x v="258"/>
    <d v="1900-01-14T07:00:00"/>
    <s v="GCI Procurement"/>
    <x v="1"/>
    <x v="16"/>
    <s v="GCI1004"/>
    <s v="Pcs"/>
    <n v="17"/>
    <n v="0"/>
    <x v="17"/>
    <n v="0"/>
    <n v="0"/>
    <m/>
    <m/>
    <m/>
    <m/>
    <m/>
    <m/>
    <x v="2"/>
    <n v="0"/>
    <e v="#N/A"/>
    <e v="#N/A"/>
    <s v="OUTBOUND_"/>
  </r>
  <r>
    <s v="1704"/>
    <m/>
    <x v="0"/>
    <s v="INB-W0012410-542"/>
    <s v="EJ-Malang-01"/>
    <s v="Oka-0813-2707-1646"/>
    <x v="258"/>
    <d v="1900-01-14T07:00:00"/>
    <s v="GCI Procurement"/>
    <x v="1"/>
    <x v="16"/>
    <s v="GCI1004"/>
    <s v="Pcs"/>
    <n v="75"/>
    <n v="0"/>
    <x v="17"/>
    <n v="0"/>
    <n v="0"/>
    <m/>
    <m/>
    <m/>
    <m/>
    <m/>
    <m/>
    <x v="2"/>
    <n v="0"/>
    <e v="#N/A"/>
    <e v="#N/A"/>
    <s v="OUTBOUND_"/>
  </r>
  <r>
    <s v="1705"/>
    <m/>
    <x v="1"/>
    <s v="OUB-W0012410-540"/>
    <s v="EJ-Malang-01"/>
    <s v="Oka-0813-2707-1646"/>
    <x v="258"/>
    <d v="1899-12-30T23:25:00"/>
    <s v="EJ-MALANG-01"/>
    <x v="1"/>
    <x v="16"/>
    <s v="GCI1004"/>
    <s v="Pcs"/>
    <n v="10"/>
    <s v="CLR51-09-001"/>
    <x v="90"/>
    <m/>
    <m/>
    <m/>
    <s v="Riki Romansyah"/>
    <n v="0"/>
    <s v="3507050501950006"/>
    <s v="N 8420 EL"/>
    <m/>
    <x v="2"/>
    <s v="Pakisaji RW 01 Malang"/>
    <e v="#N/A"/>
    <e v="#N/A"/>
    <s v="OUTBOUND_"/>
  </r>
  <r>
    <s v="1706"/>
    <m/>
    <x v="1"/>
    <s v="OUB-W0012410-541"/>
    <s v="EJ-Malang-01"/>
    <s v="Oka-0813-2707-1646"/>
    <x v="258"/>
    <d v="1899-12-30T23:25:00"/>
    <s v="EJ-MALANG-01"/>
    <x v="1"/>
    <x v="16"/>
    <s v="GCI1004"/>
    <s v="Pcs"/>
    <n v="66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707"/>
    <m/>
    <x v="0"/>
    <s v="INB-W0012410-544"/>
    <s v="EJ-Malang-01"/>
    <s v="Oka-0813-2707-1646"/>
    <x v="259"/>
    <d v="1900-01-14T07:00:00"/>
    <s v="FIELD TEAM"/>
    <x v="1"/>
    <x v="32"/>
    <s v="GCI1020"/>
    <s v="Pcs"/>
    <n v="33"/>
    <s v="RTN"/>
    <x v="102"/>
    <n v="0"/>
    <n v="0"/>
    <m/>
    <m/>
    <m/>
    <m/>
    <m/>
    <m/>
    <x v="2"/>
    <s v="MF Singosari"/>
    <e v="#N/A"/>
    <e v="#N/A"/>
    <s v="OUTBOUND_"/>
  </r>
  <r>
    <s v="1708"/>
    <m/>
    <x v="1"/>
    <s v="OUB-W0012410-543"/>
    <s v="EJ-Malang-01"/>
    <s v="Oka-0813-2707-1646"/>
    <x v="259"/>
    <d v="1899-12-30T19:09:00"/>
    <s v="EJ-MALANG-01"/>
    <x v="0"/>
    <x v="5"/>
    <s v="ZTE1001"/>
    <s v="Pcs"/>
    <n v="2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709"/>
    <m/>
    <x v="1"/>
    <s v="OUB-W0012410-543"/>
    <s v="EJ-Malang-01"/>
    <s v="Oka-0813-2707-1646"/>
    <x v="259"/>
    <d v="1899-12-30T19:09:00"/>
    <s v="EJ-MALANG-01"/>
    <x v="0"/>
    <x v="5"/>
    <s v="ZTE1001"/>
    <s v="Pcs"/>
    <n v="4"/>
    <s v="MF51-07"/>
    <x v="101"/>
    <m/>
    <m/>
    <m/>
    <s v="Sulistiono"/>
    <n v="0"/>
    <s v="3575032104720001"/>
    <s v="N 9586 WC"/>
    <m/>
    <x v="2"/>
    <s v="HUBFEEDER KLAMPOK"/>
    <e v="#N/A"/>
    <e v="#N/A"/>
    <s v="OUTBOUND_"/>
  </r>
  <r>
    <s v="1710"/>
    <m/>
    <x v="0"/>
    <s v="INB-W0012410-544"/>
    <s v="EJ-Malang-01"/>
    <s v="Oka-0813-2707-1646"/>
    <x v="259"/>
    <d v="1900-01-14T07:00:00"/>
    <s v="FIELD TEAM"/>
    <x v="1"/>
    <x v="12"/>
    <s v="GCI1008"/>
    <s v="Pcs"/>
    <n v="111"/>
    <s v="RTN"/>
    <x v="102"/>
    <n v="0"/>
    <n v="0"/>
    <m/>
    <m/>
    <m/>
    <m/>
    <m/>
    <m/>
    <x v="2"/>
    <s v="MF Singosari"/>
    <e v="#N/A"/>
    <e v="#N/A"/>
    <s v="OUTBOUND_"/>
  </r>
  <r>
    <s v="1711"/>
    <m/>
    <x v="0"/>
    <s v="INB-W0012410-544"/>
    <s v="EJ-Malang-01"/>
    <s v="Oka-0813-2707-1646"/>
    <x v="259"/>
    <d v="1900-01-14T07:00:00"/>
    <s v="FIELD TEAM"/>
    <x v="1"/>
    <x v="16"/>
    <s v="GCI1004"/>
    <s v="Pcs"/>
    <n v="34"/>
    <s v="RTN"/>
    <x v="102"/>
    <n v="0"/>
    <n v="0"/>
    <m/>
    <m/>
    <m/>
    <m/>
    <m/>
    <m/>
    <x v="2"/>
    <s v="MF Singosari"/>
    <e v="#N/A"/>
    <e v="#N/A"/>
    <s v="OUTBOUND_"/>
  </r>
  <r>
    <s v="1712"/>
    <m/>
    <x v="1"/>
    <s v="OUB-W0012411-546"/>
    <s v="EJ-Malang-01"/>
    <s v="Oka-0813-2707-1646"/>
    <x v="260"/>
    <d v="1899-12-30T23:25:00"/>
    <s v="EJ-MALANG-01"/>
    <x v="1"/>
    <x v="9"/>
    <s v="GCI1001"/>
    <s v="Pcs"/>
    <n v="4"/>
    <s v="MF51-07"/>
    <x v="101"/>
    <m/>
    <m/>
    <m/>
    <s v="Sulistiono"/>
    <n v="0"/>
    <s v="3575032104720001"/>
    <s v="N 9586 WC"/>
    <m/>
    <x v="2"/>
    <s v="HUBFEEDER KLAMPOK"/>
    <e v="#N/A"/>
    <e v="#N/A"/>
    <s v="OUTBOUND_"/>
  </r>
  <r>
    <s v="1713"/>
    <m/>
    <x v="1"/>
    <s v="OUB-W0012411-545"/>
    <s v="EJ-Malang-01"/>
    <s v="Oka-0813-2707-1646"/>
    <x v="260"/>
    <d v="1899-12-30T09:25:00"/>
    <s v="EJ-MALANG-01"/>
    <x v="0"/>
    <x v="20"/>
    <s v="ZTE1004"/>
    <s v="Pcs"/>
    <n v="1"/>
    <s v="MF51-06"/>
    <x v="98"/>
    <m/>
    <m/>
    <m/>
    <s v="Fahrudin"/>
    <s v="Febby Supplier"/>
    <s v="3507131605830004"/>
    <s v="N 1383 G"/>
    <m/>
    <x v="2"/>
    <s v="Mainfeeder Singosari Segment 3"/>
    <e v="#N/A"/>
    <e v="#N/A"/>
    <s v="OUTBOUND_"/>
  </r>
  <r>
    <s v="1714"/>
    <m/>
    <x v="0"/>
    <s v="INB-W0012411-548"/>
    <s v="EJ-Malang-01"/>
    <s v="Oka-0813-2707-1646"/>
    <x v="261"/>
    <d v="1900-01-14T07:00:00"/>
    <s v="ZTE Warehouse"/>
    <x v="0"/>
    <x v="31"/>
    <s v="ZTE2004"/>
    <s v="Meter"/>
    <n v="3000"/>
    <s v="MF51-07"/>
    <x v="101"/>
    <s v="DOEID241029AJ"/>
    <s v="DNWID0342024102907"/>
    <m/>
    <m/>
    <m/>
    <m/>
    <m/>
    <m/>
    <x v="90"/>
    <s v="HUBFEEDER KLAMPOK"/>
    <d v="2024-11-06T00:00:00"/>
    <b v="1"/>
    <s v="OUTBOUND_H-ADSS 144C-2024116-01"/>
  </r>
  <r>
    <s v="1715"/>
    <m/>
    <x v="0"/>
    <s v="INB-W0012411-548"/>
    <s v="EJ-Malang-01"/>
    <s v="Oka-0813-2707-1646"/>
    <x v="261"/>
    <d v="1900-01-14T07:00:00"/>
    <s v="ZTE Warehouse"/>
    <x v="0"/>
    <x v="0"/>
    <s v="ZTE2001"/>
    <s v="Meter"/>
    <n v="3000"/>
    <s v="CLR51-01-009"/>
    <x v="103"/>
    <s v="DOEID24110550"/>
    <s v="DNWID0342024110505"/>
    <m/>
    <m/>
    <m/>
    <m/>
    <m/>
    <m/>
    <x v="91"/>
    <s v="Kalirejo RW 13 Lawang"/>
    <d v="2024-11-06T00:00:00"/>
    <b v="1"/>
    <s v="OUTBOUND_H-ADSS 24C-2024116-03"/>
  </r>
  <r>
    <s v="1716"/>
    <m/>
    <x v="0"/>
    <s v="INB-W0012411-548"/>
    <s v="EJ-Malang-01"/>
    <s v="Oka-0813-2707-1646"/>
    <x v="261"/>
    <d v="1900-01-14T07:00:00"/>
    <s v="ZTE Warehouse"/>
    <x v="0"/>
    <x v="0"/>
    <s v="ZTE2001"/>
    <s v="Meter"/>
    <n v="3000"/>
    <s v="CLR51-99-123"/>
    <x v="104"/>
    <s v="DOEID24110552"/>
    <s v="DNWID0342024110504"/>
    <m/>
    <m/>
    <m/>
    <m/>
    <m/>
    <m/>
    <x v="92"/>
    <s v="Tambakasri RW 02 Tajinan"/>
    <d v="2024-11-06T00:00:00"/>
    <b v="1"/>
    <s v="OUTBOUND_H-ADSS 24C-2024116-04"/>
  </r>
  <r>
    <s v="1717"/>
    <m/>
    <x v="0"/>
    <s v="INB-W0012411-548"/>
    <s v="EJ-Malang-01"/>
    <s v="Oka-0813-2707-1646"/>
    <x v="261"/>
    <d v="1900-01-14T07:00:00"/>
    <s v="ZTE Warehouse"/>
    <x v="0"/>
    <x v="1"/>
    <s v="ZTE2003"/>
    <s v="Meter"/>
    <n v="3000"/>
    <s v="CLR51-01-009"/>
    <x v="103"/>
    <s v="DOEID24110550"/>
    <s v="DNWID0342024110505"/>
    <m/>
    <m/>
    <m/>
    <m/>
    <m/>
    <m/>
    <x v="93"/>
    <s v="Kalirejo RW 13 Lawang"/>
    <d v="2024-11-06T00:00:00"/>
    <b v="1"/>
    <s v="OUTBOUND_H-ADSS 48C-2024116-03"/>
  </r>
  <r>
    <s v="1718"/>
    <m/>
    <x v="0"/>
    <s v="INB-W0012411-548"/>
    <s v="EJ-Malang-01"/>
    <s v="Oka-0813-2707-1646"/>
    <x v="261"/>
    <d v="1900-01-14T07:00:00"/>
    <s v="ZTE Warehouse"/>
    <x v="0"/>
    <x v="1"/>
    <s v="ZTE2003"/>
    <s v="Meter"/>
    <n v="3000"/>
    <s v="CLR51-01-009"/>
    <x v="103"/>
    <s v="DOEID24110550"/>
    <s v="DNWID0342024110505"/>
    <m/>
    <m/>
    <m/>
    <m/>
    <m/>
    <m/>
    <x v="94"/>
    <s v="Kalirejo RW 13 Lawang"/>
    <d v="2024-11-06T00:00:00"/>
    <b v="1"/>
    <s v="OUTBOUND_H-ADSS 48C-2024116-04"/>
  </r>
  <r>
    <s v="1719"/>
    <m/>
    <x v="1"/>
    <s v="OUB-W0012411-547"/>
    <s v="EJ-Malang-01"/>
    <s v="Oka-0813-2707-1646"/>
    <x v="261"/>
    <d v="1899-12-30T08:25:00"/>
    <s v="EJ-MALANG-01"/>
    <x v="1"/>
    <x v="8"/>
    <s v="GCI1005"/>
    <s v="Pcs"/>
    <n v="28"/>
    <s v="CLR51-99-095"/>
    <x v="60"/>
    <m/>
    <m/>
    <m/>
    <s v="Riki Romansyah"/>
    <n v="0"/>
    <s v="3507050501950006"/>
    <s v="N 8420 EL"/>
    <m/>
    <x v="2"/>
    <s v="Candirenggo RW 10 Singosari"/>
    <e v="#N/A"/>
    <e v="#N/A"/>
    <s v="OUTBOUND_"/>
  </r>
  <r>
    <s v="1720"/>
    <m/>
    <x v="1"/>
    <s v="OUB-W0012411-547"/>
    <s v="EJ-Malang-01"/>
    <s v="Oka-0813-2707-1646"/>
    <x v="261"/>
    <d v="1899-12-30T08:25:00"/>
    <s v="EJ-MALANG-01"/>
    <x v="1"/>
    <x v="9"/>
    <s v="GCI1001"/>
    <s v="Pcs"/>
    <n v="5"/>
    <s v="CLR51-99-095"/>
    <x v="60"/>
    <m/>
    <m/>
    <m/>
    <s v="Riki Romansyah"/>
    <n v="0"/>
    <s v="3507050501950006"/>
    <s v="N 8420 EL"/>
    <m/>
    <x v="2"/>
    <s v="Candirenggo RW 10 Singosari"/>
    <e v="#N/A"/>
    <e v="#N/A"/>
    <s v="OUTBOUND_"/>
  </r>
  <r>
    <s v="1721"/>
    <m/>
    <x v="1"/>
    <s v="OUB-W0012411-547"/>
    <s v="EJ-Malang-01"/>
    <s v="Oka-0813-2707-1646"/>
    <x v="261"/>
    <d v="1899-12-30T08:25:00"/>
    <s v="EJ-MALANG-01"/>
    <x v="1"/>
    <x v="10"/>
    <s v="GCI1009"/>
    <s v="Pcs"/>
    <n v="10"/>
    <s v="CLR51-99-095"/>
    <x v="60"/>
    <m/>
    <m/>
    <m/>
    <s v="Riki Romansyah"/>
    <n v="0"/>
    <s v="3507050501950006"/>
    <s v="N 8420 EL"/>
    <m/>
    <x v="2"/>
    <s v="Candirenggo RW 10 Singosari"/>
    <e v="#N/A"/>
    <e v="#N/A"/>
    <s v="OUTBOUND_"/>
  </r>
  <r>
    <s v="1722"/>
    <m/>
    <x v="0"/>
    <s v="INB-W0012411-548"/>
    <s v="EJ-Malang-01"/>
    <s v="Oka-0813-2707-1646"/>
    <x v="261"/>
    <d v="1900-01-14T07:00:00"/>
    <s v="ZTE Warehouse"/>
    <x v="0"/>
    <x v="2"/>
    <s v="ZTE2008"/>
    <s v="Pcs"/>
    <n v="10"/>
    <s v="CLR51-01-009"/>
    <x v="103"/>
    <s v="DOEID24110550"/>
    <s v="DNWID0342024110505"/>
    <m/>
    <m/>
    <m/>
    <m/>
    <m/>
    <m/>
    <x v="2"/>
    <s v="Kalirejo RW 13 Lawang"/>
    <d v="2024-11-06T00:00:00"/>
    <b v="1"/>
    <s v="OUTBOUND_"/>
  </r>
  <r>
    <s v="1723"/>
    <m/>
    <x v="0"/>
    <s v="INB-W0012411-548"/>
    <s v="EJ-Malang-01"/>
    <s v="Oka-0813-2707-1646"/>
    <x v="261"/>
    <d v="1900-01-14T07:00:00"/>
    <s v="ZTE Warehouse"/>
    <x v="0"/>
    <x v="2"/>
    <s v="ZTE2008"/>
    <s v="Pcs"/>
    <n v="29"/>
    <s v="CLR51-99-123"/>
    <x v="104"/>
    <s v="DOEID24110552"/>
    <s v="DNWID0342024110504"/>
    <m/>
    <m/>
    <m/>
    <m/>
    <m/>
    <m/>
    <x v="2"/>
    <s v="Tambakasri RW 02 Tajinan"/>
    <d v="2024-11-06T00:00:00"/>
    <b v="1"/>
    <s v="OUTBOUND_"/>
  </r>
  <r>
    <s v="1724"/>
    <m/>
    <x v="0"/>
    <s v="INB-W0012411-548"/>
    <s v="EJ-Malang-01"/>
    <s v="Oka-0813-2707-1646"/>
    <x v="261"/>
    <d v="1900-01-14T07:00:00"/>
    <s v="ZTE Warehouse"/>
    <x v="0"/>
    <x v="30"/>
    <s v="ZTE2006"/>
    <s v="Pcs"/>
    <n v="1"/>
    <s v="CLR51-99-123"/>
    <x v="104"/>
    <s v="DOEID24110552"/>
    <s v="DNWID0342024110504"/>
    <m/>
    <m/>
    <m/>
    <m/>
    <m/>
    <m/>
    <x v="2"/>
    <s v="Tambakasri RW 02 Tajinan"/>
    <d v="2024-11-06T00:00:00"/>
    <b v="1"/>
    <s v="OUTBOUND_"/>
  </r>
  <r>
    <s v="1725"/>
    <m/>
    <x v="0"/>
    <s v="INB-W0012411-548"/>
    <s v="EJ-Malang-01"/>
    <s v="Oka-0813-2707-1646"/>
    <x v="261"/>
    <d v="1900-01-14T07:00:00"/>
    <s v="ZTE Warehouse"/>
    <x v="0"/>
    <x v="20"/>
    <s v="ZTE1004"/>
    <s v="Pcs"/>
    <n v="1"/>
    <s v="MF51-07"/>
    <x v="101"/>
    <s v="DOEID241029AI"/>
    <s v="DNWID0362024102915"/>
    <m/>
    <m/>
    <m/>
    <m/>
    <m/>
    <m/>
    <x v="2"/>
    <s v="HUBFEEDER KLAMPOK"/>
    <d v="2024-11-06T00:00:00"/>
    <b v="1"/>
    <s v="OUTBOUND_"/>
  </r>
  <r>
    <s v="1726"/>
    <m/>
    <x v="1"/>
    <s v="OUB-W0012411-547"/>
    <s v="EJ-Malang-01"/>
    <s v="Oka-0813-2707-1646"/>
    <x v="261"/>
    <d v="1899-12-30T08:25:00"/>
    <s v="EJ-MALANG-01"/>
    <x v="1"/>
    <x v="11"/>
    <s v="GCI1002"/>
    <s v="Pcs"/>
    <n v="1"/>
    <s v="CLR51-99-095"/>
    <x v="60"/>
    <m/>
    <m/>
    <m/>
    <s v="Riki Romansyah"/>
    <n v="0"/>
    <s v="3507050501950006"/>
    <s v="N 8420 EL"/>
    <m/>
    <x v="2"/>
    <s v="Candirenggo RW 10 Singosari"/>
    <e v="#N/A"/>
    <e v="#N/A"/>
    <s v="OUTBOUND_"/>
  </r>
  <r>
    <s v="1727"/>
    <m/>
    <x v="0"/>
    <s v="INB-W0012411-548"/>
    <s v="EJ-Malang-01"/>
    <s v="Oka-0813-2707-1646"/>
    <x v="261"/>
    <d v="1900-01-14T07:00:00"/>
    <s v="ZTE Warehouse"/>
    <x v="0"/>
    <x v="4"/>
    <s v="ZTE1002"/>
    <s v="Pcs"/>
    <n v="5"/>
    <s v="CLR51-01-009"/>
    <x v="103"/>
    <s v="DOEID24110550"/>
    <s v="DNWID0342024110505"/>
    <m/>
    <m/>
    <m/>
    <m/>
    <m/>
    <m/>
    <x v="2"/>
    <s v="Kalirejo RW 13 Lawang"/>
    <d v="2024-11-06T00:00:00"/>
    <b v="1"/>
    <s v="OUTBOUND_"/>
  </r>
  <r>
    <s v="1728"/>
    <m/>
    <x v="0"/>
    <s v="INB-W0012411-548"/>
    <s v="EJ-Malang-01"/>
    <s v="Oka-0813-2707-1646"/>
    <x v="261"/>
    <d v="1900-01-14T07:00:00"/>
    <s v="ZTE Warehouse"/>
    <x v="0"/>
    <x v="4"/>
    <s v="ZTE1002"/>
    <s v="Pcs"/>
    <n v="8"/>
    <s v="MF51-07"/>
    <x v="101"/>
    <s v="DOEID241029AI"/>
    <s v="DNWID0362024102915"/>
    <m/>
    <m/>
    <m/>
    <m/>
    <m/>
    <m/>
    <x v="2"/>
    <s v="HUBFEEDER KLAMPOK"/>
    <d v="2024-11-06T00:00:00"/>
    <b v="1"/>
    <s v="OUTBOUND_"/>
  </r>
  <r>
    <s v="1729"/>
    <m/>
    <x v="0"/>
    <s v="INB-W0012411-548"/>
    <s v="EJ-Malang-01"/>
    <s v="Oka-0813-2707-1646"/>
    <x v="261"/>
    <d v="1900-01-14T07:00:00"/>
    <s v="ZTE Warehouse"/>
    <x v="0"/>
    <x v="4"/>
    <s v="ZTE1002"/>
    <s v="Pcs"/>
    <n v="10"/>
    <s v="CLR51-99-123"/>
    <x v="104"/>
    <s v="DOEID24110551"/>
    <s v="DNWID0342024110504"/>
    <m/>
    <m/>
    <m/>
    <m/>
    <m/>
    <m/>
    <x v="2"/>
    <s v="Tambakasri RW 02 Tajinan"/>
    <d v="2024-11-06T00:00:00"/>
    <b v="1"/>
    <s v="OUTBOUND_"/>
  </r>
  <r>
    <s v="1730"/>
    <m/>
    <x v="1"/>
    <s v="OUB-W0012411-547"/>
    <s v="EJ-Malang-01"/>
    <s v="Oka-0813-2707-1646"/>
    <x v="261"/>
    <d v="1899-12-30T08:25:00"/>
    <s v="EJ-MALANG-01"/>
    <x v="0"/>
    <x v="4"/>
    <s v="ZTE1002"/>
    <s v="Pcs"/>
    <n v="3"/>
    <s v="CLR51-99-095"/>
    <x v="60"/>
    <m/>
    <m/>
    <m/>
    <s v="Riki Romansyah"/>
    <n v="0"/>
    <s v="3507050501950006"/>
    <s v="N 8420 EL"/>
    <m/>
    <x v="2"/>
    <s v="Candirenggo RW 10 Singosari"/>
    <e v="#N/A"/>
    <e v="#N/A"/>
    <s v="OUTBOUND_"/>
  </r>
  <r>
    <s v="1731"/>
    <m/>
    <x v="0"/>
    <s v="INB-W0012411-548"/>
    <s v="EJ-Malang-01"/>
    <s v="Oka-0813-2707-1646"/>
    <x v="261"/>
    <d v="1900-01-14T07:00:00"/>
    <s v="ZTE Warehouse"/>
    <x v="0"/>
    <x v="5"/>
    <s v="ZTE1001"/>
    <s v="Pcs"/>
    <n v="20"/>
    <s v="CLR51-01-009"/>
    <x v="103"/>
    <s v="DOEID24110550"/>
    <s v="DNWID0342024110505"/>
    <m/>
    <m/>
    <m/>
    <m/>
    <m/>
    <m/>
    <x v="2"/>
    <s v="Kalirejo RW 13 Lawang"/>
    <d v="2024-11-06T00:00:00"/>
    <b v="1"/>
    <s v="OUTBOUND_"/>
  </r>
  <r>
    <s v="1732"/>
    <m/>
    <x v="0"/>
    <s v="INB-W0012411-548"/>
    <s v="EJ-Malang-01"/>
    <s v="Oka-0813-2707-1646"/>
    <x v="261"/>
    <d v="1900-01-14T07:00:00"/>
    <s v="ZTE Warehouse"/>
    <x v="0"/>
    <x v="5"/>
    <s v="ZTE1001"/>
    <s v="Pcs"/>
    <n v="25"/>
    <s v="MF51-07"/>
    <x v="101"/>
    <s v="DOEID241029AI"/>
    <s v="DNWID0362024102915"/>
    <m/>
    <m/>
    <m/>
    <m/>
    <m/>
    <m/>
    <x v="2"/>
    <s v="HUBFEEDER KLAMPOK"/>
    <d v="2024-11-06T00:00:00"/>
    <b v="1"/>
    <s v="OUTBOUND_"/>
  </r>
  <r>
    <s v="1733"/>
    <m/>
    <x v="0"/>
    <s v="INB-W0012411-548"/>
    <s v="EJ-Malang-01"/>
    <s v="Oka-0813-2707-1646"/>
    <x v="261"/>
    <d v="1900-01-14T07:00:00"/>
    <s v="ZTE Warehouse"/>
    <x v="0"/>
    <x v="5"/>
    <s v="ZTE1001"/>
    <s v="Pcs"/>
    <n v="81"/>
    <s v="CLR51-99-123"/>
    <x v="104"/>
    <s v="DOEID24110551"/>
    <s v="DNWID0342024110504"/>
    <m/>
    <m/>
    <m/>
    <m/>
    <m/>
    <m/>
    <x v="2"/>
    <s v="Tambakasri RW 02 Tajinan"/>
    <d v="2024-11-06T00:00:00"/>
    <b v="1"/>
    <s v="OUTBOUND_"/>
  </r>
  <r>
    <s v="1734"/>
    <m/>
    <x v="1"/>
    <s v="OUB-W0012411-547"/>
    <s v="EJ-Malang-01"/>
    <s v="Oka-0813-2707-1646"/>
    <x v="261"/>
    <d v="1899-12-30T08:25:00"/>
    <s v="EJ-MALANG-01"/>
    <x v="0"/>
    <x v="5"/>
    <s v="ZTE1001"/>
    <s v="Pcs"/>
    <n v="21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735"/>
    <m/>
    <x v="1"/>
    <s v="OUB-W0012411-547"/>
    <s v="EJ-Malang-01"/>
    <s v="Oka-0813-2707-1646"/>
    <x v="261"/>
    <d v="1899-12-30T08:25:00"/>
    <s v="EJ-MALANG-01"/>
    <x v="1"/>
    <x v="12"/>
    <s v="GCI1008"/>
    <s v="Pcs"/>
    <n v="10"/>
    <s v="CLR51-99-095"/>
    <x v="60"/>
    <m/>
    <m/>
    <m/>
    <s v="Riki Romansyah"/>
    <n v="0"/>
    <s v="3507050501950006"/>
    <s v="N 8420 EL"/>
    <m/>
    <x v="2"/>
    <s v="Candirenggo RW 10 Singosari"/>
    <e v="#N/A"/>
    <e v="#N/A"/>
    <s v="OUTBOUND_"/>
  </r>
  <r>
    <s v="1736"/>
    <m/>
    <x v="1"/>
    <s v="OUB-W0012411-547"/>
    <s v="EJ-Malang-01"/>
    <s v="Oka-0813-2707-1646"/>
    <x v="261"/>
    <d v="1899-12-30T08:25:00"/>
    <s v="EJ-MALANG-01"/>
    <x v="1"/>
    <x v="15"/>
    <s v="GCI1003"/>
    <s v="Pcs"/>
    <n v="38"/>
    <s v="CLR51-99-095"/>
    <x v="60"/>
    <m/>
    <m/>
    <m/>
    <s v="Riki Romansyah"/>
    <n v="0"/>
    <s v="3507050501950006"/>
    <s v="N 8420 EL"/>
    <m/>
    <x v="2"/>
    <s v="Candirenggo RW 10 Singosari"/>
    <e v="#N/A"/>
    <e v="#N/A"/>
    <s v="OUTBOUND_"/>
  </r>
  <r>
    <s v="1737"/>
    <m/>
    <x v="1"/>
    <s v="OUB-W0012411-547"/>
    <s v="EJ-Malang-01"/>
    <s v="Oka-0813-2707-1646"/>
    <x v="261"/>
    <d v="1899-12-30T08:25:00"/>
    <s v="EJ-MALANG-01"/>
    <x v="1"/>
    <x v="16"/>
    <s v="GCI1004"/>
    <s v="Pcs"/>
    <n v="4"/>
    <s v="CLR51-99-095"/>
    <x v="60"/>
    <m/>
    <m/>
    <m/>
    <s v="Riki Romansyah"/>
    <n v="0"/>
    <s v="3507050501950006"/>
    <s v="N 8420 EL"/>
    <m/>
    <x v="2"/>
    <s v="Candirenggo RW 10 Singosari"/>
    <e v="#N/A"/>
    <e v="#N/A"/>
    <s v="OUTBOUND_"/>
  </r>
  <r>
    <s v="1738"/>
    <m/>
    <x v="1"/>
    <s v="OUB-W0012411-549"/>
    <s v="EJ-Malang-01"/>
    <s v="Oka-0813-2707-1646"/>
    <x v="262"/>
    <d v="1899-12-30T13:43:00"/>
    <s v="EJ-MALANG-01"/>
    <x v="0"/>
    <x v="28"/>
    <s v="ZTE2010"/>
    <s v="Pcs"/>
    <n v="2"/>
    <s v="CLR51-99-095"/>
    <x v="60"/>
    <m/>
    <m/>
    <m/>
    <s v="Fatur"/>
    <n v="0"/>
    <s v="3515082712870005"/>
    <s v="W 3265 OH"/>
    <m/>
    <x v="2"/>
    <s v="Candirenggo RW 10 Singosari"/>
    <e v="#N/A"/>
    <e v="#N/A"/>
    <s v="OUTBOUND_"/>
  </r>
  <r>
    <s v="1739"/>
    <m/>
    <x v="1"/>
    <s v="OUB-W0012411-549"/>
    <s v="EJ-Malang-01"/>
    <s v="Oka-0813-2707-1646"/>
    <x v="262"/>
    <d v="1899-12-30T13:43:00"/>
    <s v="EJ-MALANG-01"/>
    <x v="0"/>
    <x v="2"/>
    <s v="ZTE2008"/>
    <s v="Pcs"/>
    <n v="9"/>
    <s v="CLR51-99-095"/>
    <x v="60"/>
    <m/>
    <m/>
    <m/>
    <s v="Fatur"/>
    <n v="0"/>
    <s v="3515082712870005"/>
    <s v="W 3265 OH"/>
    <m/>
    <x v="2"/>
    <s v="Candirenggo RW 10 Singosari"/>
    <e v="#N/A"/>
    <e v="#N/A"/>
    <s v="OUTBOUND_"/>
  </r>
  <r>
    <s v="1740"/>
    <m/>
    <x v="1"/>
    <s v="OUB-W0012411-549"/>
    <s v="EJ-Malang-01"/>
    <s v="Oka-0813-2707-1646"/>
    <x v="262"/>
    <d v="1899-12-30T13:43:00"/>
    <s v="EJ-MALANG-01"/>
    <x v="0"/>
    <x v="3"/>
    <s v="ZTE2005"/>
    <s v="Pcs"/>
    <n v="1"/>
    <s v="CLR51-99-095"/>
    <x v="60"/>
    <m/>
    <m/>
    <m/>
    <s v="Fatur"/>
    <n v="0"/>
    <s v="3515082712870005"/>
    <s v="W 3265 OH"/>
    <m/>
    <x v="2"/>
    <s v="Candirenggo RW 10 Singosari"/>
    <e v="#N/A"/>
    <e v="#N/A"/>
    <s v="OUTBOUND_"/>
  </r>
  <r>
    <s v="1741"/>
    <m/>
    <x v="1"/>
    <s v="OUB-W0012411-550"/>
    <s v="EJ-Malang-01"/>
    <s v="Oka-0813-2707-1646"/>
    <x v="263"/>
    <d v="1899-12-30T08:25:00"/>
    <s v="EJ-MALANG-01"/>
    <x v="1"/>
    <x v="9"/>
    <s v="GCI1001"/>
    <s v="Pcs"/>
    <n v="5"/>
    <s v="CLR51-99-095"/>
    <x v="60"/>
    <m/>
    <m/>
    <m/>
    <s v="Riki Romansyah"/>
    <n v="0"/>
    <s v="3507050501950006"/>
    <s v="N 8420 EL"/>
    <m/>
    <x v="2"/>
    <s v="Candirenggo RW 10 Singosari"/>
    <e v="#N/A"/>
    <e v="#N/A"/>
    <s v="OUTBOUND_"/>
  </r>
  <r>
    <s v="1742"/>
    <m/>
    <x v="5"/>
    <s v="BOO-W0012411-552"/>
    <s v="EJ-Malang-01"/>
    <s v="Oka-0813-2707-1646"/>
    <x v="264"/>
    <d v="1899-12-30T18:31:00"/>
    <s v="Other Subcon"/>
    <x v="1"/>
    <x v="26"/>
    <s v="ZTE2020"/>
    <s v="Meter"/>
    <n v="100"/>
    <s v="BR005"/>
    <x v="21"/>
    <m/>
    <m/>
    <m/>
    <s v="Rohim"/>
    <n v="0"/>
    <s v="3511030602030003"/>
    <s v="AA 8420 HC"/>
    <s v="dipinjam Morasha"/>
    <x v="2"/>
    <s v="MORASHA"/>
    <e v="#N/A"/>
    <e v="#N/A"/>
    <s v="BORROW OUT_"/>
  </r>
  <r>
    <s v="1743"/>
    <m/>
    <x v="5"/>
    <s v="BOO-W0012411-551"/>
    <s v="EJ-Malang-01"/>
    <s v="Oka-0813-2707-1646"/>
    <x v="264"/>
    <d v="1899-12-30T13:30:00"/>
    <s v="Other Subcon"/>
    <x v="0"/>
    <x v="20"/>
    <s v="ZTE1004"/>
    <s v="Pcs"/>
    <n v="2"/>
    <s v="BR001"/>
    <x v="100"/>
    <m/>
    <m/>
    <m/>
    <s v="Heri Sutanto"/>
    <n v="0"/>
    <s v="6271030610800012"/>
    <s v="AG 5375 YAN"/>
    <s v="dipinjam BEAUT"/>
    <x v="2"/>
    <s v="BEAUT"/>
    <e v="#N/A"/>
    <e v="#N/A"/>
    <s v="BORROW OUT_"/>
  </r>
  <r>
    <s v="1744"/>
    <m/>
    <x v="5"/>
    <s v="BOO-W0012411-551"/>
    <s v="EJ-Malang-01"/>
    <s v="Oka-0813-2707-1646"/>
    <x v="264"/>
    <d v="1899-12-30T13:30:00"/>
    <s v="Other Subcon"/>
    <x v="1"/>
    <x v="12"/>
    <s v="GCI1008"/>
    <s v="Pcs"/>
    <n v="10"/>
    <s v="BR001"/>
    <x v="100"/>
    <m/>
    <m/>
    <m/>
    <s v="Heri Sutanto"/>
    <n v="0"/>
    <s v="6271030610800012"/>
    <s v="AG 5375 YAN"/>
    <s v="dipinjam BEAUT"/>
    <x v="2"/>
    <s v="BEAUT"/>
    <e v="#N/A"/>
    <e v="#N/A"/>
    <s v="BORROW OUT_"/>
  </r>
  <r>
    <s v="1745"/>
    <m/>
    <x v="3"/>
    <s v="TFO-W0012411-555"/>
    <s v="EJ-Malang-01"/>
    <s v="Oka-0813-2707-1646"/>
    <x v="265"/>
    <d v="1899-12-30T22:10:00"/>
    <s v="EJ-KEDIRI-01"/>
    <x v="0"/>
    <x v="1"/>
    <s v="ZTE2003"/>
    <s v="Meter"/>
    <n v="3000"/>
    <s v="T001"/>
    <x v="2"/>
    <m/>
    <m/>
    <m/>
    <s v="Gunawanto"/>
    <n v="0"/>
    <s v="3506152909920001"/>
    <s v="AG 8016 EN"/>
    <m/>
    <x v="2"/>
    <s v="Kediri"/>
    <e v="#N/A"/>
    <e v="#N/A"/>
    <s v="TRANSFER OUT_"/>
  </r>
  <r>
    <s v="1746"/>
    <m/>
    <x v="1"/>
    <s v="OUB-W0012411-553"/>
    <s v="EJ-Malang-01"/>
    <s v="Oka-0813-2707-1646"/>
    <x v="265"/>
    <d v="1899-12-30T13:25:00"/>
    <s v="EJ-MALANG-01"/>
    <x v="1"/>
    <x v="6"/>
    <s v="GCI1011"/>
    <s v="Pcs"/>
    <n v="1"/>
    <s v="CLR51-01-009"/>
    <x v="105"/>
    <m/>
    <m/>
    <m/>
    <s v="Riki Romansyah"/>
    <n v="0"/>
    <s v="3507050501950006"/>
    <s v="N 8420 EL"/>
    <m/>
    <x v="2"/>
    <s v="Kalirejo RW 13 Lawang Malang"/>
    <e v="#N/A"/>
    <e v="#N/A"/>
    <s v="OUTBOUND_"/>
  </r>
  <r>
    <s v="1747"/>
    <m/>
    <x v="1"/>
    <s v="OUB-W0012411-553"/>
    <s v="EJ-Malang-01"/>
    <s v="Oka-0813-2707-1646"/>
    <x v="265"/>
    <d v="1899-12-30T13:25:00"/>
    <s v="EJ-MALANG-01"/>
    <x v="1"/>
    <x v="10"/>
    <s v="GCI1009"/>
    <s v="Pcs"/>
    <n v="30"/>
    <s v="CLR51-01-009"/>
    <x v="105"/>
    <m/>
    <m/>
    <m/>
    <s v="Riki Romansyah"/>
    <n v="0"/>
    <s v="3507050501950006"/>
    <s v="N 8420 EL"/>
    <m/>
    <x v="2"/>
    <s v="Kalirejo RW 13 Lawang Malang"/>
    <e v="#N/A"/>
    <e v="#N/A"/>
    <s v="OUTBOUND_"/>
  </r>
  <r>
    <s v="1748"/>
    <m/>
    <x v="1"/>
    <s v="OUB-W0012411-553"/>
    <s v="EJ-Malang-01"/>
    <s v="Oka-0813-2707-1646"/>
    <x v="265"/>
    <d v="1899-12-30T13:25:00"/>
    <s v="EJ-MALANG-01"/>
    <x v="0"/>
    <x v="4"/>
    <s v="ZTE1002"/>
    <s v="Pcs"/>
    <n v="2"/>
    <s v="CLR51-01-009"/>
    <x v="105"/>
    <m/>
    <m/>
    <m/>
    <s v="Riki Romansyah"/>
    <n v="0"/>
    <s v="3507050501950006"/>
    <s v="N 8420 EL"/>
    <m/>
    <x v="2"/>
    <s v="Kalirejo RW 13 Lawang Malang"/>
    <e v="#N/A"/>
    <e v="#N/A"/>
    <s v="OUTBOUND_"/>
  </r>
  <r>
    <s v="1749"/>
    <m/>
    <x v="1"/>
    <s v="OUB-W0012411-553"/>
    <s v="EJ-Malang-01"/>
    <s v="Oka-0813-2707-1646"/>
    <x v="265"/>
    <d v="1899-12-30T13:25:00"/>
    <s v="EJ-MALANG-01"/>
    <x v="0"/>
    <x v="5"/>
    <s v="ZTE1001"/>
    <s v="Pcs"/>
    <n v="14"/>
    <s v="CLR51-01-009"/>
    <x v="105"/>
    <m/>
    <m/>
    <m/>
    <s v="Riki Romansyah"/>
    <n v="0"/>
    <s v="3507050501950006"/>
    <s v="N 8420 EL"/>
    <m/>
    <x v="2"/>
    <s v="Kalirejo RW 13 Lawang Malang"/>
    <e v="#N/A"/>
    <e v="#N/A"/>
    <s v="OUTBOUND_"/>
  </r>
  <r>
    <s v="1750"/>
    <m/>
    <x v="1"/>
    <s v="OUB-W0012411-554"/>
    <s v="EJ-Malang-01"/>
    <s v="Oka-0813-2707-1646"/>
    <x v="265"/>
    <d v="1899-12-30T17:00:00"/>
    <s v="EJ-MALANG-01"/>
    <x v="0"/>
    <x v="5"/>
    <s v="ZTE1001"/>
    <s v="Pcs"/>
    <n v="19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751"/>
    <m/>
    <x v="1"/>
    <s v="OUB-W0012411-553"/>
    <s v="EJ-Malang-01"/>
    <s v="Oka-0813-2707-1646"/>
    <x v="265"/>
    <d v="1899-12-30T13:25:00"/>
    <s v="EJ-MALANG-01"/>
    <x v="1"/>
    <x v="12"/>
    <s v="GCI1008"/>
    <s v="Pcs"/>
    <n v="25"/>
    <s v="CLR51-01-009"/>
    <x v="105"/>
    <m/>
    <m/>
    <m/>
    <s v="Riki Romansyah"/>
    <n v="0"/>
    <s v="3507050501950006"/>
    <s v="N 8420 EL"/>
    <m/>
    <x v="2"/>
    <s v="Kalirejo RW 13 Lawang Malang"/>
    <e v="#N/A"/>
    <e v="#N/A"/>
    <s v="OUTBOUND_"/>
  </r>
  <r>
    <s v="1752"/>
    <m/>
    <x v="1"/>
    <s v="OUB-W0012411-553"/>
    <s v="EJ-Malang-01"/>
    <s v="Oka-0813-2707-1646"/>
    <x v="265"/>
    <d v="1899-12-30T13:25:00"/>
    <s v="EJ-MALANG-01"/>
    <x v="1"/>
    <x v="16"/>
    <s v="GCI1004"/>
    <s v="Pcs"/>
    <n v="10"/>
    <s v="CLR51-01-009"/>
    <x v="105"/>
    <m/>
    <m/>
    <m/>
    <s v="Riki Romansyah"/>
    <n v="0"/>
    <s v="3507050501950006"/>
    <s v="N 8420 EL"/>
    <m/>
    <x v="2"/>
    <s v="Kalirejo RW 13 Lawang Malang"/>
    <e v="#N/A"/>
    <e v="#N/A"/>
    <s v="OUTBOUND_"/>
  </r>
  <r>
    <s v="1753"/>
    <m/>
    <x v="1"/>
    <s v="OUB-W0012411-557"/>
    <s v="EJ-Malang-01"/>
    <s v="Oka-0813-2707-1646"/>
    <x v="266"/>
    <d v="1899-12-30T14:07:00"/>
    <s v="EJ-MALANG-01"/>
    <x v="0"/>
    <x v="0"/>
    <s v="ZTE2001"/>
    <s v="Meter"/>
    <n v="3000"/>
    <s v="CLR51-01-009"/>
    <x v="105"/>
    <m/>
    <m/>
    <m/>
    <s v="Riki Romansyah"/>
    <s v="Susilo"/>
    <s v="3507050501950006"/>
    <s v="N 8420 EL"/>
    <m/>
    <x v="2"/>
    <s v="Kalirejo RW 13 Lawang Malang"/>
    <e v="#N/A"/>
    <e v="#N/A"/>
    <s v="OUTBOUND_"/>
  </r>
  <r>
    <s v="1754"/>
    <m/>
    <x v="1"/>
    <s v="OUB-W0012411-556"/>
    <s v="EJ-Malang-01"/>
    <s v="Oka-0813-2707-1646"/>
    <x v="266"/>
    <d v="1899-12-30T10:35:00"/>
    <s v="EJ-MALANG-01"/>
    <x v="0"/>
    <x v="1"/>
    <s v="ZTE2003"/>
    <s v="Meter"/>
    <n v="3000"/>
    <s v="CLR51-99-049"/>
    <x v="73"/>
    <m/>
    <m/>
    <m/>
    <s v="Alexander puji krismanto"/>
    <s v="Fatkur"/>
    <s v="1812022707900006"/>
    <s v="AG 8030 KG"/>
    <s v="use 2005 , 995 masuk left over"/>
    <x v="2"/>
    <s v="Perumahan Panca Garden"/>
    <e v="#N/A"/>
    <e v="#N/A"/>
    <s v="OUTBOUND_"/>
  </r>
  <r>
    <s v="1755"/>
    <m/>
    <x v="1"/>
    <s v="OUB-W0012411-556"/>
    <s v="EJ-Malang-01"/>
    <s v="Oka-0813-2707-1646"/>
    <x v="266"/>
    <d v="1899-12-30T10:35:00"/>
    <s v="EJ-MALANG-01"/>
    <x v="1"/>
    <x v="10"/>
    <s v="GCI1009"/>
    <s v="Pcs"/>
    <n v="14"/>
    <s v="CLR51-99-049"/>
    <x v="73"/>
    <m/>
    <m/>
    <m/>
    <s v="Alexander puji krismanto"/>
    <n v="0"/>
    <s v="1812022707900006"/>
    <s v="AG 8030 KG"/>
    <m/>
    <x v="2"/>
    <s v="Perumahan Panca Garden"/>
    <e v="#N/A"/>
    <e v="#N/A"/>
    <s v="OUTBOUND_"/>
  </r>
  <r>
    <s v="1756"/>
    <m/>
    <x v="1"/>
    <s v="OUB-W0012411-557"/>
    <s v="EJ-Malang-01"/>
    <s v="Oka-0813-2707-1646"/>
    <x v="266"/>
    <d v="1899-12-30T14:07:00"/>
    <s v="EJ-MALANG-01"/>
    <x v="0"/>
    <x v="4"/>
    <s v="ZTE1002"/>
    <s v="Pcs"/>
    <n v="3"/>
    <s v="CLR51-01-009"/>
    <x v="105"/>
    <m/>
    <m/>
    <m/>
    <s v="Riki Romansyah"/>
    <n v="0"/>
    <s v="3507050501950006"/>
    <s v="N 8420 EL"/>
    <m/>
    <x v="2"/>
    <s v="Kalirejo RW 13 Lawang Malang"/>
    <e v="#N/A"/>
    <e v="#N/A"/>
    <s v="OUTBOUND_"/>
  </r>
  <r>
    <s v="1757"/>
    <m/>
    <x v="1"/>
    <s v="OUB-W0012411-557"/>
    <s v="EJ-Malang-01"/>
    <s v="Oka-0813-2707-1646"/>
    <x v="266"/>
    <d v="1899-12-30T14:07:00"/>
    <s v="EJ-MALANG-01"/>
    <x v="0"/>
    <x v="5"/>
    <s v="ZTE1001"/>
    <s v="Pcs"/>
    <n v="7"/>
    <s v="CLR51-01-009"/>
    <x v="105"/>
    <m/>
    <m/>
    <m/>
    <s v="Riki Romansyah"/>
    <n v="0"/>
    <s v="3507050501950006"/>
    <s v="N 8420 EL"/>
    <m/>
    <x v="2"/>
    <s v="Kalirejo RW 13 Lawang Malang"/>
    <e v="#N/A"/>
    <e v="#N/A"/>
    <s v="OUTBOUND_"/>
  </r>
  <r>
    <s v="1758"/>
    <m/>
    <x v="1"/>
    <s v="OUB-W0012411-556"/>
    <s v="EJ-Malang-01"/>
    <s v="Oka-0813-2707-1646"/>
    <x v="266"/>
    <d v="1899-12-30T10:35:00"/>
    <s v="EJ-MALANG-01"/>
    <x v="1"/>
    <x v="12"/>
    <s v="GCI1008"/>
    <s v="Pcs"/>
    <n v="10"/>
    <s v="CLR51-99-049"/>
    <x v="73"/>
    <m/>
    <m/>
    <m/>
    <s v="Alexander puji krismanto"/>
    <n v="0"/>
    <s v="1812022707900006"/>
    <s v="AG 8030 KG"/>
    <m/>
    <x v="2"/>
    <s v="Perumahan Panca Garden"/>
    <e v="#N/A"/>
    <e v="#N/A"/>
    <s v="OUTBOUND_"/>
  </r>
  <r>
    <s v="1759"/>
    <m/>
    <x v="1"/>
    <s v="OUB-W0012411-556"/>
    <s v="EJ-Malang-01"/>
    <s v="Oka-0813-2707-1646"/>
    <x v="266"/>
    <d v="1899-12-30T10:35:00"/>
    <s v="EJ-MALANG-01"/>
    <x v="1"/>
    <x v="16"/>
    <s v="GCI1004"/>
    <s v="Pcs"/>
    <n v="7"/>
    <s v="CLR51-99-049"/>
    <x v="73"/>
    <m/>
    <m/>
    <m/>
    <s v="Alexander puji krismanto"/>
    <n v="0"/>
    <s v="1812022707900006"/>
    <s v="AG 8030 KG"/>
    <m/>
    <x v="2"/>
    <s v="Perumahan Panca Garden"/>
    <e v="#N/A"/>
    <e v="#N/A"/>
    <s v="OUTBOUND_"/>
  </r>
  <r>
    <s v="1760"/>
    <m/>
    <x v="1"/>
    <s v="OUB-W0012411-558"/>
    <s v="EJ-Malang-01"/>
    <s v="Oka-0813-2707-1646"/>
    <x v="267"/>
    <d v="1899-12-30T09:30:00"/>
    <s v="EJ-MALANG-01"/>
    <x v="0"/>
    <x v="1"/>
    <s v="ZTE2003"/>
    <s v="Meter"/>
    <n v="3000"/>
    <s v="CLR51-99-124"/>
    <x v="106"/>
    <m/>
    <m/>
    <m/>
    <s v="Riki Romansyah"/>
    <s v="Susilo"/>
    <s v="3507050501950006"/>
    <s v="N 8420 EL"/>
    <m/>
    <x v="2"/>
    <s v="Perumahan Bukit Lawang Indah Malang"/>
    <e v="#N/A"/>
    <e v="#N/A"/>
    <s v="OUTBOUND_"/>
  </r>
  <r>
    <s v="1761"/>
    <m/>
    <x v="1"/>
    <s v="OUB-W0012411-558"/>
    <s v="EJ-Malang-01"/>
    <s v="Oka-0813-2707-1646"/>
    <x v="267"/>
    <d v="1899-12-30T09:30:00"/>
    <s v="EJ-MALANG-01"/>
    <x v="1"/>
    <x v="10"/>
    <s v="GCI1009"/>
    <s v="Pcs"/>
    <n v="62"/>
    <s v="CLR51-99-124"/>
    <x v="106"/>
    <m/>
    <m/>
    <m/>
    <s v="Riki Romansyah"/>
    <n v="0"/>
    <s v="3507050501950006"/>
    <s v="N 8420 EL"/>
    <m/>
    <x v="2"/>
    <s v="Perumahan Bukit Lawang Indah Malang"/>
    <e v="#N/A"/>
    <e v="#N/A"/>
    <s v="OUTBOUND_"/>
  </r>
  <r>
    <s v="1762"/>
    <m/>
    <x v="1"/>
    <s v="OUB-W0012411-558"/>
    <s v="EJ-Malang-01"/>
    <s v="Oka-0813-2707-1646"/>
    <x v="267"/>
    <d v="1899-12-30T09:30:00"/>
    <s v="EJ-MALANG-01"/>
    <x v="0"/>
    <x v="5"/>
    <s v="ZTE1001"/>
    <s v="Pcs"/>
    <n v="14"/>
    <s v="CLR51-99-124"/>
    <x v="106"/>
    <m/>
    <m/>
    <m/>
    <s v="Riki Romansyah"/>
    <n v="0"/>
    <s v="3507050501950006"/>
    <s v="N 8420 EL"/>
    <m/>
    <x v="2"/>
    <s v="Perumahan Bukit Lawang Indah Malang"/>
    <e v="#N/A"/>
    <e v="#N/A"/>
    <s v="OUTBOUND_"/>
  </r>
  <r>
    <s v="1763"/>
    <m/>
    <x v="1"/>
    <s v="OUB-W0012411-558"/>
    <s v="EJ-Malang-01"/>
    <s v="Oka-0813-2707-1646"/>
    <x v="267"/>
    <d v="1899-12-30T09:30:00"/>
    <s v="EJ-MALANG-01"/>
    <x v="1"/>
    <x v="12"/>
    <s v="GCI1008"/>
    <s v="Pcs"/>
    <n v="50"/>
    <s v="CLR51-99-124"/>
    <x v="106"/>
    <m/>
    <m/>
    <m/>
    <s v="Riki Romansyah"/>
    <n v="0"/>
    <s v="3507050501950006"/>
    <s v="N 8420 EL"/>
    <m/>
    <x v="2"/>
    <s v="Perumahan Bukit Lawang Indah Malang"/>
    <e v="#N/A"/>
    <e v="#N/A"/>
    <s v="OUTBOUND_"/>
  </r>
  <r>
    <s v="1764"/>
    <m/>
    <x v="1"/>
    <s v="OUB-W0012411-559"/>
    <s v="EJ-Malang-01"/>
    <s v="Oka-0813-2707-1646"/>
    <x v="267"/>
    <d v="1899-12-30T18:18:00"/>
    <s v="EJ-MALANG-01"/>
    <x v="1"/>
    <x v="16"/>
    <s v="GCI1004"/>
    <s v="Pcs"/>
    <n v="18"/>
    <s v="CLR51-99-124"/>
    <x v="106"/>
    <m/>
    <m/>
    <m/>
    <s v="Riki Romansyah"/>
    <n v="0"/>
    <s v="3507050501950006"/>
    <s v="N 8420 EL"/>
    <m/>
    <x v="2"/>
    <s v="Perumahan Bukit Lawang Indah Malang"/>
    <e v="#N/A"/>
    <e v="#N/A"/>
    <s v="OUTBOUND_"/>
  </r>
  <r>
    <s v="1765"/>
    <m/>
    <x v="1"/>
    <s v="OUB-W0012411-560"/>
    <s v="EJ-Malang-01"/>
    <s v="Oka-0813-2707-1646"/>
    <x v="268"/>
    <d v="1899-12-30T18:58:00"/>
    <s v="EJ-MALANG-01"/>
    <x v="0"/>
    <x v="28"/>
    <s v="ZTE2010"/>
    <s v="Pcs"/>
    <n v="2"/>
    <s v="CLR51-99-124"/>
    <x v="106"/>
    <m/>
    <m/>
    <m/>
    <s v="Fatur"/>
    <n v="0"/>
    <s v="3515082712870005"/>
    <s v="W 3265 OH"/>
    <m/>
    <x v="2"/>
    <s v="Perumahan Bukit Lawang Indah Malang"/>
    <e v="#N/A"/>
    <e v="#N/A"/>
    <s v="OUTBOUND_"/>
  </r>
  <r>
    <s v="1766"/>
    <m/>
    <x v="1"/>
    <s v="OUB-W0012411-560"/>
    <s v="EJ-Malang-01"/>
    <s v="Oka-0813-2707-1646"/>
    <x v="268"/>
    <d v="1899-12-30T18:58:00"/>
    <s v="EJ-MALANG-01"/>
    <x v="0"/>
    <x v="2"/>
    <s v="ZTE2008"/>
    <s v="Pcs"/>
    <n v="12"/>
    <s v="CLR51-99-124"/>
    <x v="106"/>
    <m/>
    <m/>
    <m/>
    <s v="Fatur"/>
    <n v="0"/>
    <s v="3515082712870005"/>
    <s v="W 3265 OH"/>
    <m/>
    <x v="2"/>
    <s v="Perumahan Bukit Lawang Indah Malang"/>
    <e v="#N/A"/>
    <e v="#N/A"/>
    <s v="OUTBOUND_"/>
  </r>
  <r>
    <s v="1767"/>
    <m/>
    <x v="1"/>
    <s v="OUB-W0012411-560"/>
    <s v="EJ-Malang-01"/>
    <s v="Oka-0813-2707-1646"/>
    <x v="268"/>
    <d v="1899-12-30T18:58:00"/>
    <s v="EJ-MALANG-01"/>
    <x v="0"/>
    <x v="3"/>
    <s v="ZTE2005"/>
    <s v="Pcs"/>
    <n v="1"/>
    <s v="CLR51-99-124"/>
    <x v="106"/>
    <m/>
    <m/>
    <m/>
    <s v="Fatur"/>
    <n v="0"/>
    <s v="3515082712870005"/>
    <s v="W 3265 OH"/>
    <m/>
    <x v="2"/>
    <s v="Perumahan Bukit Lawang Indah Malang"/>
    <e v="#N/A"/>
    <e v="#N/A"/>
    <s v="OUTBOUND_"/>
  </r>
  <r>
    <s v="1768"/>
    <m/>
    <x v="1"/>
    <s v="OUB-W0012411-561"/>
    <s v="EJ-Malang-01"/>
    <s v="Oka-0813-2707-1646"/>
    <x v="269"/>
    <d v="1899-12-30T18:58:00"/>
    <s v="EJ-MALANG-01"/>
    <x v="0"/>
    <x v="28"/>
    <s v="ZTE2010"/>
    <s v="Pcs"/>
    <n v="1"/>
    <s v="CLR51-99-124"/>
    <x v="106"/>
    <m/>
    <m/>
    <m/>
    <s v="Sifak"/>
    <n v="0"/>
    <s v="3507312107950002"/>
    <s v="N 1969 FF"/>
    <m/>
    <x v="2"/>
    <s v="Perumahan Bukit Lawang Indah Malang"/>
    <e v="#N/A"/>
    <e v="#N/A"/>
    <s v="OUTBOUND_"/>
  </r>
  <r>
    <s v="1769"/>
    <m/>
    <x v="1"/>
    <s v="OUB-W0012411-561"/>
    <s v="EJ-Malang-01"/>
    <s v="Oka-0813-2707-1646"/>
    <x v="269"/>
    <d v="1899-12-30T18:58:00"/>
    <s v="EJ-MALANG-01"/>
    <x v="0"/>
    <x v="2"/>
    <s v="ZTE2008"/>
    <s v="Pcs"/>
    <n v="9"/>
    <s v="CLR51-99-124"/>
    <x v="106"/>
    <m/>
    <m/>
    <m/>
    <s v="Sifak"/>
    <n v="0"/>
    <s v="3507312107950002"/>
    <s v="N 1969 FF"/>
    <m/>
    <x v="2"/>
    <s v="Perumahan Bukit Lawang Indah Malang"/>
    <e v="#N/A"/>
    <e v="#N/A"/>
    <s v="OUTBOUND_"/>
  </r>
  <r>
    <s v="1770"/>
    <m/>
    <x v="4"/>
    <s v="BOI-W0012411-562"/>
    <s v="EJ-Malang-01"/>
    <s v="Oka-0813-2707-1646"/>
    <x v="269"/>
    <d v="1900-01-14T07:00:00"/>
    <s v="Other Subcon"/>
    <x v="0"/>
    <x v="20"/>
    <s v="ZTE1004"/>
    <s v="Pcs"/>
    <n v="1"/>
    <s v="BR001"/>
    <x v="100"/>
    <n v="0"/>
    <n v="0"/>
    <m/>
    <m/>
    <m/>
    <m/>
    <m/>
    <s v="dikembalikan dr BEAUT"/>
    <x v="2"/>
    <s v="BEAUT"/>
    <e v="#N/A"/>
    <e v="#N/A"/>
    <s v="OUTBOUND_"/>
  </r>
  <r>
    <s v="1771"/>
    <m/>
    <x v="0"/>
    <s v="INB-W0012411-563"/>
    <s v="EJ-Malang-01"/>
    <s v="Oka-0813-2707-1646"/>
    <x v="270"/>
    <d v="1900-01-14T07:00:00"/>
    <s v="ZTE Warehouse"/>
    <x v="0"/>
    <x v="0"/>
    <s v="ZTE2001"/>
    <s v="Meter"/>
    <n v="3000"/>
    <s v="CLR51-09-012"/>
    <x v="107"/>
    <s v="DOEID241121BR"/>
    <s v="DNWID0342024112203"/>
    <m/>
    <m/>
    <m/>
    <m/>
    <m/>
    <m/>
    <x v="95"/>
    <s v="Bedali RW 05 Kromengan"/>
    <d v="2024-11-26T00:00:00"/>
    <b v="1"/>
    <s v="OUTBOUND_H-ADSS 24C-20241126-01"/>
  </r>
  <r>
    <s v="1772"/>
    <m/>
    <x v="0"/>
    <s v="INB-W0012411-563"/>
    <s v="EJ-Malang-01"/>
    <s v="Oka-0813-2707-1646"/>
    <x v="270"/>
    <d v="1900-01-14T07:00:00"/>
    <s v="ZTE Warehouse"/>
    <x v="0"/>
    <x v="0"/>
    <s v="ZTE2001"/>
    <s v="Meter"/>
    <n v="3000"/>
    <s v="CLR51-09-010"/>
    <x v="108"/>
    <s v="DOEID241121BN"/>
    <s v="DNWID0342024112205"/>
    <m/>
    <m/>
    <m/>
    <m/>
    <m/>
    <m/>
    <x v="96"/>
    <s v="Bedali RW 03 Kromengan"/>
    <d v="2024-11-26T00:00:00"/>
    <b v="1"/>
    <s v="OUTBOUND_H-ADSS 24C-20241126-02"/>
  </r>
  <r>
    <s v="1773"/>
    <m/>
    <x v="0"/>
    <s v="INB-W0012411-563"/>
    <s v="EJ-Malang-01"/>
    <s v="Oka-0813-2707-1646"/>
    <x v="270"/>
    <d v="1900-01-14T07:00:00"/>
    <s v="ZTE Warehouse"/>
    <x v="0"/>
    <x v="0"/>
    <s v="ZTE2001"/>
    <s v="Meter"/>
    <n v="3000"/>
    <s v="CLR51-09-011"/>
    <x v="109"/>
    <s v="DOEID241121BP"/>
    <s v="DNWID0342024112204"/>
    <m/>
    <m/>
    <m/>
    <m/>
    <m/>
    <m/>
    <x v="97"/>
    <s v="BEDALI RW 04 MALANG"/>
    <d v="2024-11-26T00:00:00"/>
    <b v="1"/>
    <s v="OUTBOUND_H-ADSS 24C-20241126-03"/>
  </r>
  <r>
    <s v="1774"/>
    <m/>
    <x v="0"/>
    <s v="INB-W0012411-563"/>
    <s v="EJ-Malang-01"/>
    <s v="Oka-0813-2707-1646"/>
    <x v="270"/>
    <d v="1900-01-14T07:00:00"/>
    <s v="ZTE Warehouse"/>
    <x v="0"/>
    <x v="1"/>
    <s v="ZTE2003"/>
    <s v="Meter"/>
    <n v="3000"/>
    <s v="CLR51-09-011"/>
    <x v="110"/>
    <s v="DOEID241121BP"/>
    <s v="DNWID0342024112204"/>
    <m/>
    <m/>
    <m/>
    <m/>
    <m/>
    <m/>
    <x v="98"/>
    <s v="Bedali RW 04 Kromengan"/>
    <d v="2024-11-26T00:00:00"/>
    <b v="1"/>
    <s v="OUTBOUND_H-ADSS 48C-20241126-01"/>
  </r>
  <r>
    <s v="1775"/>
    <m/>
    <x v="0"/>
    <s v="INB-W0012411-563"/>
    <s v="EJ-Malang-01"/>
    <s v="Oka-0813-2707-1646"/>
    <x v="270"/>
    <d v="1900-01-14T07:00:00"/>
    <s v="ZTE Warehouse"/>
    <x v="0"/>
    <x v="1"/>
    <s v="ZTE2003"/>
    <s v="Meter"/>
    <n v="3000"/>
    <s v="CLR51-99-124"/>
    <x v="111"/>
    <s v="DOEID24112584"/>
    <s v="DNWID0342024112505"/>
    <m/>
    <m/>
    <m/>
    <m/>
    <m/>
    <m/>
    <x v="99"/>
    <s v="Perumahan Bukit Lawang Indah Malang"/>
    <d v="2024-11-26T00:00:00"/>
    <b v="1"/>
    <s v="OUTBOUND_H-ADSS 48C-20241126-02"/>
  </r>
  <r>
    <s v="1776"/>
    <m/>
    <x v="1"/>
    <s v="OUB-W0012411-566"/>
    <s v="EJ-Malang-01"/>
    <s v="Oka-0813-2707-1646"/>
    <x v="270"/>
    <d v="1899-12-30T09:30:00"/>
    <s v="EJ-MALANG-01"/>
    <x v="0"/>
    <x v="0"/>
    <s v="ZTE2001"/>
    <s v="Meter"/>
    <n v="3000"/>
    <s v="CLR51-09-010"/>
    <x v="108"/>
    <m/>
    <m/>
    <m/>
    <s v="Riki Romansyah"/>
    <s v="Susilo"/>
    <s v="3507050501950006"/>
    <s v="N 8420 EL"/>
    <m/>
    <x v="2"/>
    <s v="Bedali RW 03 Kromengan"/>
    <e v="#N/A"/>
    <e v="#N/A"/>
    <s v="OUTBOUND_"/>
  </r>
  <r>
    <s v="1777"/>
    <m/>
    <x v="1"/>
    <s v="OUB-W0012411-564"/>
    <s v="EJ-Malang-01"/>
    <s v="Oka-0813-2707-1646"/>
    <x v="270"/>
    <d v="1899-12-30T09:30:00"/>
    <s v="EJ-MALANG-01"/>
    <x v="1"/>
    <x v="8"/>
    <s v="GCI1005"/>
    <s v="Pcs"/>
    <n v="50"/>
    <s v="CLR51-09-010"/>
    <x v="108"/>
    <m/>
    <m/>
    <m/>
    <s v="Riki Romansyah"/>
    <n v="0"/>
    <s v="3507050501950006"/>
    <s v="N 8420 EL"/>
    <m/>
    <x v="2"/>
    <s v="Bedali RW 03 Kromengan"/>
    <e v="#N/A"/>
    <e v="#N/A"/>
    <s v="OUTBOUND_"/>
  </r>
  <r>
    <s v="1778"/>
    <m/>
    <x v="1"/>
    <s v="OUB-W0012411-564"/>
    <s v="EJ-Malang-01"/>
    <s v="Oka-0813-2707-1646"/>
    <x v="270"/>
    <d v="1899-12-30T09:30:00"/>
    <s v="EJ-MALANG-01"/>
    <x v="1"/>
    <x v="10"/>
    <s v="GCI1009"/>
    <s v="Pcs"/>
    <n v="100"/>
    <s v="CLR51-09-010"/>
    <x v="108"/>
    <m/>
    <m/>
    <m/>
    <s v="Riki Romansyah"/>
    <n v="0"/>
    <s v="3507050501950006"/>
    <s v="N 8420 EL"/>
    <m/>
    <x v="2"/>
    <s v="Bedali RW 03 Kromengan"/>
    <e v="#N/A"/>
    <e v="#N/A"/>
    <s v="OUTBOUND_"/>
  </r>
  <r>
    <s v="1779"/>
    <m/>
    <x v="0"/>
    <s v="INB-W0012411-568"/>
    <s v="EJ-Malang-01"/>
    <s v="Oka-0813-2707-1646"/>
    <x v="270"/>
    <d v="1900-01-14T07:00:00"/>
    <s v="ZTE Warehouse"/>
    <x v="0"/>
    <x v="2"/>
    <s v="ZTE2008"/>
    <s v="Pcs"/>
    <n v="12"/>
    <s v="CLR51-99-124"/>
    <x v="111"/>
    <s v="DOEID24112584"/>
    <s v="DNWID0342024112505"/>
    <m/>
    <m/>
    <m/>
    <m/>
    <m/>
    <m/>
    <x v="2"/>
    <s v="Perumahan Bukit Lawang Indah Malang"/>
    <d v="2024-11-26T00:00:00"/>
    <b v="1"/>
    <s v="OUTBOUND_"/>
  </r>
  <r>
    <s v="1780"/>
    <m/>
    <x v="0"/>
    <s v="INB-W0012411-565"/>
    <s v="EJ-Malang-01"/>
    <s v="Oka-0813-2707-1646"/>
    <x v="270"/>
    <d v="1900-01-14T07:00:00"/>
    <s v="ZTE Warehouse"/>
    <x v="0"/>
    <x v="2"/>
    <s v="ZTE2008"/>
    <s v="Pcs"/>
    <n v="11"/>
    <s v="CLR51-09-011"/>
    <x v="110"/>
    <s v="DOEID241121BP"/>
    <s v="DNWID0342024112204"/>
    <m/>
    <m/>
    <m/>
    <m/>
    <m/>
    <m/>
    <x v="2"/>
    <s v="Bedali RW 04 Kromengan"/>
    <d v="2024-11-26T00:00:00"/>
    <b v="1"/>
    <s v="OUTBOUND_"/>
  </r>
  <r>
    <s v="1781"/>
    <m/>
    <x v="0"/>
    <s v="INB-W0012411-565"/>
    <s v="EJ-Malang-01"/>
    <s v="Oka-0813-2707-1646"/>
    <x v="270"/>
    <d v="1900-01-14T07:00:00"/>
    <s v="ZTE Warehouse"/>
    <x v="0"/>
    <x v="2"/>
    <s v="ZTE2008"/>
    <s v="Pcs"/>
    <n v="14"/>
    <s v="CLR51-09-010"/>
    <x v="108"/>
    <s v="DOEID241121BN"/>
    <s v="DNWID0342024112205"/>
    <m/>
    <m/>
    <m/>
    <m/>
    <m/>
    <m/>
    <x v="2"/>
    <s v="Bedali RW 03 Kromengan"/>
    <d v="2024-11-26T00:00:00"/>
    <b v="1"/>
    <s v="OUTBOUND_"/>
  </r>
  <r>
    <s v="1782"/>
    <m/>
    <x v="0"/>
    <s v="INB-W0012411-565"/>
    <s v="EJ-Malang-01"/>
    <s v="Oka-0813-2707-1646"/>
    <x v="270"/>
    <d v="1900-01-14T07:00:00"/>
    <s v="ZTE Warehouse"/>
    <x v="0"/>
    <x v="2"/>
    <s v="ZTE2008"/>
    <s v="Pcs"/>
    <n v="17"/>
    <s v="CLR51-09-012"/>
    <x v="107"/>
    <s v="DOEID241121BR"/>
    <s v="DNWID0342024112203"/>
    <m/>
    <m/>
    <m/>
    <m/>
    <m/>
    <m/>
    <x v="2"/>
    <s v="Bedali RW 05 Kromengan"/>
    <d v="2024-11-26T00:00:00"/>
    <b v="1"/>
    <s v="OUTBOUND_"/>
  </r>
  <r>
    <s v="1783"/>
    <m/>
    <x v="0"/>
    <s v="INB-W0012411-565"/>
    <s v="EJ-Malang-01"/>
    <s v="Oka-0813-2707-1646"/>
    <x v="270"/>
    <d v="1900-01-14T07:00:00"/>
    <s v="ZTE Warehouse"/>
    <x v="0"/>
    <x v="3"/>
    <s v="ZTE2005"/>
    <s v="Pcs"/>
    <n v="1"/>
    <s v="CLR51-09-010"/>
    <x v="108"/>
    <s v="DOEID241121BN"/>
    <s v="DNWID0342024112205"/>
    <m/>
    <m/>
    <m/>
    <m/>
    <m/>
    <m/>
    <x v="2"/>
    <s v="Bedali RW 03 Kromengan"/>
    <d v="2024-11-26T00:00:00"/>
    <b v="1"/>
    <s v="OUTBOUND_"/>
  </r>
  <r>
    <s v="1784"/>
    <m/>
    <x v="0"/>
    <s v="INB-W0012411-565"/>
    <s v="EJ-Malang-01"/>
    <s v="Oka-0813-2707-1646"/>
    <x v="270"/>
    <d v="1900-01-14T07:00:00"/>
    <s v="ZTE Warehouse"/>
    <x v="0"/>
    <x v="3"/>
    <s v="ZTE2005"/>
    <s v="Pcs"/>
    <n v="1"/>
    <s v="CLR51-09-011"/>
    <x v="110"/>
    <s v="DOEID241121BP"/>
    <s v="DNWID0342024112204"/>
    <m/>
    <m/>
    <m/>
    <m/>
    <m/>
    <m/>
    <x v="2"/>
    <s v="Bedali RW 04 Kromengan"/>
    <d v="2024-11-26T00:00:00"/>
    <b v="1"/>
    <s v="OUTBOUND_"/>
  </r>
  <r>
    <s v="1785"/>
    <m/>
    <x v="0"/>
    <s v="INB-W0012411-565"/>
    <s v="EJ-Malang-01"/>
    <s v="Oka-0813-2707-1646"/>
    <x v="270"/>
    <d v="1900-01-14T07:00:00"/>
    <s v="ZTE Warehouse"/>
    <x v="0"/>
    <x v="3"/>
    <s v="ZTE2005"/>
    <s v="Pcs"/>
    <n v="1"/>
    <s v="CLR51-09-012"/>
    <x v="107"/>
    <s v="DOEID241121BR"/>
    <s v="DNWID0342024112203"/>
    <m/>
    <m/>
    <m/>
    <m/>
    <m/>
    <m/>
    <x v="2"/>
    <s v="Bedali RW 05 Kromengan"/>
    <d v="2024-11-26T00:00:00"/>
    <b v="1"/>
    <s v="OUTBOUND_"/>
  </r>
  <r>
    <s v="1786"/>
    <m/>
    <x v="0"/>
    <s v="INB-W0012411-565"/>
    <s v="EJ-Malang-01"/>
    <s v="Oka-0813-2707-1646"/>
    <x v="270"/>
    <d v="1900-01-14T07:00:00"/>
    <s v="ZTE Warehouse"/>
    <x v="0"/>
    <x v="3"/>
    <s v="ZTE2005"/>
    <s v="Pcs"/>
    <n v="1"/>
    <s v="CLR51-99-124"/>
    <x v="111"/>
    <s v="DOEID24112584"/>
    <s v="DNWID0342024112505"/>
    <m/>
    <m/>
    <m/>
    <m/>
    <m/>
    <m/>
    <x v="2"/>
    <s v="Perumahan Bukit Lawang Indah Malang"/>
    <d v="2024-11-26T00:00:00"/>
    <b v="1"/>
    <s v="OUTBOUND_"/>
  </r>
  <r>
    <s v="1787"/>
    <m/>
    <x v="0"/>
    <s v="INB-W0012411-565"/>
    <s v="EJ-Malang-01"/>
    <s v="Oka-0813-2707-1646"/>
    <x v="270"/>
    <d v="1900-01-14T07:00:00"/>
    <s v="ZTE Warehouse"/>
    <x v="0"/>
    <x v="20"/>
    <s v="ZTE1004"/>
    <s v="Pcs"/>
    <n v="1"/>
    <s v="CLR51-99-124"/>
    <x v="106"/>
    <s v="DOEID24112583"/>
    <s v="DNWID0362024112507"/>
    <m/>
    <m/>
    <m/>
    <m/>
    <m/>
    <m/>
    <x v="2"/>
    <s v="Perumahan Bukit Lawang Indah Malang"/>
    <d v="2024-11-26T00:00:00"/>
    <b v="1"/>
    <s v="OUTBOUND_"/>
  </r>
  <r>
    <s v="1788"/>
    <m/>
    <x v="1"/>
    <s v="OUB-W0012411-564"/>
    <s v="EJ-Malang-01"/>
    <s v="Oka-0813-2707-1646"/>
    <x v="270"/>
    <d v="1899-12-30T09:30:00"/>
    <s v="EJ-MALANG-01"/>
    <x v="1"/>
    <x v="11"/>
    <s v="GCI1002"/>
    <s v="Pcs"/>
    <n v="1"/>
    <s v="CLR51-09-010"/>
    <x v="108"/>
    <m/>
    <m/>
    <m/>
    <s v="Riki Romansyah"/>
    <n v="0"/>
    <s v="3507050501950006"/>
    <s v="N 8420 EL"/>
    <m/>
    <x v="2"/>
    <s v="Bedali RW 03 Kromengan"/>
    <e v="#N/A"/>
    <e v="#N/A"/>
    <s v="OUTBOUND_"/>
  </r>
  <r>
    <s v="1789"/>
    <m/>
    <x v="0"/>
    <s v="INB-W0012411-565"/>
    <s v="EJ-Malang-01"/>
    <s v="Oka-0813-2707-1646"/>
    <x v="270"/>
    <d v="1900-01-14T07:00:00"/>
    <s v="ZTE Warehouse"/>
    <x v="0"/>
    <x v="4"/>
    <s v="ZTE1002"/>
    <s v="Pcs"/>
    <n v="2"/>
    <s v="CLR51-99-124"/>
    <x v="106"/>
    <s v="DOEID24112583"/>
    <s v="DNWID0362024112507"/>
    <m/>
    <m/>
    <m/>
    <m/>
    <m/>
    <m/>
    <x v="2"/>
    <s v="Perumahan Bukit Lawang Indah Malang"/>
    <d v="2024-11-26T00:00:00"/>
    <b v="1"/>
    <s v="OUTBOUND_"/>
  </r>
  <r>
    <s v="1790"/>
    <m/>
    <x v="0"/>
    <s v="INB-W0012411-565"/>
    <s v="EJ-Malang-01"/>
    <s v="Oka-0813-2707-1646"/>
    <x v="270"/>
    <d v="1900-01-14T07:00:00"/>
    <s v="ZTE Warehouse"/>
    <x v="0"/>
    <x v="4"/>
    <s v="ZTE1002"/>
    <s v="Pcs"/>
    <n v="4"/>
    <s v="CLR51-09-010"/>
    <x v="108"/>
    <s v="DOEID241121BM"/>
    <s v="DNWID0362024112204"/>
    <m/>
    <m/>
    <m/>
    <m/>
    <m/>
    <m/>
    <x v="2"/>
    <s v="Bedali RW 03 Kromengan"/>
    <d v="2024-11-26T00:00:00"/>
    <b v="1"/>
    <s v="OUTBOUND_"/>
  </r>
  <r>
    <s v="1791"/>
    <m/>
    <x v="0"/>
    <s v="INB-W0012411-565"/>
    <s v="EJ-Malang-01"/>
    <s v="Oka-0813-2707-1646"/>
    <x v="270"/>
    <d v="1900-01-14T07:00:00"/>
    <s v="ZTE Warehouse"/>
    <x v="0"/>
    <x v="4"/>
    <s v="ZTE1002"/>
    <s v="Pcs"/>
    <n v="7"/>
    <s v="CLR51-09-012"/>
    <x v="107"/>
    <s v="DOEID241121BQ"/>
    <s v="DNWID0362024112202"/>
    <m/>
    <m/>
    <m/>
    <m/>
    <m/>
    <m/>
    <x v="2"/>
    <s v="Bedali RW 05 Kromengan"/>
    <d v="2024-11-26T00:00:00"/>
    <b v="1"/>
    <s v="OUTBOUND_"/>
  </r>
  <r>
    <s v="1792"/>
    <m/>
    <x v="1"/>
    <s v="OUB-W0012411-564"/>
    <s v="EJ-Malang-01"/>
    <s v="Oka-0813-2707-1646"/>
    <x v="270"/>
    <d v="1899-12-30T09:30:00"/>
    <s v="EJ-MALANG-01"/>
    <x v="0"/>
    <x v="4"/>
    <s v="ZTE1002"/>
    <s v="Pcs"/>
    <n v="2"/>
    <s v="CLR51-09-010"/>
    <x v="108"/>
    <m/>
    <m/>
    <m/>
    <s v="Riki Romansyah"/>
    <n v="0"/>
    <s v="3507050501950006"/>
    <s v="N 8420 EL"/>
    <m/>
    <x v="2"/>
    <s v="Bedali RW 03 Kromengan"/>
    <e v="#N/A"/>
    <e v="#N/A"/>
    <s v="OUTBOUND_"/>
  </r>
  <r>
    <s v="1793"/>
    <m/>
    <x v="0"/>
    <s v="INB-W0012411-565"/>
    <s v="EJ-Malang-01"/>
    <s v="Oka-0813-2707-1646"/>
    <x v="270"/>
    <d v="1900-01-14T07:00:00"/>
    <s v="ZTE Warehouse"/>
    <x v="0"/>
    <x v="5"/>
    <s v="ZTE1001"/>
    <s v="Pcs"/>
    <n v="21"/>
    <s v="CLR51-09-011"/>
    <x v="110"/>
    <s v="DOEID241121BO"/>
    <s v="DNWID0362024112203"/>
    <m/>
    <m/>
    <m/>
    <m/>
    <m/>
    <m/>
    <x v="2"/>
    <s v="Bedali RW 04 Kromengan"/>
    <d v="2024-11-26T00:00:00"/>
    <b v="1"/>
    <s v="OUTBOUND_"/>
  </r>
  <r>
    <s v="1794"/>
    <m/>
    <x v="0"/>
    <s v="INB-W0012411-565"/>
    <s v="EJ-Malang-01"/>
    <s v="Oka-0813-2707-1646"/>
    <x v="270"/>
    <d v="1900-01-14T07:00:00"/>
    <s v="ZTE Warehouse"/>
    <x v="0"/>
    <x v="5"/>
    <s v="ZTE1001"/>
    <s v="Pcs"/>
    <n v="36"/>
    <s v="CLR51-09-010"/>
    <x v="108"/>
    <s v="DOEID241121BM"/>
    <s v="DNWID0362024112204"/>
    <m/>
    <m/>
    <m/>
    <m/>
    <m/>
    <m/>
    <x v="2"/>
    <s v="Bedali RW 03 Kromengan"/>
    <d v="2024-11-26T00:00:00"/>
    <b v="1"/>
    <s v="OUTBOUND_"/>
  </r>
  <r>
    <s v="1795"/>
    <m/>
    <x v="0"/>
    <s v="INB-W0012411-565"/>
    <s v="EJ-Malang-01"/>
    <s v="Oka-0813-2707-1646"/>
    <x v="270"/>
    <d v="1900-01-14T07:00:00"/>
    <s v="ZTE Warehouse"/>
    <x v="0"/>
    <x v="5"/>
    <s v="ZTE1001"/>
    <s v="Pcs"/>
    <n v="40"/>
    <s v="CLR51-99-124"/>
    <x v="106"/>
    <s v="DOEID24112583"/>
    <s v="DNWID0362024112507"/>
    <m/>
    <s v="Riki Romansyah"/>
    <n v="0"/>
    <s v="3507050501950006"/>
    <s v="N 8420 EL"/>
    <m/>
    <x v="2"/>
    <s v="Perumahan Bukit Lawang Indah Malang"/>
    <d v="2024-11-26T00:00:00"/>
    <b v="1"/>
    <s v="OUTBOUND_"/>
  </r>
  <r>
    <s v="1796"/>
    <m/>
    <x v="0"/>
    <s v="INB-W0012411-565"/>
    <s v="EJ-Malang-01"/>
    <s v="Oka-0813-2707-1646"/>
    <x v="270"/>
    <d v="1900-01-14T07:00:00"/>
    <s v="ZTE Warehouse"/>
    <x v="0"/>
    <x v="5"/>
    <s v="ZTE1001"/>
    <s v="Pcs"/>
    <n v="55"/>
    <s v="CLR51-09-012"/>
    <x v="107"/>
    <s v="DOEID241121BQ"/>
    <s v="DNWID0362024112202"/>
    <m/>
    <m/>
    <m/>
    <m/>
    <m/>
    <m/>
    <x v="2"/>
    <s v="Bedali RW 05 Kromengan"/>
    <d v="2024-11-26T00:00:00"/>
    <b v="1"/>
    <s v="OUTBOUND_"/>
  </r>
  <r>
    <s v="1797"/>
    <m/>
    <x v="4"/>
    <s v="BOI-W0012411-565"/>
    <s v="EJ-Malang-01"/>
    <s v="Oka-0813-2707-1646"/>
    <x v="270"/>
    <d v="1900-01-14T07:00:00"/>
    <s v="Other Subcon"/>
    <x v="0"/>
    <x v="19"/>
    <s v="ZTE1003"/>
    <s v="Pcs"/>
    <n v="7"/>
    <s v="BR001"/>
    <x v="100"/>
    <n v="0"/>
    <n v="0"/>
    <m/>
    <m/>
    <m/>
    <m/>
    <m/>
    <s v="dikembalikan dr BEAUT"/>
    <x v="2"/>
    <s v="BEAUT"/>
    <e v="#N/A"/>
    <e v="#N/A"/>
    <s v="OUTBOUND_"/>
  </r>
  <r>
    <s v="1798"/>
    <m/>
    <x v="0"/>
    <s v="INB-W0012411-565"/>
    <s v="EJ-Malang-01"/>
    <s v="Oka-0813-2707-1646"/>
    <x v="270"/>
    <d v="1900-01-14T07:00:00"/>
    <s v="ZTE Warehouse"/>
    <x v="0"/>
    <x v="19"/>
    <s v="ZTE1003"/>
    <s v="Pcs"/>
    <n v="2"/>
    <s v="CLR51-09-011"/>
    <x v="110"/>
    <s v="DOEID241121BO"/>
    <s v="DNWID0362024112203"/>
    <m/>
    <m/>
    <m/>
    <m/>
    <m/>
    <m/>
    <x v="2"/>
    <s v="Bedali RW 04 Kromengan"/>
    <d v="2024-11-26T00:00:00"/>
    <b v="1"/>
    <s v="OUTBOUND_"/>
  </r>
  <r>
    <s v="1799"/>
    <m/>
    <x v="0"/>
    <s v="INB-W0012411-565"/>
    <s v="EJ-Malang-01"/>
    <s v="Oka-0813-2707-1646"/>
    <x v="270"/>
    <d v="1900-01-14T07:00:00"/>
    <s v="ZTE Warehouse"/>
    <x v="0"/>
    <x v="19"/>
    <s v="ZTE1003"/>
    <s v="Pcs"/>
    <n v="2"/>
    <s v="CLR51-09-012"/>
    <x v="107"/>
    <s v="DOEID241121BQ"/>
    <s v="DNWID0362024112202"/>
    <m/>
    <m/>
    <m/>
    <m/>
    <m/>
    <m/>
    <x v="2"/>
    <s v="Bedali RW 05 Kromengan"/>
    <d v="2024-11-26T00:00:00"/>
    <b v="1"/>
    <s v="OUTBOUND_"/>
  </r>
  <r>
    <s v="1800"/>
    <m/>
    <x v="1"/>
    <s v="OUB-W0012411-564"/>
    <s v="EJ-Malang-01"/>
    <s v="Oka-0813-2707-1646"/>
    <x v="270"/>
    <d v="1899-12-30T09:30:00"/>
    <s v="EJ-MALANG-01"/>
    <x v="1"/>
    <x v="12"/>
    <s v="GCI1008"/>
    <s v="Pcs"/>
    <n v="50"/>
    <s v="CLR51-09-010"/>
    <x v="108"/>
    <m/>
    <m/>
    <m/>
    <s v="Riki Romansyah"/>
    <n v="0"/>
    <s v="3507050501950006"/>
    <s v="N 8420 EL"/>
    <m/>
    <x v="2"/>
    <s v="Bedali RW 03 Kromengan"/>
    <e v="#N/A"/>
    <e v="#N/A"/>
    <s v="OUTBOUND_"/>
  </r>
  <r>
    <s v="1801"/>
    <m/>
    <x v="1"/>
    <s v="OUB-W0012411-564"/>
    <s v="EJ-Malang-01"/>
    <s v="Oka-0813-2707-1646"/>
    <x v="270"/>
    <d v="1899-12-30T09:30:00"/>
    <s v="EJ-MALANG-01"/>
    <x v="1"/>
    <x v="15"/>
    <s v="GCI1003"/>
    <s v="Pcs"/>
    <n v="9"/>
    <s v="CLR51-09-010"/>
    <x v="108"/>
    <m/>
    <m/>
    <m/>
    <s v="Riki Romansyah"/>
    <n v="0"/>
    <s v="3507050501950006"/>
    <s v="N 8420 EL"/>
    <m/>
    <x v="2"/>
    <s v="Bedali RW 03 Kromengan"/>
    <e v="#N/A"/>
    <e v="#N/A"/>
    <s v="OUTBOUND_"/>
  </r>
  <r>
    <s v="1802"/>
    <m/>
    <x v="3"/>
    <s v="TFO-W0012411-567"/>
    <s v="EJ-Malang-01"/>
    <s v="Oka-0813-2707-1646"/>
    <x v="271"/>
    <d v="1899-12-30T18:58:00"/>
    <s v="EJ-GRESIK-01"/>
    <x v="0"/>
    <x v="5"/>
    <s v="ZTE1001"/>
    <s v="Pcs"/>
    <n v="18"/>
    <s v="T001"/>
    <x v="11"/>
    <m/>
    <m/>
    <m/>
    <n v="0"/>
    <n v="0"/>
    <n v="0"/>
    <n v="0"/>
    <m/>
    <x v="2"/>
    <s v="GRESIK"/>
    <e v="#N/A"/>
    <e v="#N/A"/>
    <s v="TRANSFER OUT_"/>
  </r>
  <r>
    <s v="1803"/>
    <m/>
    <x v="0"/>
    <s v="INB-W0012411-568"/>
    <s v="EJ-Malang-01"/>
    <s v="Oka-0813-2707-1646"/>
    <x v="271"/>
    <d v="1900-01-14T07:00:00"/>
    <s v="FIELD TEAM"/>
    <x v="0"/>
    <x v="19"/>
    <s v="ZTE1003"/>
    <s v="Pcs"/>
    <n v="2"/>
    <m/>
    <x v="28"/>
    <n v="0"/>
    <n v="0"/>
    <m/>
    <m/>
    <m/>
    <m/>
    <m/>
    <s v="return"/>
    <x v="2"/>
    <n v="0"/>
    <e v="#N/A"/>
    <e v="#N/A"/>
    <s v="OUTBOUND_"/>
  </r>
  <r>
    <s v="1804"/>
    <m/>
    <x v="1"/>
    <s v="OUB-W0012411-569"/>
    <s v="EJ-Malang-01"/>
    <s v="Oka-0813-2707-1646"/>
    <x v="272"/>
    <d v="1899-12-30T09:25:00"/>
    <s v="EJ-MALANG-01"/>
    <x v="0"/>
    <x v="2"/>
    <s v="ZTE2008"/>
    <s v="Pcs"/>
    <n v="42"/>
    <s v="CLR51-09-010"/>
    <x v="108"/>
    <m/>
    <m/>
    <m/>
    <s v="Fahrudin"/>
    <s v="Febby Supplier"/>
    <s v="3507131605830004"/>
    <s v="N 1383 G"/>
    <m/>
    <x v="2"/>
    <s v="Bedali RW 03 Kromengan"/>
    <e v="#N/A"/>
    <e v="#N/A"/>
    <s v="OUTBOUND_"/>
  </r>
  <r>
    <s v="1805"/>
    <m/>
    <x v="1"/>
    <s v="OUB-W0012411-569"/>
    <s v="EJ-Malang-01"/>
    <s v="Oka-0813-2707-1646"/>
    <x v="272"/>
    <d v="1899-12-30T09:25:00"/>
    <s v="EJ-MALANG-01"/>
    <x v="0"/>
    <x v="3"/>
    <s v="ZTE2005"/>
    <s v="Pcs"/>
    <n v="3"/>
    <s v="CLR51-09-010"/>
    <x v="108"/>
    <m/>
    <m/>
    <m/>
    <s v="Fahrudin"/>
    <s v="Febby Supplier"/>
    <s v="3507131605830004"/>
    <s v="N 1383 G"/>
    <m/>
    <x v="2"/>
    <s v="Bedali RW 03 Kromengan"/>
    <e v="#N/A"/>
    <e v="#N/A"/>
    <s v="OUTBOUND_"/>
  </r>
  <r>
    <s v="1806"/>
    <m/>
    <x v="1"/>
    <s v="OUB-W0012411-569"/>
    <s v="EJ-Malang-01"/>
    <s v="Oka-0813-2707-1646"/>
    <x v="272"/>
    <d v="1899-12-30T09:25:00"/>
    <s v="EJ-MALANG-01"/>
    <x v="0"/>
    <x v="20"/>
    <s v="ZTE1004"/>
    <s v="Pcs"/>
    <n v="1"/>
    <s v="CLR51-09-010"/>
    <x v="108"/>
    <m/>
    <m/>
    <m/>
    <s v="Fahrudin"/>
    <s v="Febby Supplier"/>
    <s v="3507131605830004"/>
    <s v="N 1383 G"/>
    <m/>
    <x v="2"/>
    <s v="Bedali RW 03 Kromengan"/>
    <e v="#N/A"/>
    <e v="#N/A"/>
    <s v="OUTBOUND_"/>
  </r>
  <r>
    <s v="1807"/>
    <m/>
    <x v="0"/>
    <s v="INB-W0012411-570"/>
    <s v="EJ-Malang-01"/>
    <s v="Oka-0813-2707-1646"/>
    <x v="273"/>
    <d v="1900-01-14T07:00:00"/>
    <s v="GCI Procurement"/>
    <x v="1"/>
    <x v="6"/>
    <s v="GCI1011"/>
    <s v="Pcs"/>
    <n v="1"/>
    <n v="0"/>
    <x v="17"/>
    <n v="0"/>
    <n v="0"/>
    <m/>
    <m/>
    <m/>
    <m/>
    <m/>
    <m/>
    <x v="2"/>
    <n v="0"/>
    <e v="#N/A"/>
    <e v="#N/A"/>
    <s v="OUTBOUND_"/>
  </r>
  <r>
    <s v="1808"/>
    <m/>
    <x v="0"/>
    <s v="INB-W0012411-570"/>
    <s v="EJ-Malang-01"/>
    <s v="Oka-0813-2707-1646"/>
    <x v="273"/>
    <d v="1900-01-14T07:00:00"/>
    <s v="GCI Procurement"/>
    <x v="1"/>
    <x v="8"/>
    <s v="GCI1005"/>
    <s v="Pcs"/>
    <n v="96"/>
    <n v="0"/>
    <x v="17"/>
    <n v="0"/>
    <n v="0"/>
    <m/>
    <m/>
    <m/>
    <m/>
    <m/>
    <m/>
    <x v="2"/>
    <n v="0"/>
    <e v="#N/A"/>
    <e v="#N/A"/>
    <s v="OUTBOUND_"/>
  </r>
  <r>
    <s v="1809"/>
    <m/>
    <x v="0"/>
    <s v="INB-W0012411-570"/>
    <s v="EJ-Malang-01"/>
    <s v="Oka-0813-2707-1646"/>
    <x v="273"/>
    <d v="1900-01-14T07:00:00"/>
    <s v="GCI Procurement"/>
    <x v="1"/>
    <x v="9"/>
    <s v="GCI1001"/>
    <s v="Pcs"/>
    <n v="52"/>
    <n v="0"/>
    <x v="17"/>
    <n v="0"/>
    <n v="0"/>
    <m/>
    <m/>
    <m/>
    <m/>
    <m/>
    <m/>
    <x v="2"/>
    <n v="0"/>
    <e v="#N/A"/>
    <e v="#N/A"/>
    <s v="OUTBOUND_"/>
  </r>
  <r>
    <s v="1810"/>
    <m/>
    <x v="4"/>
    <s v="BOI-W0012411-570"/>
    <s v="EJ-Malang-01"/>
    <s v="Oka-0813-2707-1646"/>
    <x v="273"/>
    <d v="1900-01-14T07:00:00"/>
    <s v="Other Subcon"/>
    <x v="0"/>
    <x v="20"/>
    <s v="ZTE1004"/>
    <s v="Pcs"/>
    <n v="1"/>
    <s v="BR001"/>
    <x v="100"/>
    <n v="0"/>
    <n v="0"/>
    <m/>
    <m/>
    <m/>
    <m/>
    <m/>
    <s v="dikembalikan dr BEAUT"/>
    <x v="2"/>
    <s v="BEAUT"/>
    <e v="#N/A"/>
    <e v="#N/A"/>
    <s v="OUTBOUND_"/>
  </r>
  <r>
    <s v="1811"/>
    <m/>
    <x v="4"/>
    <s v="BOI-W0012411-570"/>
    <s v="EJ-Malang-01"/>
    <s v="Oka-0813-2707-1646"/>
    <x v="273"/>
    <d v="1900-01-14T07:00:00"/>
    <s v="Other Subcon"/>
    <x v="1"/>
    <x v="12"/>
    <s v="GCI1008"/>
    <s v="Pcs"/>
    <n v="10"/>
    <s v="BR001"/>
    <x v="100"/>
    <n v="0"/>
    <n v="0"/>
    <m/>
    <m/>
    <m/>
    <m/>
    <m/>
    <s v="dikembalikan dr BEAUT"/>
    <x v="2"/>
    <s v="BEAUT"/>
    <e v="#N/A"/>
    <e v="#N/A"/>
    <s v="OUTBOUND_"/>
  </r>
  <r>
    <s v="1812"/>
    <m/>
    <x v="0"/>
    <s v="INB-W0012411-570"/>
    <s v="EJ-Malang-01"/>
    <s v="Oka-0813-2707-1646"/>
    <x v="273"/>
    <d v="1900-01-14T07:00:00"/>
    <s v="GCI Procurement"/>
    <x v="1"/>
    <x v="12"/>
    <s v="GCI1008"/>
    <s v="Pcs"/>
    <n v="96"/>
    <n v="0"/>
    <x v="17"/>
    <n v="0"/>
    <n v="0"/>
    <m/>
    <m/>
    <m/>
    <m/>
    <m/>
    <m/>
    <x v="2"/>
    <n v="0"/>
    <e v="#N/A"/>
    <e v="#N/A"/>
    <s v="OUTBOUND_"/>
  </r>
  <r>
    <s v="1813"/>
    <m/>
    <x v="0"/>
    <s v="INB-W0012411-570"/>
    <s v="EJ-Malang-01"/>
    <s v="Oka-0813-2707-1646"/>
    <x v="273"/>
    <d v="1900-01-14T07:00:00"/>
    <s v="GCI Procurement"/>
    <x v="1"/>
    <x v="15"/>
    <s v="GCI1003"/>
    <s v="Pcs"/>
    <n v="96"/>
    <n v="0"/>
    <x v="17"/>
    <n v="0"/>
    <n v="0"/>
    <m/>
    <m/>
    <m/>
    <m/>
    <m/>
    <m/>
    <x v="2"/>
    <n v="0"/>
    <e v="#N/A"/>
    <e v="#N/A"/>
    <s v="OUTBOUND_"/>
  </r>
  <r>
    <s v="1814"/>
    <m/>
    <x v="0"/>
    <s v="INB-W0012411-570"/>
    <s v="EJ-Malang-01"/>
    <s v="Oka-0813-2707-1646"/>
    <x v="273"/>
    <d v="1900-01-14T07:00:00"/>
    <s v="GCI Procurement"/>
    <x v="1"/>
    <x v="16"/>
    <s v="GCI1004"/>
    <s v="Pcs"/>
    <n v="101"/>
    <n v="0"/>
    <x v="17"/>
    <n v="0"/>
    <n v="0"/>
    <m/>
    <m/>
    <m/>
    <m/>
    <m/>
    <m/>
    <x v="2"/>
    <n v="0"/>
    <e v="#N/A"/>
    <e v="#N/A"/>
    <s v="OUTBOUND_"/>
  </r>
  <r>
    <s v="1815"/>
    <m/>
    <x v="1"/>
    <s v="OUB-W0012412-571"/>
    <s v="EJ-Malang-01"/>
    <s v="Oka-0813-2707-1646"/>
    <x v="274"/>
    <d v="1899-12-30T09:30:00"/>
    <s v="EJ-MALANG-01"/>
    <x v="0"/>
    <x v="0"/>
    <s v="ZTE2001"/>
    <s v="Meter"/>
    <n v="3000"/>
    <s v="CLR51-09-011"/>
    <x v="109"/>
    <m/>
    <m/>
    <m/>
    <s v="Riki Romansyah"/>
    <s v="Susilo"/>
    <s v="3507050501950006"/>
    <s v="N 8420 EL"/>
    <m/>
    <x v="2"/>
    <s v="BEDALI RW 04 MALANG"/>
    <e v="#N/A"/>
    <e v="#N/A"/>
    <s v="OUTBOUND_"/>
  </r>
  <r>
    <s v="1816"/>
    <m/>
    <x v="1"/>
    <s v="OUB-W0012412-571"/>
    <s v="EJ-Malang-01"/>
    <s v="Oka-0813-2707-1646"/>
    <x v="274"/>
    <d v="1899-12-30T09:30:00"/>
    <s v="EJ-MALANG-01"/>
    <x v="0"/>
    <x v="0"/>
    <s v="ZTE2001"/>
    <s v="Meter"/>
    <n v="3000"/>
    <s v="CLR51-09-012"/>
    <x v="107"/>
    <m/>
    <m/>
    <m/>
    <s v="Riki Romansyah"/>
    <s v="Susilo"/>
    <s v="3507050501950006"/>
    <s v="N 8420 EL"/>
    <m/>
    <x v="2"/>
    <s v="Bedali RW 05 Kromengan"/>
    <e v="#N/A"/>
    <e v="#N/A"/>
    <s v="OUTBOUND_"/>
  </r>
  <r>
    <s v="1817"/>
    <m/>
    <x v="1"/>
    <s v="OUB-W0012412-571"/>
    <s v="EJ-Malang-01"/>
    <s v="Oka-0813-2707-1646"/>
    <x v="274"/>
    <d v="1899-12-30T09:30:00"/>
    <s v="EJ-MALANG-01"/>
    <x v="1"/>
    <x v="8"/>
    <s v="GCI1005"/>
    <s v="Pcs"/>
    <n v="40"/>
    <s v="CLR51-09-010"/>
    <x v="108"/>
    <m/>
    <m/>
    <m/>
    <s v="Riki Romansyah"/>
    <n v="0"/>
    <s v="3507050501950006"/>
    <s v="N 8420 EL"/>
    <m/>
    <x v="2"/>
    <s v="Bedali RW 03 Kromengan"/>
    <e v="#N/A"/>
    <e v="#N/A"/>
    <s v="OUTBOUND_"/>
  </r>
  <r>
    <s v="1818"/>
    <m/>
    <x v="1"/>
    <s v="OUB-W0012412-571"/>
    <s v="EJ-Malang-01"/>
    <s v="Oka-0813-2707-1646"/>
    <x v="274"/>
    <d v="1899-12-30T09:30:00"/>
    <s v="EJ-MALANG-01"/>
    <x v="1"/>
    <x v="9"/>
    <s v="GCI1001"/>
    <s v="Pcs"/>
    <n v="52"/>
    <s v="CLR51-09-010"/>
    <x v="108"/>
    <m/>
    <m/>
    <m/>
    <s v="Riki Romansyah"/>
    <n v="0"/>
    <s v="3507050501950006"/>
    <s v="N 8420 EL"/>
    <m/>
    <x v="2"/>
    <s v="Bedali RW 03 Kromengan"/>
    <e v="#N/A"/>
    <e v="#N/A"/>
    <s v="OUTBOUND_"/>
  </r>
  <r>
    <s v="1819"/>
    <m/>
    <x v="1"/>
    <s v="OUB-W0012412-571"/>
    <s v="EJ-Malang-01"/>
    <s v="Oka-0813-2707-1646"/>
    <x v="274"/>
    <d v="1899-12-30T09:30:00"/>
    <s v="EJ-MALANG-01"/>
    <x v="1"/>
    <x v="10"/>
    <s v="GCI1009"/>
    <s v="Pcs"/>
    <n v="50"/>
    <s v="CLR51-09-010"/>
    <x v="108"/>
    <m/>
    <m/>
    <m/>
    <s v="Riki Romansyah"/>
    <n v="0"/>
    <s v="3507050501950006"/>
    <s v="N 8420 EL"/>
    <m/>
    <x v="2"/>
    <s v="Bedali RW 03 Kromengan"/>
    <e v="#N/A"/>
    <e v="#N/A"/>
    <s v="OUTBOUND_"/>
  </r>
  <r>
    <s v="1820"/>
    <m/>
    <x v="1"/>
    <s v="OUB-W0012412-571"/>
    <s v="EJ-Malang-01"/>
    <s v="Oka-0813-2707-1646"/>
    <x v="274"/>
    <d v="1899-12-30T09:30:00"/>
    <s v="EJ-MALANG-01"/>
    <x v="1"/>
    <x v="11"/>
    <s v="GCI1002"/>
    <s v="Pcs"/>
    <n v="1"/>
    <s v="CLR51-09-010"/>
    <x v="108"/>
    <m/>
    <m/>
    <m/>
    <s v="Riki Romansyah"/>
    <n v="0"/>
    <s v="3507050501950006"/>
    <s v="N 8420 EL"/>
    <m/>
    <x v="2"/>
    <s v="Bedali RW 03 Kromengan"/>
    <e v="#N/A"/>
    <e v="#N/A"/>
    <s v="OUTBOUND_"/>
  </r>
  <r>
    <s v="1821"/>
    <m/>
    <x v="1"/>
    <s v="OUB-W0012412-571"/>
    <s v="EJ-Malang-01"/>
    <s v="Oka-0813-2707-1646"/>
    <x v="274"/>
    <d v="1899-12-30T09:30:00"/>
    <s v="EJ-MALANG-01"/>
    <x v="0"/>
    <x v="4"/>
    <s v="ZTE1002"/>
    <s v="Pcs"/>
    <n v="4"/>
    <s v="CLR51-09-010"/>
    <x v="108"/>
    <m/>
    <m/>
    <m/>
    <s v="Riki Romansyah"/>
    <n v="0"/>
    <s v="3507050501950006"/>
    <s v="N 8420 EL"/>
    <m/>
    <x v="2"/>
    <s v="Bedali RW 03 Kromengan"/>
    <e v="#N/A"/>
    <e v="#N/A"/>
    <s v="OUTBOUND_"/>
  </r>
  <r>
    <s v="1822"/>
    <m/>
    <x v="1"/>
    <s v="OUB-W0012412-571"/>
    <s v="EJ-Malang-01"/>
    <s v="Oka-0813-2707-1646"/>
    <x v="274"/>
    <d v="1899-12-30T09:30:00"/>
    <s v="EJ-MALANG-01"/>
    <x v="0"/>
    <x v="5"/>
    <s v="ZTE1001"/>
    <s v="Pcs"/>
    <n v="112"/>
    <s v="CLR51-09-010"/>
    <x v="108"/>
    <m/>
    <m/>
    <m/>
    <s v="Riki Romansyah"/>
    <n v="0"/>
    <s v="3507050501950006"/>
    <s v="N 8420 EL"/>
    <m/>
    <x v="2"/>
    <s v="Bedali RW 03 Kromengan"/>
    <e v="#N/A"/>
    <e v="#N/A"/>
    <s v="OUTBOUND_"/>
  </r>
  <r>
    <s v="1823"/>
    <m/>
    <x v="1"/>
    <s v="OUB-W0012412-571"/>
    <s v="EJ-Malang-01"/>
    <s v="Oka-0813-2707-1646"/>
    <x v="274"/>
    <d v="1899-12-30T09:30:00"/>
    <s v="EJ-MALANG-01"/>
    <x v="0"/>
    <x v="19"/>
    <s v="ZTE1003"/>
    <s v="Pcs"/>
    <n v="7"/>
    <s v="CLR51-09-010"/>
    <x v="108"/>
    <m/>
    <m/>
    <m/>
    <s v="Riki Romansyah"/>
    <n v="0"/>
    <s v="3507050501950006"/>
    <s v="N 8420 EL"/>
    <m/>
    <x v="2"/>
    <s v="Bedali RW 03 Kromengan"/>
    <e v="#N/A"/>
    <e v="#N/A"/>
    <s v="OUTBOUND_"/>
  </r>
  <r>
    <s v="1824"/>
    <m/>
    <x v="1"/>
    <s v="OUB-W0012412-571"/>
    <s v="EJ-Malang-01"/>
    <s v="Oka-0813-2707-1646"/>
    <x v="274"/>
    <d v="1899-12-30T09:30:00"/>
    <s v="EJ-MALANG-01"/>
    <x v="1"/>
    <x v="12"/>
    <s v="GCI1008"/>
    <s v="Pcs"/>
    <n v="50"/>
    <s v="CLR51-09-010"/>
    <x v="108"/>
    <m/>
    <m/>
    <m/>
    <s v="Riki Romansyah"/>
    <n v="0"/>
    <s v="3507050501950006"/>
    <s v="N 8420 EL"/>
    <m/>
    <x v="2"/>
    <s v="Bedali RW 03 Kromengan"/>
    <e v="#N/A"/>
    <e v="#N/A"/>
    <s v="OUTBOUND_"/>
  </r>
  <r>
    <s v="1825"/>
    <m/>
    <x v="1"/>
    <s v="OUB-W0012412-571"/>
    <s v="EJ-Malang-01"/>
    <s v="Oka-0813-2707-1646"/>
    <x v="274"/>
    <d v="1899-12-30T09:30:00"/>
    <s v="EJ-MALANG-01"/>
    <x v="1"/>
    <x v="15"/>
    <s v="GCI1003"/>
    <s v="Pcs"/>
    <n v="95"/>
    <s v="CLR51-09-010"/>
    <x v="108"/>
    <m/>
    <m/>
    <m/>
    <s v="Riki Romansyah"/>
    <n v="0"/>
    <s v="3507050501950006"/>
    <s v="N 8420 EL"/>
    <m/>
    <x v="2"/>
    <s v="Bedali RW 03 Kromengan"/>
    <e v="#N/A"/>
    <e v="#N/A"/>
    <s v="OUTBOUND_"/>
  </r>
  <r>
    <s v="1826"/>
    <m/>
    <x v="1"/>
    <s v="OUB-W0012412-571"/>
    <s v="EJ-Malang-01"/>
    <s v="Oka-0813-2707-1646"/>
    <x v="274"/>
    <d v="1899-12-30T09:30:00"/>
    <s v="EJ-MALANG-01"/>
    <x v="1"/>
    <x v="16"/>
    <s v="GCI1004"/>
    <s v="Pcs"/>
    <n v="55"/>
    <s v="CLR51-09-010"/>
    <x v="108"/>
    <m/>
    <m/>
    <m/>
    <s v="Riki Romansyah"/>
    <n v="0"/>
    <s v="3507050501950006"/>
    <s v="N 8420 EL"/>
    <m/>
    <x v="2"/>
    <s v="Bedali RW 03 Kromengan"/>
    <e v="#N/A"/>
    <e v="#N/A"/>
    <s v="OUTBOUND_"/>
  </r>
  <r>
    <s v="1827"/>
    <m/>
    <x v="2"/>
    <s v="TFI-W0012412-572"/>
    <s v="EJ-Malang-01"/>
    <s v="Oka-0813-2707-1646"/>
    <x v="275"/>
    <d v="1900-01-14T07:00:00"/>
    <s v="EJ-MADIUN-01"/>
    <x v="1"/>
    <x v="9"/>
    <s v="GCI1001"/>
    <s v="Pcs"/>
    <n v="25"/>
    <s v="TRF"/>
    <x v="112"/>
    <n v="0"/>
    <n v="0"/>
    <m/>
    <m/>
    <m/>
    <m/>
    <m/>
    <m/>
    <x v="2"/>
    <s v="MADIUN"/>
    <e v="#N/A"/>
    <e v="#N/A"/>
    <s v="OUTBOUND_"/>
  </r>
  <r>
    <s v="1828"/>
    <m/>
    <x v="2"/>
    <s v="TFI-W0012412-572"/>
    <s v="EJ-Malang-01"/>
    <s v="Oka-0813-2707-1646"/>
    <x v="275"/>
    <d v="1900-01-14T07:00:00"/>
    <s v="EJ-KEDIRI-01"/>
    <x v="1"/>
    <x v="9"/>
    <s v="GCI1001"/>
    <s v="Pcs"/>
    <n v="50"/>
    <s v="TRF"/>
    <x v="2"/>
    <n v="0"/>
    <n v="0"/>
    <m/>
    <m/>
    <m/>
    <m/>
    <m/>
    <m/>
    <x v="2"/>
    <s v="KEDIRI"/>
    <e v="#N/A"/>
    <e v="#N/A"/>
    <s v="OUTBOUND_"/>
  </r>
  <r>
    <s v="1829"/>
    <m/>
    <x v="2"/>
    <s v="TFI-W0012412-572"/>
    <s v="EJ-Malang-01"/>
    <s v="Oka-0813-2707-1646"/>
    <x v="275"/>
    <d v="1900-01-14T07:00:00"/>
    <s v="EJ-KEDIRI-01"/>
    <x v="1"/>
    <x v="12"/>
    <s v="GCI1008"/>
    <s v="Pcs"/>
    <n v="50"/>
    <s v="TRF"/>
    <x v="2"/>
    <n v="0"/>
    <n v="0"/>
    <m/>
    <m/>
    <m/>
    <m/>
    <m/>
    <m/>
    <x v="2"/>
    <s v="KEDIRI"/>
    <e v="#N/A"/>
    <e v="#N/A"/>
    <s v="OUTBOUND_"/>
  </r>
  <r>
    <s v="1830"/>
    <m/>
    <x v="2"/>
    <s v="TFI-W0012412-572"/>
    <s v="EJ-Malang-01"/>
    <s v="Oka-0813-2707-1646"/>
    <x v="275"/>
    <d v="1900-01-14T07:00:00"/>
    <s v="EJ-MADIUN-01"/>
    <x v="1"/>
    <x v="12"/>
    <s v="GCI1008"/>
    <s v="Pcs"/>
    <n v="50"/>
    <s v="TRF"/>
    <x v="112"/>
    <n v="0"/>
    <n v="0"/>
    <m/>
    <m/>
    <m/>
    <m/>
    <m/>
    <m/>
    <x v="2"/>
    <s v="MADIUN"/>
    <e v="#N/A"/>
    <e v="#N/A"/>
    <s v="OUTBOUND_"/>
  </r>
  <r>
    <s v="1831"/>
    <m/>
    <x v="2"/>
    <s v="TFI-W0012412-572"/>
    <s v="EJ-Malang-01"/>
    <s v="Oka-0813-2707-1646"/>
    <x v="275"/>
    <d v="1900-01-14T07:00:00"/>
    <s v="EJ-MADIUN-01"/>
    <x v="1"/>
    <x v="16"/>
    <s v="GCI1004"/>
    <s v="Pcs"/>
    <n v="100"/>
    <s v="TRF"/>
    <x v="112"/>
    <n v="0"/>
    <n v="0"/>
    <m/>
    <m/>
    <m/>
    <m/>
    <m/>
    <m/>
    <x v="2"/>
    <s v="MADIUN"/>
    <e v="#N/A"/>
    <e v="#N/A"/>
    <s v="OUTBOUND_"/>
  </r>
  <r>
    <s v="1832"/>
    <m/>
    <x v="1"/>
    <s v="OUB-W0012412-573"/>
    <s v="EJ-Malang-01"/>
    <s v="Oka-0813-2707-1646"/>
    <x v="276"/>
    <d v="1899-12-30T16:32:00"/>
    <s v="EJ-MALANG-01"/>
    <x v="1"/>
    <x v="10"/>
    <s v="GCI1009"/>
    <s v="Pcs"/>
    <n v="100"/>
    <s v="CLR51-09-010"/>
    <x v="108"/>
    <m/>
    <m/>
    <m/>
    <s v="Riki Romansyah"/>
    <n v="0"/>
    <s v="3507050501950006"/>
    <s v="N 8420 EL"/>
    <m/>
    <x v="2"/>
    <s v="Bedali RW 03 Kromengan"/>
    <e v="#N/A"/>
    <e v="#N/A"/>
    <s v="OUTBOUND_"/>
  </r>
  <r>
    <s v="1833"/>
    <m/>
    <x v="1"/>
    <s v="OUB-W0012412-573"/>
    <s v="EJ-Malang-01"/>
    <s v="Oka-0813-2707-1646"/>
    <x v="276"/>
    <d v="1899-12-30T16:32:00"/>
    <s v="EJ-MALANG-01"/>
    <x v="1"/>
    <x v="12"/>
    <s v="GCI1008"/>
    <s v="Pcs"/>
    <n v="30"/>
    <s v="CLR51-09-010"/>
    <x v="108"/>
    <m/>
    <m/>
    <m/>
    <s v="Riki Romansyah"/>
    <n v="0"/>
    <s v="3507050501950006"/>
    <s v="N 8420 EL"/>
    <m/>
    <x v="2"/>
    <s v="Bedali RW 03 Kromengan"/>
    <e v="#N/A"/>
    <e v="#N/A"/>
    <s v="OUTBOUND_"/>
  </r>
  <r>
    <s v="1834"/>
    <m/>
    <x v="1"/>
    <s v="OUB-W0012412-573"/>
    <s v="EJ-Malang-01"/>
    <s v="Oka-0813-2707-1646"/>
    <x v="276"/>
    <d v="1899-12-30T16:32:00"/>
    <s v="EJ-MALANG-01"/>
    <x v="1"/>
    <x v="16"/>
    <s v="GCI1004"/>
    <s v="Pcs"/>
    <n v="50"/>
    <s v="CLR51-09-010"/>
    <x v="108"/>
    <m/>
    <m/>
    <m/>
    <s v="Riki Romansyah"/>
    <n v="0"/>
    <s v="3507050501950006"/>
    <s v="N 8420 EL"/>
    <m/>
    <x v="2"/>
    <s v="Bedali RW 03 Kromengan"/>
    <e v="#N/A"/>
    <e v="#N/A"/>
    <s v="OUTBOUND_"/>
  </r>
  <r>
    <s v="1835"/>
    <m/>
    <x v="1"/>
    <s v="OUB-W0012412-574"/>
    <s v="EJ-Malang-01"/>
    <s v="Oka-0813-2707-1646"/>
    <x v="277"/>
    <d v="1899-12-30T13:53:00"/>
    <s v="EJ-MALANG-01"/>
    <x v="1"/>
    <x v="9"/>
    <s v="GCI1001"/>
    <s v="Pcs"/>
    <n v="24"/>
    <s v="CLR51-01-009"/>
    <x v="105"/>
    <m/>
    <m/>
    <m/>
    <s v="Riki Romansyah"/>
    <n v="0"/>
    <s v="3507050501950006"/>
    <s v="N 8420 EL"/>
    <m/>
    <x v="2"/>
    <s v="Kalirejo RW 13 Lawang Malang"/>
    <e v="#N/A"/>
    <e v="#N/A"/>
    <s v="OUTBOUND_"/>
  </r>
  <r>
    <s v="1836"/>
    <m/>
    <x v="1"/>
    <s v="OUB-W0012412-574"/>
    <s v="EJ-Malang-01"/>
    <s v="Oka-0813-2707-1646"/>
    <x v="277"/>
    <d v="1899-12-30T13:53:00"/>
    <s v="EJ-MALANG-01"/>
    <x v="1"/>
    <x v="11"/>
    <s v="GCI1002"/>
    <s v="Pcs"/>
    <n v="1"/>
    <s v="CLR51-01-009"/>
    <x v="105"/>
    <m/>
    <m/>
    <m/>
    <s v="Riki Romansyah"/>
    <n v="0"/>
    <s v="3507050501950006"/>
    <s v="N 8420 EL"/>
    <m/>
    <x v="2"/>
    <s v="Kalirejo RW 13 Lawang Malang"/>
    <e v="#N/A"/>
    <e v="#N/A"/>
    <s v="OUTBOUND_"/>
  </r>
  <r>
    <s v="1837"/>
    <m/>
    <x v="1"/>
    <s v="OUB-W0012412-574"/>
    <s v="EJ-Malang-01"/>
    <s v="Oka-0813-2707-1646"/>
    <x v="277"/>
    <d v="1899-12-30T13:53:00"/>
    <s v="EJ-MALANG-01"/>
    <x v="1"/>
    <x v="12"/>
    <s v="GCI1008"/>
    <s v="Pcs"/>
    <n v="8"/>
    <s v="CLR51-01-009"/>
    <x v="105"/>
    <m/>
    <m/>
    <m/>
    <s v="Riki Romansyah"/>
    <n v="0"/>
    <s v="3507050501950006"/>
    <s v="N 8420 EL"/>
    <m/>
    <x v="2"/>
    <s v="Kalirejo RW 13 Lawang Malang"/>
    <e v="#N/A"/>
    <e v="#N/A"/>
    <s v="OUTBOUND_"/>
  </r>
  <r>
    <s v="1838"/>
    <m/>
    <x v="1"/>
    <s v="OUB-W0012412-575"/>
    <s v="EJ-Malang-01"/>
    <s v="Oka-0813-2707-1646"/>
    <x v="278"/>
    <d v="1899-12-30T11:39:00"/>
    <s v="EJ-MALANG-01"/>
    <x v="0"/>
    <x v="0"/>
    <s v="ZTE2001"/>
    <s v="Meter"/>
    <n v="3000"/>
    <s v="CLR51-09-004"/>
    <x v="113"/>
    <m/>
    <m/>
    <m/>
    <s v="Riki Romansyah"/>
    <s v="Susilo"/>
    <s v="3507050501950006"/>
    <s v="N 8420 EL"/>
    <s v="+560 leftover"/>
    <x v="2"/>
    <s v="Permanu RW 02 Pakisaji"/>
    <e v="#N/A"/>
    <e v="#N/A"/>
    <s v="OUTBOUND_"/>
  </r>
  <r>
    <s v="1839"/>
    <m/>
    <x v="1"/>
    <s v="OUB-W0012412-575"/>
    <s v="EJ-Malang-01"/>
    <s v="Oka-0813-2707-1646"/>
    <x v="278"/>
    <d v="1899-12-30T11:39:00"/>
    <s v="EJ-MALANG-01"/>
    <x v="1"/>
    <x v="9"/>
    <s v="GCI1001"/>
    <s v="Pcs"/>
    <n v="46"/>
    <s v="CLR51-09-007"/>
    <x v="114"/>
    <m/>
    <m/>
    <m/>
    <s v="Riki Romansyah"/>
    <n v="0"/>
    <s v="3507050501950006"/>
    <s v="N 8420 EL"/>
    <m/>
    <x v="2"/>
    <s v="PERMANU RW 01 MALANG"/>
    <e v="#N/A"/>
    <e v="#N/A"/>
    <s v="OUTBOUND_"/>
  </r>
  <r>
    <s v="1840"/>
    <m/>
    <x v="1"/>
    <s v="OUB-W0012412-575"/>
    <s v="EJ-Malang-01"/>
    <s v="Oka-0813-2707-1646"/>
    <x v="278"/>
    <d v="1899-12-30T11:39:00"/>
    <s v="EJ-MALANG-01"/>
    <x v="1"/>
    <x v="10"/>
    <s v="GCI1009"/>
    <s v="Pcs"/>
    <n v="100"/>
    <s v="CLR51-09-007"/>
    <x v="114"/>
    <m/>
    <m/>
    <m/>
    <s v="Riki Romansyah"/>
    <n v="0"/>
    <s v="3507050501950006"/>
    <s v="N 8420 EL"/>
    <m/>
    <x v="2"/>
    <s v="PERMANU RW 01 MALANG"/>
    <e v="#N/A"/>
    <e v="#N/A"/>
    <s v="OUTBOUND_"/>
  </r>
  <r>
    <s v="1841"/>
    <m/>
    <x v="1"/>
    <s v="OUB-W0012412-575"/>
    <s v="EJ-Malang-01"/>
    <s v="Oka-0813-2707-1646"/>
    <x v="278"/>
    <d v="1899-12-30T11:39:00"/>
    <s v="EJ-MALANG-01"/>
    <x v="1"/>
    <x v="10"/>
    <s v="GCI1009"/>
    <s v="Pcs"/>
    <n v="100"/>
    <s v="CLR51-99-056"/>
    <x v="115"/>
    <m/>
    <m/>
    <m/>
    <s v="Riki Romansyah"/>
    <n v="0"/>
    <s v="3507050501950006"/>
    <s v="N 8420 EL"/>
    <m/>
    <x v="2"/>
    <s v="DUSUN CUPAK RW 01"/>
    <e v="#N/A"/>
    <e v="#N/A"/>
    <s v="OUTBOUND_"/>
  </r>
  <r>
    <s v="1842"/>
    <m/>
    <x v="1"/>
    <s v="OUB-W0012412-575"/>
    <s v="EJ-Malang-01"/>
    <s v="Oka-0813-2707-1646"/>
    <x v="278"/>
    <d v="1899-12-30T11:39:00"/>
    <s v="EJ-MALANG-01"/>
    <x v="0"/>
    <x v="4"/>
    <s v="ZTE1002"/>
    <s v="Pcs"/>
    <n v="7"/>
    <s v="CLR51-09-007"/>
    <x v="114"/>
    <m/>
    <m/>
    <m/>
    <s v="Riki Romansyah"/>
    <n v="0"/>
    <s v="3507050501950006"/>
    <s v="N 8420 EL"/>
    <m/>
    <x v="2"/>
    <s v="PERMANU RW 01 MALANG"/>
    <e v="#N/A"/>
    <e v="#N/A"/>
    <s v="OUTBOUND_"/>
  </r>
  <r>
    <s v="1843"/>
    <m/>
    <x v="1"/>
    <s v="OUB-W0012412-575"/>
    <s v="EJ-Malang-01"/>
    <s v="Oka-0813-2707-1646"/>
    <x v="278"/>
    <d v="1899-12-30T11:39:00"/>
    <s v="EJ-MALANG-01"/>
    <x v="0"/>
    <x v="4"/>
    <s v="ZTE1002"/>
    <s v="Pcs"/>
    <n v="8"/>
    <s v="CLR51-99-056"/>
    <x v="115"/>
    <m/>
    <m/>
    <m/>
    <s v="Riki Romansyah"/>
    <n v="0"/>
    <s v="3507050501950006"/>
    <s v="N 8420 EL"/>
    <m/>
    <x v="2"/>
    <s v="DUSUN CUPAK RW 01"/>
    <e v="#N/A"/>
    <e v="#N/A"/>
    <s v="OUTBOUND_"/>
  </r>
  <r>
    <s v="1844"/>
    <m/>
    <x v="1"/>
    <s v="OUB-W0012412-575"/>
    <s v="EJ-Malang-01"/>
    <s v="Oka-0813-2707-1646"/>
    <x v="278"/>
    <d v="1899-12-30T11:39:00"/>
    <s v="EJ-MALANG-01"/>
    <x v="0"/>
    <x v="5"/>
    <s v="ZTE1001"/>
    <s v="Pcs"/>
    <n v="39"/>
    <s v="CLR51-09-007"/>
    <x v="114"/>
    <m/>
    <m/>
    <m/>
    <s v="Riki Romansyah"/>
    <n v="0"/>
    <s v="3507050501950006"/>
    <s v="N 8420 EL"/>
    <m/>
    <x v="2"/>
    <s v="PERMANU RW 01 MALANG"/>
    <e v="#N/A"/>
    <e v="#N/A"/>
    <s v="OUTBOUND_"/>
  </r>
  <r>
    <s v="1845"/>
    <m/>
    <x v="1"/>
    <s v="OUB-W0012412-575"/>
    <s v="EJ-Malang-01"/>
    <s v="Oka-0813-2707-1646"/>
    <x v="278"/>
    <d v="1899-12-30T11:39:00"/>
    <s v="EJ-MALANG-01"/>
    <x v="0"/>
    <x v="5"/>
    <s v="ZTE1001"/>
    <s v="Pcs"/>
    <n v="76"/>
    <s v="CLR51-99-056"/>
    <x v="115"/>
    <m/>
    <m/>
    <m/>
    <s v="Riki Romansyah"/>
    <n v="0"/>
    <s v="3507050501950006"/>
    <s v="N 8420 EL"/>
    <m/>
    <x v="2"/>
    <s v="DUSUN CUPAK RW 01"/>
    <e v="#N/A"/>
    <e v="#N/A"/>
    <s v="OUTBOUND_"/>
  </r>
  <r>
    <s v="1846"/>
    <m/>
    <x v="1"/>
    <s v="OUB-W0012412-575"/>
    <s v="EJ-Malang-01"/>
    <s v="Oka-0813-2707-1646"/>
    <x v="278"/>
    <d v="1899-12-30T11:39:00"/>
    <s v="EJ-MALANG-01"/>
    <x v="1"/>
    <x v="12"/>
    <s v="GCI1008"/>
    <s v="Pcs"/>
    <n v="100"/>
    <s v="CLR51-09-007"/>
    <x v="114"/>
    <m/>
    <m/>
    <m/>
    <s v="Riki Romansyah"/>
    <n v="0"/>
    <s v="3507050501950006"/>
    <s v="N 8420 EL"/>
    <m/>
    <x v="2"/>
    <s v="PERMANU RW 01 MALANG"/>
    <e v="#N/A"/>
    <e v="#N/A"/>
    <s v="OUTBOUND_"/>
  </r>
  <r>
    <s v="1847"/>
    <m/>
    <x v="1"/>
    <s v="OUB-W0012412-575"/>
    <s v="EJ-Malang-01"/>
    <s v="Oka-0813-2707-1646"/>
    <x v="278"/>
    <d v="1899-12-30T11:39:00"/>
    <s v="EJ-MALANG-01"/>
    <x v="1"/>
    <x v="16"/>
    <s v="GCI1004"/>
    <s v="Pcs"/>
    <n v="50"/>
    <s v="CLR51-09-007"/>
    <x v="114"/>
    <m/>
    <m/>
    <m/>
    <s v="Riki Romansyah"/>
    <n v="0"/>
    <s v="3507050501950006"/>
    <s v="N 8420 EL"/>
    <m/>
    <x v="2"/>
    <s v="PERMANU RW 01 MALANG"/>
    <e v="#N/A"/>
    <e v="#N/A"/>
    <s v="OUTBOUND_"/>
  </r>
  <r>
    <s v="1848"/>
    <m/>
    <x v="1"/>
    <s v="OUB-W0012412-576"/>
    <s v="EJ-Malang-01"/>
    <s v="Oka-0813-2707-1646"/>
    <x v="279"/>
    <d v="1899-12-30T15:29:00"/>
    <s v="EJ-MALANG-01"/>
    <x v="1"/>
    <x v="9"/>
    <s v="GCI1001"/>
    <s v="Pcs"/>
    <n v="3"/>
    <s v="CLR51-99-049"/>
    <x v="73"/>
    <m/>
    <m/>
    <m/>
    <s v="Fatur"/>
    <n v="0"/>
    <s v="1812010507910004"/>
    <s v="L 9221 K"/>
    <m/>
    <x v="2"/>
    <s v="Perumahan Panca Garden"/>
    <e v="#N/A"/>
    <e v="#N/A"/>
    <s v="OUTBOUND_"/>
  </r>
  <r>
    <s v="1849"/>
    <m/>
    <x v="1"/>
    <s v="OUB-W0012412-576"/>
    <s v="EJ-Malang-01"/>
    <s v="Oka-0813-2707-1646"/>
    <x v="279"/>
    <d v="1899-12-30T15:29:00"/>
    <s v="EJ-MALANG-01"/>
    <x v="1"/>
    <x v="10"/>
    <s v="GCI1009"/>
    <s v="Pcs"/>
    <n v="30"/>
    <s v="CLR51-99-049"/>
    <x v="73"/>
    <m/>
    <m/>
    <m/>
    <s v="Fatur"/>
    <n v="0"/>
    <s v="1812010507910004"/>
    <s v="L 9221 K"/>
    <m/>
    <x v="2"/>
    <s v="Perumahan Panca Garden"/>
    <e v="#N/A"/>
    <e v="#N/A"/>
    <s v="OUTBOUND_"/>
  </r>
  <r>
    <s v="1850"/>
    <m/>
    <x v="1"/>
    <s v="OUB-W0012412-576"/>
    <s v="EJ-Malang-01"/>
    <s v="Oka-0813-2707-1646"/>
    <x v="279"/>
    <d v="1899-12-30T15:29:00"/>
    <s v="EJ-MALANG-01"/>
    <x v="0"/>
    <x v="5"/>
    <s v="ZTE1001"/>
    <s v="Pcs"/>
    <n v="21"/>
    <s v="CLR51-99-049"/>
    <x v="73"/>
    <m/>
    <m/>
    <m/>
    <s v="Fatur"/>
    <n v="0"/>
    <s v="1812010507910004"/>
    <s v="L 9221 K"/>
    <m/>
    <x v="2"/>
    <s v="Perumahan Panca Garden"/>
    <e v="#N/A"/>
    <e v="#N/A"/>
    <s v="OUTBOUND_"/>
  </r>
  <r>
    <s v="1851"/>
    <m/>
    <x v="1"/>
    <s v="OUB-W0012412-576"/>
    <s v="EJ-Malang-01"/>
    <s v="Oka-0813-2707-1646"/>
    <x v="279"/>
    <d v="1899-12-30T15:29:00"/>
    <s v="EJ-MALANG-01"/>
    <x v="1"/>
    <x v="12"/>
    <s v="GCI1008"/>
    <s v="Pcs"/>
    <n v="26"/>
    <s v="CLR51-99-049"/>
    <x v="73"/>
    <m/>
    <m/>
    <m/>
    <s v="Fatur"/>
    <n v="0"/>
    <s v="1812010507910004"/>
    <s v="L 9221 K"/>
    <m/>
    <x v="2"/>
    <s v="Perumahan Panca Garden"/>
    <e v="#N/A"/>
    <e v="#N/A"/>
    <s v="OUTBOUND_"/>
  </r>
  <r>
    <s v="1852"/>
    <m/>
    <x v="0"/>
    <s v="INB-W0012412-579"/>
    <s v="EJ-Malang-01"/>
    <s v="Oka-0813-2707-1646"/>
    <x v="280"/>
    <d v="1900-01-14T07:00:00"/>
    <s v="ZTE Warehouse"/>
    <x v="0"/>
    <x v="0"/>
    <s v="ZTE2001"/>
    <s v="Meter"/>
    <n v="3000"/>
    <m/>
    <x v="28"/>
    <n v="0"/>
    <n v="0"/>
    <m/>
    <m/>
    <m/>
    <m/>
    <m/>
    <m/>
    <x v="100"/>
    <n v="0"/>
    <e v="#N/A"/>
    <e v="#N/A"/>
    <s v="OUTBOUND_H-ADSS 24C-20241216-01"/>
  </r>
  <r>
    <s v="1853"/>
    <m/>
    <x v="0"/>
    <s v="INB-W0012412-579"/>
    <s v="EJ-Malang-01"/>
    <s v="Oka-0813-2707-1646"/>
    <x v="280"/>
    <d v="1900-01-14T07:00:00"/>
    <s v="ZTE Warehouse"/>
    <x v="0"/>
    <x v="0"/>
    <s v="ZTE2001"/>
    <s v="Meter"/>
    <n v="3000"/>
    <m/>
    <x v="28"/>
    <n v="0"/>
    <n v="0"/>
    <m/>
    <m/>
    <m/>
    <m/>
    <m/>
    <m/>
    <x v="101"/>
    <n v="0"/>
    <e v="#N/A"/>
    <e v="#N/A"/>
    <s v="OUTBOUND_H-ADSS 24C-20241216-02"/>
  </r>
  <r>
    <s v="1854"/>
    <m/>
    <x v="1"/>
    <s v="OUB-W0012412-578"/>
    <s v="EJ-Malang-01"/>
    <s v="Oka-0813-2707-1646"/>
    <x v="280"/>
    <d v="1899-12-30T17:12:00"/>
    <s v="EJ-MALANG-01"/>
    <x v="1"/>
    <x v="6"/>
    <s v="GCI1011"/>
    <s v="Pcs"/>
    <n v="1"/>
    <s v="CLR51-09-007"/>
    <x v="114"/>
    <m/>
    <m/>
    <m/>
    <s v="Riki Romansyah"/>
    <n v="0"/>
    <s v="3507050501950006"/>
    <s v="N 8420 EL"/>
    <m/>
    <x v="2"/>
    <s v="PERMANU RW 01 MALANG"/>
    <e v="#N/A"/>
    <e v="#N/A"/>
    <s v="OUTBOUND_"/>
  </r>
  <r>
    <s v="1855"/>
    <m/>
    <x v="1"/>
    <s v="OUB-W0012412-578"/>
    <s v="EJ-Malang-01"/>
    <s v="Oka-0813-2707-1646"/>
    <x v="280"/>
    <d v="1899-12-30T17:12:00"/>
    <s v="EJ-MALANG-01"/>
    <x v="1"/>
    <x v="8"/>
    <s v="GCI1005"/>
    <s v="Pcs"/>
    <n v="42"/>
    <s v="CLR51-09-007"/>
    <x v="114"/>
    <m/>
    <m/>
    <m/>
    <s v="Riki Romansyah"/>
    <n v="0"/>
    <s v="3507050501950006"/>
    <s v="N 8420 EL"/>
    <m/>
    <x v="2"/>
    <s v="PERMANU RW 01 MALANG"/>
    <e v="#N/A"/>
    <e v="#N/A"/>
    <s v="OUTBOUND_"/>
  </r>
  <r>
    <s v="1856"/>
    <m/>
    <x v="1"/>
    <s v="OUB-W0012412-577"/>
    <s v="EJ-Malang-01"/>
    <s v="Oka-0813-2707-1646"/>
    <x v="280"/>
    <d v="1899-12-30T14:37:00"/>
    <s v="EJ-MALANG-01"/>
    <x v="1"/>
    <x v="9"/>
    <s v="GCI1001"/>
    <s v="Pcs"/>
    <n v="1"/>
    <s v="CLR51-99-049"/>
    <x v="73"/>
    <m/>
    <m/>
    <m/>
    <s v="Fatur"/>
    <n v="0"/>
    <s v="1812010507910004"/>
    <s v="L 9221 K"/>
    <m/>
    <x v="2"/>
    <s v="Perumahan Panca Garden"/>
    <e v="#N/A"/>
    <e v="#N/A"/>
    <s v="OUTBOUND_"/>
  </r>
  <r>
    <s v="1857"/>
    <m/>
    <x v="1"/>
    <s v="OUB-W0012412-577"/>
    <s v="EJ-Malang-01"/>
    <s v="Oka-0813-2707-1646"/>
    <x v="280"/>
    <d v="1899-12-30T14:37:00"/>
    <s v="EJ-MALANG-01"/>
    <x v="0"/>
    <x v="5"/>
    <s v="ZTE1001"/>
    <s v="Pcs"/>
    <n v="9"/>
    <s v="CLR51-99-049"/>
    <x v="73"/>
    <m/>
    <m/>
    <m/>
    <s v="Fatur"/>
    <n v="0"/>
    <s v="1812010507910004"/>
    <s v="L 9221 K"/>
    <m/>
    <x v="2"/>
    <s v="Perumahan Panca Garden"/>
    <e v="#N/A"/>
    <e v="#N/A"/>
    <s v="OUTBOUND_"/>
  </r>
  <r>
    <s v="1858"/>
    <m/>
    <x v="0"/>
    <s v="INB-W0012412-582"/>
    <s v="EJ-Malang-01"/>
    <s v="Oka-0813-2707-1646"/>
    <x v="281"/>
    <d v="1900-01-14T07:00:00"/>
    <s v="ZTE Warehouse"/>
    <x v="0"/>
    <x v="2"/>
    <s v="ZTE2008"/>
    <s v="Pcs"/>
    <n v="49"/>
    <m/>
    <x v="28"/>
    <n v="0"/>
    <n v="0"/>
    <m/>
    <m/>
    <m/>
    <m/>
    <m/>
    <m/>
    <x v="2"/>
    <n v="0"/>
    <e v="#N/A"/>
    <e v="#N/A"/>
    <s v="OUTBOUND_"/>
  </r>
  <r>
    <s v="1859"/>
    <m/>
    <x v="1"/>
    <s v="OUB-W0012412-581"/>
    <s v="EJ-Malang-01"/>
    <s v="Oka-0813-2707-1646"/>
    <x v="281"/>
    <d v="1899-12-30T21:03:00"/>
    <s v="EJ-MALANG-01"/>
    <x v="0"/>
    <x v="2"/>
    <s v="ZTE2008"/>
    <s v="Pcs"/>
    <n v="18"/>
    <s v="CLR51-99-056"/>
    <x v="115"/>
    <m/>
    <m/>
    <m/>
    <s v="Fahrudin"/>
    <n v="0"/>
    <n v="0"/>
    <s v="N 1383 G"/>
    <m/>
    <x v="2"/>
    <s v="DUSUN CUPAK RW 01"/>
    <e v="#N/A"/>
    <e v="#N/A"/>
    <s v="OUTBOUND_"/>
  </r>
  <r>
    <s v="1860"/>
    <m/>
    <x v="1"/>
    <s v="OUB-W0012412-580"/>
    <s v="EJ-Malang-01"/>
    <s v="Oka-0813-2707-1646"/>
    <x v="281"/>
    <d v="1899-12-30T15:49:00"/>
    <s v="EJ-MALANG-01"/>
    <x v="0"/>
    <x v="2"/>
    <s v="ZTE2008"/>
    <s v="Pcs"/>
    <n v="30"/>
    <s v="CLR51-09-007"/>
    <x v="114"/>
    <m/>
    <m/>
    <m/>
    <s v="Deni Indra"/>
    <n v="0"/>
    <n v="0"/>
    <s v="N 1547 IR"/>
    <m/>
    <x v="2"/>
    <s v="PERMANU RW 01 MALANG"/>
    <e v="#N/A"/>
    <e v="#N/A"/>
    <s v="OUTBOUND_"/>
  </r>
  <r>
    <s v="1861"/>
    <m/>
    <x v="0"/>
    <s v="INB-W0012412-582"/>
    <s v="EJ-Malang-01"/>
    <s v="Oka-0813-2707-1646"/>
    <x v="281"/>
    <d v="1900-01-14T07:00:00"/>
    <s v="ZTE Warehouse"/>
    <x v="0"/>
    <x v="3"/>
    <s v="ZTE2005"/>
    <s v="Pcs"/>
    <n v="3"/>
    <m/>
    <x v="28"/>
    <n v="0"/>
    <n v="0"/>
    <m/>
    <m/>
    <m/>
    <m/>
    <m/>
    <m/>
    <x v="2"/>
    <n v="0"/>
    <e v="#N/A"/>
    <e v="#N/A"/>
    <s v="OUTBOUND_"/>
  </r>
  <r>
    <s v="1862"/>
    <m/>
    <x v="1"/>
    <s v="OUB-W0012412-580"/>
    <s v="EJ-Malang-01"/>
    <s v="Oka-0813-2707-1646"/>
    <x v="281"/>
    <d v="1899-12-30T15:49:00"/>
    <s v="EJ-MALANG-01"/>
    <x v="0"/>
    <x v="3"/>
    <s v="ZTE2005"/>
    <s v="Pcs"/>
    <n v="1"/>
    <s v="CLR51-09-004"/>
    <x v="113"/>
    <m/>
    <m/>
    <m/>
    <s v="Deni Indra"/>
    <n v="0"/>
    <n v="0"/>
    <s v="N 1547 IR"/>
    <m/>
    <x v="2"/>
    <s v="Permanu RW 02 Pakisaji"/>
    <e v="#N/A"/>
    <e v="#N/A"/>
    <s v="OUTBOUND_"/>
  </r>
  <r>
    <s v="1863"/>
    <m/>
    <x v="1"/>
    <s v="OUB-W0012412-581"/>
    <s v="EJ-Malang-01"/>
    <s v="Oka-0813-2707-1646"/>
    <x v="281"/>
    <d v="1899-12-30T21:03:00"/>
    <s v="EJ-MALANG-01"/>
    <x v="0"/>
    <x v="3"/>
    <s v="ZTE2005"/>
    <s v="Pcs"/>
    <n v="2"/>
    <s v="CLR51-99-056"/>
    <x v="115"/>
    <m/>
    <m/>
    <m/>
    <s v="Fahrudin"/>
    <n v="0"/>
    <n v="0"/>
    <s v="N 1383 G"/>
    <m/>
    <x v="2"/>
    <s v="DUSUN CUPAK RW 01"/>
    <e v="#N/A"/>
    <e v="#N/A"/>
    <s v="OUTBOUND_"/>
  </r>
  <r>
    <s v="1864"/>
    <m/>
    <x v="0"/>
    <s v="INB-W0012412-582"/>
    <s v="EJ-Malang-01"/>
    <s v="Oka-0813-2707-1646"/>
    <x v="281"/>
    <d v="1900-01-14T07:00:00"/>
    <s v="ZTE Warehouse"/>
    <x v="0"/>
    <x v="20"/>
    <s v="ZTE1004"/>
    <s v="Pcs"/>
    <n v="1"/>
    <m/>
    <x v="28"/>
    <n v="0"/>
    <n v="0"/>
    <m/>
    <m/>
    <m/>
    <m/>
    <m/>
    <m/>
    <x v="2"/>
    <n v="0"/>
    <e v="#N/A"/>
    <e v="#N/A"/>
    <s v="OUTBOUND_"/>
  </r>
  <r>
    <s v="1865"/>
    <m/>
    <x v="1"/>
    <s v="OUB-W0012412-581"/>
    <s v="EJ-Malang-01"/>
    <s v="Oka-0813-2707-1646"/>
    <x v="281"/>
    <d v="1899-12-30T21:03:00"/>
    <s v="EJ-MALANG-01"/>
    <x v="0"/>
    <x v="20"/>
    <s v="ZTE1004"/>
    <s v="Pcs"/>
    <n v="1"/>
    <s v="CLR51-99-056"/>
    <x v="115"/>
    <m/>
    <m/>
    <m/>
    <s v="Fahrudin"/>
    <n v="0"/>
    <n v="0"/>
    <s v="N 1383 G"/>
    <m/>
    <x v="2"/>
    <s v="DUSUN CUPAK RW 01"/>
    <e v="#N/A"/>
    <e v="#N/A"/>
    <s v="OUTBOUND_"/>
  </r>
  <r>
    <s v="1866"/>
    <m/>
    <x v="0"/>
    <s v="INB-W0012412-582"/>
    <s v="EJ-Malang-01"/>
    <s v="Oka-0813-2707-1646"/>
    <x v="281"/>
    <d v="1900-01-14T07:00:00"/>
    <s v="ZTE Warehouse"/>
    <x v="0"/>
    <x v="4"/>
    <s v="ZTE1002"/>
    <s v="Pcs"/>
    <n v="16"/>
    <m/>
    <x v="28"/>
    <n v="0"/>
    <n v="0"/>
    <m/>
    <m/>
    <m/>
    <m/>
    <m/>
    <m/>
    <x v="2"/>
    <n v="0"/>
    <e v="#N/A"/>
    <e v="#N/A"/>
    <s v="OUTBOUND_"/>
  </r>
  <r>
    <s v="1867"/>
    <m/>
    <x v="0"/>
    <s v="INB-W0012412-582"/>
    <s v="EJ-Malang-01"/>
    <s v="Oka-0813-2707-1646"/>
    <x v="281"/>
    <d v="1900-01-14T07:00:00"/>
    <s v="ZTE Warehouse"/>
    <x v="0"/>
    <x v="5"/>
    <s v="ZTE1001"/>
    <s v="Pcs"/>
    <n v="113"/>
    <m/>
    <x v="28"/>
    <n v="0"/>
    <n v="0"/>
    <m/>
    <m/>
    <m/>
    <m/>
    <m/>
    <m/>
    <x v="2"/>
    <n v="0"/>
    <e v="#N/A"/>
    <e v="#N/A"/>
    <s v="OUTBOUND_"/>
  </r>
  <r>
    <s v="1868"/>
    <m/>
    <x v="1"/>
    <s v="OUB-W0012412-583"/>
    <s v="EJ-Malang-01"/>
    <s v="Oka-0813-2707-1646"/>
    <x v="282"/>
    <d v="1899-12-30T21:03:00"/>
    <s v="EJ-MALANG-01"/>
    <x v="0"/>
    <x v="0"/>
    <s v="ZTE2001"/>
    <s v="Meter"/>
    <n v="3000"/>
    <s v="CLR51-99-058"/>
    <x v="116"/>
    <m/>
    <m/>
    <m/>
    <s v="Riki Romansyah"/>
    <s v="Susilo"/>
    <s v="3507050501950006"/>
    <s v="N 8420 EL"/>
    <m/>
    <x v="2"/>
    <s v="Dusun Cupak RW 02"/>
    <e v="#N/A"/>
    <e v="#N/A"/>
    <s v="OUTBOUND_"/>
  </r>
  <r>
    <s v="1869"/>
    <m/>
    <x v="1"/>
    <s v="OUB-W0012412-584"/>
    <s v="EJ-Malang-01"/>
    <s v="Oka-0813-2707-1646"/>
    <x v="283"/>
    <d v="1899-12-30T18:58:00"/>
    <s v="EJ-MALANG-01"/>
    <x v="0"/>
    <x v="2"/>
    <s v="ZTE2008"/>
    <s v="Pcs"/>
    <n v="2"/>
    <s v="CLR51-99-056"/>
    <x v="115"/>
    <m/>
    <m/>
    <m/>
    <s v="Fatur"/>
    <n v="0"/>
    <s v="3515082712870005"/>
    <s v="W 3265 OH"/>
    <m/>
    <x v="2"/>
    <s v="DUSUN CUPAK RW 01"/>
    <e v="#N/A"/>
    <e v="#N/A"/>
    <s v="OUTBOUND_"/>
  </r>
  <r>
    <s v="1870"/>
    <m/>
    <x v="1"/>
    <s v="OUB-W0012412-585"/>
    <s v="EJ-Malang-01"/>
    <s v="Oka-0813-2707-1646"/>
    <x v="284"/>
    <d v="1899-12-30T10:53:00"/>
    <s v="EJ-MALANG-01"/>
    <x v="1"/>
    <x v="22"/>
    <s v="GCI1018"/>
    <s v="Pcs"/>
    <n v="12"/>
    <s v="CLR51-09-013"/>
    <x v="117"/>
    <m/>
    <m/>
    <m/>
    <s v="Riki Romansyah"/>
    <n v="0"/>
    <s v="3507050501950006"/>
    <s v="N 8420 EL"/>
    <m/>
    <x v="2"/>
    <s v="Perum Chandra Kirana Watugede"/>
    <e v="#N/A"/>
    <e v="#N/A"/>
    <s v="OUTBOUND_"/>
  </r>
  <r>
    <s v="1871"/>
    <m/>
    <x v="1"/>
    <s v="OUB-W0012412-586"/>
    <s v="EJ-Malang-01"/>
    <s v="Oka-0813-2707-1646"/>
    <x v="285"/>
    <d v="1899-12-30T17:31:00"/>
    <s v="EJ-MALANG-01"/>
    <x v="0"/>
    <x v="2"/>
    <s v="ZTE2008"/>
    <s v="Pcs"/>
    <n v="12"/>
    <s v="CLR51-09-013"/>
    <x v="117"/>
    <m/>
    <m/>
    <m/>
    <s v="Sifak"/>
    <n v="0"/>
    <s v="3507312107950002"/>
    <s v="N 1969 FF"/>
    <m/>
    <x v="2"/>
    <s v="Perum Chandra Kirana Watugede"/>
    <e v="#N/A"/>
    <e v="#N/A"/>
    <s v="OUTBOUND_"/>
  </r>
  <r>
    <s v="1872"/>
    <m/>
    <x v="1"/>
    <s v="OUB-W0012412-586"/>
    <s v="EJ-Malang-01"/>
    <s v="Oka-0813-2707-1646"/>
    <x v="285"/>
    <d v="1899-12-30T17:31:00"/>
    <s v="EJ-MALANG-01"/>
    <x v="0"/>
    <x v="3"/>
    <s v="ZTE2005"/>
    <s v="Pcs"/>
    <n v="1"/>
    <s v="CLR51-09-013"/>
    <x v="117"/>
    <m/>
    <m/>
    <m/>
    <s v="Sifak"/>
    <n v="0"/>
    <s v="3507312107950002"/>
    <s v="N 1969 FF"/>
    <m/>
    <x v="2"/>
    <s v="Perum Chandra Kirana Watugede"/>
    <e v="#N/A"/>
    <e v="#N/A"/>
    <s v="OUTBOUND_"/>
  </r>
  <r>
    <s v="1873"/>
    <m/>
    <x v="1"/>
    <s v="OUB-W0012412-587"/>
    <s v="EJ-Malang-01"/>
    <s v="Oka-0813-2707-1646"/>
    <x v="285"/>
    <d v="1899-12-30T17:31:00"/>
    <s v="EJ-MALANG-01"/>
    <x v="1"/>
    <x v="12"/>
    <s v="GCI1008"/>
    <s v="Pcs"/>
    <n v="25"/>
    <s v="CLR51-09-013"/>
    <x v="117"/>
    <m/>
    <m/>
    <m/>
    <s v="Riki Romansyah"/>
    <n v="0"/>
    <s v="3507050501950006"/>
    <s v="N 8420 EL"/>
    <m/>
    <x v="2"/>
    <s v="Perum Chandra Kirana Watugede"/>
    <e v="#N/A"/>
    <e v="#N/A"/>
    <s v="OUTBOUND_"/>
  </r>
  <r>
    <s v="1874"/>
    <m/>
    <x v="3"/>
    <s v="TFO-W0012412-588"/>
    <s v="EJ-Malang-01"/>
    <s v="Oka-0813-2707-1646"/>
    <x v="286"/>
    <d v="1899-12-30T20:04:00"/>
    <s v="EJ-JOMBANG-01"/>
    <x v="1"/>
    <x v="25"/>
    <s v="GCI1010"/>
    <s v="Pcs"/>
    <n v="50"/>
    <n v="0"/>
    <x v="10"/>
    <m/>
    <m/>
    <m/>
    <s v="Fatur"/>
    <n v="0"/>
    <s v="1812010507910004"/>
    <s v="AG 8030 KG"/>
    <s v="TRF ke Jombang"/>
    <x v="2"/>
    <s v="Transfer Gudang"/>
    <e v="#N/A"/>
    <e v="#N/A"/>
    <s v="TRANSFER OUT_"/>
  </r>
  <r>
    <s v="1875"/>
    <m/>
    <x v="1"/>
    <s v="OUB-W0012412-589"/>
    <s v="EJ-Malang-01"/>
    <s v="Oka-0813-2707-1646"/>
    <x v="286"/>
    <d v="1899-12-30T21:03:00"/>
    <s v="EJ-MALANG-01"/>
    <x v="0"/>
    <x v="4"/>
    <s v="ZTE1002"/>
    <s v="Pcs"/>
    <n v="3"/>
    <s v="CLR51-99-058"/>
    <x v="116"/>
    <m/>
    <m/>
    <m/>
    <s v="Riki Romansyah"/>
    <n v="0"/>
    <s v="3507050501950006"/>
    <s v="N 8420 EL"/>
    <m/>
    <x v="2"/>
    <s v="Dusun Cupak RW 02"/>
    <e v="#N/A"/>
    <e v="#N/A"/>
    <s v="OUTBOUND_"/>
  </r>
  <r>
    <s v="1876"/>
    <m/>
    <x v="1"/>
    <s v="OUB-W0012412-590"/>
    <s v="EJ-Malang-01"/>
    <s v="Oka-0813-2707-1646"/>
    <x v="287"/>
    <d v="1899-12-30T17:31:00"/>
    <s v="EJ-MALANG-01"/>
    <x v="0"/>
    <x v="2"/>
    <s v="ZTE2008"/>
    <s v="Pcs"/>
    <n v="1"/>
    <s v="CLR51-09-013"/>
    <x v="117"/>
    <m/>
    <m/>
    <m/>
    <s v="Sifak"/>
    <n v="0"/>
    <s v="3507312107950002"/>
    <s v="N 5612 GAA"/>
    <s v="BA FAT Vandal"/>
    <x v="2"/>
    <s v="Perum Chandra Kirana Watugede"/>
    <e v="#N/A"/>
    <e v="#N/A"/>
    <s v="OUTBOUND_"/>
  </r>
  <r>
    <s v="1877"/>
    <m/>
    <x v="0"/>
    <s v="INB-W0012412-593"/>
    <s v="EJ-Malang-01"/>
    <s v="Oka-0813-2707-1646"/>
    <x v="288"/>
    <d v="1900-01-14T07:00:00"/>
    <s v="GCI Procurement"/>
    <x v="1"/>
    <x v="6"/>
    <s v="GCI1011"/>
    <s v="Pcs"/>
    <n v="2"/>
    <n v="0"/>
    <x v="17"/>
    <n v="0"/>
    <n v="0"/>
    <m/>
    <m/>
    <m/>
    <m/>
    <m/>
    <m/>
    <x v="2"/>
    <n v="0"/>
    <e v="#N/A"/>
    <e v="#N/A"/>
    <s v="OUTBOUND_"/>
  </r>
  <r>
    <s v="1878"/>
    <m/>
    <x v="0"/>
    <s v="INB-W0012412-593"/>
    <s v="EJ-Malang-01"/>
    <s v="Oka-0813-2707-1646"/>
    <x v="288"/>
    <d v="1900-01-14T07:00:00"/>
    <s v="GCI Procurement"/>
    <x v="1"/>
    <x v="8"/>
    <s v="GCI1005"/>
    <s v="Pcs"/>
    <n v="69"/>
    <n v="0"/>
    <x v="17"/>
    <n v="0"/>
    <n v="0"/>
    <m/>
    <m/>
    <m/>
    <m/>
    <m/>
    <m/>
    <x v="2"/>
    <n v="0"/>
    <e v="#N/A"/>
    <e v="#N/A"/>
    <s v="OUTBOUND_"/>
  </r>
  <r>
    <s v="1879"/>
    <m/>
    <x v="1"/>
    <s v="OUB-W0012412-591"/>
    <s v="EJ-Malang-01"/>
    <s v="Oka-0813-2707-1646"/>
    <x v="288"/>
    <d v="1899-12-30T09:45:00"/>
    <s v="EJ-MALANG-01"/>
    <x v="1"/>
    <x v="8"/>
    <s v="GCI1005"/>
    <s v="Pcs"/>
    <n v="69"/>
    <s v="CLR51-09-013"/>
    <x v="117"/>
    <m/>
    <m/>
    <m/>
    <s v="Riki Romansyah"/>
    <n v="0"/>
    <s v="3507050501950006"/>
    <s v="N 8420 EL"/>
    <m/>
    <x v="2"/>
    <s v="Perum Chandra Kirana Watugede"/>
    <e v="#N/A"/>
    <e v="#N/A"/>
    <s v="OUTBOUND_"/>
  </r>
  <r>
    <s v="1880"/>
    <m/>
    <x v="0"/>
    <s v="INB-W0012412-593"/>
    <s v="EJ-Malang-01"/>
    <s v="Oka-0813-2707-1646"/>
    <x v="288"/>
    <d v="1900-01-14T07:00:00"/>
    <s v="GCI Procurement"/>
    <x v="1"/>
    <x v="9"/>
    <s v="GCI1001"/>
    <s v="Pcs"/>
    <n v="123"/>
    <n v="0"/>
    <x v="17"/>
    <n v="0"/>
    <n v="0"/>
    <m/>
    <m/>
    <m/>
    <m/>
    <m/>
    <m/>
    <x v="2"/>
    <n v="0"/>
    <e v="#N/A"/>
    <e v="#N/A"/>
    <s v="OUTBOUND_"/>
  </r>
  <r>
    <s v="1881"/>
    <m/>
    <x v="1"/>
    <s v="OUB-W0012412-591"/>
    <s v="EJ-Malang-01"/>
    <s v="Oka-0813-2707-1646"/>
    <x v="288"/>
    <d v="1899-12-30T09:45:00"/>
    <s v="EJ-MALANG-01"/>
    <x v="1"/>
    <x v="9"/>
    <s v="GCI1001"/>
    <s v="Pcs"/>
    <n v="20"/>
    <s v="CLR51-09-013"/>
    <x v="117"/>
    <m/>
    <m/>
    <m/>
    <s v="Riki Romansyah"/>
    <n v="0"/>
    <s v="3507050501950006"/>
    <s v="N 8420 EL"/>
    <m/>
    <x v="2"/>
    <s v="Perum Chandra Kirana Watugede"/>
    <e v="#N/A"/>
    <e v="#N/A"/>
    <s v="OUTBOUND_"/>
  </r>
  <r>
    <s v="1882"/>
    <m/>
    <x v="0"/>
    <s v="INB-W0012412-593"/>
    <s v="EJ-Malang-01"/>
    <s v="Oka-0813-2707-1646"/>
    <x v="288"/>
    <d v="1900-01-14T07:00:00"/>
    <s v="GCI Procurement"/>
    <x v="1"/>
    <x v="10"/>
    <s v="GCI1009"/>
    <s v="Pcs"/>
    <n v="304"/>
    <n v="0"/>
    <x v="17"/>
    <n v="0"/>
    <n v="0"/>
    <m/>
    <m/>
    <m/>
    <m/>
    <m/>
    <m/>
    <x v="2"/>
    <n v="0"/>
    <e v="#N/A"/>
    <e v="#N/A"/>
    <s v="OUTBOUND_"/>
  </r>
  <r>
    <s v="1883"/>
    <m/>
    <x v="1"/>
    <s v="OUB-W0012412-591"/>
    <s v="EJ-Malang-01"/>
    <s v="Oka-0813-2707-1646"/>
    <x v="288"/>
    <d v="1899-12-30T09:45:00"/>
    <s v="EJ-MALANG-01"/>
    <x v="1"/>
    <x v="10"/>
    <s v="GCI1009"/>
    <s v="Pcs"/>
    <n v="104"/>
    <s v="CLR51-09-013"/>
    <x v="117"/>
    <m/>
    <m/>
    <m/>
    <s v="Riki Romansyah"/>
    <n v="0"/>
    <s v="3507050501950006"/>
    <s v="N 8420 EL"/>
    <m/>
    <x v="2"/>
    <s v="Perum Chandra Kirana Watugede"/>
    <e v="#N/A"/>
    <e v="#N/A"/>
    <s v="OUTBOUND_"/>
  </r>
  <r>
    <s v="1884"/>
    <m/>
    <x v="1"/>
    <s v="OUB-W0012412-592"/>
    <s v="EJ-Malang-01"/>
    <s v="Oka-0813-2707-1646"/>
    <x v="288"/>
    <d v="1899-12-30T17:31:00"/>
    <s v="EJ-MALANG-01"/>
    <x v="0"/>
    <x v="2"/>
    <s v="ZTE2008"/>
    <s v="Pcs"/>
    <n v="1"/>
    <s v="CLR51-09-013"/>
    <x v="117"/>
    <m/>
    <m/>
    <m/>
    <s v="Sifak"/>
    <n v="0"/>
    <s v="3507312107950002"/>
    <s v="N 5612 GAA"/>
    <s v="BA FAT Vandal"/>
    <x v="2"/>
    <s v="Perum Chandra Kirana Watugede"/>
    <e v="#N/A"/>
    <e v="#N/A"/>
    <s v="OUTBOUND_"/>
  </r>
  <r>
    <s v="1885"/>
    <m/>
    <x v="1"/>
    <s v="OUB-W0012412-591"/>
    <s v="EJ-Malang-01"/>
    <s v="Oka-0813-2707-1646"/>
    <x v="288"/>
    <d v="1899-12-30T09:45:00"/>
    <s v="EJ-MALANG-01"/>
    <x v="1"/>
    <x v="11"/>
    <s v="GCI1002"/>
    <s v="Pcs"/>
    <n v="1"/>
    <s v="CLR51-09-013"/>
    <x v="117"/>
    <m/>
    <m/>
    <m/>
    <s v="Riki Romansyah"/>
    <n v="0"/>
    <s v="3507050501950006"/>
    <s v="N 8420 EL"/>
    <m/>
    <x v="2"/>
    <s v="Perum Chandra Kirana Watugede"/>
    <e v="#N/A"/>
    <e v="#N/A"/>
    <s v="OUTBOUND_"/>
  </r>
  <r>
    <s v="1886"/>
    <m/>
    <x v="0"/>
    <s v="INB-W0012412-593"/>
    <s v="EJ-Malang-01"/>
    <s v="Oka-0813-2707-1646"/>
    <x v="288"/>
    <d v="1900-01-14T07:00:00"/>
    <s v="GCI Procurement"/>
    <x v="1"/>
    <x v="12"/>
    <s v="GCI1008"/>
    <s v="Pcs"/>
    <n v="301"/>
    <n v="0"/>
    <x v="17"/>
    <n v="0"/>
    <n v="0"/>
    <m/>
    <m/>
    <m/>
    <m/>
    <m/>
    <m/>
    <x v="2"/>
    <n v="0"/>
    <e v="#N/A"/>
    <e v="#N/A"/>
    <s v="OUTBOUND_"/>
  </r>
  <r>
    <s v="1887"/>
    <m/>
    <x v="1"/>
    <s v="OUB-W0012412-591"/>
    <s v="EJ-Malang-01"/>
    <s v="Oka-0813-2707-1646"/>
    <x v="288"/>
    <d v="1899-12-30T09:45:00"/>
    <s v="EJ-MALANG-01"/>
    <x v="1"/>
    <x v="12"/>
    <s v="GCI1008"/>
    <s v="Pcs"/>
    <n v="50"/>
    <s v="CLR51-09-013"/>
    <x v="117"/>
    <m/>
    <m/>
    <m/>
    <s v="Riki Romansyah"/>
    <n v="0"/>
    <s v="3507050501950006"/>
    <s v="N 8420 EL"/>
    <m/>
    <x v="2"/>
    <s v="Perum Chandra Kirana Watugede"/>
    <e v="#N/A"/>
    <e v="#N/A"/>
    <s v="OUTBOUND_"/>
  </r>
  <r>
    <s v="1888"/>
    <m/>
    <x v="0"/>
    <s v="INB-W0012412-593"/>
    <s v="EJ-Malang-01"/>
    <s v="Oka-0813-2707-1646"/>
    <x v="288"/>
    <d v="1900-01-14T07:00:00"/>
    <s v="GCI Procurement"/>
    <x v="1"/>
    <x v="15"/>
    <s v="GCI1003"/>
    <s v="Pcs"/>
    <n v="703"/>
    <n v="0"/>
    <x v="17"/>
    <n v="0"/>
    <n v="0"/>
    <m/>
    <m/>
    <m/>
    <m/>
    <m/>
    <m/>
    <x v="2"/>
    <n v="0"/>
    <e v="#N/A"/>
    <e v="#N/A"/>
    <s v="OUTBOUND_"/>
  </r>
  <r>
    <s v="1889"/>
    <m/>
    <x v="1"/>
    <s v="OUB-W0012412-591"/>
    <s v="EJ-Malang-01"/>
    <s v="Oka-0813-2707-1646"/>
    <x v="288"/>
    <d v="1899-12-30T09:45:00"/>
    <s v="EJ-MALANG-01"/>
    <x v="1"/>
    <x v="15"/>
    <s v="GCI1003"/>
    <s v="Pcs"/>
    <n v="110"/>
    <s v="CLR51-09-013"/>
    <x v="117"/>
    <m/>
    <m/>
    <m/>
    <s v="Riki Romansyah"/>
    <n v="0"/>
    <s v="3507050501950006"/>
    <s v="N 8420 EL"/>
    <m/>
    <x v="2"/>
    <s v="Perum Chandra Kirana Watugede"/>
    <e v="#N/A"/>
    <e v="#N/A"/>
    <s v="OUTBOUND_"/>
  </r>
  <r>
    <s v="1890"/>
    <m/>
    <x v="0"/>
    <s v="INB-W0012412-593"/>
    <s v="EJ-Malang-01"/>
    <s v="Oka-0813-2707-1646"/>
    <x v="288"/>
    <d v="1900-01-14T07:00:00"/>
    <s v="GCI Procurement"/>
    <x v="1"/>
    <x v="16"/>
    <s v="GCI1004"/>
    <s v="Pcs"/>
    <n v="156"/>
    <n v="0"/>
    <x v="17"/>
    <n v="0"/>
    <n v="0"/>
    <m/>
    <m/>
    <m/>
    <m/>
    <m/>
    <m/>
    <x v="2"/>
    <n v="0"/>
    <e v="#N/A"/>
    <e v="#N/A"/>
    <s v="OUTBOUND_"/>
  </r>
  <r>
    <s v="1891"/>
    <m/>
    <x v="1"/>
    <s v="OUB-W0012412-591"/>
    <s v="EJ-Malang-01"/>
    <s v="Oka-0813-2707-1646"/>
    <x v="288"/>
    <d v="1899-12-30T09:45:00"/>
    <s v="EJ-MALANG-01"/>
    <x v="1"/>
    <x v="16"/>
    <s v="GCI1004"/>
    <s v="Pcs"/>
    <n v="50"/>
    <s v="CLR51-09-013"/>
    <x v="117"/>
    <m/>
    <m/>
    <m/>
    <s v="Riki Romansyah"/>
    <n v="0"/>
    <s v="3507050501950006"/>
    <s v="N 8420 EL"/>
    <m/>
    <x v="2"/>
    <s v="Perum Chandra Kirana Watugede"/>
    <e v="#N/A"/>
    <e v="#N/A"/>
    <s v="OUTBOUND_"/>
  </r>
  <r>
    <s v="1892"/>
    <m/>
    <x v="1"/>
    <s v="OUB-W0012501-594"/>
    <s v="EJ-Malang-01"/>
    <s v="Oka-0813-2707-1646"/>
    <x v="289"/>
    <d v="1899-12-30T16:39:00"/>
    <s v="EJ-MALANG-01"/>
    <x v="0"/>
    <x v="0"/>
    <s v="ZTE2001"/>
    <s v="Meter"/>
    <n v="3000"/>
    <s v="CLR51-99-123"/>
    <x v="104"/>
    <m/>
    <m/>
    <m/>
    <s v="Riki Romansyah"/>
    <s v="Susilo"/>
    <s v="3507050501950006"/>
    <s v="N 8420 EL"/>
    <m/>
    <x v="2"/>
    <s v="Tambakasri RW 02 Tajinan"/>
    <e v="#N/A"/>
    <e v="#N/A"/>
    <s v="OUTBOUND_"/>
  </r>
  <r>
    <s v="1893"/>
    <m/>
    <x v="1"/>
    <s v="OUB-W0012501-594"/>
    <s v="EJ-Malang-01"/>
    <s v="Oka-0813-2707-1646"/>
    <x v="289"/>
    <d v="1899-12-30T16:39:00"/>
    <s v="EJ-MALANG-01"/>
    <x v="1"/>
    <x v="9"/>
    <s v="GCI1001"/>
    <s v="Pcs"/>
    <n v="20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894"/>
    <m/>
    <x v="1"/>
    <s v="OUB-W0012501-594"/>
    <s v="EJ-Malang-01"/>
    <s v="Oka-0813-2707-1646"/>
    <x v="289"/>
    <d v="1899-12-30T16:39:00"/>
    <s v="EJ-MALANG-01"/>
    <x v="1"/>
    <x v="10"/>
    <s v="GCI1009"/>
    <s v="Pcs"/>
    <n v="100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895"/>
    <m/>
    <x v="1"/>
    <s v="OUB-W0012501-594"/>
    <s v="EJ-Malang-01"/>
    <s v="Oka-0813-2707-1646"/>
    <x v="289"/>
    <d v="1899-12-30T16:39:00"/>
    <s v="EJ-MALANG-01"/>
    <x v="0"/>
    <x v="5"/>
    <s v="ZTE1001"/>
    <s v="Pcs"/>
    <n v="21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896"/>
    <m/>
    <x v="1"/>
    <s v="OUB-W0012501-594"/>
    <s v="EJ-Malang-01"/>
    <s v="Oka-0813-2707-1646"/>
    <x v="289"/>
    <d v="1899-12-30T16:39:00"/>
    <s v="EJ-MALANG-01"/>
    <x v="1"/>
    <x v="12"/>
    <s v="GCI1008"/>
    <s v="Pcs"/>
    <n v="30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897"/>
    <m/>
    <x v="1"/>
    <s v="OUB-W0012501-594"/>
    <s v="EJ-Malang-01"/>
    <s v="Oka-0813-2707-1646"/>
    <x v="289"/>
    <d v="1899-12-30T16:39:00"/>
    <s v="EJ-MALANG-01"/>
    <x v="1"/>
    <x v="16"/>
    <s v="GCI1004"/>
    <s v="Pcs"/>
    <n v="40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898"/>
    <m/>
    <x v="1"/>
    <s v="OUB-W0012501-595"/>
    <s v="EJ-Malang-01"/>
    <s v="Oka-0813-2707-1646"/>
    <x v="290"/>
    <d v="1899-12-30T17:05:00"/>
    <s v="EJ-MALANG-01"/>
    <x v="0"/>
    <x v="4"/>
    <s v="ZTE1002"/>
    <s v="Pcs"/>
    <n v="9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899"/>
    <m/>
    <x v="1"/>
    <s v="OUB-W0012501-595"/>
    <s v="EJ-Malang-01"/>
    <s v="Oka-0813-2707-1646"/>
    <x v="290"/>
    <d v="1899-12-30T17:05:00"/>
    <s v="EJ-MALANG-01"/>
    <x v="0"/>
    <x v="5"/>
    <s v="ZTE1001"/>
    <s v="Pcs"/>
    <n v="11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00"/>
    <m/>
    <x v="1"/>
    <s v="OUB-W0012501-596"/>
    <s v="EJ-Malang-01"/>
    <s v="Oka-0813-2707-1646"/>
    <x v="291"/>
    <d v="1899-12-30T13:00:00"/>
    <s v="EJ-MALANG-01"/>
    <x v="1"/>
    <x v="8"/>
    <s v="GCI1005"/>
    <s v="Pcs"/>
    <n v="20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01"/>
    <m/>
    <x v="1"/>
    <s v="OUB-W0012501-596"/>
    <s v="EJ-Malang-01"/>
    <s v="Oka-0813-2707-1646"/>
    <x v="291"/>
    <d v="1899-12-30T13:00:00"/>
    <s v="EJ-MALANG-01"/>
    <x v="1"/>
    <x v="9"/>
    <s v="GCI1001"/>
    <s v="Pcs"/>
    <n v="3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02"/>
    <m/>
    <x v="1"/>
    <s v="OUB-W0012501-596"/>
    <s v="EJ-Malang-01"/>
    <s v="Oka-0813-2707-1646"/>
    <x v="291"/>
    <d v="1899-12-30T13:00:00"/>
    <s v="EJ-MALANG-01"/>
    <x v="1"/>
    <x v="11"/>
    <s v="GCI1002"/>
    <s v="Pcs"/>
    <n v="1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03"/>
    <m/>
    <x v="1"/>
    <s v="OUB-W0012501-596"/>
    <s v="EJ-Malang-01"/>
    <s v="Oka-0813-2707-1646"/>
    <x v="291"/>
    <d v="1899-12-30T13:00:00"/>
    <s v="EJ-MALANG-01"/>
    <x v="0"/>
    <x v="4"/>
    <s v="ZTE1002"/>
    <s v="Pcs"/>
    <n v="1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04"/>
    <m/>
    <x v="1"/>
    <s v="OUB-W0012501-596"/>
    <s v="EJ-Malang-01"/>
    <s v="Oka-0813-2707-1646"/>
    <x v="291"/>
    <d v="1899-12-30T13:00:00"/>
    <s v="EJ-MALANG-01"/>
    <x v="1"/>
    <x v="12"/>
    <s v="GCI1008"/>
    <s v="Pcs"/>
    <n v="20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05"/>
    <m/>
    <x v="1"/>
    <s v="OUB-W0012501-596"/>
    <s v="EJ-Malang-01"/>
    <s v="Oka-0813-2707-1646"/>
    <x v="291"/>
    <d v="1899-12-30T13:00:00"/>
    <s v="EJ-MALANG-01"/>
    <x v="1"/>
    <x v="15"/>
    <s v="GCI1003"/>
    <s v="Pcs"/>
    <n v="50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06"/>
    <m/>
    <x v="1"/>
    <s v="OUB-W0012501-597"/>
    <s v="EJ-Malang-01"/>
    <s v="Oka-0813-2707-1646"/>
    <x v="292"/>
    <d v="1899-12-30T21:03:00"/>
    <s v="EJ-MALANG-01"/>
    <x v="0"/>
    <x v="2"/>
    <s v="ZTE2008"/>
    <s v="Pcs"/>
    <n v="27"/>
    <s v="CLR51-99-123"/>
    <x v="104"/>
    <m/>
    <m/>
    <m/>
    <s v="Fahrudin"/>
    <n v="0"/>
    <n v="0"/>
    <s v="N 1383 G"/>
    <m/>
    <x v="2"/>
    <s v="Tambakasri RW 02 Tajinan"/>
    <e v="#N/A"/>
    <e v="#N/A"/>
    <s v="OUTBOUND_"/>
  </r>
  <r>
    <s v="1907"/>
    <m/>
    <x v="1"/>
    <s v="OUB-W0012501-597"/>
    <s v="EJ-Malang-01"/>
    <s v="Oka-0813-2707-1646"/>
    <x v="292"/>
    <d v="1899-12-30T21:03:00"/>
    <s v="EJ-MALANG-01"/>
    <x v="0"/>
    <x v="30"/>
    <s v="ZTE2006"/>
    <s v="Pcs"/>
    <n v="1"/>
    <s v="CLR51-99-123"/>
    <x v="104"/>
    <m/>
    <m/>
    <m/>
    <s v="Fahrudin"/>
    <n v="0"/>
    <n v="0"/>
    <s v="N 1383 G"/>
    <m/>
    <x v="2"/>
    <s v="Tambakasri RW 02 Tajinan"/>
    <e v="#N/A"/>
    <e v="#N/A"/>
    <s v="OUTBOUND_"/>
  </r>
  <r>
    <s v="1908"/>
    <m/>
    <x v="1"/>
    <s v="OUB-W0012501-597"/>
    <s v="EJ-Malang-01"/>
    <s v="Oka-0813-2707-1646"/>
    <x v="292"/>
    <d v="1899-12-30T21:03:00"/>
    <s v="EJ-MALANG-01"/>
    <x v="0"/>
    <x v="20"/>
    <s v="ZTE1004"/>
    <s v="Pcs"/>
    <n v="1"/>
    <s v="CLR51-99-123"/>
    <x v="104"/>
    <m/>
    <m/>
    <m/>
    <s v="Fahrudin"/>
    <n v="0"/>
    <n v="0"/>
    <s v="N 1383 G"/>
    <m/>
    <x v="2"/>
    <s v="Tambakasri RW 02 Tajinan"/>
    <e v="#N/A"/>
    <e v="#N/A"/>
    <s v="OUTBOUND_"/>
  </r>
  <r>
    <s v="1909"/>
    <m/>
    <x v="1"/>
    <s v="OUB-W0012501-598"/>
    <s v="EJ-Malang-01"/>
    <s v="Oka-0813-2707-1646"/>
    <x v="293"/>
    <d v="1899-12-30T13:00:00"/>
    <s v="EJ-MALANG-01"/>
    <x v="0"/>
    <x v="5"/>
    <s v="ZTE1001"/>
    <s v="Pcs"/>
    <n v="11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10"/>
    <m/>
    <x v="1"/>
    <s v="OUB-W0012501-598"/>
    <s v="EJ-Malang-01"/>
    <s v="Oka-0813-2707-1646"/>
    <x v="293"/>
    <d v="1899-12-30T13:00:00"/>
    <s v="EJ-MALANG-01"/>
    <x v="1"/>
    <x v="12"/>
    <s v="GCI1008"/>
    <s v="Pcs"/>
    <n v="20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11"/>
    <m/>
    <x v="1"/>
    <s v="OUB-W0012501-598"/>
    <s v="EJ-Malang-01"/>
    <s v="Oka-0813-2707-1646"/>
    <x v="293"/>
    <d v="1899-12-30T13:00:00"/>
    <s v="EJ-MALANG-01"/>
    <x v="1"/>
    <x v="15"/>
    <s v="GCI1003"/>
    <s v="Pcs"/>
    <n v="20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12"/>
    <m/>
    <x v="1"/>
    <s v="OUB-W0012501-598"/>
    <s v="EJ-Malang-01"/>
    <s v="Oka-0813-2707-1646"/>
    <x v="293"/>
    <d v="1899-12-30T13:00:00"/>
    <s v="EJ-MALANG-01"/>
    <x v="1"/>
    <x v="16"/>
    <s v="GCI1004"/>
    <s v="Pcs"/>
    <n v="10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13"/>
    <m/>
    <x v="1"/>
    <s v="OUB-W0012501-600"/>
    <s v="EJ-Malang-01"/>
    <s v="Oka-0813-2707-1646"/>
    <x v="294"/>
    <d v="1899-12-30T13:40:00"/>
    <s v="EJ-MALANG-01"/>
    <x v="1"/>
    <x v="8"/>
    <s v="GCI1005"/>
    <s v="Pcs"/>
    <n v="40"/>
    <s v="CLR51-03-016"/>
    <x v="118"/>
    <m/>
    <m/>
    <m/>
    <s v="Riki Romansyah"/>
    <n v="0"/>
    <s v="3507050501950006"/>
    <s v="N 8420 EL"/>
    <m/>
    <x v="2"/>
    <s v="Citra Kayane Residence"/>
    <e v="#N/A"/>
    <e v="#N/A"/>
    <s v="OUTBOUND_"/>
  </r>
  <r>
    <s v="1914"/>
    <m/>
    <x v="1"/>
    <s v="OUB-W0012501-600"/>
    <s v="EJ-Malang-01"/>
    <s v="Oka-0813-2707-1646"/>
    <x v="294"/>
    <d v="1899-12-30T13:40:00"/>
    <s v="EJ-MALANG-01"/>
    <x v="1"/>
    <x v="9"/>
    <s v="GCI1001"/>
    <s v="Pcs"/>
    <n v="8"/>
    <s v="CLR51-03-016"/>
    <x v="118"/>
    <m/>
    <m/>
    <m/>
    <s v="Riki Romansyah"/>
    <n v="0"/>
    <s v="3507050501950006"/>
    <s v="N 8420 EL"/>
    <m/>
    <x v="2"/>
    <s v="Citra Kayane Residence"/>
    <e v="#N/A"/>
    <e v="#N/A"/>
    <s v="OUTBOUND_"/>
  </r>
  <r>
    <s v="1915"/>
    <m/>
    <x v="1"/>
    <s v="OUB-W0012501-599"/>
    <s v="EJ-Malang-01"/>
    <s v="Oka-0813-2707-1646"/>
    <x v="294"/>
    <d v="1899-12-30T11:01:00"/>
    <s v="EJ-MALANG-01"/>
    <x v="0"/>
    <x v="2"/>
    <s v="ZTE2008"/>
    <s v="Pcs"/>
    <n v="8"/>
    <s v="CLR51-03-016"/>
    <x v="118"/>
    <m/>
    <m/>
    <m/>
    <s v="Deny Indra"/>
    <n v="0"/>
    <n v="0"/>
    <s v="N 1547 IR"/>
    <m/>
    <x v="2"/>
    <s v="Citra Kayane Residence"/>
    <e v="#N/A"/>
    <e v="#N/A"/>
    <s v="OUTBOUND_"/>
  </r>
  <r>
    <s v="1916"/>
    <m/>
    <x v="1"/>
    <s v="OUB-W0012501-600"/>
    <s v="EJ-Malang-01"/>
    <s v="Oka-0813-2707-1646"/>
    <x v="294"/>
    <d v="1899-12-30T13:40:00"/>
    <s v="EJ-MALANG-01"/>
    <x v="0"/>
    <x v="4"/>
    <s v="ZTE1002"/>
    <s v="Pcs"/>
    <n v="3"/>
    <s v="CLR51-03-016"/>
    <x v="118"/>
    <m/>
    <m/>
    <m/>
    <s v="Riki Romansyah"/>
    <n v="0"/>
    <s v="3507050501950006"/>
    <s v="N 8420 EL"/>
    <m/>
    <x v="2"/>
    <s v="Citra Kayane Residence"/>
    <e v="#N/A"/>
    <e v="#N/A"/>
    <s v="OUTBOUND_"/>
  </r>
  <r>
    <s v="1917"/>
    <m/>
    <x v="1"/>
    <s v="OUB-W0012501-600"/>
    <s v="EJ-Malang-01"/>
    <s v="Oka-0813-2707-1646"/>
    <x v="294"/>
    <d v="1899-12-30T13:40:00"/>
    <s v="EJ-MALANG-01"/>
    <x v="0"/>
    <x v="5"/>
    <s v="ZTE1001"/>
    <s v="Pcs"/>
    <n v="4"/>
    <s v="CLR51-03-016"/>
    <x v="118"/>
    <m/>
    <m/>
    <m/>
    <s v="Riki Romansyah"/>
    <n v="0"/>
    <s v="3507050501950006"/>
    <s v="N 8420 EL"/>
    <m/>
    <x v="2"/>
    <s v="Citra Kayane Residence"/>
    <e v="#N/A"/>
    <e v="#N/A"/>
    <s v="OUTBOUND_"/>
  </r>
  <r>
    <s v="1918"/>
    <m/>
    <x v="1"/>
    <s v="OUB-W0012501-600"/>
    <s v="EJ-Malang-01"/>
    <s v="Oka-0813-2707-1646"/>
    <x v="294"/>
    <d v="1899-12-30T13:40:00"/>
    <s v="EJ-MALANG-01"/>
    <x v="1"/>
    <x v="12"/>
    <s v="GCI1008"/>
    <s v="Pcs"/>
    <n v="30"/>
    <s v="CLR51-03-016"/>
    <x v="118"/>
    <m/>
    <m/>
    <m/>
    <s v="Riki Romansyah"/>
    <n v="0"/>
    <s v="3507050501950006"/>
    <s v="N 8420 EL"/>
    <m/>
    <x v="2"/>
    <s v="Citra Kayane Residence"/>
    <e v="#N/A"/>
    <e v="#N/A"/>
    <s v="OUTBOUND_"/>
  </r>
  <r>
    <s v="1919"/>
    <m/>
    <x v="1"/>
    <s v="OUB-W0012501-600"/>
    <s v="EJ-Malang-01"/>
    <s v="Oka-0813-2707-1646"/>
    <x v="294"/>
    <d v="1899-12-30T13:40:00"/>
    <s v="EJ-MALANG-01"/>
    <x v="1"/>
    <x v="16"/>
    <s v="GCI1004"/>
    <s v="Pcs"/>
    <n v="10"/>
    <s v="CLR51-03-016"/>
    <x v="118"/>
    <m/>
    <m/>
    <m/>
    <s v="Riki Romansyah"/>
    <n v="0"/>
    <s v="3507050501950006"/>
    <s v="N 8420 EL"/>
    <m/>
    <x v="2"/>
    <s v="Citra Kayane Residence"/>
    <e v="#N/A"/>
    <e v="#N/A"/>
    <s v="OUTBOUND_"/>
  </r>
  <r>
    <s v="1920"/>
    <m/>
    <x v="5"/>
    <s v="BOO-W0012501-601"/>
    <s v="EJ-Malang-01"/>
    <s v="Oka-0813-2707-1646"/>
    <x v="295"/>
    <d v="1899-12-30T11:01:00"/>
    <s v="Other Subcon"/>
    <x v="0"/>
    <x v="20"/>
    <s v="ZTE1004"/>
    <s v="Pcs"/>
    <n v="1"/>
    <s v="BR001"/>
    <x v="100"/>
    <m/>
    <m/>
    <m/>
    <s v="Deny Indra"/>
    <n v="0"/>
    <n v="0"/>
    <s v=" N 3639 EEO"/>
    <s v="Beaut Pinjam JC "/>
    <x v="2"/>
    <s v="BEAUT"/>
    <e v="#N/A"/>
    <e v="#N/A"/>
    <s v="BORROW OUT_"/>
  </r>
  <r>
    <s v="1921"/>
    <m/>
    <x v="1"/>
    <s v="OUB-W0012501-602"/>
    <s v="EJ-Malang-01"/>
    <s v="Oka-0813-2707-1646"/>
    <x v="296"/>
    <d v="1899-12-30T13:40:00"/>
    <s v="EJ-MALANG-01"/>
    <x v="0"/>
    <x v="5"/>
    <s v="ZTE1001"/>
    <s v="Pcs"/>
    <n v="5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22"/>
    <m/>
    <x v="1"/>
    <s v="OUB-W0012501-602"/>
    <s v="EJ-Malang-01"/>
    <s v="Oka-0813-2707-1646"/>
    <x v="296"/>
    <d v="1899-12-30T13:40:00"/>
    <s v="EJ-MALANG-01"/>
    <x v="0"/>
    <x v="5"/>
    <s v="ZTE1001"/>
    <s v="Pcs"/>
    <n v="16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23"/>
    <m/>
    <x v="1"/>
    <s v="OUB-W0012501-602"/>
    <s v="EJ-Malang-01"/>
    <s v="Oka-0813-2707-1646"/>
    <x v="296"/>
    <d v="1899-12-30T13:40:00"/>
    <s v="EJ-MALANG-01"/>
    <x v="1"/>
    <x v="12"/>
    <s v="GCI1008"/>
    <s v="Pcs"/>
    <n v="11"/>
    <s v="CLR51-99-123"/>
    <x v="104"/>
    <m/>
    <m/>
    <m/>
    <s v="Riki Romansyah"/>
    <n v="0"/>
    <s v="3507050501950006"/>
    <s v="N 8420 EL"/>
    <m/>
    <x v="2"/>
    <s v="Tambakasri RW 02 Tajinan"/>
    <e v="#N/A"/>
    <e v="#N/A"/>
    <s v="OUTBOUND_"/>
  </r>
  <r>
    <s v="1924"/>
    <m/>
    <x v="0"/>
    <s v="INB-W0012502-603"/>
    <s v="EJ-Malang-01"/>
    <s v="Oka-0813-2707-1646"/>
    <x v="297"/>
    <d v="1900-01-14T07:00:00"/>
    <s v="ZTE Warehouse"/>
    <x v="0"/>
    <x v="0"/>
    <s v="ZTE2001"/>
    <s v="Meter"/>
    <n v="3000"/>
    <s v="CLR51-99-050"/>
    <x v="119"/>
    <n v="0"/>
    <n v="0"/>
    <m/>
    <m/>
    <m/>
    <m/>
    <m/>
    <m/>
    <x v="102"/>
    <s v="Perumahan De Wira Green View"/>
    <e v="#N/A"/>
    <e v="#N/A"/>
    <s v="OUTBOUND_H-ADSS 24C-202525-01"/>
  </r>
  <r>
    <s v="1925"/>
    <m/>
    <x v="0"/>
    <s v="INB-W0012502-603"/>
    <s v="EJ-Malang-01"/>
    <s v="Oka-0813-2707-1646"/>
    <x v="297"/>
    <d v="1900-01-14T07:00:00"/>
    <s v="ZTE Warehouse"/>
    <x v="0"/>
    <x v="2"/>
    <s v="ZTE2008"/>
    <s v="Pcs"/>
    <n v="7"/>
    <s v="CLR51-99-050"/>
    <x v="119"/>
    <n v="0"/>
    <n v="0"/>
    <m/>
    <m/>
    <m/>
    <m/>
    <m/>
    <m/>
    <x v="2"/>
    <s v="Perumahan De Wira Green View"/>
    <e v="#N/A"/>
    <e v="#N/A"/>
    <s v="OUTBOUND_"/>
  </r>
  <r>
    <s v="1926"/>
    <m/>
    <x v="0"/>
    <s v="INB-W0012502-603"/>
    <s v="EJ-Malang-01"/>
    <s v="Oka-0813-2707-1646"/>
    <x v="297"/>
    <d v="1900-01-14T07:00:00"/>
    <s v="ZTE Warehouse"/>
    <x v="0"/>
    <x v="3"/>
    <s v="ZTE2005"/>
    <s v="Pcs"/>
    <n v="1"/>
    <s v="CLR51-99-050"/>
    <x v="119"/>
    <n v="0"/>
    <n v="0"/>
    <m/>
    <m/>
    <m/>
    <m/>
    <m/>
    <m/>
    <x v="2"/>
    <s v="Perumahan De Wira Green View"/>
    <e v="#N/A"/>
    <e v="#N/A"/>
    <s v="OUTBOUND_"/>
  </r>
  <r>
    <s v="1927"/>
    <m/>
    <x v="1"/>
    <s v="OUB-W0012502-604"/>
    <s v="EJ-Malang-01"/>
    <s v="Oka-0813-2707-1646"/>
    <x v="298"/>
    <d v="1899-12-30T09:35:00"/>
    <s v="EJ-MALANG-01"/>
    <x v="1"/>
    <x v="26"/>
    <s v="ZTE2020"/>
    <s v="Meter"/>
    <n v="2"/>
    <s v="CLR51-99-050"/>
    <x v="119"/>
    <m/>
    <m/>
    <m/>
    <s v="Riki Romansyah"/>
    <n v="0"/>
    <s v="3507050501950006"/>
    <s v="N 8420 EL"/>
    <m/>
    <x v="2"/>
    <s v="PERUMAHAN DE WIRA GREEN VIEW"/>
    <e v="#N/A"/>
    <e v="#N/A"/>
    <s v="OUTBOUND_"/>
  </r>
  <r>
    <s v="1928"/>
    <m/>
    <x v="1"/>
    <s v="OUB-W0012502-604"/>
    <s v="EJ-Malang-01"/>
    <s v="Oka-0813-2707-1646"/>
    <x v="298"/>
    <d v="1899-12-30T09:35:00"/>
    <s v="EJ-MALANG-01"/>
    <x v="1"/>
    <x v="9"/>
    <s v="GCI1001"/>
    <s v="Pcs"/>
    <n v="7"/>
    <s v="CLR51-99-050"/>
    <x v="119"/>
    <m/>
    <m/>
    <m/>
    <s v="Riki Romansyah"/>
    <n v="0"/>
    <s v="3507050501950006"/>
    <s v="N 8420 EL"/>
    <m/>
    <x v="2"/>
    <s v="PERUMAHAN DE WIRA GREEN VIEW"/>
    <e v="#N/A"/>
    <e v="#N/A"/>
    <s v="OUTBOUND_"/>
  </r>
  <r>
    <s v="1929"/>
    <m/>
    <x v="1"/>
    <s v="OUB-W0012502-604"/>
    <s v="EJ-Malang-01"/>
    <s v="Oka-0813-2707-1646"/>
    <x v="298"/>
    <d v="1899-12-30T09:35:00"/>
    <s v="EJ-MALANG-01"/>
    <x v="1"/>
    <x v="10"/>
    <s v="GCI1009"/>
    <s v="Pcs"/>
    <n v="30"/>
    <s v="CLR51-99-050"/>
    <x v="119"/>
    <m/>
    <m/>
    <m/>
    <s v="Riki Romansyah"/>
    <n v="0"/>
    <s v="3507050501950006"/>
    <s v="N 8420 EL"/>
    <m/>
    <x v="2"/>
    <s v="PERUMAHAN DE WIRA GREEN VIEW"/>
    <e v="#N/A"/>
    <e v="#N/A"/>
    <s v="OUTBOUND_"/>
  </r>
  <r>
    <s v="1930"/>
    <m/>
    <x v="1"/>
    <s v="OUB-W0012502-604"/>
    <s v="EJ-Malang-01"/>
    <s v="Oka-0813-2707-1646"/>
    <x v="298"/>
    <d v="1899-12-30T09:35:00"/>
    <s v="EJ-MALANG-01"/>
    <x v="0"/>
    <x v="2"/>
    <s v="ZTE2008"/>
    <s v="Pcs"/>
    <n v="7"/>
    <s v="CLR51-99-050"/>
    <x v="119"/>
    <m/>
    <m/>
    <m/>
    <s v="Riki Romansyah"/>
    <n v="0"/>
    <s v="3507050501950006"/>
    <s v="N 8420 EL"/>
    <m/>
    <x v="2"/>
    <s v="PERUMAHAN DE WIRA GREEN VIEW"/>
    <e v="#N/A"/>
    <e v="#N/A"/>
    <s v="OUTBOUND_"/>
  </r>
  <r>
    <s v="1931"/>
    <m/>
    <x v="1"/>
    <s v="OUB-W0012502-604"/>
    <s v="EJ-Malang-01"/>
    <s v="Oka-0813-2707-1646"/>
    <x v="298"/>
    <d v="1899-12-30T09:35:00"/>
    <s v="EJ-MALANG-01"/>
    <x v="0"/>
    <x v="3"/>
    <s v="ZTE2005"/>
    <s v="Pcs"/>
    <n v="1"/>
    <s v="CLR51-99-050"/>
    <x v="119"/>
    <m/>
    <m/>
    <m/>
    <s v="Riki Romansyah"/>
    <n v="0"/>
    <s v="3507050501950006"/>
    <s v="N 8420 EL"/>
    <m/>
    <x v="2"/>
    <s v="PERUMAHAN DE WIRA GREEN VIEW"/>
    <e v="#N/A"/>
    <e v="#N/A"/>
    <s v="OUTBOUND_"/>
  </r>
  <r>
    <s v="1932"/>
    <m/>
    <x v="1"/>
    <s v="OUB-W0012502-604"/>
    <s v="EJ-Malang-01"/>
    <s v="Oka-0813-2707-1646"/>
    <x v="298"/>
    <d v="1899-12-30T09:35:00"/>
    <s v="EJ-MALANG-01"/>
    <x v="0"/>
    <x v="4"/>
    <s v="ZTE1002"/>
    <s v="Pcs"/>
    <n v="21"/>
    <s v="CLR51-99-050"/>
    <x v="119"/>
    <m/>
    <m/>
    <m/>
    <s v="Riki Romansyah"/>
    <n v="0"/>
    <s v="3507050501950006"/>
    <s v="N 8420 EL"/>
    <m/>
    <x v="2"/>
    <s v="PERUMAHAN DE WIRA GREEN VIEW"/>
    <e v="#N/A"/>
    <e v="#N/A"/>
    <s v="OUTBOUND_"/>
  </r>
  <r>
    <s v="1933"/>
    <m/>
    <x v="1"/>
    <s v="OUB-W0012502-604"/>
    <s v="EJ-Malang-01"/>
    <s v="Oka-0813-2707-1646"/>
    <x v="298"/>
    <d v="1899-12-30T09:35:00"/>
    <s v="EJ-MALANG-01"/>
    <x v="0"/>
    <x v="5"/>
    <s v="ZTE1001"/>
    <s v="Pcs"/>
    <n v="1"/>
    <s v="CLR51-99-050"/>
    <x v="119"/>
    <m/>
    <m/>
    <m/>
    <s v="Riki Romansyah"/>
    <n v="0"/>
    <s v="3507050501950006"/>
    <s v="N 8420 EL"/>
    <m/>
    <x v="2"/>
    <s v="PERUMAHAN DE WIRA GREEN VIEW"/>
    <e v="#N/A"/>
    <e v="#N/A"/>
    <s v="OUTBOUND_"/>
  </r>
  <r>
    <s v="1934"/>
    <m/>
    <x v="1"/>
    <s v="OUB-W0012502-604"/>
    <s v="EJ-Malang-01"/>
    <s v="Oka-0813-2707-1646"/>
    <x v="298"/>
    <d v="1899-12-30T09:35:00"/>
    <s v="EJ-MALANG-01"/>
    <x v="1"/>
    <x v="12"/>
    <s v="GCI1008"/>
    <s v="Pcs"/>
    <n v="30"/>
    <s v="CLR51-99-050"/>
    <x v="119"/>
    <m/>
    <m/>
    <m/>
    <s v="Riki Romansyah"/>
    <n v="0"/>
    <s v="3507050501950006"/>
    <s v="N 8420 EL"/>
    <m/>
    <x v="2"/>
    <s v="PERUMAHAN DE WIRA GREEN VIEW"/>
    <e v="#N/A"/>
    <e v="#N/A"/>
    <s v="OUTBOUND_"/>
  </r>
  <r>
    <s v="1935"/>
    <m/>
    <x v="1"/>
    <s v="OUB-W0012502-605"/>
    <s v="EJ-Malang-01"/>
    <s v="Oka-0813-2707-1646"/>
    <x v="299"/>
    <d v="1899-12-30T11:01:00"/>
    <s v="EJ-MALANG-01"/>
    <x v="1"/>
    <x v="9"/>
    <s v="GCI1001"/>
    <s v="Pcs"/>
    <n v="1"/>
    <s v="CLR51-99-050"/>
    <x v="119"/>
    <m/>
    <m/>
    <m/>
    <s v="Deny Indra"/>
    <n v="0"/>
    <n v="0"/>
    <s v="N 1547 IR"/>
    <m/>
    <x v="2"/>
    <s v="PERUMAHAN DE WIRA GREEN VIEW"/>
    <e v="#N/A"/>
    <e v="#N/A"/>
    <s v="OUTBOUND_"/>
  </r>
  <r>
    <s v="1936"/>
    <m/>
    <x v="1"/>
    <s v="OUB-W0012502-605"/>
    <s v="EJ-Malang-01"/>
    <s v="Oka-0813-2707-1646"/>
    <x v="299"/>
    <d v="1899-12-30T11:01:00"/>
    <s v="EJ-MALANG-01"/>
    <x v="0"/>
    <x v="20"/>
    <s v="ZTE1004"/>
    <s v="Pcs"/>
    <n v="1"/>
    <s v="CLR51-99-050"/>
    <x v="119"/>
    <m/>
    <m/>
    <m/>
    <s v="Deny Indra"/>
    <n v="0"/>
    <n v="0"/>
    <s v="N 1547 IR"/>
    <m/>
    <x v="2"/>
    <s v="PERUMAHAN DE WIRA GREEN VIEW"/>
    <e v="#N/A"/>
    <e v="#N/A"/>
    <s v="OUTBOUND_"/>
  </r>
  <r>
    <s v="1937"/>
    <m/>
    <x v="1"/>
    <s v="OUB-W0012502-606"/>
    <s v="EJ-Malang-01"/>
    <s v="Oka-0813-2707-1646"/>
    <x v="300"/>
    <d v="1899-12-30T09:35:00"/>
    <s v="EJ-MALANG-01"/>
    <x v="1"/>
    <x v="10"/>
    <s v="GCI1009"/>
    <s v="Pcs"/>
    <n v="2"/>
    <s v="CLR51-03-010"/>
    <x v="81"/>
    <m/>
    <m/>
    <m/>
    <s v="Fatur"/>
    <n v="0"/>
    <s v="1812010507910004"/>
    <s v="L 9221 K"/>
    <m/>
    <x v="2"/>
    <s v="Dusun Krajan Sumbersekar"/>
    <e v="#N/A"/>
    <e v="#N/A"/>
    <s v="OUTBOUND_"/>
  </r>
  <r>
    <s v="1938"/>
    <m/>
    <x v="1"/>
    <s v="OUB-W0012502-606"/>
    <s v="EJ-Malang-01"/>
    <s v="Oka-0813-2707-1646"/>
    <x v="300"/>
    <d v="1899-12-30T09:35:00"/>
    <s v="EJ-MALANG-01"/>
    <x v="0"/>
    <x v="5"/>
    <s v="ZTE1001"/>
    <s v="Pcs"/>
    <n v="1"/>
    <s v="CLR51-03-010"/>
    <x v="81"/>
    <m/>
    <m/>
    <m/>
    <s v="Fatur"/>
    <n v="0"/>
    <s v="1812010507910004"/>
    <s v="L 9221 K"/>
    <m/>
    <x v="2"/>
    <s v="Dusun Krajan Sumbersekar"/>
    <e v="#N/A"/>
    <e v="#N/A"/>
    <s v="OUTBOUND_"/>
  </r>
  <r>
    <s v="1939"/>
    <m/>
    <x v="1"/>
    <s v="OUB-W0012502-606"/>
    <s v="EJ-Malang-01"/>
    <s v="Oka-0813-2707-1646"/>
    <x v="300"/>
    <d v="1899-12-30T09:35:00"/>
    <s v="EJ-MALANG-01"/>
    <x v="1"/>
    <x v="16"/>
    <s v="GCI1004"/>
    <s v="Pcs"/>
    <n v="1"/>
    <s v="CLR51-03-010"/>
    <x v="81"/>
    <m/>
    <m/>
    <m/>
    <s v="Fatur"/>
    <n v="0"/>
    <s v="1812010507910004"/>
    <s v="L 9221 K"/>
    <m/>
    <x v="2"/>
    <s v="Dusun Krajan Sumbersekar"/>
    <e v="#N/A"/>
    <e v="#N/A"/>
    <s v="OUTBOUND_"/>
  </r>
  <r>
    <s v="1940"/>
    <m/>
    <x v="0"/>
    <s v="INB-W0012502-608"/>
    <s v="EJ-Malang-01"/>
    <s v="Oka-0813-2707-1646"/>
    <x v="301"/>
    <d v="1900-01-14T07:00:00"/>
    <s v="ZTE Warehouse"/>
    <x v="0"/>
    <x v="0"/>
    <s v="ZTE2001"/>
    <s v="Meter"/>
    <n v="3000"/>
    <s v="CLR51-08-007"/>
    <x v="120"/>
    <s v="DOEID25021852"/>
    <n v="0"/>
    <m/>
    <m/>
    <m/>
    <m/>
    <m/>
    <m/>
    <x v="103"/>
    <s v="Sitirejo RW 04 Wagir"/>
    <d v="2025-02-19T00:00:00"/>
    <b v="1"/>
    <s v="OUTBOUND_H-ADSS 24C-2025220-01"/>
  </r>
  <r>
    <s v="1941"/>
    <m/>
    <x v="0"/>
    <s v="INB-W0012502-608"/>
    <s v="EJ-Malang-01"/>
    <s v="Oka-0813-2707-1646"/>
    <x v="301"/>
    <d v="1900-01-14T07:00:00"/>
    <s v="ZTE Warehouse"/>
    <x v="0"/>
    <x v="1"/>
    <s v="ZTE2003"/>
    <s v="Meter"/>
    <n v="3000"/>
    <s v="CLR51-08-007"/>
    <x v="120"/>
    <s v="DOEID25021853"/>
    <n v="0"/>
    <m/>
    <m/>
    <m/>
    <m/>
    <m/>
    <m/>
    <x v="104"/>
    <s v="Sitirejo RW 04 Wagir"/>
    <d v="2025-02-19T00:00:00"/>
    <b v="1"/>
    <s v="OUTBOUND_H-ADSS 48C-2025220-01"/>
  </r>
  <r>
    <s v="1942"/>
    <m/>
    <x v="1"/>
    <s v="OUB-W0012502-607"/>
    <s v="EJ-Malang-01"/>
    <s v="Oka-0813-2707-1646"/>
    <x v="301"/>
    <d v="1899-12-30T09:35:00"/>
    <s v="EJ-MALANG-01"/>
    <x v="1"/>
    <x v="8"/>
    <s v="GCI1005"/>
    <s v="Pcs"/>
    <n v="50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43"/>
    <m/>
    <x v="1"/>
    <s v="OUB-W0012502-607"/>
    <s v="EJ-Malang-01"/>
    <s v="Oka-0813-2707-1646"/>
    <x v="301"/>
    <d v="1899-12-30T09:35:00"/>
    <s v="EJ-MALANG-01"/>
    <x v="1"/>
    <x v="9"/>
    <s v="GCI1001"/>
    <s v="Pcs"/>
    <n v="1"/>
    <s v="CLR51-03-016"/>
    <x v="118"/>
    <m/>
    <m/>
    <m/>
    <s v="Riki Romansyah"/>
    <n v="0"/>
    <s v="3507050501950006"/>
    <s v="N 8420 EL"/>
    <m/>
    <x v="2"/>
    <s v="Citra Kayane Residence"/>
    <e v="#N/A"/>
    <e v="#N/A"/>
    <s v="OUTBOUND_"/>
  </r>
  <r>
    <s v="1944"/>
    <m/>
    <x v="1"/>
    <s v="OUB-W0012502-607"/>
    <s v="EJ-Malang-01"/>
    <s v="Oka-0813-2707-1646"/>
    <x v="301"/>
    <d v="1899-12-30T09:35:00"/>
    <s v="EJ-MALANG-01"/>
    <x v="1"/>
    <x v="10"/>
    <s v="GCI1009"/>
    <s v="Pcs"/>
    <n v="60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45"/>
    <m/>
    <x v="1"/>
    <s v="OUB-W0012502-607"/>
    <s v="EJ-Malang-01"/>
    <s v="Oka-0813-2707-1646"/>
    <x v="301"/>
    <d v="1899-12-30T09:35:00"/>
    <s v="EJ-MALANG-01"/>
    <x v="1"/>
    <x v="11"/>
    <s v="GCI1002"/>
    <s v="Pcs"/>
    <n v="1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46"/>
    <m/>
    <x v="0"/>
    <s v="INB-W0012502-610"/>
    <s v="EJ-Malang-01"/>
    <s v="Oka-0813-2707-1646"/>
    <x v="301"/>
    <d v="1900-01-14T07:00:00"/>
    <s v="ZTE Warehouse"/>
    <x v="0"/>
    <x v="4"/>
    <s v="ZTE1002"/>
    <s v="Pcs"/>
    <n v="153"/>
    <s v="CLR51-08-007"/>
    <x v="120"/>
    <s v="DOEID25021854"/>
    <n v="0"/>
    <m/>
    <m/>
    <m/>
    <m/>
    <m/>
    <n v="153"/>
    <x v="2"/>
    <s v="Sitirejo RW 04 Wagir"/>
    <d v="2025-02-19T00:00:00"/>
    <b v="1"/>
    <s v="OUTBOUND_"/>
  </r>
  <r>
    <s v="1947"/>
    <m/>
    <x v="1"/>
    <s v="OUB-W0012502-607"/>
    <s v="EJ-Malang-01"/>
    <s v="Oka-0813-2707-1646"/>
    <x v="301"/>
    <d v="1899-12-30T09:35:00"/>
    <s v="EJ-MALANG-01"/>
    <x v="0"/>
    <x v="4"/>
    <s v="ZTE1002"/>
    <s v="Pcs"/>
    <n v="16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48"/>
    <m/>
    <x v="1"/>
    <s v="OUB-W0012502-607"/>
    <s v="EJ-Malang-01"/>
    <s v="Oka-0813-2707-1646"/>
    <x v="301"/>
    <d v="1899-12-30T09:35:00"/>
    <s v="EJ-MALANG-01"/>
    <x v="0"/>
    <x v="5"/>
    <s v="ZTE1001"/>
    <s v="Pcs"/>
    <n v="2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49"/>
    <m/>
    <x v="1"/>
    <s v="OUB-W0012502-607"/>
    <s v="EJ-Malang-01"/>
    <s v="Oka-0813-2707-1646"/>
    <x v="301"/>
    <d v="1899-12-30T09:35:00"/>
    <s v="EJ-MALANG-01"/>
    <x v="1"/>
    <x v="12"/>
    <s v="GCI1008"/>
    <s v="Pcs"/>
    <n v="50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50"/>
    <m/>
    <x v="1"/>
    <s v="OUB-W0012502-607"/>
    <s v="EJ-Malang-01"/>
    <s v="Oka-0813-2707-1646"/>
    <x v="301"/>
    <d v="1899-12-30T09:35:00"/>
    <s v="EJ-MALANG-01"/>
    <x v="1"/>
    <x v="15"/>
    <s v="GCI1003"/>
    <s v="Pcs"/>
    <n v="100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51"/>
    <m/>
    <x v="1"/>
    <s v="OUB-W0012502-607"/>
    <s v="EJ-Malang-01"/>
    <s v="Oka-0813-2707-1646"/>
    <x v="301"/>
    <d v="1899-12-30T09:35:00"/>
    <s v="EJ-MALANG-01"/>
    <x v="1"/>
    <x v="16"/>
    <s v="GCI1004"/>
    <s v="Pcs"/>
    <n v="29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52"/>
    <m/>
    <x v="1"/>
    <s v="OUB-W0012502-611"/>
    <s v="EJ-Malang-01"/>
    <s v="Oka-0813-2707-1646"/>
    <x v="302"/>
    <d v="1899-12-30T09:35:00"/>
    <s v="EJ-MALANG-01"/>
    <x v="0"/>
    <x v="0"/>
    <s v="ZTE2001"/>
    <s v="Meter"/>
    <n v="3000"/>
    <s v="CLR51-08-007"/>
    <x v="120"/>
    <m/>
    <m/>
    <m/>
    <s v="Riki Romansyah"/>
    <s v="Susilo"/>
    <s v="3507050501950006"/>
    <s v="N 8420 EL"/>
    <m/>
    <x v="2"/>
    <s v="Sitirejo RW 04 Wagir"/>
    <e v="#N/A"/>
    <e v="#N/A"/>
    <s v="OUTBOUND_"/>
  </r>
  <r>
    <s v="1953"/>
    <m/>
    <x v="0"/>
    <s v="INB-W0012502-610"/>
    <s v="EJ-Malang-01"/>
    <s v="Oka-0813-2707-1646"/>
    <x v="302"/>
    <d v="1900-01-14T07:00:00"/>
    <s v="ZTE Warehouse"/>
    <x v="0"/>
    <x v="2"/>
    <s v="ZTE2008"/>
    <s v="Pcs"/>
    <n v="20"/>
    <m/>
    <x v="28"/>
    <n v="0"/>
    <n v="0"/>
    <m/>
    <m/>
    <m/>
    <m/>
    <m/>
    <m/>
    <x v="2"/>
    <n v="0"/>
    <e v="#N/A"/>
    <e v="#N/A"/>
    <s v="OUTBOUND_"/>
  </r>
  <r>
    <s v="1954"/>
    <m/>
    <x v="0"/>
    <s v="INB-W0012502-610"/>
    <s v="EJ-Malang-01"/>
    <s v="Oka-0813-2707-1646"/>
    <x v="302"/>
    <d v="1900-01-14T07:00:00"/>
    <s v="ZTE Warehouse"/>
    <x v="0"/>
    <x v="3"/>
    <s v="ZTE2005"/>
    <s v="Pcs"/>
    <n v="1"/>
    <m/>
    <x v="28"/>
    <n v="0"/>
    <n v="0"/>
    <m/>
    <m/>
    <m/>
    <m/>
    <m/>
    <m/>
    <x v="2"/>
    <n v="0"/>
    <e v="#N/A"/>
    <e v="#N/A"/>
    <s v="OUTBOUND_"/>
  </r>
  <r>
    <s v="1955"/>
    <m/>
    <x v="1"/>
    <s v="OUB-W0012502-609"/>
    <s v="EJ-Malang-01"/>
    <s v="Oka-0813-2707-1646"/>
    <x v="302"/>
    <d v="1899-12-30T09:35:00"/>
    <s v="EJ-MALANG-01"/>
    <x v="0"/>
    <x v="4"/>
    <s v="ZTE1002"/>
    <s v="Pcs"/>
    <n v="32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56"/>
    <m/>
    <x v="1"/>
    <s v="OUB-W0012502-613"/>
    <s v="EJ-Malang-01"/>
    <s v="Oka-0813-2707-1646"/>
    <x v="303"/>
    <d v="1899-12-30T09:35:00"/>
    <s v="EJ-MALANG-01"/>
    <x v="1"/>
    <x v="9"/>
    <s v="GCI1001"/>
    <s v="Pcs"/>
    <n v="1"/>
    <s v="CLR51-02-016"/>
    <x v="75"/>
    <m/>
    <m/>
    <m/>
    <s v="Fatur"/>
    <n v="0"/>
    <s v="1812010507910004"/>
    <s v="L 9221 K"/>
    <m/>
    <x v="2"/>
    <s v="Ngenep RW 06 Karang Ploso"/>
    <e v="#N/A"/>
    <e v="#N/A"/>
    <s v="OUTBOUND_"/>
  </r>
  <r>
    <s v="1957"/>
    <m/>
    <x v="1"/>
    <s v="OUB-W0012502-614"/>
    <s v="EJ-Malang-01"/>
    <s v="Oka-0813-2707-1646"/>
    <x v="303"/>
    <d v="1899-12-30T15:09:00"/>
    <s v="EJ-MALANG-01"/>
    <x v="1"/>
    <x v="9"/>
    <s v="GCI1001"/>
    <s v="Pcs"/>
    <n v="22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58"/>
    <m/>
    <x v="1"/>
    <s v="OUB-W0012502-613"/>
    <s v="EJ-Malang-01"/>
    <s v="Oka-0813-2707-1646"/>
    <x v="303"/>
    <d v="1899-12-30T09:35:00"/>
    <s v="EJ-MALANG-01"/>
    <x v="1"/>
    <x v="10"/>
    <s v="GCI1009"/>
    <s v="Pcs"/>
    <n v="20"/>
    <s v="CLR51-02-016"/>
    <x v="75"/>
    <m/>
    <m/>
    <m/>
    <s v="Fatur"/>
    <n v="0"/>
    <s v="1812010507910004"/>
    <s v="L 9221 K"/>
    <m/>
    <x v="2"/>
    <s v="Ngenep RW 06 Karang Ploso"/>
    <e v="#N/A"/>
    <e v="#N/A"/>
    <s v="OUTBOUND_"/>
  </r>
  <r>
    <s v="1959"/>
    <m/>
    <x v="1"/>
    <s v="OUB-W0012502-615"/>
    <s v="EJ-Malang-01"/>
    <s v="Oka-0813-2707-1646"/>
    <x v="303"/>
    <d v="1899-12-30T15:09:00"/>
    <s v="EJ-MALANG-01"/>
    <x v="0"/>
    <x v="2"/>
    <s v="ZTE2008"/>
    <s v="Pcs"/>
    <n v="21"/>
    <s v="CLR51-08-007"/>
    <x v="120"/>
    <m/>
    <m/>
    <m/>
    <s v="Deny Indra"/>
    <n v="0"/>
    <n v="0"/>
    <s v="N 1547 IR"/>
    <m/>
    <x v="2"/>
    <s v="Sitirejo RW 04 Wagir"/>
    <e v="#N/A"/>
    <e v="#N/A"/>
    <s v="OUTBOUND_"/>
  </r>
  <r>
    <s v="1960"/>
    <m/>
    <x v="1"/>
    <s v="OUB-W0012502-615"/>
    <s v="EJ-Malang-01"/>
    <s v="Oka-0813-2707-1646"/>
    <x v="303"/>
    <d v="1899-12-30T15:09:00"/>
    <s v="EJ-MALANG-01"/>
    <x v="0"/>
    <x v="3"/>
    <s v="ZTE2005"/>
    <s v="Pcs"/>
    <n v="1"/>
    <s v="CLR51-08-007"/>
    <x v="120"/>
    <m/>
    <m/>
    <m/>
    <s v="Deny Indra"/>
    <n v="0"/>
    <n v="0"/>
    <s v="N 1547 IR"/>
    <m/>
    <x v="2"/>
    <s v="Sitirejo RW 04 Wagir"/>
    <e v="#N/A"/>
    <e v="#N/A"/>
    <s v="OUTBOUND_"/>
  </r>
  <r>
    <s v="1961"/>
    <m/>
    <x v="5"/>
    <s v="BOO-W0012502-612"/>
    <s v="EJ-Malang-01"/>
    <s v="Oka-0813-2707-1646"/>
    <x v="303"/>
    <d v="1899-12-30T06:35:00"/>
    <s v="Other Subcon"/>
    <x v="0"/>
    <x v="4"/>
    <s v="ZTE1002"/>
    <s v="Pcs"/>
    <n v="62"/>
    <s v="BR007"/>
    <x v="121"/>
    <m/>
    <m/>
    <m/>
    <s v="Dayat"/>
    <n v="0"/>
    <s v="3574041310020006"/>
    <s v="N 8664 UW"/>
    <s v="MDP Pinjam Pole"/>
    <x v="2"/>
    <s v="MDP"/>
    <e v="#N/A"/>
    <e v="#N/A"/>
    <s v="BORROW OUT_"/>
  </r>
  <r>
    <s v="1962"/>
    <m/>
    <x v="1"/>
    <s v="OUB-W0012502-616"/>
    <s v="EJ-Malang-01"/>
    <s v="Oka-0813-2707-1646"/>
    <x v="303"/>
    <d v="1899-12-30T15:09:00"/>
    <s v="EJ-MALANG-01"/>
    <x v="0"/>
    <x v="4"/>
    <s v="ZTE1002"/>
    <s v="Pcs"/>
    <n v="8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63"/>
    <m/>
    <x v="1"/>
    <s v="OUB-W0012502-616"/>
    <s v="EJ-Malang-01"/>
    <s v="Oka-0813-2707-1646"/>
    <x v="303"/>
    <d v="1899-12-30T15:09:00"/>
    <s v="EJ-MALANG-01"/>
    <x v="0"/>
    <x v="5"/>
    <s v="ZTE1001"/>
    <s v="Pcs"/>
    <n v="10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64"/>
    <m/>
    <x v="1"/>
    <s v="OUB-W0012502-616"/>
    <s v="EJ-Malang-01"/>
    <s v="Oka-0813-2707-1646"/>
    <x v="303"/>
    <d v="1899-12-30T15:09:00"/>
    <s v="EJ-MALANG-01"/>
    <x v="0"/>
    <x v="19"/>
    <s v="ZTE1003"/>
    <s v="Pcs"/>
    <n v="2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65"/>
    <m/>
    <x v="1"/>
    <s v="OUB-W0012502-613"/>
    <s v="EJ-Malang-01"/>
    <s v="Oka-0813-2707-1646"/>
    <x v="303"/>
    <d v="1899-12-30T09:35:00"/>
    <s v="EJ-MALANG-01"/>
    <x v="1"/>
    <x v="12"/>
    <s v="GCI1008"/>
    <s v="Pcs"/>
    <n v="12"/>
    <s v="CLR51-02-016"/>
    <x v="75"/>
    <m/>
    <m/>
    <m/>
    <s v="Fatur"/>
    <n v="0"/>
    <s v="1812010507910004"/>
    <s v="L 9221 K"/>
    <m/>
    <x v="2"/>
    <s v="Ngenep RW 06 Karang Ploso"/>
    <e v="#N/A"/>
    <e v="#N/A"/>
    <s v="OUTBOUND_"/>
  </r>
  <r>
    <s v="1966"/>
    <m/>
    <x v="1"/>
    <s v="OUB-W0012502-613"/>
    <s v="EJ-Malang-01"/>
    <s v="Oka-0813-2707-1646"/>
    <x v="303"/>
    <d v="1899-12-30T09:35:00"/>
    <s v="EJ-MALANG-01"/>
    <x v="1"/>
    <x v="15"/>
    <s v="GCI1003"/>
    <s v="Pcs"/>
    <n v="12"/>
    <s v="CLR51-02-016"/>
    <x v="75"/>
    <m/>
    <m/>
    <m/>
    <s v="Fatur"/>
    <n v="0"/>
    <s v="1812010507910004"/>
    <s v="L 9221 K"/>
    <m/>
    <x v="2"/>
    <s v="Ngenep RW 06 Karang Ploso"/>
    <e v="#N/A"/>
    <e v="#N/A"/>
    <s v="OUTBOUND_"/>
  </r>
  <r>
    <s v="1967"/>
    <m/>
    <x v="1"/>
    <s v="OUB-W0012502-613"/>
    <s v="EJ-Malang-01"/>
    <s v="Oka-0813-2707-1646"/>
    <x v="303"/>
    <d v="1899-12-30T09:35:00"/>
    <s v="EJ-MALANG-01"/>
    <x v="1"/>
    <x v="16"/>
    <s v="GCI1004"/>
    <s v="Pcs"/>
    <n v="8"/>
    <s v="CLR51-02-016"/>
    <x v="75"/>
    <m/>
    <m/>
    <m/>
    <s v="Fatur"/>
    <n v="0"/>
    <s v="1812010507910004"/>
    <s v="L 9221 K"/>
    <m/>
    <x v="2"/>
    <s v="Ngenep RW 06 Karang Ploso"/>
    <e v="#N/A"/>
    <e v="#N/A"/>
    <s v="OUTBOUND_"/>
  </r>
  <r>
    <s v="1968"/>
    <m/>
    <x v="1"/>
    <s v="OUB-W0012502-617"/>
    <s v="EJ-Malang-01"/>
    <s v="Oka-0813-2707-1646"/>
    <x v="304"/>
    <d v="1899-12-30T08:29:00"/>
    <s v="EJ-MALANG-01"/>
    <x v="1"/>
    <x v="10"/>
    <s v="GCI1009"/>
    <s v="Pcs"/>
    <n v="8"/>
    <s v="CLR51-03-010"/>
    <x v="81"/>
    <m/>
    <m/>
    <m/>
    <s v="Fatur"/>
    <n v="0"/>
    <s v="1812010507910004"/>
    <s v="L 9221 K"/>
    <m/>
    <x v="2"/>
    <s v="Dusun Krajan Sumbersekar"/>
    <e v="#N/A"/>
    <e v="#N/A"/>
    <s v="OUTBOUND_"/>
  </r>
  <r>
    <s v="1969"/>
    <m/>
    <x v="1"/>
    <s v="OUB-W0012502-617"/>
    <s v="EJ-Malang-01"/>
    <s v="Oka-0813-2707-1646"/>
    <x v="304"/>
    <d v="1899-12-30T08:29:00"/>
    <s v="EJ-MALANG-01"/>
    <x v="1"/>
    <x v="12"/>
    <s v="GCI1008"/>
    <s v="Pcs"/>
    <n v="4"/>
    <s v="CLR51-03-010"/>
    <x v="81"/>
    <m/>
    <m/>
    <m/>
    <s v="Fatur"/>
    <n v="0"/>
    <s v="1812010507910004"/>
    <s v="L 9221 K"/>
    <m/>
    <x v="2"/>
    <s v="Dusun Krajan Sumbersekar"/>
    <e v="#N/A"/>
    <e v="#N/A"/>
    <s v="OUTBOUND_"/>
  </r>
  <r>
    <s v="1970"/>
    <m/>
    <x v="1"/>
    <s v="OUB-W0012502-618"/>
    <s v="EJ-Malang-01"/>
    <s v="Oka-0813-2707-1646"/>
    <x v="305"/>
    <d v="1899-12-30T15:09:00"/>
    <s v="EJ-MALANG-01"/>
    <x v="1"/>
    <x v="9"/>
    <s v="GCI1001"/>
    <s v="Pcs"/>
    <n v="1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71"/>
    <m/>
    <x v="1"/>
    <s v="OUB-W0012502-618"/>
    <s v="EJ-Malang-01"/>
    <s v="Oka-0813-2707-1646"/>
    <x v="305"/>
    <d v="1899-12-30T15:09:00"/>
    <s v="EJ-MALANG-01"/>
    <x v="1"/>
    <x v="10"/>
    <s v="GCI1009"/>
    <s v="Pcs"/>
    <n v="70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72"/>
    <m/>
    <x v="1"/>
    <s v="OUB-W0012502-618"/>
    <s v="EJ-Malang-01"/>
    <s v="Oka-0813-2707-1646"/>
    <x v="305"/>
    <d v="1899-12-30T15:09:00"/>
    <s v="EJ-MALANG-01"/>
    <x v="1"/>
    <x v="12"/>
    <s v="GCI1008"/>
    <s v="Pcs"/>
    <n v="30"/>
    <s v="CLR51-08-007"/>
    <x v="120"/>
    <m/>
    <m/>
    <m/>
    <s v="Riki Romansyah"/>
    <n v="0"/>
    <s v="3507050501950006"/>
    <s v="N 8420 EL"/>
    <m/>
    <x v="2"/>
    <s v="Sitirejo RW 04 Wagir"/>
    <e v="#N/A"/>
    <e v="#N/A"/>
    <s v="OUTBOUND_"/>
  </r>
  <r>
    <s v="1973"/>
    <m/>
    <x v="1"/>
    <s v="OUB-W0012502-619"/>
    <s v="EJ-Malang-01"/>
    <s v="Oka-0813-2707-1646"/>
    <x v="306"/>
    <d v="1899-12-30T15:09:00"/>
    <s v="EJ-MALANG-01"/>
    <x v="0"/>
    <x v="4"/>
    <s v="ZTE1002"/>
    <s v="Pcs"/>
    <n v="16"/>
    <s v="CLR51-99-148"/>
    <x v="122"/>
    <m/>
    <m/>
    <m/>
    <s v="Riki Romansyah"/>
    <n v="0"/>
    <s v="3507050501950006"/>
    <s v="N 8420 EL"/>
    <m/>
    <x v="2"/>
    <s v="Perum Bayu Asri"/>
    <e v="#N/A"/>
    <e v="#N/A"/>
    <s v="OUTBOUND_"/>
  </r>
  <r>
    <s v="1974"/>
    <m/>
    <x v="0"/>
    <s v="INB-W0012502-620"/>
    <s v="EJ-Malang-01"/>
    <s v="Oka-0813-2707-1646"/>
    <x v="306"/>
    <d v="1900-01-14T07:00:00"/>
    <s v="ZTE Warehouse"/>
    <x v="0"/>
    <x v="5"/>
    <s v="ZTE1001"/>
    <s v="Pcs"/>
    <n v="17"/>
    <s v="Return"/>
    <x v="123"/>
    <n v="0"/>
    <n v="0"/>
    <m/>
    <m/>
    <m/>
    <m/>
    <m/>
    <s v="Bayuasri"/>
    <x v="2"/>
    <s v="change design from 4&quot; to 3&quot;"/>
    <e v="#N/A"/>
    <e v="#N/A"/>
    <s v="OUTBOUND_"/>
  </r>
  <r>
    <s v="1975"/>
    <m/>
    <x v="1"/>
    <s v="OUB-W0012503-621"/>
    <s v="EJ-Malang-01"/>
    <s v="Oka-0813-2707-1646"/>
    <x v="307"/>
    <d v="1899-12-30T15:09:00"/>
    <s v="EJ-MALANG-01"/>
    <x v="1"/>
    <x v="12"/>
    <s v="GCI1008"/>
    <s v="Pcs"/>
    <n v="15"/>
    <s v="TRF"/>
    <x v="17"/>
    <m/>
    <m/>
    <m/>
    <s v="Fatur"/>
    <n v="0"/>
    <s v="1812010507910004"/>
    <s v="L 9221 K"/>
    <s v="Ke WH Gresik"/>
    <x v="2"/>
    <n v="0"/>
    <e v="#N/A"/>
    <e v="#N/A"/>
    <s v="OUTBOUND_"/>
  </r>
  <r>
    <s v="1976"/>
    <m/>
    <x v="1"/>
    <s v="OUB-W0012503-621"/>
    <s v="EJ-Malang-01"/>
    <s v="Oka-0813-2707-1646"/>
    <x v="307"/>
    <d v="1899-12-30T15:09:00"/>
    <s v="EJ-MALANG-01"/>
    <x v="1"/>
    <x v="15"/>
    <s v="GCI1003"/>
    <s v="Pcs"/>
    <n v="15"/>
    <s v="TRF"/>
    <x v="17"/>
    <m/>
    <m/>
    <m/>
    <s v="Fatur"/>
    <n v="0"/>
    <s v="1812010507910004"/>
    <s v="L 9221 K"/>
    <s v="Ke WH Gresik"/>
    <x v="2"/>
    <n v="0"/>
    <e v="#N/A"/>
    <e v="#N/A"/>
    <s v="OUTBOUND_"/>
  </r>
  <r>
    <s v="1977"/>
    <m/>
    <x v="1"/>
    <s v="OUB-W0012503-621"/>
    <s v="EJ-Malang-01"/>
    <s v="Oka-0813-2707-1646"/>
    <x v="307"/>
    <d v="1899-12-30T15:09:00"/>
    <s v="EJ-MALANG-01"/>
    <x v="1"/>
    <x v="16"/>
    <s v="GCI1004"/>
    <s v="Pcs"/>
    <n v="15"/>
    <s v="TRF"/>
    <x v="17"/>
    <m/>
    <m/>
    <m/>
    <s v="Fatur"/>
    <n v="0"/>
    <s v="1812010507910004"/>
    <s v="L 9221 K"/>
    <s v="Ke WH Gresik"/>
    <x v="2"/>
    <n v="0"/>
    <e v="#N/A"/>
    <e v="#N/A"/>
    <s v="OUTBOUND_"/>
  </r>
  <r>
    <s v="1978"/>
    <m/>
    <x v="3"/>
    <s v="TFO-W0012503-622"/>
    <s v="EJ-Malang-01"/>
    <s v="Oka-0813-2707-1646"/>
    <x v="308"/>
    <d v="1899-12-30T15:30:00"/>
    <s v="EJ-MALANG-01"/>
    <x v="1"/>
    <x v="25"/>
    <s v="GCI1010"/>
    <s v="Pcs"/>
    <n v="84"/>
    <n v="0"/>
    <x v="10"/>
    <m/>
    <m/>
    <m/>
    <s v="Fatur"/>
    <n v="0"/>
    <s v="1812010507910004"/>
    <s v="L 9221 K"/>
    <m/>
    <x v="2"/>
    <s v="Transfer Gudang"/>
    <e v="#N/A"/>
    <e v="#N/A"/>
    <s v="TRANSFER OUT_"/>
  </r>
  <r>
    <s v="1979"/>
    <m/>
    <x v="4"/>
    <s v="BOI-W0012503-623"/>
    <s v="EJ-Malang-01"/>
    <s v="Oka-0813-2707-1646"/>
    <x v="308"/>
    <d v="1900-01-14T07:00:00"/>
    <s v="Other Subcon"/>
    <x v="0"/>
    <x v="4"/>
    <s v="ZTE1002"/>
    <s v="Pcs"/>
    <n v="62"/>
    <s v="BR007"/>
    <x v="121"/>
    <n v="0"/>
    <n v="0"/>
    <m/>
    <m/>
    <m/>
    <m/>
    <m/>
    <m/>
    <x v="2"/>
    <s v="MDP"/>
    <e v="#N/A"/>
    <e v="#N/A"/>
    <s v="OUTBOUND_"/>
  </r>
  <r>
    <s v="1980"/>
    <m/>
    <x v="1"/>
    <s v="OUB-W0012503-624"/>
    <s v="EJ-Malang-01"/>
    <s v="Oka-0813-2707-1646"/>
    <x v="309"/>
    <d v="1899-12-30T16:09:00"/>
    <s v="EJ-MALANG-01"/>
    <x v="0"/>
    <x v="0"/>
    <s v="ZTE2001"/>
    <s v="Meter"/>
    <n v="3000"/>
    <s v="CLR51-99-141"/>
    <x v="124"/>
    <m/>
    <m/>
    <m/>
    <s v="Riki Romansyah"/>
    <s v="Susilo"/>
    <s v="3507050501950006"/>
    <s v="N 8420 EL"/>
    <m/>
    <x v="2"/>
    <s v="Temas RW 05"/>
    <e v="#N/A"/>
    <e v="#N/A"/>
    <s v="OUTBOUND_"/>
  </r>
  <r>
    <s v="1981"/>
    <m/>
    <x v="1"/>
    <s v="OUB-W0012503-624"/>
    <s v="EJ-Malang-01"/>
    <s v="Oka-0813-2707-1646"/>
    <x v="309"/>
    <d v="1899-12-30T16:09:00"/>
    <s v="EJ-MALANG-01"/>
    <x v="0"/>
    <x v="1"/>
    <s v="ZTE2003"/>
    <s v="Meter"/>
    <n v="3000"/>
    <s v="CLR51-99-140"/>
    <x v="125"/>
    <m/>
    <m/>
    <m/>
    <s v="Riki Romansyah"/>
    <s v="Susilo"/>
    <s v="3507050501950006"/>
    <s v="N 8420 EL"/>
    <m/>
    <x v="2"/>
    <s v="Temas RW 04"/>
    <e v="#N/A"/>
    <e v="#N/A"/>
    <s v="OUTBOUND_"/>
  </r>
  <r>
    <s v="1982"/>
    <m/>
    <x v="0"/>
    <s v="INB-W0012503-626"/>
    <s v="EJ-Malang-01"/>
    <s v="Oka-0813-2707-1646"/>
    <x v="310"/>
    <d v="1900-01-14T07:00:00"/>
    <s v="ZTE Warehouse"/>
    <x v="0"/>
    <x v="2"/>
    <s v="ZTE2008"/>
    <s v="Pcs"/>
    <n v="42"/>
    <s v="CLR51-99-140"/>
    <x v="125"/>
    <n v="0"/>
    <n v="0"/>
    <m/>
    <m/>
    <m/>
    <m/>
    <m/>
    <m/>
    <x v="2"/>
    <s v="Temas RW 04"/>
    <e v="#N/A"/>
    <e v="#N/A"/>
    <s v="OUTBOUND_"/>
  </r>
  <r>
    <s v="1983"/>
    <m/>
    <x v="3"/>
    <s v="TFO-W0012503-625"/>
    <s v="EJ-Malang-01"/>
    <s v="Oka-0813-2707-1646"/>
    <x v="310"/>
    <d v="1899-12-30T15:21:00"/>
    <s v="EJ-GRESIK-01"/>
    <x v="0"/>
    <x v="2"/>
    <s v="ZTE2008"/>
    <s v="Pcs"/>
    <n v="10"/>
    <s v="trf"/>
    <x v="10"/>
    <m/>
    <m/>
    <m/>
    <s v="Munip"/>
    <n v="0"/>
    <s v="3509090107770266"/>
    <s v="L 1962 QM"/>
    <s v="Janjora"/>
    <x v="2"/>
    <s v="Transfer Gudang"/>
    <e v="#N/A"/>
    <e v="#N/A"/>
    <s v="TRANSFER OUT_"/>
  </r>
  <r>
    <s v="1984"/>
    <m/>
    <x v="0"/>
    <s v="INB-W0012503-626"/>
    <s v="EJ-Malang-01"/>
    <s v="Oka-0813-2707-1646"/>
    <x v="310"/>
    <d v="1900-01-14T07:00:00"/>
    <s v="ZTE Warehouse"/>
    <x v="0"/>
    <x v="3"/>
    <s v="ZTE2005"/>
    <s v="Pcs"/>
    <n v="2"/>
    <m/>
    <x v="28"/>
    <n v="0"/>
    <n v="0"/>
    <m/>
    <m/>
    <m/>
    <m/>
    <m/>
    <m/>
    <x v="2"/>
    <n v="0"/>
    <e v="#N/A"/>
    <e v="#N/A"/>
    <s v="OUTBOUND_"/>
  </r>
  <r>
    <s v="1985"/>
    <m/>
    <x v="0"/>
    <s v="INB-W0012503-626"/>
    <s v="EJ-Malang-01"/>
    <s v="Oka-0813-2707-1646"/>
    <x v="310"/>
    <d v="1900-01-14T07:00:00"/>
    <s v="ZTE Warehouse"/>
    <x v="0"/>
    <x v="30"/>
    <s v="ZTE2006"/>
    <s v="Pcs"/>
    <n v="1"/>
    <m/>
    <x v="28"/>
    <n v="0"/>
    <n v="0"/>
    <m/>
    <m/>
    <m/>
    <m/>
    <m/>
    <m/>
    <x v="2"/>
    <n v="0"/>
    <e v="#N/A"/>
    <e v="#N/A"/>
    <s v="OUTBOUND_"/>
  </r>
  <r>
    <s v="1986"/>
    <m/>
    <x v="1"/>
    <s v="OUB-W0012503-627"/>
    <s v="EJ-Malang-01"/>
    <s v="Oka-0813-2707-1646"/>
    <x v="311"/>
    <d v="1899-12-30T18:50:00"/>
    <s v="EJ-MALANG-01"/>
    <x v="0"/>
    <x v="31"/>
    <s v="ZTE2004"/>
    <s v="Meter"/>
    <n v="3000"/>
    <s v="MF51-06"/>
    <x v="98"/>
    <m/>
    <m/>
    <m/>
    <s v="Sulistiono"/>
    <s v="Susilo"/>
    <s v="3575032104720001"/>
    <s v="N 9586 WC"/>
    <s v="FO CUT, PULL 1000M"/>
    <x v="90"/>
    <s v="Mainfeeder Singosari Segment 3"/>
    <e v="#N/A"/>
    <e v="#N/A"/>
    <s v="OUTBOUND_H-ADSS 144C-2024116-01"/>
  </r>
  <r>
    <s v="1987"/>
    <m/>
    <x v="1"/>
    <s v="OUB-W0012503-627"/>
    <s v="EJ-Malang-01"/>
    <s v="Oka-0813-2707-1646"/>
    <x v="311"/>
    <d v="1899-12-30T18:50:00"/>
    <s v="EJ-MALANG-01"/>
    <x v="1"/>
    <x v="32"/>
    <s v="GCI1020"/>
    <s v="Pcs"/>
    <n v="20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988"/>
    <m/>
    <x v="4"/>
    <s v="BOI-W0012503-628"/>
    <s v="EJ-Malang-01"/>
    <s v="Oka-0813-2707-1646"/>
    <x v="311"/>
    <d v="1899-12-30T18:50:00"/>
    <s v="Other Subcon"/>
    <x v="0"/>
    <x v="20"/>
    <s v="ZTE1004"/>
    <s v="Pcs"/>
    <n v="1"/>
    <s v="BR001"/>
    <x v="100"/>
    <m/>
    <m/>
    <m/>
    <m/>
    <m/>
    <m/>
    <m/>
    <s v="BEAUT VIA DENY"/>
    <x v="2"/>
    <s v="BEAUT"/>
    <e v="#N/A"/>
    <e v="#N/A"/>
    <s v="OUTBOUND_"/>
  </r>
  <r>
    <s v="1989"/>
    <m/>
    <x v="1"/>
    <s v="OUB-W0012503-629"/>
    <s v="EJ-Malang-01"/>
    <s v="Oka-0813-2707-1646"/>
    <x v="311"/>
    <d v="1899-12-30T18:50:00"/>
    <s v="EJ-MALANG-01"/>
    <x v="0"/>
    <x v="20"/>
    <s v="ZTE1004"/>
    <s v="Pcs"/>
    <n v="1"/>
    <s v="MF51-06"/>
    <x v="98"/>
    <m/>
    <m/>
    <m/>
    <s v="Kusairi"/>
    <m/>
    <m/>
    <m/>
    <m/>
    <x v="2"/>
    <s v="Mainfeeder Singosari Segment 3"/>
    <e v="#N/A"/>
    <e v="#N/A"/>
    <s v="OUTBOUND_"/>
  </r>
  <r>
    <s v="1990"/>
    <m/>
    <x v="1"/>
    <s v="OUB-W0012503-630"/>
    <s v="EJ-Malang-01"/>
    <s v="Oka-0813-2707-1646"/>
    <x v="311"/>
    <d v="1899-12-30T18:50:00"/>
    <s v="EJ-MALANG-01"/>
    <x v="1"/>
    <x v="11"/>
    <s v="GCI1002"/>
    <s v="Pcs"/>
    <n v="1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991"/>
    <m/>
    <x v="1"/>
    <s v="OUB-W0012503-630"/>
    <s v="EJ-Malang-01"/>
    <s v="Oka-0813-2707-1646"/>
    <x v="311"/>
    <d v="1899-12-30T18:50:00"/>
    <s v="EJ-MALANG-01"/>
    <x v="1"/>
    <x v="12"/>
    <s v="GCI1008"/>
    <s v="Pcs"/>
    <n v="21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992"/>
    <m/>
    <x v="1"/>
    <s v="OUB-W0012503-630"/>
    <s v="EJ-Malang-01"/>
    <s v="Oka-0813-2707-1646"/>
    <x v="311"/>
    <d v="1899-12-30T18:50:00"/>
    <s v="EJ-MALANG-01"/>
    <x v="1"/>
    <x v="15"/>
    <s v="GCI1003"/>
    <s v="Pcs"/>
    <n v="20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993"/>
    <m/>
    <x v="1"/>
    <s v="OUB-W0012503-630"/>
    <s v="EJ-Malang-01"/>
    <s v="Oka-0813-2707-1646"/>
    <x v="311"/>
    <d v="1899-12-30T18:50:00"/>
    <s v="EJ-MALANG-01"/>
    <x v="1"/>
    <x v="16"/>
    <s v="GCI1004"/>
    <s v="Pcs"/>
    <n v="20"/>
    <s v="MF51-06"/>
    <x v="98"/>
    <m/>
    <m/>
    <m/>
    <s v="Sulistiono"/>
    <n v="0"/>
    <s v="3575032104720001"/>
    <s v="N 9586 WC"/>
    <m/>
    <x v="2"/>
    <s v="Mainfeeder Singosari Segment 3"/>
    <e v="#N/A"/>
    <e v="#N/A"/>
    <s v="OUTBOUND_"/>
  </r>
  <r>
    <s v="1994"/>
    <m/>
    <x v="1"/>
    <s v="OUB-W0012503-631"/>
    <s v="EJ-Malang-01"/>
    <s v="Oka-0813-2707-1646"/>
    <x v="312"/>
    <d v="1899-12-30T16:09:00"/>
    <s v="EJ-MALANG-01"/>
    <x v="1"/>
    <x v="10"/>
    <s v="GCI1009"/>
    <s v="Pcs"/>
    <n v="160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1995"/>
    <m/>
    <x v="1"/>
    <s v="OUB-W0012503-631"/>
    <s v="EJ-Malang-01"/>
    <s v="Oka-0813-2707-1646"/>
    <x v="312"/>
    <d v="1899-12-30T16:09:00"/>
    <s v="EJ-MALANG-01"/>
    <x v="1"/>
    <x v="11"/>
    <s v="GCI1002"/>
    <s v="Pcs"/>
    <n v="1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1996"/>
    <m/>
    <x v="1"/>
    <s v="OUB-W0012503-631"/>
    <s v="EJ-Malang-01"/>
    <s v="Oka-0813-2707-1646"/>
    <x v="312"/>
    <d v="1899-12-30T16:09:00"/>
    <s v="EJ-MALANG-01"/>
    <x v="0"/>
    <x v="4"/>
    <s v="ZTE1002"/>
    <s v="Pcs"/>
    <n v="25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1997"/>
    <m/>
    <x v="1"/>
    <s v="OUB-W0012503-631"/>
    <s v="EJ-Malang-01"/>
    <s v="Oka-0813-2707-1646"/>
    <x v="312"/>
    <d v="1899-12-30T16:09:00"/>
    <s v="EJ-MALANG-01"/>
    <x v="1"/>
    <x v="12"/>
    <s v="GCI1008"/>
    <s v="Pcs"/>
    <n v="158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1998"/>
    <m/>
    <x v="1"/>
    <s v="OUB-W0012503-631"/>
    <s v="EJ-Malang-01"/>
    <s v="Oka-0813-2707-1646"/>
    <x v="312"/>
    <d v="1899-12-30T16:09:00"/>
    <s v="EJ-MALANG-01"/>
    <x v="1"/>
    <x v="15"/>
    <s v="GCI1003"/>
    <s v="Pcs"/>
    <n v="94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1999"/>
    <m/>
    <x v="1"/>
    <s v="OUB-W0012503-631"/>
    <s v="EJ-Malang-01"/>
    <s v="Oka-0813-2707-1646"/>
    <x v="312"/>
    <d v="1899-12-30T16:09:00"/>
    <s v="EJ-MALANG-01"/>
    <x v="1"/>
    <x v="16"/>
    <s v="GCI1004"/>
    <s v="Pcs"/>
    <n v="29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2000"/>
    <m/>
    <x v="1"/>
    <s v="OUB-W0012503-632"/>
    <s v="EJ-Malang-01"/>
    <s v="Oka-0813-2707-1646"/>
    <x v="313"/>
    <d v="1899-12-30T19:57:00"/>
    <s v="EJ-MALANG-01"/>
    <x v="0"/>
    <x v="2"/>
    <s v="ZTE2008"/>
    <s v="Pcs"/>
    <n v="32"/>
    <s v="CLR51-99-140"/>
    <x v="125"/>
    <m/>
    <m/>
    <m/>
    <s v="Sifak"/>
    <n v="0"/>
    <s v="3507312107950002"/>
    <s v="N 1046 ABC"/>
    <m/>
    <x v="2"/>
    <s v="Temas RW 04"/>
    <e v="#N/A"/>
    <e v="#N/A"/>
    <s v="OUTBOUND_"/>
  </r>
  <r>
    <s v="2001"/>
    <m/>
    <x v="1"/>
    <s v="OUB-W0012503-632"/>
    <s v="EJ-Malang-01"/>
    <s v="Oka-0813-2707-1646"/>
    <x v="313"/>
    <d v="1899-12-30T19:57:00"/>
    <s v="EJ-MALANG-01"/>
    <x v="0"/>
    <x v="3"/>
    <s v="ZTE2005"/>
    <s v="Pcs"/>
    <n v="2"/>
    <s v="CLR51-99-141"/>
    <x v="124"/>
    <m/>
    <m/>
    <m/>
    <s v="Sifak"/>
    <n v="0"/>
    <s v="3507312107950002"/>
    <s v="N 1046 ABC"/>
    <m/>
    <x v="2"/>
    <s v="Temas RW 05"/>
    <e v="#N/A"/>
    <e v="#N/A"/>
    <s v="OUTBOUND_"/>
  </r>
  <r>
    <s v="2002"/>
    <m/>
    <x v="0"/>
    <s v="INB-W0012503-634"/>
    <s v="EJ-Malang-01"/>
    <s v="Oka-0813-2707-1646"/>
    <x v="314"/>
    <d v="1900-01-14T07:00:00"/>
    <s v="ZTE Warehouse"/>
    <x v="0"/>
    <x v="3"/>
    <s v="ZTE2005"/>
    <s v="Pcs"/>
    <n v="1"/>
    <s v="CLR51-99-141"/>
    <x v="124"/>
    <s v="DOEID25031899"/>
    <s v="DNWID0342025031809"/>
    <m/>
    <m/>
    <m/>
    <m/>
    <m/>
    <m/>
    <x v="2"/>
    <s v="Temas RW 05"/>
    <d v="2025-03-19T00:00:00"/>
    <b v="0"/>
    <s v="OUTBOUND_"/>
  </r>
  <r>
    <s v="2003"/>
    <m/>
    <x v="1"/>
    <s v="OUB-W0012503-633"/>
    <s v="EJ-Malang-01"/>
    <s v="Oka-0813-2707-1646"/>
    <x v="314"/>
    <d v="1899-12-30T19:57:00"/>
    <s v="EJ-MALANG-01"/>
    <x v="0"/>
    <x v="30"/>
    <s v="ZTE2006"/>
    <s v="Pcs"/>
    <n v="1"/>
    <s v="CLR51-99-140"/>
    <x v="125"/>
    <m/>
    <m/>
    <m/>
    <s v="Deny Indra"/>
    <n v="0"/>
    <n v="0"/>
    <s v="N 1547 IR"/>
    <m/>
    <x v="2"/>
    <s v="Temas RW 04"/>
    <e v="#N/A"/>
    <e v="#N/A"/>
    <s v="OUTBOUND_"/>
  </r>
  <r>
    <s v="2004"/>
    <m/>
    <x v="1"/>
    <s v="OUB-W0012503-635"/>
    <s v="EJ-Malang-01"/>
    <s v="Oka-0813-2707-1646"/>
    <x v="315"/>
    <d v="1899-12-30T19:57:00"/>
    <s v="EJ-MALANG-01"/>
    <x v="1"/>
    <x v="10"/>
    <s v="GCI1009"/>
    <s v="Pcs"/>
    <n v="56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2005"/>
    <m/>
    <x v="1"/>
    <s v="OUB-W0012503-635"/>
    <s v="EJ-Malang-01"/>
    <s v="Oka-0813-2707-1646"/>
    <x v="315"/>
    <d v="1899-12-30T19:57:00"/>
    <s v="EJ-MALANG-01"/>
    <x v="0"/>
    <x v="4"/>
    <s v="ZTE1002"/>
    <s v="Pcs"/>
    <n v="4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2006"/>
    <m/>
    <x v="1"/>
    <s v="OUB-W0012503-635"/>
    <s v="EJ-Malang-01"/>
    <s v="Oka-0813-2707-1646"/>
    <x v="315"/>
    <d v="1899-12-30T19:57:00"/>
    <s v="EJ-MALANG-01"/>
    <x v="0"/>
    <x v="4"/>
    <s v="ZTE1002"/>
    <s v="Pcs"/>
    <n v="25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2007"/>
    <m/>
    <x v="1"/>
    <s v="OUB-W0012503-635"/>
    <s v="EJ-Malang-01"/>
    <s v="Oka-0813-2707-1646"/>
    <x v="315"/>
    <d v="1899-12-30T19:57:00"/>
    <s v="EJ-MALANG-01"/>
    <x v="0"/>
    <x v="5"/>
    <s v="ZTE1001"/>
    <s v="Pcs"/>
    <n v="1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2008"/>
    <m/>
    <x v="1"/>
    <s v="OUB-W0012503-635"/>
    <s v="EJ-Malang-01"/>
    <s v="Oka-0813-2707-1646"/>
    <x v="315"/>
    <d v="1899-12-30T19:57:00"/>
    <s v="EJ-MALANG-01"/>
    <x v="0"/>
    <x v="19"/>
    <s v="ZTE1003"/>
    <s v="Pcs"/>
    <n v="1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2009"/>
    <m/>
    <x v="1"/>
    <s v="OUB-W0012503-635"/>
    <s v="EJ-Malang-01"/>
    <s v="Oka-0813-2707-1646"/>
    <x v="315"/>
    <d v="1899-12-30T19:57:00"/>
    <s v="EJ-MALANG-01"/>
    <x v="1"/>
    <x v="12"/>
    <s v="GCI1008"/>
    <s v="Pcs"/>
    <n v="44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2010"/>
    <m/>
    <x v="1"/>
    <s v="OUB-W0012503-636"/>
    <s v="EJ-Malang-01"/>
    <s v="Oka-0813-2707-1646"/>
    <x v="316"/>
    <d v="1899-12-30T19:57:00"/>
    <s v="EJ-MALANG-01"/>
    <x v="1"/>
    <x v="6"/>
    <s v="GCI1011"/>
    <s v="Pcs"/>
    <n v="1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2011"/>
    <m/>
    <x v="1"/>
    <s v="OUB-W0012503-636"/>
    <s v="EJ-Malang-01"/>
    <s v="Oka-0813-2707-1646"/>
    <x v="316"/>
    <d v="1899-12-30T19:57:00"/>
    <s v="EJ-MALANG-01"/>
    <x v="1"/>
    <x v="8"/>
    <s v="GCI1005"/>
    <s v="Pcs"/>
    <n v="60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2012"/>
    <m/>
    <x v="1"/>
    <s v="OUB-W0012503-636"/>
    <s v="EJ-Malang-01"/>
    <s v="Oka-0813-2707-1646"/>
    <x v="316"/>
    <d v="1899-12-30T19:57:00"/>
    <s v="EJ-MALANG-01"/>
    <x v="1"/>
    <x v="9"/>
    <s v="GCI1001"/>
    <s v="Pcs"/>
    <n v="33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2013"/>
    <m/>
    <x v="1"/>
    <s v="OUB-W0012503-636"/>
    <s v="EJ-Malang-01"/>
    <s v="Oka-0813-2707-1646"/>
    <x v="316"/>
    <d v="1899-12-30T19:57:00"/>
    <s v="EJ-MALANG-01"/>
    <x v="1"/>
    <x v="15"/>
    <s v="GCI1003"/>
    <s v="Pcs"/>
    <n v="50"/>
    <s v="CLR51-99-140"/>
    <x v="125"/>
    <m/>
    <m/>
    <m/>
    <s v="Riki Romansyah"/>
    <n v="0"/>
    <s v="3507050501950006"/>
    <s v="N 8420 EL"/>
    <m/>
    <x v="2"/>
    <s v="Temas RW 04"/>
    <e v="#N/A"/>
    <e v="#N/A"/>
    <s v="OUTBOUND_"/>
  </r>
  <r>
    <s v="2014"/>
    <m/>
    <x v="5"/>
    <s v="BOO-W0012504-637"/>
    <s v="EJ-Malang-01"/>
    <s v="Oka-0813-2707-1646"/>
    <x v="317"/>
    <d v="1899-12-30T09:37:00"/>
    <s v="Other Subcon"/>
    <x v="0"/>
    <x v="4"/>
    <s v="ZTE1002"/>
    <s v="Pcs"/>
    <n v="23"/>
    <s v="BR001"/>
    <x v="100"/>
    <m/>
    <m/>
    <m/>
    <s v="Deni Indra"/>
    <n v="0"/>
    <n v="0"/>
    <s v="W 8405 DN"/>
    <s v="BEAT Borrow"/>
    <x v="2"/>
    <s v="BEAUT"/>
    <e v="#N/A"/>
    <e v="#N/A"/>
    <s v="BORROW OUT_"/>
  </r>
  <r>
    <s v="2015"/>
    <m/>
    <x v="4"/>
    <s v="BOI-W0012505-638"/>
    <s v="EJ-Malang-01"/>
    <s v="Oka-0813-2707-1646"/>
    <x v="318"/>
    <d v="1900-01-14T07:00:00"/>
    <s v="Other Subcon"/>
    <x v="0"/>
    <x v="4"/>
    <s v="ZTE1002"/>
    <s v="Pcs"/>
    <n v="23"/>
    <s v="BR001"/>
    <x v="100"/>
    <n v="0"/>
    <n v="0"/>
    <m/>
    <m/>
    <m/>
    <m/>
    <m/>
    <m/>
    <x v="2"/>
    <s v="BEAUT"/>
    <e v="#N/A"/>
    <e v="#N/A"/>
    <s v="OUTBOUND_"/>
  </r>
  <r>
    <s v="2016"/>
    <m/>
    <x v="5"/>
    <s v="BOO-W0012505-639"/>
    <s v="EJ-Malang-01"/>
    <s v="Oka-0813-2707-1646"/>
    <x v="319"/>
    <d v="1899-12-30T09:37:00"/>
    <s v="Other Subcon"/>
    <x v="0"/>
    <x v="1"/>
    <s v="ZTE2003"/>
    <s v="Meter"/>
    <n v="3000"/>
    <s v="BR002"/>
    <x v="126"/>
    <m/>
    <m/>
    <m/>
    <s v="Deni Indra"/>
    <n v="0"/>
    <s v="3507330905820002"/>
    <s v="N 8408 CB"/>
    <s v="AIA Borrow"/>
    <x v="2"/>
    <s v="AIA"/>
    <e v="#N/A"/>
    <e v="#N/A"/>
    <s v="BORROW OUT_"/>
  </r>
  <r>
    <s v="2017"/>
    <m/>
    <x v="1"/>
    <s v="OUB-W0012505-640"/>
    <s v="EJ-Malang-01"/>
    <s v="Oka-0813-2707-1646"/>
    <x v="319"/>
    <d v="1899-12-30T12:57:00"/>
    <s v="EJ-MALANG-01"/>
    <x v="1"/>
    <x v="8"/>
    <s v="GCI1005"/>
    <s v="Pcs"/>
    <n v="30"/>
    <s v="CLR51-99-212"/>
    <x v="127"/>
    <m/>
    <m/>
    <m/>
    <s v="Riki Romansyah"/>
    <n v="0"/>
    <s v="3507050501950006"/>
    <s v="N 8420 EL"/>
    <m/>
    <x v="2"/>
    <s v="KEBONAGUNG RW 01 MALANG"/>
    <e v="#N/A"/>
    <e v="#N/A"/>
    <s v="OUTBOUND_"/>
  </r>
  <r>
    <s v="2018"/>
    <m/>
    <x v="1"/>
    <s v="OUB-W0012505-641"/>
    <s v="EJ-Malang-01"/>
    <s v="Oka-0813-2707-1646"/>
    <x v="319"/>
    <d v="1899-12-30T19:57:00"/>
    <s v="EJ-MALANG-01"/>
    <x v="0"/>
    <x v="2"/>
    <s v="ZTE2008"/>
    <s v="Pcs"/>
    <n v="7"/>
    <s v="CLR51-99-212"/>
    <x v="127"/>
    <m/>
    <m/>
    <m/>
    <s v="Sifak"/>
    <n v="0"/>
    <s v="3507312107950002"/>
    <s v="N 1046 ABC"/>
    <m/>
    <x v="2"/>
    <s v="KEBONAGUNG RW 01 MALANG"/>
    <e v="#N/A"/>
    <e v="#N/A"/>
    <s v="OUTBOUND_"/>
  </r>
  <r>
    <s v="2019"/>
    <m/>
    <x v="1"/>
    <s v="OUB-W0012505-641"/>
    <s v="EJ-Malang-01"/>
    <s v="Oka-0813-2707-1646"/>
    <x v="319"/>
    <d v="1899-12-30T19:57:00"/>
    <s v="EJ-MALANG-01"/>
    <x v="0"/>
    <x v="3"/>
    <s v="ZTE2005"/>
    <s v="Pcs"/>
    <n v="1"/>
    <s v="CLR51-99-212"/>
    <x v="127"/>
    <m/>
    <m/>
    <m/>
    <s v="Sifak"/>
    <n v="0"/>
    <s v="3507312107950002"/>
    <s v="N 1046 ABC"/>
    <m/>
    <x v="2"/>
    <s v="KEBONAGUNG RW 01 MALANG"/>
    <e v="#N/A"/>
    <e v="#N/A"/>
    <s v="OUTBOUND_"/>
  </r>
  <r>
    <s v="2020"/>
    <m/>
    <x v="1"/>
    <s v="OUB-W0012505-640"/>
    <s v="EJ-Malang-01"/>
    <s v="Oka-0813-2707-1646"/>
    <x v="319"/>
    <d v="1899-12-30T12:57:00"/>
    <s v="EJ-MALANG-01"/>
    <x v="0"/>
    <x v="4"/>
    <s v="ZTE1002"/>
    <s v="Pcs"/>
    <n v="26"/>
    <s v="CLR51-99-212"/>
    <x v="127"/>
    <m/>
    <m/>
    <m/>
    <s v="Riki Romansyah"/>
    <n v="0"/>
    <s v="3507050501950006"/>
    <s v="N 8420 EL"/>
    <m/>
    <x v="2"/>
    <s v="KEBONAGUNG RW 01 MALANG"/>
    <e v="#N/A"/>
    <e v="#N/A"/>
    <s v="OUTBOUND_"/>
  </r>
  <r>
    <s v="2021"/>
    <m/>
    <x v="5"/>
    <s v="BOO-W0012505-639"/>
    <s v="EJ-Malang-01"/>
    <s v="Oka-0813-2707-1646"/>
    <x v="319"/>
    <d v="1899-12-30T09:37:00"/>
    <s v="Other Subcon"/>
    <x v="0"/>
    <x v="5"/>
    <s v="ZTE1001"/>
    <s v="Pcs"/>
    <n v="10"/>
    <s v="BR002"/>
    <x v="126"/>
    <m/>
    <m/>
    <m/>
    <s v="Deni Indra"/>
    <n v="0"/>
    <s v="3507330905820002"/>
    <s v="N 8408 CB"/>
    <s v="AIA Borrow"/>
    <x v="2"/>
    <s v="AIA"/>
    <e v="#N/A"/>
    <e v="#N/A"/>
    <s v="BORROW OUT_"/>
  </r>
  <r>
    <s v="2022"/>
    <m/>
    <x v="1"/>
    <s v="OUB-W0012505-640"/>
    <s v="EJ-Malang-01"/>
    <s v="Oka-0813-2707-1646"/>
    <x v="319"/>
    <d v="1899-12-30T12:57:00"/>
    <s v="EJ-MALANG-01"/>
    <x v="0"/>
    <x v="5"/>
    <s v="ZTE1001"/>
    <s v="Pcs"/>
    <n v="1"/>
    <s v="CLR51-99-212"/>
    <x v="127"/>
    <m/>
    <m/>
    <m/>
    <s v="Riki Romansyah"/>
    <n v="0"/>
    <s v="3507050501950006"/>
    <s v="N 8420 EL"/>
    <m/>
    <x v="2"/>
    <s v="KEBONAGUNG RW 01 MALANG"/>
    <e v="#N/A"/>
    <e v="#N/A"/>
    <s v="OUTBOUND_"/>
  </r>
  <r>
    <s v="2023"/>
    <m/>
    <x v="2"/>
    <s v="TFI-W0012505-642"/>
    <s v="EJ-Malang-01"/>
    <s v="Oka-0813-2707-1646"/>
    <x v="320"/>
    <d v="1900-01-14T07:00:00"/>
    <s v="EJ-GRESIK-01"/>
    <x v="0"/>
    <x v="0"/>
    <s v="ZTE2001"/>
    <s v="Meter"/>
    <n v="3000"/>
    <s v="TRF"/>
    <x v="11"/>
    <n v="0"/>
    <n v="0"/>
    <m/>
    <m/>
    <m/>
    <m/>
    <m/>
    <m/>
    <x v="105"/>
    <s v="GRESIK"/>
    <e v="#N/A"/>
    <e v="#N/A"/>
    <s v="OUTBOUND_H-ADSS 24C-2025527-01"/>
  </r>
  <r>
    <s v="2024"/>
    <m/>
    <x v="2"/>
    <s v="TFI-W0012505-642"/>
    <s v="EJ-Malang-01"/>
    <s v="Oka-0813-2707-1646"/>
    <x v="320"/>
    <d v="1900-01-14T07:00:00"/>
    <s v="EJ-GRESIK-01"/>
    <x v="0"/>
    <x v="3"/>
    <s v="ZTE2005"/>
    <s v="Pcs"/>
    <n v="1"/>
    <s v="TRF"/>
    <x v="11"/>
    <n v="0"/>
    <n v="0"/>
    <m/>
    <m/>
    <m/>
    <m/>
    <m/>
    <m/>
    <x v="2"/>
    <s v="GRESIK"/>
    <e v="#N/A"/>
    <e v="#N/A"/>
    <s v="OUTBOUND_"/>
  </r>
  <r>
    <s v="2025"/>
    <m/>
    <x v="2"/>
    <s v="TFI-W0012505-642"/>
    <s v="EJ-Malang-01"/>
    <s v="Oka-0813-2707-1646"/>
    <x v="320"/>
    <d v="1900-01-14T07:00:00"/>
    <s v="EJ-GRESIK-01"/>
    <x v="1"/>
    <x v="16"/>
    <s v="GCI1004"/>
    <s v="Pcs"/>
    <n v="75"/>
    <s v="TRF"/>
    <x v="11"/>
    <n v="0"/>
    <n v="0"/>
    <m/>
    <m/>
    <m/>
    <m/>
    <m/>
    <m/>
    <x v="2"/>
    <s v="GRESIK"/>
    <e v="#N/A"/>
    <e v="#N/A"/>
    <s v="OUTBOUND_"/>
  </r>
  <r>
    <s v="2026"/>
    <m/>
    <x v="1"/>
    <s v="OUB-W0012505-643"/>
    <s v="EJ-Malang-01"/>
    <s v="Oka-0813-2707-1646"/>
    <x v="321"/>
    <d v="1899-12-30T12:57:00"/>
    <s v="EJ-MALANG-01"/>
    <x v="0"/>
    <x v="4"/>
    <s v="ZTE1002"/>
    <s v="Pcs"/>
    <n v="21"/>
    <s v="CLR51-99-238"/>
    <x v="128"/>
    <m/>
    <m/>
    <m/>
    <s v="Riki Romansyah"/>
    <n v="0"/>
    <s v="3507050501950006"/>
    <s v="N 8420 EL"/>
    <m/>
    <x v="2"/>
    <s v="ARJOWINANGUN RW 01 MALANG"/>
    <e v="#N/A"/>
    <e v="#N/A"/>
    <s v="OUTBOUND_"/>
  </r>
  <r>
    <s v="2027"/>
    <m/>
    <x v="1"/>
    <s v="OUB-W0012505-643"/>
    <s v="EJ-Malang-01"/>
    <s v="Oka-0813-2707-1646"/>
    <x v="321"/>
    <d v="1899-12-30T12:57:00"/>
    <s v="EJ-MALANG-01"/>
    <x v="0"/>
    <x v="5"/>
    <s v="ZTE1001"/>
    <s v="Pcs"/>
    <n v="6"/>
    <s v="CLR51-99-238"/>
    <x v="128"/>
    <m/>
    <m/>
    <m/>
    <s v="Riki Romansyah"/>
    <n v="0"/>
    <s v="3507050501950006"/>
    <s v="N 8420 EL"/>
    <m/>
    <x v="2"/>
    <s v="ARJOWINANGUN RW 01 MALANG"/>
    <e v="#N/A"/>
    <e v="#N/A"/>
    <s v="OUTBOUND_"/>
  </r>
  <r>
    <s v="2028"/>
    <m/>
    <x v="1"/>
    <s v="OUB-W0012505-643"/>
    <s v="EJ-Malang-01"/>
    <s v="Oka-0813-2707-1646"/>
    <x v="321"/>
    <d v="1899-12-30T12:57:00"/>
    <s v="EJ-MALANG-01"/>
    <x v="0"/>
    <x v="19"/>
    <s v="ZTE1003"/>
    <s v="Pcs"/>
    <n v="3"/>
    <s v="CLR51-99-238"/>
    <x v="128"/>
    <m/>
    <m/>
    <m/>
    <s v="Riki Romansyah"/>
    <n v="0"/>
    <s v="3507050501950006"/>
    <s v="N 8420 EL"/>
    <m/>
    <x v="2"/>
    <s v="ARJOWINANGUN RW 01 MALANG"/>
    <e v="#N/A"/>
    <e v="#N/A"/>
    <s v="OUTBOUND_"/>
  </r>
  <r>
    <s v="2029"/>
    <m/>
    <x v="1"/>
    <s v="OUB-W0012505-644"/>
    <s v="EJ-Malang-01"/>
    <s v="Oka-0813-2707-1646"/>
    <x v="322"/>
    <d v="1899-12-30T17:57:00"/>
    <s v="EJ-MALANG-01"/>
    <x v="0"/>
    <x v="2"/>
    <s v="ZTE2008"/>
    <s v="Pcs"/>
    <n v="10"/>
    <s v="CLR51-99-238"/>
    <x v="128"/>
    <m/>
    <m/>
    <m/>
    <s v="Sifak"/>
    <n v="0"/>
    <s v="3507312107950002"/>
    <s v="N 1046 ABC"/>
    <m/>
    <x v="2"/>
    <s v="ARJOWINANGUN RW 01 MALANG"/>
    <e v="#N/A"/>
    <e v="#N/A"/>
    <s v="OUTBOUND_"/>
  </r>
  <r>
    <s v="2030"/>
    <m/>
    <x v="1"/>
    <s v="OUB-W0012505-644"/>
    <s v="EJ-Malang-01"/>
    <s v="Oka-0813-2707-1646"/>
    <x v="322"/>
    <d v="1899-12-30T17:57:00"/>
    <s v="EJ-MALANG-01"/>
    <x v="0"/>
    <x v="3"/>
    <s v="ZTE2005"/>
    <s v="Pcs"/>
    <n v="1"/>
    <s v="CLR51-99-238"/>
    <x v="128"/>
    <m/>
    <m/>
    <m/>
    <s v="Sifak"/>
    <n v="0"/>
    <s v="3507312107950002"/>
    <s v="N 1046 ABC"/>
    <m/>
    <x v="2"/>
    <s v="ARJOWINANGUN RW 01 MALANG"/>
    <e v="#N/A"/>
    <e v="#N/A"/>
    <s v="OUTBOUND_"/>
  </r>
  <r>
    <s v="2031"/>
    <m/>
    <x v="1"/>
    <s v="OUB-W0012505-644"/>
    <s v="EJ-Malang-01"/>
    <s v="Oka-0813-2707-1646"/>
    <x v="322"/>
    <d v="1899-12-30T17:57:00"/>
    <s v="EJ-MALANG-01"/>
    <x v="0"/>
    <x v="20"/>
    <s v="ZTE1004"/>
    <s v="Pcs"/>
    <n v="1"/>
    <s v="CLR51-99-238"/>
    <x v="128"/>
    <m/>
    <m/>
    <m/>
    <s v="Sifak"/>
    <n v="0"/>
    <s v="3507312107950002"/>
    <s v="N 1046 ABC"/>
    <m/>
    <x v="2"/>
    <s v="ARJOWINANGUN RW 01 MALANG"/>
    <e v="#N/A"/>
    <e v="#N/A"/>
    <s v="OUTBOUND_"/>
  </r>
  <r>
    <s v="2032"/>
    <m/>
    <x v="2"/>
    <s v="TFI-W0012506-645"/>
    <s v="EJ-Malang-01"/>
    <s v="Oka-0813-2707-1646"/>
    <x v="323"/>
    <d v="1900-01-14T07:00:00"/>
    <s v="EJ-GRESIK-01"/>
    <x v="1"/>
    <x v="9"/>
    <s v="GCI1001"/>
    <s v="Pcs"/>
    <n v="20"/>
    <s v="TRF"/>
    <x v="11"/>
    <n v="0"/>
    <n v="0"/>
    <m/>
    <m/>
    <m/>
    <m/>
    <m/>
    <m/>
    <x v="2"/>
    <s v="GRESIK"/>
    <e v="#N/A"/>
    <e v="#N/A"/>
    <s v="OUTBOUND_"/>
  </r>
  <r>
    <s v="2033"/>
    <m/>
    <x v="2"/>
    <s v="TFI-W0012506-645"/>
    <s v="EJ-Malang-01"/>
    <s v="Oka-0813-2707-1646"/>
    <x v="323"/>
    <d v="1900-01-14T07:00:00"/>
    <s v="EJ-GRESIK-01"/>
    <x v="1"/>
    <x v="12"/>
    <s v="GCI1008"/>
    <s v="Pcs"/>
    <n v="75"/>
    <s v="TRF"/>
    <x v="11"/>
    <n v="0"/>
    <n v="0"/>
    <m/>
    <m/>
    <m/>
    <m/>
    <m/>
    <m/>
    <x v="2"/>
    <s v="GRESIK"/>
    <e v="#N/A"/>
    <e v="#N/A"/>
    <s v="OUTBOUND_"/>
  </r>
  <r>
    <s v="2034"/>
    <m/>
    <x v="2"/>
    <s v="TFI-W0012506-645"/>
    <s v="EJ-Malang-01"/>
    <s v="Oka-0813-2707-1646"/>
    <x v="323"/>
    <d v="1900-01-14T07:00:00"/>
    <s v="EJ-GRESIK-01"/>
    <x v="1"/>
    <x v="15"/>
    <s v="GCI1003"/>
    <s v="Pcs"/>
    <n v="100"/>
    <s v="TRF"/>
    <x v="11"/>
    <n v="0"/>
    <n v="0"/>
    <m/>
    <m/>
    <m/>
    <m/>
    <m/>
    <m/>
    <x v="2"/>
    <s v="GRESIK"/>
    <e v="#N/A"/>
    <e v="#N/A"/>
    <s v="OUTBOUND_"/>
  </r>
  <r>
    <s v="2035"/>
    <m/>
    <x v="0"/>
    <s v="INB-W0012506-646"/>
    <s v="EJ-Malang-01"/>
    <s v="Oka-0813-2707-1646"/>
    <x v="324"/>
    <d v="1900-01-14T07:00:00"/>
    <s v="ZTE Warehouse"/>
    <x v="0"/>
    <x v="1"/>
    <s v="ZTE2003"/>
    <s v="Meter"/>
    <n v="3000"/>
    <s v="CLR51-99-101"/>
    <x v="129"/>
    <s v="DOEID250610PF"/>
    <s v="DNWID1372025061201"/>
    <m/>
    <m/>
    <m/>
    <m/>
    <m/>
    <m/>
    <x v="106"/>
    <s v="BULULAWANG RW 01, 02, 03, 04, 06   MALANG"/>
    <d v="2025-06-12T00:00:00"/>
    <b v="1"/>
    <s v="OUTBOUND_H-ADSS 48C-2025613-01"/>
  </r>
  <r>
    <s v="2036"/>
    <m/>
    <x v="0"/>
    <s v="INB-W0012506-646"/>
    <s v="EJ-Malang-01"/>
    <s v="Oka-0813-2707-1646"/>
    <x v="324"/>
    <d v="1900-01-14T07:00:00"/>
    <s v="ZTE Warehouse"/>
    <x v="0"/>
    <x v="1"/>
    <s v="ZTE2003"/>
    <s v="Meter"/>
    <n v="1019"/>
    <s v="CLR51-99-238"/>
    <x v="128"/>
    <s v="DOEID250610PK"/>
    <s v="DNWID1372025061202"/>
    <m/>
    <m/>
    <m/>
    <m/>
    <m/>
    <m/>
    <x v="107"/>
    <s v="ARJOWINANGUN RW 01 MALANG"/>
    <d v="2025-06-12T00:00:00"/>
    <b v="1"/>
    <s v="OUTBOUND_H-ADSS 48C-2025613-02"/>
  </r>
  <r>
    <s v="2037"/>
    <m/>
    <x v="0"/>
    <s v="INB-W0012506-646"/>
    <s v="EJ-Malang-01"/>
    <s v="Oka-0813-2707-1646"/>
    <x v="324"/>
    <d v="1900-01-14T07:00:00"/>
    <s v="ZTE Warehouse"/>
    <x v="0"/>
    <x v="1"/>
    <s v="ZTE2003"/>
    <s v="Meter"/>
    <n v="3000"/>
    <s v="CLR51-99-101"/>
    <x v="129"/>
    <s v="DOEID250610PF"/>
    <s v="DNWID1372025061201"/>
    <m/>
    <m/>
    <m/>
    <m/>
    <m/>
    <m/>
    <x v="108"/>
    <s v="BULULAWANG RW 01, 02, 03, 04, 06   MALANG"/>
    <d v="2025-06-12T00:00:00"/>
    <b v="1"/>
    <s v="OUTBOUND_H-ADSS 48C-2025613-03"/>
  </r>
  <r>
    <s v="2038"/>
    <m/>
    <x v="0"/>
    <s v="INB-W0012506-646"/>
    <s v="EJ-Malang-01"/>
    <s v="Oka-0813-2707-1646"/>
    <x v="325"/>
    <d v="1900-01-14T07:00:00"/>
    <s v="ZTE Warehouse"/>
    <x v="0"/>
    <x v="0"/>
    <s v="ZTE2001"/>
    <s v="Meter"/>
    <n v="3000"/>
    <m/>
    <x v="28"/>
    <n v="0"/>
    <n v="0"/>
    <m/>
    <m/>
    <m/>
    <m/>
    <m/>
    <m/>
    <x v="109"/>
    <n v="0"/>
    <e v="#N/A"/>
    <e v="#N/A"/>
    <s v="OUTBOUND_H-ADSS 24C-2025613-01"/>
  </r>
  <r>
    <s v="2039"/>
    <m/>
    <x v="0"/>
    <s v="INB-W0012506-646"/>
    <s v="EJ-Malang-01"/>
    <s v="Oka-0813-2707-1646"/>
    <x v="325"/>
    <d v="1900-01-14T07:00:00"/>
    <s v="ZTE Warehouse"/>
    <x v="0"/>
    <x v="0"/>
    <s v="ZTE2001"/>
    <s v="Meter"/>
    <n v="3000"/>
    <m/>
    <x v="28"/>
    <m/>
    <m/>
    <m/>
    <m/>
    <m/>
    <m/>
    <m/>
    <m/>
    <x v="110"/>
    <n v="0"/>
    <e v="#N/A"/>
    <e v="#N/A"/>
    <s v="OUTBOUND_H-ADSS 24C-2025613-02"/>
  </r>
  <r>
    <s v="2040"/>
    <m/>
    <x v="0"/>
    <s v="INB-W0012506-646"/>
    <s v="EJ-Malang-01"/>
    <s v="Oka-0813-2707-1646"/>
    <x v="325"/>
    <d v="1900-01-14T07:00:00"/>
    <s v="ZTE Warehouse"/>
    <x v="0"/>
    <x v="0"/>
    <s v="ZTE2001"/>
    <s v="Meter"/>
    <n v="3000"/>
    <m/>
    <x v="28"/>
    <m/>
    <m/>
    <m/>
    <m/>
    <m/>
    <m/>
    <m/>
    <m/>
    <x v="111"/>
    <n v="0"/>
    <e v="#N/A"/>
    <e v="#N/A"/>
    <s v="OUTBOUND_H-ADSS 24C-2025613-03"/>
  </r>
  <r>
    <s v="2041"/>
    <m/>
    <x v="0"/>
    <s v="INB-W0012506-646"/>
    <s v="EJ-Malang-01"/>
    <s v="Oka-0813-2707-1646"/>
    <x v="325"/>
    <d v="1900-01-14T07:00:00"/>
    <s v="ZTE Warehouse"/>
    <x v="0"/>
    <x v="2"/>
    <s v="ZTE2008"/>
    <s v="Pcs"/>
    <n v="80"/>
    <m/>
    <x v="28"/>
    <n v="0"/>
    <n v="0"/>
    <m/>
    <m/>
    <m/>
    <m/>
    <m/>
    <m/>
    <x v="2"/>
    <n v="0"/>
    <e v="#N/A"/>
    <e v="#N/A"/>
    <s v="OUTBOUND_"/>
  </r>
  <r>
    <s v="2042"/>
    <m/>
    <x v="0"/>
    <s v="INB-W0012506-646"/>
    <s v="EJ-Malang-01"/>
    <s v="Oka-0813-2707-1646"/>
    <x v="325"/>
    <d v="1900-01-14T07:00:00"/>
    <s v="ZTE Warehouse"/>
    <x v="0"/>
    <x v="3"/>
    <s v="ZTE2005"/>
    <s v="Pcs"/>
    <n v="3"/>
    <m/>
    <x v="28"/>
    <n v="0"/>
    <n v="0"/>
    <m/>
    <m/>
    <m/>
    <m/>
    <m/>
    <m/>
    <x v="2"/>
    <n v="0"/>
    <e v="#N/A"/>
    <e v="#N/A"/>
    <s v="OUTBOUND_"/>
  </r>
  <r>
    <s v="2043"/>
    <m/>
    <x v="0"/>
    <s v="INB-W0012506-646"/>
    <s v="EJ-Malang-01"/>
    <s v="Oka-0813-2707-1646"/>
    <x v="325"/>
    <d v="1900-01-14T07:00:00"/>
    <s v="ZTE Warehouse"/>
    <x v="0"/>
    <x v="30"/>
    <s v="ZTE2006"/>
    <s v="Pcs"/>
    <n v="2"/>
    <m/>
    <x v="28"/>
    <n v="0"/>
    <n v="0"/>
    <m/>
    <m/>
    <m/>
    <m/>
    <m/>
    <m/>
    <x v="2"/>
    <n v="0"/>
    <e v="#N/A"/>
    <e v="#N/A"/>
    <s v="OUTBOUND_"/>
  </r>
  <r>
    <s v="2044"/>
    <m/>
    <x v="0"/>
    <s v="INB-W0012506-646"/>
    <s v="EJ-Malang-01"/>
    <s v="Oka-0813-2707-1646"/>
    <x v="325"/>
    <d v="1900-01-14T07:00:00"/>
    <s v="ZTE Warehouse"/>
    <x v="0"/>
    <x v="4"/>
    <s v="ZTE1002"/>
    <s v="Pcs"/>
    <n v="159"/>
    <m/>
    <x v="28"/>
    <n v="0"/>
    <n v="0"/>
    <m/>
    <m/>
    <m/>
    <m/>
    <m/>
    <m/>
    <x v="2"/>
    <n v="0"/>
    <e v="#N/A"/>
    <e v="#N/A"/>
    <s v="OUTBOUND_"/>
  </r>
  <r>
    <s v="2045"/>
    <m/>
    <x v="0"/>
    <s v="INB-W0012506-646"/>
    <s v="EJ-Malang-01"/>
    <s v="Oka-0813-2707-1646"/>
    <x v="325"/>
    <d v="1900-01-14T07:00:00"/>
    <s v="ZTE Warehouse"/>
    <x v="0"/>
    <x v="19"/>
    <s v="ZTE1003"/>
    <s v="Pcs"/>
    <n v="10"/>
    <m/>
    <x v="28"/>
    <n v="0"/>
    <n v="0"/>
    <m/>
    <m/>
    <m/>
    <m/>
    <m/>
    <m/>
    <x v="2"/>
    <n v="0"/>
    <e v="#N/A"/>
    <e v="#N/A"/>
    <s v="OUTBOUND_"/>
  </r>
  <r>
    <s v="2046"/>
    <m/>
    <x v="1"/>
    <s v="OUB-W0012506-647"/>
    <s v="EJ-Malang-01"/>
    <s v="Oka-0813-2707-1646"/>
    <x v="326"/>
    <d v="1899-12-30T12:57:00"/>
    <s v="EJ-MALANG-01"/>
    <x v="0"/>
    <x v="0"/>
    <s v="ZTE2001"/>
    <s v="Meter"/>
    <n v="3000"/>
    <s v="CLR51-99-101"/>
    <x v="129"/>
    <m/>
    <m/>
    <m/>
    <s v="Riki Romansyah"/>
    <s v="Susilo"/>
    <s v="3507050501950006"/>
    <s v="N 8420 EL"/>
    <s v="+leftover 967"/>
    <x v="2"/>
    <s v="BULULAWANG RW 01, 02, 03, 04, 06   MALANG"/>
    <e v="#N/A"/>
    <e v="#N/A"/>
    <s v="OUTBOUND_"/>
  </r>
  <r>
    <s v="2047"/>
    <m/>
    <x v="1"/>
    <s v="OUB-W0012506-647"/>
    <s v="EJ-Malang-01"/>
    <s v="Oka-0813-2707-1646"/>
    <x v="326"/>
    <d v="1899-12-30T12:57:00"/>
    <s v="EJ-MALANG-01"/>
    <x v="0"/>
    <x v="1"/>
    <s v="ZTE2003"/>
    <s v="Meter"/>
    <n v="1019"/>
    <s v="CLR51-99-101"/>
    <x v="129"/>
    <m/>
    <m/>
    <m/>
    <s v="Riki Romansyah"/>
    <s v="Susilo"/>
    <s v="3507050501950006"/>
    <s v="N 8420 EL"/>
    <m/>
    <x v="2"/>
    <s v="BULULAWANG RW 01, 02, 03, 04, 06   MALANG"/>
    <e v="#N/A"/>
    <e v="#N/A"/>
    <s v="OUTBOUND_"/>
  </r>
  <r>
    <s v="2048"/>
    <m/>
    <x v="1"/>
    <s v="OUB-W0012506-647"/>
    <s v="EJ-Malang-01"/>
    <s v="Oka-0813-2707-1646"/>
    <x v="326"/>
    <d v="1899-12-30T12:57:00"/>
    <s v="EJ-MALANG-01"/>
    <x v="0"/>
    <x v="1"/>
    <s v="ZTE2003"/>
    <s v="Meter"/>
    <n v="3000"/>
    <s v="CLR51-99-101"/>
    <x v="129"/>
    <m/>
    <m/>
    <m/>
    <s v="Riki Romansyah"/>
    <s v="Susilo"/>
    <s v="3507050501950006"/>
    <s v="N 8420 EL"/>
    <m/>
    <x v="2"/>
    <s v="BULULAWANG RW 01, 02, 03, 04, 06   MALANG"/>
    <e v="#N/A"/>
    <e v="#N/A"/>
    <s v="OUTBOUND_"/>
  </r>
  <r>
    <s v="2049"/>
    <m/>
    <x v="1"/>
    <s v="OUB-W0012506-647"/>
    <s v="EJ-Malang-01"/>
    <s v="Oka-0813-2707-1646"/>
    <x v="326"/>
    <d v="1899-12-30T12:57:00"/>
    <s v="EJ-MALANG-01"/>
    <x v="0"/>
    <x v="1"/>
    <s v="ZTE2003"/>
    <s v="Meter"/>
    <n v="3000"/>
    <s v="CLR51-99-101"/>
    <x v="129"/>
    <m/>
    <m/>
    <m/>
    <s v="Riki Romansyah"/>
    <s v="Susilo"/>
    <s v="3507050501950006"/>
    <s v="N 8420 EL"/>
    <m/>
    <x v="2"/>
    <s v="BULULAWANG RW 01, 02, 03, 04, 06   MALANG"/>
    <e v="#N/A"/>
    <e v="#N/A"/>
    <s v="OUTBOUND_"/>
  </r>
  <r>
    <s v="2050"/>
    <m/>
    <x v="1"/>
    <s v="OUB-W0012506-647"/>
    <s v="EJ-Malang-01"/>
    <s v="Oka-0813-2707-1646"/>
    <x v="326"/>
    <d v="1899-12-30T12:57:00"/>
    <s v="EJ-MALANG-01"/>
    <x v="1"/>
    <x v="9"/>
    <s v="GCI1001"/>
    <s v="Pcs"/>
    <n v="20"/>
    <n v="0"/>
    <x v="130"/>
    <m/>
    <m/>
    <m/>
    <s v="Riki Romansyah"/>
    <n v="0"/>
    <s v="3507050501950006"/>
    <s v="N 8420 EL"/>
    <m/>
    <x v="2"/>
    <s v="Kebonagung RW 01"/>
    <e v="#N/A"/>
    <e v="#N/A"/>
    <s v="OUTBOUND_"/>
  </r>
  <r>
    <s v="2051"/>
    <m/>
    <x v="1"/>
    <s v="OUB-W0012506-647"/>
    <s v="EJ-Malang-01"/>
    <s v="Oka-0813-2707-1646"/>
    <x v="326"/>
    <d v="1899-12-30T12:57:00"/>
    <s v="EJ-MALANG-01"/>
    <x v="1"/>
    <x v="10"/>
    <s v="GCI1009"/>
    <s v="Pcs"/>
    <n v="150"/>
    <n v="0"/>
    <x v="130"/>
    <m/>
    <m/>
    <m/>
    <s v="Riki Romansyah"/>
    <n v="0"/>
    <s v="3507050501950006"/>
    <s v="N 8420 EL"/>
    <m/>
    <x v="2"/>
    <s v="Kebonagung RW 01"/>
    <e v="#N/A"/>
    <e v="#N/A"/>
    <s v="OUTBOUND_"/>
  </r>
  <r>
    <s v="2052"/>
    <m/>
    <x v="1"/>
    <s v="OUB-W0012506-647"/>
    <s v="EJ-Malang-01"/>
    <s v="Oka-0813-2707-1646"/>
    <x v="326"/>
    <d v="1899-12-30T12:57:00"/>
    <s v="EJ-MALANG-01"/>
    <x v="1"/>
    <x v="11"/>
    <s v="GCI1002"/>
    <s v="Pcs"/>
    <n v="1"/>
    <n v="0"/>
    <x v="130"/>
    <m/>
    <m/>
    <m/>
    <s v="Riki Romansyah"/>
    <n v="0"/>
    <s v="3507050501950006"/>
    <s v="N 8420 EL"/>
    <m/>
    <x v="2"/>
    <s v="Kebonagung RW 01"/>
    <e v="#N/A"/>
    <e v="#N/A"/>
    <s v="OUTBOUND_"/>
  </r>
  <r>
    <s v="2053"/>
    <m/>
    <x v="1"/>
    <s v="OUB-W0012506-647"/>
    <s v="EJ-Malang-01"/>
    <s v="Oka-0813-2707-1646"/>
    <x v="326"/>
    <d v="1899-12-30T12:57:00"/>
    <s v="EJ-MALANG-01"/>
    <x v="0"/>
    <x v="4"/>
    <s v="ZTE1002"/>
    <s v="Pcs"/>
    <n v="112"/>
    <s v="CLR51-99-101"/>
    <x v="129"/>
    <m/>
    <m/>
    <m/>
    <s v="Riki Romansyah"/>
    <n v="0"/>
    <s v="3507050501950006"/>
    <s v="N 8420 EL"/>
    <m/>
    <x v="2"/>
    <s v="BULULAWANG RW 01, 02, 03, 04, 06   MALANG"/>
    <e v="#N/A"/>
    <e v="#N/A"/>
    <s v="OUTBOUND_"/>
  </r>
  <r>
    <s v="2054"/>
    <m/>
    <x v="1"/>
    <s v="OUB-W0012506-647"/>
    <s v="EJ-Malang-01"/>
    <s v="Oka-0813-2707-1646"/>
    <x v="326"/>
    <d v="1899-12-30T12:57:00"/>
    <s v="EJ-MALANG-01"/>
    <x v="0"/>
    <x v="5"/>
    <s v="ZTE1001"/>
    <s v="Pcs"/>
    <n v="22"/>
    <s v="CLR51-99-101"/>
    <x v="129"/>
    <m/>
    <m/>
    <m/>
    <s v="Riki Romansyah"/>
    <n v="0"/>
    <s v="3507050501950006"/>
    <s v="N 8420 EL"/>
    <m/>
    <x v="2"/>
    <s v="BULULAWANG RW 01, 02, 03, 04, 06   MALANG"/>
    <e v="#N/A"/>
    <e v="#N/A"/>
    <s v="OUTBOUND_"/>
  </r>
  <r>
    <s v="2055"/>
    <m/>
    <x v="1"/>
    <s v="OUB-W0012506-647"/>
    <s v="EJ-Malang-01"/>
    <s v="Oka-0813-2707-1646"/>
    <x v="326"/>
    <d v="1899-12-30T12:57:00"/>
    <s v="EJ-MALANG-01"/>
    <x v="1"/>
    <x v="15"/>
    <s v="GCI1003"/>
    <s v="Pcs"/>
    <n v="100"/>
    <n v="0"/>
    <x v="130"/>
    <m/>
    <m/>
    <m/>
    <s v="Riki Romansyah"/>
    <n v="0"/>
    <s v="3507050501950006"/>
    <s v="N 8420 EL"/>
    <m/>
    <x v="2"/>
    <s v="Kebonagung RW 01"/>
    <e v="#N/A"/>
    <e v="#N/A"/>
    <s v="OUTBOUND_"/>
  </r>
  <r>
    <s v="2056"/>
    <m/>
    <x v="1"/>
    <s v="OUB-W0012506-647"/>
    <s v="EJ-Malang-01"/>
    <s v="Oka-0813-2707-1646"/>
    <x v="326"/>
    <d v="1899-12-30T12:57:00"/>
    <s v="EJ-MALANG-01"/>
    <x v="1"/>
    <x v="16"/>
    <s v="GCI1004"/>
    <s v="Pcs"/>
    <n v="75"/>
    <n v="0"/>
    <x v="130"/>
    <m/>
    <m/>
    <m/>
    <s v="Riki Romansyah"/>
    <n v="0"/>
    <s v="3507050501950006"/>
    <s v="N 8420 EL"/>
    <m/>
    <x v="2"/>
    <s v="Kebonagung RW 01"/>
    <e v="#N/A"/>
    <e v="#N/A"/>
    <s v="OUTBOUND_"/>
  </r>
  <r>
    <s v="2057"/>
    <m/>
    <x v="1"/>
    <s v="OUB-W0012506-648"/>
    <s v="EJ-Malang-01"/>
    <s v="Oka-0813-2707-1646"/>
    <x v="327"/>
    <d v="1899-12-30T19:57:00"/>
    <s v="EJ-MALANG-01"/>
    <x v="0"/>
    <x v="2"/>
    <s v="ZTE2008"/>
    <s v="Pcs"/>
    <n v="2"/>
    <s v="CLR51-99-243"/>
    <x v="131"/>
    <m/>
    <m/>
    <m/>
    <s v="Deny Indra"/>
    <n v="0"/>
    <n v="0"/>
    <s v="N 1547 IR"/>
    <m/>
    <x v="2"/>
    <s v="DESA KARANGANYAR KIDUL PONCOKUSUMO   MALANG"/>
    <e v="#N/A"/>
    <e v="#N/A"/>
    <s v="OUTBOUND_"/>
  </r>
  <r>
    <s v="2058"/>
    <m/>
    <x v="1"/>
    <s v="OUB-W0012506-648"/>
    <s v="EJ-Malang-01"/>
    <s v="Oka-0813-2707-1646"/>
    <x v="327"/>
    <d v="1899-12-30T19:57:00"/>
    <s v="EJ-MALANG-01"/>
    <x v="0"/>
    <x v="2"/>
    <s v="ZTE2008"/>
    <s v="Pcs"/>
    <n v="8"/>
    <s v="CLR51-99-104"/>
    <x v="132"/>
    <m/>
    <m/>
    <m/>
    <s v="Deny Indra"/>
    <n v="0"/>
    <n v="0"/>
    <s v="N 1547 IR"/>
    <m/>
    <x v="2"/>
    <s v="BULULAWANG RW 05 MALANG"/>
    <e v="#N/A"/>
    <e v="#N/A"/>
    <s v="OUTBOUND_"/>
  </r>
  <r>
    <s v="2059"/>
    <m/>
    <x v="1"/>
    <s v="OUB-W0012506-648"/>
    <s v="EJ-Malang-01"/>
    <s v="Oka-0813-2707-1646"/>
    <x v="327"/>
    <d v="1899-12-30T19:57:00"/>
    <s v="EJ-MALANG-01"/>
    <x v="0"/>
    <x v="2"/>
    <s v="ZTE2008"/>
    <s v="Pcs"/>
    <n v="53"/>
    <s v="CLR51-99-101"/>
    <x v="129"/>
    <m/>
    <m/>
    <m/>
    <s v="Deny Indra"/>
    <n v="0"/>
    <n v="0"/>
    <s v="N 1547 IR"/>
    <m/>
    <x v="2"/>
    <s v="BULULAWANG RW 01, 02, 03, 04, 06   MALANG"/>
    <e v="#N/A"/>
    <e v="#N/A"/>
    <s v="OUTBOUND_"/>
  </r>
  <r>
    <s v="2060"/>
    <m/>
    <x v="1"/>
    <s v="OUB-W0012506-648"/>
    <s v="EJ-Malang-01"/>
    <s v="Oka-0813-2707-1646"/>
    <x v="327"/>
    <d v="1899-12-30T19:57:00"/>
    <s v="EJ-MALANG-01"/>
    <x v="0"/>
    <x v="3"/>
    <s v="ZTE2005"/>
    <s v="Pcs"/>
    <n v="1"/>
    <s v="CLR51-99-104"/>
    <x v="132"/>
    <m/>
    <m/>
    <m/>
    <s v="Deny Indra"/>
    <n v="0"/>
    <n v="0"/>
    <s v="N 1547 IR"/>
    <m/>
    <x v="2"/>
    <s v="BULULAWANG RW 05 MALANG"/>
    <e v="#N/A"/>
    <e v="#N/A"/>
    <s v="OUTBOUND_"/>
  </r>
  <r>
    <s v="2061"/>
    <m/>
    <x v="1"/>
    <s v="OUB-W0012506-648"/>
    <s v="EJ-Malang-01"/>
    <s v="Oka-0813-2707-1646"/>
    <x v="327"/>
    <d v="1899-12-30T19:57:00"/>
    <s v="EJ-MALANG-01"/>
    <x v="0"/>
    <x v="30"/>
    <s v="ZTE2006"/>
    <s v="Pcs"/>
    <n v="2"/>
    <s v="CLR51-99-101"/>
    <x v="129"/>
    <m/>
    <m/>
    <m/>
    <s v="Deny Indra"/>
    <n v="0"/>
    <n v="0"/>
    <s v="N 1547 IR"/>
    <m/>
    <x v="2"/>
    <s v="BULULAWANG RW 01, 02, 03, 04, 06   MALANG"/>
    <e v="#N/A"/>
    <e v="#N/A"/>
    <s v="OUTBOUND_"/>
  </r>
  <r>
    <s v="2062"/>
    <m/>
    <x v="1"/>
    <s v="OUB-W0012506-648"/>
    <s v="EJ-Malang-01"/>
    <s v="Oka-0813-2707-1646"/>
    <x v="327"/>
    <d v="1899-12-30T19:57:00"/>
    <s v="EJ-MALANG-01"/>
    <x v="0"/>
    <x v="20"/>
    <s v="ZTE1004"/>
    <s v="Pcs"/>
    <n v="1"/>
    <s v="CLR51-99-101"/>
    <x v="129"/>
    <m/>
    <m/>
    <m/>
    <s v="Deny Indra"/>
    <n v="0"/>
    <n v="0"/>
    <s v="N 1547 IR"/>
    <m/>
    <x v="2"/>
    <s v="BULULAWANG RW 01, 02, 03, 04, 06   MALANG"/>
    <e v="#N/A"/>
    <e v="#N/A"/>
    <s v="OUTBOUND_"/>
  </r>
  <r>
    <s v="2063"/>
    <m/>
    <x v="0"/>
    <s v="INB-W0012506-649"/>
    <s v="EJ-Malang-01"/>
    <s v="Oka-0813-2707-1646"/>
    <x v="328"/>
    <d v="1900-01-14T07:00:00"/>
    <s v="ZTE Warehouse"/>
    <x v="0"/>
    <x v="1"/>
    <s v="ZTE2003"/>
    <s v="Meter"/>
    <n v="3000"/>
    <s v="CLR51-99-242"/>
    <x v="133"/>
    <s v="DOEID250613BN"/>
    <s v="DNWID1372025061605"/>
    <m/>
    <m/>
    <m/>
    <m/>
    <m/>
    <m/>
    <x v="112"/>
    <s v="DESA GADUNGAN PONCOKUSUMO MALANG"/>
    <d v="2025-06-17T00:00:00"/>
    <b v="1"/>
    <s v="OUTBOUND_H-ADSS 48C-2025618-01"/>
  </r>
  <r>
    <s v="2064"/>
    <m/>
    <x v="0"/>
    <s v="INB-W0012506-649"/>
    <s v="EJ-Malang-01"/>
    <s v="Oka-0813-2707-1646"/>
    <x v="328"/>
    <d v="1900-01-14T07:00:00"/>
    <s v="ZTE Warehouse"/>
    <x v="0"/>
    <x v="1"/>
    <s v="ZTE2003"/>
    <s v="Meter"/>
    <n v="3000"/>
    <s v="CLR51-99-243"/>
    <x v="131"/>
    <s v="DOEID250613BP"/>
    <s v="DNWID1372025061606"/>
    <m/>
    <m/>
    <m/>
    <m/>
    <m/>
    <m/>
    <x v="113"/>
    <s v="DESA KARANGANYAR KIDUL PONCOKUSUMO   MALANG"/>
    <d v="2025-06-17T00:00:00"/>
    <b v="1"/>
    <s v="OUTBOUND_H-ADSS 48C-2025618-02"/>
  </r>
  <r>
    <s v="2065"/>
    <m/>
    <x v="0"/>
    <s v="INB-W0012506-649"/>
    <s v="EJ-Malang-01"/>
    <s v="Oka-0813-2707-1646"/>
    <x v="329"/>
    <d v="1900-01-14T07:00:00"/>
    <s v="ZTE Warehouse"/>
    <x v="0"/>
    <x v="2"/>
    <s v="ZTE2008"/>
    <s v="Pcs"/>
    <n v="72"/>
    <m/>
    <x v="28"/>
    <n v="0"/>
    <n v="0"/>
    <m/>
    <m/>
    <m/>
    <m/>
    <m/>
    <m/>
    <x v="2"/>
    <n v="0"/>
    <e v="#N/A"/>
    <e v="#N/A"/>
    <s v="OUTBOUND_"/>
  </r>
  <r>
    <s v="2066"/>
    <m/>
    <x v="0"/>
    <s v="INB-W0012506-649"/>
    <s v="EJ-Malang-01"/>
    <s v="Oka-0813-2707-1646"/>
    <x v="329"/>
    <d v="1900-01-14T07:00:00"/>
    <s v="ZTE Warehouse"/>
    <x v="0"/>
    <x v="3"/>
    <s v="ZTE2005"/>
    <s v="Pcs"/>
    <n v="1"/>
    <m/>
    <x v="28"/>
    <n v="0"/>
    <n v="0"/>
    <m/>
    <m/>
    <m/>
    <m/>
    <m/>
    <m/>
    <x v="2"/>
    <n v="0"/>
    <e v="#N/A"/>
    <e v="#N/A"/>
    <s v="OUTBOUND_"/>
  </r>
  <r>
    <s v="2067"/>
    <m/>
    <x v="0"/>
    <s v="INB-W0012506-649"/>
    <s v="EJ-Malang-01"/>
    <s v="Oka-0813-2707-1646"/>
    <x v="329"/>
    <d v="1900-01-14T07:00:00"/>
    <s v="ZTE Warehouse"/>
    <x v="0"/>
    <x v="30"/>
    <s v="ZTE2006"/>
    <s v="Pcs"/>
    <n v="2"/>
    <m/>
    <x v="28"/>
    <n v="0"/>
    <n v="0"/>
    <m/>
    <m/>
    <m/>
    <m/>
    <m/>
    <m/>
    <x v="2"/>
    <n v="0"/>
    <e v="#N/A"/>
    <e v="#N/A"/>
    <s v="OUTBOUND_"/>
  </r>
  <r>
    <s v="2068"/>
    <m/>
    <x v="0"/>
    <s v="INB-W0012506-649"/>
    <s v="EJ-Malang-01"/>
    <s v="Oka-0813-2707-1646"/>
    <x v="329"/>
    <d v="1900-01-14T07:00:00"/>
    <s v="ZTE Warehouse"/>
    <x v="0"/>
    <x v="20"/>
    <s v="ZTE1004"/>
    <s v="Pcs"/>
    <n v="1"/>
    <m/>
    <x v="28"/>
    <n v="0"/>
    <n v="0"/>
    <m/>
    <m/>
    <m/>
    <m/>
    <m/>
    <m/>
    <x v="2"/>
    <n v="0"/>
    <e v="#N/A"/>
    <e v="#N/A"/>
    <s v="OUTBOUND_"/>
  </r>
  <r>
    <s v="2069"/>
    <m/>
    <x v="0"/>
    <s v="INB-W0012506-649"/>
    <s v="EJ-Malang-01"/>
    <s v="Oka-0813-2707-1646"/>
    <x v="329"/>
    <d v="1900-01-14T07:00:00"/>
    <s v="ZTE Warehouse"/>
    <x v="0"/>
    <x v="4"/>
    <s v="ZTE1002"/>
    <s v="Pcs"/>
    <n v="192"/>
    <m/>
    <x v="28"/>
    <n v="0"/>
    <n v="0"/>
    <m/>
    <m/>
    <m/>
    <m/>
    <m/>
    <m/>
    <x v="2"/>
    <n v="0"/>
    <e v="#N/A"/>
    <e v="#N/A"/>
    <s v="OUTBOUND_"/>
  </r>
  <r>
    <s v="2070"/>
    <m/>
    <x v="0"/>
    <s v="INB-W0012506-649"/>
    <s v="EJ-Malang-01"/>
    <s v="Oka-0813-2707-1646"/>
    <x v="329"/>
    <d v="1900-01-14T07:00:00"/>
    <s v="ZTE Warehouse"/>
    <x v="0"/>
    <x v="19"/>
    <s v="ZTE1003"/>
    <s v="Pcs"/>
    <n v="12"/>
    <m/>
    <x v="28"/>
    <n v="0"/>
    <n v="0"/>
    <m/>
    <m/>
    <m/>
    <m/>
    <m/>
    <m/>
    <x v="2"/>
    <n v="0"/>
    <e v="#N/A"/>
    <e v="#N/A"/>
    <s v="OUTBOUND_"/>
  </r>
  <r>
    <s v="2071"/>
    <m/>
    <x v="1"/>
    <s v="OUB-W0012506-650"/>
    <s v="EJ-Malang-01"/>
    <s v="Oka-0813-2707-1646"/>
    <x v="330"/>
    <d v="1899-12-30T12:51:00"/>
    <s v="EJ-MALANG-01"/>
    <x v="1"/>
    <x v="10"/>
    <s v="GCI1009"/>
    <s v="Pcs"/>
    <n v="42"/>
    <n v="0"/>
    <x v="134"/>
    <m/>
    <m/>
    <m/>
    <s v="Fatur"/>
    <n v="0"/>
    <s v="1812010507910004"/>
    <s v="L 9221 K"/>
    <m/>
    <x v="2"/>
    <s v="Pncokusumo"/>
    <e v="#N/A"/>
    <e v="#N/A"/>
    <s v="OUTBOUND_"/>
  </r>
  <r>
    <s v="2072"/>
    <m/>
    <x v="1"/>
    <s v="OUB-W0012506-651"/>
    <s v="EJ-Malang-01"/>
    <s v="Oka-0813-2707-1646"/>
    <x v="330"/>
    <d v="1899-12-30T15:30:00"/>
    <s v="EJ-MALANG-01"/>
    <x v="0"/>
    <x v="2"/>
    <s v="ZTE2008"/>
    <s v="Pcs"/>
    <n v="30"/>
    <s v="CLR51-99-244"/>
    <x v="135"/>
    <m/>
    <m/>
    <m/>
    <s v="Fatur"/>
    <n v="0"/>
    <s v="1812010507910004"/>
    <s v="L 9221 K"/>
    <m/>
    <x v="2"/>
    <s v="DESA KRAJANI PONCOKUSUMO MALANG"/>
    <e v="#N/A"/>
    <e v="#N/A"/>
    <s v="OUTBOUND_"/>
  </r>
  <r>
    <s v="2073"/>
    <m/>
    <x v="1"/>
    <s v="OUB-W0012506-651"/>
    <s v="EJ-Malang-01"/>
    <s v="Oka-0813-2707-1646"/>
    <x v="330"/>
    <d v="1899-12-30T15:30:00"/>
    <s v="EJ-MALANG-01"/>
    <x v="0"/>
    <x v="30"/>
    <s v="ZTE2006"/>
    <s v="Pcs"/>
    <n v="1"/>
    <s v="CLR51-99-244"/>
    <x v="135"/>
    <m/>
    <m/>
    <m/>
    <s v="Fatur"/>
    <n v="0"/>
    <s v="1812010507910004"/>
    <s v="L 9221 K"/>
    <m/>
    <x v="2"/>
    <s v="DESA KRAJANI PONCOKUSUMO MALANG"/>
    <e v="#N/A"/>
    <e v="#N/A"/>
    <s v="OUTBOUND_"/>
  </r>
  <r>
    <s v="2074"/>
    <m/>
    <x v="1"/>
    <s v="OUB-W0012506-651"/>
    <s v="EJ-Malang-01"/>
    <s v="Oka-0813-2707-1646"/>
    <x v="330"/>
    <d v="1899-12-30T15:30:00"/>
    <s v="EJ-MALANG-01"/>
    <x v="0"/>
    <x v="4"/>
    <s v="ZTE1002"/>
    <s v="Pcs"/>
    <n v="10"/>
    <s v="CLR51-99-243"/>
    <x v="131"/>
    <m/>
    <m/>
    <m/>
    <s v="Fatur"/>
    <n v="0"/>
    <s v="1812010507910004"/>
    <s v="L 9221 K"/>
    <m/>
    <x v="2"/>
    <s v="DESA KARANGANYAR KIDUL PONCOKUSUMO   MALANG"/>
    <e v="#N/A"/>
    <e v="#N/A"/>
    <s v="OUTBOUND_"/>
  </r>
  <r>
    <s v="2075"/>
    <m/>
    <x v="1"/>
    <s v="OUB-W0012506-650"/>
    <s v="EJ-Malang-01"/>
    <s v="Oka-0813-2707-1646"/>
    <x v="330"/>
    <d v="1899-12-30T12:51:00"/>
    <s v="EJ-MALANG-01"/>
    <x v="0"/>
    <x v="4"/>
    <s v="ZTE1002"/>
    <s v="Pcs"/>
    <n v="167"/>
    <s v="CLR51-99-244"/>
    <x v="135"/>
    <m/>
    <m/>
    <m/>
    <s v="Fatur"/>
    <n v="0"/>
    <s v="1812010507910004"/>
    <s v="L 9221 K"/>
    <m/>
    <x v="2"/>
    <s v="DESA KRAJANI PONCOKUSUMO MALANG"/>
    <e v="#N/A"/>
    <e v="#N/A"/>
    <s v="OUTBOUND_"/>
  </r>
  <r>
    <s v="2076"/>
    <m/>
    <x v="1"/>
    <s v="OUB-W0012506-651"/>
    <s v="EJ-Malang-01"/>
    <s v="Oka-0813-2707-1646"/>
    <x v="330"/>
    <d v="1899-12-30T15:30:00"/>
    <s v="EJ-MALANG-01"/>
    <x v="0"/>
    <x v="19"/>
    <s v="ZTE1003"/>
    <s v="Pcs"/>
    <n v="11"/>
    <s v="CLR51-99-244"/>
    <x v="135"/>
    <m/>
    <m/>
    <m/>
    <s v="Fatur"/>
    <n v="0"/>
    <s v="1812010507910004"/>
    <s v="L 9221 K"/>
    <m/>
    <x v="2"/>
    <s v="DESA KRAJANI PONCOKUSUMO MALANG"/>
    <e v="#N/A"/>
    <e v="#N/A"/>
    <s v="OUTBOUND_"/>
  </r>
  <r>
    <s v="2077"/>
    <m/>
    <x v="1"/>
    <s v="OUB-W0012506-652"/>
    <s v="EJ-Malang-01"/>
    <s v="Oka-0813-2707-1646"/>
    <x v="331"/>
    <d v="1899-12-30T14:18:00"/>
    <s v="EJ-MALANG-01"/>
    <x v="0"/>
    <x v="0"/>
    <s v="ZTE2001"/>
    <s v="Meter"/>
    <n v="3000"/>
    <s v="CLR51-99-244"/>
    <x v="135"/>
    <m/>
    <m/>
    <m/>
    <s v="Fatkur"/>
    <s v="Fatkur"/>
    <s v="1812010507910004"/>
    <s v="L 9221 K"/>
    <m/>
    <x v="2"/>
    <s v="DESA KRAJANI PONCOKUSUMO MALANG"/>
    <e v="#N/A"/>
    <e v="#N/A"/>
    <s v="OUTBOUND_"/>
  </r>
  <r>
    <s v="2078"/>
    <m/>
    <x v="1"/>
    <s v="OUB-W0012506-652"/>
    <s v="EJ-Malang-01"/>
    <s v="Oka-0813-2707-1646"/>
    <x v="331"/>
    <d v="1899-12-30T14:18:00"/>
    <s v="EJ-MALANG-01"/>
    <x v="0"/>
    <x v="0"/>
    <s v="ZTE2001"/>
    <s v="Meter"/>
    <n v="3000"/>
    <s v="CLR51-99-245"/>
    <x v="136"/>
    <m/>
    <m/>
    <m/>
    <s v="Fatkur"/>
    <s v="Fatkur"/>
    <s v="1812010507910004"/>
    <s v="L 9221 K"/>
    <m/>
    <x v="2"/>
    <s v="DESA PANCURAN PONCOKUSUMO MALANG"/>
    <e v="#N/A"/>
    <e v="#N/A"/>
    <s v="OUTBOUND_"/>
  </r>
  <r>
    <s v="2079"/>
    <m/>
    <x v="1"/>
    <s v="OUB-W0012506-652"/>
    <s v="EJ-Malang-01"/>
    <s v="Oka-0813-2707-1646"/>
    <x v="331"/>
    <d v="1899-12-30T14:18:00"/>
    <s v="EJ-MALANG-01"/>
    <x v="0"/>
    <x v="1"/>
    <s v="ZTE2003"/>
    <s v="Meter"/>
    <n v="3000"/>
    <s v="CLR51-99-243"/>
    <x v="131"/>
    <m/>
    <m/>
    <m/>
    <s v="Fatkur"/>
    <s v="Fatkur"/>
    <s v="1812010507910004"/>
    <s v="L 9221 K"/>
    <m/>
    <x v="2"/>
    <s v="DESA KARANGANYAR KIDUL PONCOKUSUMO   MALANG"/>
    <e v="#N/A"/>
    <e v="#N/A"/>
    <s v="OUTBOUND_"/>
  </r>
  <r>
    <s v="2080"/>
    <m/>
    <x v="1"/>
    <s v="OUB-W0012506-652"/>
    <s v="EJ-Malang-01"/>
    <s v="Oka-0813-2707-1646"/>
    <x v="331"/>
    <d v="1899-12-30T14:18:00"/>
    <s v="EJ-MALANG-01"/>
    <x v="0"/>
    <x v="20"/>
    <s v="ZTE1004"/>
    <s v="Pcs"/>
    <n v="2"/>
    <s v="CLR51-99-243"/>
    <x v="131"/>
    <m/>
    <m/>
    <m/>
    <s v="Fatur"/>
    <n v="0"/>
    <s v="1812010507910004"/>
    <s v="L 9221 K"/>
    <m/>
    <x v="2"/>
    <s v="DESA KARANGANYAR KIDUL PONCOKUSUMO   MALANG"/>
    <e v="#N/A"/>
    <e v="#N/A"/>
    <s v="OUTBOUND_"/>
  </r>
  <r>
    <s v="2081"/>
    <m/>
    <x v="0"/>
    <s v="INB-W0012506-655"/>
    <s v="EJ-Malang-01"/>
    <s v="Oka-0813-2707-1646"/>
    <x v="332"/>
    <d v="1900-01-14T07:00:00"/>
    <s v="GCI Procurement"/>
    <x v="1"/>
    <x v="6"/>
    <s v="GCI1011"/>
    <s v="Pcs"/>
    <n v="2"/>
    <n v="0"/>
    <x v="17"/>
    <n v="0"/>
    <n v="0"/>
    <m/>
    <m/>
    <m/>
    <m/>
    <m/>
    <m/>
    <x v="2"/>
    <n v="0"/>
    <e v="#N/A"/>
    <e v="#N/A"/>
    <s v="OUTBOUND_"/>
  </r>
  <r>
    <s v="2082"/>
    <m/>
    <x v="1"/>
    <s v="OUB-W0012506-654"/>
    <s v="EJ-Malang-01"/>
    <s v="Oka-0813-2707-1646"/>
    <x v="332"/>
    <d v="1899-12-30T15:30:00"/>
    <s v="EJ-MALANG-01"/>
    <x v="1"/>
    <x v="6"/>
    <s v="GCI1011"/>
    <s v="Pcs"/>
    <n v="1"/>
    <n v="0"/>
    <x v="137"/>
    <m/>
    <m/>
    <m/>
    <m/>
    <m/>
    <m/>
    <m/>
    <m/>
    <x v="2"/>
    <s v="Bululawang"/>
    <e v="#N/A"/>
    <e v="#N/A"/>
    <s v="OUTBOUND_"/>
  </r>
  <r>
    <s v="2083"/>
    <m/>
    <x v="1"/>
    <s v="OUB-W0012506-654"/>
    <s v="EJ-Malang-01"/>
    <s v="Oka-0813-2707-1646"/>
    <x v="332"/>
    <d v="1899-12-30T15:30:00"/>
    <s v="EJ-MALANG-01"/>
    <x v="1"/>
    <x v="6"/>
    <s v="GCI1011"/>
    <s v="Pcs"/>
    <n v="2"/>
    <n v="0"/>
    <x v="134"/>
    <m/>
    <m/>
    <m/>
    <s v="Fatur"/>
    <n v="0"/>
    <s v="1812010507910004"/>
    <s v="L 9221 K"/>
    <m/>
    <x v="2"/>
    <s v="Pncokusumo"/>
    <e v="#N/A"/>
    <e v="#N/A"/>
    <s v="OUTBOUND_"/>
  </r>
  <r>
    <s v="2084"/>
    <m/>
    <x v="0"/>
    <s v="INB-W0012506-655"/>
    <s v="EJ-Malang-01"/>
    <s v="Oka-0813-2707-1646"/>
    <x v="332"/>
    <d v="1900-01-14T07:00:00"/>
    <s v="GCI Procurement"/>
    <x v="1"/>
    <x v="8"/>
    <s v="GCI1005"/>
    <s v="Pcs"/>
    <n v="381"/>
    <n v="0"/>
    <x v="17"/>
    <n v="0"/>
    <n v="0"/>
    <m/>
    <m/>
    <m/>
    <m/>
    <m/>
    <m/>
    <x v="2"/>
    <n v="0"/>
    <e v="#N/A"/>
    <e v="#N/A"/>
    <s v="OUTBOUND_"/>
  </r>
  <r>
    <s v="2085"/>
    <m/>
    <x v="1"/>
    <s v="OUB-W0012506-654"/>
    <s v="EJ-Malang-01"/>
    <s v="Oka-0813-2707-1646"/>
    <x v="332"/>
    <d v="1899-12-30T15:30:00"/>
    <s v="EJ-MALANG-01"/>
    <x v="1"/>
    <x v="8"/>
    <s v="GCI1005"/>
    <s v="Pcs"/>
    <n v="381"/>
    <n v="0"/>
    <x v="134"/>
    <m/>
    <m/>
    <m/>
    <s v="Fatur"/>
    <n v="0"/>
    <s v="1812010507910004"/>
    <s v="L 9221 K"/>
    <m/>
    <x v="2"/>
    <s v="Pncokusumo"/>
    <e v="#N/A"/>
    <e v="#N/A"/>
    <s v="OUTBOUND_"/>
  </r>
  <r>
    <s v="2086"/>
    <m/>
    <x v="0"/>
    <s v="INB-W0012506-655"/>
    <s v="EJ-Malang-01"/>
    <s v="Oka-0813-2707-1646"/>
    <x v="332"/>
    <d v="1900-01-14T07:00:00"/>
    <s v="GCI Procurement"/>
    <x v="1"/>
    <x v="9"/>
    <s v="GCI1001"/>
    <s v="Pcs"/>
    <n v="147"/>
    <n v="0"/>
    <x v="17"/>
    <n v="0"/>
    <n v="0"/>
    <m/>
    <m/>
    <m/>
    <m/>
    <m/>
    <m/>
    <x v="2"/>
    <n v="0"/>
    <e v="#N/A"/>
    <e v="#N/A"/>
    <s v="OUTBOUND_"/>
  </r>
  <r>
    <s v="2087"/>
    <m/>
    <x v="1"/>
    <s v="OUB-W0012506-654"/>
    <s v="EJ-Malang-01"/>
    <s v="Oka-0813-2707-1646"/>
    <x v="332"/>
    <d v="1899-12-30T15:30:00"/>
    <s v="EJ-MALANG-01"/>
    <x v="1"/>
    <x v="9"/>
    <s v="GCI1001"/>
    <s v="Pcs"/>
    <n v="75"/>
    <n v="0"/>
    <x v="134"/>
    <m/>
    <m/>
    <m/>
    <s v="Fatur"/>
    <n v="0"/>
    <s v="1812010507910004"/>
    <s v="L 9221 K"/>
    <m/>
    <x v="2"/>
    <s v="Pncokusumo"/>
    <e v="#N/A"/>
    <e v="#N/A"/>
    <s v="OUTBOUND_"/>
  </r>
  <r>
    <s v="2088"/>
    <m/>
    <x v="1"/>
    <s v="OUB-W0012506-653"/>
    <s v="EJ-Malang-01"/>
    <s v="Oka-0813-2707-1646"/>
    <x v="332"/>
    <d v="1899-12-30T12:57:00"/>
    <s v="EJ-MALANG-01"/>
    <x v="0"/>
    <x v="19"/>
    <s v="ZTE1003"/>
    <s v="Pcs"/>
    <n v="7"/>
    <s v="CLR51-99-101"/>
    <x v="129"/>
    <m/>
    <m/>
    <m/>
    <s v="Riki Romansyah"/>
    <n v="0"/>
    <s v="3507050501950006"/>
    <s v="N 8420 EL"/>
    <m/>
    <x v="2"/>
    <s v="BULULAWANG RW 01, 02, 03, 04, 06   MALANG"/>
    <e v="#N/A"/>
    <e v="#N/A"/>
    <s v="OUTBOUND_"/>
  </r>
  <r>
    <s v="2089"/>
    <m/>
    <x v="0"/>
    <s v="INB-W0012506-655"/>
    <s v="EJ-Malang-01"/>
    <s v="Oka-0813-2707-1646"/>
    <x v="332"/>
    <d v="1900-01-14T07:00:00"/>
    <s v="GCI Procurement"/>
    <x v="1"/>
    <x v="12"/>
    <s v="GCI1008"/>
    <s v="Pcs"/>
    <n v="397"/>
    <n v="0"/>
    <x v="17"/>
    <n v="0"/>
    <n v="0"/>
    <m/>
    <m/>
    <m/>
    <m/>
    <m/>
    <m/>
    <x v="2"/>
    <n v="0"/>
    <e v="#N/A"/>
    <e v="#N/A"/>
    <s v="OUTBOUND_"/>
  </r>
  <r>
    <s v="2090"/>
    <m/>
    <x v="1"/>
    <s v="OUB-W0012506-654"/>
    <s v="EJ-Malang-01"/>
    <s v="Oka-0813-2707-1646"/>
    <x v="332"/>
    <d v="1899-12-30T15:30:00"/>
    <s v="EJ-MALANG-01"/>
    <x v="1"/>
    <x v="12"/>
    <s v="GCI1008"/>
    <s v="Pcs"/>
    <n v="262"/>
    <n v="0"/>
    <x v="134"/>
    <m/>
    <m/>
    <m/>
    <s v="Fatur"/>
    <n v="0"/>
    <s v="1812010507910004"/>
    <s v="L 9221 K"/>
    <m/>
    <x v="2"/>
    <s v="Pncokusumo"/>
    <e v="#N/A"/>
    <e v="#N/A"/>
    <s v="OUTBOUND_"/>
  </r>
  <r>
    <s v="2091"/>
    <m/>
    <x v="0"/>
    <s v="INB-W0012506-655"/>
    <s v="EJ-Malang-01"/>
    <s v="Oka-0813-2707-1646"/>
    <x v="332"/>
    <d v="1900-01-14T07:00:00"/>
    <s v="GCI Procurement"/>
    <x v="1"/>
    <x v="15"/>
    <s v="GCI1003"/>
    <s v="Pcs"/>
    <n v="558"/>
    <n v="0"/>
    <x v="17"/>
    <n v="0"/>
    <n v="0"/>
    <m/>
    <m/>
    <m/>
    <m/>
    <m/>
    <m/>
    <x v="2"/>
    <n v="0"/>
    <e v="#N/A"/>
    <e v="#N/A"/>
    <s v="OUTBOUND_"/>
  </r>
  <r>
    <s v="2092"/>
    <m/>
    <x v="1"/>
    <s v="OUB-W0012506-654"/>
    <s v="EJ-Malang-01"/>
    <s v="Oka-0813-2707-1646"/>
    <x v="332"/>
    <d v="1899-12-30T15:30:00"/>
    <s v="EJ-MALANG-01"/>
    <x v="1"/>
    <x v="15"/>
    <s v="GCI1003"/>
    <s v="Pcs"/>
    <n v="388"/>
    <n v="0"/>
    <x v="134"/>
    <m/>
    <m/>
    <m/>
    <s v="Fatur"/>
    <n v="0"/>
    <s v="1812010507910004"/>
    <s v="L 9221 K"/>
    <m/>
    <x v="2"/>
    <s v="Pncokusumo"/>
    <e v="#N/A"/>
    <e v="#N/A"/>
    <s v="OUTBOUND_"/>
  </r>
  <r>
    <s v="2093"/>
    <m/>
    <x v="0"/>
    <s v="INB-W0012506-655"/>
    <s v="EJ-Malang-01"/>
    <s v="Oka-0813-2707-1646"/>
    <x v="332"/>
    <d v="1900-01-14T07:00:00"/>
    <s v="GCI Procurement"/>
    <x v="1"/>
    <x v="16"/>
    <s v="GCI1004"/>
    <s v="Pcs"/>
    <n v="109"/>
    <n v="0"/>
    <x v="17"/>
    <n v="0"/>
    <n v="0"/>
    <m/>
    <m/>
    <m/>
    <m/>
    <m/>
    <m/>
    <x v="2"/>
    <n v="0"/>
    <e v="#N/A"/>
    <e v="#N/A"/>
    <s v="OUTBOUND_"/>
  </r>
  <r>
    <s v="2094"/>
    <m/>
    <x v="1"/>
    <s v="OUB-W0012506-654"/>
    <s v="EJ-Malang-01"/>
    <s v="Oka-0813-2707-1646"/>
    <x v="332"/>
    <d v="1899-12-30T15:30:00"/>
    <s v="EJ-MALANG-01"/>
    <x v="1"/>
    <x v="16"/>
    <s v="GCI1004"/>
    <s v="Pcs"/>
    <n v="109"/>
    <n v="0"/>
    <x v="134"/>
    <m/>
    <m/>
    <m/>
    <s v="Fatur"/>
    <n v="0"/>
    <s v="1812010507910004"/>
    <s v="L 9221 K"/>
    <m/>
    <x v="2"/>
    <s v="Pncokusumo"/>
    <e v="#N/A"/>
    <e v="#N/A"/>
    <s v="OUTBOUND_"/>
  </r>
  <r>
    <s v="2095"/>
    <m/>
    <x v="2"/>
    <s v="TFI-W0012506-656"/>
    <s v="EJ-Malang-01"/>
    <s v="Oka-0813-2707-1646"/>
    <x v="333"/>
    <d v="1900-01-14T07:00:00"/>
    <s v="EJ-GRESIK-01"/>
    <x v="0"/>
    <x v="0"/>
    <s v="ZTE2001"/>
    <s v="Meter"/>
    <n v="3000"/>
    <s v="TRF"/>
    <x v="11"/>
    <n v="0"/>
    <n v="0"/>
    <m/>
    <m/>
    <m/>
    <m/>
    <m/>
    <m/>
    <x v="114"/>
    <s v="GRESIK"/>
    <e v="#N/A"/>
    <e v="#N/A"/>
    <s v="OUTBOUND_H-ADSS 24C-2025624-01"/>
  </r>
  <r>
    <s v="2096"/>
    <m/>
    <x v="2"/>
    <s v="TFI-W0012506-656"/>
    <s v="EJ-Malang-01"/>
    <s v="Oka-0813-2707-1646"/>
    <x v="333"/>
    <d v="1900-01-14T07:00:00"/>
    <s v="EJ-GRESIK-01"/>
    <x v="0"/>
    <x v="0"/>
    <s v="ZTE2001"/>
    <s v="Meter"/>
    <n v="3000"/>
    <s v="TRF"/>
    <x v="11"/>
    <m/>
    <m/>
    <m/>
    <m/>
    <m/>
    <m/>
    <m/>
    <m/>
    <x v="115"/>
    <s v="GRESIK"/>
    <e v="#N/A"/>
    <e v="#N/A"/>
    <s v="OUTBOUND_H-ADSS 24C-2025624-03"/>
  </r>
  <r>
    <s v="2097"/>
    <m/>
    <x v="1"/>
    <s v="OUB-W0012506-659"/>
    <s v="EJ-Malang-01"/>
    <s v="Oka-0813-2707-1646"/>
    <x v="333"/>
    <d v="1899-12-30T15:30:00"/>
    <s v="EJ-MALANG-01"/>
    <x v="0"/>
    <x v="0"/>
    <s v="ZTE2001"/>
    <s v="Meter"/>
    <n v="3000"/>
    <s v="CLR51-99-242"/>
    <x v="133"/>
    <m/>
    <m/>
    <m/>
    <s v="Fatkur"/>
    <s v="Fatkur"/>
    <s v="1812010507910004"/>
    <s v="L 9221 K"/>
    <m/>
    <x v="2"/>
    <s v="DESA GADUNGAN PONCOKUSUMO MALANG"/>
    <e v="#N/A"/>
    <e v="#N/A"/>
    <s v="OUTBOUND_"/>
  </r>
  <r>
    <s v="2098"/>
    <m/>
    <x v="1"/>
    <s v="OUB-W0012506-659"/>
    <s v="EJ-Malang-01"/>
    <s v="Oka-0813-2707-1646"/>
    <x v="333"/>
    <d v="1899-12-30T15:30:00"/>
    <s v="EJ-MALANG-01"/>
    <x v="0"/>
    <x v="0"/>
    <s v="ZTE2001"/>
    <s v="Meter"/>
    <n v="3000"/>
    <s v="CLR51-99-243"/>
    <x v="131"/>
    <m/>
    <m/>
    <m/>
    <s v="Fatkur"/>
    <s v="Fatkur"/>
    <s v="1812010507910004"/>
    <s v="L 9221 K"/>
    <m/>
    <x v="2"/>
    <s v="DESA KARANGANYAR KIDUL PONCOKUSUMO   MALANG"/>
    <e v="#N/A"/>
    <e v="#N/A"/>
    <s v="OUTBOUND_"/>
  </r>
  <r>
    <s v="2099"/>
    <m/>
    <x v="1"/>
    <s v="OUB-W0012506-657"/>
    <s v="EJ-Malang-01"/>
    <s v="Oka-0813-2707-1646"/>
    <x v="333"/>
    <d v="1899-12-30T15:30:00"/>
    <s v="EJ-MALANG-01"/>
    <x v="1"/>
    <x v="10"/>
    <s v="GCI1009"/>
    <s v="Pcs"/>
    <n v="250"/>
    <n v="0"/>
    <x v="134"/>
    <m/>
    <m/>
    <m/>
    <s v="Fatur"/>
    <n v="0"/>
    <s v="1812010507910004"/>
    <s v="L 9221 K"/>
    <m/>
    <x v="2"/>
    <s v="Pncokusumo"/>
    <e v="#N/A"/>
    <e v="#N/A"/>
    <s v="OUTBOUND_"/>
  </r>
  <r>
    <s v="2100"/>
    <m/>
    <x v="2"/>
    <s v="TFI-W0012506-658"/>
    <s v="EJ-Malang-01"/>
    <s v="Oka-0813-2707-1646"/>
    <x v="333"/>
    <d v="1900-01-14T07:00:00"/>
    <s v="EJ-Lamongan-01"/>
    <x v="1"/>
    <x v="10"/>
    <s v="GCI1009"/>
    <s v="Pcs"/>
    <n v="500"/>
    <s v="TRF"/>
    <x v="138"/>
    <n v="0"/>
    <n v="0"/>
    <m/>
    <m/>
    <m/>
    <m/>
    <m/>
    <m/>
    <x v="2"/>
    <s v="LAMONGAN"/>
    <e v="#N/A"/>
    <e v="#N/A"/>
    <s v="OUTBOUND_"/>
  </r>
  <r>
    <s v="2101"/>
    <m/>
    <x v="1"/>
    <s v="OUB-W0012506-657"/>
    <s v="EJ-Malang-01"/>
    <s v="Oka-0813-2707-1646"/>
    <x v="333"/>
    <d v="1899-12-30T15:30:00"/>
    <s v="EJ-MALANG-01"/>
    <x v="1"/>
    <x v="11"/>
    <s v="GCI1002"/>
    <s v="Pcs"/>
    <n v="3"/>
    <n v="0"/>
    <x v="134"/>
    <m/>
    <m/>
    <m/>
    <s v="Fatur"/>
    <n v="0"/>
    <s v="1812010507910004"/>
    <s v="L 9221 K"/>
    <m/>
    <x v="2"/>
    <s v="Pncokusumo"/>
    <e v="#N/A"/>
    <e v="#N/A"/>
    <s v="OUTBOUND_"/>
  </r>
  <r>
    <s v="2102"/>
    <m/>
    <x v="2"/>
    <s v="TFI-W0012506-658"/>
    <s v="EJ-Malang-01"/>
    <s v="Oka-0813-2707-1646"/>
    <x v="333"/>
    <d v="1900-01-14T07:00:00"/>
    <s v="EJ-Lamongan-01"/>
    <x v="1"/>
    <x v="11"/>
    <s v="GCI1002"/>
    <s v="Pcs"/>
    <n v="4"/>
    <s v="TRF"/>
    <x v="138"/>
    <n v="0"/>
    <n v="0"/>
    <m/>
    <m/>
    <m/>
    <m/>
    <m/>
    <m/>
    <x v="2"/>
    <s v="LAMONGAN"/>
    <e v="#N/A"/>
    <e v="#N/A"/>
    <s v="OUTBOUND_"/>
  </r>
  <r>
    <s v="2103"/>
    <m/>
    <x v="1"/>
    <s v="OUB-W0012506-660"/>
    <s v="EJ-Malang-01"/>
    <s v="Oka-0813-2707-1646"/>
    <x v="334"/>
    <d v="1899-12-30T21:03:00"/>
    <s v="EJ-MALANG-01"/>
    <x v="0"/>
    <x v="2"/>
    <s v="ZTE2008"/>
    <s v="Pcs"/>
    <n v="14"/>
    <s v="CLR51-99-243"/>
    <x v="131"/>
    <m/>
    <m/>
    <m/>
    <s v="Fahrudin"/>
    <n v="0"/>
    <n v="0"/>
    <s v="N 1383 G"/>
    <m/>
    <x v="2"/>
    <s v="DESA KARANGANYAR KIDUL PONCOKUSUMO   MALANG"/>
    <e v="#N/A"/>
    <e v="#N/A"/>
    <s v="OUTBOUND_"/>
  </r>
  <r>
    <s v="2104"/>
    <m/>
    <x v="1"/>
    <s v="OUB-W0012506-660"/>
    <s v="EJ-Malang-01"/>
    <s v="Oka-0813-2707-1646"/>
    <x v="334"/>
    <d v="1899-12-30T21:03:00"/>
    <s v="EJ-MALANG-01"/>
    <x v="0"/>
    <x v="3"/>
    <s v="ZTE2005"/>
    <s v="Pcs"/>
    <n v="1"/>
    <s v="CLR51-99-243"/>
    <x v="131"/>
    <m/>
    <m/>
    <m/>
    <s v="Fahrudin"/>
    <n v="0"/>
    <n v="0"/>
    <s v="N 1383 G"/>
    <m/>
    <x v="2"/>
    <s v="DESA KARANGANYAR KIDUL PONCOKUSUMO   MALANG"/>
    <e v="#N/A"/>
    <e v="#N/A"/>
    <s v="OUTBOUND_"/>
  </r>
  <r>
    <s v="2105"/>
    <m/>
    <x v="1"/>
    <s v="OUB-W0012506-661"/>
    <s v="EJ-Malang-01"/>
    <s v="Oka-0813-2707-1646"/>
    <x v="335"/>
    <d v="1899-12-30T15:30:00"/>
    <s v="EJ-MALANG-01"/>
    <x v="0"/>
    <x v="4"/>
    <s v="ZTE1002"/>
    <s v="Pcs"/>
    <n v="10"/>
    <s v="CLR51-99-246"/>
    <x v="139"/>
    <m/>
    <m/>
    <m/>
    <s v="Fatur"/>
    <n v="0"/>
    <s v="1812010507910004"/>
    <s v="L 9221 K"/>
    <m/>
    <x v="2"/>
    <s v="DUSUN LOR KALI PONCOKUSUMO MALANG"/>
    <e v="#N/A"/>
    <e v="#N/A"/>
    <s v="OUTBOUND_"/>
  </r>
  <r>
    <s v="2106"/>
    <m/>
    <x v="1"/>
    <s v="OUB-W0012506-661"/>
    <s v="EJ-Malang-01"/>
    <s v="Oka-0813-2707-1646"/>
    <x v="335"/>
    <d v="1899-12-30T15:30:00"/>
    <s v="EJ-MALANG-01"/>
    <x v="0"/>
    <x v="5"/>
    <s v="ZTE1001"/>
    <s v="Pcs"/>
    <n v="8"/>
    <s v="CLR51-99-243"/>
    <x v="131"/>
    <m/>
    <m/>
    <m/>
    <s v="Fatur"/>
    <n v="0"/>
    <s v="1812010507910004"/>
    <s v="L 9221 K"/>
    <m/>
    <x v="2"/>
    <s v="DESA KARANGANYAR KIDUL PONCOKUSUMO   MALANG"/>
    <e v="#N/A"/>
    <e v="#N/A"/>
    <s v="OUTBOUND_"/>
  </r>
  <r>
    <s v="2107"/>
    <m/>
    <x v="1"/>
    <s v="OUB-W0012506-661"/>
    <s v="EJ-Malang-01"/>
    <s v="Oka-0813-2707-1646"/>
    <x v="335"/>
    <d v="1899-12-30T15:30:00"/>
    <s v="EJ-MALANG-01"/>
    <x v="0"/>
    <x v="19"/>
    <s v="ZTE1003"/>
    <s v="Pcs"/>
    <n v="1"/>
    <s v="CLR51-99-242"/>
    <x v="133"/>
    <m/>
    <m/>
    <m/>
    <s v="Fatur"/>
    <n v="0"/>
    <s v="1812010507910004"/>
    <s v="L 9221 K"/>
    <m/>
    <x v="2"/>
    <s v="DESA GADUNGAN PONCOKUSUMO MALANG"/>
    <e v="#N/A"/>
    <e v="#N/A"/>
    <s v="OUTBOUND_"/>
  </r>
  <r>
    <s v="2108"/>
    <m/>
    <x v="0"/>
    <s v="INB-W0012506-662"/>
    <s v="EJ-Malang-01"/>
    <s v="Oka-0813-2707-1646"/>
    <x v="336"/>
    <d v="1900-01-14T07:00:00"/>
    <s v="ZTE Warehouse"/>
    <x v="0"/>
    <x v="0"/>
    <s v="ZTE2001"/>
    <s v="Meter"/>
    <n v="3000"/>
    <s v="CLR51-99-242"/>
    <x v="133"/>
    <s v="DOEID25062216"/>
    <s v="DNWID1372025062203"/>
    <m/>
    <m/>
    <m/>
    <m/>
    <m/>
    <m/>
    <x v="116"/>
    <s v="DESA GADUNGAN PONCOKUSUMO MALANG"/>
    <d v="2025-06-24T00:00:00"/>
    <b v="0"/>
    <s v="OUTBOUND_H-ADSS 24C-2025627-01"/>
  </r>
  <r>
    <s v="2109"/>
    <m/>
    <x v="1"/>
    <s v="OUB-W0012506-664"/>
    <s v="EJ-Malang-01"/>
    <s v="Oka-0813-2707-1646"/>
    <x v="336"/>
    <d v="1899-12-30T14:18:00"/>
    <s v="EJ-MALANG-01"/>
    <x v="0"/>
    <x v="1"/>
    <s v="ZTE2003"/>
    <s v="Meter"/>
    <n v="3000"/>
    <s v="CLR51-99-242"/>
    <x v="133"/>
    <m/>
    <m/>
    <m/>
    <s v="Fatkur"/>
    <s v="Fatkur"/>
    <s v="1812010507910004"/>
    <s v="L 9221 K"/>
    <m/>
    <x v="2"/>
    <s v="DESA GADUNGAN PONCOKUSUMO MALANG"/>
    <e v="#N/A"/>
    <e v="#N/A"/>
    <s v="OUTBOUND_"/>
  </r>
  <r>
    <s v="2110"/>
    <m/>
    <x v="1"/>
    <s v="OUB-W0012506-663"/>
    <s v="EJ-Malang-01"/>
    <s v="Oka-0813-2707-1646"/>
    <x v="336"/>
    <d v="1899-12-30T12:57:00"/>
    <s v="EJ-MALANG-01"/>
    <x v="1"/>
    <x v="9"/>
    <s v="GCI1001"/>
    <s v="Pcs"/>
    <n v="72"/>
    <n v="0"/>
    <x v="137"/>
    <m/>
    <m/>
    <m/>
    <s v="Riki Romansyah"/>
    <n v="0"/>
    <s v="3507050501950006"/>
    <s v="N 8420 EL"/>
    <m/>
    <x v="2"/>
    <s v="Bululawang"/>
    <e v="#N/A"/>
    <e v="#N/A"/>
    <s v="OUTBOUND_"/>
  </r>
  <r>
    <s v="2111"/>
    <m/>
    <x v="1"/>
    <s v="OUB-W0012506-663"/>
    <s v="EJ-Malang-01"/>
    <s v="Oka-0813-2707-1646"/>
    <x v="336"/>
    <d v="1899-12-30T12:57:00"/>
    <s v="EJ-MALANG-01"/>
    <x v="1"/>
    <x v="10"/>
    <s v="GCI1009"/>
    <s v="Pcs"/>
    <n v="250"/>
    <n v="0"/>
    <x v="137"/>
    <m/>
    <m/>
    <m/>
    <s v="Riki Romansyah"/>
    <n v="0"/>
    <s v="3507050501950006"/>
    <s v="N 8420 EL"/>
    <m/>
    <x v="2"/>
    <s v="Bululawang"/>
    <e v="#N/A"/>
    <e v="#N/A"/>
    <s v="OUTBOUND_"/>
  </r>
  <r>
    <s v="2112"/>
    <m/>
    <x v="1"/>
    <s v="OUB-W0012506-664"/>
    <s v="EJ-Malang-01"/>
    <s v="Oka-0813-2707-1646"/>
    <x v="336"/>
    <d v="1899-12-30T14:18:00"/>
    <s v="EJ-MALANG-01"/>
    <x v="1"/>
    <x v="11"/>
    <s v="GCI1002"/>
    <s v="Pcs"/>
    <n v="1"/>
    <n v="0"/>
    <x v="134"/>
    <m/>
    <m/>
    <m/>
    <s v="Fatur"/>
    <n v="0"/>
    <s v="1812010507910004"/>
    <s v="L 9221 K"/>
    <m/>
    <x v="2"/>
    <s v="Pncokusumo"/>
    <e v="#N/A"/>
    <e v="#N/A"/>
    <s v="OUTBOUND_"/>
  </r>
  <r>
    <s v="2113"/>
    <m/>
    <x v="1"/>
    <s v="OUB-W0012506-663"/>
    <s v="EJ-Malang-01"/>
    <s v="Oka-0813-2707-1646"/>
    <x v="336"/>
    <d v="1899-12-30T12:57:00"/>
    <s v="EJ-MALANG-01"/>
    <x v="1"/>
    <x v="12"/>
    <s v="GCI1008"/>
    <s v="Pcs"/>
    <n v="135"/>
    <n v="0"/>
    <x v="137"/>
    <m/>
    <m/>
    <m/>
    <s v="Riki Romansyah"/>
    <n v="0"/>
    <s v="3507050501950006"/>
    <s v="N 8420 EL"/>
    <m/>
    <x v="2"/>
    <s v="Bululawang"/>
    <e v="#N/A"/>
    <e v="#N/A"/>
    <s v="OUTBOUND_"/>
  </r>
  <r>
    <s v="2114"/>
    <m/>
    <x v="1"/>
    <s v="OUB-W0012506-663"/>
    <s v="EJ-Malang-01"/>
    <s v="Oka-0813-2707-1646"/>
    <x v="336"/>
    <d v="1899-12-30T12:57:00"/>
    <s v="EJ-MALANG-01"/>
    <x v="1"/>
    <x v="15"/>
    <s v="GCI1003"/>
    <s v="Pcs"/>
    <n v="170"/>
    <n v="0"/>
    <x v="137"/>
    <m/>
    <m/>
    <m/>
    <s v="Riki Romansyah"/>
    <n v="0"/>
    <s v="3507050501950006"/>
    <s v="N 8420 EL"/>
    <m/>
    <x v="2"/>
    <s v="Bululawang"/>
    <e v="#N/A"/>
    <e v="#N/A"/>
    <s v="OUTBOUND_"/>
  </r>
  <r>
    <s v="2115"/>
    <m/>
    <x v="1"/>
    <s v="OUB-W0012506-665"/>
    <s v="EJ-Malang-01"/>
    <s v="Oka-0813-2707-1646"/>
    <x v="337"/>
    <d v="1899-12-30T15:30:00"/>
    <s v="EJ-MALANG-01"/>
    <x v="0"/>
    <x v="4"/>
    <s v="ZTE1002"/>
    <s v="Pcs"/>
    <n v="8"/>
    <s v="CLR51-99-245"/>
    <x v="136"/>
    <m/>
    <m/>
    <m/>
    <s v="Fatur"/>
    <n v="0"/>
    <s v="1812010507910004"/>
    <s v="L 9221 K"/>
    <m/>
    <x v="2"/>
    <s v="DESA PANCURAN PONCOKUSUMO MALANG"/>
    <e v="#N/A"/>
    <e v="#N/A"/>
    <s v="OUTBOUND_"/>
  </r>
  <r>
    <s v="2116"/>
    <m/>
    <x v="1"/>
    <s v="OUB-W0012506-665"/>
    <s v="EJ-Malang-01"/>
    <s v="Oka-0813-2707-1646"/>
    <x v="337"/>
    <d v="1899-12-30T15:30:00"/>
    <s v="EJ-MALANG-01"/>
    <x v="0"/>
    <x v="5"/>
    <s v="ZTE1001"/>
    <s v="Pcs"/>
    <n v="2"/>
    <s v="CLR51-99-243"/>
    <x v="131"/>
    <m/>
    <m/>
    <m/>
    <s v="Fatur"/>
    <n v="0"/>
    <s v="1812010507910004"/>
    <s v="L 9221 K"/>
    <m/>
    <x v="2"/>
    <s v="DESA KARANGANYAR KIDUL PONCOKUSUMO   MALANG"/>
    <e v="#N/A"/>
    <e v="#N/A"/>
    <s v="OUTBOUND_"/>
  </r>
  <r>
    <s v="2117"/>
    <m/>
    <x v="1"/>
    <s v="OUB-W0012507-666"/>
    <s v="EJ-Malang-01"/>
    <s v="Oka-0813-2707-1646"/>
    <x v="338"/>
    <d v="1899-12-30T14:36:00"/>
    <s v="EJ-MALANG-01"/>
    <x v="0"/>
    <x v="2"/>
    <s v="ZTE2008"/>
    <s v="Pcs"/>
    <n v="26"/>
    <s v="CLR51-99-242"/>
    <x v="133"/>
    <m/>
    <m/>
    <m/>
    <s v="Fahrudin"/>
    <n v="0"/>
    <n v="0"/>
    <s v="N 1383 G"/>
    <m/>
    <x v="2"/>
    <s v="DESA GADUNGAN PONCOKUSUMO MALANG"/>
    <e v="#N/A"/>
    <e v="#N/A"/>
    <s v="OUTBOUND_"/>
  </r>
  <r>
    <s v="2118"/>
    <m/>
    <x v="1"/>
    <s v="OUB-W0012507-666"/>
    <s v="EJ-Malang-01"/>
    <s v="Oka-0813-2707-1646"/>
    <x v="338"/>
    <d v="1899-12-30T14:36:00"/>
    <s v="EJ-MALANG-01"/>
    <x v="0"/>
    <x v="30"/>
    <s v="ZTE2006"/>
    <s v="Pcs"/>
    <n v="1"/>
    <s v="CLR51-99-242"/>
    <x v="133"/>
    <m/>
    <m/>
    <m/>
    <s v="Fahrudin"/>
    <n v="0"/>
    <n v="0"/>
    <s v="N 1383 G"/>
    <m/>
    <x v="2"/>
    <s v="DESA GADUNGAN PONCOKUSUMO MALANG"/>
    <e v="#N/A"/>
    <e v="#N/A"/>
    <s v="OUTBOUND_"/>
  </r>
  <r>
    <s v="2119"/>
    <m/>
    <x v="1"/>
    <s v="OUB-W0012507-666"/>
    <s v="EJ-Malang-01"/>
    <s v="Oka-0813-2707-1646"/>
    <x v="338"/>
    <d v="1899-12-30T14:36:00"/>
    <s v="EJ-MALANG-01"/>
    <x v="1"/>
    <x v="11"/>
    <s v="GCI1002"/>
    <s v="Pcs"/>
    <n v="1"/>
    <n v="0"/>
    <x v="137"/>
    <m/>
    <m/>
    <m/>
    <s v="Fahrudin"/>
    <n v="0"/>
    <n v="0"/>
    <s v="N 1383 G"/>
    <m/>
    <x v="2"/>
    <s v="Bululawang"/>
    <e v="#N/A"/>
    <e v="#N/A"/>
    <s v="OUTBOUND_"/>
  </r>
  <r>
    <s v="2120"/>
    <m/>
    <x v="0"/>
    <s v="INB-W0012507-667"/>
    <s v="EJ-Malang-01"/>
    <s v="Oka-0813-2707-1646"/>
    <x v="338"/>
    <d v="1900-01-14T07:00:00"/>
    <s v="GCI Procurement"/>
    <x v="1"/>
    <x v="12"/>
    <s v="GCI1008"/>
    <s v="Pcs"/>
    <n v="129"/>
    <n v="0"/>
    <x v="17"/>
    <n v="0"/>
    <n v="0"/>
    <m/>
    <m/>
    <m/>
    <m/>
    <m/>
    <m/>
    <x v="2"/>
    <n v="0"/>
    <e v="#N/A"/>
    <e v="#N/A"/>
    <s v="OUTBOUND_"/>
  </r>
  <r>
    <s v="2121"/>
    <m/>
    <x v="1"/>
    <s v="OUB-W0012507-666"/>
    <s v="EJ-Malang-01"/>
    <s v="Oka-0813-2707-1646"/>
    <x v="338"/>
    <d v="1899-12-30T14:36:00"/>
    <s v="EJ-MALANG-01"/>
    <x v="1"/>
    <x v="12"/>
    <s v="GCI1008"/>
    <s v="Pcs"/>
    <n v="129"/>
    <n v="0"/>
    <x v="137"/>
    <m/>
    <m/>
    <m/>
    <s v="Fahrudin"/>
    <n v="0"/>
    <n v="0"/>
    <s v="N 1383 G"/>
    <m/>
    <x v="2"/>
    <s v="Bululawang"/>
    <e v="#N/A"/>
    <e v="#N/A"/>
    <s v="OUTBOUND_"/>
  </r>
  <r>
    <s v="2122"/>
    <m/>
    <x v="0"/>
    <s v="INB-W0012507-667"/>
    <s v="EJ-Malang-01"/>
    <s v="Oka-0813-2707-1646"/>
    <x v="338"/>
    <d v="1900-01-14T07:00:00"/>
    <s v="GCI Procurement"/>
    <x v="1"/>
    <x v="15"/>
    <s v="GCI1003"/>
    <s v="Pcs"/>
    <n v="45"/>
    <n v="0"/>
    <x v="17"/>
    <n v="0"/>
    <n v="0"/>
    <m/>
    <m/>
    <m/>
    <m/>
    <m/>
    <m/>
    <x v="2"/>
    <n v="0"/>
    <e v="#N/A"/>
    <e v="#N/A"/>
    <s v="OUTBOUND_"/>
  </r>
  <r>
    <s v="2123"/>
    <m/>
    <x v="1"/>
    <s v="OUB-W0012507-666"/>
    <s v="EJ-Malang-01"/>
    <s v="Oka-0813-2707-1646"/>
    <x v="338"/>
    <d v="1899-12-30T14:36:00"/>
    <s v="EJ-MALANG-01"/>
    <x v="1"/>
    <x v="15"/>
    <s v="GCI1003"/>
    <s v="Pcs"/>
    <n v="45"/>
    <n v="0"/>
    <x v="137"/>
    <m/>
    <m/>
    <m/>
    <s v="Fahrudin"/>
    <n v="0"/>
    <n v="0"/>
    <s v="N 1383 G"/>
    <m/>
    <x v="2"/>
    <s v="Bululawang"/>
    <e v="#N/A"/>
    <e v="#N/A"/>
    <s v="OUTBOUND_"/>
  </r>
  <r>
    <s v="2124"/>
    <m/>
    <x v="1"/>
    <s v="OUB-W0012507-666"/>
    <s v="EJ-Malang-01"/>
    <s v="Oka-0813-2707-1646"/>
    <x v="338"/>
    <d v="1899-12-30T14:36:00"/>
    <s v="EJ-MALANG-01"/>
    <x v="1"/>
    <x v="15"/>
    <s v="GCI1003"/>
    <s v="Pcs"/>
    <n v="150"/>
    <n v="0"/>
    <x v="137"/>
    <m/>
    <m/>
    <m/>
    <s v="Fahrudin"/>
    <n v="0"/>
    <n v="0"/>
    <s v="N 1383 G"/>
    <m/>
    <x v="2"/>
    <s v="Bululawang"/>
    <e v="#N/A"/>
    <e v="#N/A"/>
    <s v="OUTBOUND_"/>
  </r>
  <r>
    <s v="2125"/>
    <m/>
    <x v="0"/>
    <s v="INB-W0012507-667"/>
    <s v="EJ-Malang-01"/>
    <s v="Oka-0813-2707-1646"/>
    <x v="338"/>
    <d v="1900-01-14T07:00:00"/>
    <s v="GCI Procurement"/>
    <x v="1"/>
    <x v="16"/>
    <s v="GCI1004"/>
    <s v="Pcs"/>
    <n v="82"/>
    <n v="0"/>
    <x v="17"/>
    <n v="0"/>
    <n v="0"/>
    <m/>
    <m/>
    <m/>
    <m/>
    <m/>
    <m/>
    <x v="2"/>
    <n v="0"/>
    <e v="#N/A"/>
    <e v="#N/A"/>
    <s v="OUTBOUND_"/>
  </r>
  <r>
    <s v="2126"/>
    <m/>
    <x v="1"/>
    <s v="OUB-W0012507-666"/>
    <s v="EJ-Malang-01"/>
    <s v="Oka-0813-2707-1646"/>
    <x v="338"/>
    <d v="1899-12-30T14:36:00"/>
    <s v="EJ-MALANG-01"/>
    <x v="1"/>
    <x v="16"/>
    <s v="GCI1004"/>
    <s v="Pcs"/>
    <n v="82"/>
    <n v="0"/>
    <x v="137"/>
    <m/>
    <m/>
    <m/>
    <s v="Fahrudin"/>
    <n v="0"/>
    <n v="0"/>
    <s v="N 1383 G"/>
    <m/>
    <x v="2"/>
    <s v="Bululawang"/>
    <e v="#N/A"/>
    <e v="#N/A"/>
    <s v="OUTBOUND_"/>
  </r>
  <r>
    <s v="2127"/>
    <m/>
    <x v="0"/>
    <s v="INB-W0012507-668"/>
    <s v="EJ-Malang-01"/>
    <s v="Oka-0813-2707-1646"/>
    <x v="339"/>
    <d v="1900-01-14T07:00:00"/>
    <s v="ZTE Warehouse"/>
    <x v="0"/>
    <x v="1"/>
    <s v="ZTE2003"/>
    <s v="Meter"/>
    <n v="3000"/>
    <s v="CLR51-99-106"/>
    <x v="140"/>
    <s v="DOEID250711EE"/>
    <s v="DNWID1372025071104"/>
    <m/>
    <m/>
    <m/>
    <m/>
    <m/>
    <m/>
    <x v="117"/>
    <s v="KREBET SENGGRONG RW 04"/>
    <d v="2025-07-12T00:00:00"/>
    <b v="1"/>
    <s v="OUTBOUND_H-ADSS 48C-2025712-01"/>
  </r>
  <r>
    <s v="2128"/>
    <m/>
    <x v="0"/>
    <s v="INB-W0012507-668"/>
    <s v="EJ-Malang-01"/>
    <s v="Oka-0813-2707-1646"/>
    <x v="339"/>
    <d v="1900-01-14T07:00:00"/>
    <s v="ZTE Warehouse"/>
    <x v="0"/>
    <x v="1"/>
    <s v="ZTE2003"/>
    <s v="Meter"/>
    <n v="3000"/>
    <s v="CLR51-99-107"/>
    <x v="141"/>
    <s v="DOEID250711EG"/>
    <s v="DNWID1372025071101"/>
    <m/>
    <m/>
    <m/>
    <m/>
    <m/>
    <m/>
    <x v="118"/>
    <s v="KREBET RW 03"/>
    <d v="2025-07-12T00:00:00"/>
    <b v="1"/>
    <s v="OUTBOUND_H-ADSS 48C-2025712-02"/>
  </r>
  <r>
    <s v="2129"/>
    <m/>
    <x v="0"/>
    <s v="INB-W0012507-668"/>
    <s v="EJ-Malang-01"/>
    <s v="Oka-0813-2707-1646"/>
    <x v="339"/>
    <d v="1900-01-14T07:00:00"/>
    <s v="ZTE Warehouse"/>
    <x v="0"/>
    <x v="1"/>
    <s v="ZTE2003"/>
    <s v="Meter"/>
    <n v="3000"/>
    <s v="CLR51-99-108"/>
    <x v="142"/>
    <s v="DOEID250711EJ"/>
    <s v="DNWID1372025071102"/>
    <m/>
    <m/>
    <m/>
    <m/>
    <m/>
    <m/>
    <x v="119"/>
    <s v="KREBET RW 05"/>
    <d v="2025-07-12T00:00:00"/>
    <b v="1"/>
    <s v="OUTBOUND_H-ADSS 48C-2025712-03"/>
  </r>
  <r>
    <s v="2130"/>
    <m/>
    <x v="0"/>
    <s v="INB-W0012507-668"/>
    <s v="EJ-Malang-01"/>
    <s v="Oka-0813-2707-1646"/>
    <x v="339"/>
    <d v="1900-01-14T07:00:00"/>
    <s v="ZTE Warehouse"/>
    <x v="0"/>
    <x v="2"/>
    <s v="ZTE2008"/>
    <s v="Pcs"/>
    <n v="64"/>
    <s v="CLR51-99-106"/>
    <x v="140"/>
    <n v="0"/>
    <n v="0"/>
    <m/>
    <m/>
    <m/>
    <m/>
    <m/>
    <m/>
    <x v="2"/>
    <s v="KREBET SENGGRONG RW 04"/>
    <e v="#N/A"/>
    <e v="#N/A"/>
    <s v="OUTBOUND_"/>
  </r>
  <r>
    <s v="2131"/>
    <m/>
    <x v="0"/>
    <s v="INB-W0012507-668"/>
    <s v="EJ-Malang-01"/>
    <s v="Oka-0813-2707-1646"/>
    <x v="339"/>
    <d v="1900-01-14T07:00:00"/>
    <s v="ZTE Warehouse"/>
    <x v="0"/>
    <x v="3"/>
    <s v="ZTE2005"/>
    <s v="Pcs"/>
    <n v="2"/>
    <s v="CLR51-99-107"/>
    <x v="141"/>
    <n v="0"/>
    <n v="0"/>
    <m/>
    <m/>
    <m/>
    <m/>
    <m/>
    <m/>
    <x v="2"/>
    <s v="KREBET RW 03"/>
    <e v="#N/A"/>
    <e v="#N/A"/>
    <s v="OUTBOUND_"/>
  </r>
  <r>
    <s v="2132"/>
    <m/>
    <x v="0"/>
    <s v="INB-W0012507-668"/>
    <s v="EJ-Malang-01"/>
    <s v="Oka-0813-2707-1646"/>
    <x v="339"/>
    <d v="1900-01-14T07:00:00"/>
    <s v="ZTE Warehouse"/>
    <x v="0"/>
    <x v="30"/>
    <s v="ZTE2006"/>
    <s v="Pcs"/>
    <n v="1"/>
    <s v="CLR51-99-108"/>
    <x v="142"/>
    <n v="0"/>
    <n v="0"/>
    <m/>
    <m/>
    <m/>
    <m/>
    <m/>
    <m/>
    <x v="2"/>
    <s v="KREBET RW 05"/>
    <e v="#N/A"/>
    <e v="#N/A"/>
    <s v="OUTBOUND_"/>
  </r>
  <r>
    <s v="2133"/>
    <m/>
    <x v="0"/>
    <s v="INB-W0012507-668"/>
    <s v="EJ-Malang-01"/>
    <s v="Oka-0813-2707-1646"/>
    <x v="339"/>
    <d v="1900-01-14T07:00:00"/>
    <s v="ZTE Warehouse"/>
    <x v="0"/>
    <x v="20"/>
    <s v="ZTE1004"/>
    <s v="Pcs"/>
    <n v="1"/>
    <m/>
    <x v="28"/>
    <n v="0"/>
    <n v="0"/>
    <m/>
    <m/>
    <m/>
    <m/>
    <m/>
    <m/>
    <x v="2"/>
    <n v="0"/>
    <e v="#N/A"/>
    <e v="#N/A"/>
    <s v="OUTBOUND_"/>
  </r>
  <r>
    <s v="2134"/>
    <m/>
    <x v="0"/>
    <s v="INB-W0012507-668"/>
    <s v="EJ-Malang-01"/>
    <s v="Oka-0813-2707-1646"/>
    <x v="339"/>
    <d v="1900-01-14T07:00:00"/>
    <s v="ZTE Warehouse"/>
    <x v="0"/>
    <x v="4"/>
    <s v="ZTE1002"/>
    <s v="Pcs"/>
    <n v="156"/>
    <s v="CLR51-99-107"/>
    <x v="141"/>
    <s v="DOEID250711EF"/>
    <s v="DNWID1382025071109"/>
    <m/>
    <m/>
    <m/>
    <m/>
    <m/>
    <m/>
    <x v="2"/>
    <s v="KREBET RW 03"/>
    <d v="2025-07-12T00:00:00"/>
    <b v="1"/>
    <s v="OUTBOUND_"/>
  </r>
  <r>
    <s v="2135"/>
    <m/>
    <x v="0"/>
    <s v="INB-W0012507-668"/>
    <s v="EJ-Malang-01"/>
    <s v="Oka-0813-2707-1646"/>
    <x v="339"/>
    <d v="1900-01-14T07:00:00"/>
    <s v="ZTE Warehouse"/>
    <x v="0"/>
    <x v="19"/>
    <s v="ZTE1003"/>
    <s v="Pcs"/>
    <n v="16"/>
    <s v="CLR51-99-106"/>
    <x v="140"/>
    <n v="0"/>
    <n v="0"/>
    <m/>
    <m/>
    <m/>
    <m/>
    <m/>
    <m/>
    <x v="2"/>
    <s v="KREBET SENGGRONG RW 04"/>
    <e v="#N/A"/>
    <e v="#N/A"/>
    <s v="OUTBOUND_"/>
  </r>
  <r>
    <s v="2136"/>
    <m/>
    <x v="1"/>
    <s v="OUB-W0012507-669"/>
    <s v="EJ-Malang-01"/>
    <s v="Oka-0813-2707-1646"/>
    <x v="340"/>
    <d v="1899-12-30T11:14:00"/>
    <s v="EJ-MALANG-01"/>
    <x v="0"/>
    <x v="4"/>
    <s v="ZTE1002"/>
    <s v="Pcs"/>
    <n v="154"/>
    <s v="CLR51-99-107"/>
    <x v="141"/>
    <m/>
    <m/>
    <m/>
    <s v="Riki Romansyah"/>
    <n v="0"/>
    <s v="3507050501950006"/>
    <s v="N 8420 EL"/>
    <m/>
    <x v="2"/>
    <s v="KREBET RW 03"/>
    <e v="#N/A"/>
    <e v="#N/A"/>
    <s v="OUTBOUND_"/>
  </r>
  <r>
    <s v="2137"/>
    <m/>
    <x v="1"/>
    <s v="OUB-W0012507-669"/>
    <s v="EJ-Malang-01"/>
    <s v="Oka-0813-2707-1646"/>
    <x v="340"/>
    <d v="1899-12-30T11:14:00"/>
    <s v="EJ-MALANG-01"/>
    <x v="0"/>
    <x v="5"/>
    <s v="ZTE1001"/>
    <s v="Pcs"/>
    <n v="1"/>
    <s v="MF51-04"/>
    <x v="143"/>
    <m/>
    <m/>
    <m/>
    <s v="Riki Romansyah"/>
    <n v="0"/>
    <s v="3507050501950006"/>
    <s v="N 8420 EL"/>
    <s v="MSFO BROKEN  HF JATIKERTO"/>
    <x v="2"/>
    <s v="HUBFEEDER OLT KEPANJEN TO JATIKERTO"/>
    <e v="#N/A"/>
    <e v="#N/A"/>
    <s v="OUTBOUND_"/>
  </r>
  <r>
    <s v="2138"/>
    <m/>
    <x v="1"/>
    <s v="OUB-W0012507-669"/>
    <s v="EJ-Malang-01"/>
    <s v="Oka-0813-2707-1646"/>
    <x v="340"/>
    <d v="1899-12-30T11:14:00"/>
    <s v="EJ-MALANG-01"/>
    <x v="0"/>
    <x v="5"/>
    <s v="ZTE1001"/>
    <s v="Pcs"/>
    <n v="11"/>
    <s v="CLR51-99-107"/>
    <x v="141"/>
    <m/>
    <m/>
    <m/>
    <s v="Riki Romansyah"/>
    <n v="0"/>
    <s v="3507050501950006"/>
    <s v="N 8420 EL"/>
    <m/>
    <x v="2"/>
    <s v="KREBET RW 03"/>
    <e v="#N/A"/>
    <e v="#N/A"/>
    <s v="OUTBOUND_"/>
  </r>
  <r>
    <s v="2139"/>
    <m/>
    <x v="1"/>
    <s v="OUB-W0012507-670"/>
    <s v="EJ-Malang-01"/>
    <s v="Oka-0813-2707-1646"/>
    <x v="341"/>
    <d v="1899-12-30T11:14:00"/>
    <s v="EJ-MALANG-01"/>
    <x v="0"/>
    <x v="0"/>
    <s v="ZTE2001"/>
    <s v="Meter"/>
    <n v="3000"/>
    <s v="CLR51-99-107"/>
    <x v="141"/>
    <m/>
    <m/>
    <m/>
    <s v="Riki Romansyah"/>
    <s v="Susilo"/>
    <s v="3507050501950006"/>
    <s v="N 8420 EL"/>
    <m/>
    <x v="2"/>
    <s v="KREBET RW 03"/>
    <e v="#N/A"/>
    <e v="#N/A"/>
    <s v="OUTBOUND_"/>
  </r>
  <r>
    <s v="2140"/>
    <m/>
    <x v="1"/>
    <s v="OUB-W0012507-670"/>
    <s v="EJ-Malang-01"/>
    <s v="Oka-0813-2707-1646"/>
    <x v="341"/>
    <d v="1899-12-30T11:14:00"/>
    <s v="EJ-MALANG-01"/>
    <x v="0"/>
    <x v="5"/>
    <s v="ZTE1001"/>
    <s v="Pcs"/>
    <n v="3"/>
    <s v="CLR51-99-107"/>
    <x v="141"/>
    <m/>
    <m/>
    <m/>
    <s v="Riki Romansyah"/>
    <n v="0"/>
    <s v="3507050501950006"/>
    <s v="N 8420 EL"/>
    <m/>
    <x v="2"/>
    <s v="KREBET RW 03"/>
    <e v="#N/A"/>
    <e v="#N/A"/>
    <s v="OUTBOUND_"/>
  </r>
  <r>
    <s v="2141"/>
    <m/>
    <x v="1"/>
    <s v="OUB-W0012507-670"/>
    <s v="EJ-Malang-01"/>
    <s v="Oka-0813-2707-1646"/>
    <x v="341"/>
    <d v="1899-12-30T11:14:00"/>
    <s v="EJ-MALANG-01"/>
    <x v="0"/>
    <x v="19"/>
    <s v="ZTE1003"/>
    <s v="Pcs"/>
    <n v="6"/>
    <s v="CLR51-99-107"/>
    <x v="141"/>
    <m/>
    <m/>
    <m/>
    <s v="Riki Romansyah"/>
    <n v="0"/>
    <s v="3507050501950006"/>
    <s v="N 8420 EL"/>
    <m/>
    <x v="2"/>
    <s v="KREBET RW 03"/>
    <e v="#N/A"/>
    <e v="#N/A"/>
    <s v="OUTBOUND_"/>
  </r>
  <r>
    <s v="2142"/>
    <m/>
    <x v="1"/>
    <s v="OUB-W0012507-671"/>
    <s v="EJ-Malang-01"/>
    <s v="Oka-0813-2707-1646"/>
    <x v="342"/>
    <d v="1899-12-30T12:57:00"/>
    <s v="EJ-MALANG-01"/>
    <x v="0"/>
    <x v="2"/>
    <s v="ZTE2008"/>
    <s v="Pcs"/>
    <n v="7"/>
    <s v="CLR51-99-112"/>
    <x v="144"/>
    <m/>
    <m/>
    <m/>
    <s v="Riki Romansyah"/>
    <n v="0"/>
    <s v="3507050501950006"/>
    <s v="N 8420 EL"/>
    <m/>
    <x v="2"/>
    <s v="KREBET RW 04"/>
    <e v="#N/A"/>
    <e v="#N/A"/>
    <s v="OUTBOUND_"/>
  </r>
  <r>
    <s v="2143"/>
    <m/>
    <x v="1"/>
    <s v="OUB-W0012507-671"/>
    <s v="EJ-Malang-01"/>
    <s v="Oka-0813-2707-1646"/>
    <x v="342"/>
    <d v="1899-12-30T12:57:00"/>
    <s v="EJ-MALANG-01"/>
    <x v="0"/>
    <x v="2"/>
    <s v="ZTE2008"/>
    <s v="Pcs"/>
    <n v="15"/>
    <s v="CLR51-99-107"/>
    <x v="141"/>
    <m/>
    <m/>
    <m/>
    <s v="Riki Romansyah"/>
    <n v="0"/>
    <s v="3507050501950006"/>
    <s v="N 8420 EL"/>
    <m/>
    <x v="2"/>
    <s v="KREBET RW 03"/>
    <e v="#N/A"/>
    <e v="#N/A"/>
    <s v="OUTBOUND_"/>
  </r>
  <r>
    <s v="2144"/>
    <m/>
    <x v="1"/>
    <s v="OUB-W0012507-671"/>
    <s v="EJ-Malang-01"/>
    <s v="Oka-0813-2707-1646"/>
    <x v="342"/>
    <d v="1899-12-30T12:57:00"/>
    <s v="EJ-MALANG-01"/>
    <x v="0"/>
    <x v="3"/>
    <s v="ZTE2005"/>
    <s v="Pcs"/>
    <n v="1"/>
    <s v="CLR51-99-107"/>
    <x v="141"/>
    <m/>
    <m/>
    <m/>
    <s v="Riki Romansyah"/>
    <n v="0"/>
    <s v="3507050501950006"/>
    <s v="N 8420 EL"/>
    <m/>
    <x v="2"/>
    <s v="KREBET RW 03"/>
    <e v="#N/A"/>
    <e v="#N/A"/>
    <s v="OUTBOUND_"/>
  </r>
  <r>
    <s v="2145"/>
    <m/>
    <x v="1"/>
    <s v="OUB-W0012507-672"/>
    <s v="EJ-Malang-01"/>
    <s v="Oka-0813-2707-1646"/>
    <x v="343"/>
    <d v="1899-12-30T11:14:00"/>
    <s v="EJ-MALANG-01"/>
    <x v="1"/>
    <x v="8"/>
    <s v="GCI1005"/>
    <s v="Pcs"/>
    <n v="300"/>
    <n v="0"/>
    <x v="137"/>
    <m/>
    <m/>
    <m/>
    <s v="Riki Romansyah"/>
    <n v="0"/>
    <s v="1812010507910004"/>
    <s v="L 9221 K"/>
    <m/>
    <x v="2"/>
    <s v="Bululawang"/>
    <e v="#N/A"/>
    <e v="#N/A"/>
    <s v="OUTBOUND_"/>
  </r>
  <r>
    <s v="2146"/>
    <m/>
    <x v="1"/>
    <s v="OUB-W0012507-672"/>
    <s v="EJ-Malang-01"/>
    <s v="Oka-0813-2707-1646"/>
    <x v="343"/>
    <d v="1899-12-30T11:14:00"/>
    <s v="EJ-MALANG-01"/>
    <x v="0"/>
    <x v="2"/>
    <s v="ZTE2008"/>
    <s v="Pcs"/>
    <n v="13"/>
    <s v="CLR51-99-108"/>
    <x v="142"/>
    <m/>
    <m/>
    <m/>
    <s v="Riki Romansyah"/>
    <n v="0"/>
    <s v="3507050501950006"/>
    <s v="N 8420 EL"/>
    <m/>
    <x v="2"/>
    <s v="KREBET RW 05"/>
    <e v="#N/A"/>
    <e v="#N/A"/>
    <s v="OUTBOUND_"/>
  </r>
  <r>
    <s v="2147"/>
    <m/>
    <x v="1"/>
    <s v="OUB-W0012507-672"/>
    <s v="EJ-Malang-01"/>
    <s v="Oka-0813-2707-1646"/>
    <x v="343"/>
    <d v="1899-12-30T11:14:00"/>
    <s v="EJ-MALANG-01"/>
    <x v="0"/>
    <x v="30"/>
    <s v="ZTE2006"/>
    <s v="Pcs"/>
    <n v="1"/>
    <s v="CLR51-99-108"/>
    <x v="142"/>
    <m/>
    <m/>
    <m/>
    <s v="Riki Romansyah"/>
    <n v="0"/>
    <s v="3507050501950006"/>
    <s v="N 8420 EL"/>
    <m/>
    <x v="2"/>
    <s v="KREBET RW 05"/>
    <e v="#N/A"/>
    <e v="#N/A"/>
    <s v="OUTBOUND_"/>
  </r>
  <r>
    <s v="2148"/>
    <m/>
    <x v="1"/>
    <s v="OUB-W0012507-672"/>
    <s v="EJ-Malang-01"/>
    <s v="Oka-0813-2707-1646"/>
    <x v="343"/>
    <d v="1899-12-30T11:14:00"/>
    <s v="EJ-MALANG-01"/>
    <x v="0"/>
    <x v="5"/>
    <s v="ZTE1001"/>
    <s v="Pcs"/>
    <n v="10"/>
    <s v="CLR51-99-108"/>
    <x v="142"/>
    <m/>
    <m/>
    <m/>
    <s v="Riki Romansyah"/>
    <n v="0"/>
    <s v="3507050501950006"/>
    <s v="N 8420 EL"/>
    <m/>
    <x v="2"/>
    <s v="KREBET RW 05"/>
    <e v="#N/A"/>
    <e v="#N/A"/>
    <s v="OUTBOUND_"/>
  </r>
  <r>
    <s v="2149"/>
    <m/>
    <x v="1"/>
    <s v="OUB-W0012507-672"/>
    <s v="EJ-Malang-01"/>
    <s v="Oka-0813-2707-1646"/>
    <x v="343"/>
    <d v="1899-12-30T11:14:00"/>
    <s v="EJ-MALANG-01"/>
    <x v="0"/>
    <x v="19"/>
    <s v="ZTE1003"/>
    <s v="Pcs"/>
    <n v="3"/>
    <s v="CLR51-99-107"/>
    <x v="141"/>
    <m/>
    <m/>
    <m/>
    <s v="Riki Romansyah"/>
    <n v="0"/>
    <s v="3507050501950006"/>
    <s v="N 8420 EL"/>
    <m/>
    <x v="2"/>
    <s v="KREBET RW 03"/>
    <e v="#N/A"/>
    <e v="#N/A"/>
    <s v="OUTBOUND_"/>
  </r>
  <r>
    <s v="2150"/>
    <m/>
    <x v="0"/>
    <s v="INB-W0012507-673"/>
    <s v="EJ-Malang-01"/>
    <s v="Oka-0813-2707-1646"/>
    <x v="344"/>
    <d v="1900-01-14T07:00:00"/>
    <s v="GCI Procurement"/>
    <x v="1"/>
    <x v="10"/>
    <s v="GCI1009"/>
    <s v="Pcs"/>
    <n v="165"/>
    <n v="0"/>
    <x v="17"/>
    <n v="0"/>
    <n v="0"/>
    <m/>
    <m/>
    <m/>
    <m/>
    <m/>
    <m/>
    <x v="2"/>
    <n v="0"/>
    <e v="#N/A"/>
    <e v="#N/A"/>
    <s v="OUTBOUND_"/>
  </r>
  <r>
    <s v="2151"/>
    <m/>
    <x v="1"/>
    <s v="OUB-W0012507-674"/>
    <s v="EJ-Malang-01"/>
    <s v="Oka-0813-2707-1646"/>
    <x v="345"/>
    <d v="1899-12-30T11:14:00"/>
    <s v="EJ-MALANG-01"/>
    <x v="1"/>
    <x v="10"/>
    <s v="GCI1009"/>
    <s v="Pcs"/>
    <n v="165"/>
    <n v="0"/>
    <x v="145"/>
    <m/>
    <m/>
    <m/>
    <s v="Riki Romansyah"/>
    <n v="0"/>
    <s v="3507050501950006"/>
    <s v="N 8420 EL"/>
    <m/>
    <x v="2"/>
    <s v="Bululawang 7"/>
    <e v="#N/A"/>
    <e v="#N/A"/>
    <s v="OUTBOUND_"/>
  </r>
  <r>
    <s v="2152"/>
    <m/>
    <x v="1"/>
    <s v="OUB-W0012507-674"/>
    <s v="EJ-Malang-01"/>
    <s v="Oka-0813-2707-1646"/>
    <x v="345"/>
    <d v="1899-12-30T11:14:00"/>
    <s v="EJ-MALANG-01"/>
    <x v="0"/>
    <x v="19"/>
    <s v="ZTE1003"/>
    <s v="Pcs"/>
    <n v="7"/>
    <s v="CLR51-99-264"/>
    <x v="146"/>
    <m/>
    <m/>
    <m/>
    <s v="Riki Romansyah"/>
    <n v="0"/>
    <s v="3507050501950006"/>
    <s v="N 8420 EL"/>
    <m/>
    <x v="2"/>
    <s v="BULULAWANG RW 07 MALANG"/>
    <e v="#N/A"/>
    <e v="#N/A"/>
    <s v="OUTBOUND_"/>
  </r>
  <r>
    <s v="2153"/>
    <m/>
    <x v="1"/>
    <s v="OUB-W0012507-675"/>
    <s v="EJ-Malang-01"/>
    <s v="Oka-0813-2707-1646"/>
    <x v="346"/>
    <d v="1899-12-30T19:57:00"/>
    <s v="EJ-MALANG-01"/>
    <x v="0"/>
    <x v="2"/>
    <s v="ZTE2008"/>
    <s v="Pcs"/>
    <n v="16"/>
    <s v="CLR51-99-264"/>
    <x v="146"/>
    <m/>
    <m/>
    <m/>
    <s v="Sifak"/>
    <n v="0"/>
    <s v="3507312107950002"/>
    <s v="N 1046 ABC"/>
    <m/>
    <x v="2"/>
    <s v="BULULAWANG RW 07 MALANG"/>
    <e v="#N/A"/>
    <e v="#N/A"/>
    <s v="OUTBOUND_"/>
  </r>
  <r>
    <s v="2154"/>
    <m/>
    <x v="1"/>
    <s v="OUB-W0012507-675"/>
    <s v="EJ-Malang-01"/>
    <s v="Oka-0813-2707-1646"/>
    <x v="346"/>
    <d v="1899-12-30T19:57:00"/>
    <s v="EJ-MALANG-01"/>
    <x v="0"/>
    <x v="3"/>
    <s v="ZTE2005"/>
    <s v="Pcs"/>
    <n v="1"/>
    <s v="CLR51-99-264"/>
    <x v="146"/>
    <m/>
    <m/>
    <m/>
    <s v="Sifak"/>
    <n v="0"/>
    <s v="3507312107950002"/>
    <s v="N 1046 ABC"/>
    <m/>
    <x v="2"/>
    <s v="BULULAWANG RW 07 MALANG"/>
    <e v="#N/A"/>
    <e v="#N/A"/>
    <s v="OUTBOUND_"/>
  </r>
  <r>
    <s v="2155"/>
    <m/>
    <x v="0"/>
    <s v="INB-W0012507-676"/>
    <s v="EJ-Malang-01"/>
    <s v="Oka-0813-2707-1646"/>
    <x v="347"/>
    <d v="1900-01-14T07:00:00"/>
    <s v="GCI Procurement"/>
    <x v="1"/>
    <x v="9"/>
    <s v="GCI1001"/>
    <s v="Pcs"/>
    <n v="39"/>
    <n v="0"/>
    <x v="17"/>
    <n v="0"/>
    <n v="0"/>
    <m/>
    <m/>
    <m/>
    <m/>
    <m/>
    <m/>
    <x v="2"/>
    <n v="0"/>
    <e v="#N/A"/>
    <e v="#N/A"/>
    <s v="OUTBOUND_"/>
  </r>
  <r>
    <s v="2156"/>
    <m/>
    <x v="0"/>
    <s v="INB-W0012507-676"/>
    <s v="EJ-Malang-01"/>
    <s v="Oka-0813-2707-1646"/>
    <x v="347"/>
    <d v="1900-01-14T07:00:00"/>
    <s v="GCI Procurement"/>
    <x v="1"/>
    <x v="11"/>
    <s v="GCI1002"/>
    <s v="Pcs"/>
    <n v="1"/>
    <n v="0"/>
    <x v="17"/>
    <n v="0"/>
    <n v="0"/>
    <m/>
    <m/>
    <m/>
    <m/>
    <m/>
    <m/>
    <x v="2"/>
    <n v="0"/>
    <e v="#N/A"/>
    <e v="#N/A"/>
    <s v="OUTBOUND_"/>
  </r>
  <r>
    <s v="2157"/>
    <m/>
    <x v="0"/>
    <s v="INB-W0012507-676"/>
    <s v="EJ-Malang-01"/>
    <s v="Oka-0813-2707-1646"/>
    <x v="347"/>
    <d v="1900-01-14T07:00:00"/>
    <s v="GCI Procurement"/>
    <x v="1"/>
    <x v="12"/>
    <s v="GCI1008"/>
    <s v="Pcs"/>
    <n v="200"/>
    <n v="0"/>
    <x v="17"/>
    <n v="0"/>
    <n v="0"/>
    <m/>
    <m/>
    <m/>
    <m/>
    <m/>
    <m/>
    <x v="2"/>
    <n v="0"/>
    <e v="#N/A"/>
    <e v="#N/A"/>
    <s v="OUTBOUND_"/>
  </r>
  <r>
    <s v="2158"/>
    <m/>
    <x v="0"/>
    <s v="INB-W0012507-676"/>
    <s v="EJ-Malang-01"/>
    <s v="Oka-0813-2707-1646"/>
    <x v="347"/>
    <d v="1900-01-14T07:00:00"/>
    <s v="GCI Procurement"/>
    <x v="1"/>
    <x v="15"/>
    <s v="GCI1003"/>
    <s v="Pcs"/>
    <n v="245"/>
    <n v="0"/>
    <x v="17"/>
    <n v="0"/>
    <n v="0"/>
    <m/>
    <m/>
    <m/>
    <m/>
    <m/>
    <m/>
    <x v="2"/>
    <n v="0"/>
    <e v="#N/A"/>
    <e v="#N/A"/>
    <s v="OUTBOUND_"/>
  </r>
  <r>
    <s v="2159"/>
    <m/>
    <x v="0"/>
    <s v="INB-W0012507-676"/>
    <s v="EJ-Malang-01"/>
    <s v="Oka-0813-2707-1646"/>
    <x v="347"/>
    <d v="1900-01-14T07:00:00"/>
    <s v="GCI Procurement"/>
    <x v="1"/>
    <x v="16"/>
    <s v="GCI1004"/>
    <s v="Pcs"/>
    <n v="180"/>
    <n v="0"/>
    <x v="17"/>
    <n v="0"/>
    <n v="0"/>
    <m/>
    <m/>
    <m/>
    <m/>
    <m/>
    <m/>
    <x v="2"/>
    <n v="0"/>
    <e v="#N/A"/>
    <e v="#N/A"/>
    <s v="OUTBOUND_"/>
  </r>
  <r>
    <s v="2160"/>
    <m/>
    <x v="1"/>
    <s v="OUB-W0012507-677"/>
    <s v="EJ-Malang-01"/>
    <s v="Oka-0813-2707-1646"/>
    <x v="348"/>
    <d v="1899-12-30T11:21:00"/>
    <s v="EJ-MALANG-01"/>
    <x v="1"/>
    <x v="9"/>
    <s v="GCI1001"/>
    <s v="Pcs"/>
    <n v="39"/>
    <n v="0"/>
    <x v="147"/>
    <m/>
    <m/>
    <m/>
    <s v="Riki Romansyah"/>
    <n v="0"/>
    <s v="3507050501950006"/>
    <s v="N 8420 EL"/>
    <m/>
    <x v="2"/>
    <s v="Krebet"/>
    <e v="#N/A"/>
    <e v="#N/A"/>
    <s v="OUTBOUND_"/>
  </r>
  <r>
    <s v="2161"/>
    <m/>
    <x v="1"/>
    <s v="OUB-W0012507-677"/>
    <s v="EJ-Malang-01"/>
    <s v="Oka-0813-2707-1646"/>
    <x v="348"/>
    <d v="1899-12-30T11:21:00"/>
    <s v="EJ-MALANG-01"/>
    <x v="1"/>
    <x v="11"/>
    <s v="GCI1002"/>
    <s v="Pcs"/>
    <n v="1"/>
    <n v="0"/>
    <x v="147"/>
    <m/>
    <m/>
    <m/>
    <s v="Riki Romansyah"/>
    <n v="0"/>
    <s v="3507050501950006"/>
    <s v="N 8420 EL"/>
    <m/>
    <x v="2"/>
    <s v="Krebet"/>
    <e v="#N/A"/>
    <e v="#N/A"/>
    <s v="OUTBOUND_"/>
  </r>
  <r>
    <s v="2162"/>
    <m/>
    <x v="1"/>
    <s v="OUB-W0012507-677"/>
    <s v="EJ-Malang-01"/>
    <s v="Oka-0813-2707-1646"/>
    <x v="348"/>
    <d v="1899-12-30T11:21:00"/>
    <s v="EJ-MALANG-01"/>
    <x v="0"/>
    <x v="19"/>
    <s v="ZTE1003"/>
    <s v="Pcs"/>
    <n v="2"/>
    <s v="CLR51-99-108"/>
    <x v="142"/>
    <m/>
    <m/>
    <m/>
    <s v="Riki Romansyah"/>
    <n v="0"/>
    <s v="3507050501950006"/>
    <s v="N 8420 EL"/>
    <m/>
    <x v="2"/>
    <s v="KREBET RW 05"/>
    <e v="#N/A"/>
    <e v="#N/A"/>
    <s v="OUTBOUND_"/>
  </r>
  <r>
    <s v="2163"/>
    <m/>
    <x v="1"/>
    <s v="OUB-W0012507-677"/>
    <s v="EJ-Malang-01"/>
    <s v="Oka-0813-2707-1646"/>
    <x v="348"/>
    <d v="1899-12-30T11:21:00"/>
    <s v="EJ-MALANG-01"/>
    <x v="1"/>
    <x v="12"/>
    <s v="GCI1008"/>
    <s v="Pcs"/>
    <n v="200"/>
    <n v="0"/>
    <x v="147"/>
    <m/>
    <m/>
    <m/>
    <s v="Riki Romansyah"/>
    <n v="0"/>
    <s v="3507050501950006"/>
    <s v="N 8420 EL"/>
    <m/>
    <x v="2"/>
    <s v="Krebet"/>
    <e v="#N/A"/>
    <e v="#N/A"/>
    <s v="OUTBOUND_"/>
  </r>
  <r>
    <s v="2164"/>
    <m/>
    <x v="1"/>
    <s v="OUB-W0012507-677"/>
    <s v="EJ-Malang-01"/>
    <s v="Oka-0813-2707-1646"/>
    <x v="348"/>
    <d v="1899-12-30T11:21:00"/>
    <s v="EJ-MALANG-01"/>
    <x v="1"/>
    <x v="15"/>
    <s v="GCI1003"/>
    <s v="Pcs"/>
    <n v="245"/>
    <n v="0"/>
    <x v="147"/>
    <m/>
    <m/>
    <m/>
    <s v="Riki Romansyah"/>
    <n v="0"/>
    <s v="3507050501950006"/>
    <s v="N 8420 EL"/>
    <m/>
    <x v="2"/>
    <s v="Krebet"/>
    <e v="#N/A"/>
    <e v="#N/A"/>
    <s v="OUTBOUND_"/>
  </r>
  <r>
    <s v="2165"/>
    <m/>
    <x v="1"/>
    <s v="OUB-W0012507-677"/>
    <s v="EJ-Malang-01"/>
    <s v="Oka-0813-2707-1646"/>
    <x v="348"/>
    <d v="1899-12-30T11:21:00"/>
    <s v="EJ-MALANG-01"/>
    <x v="1"/>
    <x v="16"/>
    <s v="GCI1004"/>
    <s v="Pcs"/>
    <n v="180"/>
    <n v="0"/>
    <x v="147"/>
    <m/>
    <m/>
    <m/>
    <s v="Riki Romansyah"/>
    <n v="0"/>
    <s v="3507050501950006"/>
    <s v="N 8420 EL"/>
    <m/>
    <x v="2"/>
    <s v="Krebet"/>
    <e v="#N/A"/>
    <e v="#N/A"/>
    <s v="OUTBOUND_"/>
  </r>
  <r>
    <s v="2166"/>
    <m/>
    <x v="0"/>
    <s v="INB-W0012508-678"/>
    <s v="EJ-Malang-01"/>
    <s v="Oka-0813-2707-1646"/>
    <x v="349"/>
    <d v="1900-01-14T07:00:00"/>
    <s v="ZTE Warehouse"/>
    <x v="0"/>
    <x v="0"/>
    <s v="ZTE2001"/>
    <s v="Meter"/>
    <n v="1440"/>
    <s v="CLR51-99-249"/>
    <x v="148"/>
    <s v="DOEID250804CC"/>
    <s v="DNWID1372025080401"/>
    <m/>
    <m/>
    <m/>
    <m/>
    <m/>
    <m/>
    <x v="120"/>
    <s v="PERMANU RW 04 MALANG"/>
    <d v="2025-08-06T00:00:00"/>
    <b v="1"/>
    <s v="OUTBOUND_H-ADSS 24C-202586-01"/>
  </r>
  <r>
    <s v="2167"/>
    <m/>
    <x v="0"/>
    <s v="INB-W0012508-678"/>
    <s v="EJ-Malang-01"/>
    <s v="Oka-0813-2707-1646"/>
    <x v="349"/>
    <d v="1900-01-14T07:00:00"/>
    <s v="ZTE Warehouse"/>
    <x v="0"/>
    <x v="0"/>
    <s v="ZTE2001"/>
    <s v="Meter"/>
    <n v="3000"/>
    <s v="CLR51-99-250"/>
    <x v="149"/>
    <s v="DOEID250804CD"/>
    <s v="DNWID1372025080402"/>
    <m/>
    <m/>
    <m/>
    <m/>
    <m/>
    <m/>
    <x v="121"/>
    <s v="PERMANU RW 03 MALANG"/>
    <d v="2025-08-06T00:00:00"/>
    <b v="1"/>
    <s v="OUTBOUND_H-ADSS 24C-202586-02"/>
  </r>
  <r>
    <s v="2168"/>
    <m/>
    <x v="1"/>
    <s v="OUB-W0012508-678"/>
    <s v="EJ-Malang-01"/>
    <s v="Oka-0813-2707-1646"/>
    <x v="349"/>
    <d v="1900-01-14T07:00:00"/>
    <s v="ZTE Warehouse"/>
    <x v="0"/>
    <x v="0"/>
    <s v="ZTE2001"/>
    <s v="Meter"/>
    <n v="3000"/>
    <s v="CLR51-99-250"/>
    <x v="149"/>
    <m/>
    <m/>
    <m/>
    <s v="Riki Romansyah"/>
    <s v="Susilo"/>
    <s v="3507050501950006"/>
    <m/>
    <m/>
    <x v="2"/>
    <s v="PERMANU RW 03 MALANG"/>
    <e v="#N/A"/>
    <e v="#N/A"/>
    <s v="OUTBOUND_"/>
  </r>
  <r>
    <s v="2169"/>
    <m/>
    <x v="1"/>
    <s v="OUB-W0012508-678"/>
    <s v="EJ-Malang-01"/>
    <s v="Oka-0813-2707-1646"/>
    <x v="349"/>
    <d v="1900-01-14T07:00:00"/>
    <s v="ZTE Warehouse"/>
    <x v="0"/>
    <x v="0"/>
    <s v="ZTE2001"/>
    <s v="Meter"/>
    <n v="1440"/>
    <s v="CLR51-99-249"/>
    <x v="148"/>
    <m/>
    <m/>
    <m/>
    <s v="Riki Romansyah"/>
    <s v="Susilo"/>
    <s v="3507050501950006"/>
    <m/>
    <m/>
    <x v="2"/>
    <s v="PERMANU RW 04 MALANG"/>
    <e v="#N/A"/>
    <e v="#N/A"/>
    <s v="OUTBOUND_"/>
  </r>
  <r>
    <s v="2170"/>
    <m/>
    <x v="0"/>
    <s v="INB-W0012508-680"/>
    <s v="EJ-Malang-01"/>
    <s v="Oka-0813-2707-1646"/>
    <x v="349"/>
    <d v="1900-01-14T07:00:00"/>
    <s v="GCI Procurement"/>
    <x v="1"/>
    <x v="8"/>
    <s v="GCI1005"/>
    <s v="Pcs"/>
    <n v="111"/>
    <n v="0"/>
    <x v="11"/>
    <n v="0"/>
    <n v="0"/>
    <m/>
    <m/>
    <m/>
    <m/>
    <m/>
    <m/>
    <x v="2"/>
    <s v="GRESIK"/>
    <e v="#N/A"/>
    <e v="#N/A"/>
    <s v="OUTBOUND_"/>
  </r>
  <r>
    <s v="2171"/>
    <m/>
    <x v="0"/>
    <s v="INB-W0012508-680"/>
    <s v="EJ-Malang-01"/>
    <s v="Oka-0813-2707-1646"/>
    <x v="349"/>
    <d v="1900-01-14T07:00:00"/>
    <s v="GCI Procurement"/>
    <x v="1"/>
    <x v="9"/>
    <s v="GCI1001"/>
    <s v="Pcs"/>
    <n v="50"/>
    <n v="0"/>
    <x v="11"/>
    <n v="0"/>
    <n v="0"/>
    <m/>
    <m/>
    <m/>
    <m/>
    <m/>
    <m/>
    <x v="2"/>
    <s v="GRESIK"/>
    <e v="#N/A"/>
    <e v="#N/A"/>
    <s v="OUTBOUND_"/>
  </r>
  <r>
    <s v="2172"/>
    <m/>
    <x v="0"/>
    <s v="INB-W0012508-680"/>
    <s v="EJ-Malang-01"/>
    <s v="Oka-0813-2707-1646"/>
    <x v="349"/>
    <d v="1900-01-14T07:00:00"/>
    <s v="GCI Procurement"/>
    <x v="1"/>
    <x v="11"/>
    <s v="GCI1002"/>
    <s v="Pcs"/>
    <n v="4"/>
    <n v="0"/>
    <x v="11"/>
    <n v="0"/>
    <n v="0"/>
    <m/>
    <m/>
    <m/>
    <m/>
    <m/>
    <m/>
    <x v="2"/>
    <s v="GRESIK"/>
    <e v="#N/A"/>
    <e v="#N/A"/>
    <s v="OUTBOUND_"/>
  </r>
  <r>
    <s v="2173"/>
    <m/>
    <x v="1"/>
    <s v="OUB-W0012508-679"/>
    <s v="EJ-Malang-01"/>
    <s v="Oka-0813-2707-1646"/>
    <x v="349"/>
    <d v="1899-12-30T11:21:00"/>
    <s v="EJ-MALANG-01"/>
    <x v="0"/>
    <x v="4"/>
    <s v="ZTE1002"/>
    <s v="Pcs"/>
    <n v="36"/>
    <s v="CLR51-99-250"/>
    <x v="149"/>
    <m/>
    <m/>
    <m/>
    <s v="Riki Romansyah"/>
    <n v="0"/>
    <s v="3507050501950006"/>
    <s v="N 8420 EL"/>
    <m/>
    <x v="2"/>
    <s v="PERMANU RW 03 MALANG"/>
    <e v="#N/A"/>
    <e v="#N/A"/>
    <s v="OUTBOUND_"/>
  </r>
  <r>
    <s v="2174"/>
    <m/>
    <x v="0"/>
    <s v="INB-W0012508-680"/>
    <s v="EJ-Malang-01"/>
    <s v="Oka-0813-2707-1646"/>
    <x v="349"/>
    <d v="1900-01-14T07:00:00"/>
    <s v="GCI Procurement"/>
    <x v="1"/>
    <x v="15"/>
    <s v="GCI1003"/>
    <s v="Pcs"/>
    <n v="200"/>
    <n v="0"/>
    <x v="11"/>
    <n v="0"/>
    <n v="0"/>
    <m/>
    <m/>
    <m/>
    <m/>
    <m/>
    <m/>
    <x v="2"/>
    <s v="GRESIK"/>
    <e v="#N/A"/>
    <e v="#N/A"/>
    <s v="OUTBOUND_"/>
  </r>
  <r>
    <s v="2175"/>
    <m/>
    <x v="1"/>
    <s v="OUB-W0012508-681"/>
    <s v="EJ-Malang-01"/>
    <s v="Oka-0813-2707-1646"/>
    <x v="350"/>
    <d v="1899-12-30T11:21:00"/>
    <s v="EJ-MALANG-01"/>
    <x v="1"/>
    <x v="8"/>
    <s v="GCI1005"/>
    <s v="Pcs"/>
    <n v="50"/>
    <s v="CLR51-99-250"/>
    <x v="149"/>
    <m/>
    <m/>
    <m/>
    <s v="Riki Romansyah"/>
    <n v="0"/>
    <s v="3507050501950006"/>
    <s v="N 8420 EL"/>
    <m/>
    <x v="2"/>
    <s v="PERMANU RW 03 MALANG"/>
    <e v="#N/A"/>
    <e v="#N/A"/>
    <s v="OUTBOUND_"/>
  </r>
  <r>
    <s v="2176"/>
    <m/>
    <x v="1"/>
    <s v="OUB-W0012508-681"/>
    <s v="EJ-Malang-01"/>
    <s v="Oka-0813-2707-1646"/>
    <x v="350"/>
    <d v="1899-12-30T11:21:00"/>
    <s v="EJ-MALANG-01"/>
    <x v="1"/>
    <x v="9"/>
    <s v="GCI1001"/>
    <s v="Pcs"/>
    <n v="50"/>
    <s v="CLR51-99-250"/>
    <x v="149"/>
    <m/>
    <m/>
    <m/>
    <s v="Riki Romansyah"/>
    <n v="0"/>
    <s v="3507050501950006"/>
    <s v="N 8420 EL"/>
    <m/>
    <x v="2"/>
    <s v="PERMANU RW 03 MALANG"/>
    <e v="#N/A"/>
    <e v="#N/A"/>
    <s v="OUTBOUND_"/>
  </r>
  <r>
    <s v="2177"/>
    <m/>
    <x v="1"/>
    <s v="OUB-W0012508-681"/>
    <s v="EJ-Malang-01"/>
    <s v="Oka-0813-2707-1646"/>
    <x v="350"/>
    <d v="1899-12-30T11:21:00"/>
    <s v="EJ-MALANG-01"/>
    <x v="1"/>
    <x v="11"/>
    <s v="GCI1002"/>
    <s v="Pcs"/>
    <n v="1"/>
    <s v="CLR51-99-250"/>
    <x v="149"/>
    <m/>
    <m/>
    <m/>
    <s v="Riki Romansyah"/>
    <n v="0"/>
    <s v="3507050501950006"/>
    <s v="N 8420 EL"/>
    <m/>
    <x v="2"/>
    <s v="PERMANU RW 03 MALANG"/>
    <e v="#N/A"/>
    <e v="#N/A"/>
    <s v="OUTBOUND_"/>
  </r>
  <r>
    <s v="2178"/>
    <m/>
    <x v="1"/>
    <s v="OUB-W0012508-681"/>
    <s v="EJ-Malang-01"/>
    <s v="Oka-0813-2707-1646"/>
    <x v="350"/>
    <d v="1899-12-30T11:21:00"/>
    <s v="EJ-MALANG-01"/>
    <x v="0"/>
    <x v="4"/>
    <s v="ZTE1002"/>
    <s v="Pcs"/>
    <n v="1"/>
    <s v="CLR51-99-250"/>
    <x v="149"/>
    <m/>
    <m/>
    <m/>
    <s v="Riki Romansyah"/>
    <n v="0"/>
    <s v="3507050501950006"/>
    <s v="N 8420 EL"/>
    <m/>
    <x v="2"/>
    <s v="PERMANU RW 03 MALANG"/>
    <e v="#N/A"/>
    <e v="#N/A"/>
    <s v="OUTBOUND_"/>
  </r>
  <r>
    <s v="2179"/>
    <m/>
    <x v="1"/>
    <s v="OUB-W0012508-681"/>
    <s v="EJ-Malang-01"/>
    <s v="Oka-0813-2707-1646"/>
    <x v="350"/>
    <d v="1899-12-30T11:21:00"/>
    <s v="EJ-MALANG-01"/>
    <x v="0"/>
    <x v="5"/>
    <s v="ZTE1001"/>
    <s v="Pcs"/>
    <n v="17"/>
    <s v="CLR51-99-250"/>
    <x v="149"/>
    <m/>
    <m/>
    <m/>
    <s v="Riki Romansyah"/>
    <n v="0"/>
    <s v="3507050501950006"/>
    <s v="N 8420 EL"/>
    <m/>
    <x v="2"/>
    <s v="PERMANU RW 03 MALANG"/>
    <e v="#N/A"/>
    <e v="#N/A"/>
    <s v="OUTBOUND_"/>
  </r>
  <r>
    <s v="2180"/>
    <m/>
    <x v="1"/>
    <s v="OUB-W0012508-681"/>
    <s v="EJ-Malang-01"/>
    <s v="Oka-0813-2707-1646"/>
    <x v="350"/>
    <d v="1899-12-30T11:21:00"/>
    <s v="EJ-MALANG-01"/>
    <x v="0"/>
    <x v="19"/>
    <s v="ZTE1003"/>
    <s v="Pcs"/>
    <n v="1"/>
    <s v="CLR51-99-250"/>
    <x v="149"/>
    <m/>
    <m/>
    <m/>
    <s v="Riki Romansyah"/>
    <n v="0"/>
    <s v="3507050501950006"/>
    <s v="N 8420 EL"/>
    <m/>
    <x v="2"/>
    <s v="PERMANU RW 03 MALANG"/>
    <e v="#N/A"/>
    <e v="#N/A"/>
    <s v="OUTBOUND_"/>
  </r>
  <r>
    <s v="2181"/>
    <m/>
    <x v="1"/>
    <s v="OUB-W0012508-681"/>
    <s v="EJ-Malang-01"/>
    <s v="Oka-0813-2707-1646"/>
    <x v="350"/>
    <d v="1899-12-30T11:21:00"/>
    <s v="EJ-MALANG-01"/>
    <x v="1"/>
    <x v="15"/>
    <s v="GCI1003"/>
    <s v="Pcs"/>
    <n v="100"/>
    <s v="CLR51-99-250"/>
    <x v="149"/>
    <m/>
    <m/>
    <m/>
    <s v="Riki Romansyah"/>
    <n v="0"/>
    <s v="3507050501950006"/>
    <s v="N 8420 EL"/>
    <m/>
    <x v="2"/>
    <s v="PERMANU RW 03 MALANG"/>
    <e v="#N/A"/>
    <e v="#N/A"/>
    <s v="OUTBOUND_"/>
  </r>
  <r>
    <s v="2182"/>
    <m/>
    <x v="1"/>
    <s v="OUB-W0012508-682"/>
    <s v="EJ-Malang-01"/>
    <s v="Oka-0813-2707-1646"/>
    <x v="351"/>
    <d v="1899-12-30T13:22:00"/>
    <s v="EJ-MALANG-01"/>
    <x v="0"/>
    <x v="2"/>
    <s v="ZTE2008"/>
    <s v="Pcs"/>
    <n v="8"/>
    <s v="CLR51-99-249"/>
    <x v="148"/>
    <m/>
    <m/>
    <m/>
    <s v="Sifak"/>
    <n v="0"/>
    <s v="3507312107950002"/>
    <s v="N 1046 ABC"/>
    <m/>
    <x v="2"/>
    <s v="PERMANU RW 04 MALANG"/>
    <e v="#N/A"/>
    <e v="#N/A"/>
    <s v="OUTBOUND_"/>
  </r>
  <r>
    <s v="2183"/>
    <m/>
    <x v="1"/>
    <s v="OUB-W0012508-684"/>
    <s v="EJ-Malang-01"/>
    <s v="Oka-0813-2707-1646"/>
    <x v="351"/>
    <d v="1899-12-30T20:30:00"/>
    <s v="EJ-MALANG-01"/>
    <x v="0"/>
    <x v="2"/>
    <s v="ZTE2008"/>
    <s v="Pcs"/>
    <n v="10"/>
    <s v="CLR51-99-250"/>
    <x v="149"/>
    <m/>
    <m/>
    <m/>
    <s v="Sifak"/>
    <n v="0"/>
    <s v="3507312107950002"/>
    <s v="N 1046 ABC"/>
    <m/>
    <x v="2"/>
    <s v="PERMANU RW 03 MALANG"/>
    <e v="#N/A"/>
    <e v="#N/A"/>
    <s v="OUTBOUND_"/>
  </r>
  <r>
    <s v="2184"/>
    <m/>
    <x v="1"/>
    <s v="OUB-W0012508-682"/>
    <s v="EJ-Malang-01"/>
    <s v="Oka-0813-2707-1646"/>
    <x v="351"/>
    <d v="1899-12-30T13:22:00"/>
    <s v="EJ-MALANG-01"/>
    <x v="0"/>
    <x v="3"/>
    <s v="ZTE2005"/>
    <s v="Pcs"/>
    <n v="1"/>
    <s v="CLR51-99-250"/>
    <x v="149"/>
    <m/>
    <m/>
    <m/>
    <s v="Sifak"/>
    <n v="0"/>
    <s v="3507312107950002"/>
    <s v="N 1046 ABC"/>
    <m/>
    <x v="2"/>
    <s v="PERMANU RW 03 MALANG"/>
    <e v="#N/A"/>
    <e v="#N/A"/>
    <s v="OUTBOUND_"/>
  </r>
  <r>
    <s v="2185"/>
    <m/>
    <x v="5"/>
    <s v="BOO-W0012508-683"/>
    <s v="EJ-Malang-01"/>
    <s v="Oka-0813-2707-1646"/>
    <x v="351"/>
    <d v="1899-12-30T15:22:00"/>
    <s v="Other Subcon"/>
    <x v="0"/>
    <x v="5"/>
    <s v="ZTE1001"/>
    <s v="Pcs"/>
    <n v="1"/>
    <s v="BR003"/>
    <x v="150"/>
    <m/>
    <m/>
    <m/>
    <s v="Bagus"/>
    <n v="0"/>
    <n v="0"/>
    <s v="N 8219 FI"/>
    <s v="DCIT Borrow"/>
    <x v="2"/>
    <s v="DCIT"/>
    <e v="#N/A"/>
    <e v="#N/A"/>
    <s v="BORROW OUT_"/>
  </r>
  <r>
    <s v="2186"/>
    <m/>
    <x v="4"/>
    <s v="BOI-W0012508-685"/>
    <s v="EJ-Malang-01"/>
    <s v="Oka-0813-2707-1646"/>
    <x v="352"/>
    <d v="1899-12-30T08:22:00"/>
    <s v="Other Subcon"/>
    <x v="0"/>
    <x v="5"/>
    <s v="ZTE1001"/>
    <s v="Pcs"/>
    <n v="2"/>
    <s v="BR002"/>
    <x v="126"/>
    <m/>
    <m/>
    <m/>
    <m/>
    <m/>
    <m/>
    <m/>
    <s v="AIA RETURN"/>
    <x v="2"/>
    <s v="AIA"/>
    <e v="#N/A"/>
    <e v="#N/A"/>
    <s v="OUTBOUND_"/>
  </r>
  <r>
    <s v="2187"/>
    <m/>
    <x v="1"/>
    <s v="OUB-W0012508-686"/>
    <s v="EJ-Malang-01"/>
    <s v="Oka-0813-2707-1646"/>
    <x v="353"/>
    <d v="1899-12-30T15:37:00"/>
    <s v="EJ-MALANG-01"/>
    <x v="0"/>
    <x v="1"/>
    <s v="ZTE2003"/>
    <s v="Meter"/>
    <n v="3000"/>
    <s v="CLR51-99-106"/>
    <x v="140"/>
    <m/>
    <m/>
    <m/>
    <s v="Riki Romansyah"/>
    <s v="Susilo"/>
    <s v="3507050501950006"/>
    <s v="N 8420 EL"/>
    <m/>
    <x v="2"/>
    <s v="KREBET SENGGRONG RW 04"/>
    <e v="#N/A"/>
    <e v="#N/A"/>
    <s v="OUTBOUND_"/>
  </r>
  <r>
    <s v="2188"/>
    <m/>
    <x v="1"/>
    <s v="OUB-W0012508-686"/>
    <s v="EJ-Malang-01"/>
    <s v="Oka-0813-2707-1646"/>
    <x v="353"/>
    <d v="1899-12-30T15:37:00"/>
    <s v="EJ-MALANG-01"/>
    <x v="0"/>
    <x v="19"/>
    <s v="ZTE1003"/>
    <s v="Pcs"/>
    <n v="2"/>
    <s v="CLR51-99-106"/>
    <x v="140"/>
    <m/>
    <m/>
    <m/>
    <s v="Riki Romansyah"/>
    <n v="0"/>
    <s v="3507050501950006"/>
    <s v="N 8420 EL"/>
    <m/>
    <x v="2"/>
    <s v="KREBET SENGGRONG RW 04"/>
    <e v="#N/A"/>
    <e v="#N/A"/>
    <s v="OUTBOUND_"/>
  </r>
  <r>
    <s v="2189"/>
    <m/>
    <x v="1"/>
    <s v="OUB-W0012508-687"/>
    <s v="EJ-Malang-01"/>
    <s v="Oka-0813-2707-1646"/>
    <x v="354"/>
    <d v="1899-12-30T16:14:00"/>
    <s v="EJ-MALANG-01"/>
    <x v="0"/>
    <x v="2"/>
    <s v="ZTE2008"/>
    <s v="Pcs"/>
    <n v="13"/>
    <s v="CLR51-99-106"/>
    <x v="140"/>
    <m/>
    <m/>
    <m/>
    <s v="Sifak"/>
    <n v="0"/>
    <s v="3507312107950002"/>
    <s v="N 1046 ABC"/>
    <m/>
    <x v="2"/>
    <s v="KREBET SENGGRONG RW 04"/>
    <e v="#N/A"/>
    <e v="#N/A"/>
    <s v="OUTBOUND_"/>
  </r>
  <r>
    <s v="2190"/>
    <m/>
    <x v="0"/>
    <s v="INB-W0012508-688"/>
    <s v="EJ-Malang-01"/>
    <s v="Oka-0813-2707-1646"/>
    <x v="355"/>
    <d v="1900-01-14T07:00:00"/>
    <s v="ZTE Warehouse"/>
    <x v="0"/>
    <x v="1"/>
    <s v="ZTE2003"/>
    <s v="Meter"/>
    <n v="3000"/>
    <s v="CLR51-99-370"/>
    <x v="151"/>
    <s v="DOEID25081590"/>
    <s v="DNWID1382025081505"/>
    <m/>
    <m/>
    <m/>
    <m/>
    <m/>
    <m/>
    <x v="122"/>
    <s v="PERUMAHAN BULULAWANG PERMAI RW 02"/>
    <d v="2025-08-19T00:00:00"/>
    <b v="1"/>
    <s v="OUTBOUND_H-ADSS 48C-2025819-01"/>
  </r>
  <r>
    <s v="2191"/>
    <m/>
    <x v="1"/>
    <s v="OUB-W0012508-689"/>
    <s v="EJ-Malang-01"/>
    <s v="Oka-0813-2707-1646"/>
    <x v="355"/>
    <d v="1899-12-30T10:31:00"/>
    <s v="EJ-MALANG-01"/>
    <x v="0"/>
    <x v="1"/>
    <s v="ZTE2003"/>
    <s v="Meter"/>
    <n v="3000"/>
    <s v="CLR51-99-370"/>
    <x v="151"/>
    <m/>
    <m/>
    <m/>
    <s v="Riki Romansyah"/>
    <s v="Susilo"/>
    <s v="3507050501950006"/>
    <s v="N 8420 EL"/>
    <m/>
    <x v="2"/>
    <s v="PERUMAHAN BULULAWANG PERMAI RW 02"/>
    <e v="#N/A"/>
    <e v="#N/A"/>
    <s v="OUTBOUND_"/>
  </r>
  <r>
    <s v="2192"/>
    <m/>
    <x v="0"/>
    <s v="INB-W0012508-690"/>
    <s v="EJ-Malang-01"/>
    <s v="Oka-0813-2707-1646"/>
    <x v="355"/>
    <d v="1900-01-14T07:00:00"/>
    <s v="ZTE Warehouse"/>
    <x v="0"/>
    <x v="2"/>
    <s v="ZTE2008"/>
    <s v="Pcs"/>
    <n v="19"/>
    <s v="CLR51-99-370"/>
    <x v="151"/>
    <s v="DOEID25081590"/>
    <s v="DNWID1382025081505"/>
    <m/>
    <m/>
    <m/>
    <m/>
    <m/>
    <m/>
    <x v="2"/>
    <s v="PERUMAHAN BULULAWANG PERMAI RW 02"/>
    <d v="2025-08-19T00:00:00"/>
    <b v="1"/>
    <s v="OUTBOUND_"/>
  </r>
  <r>
    <s v="2193"/>
    <m/>
    <x v="0"/>
    <s v="INB-W0012508-690"/>
    <s v="EJ-Malang-01"/>
    <s v="Oka-0813-2707-1646"/>
    <x v="355"/>
    <d v="1900-01-14T07:00:00"/>
    <s v="ZTE Warehouse"/>
    <x v="0"/>
    <x v="3"/>
    <s v="ZTE2005"/>
    <s v="Pcs"/>
    <n v="1"/>
    <s v="CLR51-99-370"/>
    <x v="151"/>
    <s v="DOEID25081590"/>
    <s v="DNWID1382025081505"/>
    <m/>
    <m/>
    <m/>
    <m/>
    <m/>
    <m/>
    <x v="2"/>
    <s v="PERUMAHAN BULULAWANG PERMAI RW 02"/>
    <d v="2025-08-19T00:00:00"/>
    <b v="1"/>
    <s v="OUTBOUND_"/>
  </r>
  <r>
    <s v="2194"/>
    <m/>
    <x v="0"/>
    <s v="INB-W0012508-690"/>
    <s v="EJ-Malang-01"/>
    <s v="Oka-0813-2707-1646"/>
    <x v="355"/>
    <d v="1900-01-14T07:00:00"/>
    <s v="ZTE Warehouse"/>
    <x v="0"/>
    <x v="20"/>
    <s v="ZTE1004"/>
    <s v="Pcs"/>
    <n v="1"/>
    <s v="CLR51-99-370"/>
    <x v="151"/>
    <m/>
    <m/>
    <m/>
    <m/>
    <m/>
    <m/>
    <m/>
    <m/>
    <x v="2"/>
    <s v="PERUMAHAN BULULAWANG PERMAI RW 02"/>
    <e v="#N/A"/>
    <e v="#N/A"/>
    <s v="OUTBOUND_"/>
  </r>
  <r>
    <s v="2195"/>
    <m/>
    <x v="0"/>
    <s v="INB-W0012508-690"/>
    <s v="EJ-Malang-01"/>
    <s v="Oka-0813-2707-1646"/>
    <x v="355"/>
    <d v="1900-01-14T07:00:00"/>
    <s v="ZTE Warehouse"/>
    <x v="0"/>
    <x v="4"/>
    <s v="ZTE1002"/>
    <s v="Pcs"/>
    <n v="145"/>
    <s v="CLR51-99-370"/>
    <x v="151"/>
    <s v="DOEID25081590"/>
    <s v="DNWID1382025081505"/>
    <m/>
    <s v="Riki Romansyah"/>
    <n v="0"/>
    <s v="3507050501950006"/>
    <s v="N 8420 EL"/>
    <m/>
    <x v="2"/>
    <s v="PERUMAHAN BULULAWANG PERMAI RW 02"/>
    <d v="2025-08-19T00:00:00"/>
    <b v="1"/>
    <s v="OUTBOUND_"/>
  </r>
  <r>
    <s v="2196"/>
    <m/>
    <x v="1"/>
    <s v="OUB-W0012508-689"/>
    <s v="EJ-Malang-01"/>
    <s v="Oka-0813-2707-1646"/>
    <x v="355"/>
    <d v="1899-12-30T10:31:00"/>
    <s v="EJ-MALANG-01"/>
    <x v="0"/>
    <x v="4"/>
    <s v="ZTE1002"/>
    <s v="Pcs"/>
    <n v="19"/>
    <s v="CLR51-99-370"/>
    <x v="151"/>
    <m/>
    <m/>
    <m/>
    <s v="Riki Romansyah"/>
    <n v="0"/>
    <s v="3507050501950006"/>
    <s v="N 8420 EL"/>
    <m/>
    <x v="2"/>
    <s v="PERUMAHAN BULULAWANG PERMAI RW 02"/>
    <e v="#N/A"/>
    <e v="#N/A"/>
    <s v="OUTBOUND_"/>
  </r>
  <r>
    <s v="2197"/>
    <m/>
    <x v="0"/>
    <s v="INB-W0012508-690"/>
    <s v="EJ-Malang-01"/>
    <s v="Oka-0813-2707-1646"/>
    <x v="355"/>
    <d v="1900-01-14T07:00:00"/>
    <s v="ZTE Warehouse"/>
    <x v="0"/>
    <x v="5"/>
    <s v="ZTE1001"/>
    <s v="Pcs"/>
    <n v="1"/>
    <s v="CLR51-99-370"/>
    <x v="151"/>
    <s v="DOEID25081590"/>
    <s v="DNWID1382025081505"/>
    <m/>
    <s v="Riki Romansyah"/>
    <n v="0"/>
    <s v="3507050501950006"/>
    <s v="N 8420 EL"/>
    <m/>
    <x v="2"/>
    <s v="PERUMAHAN BULULAWANG PERMAI RW 02"/>
    <d v="2025-08-19T00:00:00"/>
    <b v="1"/>
    <s v="OUTBOUND_"/>
  </r>
  <r>
    <s v="2198"/>
    <m/>
    <x v="1"/>
    <s v="OUB-W0012508-689"/>
    <s v="EJ-Malang-01"/>
    <s v="Oka-0813-2707-1646"/>
    <x v="355"/>
    <d v="1899-12-30T10:31:00"/>
    <s v="EJ-MALANG-01"/>
    <x v="0"/>
    <x v="5"/>
    <s v="ZTE1001"/>
    <s v="Pcs"/>
    <n v="1"/>
    <s v="CLR51-99-370"/>
    <x v="151"/>
    <m/>
    <m/>
    <m/>
    <s v="Riki Romansyah"/>
    <n v="0"/>
    <s v="3507050501950006"/>
    <s v="N 8420 EL"/>
    <m/>
    <x v="2"/>
    <s v="PERUMAHAN BULULAWANG PERMAI RW 02"/>
    <e v="#N/A"/>
    <e v="#N/A"/>
    <s v="OUTBOUND_"/>
  </r>
  <r>
    <s v="2199"/>
    <m/>
    <x v="1"/>
    <s v="OUB-W0012508-691"/>
    <s v="EJ-Malang-01"/>
    <s v="Oka-0813-2707-1646"/>
    <x v="356"/>
    <d v="1899-12-30T10:35:00"/>
    <s v="EJ-MALANG-01"/>
    <x v="0"/>
    <x v="4"/>
    <s v="ZTE1002"/>
    <s v="Pcs"/>
    <n v="25"/>
    <s v="CLR51-99-370"/>
    <x v="151"/>
    <m/>
    <m/>
    <m/>
    <s v="Riki Romansyah"/>
    <n v="0"/>
    <s v="3507050501950006"/>
    <s v="N 8420 EL"/>
    <m/>
    <x v="2"/>
    <s v="PERUMAHAN BULULAWANG PERMAI RW 02"/>
    <e v="#N/A"/>
    <e v="#N/A"/>
    <s v="OUTBOUND_"/>
  </r>
  <r>
    <s v="2200"/>
    <m/>
    <x v="1"/>
    <s v="OUB-W0012508-691"/>
    <s v="EJ-Malang-01"/>
    <s v="Oka-0813-2707-1646"/>
    <x v="356"/>
    <d v="1899-12-30T10:35:00"/>
    <s v="EJ-MALANG-01"/>
    <x v="0"/>
    <x v="19"/>
    <s v="ZTE1003"/>
    <s v="Pcs"/>
    <n v="1"/>
    <s v="CLR51-99-108"/>
    <x v="142"/>
    <m/>
    <m/>
    <m/>
    <s v="Riki Romansyah"/>
    <n v="0"/>
    <s v="3507050501950006"/>
    <s v="N 8420 EL"/>
    <s v="insiden"/>
    <x v="2"/>
    <s v="KREBET RW 05"/>
    <e v="#N/A"/>
    <e v="#N/A"/>
    <s v="OUTBOUND_"/>
  </r>
  <r>
    <s v="2201"/>
    <m/>
    <x v="0"/>
    <s v="INB-W0012508-693"/>
    <s v="EJ-Malang-01"/>
    <s v="Oka-0813-2707-1646"/>
    <x v="357"/>
    <d v="1900-01-14T07:00:00"/>
    <s v="GCI Procurement"/>
    <x v="1"/>
    <x v="6"/>
    <s v="GCI1011"/>
    <s v="Pcs"/>
    <n v="1"/>
    <n v="0"/>
    <x v="17"/>
    <n v="0"/>
    <n v="0"/>
    <m/>
    <m/>
    <m/>
    <m/>
    <m/>
    <m/>
    <x v="2"/>
    <n v="0"/>
    <e v="#N/A"/>
    <e v="#N/A"/>
    <s v="OUTBOUND_"/>
  </r>
  <r>
    <s v="2202"/>
    <m/>
    <x v="0"/>
    <s v="INB-W0012508-693"/>
    <s v="EJ-Malang-01"/>
    <s v="Oka-0813-2707-1646"/>
    <x v="357"/>
    <d v="1900-01-14T07:00:00"/>
    <s v="GCI Procurement"/>
    <x v="1"/>
    <x v="8"/>
    <s v="GCI1005"/>
    <s v="Pcs"/>
    <n v="131"/>
    <n v="0"/>
    <x v="17"/>
    <n v="0"/>
    <n v="0"/>
    <m/>
    <m/>
    <m/>
    <m/>
    <m/>
    <m/>
    <x v="2"/>
    <n v="0"/>
    <e v="#N/A"/>
    <e v="#N/A"/>
    <s v="OUTBOUND_"/>
  </r>
  <r>
    <s v="2203"/>
    <m/>
    <x v="0"/>
    <s v="INB-W0012508-693"/>
    <s v="EJ-Malang-01"/>
    <s v="Oka-0813-2707-1646"/>
    <x v="357"/>
    <d v="1900-01-14T07:00:00"/>
    <s v="GCI Procurement"/>
    <x v="1"/>
    <x v="9"/>
    <s v="GCI1001"/>
    <s v="Pcs"/>
    <n v="35"/>
    <n v="0"/>
    <x v="17"/>
    <n v="0"/>
    <n v="0"/>
    <m/>
    <m/>
    <m/>
    <m/>
    <m/>
    <m/>
    <x v="2"/>
    <n v="0"/>
    <e v="#N/A"/>
    <e v="#N/A"/>
    <s v="OUTBOUND_"/>
  </r>
  <r>
    <s v="2204"/>
    <m/>
    <x v="0"/>
    <s v="INB-W0012508-693"/>
    <s v="EJ-Malang-01"/>
    <s v="Oka-0813-2707-1646"/>
    <x v="357"/>
    <d v="1900-01-14T07:00:00"/>
    <s v="GCI Procurement"/>
    <x v="1"/>
    <x v="10"/>
    <s v="GCI1009"/>
    <s v="Pcs"/>
    <n v="226"/>
    <n v="0"/>
    <x v="17"/>
    <n v="0"/>
    <n v="0"/>
    <m/>
    <m/>
    <m/>
    <m/>
    <m/>
    <m/>
    <x v="2"/>
    <n v="0"/>
    <e v="#N/A"/>
    <e v="#N/A"/>
    <s v="OUTBOUND_"/>
  </r>
  <r>
    <s v="2205"/>
    <m/>
    <x v="3"/>
    <s v="TFO-W0012508-692"/>
    <s v="EJ-Malang-01"/>
    <s v="Oka-0813-2707-1646"/>
    <x v="357"/>
    <d v="1899-12-30T15:21:00"/>
    <s v="EJ-GRESIK-01"/>
    <x v="0"/>
    <x v="2"/>
    <s v="ZTE2008"/>
    <s v="Pcs"/>
    <n v="6"/>
    <n v="0"/>
    <x v="10"/>
    <m/>
    <m/>
    <m/>
    <s v="Munip"/>
    <n v="0"/>
    <s v="3509090107770266"/>
    <s v="L 1962 QM"/>
    <s v="Janjora"/>
    <x v="2"/>
    <s v="Transfer Gudang"/>
    <e v="#N/A"/>
    <e v="#N/A"/>
    <s v="TRANSFER OUT_"/>
  </r>
  <r>
    <s v="2206"/>
    <m/>
    <x v="3"/>
    <s v="TFO-W0012508-692"/>
    <s v="EJ-Malang-01"/>
    <s v="Oka-0813-2707-1646"/>
    <x v="357"/>
    <d v="1899-12-30T15:21:00"/>
    <s v="EJ-GRESIK-01"/>
    <x v="1"/>
    <x v="32"/>
    <s v="GCI1020"/>
    <s v="Pcs"/>
    <n v="400"/>
    <n v="0"/>
    <x v="10"/>
    <m/>
    <m/>
    <m/>
    <s v="Munip"/>
    <n v="0"/>
    <s v="3509090107770266"/>
    <s v="L 1962 QM"/>
    <s v="Gresij"/>
    <x v="2"/>
    <s v="Transfer Gudang"/>
    <e v="#N/A"/>
    <e v="#N/A"/>
    <s v="TRANSFER OUT_"/>
  </r>
  <r>
    <s v="2207"/>
    <m/>
    <x v="0"/>
    <s v="INB-W0012508-693"/>
    <s v="EJ-Malang-01"/>
    <s v="Oka-0813-2707-1646"/>
    <x v="357"/>
    <d v="1900-01-14T07:00:00"/>
    <s v="GCI Procurement"/>
    <x v="1"/>
    <x v="12"/>
    <s v="GCI1008"/>
    <s v="Pcs"/>
    <n v="196"/>
    <n v="0"/>
    <x v="17"/>
    <n v="0"/>
    <n v="0"/>
    <m/>
    <m/>
    <m/>
    <m/>
    <m/>
    <m/>
    <x v="2"/>
    <n v="0"/>
    <e v="#N/A"/>
    <e v="#N/A"/>
    <s v="OUTBOUND_"/>
  </r>
  <r>
    <s v="2208"/>
    <m/>
    <x v="0"/>
    <s v="INB-W0012508-693"/>
    <s v="EJ-Malang-01"/>
    <s v="Oka-0813-2707-1646"/>
    <x v="357"/>
    <d v="1900-01-14T07:00:00"/>
    <s v="GCI Procurement"/>
    <x v="1"/>
    <x v="15"/>
    <s v="GCI1003"/>
    <s v="Pcs"/>
    <n v="128"/>
    <n v="0"/>
    <x v="17"/>
    <n v="0"/>
    <n v="0"/>
    <m/>
    <m/>
    <m/>
    <m/>
    <m/>
    <m/>
    <x v="2"/>
    <n v="0"/>
    <e v="#N/A"/>
    <e v="#N/A"/>
    <s v="OUTBOUND_"/>
  </r>
  <r>
    <s v="2209"/>
    <m/>
    <x v="0"/>
    <s v="INB-W0012508-693"/>
    <s v="EJ-Malang-01"/>
    <s v="Oka-0813-2707-1646"/>
    <x v="357"/>
    <d v="1900-01-14T07:00:00"/>
    <s v="GCI Procurement"/>
    <x v="1"/>
    <x v="16"/>
    <s v="GCI1004"/>
    <s v="Pcs"/>
    <n v="155"/>
    <n v="0"/>
    <x v="17"/>
    <n v="0"/>
    <n v="0"/>
    <m/>
    <m/>
    <m/>
    <m/>
    <m/>
    <m/>
    <x v="2"/>
    <n v="0"/>
    <e v="#N/A"/>
    <e v="#N/A"/>
    <s v="OUTBOUND_"/>
  </r>
  <r>
    <s v="2210"/>
    <m/>
    <x v="1"/>
    <s v="OUB-W0012508-694"/>
    <s v="EJ-Malang-01"/>
    <s v="Oka-0813-2707-1646"/>
    <x v="358"/>
    <d v="1899-12-30T10:17:00"/>
    <s v="EJ-MALANG-01"/>
    <x v="1"/>
    <x v="6"/>
    <s v="GCI1011"/>
    <s v="Pcs"/>
    <n v="1"/>
    <n v="0"/>
    <x v="152"/>
    <m/>
    <m/>
    <m/>
    <s v="Riki Romansyah"/>
    <n v="0"/>
    <s v="3507050501950006"/>
    <s v="N 8420 EL"/>
    <m/>
    <x v="2"/>
    <s v="Bululawang Permai"/>
    <e v="#N/A"/>
    <e v="#N/A"/>
    <s v="OUTBOUND_"/>
  </r>
  <r>
    <s v="2211"/>
    <m/>
    <x v="1"/>
    <s v="OUB-W0012508-694"/>
    <s v="EJ-Malang-01"/>
    <s v="Oka-0813-2707-1646"/>
    <x v="358"/>
    <d v="1899-12-30T10:17:00"/>
    <s v="EJ-MALANG-01"/>
    <x v="1"/>
    <x v="8"/>
    <s v="GCI1005"/>
    <s v="Pcs"/>
    <n v="131"/>
    <n v="0"/>
    <x v="152"/>
    <m/>
    <m/>
    <m/>
    <s v="Riki Romansyah"/>
    <n v="0"/>
    <s v="3507050501950006"/>
    <s v="N 8420 EL"/>
    <m/>
    <x v="2"/>
    <s v="Bululawang Permai"/>
    <e v="#N/A"/>
    <e v="#N/A"/>
    <s v="OUTBOUND_"/>
  </r>
  <r>
    <s v="2212"/>
    <m/>
    <x v="1"/>
    <s v="OUB-W0012508-694"/>
    <s v="EJ-Malang-01"/>
    <s v="Oka-0813-2707-1646"/>
    <x v="358"/>
    <d v="1899-12-30T10:17:00"/>
    <s v="EJ-MALANG-01"/>
    <x v="1"/>
    <x v="9"/>
    <s v="GCI1001"/>
    <s v="Pcs"/>
    <n v="15"/>
    <n v="0"/>
    <x v="152"/>
    <m/>
    <m/>
    <m/>
    <s v="Riki Romansyah"/>
    <n v="0"/>
    <s v="3507050501950006"/>
    <s v="N 8420 EL"/>
    <m/>
    <x v="2"/>
    <s v="Bululawang Permai"/>
    <e v="#N/A"/>
    <e v="#N/A"/>
    <s v="OUTBOUND_"/>
  </r>
  <r>
    <s v="2213"/>
    <m/>
    <x v="1"/>
    <s v="OUB-W0012508-694"/>
    <s v="EJ-Malang-01"/>
    <s v="Oka-0813-2707-1646"/>
    <x v="358"/>
    <d v="1899-12-30T10:17:00"/>
    <s v="EJ-MALANG-01"/>
    <x v="1"/>
    <x v="10"/>
    <s v="GCI1009"/>
    <s v="Pcs"/>
    <n v="226"/>
    <n v="0"/>
    <x v="152"/>
    <m/>
    <m/>
    <m/>
    <s v="Riki Romansyah"/>
    <n v="0"/>
    <s v="3507050501950006"/>
    <s v="N 8420 EL"/>
    <m/>
    <x v="2"/>
    <s v="Bululawang Permai"/>
    <e v="#N/A"/>
    <e v="#N/A"/>
    <s v="OUTBOUND_"/>
  </r>
  <r>
    <s v="2214"/>
    <m/>
    <x v="1"/>
    <s v="OUB-W0012508-694"/>
    <s v="EJ-Malang-01"/>
    <s v="Oka-0813-2707-1646"/>
    <x v="358"/>
    <d v="1899-12-30T10:17:00"/>
    <s v="EJ-MALANG-01"/>
    <x v="1"/>
    <x v="11"/>
    <s v="GCI1002"/>
    <s v="Pcs"/>
    <n v="2"/>
    <n v="0"/>
    <x v="152"/>
    <m/>
    <m/>
    <m/>
    <s v="Riki Romansyah"/>
    <n v="0"/>
    <s v="3507050501950006"/>
    <s v="N 8420 EL"/>
    <m/>
    <x v="2"/>
    <s v="Bululawang Permai"/>
    <e v="#N/A"/>
    <e v="#N/A"/>
    <s v="OUTBOUND_"/>
  </r>
  <r>
    <s v="2215"/>
    <m/>
    <x v="1"/>
    <s v="OUB-W0012508-694"/>
    <s v="EJ-Malang-01"/>
    <s v="Oka-0813-2707-1646"/>
    <x v="358"/>
    <d v="1899-12-30T10:17:00"/>
    <s v="EJ-MALANG-01"/>
    <x v="1"/>
    <x v="12"/>
    <s v="GCI1008"/>
    <s v="Pcs"/>
    <n v="196"/>
    <n v="0"/>
    <x v="152"/>
    <m/>
    <m/>
    <m/>
    <s v="Riki Romansyah"/>
    <n v="0"/>
    <s v="3507050501950006"/>
    <s v="N 8420 EL"/>
    <m/>
    <x v="2"/>
    <s v="Bululawang Permai"/>
    <e v="#N/A"/>
    <e v="#N/A"/>
    <s v="OUTBOUND_"/>
  </r>
  <r>
    <s v="2216"/>
    <m/>
    <x v="1"/>
    <s v="OUB-W0012508-694"/>
    <s v="EJ-Malang-01"/>
    <s v="Oka-0813-2707-1646"/>
    <x v="358"/>
    <d v="1899-12-30T10:17:00"/>
    <s v="EJ-MALANG-01"/>
    <x v="1"/>
    <x v="15"/>
    <s v="GCI1003"/>
    <s v="Pcs"/>
    <n v="128"/>
    <n v="0"/>
    <x v="152"/>
    <m/>
    <m/>
    <m/>
    <s v="Riki Romansyah"/>
    <n v="0"/>
    <s v="3507050501950006"/>
    <s v="N 8420 EL"/>
    <m/>
    <x v="2"/>
    <s v="Bululawang Permai"/>
    <e v="#N/A"/>
    <e v="#N/A"/>
    <s v="OUTBOUND_"/>
  </r>
  <r>
    <s v="2217"/>
    <m/>
    <x v="1"/>
    <s v="OUB-W0012508-694"/>
    <s v="EJ-Malang-01"/>
    <s v="Oka-0813-2707-1646"/>
    <x v="358"/>
    <d v="1899-12-30T10:17:00"/>
    <s v="EJ-MALANG-01"/>
    <x v="1"/>
    <x v="16"/>
    <s v="GCI1004"/>
    <s v="Pcs"/>
    <n v="155"/>
    <n v="0"/>
    <x v="152"/>
    <m/>
    <m/>
    <m/>
    <s v="Riki Romansyah"/>
    <n v="0"/>
    <s v="3507050501950006"/>
    <s v="N 8420 EL"/>
    <m/>
    <x v="2"/>
    <s v="Bululawang Permai"/>
    <e v="#N/A"/>
    <e v="#N/A"/>
    <s v="OUTBOUND_"/>
  </r>
  <r>
    <s v="2218"/>
    <m/>
    <x v="0"/>
    <s v="INB-W0012508-695"/>
    <s v="EJ-Malang-01"/>
    <s v="Oka-0813-2707-1646"/>
    <x v="359"/>
    <d v="1899-12-30T15:30:47"/>
    <s v="ZTE Warehouse"/>
    <x v="0"/>
    <x v="0"/>
    <s v="ZTE2001"/>
    <s v="Meter"/>
    <n v="3000"/>
    <m/>
    <x v="28"/>
    <s v="-"/>
    <s v="-"/>
    <m/>
    <m/>
    <m/>
    <m/>
    <m/>
    <m/>
    <x v="123"/>
    <n v="0"/>
    <e v="#N/A"/>
    <e v="#N/A"/>
    <s v="OUTBOUND_H-ADSS 24C-2025830-01"/>
  </r>
  <r>
    <s v="2219"/>
    <m/>
    <x v="0"/>
    <s v="INB-W0012508-695"/>
    <s v="EJ-Malang-01"/>
    <s v="Oka-0813-2707-1646"/>
    <x v="359"/>
    <d v="1899-12-30T15:30:47"/>
    <s v="ZTE Warehouse"/>
    <x v="0"/>
    <x v="0"/>
    <s v="ZTE2001"/>
    <s v="Meter"/>
    <n v="3000"/>
    <m/>
    <x v="28"/>
    <s v="-"/>
    <s v="-"/>
    <m/>
    <m/>
    <m/>
    <m/>
    <m/>
    <m/>
    <x v="124"/>
    <n v="0"/>
    <e v="#N/A"/>
    <e v="#N/A"/>
    <s v="OUTBOUND_H-ADSS 24C-2025830-02"/>
  </r>
  <r>
    <s v="2220"/>
    <m/>
    <x v="1"/>
    <s v="OUB-W0012508-697"/>
    <s v="EJ-Malang-01"/>
    <s v="Oka-0813-2707-1646"/>
    <x v="359"/>
    <d v="1899-12-30T09:12:24"/>
    <s v="EJ-MALANG-01"/>
    <x v="1"/>
    <x v="9"/>
    <s v="GCI1001"/>
    <s v="Pcs"/>
    <n v="2"/>
    <s v="MF51-05"/>
    <x v="153"/>
    <s v="DOEID240918BZ"/>
    <s v="DNWID0342024091808"/>
    <s v="A-Good"/>
    <s v="Riki Romansyah"/>
    <m/>
    <n v="3507050501950000"/>
    <s v="N 8420 EL"/>
    <s v="Repair MF , Insiden FO Cut"/>
    <x v="2"/>
    <s v="Main Feeder - OLT Smart Malang Segment 8 to Sumbersekar"/>
    <d v="2024-09-20T00:00:00"/>
    <b v="0"/>
    <s v="OUTBOUND_"/>
  </r>
  <r>
    <s v="2221"/>
    <m/>
    <x v="0"/>
    <s v="INB-W0012508-701"/>
    <s v="EJ-Malang-01"/>
    <s v="Oka-0813-2707-1646"/>
    <x v="359"/>
    <d v="1899-12-30T15:31:40"/>
    <s v="ZTE Warehouse"/>
    <x v="0"/>
    <x v="2"/>
    <s v="ZTE2008"/>
    <s v="Pcs"/>
    <n v="19"/>
    <m/>
    <x v="154"/>
    <s v="-"/>
    <s v="-"/>
    <m/>
    <m/>
    <m/>
    <m/>
    <m/>
    <m/>
    <x v="2"/>
    <s v="-"/>
    <e v="#N/A"/>
    <e v="#N/A"/>
    <s v="OUTBOUND_"/>
  </r>
  <r>
    <s v="2222"/>
    <m/>
    <x v="0"/>
    <s v="INB-W0012508-700"/>
    <s v="EJ-Malang-01"/>
    <s v="Oka-0813-2707-1646"/>
    <x v="359"/>
    <d v="1899-12-30T15:31:26"/>
    <s v="ZTE Warehouse"/>
    <x v="0"/>
    <x v="3"/>
    <s v="ZTE2005"/>
    <s v="Pcs"/>
    <n v="1"/>
    <m/>
    <x v="154"/>
    <s v="-"/>
    <s v="-"/>
    <m/>
    <m/>
    <m/>
    <m/>
    <m/>
    <m/>
    <x v="2"/>
    <s v="-"/>
    <e v="#N/A"/>
    <e v="#N/A"/>
    <s v="OUTBOUND_"/>
  </r>
  <r>
    <s v="2223"/>
    <m/>
    <x v="1"/>
    <s v="OUB-W0012508-696"/>
    <s v="EJ-Malang-01"/>
    <s v="Oka-0813-2707-1646"/>
    <x v="359"/>
    <d v="1899-12-30T09:11:35"/>
    <s v="EJ-MALANG-01"/>
    <x v="1"/>
    <x v="32"/>
    <s v="GCI1020"/>
    <s v="Pcs"/>
    <n v="10"/>
    <s v="MF51-05"/>
    <x v="153"/>
    <s v="DOEID240918BZ"/>
    <s v="DNWID0342024091808"/>
    <s v="A-Good"/>
    <s v="Riki Romansyah"/>
    <m/>
    <n v="3507050501950000"/>
    <s v="N 8420 EL"/>
    <s v="Repair MF , Insiden FO Cut"/>
    <x v="2"/>
    <s v="Main Feeder - OLT Smart Malang Segment 8 to Sumbersekar"/>
    <d v="2024-09-20T00:00:00"/>
    <b v="0"/>
    <s v="OUTBOUND_"/>
  </r>
  <r>
    <s v="2224"/>
    <m/>
    <x v="1"/>
    <s v="OUB-W0012508-697"/>
    <s v="EJ-Malang-01"/>
    <s v="Oka-0813-2707-1646"/>
    <x v="359"/>
    <d v="1899-12-30T09:11:35"/>
    <s v="EJ-MALANG-01"/>
    <x v="0"/>
    <x v="20"/>
    <s v="ZTE1004"/>
    <s v="Pcs"/>
    <n v="2"/>
    <s v="MF51-05"/>
    <x v="153"/>
    <s v="DOEID240918BZ"/>
    <s v="DNWID0342024091808"/>
    <s v="A-Good"/>
    <s v="Riki Romansyah"/>
    <m/>
    <n v="3507050501950000"/>
    <s v="N 8420 EL"/>
    <s v="Repair MF , Insiden FO Cut"/>
    <x v="2"/>
    <s v="Main Feeder - OLT Smart Malang Segment 8 to Sumbersekar"/>
    <d v="2024-09-20T00:00:00"/>
    <b v="0"/>
    <s v="OUTBOUND_"/>
  </r>
  <r>
    <s v="2225"/>
    <m/>
    <x v="0"/>
    <s v="INB-W0012508-699"/>
    <s v="EJ-Malang-01"/>
    <s v="Oka-0813-2707-1646"/>
    <x v="359"/>
    <d v="1899-12-30T15:30:32"/>
    <s v="ZTE Warehouse"/>
    <x v="0"/>
    <x v="4"/>
    <s v="ZTE1002"/>
    <s v="Pcs"/>
    <n v="49"/>
    <s v="CLR51-99-103"/>
    <x v="155"/>
    <s v="DOEID25082609"/>
    <s v="DNWID1382025082604"/>
    <m/>
    <m/>
    <m/>
    <m/>
    <m/>
    <m/>
    <x v="2"/>
    <s v="KREBET SENGGRONG RW 02 MALANG"/>
    <d v="2025-08-27T00:00:00"/>
    <b v="0"/>
    <s v="OUTBOUND_"/>
  </r>
  <r>
    <s v="2226"/>
    <m/>
    <x v="0"/>
    <s v="INB-W0012508-698"/>
    <s v="EJ-Malang-01"/>
    <s v="Oka-0813-2707-1646"/>
    <x v="359"/>
    <d v="1899-12-30T15:30:18"/>
    <s v="ZTE Warehouse"/>
    <x v="0"/>
    <x v="5"/>
    <s v="ZTE1001"/>
    <s v="Pcs"/>
    <n v="21"/>
    <m/>
    <x v="154"/>
    <s v="-"/>
    <s v="-"/>
    <m/>
    <m/>
    <m/>
    <m/>
    <m/>
    <m/>
    <x v="2"/>
    <s v="-"/>
    <e v="#N/A"/>
    <e v="#N/A"/>
    <s v="OUTBOUND_"/>
  </r>
  <r>
    <s v="2227"/>
    <m/>
    <x v="1"/>
    <s v="OUB-W0012508-702"/>
    <s v="EJ-Malang-01"/>
    <s v="Oka-0813-2707-1646"/>
    <x v="360"/>
    <d v="1899-12-30T21:36:25"/>
    <s v="EJ-MALANG-01"/>
    <x v="1"/>
    <x v="8"/>
    <s v="GCI1005"/>
    <s v="Pcs"/>
    <n v="230"/>
    <s v="ADJUSTMENT"/>
    <x v="156"/>
    <m/>
    <m/>
    <m/>
    <m/>
    <m/>
    <m/>
    <m/>
    <s v="ADJUSTMENT"/>
    <x v="2"/>
    <s v="ADJUSTMENT"/>
    <e v="#N/A"/>
    <e v="#N/A"/>
    <s v="OUTBOUND_"/>
  </r>
  <r>
    <s v="2228"/>
    <m/>
    <x v="1"/>
    <s v="OUB-W0012508-702"/>
    <s v="EJ-Malang-01"/>
    <s v="Oka-0813-2707-1646"/>
    <x v="360"/>
    <d v="1899-12-30T21:36:25"/>
    <s v="EJ-MALANG-01"/>
    <x v="1"/>
    <x v="9"/>
    <s v="GCI1001"/>
    <s v="Pcs"/>
    <n v="7"/>
    <s v="ADJUSTMENT"/>
    <x v="156"/>
    <m/>
    <m/>
    <m/>
    <m/>
    <m/>
    <m/>
    <m/>
    <s v="ADJUSTMENT"/>
    <x v="2"/>
    <s v="ADJUSTMENT"/>
    <e v="#N/A"/>
    <e v="#N/A"/>
    <s v="OUTBOUND_"/>
  </r>
  <r>
    <s v="2229"/>
    <m/>
    <x v="1"/>
    <s v="OUB-W0012508-702"/>
    <s v="EJ-Malang-01"/>
    <s v="Oka-0813-2707-1646"/>
    <x v="360"/>
    <d v="1899-12-30T21:36:25"/>
    <s v="EJ-MALANG-01"/>
    <x v="1"/>
    <x v="10"/>
    <s v="GCI1009"/>
    <s v="Pcs"/>
    <n v="15"/>
    <s v="ADJUSTMENT"/>
    <x v="156"/>
    <m/>
    <m/>
    <m/>
    <m/>
    <m/>
    <m/>
    <m/>
    <s v="ADJUSTMENT"/>
    <x v="2"/>
    <s v="ADJUSTMENT"/>
    <e v="#N/A"/>
    <e v="#N/A"/>
    <s v="OUTBOUND_"/>
  </r>
  <r>
    <s v="2230"/>
    <m/>
    <x v="1"/>
    <s v="OUB-W0012508-702"/>
    <s v="EJ-Malang-01"/>
    <s v="Oka-0813-2707-1646"/>
    <x v="360"/>
    <d v="1899-12-30T21:36:25"/>
    <s v="EJ-MALANG-01"/>
    <x v="1"/>
    <x v="23"/>
    <s v="GCI1015"/>
    <s v="Pcs"/>
    <n v="15"/>
    <s v="ADJUSTMENT"/>
    <x v="156"/>
    <m/>
    <m/>
    <m/>
    <m/>
    <m/>
    <m/>
    <m/>
    <s v="ADJUSTMENT"/>
    <x v="2"/>
    <s v="ADJUSTMENT"/>
    <e v="#N/A"/>
    <e v="#N/A"/>
    <s v="OUTBOUND_"/>
  </r>
  <r>
    <s v="2231"/>
    <m/>
    <x v="0"/>
    <s v="INB-W0012508-702"/>
    <s v="EJ-Malang-01"/>
    <s v="Oka-0813-2707-1646"/>
    <x v="360"/>
    <d v="1899-12-30T21:36:25"/>
    <s v="ZTE Warehouse"/>
    <x v="0"/>
    <x v="2"/>
    <s v="ZTE2008"/>
    <s v="Pcs"/>
    <n v="22"/>
    <s v="ADJUSTMENT"/>
    <x v="156"/>
    <m/>
    <m/>
    <m/>
    <m/>
    <m/>
    <m/>
    <m/>
    <s v="ADJUSTMENT"/>
    <x v="2"/>
    <s v="ADJUSTMENT"/>
    <e v="#N/A"/>
    <e v="#N/A"/>
    <s v="OUTBOUND_"/>
  </r>
  <r>
    <s v="2232"/>
    <m/>
    <x v="1"/>
    <s v="OUB-W0012508-702"/>
    <s v="EJ-Malang-01"/>
    <s v="Oka-0813-2707-1646"/>
    <x v="360"/>
    <d v="1899-12-30T21:36:25"/>
    <s v="EJ-MALANG-01"/>
    <x v="1"/>
    <x v="21"/>
    <s v="GCI1019"/>
    <s v="Pcs"/>
    <n v="175"/>
    <s v="ADJUSTMENT"/>
    <x v="156"/>
    <m/>
    <m/>
    <m/>
    <m/>
    <m/>
    <m/>
    <m/>
    <s v="ADJUSTMENT"/>
    <x v="2"/>
    <s v="ADJUSTMENT"/>
    <e v="#N/A"/>
    <e v="#N/A"/>
    <s v="OUTBOUND_"/>
  </r>
  <r>
    <s v="2233"/>
    <m/>
    <x v="1"/>
    <s v="OUB-W0012508-702"/>
    <s v="EJ-Malang-01"/>
    <s v="Oka-0813-2707-1646"/>
    <x v="360"/>
    <d v="1899-12-30T21:36:25"/>
    <s v="EJ-MALANG-01"/>
    <x v="1"/>
    <x v="12"/>
    <s v="GCI1008"/>
    <s v="Pcs"/>
    <n v="7"/>
    <s v="ADJUSTMENT"/>
    <x v="156"/>
    <s v="-"/>
    <s v="-"/>
    <m/>
    <m/>
    <m/>
    <m/>
    <m/>
    <s v="ADJUSTMENT"/>
    <x v="2"/>
    <s v="ADJUSTMENT"/>
    <e v="#N/A"/>
    <e v="#N/A"/>
    <s v="OUTBOUND_"/>
  </r>
  <r>
    <s v="2234"/>
    <m/>
    <x v="1"/>
    <s v="OUB-W0012508-702"/>
    <s v="EJ-Malang-01"/>
    <s v="Oka-0813-2707-1646"/>
    <x v="360"/>
    <d v="1899-12-30T21:36:25"/>
    <s v="EJ-MALANG-01"/>
    <x v="1"/>
    <x v="22"/>
    <s v="GCI1018"/>
    <s v="Pcs"/>
    <n v="25"/>
    <s v="ADJUSTMENT"/>
    <x v="156"/>
    <m/>
    <m/>
    <m/>
    <m/>
    <m/>
    <m/>
    <m/>
    <s v="ADJUSTMENT"/>
    <x v="2"/>
    <s v="ADJUSTMENT"/>
    <e v="#N/A"/>
    <e v="#N/A"/>
    <s v="OUTBOUND_"/>
  </r>
  <r>
    <s v="2235"/>
    <m/>
    <x v="1"/>
    <s v="OUB-W0012508-702"/>
    <s v="EJ-Malang-01"/>
    <s v="Oka-0813-2707-1646"/>
    <x v="360"/>
    <d v="1899-12-30T21:36:25"/>
    <s v="EJ-MALANG-01"/>
    <x v="1"/>
    <x v="15"/>
    <s v="GCI1003"/>
    <s v="Pcs"/>
    <n v="182"/>
    <s v="ADJUSTMENT"/>
    <x v="156"/>
    <m/>
    <m/>
    <m/>
    <m/>
    <m/>
    <m/>
    <m/>
    <s v="ADJUSTMENT"/>
    <x v="2"/>
    <s v="ADJUSTMENT"/>
    <e v="#N/A"/>
    <e v="#N/A"/>
    <s v="OUTBOUND_"/>
  </r>
  <r>
    <s v="2236"/>
    <n v="2"/>
    <x v="1"/>
    <s v="OUB-W0012509-001"/>
    <s v="EJ-Malang-01"/>
    <s v="Oka-0813-2707-1646"/>
    <x v="361"/>
    <d v="1899-12-30T15:26:02"/>
    <s v="ZTE Warehouse"/>
    <x v="0"/>
    <x v="20"/>
    <s v="ZTE1004"/>
    <s v="Pcs"/>
    <n v="1"/>
    <s v="ADJUSTMENT"/>
    <x v="156"/>
    <m/>
    <m/>
    <m/>
    <m/>
    <m/>
    <m/>
    <m/>
    <s v="ADJUSTMENT"/>
    <x v="2"/>
    <s v="ADJUSTMENT"/>
    <e v="#N/A"/>
    <e v="#N/A"/>
    <s v="OUTBOUND_"/>
  </r>
  <r>
    <s v="2237"/>
    <n v="1"/>
    <x v="1"/>
    <s v="OUB-W0012509-001"/>
    <s v="EJ-Malang-01"/>
    <s v="Oka-0813-2707-1646"/>
    <x v="361"/>
    <d v="1899-12-30T15:26:02"/>
    <s v="ZTE Warehouse"/>
    <x v="0"/>
    <x v="4"/>
    <s v="ZTE1002"/>
    <s v="Pcs"/>
    <n v="36"/>
    <s v="CLR51-99-103"/>
    <x v="155"/>
    <s v="DOEID25082609"/>
    <s v="DNWID1382025082604"/>
    <m/>
    <s v="Riki Romansyah"/>
    <n v="0"/>
    <s v="3507050501950006"/>
    <s v="N 8420 EL"/>
    <m/>
    <x v="2"/>
    <s v="KREBET SENGGRONG RW 02 MALANG"/>
    <d v="2025-08-27T00:00:00"/>
    <b v="0"/>
    <s v="OUTBOUND_"/>
  </r>
  <r>
    <s v="2238"/>
    <n v="3"/>
    <x v="1"/>
    <s v="OUB-W0012509-002"/>
    <s v="EJ-Malang-01"/>
    <s v="Oka-0813-2707-1646"/>
    <x v="362"/>
    <d v="1899-12-30T10:39:39"/>
    <s v="EJ-MALANG-01"/>
    <x v="0"/>
    <x v="0"/>
    <s v="ZTE2001"/>
    <s v="Meter"/>
    <n v="3000"/>
    <s v="CLR51-99-252"/>
    <x v="157"/>
    <s v="DOEID25082611"/>
    <s v="DNWID1382025082607"/>
    <m/>
    <s v="Riki Romansyah"/>
    <s v="Susilo"/>
    <s v="3507050501950006"/>
    <m/>
    <m/>
    <x v="2"/>
    <s v="KREBET SENGGRONG RW 03 MALANG"/>
    <d v="2025-08-27T00:00:00"/>
    <b v="0"/>
    <s v="OUTBOUND_"/>
  </r>
  <r>
    <s v="2239"/>
    <n v="2"/>
    <x v="1"/>
    <s v="OUB-W0012509-002"/>
    <s v="EJ-Malang-01"/>
    <s v="Oka-0813-2707-1646"/>
    <x v="362"/>
    <d v="1899-12-30T10:39:01"/>
    <s v="EJ-MALANG-01"/>
    <x v="0"/>
    <x v="4"/>
    <s v="ZTE1002"/>
    <s v="Pcs"/>
    <n v="15"/>
    <s v="CLR51-99-252"/>
    <x v="157"/>
    <s v="DOEID25082611"/>
    <s v="DNWID1382025082607"/>
    <m/>
    <s v="Riki Romansyah"/>
    <n v="0"/>
    <s v="3507050501950006"/>
    <s v="N 8420 EL"/>
    <m/>
    <x v="2"/>
    <s v="KREBET SENGGRONG RW 03 MALANG"/>
    <d v="2025-08-27T00:00:00"/>
    <b v="0"/>
    <s v="OUTBOUND_"/>
  </r>
  <r>
    <s v="2240"/>
    <n v="1"/>
    <x v="1"/>
    <s v="OUB-W0012509-002"/>
    <s v="EJ-Malang-01"/>
    <s v="Oka-0813-2707-1646"/>
    <x v="362"/>
    <d v="1899-12-30T10:38:36"/>
    <s v="EJ-MALANG-01"/>
    <x v="0"/>
    <x v="5"/>
    <s v="ZTE1001"/>
    <s v="Pcs"/>
    <n v="11"/>
    <s v="CLR51-99-252"/>
    <x v="157"/>
    <s v="DOEID25082611"/>
    <s v="DNWID1382025082607"/>
    <m/>
    <s v="Riki Romansyah"/>
    <n v="0"/>
    <s v="3507050501950006"/>
    <s v="N 8420 EL"/>
    <m/>
    <x v="2"/>
    <s v="KREBET SENGGRONG RW 03 MALANG"/>
    <d v="2025-08-27T00:00:00"/>
    <b v="0"/>
    <s v="OUTBOUND_"/>
  </r>
  <r>
    <s v="2241"/>
    <n v="1"/>
    <x v="1"/>
    <s v="OUB-W0012509-003"/>
    <s v="EJ-Malang-01"/>
    <s v="Oka-0813-2707-1646"/>
    <x v="363"/>
    <d v="1899-12-30T18:54:30"/>
    <s v="EJ-MALANG-01"/>
    <x v="0"/>
    <x v="0"/>
    <s v="ZTE2001"/>
    <s v="Meter"/>
    <n v="3000"/>
    <s v="CLR51-99-103"/>
    <x v="155"/>
    <s v="DOEID25082609"/>
    <s v="DNWID1382025082604"/>
    <m/>
    <s v="Riki Romansyah"/>
    <s v="Susilo"/>
    <s v="3507050501950006"/>
    <m/>
    <m/>
    <x v="2"/>
    <s v="KREBET SENGGRONG RW 02 MALANG"/>
    <d v="2025-08-27T00:00:00"/>
    <b v="0"/>
    <s v="OUTBOUND_"/>
  </r>
  <r>
    <s v="2242"/>
    <n v="1"/>
    <x v="4"/>
    <s v="BOI-W0012509-001"/>
    <s v="EJ-Malang-01"/>
    <s v="Oka-0813-2707-1646"/>
    <x v="364"/>
    <d v="1899-12-30T09:46:13"/>
    <s v="Other Subcon"/>
    <x v="0"/>
    <x v="1"/>
    <s v="ZTE2003"/>
    <s v="Meter"/>
    <n v="3000"/>
    <s v="BR003"/>
    <x v="150"/>
    <s v="-"/>
    <s v="-"/>
    <m/>
    <m/>
    <m/>
    <m/>
    <m/>
    <s v="DCIT Borrow"/>
    <x v="125"/>
    <s v="DCIT"/>
    <e v="#N/A"/>
    <e v="#N/A"/>
    <s v="OUTBOUND_H-ADSS 48C-2025912-01"/>
  </r>
  <r>
    <s v="2243"/>
    <n v="1"/>
    <x v="5"/>
    <s v="BOO-W0012509-001"/>
    <s v="EJ-Malang-01"/>
    <s v="Oka-0813-2707-1646"/>
    <x v="364"/>
    <d v="1899-12-30T09:46:13"/>
    <s v="Other Subcon"/>
    <x v="0"/>
    <x v="5"/>
    <s v="ZTE1001"/>
    <s v="Pcs"/>
    <n v="1"/>
    <s v="BR002"/>
    <x v="126"/>
    <s v="-"/>
    <s v="-"/>
    <m/>
    <m/>
    <m/>
    <m/>
    <m/>
    <s v="AIA Borrow"/>
    <x v="2"/>
    <s v="AIA"/>
    <e v="#N/A"/>
    <e v="#N/A"/>
    <s v="BORROW OUT_"/>
  </r>
  <r>
    <s v="2244"/>
    <n v="1"/>
    <x v="5"/>
    <s v="BOO-W0012509-002"/>
    <s v="EJ-Malang-01"/>
    <s v="Oka-0813-2707-1646"/>
    <x v="365"/>
    <d v="1899-12-30T09:56:34"/>
    <s v="Other Subcon"/>
    <x v="0"/>
    <x v="5"/>
    <s v="ZTE1001"/>
    <s v="Pcs"/>
    <n v="1"/>
    <s v="BR003"/>
    <x v="150"/>
    <m/>
    <m/>
    <m/>
    <m/>
    <m/>
    <m/>
    <m/>
    <s v="DCIT Borrow"/>
    <x v="2"/>
    <s v="DCIT"/>
    <e v="#N/A"/>
    <e v="#N/A"/>
    <s v="BORROW OUT_"/>
  </r>
  <r>
    <s v="2245"/>
    <n v="2"/>
    <x v="1"/>
    <s v="OUB-W0012509-004"/>
    <s v="EJ-Malang-01"/>
    <s v="Oka-0813-2707-1646"/>
    <x v="366"/>
    <d v="1899-12-30T15:08:11"/>
    <s v="EJ-MALANG-01"/>
    <x v="0"/>
    <x v="2"/>
    <s v="ZTE2008"/>
    <s v="Pcs"/>
    <n v="9"/>
    <s v="CLR51-99-252"/>
    <x v="157"/>
    <s v="DOEID25082611"/>
    <s v="DNWID1382025082607"/>
    <m/>
    <s v="Fatur"/>
    <n v="0"/>
    <s v="3515082712870005"/>
    <s v="W 3265 OH"/>
    <m/>
    <x v="2"/>
    <s v="KREBET SENGGRONG RW 03 MALANG"/>
    <d v="2025-08-27T00:00:00"/>
    <b v="0"/>
    <s v="OUTBOUND_"/>
  </r>
  <r>
    <s v="2246"/>
    <n v="3"/>
    <x v="1"/>
    <s v="OUB-W0012509-004"/>
    <s v="EJ-Malang-01"/>
    <s v="Oka-0813-2707-1646"/>
    <x v="366"/>
    <d v="1899-12-30T15:09:00"/>
    <s v="EJ-MALANG-01"/>
    <x v="0"/>
    <x v="2"/>
    <s v="ZTE2008"/>
    <s v="Pcs"/>
    <n v="10"/>
    <s v="CLR51-99-103"/>
    <x v="155"/>
    <s v="DOEID25082609"/>
    <s v="DNWID1382025082604"/>
    <m/>
    <s v="Fatur"/>
    <n v="0"/>
    <s v="3515082712870005"/>
    <s v="W 3265 OH"/>
    <m/>
    <x v="2"/>
    <s v="KREBET SENGGRONG RW 02 MALANG"/>
    <d v="2025-08-27T00:00:00"/>
    <b v="0"/>
    <s v="OUTBOUND_"/>
  </r>
  <r>
    <s v="2247"/>
    <n v="3"/>
    <x v="1"/>
    <s v="OUB-W0012509-005"/>
    <s v="EJ-Malang-01"/>
    <s v="Oka-0813-2707-1646"/>
    <x v="366"/>
    <d v="1899-12-30T20:14:57"/>
    <s v="EJ-MALANG-01"/>
    <x v="0"/>
    <x v="2"/>
    <s v="ZTE2008"/>
    <s v="Pcs"/>
    <n v="19"/>
    <s v="CLR51-99-370"/>
    <x v="158"/>
    <s v="DOEID25081590"/>
    <s v="DNWID1382025081505"/>
    <m/>
    <s v="Sifak"/>
    <n v="0"/>
    <s v="3507312107950002"/>
    <s v="N 1046 ABC"/>
    <m/>
    <x v="2"/>
    <s v="Perumahan Bululawang Permai RW 02"/>
    <d v="2025-08-19T00:00:00"/>
    <b v="0"/>
    <s v="OUTBOUND_"/>
  </r>
  <r>
    <s v="2248"/>
    <n v="1"/>
    <x v="1"/>
    <s v="OUB-W0012509-004"/>
    <s v="EJ-Malang-01"/>
    <s v="Oka-0813-2707-1646"/>
    <x v="366"/>
    <d v="1899-12-30T15:07:42"/>
    <s v="EJ-MALANG-01"/>
    <x v="0"/>
    <x v="3"/>
    <s v="ZTE2005"/>
    <s v="Pcs"/>
    <n v="1"/>
    <s v="CLR51-99-252"/>
    <x v="157"/>
    <s v="DOEID25082611"/>
    <s v="DNWID1382025082607"/>
    <m/>
    <s v="Fatur"/>
    <n v="0"/>
    <s v="3515082712870005"/>
    <s v="W 3265 OH"/>
    <m/>
    <x v="2"/>
    <s v="KREBET SENGGRONG RW 03 MALANG"/>
    <d v="2025-08-27T00:00:00"/>
    <b v="0"/>
    <s v="OUTBOUND_"/>
  </r>
  <r>
    <s v="2249"/>
    <n v="2"/>
    <x v="1"/>
    <s v="OUB-W0012509-005"/>
    <s v="EJ-Malang-01"/>
    <s v="Oka-0813-2707-1646"/>
    <x v="366"/>
    <d v="1899-12-30T20:14:44"/>
    <s v="EJ-MALANG-01"/>
    <x v="0"/>
    <x v="3"/>
    <s v="ZTE2005"/>
    <s v="Pcs"/>
    <n v="1"/>
    <s v="CLR51-99-370"/>
    <x v="158"/>
    <s v="DOEID25081590"/>
    <s v="DNWID1382025081505"/>
    <m/>
    <s v="Sifak"/>
    <n v="0"/>
    <s v="3507312107950002"/>
    <s v="N 1046 ABC"/>
    <m/>
    <x v="2"/>
    <s v="Perumahan Bululawang Permai RW 02"/>
    <d v="2025-08-19T00:00:00"/>
    <b v="0"/>
    <s v="OUTBOUND_"/>
  </r>
  <r>
    <s v="2250"/>
    <n v="1"/>
    <x v="1"/>
    <s v="OUB-W0012509-005"/>
    <s v="EJ-Malang-01"/>
    <s v="Oka-0813-2707-1646"/>
    <x v="366"/>
    <d v="1899-12-30T20:14:27"/>
    <s v="EJ-MALANG-01"/>
    <x v="0"/>
    <x v="20"/>
    <s v="ZTE1004"/>
    <s v="Pcs"/>
    <n v="1"/>
    <s v="CLR51-99-370"/>
    <x v="158"/>
    <s v="DOEID25081590"/>
    <s v="DNWID1382025081505"/>
    <m/>
    <s v="Sifak"/>
    <n v="0"/>
    <s v="3507312107950002"/>
    <s v="N 1046 ABC"/>
    <m/>
    <x v="2"/>
    <s v="Perumahan Bululawang Permai RW 02"/>
    <d v="2025-08-19T00:00:00"/>
    <b v="0"/>
    <s v="OUTBOUND_"/>
  </r>
  <r>
    <s v="2251"/>
    <n v="1"/>
    <x v="1"/>
    <s v="OUB-W0012509-006"/>
    <s v="EJ-Malang-01"/>
    <s v="Oka-0813-2707-1646"/>
    <x v="367"/>
    <d v="1899-12-30T12:34:48"/>
    <s v="EJ-MALANG-01"/>
    <x v="1"/>
    <x v="9"/>
    <s v="GCI1001"/>
    <s v="Pcs"/>
    <n v="7"/>
    <s v="CLR51-99-103"/>
    <x v="155"/>
    <s v="DOEID25082609"/>
    <s v="DNWID1382025082604"/>
    <m/>
    <s v="Riki Romansyah"/>
    <m/>
    <s v="3507050501950006"/>
    <s v="N 8420 EL"/>
    <m/>
    <x v="2"/>
    <s v="KREBET SENGGRONG RW 02 MALANG"/>
    <d v="2025-08-27T00:00:00"/>
    <b v="0"/>
    <s v="OUTBOUND_"/>
  </r>
  <r>
    <s v="2252"/>
    <n v="2"/>
    <x v="1"/>
    <s v="OUB-W0012509-006"/>
    <s v="EJ-Malang-01"/>
    <s v="Oka-0813-2707-1646"/>
    <x v="367"/>
    <d v="1899-12-30T12:35:17"/>
    <s v="EJ-MALANG-01"/>
    <x v="1"/>
    <x v="9"/>
    <s v="GCI1001"/>
    <s v="Pcs"/>
    <n v="8"/>
    <s v="CLR51-99-252"/>
    <x v="157"/>
    <s v="DOEID25082611"/>
    <s v="DNWID1382025082607"/>
    <m/>
    <s v="Riki Romansyah"/>
    <m/>
    <s v="3507050501950006"/>
    <s v="N 8420 EL"/>
    <m/>
    <x v="2"/>
    <s v="KREBET SENGGRONG RW 03 MALANG"/>
    <d v="2025-08-27T00:00:00"/>
    <b v="0"/>
    <s v="OUTBOUND_"/>
  </r>
  <r>
    <s v="2253"/>
    <n v="2"/>
    <x v="1"/>
    <s v="OUB-W0012509-007"/>
    <s v="EJ-Malang-01"/>
    <s v="Oka-0813-2707-1646"/>
    <x v="368"/>
    <d v="1899-12-30T16:10:52"/>
    <s v="EJ-MALANG-01"/>
    <x v="1"/>
    <x v="9"/>
    <s v="GCI1001"/>
    <s v="Pcs"/>
    <n v="1"/>
    <s v="MF51-05"/>
    <x v="153"/>
    <s v="DOEID240918BZ"/>
    <s v="DNWID0342024091808"/>
    <s v="A-Good"/>
    <s v="Riki Romansyah"/>
    <m/>
    <s v="3507050501950006"/>
    <s v="N 8420 EL"/>
    <s v="Repair MF , Insiden FO Cut"/>
    <x v="2"/>
    <s v="Main Feeder - OLT Smart Malang Segment 8 to Sumbersekar"/>
    <d v="2024-09-20T00:00:00"/>
    <b v="0"/>
    <s v="OUTBOUND_"/>
  </r>
  <r>
    <s v="2254"/>
    <n v="3"/>
    <x v="1"/>
    <s v="OUB-W0012509-007"/>
    <s v="EJ-Malang-01"/>
    <s v="Oka-0813-2707-1646"/>
    <x v="368"/>
    <d v="1899-12-30T16:10:52"/>
    <s v="EJ-MALANG-01"/>
    <x v="1"/>
    <x v="32"/>
    <s v="GCI1020"/>
    <s v="Pcs"/>
    <n v="10"/>
    <s v="MF51-05"/>
    <x v="153"/>
    <s v="DOEID240918BZ"/>
    <s v="DNWID0342024091808"/>
    <s v="A-Good"/>
    <s v="Riki Romansyah"/>
    <m/>
    <s v="3507050501950006"/>
    <s v="N 8420 EL"/>
    <s v="Repair MF , Insiden FO Cut"/>
    <x v="2"/>
    <s v="Main Feeder - OLT Smart Malang Segment 8 to Sumbersekar"/>
    <d v="2024-09-20T00:00:00"/>
    <b v="0"/>
    <s v="OUTBOUND_"/>
  </r>
  <r>
    <s v="2255"/>
    <n v="1"/>
    <x v="1"/>
    <s v="OUB-W0012509-007"/>
    <s v="EJ-Malang-01"/>
    <s v="Oka-0813-2707-1646"/>
    <x v="368"/>
    <d v="1899-12-30T16:10:52"/>
    <s v="EJ-MALANG-01"/>
    <x v="0"/>
    <x v="20"/>
    <s v="ZTE1004"/>
    <s v="Pcs"/>
    <n v="1"/>
    <s v="MF51-05"/>
    <x v="153"/>
    <s v="DOEID240918BZ"/>
    <s v="DNWID0342024091808"/>
    <s v="A-Good"/>
    <s v="Riki Romansyah"/>
    <m/>
    <s v="3507050501950006"/>
    <s v="N 8420 EL"/>
    <s v="Repair MF , Insiden FO Cut"/>
    <x v="2"/>
    <s v="Main Feeder - OLT Smart Malang Segment 8 to Sumbersekar"/>
    <d v="2024-09-20T00:00:00"/>
    <b v="0"/>
    <s v="OUTBOUND_"/>
  </r>
  <r>
    <s v="2256"/>
    <n v="1"/>
    <x v="3"/>
    <s v="TFO-W0012510-001"/>
    <s v="EJ-Malang-01"/>
    <s v="Oka-0813-2707-1646"/>
    <x v="369"/>
    <d v="1899-12-30T15:21:00"/>
    <s v="EJ-GRESIK-01"/>
    <x v="1"/>
    <x v="32"/>
    <s v="GCI1020"/>
    <s v="Pcs"/>
    <n v="600"/>
    <n v="0"/>
    <x v="10"/>
    <m/>
    <m/>
    <m/>
    <s v="Munip"/>
    <n v="0"/>
    <s v="3509090107770266"/>
    <s v="L 1962 QM"/>
    <s v="Gresij"/>
    <x v="2"/>
    <s v="Transfer Gudang"/>
    <e v="#N/A"/>
    <e v="#N/A"/>
    <s v="TRANSFER OUT_"/>
  </r>
  <r>
    <s v="2257"/>
    <n v="6"/>
    <x v="0"/>
    <s v="INB-W0012510-001"/>
    <s v="EJ-Malang-01"/>
    <s v="Oka-0813-2707-1646"/>
    <x v="370"/>
    <d v="1899-12-30T15:21:00"/>
    <s v="GCI Procurement"/>
    <x v="1"/>
    <x v="6"/>
    <s v="GCI1011"/>
    <s v="Pcs"/>
    <n v="1"/>
    <s v="CLR51-99-370"/>
    <x v="158"/>
    <s v="DOEID25081590"/>
    <s v="DNWID1382025081505"/>
    <m/>
    <m/>
    <m/>
    <m/>
    <m/>
    <m/>
    <x v="2"/>
    <s v="Perumahan Bululawang Permai RW 02"/>
    <d v="2025-08-19T00:00:00"/>
    <b v="0"/>
    <s v="OUTBOUND_"/>
  </r>
  <r>
    <s v="2258"/>
    <n v="4"/>
    <x v="0"/>
    <s v="INB-W0012510-001"/>
    <s v="EJ-Malang-01"/>
    <s v="Oka-0813-2707-1646"/>
    <x v="370"/>
    <d v="1899-12-30T15:21:00"/>
    <s v="GCI Procurement"/>
    <x v="1"/>
    <x v="8"/>
    <s v="GCI1005"/>
    <s v="Pcs"/>
    <n v="85"/>
    <s v="CLR51-99-370"/>
    <x v="158"/>
    <s v="DOEID25081590"/>
    <s v="DNWID1382025081505"/>
    <m/>
    <m/>
    <m/>
    <m/>
    <m/>
    <m/>
    <x v="2"/>
    <s v="Perumahan Bululawang Permai RW 02"/>
    <d v="2025-08-19T00:00:00"/>
    <b v="0"/>
    <s v="OUTBOUND_"/>
  </r>
  <r>
    <s v="2259"/>
    <n v="1"/>
    <x v="0"/>
    <s v="INB-W0012510-001"/>
    <s v="EJ-Malang-01"/>
    <s v="Oka-0813-2707-1646"/>
    <x v="370"/>
    <d v="1899-12-30T15:21:00"/>
    <s v="GCI Procurement"/>
    <x v="1"/>
    <x v="9"/>
    <s v="GCI1001"/>
    <s v="Pcs"/>
    <n v="28"/>
    <s v="CLR51-99-370"/>
    <x v="158"/>
    <s v="DOEID25081590"/>
    <s v="DNWID1382025081505"/>
    <m/>
    <m/>
    <m/>
    <m/>
    <m/>
    <m/>
    <x v="2"/>
    <s v="Perumahan Bululawang Permai RW 02"/>
    <d v="2025-08-19T00:00:00"/>
    <b v="0"/>
    <s v="OUTBOUND_"/>
  </r>
  <r>
    <s v="2260"/>
    <n v="2"/>
    <x v="0"/>
    <s v="INB-W0012510-001"/>
    <s v="EJ-Malang-01"/>
    <s v="Oka-0813-2707-1646"/>
    <x v="370"/>
    <d v="1899-12-30T15:21:00"/>
    <s v="GCI Procurement"/>
    <x v="1"/>
    <x v="10"/>
    <s v="GCI1009"/>
    <s v="Pcs"/>
    <n v="216"/>
    <s v="CLR51-99-370"/>
    <x v="158"/>
    <s v="DOEID25081590"/>
    <s v="DNWID1382025081505"/>
    <m/>
    <m/>
    <m/>
    <m/>
    <m/>
    <m/>
    <x v="2"/>
    <s v="Perumahan Bululawang Permai RW 02"/>
    <d v="2025-08-19T00:00:00"/>
    <b v="0"/>
    <s v="OUTBOUND_"/>
  </r>
  <r>
    <s v="2261"/>
    <n v="5"/>
    <x v="0"/>
    <s v="INB-W0012510-001"/>
    <s v="EJ-Malang-01"/>
    <s v="Oka-0813-2707-1646"/>
    <x v="370"/>
    <d v="1899-12-30T15:21:00"/>
    <s v="GCI Procurement"/>
    <x v="1"/>
    <x v="12"/>
    <s v="GCI1008"/>
    <s v="Pcs"/>
    <n v="217"/>
    <s v="CLR51-99-370"/>
    <x v="158"/>
    <s v="DOEID25081590"/>
    <s v="DNWID1382025081505"/>
    <m/>
    <m/>
    <m/>
    <m/>
    <m/>
    <m/>
    <x v="2"/>
    <s v="Perumahan Bululawang Permai RW 02"/>
    <d v="2025-08-19T00:00:00"/>
    <b v="0"/>
    <s v="OUTBOUND_"/>
  </r>
  <r>
    <s v="2262"/>
    <n v="3"/>
    <x v="0"/>
    <s v="INB-W0012510-001"/>
    <s v="EJ-Malang-01"/>
    <s v="Oka-0813-2707-1646"/>
    <x v="370"/>
    <d v="1899-12-30T15:21:00"/>
    <s v="GCI Procurement"/>
    <x v="1"/>
    <x v="15"/>
    <s v="GCI1003"/>
    <s v="Pcs"/>
    <n v="336"/>
    <s v="CLR51-99-370"/>
    <x v="158"/>
    <s v="DOEID25081590"/>
    <s v="DNWID1382025081505"/>
    <m/>
    <m/>
    <m/>
    <m/>
    <m/>
    <m/>
    <x v="2"/>
    <s v="Perumahan Bululawang Permai RW 02"/>
    <d v="2025-08-19T00:00:00"/>
    <b v="0"/>
    <s v="OUTBOUND_"/>
  </r>
  <r>
    <s v="2263"/>
    <n v="6"/>
    <x v="1"/>
    <s v="OUB-W0012510-001"/>
    <s v="EJ-Malang-01"/>
    <s v="Oka-0813-2707-1646"/>
    <x v="371"/>
    <d v="1899-12-30T10:21:00"/>
    <s v="EJ-MALANG-01"/>
    <x v="1"/>
    <x v="6"/>
    <s v="GCI1011"/>
    <s v="Pcs"/>
    <n v="1"/>
    <s v="CLR51-99-257"/>
    <x v="159"/>
    <m/>
    <m/>
    <m/>
    <s v="Riki Romansyah"/>
    <n v="0"/>
    <s v="3507050501950006"/>
    <s v="N 8420 EL"/>
    <m/>
    <x v="2"/>
    <s v="Asshofa Residence"/>
    <e v="#N/A"/>
    <e v="#N/A"/>
    <s v="OUTBOUND_"/>
  </r>
  <r>
    <s v="2264"/>
    <n v="4"/>
    <x v="1"/>
    <s v="OUB-W0012510-001"/>
    <s v="EJ-Malang-01"/>
    <s v="Oka-0813-2707-1646"/>
    <x v="371"/>
    <d v="1899-12-30T10:21:00"/>
    <s v="EJ-MALANG-01"/>
    <x v="1"/>
    <x v="8"/>
    <s v="GCI1005"/>
    <s v="Pcs"/>
    <n v="85"/>
    <s v="CLR51-99-257"/>
    <x v="159"/>
    <m/>
    <m/>
    <m/>
    <s v="Riki Romansyah"/>
    <n v="0"/>
    <s v="3507050501950006"/>
    <s v="N 8420 EL"/>
    <m/>
    <x v="2"/>
    <s v="Asshofa Residence"/>
    <e v="#N/A"/>
    <e v="#N/A"/>
    <s v="OUTBOUND_"/>
  </r>
  <r>
    <s v="2265"/>
    <n v="1"/>
    <x v="1"/>
    <s v="OUB-W0012510-001"/>
    <s v="EJ-Malang-01"/>
    <s v="Oka-0813-2707-1646"/>
    <x v="371"/>
    <d v="1899-12-30T10:21:00"/>
    <s v="EJ-MALANG-01"/>
    <x v="1"/>
    <x v="9"/>
    <s v="GCI1001"/>
    <s v="Pcs"/>
    <n v="28"/>
    <s v="CLR51-99-257"/>
    <x v="159"/>
    <m/>
    <m/>
    <m/>
    <s v="Riki Romansyah"/>
    <n v="0"/>
    <s v="3507050501950006"/>
    <s v="N 8420 EL"/>
    <m/>
    <x v="2"/>
    <s v="Asshofa Residence"/>
    <e v="#N/A"/>
    <e v="#N/A"/>
    <s v="OUTBOUND_"/>
  </r>
  <r>
    <s v="2266"/>
    <n v="2"/>
    <x v="1"/>
    <s v="OUB-W0012510-001"/>
    <s v="EJ-Malang-01"/>
    <s v="Oka-0813-2707-1646"/>
    <x v="371"/>
    <d v="1899-12-30T10:21:00"/>
    <s v="EJ-MALANG-01"/>
    <x v="1"/>
    <x v="10"/>
    <s v="GCI1009"/>
    <s v="Pcs"/>
    <n v="216"/>
    <s v="CLR51-99-257"/>
    <x v="159"/>
    <m/>
    <m/>
    <m/>
    <s v="Riki Romansyah"/>
    <n v="0"/>
    <s v="3507050501950006"/>
    <s v="N 8420 EL"/>
    <m/>
    <x v="2"/>
    <s v="Asshofa Residence"/>
    <e v="#N/A"/>
    <e v="#N/A"/>
    <s v="OUTBOUND_"/>
  </r>
  <r>
    <s v="2267"/>
    <n v="7"/>
    <x v="1"/>
    <s v="OUB-W0012510-001"/>
    <s v="EJ-Malang-01"/>
    <s v="Oka-0813-2707-1646"/>
    <x v="371"/>
    <d v="1899-12-30T10:21:00"/>
    <s v="EJ-MALANG-01"/>
    <x v="1"/>
    <x v="32"/>
    <s v="GCI1020"/>
    <s v="Pcs"/>
    <n v="5"/>
    <s v="MF51-05"/>
    <x v="153"/>
    <m/>
    <m/>
    <m/>
    <s v="Riki Romansyah"/>
    <n v="0"/>
    <s v="3507050501950006"/>
    <s v="N 8420 EL"/>
    <m/>
    <x v="2"/>
    <s v="Main Feeder - OLT Smart Malang Segment 8 to Sumbersekar"/>
    <e v="#N/A"/>
    <e v="#N/A"/>
    <s v="OUTBOUND_"/>
  </r>
  <r>
    <s v="2268"/>
    <n v="8"/>
    <x v="1"/>
    <s v="OUB-W0012510-001"/>
    <s v="EJ-Malang-01"/>
    <s v="Oka-0813-2707-1646"/>
    <x v="371"/>
    <d v="1899-12-30T10:21:00"/>
    <s v="EJ-MALANG-01"/>
    <x v="1"/>
    <x v="11"/>
    <s v="GCI1002"/>
    <s v="Pcs"/>
    <n v="2"/>
    <s v="CLR51-99-257"/>
    <x v="159"/>
    <m/>
    <m/>
    <m/>
    <s v="Riki Romansyah"/>
    <n v="0"/>
    <s v="3507050501950006"/>
    <s v="N 8420 EL"/>
    <m/>
    <x v="2"/>
    <s v="Asshofa Residence"/>
    <e v="#N/A"/>
    <e v="#N/A"/>
    <s v="OUTBOUND_"/>
  </r>
  <r>
    <s v="2269"/>
    <n v="10"/>
    <x v="1"/>
    <s v="OUB-W0012510-001"/>
    <s v="EJ-Malang-01"/>
    <s v="Oka-0813-2707-1646"/>
    <x v="371"/>
    <d v="1899-12-30T10:21:00"/>
    <s v="EJ-MALANG-01"/>
    <x v="0"/>
    <x v="4"/>
    <s v="ZTE1002"/>
    <s v="Pcs"/>
    <n v="19"/>
    <s v="CLR51-99-257"/>
    <x v="159"/>
    <m/>
    <m/>
    <m/>
    <s v="Riki Romansyah"/>
    <n v="0"/>
    <s v="3507050501950006"/>
    <s v="N 8420 EL"/>
    <m/>
    <x v="2"/>
    <s v="Asshofa Residence"/>
    <e v="#N/A"/>
    <e v="#N/A"/>
    <s v="OUTBOUND_"/>
  </r>
  <r>
    <s v="2270"/>
    <n v="9"/>
    <x v="1"/>
    <s v="OUB-W0012510-001"/>
    <s v="EJ-Malang-01"/>
    <s v="Oka-0813-2707-1646"/>
    <x v="371"/>
    <d v="1899-12-30T10:21:00"/>
    <s v="EJ-MALANG-01"/>
    <x v="0"/>
    <x v="19"/>
    <s v="ZTE1003"/>
    <s v="Pcs"/>
    <n v="1"/>
    <s v="CLR51-99-257"/>
    <x v="159"/>
    <m/>
    <m/>
    <m/>
    <s v="Riki Romansyah"/>
    <n v="0"/>
    <s v="3507050501950006"/>
    <s v="N 8420 EL"/>
    <m/>
    <x v="2"/>
    <s v="Asshofa Residence"/>
    <e v="#N/A"/>
    <e v="#N/A"/>
    <s v="OUTBOUND_"/>
  </r>
  <r>
    <s v="2271"/>
    <n v="5"/>
    <x v="1"/>
    <s v="OUB-W0012510-001"/>
    <s v="EJ-Malang-01"/>
    <s v="Oka-0813-2707-1646"/>
    <x v="371"/>
    <d v="1899-12-30T10:21:00"/>
    <s v="EJ-MALANG-01"/>
    <x v="1"/>
    <x v="12"/>
    <s v="GCI1008"/>
    <s v="Pcs"/>
    <n v="217"/>
    <s v="CLR51-99-257"/>
    <x v="159"/>
    <m/>
    <m/>
    <m/>
    <s v="Riki Romansyah"/>
    <n v="0"/>
    <s v="3507050501950006"/>
    <s v="N 8420 EL"/>
    <m/>
    <x v="2"/>
    <s v="Asshofa Residence"/>
    <e v="#N/A"/>
    <e v="#N/A"/>
    <s v="OUTBOUND_"/>
  </r>
  <r>
    <s v="2272"/>
    <n v="3"/>
    <x v="1"/>
    <s v="OUB-W0012510-001"/>
    <s v="EJ-Malang-01"/>
    <s v="Oka-0813-2707-1646"/>
    <x v="371"/>
    <d v="1899-12-30T10:21:00"/>
    <s v="EJ-MALANG-01"/>
    <x v="1"/>
    <x v="15"/>
    <s v="GCI1003"/>
    <s v="Pcs"/>
    <n v="336"/>
    <s v="CLR51-99-257"/>
    <x v="159"/>
    <m/>
    <m/>
    <m/>
    <s v="Riki Romansyah"/>
    <n v="0"/>
    <s v="3507050501950006"/>
    <s v="N 8420 EL"/>
    <m/>
    <x v="2"/>
    <s v="Asshofa Residence"/>
    <e v="#N/A"/>
    <e v="#N/A"/>
    <s v="OUTBOUND_"/>
  </r>
  <r>
    <s v="2273"/>
    <n v="6"/>
    <x v="0"/>
    <s v="INB-W0012510-002"/>
    <s v="EJ-Malang-01"/>
    <s v="Oka-0813-2707-1646"/>
    <x v="372"/>
    <d v="1899-12-30T08:00:00"/>
    <s v="ZTE Warehouse"/>
    <x v="0"/>
    <x v="0"/>
    <s v="ZTE2001"/>
    <s v="Meter"/>
    <n v="3000"/>
    <s v="CLR51-99-302"/>
    <x v="160"/>
    <m/>
    <m/>
    <m/>
    <s v="Riki Romansyah"/>
    <n v="0"/>
    <s v="3507050501950006"/>
    <s v="N 8420 EL"/>
    <m/>
    <x v="126"/>
    <s v="LESANPURO RW 06 MALANG"/>
    <e v="#N/A"/>
    <e v="#N/A"/>
    <s v="OUTBOUND_H-ADSS 24C-20251023-01"/>
  </r>
  <r>
    <s v="2274"/>
    <n v="2"/>
    <x v="1"/>
    <s v="OUB-W0012510-002"/>
    <s v="EJ-Malang-01"/>
    <s v="Oka-0813-2707-1646"/>
    <x v="372"/>
    <d v="1899-12-30T14:35:00"/>
    <s v="EJ-MALANG-01"/>
    <x v="0"/>
    <x v="0"/>
    <s v="ZTE2001"/>
    <s v="Meter"/>
    <n v="3000"/>
    <s v="CLR51-99-302"/>
    <x v="160"/>
    <m/>
    <m/>
    <m/>
    <s v="Riki Romansyah"/>
    <s v="Susilo"/>
    <s v="3507050501950006"/>
    <s v="N 8420 EL"/>
    <m/>
    <x v="2"/>
    <s v="LESANPURO RW 06 MALANG"/>
    <e v="#N/A"/>
    <e v="#N/A"/>
    <s v="OUTBOUND_"/>
  </r>
  <r>
    <s v="2275"/>
    <n v="2"/>
    <x v="1"/>
    <s v="OUB-W0012510-003"/>
    <s v="EJ-Malang-01"/>
    <s v="Oka-0813-2707-1646"/>
    <x v="372"/>
    <d v="1899-12-30T14:35:00"/>
    <s v="EJ-MALANG-01"/>
    <x v="0"/>
    <x v="2"/>
    <s v="ZTE2008"/>
    <s v="Pcs"/>
    <n v="17"/>
    <s v="CLR51-99-257"/>
    <x v="159"/>
    <m/>
    <m/>
    <m/>
    <s v="Fahrudin"/>
    <n v="0"/>
    <n v="0"/>
    <s v="N 1383 G"/>
    <m/>
    <x v="2"/>
    <s v="Asshofa Residence"/>
    <e v="#N/A"/>
    <e v="#N/A"/>
    <s v="OUTBOUND_"/>
  </r>
  <r>
    <s v="2276"/>
    <n v="3"/>
    <x v="0"/>
    <s v="INB-W0012510-002"/>
    <s v="EJ-Malang-01"/>
    <s v="Oka-0813-2707-1646"/>
    <x v="372"/>
    <d v="1899-12-30T08:00:00"/>
    <s v="ZTE Warehouse"/>
    <x v="0"/>
    <x v="3"/>
    <s v="ZTE2005"/>
    <s v="Pcs"/>
    <n v="1"/>
    <s v="CLR51-99-257"/>
    <x v="159"/>
    <s v="DOEID25102124"/>
    <s v="DNWID1382025102104"/>
    <m/>
    <s v="Riki Romansyah"/>
    <n v="0"/>
    <s v="3507050501950006"/>
    <s v="N 8420 EL"/>
    <m/>
    <x v="2"/>
    <s v="Asshofa Residence"/>
    <d v="2025-10-21T00:00:00"/>
    <b v="0"/>
    <s v="OUTBOUND_"/>
  </r>
  <r>
    <s v="2277"/>
    <n v="1"/>
    <x v="1"/>
    <s v="OUB-W0012510-003"/>
    <s v="EJ-Malang-01"/>
    <s v="Oka-0813-2707-1646"/>
    <x v="372"/>
    <d v="1899-12-30T14:35:00"/>
    <s v="EJ-MALANG-01"/>
    <x v="0"/>
    <x v="3"/>
    <s v="ZTE2005"/>
    <s v="Pcs"/>
    <n v="1"/>
    <s v="CLR51-99-257"/>
    <x v="159"/>
    <m/>
    <m/>
    <m/>
    <s v="Fahrudin"/>
    <n v="0"/>
    <n v="0"/>
    <s v="N 1383 G"/>
    <m/>
    <x v="2"/>
    <s v="Asshofa Residence"/>
    <e v="#N/A"/>
    <e v="#N/A"/>
    <s v="OUTBOUND_"/>
  </r>
  <r>
    <s v="2278"/>
    <n v="7"/>
    <x v="0"/>
    <s v="INB-W0012510-002"/>
    <s v="EJ-Malang-01"/>
    <s v="Oka-0813-2707-1646"/>
    <x v="372"/>
    <d v="1899-12-30T08:00:00"/>
    <s v="ZTE Warehouse"/>
    <x v="0"/>
    <x v="30"/>
    <s v="ZTE2006"/>
    <s v="Pcs"/>
    <n v="1"/>
    <s v="CLR51-99-302"/>
    <x v="160"/>
    <s v="DOEID25102127"/>
    <s v="DNWID1382025102101"/>
    <m/>
    <s v="Riki Romansyah"/>
    <n v="0"/>
    <s v="3507050501950006"/>
    <s v="N 8420 EL"/>
    <m/>
    <x v="2"/>
    <s v="LESANPURO RW 06 MALANG"/>
    <d v="2025-10-21T00:00:00"/>
    <b v="0"/>
    <s v="OUTBOUND_"/>
  </r>
  <r>
    <s v="2279"/>
    <n v="4"/>
    <x v="1"/>
    <s v="OUB-W0012510-002"/>
    <s v="EJ-Malang-01"/>
    <s v="Oka-0813-2707-1646"/>
    <x v="372"/>
    <d v="1899-12-30T14:35:00"/>
    <s v="EJ-MALANG-01"/>
    <x v="1"/>
    <x v="11"/>
    <s v="GCI1002"/>
    <s v="Pcs"/>
    <n v="2"/>
    <s v="CLR51-99-302"/>
    <x v="160"/>
    <m/>
    <m/>
    <m/>
    <s v="Riki Romansyah"/>
    <n v="0"/>
    <s v="3507050501950006"/>
    <s v="N 8420 EL"/>
    <m/>
    <x v="2"/>
    <s v="LESANPURO RW 06 MALANG"/>
    <e v="#N/A"/>
    <e v="#N/A"/>
    <s v="OUTBOUND_"/>
  </r>
  <r>
    <s v="2280"/>
    <n v="2"/>
    <x v="0"/>
    <s v="INB-W0012510-002"/>
    <s v="EJ-Malang-01"/>
    <s v="Oka-0813-2707-1646"/>
    <x v="372"/>
    <d v="1899-12-30T08:00:00"/>
    <s v="ZTE Warehouse"/>
    <x v="0"/>
    <x v="4"/>
    <s v="ZTE1002"/>
    <s v="Pcs"/>
    <n v="24"/>
    <s v="CLR51-99-257"/>
    <x v="159"/>
    <s v="DOEID25102124"/>
    <s v="DNWID1382025102104"/>
    <m/>
    <s v="Riki Romansyah"/>
    <n v="0"/>
    <s v="3507050501950006"/>
    <s v="N 8420 EL"/>
    <m/>
    <x v="2"/>
    <s v="Asshofa Residence"/>
    <d v="2025-10-21T00:00:00"/>
    <b v="0"/>
    <s v="OUTBOUND_"/>
  </r>
  <r>
    <s v="2281"/>
    <n v="5"/>
    <x v="0"/>
    <s v="INB-W0012510-002"/>
    <s v="EJ-Malang-01"/>
    <s v="Oka-0813-2707-1646"/>
    <x v="372"/>
    <d v="1899-12-30T08:00:00"/>
    <s v="ZTE Warehouse"/>
    <x v="0"/>
    <x v="4"/>
    <s v="ZTE1002"/>
    <s v="Pcs"/>
    <n v="37"/>
    <s v="CLR51-99-302"/>
    <x v="160"/>
    <s v="DOEID25102128"/>
    <s v="DNWID1372025102102"/>
    <m/>
    <s v="Riki Romansyah"/>
    <n v="0"/>
    <s v="3507050501950006"/>
    <s v="N 8420 EL"/>
    <m/>
    <x v="2"/>
    <s v="LESANPURO RW 06 MALANG"/>
    <d v="2025-10-21T00:00:00"/>
    <b v="0"/>
    <s v="OUTBOUND_"/>
  </r>
  <r>
    <s v="2282"/>
    <n v="1"/>
    <x v="1"/>
    <s v="OUB-W0012510-002"/>
    <s v="EJ-Malang-01"/>
    <s v="Oka-0813-2707-1646"/>
    <x v="372"/>
    <d v="1899-12-30T14:35:00"/>
    <s v="EJ-MALANG-01"/>
    <x v="0"/>
    <x v="4"/>
    <s v="ZTE1002"/>
    <s v="Pcs"/>
    <n v="36"/>
    <s v="CLR51-99-302"/>
    <x v="160"/>
    <m/>
    <m/>
    <m/>
    <s v="Riki Romansyah"/>
    <n v="0"/>
    <s v="3507050501950006"/>
    <s v="N 8420 EL"/>
    <m/>
    <x v="2"/>
    <s v="LESANPURO RW 06 MALANG"/>
    <e v="#N/A"/>
    <e v="#N/A"/>
    <s v="OUTBOUND_"/>
  </r>
  <r>
    <s v="2283"/>
    <n v="1"/>
    <x v="0"/>
    <s v="INB-W0012510-002"/>
    <s v="EJ-Malang-01"/>
    <s v="Oka-0813-2707-1646"/>
    <x v="372"/>
    <d v="1899-12-30T08:00:00"/>
    <s v="ZTE Warehouse"/>
    <x v="0"/>
    <x v="5"/>
    <s v="ZTE1001"/>
    <s v="Pcs"/>
    <n v="1"/>
    <s v="CLR51-99-257"/>
    <x v="159"/>
    <s v="DOEID25102124"/>
    <s v="DNWID1382025102104"/>
    <m/>
    <s v="Riki Romansyah"/>
    <n v="0"/>
    <s v="3507050501950006"/>
    <s v="N 8420 EL"/>
    <m/>
    <x v="2"/>
    <s v="Asshofa Residence"/>
    <d v="2025-10-21T00:00:00"/>
    <b v="0"/>
    <s v="OUTBOUND_"/>
  </r>
  <r>
    <s v="2284"/>
    <n v="4"/>
    <x v="0"/>
    <s v="INB-W0012510-002"/>
    <s v="EJ-Malang-01"/>
    <s v="Oka-0813-2707-1646"/>
    <x v="372"/>
    <d v="1899-12-30T08:00:00"/>
    <s v="ZTE Warehouse"/>
    <x v="0"/>
    <x v="5"/>
    <s v="ZTE1001"/>
    <s v="Pcs"/>
    <n v="1"/>
    <s v="CLR51-99-302"/>
    <x v="160"/>
    <s v="DOEID25102128"/>
    <s v="DNWID1372025102102"/>
    <m/>
    <s v="Riki Romansyah"/>
    <n v="0"/>
    <s v="3507050501950006"/>
    <s v="N 8420 EL"/>
    <m/>
    <x v="2"/>
    <s v="LESANPURO RW 06 MALANG"/>
    <d v="2025-10-21T00:00:00"/>
    <b v="0"/>
    <s v="OUTBOUND_"/>
  </r>
  <r>
    <s v="2285"/>
    <n v="3"/>
    <x v="1"/>
    <s v="OUB-W0012510-002"/>
    <s v="EJ-Malang-01"/>
    <s v="Oka-0813-2707-1646"/>
    <x v="372"/>
    <d v="1899-12-30T14:35:00"/>
    <s v="EJ-MALANG-01"/>
    <x v="1"/>
    <x v="16"/>
    <s v="GCI1004"/>
    <s v="Pcs"/>
    <n v="84"/>
    <s v="CLR51-99-302"/>
    <x v="160"/>
    <m/>
    <m/>
    <m/>
    <s v="Riki Romansyah"/>
    <n v="0"/>
    <s v="3507050501950006"/>
    <s v="N 8420 EL"/>
    <m/>
    <x v="2"/>
    <s v="LESANPURO RW 06 MALANG"/>
    <e v="#N/A"/>
    <e v="#N/A"/>
    <s v="OUTBOUND_"/>
  </r>
  <r>
    <s v="2286"/>
    <n v="1"/>
    <x v="4"/>
    <s v="BOI-W0012510-003"/>
    <s v="EJ-Malang-01"/>
    <s v="Oka-0813-2707-1646"/>
    <x v="373"/>
    <d v="1899-12-30T14:35:00"/>
    <s v="Other Subcon"/>
    <x v="0"/>
    <x v="5"/>
    <s v="ZTE1001"/>
    <s v="Pcs"/>
    <n v="9"/>
    <s v="BR002"/>
    <x v="126"/>
    <m/>
    <m/>
    <m/>
    <m/>
    <m/>
    <m/>
    <m/>
    <s v="AIA Return"/>
    <x v="2"/>
    <s v="AIA"/>
    <e v="#N/A"/>
    <e v="#N/A"/>
    <s v="OUTBOUND_"/>
  </r>
  <r>
    <s v="2287"/>
    <n v="2"/>
    <x v="1"/>
    <s v="OUB-W0012510-004"/>
    <s v="EJ-Malang-01"/>
    <s v="Oka-0813-2707-1646"/>
    <x v="373"/>
    <d v="1899-12-30T14:35:00"/>
    <s v="EJ-MALANG-01"/>
    <x v="0"/>
    <x v="5"/>
    <s v="ZTE1001"/>
    <s v="Pcs"/>
    <n v="9"/>
    <s v="CLR51-99-302"/>
    <x v="160"/>
    <m/>
    <m/>
    <m/>
    <s v="Riki Romansyah"/>
    <n v="0"/>
    <s v="3507050501950006"/>
    <s v="N 8420 EL"/>
    <m/>
    <x v="2"/>
    <s v="LESANPURO RW 06 MALANG"/>
    <e v="#N/A"/>
    <e v="#N/A"/>
    <s v="OUTBOUND_"/>
  </r>
  <r>
    <s v="2288"/>
    <n v="1"/>
    <x v="1"/>
    <s v="OUB-W0012510-004"/>
    <s v="EJ-Malang-01"/>
    <s v="Oka-0813-2707-1646"/>
    <x v="373"/>
    <d v="1899-12-30T14:35:00"/>
    <s v="EJ-MALANG-01"/>
    <x v="0"/>
    <x v="5"/>
    <s v="ZTE1001"/>
    <s v="Pcs"/>
    <n v="10"/>
    <s v="CLR51-99-302"/>
    <x v="160"/>
    <m/>
    <m/>
    <m/>
    <s v="Riki Romansyah"/>
    <n v="0"/>
    <s v="3507050501950006"/>
    <s v="N 8420 EL"/>
    <m/>
    <x v="2"/>
    <s v="LESANPURO RW 06 MALANG"/>
    <e v="#N/A"/>
    <e v="#N/A"/>
    <s v="OUTBOUND_"/>
  </r>
  <r>
    <s v="2289"/>
    <n v="8"/>
    <x v="0"/>
    <s v="INB-W0012510-004"/>
    <s v="EJ-Malang-01"/>
    <s v="Oka-0813-2707-1646"/>
    <x v="374"/>
    <d v="1899-12-30T08:00:00"/>
    <s v="ZTE Warehouse"/>
    <x v="0"/>
    <x v="0"/>
    <s v="ZTE2001"/>
    <s v="Meter"/>
    <n v="3000"/>
    <s v="CLR51-99-302"/>
    <x v="160"/>
    <m/>
    <m/>
    <m/>
    <m/>
    <m/>
    <m/>
    <m/>
    <m/>
    <x v="127"/>
    <s v="LESANPURO RW 06 MALANG"/>
    <e v="#N/A"/>
    <e v="#N/A"/>
    <s v="OUTBOUND_H-ADSS 24C-20251025-01"/>
  </r>
  <r>
    <s v="2290"/>
    <n v="8"/>
    <x v="0"/>
    <s v="INB-W0012510-004"/>
    <s v="EJ-Malang-01"/>
    <s v="Oka-0813-2707-1646"/>
    <x v="374"/>
    <d v="1899-12-30T08:00:00"/>
    <s v="ZTE Warehouse"/>
    <x v="0"/>
    <x v="0"/>
    <s v="ZTE2001"/>
    <s v="Meter"/>
    <n v="3000"/>
    <s v="CLR51-99-302"/>
    <x v="160"/>
    <m/>
    <m/>
    <m/>
    <m/>
    <m/>
    <m/>
    <m/>
    <m/>
    <x v="128"/>
    <s v="LESANPURO RW 06 MALANG"/>
    <e v="#N/A"/>
    <e v="#N/A"/>
    <s v="OUTBOUND_H-ADSS 24C-20251025-02"/>
  </r>
  <r>
    <s v="2291"/>
    <n v="7"/>
    <x v="0"/>
    <s v="INB-W0012510-004"/>
    <s v="EJ-Malang-01"/>
    <s v="Oka-0813-2707-1646"/>
    <x v="374"/>
    <d v="1899-12-30T08:00:00"/>
    <s v="ZTE Warehouse"/>
    <x v="0"/>
    <x v="33"/>
    <s v="ZTE2002"/>
    <s v="Meter"/>
    <n v="3000"/>
    <s v="CLR51-99-302"/>
    <x v="160"/>
    <m/>
    <m/>
    <m/>
    <m/>
    <m/>
    <m/>
    <m/>
    <m/>
    <x v="129"/>
    <s v="LESANPURO RW 06 MALANG"/>
    <e v="#N/A"/>
    <e v="#N/A"/>
    <s v="OUTBOUND_H-ADSS 36C-20251025-01"/>
  </r>
  <r>
    <s v="2292"/>
    <n v="6"/>
    <x v="0"/>
    <s v="INB-W0012510-004"/>
    <s v="EJ-Malang-01"/>
    <s v="Oka-0813-2707-1646"/>
    <x v="374"/>
    <d v="1899-12-30T08:00:00"/>
    <s v="ZTE Warehouse"/>
    <x v="0"/>
    <x v="1"/>
    <s v="ZTE2003"/>
    <s v="Meter"/>
    <n v="3000"/>
    <s v="CLR51-99-302"/>
    <x v="160"/>
    <m/>
    <m/>
    <m/>
    <m/>
    <m/>
    <m/>
    <m/>
    <m/>
    <x v="130"/>
    <s v="LESANPURO RW 06 MALANG"/>
    <e v="#N/A"/>
    <e v="#N/A"/>
    <s v="OUTBOUND_H-ADSS 48C-20251025-01"/>
  </r>
  <r>
    <s v="2293"/>
    <n v="3"/>
    <x v="1"/>
    <s v="OUB-W0012510-005"/>
    <s v="EJ-Malang-01"/>
    <s v="Oka-0813-2707-1646"/>
    <x v="374"/>
    <d v="1899-12-30T11:00:00"/>
    <s v="EJ-MALANG-01"/>
    <x v="0"/>
    <x v="0"/>
    <s v="ZTE2001"/>
    <s v="Meter"/>
    <n v="3000"/>
    <s v="CLR51-99-302"/>
    <x v="160"/>
    <m/>
    <m/>
    <m/>
    <s v="Riki Romansyah"/>
    <s v="Susilo"/>
    <s v="3507050501950006"/>
    <s v="N 8420 EL"/>
    <m/>
    <x v="2"/>
    <s v="LESANPURO RW 06 MALANG"/>
    <e v="#N/A"/>
    <e v="#N/A"/>
    <s v="OUTBOUND_"/>
  </r>
  <r>
    <s v="2294"/>
    <n v="7"/>
    <x v="1"/>
    <s v="OUB-W0012510-005"/>
    <s v="EJ-Malang-01"/>
    <s v="Oka-0813-2707-1646"/>
    <x v="374"/>
    <d v="1899-12-30T11:00:00"/>
    <s v="EJ-MALANG-01"/>
    <x v="0"/>
    <x v="0"/>
    <s v="ZTE2001"/>
    <s v="Meter"/>
    <n v="3000"/>
    <s v="CLR51-99-301"/>
    <x v="161"/>
    <m/>
    <m/>
    <m/>
    <s v="Riki Romansyah"/>
    <s v="Susilo"/>
    <s v="3507050501950006"/>
    <s v="N 8420 EL"/>
    <m/>
    <x v="2"/>
    <s v="MADYOPURO RW 05 MALANG"/>
    <e v="#N/A"/>
    <e v="#N/A"/>
    <s v="OUTBOUND_"/>
  </r>
  <r>
    <s v="2295"/>
    <n v="4"/>
    <x v="1"/>
    <s v="OUB-W0012510-005"/>
    <s v="EJ-Malang-01"/>
    <s v="Oka-0813-2707-1646"/>
    <x v="374"/>
    <d v="1899-12-30T11:00:00"/>
    <s v="EJ-MALANG-01"/>
    <x v="1"/>
    <x v="9"/>
    <s v="GCI1001"/>
    <s v="Pcs"/>
    <n v="23"/>
    <s v="CLR51-99-302"/>
    <x v="160"/>
    <m/>
    <m/>
    <m/>
    <s v="Riki Romansyah"/>
    <n v="0"/>
    <s v="3507050501950006"/>
    <s v="N 8420 EL"/>
    <m/>
    <x v="2"/>
    <s v="LESANPURO RW 06 MALANG"/>
    <e v="#N/A"/>
    <e v="#N/A"/>
    <s v="OUTBOUND_"/>
  </r>
  <r>
    <s v="2296"/>
    <n v="6"/>
    <x v="1"/>
    <s v="OUB-W0012510-005"/>
    <s v="EJ-Malang-01"/>
    <s v="Oka-0813-2707-1646"/>
    <x v="374"/>
    <d v="1899-12-30T11:00:00"/>
    <s v="EJ-MALANG-01"/>
    <x v="0"/>
    <x v="2"/>
    <s v="ZTE2008"/>
    <s v="Pcs"/>
    <n v="9"/>
    <s v="CLR51-99-301"/>
    <x v="161"/>
    <m/>
    <m/>
    <m/>
    <s v="Riki Romansyah"/>
    <n v="0"/>
    <s v="3507050501950006"/>
    <s v="N 8420 EL"/>
    <m/>
    <x v="2"/>
    <s v="MADYOPURO RW 05 MALANG"/>
    <e v="#N/A"/>
    <e v="#N/A"/>
    <s v="OUTBOUND_"/>
  </r>
  <r>
    <s v="2297"/>
    <n v="5"/>
    <x v="0"/>
    <s v="INB-W0012510-004"/>
    <s v="EJ-Malang-01"/>
    <s v="Oka-0813-2707-1646"/>
    <x v="374"/>
    <d v="1899-12-30T08:00:00"/>
    <s v="ZTE Warehouse"/>
    <x v="0"/>
    <x v="3"/>
    <s v="ZTE2005"/>
    <s v="Pcs"/>
    <n v="1"/>
    <s v="CLR51-99-302"/>
    <x v="160"/>
    <m/>
    <m/>
    <m/>
    <m/>
    <m/>
    <m/>
    <m/>
    <m/>
    <x v="2"/>
    <s v="LESANPURO RW 06 MALANG"/>
    <e v="#N/A"/>
    <e v="#N/A"/>
    <s v="OUTBOUND_"/>
  </r>
  <r>
    <s v="2298"/>
    <n v="4"/>
    <x v="0"/>
    <s v="INB-W0012510-004"/>
    <s v="EJ-Malang-01"/>
    <s v="Oka-0813-2707-1646"/>
    <x v="374"/>
    <d v="1899-12-30T08:00:00"/>
    <s v="ZTE Warehouse"/>
    <x v="0"/>
    <x v="30"/>
    <s v="ZTE2006"/>
    <s v="Pcs"/>
    <n v="1"/>
    <s v="CLR51-99-302"/>
    <x v="160"/>
    <s v="DOEID25102127"/>
    <s v="DNWID1382025102101"/>
    <m/>
    <m/>
    <m/>
    <m/>
    <m/>
    <m/>
    <x v="2"/>
    <s v="LESANPURO RW 06 MALANG"/>
    <d v="2025-10-21T00:00:00"/>
    <b v="0"/>
    <s v="OUTBOUND_"/>
  </r>
  <r>
    <s v="2299"/>
    <n v="5"/>
    <x v="1"/>
    <s v="OUB-W0012510-005"/>
    <s v="EJ-Malang-01"/>
    <s v="Oka-0813-2707-1646"/>
    <x v="374"/>
    <d v="1899-12-30T11:00:00"/>
    <s v="EJ-MALANG-01"/>
    <x v="0"/>
    <x v="30"/>
    <s v="ZTE2006"/>
    <s v="Pcs"/>
    <n v="1"/>
    <s v="CLR51-99-302"/>
    <x v="160"/>
    <m/>
    <m/>
    <m/>
    <s v="Riki Romansyah"/>
    <n v="0"/>
    <s v="3507050501950006"/>
    <s v="N 8420 EL"/>
    <m/>
    <x v="2"/>
    <s v="LESANPURO RW 06 MALANG"/>
    <e v="#N/A"/>
    <e v="#N/A"/>
    <s v="OUTBOUND_"/>
  </r>
  <r>
    <s v="2300"/>
    <n v="3"/>
    <x v="0"/>
    <s v="INB-W0012510-004"/>
    <s v="EJ-Malang-01"/>
    <s v="Oka-0813-2707-1646"/>
    <x v="374"/>
    <d v="1899-12-30T08:00:00"/>
    <s v="ZTE Warehouse"/>
    <x v="0"/>
    <x v="4"/>
    <s v="ZTE1002"/>
    <s v="Pcs"/>
    <n v="117"/>
    <s v="CLR51-99-302"/>
    <x v="160"/>
    <s v="DOEID25102128"/>
    <s v="DNWID1372025102102"/>
    <m/>
    <m/>
    <m/>
    <m/>
    <m/>
    <m/>
    <x v="2"/>
    <s v="LESANPURO RW 06 MALANG"/>
    <d v="2025-10-21T00:00:00"/>
    <b v="0"/>
    <s v="OUTBOUND_"/>
  </r>
  <r>
    <s v="2301"/>
    <n v="2"/>
    <x v="1"/>
    <s v="OUB-W0012510-005"/>
    <s v="EJ-Malang-01"/>
    <s v="Oka-0813-2707-1646"/>
    <x v="374"/>
    <d v="1899-12-30T11:00:00"/>
    <s v="EJ-MALANG-01"/>
    <x v="0"/>
    <x v="4"/>
    <s v="ZTE1002"/>
    <s v="Pcs"/>
    <n v="5"/>
    <s v="CLR51-99-302"/>
    <x v="160"/>
    <m/>
    <m/>
    <m/>
    <s v="Riki Romansyah"/>
    <n v="0"/>
    <s v="3507050501950006"/>
    <s v="N 8420 EL"/>
    <m/>
    <x v="2"/>
    <s v="LESANPURO RW 06 MALANG"/>
    <e v="#N/A"/>
    <e v="#N/A"/>
    <s v="OUTBOUND_"/>
  </r>
  <r>
    <s v="2302"/>
    <n v="1"/>
    <x v="0"/>
    <s v="INB-W0012510-004"/>
    <s v="EJ-Malang-01"/>
    <s v="Oka-0813-2707-1646"/>
    <x v="374"/>
    <d v="1899-12-30T08:00:00"/>
    <s v="ZTE Warehouse"/>
    <x v="0"/>
    <x v="5"/>
    <s v="ZTE1001"/>
    <s v="Pcs"/>
    <n v="33"/>
    <s v="CLR51-99-302"/>
    <x v="160"/>
    <s v="DOEID25102128"/>
    <s v="DNWID1372025102102"/>
    <m/>
    <m/>
    <m/>
    <m/>
    <m/>
    <m/>
    <x v="2"/>
    <s v="LESANPURO RW 06 MALANG"/>
    <d v="2025-10-21T00:00:00"/>
    <b v="0"/>
    <s v="OUTBOUND_"/>
  </r>
  <r>
    <s v="2303"/>
    <n v="1"/>
    <x v="1"/>
    <s v="OUB-W0012510-005"/>
    <s v="EJ-Malang-01"/>
    <s v="Oka-0813-2707-1646"/>
    <x v="374"/>
    <d v="1899-12-30T11:00:00"/>
    <s v="EJ-MALANG-01"/>
    <x v="0"/>
    <x v="5"/>
    <s v="ZTE1001"/>
    <s v="Pcs"/>
    <n v="20"/>
    <s v="CLR51-99-302"/>
    <x v="160"/>
    <m/>
    <m/>
    <m/>
    <s v="Riki Romansyah"/>
    <n v="0"/>
    <s v="3507050501950006"/>
    <s v="N 8420 EL"/>
    <m/>
    <x v="2"/>
    <s v="LESANPURO RW 06 MALANG"/>
    <e v="#N/A"/>
    <e v="#N/A"/>
    <s v="OUTBOUND_"/>
  </r>
  <r>
    <s v="2304"/>
    <n v="2"/>
    <x v="0"/>
    <s v="INB-W0012510-004"/>
    <s v="EJ-Malang-01"/>
    <s v="Oka-0813-2707-1646"/>
    <x v="374"/>
    <d v="1899-12-30T08:00:00"/>
    <s v="ZTE Warehouse"/>
    <x v="0"/>
    <x v="19"/>
    <s v="ZTE1003"/>
    <s v="Pcs"/>
    <n v="8"/>
    <s v="CLR51-99-302"/>
    <x v="160"/>
    <m/>
    <m/>
    <m/>
    <m/>
    <m/>
    <m/>
    <m/>
    <m/>
    <x v="2"/>
    <s v="LESANPURO RW 06 MALANG"/>
    <e v="#N/A"/>
    <e v="#N/A"/>
    <s v="OUTBOUND_"/>
  </r>
  <r>
    <s v="2305"/>
    <n v="3"/>
    <x v="0"/>
    <s v="INB-W0012510-005"/>
    <s v="EJ-Malang-01"/>
    <s v="Oka-0813-2707-1646"/>
    <x v="375"/>
    <d v="1899-12-30T08:00:00"/>
    <s v="GCI Procurement"/>
    <x v="1"/>
    <x v="9"/>
    <s v="GCI1001"/>
    <s v="Pcs"/>
    <n v="23"/>
    <s v="ADJUSTMENT"/>
    <x v="156"/>
    <m/>
    <m/>
    <m/>
    <m/>
    <m/>
    <m/>
    <m/>
    <s v="ADJUSTMENT"/>
    <x v="2"/>
    <s v="ADJUSTMENT"/>
    <e v="#N/A"/>
    <e v="#N/A"/>
    <s v="OUTBOUND_"/>
  </r>
  <r>
    <s v="2306"/>
    <n v="1"/>
    <x v="0"/>
    <s v="INB-W0012510-005"/>
    <s v="EJ-Malang-01"/>
    <s v="Oka-0813-2707-1646"/>
    <x v="375"/>
    <d v="1899-12-30T08:00:00"/>
    <s v="ZTE Warehouse"/>
    <x v="0"/>
    <x v="2"/>
    <s v="ZTE2008"/>
    <s v="Pcs"/>
    <n v="21"/>
    <s v="ADJUSTMENT"/>
    <x v="156"/>
    <m/>
    <m/>
    <m/>
    <m/>
    <m/>
    <m/>
    <m/>
    <s v="ADJUSTMENT"/>
    <x v="2"/>
    <s v="ADJUSTMENT"/>
    <e v="#N/A"/>
    <e v="#N/A"/>
    <s v="OUTBOUND_"/>
  </r>
  <r>
    <s v="2307"/>
    <n v="2"/>
    <x v="0"/>
    <s v="INB-W0012510-005"/>
    <s v="EJ-Malang-01"/>
    <s v="Oka-0813-2707-1646"/>
    <x v="375"/>
    <d v="1899-12-30T08:00:00"/>
    <s v="GCI Procurement"/>
    <x v="1"/>
    <x v="16"/>
    <s v="GCI1004"/>
    <s v="Pcs"/>
    <n v="84"/>
    <s v="ADJUSTMENT"/>
    <x v="156"/>
    <m/>
    <m/>
    <m/>
    <m/>
    <m/>
    <m/>
    <m/>
    <s v="ADJUSTMENT"/>
    <x v="2"/>
    <s v="ADJUSTMENT"/>
    <e v="#N/A"/>
    <e v="#N/A"/>
    <s v="OUTBOUND_"/>
  </r>
  <r>
    <s v="2308"/>
    <n v="1"/>
    <x v="0"/>
    <s v="INB-W0012510-006"/>
    <s v="EJ-Malang-01"/>
    <s v="Oka-0813-2707-1646"/>
    <x v="376"/>
    <d v="1899-12-30T15:31:00"/>
    <s v="ZTE Warehouse"/>
    <x v="0"/>
    <x v="2"/>
    <s v="ZTE2008"/>
    <s v="Pcs"/>
    <n v="32"/>
    <s v="CLR51-99-302"/>
    <x v="160"/>
    <m/>
    <m/>
    <m/>
    <s v="Munip"/>
    <m/>
    <m/>
    <s v="L 1962 QM"/>
    <m/>
    <x v="2"/>
    <s v="LESANPURO RW 06 MALANG"/>
    <e v="#N/A"/>
    <e v="#N/A"/>
    <s v="OUTBOUND_"/>
  </r>
  <r>
    <s v="2309"/>
    <n v="2"/>
    <x v="1"/>
    <s v="OUB-W0012510-007"/>
    <s v="EJ-Malang-01"/>
    <s v="Oka-0813-2707-1646"/>
    <x v="376"/>
    <d v="1899-12-30T15:31:00"/>
    <s v="EJ-MALANG-01"/>
    <x v="0"/>
    <x v="2"/>
    <s v="ZTE2008"/>
    <s v="Pcs"/>
    <n v="15"/>
    <s v="CLR51-99-302"/>
    <x v="160"/>
    <m/>
    <m/>
    <m/>
    <s v="Fahrudin"/>
    <m/>
    <m/>
    <s v="N1383G"/>
    <m/>
    <x v="2"/>
    <s v="LESANPURO RW 06 MALANG"/>
    <e v="#N/A"/>
    <e v="#N/A"/>
    <s v="OUTBOUND_"/>
  </r>
  <r>
    <s v="2310"/>
    <n v="2"/>
    <x v="2"/>
    <s v="TFI-W0012510-006"/>
    <s v="EJ-Malang-01"/>
    <s v="Oka-0813-2707-1646"/>
    <x v="376"/>
    <d v="1899-12-30T15:31:00"/>
    <s v="EJ-GRESIK-01"/>
    <x v="0"/>
    <x v="2"/>
    <s v="ZTE2008"/>
    <s v="Pcs"/>
    <n v="18"/>
    <s v="TRF"/>
    <x v="28"/>
    <m/>
    <m/>
    <m/>
    <m/>
    <m/>
    <m/>
    <m/>
    <m/>
    <x v="2"/>
    <n v="0"/>
    <e v="#N/A"/>
    <e v="#N/A"/>
    <s v="OUTBOUND_"/>
  </r>
  <r>
    <s v="2311"/>
    <n v="1"/>
    <x v="4"/>
    <s v="BOI-W0012510-007"/>
    <s v="EJ-Malang-01"/>
    <s v="Oka-0813-2707-1646"/>
    <x v="377"/>
    <d v="1899-12-30T14:35:00"/>
    <s v="Other Subcon"/>
    <x v="0"/>
    <x v="5"/>
    <s v="ZTE1001"/>
    <s v="Pcs"/>
    <n v="1"/>
    <s v="BR003"/>
    <x v="150"/>
    <m/>
    <m/>
    <m/>
    <m/>
    <m/>
    <m/>
    <m/>
    <s v="DCIT Return"/>
    <x v="2"/>
    <s v="DCIT"/>
    <e v="#N/A"/>
    <e v="#N/A"/>
    <s v="OUTBOUND_"/>
  </r>
  <r>
    <s v="2312"/>
    <n v="4"/>
    <x v="1"/>
    <s v="OUB-W0012511-001"/>
    <s v="EJ-Malang-01"/>
    <s v="Oka-0813-2707-1646"/>
    <x v="378"/>
    <d v="1899-12-30T17:00:00"/>
    <s v="EJ-MALANG-01"/>
    <x v="0"/>
    <x v="33"/>
    <s v="ZTE2002"/>
    <s v="Meter"/>
    <n v="3000"/>
    <s v="CLR51-99-372"/>
    <x v="162"/>
    <s v="-"/>
    <s v="-"/>
    <m/>
    <s v="Riki Romansyah"/>
    <s v="Suliadi"/>
    <s v="3507050501950006"/>
    <s v="N 8420 EL"/>
    <m/>
    <x v="2"/>
    <s v="PALAAN RW 01 SAMPAI 05 MALANG"/>
    <e v="#N/A"/>
    <e v="#N/A"/>
    <s v="OUTBOUND_"/>
  </r>
  <r>
    <s v="2313"/>
    <n v="5"/>
    <x v="1"/>
    <s v="OUB-W0012511-001"/>
    <s v="EJ-Malang-01"/>
    <s v="Oka-0813-2707-1646"/>
    <x v="378"/>
    <d v="1899-12-30T17:00:00"/>
    <s v="EJ-MALANG-01"/>
    <x v="0"/>
    <x v="1"/>
    <s v="ZTE2003"/>
    <s v="Meter"/>
    <n v="3000"/>
    <s v="CLR51-99-372"/>
    <x v="162"/>
    <s v="-"/>
    <s v="-"/>
    <m/>
    <s v="Riki Romansyah"/>
    <s v="Suliadi"/>
    <s v="3507050501950006"/>
    <s v="N 8420 EL"/>
    <m/>
    <x v="2"/>
    <s v="PALAAN RW 01 SAMPAI 05 MALANG"/>
    <e v="#N/A"/>
    <e v="#N/A"/>
    <s v="OUTBOUND_"/>
  </r>
  <r>
    <s v="2314"/>
    <n v="1"/>
    <x v="0"/>
    <s v="INB-W0012512-018"/>
    <s v="EJ-Malang-01"/>
    <s v="Oka-0813-2707-1646"/>
    <x v="378"/>
    <d v="1899-12-30T08:00:00"/>
    <s v="GCI Procurement"/>
    <x v="1"/>
    <x v="9"/>
    <s v="GCI1001"/>
    <s v="Pcs"/>
    <n v="2"/>
    <s v="ADJUSTMENT"/>
    <x v="156"/>
    <m/>
    <m/>
    <m/>
    <m/>
    <m/>
    <m/>
    <m/>
    <s v="ADJUSTMENT"/>
    <x v="2"/>
    <s v="ADJUSTMENT"/>
    <e v="#N/A"/>
    <e v="#N/A"/>
    <s v="OUTBOUND_"/>
  </r>
  <r>
    <s v="2315"/>
    <n v="1"/>
    <x v="0"/>
    <s v="INB-W0012511-001"/>
    <s v="EJ-Malang-01"/>
    <s v="Oka-0813-2707-1646"/>
    <x v="378"/>
    <d v="1899-12-30T08:00:00"/>
    <s v="GCI Procurement"/>
    <x v="1"/>
    <x v="9"/>
    <s v="GCI1001"/>
    <s v="Pcs"/>
    <n v="51"/>
    <s v="ADJUSTMENT"/>
    <x v="156"/>
    <m/>
    <m/>
    <m/>
    <m/>
    <m/>
    <m/>
    <m/>
    <s v="ADJUSTMENT"/>
    <x v="2"/>
    <s v="ADJUSTMENT"/>
    <e v="#N/A"/>
    <e v="#N/A"/>
    <s v="OUTBOUND_"/>
  </r>
  <r>
    <s v="2316"/>
    <m/>
    <x v="1"/>
    <s v="OUB-W0012511-001"/>
    <s v="EJ-Malang-01"/>
    <s v="Oka-0813-2707-1646"/>
    <x v="378"/>
    <d v="1899-12-30T17:00:00"/>
    <s v="EJ-MALANG-01"/>
    <x v="0"/>
    <x v="4"/>
    <s v="ZTE1002"/>
    <s v="Pcs"/>
    <n v="50"/>
    <s v="CLR51-99-375"/>
    <x v="163"/>
    <m/>
    <m/>
    <m/>
    <s v="Riki Romansyah"/>
    <n v="0"/>
    <s v="3507050501950006"/>
    <s v="N 8420 EL"/>
    <m/>
    <x v="2"/>
    <s v="PALAAN RW 06 SAMPAI 10 MALANG"/>
    <e v="#N/A"/>
    <e v="#N/A"/>
    <s v="OUTBOUND_"/>
  </r>
  <r>
    <s v="2317"/>
    <n v="2"/>
    <x v="1"/>
    <s v="OUB-W0012511-001"/>
    <s v="EJ-Malang-01"/>
    <s v="Oka-0813-2707-1646"/>
    <x v="378"/>
    <d v="1899-12-30T17:00:00"/>
    <s v="EJ-MALANG-01"/>
    <x v="0"/>
    <x v="4"/>
    <s v="ZTE1002"/>
    <s v="Pcs"/>
    <n v="58"/>
    <s v="CLR51-99-372"/>
    <x v="162"/>
    <s v="-"/>
    <s v="-"/>
    <m/>
    <s v="Riki Romansyah"/>
    <n v="0"/>
    <s v="3507050501950006"/>
    <s v="N 8420 EL"/>
    <m/>
    <x v="2"/>
    <s v="PALAAN RW 01 SAMPAI 05 MALANG"/>
    <e v="#N/A"/>
    <e v="#N/A"/>
    <s v="OUTBOUND_"/>
  </r>
  <r>
    <s v="2318"/>
    <n v="1"/>
    <x v="1"/>
    <s v="OUB-W0012511-001"/>
    <s v="EJ-Malang-01"/>
    <s v="Oka-0813-2707-1646"/>
    <x v="378"/>
    <d v="1899-12-30T17:00:00"/>
    <s v="EJ-MALANG-01"/>
    <x v="0"/>
    <x v="5"/>
    <s v="ZTE1001"/>
    <s v="Pcs"/>
    <n v="8"/>
    <s v="CLR51-99-372"/>
    <x v="162"/>
    <m/>
    <m/>
    <m/>
    <s v="Riki Romansyah"/>
    <n v="0"/>
    <s v="3507050501950006"/>
    <s v="N 8420 EL"/>
    <m/>
    <x v="2"/>
    <s v="PALAAN RW 01 SAMPAI 05 MALANG"/>
    <e v="#N/A"/>
    <e v="#N/A"/>
    <s v="OUTBOUND_"/>
  </r>
  <r>
    <s v="2319"/>
    <n v="3"/>
    <x v="1"/>
    <s v="OUB-W0012511-001"/>
    <s v="EJ-Malang-01"/>
    <s v="Oka-0813-2707-1646"/>
    <x v="378"/>
    <d v="1899-12-30T17:00:00"/>
    <s v="EJ-MALANG-01"/>
    <x v="0"/>
    <x v="19"/>
    <s v="ZTE1003"/>
    <s v="Pcs"/>
    <n v="10"/>
    <s v="CLR51-99-372"/>
    <x v="162"/>
    <s v="-"/>
    <s v="-"/>
    <m/>
    <s v="Riki Romansyah"/>
    <n v="0"/>
    <s v="3507050501950006"/>
    <s v="N 8420 EL"/>
    <m/>
    <x v="2"/>
    <s v="PALAAN RW 01 SAMPAI 05 MALANG"/>
    <e v="#N/A"/>
    <e v="#N/A"/>
    <s v="OUTBOUND_"/>
  </r>
  <r>
    <s v="2320"/>
    <n v="2"/>
    <x v="1"/>
    <s v="OUB-W0012511-003"/>
    <s v="EJ-Malang-01"/>
    <s v="Oka-0813-2707-1646"/>
    <x v="379"/>
    <d v="1899-12-30T19:20:00"/>
    <s v="EJ-MALANG-01"/>
    <x v="1"/>
    <x v="9"/>
    <s v="GCI1001"/>
    <s v="Pcs"/>
    <n v="53"/>
    <s v="-"/>
    <x v="28"/>
    <s v="-"/>
    <s v="-"/>
    <m/>
    <s v="Riki Romansyah"/>
    <n v="0"/>
    <s v="3507050501950006"/>
    <s v="N 8420 EL"/>
    <m/>
    <x v="2"/>
    <n v="0"/>
    <e v="#N/A"/>
    <e v="#N/A"/>
    <s v="OUTBOUND_"/>
  </r>
  <r>
    <s v="2321"/>
    <n v="3"/>
    <x v="1"/>
    <s v="OUB-W0012511-003"/>
    <s v="EJ-Malang-01"/>
    <s v="Oka-0813-2707-1646"/>
    <x v="379"/>
    <d v="1899-12-30T19:20:00"/>
    <s v="EJ-MALANG-01"/>
    <x v="1"/>
    <x v="11"/>
    <s v="GCI1002"/>
    <s v="Pcs"/>
    <n v="2"/>
    <s v="-"/>
    <x v="28"/>
    <s v="-"/>
    <s v="-"/>
    <m/>
    <s v="Riki Romansyah"/>
    <n v="0"/>
    <s v="3507050501950006"/>
    <s v="N 8420 EL"/>
    <m/>
    <x v="2"/>
    <n v="0"/>
    <e v="#N/A"/>
    <e v="#N/A"/>
    <s v="OUTBOUND_"/>
  </r>
  <r>
    <s v="2322"/>
    <n v="1"/>
    <x v="1"/>
    <s v="OUB-W0012511-003"/>
    <s v="EJ-Malang-01"/>
    <s v="Oka-0813-2707-1646"/>
    <x v="379"/>
    <d v="1899-12-30T19:20:00"/>
    <s v="EJ-MALANG-01"/>
    <x v="0"/>
    <x v="5"/>
    <s v="ZTE1001"/>
    <s v="Pcs"/>
    <n v="2"/>
    <s v="CLR51-99-372"/>
    <x v="162"/>
    <s v="-"/>
    <s v="-"/>
    <m/>
    <s v="Riki Romansyah"/>
    <n v="0"/>
    <s v="3507050501950006"/>
    <s v="N 8420 EL"/>
    <m/>
    <x v="2"/>
    <s v="PALAAN RW 01 SAMPAI 05 MALANG"/>
    <e v="#N/A"/>
    <e v="#N/A"/>
    <s v="OUTBOUND_"/>
  </r>
  <r>
    <s v="2323"/>
    <n v="3"/>
    <x v="1"/>
    <s v="OUB-W0012511-004"/>
    <s v="EJ-Malang-01"/>
    <s v="Oka-0813-2707-1646"/>
    <x v="380"/>
    <d v="1899-12-30T19:08:00"/>
    <s v="EJ-MALANG-01"/>
    <x v="0"/>
    <x v="2"/>
    <s v="ZTE2008"/>
    <s v="Pcs"/>
    <n v="14"/>
    <s v="CLR51-99-375"/>
    <x v="163"/>
    <s v="DOEID251024K3"/>
    <s v="DNWID1382025102408"/>
    <m/>
    <s v="Sifak"/>
    <s v="Suliadi"/>
    <s v="3507312107950002"/>
    <s v="N 1046 ABC"/>
    <m/>
    <x v="2"/>
    <s v="PALAAN RW 06 SAMPAI 10 MALANG"/>
    <d v="2025-10-25T00:00:00"/>
    <b v="0"/>
    <s v="OUTBOUND_"/>
  </r>
  <r>
    <s v="2324"/>
    <n v="4"/>
    <x v="1"/>
    <s v="OUB-W0012511-004"/>
    <s v="EJ-Malang-01"/>
    <s v="Oka-0813-2707-1646"/>
    <x v="380"/>
    <d v="1899-12-30T19:08:00"/>
    <s v="EJ-MALANG-01"/>
    <x v="0"/>
    <x v="2"/>
    <s v="ZTE2008"/>
    <s v="Pcs"/>
    <n v="21"/>
    <s v="CLR51-99-372"/>
    <x v="162"/>
    <s v="DOEID251024G5"/>
    <s v="DNWID1382025102406"/>
    <m/>
    <s v="Sifak"/>
    <s v="Suliadi"/>
    <s v="3507312107950002"/>
    <s v="N 1046 ABC"/>
    <m/>
    <x v="2"/>
    <s v="PALAAN RW 01 SAMPAI 05 MALANG"/>
    <d v="2025-10-25T00:00:00"/>
    <b v="0"/>
    <s v="OUTBOUND_"/>
  </r>
  <r>
    <s v="2325"/>
    <n v="1"/>
    <x v="1"/>
    <s v="OUB-W0012511-004"/>
    <s v="EJ-Malang-01"/>
    <s v="Oka-0813-2707-1646"/>
    <x v="380"/>
    <d v="1899-12-30T19:08:00"/>
    <s v="EJ-MALANG-01"/>
    <x v="0"/>
    <x v="3"/>
    <s v="ZTE2005"/>
    <s v="Pcs"/>
    <n v="1"/>
    <s v="CLR51-99-372"/>
    <x v="162"/>
    <s v="DOEID251024G5"/>
    <s v="DNWID1382025102406"/>
    <m/>
    <s v="Sifak"/>
    <s v="Suliadi"/>
    <s v="3507312107950002"/>
    <s v="N 1046 ABC"/>
    <m/>
    <x v="2"/>
    <s v="PALAAN RW 01 SAMPAI 05 MALANG"/>
    <d v="2025-10-25T00:00:00"/>
    <b v="0"/>
    <s v="OUTBOUND_"/>
  </r>
  <r>
    <s v="2326"/>
    <n v="2"/>
    <x v="1"/>
    <s v="OUB-W0012511-004"/>
    <s v="EJ-Malang-01"/>
    <s v="Oka-0813-2707-1646"/>
    <x v="380"/>
    <d v="1899-12-30T19:08:00"/>
    <s v="EJ-MALANG-01"/>
    <x v="0"/>
    <x v="30"/>
    <s v="ZTE2006"/>
    <s v="Pcs"/>
    <n v="1"/>
    <s v="CLR51-99-375"/>
    <x v="163"/>
    <s v="DOEID251024K3"/>
    <s v="DNWID1382025102408"/>
    <m/>
    <s v="Sifak"/>
    <s v="Suliadi"/>
    <s v="3507312107950002"/>
    <s v="N 1046 ABC"/>
    <m/>
    <x v="2"/>
    <s v="PALAAN RW 06 SAMPAI 10 MALANG"/>
    <d v="2025-10-25T00:00:00"/>
    <b v="0"/>
    <s v="OUTBOUND_"/>
  </r>
  <r>
    <s v="2327"/>
    <n v="3"/>
    <x v="0"/>
    <s v="INB-W0012511-002"/>
    <s v="EJ-Malang-01"/>
    <s v="Oka-0813-2707-1646"/>
    <x v="381"/>
    <d v="1899-12-30T08:00:00"/>
    <s v="ZTE Warehouse"/>
    <x v="0"/>
    <x v="0"/>
    <s v="ZTE2001"/>
    <s v="Meter"/>
    <n v="3000"/>
    <s v="CLR51-99-372"/>
    <x v="162"/>
    <s v="DOEID251024G5"/>
    <s v="DNWID1382025102406"/>
    <m/>
    <m/>
    <m/>
    <m/>
    <m/>
    <m/>
    <x v="131"/>
    <s v="PALAAN RW 01 SAMPAI 05 MALANG"/>
    <d v="2025-10-25T00:00:00"/>
    <b v="0"/>
    <s v="OUTBOUND_H-ADSS 24C-20251121-01"/>
  </r>
  <r>
    <s v="2328"/>
    <n v="5"/>
    <x v="2"/>
    <s v="TFI-W0012511-002"/>
    <s v="EJ-Malang-01"/>
    <s v="Oka-0813-2707-1646"/>
    <x v="381"/>
    <d v="1899-12-30T08:00:00"/>
    <s v="EJ-Lamongan-01"/>
    <x v="1"/>
    <x v="6"/>
    <s v="GCI1011"/>
    <s v="Pcs"/>
    <n v="1"/>
    <s v="CLR51-99-372"/>
    <x v="162"/>
    <s v="DOEID251024G5"/>
    <s v="DNWID1382025102406"/>
    <m/>
    <m/>
    <m/>
    <m/>
    <m/>
    <m/>
    <x v="2"/>
    <s v="PALAAN RW 01 SAMPAI 05 MALANG"/>
    <d v="2025-10-25T00:00:00"/>
    <b v="0"/>
    <s v="OUTBOUND_"/>
  </r>
  <r>
    <s v="2329"/>
    <n v="4"/>
    <x v="2"/>
    <s v="TFI-W0012511-002"/>
    <s v="EJ-Malang-01"/>
    <s v="Oka-0813-2707-1646"/>
    <x v="381"/>
    <d v="1899-12-30T08:00:00"/>
    <s v="EJ-Lamongan-01"/>
    <x v="0"/>
    <x v="2"/>
    <s v="ZTE2008"/>
    <s v="Pcs"/>
    <n v="20"/>
    <s v="CLR51-99-372"/>
    <x v="162"/>
    <s v="DOEID251024G5"/>
    <s v="DNWID1382025102406"/>
    <m/>
    <m/>
    <m/>
    <m/>
    <m/>
    <m/>
    <x v="2"/>
    <s v="PALAAN RW 01 SAMPAI 05 MALANG"/>
    <d v="2025-10-25T00:00:00"/>
    <b v="0"/>
    <s v="OUTBOUND_"/>
  </r>
  <r>
    <s v="2330"/>
    <n v="3"/>
    <x v="4"/>
    <s v="BOI-W0012511-002"/>
    <s v="EJ-Malang-01"/>
    <s v="Oka-0813-2707-1646"/>
    <x v="381"/>
    <d v="1899-12-30T08:00:00"/>
    <s v="Other Subcon"/>
    <x v="0"/>
    <x v="5"/>
    <s v="ZTE1001"/>
    <s v="Pcs"/>
    <n v="1"/>
    <s v="BR003"/>
    <x v="150"/>
    <m/>
    <m/>
    <m/>
    <m/>
    <m/>
    <m/>
    <m/>
    <m/>
    <x v="2"/>
    <s v="DCIT"/>
    <e v="#N/A"/>
    <e v="#N/A"/>
    <s v="OUTBOUND_"/>
  </r>
  <r>
    <s v="2331"/>
    <n v="1"/>
    <x v="0"/>
    <s v="INB-W0012511-002"/>
    <s v="EJ-Malang-01"/>
    <s v="Oka-0813-2707-1646"/>
    <x v="381"/>
    <d v="1899-12-30T08:00:00"/>
    <s v="ZTE Warehouse"/>
    <x v="0"/>
    <x v="5"/>
    <s v="ZTE1001"/>
    <s v="Pcs"/>
    <n v="49"/>
    <s v="CLR51-99-372"/>
    <x v="162"/>
    <s v="DOEID251024G5"/>
    <s v="DNWID1382025102406"/>
    <m/>
    <m/>
    <m/>
    <m/>
    <m/>
    <m/>
    <x v="2"/>
    <s v="PALAAN RW 01 SAMPAI 05 MALANG"/>
    <d v="2025-10-25T00:00:00"/>
    <b v="0"/>
    <s v="OUTBOUND_"/>
  </r>
  <r>
    <s v="2332"/>
    <n v="1"/>
    <x v="1"/>
    <s v="OUB-W0012511-005"/>
    <s v="EJ-Malang-01"/>
    <s v="Oka-0813-2707-1646"/>
    <x v="381"/>
    <d v="1899-12-30T13:00:00"/>
    <s v="EJ-MALANG-01"/>
    <x v="0"/>
    <x v="5"/>
    <s v="ZTE1001"/>
    <s v="Pcs"/>
    <n v="30"/>
    <s v="CLR51-99-372"/>
    <x v="162"/>
    <s v="DOEID251024G5"/>
    <s v="DNWID1382025102406"/>
    <m/>
    <s v="Riki Romansyah"/>
    <n v="0"/>
    <s v="3507050501950006"/>
    <s v="N 8420 EL"/>
    <m/>
    <x v="2"/>
    <s v="PALAAN RW 01 SAMPAI 05 MALANG"/>
    <d v="2025-10-25T00:00:00"/>
    <b v="0"/>
    <s v="OUTBOUND_"/>
  </r>
  <r>
    <s v="2333"/>
    <n v="2"/>
    <x v="0"/>
    <s v="INB-W0012511-002"/>
    <s v="EJ-Malang-01"/>
    <s v="Oka-0813-2707-1646"/>
    <x v="381"/>
    <d v="1899-12-30T08:00:00"/>
    <s v="ZTE Warehouse"/>
    <x v="0"/>
    <x v="19"/>
    <s v="ZTE1003"/>
    <s v="Pcs"/>
    <n v="6"/>
    <s v="CLR51-99-372"/>
    <x v="162"/>
    <s v="DOEID251024G5"/>
    <s v="DNWID1382025102406"/>
    <m/>
    <m/>
    <m/>
    <m/>
    <m/>
    <m/>
    <x v="2"/>
    <s v="PALAAN RW 01 SAMPAI 05 MALANG"/>
    <d v="2025-10-25T00:00:00"/>
    <b v="0"/>
    <s v="OUTBOUND_"/>
  </r>
  <r>
    <s v="2334"/>
    <n v="4"/>
    <x v="1"/>
    <s v="OUB-W0012511-006"/>
    <s v="EJ-Malang-01"/>
    <s v="Oka-0813-2707-1646"/>
    <x v="382"/>
    <d v="1899-12-30T13:00:00"/>
    <s v="EJ-MALANG-01"/>
    <x v="0"/>
    <x v="0"/>
    <s v="ZTE2001"/>
    <s v="Meter"/>
    <n v="3000"/>
    <s v="CLR51-99-375"/>
    <x v="163"/>
    <s v="DOEID251024K3"/>
    <s v="DNWID1382025102408"/>
    <m/>
    <s v="Riki Romansyah"/>
    <s v="Suliadi"/>
    <s v="3507050501950006"/>
    <s v="N 8420 EL"/>
    <m/>
    <x v="2"/>
    <s v="PALAAN RW 06 SAMPAI 10 MALANG"/>
    <d v="2025-10-25T00:00:00"/>
    <b v="0"/>
    <s v="OUTBOUND_"/>
  </r>
  <r>
    <s v="2335"/>
    <n v="6"/>
    <x v="1"/>
    <s v="OUB-W0012511-006"/>
    <s v="EJ-Malang-01"/>
    <s v="Oka-0813-2707-1646"/>
    <x v="382"/>
    <d v="1899-12-30T13:00:00"/>
    <s v="EJ-MALANG-01"/>
    <x v="1"/>
    <x v="6"/>
    <s v="GCI1011"/>
    <s v="Pcs"/>
    <n v="1"/>
    <s v="CLR51-99-375"/>
    <x v="163"/>
    <s v="DOEID251024K3"/>
    <s v="DNWID1382025102408"/>
    <m/>
    <s v="Riki Romansyah"/>
    <n v="0"/>
    <s v="3507050501950006"/>
    <s v="N 8420 EL"/>
    <m/>
    <x v="2"/>
    <s v="PALAAN RW 06 SAMPAI 10 MALANG"/>
    <d v="2025-10-25T00:00:00"/>
    <b v="0"/>
    <s v="OUTBOUND_"/>
  </r>
  <r>
    <s v="2336"/>
    <n v="5"/>
    <x v="1"/>
    <s v="OUB-W0012511-006"/>
    <s v="EJ-Malang-01"/>
    <s v="Oka-0813-2707-1646"/>
    <x v="382"/>
    <d v="1899-12-30T13:00:00"/>
    <s v="EJ-MALANG-01"/>
    <x v="0"/>
    <x v="2"/>
    <s v="ZTE2008"/>
    <s v="Pcs"/>
    <n v="13"/>
    <s v="CLR51-99-375"/>
    <x v="163"/>
    <s v="DOEID251024K3"/>
    <s v="DNWID1382025102408"/>
    <m/>
    <s v="Sifak"/>
    <s v="Suliadi"/>
    <s v="3507312107950002"/>
    <s v="N 1046 ABC"/>
    <m/>
    <x v="2"/>
    <s v="PALAAN RW 06 SAMPAI 10 MALANG"/>
    <d v="2025-10-25T00:00:00"/>
    <b v="0"/>
    <s v="OUTBOUND_"/>
  </r>
  <r>
    <s v="2337"/>
    <n v="1"/>
    <x v="0"/>
    <s v="INB-W0012511-003"/>
    <s v="EJ-Malang-01"/>
    <s v="Oka-0813-2707-1646"/>
    <x v="382"/>
    <d v="1899-12-30T13:00:00"/>
    <s v="GCI Procurement"/>
    <x v="0"/>
    <x v="34"/>
    <s v="ZTE1005"/>
    <s v="Pcs"/>
    <n v="1"/>
    <s v="Purchase Bayu"/>
    <x v="28"/>
    <m/>
    <m/>
    <m/>
    <m/>
    <m/>
    <m/>
    <m/>
    <m/>
    <x v="2"/>
    <n v="0"/>
    <e v="#N/A"/>
    <e v="#N/A"/>
    <s v="OUTBOUND_"/>
  </r>
  <r>
    <s v="2338"/>
    <n v="2"/>
    <x v="1"/>
    <s v="OUB-W0012511-006"/>
    <s v="EJ-Malang-01"/>
    <s v="Oka-0813-2707-1646"/>
    <x v="382"/>
    <d v="1899-12-30T13:00:00"/>
    <s v="EJ-MALANG-01"/>
    <x v="0"/>
    <x v="5"/>
    <s v="ZTE1001"/>
    <s v="Pcs"/>
    <n v="14"/>
    <s v="CLR51-99-375"/>
    <x v="163"/>
    <s v="DOEID251024K3"/>
    <s v="DNWID1382025102408"/>
    <m/>
    <s v="Riki Romansyah"/>
    <n v="0"/>
    <s v="3507050501950006"/>
    <s v="N 8420 EL"/>
    <m/>
    <x v="2"/>
    <s v="PALAAN RW 06 SAMPAI 10 MALANG"/>
    <d v="2025-10-25T00:00:00"/>
    <b v="0"/>
    <s v="OUTBOUND_"/>
  </r>
  <r>
    <s v="2339"/>
    <n v="3"/>
    <x v="1"/>
    <s v="OUB-W0012511-006"/>
    <s v="EJ-Malang-01"/>
    <s v="Oka-0813-2707-1646"/>
    <x v="382"/>
    <d v="1899-12-30T13:00:00"/>
    <s v="EJ-MALANG-01"/>
    <x v="0"/>
    <x v="19"/>
    <s v="ZTE1003"/>
    <s v="Pcs"/>
    <n v="3"/>
    <s v="CLR51-99-375"/>
    <x v="163"/>
    <s v="DOEID251024K3"/>
    <s v="DNWID1382025102408"/>
    <m/>
    <s v="Riki Romansyah"/>
    <n v="0"/>
    <s v="3507050501950006"/>
    <s v="N 8420 EL"/>
    <m/>
    <x v="2"/>
    <s v="PALAAN RW 06 SAMPAI 10 MALANG"/>
    <d v="2025-10-25T00:00:00"/>
    <b v="0"/>
    <s v="OUTBOUND_"/>
  </r>
  <r>
    <s v="2340"/>
    <n v="2"/>
    <x v="1"/>
    <s v="OUB-W0012511-007"/>
    <s v="EJ-Malang-01"/>
    <s v="Oka-0813-2707-1646"/>
    <x v="383"/>
    <d v="1899-12-30T13:00:00"/>
    <s v="EJ-MALANG-01"/>
    <x v="0"/>
    <x v="1"/>
    <s v="ZTE2003"/>
    <s v="Meter"/>
    <n v="3000"/>
    <s v="CLR51-99-375"/>
    <x v="163"/>
    <s v="DOEID251024K3"/>
    <s v="DNWID1382025102408"/>
    <m/>
    <s v="Riki Romansyah"/>
    <s v="Suliadi"/>
    <s v="3507050501950006"/>
    <s v="N 8420 EL"/>
    <m/>
    <x v="2"/>
    <s v="PALAAN RW 06 SAMPAI 10 MALANG"/>
    <d v="2025-10-25T00:00:00"/>
    <b v="0"/>
    <s v="OUTBOUND_"/>
  </r>
  <r>
    <s v="2341"/>
    <n v="1"/>
    <x v="1"/>
    <s v="OUB-W0012511-007"/>
    <s v="EJ-Malang-01"/>
    <s v="Oka-0813-2707-1646"/>
    <x v="383"/>
    <d v="1899-12-30T13:00:00"/>
    <s v="EJ-MALANG-01"/>
    <x v="0"/>
    <x v="34"/>
    <s v="ZTE1005"/>
    <s v="Pcs"/>
    <n v="1"/>
    <m/>
    <x v="28"/>
    <m/>
    <m/>
    <m/>
    <s v="Fahrudin"/>
    <m/>
    <m/>
    <s v="N1383G"/>
    <m/>
    <x v="2"/>
    <n v="0"/>
    <e v="#N/A"/>
    <e v="#N/A"/>
    <s v="OUTBOUND_"/>
  </r>
  <r>
    <s v="2342"/>
    <n v="7"/>
    <x v="0"/>
    <s v="INB-W0012511-004"/>
    <s v="EJ-Malang-01"/>
    <s v="Oka-0813-2707-1646"/>
    <x v="384"/>
    <d v="1899-12-30T16:01:00"/>
    <s v="GCI Procurement"/>
    <x v="1"/>
    <x v="6"/>
    <s v="GCI1011"/>
    <s v="Pcs"/>
    <n v="1"/>
    <s v="-"/>
    <x v="28"/>
    <s v="-"/>
    <s v="-"/>
    <m/>
    <m/>
    <m/>
    <m/>
    <m/>
    <m/>
    <x v="2"/>
    <n v="0"/>
    <e v="#N/A"/>
    <e v="#N/A"/>
    <s v="OUTBOUND_"/>
  </r>
  <r>
    <s v="2343"/>
    <n v="5"/>
    <x v="0"/>
    <s v="INB-W0012511-004"/>
    <s v="EJ-Malang-01"/>
    <s v="Oka-0813-2707-1646"/>
    <x v="384"/>
    <d v="1899-12-30T16:01:00"/>
    <s v="GCI Procurement"/>
    <x v="1"/>
    <x v="8"/>
    <s v="GCI1005"/>
    <s v="Pcs"/>
    <n v="199"/>
    <s v="-"/>
    <x v="28"/>
    <s v="-"/>
    <s v="-"/>
    <m/>
    <m/>
    <m/>
    <m/>
    <m/>
    <m/>
    <x v="2"/>
    <n v="0"/>
    <e v="#N/A"/>
    <e v="#N/A"/>
    <s v="OUTBOUND_"/>
  </r>
  <r>
    <s v="2344"/>
    <n v="2"/>
    <x v="0"/>
    <s v="INB-W0012511-004"/>
    <s v="EJ-Malang-01"/>
    <s v="Oka-0813-2707-1646"/>
    <x v="384"/>
    <d v="1899-12-30T16:01:00"/>
    <s v="GCI Procurement"/>
    <x v="1"/>
    <x v="9"/>
    <s v="GCI1001"/>
    <s v="Pcs"/>
    <n v="52"/>
    <s v="-"/>
    <x v="28"/>
    <s v="-"/>
    <s v="-"/>
    <m/>
    <m/>
    <m/>
    <m/>
    <m/>
    <m/>
    <x v="2"/>
    <n v="0"/>
    <e v="#N/A"/>
    <e v="#N/A"/>
    <s v="OUTBOUND_"/>
  </r>
  <r>
    <s v="2345"/>
    <n v="6"/>
    <x v="0"/>
    <s v="INB-W0012511-004"/>
    <s v="EJ-Malang-01"/>
    <s v="Oka-0813-2707-1646"/>
    <x v="384"/>
    <d v="1899-12-30T16:01:00"/>
    <s v="GCI Procurement"/>
    <x v="1"/>
    <x v="10"/>
    <s v="GCI1009"/>
    <s v="Pcs"/>
    <n v="267"/>
    <s v="-"/>
    <x v="28"/>
    <s v="-"/>
    <s v="-"/>
    <m/>
    <m/>
    <m/>
    <m/>
    <m/>
    <m/>
    <x v="2"/>
    <n v="0"/>
    <e v="#N/A"/>
    <e v="#N/A"/>
    <s v="OUTBOUND_"/>
  </r>
  <r>
    <s v="2346"/>
    <n v="1"/>
    <x v="0"/>
    <s v="INB-W0012511-004"/>
    <s v="EJ-Malang-01"/>
    <s v="Oka-0813-2707-1646"/>
    <x v="384"/>
    <d v="1899-12-30T16:01:00"/>
    <s v="GCI Procurement"/>
    <x v="1"/>
    <x v="12"/>
    <s v="GCI1008"/>
    <s v="Pcs"/>
    <n v="245"/>
    <s v="-"/>
    <x v="28"/>
    <s v="-"/>
    <s v="-"/>
    <m/>
    <m/>
    <m/>
    <m/>
    <m/>
    <m/>
    <x v="2"/>
    <n v="0"/>
    <e v="#N/A"/>
    <e v="#N/A"/>
    <s v="OUTBOUND_"/>
  </r>
  <r>
    <s v="2347"/>
    <n v="3"/>
    <x v="0"/>
    <s v="INB-W0012511-004"/>
    <s v="EJ-Malang-01"/>
    <s v="Oka-0813-2707-1646"/>
    <x v="384"/>
    <d v="1899-12-30T16:01:00"/>
    <s v="GCI Procurement"/>
    <x v="1"/>
    <x v="15"/>
    <s v="GCI1003"/>
    <s v="Pcs"/>
    <n v="50"/>
    <s v="-"/>
    <x v="28"/>
    <s v="-"/>
    <s v="-"/>
    <m/>
    <m/>
    <m/>
    <m/>
    <m/>
    <m/>
    <x v="2"/>
    <n v="0"/>
    <e v="#N/A"/>
    <e v="#N/A"/>
    <s v="OUTBOUND_"/>
  </r>
  <r>
    <s v="2348"/>
    <n v="4"/>
    <x v="0"/>
    <s v="INB-W0012511-004"/>
    <s v="EJ-Malang-01"/>
    <s v="Oka-0813-2707-1646"/>
    <x v="384"/>
    <d v="1899-12-30T16:01:00"/>
    <s v="GCI Procurement"/>
    <x v="1"/>
    <x v="16"/>
    <s v="GCI1004"/>
    <s v="Pcs"/>
    <n v="97"/>
    <s v="-"/>
    <x v="28"/>
    <s v="-"/>
    <s v="-"/>
    <m/>
    <m/>
    <m/>
    <m/>
    <m/>
    <m/>
    <x v="2"/>
    <n v="0"/>
    <e v="#N/A"/>
    <e v="#N/A"/>
    <s v="OUTBOUND_"/>
  </r>
  <r>
    <s v="2349"/>
    <n v="1"/>
    <x v="1"/>
    <s v="OUB-W0012511-008"/>
    <s v="EJ-Malang-01"/>
    <s v="Oka-0813-2707-1646"/>
    <x v="385"/>
    <d v="1899-12-30T16:00:00"/>
    <s v="EJ-MALANG-01"/>
    <x v="1"/>
    <x v="9"/>
    <s v="GCI1001"/>
    <s v="Pcs"/>
    <n v="2"/>
    <s v="CLR51-99-302"/>
    <x v="160"/>
    <m/>
    <m/>
    <m/>
    <s v="Riki Romansyah"/>
    <s v="Suliadi"/>
    <s v="3507050501950006"/>
    <s v="N 8420 EL"/>
    <s v="FO CUT Lesanpuro"/>
    <x v="2"/>
    <s v="LESANPURO RW 06 MALANG"/>
    <e v="#N/A"/>
    <e v="#N/A"/>
    <s v="OUTBOUND_"/>
  </r>
  <r>
    <s v="2350"/>
    <n v="6"/>
    <x v="0"/>
    <s v="INB-W0012512-001"/>
    <s v="EJ-Malang-01"/>
    <s v="Oka-0813-2707-1646"/>
    <x v="386"/>
    <d v="1899-12-30T13:00:00"/>
    <s v="ZTE Warehouse"/>
    <x v="0"/>
    <x v="30"/>
    <s v="ZTE2006"/>
    <s v="Pcs"/>
    <n v="6"/>
    <s v="CLR51-99-382"/>
    <x v="164"/>
    <s v="DOEID251211B1"/>
    <s v="DNWID1382025121131"/>
    <m/>
    <m/>
    <m/>
    <m/>
    <m/>
    <m/>
    <x v="2"/>
    <s v="DUSUN SIDOAYU KELURAHAN SIDEREJO MALANG"/>
    <d v="2025-12-11T00:00:00"/>
    <b v="1"/>
    <s v="OUTBOUND_"/>
  </r>
  <r>
    <s v="2351"/>
    <n v="5"/>
    <x v="0"/>
    <s v="INB-W0012512-001"/>
    <s v="EJ-Malang-01"/>
    <s v="Oka-0813-2707-1646"/>
    <x v="387"/>
    <d v="1899-12-30T13:00:00"/>
    <s v="ZTE Warehouse"/>
    <x v="0"/>
    <x v="0"/>
    <s v="ZTE2001"/>
    <s v="Meter"/>
    <n v="3000"/>
    <s v="CLR51-99-382"/>
    <x v="164"/>
    <s v="-"/>
    <s v="-"/>
    <m/>
    <m/>
    <m/>
    <m/>
    <m/>
    <m/>
    <x v="132"/>
    <s v="DUSUN SIDOAYU KELURAHAN SIDEREJO MALANG"/>
    <e v="#N/A"/>
    <e v="#N/A"/>
    <s v="OUTBOUND_H-ADSS 24C-20251212-01"/>
  </r>
  <r>
    <s v="2352"/>
    <n v="1"/>
    <x v="0"/>
    <s v="INB-W0012512-001"/>
    <s v="EJ-Malang-01"/>
    <s v="Oka-0813-2707-1646"/>
    <x v="387"/>
    <d v="1899-12-30T13:00:00"/>
    <s v="ZTE Warehouse"/>
    <x v="0"/>
    <x v="0"/>
    <s v="ZTE2001"/>
    <s v="Meter"/>
    <n v="3000"/>
    <s v="CLR51-99-382"/>
    <x v="164"/>
    <m/>
    <m/>
    <m/>
    <m/>
    <m/>
    <m/>
    <m/>
    <m/>
    <x v="133"/>
    <s v="DUSUN SIDOAYU KELURAHAN SIDEREJO MALANG"/>
    <e v="#N/A"/>
    <e v="#N/A"/>
    <s v="OUTBOUND_H-ADSS 24C-20251212-02"/>
  </r>
  <r>
    <s v="2353"/>
    <n v="1"/>
    <x v="0"/>
    <s v="INB-W0012512-001"/>
    <s v="EJ-Malang-01"/>
    <s v="Oka-0813-2707-1646"/>
    <x v="387"/>
    <d v="1899-12-30T13:00:00"/>
    <s v="ZTE Warehouse"/>
    <x v="0"/>
    <x v="0"/>
    <s v="ZTE2001"/>
    <s v="Meter"/>
    <n v="3000"/>
    <s v="CLR51-99-382"/>
    <x v="164"/>
    <m/>
    <m/>
    <m/>
    <m/>
    <m/>
    <m/>
    <m/>
    <m/>
    <x v="134"/>
    <s v="DUSUN SIDOAYU KELURAHAN SIDEREJO MALANG"/>
    <e v="#N/A"/>
    <e v="#N/A"/>
    <s v="OUTBOUND_H-ADSS 24C-20251212-03"/>
  </r>
  <r>
    <s v="2354"/>
    <n v="1"/>
    <x v="0"/>
    <s v="INB-W0012512-001"/>
    <s v="EJ-Malang-01"/>
    <s v="Oka-0813-2707-1646"/>
    <x v="387"/>
    <d v="1899-12-30T13:00:00"/>
    <s v="ZTE Warehouse"/>
    <x v="0"/>
    <x v="0"/>
    <s v="ZTE2001"/>
    <s v="Meter"/>
    <n v="3000"/>
    <s v="CLR51-99-382"/>
    <x v="164"/>
    <m/>
    <m/>
    <m/>
    <m/>
    <m/>
    <m/>
    <m/>
    <m/>
    <x v="135"/>
    <s v="DUSUN SIDOAYU KELURAHAN SIDEREJO MALANG"/>
    <e v="#N/A"/>
    <e v="#N/A"/>
    <s v="OUTBOUND_H-ADSS 24C-20251212-04"/>
  </r>
  <r>
    <s v="2355"/>
    <n v="1"/>
    <x v="0"/>
    <s v="INB-W0012512-001"/>
    <s v="EJ-Malang-01"/>
    <s v="Oka-0813-2707-1646"/>
    <x v="387"/>
    <d v="1899-12-30T13:00:00"/>
    <s v="ZTE Warehouse"/>
    <x v="0"/>
    <x v="0"/>
    <s v="ZTE2001"/>
    <s v="Meter"/>
    <n v="3000"/>
    <s v="CLR51-99-382"/>
    <x v="164"/>
    <m/>
    <m/>
    <m/>
    <m/>
    <m/>
    <m/>
    <m/>
    <m/>
    <x v="136"/>
    <s v="DUSUN SIDOAYU KELURAHAN SIDEREJO MALANG"/>
    <e v="#N/A"/>
    <e v="#N/A"/>
    <s v="OUTBOUND_H-ADSS 24C-20251212-05"/>
  </r>
  <r>
    <s v="2356"/>
    <n v="1"/>
    <x v="0"/>
    <s v="INB-W0012512-001"/>
    <s v="EJ-Malang-01"/>
    <s v="Oka-0813-2707-1646"/>
    <x v="387"/>
    <d v="1899-12-30T13:00:00"/>
    <s v="ZTE Warehouse"/>
    <x v="0"/>
    <x v="0"/>
    <s v="ZTE2001"/>
    <s v="Meter"/>
    <n v="3000"/>
    <s v="CLR51-99-382"/>
    <x v="164"/>
    <m/>
    <m/>
    <m/>
    <m/>
    <m/>
    <m/>
    <m/>
    <m/>
    <x v="137"/>
    <s v="DUSUN SIDOAYU KELURAHAN SIDEREJO MALANG"/>
    <e v="#N/A"/>
    <e v="#N/A"/>
    <s v="OUTBOUND_H-ADSS 24C-20251212-06"/>
  </r>
  <r>
    <s v="2357"/>
    <n v="1"/>
    <x v="0"/>
    <s v="INB-W0012512-001"/>
    <s v="EJ-Malang-01"/>
    <s v="Oka-0813-2707-1646"/>
    <x v="387"/>
    <d v="1899-12-30T13:00:00"/>
    <s v="ZTE Warehouse"/>
    <x v="0"/>
    <x v="0"/>
    <s v="ZTE2001"/>
    <s v="Meter"/>
    <n v="3000"/>
    <s v="CLR51-99-382"/>
    <x v="164"/>
    <m/>
    <m/>
    <m/>
    <m/>
    <m/>
    <m/>
    <m/>
    <m/>
    <x v="138"/>
    <s v="DUSUN SIDOAYU KELURAHAN SIDEREJO MALANG"/>
    <e v="#N/A"/>
    <e v="#N/A"/>
    <s v="OUTBOUND_H-ADSS 24C-20251212-07"/>
  </r>
  <r>
    <s v="2358"/>
    <n v="4"/>
    <x v="0"/>
    <s v="INB-W0012512-001"/>
    <s v="EJ-Malang-01"/>
    <s v="Oka-0813-2707-1646"/>
    <x v="387"/>
    <d v="1899-12-30T13:00:00"/>
    <s v="ZTE Warehouse"/>
    <x v="0"/>
    <x v="33"/>
    <s v="ZTE2002"/>
    <s v="Meter"/>
    <n v="3000"/>
    <s v="CLR51-99-381"/>
    <x v="165"/>
    <s v="-"/>
    <s v="-"/>
    <m/>
    <m/>
    <m/>
    <m/>
    <m/>
    <m/>
    <x v="139"/>
    <s v="DUSUN ARDIREJO KELURAHAN SIDEREJO MALANG"/>
    <e v="#N/A"/>
    <e v="#N/A"/>
    <s v="OUTBOUND_H-ADSS 36C-20251212-01"/>
  </r>
  <r>
    <s v="2359"/>
    <m/>
    <x v="0"/>
    <s v="INB-W0012512-001"/>
    <s v="EJ-Malang-01"/>
    <s v="Oka-0813-2707-1646"/>
    <x v="387"/>
    <d v="1899-12-30T13:00:00"/>
    <s v="ZTE Warehouse"/>
    <x v="0"/>
    <x v="33"/>
    <s v="ZTE2002"/>
    <s v="Meter"/>
    <n v="3000"/>
    <s v="CLR51-99-381"/>
    <x v="165"/>
    <m/>
    <m/>
    <m/>
    <m/>
    <m/>
    <m/>
    <m/>
    <m/>
    <x v="140"/>
    <s v="DUSUN ARDIREJO KELURAHAN SIDEREJO MALANG"/>
    <e v="#N/A"/>
    <e v="#N/A"/>
    <s v="OUTBOUND_H-ADSS 36C-20251212-02"/>
  </r>
  <r>
    <s v="2360"/>
    <m/>
    <x v="0"/>
    <s v="INB-W0012512-001"/>
    <s v="EJ-Malang-01"/>
    <s v="Oka-0813-2707-1646"/>
    <x v="387"/>
    <d v="1899-12-30T13:00:00"/>
    <s v="ZTE Warehouse"/>
    <x v="0"/>
    <x v="33"/>
    <s v="ZTE2002"/>
    <s v="Meter"/>
    <n v="3000"/>
    <s v="CLR51-99-381"/>
    <x v="165"/>
    <m/>
    <m/>
    <m/>
    <m/>
    <m/>
    <m/>
    <m/>
    <m/>
    <x v="141"/>
    <s v="DUSUN ARDIREJO KELURAHAN SIDEREJO MALANG"/>
    <e v="#N/A"/>
    <e v="#N/A"/>
    <s v="OUTBOUND_H-ADSS 36C-20251212-03"/>
  </r>
  <r>
    <s v="2361"/>
    <m/>
    <x v="0"/>
    <s v="INB-W0012512-001"/>
    <s v="EJ-Malang-01"/>
    <s v="Oka-0813-2707-1646"/>
    <x v="387"/>
    <d v="1899-12-30T13:00:00"/>
    <s v="ZTE Warehouse"/>
    <x v="0"/>
    <x v="33"/>
    <s v="ZTE2002"/>
    <s v="Meter"/>
    <n v="3000"/>
    <s v="CLR51-99-381"/>
    <x v="165"/>
    <m/>
    <m/>
    <m/>
    <m/>
    <m/>
    <m/>
    <m/>
    <m/>
    <x v="142"/>
    <s v="DUSUN ARDIREJO KELURAHAN SIDEREJO MALANG"/>
    <e v="#N/A"/>
    <e v="#N/A"/>
    <s v="OUTBOUND_H-ADSS 36C-20251212-04"/>
  </r>
  <r>
    <s v="2362"/>
    <m/>
    <x v="0"/>
    <s v="INB-W0012512-001"/>
    <s v="EJ-Malang-01"/>
    <s v="Oka-0813-2707-1646"/>
    <x v="387"/>
    <d v="1899-12-30T13:00:00"/>
    <s v="ZTE Warehouse"/>
    <x v="0"/>
    <x v="33"/>
    <s v="ZTE2002"/>
    <s v="Meter"/>
    <n v="3000"/>
    <s v="CLR51-99-381"/>
    <x v="165"/>
    <m/>
    <m/>
    <m/>
    <m/>
    <m/>
    <m/>
    <m/>
    <m/>
    <x v="143"/>
    <s v="DUSUN ARDIREJO KELURAHAN SIDEREJO MALANG"/>
    <e v="#N/A"/>
    <e v="#N/A"/>
    <s v="OUTBOUND_H-ADSS 36C-20251212-05"/>
  </r>
  <r>
    <s v="2363"/>
    <m/>
    <x v="0"/>
    <s v="INB-W0012512-001"/>
    <s v="EJ-Malang-01"/>
    <s v="Oka-0813-2707-1646"/>
    <x v="387"/>
    <d v="1899-12-30T13:00:00"/>
    <s v="ZTE Warehouse"/>
    <x v="0"/>
    <x v="33"/>
    <s v="ZTE2002"/>
    <s v="Meter"/>
    <n v="3000"/>
    <s v="CLR51-99-381"/>
    <x v="165"/>
    <m/>
    <m/>
    <m/>
    <m/>
    <m/>
    <m/>
    <m/>
    <m/>
    <x v="144"/>
    <s v="DUSUN ARDIREJO KELURAHAN SIDEREJO MALANG"/>
    <e v="#N/A"/>
    <e v="#N/A"/>
    <s v="OUTBOUND_H-ADSS 36C-20251212-06"/>
  </r>
  <r>
    <s v="2364"/>
    <n v="8"/>
    <x v="0"/>
    <s v="INB-W0012512-001"/>
    <s v="EJ-Malang-01"/>
    <s v="Oka-0813-2707-1646"/>
    <x v="387"/>
    <d v="1899-12-30T13:00:00"/>
    <s v="ZTE Warehouse"/>
    <x v="0"/>
    <x v="2"/>
    <s v="ZTE2008"/>
    <s v="Pcs"/>
    <n v="40"/>
    <s v="CLR51-99-381"/>
    <x v="165"/>
    <s v="-"/>
    <s v="-"/>
    <m/>
    <m/>
    <m/>
    <m/>
    <m/>
    <m/>
    <x v="2"/>
    <s v="DUSUN ARDIREJO KELURAHAN SIDEREJO MALANG"/>
    <e v="#N/A"/>
    <e v="#N/A"/>
    <s v="OUTBOUND_"/>
  </r>
  <r>
    <s v="2365"/>
    <n v="7"/>
    <x v="0"/>
    <s v="INB-W0012512-001"/>
    <s v="EJ-Malang-01"/>
    <s v="Oka-0813-2707-1646"/>
    <x v="387"/>
    <d v="1899-12-30T13:00:00"/>
    <s v="ZTE Warehouse"/>
    <x v="0"/>
    <x v="3"/>
    <s v="ZTE2005"/>
    <s v="Pcs"/>
    <n v="1"/>
    <s v="CLR51-99-381"/>
    <x v="165"/>
    <s v="DOEID251211BZ"/>
    <s v="DNWID1382025121129"/>
    <m/>
    <m/>
    <m/>
    <m/>
    <m/>
    <m/>
    <x v="2"/>
    <s v="DUSUN ARDIREJO KELURAHAN SIDEREJO MALANG"/>
    <d v="2025-12-12T00:00:00"/>
    <b v="1"/>
    <s v="OUTBOUND_"/>
  </r>
  <r>
    <s v="2366"/>
    <n v="1"/>
    <x v="0"/>
    <s v="INB-W0012512-007"/>
    <s v="EJ-Malang-01"/>
    <s v="Oka-0813-2707-1646"/>
    <x v="387"/>
    <d v="1899-12-30T13:00:00"/>
    <s v="ZTE Warehouse"/>
    <x v="0"/>
    <x v="35"/>
    <s v="ZTE1007"/>
    <s v="Pcs"/>
    <n v="226"/>
    <s v="CLR51-99-381"/>
    <x v="165"/>
    <s v="DOEID251211L3"/>
    <s v="DNWID1382025121136"/>
    <m/>
    <m/>
    <m/>
    <m/>
    <m/>
    <m/>
    <x v="2"/>
    <s v="DUSUN ARDIREJO KELURAHAN SIDEREJO MALANG"/>
    <d v="2025-12-12T00:00:00"/>
    <b v="1"/>
    <s v="OUTBOUND_"/>
  </r>
  <r>
    <s v="2367"/>
    <n v="10"/>
    <x v="0"/>
    <s v="INB-W0012512-001"/>
    <s v="EJ-Malang-01"/>
    <s v="Oka-0813-2707-1646"/>
    <x v="387"/>
    <d v="1899-12-30T13:00:00"/>
    <s v="ZTE Warehouse"/>
    <x v="0"/>
    <x v="4"/>
    <s v="ZTE1002"/>
    <s v="Pcs"/>
    <n v="86"/>
    <m/>
    <x v="28"/>
    <s v="-"/>
    <s v="-"/>
    <m/>
    <m/>
    <m/>
    <m/>
    <m/>
    <m/>
    <x v="2"/>
    <n v="0"/>
    <e v="#N/A"/>
    <e v="#N/A"/>
    <s v="OUTBOUND_"/>
  </r>
  <r>
    <s v="2368"/>
    <n v="2"/>
    <x v="0"/>
    <s v="INB-W0012512-001"/>
    <s v="EJ-Malang-01"/>
    <s v="Oka-0813-2707-1646"/>
    <x v="387"/>
    <d v="1899-12-30T13:00:00"/>
    <s v="ZTE Warehouse"/>
    <x v="0"/>
    <x v="4"/>
    <s v="ZTE1002"/>
    <s v="Pcs"/>
    <n v="134"/>
    <m/>
    <x v="28"/>
    <s v="-"/>
    <s v="-"/>
    <m/>
    <m/>
    <m/>
    <m/>
    <m/>
    <m/>
    <x v="2"/>
    <n v="0"/>
    <e v="#N/A"/>
    <e v="#N/A"/>
    <s v="OUTBOUND_"/>
  </r>
  <r>
    <s v="2369"/>
    <n v="2"/>
    <x v="1"/>
    <s v="OUB-W0012512-001"/>
    <s v="EJ-Malang-01"/>
    <s v="Oka-0813-2707-1646"/>
    <x v="387"/>
    <d v="1899-12-30T08:00:00"/>
    <s v="EJ-MALANG-01"/>
    <x v="0"/>
    <x v="4"/>
    <s v="ZTE1002"/>
    <s v="Pcs"/>
    <n v="14"/>
    <s v="CLR51-99-382"/>
    <x v="164"/>
    <s v="-"/>
    <s v="-"/>
    <m/>
    <s v="Riki Romansyah"/>
    <s v="Suliadi"/>
    <s v="3507050501950006"/>
    <s v="N 8420 EL"/>
    <m/>
    <x v="2"/>
    <s v="DUSUN SIDOAYU KELURAHAN SIDEREJO MALANG"/>
    <e v="#N/A"/>
    <e v="#N/A"/>
    <s v="OUTBOUND_"/>
  </r>
  <r>
    <s v="2370"/>
    <n v="1"/>
    <x v="0"/>
    <s v="INB-W0012512-001"/>
    <s v="EJ-Malang-01"/>
    <s v="Oka-0813-2707-1646"/>
    <x v="387"/>
    <d v="1899-12-30T13:00:00"/>
    <s v="ZTE Warehouse"/>
    <x v="0"/>
    <x v="5"/>
    <s v="ZTE1001"/>
    <s v="Pcs"/>
    <n v="50"/>
    <m/>
    <x v="28"/>
    <s v="-"/>
    <s v="-"/>
    <m/>
    <m/>
    <m/>
    <m/>
    <m/>
    <m/>
    <x v="2"/>
    <n v="0"/>
    <e v="#N/A"/>
    <e v="#N/A"/>
    <s v="OUTBOUND_"/>
  </r>
  <r>
    <s v="2371"/>
    <n v="11"/>
    <x v="0"/>
    <s v="INB-W0012512-001"/>
    <s v="EJ-Malang-01"/>
    <s v="Oka-0813-2707-1646"/>
    <x v="387"/>
    <d v="1899-12-30T13:00:00"/>
    <s v="ZTE Warehouse"/>
    <x v="0"/>
    <x v="5"/>
    <s v="ZTE1001"/>
    <s v="Pcs"/>
    <n v="50"/>
    <m/>
    <x v="28"/>
    <s v="-"/>
    <s v="-"/>
    <m/>
    <m/>
    <m/>
    <m/>
    <m/>
    <m/>
    <x v="2"/>
    <n v="0"/>
    <e v="#N/A"/>
    <e v="#N/A"/>
    <s v="OUTBOUND_"/>
  </r>
  <r>
    <s v="2372"/>
    <n v="1"/>
    <x v="1"/>
    <s v="OUB-W0012512-001"/>
    <s v="EJ-Malang-01"/>
    <s v="Oka-0813-2707-1646"/>
    <x v="387"/>
    <d v="1899-12-30T08:00:00"/>
    <s v="EJ-MALANG-01"/>
    <x v="0"/>
    <x v="5"/>
    <s v="ZTE1001"/>
    <s v="Pcs"/>
    <n v="52"/>
    <s v="CLR51-99-382"/>
    <x v="164"/>
    <s v="-"/>
    <s v="-"/>
    <m/>
    <s v="Riki Romansyah"/>
    <s v="Suliadi"/>
    <s v="3507050501950006"/>
    <s v="N 8420 EL"/>
    <m/>
    <x v="2"/>
    <s v="DUSUN SIDOAYU KELURAHAN SIDEREJO MALANG"/>
    <e v="#N/A"/>
    <e v="#N/A"/>
    <s v="OUTBOUND_"/>
  </r>
  <r>
    <s v="2373"/>
    <n v="9"/>
    <x v="0"/>
    <s v="INB-W0012512-001"/>
    <s v="EJ-Malang-01"/>
    <s v="Oka-0813-2707-1646"/>
    <x v="387"/>
    <d v="1899-12-30T13:00:00"/>
    <s v="ZTE Warehouse"/>
    <x v="0"/>
    <x v="19"/>
    <s v="ZTE1003"/>
    <s v="Pcs"/>
    <n v="2"/>
    <m/>
    <x v="28"/>
    <s v="-"/>
    <s v="-"/>
    <m/>
    <m/>
    <m/>
    <m/>
    <m/>
    <m/>
    <x v="2"/>
    <n v="0"/>
    <e v="#N/A"/>
    <e v="#N/A"/>
    <s v="OUTBOUND_"/>
  </r>
  <r>
    <s v="2374"/>
    <m/>
    <x v="0"/>
    <s v="INB-W0012512-001"/>
    <s v="EJ-Malang-01"/>
    <s v="Oka-0813-2707-1646"/>
    <x v="387"/>
    <d v="1899-12-30T13:00:00"/>
    <s v="ZTE Warehouse"/>
    <x v="0"/>
    <x v="19"/>
    <s v="ZTE1003"/>
    <s v="Pcs"/>
    <n v="3"/>
    <m/>
    <x v="28"/>
    <m/>
    <m/>
    <m/>
    <m/>
    <m/>
    <m/>
    <m/>
    <m/>
    <x v="2"/>
    <n v="0"/>
    <e v="#N/A"/>
    <e v="#N/A"/>
    <s v="OUTBOUND_"/>
  </r>
  <r>
    <s v="2375"/>
    <n v="2"/>
    <x v="1"/>
    <s v="OUB-W0012512-002"/>
    <s v="EJ-Malang-01"/>
    <s v="Oka-0813-2707-1646"/>
    <x v="388"/>
    <d v="1899-12-30T08:00:00"/>
    <s v="EJ-MALANG-01"/>
    <x v="0"/>
    <x v="35"/>
    <s v="ZTE1007"/>
    <s v="Pcs"/>
    <n v="29"/>
    <s v="CLR51-99-381"/>
    <x v="165"/>
    <s v="-"/>
    <s v="-"/>
    <m/>
    <s v="Riki Romansyah"/>
    <s v="Suliadi"/>
    <s v="3507050501950006"/>
    <s v="N 8420 EL"/>
    <m/>
    <x v="2"/>
    <s v="DUSUN ARDIREJO KELURAHAN SIDEREJO MALANG"/>
    <e v="#N/A"/>
    <e v="#N/A"/>
    <s v="OUTBOUND_"/>
  </r>
  <r>
    <s v="2376"/>
    <n v="1"/>
    <x v="1"/>
    <s v="OUB-W0012512-003"/>
    <s v="EJ-Malang-01"/>
    <s v="Oka-0813-2707-1646"/>
    <x v="388"/>
    <d v="1899-12-30T15:00:00"/>
    <s v="EJ-MALANG-01"/>
    <x v="0"/>
    <x v="35"/>
    <s v="ZTE1007"/>
    <s v="Pcs"/>
    <n v="40"/>
    <s v="CLR51-99-382"/>
    <x v="164"/>
    <s v="-"/>
    <s v="-"/>
    <m/>
    <s v="Riki Romansyah"/>
    <s v="Suliadi"/>
    <s v="3507050501950006"/>
    <s v="N 8420 EL"/>
    <m/>
    <x v="2"/>
    <s v="DUSUN SIDOAYU KELURAHAN SIDEREJO MALANG"/>
    <e v="#N/A"/>
    <e v="#N/A"/>
    <s v="OUTBOUND_"/>
  </r>
  <r>
    <s v="2377"/>
    <n v="1"/>
    <x v="1"/>
    <s v="OUB-W0012512-002"/>
    <s v="EJ-Malang-01"/>
    <s v="Oka-0813-2707-1646"/>
    <x v="388"/>
    <d v="1899-12-30T08:00:00"/>
    <s v="EJ-MALANG-01"/>
    <x v="0"/>
    <x v="4"/>
    <s v="ZTE1002"/>
    <s v="Pcs"/>
    <n v="25"/>
    <s v="CLR51-99-382"/>
    <x v="164"/>
    <s v="-"/>
    <s v="-"/>
    <m/>
    <s v="Riki Romansyah"/>
    <s v="Suliadi"/>
    <s v="3507050501950006"/>
    <s v="N 8420 EL"/>
    <m/>
    <x v="2"/>
    <s v="DUSUN SIDOAYU KELURAHAN SIDEREJO MALANG"/>
    <e v="#N/A"/>
    <e v="#N/A"/>
    <s v="OUTBOUND_"/>
  </r>
  <r>
    <s v="2378"/>
    <n v="2"/>
    <x v="1"/>
    <s v="OUB-W0012512-004"/>
    <s v="EJ-Malang-01"/>
    <s v="Oka-0813-2707-1646"/>
    <x v="389"/>
    <d v="1899-12-30T08:00:00"/>
    <s v="EJ-MALANG-01"/>
    <x v="0"/>
    <x v="35"/>
    <s v="ZTE1007"/>
    <s v="Pcs"/>
    <n v="29"/>
    <s v="CLR51-99-382"/>
    <x v="164"/>
    <m/>
    <m/>
    <m/>
    <s v="Riki Romansyah"/>
    <s v="Suliadi"/>
    <s v="3507050501950006"/>
    <s v="N 8420 EL"/>
    <m/>
    <x v="2"/>
    <s v="DUSUN SIDOAYU KELURAHAN SIDEREJO MALANG"/>
    <e v="#N/A"/>
    <e v="#N/A"/>
    <s v="OUTBOUND_"/>
  </r>
  <r>
    <s v="2379"/>
    <n v="1"/>
    <x v="1"/>
    <s v="OUB-W0012512-004"/>
    <s v="EJ-Malang-01"/>
    <s v="Oka-0813-2707-1646"/>
    <x v="389"/>
    <d v="1899-12-30T08:00:00"/>
    <s v="EJ-MALANG-01"/>
    <x v="0"/>
    <x v="4"/>
    <s v="ZTE1002"/>
    <s v="Pcs"/>
    <n v="25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380"/>
    <n v="10"/>
    <x v="1"/>
    <s v="OUB-W0012512-006"/>
    <s v="EJ-Malang-01"/>
    <s v="Oka-0813-2707-1646"/>
    <x v="390"/>
    <d v="1899-12-30T11:50:00"/>
    <s v="EJ-MALANG-01"/>
    <x v="0"/>
    <x v="33"/>
    <s v="ZTE2002"/>
    <s v="Meter"/>
    <n v="3000"/>
    <s v="-"/>
    <x v="28"/>
    <m/>
    <m/>
    <m/>
    <s v="Riki Romansyah"/>
    <s v="Suliadi"/>
    <s v="3507050501950006"/>
    <s v="N 8420 EL"/>
    <m/>
    <x v="2"/>
    <n v="0"/>
    <e v="#N/A"/>
    <e v="#N/A"/>
    <s v="OUTBOUND_"/>
  </r>
  <r>
    <s v="2381"/>
    <n v="1"/>
    <x v="1"/>
    <s v="OUB-W0012512-005"/>
    <s v="EJ-Malang-01"/>
    <s v="Oka-0813-2707-1646"/>
    <x v="390"/>
    <d v="1899-12-30T08:50:00"/>
    <s v="EJ-MALANG-01"/>
    <x v="0"/>
    <x v="1"/>
    <s v="ZTE2003"/>
    <s v="Meter"/>
    <n v="3000"/>
    <s v="-"/>
    <x v="28"/>
    <s v="-"/>
    <s v="-"/>
    <m/>
    <s v="Riki Romansyah"/>
    <s v="Suliadi"/>
    <s v="3507050501950006"/>
    <s v="N 8420 EL"/>
    <m/>
    <x v="2"/>
    <n v="0"/>
    <e v="#N/A"/>
    <e v="#N/A"/>
    <s v="OUTBOUND_"/>
  </r>
  <r>
    <s v="2382"/>
    <n v="9"/>
    <x v="1"/>
    <s v="OUB-W0012512-005"/>
    <s v="EJ-Malang-01"/>
    <s v="Oka-0813-2707-1646"/>
    <x v="390"/>
    <d v="1899-12-30T08:50:00"/>
    <s v="EJ-MALANG-01"/>
    <x v="1"/>
    <x v="6"/>
    <s v="GCI1011"/>
    <s v="Pcs"/>
    <n v="1"/>
    <s v="-"/>
    <x v="28"/>
    <s v="-"/>
    <s v="-"/>
    <m/>
    <s v="Riki Romansyah"/>
    <s v="Suliadi"/>
    <s v="3507050501950006"/>
    <s v="N 8420 EL"/>
    <m/>
    <x v="2"/>
    <n v="0"/>
    <e v="#N/A"/>
    <e v="#N/A"/>
    <s v="OUTBOUND_"/>
  </r>
  <r>
    <s v="2383"/>
    <n v="7"/>
    <x v="1"/>
    <s v="OUB-W0012512-005"/>
    <s v="EJ-Malang-01"/>
    <s v="Oka-0813-2707-1646"/>
    <x v="390"/>
    <d v="1899-12-30T08:50:00"/>
    <s v="EJ-MALANG-01"/>
    <x v="1"/>
    <x v="8"/>
    <s v="GCI1005"/>
    <s v="Pcs"/>
    <n v="339"/>
    <s v="-"/>
    <x v="28"/>
    <s v="-"/>
    <s v="-"/>
    <m/>
    <s v="Riki Romansyah"/>
    <s v="Suliadi"/>
    <s v="3507050501950006"/>
    <s v="N 8420 EL"/>
    <m/>
    <x v="2"/>
    <n v="0"/>
    <e v="#N/A"/>
    <e v="#N/A"/>
    <s v="OUTBOUND_"/>
  </r>
  <r>
    <s v="2384"/>
    <n v="3"/>
    <x v="1"/>
    <s v="OUB-W0012512-005"/>
    <s v="EJ-Malang-01"/>
    <s v="Oka-0813-2707-1646"/>
    <x v="390"/>
    <d v="1899-12-30T08:50:00"/>
    <s v="EJ-MALANG-01"/>
    <x v="1"/>
    <x v="9"/>
    <s v="GCI1001"/>
    <s v="Pcs"/>
    <n v="52"/>
    <s v="-"/>
    <x v="28"/>
    <s v="-"/>
    <s v="-"/>
    <m/>
    <s v="Riki Romansyah"/>
    <s v="Suliadi"/>
    <s v="3507050501950006"/>
    <s v="N 8420 EL"/>
    <m/>
    <x v="2"/>
    <n v="0"/>
    <e v="#N/A"/>
    <e v="#N/A"/>
    <s v="OUTBOUND_"/>
  </r>
  <r>
    <s v="2385"/>
    <n v="8"/>
    <x v="1"/>
    <s v="OUB-W0012512-005"/>
    <s v="EJ-Malang-01"/>
    <s v="Oka-0813-2707-1646"/>
    <x v="390"/>
    <d v="1899-12-30T08:50:00"/>
    <s v="EJ-MALANG-01"/>
    <x v="1"/>
    <x v="10"/>
    <s v="GCI1009"/>
    <s v="Pcs"/>
    <n v="267"/>
    <s v="-"/>
    <x v="28"/>
    <s v="-"/>
    <s v="-"/>
    <m/>
    <s v="Riki Romansyah"/>
    <s v="Suliadi"/>
    <s v="3507050501950006"/>
    <s v="N 8420 EL"/>
    <m/>
    <x v="2"/>
    <n v="0"/>
    <e v="#N/A"/>
    <e v="#N/A"/>
    <s v="OUTBOUND_"/>
  </r>
  <r>
    <s v="2386"/>
    <n v="1"/>
    <x v="1"/>
    <s v="OUB-W0012512-007"/>
    <s v="EJ-Malang-01"/>
    <s v="Oka-0813-2707-1646"/>
    <x v="390"/>
    <d v="1899-12-30T16:35:00"/>
    <s v="EJ-MALANG-01"/>
    <x v="0"/>
    <x v="2"/>
    <s v="ZTE2008"/>
    <s v="Pcs"/>
    <n v="24"/>
    <s v="CLR51-99-382"/>
    <x v="164"/>
    <m/>
    <m/>
    <m/>
    <s v="Sifak"/>
    <s v="Suliadi"/>
    <s v="3507312107950002"/>
    <s v="N 1046 ABC"/>
    <m/>
    <x v="2"/>
    <s v="DUSUN SIDOAYU KELURAHAN SIDEREJO MALANG"/>
    <e v="#N/A"/>
    <e v="#N/A"/>
    <s v="OUTBOUND_"/>
  </r>
  <r>
    <s v="2387"/>
    <n v="6"/>
    <x v="1"/>
    <s v="OUB-W0012512-005"/>
    <s v="EJ-Malang-01"/>
    <s v="Oka-0813-2707-1646"/>
    <x v="390"/>
    <d v="1899-12-30T08:50:00"/>
    <s v="EJ-MALANG-01"/>
    <x v="1"/>
    <x v="11"/>
    <s v="GCI1002"/>
    <s v="Pcs"/>
    <n v="5"/>
    <s v="-"/>
    <x v="28"/>
    <s v="-"/>
    <s v="-"/>
    <m/>
    <s v="Riki Romansyah"/>
    <s v="Suliadi"/>
    <s v="3507050501950006"/>
    <s v="N 8420 EL"/>
    <m/>
    <x v="2"/>
    <n v="0"/>
    <e v="#N/A"/>
    <e v="#N/A"/>
    <s v="OUTBOUND_"/>
  </r>
  <r>
    <s v="2388"/>
    <n v="13"/>
    <x v="1"/>
    <s v="OUB-W0012512-006"/>
    <s v="EJ-Malang-01"/>
    <s v="Oka-0813-2707-1646"/>
    <x v="390"/>
    <d v="1899-12-30T11:50:00"/>
    <s v="EJ-MALANG-01"/>
    <x v="0"/>
    <x v="35"/>
    <s v="ZTE1007"/>
    <s v="Pcs"/>
    <n v="9"/>
    <s v="CLR51-99-382"/>
    <x v="164"/>
    <m/>
    <m/>
    <m/>
    <s v="Riki Romansyah"/>
    <s v="Suliadi"/>
    <s v="3507050501950006"/>
    <s v="N 8420 EL"/>
    <m/>
    <x v="2"/>
    <s v="DUSUN SIDOAYU KELURAHAN SIDEREJO MALANG"/>
    <e v="#N/A"/>
    <e v="#N/A"/>
    <s v="OUTBOUND_"/>
  </r>
  <r>
    <s v="2389"/>
    <n v="12"/>
    <x v="1"/>
    <s v="OUB-W0012512-006"/>
    <s v="EJ-Malang-01"/>
    <s v="Oka-0813-2707-1646"/>
    <x v="390"/>
    <d v="1899-12-30T11:50:00"/>
    <s v="EJ-MALANG-01"/>
    <x v="0"/>
    <x v="4"/>
    <s v="ZTE1002"/>
    <s v="Pcs"/>
    <n v="31"/>
    <s v="CLR51-99-382"/>
    <x v="164"/>
    <m/>
    <m/>
    <m/>
    <s v="Riki Romansyah"/>
    <s v="Suliadi"/>
    <s v="3507050501950006"/>
    <s v="N 8420 EL"/>
    <m/>
    <x v="2"/>
    <s v="DUSUN SIDOAYU KELURAHAN SIDEREJO MALANG"/>
    <e v="#N/A"/>
    <e v="#N/A"/>
    <s v="OUTBOUND_"/>
  </r>
  <r>
    <s v="2390"/>
    <n v="11"/>
    <x v="1"/>
    <s v="OUB-W0012512-006"/>
    <s v="EJ-Malang-01"/>
    <s v="Oka-0813-2707-1646"/>
    <x v="390"/>
    <d v="1899-12-30T11:50:00"/>
    <s v="EJ-MALANG-01"/>
    <x v="0"/>
    <x v="5"/>
    <s v="ZTE1001"/>
    <s v="Pcs"/>
    <n v="18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391"/>
    <n v="14"/>
    <x v="1"/>
    <s v="OUB-W0012512-006"/>
    <s v="EJ-Malang-01"/>
    <s v="Oka-0813-2707-1646"/>
    <x v="390"/>
    <d v="1899-12-30T11:50:00"/>
    <s v="EJ-MALANG-01"/>
    <x v="0"/>
    <x v="19"/>
    <s v="ZTE1003"/>
    <s v="Pcs"/>
    <n v="2"/>
    <s v="CLR51-99-382"/>
    <x v="164"/>
    <m/>
    <m/>
    <m/>
    <s v="Riki Romansyah"/>
    <s v="Suliadi"/>
    <s v="3507050501950006"/>
    <s v="N 8420 EL"/>
    <m/>
    <x v="2"/>
    <s v="DUSUN SIDOAYU KELURAHAN SIDEREJO MALANG"/>
    <e v="#N/A"/>
    <e v="#N/A"/>
    <s v="OUTBOUND_"/>
  </r>
  <r>
    <s v="2392"/>
    <n v="2"/>
    <x v="1"/>
    <s v="OUB-W0012512-005"/>
    <s v="EJ-Malang-01"/>
    <s v="Oka-0813-2707-1646"/>
    <x v="390"/>
    <d v="1899-12-30T08:50:00"/>
    <s v="EJ-MALANG-01"/>
    <x v="1"/>
    <x v="12"/>
    <s v="GCI1008"/>
    <s v="Pcs"/>
    <n v="245"/>
    <s v="-"/>
    <x v="28"/>
    <s v="-"/>
    <s v="-"/>
    <m/>
    <s v="Riki Romansyah"/>
    <s v="Suliadi"/>
    <s v="3507050501950006"/>
    <s v="N 8420 EL"/>
    <m/>
    <x v="2"/>
    <n v="0"/>
    <e v="#N/A"/>
    <e v="#N/A"/>
    <s v="OUTBOUND_"/>
  </r>
  <r>
    <s v="2393"/>
    <n v="4"/>
    <x v="1"/>
    <s v="OUB-W0012512-005"/>
    <s v="EJ-Malang-01"/>
    <s v="Oka-0813-2707-1646"/>
    <x v="390"/>
    <d v="1899-12-30T08:50:00"/>
    <s v="EJ-MALANG-01"/>
    <x v="1"/>
    <x v="15"/>
    <s v="GCI1003"/>
    <s v="Pcs"/>
    <n v="144"/>
    <s v="-"/>
    <x v="28"/>
    <s v="-"/>
    <s v="-"/>
    <m/>
    <s v="Riki Romansyah"/>
    <s v="Suliadi"/>
    <s v="3507050501950006"/>
    <s v="N 8420 EL"/>
    <m/>
    <x v="2"/>
    <n v="0"/>
    <e v="#N/A"/>
    <e v="#N/A"/>
    <s v="OUTBOUND_"/>
  </r>
  <r>
    <s v="2394"/>
    <n v="5"/>
    <x v="1"/>
    <s v="OUB-W0012512-005"/>
    <s v="EJ-Malang-01"/>
    <s v="Oka-0813-2707-1646"/>
    <x v="390"/>
    <d v="1899-12-30T08:50:00"/>
    <s v="EJ-MALANG-01"/>
    <x v="1"/>
    <x v="16"/>
    <s v="GCI1004"/>
    <s v="Pcs"/>
    <n v="97"/>
    <s v="-"/>
    <x v="28"/>
    <s v="-"/>
    <s v="-"/>
    <m/>
    <s v="Riki Romansyah"/>
    <s v="Suliadi"/>
    <s v="3507050501950006"/>
    <s v="N 8420 EL"/>
    <m/>
    <x v="2"/>
    <n v="0"/>
    <e v="#N/A"/>
    <e v="#N/A"/>
    <s v="OUTBOUND_"/>
  </r>
  <r>
    <s v="2395"/>
    <n v="1"/>
    <x v="1"/>
    <s v="OUB-W0012512-008"/>
    <s v="EJ-Malang-01"/>
    <s v="Oka-0813-2707-1646"/>
    <x v="391"/>
    <d v="1899-12-30T08:00:00"/>
    <s v="EJ-MALANG-01"/>
    <x v="0"/>
    <x v="33"/>
    <s v="ZTE2002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396"/>
    <n v="2"/>
    <x v="1"/>
    <s v="OUB-W0012512-008"/>
    <s v="EJ-Malang-01"/>
    <s v="Oka-0813-2707-1646"/>
    <x v="391"/>
    <d v="1899-12-30T08:00:00"/>
    <s v="EJ-MALANG-01"/>
    <x v="0"/>
    <x v="33"/>
    <s v="ZTE2002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397"/>
    <n v="1"/>
    <x v="2"/>
    <s v="TFI-W0012512-001"/>
    <s v="EJ-Malang-01"/>
    <s v="Oka-0813-2707-1646"/>
    <x v="391"/>
    <d v="1899-12-30T08:00:00"/>
    <s v="EJ-MALANG-01"/>
    <x v="0"/>
    <x v="2"/>
    <s v="ZTE2008"/>
    <s v="Pcs"/>
    <n v="60"/>
    <m/>
    <x v="28"/>
    <m/>
    <m/>
    <m/>
    <m/>
    <m/>
    <m/>
    <m/>
    <m/>
    <x v="2"/>
    <n v="0"/>
    <e v="#N/A"/>
    <e v="#N/A"/>
    <s v="OUTBOUND_"/>
  </r>
  <r>
    <s v="2398"/>
    <n v="3"/>
    <x v="0"/>
    <s v="INB-W0012512-001"/>
    <s v="EJ-Malang-01"/>
    <s v="Oka-0813-2707-1646"/>
    <x v="391"/>
    <d v="1899-12-30T13:00:00"/>
    <s v="ZTE Warehouse"/>
    <x v="0"/>
    <x v="35"/>
    <s v="ZTE1007"/>
    <s v="Pcs"/>
    <n v="119"/>
    <s v="CLR51-99-382"/>
    <x v="164"/>
    <s v="DOEID251215M5"/>
    <s v="DNWID1382025121610"/>
    <m/>
    <m/>
    <m/>
    <m/>
    <m/>
    <m/>
    <x v="2"/>
    <s v="DUSUN SIDOAYU KELURAHAN SIDEREJO MALANG"/>
    <d v="2025-12-16T00:00:00"/>
    <b v="1"/>
    <s v="OUTBOUND_"/>
  </r>
  <r>
    <s v="2399"/>
    <n v="1"/>
    <x v="1"/>
    <s v="OUB-W0012512-009"/>
    <s v="EJ-Malang-01"/>
    <s v="Oka-0813-2707-1646"/>
    <x v="392"/>
    <d v="1899-12-30T08:00:00"/>
    <s v="EJ-MALANG-01"/>
    <x v="0"/>
    <x v="0"/>
    <s v="ZTE2001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00"/>
    <n v="2"/>
    <x v="1"/>
    <s v="OUB-W0012512-009"/>
    <s v="EJ-Malang-01"/>
    <s v="Oka-0813-2707-1646"/>
    <x v="392"/>
    <d v="1899-12-30T08:00:00"/>
    <s v="EJ-MALANG-01"/>
    <x v="0"/>
    <x v="33"/>
    <s v="ZTE2002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01"/>
    <n v="1"/>
    <x v="1"/>
    <s v="OUB-W0012512-010"/>
    <s v="EJ-Malang-01"/>
    <s v="Oka-0813-2707-1646"/>
    <x v="392"/>
    <d v="1899-12-30T16:35:00"/>
    <s v="EJ-MALANG-01"/>
    <x v="0"/>
    <x v="2"/>
    <s v="ZTE2008"/>
    <s v="Pcs"/>
    <n v="16"/>
    <s v="CLR51-99-382"/>
    <x v="164"/>
    <m/>
    <m/>
    <m/>
    <s v="Sifak"/>
    <s v="Suliadi"/>
    <s v="3507312107950002"/>
    <s v="N 1046 ABC"/>
    <m/>
    <x v="2"/>
    <s v="DUSUN SIDOAYU KELURAHAN SIDEREJO MALANG"/>
    <e v="#N/A"/>
    <e v="#N/A"/>
    <s v="OUTBOUND_"/>
  </r>
  <r>
    <s v="2402"/>
    <n v="2"/>
    <x v="1"/>
    <s v="OUB-W0012512-010"/>
    <s v="EJ-Malang-01"/>
    <s v="Oka-0813-2707-1646"/>
    <x v="392"/>
    <d v="1899-12-30T16:35:00"/>
    <s v="EJ-MALANG-01"/>
    <x v="0"/>
    <x v="30"/>
    <s v="ZTE2006"/>
    <s v="Pcs"/>
    <n v="3"/>
    <s v="CLR51-99-382"/>
    <x v="164"/>
    <m/>
    <m/>
    <m/>
    <s v="Sifak"/>
    <s v="Suliadi"/>
    <s v="3507312107950002"/>
    <s v="N 1046 ABC"/>
    <m/>
    <x v="2"/>
    <s v="DUSUN SIDOAYU KELURAHAN SIDEREJO MALANG"/>
    <e v="#N/A"/>
    <e v="#N/A"/>
    <s v="OUTBOUND_"/>
  </r>
  <r>
    <s v="2403"/>
    <n v="3"/>
    <x v="0"/>
    <s v="INB-W0012512-007"/>
    <s v="EJ-Malang-01"/>
    <s v="Oka-0813-2707-1646"/>
    <x v="393"/>
    <d v="1899-12-30T13:00:00"/>
    <s v="ZTE Warehouse"/>
    <x v="0"/>
    <x v="33"/>
    <s v="ZTE2002"/>
    <s v="Meter"/>
    <n v="3000"/>
    <m/>
    <x v="28"/>
    <m/>
    <m/>
    <m/>
    <m/>
    <m/>
    <m/>
    <m/>
    <m/>
    <x v="145"/>
    <n v="0"/>
    <e v="#N/A"/>
    <e v="#N/A"/>
    <s v="OUTBOUND_H-ADSS 36C-20251218-01"/>
  </r>
  <r>
    <s v="2404"/>
    <m/>
    <x v="0"/>
    <s v="INB-W0012512-007"/>
    <s v="EJ-Malang-01"/>
    <s v="Oka-0813-2707-1646"/>
    <x v="393"/>
    <d v="1899-12-30T13:00:00"/>
    <s v="ZTE Warehouse"/>
    <x v="0"/>
    <x v="33"/>
    <s v="ZTE2002"/>
    <s v="Meter"/>
    <n v="3000"/>
    <m/>
    <x v="28"/>
    <m/>
    <m/>
    <m/>
    <m/>
    <m/>
    <m/>
    <m/>
    <m/>
    <x v="146"/>
    <n v="0"/>
    <e v="#N/A"/>
    <e v="#N/A"/>
    <s v="OUTBOUND_H-ADSS 36C-20251218-02"/>
  </r>
  <r>
    <s v="2405"/>
    <n v="2"/>
    <x v="0"/>
    <s v="INB-W0012512-007"/>
    <s v="EJ-Malang-01"/>
    <s v="Oka-0813-2707-1646"/>
    <x v="393"/>
    <d v="1899-12-30T13:00:00"/>
    <s v="ZTE Warehouse"/>
    <x v="0"/>
    <x v="2"/>
    <s v="ZTE2008"/>
    <s v="Pcs"/>
    <n v="110"/>
    <m/>
    <x v="28"/>
    <m/>
    <m/>
    <m/>
    <m/>
    <m/>
    <m/>
    <m/>
    <m/>
    <x v="2"/>
    <n v="0"/>
    <e v="#N/A"/>
    <e v="#N/A"/>
    <s v="OUTBOUND_"/>
  </r>
  <r>
    <s v="2406"/>
    <n v="1"/>
    <x v="1"/>
    <s v="OUB-W0012512-012"/>
    <s v="EJ-Malang-01"/>
    <s v="Oka-0813-2707-1646"/>
    <x v="393"/>
    <d v="1899-12-30T16:35:00"/>
    <s v="EJ-MALANG-01"/>
    <x v="0"/>
    <x v="2"/>
    <s v="ZTE2008"/>
    <s v="Pcs"/>
    <n v="39"/>
    <s v="CLR51-99-382"/>
    <x v="164"/>
    <m/>
    <m/>
    <m/>
    <s v="Sifak"/>
    <s v="Suliadi"/>
    <s v="3507312107950002"/>
    <s v="N 1046 ABC"/>
    <m/>
    <x v="2"/>
    <s v="DUSUN SIDOAYU KELURAHAN SIDEREJO MALANG"/>
    <e v="#N/A"/>
    <e v="#N/A"/>
    <s v="OUTBOUND_"/>
  </r>
  <r>
    <s v="2407"/>
    <n v="1"/>
    <x v="1"/>
    <s v="OUB-W0012512-011"/>
    <s v="EJ-Malang-01"/>
    <s v="Oka-0813-2707-1646"/>
    <x v="393"/>
    <d v="1899-12-30T08:00:00"/>
    <s v="EJ-MALANG-01"/>
    <x v="0"/>
    <x v="35"/>
    <s v="ZTE1007"/>
    <s v="Pcs"/>
    <n v="10"/>
    <s v="CLR51-99-382"/>
    <x v="164"/>
    <m/>
    <m/>
    <m/>
    <s v="Riki Romansyah"/>
    <s v="Suliadi"/>
    <s v="3507050501950006"/>
    <s v="N 8420 EL"/>
    <m/>
    <x v="2"/>
    <s v="DUSUN SIDOAYU KELURAHAN SIDEREJO MALANG"/>
    <e v="#N/A"/>
    <e v="#N/A"/>
    <s v="OUTBOUND_"/>
  </r>
  <r>
    <s v="2408"/>
    <n v="2"/>
    <x v="1"/>
    <s v="OUB-W0012512-011"/>
    <s v="EJ-Malang-01"/>
    <s v="Oka-0813-2707-1646"/>
    <x v="393"/>
    <d v="1899-12-30T08:00:00"/>
    <s v="EJ-MALANG-01"/>
    <x v="0"/>
    <x v="4"/>
    <s v="ZTE1002"/>
    <s v="Pcs"/>
    <n v="20"/>
    <s v="CLR51-99-382"/>
    <x v="164"/>
    <m/>
    <m/>
    <m/>
    <s v="Riki Romansyah"/>
    <s v="Suliadi"/>
    <s v="3507050501950006"/>
    <s v="N 8420 EL"/>
    <m/>
    <x v="2"/>
    <s v="DUSUN SIDOAYU KELURAHAN SIDEREJO MALANG"/>
    <e v="#N/A"/>
    <e v="#N/A"/>
    <s v="OUTBOUND_"/>
  </r>
  <r>
    <s v="2409"/>
    <n v="1"/>
    <x v="1"/>
    <s v="OUB-W0012512-012"/>
    <s v="EJ-Malang-01"/>
    <s v="Oka-0813-2707-1646"/>
    <x v="394"/>
    <d v="1899-12-30T08:00:00"/>
    <s v="EJ-MALANG-01"/>
    <x v="0"/>
    <x v="35"/>
    <s v="ZTE1007"/>
    <s v="Pcs"/>
    <n v="9"/>
    <s v="CLR51-99-382"/>
    <x v="164"/>
    <m/>
    <m/>
    <m/>
    <s v="Riki Romansyah"/>
    <s v="Suliadi"/>
    <s v="3507050501950006"/>
    <s v="N 8420 EL"/>
    <m/>
    <x v="2"/>
    <s v="DUSUN SIDOAYU KELURAHAN SIDEREJO MALANG"/>
    <e v="#N/A"/>
    <e v="#N/A"/>
    <s v="OUTBOUND_"/>
  </r>
  <r>
    <s v="2410"/>
    <n v="1"/>
    <x v="1"/>
    <s v="OUB-W0012512-013"/>
    <s v="EJ-Malang-01"/>
    <s v="Oka-0813-2707-1646"/>
    <x v="394"/>
    <d v="1899-12-30T13:00:00"/>
    <s v="EJ-MALANG-01"/>
    <x v="0"/>
    <x v="35"/>
    <s v="ZTE1007"/>
    <s v="Pcs"/>
    <n v="39"/>
    <s v="CLR51-99-382"/>
    <x v="164"/>
    <m/>
    <m/>
    <m/>
    <s v="Riki Romansyah"/>
    <s v="Suliadi"/>
    <s v="3507050501950006"/>
    <s v="N 8420 EL"/>
    <m/>
    <x v="2"/>
    <s v="DUSUN SIDOAYU KELURAHAN SIDEREJO MALANG"/>
    <e v="#N/A"/>
    <e v="#N/A"/>
    <s v="OUTBOUND_"/>
  </r>
  <r>
    <s v="2411"/>
    <n v="2"/>
    <x v="1"/>
    <s v="OUB-W0012512-012"/>
    <s v="EJ-Malang-01"/>
    <s v="Oka-0813-2707-1646"/>
    <x v="394"/>
    <d v="1899-12-30T08:00:00"/>
    <s v="EJ-MALANG-01"/>
    <x v="0"/>
    <x v="4"/>
    <s v="ZTE1002"/>
    <s v="Pcs"/>
    <n v="10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12"/>
    <n v="2"/>
    <x v="1"/>
    <s v="OUB-W0012512-013"/>
    <s v="EJ-Malang-01"/>
    <s v="Oka-0813-2707-1646"/>
    <x v="394"/>
    <d v="1899-12-30T13:00:00"/>
    <s v="EJ-MALANG-01"/>
    <x v="0"/>
    <x v="4"/>
    <s v="ZTE1002"/>
    <s v="Pcs"/>
    <n v="18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13"/>
    <n v="3"/>
    <x v="1"/>
    <s v="OUB-W0012512-012"/>
    <s v="EJ-Malang-01"/>
    <s v="Oka-0813-2707-1646"/>
    <x v="394"/>
    <d v="1899-12-30T08:00:00"/>
    <s v="EJ-MALANG-01"/>
    <x v="0"/>
    <x v="5"/>
    <s v="ZTE1001"/>
    <s v="Pcs"/>
    <n v="13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14"/>
    <n v="3"/>
    <x v="1"/>
    <s v="OUB-W0012512-013"/>
    <s v="EJ-Malang-01"/>
    <s v="Oka-0813-2707-1646"/>
    <x v="394"/>
    <d v="1899-12-30T13:00:00"/>
    <s v="EJ-MALANG-01"/>
    <x v="0"/>
    <x v="5"/>
    <s v="ZTE1001"/>
    <s v="Pcs"/>
    <n v="16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15"/>
    <n v="1"/>
    <x v="1"/>
    <s v="OUB-W0012512-014"/>
    <s v="EJ-Malang-01"/>
    <s v="Oka-0813-2707-1646"/>
    <x v="395"/>
    <d v="1899-12-30T08:00:00"/>
    <s v="EJ-MALANG-01"/>
    <x v="0"/>
    <x v="0"/>
    <s v="ZTE2001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16"/>
    <n v="2"/>
    <x v="1"/>
    <s v="OUB-W0012512-014"/>
    <s v="EJ-Malang-01"/>
    <s v="Oka-0813-2707-1646"/>
    <x v="395"/>
    <d v="1899-12-30T08:00:00"/>
    <s v="EJ-MALANG-01"/>
    <x v="0"/>
    <x v="35"/>
    <s v="ZTE1007"/>
    <s v="Pcs"/>
    <n v="50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17"/>
    <n v="3"/>
    <x v="1"/>
    <s v="OUB-W0012512-014"/>
    <s v="EJ-Malang-01"/>
    <s v="Oka-0813-2707-1646"/>
    <x v="395"/>
    <d v="1899-12-30T08:00:00"/>
    <s v="EJ-MALANG-01"/>
    <x v="0"/>
    <x v="4"/>
    <s v="ZTE1002"/>
    <s v="Pcs"/>
    <n v="48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18"/>
    <n v="3"/>
    <x v="0"/>
    <s v="INB-W0012512-009"/>
    <s v="EJ-Malang-01"/>
    <s v="Oka-0813-2707-1646"/>
    <x v="396"/>
    <d v="1899-12-30T16:00:00"/>
    <s v="FIELD TEAM"/>
    <x v="0"/>
    <x v="0"/>
    <s v="ZTE2001"/>
    <s v="Meter"/>
    <n v="3000"/>
    <m/>
    <x v="166"/>
    <m/>
    <m/>
    <m/>
    <m/>
    <m/>
    <m/>
    <m/>
    <m/>
    <x v="147"/>
    <s v="FDT 3 Ardirejo Line C"/>
    <e v="#N/A"/>
    <e v="#N/A"/>
    <s v="OUTBOUND_H-ADSS 24C-20251221-01"/>
  </r>
  <r>
    <s v="2419"/>
    <n v="1"/>
    <x v="1"/>
    <s v="OUB-W0012512-015"/>
    <s v="EJ-Malang-01"/>
    <s v="Oka-0813-2707-1646"/>
    <x v="396"/>
    <d v="1899-12-30T08:00:00"/>
    <s v="EJ-MALANG-01"/>
    <x v="0"/>
    <x v="0"/>
    <s v="ZTE2001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20"/>
    <n v="1"/>
    <x v="1"/>
    <s v="OUB-W0012512-016"/>
    <s v="EJ-Malang-01"/>
    <s v="Oka-0813-2707-1646"/>
    <x v="396"/>
    <d v="1899-12-30T08:00:00"/>
    <s v="EJ-MALANG-01"/>
    <x v="0"/>
    <x v="0"/>
    <s v="ZTE2001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21"/>
    <n v="2"/>
    <x v="1"/>
    <s v="OUB-W0012512-015"/>
    <s v="EJ-Malang-01"/>
    <s v="Oka-0813-2707-1646"/>
    <x v="396"/>
    <d v="1899-12-30T08:00:00"/>
    <s v="EJ-MALANG-01"/>
    <x v="0"/>
    <x v="33"/>
    <s v="ZTE2002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22"/>
    <n v="2"/>
    <x v="1"/>
    <s v="OUB-W0012512-016"/>
    <s v="EJ-Malang-01"/>
    <s v="Oka-0813-2707-1646"/>
    <x v="396"/>
    <d v="1899-12-30T08:00:00"/>
    <s v="EJ-MALANG-01"/>
    <x v="0"/>
    <x v="33"/>
    <s v="ZTE2002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23"/>
    <n v="5"/>
    <x v="1"/>
    <s v="OUB-W0012512-016"/>
    <s v="EJ-Malang-01"/>
    <s v="Oka-0813-2707-1646"/>
    <x v="396"/>
    <d v="1899-12-30T08:00:00"/>
    <s v="EJ-MALANG-01"/>
    <x v="0"/>
    <x v="2"/>
    <s v="ZTE2008"/>
    <s v="Pcs"/>
    <n v="32"/>
    <s v="CLR51-99-381"/>
    <x v="165"/>
    <m/>
    <m/>
    <m/>
    <s v="Sifak"/>
    <s v="Suliadi"/>
    <s v="3507312107950002"/>
    <s v="N 1046 ABC"/>
    <m/>
    <x v="2"/>
    <s v="DUSUN ARDIREJO KELURAHAN SIDEREJO MALANG"/>
    <e v="#N/A"/>
    <e v="#N/A"/>
    <s v="OUTBOUND_"/>
  </r>
  <r>
    <s v="2424"/>
    <n v="3"/>
    <x v="1"/>
    <s v="OUB-W0012512-016"/>
    <s v="EJ-Malang-01"/>
    <s v="Oka-0813-2707-1646"/>
    <x v="396"/>
    <d v="1899-12-30T08:00:00"/>
    <s v="EJ-MALANG-01"/>
    <x v="0"/>
    <x v="35"/>
    <s v="ZTE1007"/>
    <s v="Pcs"/>
    <n v="26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25"/>
    <n v="4"/>
    <x v="1"/>
    <s v="OUB-W0012512-016"/>
    <s v="EJ-Malang-01"/>
    <s v="Oka-0813-2707-1646"/>
    <x v="396"/>
    <d v="1899-12-30T08:00:00"/>
    <s v="EJ-MALANG-01"/>
    <x v="0"/>
    <x v="4"/>
    <s v="ZTE1002"/>
    <s v="Pcs"/>
    <n v="9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26"/>
    <n v="1"/>
    <x v="1"/>
    <s v="OUB-W0012512-017"/>
    <s v="EJ-Malang-01"/>
    <s v="Oka-0813-2707-1646"/>
    <x v="397"/>
    <d v="1899-12-30T08:00:00"/>
    <s v="EJ-MALANG-01"/>
    <x v="0"/>
    <x v="0"/>
    <s v="ZTE2001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27"/>
    <n v="2"/>
    <x v="1"/>
    <s v="OUB-W0012512-017"/>
    <s v="EJ-Malang-01"/>
    <s v="Oka-0813-2707-1646"/>
    <x v="397"/>
    <d v="1899-12-30T08:00:00"/>
    <s v="EJ-MALANG-01"/>
    <x v="0"/>
    <x v="33"/>
    <s v="ZTE2002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28"/>
    <n v="3"/>
    <x v="0"/>
    <s v="INB-W0012512-018"/>
    <s v="EJ-Malang-01"/>
    <s v="Oka-0813-2707-1646"/>
    <x v="397"/>
    <d v="1899-12-30T08:00:00"/>
    <s v="GCI Procurement"/>
    <x v="1"/>
    <x v="8"/>
    <s v="GCI1005"/>
    <s v="Pcs"/>
    <n v="111"/>
    <s v="ADJUSTMENT"/>
    <x v="156"/>
    <m/>
    <m/>
    <m/>
    <m/>
    <m/>
    <m/>
    <m/>
    <s v="ADJUSTMENT"/>
    <x v="2"/>
    <s v="ADJUSTMENT"/>
    <e v="#N/A"/>
    <e v="#N/A"/>
    <s v="OUTBOUND_"/>
  </r>
  <r>
    <s v="2429"/>
    <n v="1"/>
    <x v="1"/>
    <s v="OUB-W0012512-019"/>
    <s v="EJ-Malang-01"/>
    <s v="Oka-0813-2707-1646"/>
    <x v="397"/>
    <d v="1899-12-30T13:00:00"/>
    <s v="EJ-MALANG-01"/>
    <x v="0"/>
    <x v="35"/>
    <s v="ZTE1007"/>
    <s v="Pcs"/>
    <n v="53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30"/>
    <n v="2"/>
    <x v="1"/>
    <s v="OUB-W0012512-019"/>
    <s v="EJ-Malang-01"/>
    <s v="Oka-0813-2707-1646"/>
    <x v="397"/>
    <d v="1899-12-30T13:00:00"/>
    <s v="EJ-MALANG-01"/>
    <x v="0"/>
    <x v="4"/>
    <s v="ZTE1002"/>
    <s v="Pcs"/>
    <n v="17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31"/>
    <n v="2"/>
    <x v="0"/>
    <s v="INB-W0012512-018"/>
    <s v="EJ-Malang-01"/>
    <s v="Oka-0813-2707-1646"/>
    <x v="397"/>
    <d v="1899-12-30T08:00:00"/>
    <s v="GCI Procurement"/>
    <x v="1"/>
    <x v="15"/>
    <s v="GCI1003"/>
    <s v="Pcs"/>
    <n v="94"/>
    <s v="ADJUSTMENT"/>
    <x v="156"/>
    <m/>
    <m/>
    <m/>
    <m/>
    <m/>
    <m/>
    <m/>
    <s v="ADJUSTMENT"/>
    <x v="2"/>
    <s v="ADJUSTMENT"/>
    <e v="#N/A"/>
    <e v="#N/A"/>
    <s v="OUTBOUND_"/>
  </r>
  <r>
    <s v="2432"/>
    <n v="5"/>
    <x v="0"/>
    <s v="INB-W0012512-019"/>
    <s v="EJ-Malang-01"/>
    <s v="Oka-0813-2707-1646"/>
    <x v="398"/>
    <d v="1899-12-30T08:00:00"/>
    <s v="GCI Procurement"/>
    <x v="1"/>
    <x v="8"/>
    <s v="GCI1005"/>
    <s v="Pcs"/>
    <n v="666"/>
    <m/>
    <x v="28"/>
    <m/>
    <m/>
    <m/>
    <m/>
    <m/>
    <m/>
    <m/>
    <m/>
    <x v="2"/>
    <n v="0"/>
    <e v="#N/A"/>
    <e v="#N/A"/>
    <s v="OUTBOUND_"/>
  </r>
  <r>
    <s v="2433"/>
    <n v="1"/>
    <x v="0"/>
    <s v="INB-W0012512-019"/>
    <s v="EJ-Malang-01"/>
    <s v="Oka-0813-2707-1646"/>
    <x v="398"/>
    <d v="1899-12-30T08:00:00"/>
    <s v="GCI Procurement"/>
    <x v="1"/>
    <x v="9"/>
    <s v="GCI1001"/>
    <s v="Pcs"/>
    <n v="234"/>
    <m/>
    <x v="28"/>
    <m/>
    <m/>
    <m/>
    <m/>
    <m/>
    <m/>
    <m/>
    <m/>
    <x v="2"/>
    <n v="0"/>
    <e v="#N/A"/>
    <e v="#N/A"/>
    <s v="OUTBOUND_"/>
  </r>
  <r>
    <s v="2434"/>
    <n v="7"/>
    <x v="0"/>
    <s v="INB-W0012512-019"/>
    <s v="EJ-Malang-01"/>
    <s v="Oka-0813-2707-1646"/>
    <x v="398"/>
    <d v="1899-12-30T08:00:00"/>
    <s v="GCI Procurement"/>
    <x v="1"/>
    <x v="10"/>
    <s v="GCI1009"/>
    <s v="Pcs"/>
    <n v="1413"/>
    <m/>
    <x v="28"/>
    <m/>
    <m/>
    <m/>
    <m/>
    <m/>
    <m/>
    <m/>
    <m/>
    <x v="2"/>
    <n v="0"/>
    <e v="#N/A"/>
    <e v="#N/A"/>
    <s v="OUTBOUND_"/>
  </r>
  <r>
    <s v="2435"/>
    <n v="1"/>
    <x v="1"/>
    <s v="OUB-W0012512-021"/>
    <s v="EJ-Malang-01"/>
    <s v="Oka-0813-2707-1646"/>
    <x v="398"/>
    <d v="1899-12-30T15:00:00"/>
    <s v="EJ-MALANG-01"/>
    <x v="0"/>
    <x v="2"/>
    <s v="ZTE2008"/>
    <s v="Pcs"/>
    <n v="32"/>
    <s v="CLR51-99-381"/>
    <x v="165"/>
    <m/>
    <m/>
    <m/>
    <s v="Sifak"/>
    <s v="Suliadi"/>
    <s v="3507312107950002"/>
    <s v="N 1046 ABC"/>
    <m/>
    <x v="2"/>
    <s v="DUSUN ARDIREJO KELURAHAN SIDEREJO MALANG"/>
    <e v="#N/A"/>
    <e v="#N/A"/>
    <s v="OUTBOUND_"/>
  </r>
  <r>
    <s v="2436"/>
    <n v="3"/>
    <x v="0"/>
    <s v="INB-W0012512-019"/>
    <s v="EJ-Malang-01"/>
    <s v="Oka-0813-2707-1646"/>
    <x v="398"/>
    <d v="1899-12-30T08:00:00"/>
    <s v="GCI Procurement"/>
    <x v="1"/>
    <x v="11"/>
    <s v="GCI1002"/>
    <s v="Pcs"/>
    <n v="9"/>
    <m/>
    <x v="28"/>
    <m/>
    <m/>
    <m/>
    <m/>
    <m/>
    <m/>
    <m/>
    <m/>
    <x v="2"/>
    <n v="0"/>
    <e v="#N/A"/>
    <e v="#N/A"/>
    <s v="OUTBOUND_"/>
  </r>
  <r>
    <s v="2437"/>
    <n v="1"/>
    <x v="1"/>
    <s v="OUB-W0012512-020"/>
    <s v="EJ-Malang-01"/>
    <s v="Oka-0813-2707-1646"/>
    <x v="398"/>
    <d v="1899-12-30T08:00:00"/>
    <s v="EJ-MALANG-01"/>
    <x v="0"/>
    <x v="35"/>
    <s v="ZTE1007"/>
    <s v="Pcs"/>
    <n v="52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38"/>
    <n v="2"/>
    <x v="1"/>
    <s v="OUB-W0012512-020"/>
    <s v="EJ-Malang-01"/>
    <s v="Oka-0813-2707-1646"/>
    <x v="398"/>
    <d v="1899-12-30T08:00:00"/>
    <s v="EJ-MALANG-01"/>
    <x v="0"/>
    <x v="4"/>
    <s v="ZTE1002"/>
    <s v="Pcs"/>
    <n v="3"/>
    <s v="CLR51-99-382"/>
    <x v="164"/>
    <m/>
    <m/>
    <m/>
    <s v="Riki Romansyah"/>
    <s v="Suliadi"/>
    <s v="3507050501950006"/>
    <s v="N 8420 EL"/>
    <m/>
    <x v="2"/>
    <s v="DUSUN SIDOAYU KELURAHAN SIDEREJO MALANG"/>
    <e v="#N/A"/>
    <e v="#N/A"/>
    <s v="OUTBOUND_"/>
  </r>
  <r>
    <s v="2439"/>
    <n v="6"/>
    <x v="0"/>
    <s v="INB-W0012512-019"/>
    <s v="EJ-Malang-01"/>
    <s v="Oka-0813-2707-1646"/>
    <x v="398"/>
    <d v="1899-12-30T08:00:00"/>
    <s v="GCI Procurement"/>
    <x v="1"/>
    <x v="12"/>
    <s v="GCI1008"/>
    <s v="Pcs"/>
    <n v="1087"/>
    <m/>
    <x v="28"/>
    <m/>
    <m/>
    <m/>
    <m/>
    <m/>
    <m/>
    <m/>
    <m/>
    <x v="2"/>
    <n v="0"/>
    <e v="#N/A"/>
    <e v="#N/A"/>
    <s v="OUTBOUND_"/>
  </r>
  <r>
    <s v="2440"/>
    <n v="8"/>
    <x v="0"/>
    <s v="INB-W0012512-019"/>
    <s v="EJ-Malang-01"/>
    <s v="Oka-0813-2707-1646"/>
    <x v="398"/>
    <d v="1899-12-30T08:00:00"/>
    <s v="GCI Procurement"/>
    <x v="1"/>
    <x v="6"/>
    <s v="GCI1011"/>
    <s v="Pcs"/>
    <n v="4"/>
    <m/>
    <x v="28"/>
    <m/>
    <m/>
    <m/>
    <m/>
    <m/>
    <m/>
    <m/>
    <m/>
    <x v="2"/>
    <n v="0"/>
    <e v="#N/A"/>
    <e v="#N/A"/>
    <s v="OUTBOUND_"/>
  </r>
  <r>
    <s v="2441"/>
    <n v="2"/>
    <x v="0"/>
    <s v="INB-W0012512-019"/>
    <s v="EJ-Malang-01"/>
    <s v="Oka-0813-2707-1646"/>
    <x v="398"/>
    <d v="1899-12-30T08:00:00"/>
    <s v="GCI Procurement"/>
    <x v="1"/>
    <x v="15"/>
    <s v="GCI1003"/>
    <s v="Pcs"/>
    <n v="1350"/>
    <m/>
    <x v="28"/>
    <m/>
    <m/>
    <m/>
    <m/>
    <m/>
    <m/>
    <m/>
    <m/>
    <x v="2"/>
    <n v="0"/>
    <e v="#N/A"/>
    <e v="#N/A"/>
    <s v="OUTBOUND_"/>
  </r>
  <r>
    <s v="2442"/>
    <n v="4"/>
    <x v="0"/>
    <s v="INB-W0012512-019"/>
    <s v="EJ-Malang-01"/>
    <s v="Oka-0813-2707-1646"/>
    <x v="398"/>
    <d v="1899-12-30T08:00:00"/>
    <s v="GCI Procurement"/>
    <x v="1"/>
    <x v="16"/>
    <s v="GCI1004"/>
    <s v="Pcs"/>
    <n v="430"/>
    <m/>
    <x v="28"/>
    <m/>
    <m/>
    <m/>
    <m/>
    <m/>
    <m/>
    <m/>
    <m/>
    <x v="2"/>
    <n v="0"/>
    <e v="#N/A"/>
    <e v="#N/A"/>
    <s v="OUTBOUND_"/>
  </r>
  <r>
    <s v="2443"/>
    <n v="1"/>
    <x v="1"/>
    <s v="OUB-W0012512-023"/>
    <s v="EJ-Malang-01"/>
    <s v="Oka-0813-2707-1646"/>
    <x v="399"/>
    <d v="1899-12-30T16:35:00"/>
    <s v="EJ-MALANG-01"/>
    <x v="0"/>
    <x v="2"/>
    <s v="ZTE2008"/>
    <s v="Pcs"/>
    <n v="27"/>
    <s v="CLR51-99-381"/>
    <x v="165"/>
    <m/>
    <m/>
    <m/>
    <s v="Sifak"/>
    <s v="Suliadi"/>
    <s v="3507312107950002"/>
    <s v="N 1046 ABC"/>
    <m/>
    <x v="2"/>
    <s v="DUSUN ARDIREJO KELURAHAN SIDEREJO MALANG"/>
    <e v="#N/A"/>
    <e v="#N/A"/>
    <s v="OUTBOUND_"/>
  </r>
  <r>
    <s v="2444"/>
    <n v="4"/>
    <x v="1"/>
    <s v="OUB-W0012512-023"/>
    <s v="EJ-Malang-01"/>
    <s v="Oka-0813-2707-1646"/>
    <x v="399"/>
    <d v="1899-12-30T16:35:00"/>
    <s v="EJ-MALANG-01"/>
    <x v="0"/>
    <x v="3"/>
    <s v="ZTE2005"/>
    <s v="Pcs"/>
    <n v="1"/>
    <s v="CLR51-99-381"/>
    <x v="165"/>
    <m/>
    <m/>
    <m/>
    <s v="Sifak"/>
    <s v="Suliadi"/>
    <s v="3507312107950002"/>
    <s v="N 1046 ABC"/>
    <m/>
    <x v="2"/>
    <s v="DUSUN ARDIREJO KELURAHAN SIDEREJO MALANG"/>
    <e v="#N/A"/>
    <e v="#N/A"/>
    <s v="OUTBOUND_"/>
  </r>
  <r>
    <s v="2445"/>
    <n v="5"/>
    <x v="1"/>
    <s v="OUB-W0012512-023"/>
    <s v="EJ-Malang-01"/>
    <s v="Oka-0813-2707-1646"/>
    <x v="399"/>
    <d v="1899-12-30T16:35:00"/>
    <s v="EJ-MALANG-01"/>
    <x v="0"/>
    <x v="30"/>
    <s v="ZTE2006"/>
    <s v="Pcs"/>
    <n v="1"/>
    <s v="CLR51-99-381"/>
    <x v="165"/>
    <m/>
    <m/>
    <m/>
    <s v="Sifak"/>
    <s v="Suliadi"/>
    <s v="3507312107950002"/>
    <s v="N 1046 ABC"/>
    <m/>
    <x v="2"/>
    <s v="DUSUN ARDIREJO KELURAHAN SIDEREJO MALANG"/>
    <e v="#N/A"/>
    <e v="#N/A"/>
    <s v="OUTBOUND_"/>
  </r>
  <r>
    <s v="2446"/>
    <n v="2"/>
    <x v="1"/>
    <s v="OUB-W0012512-023"/>
    <s v="EJ-Malang-01"/>
    <s v="Oka-0813-2707-1646"/>
    <x v="399"/>
    <d v="1899-12-30T16:35:00"/>
    <s v="EJ-MALANG-01"/>
    <x v="0"/>
    <x v="30"/>
    <s v="ZTE2006"/>
    <s v="Pcs"/>
    <n v="2"/>
    <s v="CLR51-99-381"/>
    <x v="165"/>
    <m/>
    <m/>
    <m/>
    <s v="Sifak"/>
    <s v="Suliadi"/>
    <s v="3507312107950002"/>
    <s v="N 1046 ABC"/>
    <m/>
    <x v="2"/>
    <s v="DUSUN ARDIREJO KELURAHAN SIDEREJO MALANG"/>
    <e v="#N/A"/>
    <e v="#N/A"/>
    <s v="OUTBOUND_"/>
  </r>
  <r>
    <s v="2447"/>
    <n v="3"/>
    <x v="1"/>
    <s v="OUB-W0012512-024"/>
    <s v="EJ-Malang-01"/>
    <s v="Oka-0813-2707-1646"/>
    <x v="400"/>
    <d v="1899-12-30T12:13:00"/>
    <s v="EJ-MALANG-01"/>
    <x v="0"/>
    <x v="0"/>
    <s v="ZTE2001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48"/>
    <m/>
    <x v="1"/>
    <s v="OUB-W0012512-024"/>
    <s v="EJ-Malang-01"/>
    <s v="Oka-0813-2707-1646"/>
    <x v="400"/>
    <d v="1899-12-30T12:13:00"/>
    <s v="EJ-MALANG-01"/>
    <x v="0"/>
    <x v="0"/>
    <s v="ZTE2001"/>
    <s v="Meter"/>
    <n v="300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49"/>
    <n v="8"/>
    <x v="1"/>
    <s v="OUB-W0012512-024"/>
    <s v="EJ-Malang-01"/>
    <s v="Oka-0813-2707-1646"/>
    <x v="400"/>
    <d v="1899-12-30T12:13:00"/>
    <s v="EJ-MALANG-01"/>
    <x v="1"/>
    <x v="8"/>
    <s v="GCI1005"/>
    <s v="Pcs"/>
    <n v="666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50"/>
    <n v="4"/>
    <x v="1"/>
    <s v="OUB-W0012512-024"/>
    <s v="EJ-Malang-01"/>
    <s v="Oka-0813-2707-1646"/>
    <x v="400"/>
    <d v="1899-12-30T12:13:00"/>
    <s v="EJ-MALANG-01"/>
    <x v="1"/>
    <x v="9"/>
    <s v="GCI1001"/>
    <s v="Pcs"/>
    <n v="234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51"/>
    <n v="10"/>
    <x v="1"/>
    <s v="OUB-W0012512-024"/>
    <s v="EJ-Malang-01"/>
    <s v="Oka-0813-2707-1646"/>
    <x v="400"/>
    <d v="1899-12-30T12:13:00"/>
    <s v="EJ-MALANG-01"/>
    <x v="1"/>
    <x v="10"/>
    <s v="GCI1009"/>
    <s v="Pcs"/>
    <n v="1413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52"/>
    <n v="1"/>
    <x v="1"/>
    <s v="OUB-W0012512-024"/>
    <s v="EJ-Malang-01"/>
    <s v="Oka-0813-2707-1646"/>
    <x v="400"/>
    <d v="1899-12-30T12:13:00"/>
    <s v="EJ-MALANG-01"/>
    <x v="0"/>
    <x v="2"/>
    <s v="ZTE2008"/>
    <s v="Pcs"/>
    <n v="26"/>
    <s v="CLR51-99-381"/>
    <x v="165"/>
    <m/>
    <m/>
    <m/>
    <s v="Sifak"/>
    <s v="Suliadi"/>
    <s v="3507312107950002"/>
    <s v="N 1046 ABC"/>
    <m/>
    <x v="2"/>
    <s v="DUSUN ARDIREJO KELURAHAN SIDEREJO MALANG"/>
    <e v="#N/A"/>
    <e v="#N/A"/>
    <s v="OUTBOUND_"/>
  </r>
  <r>
    <s v="2453"/>
    <n v="6"/>
    <x v="1"/>
    <s v="OUB-W0012512-024"/>
    <s v="EJ-Malang-01"/>
    <s v="Oka-0813-2707-1646"/>
    <x v="400"/>
    <d v="1899-12-30T12:13:00"/>
    <s v="EJ-MALANG-01"/>
    <x v="1"/>
    <x v="11"/>
    <s v="GCI1002"/>
    <s v="Pcs"/>
    <n v="9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54"/>
    <n v="2"/>
    <x v="1"/>
    <s v="OUB-W0012512-024"/>
    <s v="EJ-Malang-01"/>
    <s v="Oka-0813-2707-1646"/>
    <x v="400"/>
    <d v="1899-12-30T12:13:00"/>
    <s v="EJ-MALANG-01"/>
    <x v="0"/>
    <x v="5"/>
    <s v="ZTE1001"/>
    <s v="Pcs"/>
    <n v="3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55"/>
    <n v="9"/>
    <x v="1"/>
    <s v="OUB-W0012512-024"/>
    <s v="EJ-Malang-01"/>
    <s v="Oka-0813-2707-1646"/>
    <x v="400"/>
    <d v="1899-12-30T12:13:00"/>
    <s v="EJ-MALANG-01"/>
    <x v="1"/>
    <x v="12"/>
    <s v="GCI1008"/>
    <s v="Pcs"/>
    <n v="1087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56"/>
    <n v="11"/>
    <x v="1"/>
    <s v="OUB-W0012512-024"/>
    <s v="EJ-Malang-01"/>
    <s v="Oka-0813-2707-1646"/>
    <x v="400"/>
    <d v="1899-12-30T12:13:00"/>
    <s v="EJ-MALANG-01"/>
    <x v="1"/>
    <x v="6"/>
    <s v="GCI1011"/>
    <s v="Pcs"/>
    <n v="4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57"/>
    <n v="5"/>
    <x v="1"/>
    <s v="OUB-W0012512-024"/>
    <s v="EJ-Malang-01"/>
    <s v="Oka-0813-2707-1646"/>
    <x v="400"/>
    <d v="1899-12-30T12:13:00"/>
    <s v="EJ-MALANG-01"/>
    <x v="1"/>
    <x v="15"/>
    <s v="GCI1003"/>
    <s v="Pcs"/>
    <n v="135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58"/>
    <n v="7"/>
    <x v="1"/>
    <s v="OUB-W0012512-024"/>
    <s v="EJ-Malang-01"/>
    <s v="Oka-0813-2707-1646"/>
    <x v="400"/>
    <d v="1899-12-30T12:13:00"/>
    <s v="EJ-MALANG-01"/>
    <x v="1"/>
    <x v="16"/>
    <s v="GCI1004"/>
    <s v="Pcs"/>
    <n v="430"/>
    <m/>
    <x v="28"/>
    <m/>
    <m/>
    <m/>
    <s v="Riki Romansyah"/>
    <s v="Suliadi"/>
    <s v="3507050501950006"/>
    <s v="N 8420 EL"/>
    <m/>
    <x v="2"/>
    <n v="0"/>
    <e v="#N/A"/>
    <e v="#N/A"/>
    <s v="OUTBOUND_"/>
  </r>
  <r>
    <s v="2459"/>
    <n v="1"/>
    <x v="3"/>
    <s v="TFO-W0012512-025"/>
    <s v="EJ-Malang-01"/>
    <s v="Oka-0813-2707-1646"/>
    <x v="401"/>
    <d v="1899-12-30T13:00:00"/>
    <s v="EJ-MOJOKERTO-01"/>
    <x v="0"/>
    <x v="1"/>
    <s v="ZTE2003"/>
    <s v="Meter"/>
    <n v="3000"/>
    <s v="TO MOJOKERTO"/>
    <x v="28"/>
    <m/>
    <m/>
    <m/>
    <m/>
    <m/>
    <m/>
    <m/>
    <m/>
    <x v="2"/>
    <n v="0"/>
    <e v="#N/A"/>
    <e v="#N/A"/>
    <s v="TRANSFER OUT_"/>
  </r>
  <r>
    <s v="2460"/>
    <n v="1"/>
    <x v="2"/>
    <s v="TFI-W0012512-025"/>
    <s v="EJ-Malang-01"/>
    <s v="Oka-0813-2707-1646"/>
    <x v="401"/>
    <d v="1899-12-30T13:00:00"/>
    <s v="EJ-GRESIK-01"/>
    <x v="0"/>
    <x v="5"/>
    <s v="ZTE1001"/>
    <s v="Pcs"/>
    <n v="4"/>
    <s v="FROM GRESIK"/>
    <x v="28"/>
    <m/>
    <m/>
    <m/>
    <m/>
    <m/>
    <m/>
    <m/>
    <m/>
    <x v="2"/>
    <n v="0"/>
    <e v="#N/A"/>
    <e v="#N/A"/>
    <s v="OUTBOUND_"/>
  </r>
  <r>
    <s v="2461"/>
    <n v="2"/>
    <x v="2"/>
    <s v="TFI-W0012512-025"/>
    <s v="EJ-Malang-01"/>
    <s v="Oka-0813-2707-1646"/>
    <x v="401"/>
    <d v="1899-12-30T13:00:00"/>
    <s v="EJ-GRESIK-01"/>
    <x v="0"/>
    <x v="19"/>
    <s v="ZTE1003"/>
    <s v="Pcs"/>
    <n v="7"/>
    <s v="FROM GRESIK"/>
    <x v="28"/>
    <m/>
    <m/>
    <m/>
    <m/>
    <m/>
    <m/>
    <m/>
    <m/>
    <x v="2"/>
    <n v="0"/>
    <e v="#N/A"/>
    <e v="#N/A"/>
    <s v="OUTBOUND_"/>
  </r>
  <r>
    <s v="2462"/>
    <n v="14"/>
    <x v="1"/>
    <s v="OUB-W0012512-026"/>
    <s v="EJ-Malang-01"/>
    <s v="Oka-0813-2707-1646"/>
    <x v="402"/>
    <d v="1899-12-30T11:50:00"/>
    <s v="EJ-MALANG-01"/>
    <x v="0"/>
    <x v="19"/>
    <s v="ZTE1003"/>
    <s v="Pcs"/>
    <n v="9"/>
    <s v="CLR51-99-381"/>
    <x v="165"/>
    <m/>
    <m/>
    <m/>
    <s v="Riki Romansyah"/>
    <s v="Suliadi"/>
    <s v="3507050501950006"/>
    <s v="N 8420 EL"/>
    <m/>
    <x v="2"/>
    <s v="DUSUN ARDIREJO KELURAHAN SIDEREJO MALANG"/>
    <e v="#N/A"/>
    <e v="#N/A"/>
    <s v="OUTBOUND_"/>
  </r>
  <r>
    <s v="2463"/>
    <n v="1"/>
    <x v="1"/>
    <s v="OUB-W0012601-001"/>
    <s v="EJ-Malang-01"/>
    <s v="Oka-0813-2707-1646"/>
    <x v="403"/>
    <d v="1899-12-30T10:32:00"/>
    <s v="EJ-MALANG-01"/>
    <x v="0"/>
    <x v="4"/>
    <s v="ZTE1002"/>
    <s v="Pcs"/>
    <n v="16"/>
    <s v="CLR51-99-381"/>
    <x v="165"/>
    <s v="DOEID25121116"/>
    <s v="DNWID1382025121114"/>
    <s v="A-Good"/>
    <s v="Riki Romansyah"/>
    <s v="Suliadi"/>
    <s v="3507050501950006"/>
    <s v="N 8420 EL"/>
    <m/>
    <x v="2"/>
    <s v="DUSUN ARDIREJO KELURAHAN SIDEREJO MALANG"/>
    <d v="2025-12-11T00:00:00"/>
    <b v="0"/>
    <s v="OUTBOUND_"/>
  </r>
  <r>
    <s v="2464"/>
    <n v="7"/>
    <x v="0"/>
    <s v="INB-W0012601-001"/>
    <s v="EJ-Malang-01"/>
    <s v="Oka-0813-2707-1646"/>
    <x v="404"/>
    <d v="1899-12-30T06:02:00"/>
    <s v="ZTE Warehouse"/>
    <x v="0"/>
    <x v="33"/>
    <s v="ZTE2002"/>
    <s v="Meter"/>
    <n v="3000"/>
    <s v="CLR51-99-196"/>
    <x v="167"/>
    <s v="DOEID260115MP"/>
    <s v="DNWID1382026011601"/>
    <m/>
    <s v="Riki Romansyah"/>
    <s v="Suliadi"/>
    <s v="3507050501950006"/>
    <s v="N 8420 EL"/>
    <m/>
    <x v="148"/>
    <s v="Griya Kebon Agung Indah"/>
    <d v="2026-01-19T00:00:00"/>
    <b v="1"/>
    <s v="OUTBOUND_H-ADSS 36C-2026120-01"/>
  </r>
  <r>
    <s v="2465"/>
    <n v="4"/>
    <x v="0"/>
    <s v="INB-W0012601-001"/>
    <s v="EJ-Malang-01"/>
    <s v="Oka-0813-2707-1646"/>
    <x v="404"/>
    <d v="1899-12-30T06:02:00"/>
    <s v="ZTE Warehouse"/>
    <x v="0"/>
    <x v="2"/>
    <s v="ZTE2008"/>
    <s v="Pcs"/>
    <n v="13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  <d v="2026-01-19T00:00:00"/>
    <b v="1"/>
    <s v="OUTBOUND_"/>
  </r>
  <r>
    <s v="2466"/>
    <n v="5"/>
    <x v="0"/>
    <s v="INB-W0012601-001"/>
    <s v="EJ-Malang-01"/>
    <s v="Oka-0813-2707-1646"/>
    <x v="404"/>
    <d v="1899-12-30T06:02:00"/>
    <s v="ZTE Warehouse"/>
    <x v="0"/>
    <x v="2"/>
    <s v="ZTE2008"/>
    <s v="Pcs"/>
    <n v="15"/>
    <s v="CLR51-99-196"/>
    <x v="167"/>
    <s v="DOEID260115MP"/>
    <s v="DNWID1382026011601"/>
    <m/>
    <s v="Riki Romansyah"/>
    <s v="Suliadi"/>
    <s v="3507050501950006"/>
    <s v="N 8420 EL"/>
    <m/>
    <x v="2"/>
    <s v="Griya Kebon Agung Indah"/>
    <d v="2026-01-19T00:00:00"/>
    <b v="1"/>
    <s v="OUTBOUND_"/>
  </r>
  <r>
    <s v="2467"/>
    <n v="6"/>
    <x v="0"/>
    <s v="INB-W0012601-001"/>
    <s v="EJ-Malang-01"/>
    <s v="Oka-0813-2707-1646"/>
    <x v="404"/>
    <d v="1899-12-30T06:02:00"/>
    <s v="ZTE Warehouse"/>
    <x v="0"/>
    <x v="30"/>
    <s v="ZTE2006"/>
    <s v="Pcs"/>
    <n v="1"/>
    <s v="CLR51-99-196"/>
    <x v="167"/>
    <s v="DOEID260115MP"/>
    <s v="DNWID1382026011601"/>
    <m/>
    <s v="Riki Romansyah"/>
    <s v="Suliadi"/>
    <s v="3507050501950006"/>
    <s v="N 8420 EL"/>
    <m/>
    <x v="2"/>
    <s v="Griya Kebon Agung Indah"/>
    <d v="2026-01-19T00:00:00"/>
    <b v="1"/>
    <s v="OUTBOUND_"/>
  </r>
  <r>
    <s v="2468"/>
    <n v="9"/>
    <x v="0"/>
    <s v="INB-W0012601-001"/>
    <s v="EJ-Malang-01"/>
    <s v="Oka-0813-2707-1646"/>
    <x v="404"/>
    <d v="1899-12-30T06:02:00"/>
    <s v="ZTE Warehouse"/>
    <x v="0"/>
    <x v="35"/>
    <s v="ZTE1007"/>
    <s v="Pcs"/>
    <n v="6"/>
    <s v="CLR51-99-196"/>
    <x v="167"/>
    <s v="DOEID260115MP"/>
    <s v="DNWID1382026011601"/>
    <m/>
    <s v="Riki Romansyah"/>
    <s v="Suliadi"/>
    <s v="3507050501950006"/>
    <s v="N 8420 EL"/>
    <m/>
    <x v="2"/>
    <s v="Griya Kebon Agung Indah"/>
    <d v="2026-01-19T00:00:00"/>
    <b v="1"/>
    <s v="OUTBOUND_"/>
  </r>
  <r>
    <s v="2469"/>
    <n v="3"/>
    <x v="0"/>
    <s v="INB-W0012601-001"/>
    <s v="EJ-Malang-01"/>
    <s v="Oka-0813-2707-1646"/>
    <x v="404"/>
    <d v="1899-12-30T06:02:00"/>
    <s v="ZTE Warehouse"/>
    <x v="0"/>
    <x v="35"/>
    <s v="ZTE1007"/>
    <s v="Pcs"/>
    <n v="12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  <d v="2026-01-19T00:00:00"/>
    <b v="1"/>
    <s v="OUTBOUND_"/>
  </r>
  <r>
    <s v="2470"/>
    <n v="2"/>
    <x v="0"/>
    <s v="INB-W0012601-001"/>
    <s v="EJ-Malang-01"/>
    <s v="Oka-0813-2707-1646"/>
    <x v="404"/>
    <d v="1899-12-30T06:02:00"/>
    <s v="ZTE Warehouse"/>
    <x v="0"/>
    <x v="4"/>
    <s v="ZTE1002"/>
    <s v="Pcs"/>
    <n v="13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  <d v="2026-01-19T00:00:00"/>
    <b v="1"/>
    <s v="OUTBOUND_"/>
  </r>
  <r>
    <s v="2471"/>
    <n v="8"/>
    <x v="0"/>
    <s v="INB-W0012601-001"/>
    <s v="EJ-Malang-01"/>
    <s v="Oka-0813-2707-1646"/>
    <x v="404"/>
    <d v="1899-12-30T06:02:00"/>
    <s v="ZTE Warehouse"/>
    <x v="0"/>
    <x v="4"/>
    <s v="ZTE1002"/>
    <s v="Pcs"/>
    <n v="25"/>
    <s v="CLR51-99-196"/>
    <x v="167"/>
    <s v="DOEID260115MP"/>
    <s v="DNWID1382026011601"/>
    <m/>
    <s v="Riki Romansyah"/>
    <s v="Suliadi"/>
    <s v="3507050501950006"/>
    <s v="N 8420 EL"/>
    <m/>
    <x v="2"/>
    <s v="Griya Kebon Agung Indah"/>
    <d v="2026-01-19T00:00:00"/>
    <b v="1"/>
    <s v="OUTBOUND_"/>
  </r>
  <r>
    <s v="2472"/>
    <n v="1"/>
    <x v="0"/>
    <s v="INB-W0012601-001"/>
    <s v="EJ-Malang-01"/>
    <s v="Oka-0813-2707-1646"/>
    <x v="404"/>
    <d v="1899-12-30T06:02:00"/>
    <s v="ZTE Warehouse"/>
    <x v="0"/>
    <x v="5"/>
    <s v="ZTE1001"/>
    <s v="Pcs"/>
    <n v="1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  <d v="2026-01-19T00:00:00"/>
    <b v="1"/>
    <s v="OUTBOUND_"/>
  </r>
  <r>
    <s v="2473"/>
    <n v="3"/>
    <x v="1"/>
    <s v="OUB-W0012601-003"/>
    <s v="EJ-Malang-01"/>
    <s v="Oka-0813-2707-1646"/>
    <x v="405"/>
    <d v="1899-12-30T16:32:00"/>
    <s v="EJ-MALANG-01"/>
    <x v="0"/>
    <x v="0"/>
    <s v="ZTE2001"/>
    <s v="Meter"/>
    <n v="3000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  <d v="2026-01-19T00:00:00"/>
    <b v="0"/>
    <s v="OUTBOUND_"/>
  </r>
  <r>
    <s v="2474"/>
    <n v="4"/>
    <x v="1"/>
    <s v="OUB-W0012601-002"/>
    <s v="EJ-Malang-01"/>
    <s v="Oka-0813-2707-1646"/>
    <x v="405"/>
    <d v="1899-12-30T16:32:00"/>
    <s v="EJ-MALANG-01"/>
    <x v="0"/>
    <x v="33"/>
    <s v="ZTE2002"/>
    <s v="Meter"/>
    <n v="3000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  <d v="2026-01-19T00:00:00"/>
    <b v="0"/>
    <s v="OUTBOUND_"/>
  </r>
  <r>
    <s v="2475"/>
    <m/>
    <x v="0"/>
    <s v="INB-W0012601-002"/>
    <s v="EJ-Malang-01"/>
    <s v="Oka-0813-2707-1646"/>
    <x v="405"/>
    <d v="1899-12-30T06:02:00"/>
    <s v="FIELD TEAM"/>
    <x v="0"/>
    <x v="35"/>
    <s v="ZTE1007"/>
    <s v="Pcs"/>
    <n v="6"/>
    <s v="CLR44-99-155"/>
    <x v="168"/>
    <m/>
    <m/>
    <m/>
    <m/>
    <m/>
    <m/>
    <m/>
    <m/>
    <x v="2"/>
    <s v="KEBONAGUNG RW 06 PAKISAJI"/>
    <e v="#N/A"/>
    <e v="#N/A"/>
    <s v="OUTBOUND_"/>
  </r>
  <r>
    <s v="2476"/>
    <n v="2"/>
    <x v="1"/>
    <s v="OUB-W0012601-003"/>
    <s v="EJ-Malang-01"/>
    <s v="Oka-0813-2707-1646"/>
    <x v="405"/>
    <d v="1899-12-30T16:32:00"/>
    <s v="EJ-MALANG-01"/>
    <x v="0"/>
    <x v="35"/>
    <s v="ZTE1007"/>
    <s v="Pcs"/>
    <n v="6"/>
    <s v="CLR44-99-155"/>
    <x v="167"/>
    <s v="DOEID260115MP"/>
    <s v="DNWID1382026011602"/>
    <m/>
    <s v="Riki Romansyah"/>
    <s v="Suliadi"/>
    <s v="3507050501950006"/>
    <s v="N 8420 EL"/>
    <m/>
    <x v="2"/>
    <s v="Griya Kebon Agung Indah"/>
    <d v="2026-01-19T00:00:00"/>
    <b v="0"/>
    <s v="OUTBOUND_"/>
  </r>
  <r>
    <s v="2477"/>
    <n v="2"/>
    <x v="1"/>
    <s v="OUB-W0012601-002"/>
    <s v="EJ-Malang-01"/>
    <s v="Oka-0813-2707-1646"/>
    <x v="405"/>
    <d v="1899-12-30T16:32:00"/>
    <s v="EJ-MALANG-01"/>
    <x v="0"/>
    <x v="35"/>
    <s v="ZTE1007"/>
    <s v="Pcs"/>
    <n v="12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  <d v="2026-01-19T00:00:00"/>
    <b v="0"/>
    <s v="OUTBOUND_"/>
  </r>
  <r>
    <s v="2478"/>
    <m/>
    <x v="0"/>
    <s v="INB-W0012601-002"/>
    <s v="EJ-Malang-01"/>
    <s v="Oka-0813-2707-1646"/>
    <x v="405"/>
    <d v="1899-12-30T06:02:00"/>
    <s v="FIELD TEAM"/>
    <x v="0"/>
    <x v="4"/>
    <s v="ZTE1002"/>
    <s v="Pcs"/>
    <n v="8"/>
    <s v="CLR44-99-155"/>
    <x v="168"/>
    <m/>
    <m/>
    <m/>
    <m/>
    <m/>
    <m/>
    <m/>
    <m/>
    <x v="2"/>
    <s v="KEBONAGUNG RW 06 PAKISAJI"/>
    <e v="#N/A"/>
    <e v="#N/A"/>
    <s v="OUTBOUND_"/>
  </r>
  <r>
    <s v="2479"/>
    <n v="1"/>
    <x v="1"/>
    <s v="OUB-W0012601-002"/>
    <s v="EJ-Malang-01"/>
    <s v="Oka-0813-2707-1646"/>
    <x v="405"/>
    <d v="1899-12-30T16:32:00"/>
    <s v="EJ-MALANG-01"/>
    <x v="0"/>
    <x v="4"/>
    <s v="ZTE1002"/>
    <s v="Pcs"/>
    <n v="20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  <d v="2026-01-19T00:00:00"/>
    <b v="0"/>
    <s v="OUTBOUND_"/>
  </r>
  <r>
    <s v="2480"/>
    <n v="1"/>
    <x v="1"/>
    <s v="OUB-W0012601-003"/>
    <s v="EJ-Malang-01"/>
    <s v="Oka-0813-2707-1646"/>
    <x v="405"/>
    <d v="1899-12-30T16:32:00"/>
    <s v="EJ-MALANG-01"/>
    <x v="0"/>
    <x v="4"/>
    <s v="ZTE1002"/>
    <s v="Pcs"/>
    <n v="25"/>
    <s v="CLR44-99-155"/>
    <x v="167"/>
    <s v="DOEID260115MP"/>
    <s v="DNWID1382026011602"/>
    <m/>
    <s v="Riki Romansyah"/>
    <s v="Suliadi"/>
    <s v="3507050501950006"/>
    <s v="N 8420 EL"/>
    <m/>
    <x v="2"/>
    <s v="Griya Kebon Agung Indah"/>
    <d v="2026-01-19T00:00:00"/>
    <b v="0"/>
    <s v="OUTBOUND_"/>
  </r>
  <r>
    <s v="2481"/>
    <n v="3"/>
    <x v="1"/>
    <s v="OUB-W0012601-002"/>
    <s v="EJ-Malang-01"/>
    <s v="Oka-0813-2707-1646"/>
    <x v="405"/>
    <d v="1899-12-30T16:32:00"/>
    <s v="EJ-MALANG-01"/>
    <x v="0"/>
    <x v="5"/>
    <s v="ZTE1001"/>
    <s v="Pcs"/>
    <n v="2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  <d v="2026-01-19T00:00:00"/>
    <b v="0"/>
    <s v="OUTBOUND_"/>
  </r>
  <r>
    <s v="2482"/>
    <n v="3"/>
    <x v="1"/>
    <s v="OUB-W0012601-003"/>
    <s v="EJ-Malang-01"/>
    <s v="Oka-0813-2707-1646"/>
    <x v="405"/>
    <d v="1899-12-30T16:32:00"/>
    <s v="EJ-MALANG-01"/>
    <x v="0"/>
    <x v="5"/>
    <s v="ZTE1001"/>
    <s v="Pcs"/>
    <n v="18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  <d v="2026-01-19T00:00:00"/>
    <b v="0"/>
    <s v="OUTBOUND_"/>
  </r>
  <r>
    <s v="2483"/>
    <n v="1"/>
    <x v="1"/>
    <s v="OUB-W0012601-004"/>
    <s v="EJ-Malang-01"/>
    <s v="Oka-0813-2707-1646"/>
    <x v="406"/>
    <d v="1899-12-30T16:35:00"/>
    <s v="EJ-MALANG-01"/>
    <x v="0"/>
    <x v="2"/>
    <s v="ZTE2008"/>
    <s v="Pcs"/>
    <n v="27"/>
    <s v="CLR44-99-155"/>
    <x v="168"/>
    <s v="DOEID260115MQ"/>
    <s v="DNWID1382026011602"/>
    <m/>
    <s v="Sifak"/>
    <s v="Suliadi"/>
    <s v="3507312107950002"/>
    <s v="N 1969 FF"/>
    <m/>
    <x v="2"/>
    <s v="KEBONAGUNG RW 06 PAKISAJI"/>
    <d v="2026-01-19T00:00:00"/>
    <b v="0"/>
    <s v="OUTBOUND_"/>
  </r>
  <r>
    <s v="2484"/>
    <n v="2"/>
    <x v="1"/>
    <s v="OUB-W0012601-004"/>
    <s v="EJ-Malang-01"/>
    <s v="Oka-0813-2707-1646"/>
    <x v="406"/>
    <d v="1899-12-30T16:35:00"/>
    <s v="EJ-MALANG-01"/>
    <x v="0"/>
    <x v="30"/>
    <s v="ZTE2006"/>
    <s v="Pcs"/>
    <n v="1"/>
    <s v="CLR44-99-155"/>
    <x v="168"/>
    <s v="DOEID260115MQ"/>
    <s v="DNWID1382026011602"/>
    <m/>
    <s v="Sifak"/>
    <s v="Suliadi"/>
    <s v="3507312107950002"/>
    <s v="N 1969 FF"/>
    <m/>
    <x v="2"/>
    <s v="KEBONAGUNG RW 06 PAKISAJI"/>
    <d v="2026-01-19T00:00:00"/>
    <b v="0"/>
    <s v="OUTBOUND_"/>
  </r>
  <r>
    <s v="2485"/>
    <n v="1"/>
    <x v="2"/>
    <s v="TFI-W0012601-001"/>
    <s v="EJ-Malang-01"/>
    <s v="Oka-0813-2707-1646"/>
    <x v="406"/>
    <d v="1899-12-30T13:58:00"/>
    <s v="EJ-Lamongan-01"/>
    <x v="0"/>
    <x v="5"/>
    <s v="ZTE1001"/>
    <s v="Pcs"/>
    <n v="16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  <d v="2026-01-19T00:00:00"/>
    <b v="0"/>
    <s v="OUTBOUND_"/>
  </r>
  <r>
    <s v="2486"/>
    <n v="1"/>
    <x v="0"/>
    <s v="INB-W0012603-001"/>
    <s v="EJ-Malang-01"/>
    <s v="Oka-0813-2707-1646"/>
    <x v="407"/>
    <d v="1899-12-30T17:00:00"/>
    <s v="GCI Procurement"/>
    <x v="0"/>
    <x v="20"/>
    <s v="ZTE1004"/>
    <s v="Pcs"/>
    <n v="1"/>
    <s v="MF51-05"/>
    <x v="153"/>
    <m/>
    <m/>
    <m/>
    <m/>
    <m/>
    <m/>
    <m/>
    <s v="Beli JC"/>
    <x v="2"/>
    <s v="Main Feeder - OLT Smart Malang Segment 8 to Sumbersekar"/>
    <e v="#N/A"/>
    <e v="#N/A"/>
    <s v="OUTBOUND_"/>
  </r>
  <r>
    <s v="2487"/>
    <n v="2"/>
    <x v="1"/>
    <s v="OUB-W0012603-001"/>
    <s v="EJ-Malang-01"/>
    <s v="Oka-0813-2707-1646"/>
    <x v="407"/>
    <d v="1899-12-30T17:00:00"/>
    <s v="EJ-MALANG-01"/>
    <x v="0"/>
    <x v="20"/>
    <s v="ZTE1004"/>
    <s v="Pcs"/>
    <n v="1"/>
    <s v="MF51-05"/>
    <x v="153"/>
    <m/>
    <m/>
    <m/>
    <m/>
    <m/>
    <m/>
    <m/>
    <s v="Insiden Sumsek"/>
    <x v="2"/>
    <s v="Main Feeder - OLT Smart Malang Segment 8 to Sumbersekar"/>
    <e v="#N/A"/>
    <e v="#N/A"/>
    <s v="OUTBOUND_"/>
  </r>
  <r>
    <s v="2488"/>
    <n v="4"/>
    <x v="0"/>
    <s v="INB-W0012603-002"/>
    <s v="EJ-Malang-01"/>
    <s v="Oka-0813-2707-1646"/>
    <x v="408"/>
    <d v="1899-12-30T19:00:00"/>
    <s v="ZTE Warehouse"/>
    <x v="0"/>
    <x v="2"/>
    <s v="ZTE2008"/>
    <s v="Pcs"/>
    <n v="21"/>
    <s v="CLR51-99-385"/>
    <x v="169"/>
    <s v="DOEID26030644"/>
    <s v="DNWID1382026030605"/>
    <m/>
    <m/>
    <m/>
    <m/>
    <m/>
    <m/>
    <x v="2"/>
    <s v="LESANPURO RW 01 MALANG"/>
    <d v="2026-03-06T00:00:00"/>
    <b v="1"/>
    <s v="OUTBOUND_"/>
  </r>
  <r>
    <s v="2489"/>
    <n v="5"/>
    <x v="0"/>
    <s v="INB-W0012603-002"/>
    <s v="EJ-Malang-01"/>
    <s v="Oka-0813-2707-1646"/>
    <x v="408"/>
    <d v="1899-12-30T19:00:00"/>
    <s v="ZTE Warehouse"/>
    <x v="0"/>
    <x v="30"/>
    <s v="ZTE2006"/>
    <s v="Pcs"/>
    <n v="1"/>
    <s v="CLR51-99-385"/>
    <x v="169"/>
    <s v="DOEID26030644"/>
    <s v="DNWID1382026030605"/>
    <m/>
    <m/>
    <m/>
    <m/>
    <m/>
    <m/>
    <x v="2"/>
    <s v="LESANPURO RW 01 MALANG"/>
    <d v="2026-03-06T00:00:00"/>
    <b v="1"/>
    <s v="OUTBOUND_"/>
  </r>
  <r>
    <s v="2490"/>
    <n v="3"/>
    <x v="0"/>
    <s v="INB-W0012603-002"/>
    <s v="EJ-Malang-01"/>
    <s v="Oka-0813-2707-1646"/>
    <x v="408"/>
    <d v="1899-12-30T19:00:00"/>
    <s v="ZTE Warehouse"/>
    <x v="0"/>
    <x v="20"/>
    <s v="ZTE1004"/>
    <s v="Pcs"/>
    <n v="1"/>
    <s v="CLR51-99-385"/>
    <x v="169"/>
    <m/>
    <m/>
    <m/>
    <m/>
    <m/>
    <m/>
    <m/>
    <m/>
    <x v="2"/>
    <s v="LESANPURO RW 01 MALANG"/>
    <e v="#N/A"/>
    <e v="#N/A"/>
    <s v="OUTBOUND_"/>
  </r>
  <r>
    <s v="2491"/>
    <n v="2"/>
    <x v="0"/>
    <s v="INB-W0012603-002"/>
    <s v="EJ-Malang-01"/>
    <s v="Oka-0813-2707-1646"/>
    <x v="408"/>
    <d v="1899-12-30T19:00:00"/>
    <s v="ZTE Warehouse"/>
    <x v="0"/>
    <x v="35"/>
    <s v="ZTE1007"/>
    <s v="Pcs"/>
    <n v="13"/>
    <s v="CLR51-99-385"/>
    <x v="169"/>
    <s v="DOEID26030644"/>
    <s v="DNWID1382026030605"/>
    <m/>
    <m/>
    <m/>
    <m/>
    <m/>
    <m/>
    <x v="2"/>
    <s v="LESANPURO RW 01 MALANG"/>
    <d v="2026-03-06T00:00:00"/>
    <b v="1"/>
    <s v="OUTBOUND_"/>
  </r>
  <r>
    <s v="2492"/>
    <n v="1"/>
    <x v="0"/>
    <s v="INB-W0012603-002"/>
    <s v="EJ-Malang-01"/>
    <s v="Oka-0813-2707-1646"/>
    <x v="408"/>
    <d v="1899-12-30T19:00:00"/>
    <s v="ZTE Warehouse"/>
    <x v="0"/>
    <x v="5"/>
    <s v="ZTE1001"/>
    <s v="Pcs"/>
    <n v="1"/>
    <s v="CLR51-99-385"/>
    <x v="169"/>
    <m/>
    <m/>
    <m/>
    <m/>
    <m/>
    <m/>
    <m/>
    <m/>
    <x v="2"/>
    <s v="LESANPURO RW 01 MALANG"/>
    <e v="#N/A"/>
    <e v="#N/A"/>
    <s v="OUTBOUND_"/>
  </r>
  <r>
    <s v="2493"/>
    <n v="4"/>
    <x v="1"/>
    <s v="OUB-W0012603-002"/>
    <s v="EJ-Malang-01"/>
    <s v="Oka-0813-2707-1646"/>
    <x v="409"/>
    <d v="1899-12-30T19:00:00"/>
    <s v="EJ-MALANG-01"/>
    <x v="0"/>
    <x v="2"/>
    <s v="ZTE2008"/>
    <s v="Pcs"/>
    <n v="21"/>
    <s v="CLR51-99-385"/>
    <x v="169"/>
    <m/>
    <m/>
    <m/>
    <s v="Fatur"/>
    <s v="Suliadi"/>
    <s v="3515082712870005"/>
    <s v="W 3265 OH"/>
    <m/>
    <x v="2"/>
    <s v="LESANPURO RW 01 MALANG"/>
    <e v="#N/A"/>
    <e v="#N/A"/>
    <s v="OUTBOUND_"/>
  </r>
  <r>
    <s v="2494"/>
    <n v="5"/>
    <x v="1"/>
    <s v="OUB-W0012603-002"/>
    <s v="EJ-Malang-01"/>
    <s v="Oka-0813-2707-1646"/>
    <x v="409"/>
    <d v="1899-12-30T19:00:00"/>
    <s v="EJ-MALANG-01"/>
    <x v="0"/>
    <x v="30"/>
    <s v="ZTE2006"/>
    <s v="Pcs"/>
    <n v="1"/>
    <s v="CLR51-99-447"/>
    <x v="170"/>
    <m/>
    <m/>
    <m/>
    <s v="Fatur"/>
    <s v="Suliadi"/>
    <s v="3515082712870005"/>
    <s v="W 3265 OH"/>
    <m/>
    <x v="2"/>
    <s v="SEKARPURO RW 05 MALANG"/>
    <e v="#N/A"/>
    <e v="#N/A"/>
    <s v="OUTBOUND_"/>
  </r>
  <r>
    <s v="2495"/>
    <n v="3"/>
    <x v="1"/>
    <s v="OUB-W0012603-002"/>
    <s v="EJ-Malang-01"/>
    <s v="Oka-0813-2707-1646"/>
    <x v="409"/>
    <d v="1899-12-30T19:00:00"/>
    <s v="EJ-MALANG-01"/>
    <x v="0"/>
    <x v="20"/>
    <s v="ZTE1004"/>
    <s v="Pcs"/>
    <n v="1"/>
    <s v="CLR51-99-385"/>
    <x v="169"/>
    <m/>
    <m/>
    <m/>
    <s v="Riki Romansyah"/>
    <s v="Suliadi"/>
    <s v="3507050501950006"/>
    <s v="N 8420 EL"/>
    <m/>
    <x v="2"/>
    <s v="LESANPURO RW 01 MALANG"/>
    <e v="#N/A"/>
    <e v="#N/A"/>
    <s v="OUTBOUND_"/>
  </r>
  <r>
    <s v="2496"/>
    <n v="2"/>
    <x v="1"/>
    <s v="OUB-W0012603-002"/>
    <s v="EJ-Malang-01"/>
    <s v="Oka-0813-2707-1646"/>
    <x v="409"/>
    <d v="1899-12-30T19:00:00"/>
    <s v="EJ-MALANG-01"/>
    <x v="0"/>
    <x v="35"/>
    <s v="ZTE1007"/>
    <s v="Pcs"/>
    <n v="13"/>
    <s v="CLR51-99-385"/>
    <x v="169"/>
    <m/>
    <m/>
    <m/>
    <s v="Riki Romansyah"/>
    <s v="Suliadi"/>
    <s v="3507050501950006"/>
    <s v="N 8420 EL"/>
    <m/>
    <x v="2"/>
    <s v="LESANPURO RW 01 MALANG"/>
    <e v="#N/A"/>
    <e v="#N/A"/>
    <s v="OUTBOUND_"/>
  </r>
  <r>
    <s v="2497"/>
    <n v="2"/>
    <x v="1"/>
    <s v="OUB-W0012603-002"/>
    <s v="EJ-Malang-01"/>
    <s v="Oka-0813-2707-1646"/>
    <x v="409"/>
    <d v="1899-12-30T19:00:00"/>
    <s v="EJ-MALANG-01"/>
    <x v="0"/>
    <x v="4"/>
    <s v="ZTE1002"/>
    <s v="Pcs"/>
    <n v="25"/>
    <s v="CLR51-99-385"/>
    <x v="169"/>
    <m/>
    <m/>
    <m/>
    <s v="Riki Romansyah"/>
    <s v="Suliadi"/>
    <s v="3507050501950006"/>
    <s v="N 8420 EL"/>
    <m/>
    <x v="2"/>
    <s v="LESANPURO RW 01 MALANG"/>
    <e v="#N/A"/>
    <e v="#N/A"/>
    <s v="OUTBOUND_"/>
  </r>
  <r>
    <s v="2498"/>
    <n v="1"/>
    <x v="1"/>
    <s v="OUB-W0012603-002"/>
    <s v="EJ-Malang-01"/>
    <s v="Oka-0813-2707-1646"/>
    <x v="409"/>
    <d v="1899-12-30T19:00:00"/>
    <s v="EJ-MALANG-01"/>
    <x v="0"/>
    <x v="5"/>
    <s v="ZTE1001"/>
    <s v="Pcs"/>
    <n v="1"/>
    <s v="CLR51-99-385"/>
    <x v="169"/>
    <m/>
    <m/>
    <m/>
    <s v="Riki Romansyah"/>
    <s v="Suliadi"/>
    <s v="3507050501950006"/>
    <s v="N 8420 EL"/>
    <m/>
    <x v="2"/>
    <s v="LESANPURO RW 01 MALANG"/>
    <e v="#N/A"/>
    <e v="#N/A"/>
    <s v="OUTBOUND_"/>
  </r>
  <r>
    <s v="2499"/>
    <m/>
    <x v="1"/>
    <s v="OUB-W0012603-003"/>
    <s v="EJ-Malang-01"/>
    <s v="Oka-0813-2707-1646"/>
    <x v="410"/>
    <d v="1899-12-30T19:00:00"/>
    <s v="EJ-MALANG-01"/>
    <x v="0"/>
    <x v="35"/>
    <s v="ZTE1007"/>
    <s v="Pcs"/>
    <n v="3"/>
    <s v="CLR51-99-385"/>
    <x v="169"/>
    <m/>
    <m/>
    <m/>
    <s v="Riki Romansyah"/>
    <s v="Suliadi"/>
    <s v="3507050501950006"/>
    <s v="N 8420 EL"/>
    <m/>
    <x v="2"/>
    <s v="LESANPURO RW 01 MALANG"/>
    <e v="#N/A"/>
    <e v="#N/A"/>
    <s v="OUTBOUND_"/>
  </r>
  <r>
    <s v="2500"/>
    <m/>
    <x v="1"/>
    <s v="OUB-W0012603-003"/>
    <s v="EJ-Malang-01"/>
    <s v="Oka-0813-2707-1646"/>
    <x v="410"/>
    <d v="1899-12-30T19:00:00"/>
    <s v="EJ-MALANG-01"/>
    <x v="0"/>
    <x v="4"/>
    <s v="ZTE1002"/>
    <s v="Pcs"/>
    <n v="3"/>
    <s v="CLR51-99-385"/>
    <x v="169"/>
    <m/>
    <m/>
    <m/>
    <s v="Riki Romansyah"/>
    <s v="Suliadi"/>
    <s v="3507050501950006"/>
    <s v="N 8420 EL"/>
    <m/>
    <x v="2"/>
    <s v="LESANPURO RW 01 MALANG"/>
    <e v="#N/A"/>
    <e v="#N/A"/>
    <s v="OUTBOUND_"/>
  </r>
  <r>
    <s v="2501"/>
    <n v="4"/>
    <x v="0"/>
    <s v="INB-W0012603-003"/>
    <s v="EJ-Malang-01"/>
    <s v="Oka-0813-2707-1646"/>
    <x v="411"/>
    <d v="1899-12-30T19:00:00"/>
    <s v="ZTE Warehouse"/>
    <x v="0"/>
    <x v="0"/>
    <s v="ZTE2001"/>
    <s v="Meter"/>
    <n v="3000"/>
    <s v="CLR51-99-447"/>
    <x v="170"/>
    <s v="DOEID260312F8"/>
    <s v="DNWID1382026031207"/>
    <m/>
    <m/>
    <m/>
    <m/>
    <m/>
    <m/>
    <x v="149"/>
    <s v="SEKARPURO RW 05 MALANG"/>
    <d v="2026-03-12T00:00:00"/>
    <b v="1"/>
    <s v="OUTBOUND_H-ADSS 24C-2026313-01"/>
  </r>
  <r>
    <s v="2502"/>
    <n v="2"/>
    <x v="0"/>
    <s v="INB-W0012603-003"/>
    <s v="EJ-Malang-01"/>
    <s v="Oka-0813-2707-1646"/>
    <x v="411"/>
    <d v="1899-12-30T19:00:00"/>
    <s v="ZTE Warehouse"/>
    <x v="0"/>
    <x v="35"/>
    <s v="ZTE1007"/>
    <s v="Pcs"/>
    <n v="11"/>
    <s v="CLR51-99-447"/>
    <x v="170"/>
    <s v="DOEID260312F8"/>
    <s v="DNWID1382026031207"/>
    <m/>
    <m/>
    <m/>
    <m/>
    <m/>
    <m/>
    <x v="2"/>
    <s v="SEKARPURO RW 05 MALANG"/>
    <d v="2026-03-12T00:00:00"/>
    <b v="1"/>
    <s v="OUTBOUND_"/>
  </r>
  <r>
    <s v="2503"/>
    <n v="1"/>
    <x v="0"/>
    <s v="INB-W0012603-003"/>
    <s v="EJ-Malang-01"/>
    <s v="Oka-0813-2707-1646"/>
    <x v="411"/>
    <d v="1899-12-30T19:00:00"/>
    <s v="ZTE Warehouse"/>
    <x v="0"/>
    <x v="5"/>
    <s v="ZTE1001"/>
    <s v="Pcs"/>
    <n v="7"/>
    <s v="CLR51-99-447"/>
    <x v="170"/>
    <s v="DOEID260312F8"/>
    <s v="DNWID1382026031207"/>
    <m/>
    <m/>
    <m/>
    <m/>
    <m/>
    <m/>
    <x v="2"/>
    <s v="SEKARPURO RW 05 MALANG"/>
    <d v="2026-03-12T00:00:00"/>
    <b v="1"/>
    <s v="OUTBOUND_"/>
  </r>
  <r>
    <s v="2504"/>
    <n v="3"/>
    <x v="0"/>
    <s v="INB-W0012603-003"/>
    <s v="EJ-Malang-01"/>
    <s v="Oka-0813-2707-1646"/>
    <x v="412"/>
    <d v="1899-12-30T19:00:00"/>
    <s v="ZTE Warehouse"/>
    <x v="0"/>
    <x v="20"/>
    <s v="ZTE1004"/>
    <s v="Pcs"/>
    <n v="1"/>
    <s v="CLR51-99-447"/>
    <x v="170"/>
    <m/>
    <m/>
    <m/>
    <m/>
    <m/>
    <m/>
    <m/>
    <m/>
    <x v="2"/>
    <s v="SEKARPURO RW 05 MALANG"/>
    <e v="#N/A"/>
    <e v="#N/A"/>
    <s v="OUTBOUND_"/>
  </r>
  <r>
    <s v="2505"/>
    <n v="4"/>
    <x v="1"/>
    <s v="OUB-W0012603-005"/>
    <s v="EJ-Malang-01"/>
    <s v="Oka-0813-2707-1646"/>
    <x v="413"/>
    <d v="1899-12-30T19:00:00"/>
    <s v="EJ-MALANG-01"/>
    <x v="0"/>
    <x v="0"/>
    <s v="ZTE2001"/>
    <s v="Meter"/>
    <n v="3000"/>
    <s v="CLR51-99-447"/>
    <x v="170"/>
    <m/>
    <m/>
    <m/>
    <s v="Riki Romansyah"/>
    <s v="Suliadi"/>
    <s v="3507050501950006"/>
    <s v="N 8420 EL"/>
    <m/>
    <x v="149"/>
    <s v="SEKARPURO RW 05 MALANG"/>
    <e v="#N/A"/>
    <e v="#N/A"/>
    <s v="OUTBOUND_H-ADSS 24C-2026313-01"/>
  </r>
  <r>
    <s v="2506"/>
    <n v="3"/>
    <x v="1"/>
    <s v="OUB-W0012603-005"/>
    <s v="EJ-Malang-01"/>
    <s v="Oka-0813-2707-1646"/>
    <x v="413"/>
    <d v="1899-12-30T19:00:00"/>
    <s v="EJ-MALANG-01"/>
    <x v="0"/>
    <x v="20"/>
    <s v="ZTE1004"/>
    <s v="Pcs"/>
    <n v="1"/>
    <s v="CLR51-99-447"/>
    <x v="170"/>
    <m/>
    <m/>
    <m/>
    <s v="Riki Romansyah"/>
    <s v="Suliadi"/>
    <s v="3507050501950006"/>
    <s v="N 8420 EL"/>
    <m/>
    <x v="2"/>
    <s v="SEKARPURO RW 05 MALANG"/>
    <e v="#N/A"/>
    <e v="#N/A"/>
    <s v="OUTBOUND_"/>
  </r>
  <r>
    <s v="2507"/>
    <m/>
    <x v="1"/>
    <s v="OUB-W0012603-005"/>
    <s v="EJ-Malang-01"/>
    <s v="Oka-0813-2707-1646"/>
    <x v="413"/>
    <d v="1899-12-30T19:00:00"/>
    <s v="EJ-MALANG-01"/>
    <x v="0"/>
    <x v="35"/>
    <s v="ZTE1007"/>
    <s v="Pcs"/>
    <n v="1"/>
    <s v="CLR51-99-451"/>
    <x v="171"/>
    <m/>
    <m/>
    <m/>
    <s v="Riki Romansyah"/>
    <s v="Suliadi"/>
    <s v="3507050501950006"/>
    <s v="N 8420 EL"/>
    <m/>
    <x v="2"/>
    <s v="SEKARPURO RW 08 MALANG"/>
    <e v="#N/A"/>
    <e v="#N/A"/>
    <s v="OUTBOUND_"/>
  </r>
  <r>
    <s v="2508"/>
    <n v="2"/>
    <x v="1"/>
    <s v="OUB-W0012603-005"/>
    <s v="EJ-Malang-01"/>
    <s v="Oka-0813-2707-1646"/>
    <x v="413"/>
    <d v="1899-12-30T19:00:00"/>
    <s v="EJ-MALANG-01"/>
    <x v="0"/>
    <x v="35"/>
    <s v="ZTE1007"/>
    <s v="Pcs"/>
    <n v="10"/>
    <s v="CLR51-99-447"/>
    <x v="170"/>
    <m/>
    <m/>
    <m/>
    <s v="Riki Romansyah"/>
    <s v="Suliadi"/>
    <s v="3507050501950006"/>
    <s v="N 8420 EL"/>
    <m/>
    <x v="2"/>
    <s v="SEKARPURO RW 05 MALANG"/>
    <e v="#N/A"/>
    <e v="#N/A"/>
    <s v="OUTBOUND_"/>
  </r>
  <r>
    <s v="2509"/>
    <n v="1"/>
    <x v="1"/>
    <s v="OUB-W0012603-005"/>
    <s v="EJ-Malang-01"/>
    <s v="Oka-0813-2707-1646"/>
    <x v="413"/>
    <d v="1899-12-30T19:00:00"/>
    <s v="EJ-MALANG-01"/>
    <x v="0"/>
    <x v="5"/>
    <s v="ZTE1001"/>
    <s v="Pcs"/>
    <n v="1"/>
    <s v="CLR51-99-447"/>
    <x v="170"/>
    <m/>
    <m/>
    <m/>
    <s v="Riki Romansyah"/>
    <s v="Suliadi"/>
    <s v="3507050501950006"/>
    <s v="N 8420 EL"/>
    <m/>
    <x v="2"/>
    <s v="SEKARPURO RW 05 MALANG"/>
    <e v="#N/A"/>
    <e v="#N/A"/>
    <s v="OUTBOUND_"/>
  </r>
  <r>
    <s v="2510"/>
    <m/>
    <x v="1"/>
    <s v="OUB-W0012603-005"/>
    <s v="EJ-Malang-01"/>
    <s v="Oka-0813-2707-1646"/>
    <x v="413"/>
    <d v="1899-12-30T19:00:00"/>
    <s v="EJ-MALANG-01"/>
    <x v="0"/>
    <x v="5"/>
    <s v="ZTE1001"/>
    <s v="Pcs"/>
    <n v="6"/>
    <s v="CLR51-99-451"/>
    <x v="171"/>
    <m/>
    <m/>
    <m/>
    <s v="Riki Romansyah"/>
    <s v="Suliadi"/>
    <s v="3507050501950006"/>
    <s v="N 8420 EL"/>
    <m/>
    <x v="2"/>
    <s v="SEKARPURO RW 08 MALANG"/>
    <e v="#N/A"/>
    <e v="#N/A"/>
    <s v="OUTBOUND_"/>
  </r>
  <r>
    <s v="2511"/>
    <n v="2"/>
    <x v="1"/>
    <s v="OUB-W0012603-005"/>
    <s v="EJ-Malang-01"/>
    <s v="Oka-0813-2707-1646"/>
    <x v="414"/>
    <d v="1899-12-30T19:00:00"/>
    <s v="EJ-MALANG-01"/>
    <x v="0"/>
    <x v="2"/>
    <s v="ZTE2008"/>
    <s v="Pcs"/>
    <n v="14"/>
    <s v="CLR51-99-447"/>
    <x v="170"/>
    <m/>
    <m/>
    <m/>
    <s v="Fatur"/>
    <s v="Suliadi"/>
    <s v="3515082712870005"/>
    <s v="W 3265 OH"/>
    <m/>
    <x v="2"/>
    <s v="SEKARPURO RW 05 MALANG"/>
    <e v="#N/A"/>
    <e v="#N/A"/>
    <s v="OUTBOUND_"/>
  </r>
  <r>
    <s v="2512"/>
    <n v="3"/>
    <x v="1"/>
    <s v="OUB-W0012603-005"/>
    <s v="EJ-Malang-01"/>
    <s v="Oka-0813-2707-1646"/>
    <x v="414"/>
    <d v="1899-12-30T19:00:00"/>
    <s v="EJ-MALANG-01"/>
    <x v="0"/>
    <x v="3"/>
    <s v="ZTE2005"/>
    <s v="Pcs"/>
    <n v="1"/>
    <s v="CLR51-99-447"/>
    <x v="170"/>
    <m/>
    <m/>
    <m/>
    <s v="Fatur"/>
    <s v="Suliadi"/>
    <s v="3515082712870005"/>
    <s v="W 3265 OH"/>
    <m/>
    <x v="2"/>
    <s v="SEKARPURO RW 05 MALANG"/>
    <e v="#N/A"/>
    <e v="#N/A"/>
    <s v="OUTBOUND_"/>
  </r>
  <r>
    <s v="2513"/>
    <m/>
    <x v="0"/>
    <s v="INB-W0012603-004"/>
    <s v="EJ-Malang-01"/>
    <s v="Oka-0813-2707-1646"/>
    <x v="414"/>
    <d v="1899-12-30T19:00:00"/>
    <s v="FIELD TEAM"/>
    <x v="0"/>
    <x v="35"/>
    <s v="ZTE1007"/>
    <s v="Pcs"/>
    <n v="6"/>
    <s v="CLR51-99-447"/>
    <x v="170"/>
    <m/>
    <m/>
    <m/>
    <m/>
    <m/>
    <m/>
    <m/>
    <m/>
    <x v="2"/>
    <s v="SEKARPURO RW 05 MALANG"/>
    <e v="#N/A"/>
    <e v="#N/A"/>
    <s v="OUTBOUND_"/>
  </r>
  <r>
    <s v="2514"/>
    <m/>
    <x v="0"/>
    <s v="INB-W0012603-004"/>
    <s v="EJ-Malang-01"/>
    <s v="Oka-0813-2707-1646"/>
    <x v="414"/>
    <d v="1899-12-30T19:00:00"/>
    <s v="FIELD TEAM"/>
    <x v="0"/>
    <x v="4"/>
    <s v="ZTE1002"/>
    <s v="Pcs"/>
    <n v="5"/>
    <s v="CLR51-99-447"/>
    <x v="170"/>
    <m/>
    <m/>
    <m/>
    <m/>
    <m/>
    <m/>
    <m/>
    <m/>
    <x v="2"/>
    <s v="SEKARPURO RW 05 MALANG"/>
    <e v="#N/A"/>
    <e v="#N/A"/>
    <s v="OUTBOUND_"/>
  </r>
  <r>
    <s v="2515"/>
    <n v="4"/>
    <x v="1"/>
    <s v="OUB-W0012603-005"/>
    <s v="EJ-Malang-01"/>
    <s v="Oka-0813-2707-1646"/>
    <x v="414"/>
    <d v="1899-12-30T19:00:00"/>
    <s v="EJ-MALANG-01"/>
    <x v="0"/>
    <x v="4"/>
    <s v="ZTE1002"/>
    <s v="Pcs"/>
    <n v="11"/>
    <s v="CLR51-99-447"/>
    <x v="170"/>
    <m/>
    <m/>
    <m/>
    <s v="Riki Romansyah"/>
    <s v="Suliadi"/>
    <s v="3507050501950006"/>
    <s v="N 8420 EL"/>
    <m/>
    <x v="2"/>
    <s v="SEKARPURO RW 05 MALANG"/>
    <e v="#N/A"/>
    <e v="#N/A"/>
    <s v="OUTBOUND_"/>
  </r>
  <r>
    <s v="2516"/>
    <n v="2"/>
    <x v="0"/>
    <s v="INB-W0012603-004"/>
    <s v="EJ-Malang-01"/>
    <s v="Oka-0813-2707-1646"/>
    <x v="415"/>
    <d v="1899-12-30T19:00:00"/>
    <s v="ZTE Warehouse"/>
    <x v="0"/>
    <x v="2"/>
    <s v="ZTE2008"/>
    <s v="Pcs"/>
    <n v="3"/>
    <s v="CLR51-99-447"/>
    <x v="170"/>
    <m/>
    <m/>
    <m/>
    <m/>
    <m/>
    <m/>
    <m/>
    <m/>
    <x v="2"/>
    <s v="SEKARPURO RW 05 MALANG"/>
    <e v="#N/A"/>
    <e v="#N/A"/>
    <s v="OUTBOUND_"/>
  </r>
  <r>
    <s v="2517"/>
    <n v="2"/>
    <x v="1"/>
    <s v="OUB-W0012604-001"/>
    <s v="EJ-Malang-01"/>
    <s v="Oka-0813-2707-1646"/>
    <x v="416"/>
    <d v="1899-12-30T07:00:00"/>
    <s v="EJ-MALANG-01"/>
    <x v="0"/>
    <x v="35"/>
    <s v="ZTE1007"/>
    <s v="Pcs"/>
    <n v="5"/>
    <s v="CLR51-99-445"/>
    <x v="172"/>
    <m/>
    <m/>
    <m/>
    <s v="Riki Romansyah"/>
    <s v="Suliadi"/>
    <s v="3507050501950006"/>
    <s v="N 8420 EL"/>
    <m/>
    <x v="2"/>
    <s v="SEKARPURO RW 04 MALANG"/>
    <e v="#N/A"/>
    <e v="#N/A"/>
    <s v="OUTBOUND_"/>
  </r>
  <r>
    <s v="2518"/>
    <n v="1"/>
    <x v="1"/>
    <s v="OUB-W0012604-001"/>
    <s v="EJ-Malang-01"/>
    <s v="Oka-0813-2707-1646"/>
    <x v="416"/>
    <d v="1899-12-30T07:00:00"/>
    <s v="EJ-MALANG-01"/>
    <x v="0"/>
    <x v="4"/>
    <s v="ZTE1002"/>
    <s v="Pcs"/>
    <n v="10"/>
    <s v="CLR51-99-445"/>
    <x v="172"/>
    <m/>
    <m/>
    <m/>
    <s v="Riki Romansyah"/>
    <s v="Suliadi"/>
    <s v="3507050501950006"/>
    <s v="N 8420 EL"/>
    <m/>
    <x v="2"/>
    <s v="SEKARPURO RW 04 MALANG"/>
    <e v="#N/A"/>
    <e v="#N/A"/>
    <s v="OUTBOUND_"/>
  </r>
  <r>
    <s v="2519"/>
    <n v="2"/>
    <x v="0"/>
    <s v="INB-W0012604-001"/>
    <s v="EJ-Malang-01"/>
    <s v="Oka-0813-2707-1646"/>
    <x v="417"/>
    <d v="1899-12-30T06:00:00"/>
    <s v="ZTE Warehouse"/>
    <x v="0"/>
    <x v="28"/>
    <s v="ZTE2010"/>
    <s v="Pcs"/>
    <n v="9"/>
    <s v="ADJUSTMENT"/>
    <x v="156"/>
    <m/>
    <m/>
    <m/>
    <m/>
    <m/>
    <m/>
    <m/>
    <s v="ADJUSTMENT"/>
    <x v="2"/>
    <s v="ADJUSTMENT"/>
    <e v="#N/A"/>
    <e v="#N/A"/>
    <s v="OUTBOUND_"/>
  </r>
  <r>
    <s v="2520"/>
    <n v="1"/>
    <x v="0"/>
    <s v="INB-W0012604-001"/>
    <s v="EJ-Malang-01"/>
    <s v="Oka-0813-2707-1646"/>
    <x v="417"/>
    <d v="1899-12-30T06:00:00"/>
    <s v="ZTE Warehouse"/>
    <x v="0"/>
    <x v="2"/>
    <s v="ZTE2008"/>
    <s v="Pcs"/>
    <n v="19"/>
    <s v="ADJUSTMENT"/>
    <x v="156"/>
    <m/>
    <m/>
    <m/>
    <m/>
    <m/>
    <m/>
    <m/>
    <s v="ADJUSTMENT"/>
    <x v="2"/>
    <s v="ADJUSTMENT"/>
    <e v="#N/A"/>
    <e v="#N/A"/>
    <s v="OUTBOUND_"/>
  </r>
  <r>
    <s v="2521"/>
    <n v="1"/>
    <x v="1"/>
    <s v="OUB-W0012603-005"/>
    <s v="EJ-Malang-01"/>
    <s v="Oka-0813-2707-1646"/>
    <x v="417"/>
    <d v="1899-12-30T14:00:00"/>
    <s v="EJ-MALANG-01"/>
    <x v="0"/>
    <x v="2"/>
    <s v="ZTE2008"/>
    <s v="Pcs"/>
    <n v="14"/>
    <s v="CLR51-99-445"/>
    <x v="172"/>
    <m/>
    <m/>
    <m/>
    <s v="Fatur"/>
    <s v="Suliadi"/>
    <s v="3515082712870005"/>
    <s v="W 3265 OH"/>
    <m/>
    <x v="2"/>
    <s v="SEKARPURO RW 04 MALANG"/>
    <e v="#N/A"/>
    <e v="#N/A"/>
    <s v="OUTBOUND_"/>
  </r>
  <r>
    <s v="2522"/>
    <n v="2"/>
    <x v="1"/>
    <s v="OUB-W0012603-005"/>
    <s v="EJ-Malang-01"/>
    <s v="Oka-0813-2707-1646"/>
    <x v="417"/>
    <d v="1899-12-30T14:00:00"/>
    <s v="EJ-MALANG-01"/>
    <x v="0"/>
    <x v="3"/>
    <s v="ZTE2005"/>
    <s v="Pcs"/>
    <n v="1"/>
    <s v="CLR51-99-445"/>
    <x v="172"/>
    <m/>
    <m/>
    <m/>
    <s v="Fatur"/>
    <s v="Suliadi"/>
    <s v="3515082712870005"/>
    <s v="W 3265 OH"/>
    <m/>
    <x v="2"/>
    <s v="SEKARPURO RW 04 MALANG"/>
    <e v="#N/A"/>
    <e v="#N/A"/>
    <s v="OUTBOUND_"/>
  </r>
  <r>
    <s v="2523"/>
    <n v="4"/>
    <x v="0"/>
    <s v="INB-W0012604-001"/>
    <s v="EJ-Malang-01"/>
    <s v="Oka-0813-2707-1646"/>
    <x v="417"/>
    <d v="1899-12-30T06:00:00"/>
    <s v="ZTE Warehouse"/>
    <x v="0"/>
    <x v="20"/>
    <s v="ZTE1004"/>
    <s v="Pcs"/>
    <n v="3"/>
    <s v="MF51-05"/>
    <x v="153"/>
    <m/>
    <m/>
    <m/>
    <m/>
    <m/>
    <m/>
    <m/>
    <m/>
    <x v="2"/>
    <s v="Main Feeder - OLT Smart Malang Segment 8 to Sumbersekar"/>
    <e v="#N/A"/>
    <e v="#N/A"/>
    <s v="OUTBOUND_"/>
  </r>
  <r>
    <s v="2524"/>
    <n v="3"/>
    <x v="1"/>
    <s v="OUB-W0012603-005"/>
    <s v="EJ-Malang-01"/>
    <s v="Oka-0813-2707-1646"/>
    <x v="417"/>
    <d v="1899-12-30T14:00:00"/>
    <s v="EJ-MALANG-01"/>
    <x v="0"/>
    <x v="20"/>
    <s v="ZTE1004"/>
    <s v="Pcs"/>
    <n v="3"/>
    <s v="MF51-05"/>
    <x v="153"/>
    <m/>
    <m/>
    <m/>
    <m/>
    <m/>
    <m/>
    <m/>
    <m/>
    <x v="2"/>
    <s v="Main Feeder - OLT Smart Malang Segment 8 to Sumbersekar"/>
    <e v="#N/A"/>
    <e v="#N/A"/>
    <s v="OUTBOUND_"/>
  </r>
  <r>
    <s v="2525"/>
    <n v="3"/>
    <x v="0"/>
    <s v="INB-W0012604-001"/>
    <s v="EJ-Malang-01"/>
    <s v="Oka-0813-2707-1646"/>
    <x v="417"/>
    <d v="1899-12-30T06:00:00"/>
    <s v="ZTE Warehouse"/>
    <x v="0"/>
    <x v="35"/>
    <s v="ZTE1007"/>
    <s v="Pcs"/>
    <n v="0"/>
    <s v="ADJUSTMENT"/>
    <x v="156"/>
    <m/>
    <m/>
    <m/>
    <m/>
    <m/>
    <m/>
    <m/>
    <s v="ADJUSTMENT"/>
    <x v="2"/>
    <s v="ADJUSTMENT"/>
    <e v="#N/A"/>
    <e v="#N/A"/>
    <s v="OUTBOUND_"/>
  </r>
  <r>
    <s v="2526"/>
    <n v="3"/>
    <x v="1"/>
    <s v="OUB-W0012603-003"/>
    <s v="EJ-Malang-01"/>
    <s v="Oka-0813-2707-1646"/>
    <x v="417"/>
    <d v="1899-12-30T06:00:00"/>
    <s v="EJ-MALANG-01"/>
    <x v="0"/>
    <x v="4"/>
    <s v="ZTE1002"/>
    <s v="Pcs"/>
    <n v="1"/>
    <s v="ADJUSTMENT"/>
    <x v="156"/>
    <m/>
    <m/>
    <m/>
    <s v="Fatur"/>
    <s v="Suliadi"/>
    <s v="3515082712870005"/>
    <s v="W 3265 OH"/>
    <s v="ADJUSTMENT"/>
    <x v="2"/>
    <s v="ADJUSTMENT"/>
    <e v="#N/A"/>
    <e v="#N/A"/>
    <s v="OUTBOUND_"/>
  </r>
  <r>
    <s v="2527"/>
    <n v="1"/>
    <x v="1"/>
    <s v="OUB-W0012603-005"/>
    <s v="EJ-Malang-01"/>
    <s v="Oka-0813-2707-1646"/>
    <x v="417"/>
    <d v="1899-12-30T10:32:00"/>
    <s v="EJ-MALANG-01"/>
    <x v="0"/>
    <x v="5"/>
    <s v="ZTE1001"/>
    <s v="Pcs"/>
    <n v="7"/>
    <s v="CLR51-99-445"/>
    <x v="172"/>
    <m/>
    <m/>
    <m/>
    <s v="Fatur"/>
    <s v="Suliadi"/>
    <s v="3515082712870005"/>
    <s v="W 3265 OH"/>
    <m/>
    <x v="2"/>
    <s v="SEKARPURO RW 04 MALANG"/>
    <e v="#N/A"/>
    <e v="#N/A"/>
    <s v="OUTBOUND_"/>
  </r>
  <r>
    <s v="2528"/>
    <n v="3"/>
    <x v="0"/>
    <s v="INB-W0012605-001"/>
    <s v="EJ-Malang-01"/>
    <s v="Oka-0813-2707-1646"/>
    <x v="418"/>
    <d v="1899-12-30T14:46:00"/>
    <s v="ZTE Warehouse"/>
    <x v="0"/>
    <x v="0"/>
    <s v="ZTE2001"/>
    <s v="Meter"/>
    <n v="3000"/>
    <s v="CLR51-99-506"/>
    <x v="173"/>
    <s v="DOEID260509BX"/>
    <s v="DNWID03620260509DY"/>
    <m/>
    <m/>
    <m/>
    <m/>
    <m/>
    <m/>
    <x v="150"/>
    <s v="WONOKOYO RW 05 KEDUNGKANDANG"/>
    <d v="2026-05-09T00:00:00"/>
    <b v="1"/>
    <s v="OUTBOUND_H-ADSS 24C-202659-01"/>
  </r>
  <r>
    <s v="2529"/>
    <n v="4"/>
    <x v="0"/>
    <s v="INB-W0012605-001"/>
    <s v="EJ-Malang-01"/>
    <s v="Oka-0813-2707-1646"/>
    <x v="418"/>
    <d v="1899-12-30T14:46:00"/>
    <s v="ZTE Warehouse"/>
    <x v="0"/>
    <x v="3"/>
    <s v="ZTE2005"/>
    <s v="Pcs"/>
    <n v="1"/>
    <s v="CLR51-99-506"/>
    <x v="173"/>
    <s v="DOEID260509BX"/>
    <s v="DNWID03620260509DY"/>
    <m/>
    <m/>
    <m/>
    <m/>
    <m/>
    <m/>
    <x v="2"/>
    <s v="WONOKOYO RW 05 KEDUNGKANDANG"/>
    <d v="2026-05-09T00:00:00"/>
    <b v="1"/>
    <s v="OUTBOUND_"/>
  </r>
  <r>
    <s v="2530"/>
    <n v="1"/>
    <x v="0"/>
    <s v="INB-W0012605-001"/>
    <s v="EJ-Malang-01"/>
    <s v="Oka-0813-2707-1646"/>
    <x v="418"/>
    <d v="1899-12-30T14:46:00"/>
    <s v="ZTE Warehouse"/>
    <x v="0"/>
    <x v="35"/>
    <s v="ZTE1007"/>
    <s v="Pcs"/>
    <n v="14"/>
    <s v="CLR51-99-506"/>
    <x v="173"/>
    <s v="DOEID260509BX"/>
    <s v="DNWID03620260509DY"/>
    <m/>
    <m/>
    <m/>
    <m/>
    <m/>
    <m/>
    <x v="2"/>
    <s v="WONOKOYO RW 05 KEDUNGKANDANG"/>
    <d v="2026-05-09T00:00:00"/>
    <b v="1"/>
    <s v="OUTBOUND_"/>
  </r>
  <r>
    <s v="2531"/>
    <n v="2"/>
    <x v="0"/>
    <s v="INB-W0012605-001"/>
    <s v="EJ-Malang-01"/>
    <s v="Oka-0813-2707-1646"/>
    <x v="418"/>
    <d v="1899-12-30T14:46:00"/>
    <s v="ZTE Warehouse"/>
    <x v="0"/>
    <x v="5"/>
    <s v="ZTE1001"/>
    <s v="Pcs"/>
    <n v="1"/>
    <s v="CLR51-99-506"/>
    <x v="173"/>
    <s v="DOEID260509BX"/>
    <s v="DNWID03620260509DY"/>
    <m/>
    <m/>
    <m/>
    <m/>
    <m/>
    <m/>
    <x v="2"/>
    <s v="WONOKOYO RW 05 KEDUNGKANDANG"/>
    <d v="2026-05-09T00:00:00"/>
    <b v="1"/>
    <s v="OUTBOUND_"/>
  </r>
  <r>
    <s v="2532"/>
    <n v="2"/>
    <x v="1"/>
    <s v="OUB-W0012605-001"/>
    <s v="EJ-Malang-01"/>
    <s v="Oka-0813-2707-1646"/>
    <x v="419"/>
    <d v="1899-12-30T18:18:00"/>
    <s v="EJ-MALANG-01"/>
    <x v="0"/>
    <x v="2"/>
    <s v="ZTE2008"/>
    <s v="Pcs"/>
    <n v="7"/>
    <s v="CLR51-99-506"/>
    <x v="173"/>
    <m/>
    <m/>
    <m/>
    <s v="Fatur"/>
    <s v="Suliadi"/>
    <s v="3515082712870005"/>
    <s v="W 3265 OH"/>
    <m/>
    <x v="2"/>
    <s v="WONOKOYO RW 05 KEDUNGKANDANG"/>
    <e v="#N/A"/>
    <e v="#N/A"/>
    <s v="OUTBOUND_"/>
  </r>
  <r>
    <s v="2533"/>
    <n v="3"/>
    <x v="1"/>
    <s v="OUB-W0012605-001"/>
    <s v="EJ-Malang-01"/>
    <s v="Oka-0813-2707-1646"/>
    <x v="419"/>
    <d v="1899-12-30T18:18:00"/>
    <s v="EJ-MALANG-01"/>
    <x v="0"/>
    <x v="35"/>
    <s v="ZTE1007"/>
    <s v="Pcs"/>
    <n v="14"/>
    <s v="CLR51-99-506"/>
    <x v="173"/>
    <m/>
    <m/>
    <m/>
    <s v="Fatur"/>
    <s v="Suliadi"/>
    <s v="3515082712870005"/>
    <s v="W 3265 OH"/>
    <m/>
    <x v="2"/>
    <s v="WONOKOYO RW 05 KEDUNGKANDANG"/>
    <e v="#N/A"/>
    <e v="#N/A"/>
    <s v="OUTBOUND_"/>
  </r>
  <r>
    <s v="2534"/>
    <n v="1"/>
    <x v="1"/>
    <s v="OUB-W0012605-001"/>
    <s v="EJ-Malang-01"/>
    <s v="Oka-0813-2707-1646"/>
    <x v="419"/>
    <d v="1899-12-30T18:18:00"/>
    <s v="EJ-MALANG-01"/>
    <x v="0"/>
    <x v="4"/>
    <s v="ZTE1002"/>
    <s v="Pcs"/>
    <n v="8"/>
    <s v="CLR51-99-506"/>
    <x v="173"/>
    <m/>
    <m/>
    <m/>
    <s v="Riki Romansyah"/>
    <s v="Suliadi"/>
    <s v="3507050501950006"/>
    <s v="N 8420 EL"/>
    <m/>
    <x v="2"/>
    <s v="WONOKOYO RW 05 KEDUNGKANDANG"/>
    <e v="#N/A"/>
    <e v="#N/A"/>
    <s v="OUTBOUND_"/>
  </r>
  <r>
    <s v="2535"/>
    <n v="4"/>
    <x v="1"/>
    <s v="OUB-W0012605-001"/>
    <s v="EJ-Malang-01"/>
    <s v="Oka-0813-2707-1646"/>
    <x v="419"/>
    <d v="1899-12-30T18:18:00"/>
    <s v="EJ-MALANG-01"/>
    <x v="0"/>
    <x v="5"/>
    <s v="ZTE1001"/>
    <s v="Pcs"/>
    <n v="1"/>
    <s v="CLR51-99-506"/>
    <x v="173"/>
    <m/>
    <m/>
    <m/>
    <s v="Riki Romansyah"/>
    <s v="Suliadi"/>
    <s v="3507050501950006"/>
    <s v="N 8420 EL"/>
    <m/>
    <x v="2"/>
    <s v="WONOKOYO RW 05 KEDUNGKANDANG"/>
    <e v="#N/A"/>
    <e v="#N/A"/>
    <s v="OUTBOUND_"/>
  </r>
  <r>
    <s v="2536"/>
    <n v="5"/>
    <x v="0"/>
    <s v="INB-W0012605-002"/>
    <s v="EJ-Malang-01"/>
    <s v="Oka-0813-2707-1646"/>
    <x v="420"/>
    <d v="1899-12-30T17:49:00"/>
    <s v="ZTE Warehouse"/>
    <x v="0"/>
    <x v="0"/>
    <s v="ZTE2001"/>
    <s v="Meter"/>
    <n v="3000"/>
    <s v="CLR51-99-658"/>
    <x v="174"/>
    <s v="DOEID260522B7"/>
    <n v="0"/>
    <m/>
    <m/>
    <m/>
    <m/>
    <m/>
    <m/>
    <x v="151"/>
    <s v="SUMBERSEKAR RT 07 RW 04 MALANG"/>
    <d v="2026-05-22T00:00:00"/>
    <b v="1"/>
    <s v="OUTBOUND_H-ADSS 24C-2026522-01"/>
  </r>
  <r>
    <s v="2537"/>
    <n v="1"/>
    <x v="0"/>
    <s v="INB-W0012605-002"/>
    <s v="EJ-Malang-01"/>
    <s v="Oka-0813-2707-1646"/>
    <x v="420"/>
    <d v="1899-12-30T17:49:00"/>
    <s v="ZTE Warehouse"/>
    <x v="0"/>
    <x v="2"/>
    <s v="ZTE2008"/>
    <s v="Pcs"/>
    <n v="11"/>
    <s v="CLR51-99-658"/>
    <x v="174"/>
    <s v="DOEID260522B7"/>
    <n v="0"/>
    <m/>
    <m/>
    <m/>
    <m/>
    <m/>
    <m/>
    <x v="2"/>
    <s v="SUMBERSEKAR RT 07 RW 04 MALANG"/>
    <d v="2026-05-22T00:00:00"/>
    <b v="1"/>
    <s v="OUTBOUND_"/>
  </r>
  <r>
    <s v="2538"/>
    <n v="6"/>
    <x v="0"/>
    <s v="INB-W0012605-002"/>
    <s v="EJ-Malang-01"/>
    <s v="Oka-0813-2707-1646"/>
    <x v="420"/>
    <d v="1899-12-30T17:49:00"/>
    <s v="ZTE Warehouse"/>
    <x v="0"/>
    <x v="3"/>
    <s v="ZTE2005"/>
    <s v="Pcs"/>
    <n v="1"/>
    <s v="CLR51-99-658"/>
    <x v="174"/>
    <s v="DOEID260522B7"/>
    <n v="0"/>
    <m/>
    <m/>
    <m/>
    <m/>
    <m/>
    <m/>
    <x v="2"/>
    <s v="SUMBERSEKAR RT 07 RW 04 MALANG"/>
    <d v="2026-05-22T00:00:00"/>
    <b v="1"/>
    <s v="OUTBOUND_"/>
  </r>
  <r>
    <s v="2539"/>
    <n v="3"/>
    <x v="0"/>
    <s v="INB-W0012605-002"/>
    <s v="EJ-Malang-01"/>
    <s v="Oka-0813-2707-1646"/>
    <x v="420"/>
    <d v="1899-12-30T17:49:00"/>
    <s v="ZTE Warehouse"/>
    <x v="0"/>
    <x v="35"/>
    <s v="ZTE1007"/>
    <s v="Pcs"/>
    <n v="8"/>
    <s v="CLR51-99-658"/>
    <x v="174"/>
    <s v="DOEID260522B7"/>
    <n v="0"/>
    <m/>
    <m/>
    <m/>
    <m/>
    <m/>
    <m/>
    <x v="2"/>
    <s v="SUMBERSEKAR RT 07 RW 04 MALANG"/>
    <d v="2026-05-22T00:00:00"/>
    <b v="1"/>
    <s v="OUTBOUND_"/>
  </r>
  <r>
    <s v="2540"/>
    <n v="2"/>
    <x v="0"/>
    <s v="INB-W0012605-002"/>
    <s v="EJ-Malang-01"/>
    <s v="Oka-0813-2707-1646"/>
    <x v="420"/>
    <d v="1899-12-30T17:49:00"/>
    <s v="ZTE Warehouse"/>
    <x v="0"/>
    <x v="4"/>
    <s v="ZTE1002"/>
    <s v="Pcs"/>
    <n v="8"/>
    <s v="CLR51-99-658"/>
    <x v="174"/>
    <s v="DOEID260522B7"/>
    <n v="0"/>
    <m/>
    <m/>
    <m/>
    <m/>
    <m/>
    <m/>
    <x v="2"/>
    <s v="SUMBERSEKAR RT 07 RW 04 MALANG"/>
    <d v="2026-05-22T00:00:00"/>
    <b v="1"/>
    <s v="OUTBOUND_"/>
  </r>
  <r>
    <s v="2541"/>
    <n v="4"/>
    <x v="0"/>
    <s v="INB-W0012605-002"/>
    <s v="EJ-Malang-01"/>
    <s v="Oka-0813-2707-1646"/>
    <x v="420"/>
    <d v="1899-12-30T17:49:00"/>
    <s v="ZTE Warehouse"/>
    <x v="0"/>
    <x v="5"/>
    <s v="ZTE1001"/>
    <s v="Pcs"/>
    <n v="9"/>
    <s v="CLR51-99-658"/>
    <x v="174"/>
    <s v="DOEID260522B7"/>
    <n v="0"/>
    <m/>
    <m/>
    <m/>
    <m/>
    <m/>
    <m/>
    <x v="2"/>
    <s v="SUMBERSEKAR RT 07 RW 04 MALANG"/>
    <d v="2026-05-22T00:00:00"/>
    <b v="1"/>
    <s v="OUTBOUND_"/>
  </r>
  <r>
    <s v="2542"/>
    <m/>
    <x v="1"/>
    <s v="OUB-W0012605-001"/>
    <s v="EJ-Malang-01"/>
    <s v="Oka-0813-2707-1646"/>
    <x v="421"/>
    <d v="1899-12-30T08:00:00"/>
    <s v="EJ-MALANG-01"/>
    <x v="0"/>
    <x v="0"/>
    <s v="ZTE2001"/>
    <s v="Meter"/>
    <n v="3000"/>
    <s v="CLR51-99-658"/>
    <x v="174"/>
    <m/>
    <m/>
    <m/>
    <s v="Riki Romansyah"/>
    <s v="Suliadi"/>
    <s v="3507050501950006"/>
    <s v="N 8420 EL"/>
    <m/>
    <x v="151"/>
    <s v="SUMBERSEKAR RT 07 RW 04 MALANG"/>
    <e v="#N/A"/>
    <e v="#N/A"/>
    <s v="OUTBOUND_H-ADSS 24C-2026522-01"/>
  </r>
  <r>
    <s v="2543"/>
    <n v="1"/>
    <x v="1"/>
    <s v="OUB-W0012605-002"/>
    <s v="EJ-Malang-01"/>
    <s v="Oka-0813-2707-1646"/>
    <x v="421"/>
    <d v="1899-12-30T17:49:00"/>
    <s v="EJ-MALANG-01"/>
    <x v="0"/>
    <x v="2"/>
    <s v="ZTE2008"/>
    <s v="Pcs"/>
    <n v="11"/>
    <s v="CLR51-99-658"/>
    <x v="174"/>
    <m/>
    <m/>
    <m/>
    <s v="Sifak"/>
    <s v="Suliadi"/>
    <s v="3507312107950002"/>
    <s v="N 1969 FF"/>
    <m/>
    <x v="2"/>
    <s v="SUMBERSEKAR RT 07 RW 04 MALANG"/>
    <e v="#N/A"/>
    <e v="#N/A"/>
    <s v="OUTBOUND_"/>
  </r>
  <r>
    <s v="2544"/>
    <n v="5"/>
    <x v="1"/>
    <s v="OUB-W0012605-002"/>
    <s v="EJ-Malang-01"/>
    <s v="Oka-0813-2707-1646"/>
    <x v="421"/>
    <d v="1899-12-30T17:49:00"/>
    <s v="EJ-MALANG-01"/>
    <x v="0"/>
    <x v="3"/>
    <s v="ZTE2005"/>
    <s v="Pcs"/>
    <n v="1"/>
    <s v="CLR51-99-658"/>
    <x v="174"/>
    <m/>
    <m/>
    <m/>
    <s v="Sifak"/>
    <s v="Suliadi"/>
    <s v="3507312107950002"/>
    <s v="N 1969 FF"/>
    <m/>
    <x v="2"/>
    <s v="SUMBERSEKAR RT 07 RW 04 MALANG"/>
    <e v="#N/A"/>
    <e v="#N/A"/>
    <s v="OUTBOUND_"/>
  </r>
  <r>
    <s v="2545"/>
    <n v="3"/>
    <x v="1"/>
    <s v="OUB-W0012605-002"/>
    <s v="EJ-Malang-01"/>
    <s v="Oka-0813-2707-1646"/>
    <x v="421"/>
    <d v="1899-12-30T17:49:00"/>
    <s v="EJ-MALANG-01"/>
    <x v="0"/>
    <x v="35"/>
    <s v="ZTE1007"/>
    <s v="Pcs"/>
    <n v="8"/>
    <s v="CLR51-99-658"/>
    <x v="174"/>
    <m/>
    <m/>
    <m/>
    <s v="Riki Romansyah"/>
    <s v="Suliadi"/>
    <s v="3507050501950006"/>
    <s v="N 8420 EL"/>
    <m/>
    <x v="2"/>
    <s v="SUMBERSEKAR RT 07 RW 04 MALANG"/>
    <e v="#N/A"/>
    <e v="#N/A"/>
    <s v="OUTBOUND_"/>
  </r>
  <r>
    <s v="2546"/>
    <n v="2"/>
    <x v="1"/>
    <s v="OUB-W0012605-002"/>
    <s v="EJ-Malang-01"/>
    <s v="Oka-0813-2707-1646"/>
    <x v="421"/>
    <d v="1899-12-30T17:49:00"/>
    <s v="EJ-MALANG-01"/>
    <x v="0"/>
    <x v="4"/>
    <s v="ZTE1002"/>
    <s v="Pcs"/>
    <n v="13"/>
    <s v="CLR51-99-658"/>
    <x v="174"/>
    <m/>
    <m/>
    <m/>
    <s v="Sifak"/>
    <s v="Suliadi"/>
    <s v="3507312107950002"/>
    <s v="N 1969 FF"/>
    <m/>
    <x v="2"/>
    <s v="SUMBERSEKAR RT 07 RW 04 MALANG"/>
    <e v="#N/A"/>
    <e v="#N/A"/>
    <s v="OUTBOUND_"/>
  </r>
  <r>
    <s v="2547"/>
    <n v="4"/>
    <x v="1"/>
    <s v="OUB-W0012605-002"/>
    <s v="EJ-Malang-01"/>
    <s v="Oka-0813-2707-1646"/>
    <x v="421"/>
    <d v="1899-12-30T17:49:00"/>
    <s v="EJ-MALANG-01"/>
    <x v="0"/>
    <x v="5"/>
    <s v="ZTE1001"/>
    <s v="Pcs"/>
    <n v="1"/>
    <s v="CLR51-99-658"/>
    <x v="174"/>
    <m/>
    <m/>
    <m/>
    <s v="Riki Romansyah"/>
    <s v="Suliadi"/>
    <s v="3507050501950006"/>
    <s v="N 8420 EL"/>
    <m/>
    <x v="2"/>
    <s v="SUMBERSEKAR RT 07 RW 04 MALANG"/>
    <e v="#N/A"/>
    <e v="#N/A"/>
    <s v="OUTBOUND_"/>
  </r>
  <r>
    <s v="2548"/>
    <n v="1"/>
    <x v="0"/>
    <s v="INB-W0012606-001"/>
    <s v="EJ-Malang-01"/>
    <s v="Oka-0813-2707-1646"/>
    <x v="422"/>
    <d v="1899-12-30T06:00:00"/>
    <s v="ZTE Warehouse"/>
    <x v="0"/>
    <x v="2"/>
    <s v="ZTE2008"/>
    <s v="Pcs"/>
    <n v="25"/>
    <s v="CLR51-99-483"/>
    <x v="175"/>
    <s v="DOEID26052978"/>
    <n v="0"/>
    <m/>
    <m/>
    <m/>
    <m/>
    <m/>
    <m/>
    <x v="2"/>
    <s v="RANDUANGUNG RW 04 SINGOSARI MALANG"/>
    <d v="2026-06-18T00:00:00"/>
    <b v="1"/>
    <s v="OUTBOUND_"/>
  </r>
  <r>
    <s v="2549"/>
    <n v="2"/>
    <x v="0"/>
    <s v="INB-W0012606-001"/>
    <s v="EJ-Malang-01"/>
    <s v="Oka-0813-2707-1646"/>
    <x v="422"/>
    <d v="1899-12-30T06:00:00"/>
    <s v="ZTE Warehouse"/>
    <x v="0"/>
    <x v="30"/>
    <s v="ZTE2006"/>
    <s v="Pcs"/>
    <n v="1"/>
    <s v="CLR51-99-483"/>
    <x v="175"/>
    <s v="DOEID26052978"/>
    <n v="0"/>
    <m/>
    <m/>
    <m/>
    <m/>
    <m/>
    <m/>
    <x v="2"/>
    <s v="RANDUANGUNG RW 04 SINGOSARI MALANG"/>
    <d v="2026-06-18T00:00:00"/>
    <b v="1"/>
    <s v="OUTBOUND_"/>
  </r>
  <r>
    <s v="2550"/>
    <n v="3"/>
    <x v="0"/>
    <s v="INB-W0012606-001"/>
    <s v="EJ-Malang-01"/>
    <s v="Oka-0813-2707-1646"/>
    <x v="422"/>
    <d v="1899-12-30T06:00:00"/>
    <s v="ZTE Warehouse"/>
    <x v="0"/>
    <x v="35"/>
    <s v="ZTE1007"/>
    <s v="Pcs"/>
    <n v="34"/>
    <s v="CLR51-99-483"/>
    <x v="175"/>
    <s v="DOEID26052978"/>
    <n v="0"/>
    <m/>
    <m/>
    <m/>
    <m/>
    <m/>
    <m/>
    <x v="2"/>
    <s v="RANDUANGUNG RW 04 SINGOSARI MALANG"/>
    <d v="2026-06-18T00:00:00"/>
    <b v="1"/>
    <s v="OUTBOUND_"/>
  </r>
  <r>
    <s v="2551"/>
    <n v="4"/>
    <x v="0"/>
    <s v="INB-W0012606-001"/>
    <s v="EJ-Malang-01"/>
    <s v="Oka-0813-2707-1646"/>
    <x v="422"/>
    <d v="1899-12-30T06:00:00"/>
    <s v="ZTE Warehouse"/>
    <x v="0"/>
    <x v="4"/>
    <s v="ZTE1002"/>
    <s v="Pcs"/>
    <n v="16"/>
    <s v="CLR51-99-483"/>
    <x v="175"/>
    <s v="DOEID26052978"/>
    <n v="0"/>
    <m/>
    <m/>
    <m/>
    <m/>
    <m/>
    <m/>
    <x v="2"/>
    <s v="RANDUANGUNG RW 04 SINGOSARI MALANG"/>
    <d v="2026-06-18T00:00:00"/>
    <b v="1"/>
    <s v="OUTBOUND_"/>
  </r>
  <r>
    <s v="2552"/>
    <m/>
    <x v="1"/>
    <s v="OUB-W0012606-002"/>
    <s v="EJ-Malang-01"/>
    <s v="Oka-0813-2707-1647"/>
    <x v="423"/>
    <d v="1899-12-30T09:00:00"/>
    <s v="EJ-MALANG-01"/>
    <x v="0"/>
    <x v="35"/>
    <s v="ZTE1007"/>
    <s v="Pcs"/>
    <n v="16"/>
    <s v="CLR51-99-483"/>
    <x v="175"/>
    <m/>
    <m/>
    <m/>
    <s v="Riki Romansyah"/>
    <s v="Suliadi"/>
    <s v="3507050501950006"/>
    <s v="N 8420 EL"/>
    <m/>
    <x v="2"/>
    <s v="RANDUANGUNG RW 04 SINGOSARI MALANG"/>
    <e v="#N/A"/>
    <e v="#N/A"/>
    <s v="OUTBOUND_"/>
  </r>
  <r>
    <s v="2553"/>
    <m/>
    <x v="1"/>
    <s v="OUB-W0012606-002"/>
    <s v="EJ-Malang-01"/>
    <s v="Oka-0813-2707-1647"/>
    <x v="423"/>
    <d v="1899-12-30T09:00:00"/>
    <s v="EJ-MALANG-01"/>
    <x v="0"/>
    <x v="4"/>
    <s v="ZTE1002"/>
    <s v="Pcs"/>
    <n v="21"/>
    <s v="CLR51-99-483"/>
    <x v="175"/>
    <m/>
    <m/>
    <m/>
    <s v="Riki Romansyah"/>
    <s v="Suliadi"/>
    <s v="3507050501950006"/>
    <s v="N 8420 EL"/>
    <m/>
    <x v="2"/>
    <s v="RANDUANGUNG RW 04 SINGOSARI MALANG"/>
    <e v="#N/A"/>
    <e v="#N/A"/>
    <s v="OUTBOUND_"/>
  </r>
  <r>
    <s v="2554"/>
    <m/>
    <x v="1"/>
    <s v="OUB-W0012606-003"/>
    <s v="EJ-Malang-01"/>
    <s v="Oka-0813-2707-1647"/>
    <x v="424"/>
    <d v="1899-12-30T09:00:00"/>
    <s v="EJ-MALANG-01"/>
    <x v="0"/>
    <x v="2"/>
    <s v="ZTE2008"/>
    <s v="Pcs"/>
    <n v="24"/>
    <s v="CLR51-99-483"/>
    <x v="175"/>
    <m/>
    <m/>
    <m/>
    <s v="Rangga"/>
    <s v="Suliadi"/>
    <s v="3507312107950002"/>
    <s v="N 1969 FF"/>
    <m/>
    <x v="2"/>
    <s v="RANDUANGUNG RW 04 SINGOSARI MALANG"/>
    <e v="#N/A"/>
    <e v="#N/A"/>
    <s v="OUTBOUND_"/>
  </r>
  <r>
    <s v="2555"/>
    <m/>
    <x v="1"/>
    <s v="OUB-W0012606-003"/>
    <s v="EJ-Malang-01"/>
    <s v="Oka-0813-2707-1647"/>
    <x v="424"/>
    <d v="1899-12-30T09:00:00"/>
    <s v="EJ-MALANG-01"/>
    <x v="0"/>
    <x v="30"/>
    <s v="ZTE2006"/>
    <s v="Pcs"/>
    <n v="1"/>
    <s v="CLR51-99-483"/>
    <x v="175"/>
    <m/>
    <m/>
    <m/>
    <s v="Rangga"/>
    <s v="Suliadi"/>
    <s v="3507312107950002"/>
    <s v="N 1969 FF"/>
    <m/>
    <x v="2"/>
    <s v="RANDUANGUNG RW 04 SINGOSARI MALANG"/>
    <e v="#N/A"/>
    <e v="#N/A"/>
    <s v="OUTBOUND_"/>
  </r>
  <r>
    <s v="2556"/>
    <m/>
    <x v="1"/>
    <s v="OUB-W0012606-003"/>
    <s v="EJ-Malang-01"/>
    <s v="Oka-0813-2707-1647"/>
    <x v="424"/>
    <d v="1899-12-30T09:00:00"/>
    <s v="EJ-MALANG-01"/>
    <x v="0"/>
    <x v="35"/>
    <s v="ZTE1007"/>
    <s v="Pcs"/>
    <n v="2"/>
    <s v="CLR51-99-483"/>
    <x v="175"/>
    <m/>
    <m/>
    <m/>
    <s v="Riki Romansyah"/>
    <s v="Suliadi"/>
    <s v="3507050501950006"/>
    <s v="N 8420 EL"/>
    <m/>
    <x v="2"/>
    <s v="RANDUANGUNG RW 04 SINGOSARI MALANG"/>
    <e v="#N/A"/>
    <e v="#N/A"/>
    <s v="OUTBOUND_"/>
  </r>
  <r>
    <s v="2557"/>
    <m/>
    <x v="1"/>
    <s v="OUB-W0012606-003"/>
    <s v="EJ-Malang-01"/>
    <s v="Oka-0813-2707-1647"/>
    <x v="424"/>
    <d v="1899-12-30T09:00:00"/>
    <s v="EJ-MALANG-01"/>
    <x v="0"/>
    <x v="35"/>
    <s v="ZTE1007"/>
    <s v="Pcs"/>
    <n v="7"/>
    <s v="CLR51-99-483"/>
    <x v="175"/>
    <m/>
    <m/>
    <m/>
    <s v="Riki Romansyah"/>
    <s v="Suliadi"/>
    <s v="3507050501950006"/>
    <s v="N 8420 EL"/>
    <m/>
    <x v="2"/>
    <s v="RANDUANGUNG RW 04 SINGOSARI MALANG"/>
    <e v="#N/A"/>
    <e v="#N/A"/>
    <s v="OUTBOUND_"/>
  </r>
  <r>
    <s v="2558"/>
    <m/>
    <x v="1"/>
    <s v="OUB-W0012606-003"/>
    <s v="EJ-Malang-01"/>
    <s v="Oka-0813-2707-1647"/>
    <x v="424"/>
    <d v="1899-12-30T09:00:00"/>
    <s v="EJ-MALANG-01"/>
    <x v="0"/>
    <x v="4"/>
    <s v="ZTE1002"/>
    <s v="Pcs"/>
    <n v="7"/>
    <s v="CLR51-99-483"/>
    <x v="175"/>
    <m/>
    <m/>
    <m/>
    <s v="Riki Romansyah"/>
    <s v="Suliadi"/>
    <s v="3507050501950006"/>
    <s v="N 8420 EL"/>
    <m/>
    <x v="2"/>
    <s v="RANDUANGUNG RW 04 SINGOSARI MALANG"/>
    <e v="#N/A"/>
    <e v="#N/A"/>
    <s v="OUTBOUND_"/>
  </r>
  <r>
    <s v="2559"/>
    <m/>
    <x v="1"/>
    <s v="OUB-W0012606-003"/>
    <s v="EJ-Malang-01"/>
    <s v="Oka-0813-2707-1647"/>
    <x v="424"/>
    <d v="1899-12-30T09:00:00"/>
    <s v="EJ-MALANG-01"/>
    <x v="0"/>
    <x v="5"/>
    <s v="ZTE1001"/>
    <s v="Pcs"/>
    <n v="9"/>
    <s v="CLR51-99-483"/>
    <x v="175"/>
    <m/>
    <m/>
    <m/>
    <s v="Riki Romansyah"/>
    <s v="Suliadi"/>
    <s v="3507050501950006"/>
    <s v="N 8420 EL"/>
    <m/>
    <x v="2"/>
    <s v="RANDUANGUNG RW 04 SINGOSARI MALANG"/>
    <e v="#N/A"/>
    <e v="#N/A"/>
    <s v="OUTBOUND_"/>
  </r>
  <r>
    <s v="2560"/>
    <m/>
    <x v="1"/>
    <s v="OUB-W0012606-004"/>
    <s v="EJ-Malang-01"/>
    <s v="Oka-0813-2707-1647"/>
    <x v="425"/>
    <d v="1899-12-30T21:00:00"/>
    <s v="EJ-MALANG-01"/>
    <x v="0"/>
    <x v="35"/>
    <s v="ZTE1007"/>
    <s v="Pcs"/>
    <n v="12"/>
    <s v="CLR51-99-678"/>
    <x v="176"/>
    <m/>
    <m/>
    <m/>
    <s v="Riki Romansyah"/>
    <s v="Suliadi"/>
    <s v="3507050501950006"/>
    <s v="N 8420 EL"/>
    <m/>
    <x v="2"/>
    <s v="KAMBINGAN RW 04 MALANG"/>
    <e v="#N/A"/>
    <e v="#N/A"/>
    <s v="OUTBOUND_"/>
  </r>
  <r>
    <s v="2561"/>
    <m/>
    <x v="1"/>
    <s v="OUB-W0012606-004"/>
    <s v="EJ-Malang-01"/>
    <s v="Oka-0813-2707-1647"/>
    <x v="425"/>
    <d v="1899-12-30T21:00:00"/>
    <s v="EJ-MALANG-01"/>
    <x v="0"/>
    <x v="4"/>
    <s v="ZTE1002"/>
    <s v="Pcs"/>
    <n v="13"/>
    <s v="CLR51-99-678"/>
    <x v="176"/>
    <m/>
    <m/>
    <m/>
    <s v="Riki Romansyah"/>
    <s v="Suliadi"/>
    <s v="3507050501950006"/>
    <s v="N 8420 EL"/>
    <m/>
    <x v="2"/>
    <s v="KAMBINGAN RW 04 MALANG"/>
    <e v="#N/A"/>
    <e v="#N/A"/>
    <s v="OUTBOUND_"/>
  </r>
  <r>
    <s v="2562"/>
    <n v="1"/>
    <x v="0"/>
    <s v="INB-W0012606-002"/>
    <s v="EJ-Malang-01"/>
    <s v="Oka-0813-2707-1646"/>
    <x v="426"/>
    <d v="1899-12-30T08:00:00"/>
    <s v="ZTE Warehouse"/>
    <x v="0"/>
    <x v="0"/>
    <s v="ZTE2001"/>
    <s v="Meter"/>
    <n v="3000"/>
    <s v="CLR51-99-678"/>
    <x v="176"/>
    <s v="DOEID26062559"/>
    <n v="0"/>
    <m/>
    <m/>
    <m/>
    <m/>
    <m/>
    <m/>
    <x v="152"/>
    <s v="KAMBINGAN RW 04 MALANG"/>
    <d v="2026-06-27T00:00:00"/>
    <b v="1"/>
    <s v="OUTBOUND_H-ADSS 24C-2026627-01"/>
  </r>
  <r>
    <s v="2563"/>
    <m/>
    <x v="1"/>
    <s v="OUB-W0012606-005"/>
    <s v="EJ-Malang-01"/>
    <s v="Oka-0813-2707-1647"/>
    <x v="426"/>
    <d v="1899-12-30T21:00:00"/>
    <s v="EJ-MALANG-01"/>
    <x v="0"/>
    <x v="0"/>
    <s v="ZTE2001"/>
    <s v="Meter"/>
    <n v="3000"/>
    <s v="CLR51-99-678"/>
    <x v="176"/>
    <m/>
    <m/>
    <m/>
    <s v="Riki Romansyah"/>
    <s v="Suliadi"/>
    <s v="3507050501950006"/>
    <s v="N 8420 EL"/>
    <m/>
    <x v="152"/>
    <s v="KAMBINGAN RW 04 MALANG"/>
    <e v="#N/A"/>
    <e v="#N/A"/>
    <s v="OUTBOUND_H-ADSS 24C-2026627-01"/>
  </r>
  <r>
    <s v="2564"/>
    <m/>
    <x v="1"/>
    <s v="OUB-W0012606-005"/>
    <s v="EJ-Malang-01"/>
    <s v="Oka-0813-2707-1647"/>
    <x v="426"/>
    <d v="1899-12-30T21:00:00"/>
    <s v="EJ-MALANG-01"/>
    <x v="0"/>
    <x v="1"/>
    <s v="ZTE2003"/>
    <s v="Meter"/>
    <n v="3000"/>
    <s v="CLR51-99-678"/>
    <x v="176"/>
    <m/>
    <m/>
    <m/>
    <s v="Riki Romansyah"/>
    <s v="Suliadi"/>
    <s v="3507050501950006"/>
    <s v="N 8420 EL"/>
    <m/>
    <x v="125"/>
    <s v="KAMBINGAN RW 04 MALANG"/>
    <e v="#N/A"/>
    <e v="#N/A"/>
    <s v="OUTBOUND_H-ADSS 48C-2025912-01"/>
  </r>
  <r>
    <s v="2565"/>
    <n v="2"/>
    <x v="0"/>
    <s v="INB-W0012606-002"/>
    <s v="EJ-Malang-01"/>
    <s v="Oka-0813-2707-1646"/>
    <x v="426"/>
    <d v="1899-12-30T06:00:00"/>
    <s v="ZTE Warehouse"/>
    <x v="0"/>
    <x v="2"/>
    <s v="ZTE2008"/>
    <s v="Pcs"/>
    <n v="19"/>
    <s v="CLR51-99-678"/>
    <x v="176"/>
    <s v="DOEID26062559"/>
    <n v="0"/>
    <m/>
    <m/>
    <m/>
    <m/>
    <m/>
    <m/>
    <x v="2"/>
    <s v="KAMBINGAN RW 04 MALANG"/>
    <d v="2026-06-27T00:00:00"/>
    <b v="1"/>
    <s v="OUTBOUND_"/>
  </r>
  <r>
    <s v="2566"/>
    <n v="3"/>
    <x v="0"/>
    <s v="INB-W0012606-002"/>
    <s v="EJ-Malang-01"/>
    <s v="Oka-0813-2707-1646"/>
    <x v="426"/>
    <d v="1899-12-30T06:00:00"/>
    <s v="ZTE Warehouse"/>
    <x v="0"/>
    <x v="3"/>
    <s v="ZTE2005"/>
    <s v="Pcs"/>
    <n v="1"/>
    <s v="CLR51-99-678"/>
    <x v="176"/>
    <s v="DOEID26062559"/>
    <n v="0"/>
    <m/>
    <m/>
    <m/>
    <m/>
    <m/>
    <m/>
    <x v="2"/>
    <s v="KAMBINGAN RW 04 MALANG"/>
    <d v="2026-06-27T00:00:00"/>
    <b v="1"/>
    <s v="OUTBOUND_"/>
  </r>
  <r>
    <s v="2567"/>
    <n v="4"/>
    <x v="0"/>
    <s v="INB-W0012606-002"/>
    <s v="EJ-Malang-01"/>
    <s v="Oka-0813-2707-1646"/>
    <x v="426"/>
    <d v="1899-12-30T06:00:00"/>
    <s v="ZTE Warehouse"/>
    <x v="0"/>
    <x v="35"/>
    <s v="ZTE1007"/>
    <s v="Pcs"/>
    <n v="24"/>
    <s v="CLR51-99-678"/>
    <x v="176"/>
    <s v="DOEID26062559"/>
    <n v="0"/>
    <m/>
    <m/>
    <m/>
    <m/>
    <m/>
    <m/>
    <x v="2"/>
    <s v="KAMBINGAN RW 04 MALANG"/>
    <d v="2026-06-27T00:00:00"/>
    <b v="1"/>
    <s v="OUTBOUND_"/>
  </r>
  <r>
    <s v="2568"/>
    <n v="6"/>
    <x v="0"/>
    <s v="INB-W0012606-002"/>
    <s v="EJ-Malang-01"/>
    <s v="Oka-0813-2707-1646"/>
    <x v="426"/>
    <d v="1899-12-30T06:00:00"/>
    <s v="ZTE Warehouse"/>
    <x v="0"/>
    <x v="5"/>
    <s v="ZTE1001"/>
    <s v="Pcs"/>
    <n v="10"/>
    <s v="CLR51-99-483"/>
    <x v="175"/>
    <s v="DOEID26062524"/>
    <m/>
    <m/>
    <m/>
    <m/>
    <m/>
    <m/>
    <m/>
    <x v="2"/>
    <s v="RANDUANGUNG RW 04 SINGOSARI MALANG"/>
    <d v="2026-06-27T00:00:00"/>
    <b v="1"/>
    <s v="OUTBOUND_"/>
  </r>
  <r>
    <s v="2569"/>
    <n v="5"/>
    <x v="0"/>
    <s v="INB-W0012606-002"/>
    <s v="EJ-Malang-01"/>
    <s v="Oka-0813-2707-1646"/>
    <x v="426"/>
    <d v="1899-12-30T06:00:00"/>
    <s v="ZTE Warehouse"/>
    <x v="0"/>
    <x v="5"/>
    <s v="ZTE1001"/>
    <s v="Pcs"/>
    <n v="23"/>
    <s v="CLR51-99-678"/>
    <x v="176"/>
    <s v="DOEID26062559"/>
    <n v="0"/>
    <m/>
    <m/>
    <m/>
    <m/>
    <m/>
    <m/>
    <x v="2"/>
    <s v="KAMBINGAN RW 04 MALANG"/>
    <d v="2026-06-27T00:00:00"/>
    <b v="1"/>
    <s v="OUTBOUND_"/>
  </r>
  <r>
    <s v="2570"/>
    <m/>
    <x v="1"/>
    <s v="OUB-W0012606-005"/>
    <s v="EJ-Malang-01"/>
    <s v="Oka-0813-2707-1647"/>
    <x v="426"/>
    <d v="1899-12-30T21:00:00"/>
    <s v="EJ-MALANG-01"/>
    <x v="0"/>
    <x v="5"/>
    <s v="ZTE1001"/>
    <s v="Pcs"/>
    <n v="21"/>
    <s v="CLR51-99-678"/>
    <x v="176"/>
    <m/>
    <m/>
    <m/>
    <s v="Riki Romansyah"/>
    <s v="Suliadi"/>
    <s v="3507050501950006"/>
    <s v="N 8420 EL"/>
    <m/>
    <x v="2"/>
    <s v="KAMBINGAN RW 04 MALANG"/>
    <e v="#N/A"/>
    <e v="#N/A"/>
    <s v="OUTBOUND_"/>
  </r>
  <r>
    <s v="2571"/>
    <m/>
    <x v="1"/>
    <s v="OUB-W0012606-005"/>
    <s v="EJ-Malang-01"/>
    <s v="Oka-0813-2707-1647"/>
    <x v="426"/>
    <d v="1899-12-30T09:00:00"/>
    <s v="EJ-MALANG-01"/>
    <x v="0"/>
    <x v="5"/>
    <s v="ZTE1001"/>
    <s v="Pcs"/>
    <n v="4"/>
    <s v="CLR51-99-483"/>
    <x v="175"/>
    <m/>
    <m/>
    <m/>
    <s v="Riki Romansyah"/>
    <s v="Suliadi"/>
    <s v="3507050501950006"/>
    <s v="N 8420 EL"/>
    <m/>
    <x v="2"/>
    <s v="RANDUANGUNG RW 04 SINGOSARI MALANG"/>
    <e v="#N/A"/>
    <e v="#N/A"/>
    <s v="OUTBOUND_"/>
  </r>
  <r>
    <s v="2572"/>
    <m/>
    <x v="1"/>
    <s v="OUB-W0012606-006"/>
    <s v="EJ-Malang-01"/>
    <s v="Oka-0813-2707-1647"/>
    <x v="427"/>
    <d v="1899-12-30T06:00:00"/>
    <s v="EJ-MALANG-01"/>
    <x v="0"/>
    <x v="35"/>
    <s v="ZTE1007"/>
    <s v="Pcs"/>
    <n v="12"/>
    <s v="CLR51-99-678"/>
    <x v="176"/>
    <m/>
    <m/>
    <m/>
    <s v="Riki Romansyah"/>
    <s v="Suliadi"/>
    <s v="3507050501950006"/>
    <s v="N 8420 EL"/>
    <m/>
    <x v="2"/>
    <s v="KAMBINGAN RW 04 MALANG"/>
    <e v="#N/A"/>
    <e v="#N/A"/>
    <s v="OUTBOUND_"/>
  </r>
  <r>
    <s v="2573"/>
    <m/>
    <x v="1"/>
    <s v="OUB-W0012606-006"/>
    <s v="EJ-Malang-01"/>
    <s v="Oka-0813-2707-1647"/>
    <x v="427"/>
    <d v="1899-12-30T06:00:00"/>
    <s v="EJ-MALANG-01"/>
    <x v="0"/>
    <x v="4"/>
    <s v="ZTE1002"/>
    <s v="Pcs"/>
    <n v="14"/>
    <s v="CLR51-99-678"/>
    <x v="176"/>
    <m/>
    <m/>
    <m/>
    <s v="Riki Romansyah"/>
    <s v="Suliadi"/>
    <s v="3507050501950006"/>
    <s v="N 8420 EL"/>
    <m/>
    <x v="2"/>
    <s v="KAMBINGAN RW 04 MALANG"/>
    <e v="#N/A"/>
    <e v="#N/A"/>
    <s v="OUTBOUND_"/>
  </r>
  <r>
    <s v="2574"/>
    <m/>
    <x v="1"/>
    <s v="OUB-W0012606-006"/>
    <s v="EJ-Malang-01"/>
    <s v="Oka-0813-2707-1647"/>
    <x v="427"/>
    <d v="1899-12-30T06:00:00"/>
    <s v="EJ-MALANG-01"/>
    <x v="0"/>
    <x v="19"/>
    <s v="ZTE1003"/>
    <s v="Pcs"/>
    <n v="1"/>
    <s v="CLR51-99-678"/>
    <x v="176"/>
    <m/>
    <m/>
    <m/>
    <s v="Riki Romansyah"/>
    <s v="Suliadi"/>
    <s v="3507050501950006"/>
    <s v="N 8420 EL"/>
    <m/>
    <x v="2"/>
    <s v="KAMBINGAN RW 04 MALANG"/>
    <e v="#N/A"/>
    <e v="#N/A"/>
    <s v="OUTBOUND_"/>
  </r>
  <r>
    <s v="2575"/>
    <m/>
    <x v="1"/>
    <s v="OUB-W0012606-007"/>
    <s v="EJ-Malang-01"/>
    <s v="Oka-0813-2707-1647"/>
    <x v="428"/>
    <d v="1899-12-30T06:00:00"/>
    <s v="EJ-MALANG-01"/>
    <x v="0"/>
    <x v="35"/>
    <s v="ZTE1007"/>
    <s v="Pcs"/>
    <n v="2"/>
    <s v="CLR51-99-678"/>
    <x v="176"/>
    <m/>
    <m/>
    <m/>
    <s v="Riki Romansyah"/>
    <s v="Suliadi"/>
    <s v="3507050501950006"/>
    <s v="N 8420 EL"/>
    <m/>
    <x v="2"/>
    <s v="KAMBINGAN RW 04 MALANG"/>
    <e v="#N/A"/>
    <e v="#N/A"/>
    <s v="OUTBOUND_"/>
  </r>
  <r>
    <s v="2576"/>
    <m/>
    <x v="1"/>
    <s v="OUB-W0012607-001"/>
    <s v="EJ-Malang-01"/>
    <s v="Oka-0813-2707-1646"/>
    <x v="429"/>
    <d v="1899-12-30T06:00:00"/>
    <s v="EJ-MALANG-01"/>
    <x v="0"/>
    <x v="2"/>
    <s v="ZTE2008"/>
    <s v="Pcs"/>
    <n v="10"/>
    <s v="CLR51-99-678"/>
    <x v="176"/>
    <m/>
    <m/>
    <m/>
    <s v="Fatur"/>
    <s v="Suliadi"/>
    <s v="3515082712870005"/>
    <s v="W 3265 OH"/>
    <m/>
    <x v="2"/>
    <s v="KAMBINGAN RW 04 MALANG"/>
    <e v="#N/A"/>
    <e v="#N/A"/>
    <s v="OUTBOUND_"/>
  </r>
  <r>
    <s v="2577"/>
    <m/>
    <x v="1"/>
    <s v="OUB-W0012607-001"/>
    <s v="EJ-Malang-01"/>
    <s v="Oka-0813-2707-1646"/>
    <x v="429"/>
    <d v="1899-12-30T06:00:00"/>
    <s v="EJ-MALANG-01"/>
    <x v="0"/>
    <x v="3"/>
    <s v="ZTE2005"/>
    <s v="Pcs"/>
    <n v="1"/>
    <s v="CLR51-99-678"/>
    <x v="176"/>
    <m/>
    <m/>
    <m/>
    <s v="Fatur"/>
    <s v="Suliadi"/>
    <s v="3515082712870005"/>
    <s v="W 3265 OH"/>
    <m/>
    <x v="2"/>
    <s v="KAMBINGAN RW 04 MALANG"/>
    <e v="#N/A"/>
    <e v="#N/A"/>
    <s v="OUTBOUND_"/>
  </r>
  <r>
    <s v="2578"/>
    <m/>
    <x v="1"/>
    <s v="OUB-W0012607-002"/>
    <s v="EJ-Malang-01"/>
    <s v="Oka-0813-2707-1646"/>
    <x v="430"/>
    <d v="1899-12-30T06:00:00"/>
    <s v="EJ-MALANG-01"/>
    <x v="0"/>
    <x v="2"/>
    <s v="ZTE2008"/>
    <s v="Pcs"/>
    <n v="8"/>
    <s v="CLR51-99-678"/>
    <x v="176"/>
    <m/>
    <m/>
    <m/>
    <s v="Fatur"/>
    <s v="Suliadi"/>
    <s v="3515082712870005"/>
    <s v="W 3265 OH"/>
    <m/>
    <x v="2"/>
    <s v="KAMBINGAN RW 04 MALANG"/>
    <e v="#N/A"/>
    <e v="#N/A"/>
    <s v="OUTBOUND_"/>
  </r>
  <r>
    <s v="2579"/>
    <m/>
    <x v="0"/>
    <s v="INB-W0012607-001"/>
    <s v="EJ-Malang-01"/>
    <s v="Oka-0813-2707-1646"/>
    <x v="431"/>
    <d v="1899-12-30T06:00:00"/>
    <s v="ZTE Warehouse"/>
    <x v="0"/>
    <x v="0"/>
    <s v="ZTE2001"/>
    <s v="Meter"/>
    <n v="3000"/>
    <s v="CLR51-99-662"/>
    <x v="177"/>
    <s v="DOEID260708AM"/>
    <s v="DNWID0362026070821"/>
    <m/>
    <m/>
    <m/>
    <m/>
    <m/>
    <m/>
    <x v="153"/>
    <s v="KESATRIAN RW 09 MALANG"/>
    <d v="2026-07-09T00:00:00"/>
    <b v="1"/>
    <s v="OUTBOUND_H-ADSS 24C-202679-01"/>
  </r>
  <r>
    <s v="2580"/>
    <m/>
    <x v="0"/>
    <s v="INB-W0012607-001"/>
    <s v="EJ-Malang-01"/>
    <s v="Oka-0813-2707-1646"/>
    <x v="431"/>
    <d v="1899-12-30T06:00:00"/>
    <s v="ZTE Warehouse"/>
    <x v="0"/>
    <x v="2"/>
    <s v="ZTE2008"/>
    <s v="Pcs"/>
    <n v="9"/>
    <s v="CLR51-99-662"/>
    <x v="177"/>
    <s v="DOEID260708AM"/>
    <s v="DNWID0362026070821"/>
    <m/>
    <m/>
    <m/>
    <m/>
    <m/>
    <m/>
    <x v="2"/>
    <s v="KESATRIAN RW 09 MALANG"/>
    <d v="2026-07-09T00:00:00"/>
    <b v="1"/>
    <s v="OUTBOUND_"/>
  </r>
  <r>
    <s v="2581"/>
    <m/>
    <x v="0"/>
    <s v="INB-W0012607-001"/>
    <s v="EJ-Malang-01"/>
    <s v="Oka-0813-2707-1646"/>
    <x v="431"/>
    <d v="1899-12-30T06:00:00"/>
    <s v="ZTE Warehouse"/>
    <x v="0"/>
    <x v="3"/>
    <s v="ZTE2005"/>
    <s v="Pcs"/>
    <n v="1"/>
    <s v="CLR51-99-662"/>
    <x v="177"/>
    <s v="DOEID260708AM"/>
    <s v="DNWID0362026070821"/>
    <m/>
    <m/>
    <m/>
    <m/>
    <m/>
    <m/>
    <x v="2"/>
    <s v="KESATRIAN RW 09 MALANG"/>
    <d v="2026-07-09T00:00:00"/>
    <b v="1"/>
    <s v="OUTBOUND_"/>
  </r>
  <r>
    <s v="2582"/>
    <m/>
    <x v="0"/>
    <s v="INB-W0012607-001"/>
    <s v="EJ-Malang-01"/>
    <s v="Oka-0813-2707-1646"/>
    <x v="431"/>
    <d v="1899-12-30T06:00:00"/>
    <s v="ZTE Warehouse"/>
    <x v="0"/>
    <x v="35"/>
    <s v="ZTE1007"/>
    <s v="Pcs"/>
    <n v="9"/>
    <s v="CLR51-99-662"/>
    <x v="177"/>
    <s v="DOEID260708AM"/>
    <s v="DNWID0362026070821"/>
    <m/>
    <m/>
    <m/>
    <m/>
    <m/>
    <m/>
    <x v="2"/>
    <s v="KESATRIAN RW 09 MALANG"/>
    <d v="2026-07-09T00:00:00"/>
    <b v="1"/>
    <s v="OUTBOUND_"/>
  </r>
  <r>
    <s v="2583"/>
    <m/>
    <x v="0"/>
    <s v="INB-W0012607-001"/>
    <s v="EJ-Malang-01"/>
    <s v="Oka-0813-2707-1646"/>
    <x v="431"/>
    <d v="1899-12-30T06:00:00"/>
    <s v="ZTE Warehouse"/>
    <x v="0"/>
    <x v="4"/>
    <s v="ZTE1002"/>
    <s v="Pcs"/>
    <n v="23"/>
    <s v="CLR51-99-662"/>
    <x v="177"/>
    <s v="DOEID260708AM"/>
    <s v="DNWID0362026070821"/>
    <m/>
    <m/>
    <m/>
    <m/>
    <m/>
    <m/>
    <x v="2"/>
    <s v="KESATRIAN RW 09 MALANG"/>
    <d v="2026-07-09T00:00:00"/>
    <b v="1"/>
    <s v="OUTBOUND_"/>
  </r>
  <r>
    <s v="2584"/>
    <m/>
    <x v="0"/>
    <s v="INB-W0012607-001"/>
    <s v="EJ-Malang-01"/>
    <s v="Oka-0813-2707-1646"/>
    <x v="431"/>
    <d v="1899-12-30T06:00:00"/>
    <s v="ZTE Warehouse"/>
    <x v="0"/>
    <x v="5"/>
    <s v="ZTE1001"/>
    <s v="Pcs"/>
    <n v="1"/>
    <s v="CLR51-99-662"/>
    <x v="177"/>
    <s v="DOEID260708AM"/>
    <s v="DNWID0362026070821"/>
    <m/>
    <m/>
    <m/>
    <m/>
    <m/>
    <m/>
    <x v="2"/>
    <s v="KESATRIAN RW 09 MALANG"/>
    <d v="2026-07-09T00:00:00"/>
    <b v="1"/>
    <s v="OUTBOUND_"/>
  </r>
  <r>
    <s v="2585"/>
    <m/>
    <x v="0"/>
    <s v="INB-W0012607-001"/>
    <s v="EJ-Malang-01"/>
    <s v="Oka-0813-2707-1646"/>
    <x v="431"/>
    <d v="1899-12-30T06:00:00"/>
    <s v="ZTE Warehouse"/>
    <x v="0"/>
    <x v="19"/>
    <s v="ZTE1003"/>
    <s v="Pcs"/>
    <n v="4"/>
    <s v="CLR51-99-662"/>
    <x v="177"/>
    <s v="DOEID260708AM"/>
    <s v="DNWID0362026070821"/>
    <m/>
    <m/>
    <m/>
    <m/>
    <m/>
    <m/>
    <x v="2"/>
    <s v="KESATRIAN RW 09 MALANG"/>
    <d v="2026-07-09T00:00:00"/>
    <b v="1"/>
    <s v="OUTBOUND_"/>
  </r>
  <r>
    <s v="2586"/>
    <m/>
    <x v="1"/>
    <s v="OUB-W0012607-003"/>
    <s v="EJ-Malang-01"/>
    <s v="Oka-0813-2707-1646"/>
    <x v="432"/>
    <d v="1899-12-30T06:00:00"/>
    <s v="EJ-MALANG-01"/>
    <x v="0"/>
    <x v="35"/>
    <s v="ZTE1007"/>
    <s v="Pcs"/>
    <n v="9"/>
    <s v="CLR51-99-662"/>
    <x v="177"/>
    <m/>
    <m/>
    <m/>
    <s v="Riki Romansyah"/>
    <s v="Suliadi"/>
    <s v="3507050501950006"/>
    <s v="N 8420 EL"/>
    <m/>
    <x v="2"/>
    <s v="KESATRIAN RW 09 MALANG"/>
    <e v="#N/A"/>
    <e v="#N/A"/>
    <s v="OUTBOUND_"/>
  </r>
  <r>
    <s v="2587"/>
    <m/>
    <x v="1"/>
    <s v="OUB-W0012607-003"/>
    <s v="EJ-Malang-01"/>
    <s v="Oka-0813-2707-1646"/>
    <x v="432"/>
    <d v="1899-12-30T06:00:00"/>
    <s v="EJ-MALANG-01"/>
    <x v="0"/>
    <x v="4"/>
    <s v="ZTE1002"/>
    <s v="Pcs"/>
    <n v="14"/>
    <s v="CLR51-99-662"/>
    <x v="177"/>
    <m/>
    <m/>
    <m/>
    <s v="Riki Romansyah"/>
    <s v="Suliadi"/>
    <s v="3507050501950006"/>
    <s v="N 8420 EL"/>
    <m/>
    <x v="2"/>
    <s v="KESATRIAN RW 09 MALANG"/>
    <e v="#N/A"/>
    <e v="#N/A"/>
    <s v="OUTBOUND_"/>
  </r>
  <r>
    <s v="2588"/>
    <m/>
    <x v="1"/>
    <s v="OUB-W0012607-004"/>
    <s v="EJ-Malang-01"/>
    <s v="Oka-0813-2707-1646"/>
    <x v="433"/>
    <d v="1899-12-30T06:00:00"/>
    <s v="EJ-MALANG-01"/>
    <x v="0"/>
    <x v="0"/>
    <s v="ZTE2001"/>
    <s v="Meter"/>
    <n v="3000"/>
    <s v="CLR51-99-662"/>
    <x v="177"/>
    <m/>
    <m/>
    <m/>
    <s v="Riki Romansyah"/>
    <s v="Suliadi"/>
    <s v="3507050501950006"/>
    <s v="N 8420 EL"/>
    <s v="12JUL-1100 KTRN9"/>
    <x v="153"/>
    <s v="KESATRIAN RW 09 MALANG"/>
    <e v="#N/A"/>
    <e v="#N/A"/>
    <s v="OUTBOUND_H-ADSS 24C-202679-01"/>
  </r>
  <r>
    <s v="2589"/>
    <m/>
    <x v="1"/>
    <s v="OUB-W0012607-004"/>
    <s v="EJ-Malang-01"/>
    <s v="Oka-0813-2707-1646"/>
    <x v="433"/>
    <d v="1899-12-30T06:00:00"/>
    <s v="EJ-MALANG-01"/>
    <x v="0"/>
    <x v="35"/>
    <s v="ZTE1007"/>
    <s v="Pcs"/>
    <n v="10"/>
    <s v="CLR51-99-662"/>
    <x v="177"/>
    <m/>
    <m/>
    <m/>
    <s v="Riki Romansyah"/>
    <s v="Suliadi"/>
    <s v="3507050501950006"/>
    <s v="N 8420 EL"/>
    <m/>
    <x v="2"/>
    <s v="KESATRIAN RW 09 MALANG"/>
    <e v="#N/A"/>
    <e v="#N/A"/>
    <s v="OUTBOUND_"/>
  </r>
  <r>
    <s v="2590"/>
    <m/>
    <x v="1"/>
    <s v="OUB-W0012607-004"/>
    <s v="EJ-Malang-01"/>
    <s v="Oka-0813-2707-1646"/>
    <x v="433"/>
    <d v="1899-12-30T06:00:00"/>
    <s v="EJ-MALANG-01"/>
    <x v="0"/>
    <x v="4"/>
    <s v="ZTE1002"/>
    <s v="Pcs"/>
    <n v="9"/>
    <s v="CLR51-99-662"/>
    <x v="177"/>
    <m/>
    <m/>
    <m/>
    <s v="Riki Romansyah"/>
    <s v="Suliadi"/>
    <s v="3507050501950006"/>
    <s v="N 8420 EL"/>
    <m/>
    <x v="2"/>
    <s v="KESATRIAN RW 09 MALANG"/>
    <e v="#N/A"/>
    <e v="#N/A"/>
    <s v="OUTBOUND_"/>
  </r>
  <r>
    <s v="2591"/>
    <m/>
    <x v="1"/>
    <s v="OUB-W0012607-004"/>
    <s v="EJ-Malang-01"/>
    <s v="Oka-0813-2707-1646"/>
    <x v="433"/>
    <d v="1899-12-30T06:00:00"/>
    <s v="EJ-MALANG-01"/>
    <x v="0"/>
    <x v="19"/>
    <s v="ZTE1003"/>
    <s v="Pcs"/>
    <n v="4"/>
    <s v="CLR51-99-662"/>
    <x v="177"/>
    <m/>
    <m/>
    <m/>
    <s v="Riki Romansyah"/>
    <s v="Suliadi"/>
    <s v="3507050501950006"/>
    <s v="N 8420 EL"/>
    <m/>
    <x v="2"/>
    <s v="KESATRIAN RW 09 MALANG"/>
    <e v="#N/A"/>
    <e v="#N/A"/>
    <s v="OUTBOUND_"/>
  </r>
  <r>
    <s v="2592"/>
    <m/>
    <x v="1"/>
    <s v="OUB-W0012607-005"/>
    <s v="EJ-Malang-01"/>
    <s v="Oka-0813-2707-1646"/>
    <x v="434"/>
    <d v="1899-12-30T06:00:00"/>
    <s v="EJ-MALANG-01"/>
    <x v="0"/>
    <x v="2"/>
    <s v="ZTE2008"/>
    <s v="Pcs"/>
    <n v="15"/>
    <s v="CLR51-99-662"/>
    <x v="177"/>
    <m/>
    <m/>
    <m/>
    <s v="Riki Romansyah"/>
    <s v="Suliadi"/>
    <s v="3507050501950006"/>
    <s v="N 8420 EL"/>
    <m/>
    <x v="2"/>
    <s v="KESATRIAN RW 09 MALANG"/>
    <e v="#N/A"/>
    <e v="#N/A"/>
    <s v="OUTBOUND_"/>
  </r>
  <r>
    <s v="2593"/>
    <n v="5"/>
    <x v="0"/>
    <s v="INB-W0012607-002"/>
    <s v="EJ-Malang-01"/>
    <s v="Oka-0813-2707-1646"/>
    <x v="435"/>
    <d v="1899-12-30T17:00:00"/>
    <s v="ZTE Warehouse"/>
    <x v="2"/>
    <x v="0"/>
    <s v="ZTE2001"/>
    <s v="Meter"/>
    <n v="3000"/>
    <s v="CLR51-99-659"/>
    <x v="178"/>
    <s v="DOEID260716DT"/>
    <s v="DNWID0362026071620"/>
    <m/>
    <m/>
    <m/>
    <m/>
    <m/>
    <m/>
    <x v="154"/>
    <s v="SUMBERKRADENAN RT5,6,7,8 RW 05 MALANG"/>
    <d v="2026-07-17T00:00:00"/>
    <b v="1"/>
    <s v="OUTBOUND_H-ADSS 24C-2026717-01"/>
  </r>
  <r>
    <s v="2594"/>
    <n v="1"/>
    <x v="0"/>
    <s v="INB-W0012607-002"/>
    <s v="EJ-Malang-01"/>
    <s v="Oka-0813-2707-1646"/>
    <x v="435"/>
    <d v="1899-12-30T17:00:00"/>
    <s v="ZTE Warehouse"/>
    <x v="3"/>
    <x v="4"/>
    <s v="ZTE1002"/>
    <s v="Pcs"/>
    <n v="14"/>
    <s v="CLR51-99-659"/>
    <x v="178"/>
    <s v="DOEID260716DT"/>
    <s v="DNWID0362026071620"/>
    <m/>
    <m/>
    <m/>
    <m/>
    <m/>
    <m/>
    <x v="2"/>
    <s v="SUMBERKRADENAN RT5,6,7,8 RW 05 MALANG"/>
    <d v="2026-07-17T00:00:00"/>
    <b v="1"/>
    <s v="OUTBOUND_"/>
  </r>
  <r>
    <s v="2595"/>
    <n v="2"/>
    <x v="0"/>
    <s v="INB-W0012607-002"/>
    <s v="EJ-Malang-01"/>
    <s v="Oka-0813-2707-1646"/>
    <x v="435"/>
    <d v="1899-12-30T17:00:00"/>
    <s v="ZTE Warehouse"/>
    <x v="3"/>
    <x v="35"/>
    <s v="ZTE1007"/>
    <s v="Pcs"/>
    <n v="7"/>
    <s v="CLR51-99-659"/>
    <x v="178"/>
    <s v="DOEID260716DT"/>
    <s v="DNWID0362026071620"/>
    <m/>
    <m/>
    <m/>
    <m/>
    <m/>
    <m/>
    <x v="2"/>
    <s v="SUMBERKRADENAN RT5,6,7,8 RW 05 MALANG"/>
    <d v="2026-07-17T00:00:00"/>
    <b v="1"/>
    <s v="OUTBOUND_"/>
  </r>
  <r>
    <s v="2596"/>
    <n v="3"/>
    <x v="0"/>
    <s v="INB-W0012607-002"/>
    <s v="EJ-Malang-01"/>
    <s v="Oka-0813-2707-1646"/>
    <x v="435"/>
    <d v="1899-12-30T17:00:00"/>
    <s v="ZTE Warehouse"/>
    <x v="2"/>
    <x v="3"/>
    <s v="ZTE2005"/>
    <s v="Pcs"/>
    <n v="1"/>
    <s v="CLR51-99-659"/>
    <x v="178"/>
    <s v="DOEID260716DT"/>
    <s v="DNWID0362026071620"/>
    <m/>
    <m/>
    <m/>
    <m/>
    <m/>
    <m/>
    <x v="2"/>
    <s v="SUMBERKRADENAN RT5,6,7,8 RW 05 MALANG"/>
    <d v="2026-07-17T00:00:00"/>
    <b v="1"/>
    <s v="OUTBOUND_"/>
  </r>
  <r>
    <s v="2597"/>
    <n v="4"/>
    <x v="0"/>
    <s v="INB-W0012607-002"/>
    <s v="EJ-Malang-01"/>
    <s v="Oka-0813-2707-1646"/>
    <x v="435"/>
    <d v="1899-12-30T17:00:00"/>
    <s v="ZTE Warehouse"/>
    <x v="2"/>
    <x v="2"/>
    <s v="ZTE2008"/>
    <s v="Pcs"/>
    <n v="13"/>
    <s v="CLR51-99-659"/>
    <x v="178"/>
    <s v="DOEID260716DT"/>
    <s v="DNWID0362026071620"/>
    <m/>
    <m/>
    <m/>
    <m/>
    <m/>
    <m/>
    <x v="2"/>
    <s v="SUMBERKRADENAN RT5,6,7,8 RW 05 MALANG"/>
    <d v="2026-07-17T00:00:00"/>
    <b v="1"/>
    <s v="OUTBOUND_"/>
  </r>
  <r>
    <s v="2598"/>
    <n v="3"/>
    <x v="1"/>
    <s v="OUB-W0012607-006"/>
    <s v="EJ-Malang-01"/>
    <s v="Oka-0813-2707-1646"/>
    <x v="436"/>
    <d v="1899-12-30T08:00:00"/>
    <s v="EJ-MALANG-01"/>
    <x v="2"/>
    <x v="0"/>
    <s v="ZTE2001"/>
    <s v="Meter"/>
    <n v="3000"/>
    <s v="CLR51-99-659"/>
    <x v="178"/>
    <s v="DOEID260716DT"/>
    <s v="DNWID0362026071620"/>
    <m/>
    <m/>
    <m/>
    <m/>
    <m/>
    <m/>
    <x v="154"/>
    <s v="SUMBERKRADENAN RT5,6,7,8 RW 05 MALANG"/>
    <d v="2026-07-17T00:00:00"/>
    <b v="0"/>
    <s v="OUTBOUND_H-ADSS 24C-2026717-01"/>
  </r>
  <r>
    <s v="2599"/>
    <n v="1"/>
    <x v="1"/>
    <s v="OUB-W0012607-006"/>
    <s v="EJ-Malang-01"/>
    <s v="Oka-0813-2707-1646"/>
    <x v="436"/>
    <d v="1899-12-30T08:00:00"/>
    <s v="EJ-MALANG-01"/>
    <x v="3"/>
    <x v="4"/>
    <s v="ZTE1002"/>
    <s v="Pcs"/>
    <n v="14"/>
    <s v="CLR51-99-659"/>
    <x v="178"/>
    <s v="DOEID260716DT"/>
    <s v="DNWID0362026071620"/>
    <m/>
    <m/>
    <m/>
    <m/>
    <m/>
    <m/>
    <x v="2"/>
    <s v="SUMBERKRADENAN RT5,6,7,8 RW 05 MALANG"/>
    <d v="2026-07-17T00:00:00"/>
    <b v="0"/>
    <s v="OUTBOUND_"/>
  </r>
  <r>
    <s v="2600"/>
    <n v="2"/>
    <x v="1"/>
    <s v="OUB-W0012607-006"/>
    <s v="EJ-Malang-01"/>
    <s v="Oka-0813-2707-1646"/>
    <x v="436"/>
    <d v="1899-12-30T08:00:00"/>
    <s v="EJ-MALANG-01"/>
    <x v="3"/>
    <x v="35"/>
    <s v="ZTE1007"/>
    <s v="Pcs"/>
    <n v="7"/>
    <s v="CLR51-99-659"/>
    <x v="178"/>
    <s v="DOEID260716DT"/>
    <s v="DNWID0362026071620"/>
    <m/>
    <m/>
    <m/>
    <m/>
    <m/>
    <m/>
    <x v="2"/>
    <s v="SUMBERKRADENAN RT5,6,7,8 RW 05 MALANG"/>
    <d v="2026-07-17T00:00:00"/>
    <b v="0"/>
    <s v="OUTBOUND_"/>
  </r>
  <r>
    <s v="2601"/>
    <m/>
    <x v="1"/>
    <s v="OUB-W0012607-007"/>
    <s v="EJ-Malang-01"/>
    <s v="Oka-0813-2707-1646"/>
    <x v="437"/>
    <d v="1899-12-30T08:00:00"/>
    <s v="EJ-MALANG-01"/>
    <x v="3"/>
    <x v="2"/>
    <s v="ZTE2008"/>
    <s v="Pcs"/>
    <n v="13"/>
    <s v="CLR51-99-659"/>
    <x v="178"/>
    <s v="DOEID260716DT"/>
    <s v="DNWID0362026071620"/>
    <m/>
    <m/>
    <m/>
    <m/>
    <m/>
    <m/>
    <x v="2"/>
    <s v="SUMBERKRADENAN RT5,6,7,8 RW 05 MALANG"/>
    <d v="2026-07-17T00:00:00"/>
    <b v="0"/>
    <s v="OUTBOUND_"/>
  </r>
  <r>
    <s v="2602"/>
    <m/>
    <x v="1"/>
    <s v="OUB-W0012607-007"/>
    <s v="EJ-Malang-01"/>
    <s v="Oka-0813-2707-1646"/>
    <x v="437"/>
    <d v="1899-12-30T08:00:00"/>
    <s v="EJ-MALANG-01"/>
    <x v="3"/>
    <x v="3"/>
    <s v="ZTE2005"/>
    <s v="Pcs"/>
    <n v="1"/>
    <s v="CLR51-99-659"/>
    <x v="178"/>
    <s v="DOEID260716DT"/>
    <s v="DNWID0362026071620"/>
    <m/>
    <m/>
    <m/>
    <m/>
    <m/>
    <m/>
    <x v="2"/>
    <s v="SUMBERKRADENAN RT5,6,7,8 RW 05 MALANG"/>
    <d v="2026-07-17T00:00:00"/>
    <b v="0"/>
    <s v="OUTBOUND_"/>
  </r>
  <r>
    <s v="2603"/>
    <m/>
    <x v="0"/>
    <s v="INB-W0012608-002"/>
    <s v="EJ-Malang-01"/>
    <m/>
    <x v="438"/>
    <m/>
    <m/>
    <x v="4"/>
    <x v="5"/>
    <s v="ZTE1001"/>
    <s v="Pcs"/>
    <n v="14"/>
    <m/>
    <x v="28"/>
    <m/>
    <m/>
    <s v="A-Good"/>
    <s v=""/>
    <s v=""/>
    <s v=""/>
    <m/>
    <m/>
    <x v="155"/>
    <n v="0"/>
    <e v="#N/A"/>
    <e v="#N/A"/>
    <s v="OUTBOUND_"/>
  </r>
  <r>
    <s v="2604"/>
    <m/>
    <x v="0"/>
    <s v="INB-W0012608-002"/>
    <s v="EJ-Malang-01"/>
    <m/>
    <x v="438"/>
    <m/>
    <m/>
    <x v="4"/>
    <x v="4"/>
    <s v="ZTE1002"/>
    <s v="Pcs"/>
    <n v="106"/>
    <m/>
    <x v="28"/>
    <m/>
    <m/>
    <s v="A-Good"/>
    <s v=""/>
    <s v=""/>
    <s v=""/>
    <m/>
    <m/>
    <x v="155"/>
    <n v="0"/>
    <e v="#N/A"/>
    <e v="#N/A"/>
    <s v="OUTBOUND_"/>
  </r>
  <r>
    <s v="2605"/>
    <m/>
    <x v="0"/>
    <s v="INB-W0012608-002"/>
    <s v="EJ-Malang-01"/>
    <m/>
    <x v="438"/>
    <m/>
    <m/>
    <x v="4"/>
    <x v="35"/>
    <s v="ZTE1007"/>
    <s v="Pcs"/>
    <n v="43"/>
    <m/>
    <x v="28"/>
    <m/>
    <m/>
    <s v="A-Good"/>
    <s v=""/>
    <s v=""/>
    <s v=""/>
    <m/>
    <m/>
    <x v="155"/>
    <n v="0"/>
    <e v="#N/A"/>
    <e v="#N/A"/>
    <s v="OUTBOUND_"/>
  </r>
  <r>
    <s v="2606"/>
    <m/>
    <x v="0"/>
    <s v="INB-W0012608-002"/>
    <s v="EJ-Malang-01"/>
    <m/>
    <x v="438"/>
    <m/>
    <m/>
    <x v="4"/>
    <x v="0"/>
    <s v="ZTE2001"/>
    <s v="Meter"/>
    <n v="3000"/>
    <m/>
    <x v="28"/>
    <m/>
    <m/>
    <s v="A-Good"/>
    <s v=""/>
    <s v=""/>
    <s v=""/>
    <m/>
    <m/>
    <x v="156"/>
    <n v="0"/>
    <e v="#N/A"/>
    <e v="#N/A"/>
    <s v="OUTBOUND_H-ADSS24C-260814-001"/>
  </r>
  <r>
    <s v="2607"/>
    <m/>
    <x v="0"/>
    <s v="INB-W0012608-002"/>
    <s v="EJ-Malang-01"/>
    <m/>
    <x v="438"/>
    <m/>
    <m/>
    <x v="4"/>
    <x v="0"/>
    <s v="ZTE2001"/>
    <s v="Meter"/>
    <n v="3000"/>
    <m/>
    <x v="28"/>
    <m/>
    <m/>
    <s v="A-Good"/>
    <s v=""/>
    <s v=""/>
    <s v=""/>
    <m/>
    <m/>
    <x v="157"/>
    <n v="0"/>
    <e v="#N/A"/>
    <e v="#N/A"/>
    <s v="OUTBOUND_H-ADSS24C-260814-002"/>
  </r>
  <r>
    <s v="2608"/>
    <m/>
    <x v="0"/>
    <s v="INB-W0012608-002"/>
    <s v="EJ-Malang-01"/>
    <m/>
    <x v="438"/>
    <m/>
    <m/>
    <x v="4"/>
    <x v="0"/>
    <s v="ZTE2001"/>
    <s v="Meter"/>
    <n v="3000"/>
    <m/>
    <x v="28"/>
    <m/>
    <m/>
    <s v="A-Good"/>
    <s v=""/>
    <s v=""/>
    <s v=""/>
    <m/>
    <m/>
    <x v="158"/>
    <n v="0"/>
    <e v="#N/A"/>
    <e v="#N/A"/>
    <s v="OUTBOUND_H-ADSS24C-260814-003"/>
  </r>
  <r>
    <s v="2609"/>
    <m/>
    <x v="0"/>
    <s v="INB-W0012608-002"/>
    <s v="EJ-Malang-01"/>
    <m/>
    <x v="438"/>
    <m/>
    <m/>
    <x v="4"/>
    <x v="0"/>
    <s v="ZTE2001"/>
    <s v="Meter"/>
    <n v="2000"/>
    <m/>
    <x v="28"/>
    <m/>
    <m/>
    <s v="A-Good"/>
    <s v=""/>
    <s v=""/>
    <s v=""/>
    <m/>
    <m/>
    <x v="159"/>
    <n v="0"/>
    <e v="#N/A"/>
    <e v="#N/A"/>
    <s v="OUTBOUND_H-ADSS24C-260814-004"/>
  </r>
  <r>
    <s v="2610"/>
    <m/>
    <x v="0"/>
    <s v="INB-W0012608-002"/>
    <s v="EJ-Malang-01"/>
    <m/>
    <x v="438"/>
    <m/>
    <m/>
    <x v="4"/>
    <x v="33"/>
    <s v="ZTE2002"/>
    <s v="Meter"/>
    <n v="3000"/>
    <m/>
    <x v="28"/>
    <m/>
    <m/>
    <s v="A-Good"/>
    <s v=""/>
    <s v=""/>
    <s v=""/>
    <m/>
    <m/>
    <x v="160"/>
    <n v="0"/>
    <e v="#N/A"/>
    <e v="#N/A"/>
    <s v="OUTBOUND_H-ADSS36C-260814-001"/>
  </r>
  <r>
    <s v="2611"/>
    <m/>
    <x v="0"/>
    <s v="INB-W0012608-002"/>
    <s v="EJ-Malang-01"/>
    <m/>
    <x v="438"/>
    <m/>
    <m/>
    <x v="4"/>
    <x v="30"/>
    <s v="ZTE2006"/>
    <s v="Pcs"/>
    <n v="2"/>
    <m/>
    <x v="28"/>
    <m/>
    <m/>
    <s v="A-Good"/>
    <s v=""/>
    <s v=""/>
    <s v=""/>
    <m/>
    <m/>
    <x v="155"/>
    <n v="0"/>
    <e v="#N/A"/>
    <e v="#N/A"/>
    <s v="OUTBOUND_"/>
  </r>
  <r>
    <s v="2612"/>
    <m/>
    <x v="0"/>
    <s v="INB-W0012608-002"/>
    <s v="EJ-Malang-01"/>
    <m/>
    <x v="438"/>
    <m/>
    <m/>
    <x v="4"/>
    <x v="2"/>
    <s v="ZTE2008"/>
    <s v="Pcs"/>
    <n v="65"/>
    <m/>
    <x v="28"/>
    <m/>
    <m/>
    <s v="A-Good"/>
    <s v=""/>
    <s v=""/>
    <s v=""/>
    <m/>
    <m/>
    <x v="155"/>
    <n v="0"/>
    <e v="#N/A"/>
    <e v="#N/A"/>
    <s v="OUTBOUND_"/>
  </r>
  <r>
    <s v="2613"/>
    <m/>
    <x v="0"/>
    <s v="INB-W0012608-002"/>
    <s v="EJ-Malang-01"/>
    <m/>
    <x v="438"/>
    <m/>
    <m/>
    <x v="4"/>
    <x v="20"/>
    <s v="ZTE1004"/>
    <s v="Pcs"/>
    <n v="1"/>
    <m/>
    <x v="28"/>
    <m/>
    <m/>
    <s v="A-Good"/>
    <s v=""/>
    <s v=""/>
    <s v=""/>
    <m/>
    <m/>
    <x v="155"/>
    <n v="0"/>
    <e v="#N/A"/>
    <e v="#N/A"/>
    <s v="OUTBOUND_"/>
  </r>
  <r>
    <s v="2614"/>
    <m/>
    <x v="1"/>
    <s v="OUB-W0012608-001"/>
    <s v="EJ-Malang-01"/>
    <m/>
    <x v="439"/>
    <m/>
    <m/>
    <x v="4"/>
    <x v="4"/>
    <s v="ZTE1002"/>
    <s v="Pcs"/>
    <n v="14"/>
    <m/>
    <x v="179"/>
    <m/>
    <m/>
    <s v="A-Good"/>
    <s v=""/>
    <s v=""/>
    <s v=""/>
    <m/>
    <m/>
    <x v="155"/>
    <s v="PERUMAHAN THE EMERALD MALANG"/>
    <e v="#N/A"/>
    <e v="#N/A"/>
    <s v="OUTBOUND_"/>
  </r>
  <r>
    <s v="2615"/>
    <m/>
    <x v="1"/>
    <s v="OUB-W0012608-001"/>
    <s v="EJ-Malang-01"/>
    <m/>
    <x v="439"/>
    <m/>
    <m/>
    <x v="4"/>
    <x v="35"/>
    <s v="ZTE1007"/>
    <s v="Pcs"/>
    <n v="13"/>
    <m/>
    <x v="179"/>
    <m/>
    <m/>
    <s v="A-Good"/>
    <s v=""/>
    <s v=""/>
    <s v=""/>
    <m/>
    <m/>
    <x v="155"/>
    <s v="PERUMAHAN THE EMERALD MALANG"/>
    <e v="#N/A"/>
    <e v="#N/A"/>
    <s v="OUTBOUND_"/>
  </r>
  <r>
    <s v="2616"/>
    <m/>
    <x v="1"/>
    <s v="OUB-W0012608-002"/>
    <s v="EJ-Malang-01"/>
    <m/>
    <x v="439"/>
    <m/>
    <m/>
    <x v="4"/>
    <x v="0"/>
    <s v="ZTE2001"/>
    <s v="Meter"/>
    <n v="1850"/>
    <m/>
    <x v="179"/>
    <m/>
    <m/>
    <s v="A-Good"/>
    <s v=""/>
    <s v=""/>
    <s v=""/>
    <m/>
    <m/>
    <x v="156"/>
    <s v="PERUMAHAN THE EMERALD MALANG"/>
    <e v="#N/A"/>
    <e v="#N/A"/>
    <s v="OUTBOUND_H-ADSS24C-260814-001"/>
  </r>
  <r>
    <s v="2617"/>
    <m/>
    <x v="1"/>
    <s v="OUB-W0012608-003"/>
    <s v="EJ-Malang-01"/>
    <m/>
    <x v="440"/>
    <m/>
    <m/>
    <x v="4"/>
    <x v="2"/>
    <s v="ZTE2008"/>
    <s v="Pcs"/>
    <n v="7"/>
    <m/>
    <x v="179"/>
    <m/>
    <m/>
    <s v=""/>
    <s v=""/>
    <s v=""/>
    <s v=""/>
    <m/>
    <m/>
    <x v="155"/>
    <s v="PERUMAHAN THE EMERALD MALANG"/>
    <e v="#N/A"/>
    <e v="#N/A"/>
    <s v="OUTBOUND_"/>
  </r>
  <r>
    <s v="2618"/>
    <m/>
    <x v="1"/>
    <s v="OUB-W0012608-004"/>
    <s v="EJ-Malang-01"/>
    <m/>
    <x v="441"/>
    <m/>
    <m/>
    <x v="4"/>
    <x v="4"/>
    <s v="ZTE1002"/>
    <s v="Pcs"/>
    <n v="25"/>
    <m/>
    <x v="180"/>
    <m/>
    <m/>
    <s v=""/>
    <s v=""/>
    <s v=""/>
    <s v=""/>
    <m/>
    <m/>
    <x v="155"/>
    <s v="SUMBERSEKAR RW 01"/>
    <e v="#N/A"/>
    <e v="#N/A"/>
    <s v="OUTBOUND_"/>
  </r>
  <r>
    <s v="2619"/>
    <m/>
    <x v="1"/>
    <s v="OUB-W0012608-005"/>
    <s v="EJ-Malang-01"/>
    <m/>
    <x v="442"/>
    <m/>
    <m/>
    <x v="4"/>
    <x v="4"/>
    <s v="ZTE1002"/>
    <s v="Pcs"/>
    <n v="9"/>
    <m/>
    <x v="181"/>
    <m/>
    <m/>
    <s v=""/>
    <s v=""/>
    <s v=""/>
    <s v=""/>
    <m/>
    <m/>
    <x v="155"/>
    <s v="TANJUNGREJO RW 05 MALANG"/>
    <e v="#N/A"/>
    <e v="#N/A"/>
    <s v="OUTBOUND_"/>
  </r>
  <r>
    <s v="2620"/>
    <m/>
    <x v="1"/>
    <s v="OUB-W0012608-005"/>
    <s v="EJ-Malang-01"/>
    <m/>
    <x v="442"/>
    <m/>
    <m/>
    <x v="4"/>
    <x v="35"/>
    <s v="ZTE1007"/>
    <s v="Pcs"/>
    <n v="5"/>
    <m/>
    <x v="181"/>
    <m/>
    <m/>
    <s v=""/>
    <s v=""/>
    <s v=""/>
    <s v=""/>
    <m/>
    <m/>
    <x v="155"/>
    <s v="TANJUNGREJO RW 05 MALANG"/>
    <e v="#N/A"/>
    <e v="#N/A"/>
    <s v="OUTBOUND_"/>
  </r>
  <r>
    <s v="2621"/>
    <m/>
    <x v="1"/>
    <s v="OUB-W0012608-006"/>
    <s v="EJ-Malang-01"/>
    <m/>
    <x v="442"/>
    <m/>
    <m/>
    <x v="4"/>
    <x v="0"/>
    <s v="ZTE2001"/>
    <s v="Meter"/>
    <n v="2000"/>
    <m/>
    <x v="182"/>
    <m/>
    <m/>
    <s v=""/>
    <s v=""/>
    <s v=""/>
    <s v=""/>
    <m/>
    <m/>
    <x v="159"/>
    <s v="KEMANTREN RW 03 BANDUNGREJOSARI MALANG"/>
    <e v="#N/A"/>
    <e v="#N/A"/>
    <s v="OUTBOUND_H-ADSS24C-260814-004"/>
  </r>
  <r>
    <s v="2622"/>
    <m/>
    <x v="1"/>
    <s v="OUB-W0012608-007"/>
    <s v="EJ-Malang-01"/>
    <m/>
    <x v="443"/>
    <m/>
    <m/>
    <x v="4"/>
    <x v="2"/>
    <s v="ZTE2008"/>
    <s v="Pcs"/>
    <n v="6"/>
    <m/>
    <x v="181"/>
    <m/>
    <m/>
    <s v=""/>
    <s v=""/>
    <s v=""/>
    <s v=""/>
    <m/>
    <m/>
    <x v="155"/>
    <s v="TANJUNGREJO RW 05 MALANG"/>
    <e v="#N/A"/>
    <e v="#N/A"/>
    <s v="OUTBOUND_"/>
  </r>
  <r>
    <s v="2623"/>
    <m/>
    <x v="1"/>
    <s v="OUB-W0012608-008"/>
    <s v="EJ-Malang-01"/>
    <m/>
    <x v="444"/>
    <m/>
    <m/>
    <x v="4"/>
    <x v="2"/>
    <s v="ZTE2008"/>
    <s v="Pcs"/>
    <n v="20"/>
    <m/>
    <x v="180"/>
    <m/>
    <m/>
    <s v=""/>
    <s v=""/>
    <s v=""/>
    <s v=""/>
    <m/>
    <m/>
    <x v="155"/>
    <s v="SUMBERSEKAR RW 01"/>
    <e v="#N/A"/>
    <e v="#N/A"/>
    <s v="OUTBOUND_"/>
  </r>
  <r>
    <s v="2624"/>
    <m/>
    <x v="1"/>
    <s v="OUB-W0012608-009"/>
    <s v="EJ-Malang-01"/>
    <m/>
    <x v="444"/>
    <m/>
    <m/>
    <x v="4"/>
    <x v="4"/>
    <s v="ZTE1002"/>
    <s v="Pcs"/>
    <n v="25"/>
    <m/>
    <x v="183"/>
    <m/>
    <m/>
    <s v=""/>
    <s v=""/>
    <s v=""/>
    <s v=""/>
    <m/>
    <m/>
    <x v="155"/>
    <s v="NGAGLIK RW 03 BATU"/>
    <e v="#N/A"/>
    <e v="#N/A"/>
    <s v="OUTBOUND_"/>
  </r>
  <r>
    <s v="2625"/>
    <m/>
    <x v="1"/>
    <s v="OUB-W0012608-009"/>
    <s v="EJ-Malang-01"/>
    <m/>
    <x v="444"/>
    <m/>
    <m/>
    <x v="4"/>
    <x v="4"/>
    <s v="ZTE1002"/>
    <s v="Pcs"/>
    <n v="23"/>
    <m/>
    <x v="183"/>
    <m/>
    <m/>
    <s v=""/>
    <s v=""/>
    <s v=""/>
    <s v=""/>
    <m/>
    <m/>
    <x v="155"/>
    <s v="NGAGLIK RW 03 BATU"/>
    <e v="#N/A"/>
    <e v="#N/A"/>
    <s v="OUTBOUND_"/>
  </r>
  <r>
    <s v="2626"/>
    <m/>
    <x v="1"/>
    <s v="OUB-W0012608-009"/>
    <s v="EJ-Malang-01"/>
    <m/>
    <x v="444"/>
    <m/>
    <m/>
    <x v="4"/>
    <x v="35"/>
    <s v="ZTE1007"/>
    <s v="Pcs"/>
    <n v="7"/>
    <m/>
    <x v="183"/>
    <m/>
    <m/>
    <s v=""/>
    <s v=""/>
    <s v=""/>
    <s v=""/>
    <m/>
    <m/>
    <x v="155"/>
    <s v="NGAGLIK RW 03 BATU"/>
    <e v="#N/A"/>
    <e v="#N/A"/>
    <s v="OUTBOUND_"/>
  </r>
  <r>
    <s v="2627"/>
    <m/>
    <x v="0"/>
    <s v="INB-W0012608-003"/>
    <s v="EJ-Malang-01"/>
    <m/>
    <x v="445"/>
    <m/>
    <m/>
    <x v="4"/>
    <x v="5"/>
    <s v="ZTE1001"/>
    <s v="Pcs"/>
    <n v="14"/>
    <m/>
    <x v="28"/>
    <m/>
    <m/>
    <s v=""/>
    <s v=""/>
    <s v=""/>
    <s v=""/>
    <m/>
    <m/>
    <x v="155"/>
    <n v="0"/>
    <e v="#N/A"/>
    <e v="#N/A"/>
    <s v="OUTBOUND_"/>
  </r>
  <r>
    <s v="2628"/>
    <m/>
    <x v="0"/>
    <s v="INB-W0012608-003"/>
    <s v="EJ-Malang-01"/>
    <m/>
    <x v="445"/>
    <m/>
    <m/>
    <x v="4"/>
    <x v="4"/>
    <s v="ZTE1002"/>
    <s v="Pcs"/>
    <n v="20"/>
    <m/>
    <x v="28"/>
    <m/>
    <m/>
    <s v=""/>
    <s v=""/>
    <s v=""/>
    <s v=""/>
    <m/>
    <m/>
    <x v="155"/>
    <n v="0"/>
    <e v="#N/A"/>
    <e v="#N/A"/>
    <s v="OUTBOUND_"/>
  </r>
  <r>
    <s v="2629"/>
    <m/>
    <x v="0"/>
    <s v="INB-W0012608-003"/>
    <s v="EJ-Malang-01"/>
    <m/>
    <x v="445"/>
    <m/>
    <m/>
    <x v="4"/>
    <x v="19"/>
    <s v="ZTE1003"/>
    <s v="Pcs"/>
    <n v="1"/>
    <m/>
    <x v="28"/>
    <m/>
    <m/>
    <s v=""/>
    <s v=""/>
    <s v=""/>
    <s v=""/>
    <m/>
    <m/>
    <x v="155"/>
    <n v="0"/>
    <e v="#N/A"/>
    <e v="#N/A"/>
    <s v="OUTBOUND_"/>
  </r>
  <r>
    <s v="2630"/>
    <m/>
    <x v="0"/>
    <s v="INB-W0012608-003"/>
    <s v="EJ-Malang-01"/>
    <m/>
    <x v="445"/>
    <m/>
    <m/>
    <x v="4"/>
    <x v="35"/>
    <s v="ZTE1007"/>
    <s v="Pcs"/>
    <n v="19"/>
    <m/>
    <x v="28"/>
    <m/>
    <m/>
    <s v=""/>
    <s v=""/>
    <s v=""/>
    <s v=""/>
    <m/>
    <m/>
    <x v="155"/>
    <n v="0"/>
    <e v="#N/A"/>
    <e v="#N/A"/>
    <s v="OUTBOUND_"/>
  </r>
  <r>
    <s v="2631"/>
    <m/>
    <x v="0"/>
    <s v="INB-W0012608-003"/>
    <s v="EJ-Malang-01"/>
    <m/>
    <x v="445"/>
    <m/>
    <m/>
    <x v="4"/>
    <x v="20"/>
    <s v="ZTE1004"/>
    <s v="Pcs"/>
    <n v="1"/>
    <m/>
    <x v="28"/>
    <m/>
    <m/>
    <s v=""/>
    <s v=""/>
    <s v=""/>
    <s v=""/>
    <m/>
    <m/>
    <x v="155"/>
    <n v="0"/>
    <e v="#N/A"/>
    <e v="#N/A"/>
    <s v="OUTBOUND_"/>
  </r>
  <r>
    <s v="2632"/>
    <m/>
    <x v="0"/>
    <s v="INB-W0012608-003"/>
    <s v="EJ-Malang-01"/>
    <m/>
    <x v="445"/>
    <m/>
    <m/>
    <x v="4"/>
    <x v="30"/>
    <s v="ZTE2006"/>
    <s v="Pcs"/>
    <n v="1"/>
    <m/>
    <x v="28"/>
    <m/>
    <m/>
    <s v=""/>
    <s v=""/>
    <s v=""/>
    <s v=""/>
    <m/>
    <m/>
    <x v="155"/>
    <n v="0"/>
    <e v="#N/A"/>
    <e v="#N/A"/>
    <s v="OUTBOUND_"/>
  </r>
  <r>
    <s v="2633"/>
    <m/>
    <x v="0"/>
    <s v="INB-W0012608-003"/>
    <s v="EJ-Malang-01"/>
    <m/>
    <x v="445"/>
    <m/>
    <m/>
    <x v="4"/>
    <x v="2"/>
    <s v="ZTE2008"/>
    <s v="Pcs"/>
    <n v="24"/>
    <m/>
    <x v="28"/>
    <m/>
    <m/>
    <s v=""/>
    <s v=""/>
    <s v=""/>
    <s v=""/>
    <m/>
    <m/>
    <x v="155"/>
    <n v="0"/>
    <e v="#N/A"/>
    <e v="#N/A"/>
    <s v="OUTBOUND_"/>
  </r>
  <r>
    <s v="2634"/>
    <m/>
    <x v="1"/>
    <s v="OUB-W0012608-010"/>
    <s v="EJ-Malang-01"/>
    <m/>
    <x v="446"/>
    <m/>
    <m/>
    <x v="4"/>
    <x v="2"/>
    <s v="ZTE2008"/>
    <s v="Pcs"/>
    <n v="13"/>
    <m/>
    <x v="180"/>
    <m/>
    <m/>
    <s v=""/>
    <s v=""/>
    <s v=""/>
    <s v=""/>
    <m/>
    <m/>
    <x v="155"/>
    <s v="SUMBERSEKAR RW 01"/>
    <e v="#N/A"/>
    <e v="#N/A"/>
    <s v="OUTBOUND_"/>
  </r>
  <r>
    <s v="2635"/>
    <m/>
    <x v="1"/>
    <s v="OUB-W0012608-010"/>
    <s v="EJ-Malang-01"/>
    <m/>
    <x v="446"/>
    <m/>
    <m/>
    <x v="4"/>
    <x v="30"/>
    <s v="ZTE2006"/>
    <s v="Pcs"/>
    <n v="1"/>
    <m/>
    <x v="180"/>
    <m/>
    <m/>
    <s v=""/>
    <s v=""/>
    <s v=""/>
    <s v=""/>
    <m/>
    <m/>
    <x v="155"/>
    <s v="SUMBERSEKAR RW 01"/>
    <e v="#N/A"/>
    <e v="#N/A"/>
    <s v="OUTBOUND_"/>
  </r>
  <r>
    <s v="2636"/>
    <m/>
    <x v="1"/>
    <s v="OUB-W0012608-011"/>
    <s v="EJ-Malang-01"/>
    <m/>
    <x v="447"/>
    <m/>
    <m/>
    <x v="4"/>
    <x v="5"/>
    <s v="ZTE1001"/>
    <s v="Pcs"/>
    <n v="7"/>
    <m/>
    <x v="183"/>
    <m/>
    <m/>
    <s v=""/>
    <s v=""/>
    <s v=""/>
    <s v=""/>
    <m/>
    <m/>
    <x v="155"/>
    <s v="NGAGLIK RW 03 BATU"/>
    <e v="#N/A"/>
    <e v="#N/A"/>
    <s v="OUTBOUND_"/>
  </r>
  <r>
    <s v="2637"/>
    <m/>
    <x v="1"/>
    <s v="OUB-W0012608-011"/>
    <s v="EJ-Malang-01"/>
    <m/>
    <x v="447"/>
    <m/>
    <m/>
    <x v="4"/>
    <x v="4"/>
    <s v="ZTE1002"/>
    <s v="Pcs"/>
    <n v="4"/>
    <m/>
    <x v="183"/>
    <m/>
    <m/>
    <s v=""/>
    <s v=""/>
    <s v=""/>
    <s v=""/>
    <m/>
    <m/>
    <x v="155"/>
    <s v="NGAGLIK RW 03 BATU"/>
    <e v="#N/A"/>
    <e v="#N/A"/>
    <s v="OUTBOUND_"/>
  </r>
  <r>
    <s v="2638"/>
    <m/>
    <x v="1"/>
    <s v="OUB-W0012608-011"/>
    <s v="EJ-Malang-01"/>
    <m/>
    <x v="447"/>
    <m/>
    <m/>
    <x v="4"/>
    <x v="35"/>
    <s v="ZTE1007"/>
    <s v="Pcs"/>
    <n v="4"/>
    <m/>
    <x v="183"/>
    <m/>
    <m/>
    <s v=""/>
    <s v=""/>
    <s v=""/>
    <s v=""/>
    <m/>
    <m/>
    <x v="155"/>
    <s v="NGAGLIK RW 03 BATU"/>
    <e v="#N/A"/>
    <e v="#N/A"/>
    <s v="OUTBOUND_"/>
  </r>
  <r>
    <s v="2639"/>
    <m/>
    <x v="1"/>
    <s v="OUB-W0012608-011"/>
    <s v="EJ-Malang-01"/>
    <m/>
    <x v="447"/>
    <m/>
    <m/>
    <x v="4"/>
    <x v="19"/>
    <s v="ZTE1003"/>
    <s v="Pcs"/>
    <n v="2"/>
    <m/>
    <x v="183"/>
    <m/>
    <m/>
    <s v=""/>
    <s v=""/>
    <s v=""/>
    <s v=""/>
    <m/>
    <m/>
    <x v="155"/>
    <s v="NGAGLIK RW 03 BATU"/>
    <e v="#N/A"/>
    <e v="#N/A"/>
    <s v="OUTBOUND_"/>
  </r>
  <r>
    <s v="2640"/>
    <m/>
    <x v="1"/>
    <s v="OUB-W0012609-001"/>
    <s v="EJ-Malang-01"/>
    <m/>
    <x v="448"/>
    <m/>
    <m/>
    <x v="4"/>
    <x v="2"/>
    <s v="ZTE2008"/>
    <s v="Pcs"/>
    <n v="5"/>
    <m/>
    <x v="183"/>
    <m/>
    <m/>
    <s v=""/>
    <s v=""/>
    <s v=""/>
    <s v=""/>
    <m/>
    <m/>
    <x v="155"/>
    <s v="NGAGLIK RW 03 BATU"/>
    <e v="#N/A"/>
    <e v="#N/A"/>
    <s v="OUTBOUND_"/>
  </r>
  <r>
    <s v="2641"/>
    <m/>
    <x v="1"/>
    <s v="OUB-W0012609-002"/>
    <s v="EJ-Malang-01"/>
    <m/>
    <x v="449"/>
    <m/>
    <m/>
    <x v="4"/>
    <x v="5"/>
    <s v="ZTE1001"/>
    <s v="Pcs"/>
    <n v="4"/>
    <m/>
    <x v="182"/>
    <m/>
    <m/>
    <s v=""/>
    <s v=""/>
    <s v=""/>
    <s v=""/>
    <m/>
    <m/>
    <x v="155"/>
    <s v="KEMANTREN RW 03 BANDUNGREJOSARI MALANG"/>
    <e v="#N/A"/>
    <e v="#N/A"/>
    <s v="OUTBOUND_"/>
  </r>
  <r>
    <s v="2642"/>
    <m/>
    <x v="1"/>
    <s v="OUB-W0012609-002"/>
    <s v="EJ-Malang-01"/>
    <m/>
    <x v="449"/>
    <m/>
    <m/>
    <x v="4"/>
    <x v="4"/>
    <s v="ZTE1002"/>
    <s v="Pcs"/>
    <n v="12"/>
    <m/>
    <x v="182"/>
    <m/>
    <m/>
    <s v=""/>
    <s v=""/>
    <s v=""/>
    <s v=""/>
    <m/>
    <m/>
    <x v="155"/>
    <s v="KEMANTREN RW 03 BANDUNGREJOSARI MALANG"/>
    <e v="#N/A"/>
    <e v="#N/A"/>
    <s v="OUTBOUND_"/>
  </r>
  <r>
    <s v="2643"/>
    <m/>
    <x v="1"/>
    <s v="OUB-W0012609-002"/>
    <s v="EJ-Malang-01"/>
    <m/>
    <x v="449"/>
    <m/>
    <m/>
    <x v="4"/>
    <x v="35"/>
    <s v="ZTE1007"/>
    <s v="Pcs"/>
    <n v="13"/>
    <m/>
    <x v="182"/>
    <m/>
    <m/>
    <s v=""/>
    <s v=""/>
    <s v=""/>
    <s v=""/>
    <m/>
    <m/>
    <x v="155"/>
    <s v="KEMANTREN RW 03 BANDUNGREJOSARI MALANG"/>
    <e v="#N/A"/>
    <e v="#N/A"/>
    <s v="OUTBOUND_"/>
  </r>
  <r>
    <s v="2644"/>
    <m/>
    <x v="1"/>
    <s v="OUB-W0012609-002"/>
    <s v="EJ-Malang-01"/>
    <m/>
    <x v="449"/>
    <m/>
    <m/>
    <x v="4"/>
    <x v="0"/>
    <s v="ZTE2001"/>
    <s v="Meter"/>
    <n v="3000"/>
    <m/>
    <x v="182"/>
    <m/>
    <m/>
    <s v=""/>
    <s v=""/>
    <s v=""/>
    <s v=""/>
    <m/>
    <m/>
    <x v="158"/>
    <s v="KEMANTREN RW 03 BANDUNGREJOSARI MALANG"/>
    <e v="#N/A"/>
    <e v="#N/A"/>
    <s v="OUTBOUND_H-ADSS24C-260814-003"/>
  </r>
  <r>
    <s v="2645"/>
    <m/>
    <x v="2"/>
    <s v="TFI-W0012609-001"/>
    <s v="EJ-Malang-01"/>
    <m/>
    <x v="450"/>
    <m/>
    <m/>
    <x v="4"/>
    <x v="32"/>
    <s v="GCI1020"/>
    <s v="Pcs"/>
    <n v="30"/>
    <m/>
    <x v="28"/>
    <m/>
    <m/>
    <s v="A-Good"/>
    <s v=""/>
    <s v=""/>
    <s v=""/>
    <m/>
    <m/>
    <x v="155"/>
    <n v="0"/>
    <e v="#N/A"/>
    <e v="#N/A"/>
    <s v="OUTBOUND_"/>
  </r>
  <r>
    <s v="2646"/>
    <m/>
    <x v="1"/>
    <s v="OUB-W0012609-003"/>
    <s v="EJ-Malang-01"/>
    <m/>
    <x v="451"/>
    <m/>
    <m/>
    <x v="4"/>
    <x v="32"/>
    <s v="GCI1020"/>
    <s v="Pcs"/>
    <n v="30"/>
    <s v="MF51-05"/>
    <x v="153"/>
    <s v="DOEID250903C9"/>
    <m/>
    <s v="A-Good"/>
    <s v=""/>
    <s v=""/>
    <s v=""/>
    <m/>
    <m/>
    <x v="155"/>
    <s v="Main Feeder - OLT Smart Malang Segment 8 to Sumbersekar"/>
    <d v="2025-09-04T00:00:00"/>
    <b v="0"/>
    <s v="OUTBOUND_"/>
  </r>
  <r>
    <s v="2647"/>
    <m/>
    <x v="1"/>
    <s v="OUB-W0012608-012"/>
    <s v="EJ-Malang-01"/>
    <m/>
    <x v="444"/>
    <m/>
    <m/>
    <x v="4"/>
    <x v="20"/>
    <s v="ZTE1004"/>
    <s v="Pcs"/>
    <n v="1"/>
    <m/>
    <x v="183"/>
    <m/>
    <m/>
    <s v="A-Good"/>
    <s v=""/>
    <s v=""/>
    <s v=""/>
    <m/>
    <m/>
    <x v="155"/>
    <s v="NGAGLIK RW 03 BATU"/>
    <e v="#N/A"/>
    <e v="#N/A"/>
    <s v="OUTBOUND_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95DB7-A6D2-415E-9536-72C6706773A9}" name="PivotTable1" cacheId="21" applyNumberFormats="0" applyBorderFormats="0" applyFontFormats="0" applyPatternFormats="0" applyAlignmentFormats="0" applyWidthHeightFormats="1" dataCaption="Values" updatedVersion="7" minRefreshableVersion="3" useAutoFormatting="1" colGrandTotals="0" itemPrintTitles="1" createdVersion="8" indent="0" outline="1" outlineData="1" multipleFieldFilters="0" colHeaderCaption="LO Criteria">
  <location ref="A6:B19" firstHeaderRow="1" firstDataRow="1" firstDataCol="1" rowPageCount="2" colPageCount="1"/>
  <pivotFields count="33">
    <pivotField showAll="0"/>
    <pivotField showAll="0"/>
    <pivotField showAll="0"/>
    <pivotField showAll="0"/>
    <pivotField showAll="0"/>
    <pivotField axis="axisPage" multipleItemSelectionAllowed="1" showAll="0">
      <items count="8">
        <item h="1" m="1" x="6"/>
        <item x="0"/>
        <item h="1" m="1" x="3"/>
        <item h="1" m="1" x="4"/>
        <item h="1" m="1" x="1"/>
        <item h="1" m="1" x="2"/>
        <item h="1" m="1" x="5"/>
        <item t="default"/>
      </items>
    </pivotField>
    <pivotField showAll="0"/>
    <pivotField numFmtId="15" showAll="0"/>
    <pivotField showAll="0"/>
    <pivotField showAll="0"/>
    <pivotField showAll="0"/>
    <pivotField axis="axisRow" showAll="0">
      <items count="11">
        <item x="1"/>
        <item x="0"/>
        <item x="2"/>
        <item m="1" x="9"/>
        <item x="3"/>
        <item m="1" x="7"/>
        <item x="4"/>
        <item m="1" x="8"/>
        <item x="5"/>
        <item x="6"/>
        <item t="default"/>
      </items>
    </pivotField>
    <pivotField showAll="0"/>
    <pivotField axis="axisPage" multipleItemSelectionAllowed="1" showAll="0">
      <items count="4">
        <item x="0"/>
        <item h="1" x="1"/>
        <item h="1" m="1" x="2"/>
        <item t="default"/>
      </items>
    </pivotField>
    <pivotField showAll="0"/>
    <pivotField showAll="0"/>
    <pivotField showAll="0"/>
    <pivotField showAll="0"/>
    <pivotField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">
        <item x="0"/>
        <item x="1"/>
        <item t="default"/>
      </items>
    </pivotField>
    <pivotField showAll="0">
      <items count="9">
        <item x="7"/>
        <item x="3"/>
        <item x="2"/>
        <item x="4"/>
        <item x="0"/>
        <item x="6"/>
        <item x="1"/>
        <item x="5"/>
        <item t="default"/>
      </items>
    </pivotField>
    <pivotField showAll="0"/>
    <pivotField showAll="0"/>
    <pivotField showAll="0"/>
    <pivotField showAll="0"/>
  </pivotFields>
  <rowFields count="2">
    <field x="27"/>
    <field x="11"/>
  </rowFields>
  <rowItems count="13">
    <i>
      <x/>
    </i>
    <i r="1">
      <x/>
    </i>
    <i r="1">
      <x v="1"/>
    </i>
    <i r="1">
      <x v="2"/>
    </i>
    <i r="1">
      <x v="4"/>
    </i>
    <i r="1">
      <x v="9"/>
    </i>
    <i>
      <x v="1"/>
    </i>
    <i r="1">
      <x/>
    </i>
    <i r="1">
      <x v="1"/>
    </i>
    <i r="1">
      <x v="2"/>
    </i>
    <i r="1">
      <x v="4"/>
    </i>
    <i r="1">
      <x v="9"/>
    </i>
    <i t="grand">
      <x/>
    </i>
  </rowItems>
  <colItems count="1">
    <i/>
  </colItems>
  <pageFields count="2">
    <pageField fld="13" hier="-1"/>
    <pageField fld="5" hier="-1"/>
  </pageFields>
  <dataFields count="1">
    <dataField name="Sum of In-Out Qty" fld="27" baseField="0" baseItem="0"/>
  </dataFields>
  <formats count="2">
    <format dxfId="642">
      <pivotArea outline="0" collapsedLevelsAreSubtotals="1" fieldPosition="0"/>
    </format>
    <format dxfId="641">
      <pivotArea field="28" type="button" dataOnly="0" labelOnly="1" outline="0"/>
    </format>
  </format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190CE2-41BB-41BB-96F9-1E5B96832A0B}" name="PivotTable3" cacheId="21" applyNumberFormats="0" applyBorderFormats="0" applyFontFormats="0" applyPatternFormats="0" applyAlignmentFormats="0" applyWidthHeightFormats="1" dataCaption="Values" updatedVersion="7" minRefreshableVersion="3" useAutoFormatting="1" colGrandTotals="0" itemPrintTitles="1" createdVersion="8" indent="0" outline="1" outlineData="1" multipleFieldFilters="0" colHeaderCaption="LO Criteria">
  <location ref="M7:N11" firstHeaderRow="1" firstDataRow="2" firstDataCol="1" rowPageCount="3" colPageCount="1"/>
  <pivotFields count="33">
    <pivotField showAll="0"/>
    <pivotField showAll="0"/>
    <pivotField showAll="0"/>
    <pivotField showAll="0"/>
    <pivotField showAll="0"/>
    <pivotField axis="axisPage" multipleItemSelectionAllowed="1" showAll="0">
      <items count="8">
        <item h="1" m="1" x="6"/>
        <item x="0"/>
        <item h="1" m="1" x="3"/>
        <item h="1" m="1" x="4"/>
        <item h="1" m="1" x="1"/>
        <item h="1" m="1" x="2"/>
        <item h="1" m="1" x="5"/>
        <item t="default"/>
      </items>
    </pivotField>
    <pivotField showAll="0"/>
    <pivotField numFmtId="15" showAll="0"/>
    <pivotField showAll="0"/>
    <pivotField showAll="0"/>
    <pivotField showAll="0"/>
    <pivotField axis="axisRow" showAll="0">
      <items count="11">
        <item x="1"/>
        <item x="0"/>
        <item x="2"/>
        <item x="4"/>
        <item x="5"/>
        <item m="1" x="8"/>
        <item m="1" x="9"/>
        <item x="3"/>
        <item m="1" x="7"/>
        <item x="6"/>
        <item t="default"/>
      </items>
    </pivotField>
    <pivotField showAll="0"/>
    <pivotField axis="axisPage" multipleItemSelectionAllowed="1" showAll="0">
      <items count="4">
        <item h="1" x="0"/>
        <item x="1"/>
        <item h="1" m="1" x="2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5">
        <item x="2"/>
        <item x="1"/>
        <item m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9">
        <item x="7"/>
        <item x="3"/>
        <item x="2"/>
        <item x="4"/>
        <item x="0"/>
        <item x="6"/>
        <item x="1"/>
        <item x="5"/>
        <item t="default"/>
      </items>
    </pivotField>
    <pivotField showAll="0"/>
    <pivotField showAll="0"/>
    <pivotField showAll="0"/>
    <pivotField showAll="0"/>
  </pivotFields>
  <rowFields count="1">
    <field x="11"/>
  </rowFields>
  <rowItems count="3">
    <i>
      <x v="3"/>
    </i>
    <i>
      <x v="4"/>
    </i>
    <i t="grand">
      <x/>
    </i>
  </rowItems>
  <colFields count="1">
    <field x="28"/>
  </colFields>
  <colItems count="1">
    <i>
      <x/>
    </i>
  </colItems>
  <pageFields count="3">
    <pageField fld="13" hier="-1"/>
    <pageField fld="19" hier="-1"/>
    <pageField fld="5" hier="-1"/>
  </pageFields>
  <dataFields count="1">
    <dataField name="Sum of Qty" fld="14" baseField="0" baseItem="0"/>
  </dataFields>
  <formats count="3">
    <format dxfId="645">
      <pivotArea outline="0" collapsedLevelsAreSubtotals="1" fieldPosition="0"/>
    </format>
    <format dxfId="644">
      <pivotArea dataOnly="0" labelOnly="1" fieldPosition="0">
        <references count="1">
          <reference field="28" count="7">
            <x v="1"/>
            <x v="2"/>
            <x v="3"/>
            <x v="4"/>
            <x v="5"/>
            <x v="6"/>
            <x v="7"/>
          </reference>
        </references>
      </pivotArea>
    </format>
    <format dxfId="643">
      <pivotArea field="28" type="button" dataOnly="0" labelOnly="1" outline="0" axis="axisCol" fieldPosition="0"/>
    </format>
  </format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BBC7EB-008A-4426-82BB-D9FF2C7535E0}" name="PivotTable1" cacheId="32" applyNumberFormats="0" applyBorderFormats="0" applyFontFormats="0" applyPatternFormats="0" applyAlignmentFormats="0" applyWidthHeightFormats="1" dataCaption="Values" updatedVersion="7" minRefreshableVersion="3" itemPrintTitles="1" createdVersion="8" indent="0" outline="1" outlineData="1" multipleFieldFilters="0">
  <location ref="A4:Y243" firstHeaderRow="1" firstDataRow="2" firstDataCol="8"/>
  <pivotFields count="11">
    <pivotField axis="axisRow" outline="0" showAll="0" defaultSubtotal="0">
      <items count="465">
        <item x="185"/>
        <item x="171"/>
        <item x="170"/>
        <item x="188"/>
        <item x="189"/>
        <item x="190"/>
        <item x="192"/>
        <item x="180"/>
        <item x="155"/>
        <item x="140"/>
        <item x="139"/>
        <item x="138"/>
        <item x="145"/>
        <item x="146"/>
        <item x="147"/>
        <item x="148"/>
        <item x="149"/>
        <item x="150"/>
        <item x="141"/>
        <item x="142"/>
        <item x="143"/>
        <item x="144"/>
        <item x="152"/>
        <item x="153"/>
        <item x="154"/>
        <item x="161"/>
        <item x="162"/>
        <item x="158"/>
        <item x="160"/>
        <item x="159"/>
        <item x="168"/>
        <item x="164"/>
        <item x="169"/>
        <item x="165"/>
        <item x="166"/>
        <item x="167"/>
        <item x="204"/>
        <item x="163"/>
        <item x="199"/>
        <item x="229"/>
        <item x="252"/>
        <item x="255"/>
        <item x="253"/>
        <item x="254"/>
        <item x="227"/>
        <item x="218"/>
        <item x="217"/>
        <item x="219"/>
        <item x="216"/>
        <item x="246"/>
        <item x="220"/>
        <item x="247"/>
        <item x="248"/>
        <item x="213"/>
        <item x="221"/>
        <item x="222"/>
        <item x="214"/>
        <item x="215"/>
        <item x="240"/>
        <item x="226"/>
        <item x="225"/>
        <item x="228"/>
        <item x="233"/>
        <item x="236"/>
        <item x="234"/>
        <item x="237"/>
        <item x="235"/>
        <item x="238"/>
        <item x="239"/>
        <item x="232"/>
        <item x="241"/>
        <item x="242"/>
        <item x="194"/>
        <item x="195"/>
        <item x="196"/>
        <item x="200"/>
        <item x="197"/>
        <item x="203"/>
        <item x="198"/>
        <item x="201"/>
        <item x="202"/>
        <item x="206"/>
        <item x="205"/>
        <item x="209"/>
        <item x="210"/>
        <item x="211"/>
        <item x="212"/>
        <item x="207"/>
        <item x="223"/>
        <item x="224"/>
        <item x="193"/>
        <item x="373"/>
        <item x="77"/>
        <item x="327"/>
        <item x="326"/>
        <item x="314"/>
        <item x="325"/>
        <item x="341"/>
        <item x="273"/>
        <item x="329"/>
        <item x="330"/>
        <item x="331"/>
        <item x="332"/>
        <item x="122"/>
        <item x="344"/>
        <item x="342"/>
        <item x="343"/>
        <item x="313"/>
        <item x="312"/>
        <item x="316"/>
        <item x="317"/>
        <item x="318"/>
        <item x="319"/>
        <item x="320"/>
        <item x="333"/>
        <item x="334"/>
        <item x="335"/>
        <item x="336"/>
        <item x="337"/>
        <item x="243"/>
        <item x="244"/>
        <item x="338"/>
        <item x="339"/>
        <item x="340"/>
        <item x="245"/>
        <item x="76"/>
        <item x="322"/>
        <item x="323"/>
        <item x="324"/>
        <item x="82"/>
        <item x="112"/>
        <item x="29"/>
        <item x="33"/>
        <item x="58"/>
        <item x="71"/>
        <item x="30"/>
        <item x="28"/>
        <item x="107"/>
        <item x="44"/>
        <item x="104"/>
        <item x="98"/>
        <item x="92"/>
        <item x="72"/>
        <item x="8"/>
        <item x="22"/>
        <item x="65"/>
        <item x="46"/>
        <item x="47"/>
        <item x="21"/>
        <item x="12"/>
        <item x="63"/>
        <item x="41"/>
        <item x="38"/>
        <item x="64"/>
        <item x="67"/>
        <item x="66"/>
        <item x="60"/>
        <item x="61"/>
        <item x="62"/>
        <item x="57"/>
        <item x="59"/>
        <item x="103"/>
        <item x="283"/>
        <item x="100"/>
        <item x="101"/>
        <item x="102"/>
        <item x="34"/>
        <item x="90"/>
        <item x="19"/>
        <item x="20"/>
        <item x="17"/>
        <item x="18"/>
        <item x="31"/>
        <item x="32"/>
        <item x="36"/>
        <item x="37"/>
        <item x="9"/>
        <item x="13"/>
        <item x="14"/>
        <item x="10"/>
        <item x="11"/>
        <item x="15"/>
        <item x="26"/>
        <item x="23"/>
        <item x="27"/>
        <item x="25"/>
        <item x="24"/>
        <item x="16"/>
        <item x="68"/>
        <item x="69"/>
        <item x="70"/>
        <item x="35"/>
        <item x="39"/>
        <item x="42"/>
        <item x="40"/>
        <item x="43"/>
        <item x="55"/>
        <item x="56"/>
        <item x="93"/>
        <item x="99"/>
        <item x="123"/>
        <item x="108"/>
        <item x="126"/>
        <item x="113"/>
        <item x="127"/>
        <item x="124"/>
        <item x="119"/>
        <item x="284"/>
        <item x="295"/>
        <item x="315"/>
        <item x="157"/>
        <item x="321"/>
        <item x="48"/>
        <item x="156"/>
        <item x="84"/>
        <item x="328"/>
        <item x="346"/>
        <item m="1" x="463"/>
        <item m="1" x="454"/>
        <item x="251"/>
        <item x="231"/>
        <item x="230"/>
        <item x="2"/>
        <item x="1"/>
        <item x="3"/>
        <item x="4"/>
        <item x="5"/>
        <item x="7"/>
        <item x="0"/>
        <item x="6"/>
        <item x="118"/>
        <item x="444"/>
        <item x="445"/>
        <item x="85"/>
        <item x="45"/>
        <item x="95"/>
        <item x="134"/>
        <item x="105"/>
        <item x="106"/>
        <item x="303"/>
        <item x="302"/>
        <item x="135"/>
        <item x="125"/>
        <item x="120"/>
        <item x="121"/>
        <item x="94"/>
        <item x="96"/>
        <item x="97"/>
        <item x="442"/>
        <item x="443"/>
        <item x="80"/>
        <item x="78"/>
        <item x="81"/>
        <item x="79"/>
        <item x="91"/>
        <item x="109"/>
        <item x="110"/>
        <item x="111"/>
        <item x="130"/>
        <item x="117"/>
        <item x="114"/>
        <item x="115"/>
        <item x="116"/>
        <item x="301"/>
        <item x="372"/>
        <item x="389"/>
        <item x="365"/>
        <item x="173"/>
        <item x="172"/>
        <item x="362"/>
        <item x="424"/>
        <item x="379"/>
        <item x="380"/>
        <item x="386"/>
        <item x="361"/>
        <item x="441"/>
        <item x="430"/>
        <item x="397"/>
        <item x="358"/>
        <item x="426"/>
        <item x="427"/>
        <item x="360"/>
        <item x="359"/>
        <item x="390"/>
        <item x="391"/>
        <item x="392"/>
        <item x="347"/>
        <item x="348"/>
        <item x="364"/>
        <item x="50"/>
        <item x="377"/>
        <item x="366"/>
        <item x="363"/>
        <item x="369"/>
        <item x="418"/>
        <item x="367"/>
        <item x="370"/>
        <item x="368"/>
        <item x="371"/>
        <item x="376"/>
        <item x="419"/>
        <item x="352"/>
        <item x="353"/>
        <item x="88"/>
        <item x="384"/>
        <item x="396"/>
        <item x="394"/>
        <item x="395"/>
        <item x="87"/>
        <item x="89"/>
        <item x="374"/>
        <item x="349"/>
        <item x="49"/>
        <item x="51"/>
        <item x="52"/>
        <item x="53"/>
        <item x="54"/>
        <item x="350"/>
        <item x="351"/>
        <item x="420"/>
        <item x="421"/>
        <item x="356"/>
        <item x="357"/>
        <item x="354"/>
        <item x="378"/>
        <item x="422"/>
        <item x="355"/>
        <item x="176"/>
        <item x="177"/>
        <item x="175"/>
        <item x="174"/>
        <item x="398"/>
        <item x="408"/>
        <item x="399"/>
        <item x="402"/>
        <item x="403"/>
        <item x="404"/>
        <item x="433"/>
        <item x="264"/>
        <item x="179"/>
        <item x="263"/>
        <item x="423"/>
        <item x="425"/>
        <item x="250"/>
        <item x="393"/>
        <item x="428"/>
        <item x="429"/>
        <item x="431"/>
        <item x="400"/>
        <item x="289"/>
        <item x="401"/>
        <item x="290"/>
        <item x="291"/>
        <item x="432"/>
        <item x="405"/>
        <item x="406"/>
        <item x="409"/>
        <item x="300"/>
        <item x="407"/>
        <item x="385"/>
        <item x="86"/>
        <item x="257"/>
        <item x="256"/>
        <item x="259"/>
        <item x="258"/>
        <item x="260"/>
        <item x="261"/>
        <item x="262"/>
        <item x="271"/>
        <item x="249"/>
        <item x="265"/>
        <item x="267"/>
        <item x="270"/>
        <item x="275"/>
        <item x="268"/>
        <item x="274"/>
        <item x="266"/>
        <item x="272"/>
        <item x="276"/>
        <item x="279"/>
        <item x="307"/>
        <item x="304"/>
        <item x="305"/>
        <item x="306"/>
        <item x="296"/>
        <item x="287"/>
        <item x="277"/>
        <item x="280"/>
        <item x="281"/>
        <item x="278"/>
        <item x="285"/>
        <item x="282"/>
        <item x="286"/>
        <item x="298"/>
        <item x="297"/>
        <item x="292"/>
        <item x="299"/>
        <item x="288"/>
        <item x="293"/>
        <item x="294"/>
        <item x="308"/>
        <item x="131"/>
        <item x="132"/>
        <item x="133"/>
        <item x="136"/>
        <item x="184"/>
        <item x="128"/>
        <item x="178"/>
        <item x="129"/>
        <item x="181"/>
        <item x="182"/>
        <item x="183"/>
        <item x="186"/>
        <item x="191"/>
        <item x="345"/>
        <item x="187"/>
        <item x="151"/>
        <item x="208"/>
        <item x="75"/>
        <item x="73"/>
        <item x="74"/>
        <item x="83"/>
        <item x="375"/>
        <item x="383"/>
        <item x="382"/>
        <item x="381"/>
        <item x="137"/>
        <item x="387"/>
        <item x="388"/>
        <item x="269"/>
        <item m="1" x="460"/>
        <item m="1" x="459"/>
        <item m="1" x="461"/>
        <item m="1" x="464"/>
        <item m="1" x="455"/>
        <item m="1" x="456"/>
        <item m="1" x="457"/>
        <item m="1" x="458"/>
        <item m="1" x="462"/>
        <item m="1" x="453"/>
        <item x="434"/>
        <item x="435"/>
        <item x="310"/>
        <item x="309"/>
        <item x="311"/>
        <item x="411"/>
        <item x="410"/>
        <item x="412"/>
        <item x="436"/>
        <item x="437"/>
        <item x="440"/>
        <item x="413"/>
        <item x="438"/>
        <item x="414"/>
        <item x="415"/>
        <item x="439"/>
        <item x="416"/>
        <item m="1" x="452"/>
        <item x="417"/>
        <item x="446"/>
        <item x="447"/>
        <item x="448"/>
        <item x="449"/>
        <item x="450"/>
        <item x="45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468">
        <item x="404"/>
        <item x="146"/>
        <item x="147"/>
        <item x="272"/>
        <item x="250"/>
        <item x="352"/>
        <item x="80"/>
        <item x="78"/>
        <item x="81"/>
        <item x="85"/>
        <item x="79"/>
        <item x="171"/>
        <item x="375"/>
        <item x="423"/>
        <item x="394"/>
        <item x="395"/>
        <item x="396"/>
        <item x="219"/>
        <item x="220"/>
        <item x="230"/>
        <item x="108"/>
        <item x="104"/>
        <item x="107"/>
        <item x="4"/>
        <item x="5"/>
        <item x="7"/>
        <item x="164"/>
        <item x="286"/>
        <item x="287"/>
        <item x="202"/>
        <item x="203"/>
        <item x="198"/>
        <item x="204"/>
        <item x="205"/>
        <item x="199"/>
        <item x="206"/>
        <item x="207"/>
        <item x="402"/>
        <item x="403"/>
        <item x="437"/>
        <item x="353"/>
        <item x="354"/>
        <item x="358"/>
        <item x="34"/>
        <item x="49"/>
        <item x="51"/>
        <item x="52"/>
        <item x="53"/>
        <item x="54"/>
        <item x="214"/>
        <item x="267"/>
        <item x="315"/>
        <item x="316"/>
        <item x="317"/>
        <item x="424"/>
        <item x="425"/>
        <item x="268"/>
        <item x="278"/>
        <item x="290"/>
        <item x="252"/>
        <item x="289"/>
        <item x="349"/>
        <item x="185"/>
        <item x="285"/>
        <item x="405"/>
        <item x="281"/>
        <item x="294"/>
        <item x="280"/>
        <item x="291"/>
        <item x="296"/>
        <item x="179"/>
        <item x="292"/>
        <item x="266"/>
        <item x="208"/>
        <item x="276"/>
        <item x="277"/>
        <item x="130"/>
        <item x="311"/>
        <item x="284"/>
        <item x="271"/>
        <item x="282"/>
        <item x="273"/>
        <item x="279"/>
        <item x="269"/>
        <item x="331"/>
        <item x="362"/>
        <item x="363"/>
        <item x="28"/>
        <item x="29"/>
        <item x="30"/>
        <item x="31"/>
        <item x="32"/>
        <item x="310"/>
        <item x="301"/>
        <item x="343"/>
        <item x="181"/>
        <item x="189"/>
        <item x="342"/>
        <item x="398"/>
        <item x="399"/>
        <item x="309"/>
        <item x="308"/>
        <item x="142"/>
        <item x="183"/>
        <item x="176"/>
        <item x="174"/>
        <item x="175"/>
        <item x="178"/>
        <item x="364"/>
        <item x="184"/>
        <item x="383"/>
        <item x="302"/>
        <item x="143"/>
        <item x="390"/>
        <item x="244"/>
        <item x="245"/>
        <item x="144"/>
        <item x="182"/>
        <item x="246"/>
        <item x="307"/>
        <item x="173"/>
        <item x="341"/>
        <item x="145"/>
        <item x="177"/>
        <item x="186"/>
        <item x="33"/>
        <item x="35"/>
        <item x="71"/>
        <item x="44"/>
        <item x="297"/>
        <item x="94"/>
        <item x="96"/>
        <item x="97"/>
        <item x="445"/>
        <item x="283"/>
        <item x="275"/>
        <item x="83"/>
        <item x="74"/>
        <item x="270"/>
        <item x="209"/>
        <item x="384"/>
        <item x="392"/>
        <item x="378"/>
        <item x="386"/>
        <item x="152"/>
        <item x="129"/>
        <item x="385"/>
        <item x="16"/>
        <item x="17"/>
        <item x="21"/>
        <item x="18"/>
        <item x="19"/>
        <item x="20"/>
        <item x="131"/>
        <item x="305"/>
        <item x="95"/>
        <item x="105"/>
        <item x="106"/>
        <item x="260"/>
        <item x="259"/>
        <item x="374"/>
        <item x="373"/>
        <item x="371"/>
        <item x="121"/>
        <item x="120"/>
        <item x="125"/>
        <item x="347"/>
        <item x="393"/>
        <item x="169"/>
        <item x="165"/>
        <item x="170"/>
        <item x="166"/>
        <item x="167"/>
        <item x="168"/>
        <item x="232"/>
        <item x="231"/>
        <item x="435"/>
        <item x="88"/>
        <item x="344"/>
        <item x="137"/>
        <item x="295"/>
        <item x="187"/>
        <item x="124"/>
        <item x="126"/>
        <item x="449"/>
        <item x="6"/>
        <item x="0"/>
        <item x="2"/>
        <item x="1"/>
        <item x="190"/>
        <item x="46"/>
        <item x="47"/>
        <item x="324"/>
        <item x="359"/>
        <item x="407"/>
        <item x="436"/>
        <item x="408"/>
        <item x="412"/>
        <item x="413"/>
        <item x="406"/>
        <item x="448"/>
        <item x="101"/>
        <item x="100"/>
        <item x="102"/>
        <item x="381"/>
        <item x="360"/>
        <item x="382"/>
        <item x="75"/>
        <item x="73"/>
        <item x="138"/>
        <item x="389"/>
        <item x="391"/>
        <item x="140"/>
        <item x="128"/>
        <item x="113"/>
        <item x="148"/>
        <item x="149"/>
        <item x="139"/>
        <item x="57"/>
        <item x="58"/>
        <item x="59"/>
        <item x="60"/>
        <item x="61"/>
        <item x="62"/>
        <item x="210"/>
        <item x="211"/>
        <item x="212"/>
        <item x="213"/>
        <item x="118"/>
        <item x="26"/>
        <item x="23"/>
        <item x="27"/>
        <item x="25"/>
        <item x="24"/>
        <item x="235"/>
        <item x="351"/>
        <item x="367"/>
        <item x="325"/>
        <item x="326"/>
        <item x="327"/>
        <item x="76"/>
        <item x="224"/>
        <item x="332"/>
        <item x="335"/>
        <item x="334"/>
        <item x="333"/>
        <item x="158"/>
        <item x="428"/>
        <item x="365"/>
        <item x="429"/>
        <item x="427"/>
        <item x="319"/>
        <item x="320"/>
        <item x="321"/>
        <item x="322"/>
        <item x="323"/>
        <item x="348"/>
        <item x="188"/>
        <item x="191"/>
        <item x="293"/>
        <item x="300"/>
        <item x="299"/>
        <item x="123"/>
        <item x="241"/>
        <item x="328"/>
        <item x="221"/>
        <item x="249"/>
        <item x="227"/>
        <item x="223"/>
        <item x="217"/>
        <item x="298"/>
        <item x="92"/>
        <item x="172"/>
        <item x="84"/>
        <item x="226"/>
        <item x="222"/>
        <item x="255"/>
        <item x="234"/>
        <item x="90"/>
        <item x="109"/>
        <item x="110"/>
        <item x="111"/>
        <item x="153"/>
        <item x="154"/>
        <item x="155"/>
        <item x="156"/>
        <item x="361"/>
        <item x="159"/>
        <item x="160"/>
        <item x="161"/>
        <item x="380"/>
        <item x="357"/>
        <item x="369"/>
        <item x="366"/>
        <item x="50"/>
        <item x="228"/>
        <item x="229"/>
        <item x="242"/>
        <item x="243"/>
        <item m="1" x="466"/>
        <item m="1" x="467"/>
        <item x="215"/>
        <item x="216"/>
        <item x="239"/>
        <item x="218"/>
        <item x="192"/>
        <item x="193"/>
        <item x="431"/>
        <item x="430"/>
        <item x="410"/>
        <item x="409"/>
        <item x="225"/>
        <item x="82"/>
        <item x="22"/>
        <item x="397"/>
        <item x="411"/>
        <item x="157"/>
        <item x="141"/>
        <item x="350"/>
        <item x="99"/>
        <item x="119"/>
        <item x="400"/>
        <item x="388"/>
        <item x="98"/>
        <item x="45"/>
        <item x="48"/>
        <item x="86"/>
        <item x="261"/>
        <item x="89"/>
        <item x="8"/>
        <item x="387"/>
        <item x="87"/>
        <item x="376"/>
        <item x="112"/>
        <item x="93"/>
        <item x="127"/>
        <item x="38"/>
        <item x="41"/>
        <item x="39"/>
        <item x="42"/>
        <item x="40"/>
        <item x="43"/>
        <item x="150"/>
        <item x="151"/>
        <item x="368"/>
        <item x="346"/>
        <item x="345"/>
        <item x="36"/>
        <item x="37"/>
        <item x="56"/>
        <item x="55"/>
        <item x="12"/>
        <item x="9"/>
        <item x="13"/>
        <item x="14"/>
        <item x="10"/>
        <item x="11"/>
        <item x="15"/>
        <item x="329"/>
        <item x="122"/>
        <item x="77"/>
        <item x="330"/>
        <item x="253"/>
        <item x="256"/>
        <item x="254"/>
        <item x="274"/>
        <item x="265"/>
        <item x="180"/>
        <item x="264"/>
        <item x="3"/>
        <item x="306"/>
        <item x="68"/>
        <item x="72"/>
        <item x="69"/>
        <item x="70"/>
        <item x="446"/>
        <item x="263"/>
        <item x="262"/>
        <item x="370"/>
        <item x="132"/>
        <item x="133"/>
        <item x="134"/>
        <item x="135"/>
        <item x="136"/>
        <item x="340"/>
        <item x="336"/>
        <item x="337"/>
        <item x="338"/>
        <item x="339"/>
        <item x="318"/>
        <item x="401"/>
        <item x="372"/>
        <item x="422"/>
        <item x="194"/>
        <item x="248"/>
        <item x="247"/>
        <item x="162"/>
        <item x="163"/>
        <item x="63"/>
        <item x="64"/>
        <item x="65"/>
        <item x="67"/>
        <item x="66"/>
        <item x="377"/>
        <item x="447"/>
        <item x="251"/>
        <item x="258"/>
        <item x="257"/>
        <item x="379"/>
        <item x="426"/>
        <item x="432"/>
        <item x="433"/>
        <item x="303"/>
        <item x="304"/>
        <item x="434"/>
        <item x="200"/>
        <item x="201"/>
        <item x="91"/>
        <item x="237"/>
        <item x="238"/>
        <item x="236"/>
        <item x="240"/>
        <item x="233"/>
        <item x="355"/>
        <item x="356"/>
        <item x="103"/>
        <item x="288"/>
        <item x="114"/>
        <item x="115"/>
        <item x="116"/>
        <item x="117"/>
        <item x="195"/>
        <item x="196"/>
        <item x="197"/>
        <item m="1" x="458"/>
        <item m="1" x="459"/>
        <item m="1" x="460"/>
        <item m="1" x="461"/>
        <item m="1" x="465"/>
        <item m="1" x="463"/>
        <item m="1" x="462"/>
        <item m="1" x="457"/>
        <item m="1" x="464"/>
        <item x="438"/>
        <item x="439"/>
        <item x="313"/>
        <item x="312"/>
        <item x="314"/>
        <item x="415"/>
        <item x="414"/>
        <item x="416"/>
        <item x="440"/>
        <item x="441"/>
        <item x="444"/>
        <item x="417"/>
        <item x="442"/>
        <item x="418"/>
        <item x="419"/>
        <item x="443"/>
        <item x="420"/>
        <item m="1" x="456"/>
        <item x="421"/>
        <item x="450"/>
        <item x="451"/>
        <item x="452"/>
        <item x="453"/>
        <item x="454"/>
        <item x="45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axis="axisRow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4">
        <item h="1" x="0"/>
        <item h="1" x="1"/>
        <item h="1" x="8"/>
        <item h="1" x="9"/>
        <item h="1" x="6"/>
        <item h="1" x="5"/>
        <item x="4"/>
        <item h="1" x="7"/>
        <item h="1" x="11"/>
        <item h="1" x="3"/>
        <item h="1" x="2"/>
        <item h="1" x="10"/>
        <item h="1" m="1" x="12"/>
        <item h="1" m="1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4">
        <item h="1" x="0"/>
        <item h="1" x="1"/>
        <item h="1" x="2"/>
        <item h="1" x="3"/>
        <item h="1" x="4"/>
        <item h="1" x="5"/>
        <item x="6"/>
        <item h="1" x="7"/>
        <item h="1" m="1" x="13"/>
        <item h="1" m="1" x="9"/>
        <item h="1" m="1" x="10"/>
        <item h="1" m="1" x="12"/>
        <item h="1" m="1" x="8"/>
        <item h="1"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137">
        <item x="1040"/>
        <item x="860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1041"/>
        <item x="861"/>
        <item x="488"/>
        <item x="489"/>
        <item x="490"/>
        <item x="344"/>
        <item x="345"/>
        <item x="346"/>
        <item x="877"/>
        <item x="491"/>
        <item x="21"/>
        <item x="22"/>
        <item x="1091"/>
        <item x="1013"/>
        <item x="878"/>
        <item x="1014"/>
        <item x="956"/>
        <item x="957"/>
        <item x="1042"/>
        <item x="879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1043"/>
        <item x="880"/>
        <item x="506"/>
        <item x="504"/>
        <item x="505"/>
        <item x="882"/>
        <item x="23"/>
        <item x="881"/>
        <item x="958"/>
        <item x="27"/>
        <item x="28"/>
        <item x="29"/>
        <item x="24"/>
        <item x="30"/>
        <item x="31"/>
        <item x="32"/>
        <item x="33"/>
        <item x="34"/>
        <item x="25"/>
        <item x="35"/>
        <item x="26"/>
        <item x="36"/>
        <item x="37"/>
        <item x="959"/>
        <item x="38"/>
        <item x="43"/>
        <item x="39"/>
        <item x="44"/>
        <item x="40"/>
        <item x="45"/>
        <item x="46"/>
        <item x="41"/>
        <item x="47"/>
        <item x="42"/>
        <item x="48"/>
        <item x="49"/>
        <item x="1005"/>
        <item x="1015"/>
        <item x="508"/>
        <item x="507"/>
        <item x="1016"/>
        <item x="509"/>
        <item x="1044"/>
        <item x="883"/>
        <item x="1045"/>
        <item x="886"/>
        <item x="1046"/>
        <item x="884"/>
        <item x="1017"/>
        <item x="885"/>
        <item x="1047"/>
        <item x="960"/>
        <item x="510"/>
        <item x="511"/>
        <item x="347"/>
        <item x="348"/>
        <item x="349"/>
        <item x="350"/>
        <item x="512"/>
        <item x="513"/>
        <item x="514"/>
        <item x="517"/>
        <item x="515"/>
        <item x="516"/>
        <item x="518"/>
        <item x="55"/>
        <item x="50"/>
        <item x="56"/>
        <item x="51"/>
        <item x="57"/>
        <item x="58"/>
        <item x="52"/>
        <item x="59"/>
        <item x="53"/>
        <item x="60"/>
        <item x="54"/>
        <item x="61"/>
        <item x="62"/>
        <item x="63"/>
        <item x="64"/>
        <item x="65"/>
        <item x="66"/>
        <item x="351"/>
        <item x="352"/>
        <item x="519"/>
        <item x="520"/>
        <item x="521"/>
        <item x="522"/>
        <item x="67"/>
        <item x="68"/>
        <item x="69"/>
        <item x="70"/>
        <item x="71"/>
        <item x="72"/>
        <item x="73"/>
        <item x="109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72"/>
        <item x="366"/>
        <item x="367"/>
        <item x="368"/>
        <item x="369"/>
        <item x="370"/>
        <item x="371"/>
        <item x="524"/>
        <item x="523"/>
        <item x="1048"/>
        <item x="887"/>
        <item x="527"/>
        <item x="525"/>
        <item x="528"/>
        <item x="526"/>
        <item x="529"/>
        <item x="77"/>
        <item x="78"/>
        <item x="79"/>
        <item x="74"/>
        <item x="80"/>
        <item x="81"/>
        <item x="75"/>
        <item x="88"/>
        <item x="83"/>
        <item x="89"/>
        <item x="84"/>
        <item x="90"/>
        <item x="85"/>
        <item x="91"/>
        <item x="86"/>
        <item x="92"/>
        <item x="87"/>
        <item x="82"/>
        <item x="76"/>
        <item x="93"/>
        <item x="94"/>
        <item x="961"/>
        <item x="95"/>
        <item x="96"/>
        <item x="97"/>
        <item x="373"/>
        <item x="374"/>
        <item x="98"/>
        <item x="99"/>
        <item x="100"/>
        <item x="101"/>
        <item x="102"/>
        <item x="742"/>
        <item x="743"/>
        <item x="744"/>
        <item x="745"/>
        <item x="746"/>
        <item x="747"/>
        <item x="530"/>
        <item x="103"/>
        <item x="104"/>
        <item x="531"/>
        <item x="532"/>
        <item x="1097"/>
        <item x="1098"/>
        <item x="1099"/>
        <item x="1100"/>
        <item x="375"/>
        <item x="376"/>
        <item x="377"/>
        <item x="378"/>
        <item x="379"/>
        <item x="380"/>
        <item x="1101"/>
        <item x="1102"/>
        <item x="381"/>
        <item x="382"/>
        <item x="383"/>
        <item x="384"/>
        <item x="385"/>
        <item x="386"/>
        <item x="387"/>
        <item x="388"/>
        <item x="748"/>
        <item x="1049"/>
        <item x="888"/>
        <item x="751"/>
        <item x="889"/>
        <item x="1103"/>
        <item x="389"/>
        <item x="750"/>
        <item x="749"/>
        <item x="1050"/>
        <item x="1006"/>
        <item x="962"/>
        <item x="963"/>
        <item x="964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390"/>
        <item x="752"/>
        <item x="753"/>
        <item x="754"/>
        <item x="755"/>
        <item x="756"/>
        <item x="757"/>
        <item x="758"/>
        <item x="759"/>
        <item x="760"/>
        <item x="761"/>
        <item x="1093"/>
        <item x="762"/>
        <item x="1018"/>
        <item x="892"/>
        <item x="1019"/>
        <item x="890"/>
        <item x="1020"/>
        <item x="891"/>
        <item x="105"/>
        <item x="108"/>
        <item x="106"/>
        <item x="109"/>
        <item x="107"/>
        <item x="763"/>
        <item x="764"/>
        <item x="765"/>
        <item x="766"/>
        <item x="111"/>
        <item x="110"/>
        <item x="112"/>
        <item x="391"/>
        <item x="392"/>
        <item x="393"/>
        <item x="394"/>
        <item x="395"/>
        <item x="396"/>
        <item x="397"/>
        <item x="398"/>
        <item x="1051"/>
        <item x="862"/>
        <item x="1052"/>
        <item x="863"/>
        <item x="965"/>
        <item x="966"/>
        <item x="115"/>
        <item x="113"/>
        <item x="116"/>
        <item x="114"/>
        <item x="771"/>
        <item x="403"/>
        <item x="767"/>
        <item x="770"/>
        <item x="768"/>
        <item x="769"/>
        <item x="120"/>
        <item x="117"/>
        <item x="121"/>
        <item x="122"/>
        <item x="118"/>
        <item x="123"/>
        <item x="124"/>
        <item x="125"/>
        <item x="119"/>
        <item x="126"/>
        <item x="399"/>
        <item x="400"/>
        <item x="401"/>
        <item x="402"/>
        <item x="1053"/>
        <item x="864"/>
        <item x="128"/>
        <item x="127"/>
        <item x="893"/>
        <item x="129"/>
        <item x="130"/>
        <item x="133"/>
        <item x="131"/>
        <item x="134"/>
        <item x="132"/>
        <item x="2"/>
        <item x="0"/>
        <item x="3"/>
        <item x="4"/>
        <item x="1"/>
        <item x="967"/>
        <item x="135"/>
        <item x="141"/>
        <item x="772"/>
        <item x="136"/>
        <item x="137"/>
        <item x="138"/>
        <item x="139"/>
        <item x="140"/>
        <item x="404"/>
        <item x="405"/>
        <item x="143"/>
        <item x="144"/>
        <item x="145"/>
        <item x="142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773"/>
        <item x="774"/>
        <item x="775"/>
        <item x="160"/>
        <item x="5"/>
        <item x="6"/>
        <item x="7"/>
        <item x="1104"/>
        <item x="161"/>
        <item x="162"/>
        <item x="11"/>
        <item x="12"/>
        <item x="13"/>
        <item x="8"/>
        <item x="14"/>
        <item x="9"/>
        <item x="15"/>
        <item x="10"/>
        <item x="1054"/>
        <item x="865"/>
        <item x="1055"/>
        <item x="894"/>
        <item x="1056"/>
        <item x="866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895"/>
        <item x="896"/>
        <item x="163"/>
        <item x="164"/>
        <item x="165"/>
        <item x="968"/>
        <item x="867"/>
        <item x="969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3"/>
        <item x="187"/>
        <item x="188"/>
        <item x="189"/>
        <item x="190"/>
        <item x="191"/>
        <item x="194"/>
        <item x="195"/>
        <item x="897"/>
        <item x="192"/>
        <item x="420"/>
        <item x="421"/>
        <item x="1022"/>
        <item x="1023"/>
        <item x="16"/>
        <item x="1021"/>
        <item x="17"/>
        <item x="196"/>
        <item x="197"/>
        <item x="19"/>
        <item x="18"/>
        <item x="898"/>
        <item x="198"/>
        <item x="776"/>
        <item x="777"/>
        <item x="778"/>
        <item x="779"/>
        <item x="780"/>
        <item x="781"/>
        <item x="1105"/>
        <item x="1106"/>
        <item x="1107"/>
        <item x="1108"/>
        <item x="1109"/>
        <item x="20"/>
        <item x="782"/>
        <item x="547"/>
        <item x="548"/>
        <item x="549"/>
        <item x="550"/>
        <item x="199"/>
        <item x="1078"/>
        <item x="868"/>
        <item x="869"/>
        <item x="1057"/>
        <item x="870"/>
        <item x="1079"/>
        <item x="899"/>
        <item x="204"/>
        <item x="200"/>
        <item x="205"/>
        <item x="206"/>
        <item x="207"/>
        <item x="208"/>
        <item x="201"/>
        <item x="209"/>
        <item x="210"/>
        <item x="202"/>
        <item x="211"/>
        <item x="212"/>
        <item x="203"/>
        <item x="426"/>
        <item x="427"/>
        <item x="425"/>
        <item x="423"/>
        <item x="424"/>
        <item x="422"/>
        <item x="1080"/>
        <item x="1081"/>
        <item x="1082"/>
        <item x="1083"/>
        <item x="1084"/>
        <item x="901"/>
        <item x="1085"/>
        <item x="1086"/>
        <item x="900"/>
        <item x="904"/>
        <item x="1024"/>
        <item x="1007"/>
        <item x="902"/>
        <item x="1025"/>
        <item x="1008"/>
        <item x="1026"/>
        <item x="903"/>
        <item x="213"/>
        <item x="783"/>
        <item x="220"/>
        <item x="217"/>
        <item x="215"/>
        <item x="221"/>
        <item x="218"/>
        <item x="214"/>
        <item x="222"/>
        <item x="216"/>
        <item x="219"/>
        <item x="436"/>
        <item x="435"/>
        <item x="428"/>
        <item x="429"/>
        <item x="430"/>
        <item x="431"/>
        <item x="432"/>
        <item x="433"/>
        <item x="434"/>
        <item x="794"/>
        <item x="227"/>
        <item x="228"/>
        <item x="795"/>
        <item x="229"/>
        <item x="225"/>
        <item x="230"/>
        <item x="231"/>
        <item x="232"/>
        <item x="226"/>
        <item x="604"/>
        <item x="605"/>
        <item x="606"/>
        <item x="607"/>
        <item x="608"/>
        <item x="609"/>
        <item x="610"/>
        <item x="611"/>
        <item x="612"/>
        <item x="1058"/>
        <item x="239"/>
        <item x="223"/>
        <item x="234"/>
        <item x="233"/>
        <item x="613"/>
        <item x="614"/>
        <item x="224"/>
        <item x="792"/>
        <item x="793"/>
        <item x="796"/>
        <item x="235"/>
        <item x="784"/>
        <item x="785"/>
        <item x="970"/>
        <item x="786"/>
        <item x="787"/>
        <item x="905"/>
        <item x="788"/>
        <item x="789"/>
        <item x="790"/>
        <item x="791"/>
        <item x="797"/>
        <item x="798"/>
        <item x="237"/>
        <item x="615"/>
        <item x="238"/>
        <item x="236"/>
        <item x="240"/>
        <item x="906"/>
        <item x="799"/>
        <item x="1009"/>
        <item x="800"/>
        <item x="801"/>
        <item x="802"/>
        <item x="803"/>
        <item x="243"/>
        <item x="804"/>
        <item x="809"/>
        <item x="244"/>
        <item x="242"/>
        <item x="245"/>
        <item x="908"/>
        <item x="249"/>
        <item x="248"/>
        <item x="807"/>
        <item x="250"/>
        <item x="805"/>
        <item x="246"/>
        <item x="247"/>
        <item x="241"/>
        <item x="907"/>
        <item x="808"/>
        <item x="806"/>
        <item x="616"/>
        <item x="617"/>
        <item x="618"/>
        <item x="619"/>
        <item x="620"/>
        <item x="621"/>
        <item x="622"/>
        <item x="623"/>
        <item x="1027"/>
        <item x="911"/>
        <item x="1028"/>
        <item x="910"/>
        <item x="1029"/>
        <item x="909"/>
        <item x="810"/>
        <item x="811"/>
        <item x="812"/>
        <item x="813"/>
        <item x="814"/>
        <item x="815"/>
        <item x="816"/>
        <item x="817"/>
        <item x="555"/>
        <item x="556"/>
        <item x="552"/>
        <item x="553"/>
        <item x="554"/>
        <item x="551"/>
        <item x="557"/>
        <item x="558"/>
        <item x="818"/>
        <item x="819"/>
        <item x="820"/>
        <item x="821"/>
        <item x="822"/>
        <item x="823"/>
        <item x="824"/>
        <item x="825"/>
        <item x="826"/>
        <item x="827"/>
        <item x="254"/>
        <item x="255"/>
        <item x="256"/>
        <item x="253"/>
        <item x="252"/>
        <item x="251"/>
        <item x="439"/>
        <item x="438"/>
        <item x="440"/>
        <item x="437"/>
        <item x="828"/>
        <item x="829"/>
        <item x="830"/>
        <item x="1059"/>
        <item x="871"/>
        <item x="1060"/>
        <item x="872"/>
        <item x="1030"/>
        <item x="873"/>
        <item x="559"/>
        <item x="1061"/>
        <item x="874"/>
        <item x="561"/>
        <item x="560"/>
        <item x="1094"/>
        <item x="1095"/>
        <item x="626"/>
        <item x="875"/>
        <item x="627"/>
        <item x="624"/>
        <item x="628"/>
        <item x="625"/>
        <item x="913"/>
        <item x="876"/>
        <item x="971"/>
        <item x="972"/>
        <item x="446"/>
        <item x="442"/>
        <item x="447"/>
        <item x="443"/>
        <item x="448"/>
        <item x="444"/>
        <item x="449"/>
        <item x="445"/>
        <item x="1031"/>
        <item x="914"/>
        <item x="1032"/>
        <item x="912"/>
        <item x="450"/>
        <item x="441"/>
        <item x="451"/>
        <item x="1096"/>
        <item x="630"/>
        <item x="629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631"/>
        <item x="632"/>
        <item x="566"/>
        <item x="567"/>
        <item x="568"/>
        <item x="569"/>
        <item x="570"/>
        <item x="565"/>
        <item x="571"/>
        <item x="572"/>
        <item x="573"/>
        <item x="574"/>
        <item x="575"/>
        <item x="562"/>
        <item x="576"/>
        <item x="563"/>
        <item x="577"/>
        <item x="564"/>
        <item x="454"/>
        <item x="452"/>
        <item x="455"/>
        <item x="453"/>
        <item x="633"/>
        <item x="634"/>
        <item x="1033"/>
        <item x="915"/>
        <item x="637"/>
        <item x="638"/>
        <item x="584"/>
        <item x="585"/>
        <item x="586"/>
        <item x="636"/>
        <item x="635"/>
        <item x="1062"/>
        <item x="916"/>
        <item x="1063"/>
        <item x="973"/>
        <item x="1064"/>
        <item x="580"/>
        <item x="578"/>
        <item x="581"/>
        <item x="579"/>
        <item x="582"/>
        <item x="583"/>
        <item x="259"/>
        <item x="257"/>
        <item x="260"/>
        <item x="261"/>
        <item x="262"/>
        <item x="263"/>
        <item x="264"/>
        <item x="258"/>
        <item x="267"/>
        <item x="265"/>
        <item x="268"/>
        <item x="266"/>
        <item x="456"/>
        <item x="457"/>
        <item x="278"/>
        <item x="273"/>
        <item x="279"/>
        <item x="274"/>
        <item x="280"/>
        <item x="275"/>
        <item x="281"/>
        <item x="276"/>
        <item x="282"/>
        <item x="277"/>
        <item x="269"/>
        <item x="270"/>
        <item x="271"/>
        <item x="272"/>
        <item x="843"/>
        <item x="844"/>
        <item x="845"/>
        <item x="846"/>
        <item x="847"/>
        <item x="848"/>
        <item x="640"/>
        <item x="639"/>
        <item x="1034"/>
        <item x="641"/>
        <item x="458"/>
        <item x="459"/>
        <item x="289"/>
        <item x="287"/>
        <item x="290"/>
        <item x="288"/>
        <item x="284"/>
        <item x="283"/>
        <item x="285"/>
        <item x="286"/>
        <item x="645"/>
        <item x="643"/>
        <item x="855"/>
        <item x="856"/>
        <item x="646"/>
        <item x="642"/>
        <item x="647"/>
        <item x="644"/>
        <item x="917"/>
        <item x="648"/>
        <item x="1035"/>
        <item x="918"/>
        <item x="651"/>
        <item x="652"/>
        <item x="291"/>
        <item x="292"/>
        <item x="849"/>
        <item x="850"/>
        <item x="463"/>
        <item x="460"/>
        <item x="464"/>
        <item x="461"/>
        <item x="465"/>
        <item x="462"/>
        <item x="851"/>
        <item x="852"/>
        <item x="853"/>
        <item x="854"/>
        <item x="590"/>
        <item x="589"/>
        <item x="591"/>
        <item x="587"/>
        <item x="592"/>
        <item x="588"/>
        <item x="1065"/>
        <item x="919"/>
        <item x="1066"/>
        <item x="920"/>
        <item x="653"/>
        <item x="649"/>
        <item x="654"/>
        <item x="650"/>
        <item x="595"/>
        <item x="593"/>
        <item x="594"/>
        <item x="857"/>
        <item x="1067"/>
        <item x="921"/>
        <item x="1087"/>
        <item x="922"/>
        <item x="1068"/>
        <item x="923"/>
        <item x="301"/>
        <item x="299"/>
        <item x="466"/>
        <item x="469"/>
        <item x="467"/>
        <item x="470"/>
        <item x="468"/>
        <item x="296"/>
        <item x="293"/>
        <item x="297"/>
        <item x="294"/>
        <item x="298"/>
        <item x="295"/>
        <item x="302"/>
        <item x="300"/>
        <item x="1036"/>
        <item x="924"/>
        <item x="858"/>
        <item x="1037"/>
        <item x="974"/>
        <item x="1069"/>
        <item x="975"/>
        <item x="1070"/>
        <item x="925"/>
        <item x="1071"/>
        <item x="926"/>
        <item x="657"/>
        <item x="656"/>
        <item x="655"/>
        <item x="658"/>
        <item x="473"/>
        <item x="472"/>
        <item x="471"/>
        <item x="859"/>
        <item x="306"/>
        <item x="303"/>
        <item x="304"/>
        <item x="305"/>
        <item m="1" x="1112"/>
        <item m="1" x="1114"/>
        <item m="1" x="1115"/>
        <item m="1" x="1117"/>
        <item x="599"/>
        <item x="596"/>
        <item x="600"/>
        <item x="601"/>
        <item x="602"/>
        <item x="597"/>
        <item x="603"/>
        <item x="598"/>
        <item m="1" x="1130"/>
        <item m="1" x="1113"/>
        <item m="1" x="1116"/>
        <item m="1" x="1118"/>
        <item x="661"/>
        <item x="660"/>
        <item x="662"/>
        <item x="659"/>
        <item x="927"/>
        <item x="308"/>
        <item x="307"/>
        <item x="309"/>
        <item x="1073"/>
        <item x="928"/>
        <item x="1072"/>
        <item x="310"/>
        <item x="663"/>
        <item x="978"/>
        <item x="976"/>
        <item x="977"/>
        <item x="311"/>
        <item x="312"/>
        <item x="667"/>
        <item x="664"/>
        <item x="668"/>
        <item x="665"/>
        <item x="669"/>
        <item x="666"/>
        <item x="670"/>
        <item x="671"/>
        <item x="672"/>
        <item x="314"/>
        <item x="315"/>
        <item x="313"/>
        <item x="316"/>
        <item x="318"/>
        <item x="317"/>
        <item x="674"/>
        <item x="673"/>
        <item x="675"/>
        <item x="676"/>
        <item x="677"/>
        <item x="325"/>
        <item x="319"/>
        <item x="320"/>
        <item x="326"/>
        <item x="321"/>
        <item x="327"/>
        <item x="328"/>
        <item x="322"/>
        <item x="323"/>
        <item x="324"/>
        <item x="678"/>
        <item x="683"/>
        <item x="684"/>
        <item x="679"/>
        <item x="685"/>
        <item x="680"/>
        <item x="686"/>
        <item x="681"/>
        <item x="687"/>
        <item x="682"/>
        <item x="688"/>
        <item x="329"/>
        <item x="330"/>
        <item x="331"/>
        <item x="332"/>
        <item x="333"/>
        <item x="334"/>
        <item x="335"/>
        <item x="979"/>
        <item x="929"/>
        <item x="980"/>
        <item x="930"/>
        <item x="981"/>
        <item x="982"/>
        <item x="931"/>
        <item x="691"/>
        <item x="689"/>
        <item x="692"/>
        <item x="690"/>
        <item x="983"/>
        <item x="932"/>
        <item x="984"/>
        <item x="933"/>
        <item x="985"/>
        <item x="986"/>
        <item x="987"/>
        <item x="693"/>
        <item x="694"/>
        <item x="695"/>
        <item x="696"/>
        <item x="336"/>
        <item x="702"/>
        <item x="701"/>
        <item x="697"/>
        <item x="698"/>
        <item x="699"/>
        <item x="703"/>
        <item x="700"/>
        <item x="988"/>
        <item x="934"/>
        <item x="989"/>
        <item x="935"/>
        <item x="990"/>
        <item x="991"/>
        <item x="936"/>
        <item x="992"/>
        <item x="716"/>
        <item x="717"/>
        <item x="709"/>
        <item x="704"/>
        <item x="710"/>
        <item x="705"/>
        <item x="711"/>
        <item x="706"/>
        <item x="712"/>
        <item x="713"/>
        <item x="707"/>
        <item x="714"/>
        <item x="708"/>
        <item x="715"/>
        <item x="718"/>
        <item x="719"/>
        <item x="725"/>
        <item x="722"/>
        <item x="720"/>
        <item x="723"/>
        <item x="721"/>
        <item x="937"/>
        <item x="938"/>
        <item x="724"/>
        <item x="726"/>
        <item x="727"/>
        <item x="728"/>
        <item x="337"/>
        <item x="338"/>
        <item x="339"/>
        <item x="340"/>
        <item x="341"/>
        <item x="1074"/>
        <item x="939"/>
        <item x="342"/>
        <item x="940"/>
        <item x="993"/>
        <item x="941"/>
        <item x="994"/>
        <item x="732"/>
        <item x="733"/>
        <item x="734"/>
        <item x="735"/>
        <item x="736"/>
        <item x="729"/>
        <item x="730"/>
        <item x="731"/>
        <item x="737"/>
        <item x="343"/>
        <item x="738"/>
        <item m="1" x="1128"/>
        <item m="1" x="1132"/>
        <item m="1" x="1123"/>
        <item m="1" x="1120"/>
        <item m="1" x="1129"/>
        <item m="1" x="1133"/>
        <item m="1" x="1134"/>
        <item m="1" x="1135"/>
        <item m="1" x="1119"/>
        <item m="1" x="1136"/>
        <item m="1" x="1121"/>
        <item m="1" x="1124"/>
        <item m="1" x="1126"/>
        <item m="1" x="1127"/>
        <item m="1" x="1131"/>
        <item m="1" x="1122"/>
        <item m="1" x="1125"/>
        <item x="1075"/>
        <item x="1011"/>
        <item x="1010"/>
        <item x="943"/>
        <item x="1088"/>
        <item x="942"/>
        <item x="944"/>
        <item x="996"/>
        <item x="995"/>
        <item x="740"/>
        <item x="739"/>
        <item x="741"/>
        <item x="945"/>
        <item x="1089"/>
        <item x="1077"/>
        <item x="947"/>
        <item x="998"/>
        <item x="1012"/>
        <item x="1038"/>
        <item x="999"/>
        <item x="949"/>
        <item x="1076"/>
        <item x="946"/>
        <item x="1000"/>
        <item x="948"/>
        <item x="997"/>
        <item x="950"/>
        <item x="1001"/>
        <item x="1002"/>
        <item x="1039"/>
        <item x="951"/>
        <item x="1003"/>
        <item x="952"/>
        <item x="953"/>
        <item x="1004"/>
        <item x="1090"/>
        <item x="954"/>
        <item x="955"/>
        <item x="1110"/>
        <item x="11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133">
        <item x="1107"/>
        <item x="860"/>
        <item x="477"/>
        <item x="479"/>
        <item x="475"/>
        <item x="485"/>
        <item x="481"/>
        <item x="483"/>
        <item x="487"/>
        <item x="861"/>
        <item x="490"/>
        <item x="345"/>
        <item x="491"/>
        <item x="877"/>
        <item x="346"/>
        <item x="22"/>
        <item x="878"/>
        <item x="956"/>
        <item x="957"/>
        <item x="879"/>
        <item x="880"/>
        <item x="493"/>
        <item x="495"/>
        <item x="497"/>
        <item x="499"/>
        <item x="501"/>
        <item x="503"/>
        <item x="505"/>
        <item x="506"/>
        <item x="504"/>
        <item x="882"/>
        <item x="23"/>
        <item x="881"/>
        <item x="958"/>
        <item x="28"/>
        <item x="24"/>
        <item x="31"/>
        <item x="33"/>
        <item x="25"/>
        <item x="26"/>
        <item x="37"/>
        <item x="47"/>
        <item x="45"/>
        <item x="49"/>
        <item x="48"/>
        <item x="43"/>
        <item x="46"/>
        <item x="44"/>
        <item x="959"/>
        <item x="1004"/>
        <item x="507"/>
        <item x="884"/>
        <item x="885"/>
        <item x="960"/>
        <item x="883"/>
        <item x="886"/>
        <item x="511"/>
        <item x="350"/>
        <item x="348"/>
        <item x="54"/>
        <item x="62"/>
        <item x="513"/>
        <item x="517"/>
        <item x="518"/>
        <item x="50"/>
        <item x="51"/>
        <item x="52"/>
        <item x="53"/>
        <item x="65"/>
        <item x="66"/>
        <item x="352"/>
        <item x="351"/>
        <item x="519"/>
        <item x="522"/>
        <item x="520"/>
        <item x="521"/>
        <item x="68"/>
        <item x="71"/>
        <item x="72"/>
        <item x="67"/>
        <item x="70"/>
        <item x="69"/>
        <item x="73"/>
        <item x="358"/>
        <item x="360"/>
        <item x="362"/>
        <item x="354"/>
        <item x="356"/>
        <item x="364"/>
        <item x="372"/>
        <item x="367"/>
        <item x="369"/>
        <item x="371"/>
        <item x="523"/>
        <item x="887"/>
        <item x="525"/>
        <item x="526"/>
        <item x="78"/>
        <item x="74"/>
        <item x="75"/>
        <item x="83"/>
        <item x="84"/>
        <item x="85"/>
        <item x="86"/>
        <item x="87"/>
        <item x="76"/>
        <item x="94"/>
        <item x="93"/>
        <item x="96"/>
        <item x="961"/>
        <item x="95"/>
        <item x="97"/>
        <item x="374"/>
        <item x="100"/>
        <item x="101"/>
        <item x="102"/>
        <item x="98"/>
        <item x="99"/>
        <item x="743"/>
        <item x="745"/>
        <item x="747"/>
        <item x="531"/>
        <item x="530"/>
        <item x="104"/>
        <item x="103"/>
        <item x="532"/>
        <item x="376"/>
        <item x="380"/>
        <item x="1097"/>
        <item x="1099"/>
        <item x="1100"/>
        <item x="381"/>
        <item x="382"/>
        <item x="383"/>
        <item x="384"/>
        <item x="385"/>
        <item x="387"/>
        <item x="1101"/>
        <item x="386"/>
        <item x="388"/>
        <item x="748"/>
        <item x="888"/>
        <item x="889"/>
        <item x="1005"/>
        <item x="750"/>
        <item x="389"/>
        <item x="1102"/>
        <item x="963"/>
        <item x="962"/>
        <item x="964"/>
        <item x="534"/>
        <item x="536"/>
        <item x="540"/>
        <item x="544"/>
        <item x="546"/>
        <item x="538"/>
        <item x="542"/>
        <item x="390"/>
        <item x="757"/>
        <item x="759"/>
        <item x="761"/>
        <item x="753"/>
        <item x="755"/>
        <item x="890"/>
        <item x="891"/>
        <item x="892"/>
        <item x="105"/>
        <item x="106"/>
        <item x="107"/>
        <item x="764"/>
        <item x="766"/>
        <item x="110"/>
        <item x="394"/>
        <item x="396"/>
        <item x="398"/>
        <item x="391"/>
        <item x="392"/>
        <item x="112"/>
        <item x="862"/>
        <item x="863"/>
        <item x="965"/>
        <item x="966"/>
        <item x="113"/>
        <item x="114"/>
        <item x="400"/>
        <item x="402"/>
        <item x="118"/>
        <item x="117"/>
        <item x="124"/>
        <item x="119"/>
        <item x="403"/>
        <item x="769"/>
        <item x="770"/>
        <item x="893"/>
        <item x="864"/>
        <item x="127"/>
        <item x="130"/>
        <item x="131"/>
        <item x="132"/>
        <item x="0"/>
        <item x="1"/>
        <item x="404"/>
        <item x="405"/>
        <item x="139"/>
        <item x="140"/>
        <item x="136"/>
        <item x="135"/>
        <item x="772"/>
        <item x="138"/>
        <item x="967"/>
        <item x="137"/>
        <item x="141"/>
        <item x="774"/>
        <item x="160"/>
        <item x="5"/>
        <item x="6"/>
        <item x="149"/>
        <item x="153"/>
        <item x="1103"/>
        <item x="162"/>
        <item x="7"/>
        <item x="161"/>
        <item x="144"/>
        <item x="142"/>
        <item x="147"/>
        <item x="151"/>
        <item x="156"/>
        <item x="159"/>
        <item x="12"/>
        <item x="8"/>
        <item x="9"/>
        <item x="10"/>
        <item x="865"/>
        <item x="894"/>
        <item x="866"/>
        <item x="407"/>
        <item x="409"/>
        <item x="411"/>
        <item x="413"/>
        <item x="419"/>
        <item x="416"/>
        <item x="896"/>
        <item x="895"/>
        <item x="163"/>
        <item x="164"/>
        <item x="165"/>
        <item x="184"/>
        <item x="181"/>
        <item x="968"/>
        <item x="867"/>
        <item x="969"/>
        <item x="168"/>
        <item x="170"/>
        <item x="175"/>
        <item x="177"/>
        <item x="179"/>
        <item x="172"/>
        <item x="186"/>
        <item x="189"/>
        <item x="420"/>
        <item x="195"/>
        <item x="192"/>
        <item x="897"/>
        <item x="193"/>
        <item x="190"/>
        <item x="194"/>
        <item x="191"/>
        <item x="421"/>
        <item x="197"/>
        <item x="196"/>
        <item x="898"/>
        <item x="198"/>
        <item x="18"/>
        <item x="777"/>
        <item x="779"/>
        <item x="781"/>
        <item x="1105"/>
        <item x="548"/>
        <item x="550"/>
        <item x="199"/>
        <item x="868"/>
        <item x="869"/>
        <item x="870"/>
        <item x="899"/>
        <item x="202"/>
        <item x="203"/>
        <item x="200"/>
        <item x="207"/>
        <item x="201"/>
        <item x="425"/>
        <item x="422"/>
        <item x="900"/>
        <item x="901"/>
        <item x="1007"/>
        <item x="1006"/>
        <item x="903"/>
        <item x="902"/>
        <item x="904"/>
        <item x="216"/>
        <item x="215"/>
        <item x="214"/>
        <item x="435"/>
        <item x="429"/>
        <item x="436"/>
        <item x="433"/>
        <item x="428"/>
        <item x="430"/>
        <item x="431"/>
        <item x="432"/>
        <item x="434"/>
        <item x="609"/>
        <item x="614"/>
        <item x="612"/>
        <item x="224"/>
        <item x="226"/>
        <item x="231"/>
        <item x="228"/>
        <item x="225"/>
        <item x="223"/>
        <item x="233"/>
        <item x="606"/>
        <item x="793"/>
        <item x="235"/>
        <item x="791"/>
        <item x="785"/>
        <item x="970"/>
        <item x="787"/>
        <item x="905"/>
        <item x="789"/>
        <item x="798"/>
        <item x="236"/>
        <item x="240"/>
        <item x="906"/>
        <item x="797"/>
        <item x="237"/>
        <item x="615"/>
        <item x="238"/>
        <item x="239"/>
        <item x="1008"/>
        <item x="799"/>
        <item x="801"/>
        <item x="243"/>
        <item x="800"/>
        <item x="908"/>
        <item x="242"/>
        <item x="809"/>
        <item x="248"/>
        <item x="807"/>
        <item x="246"/>
        <item x="907"/>
        <item x="817"/>
        <item x="815"/>
        <item x="813"/>
        <item x="910"/>
        <item x="617"/>
        <item x="621"/>
        <item x="619"/>
        <item x="623"/>
        <item x="909"/>
        <item x="911"/>
        <item x="811"/>
        <item x="553"/>
        <item x="556"/>
        <item x="558"/>
        <item x="551"/>
        <item x="821"/>
        <item x="825"/>
        <item x="823"/>
        <item x="819"/>
        <item x="438"/>
        <item x="437"/>
        <item x="827"/>
        <item x="253"/>
        <item x="255"/>
        <item x="830"/>
        <item x="828"/>
        <item x="829"/>
        <item x="251"/>
        <item x="872"/>
        <item x="871"/>
        <item x="873"/>
        <item x="561"/>
        <item x="874"/>
        <item x="560"/>
        <item x="875"/>
        <item x="624"/>
        <item x="625"/>
        <item x="912"/>
        <item x="444"/>
        <item x="972"/>
        <item x="442"/>
        <item x="876"/>
        <item x="443"/>
        <item x="913"/>
        <item x="971"/>
        <item x="914"/>
        <item x="445"/>
        <item x="559"/>
        <item x="629"/>
        <item x="838"/>
        <item x="834"/>
        <item x="832"/>
        <item x="836"/>
        <item x="840"/>
        <item x="842"/>
        <item x="632"/>
        <item x="569"/>
        <item x="567"/>
        <item x="565"/>
        <item x="564"/>
        <item x="574"/>
        <item x="572"/>
        <item x="562"/>
        <item x="563"/>
        <item x="452"/>
        <item x="453"/>
        <item x="634"/>
        <item x="915"/>
        <item x="638"/>
        <item x="635"/>
        <item x="916"/>
        <item x="973"/>
        <item x="578"/>
        <item x="583"/>
        <item x="579"/>
        <item x="266"/>
        <item x="265"/>
        <item x="258"/>
        <item x="257"/>
        <item x="263"/>
        <item x="261"/>
        <item x="456"/>
        <item x="273"/>
        <item x="275"/>
        <item x="274"/>
        <item x="277"/>
        <item x="276"/>
        <item x="848"/>
        <item x="846"/>
        <item x="844"/>
        <item x="639"/>
        <item x="287"/>
        <item x="288"/>
        <item x="286"/>
        <item x="459"/>
        <item x="283"/>
        <item x="643"/>
        <item x="917"/>
        <item x="648"/>
        <item x="642"/>
        <item x="644"/>
        <item x="918"/>
        <item x="292"/>
        <item x="291"/>
        <item x="850"/>
        <item x="461"/>
        <item x="460"/>
        <item x="462"/>
        <item x="589"/>
        <item x="649"/>
        <item x="920"/>
        <item x="919"/>
        <item x="588"/>
        <item x="650"/>
        <item x="587"/>
        <item x="856"/>
        <item x="857"/>
        <item x="923"/>
        <item x="922"/>
        <item x="921"/>
        <item x="468"/>
        <item x="924"/>
        <item x="467"/>
        <item x="466"/>
        <item x="293"/>
        <item x="300"/>
        <item x="294"/>
        <item x="299"/>
        <item x="295"/>
        <item x="925"/>
        <item x="926"/>
        <item x="858"/>
        <item x="975"/>
        <item x="974"/>
        <item x="655"/>
        <item x="472"/>
        <item x="471"/>
        <item x="303"/>
        <item x="306"/>
        <item x="305"/>
        <item x="304"/>
        <item m="1" x="1130"/>
        <item m="1" x="1131"/>
        <item x="597"/>
        <item x="601"/>
        <item x="596"/>
        <item x="598"/>
        <item m="1" x="1110"/>
        <item m="1" x="1111"/>
        <item x="660"/>
        <item x="659"/>
        <item x="927"/>
        <item x="307"/>
        <item x="928"/>
        <item x="310"/>
        <item x="312"/>
        <item x="978"/>
        <item x="977"/>
        <item x="311"/>
        <item x="976"/>
        <item x="666"/>
        <item x="665"/>
        <item x="664"/>
        <item x="673"/>
        <item x="1039"/>
        <item x="476"/>
        <item x="478"/>
        <item x="474"/>
        <item x="484"/>
        <item x="480"/>
        <item x="482"/>
        <item x="486"/>
        <item x="1040"/>
        <item x="488"/>
        <item x="489"/>
        <item x="344"/>
        <item x="21"/>
        <item x="1090"/>
        <item x="1012"/>
        <item x="1013"/>
        <item x="1041"/>
        <item x="1042"/>
        <item x="492"/>
        <item x="494"/>
        <item x="496"/>
        <item x="498"/>
        <item x="500"/>
        <item x="502"/>
        <item x="27"/>
        <item x="29"/>
        <item x="30"/>
        <item x="32"/>
        <item x="34"/>
        <item x="35"/>
        <item x="36"/>
        <item x="40"/>
        <item x="38"/>
        <item x="41"/>
        <item x="42"/>
        <item x="39"/>
        <item x="1014"/>
        <item x="508"/>
        <item x="1015"/>
        <item x="509"/>
        <item x="1044"/>
        <item x="1045"/>
        <item x="1016"/>
        <item x="1046"/>
        <item x="1043"/>
        <item x="510"/>
        <item x="349"/>
        <item x="347"/>
        <item x="61"/>
        <item x="512"/>
        <item x="514"/>
        <item x="515"/>
        <item x="516"/>
        <item x="55"/>
        <item x="56"/>
        <item x="57"/>
        <item x="58"/>
        <item x="59"/>
        <item x="60"/>
        <item x="64"/>
        <item x="63"/>
        <item x="1091"/>
        <item x="359"/>
        <item x="361"/>
        <item x="353"/>
        <item x="355"/>
        <item x="357"/>
        <item x="363"/>
        <item x="365"/>
        <item x="366"/>
        <item x="368"/>
        <item x="370"/>
        <item x="524"/>
        <item x="1047"/>
        <item x="527"/>
        <item x="528"/>
        <item x="529"/>
        <item x="88"/>
        <item x="82"/>
        <item x="77"/>
        <item x="79"/>
        <item x="80"/>
        <item x="81"/>
        <item x="89"/>
        <item x="90"/>
        <item x="91"/>
        <item x="92"/>
        <item x="373"/>
        <item x="742"/>
        <item x="744"/>
        <item x="746"/>
        <item x="375"/>
        <item x="377"/>
        <item x="378"/>
        <item x="379"/>
        <item x="1096"/>
        <item x="1098"/>
        <item x="1048"/>
        <item x="751"/>
        <item x="1049"/>
        <item x="749"/>
        <item x="533"/>
        <item x="535"/>
        <item x="541"/>
        <item x="543"/>
        <item x="545"/>
        <item x="537"/>
        <item x="539"/>
        <item x="1092"/>
        <item x="758"/>
        <item x="760"/>
        <item x="752"/>
        <item x="754"/>
        <item x="756"/>
        <item x="762"/>
        <item x="1018"/>
        <item x="1019"/>
        <item x="1017"/>
        <item x="108"/>
        <item x="109"/>
        <item x="763"/>
        <item x="765"/>
        <item x="111"/>
        <item x="393"/>
        <item x="395"/>
        <item x="397"/>
        <item x="1050"/>
        <item x="1051"/>
        <item x="115"/>
        <item x="116"/>
        <item x="399"/>
        <item x="401"/>
        <item x="120"/>
        <item x="121"/>
        <item x="122"/>
        <item x="123"/>
        <item x="125"/>
        <item x="126"/>
        <item x="771"/>
        <item x="767"/>
        <item x="768"/>
        <item x="1052"/>
        <item x="128"/>
        <item x="4"/>
        <item x="129"/>
        <item x="133"/>
        <item x="134"/>
        <item x="2"/>
        <item x="3"/>
        <item x="773"/>
        <item x="775"/>
        <item x="143"/>
        <item x="145"/>
        <item x="146"/>
        <item x="148"/>
        <item x="150"/>
        <item x="152"/>
        <item x="154"/>
        <item x="157"/>
        <item x="11"/>
        <item x="13"/>
        <item x="14"/>
        <item x="15"/>
        <item x="1053"/>
        <item x="1054"/>
        <item x="1055"/>
        <item x="406"/>
        <item x="417"/>
        <item x="408"/>
        <item x="410"/>
        <item x="412"/>
        <item x="414"/>
        <item x="180"/>
        <item x="182"/>
        <item x="169"/>
        <item x="173"/>
        <item x="176"/>
        <item x="178"/>
        <item x="166"/>
        <item x="171"/>
        <item x="185"/>
        <item x="187"/>
        <item x="1021"/>
        <item x="1022"/>
        <item x="1020"/>
        <item x="16"/>
        <item x="17"/>
        <item x="19"/>
        <item x="776"/>
        <item x="778"/>
        <item x="780"/>
        <item x="1104"/>
        <item x="1106"/>
        <item x="20"/>
        <item x="782"/>
        <item x="1108"/>
        <item x="547"/>
        <item x="549"/>
        <item x="1077"/>
        <item x="1056"/>
        <item x="1078"/>
        <item x="211"/>
        <item x="204"/>
        <item x="205"/>
        <item x="208"/>
        <item x="209"/>
        <item x="426"/>
        <item x="423"/>
        <item x="1080"/>
        <item x="1081"/>
        <item x="1082"/>
        <item x="1083"/>
        <item x="1084"/>
        <item x="1085"/>
        <item x="1079"/>
        <item x="213"/>
        <item x="554"/>
        <item x="783"/>
        <item x="222"/>
        <item x="220"/>
        <item x="221"/>
        <item x="610"/>
        <item x="613"/>
        <item x="607"/>
        <item x="604"/>
        <item x="794"/>
        <item x="230"/>
        <item x="795"/>
        <item x="234"/>
        <item x="1057"/>
        <item x="796"/>
        <item x="792"/>
        <item x="788"/>
        <item x="790"/>
        <item x="784"/>
        <item x="786"/>
        <item x="245"/>
        <item x="244"/>
        <item x="803"/>
        <item x="802"/>
        <item x="804"/>
        <item x="249"/>
        <item x="247"/>
        <item x="806"/>
        <item x="250"/>
        <item x="805"/>
        <item x="241"/>
        <item x="808"/>
        <item x="1028"/>
        <item x="812"/>
        <item x="814"/>
        <item x="816"/>
        <item x="616"/>
        <item x="618"/>
        <item x="622"/>
        <item x="1026"/>
        <item x="810"/>
        <item x="620"/>
        <item x="1027"/>
        <item x="557"/>
        <item x="552"/>
        <item x="555"/>
        <item x="252"/>
        <item x="822"/>
        <item x="826"/>
        <item x="820"/>
        <item x="824"/>
        <item x="818"/>
        <item x="440"/>
        <item x="256"/>
        <item x="439"/>
        <item x="254"/>
        <item x="1058"/>
        <item x="1059"/>
        <item x="1029"/>
        <item x="1060"/>
        <item x="1094"/>
        <item x="1093"/>
        <item x="626"/>
        <item x="628"/>
        <item x="627"/>
        <item x="1031"/>
        <item x="449"/>
        <item x="447"/>
        <item x="448"/>
        <item x="1030"/>
        <item x="446"/>
        <item x="450"/>
        <item x="451"/>
        <item x="441"/>
        <item x="1095"/>
        <item x="630"/>
        <item x="835"/>
        <item x="839"/>
        <item x="831"/>
        <item x="833"/>
        <item x="841"/>
        <item x="837"/>
        <item x="631"/>
        <item x="570"/>
        <item x="573"/>
        <item x="575"/>
        <item x="566"/>
        <item x="571"/>
        <item x="568"/>
        <item x="577"/>
        <item x="576"/>
        <item x="455"/>
        <item x="454"/>
        <item x="633"/>
        <item x="1032"/>
        <item x="584"/>
        <item x="585"/>
        <item x="637"/>
        <item x="586"/>
        <item x="636"/>
        <item x="1063"/>
        <item x="1061"/>
        <item x="1062"/>
        <item x="581"/>
        <item x="582"/>
        <item x="580"/>
        <item x="262"/>
        <item x="264"/>
        <item x="260"/>
        <item x="267"/>
        <item x="268"/>
        <item x="259"/>
        <item x="457"/>
        <item x="278"/>
        <item x="279"/>
        <item x="282"/>
        <item x="281"/>
        <item x="280"/>
        <item x="269"/>
        <item x="270"/>
        <item x="271"/>
        <item x="272"/>
        <item x="847"/>
        <item x="843"/>
        <item x="845"/>
        <item x="640"/>
        <item x="641"/>
        <item x="1033"/>
        <item x="646"/>
        <item x="647"/>
        <item x="285"/>
        <item x="645"/>
        <item x="458"/>
        <item x="289"/>
        <item x="290"/>
        <item x="284"/>
        <item x="855"/>
        <item x="1034"/>
        <item x="652"/>
        <item x="651"/>
        <item x="849"/>
        <item x="463"/>
        <item x="852"/>
        <item x="465"/>
        <item x="853"/>
        <item x="851"/>
        <item x="464"/>
        <item x="854"/>
        <item x="1064"/>
        <item x="1065"/>
        <item x="653"/>
        <item x="654"/>
        <item x="591"/>
        <item x="590"/>
        <item x="592"/>
        <item x="595"/>
        <item x="594"/>
        <item x="593"/>
        <item x="1067"/>
        <item x="1086"/>
        <item x="1066"/>
        <item x="1035"/>
        <item x="470"/>
        <item x="469"/>
        <item x="302"/>
        <item x="298"/>
        <item x="297"/>
        <item x="296"/>
        <item x="301"/>
        <item x="1070"/>
        <item x="1069"/>
        <item x="1068"/>
        <item x="1036"/>
        <item x="657"/>
        <item x="656"/>
        <item x="658"/>
        <item x="473"/>
        <item x="859"/>
        <item m="1" x="1128"/>
        <item m="1" x="1129"/>
        <item x="599"/>
        <item x="602"/>
        <item x="600"/>
        <item x="603"/>
        <item m="1" x="1112"/>
        <item m="1" x="1113"/>
        <item x="662"/>
        <item x="661"/>
        <item x="308"/>
        <item x="309"/>
        <item x="1071"/>
        <item x="1072"/>
        <item x="663"/>
        <item x="667"/>
        <item x="668"/>
        <item x="669"/>
        <item x="672"/>
        <item x="671"/>
        <item x="670"/>
        <item x="313"/>
        <item x="314"/>
        <item x="315"/>
        <item x="316"/>
        <item x="675"/>
        <item x="318"/>
        <item x="317"/>
        <item x="676"/>
        <item x="674"/>
        <item x="677"/>
        <item x="155"/>
        <item x="158"/>
        <item x="418"/>
        <item x="415"/>
        <item x="183"/>
        <item x="167"/>
        <item x="174"/>
        <item x="188"/>
        <item x="212"/>
        <item x="206"/>
        <item x="210"/>
        <item x="427"/>
        <item x="424"/>
        <item x="1025"/>
        <item x="1023"/>
        <item x="1024"/>
        <item x="217"/>
        <item x="219"/>
        <item x="218"/>
        <item x="608"/>
        <item x="611"/>
        <item x="605"/>
        <item x="232"/>
        <item x="227"/>
        <item x="229"/>
        <item x="322"/>
        <item x="320"/>
        <item x="321"/>
        <item x="323"/>
        <item x="324"/>
        <item x="319"/>
        <item x="679"/>
        <item x="678"/>
        <item x="680"/>
        <item x="682"/>
        <item x="681"/>
        <item x="929"/>
        <item x="931"/>
        <item x="930"/>
        <item x="690"/>
        <item x="689"/>
        <item x="932"/>
        <item x="933"/>
        <item x="695"/>
        <item x="694"/>
        <item x="693"/>
        <item x="697"/>
        <item x="699"/>
        <item x="701"/>
        <item x="698"/>
        <item x="700"/>
        <item x="935"/>
        <item x="936"/>
        <item x="716"/>
        <item x="934"/>
        <item x="704"/>
        <item x="705"/>
        <item x="708"/>
        <item x="707"/>
        <item x="706"/>
        <item x="718"/>
        <item x="721"/>
        <item x="719"/>
        <item x="720"/>
        <item x="937"/>
        <item x="938"/>
        <item x="734"/>
        <item x="732"/>
        <item x="736"/>
        <item x="994"/>
        <item x="993"/>
        <item x="328"/>
        <item x="325"/>
        <item x="327"/>
        <item x="326"/>
        <item x="685"/>
        <item x="683"/>
        <item x="688"/>
        <item x="686"/>
        <item x="684"/>
        <item x="687"/>
        <item x="329"/>
        <item x="330"/>
        <item x="331"/>
        <item x="332"/>
        <item x="334"/>
        <item x="333"/>
        <item x="335"/>
        <item x="980"/>
        <item x="981"/>
        <item x="982"/>
        <item x="979"/>
        <item x="691"/>
        <item x="692"/>
        <item x="984"/>
        <item x="987"/>
        <item x="983"/>
        <item x="985"/>
        <item x="986"/>
        <item x="696"/>
        <item x="336"/>
        <item x="703"/>
        <item x="702"/>
        <item x="989"/>
        <item x="988"/>
        <item x="990"/>
        <item x="992"/>
        <item x="991"/>
        <item x="717"/>
        <item x="712"/>
        <item x="709"/>
        <item x="711"/>
        <item x="710"/>
        <item x="713"/>
        <item x="714"/>
        <item x="715"/>
        <item x="723"/>
        <item x="722"/>
        <item x="725"/>
        <item x="727"/>
        <item x="728"/>
        <item x="726"/>
        <item x="724"/>
        <item x="340"/>
        <item x="341"/>
        <item x="337"/>
        <item x="338"/>
        <item x="339"/>
        <item x="1073"/>
        <item x="939"/>
        <item x="342"/>
        <item x="735"/>
        <item x="730"/>
        <item x="940"/>
        <item x="733"/>
        <item x="941"/>
        <item x="729"/>
        <item x="731"/>
        <item x="737"/>
        <item x="343"/>
        <item x="738"/>
        <item m="1" x="1132"/>
        <item m="1" x="1127"/>
        <item m="1" x="1119"/>
        <item m="1" x="1124"/>
        <item m="1" x="1120"/>
        <item m="1" x="1125"/>
        <item m="1" x="1123"/>
        <item m="1" x="1118"/>
        <item m="1" x="1122"/>
        <item m="1" x="1121"/>
        <item m="1" x="1126"/>
        <item m="1" x="1117"/>
        <item m="1" x="1116"/>
        <item m="1" x="1115"/>
        <item m="1" x="1114"/>
        <item x="1074"/>
        <item x="1010"/>
        <item x="1009"/>
        <item x="943"/>
        <item x="1087"/>
        <item x="942"/>
        <item x="944"/>
        <item x="996"/>
        <item x="995"/>
        <item x="740"/>
        <item x="739"/>
        <item x="741"/>
        <item x="945"/>
        <item x="1088"/>
        <item x="1076"/>
        <item x="947"/>
        <item x="997"/>
        <item x="1011"/>
        <item x="1037"/>
        <item x="998"/>
        <item x="949"/>
        <item x="1075"/>
        <item x="946"/>
        <item x="999"/>
        <item x="948"/>
        <item x="950"/>
        <item x="1000"/>
        <item x="1002"/>
        <item x="1001"/>
        <item x="1038"/>
        <item x="951"/>
        <item x="952"/>
        <item x="953"/>
        <item x="1003"/>
        <item x="954"/>
        <item x="1089"/>
        <item x="955"/>
        <item x="110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68" outline="0" showAll="0" defaultSubtotal="0">
      <items count="167">
        <item x="122"/>
        <item x="78"/>
        <item x="79"/>
        <item x="60"/>
        <item x="5"/>
        <item x="125"/>
        <item x="126"/>
        <item x="80"/>
        <item x="6"/>
        <item x="127"/>
        <item x="7"/>
        <item x="8"/>
        <item x="9"/>
        <item x="81"/>
        <item x="128"/>
        <item x="82"/>
        <item x="61"/>
        <item x="10"/>
        <item x="83"/>
        <item x="11"/>
        <item x="62"/>
        <item x="151"/>
        <item x="63"/>
        <item x="64"/>
        <item x="129"/>
        <item x="84"/>
        <item x="85"/>
        <item x="12"/>
        <item x="13"/>
        <item x="14"/>
        <item x="15"/>
        <item x="65"/>
        <item x="16"/>
        <item x="113"/>
        <item x="17"/>
        <item x="66"/>
        <item x="114"/>
        <item x="67"/>
        <item x="86"/>
        <item x="115"/>
        <item x="18"/>
        <item x="19"/>
        <item x="68"/>
        <item x="20"/>
        <item x="21"/>
        <item x="123"/>
        <item x="69"/>
        <item x="22"/>
        <item x="23"/>
        <item x="24"/>
        <item x="0"/>
        <item x="25"/>
        <item x="26"/>
        <item x="1"/>
        <item x="2"/>
        <item x="70"/>
        <item x="130"/>
        <item x="27"/>
        <item x="28"/>
        <item x="29"/>
        <item x="3"/>
        <item x="4"/>
        <item x="30"/>
        <item x="31"/>
        <item x="124"/>
        <item x="32"/>
        <item x="71"/>
        <item x="131"/>
        <item x="132"/>
        <item x="33"/>
        <item x="116"/>
        <item x="34"/>
        <item x="72"/>
        <item x="35"/>
        <item x="36"/>
        <item x="117"/>
        <item x="37"/>
        <item x="38"/>
        <item x="39"/>
        <item x="92"/>
        <item x="133"/>
        <item x="87"/>
        <item x="88"/>
        <item x="73"/>
        <item x="40"/>
        <item x="93"/>
        <item x="74"/>
        <item x="94"/>
        <item x="118"/>
        <item x="75"/>
        <item x="95"/>
        <item x="96"/>
        <item x="97"/>
        <item x="89"/>
        <item x="41"/>
        <item x="76"/>
        <item x="42"/>
        <item x="98"/>
        <item x="43"/>
        <item x="44"/>
        <item x="90"/>
        <item x="119"/>
        <item x="45"/>
        <item x="120"/>
        <item x="99"/>
        <item x="77"/>
        <item x="121"/>
        <item x="46"/>
        <item m="1" x="160"/>
        <item x="91"/>
        <item m="1" x="164"/>
        <item x="100"/>
        <item x="134"/>
        <item x="47"/>
        <item x="48"/>
        <item x="135"/>
        <item x="49"/>
        <item x="101"/>
        <item x="50"/>
        <item x="102"/>
        <item x="51"/>
        <item x="52"/>
        <item x="53"/>
        <item x="54"/>
        <item x="103"/>
        <item x="55"/>
        <item x="56"/>
        <item x="136"/>
        <item x="104"/>
        <item x="137"/>
        <item x="105"/>
        <item x="57"/>
        <item x="106"/>
        <item x="138"/>
        <item x="107"/>
        <item x="108"/>
        <item x="139"/>
        <item x="109"/>
        <item x="58"/>
        <item x="140"/>
        <item x="110"/>
        <item x="59"/>
        <item x="111"/>
        <item m="1" x="163"/>
        <item m="1" x="162"/>
        <item x="157"/>
        <item x="141"/>
        <item x="152"/>
        <item x="112"/>
        <item x="142"/>
        <item x="153"/>
        <item x="143"/>
        <item x="144"/>
        <item x="145"/>
        <item x="154"/>
        <item m="1" x="165"/>
        <item x="155"/>
        <item x="147"/>
        <item x="148"/>
        <item m="1" x="166"/>
        <item m="1" x="161"/>
        <item x="146"/>
        <item x="149"/>
        <item x="156"/>
        <item x="150"/>
        <item x="158"/>
        <item x="15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28">
        <item x="1"/>
        <item x="2"/>
        <item x="3"/>
        <item x="0"/>
        <item x="12"/>
        <item x="7"/>
        <item x="13"/>
        <item x="8"/>
        <item x="4"/>
        <item x="6"/>
        <item x="5"/>
        <item x="14"/>
        <item x="11"/>
        <item m="1" x="22"/>
        <item x="10"/>
        <item m="1" x="20"/>
        <item m="1" x="27"/>
        <item m="1" x="24"/>
        <item m="1" x="19"/>
        <item m="1" x="25"/>
        <item m="1" x="17"/>
        <item m="1" x="21"/>
        <item m="1" x="23"/>
        <item m="1" x="18"/>
        <item m="1" x="26"/>
        <item x="15"/>
        <item x="16"/>
        <item x="9"/>
      </items>
    </pivotField>
    <pivotField dataField="1" showAll="0" defaultSubtotal="0"/>
  </pivotFields>
  <rowFields count="8">
    <field x="8"/>
    <field x="0"/>
    <field x="1"/>
    <field x="3"/>
    <field x="4"/>
    <field x="5"/>
    <field x="6"/>
    <field x="7"/>
  </rowFields>
  <rowItems count="238">
    <i>
      <x/>
      <x v="286"/>
      <x v="318"/>
      <x/>
      <x v="6"/>
      <x v="6"/>
      <x/>
      <x v="514"/>
    </i>
    <i r="6">
      <x v="1"/>
      <x v="1"/>
    </i>
    <i>
      <x v="3"/>
      <x v="287"/>
      <x v="235"/>
      <x/>
      <x v="6"/>
      <x v="6"/>
      <x v="16"/>
      <x v="522"/>
    </i>
    <i r="6">
      <x v="17"/>
      <x v="9"/>
    </i>
    <i r="6">
      <x v="24"/>
      <x v="13"/>
    </i>
    <i>
      <x v="5"/>
      <x v="286"/>
      <x v="318"/>
      <x/>
      <x v="6"/>
      <x v="6"/>
      <x v="28"/>
      <x v="527"/>
    </i>
    <i r="1">
      <x v="291"/>
      <x v="292"/>
      <x/>
      <x v="6"/>
      <x v="6"/>
      <x v="31"/>
      <x v="529"/>
    </i>
    <i r="1">
      <x v="292"/>
      <x v="293"/>
      <x/>
      <x v="6"/>
      <x v="6"/>
      <x v="29"/>
      <x v="528"/>
    </i>
    <i r="6">
      <x v="30"/>
      <x v="16"/>
    </i>
    <i>
      <x v="6"/>
      <x v="288"/>
      <x v="236"/>
      <x/>
      <x v="6"/>
      <x v="6"/>
      <x v="34"/>
      <x v="530"/>
    </i>
    <i r="6">
      <x v="35"/>
      <x v="19"/>
    </i>
    <i r="1">
      <x v="291"/>
      <x v="292"/>
      <x/>
      <x v="6"/>
      <x v="6"/>
      <x v="33"/>
      <x v="18"/>
    </i>
    <i r="1">
      <x v="292"/>
      <x v="293"/>
      <x/>
      <x v="6"/>
      <x v="6"/>
      <x v="32"/>
      <x v="17"/>
    </i>
    <i>
      <x v="7"/>
      <x v="266"/>
      <x v="344"/>
      <x/>
      <x v="6"/>
      <x v="6"/>
      <x v="48"/>
      <x v="531"/>
    </i>
    <i r="6">
      <x v="49"/>
      <x v="20"/>
    </i>
    <i>
      <x v="9"/>
      <x v="266"/>
      <x v="344"/>
      <x/>
      <x v="6"/>
      <x v="6"/>
      <x v="55"/>
      <x v="32"/>
    </i>
    <i r="6">
      <x v="56"/>
      <x v="33"/>
    </i>
    <i r="1">
      <x v="291"/>
      <x v="292"/>
      <x/>
      <x v="6"/>
      <x v="6"/>
      <x v="53"/>
      <x v="30"/>
    </i>
    <i>
      <x v="12"/>
      <x v="266"/>
      <x v="344"/>
      <x/>
      <x v="6"/>
      <x v="6"/>
      <x v="71"/>
      <x v="48"/>
    </i>
    <i r="6">
      <x v="85"/>
      <x v="550"/>
    </i>
    <i r="1">
      <x v="291"/>
      <x v="292"/>
      <x/>
      <x v="6"/>
      <x v="6"/>
      <x v="84"/>
      <x v="49"/>
    </i>
    <i>
      <x v="13"/>
      <x v="286"/>
      <x v="318"/>
      <x/>
      <x v="6"/>
      <x v="6"/>
      <x v="88"/>
      <x v="552"/>
    </i>
    <i>
      <x v="14"/>
      <x v="293"/>
      <x v="391"/>
      <x/>
      <x v="6"/>
      <x v="6"/>
      <x v="96"/>
      <x v="556"/>
    </i>
    <i r="6">
      <x v="97"/>
      <x v="52"/>
    </i>
    <i r="1">
      <x v="294"/>
      <x v="392"/>
      <x/>
      <x v="6"/>
      <x v="6"/>
      <x v="98"/>
      <x v="557"/>
    </i>
    <i r="6">
      <x v="99"/>
      <x v="53"/>
    </i>
    <i r="1">
      <x v="295"/>
      <x v="378"/>
      <x/>
      <x v="6"/>
      <x v="6"/>
      <x v="90"/>
      <x v="558"/>
    </i>
    <i r="6">
      <x v="91"/>
      <x v="54"/>
    </i>
    <i r="1">
      <x v="296"/>
      <x v="161"/>
      <x/>
      <x v="6"/>
      <x v="6"/>
      <x v="92"/>
      <x v="554"/>
    </i>
    <i r="6">
      <x v="93"/>
      <x v="55"/>
    </i>
    <i r="1">
      <x v="297"/>
      <x v="162"/>
      <x/>
      <x v="6"/>
      <x v="6"/>
      <x v="94"/>
      <x v="555"/>
    </i>
    <i r="6">
      <x v="95"/>
      <x v="51"/>
    </i>
    <i>
      <x v="21"/>
      <x v="298"/>
      <x v="160"/>
      <x/>
      <x v="6"/>
      <x v="6"/>
      <x v="194"/>
      <x v="109"/>
    </i>
    <i>
      <x v="22"/>
      <x v="291"/>
      <x v="292"/>
      <x/>
      <x v="6"/>
      <x v="6"/>
      <x v="143"/>
      <x v="575"/>
    </i>
    <i>
      <x v="24"/>
      <x v="298"/>
      <x v="160"/>
      <x/>
      <x v="6"/>
      <x v="6"/>
      <x v="166"/>
      <x v="587"/>
    </i>
    <i r="6">
      <x v="167"/>
      <x v="94"/>
    </i>
    <i>
      <x v="37"/>
      <x v="209"/>
      <x v="389"/>
      <x/>
      <x v="6"/>
      <x v="6"/>
      <x v="240"/>
      <x v="142"/>
    </i>
    <i r="1">
      <x v="264"/>
      <x v="12"/>
      <x/>
      <x v="6"/>
      <x v="6"/>
      <x v="237"/>
      <x v="611"/>
    </i>
    <i r="6">
      <x v="238"/>
      <x v="141"/>
    </i>
    <i r="1">
      <x v="300"/>
      <x v="13"/>
      <x/>
      <x v="6"/>
      <x v="6"/>
      <x v="245"/>
      <x v="613"/>
    </i>
    <i r="6">
      <x v="246"/>
      <x v="143"/>
    </i>
    <i>
      <x v="40"/>
      <x v="91"/>
      <x v="332"/>
      <x/>
      <x v="6"/>
      <x v="6"/>
      <x v="279"/>
      <x v="629"/>
    </i>
    <i r="6">
      <x v="280"/>
      <x v="163"/>
    </i>
    <i r="1">
      <x v="209"/>
      <x v="389"/>
      <x/>
      <x v="6"/>
      <x v="6"/>
      <x v="248"/>
      <x v="147"/>
    </i>
    <i r="1">
      <x v="264"/>
      <x v="12"/>
      <x/>
      <x v="6"/>
      <x v="6"/>
      <x v="249"/>
      <x v="149"/>
    </i>
    <i r="1">
      <x v="300"/>
      <x v="13"/>
      <x/>
      <x v="6"/>
      <x v="6"/>
      <x v="247"/>
      <x v="148"/>
    </i>
    <i r="6">
      <x v="275"/>
      <x v="622"/>
    </i>
    <i r="1">
      <x v="310"/>
      <x v="403"/>
      <x/>
      <x v="6"/>
      <x v="6"/>
      <x v="281"/>
      <x v="630"/>
    </i>
    <i r="6">
      <x v="282"/>
      <x v="164"/>
    </i>
    <i r="1">
      <x v="422"/>
      <x v="142"/>
      <x/>
      <x v="6"/>
      <x v="6"/>
      <x v="277"/>
      <x v="631"/>
    </i>
    <i r="6">
      <x v="278"/>
      <x v="165"/>
    </i>
    <i>
      <x v="45"/>
      <x v="311"/>
      <x v="5"/>
      <x/>
      <x v="6"/>
      <x v="6"/>
      <x v="303"/>
      <x v="640"/>
    </i>
    <i r="6">
      <x v="304"/>
      <x v="178"/>
    </i>
    <i r="1">
      <x v="317"/>
      <x v="40"/>
      <x/>
      <x v="6"/>
      <x v="6"/>
      <x v="305"/>
      <x v="641"/>
    </i>
    <i r="6">
      <x v="306"/>
      <x v="179"/>
    </i>
    <i r="1">
      <x v="319"/>
      <x v="54"/>
      <x/>
      <x v="6"/>
      <x v="6"/>
      <x v="307"/>
      <x v="180"/>
    </i>
    <i r="1">
      <x v="320"/>
      <x v="55"/>
      <x/>
      <x v="6"/>
      <x v="6"/>
      <x v="308"/>
      <x v="181"/>
    </i>
    <i>
      <x v="49"/>
      <x v="317"/>
      <x v="40"/>
      <x/>
      <x v="6"/>
      <x v="6"/>
      <x v="337"/>
      <x v="193"/>
    </i>
    <i r="1">
      <x v="318"/>
      <x v="41"/>
      <x/>
      <x v="6"/>
      <x v="6"/>
      <x v="333"/>
      <x v="655"/>
    </i>
    <i r="6">
      <x v="334"/>
      <x v="194"/>
    </i>
    <i>
      <x v="51"/>
      <x v="318"/>
      <x v="41"/>
      <x/>
      <x v="6"/>
      <x v="6"/>
      <x v="349"/>
      <x v="209"/>
    </i>
    <i>
      <x v="54"/>
      <x v="299"/>
      <x v="408"/>
      <x/>
      <x v="6"/>
      <x v="6"/>
      <x v="398"/>
      <x v="678"/>
    </i>
    <i r="6">
      <x v="399"/>
      <x v="233"/>
    </i>
    <i r="1">
      <x v="301"/>
      <x v="423"/>
      <x/>
      <x v="6"/>
      <x v="6"/>
      <x v="396"/>
      <x v="677"/>
    </i>
    <i r="6">
      <x v="397"/>
      <x v="232"/>
    </i>
    <i r="1">
      <x v="302"/>
      <x v="424"/>
      <x/>
      <x v="6"/>
      <x v="6"/>
      <x v="400"/>
      <x v="679"/>
    </i>
    <i r="6">
      <x v="401"/>
      <x v="234"/>
    </i>
    <i>
      <x v="56"/>
      <x v="314"/>
      <x v="46"/>
      <x/>
      <x v="6"/>
      <x v="6"/>
      <x v="416"/>
      <x v="242"/>
    </i>
    <i r="1">
      <x v="316"/>
      <x v="48"/>
      <x/>
      <x v="6"/>
      <x v="6"/>
      <x v="417"/>
      <x v="241"/>
    </i>
    <i>
      <x v="58"/>
      <x v="290"/>
      <x v="290"/>
      <x/>
      <x v="6"/>
      <x v="6"/>
      <x v="421"/>
      <x v="248"/>
    </i>
    <i r="1">
      <x v="323"/>
      <x v="291"/>
      <x/>
      <x v="6"/>
      <x v="6"/>
      <x v="422"/>
      <x v="249"/>
    </i>
    <i r="1">
      <x v="325"/>
      <x v="409"/>
      <x/>
      <x v="6"/>
      <x v="6"/>
      <x v="423"/>
      <x v="250"/>
    </i>
    <i>
      <x v="59"/>
      <x v="290"/>
      <x v="290"/>
      <x/>
      <x v="6"/>
      <x v="6"/>
      <x v="453"/>
      <x v="262"/>
    </i>
    <i>
      <x v="60"/>
      <x v="301"/>
      <x v="423"/>
      <x/>
      <x v="6"/>
      <x v="6"/>
      <x v="458"/>
      <x v="697"/>
    </i>
    <i r="1">
      <x v="302"/>
      <x v="424"/>
      <x/>
      <x v="6"/>
      <x v="6"/>
      <x v="457"/>
      <x v="696"/>
    </i>
    <i>
      <x v="62"/>
      <x v="323"/>
      <x v="291"/>
      <x/>
      <x v="6"/>
      <x v="6"/>
      <x v="466"/>
      <x v="270"/>
    </i>
    <i>
      <x v="64"/>
      <x v="319"/>
      <x v="54"/>
      <x/>
      <x v="6"/>
      <x v="6"/>
      <x v="491"/>
      <x v="714"/>
    </i>
    <i r="1">
      <x v="321"/>
      <x v="193"/>
      <x/>
      <x v="6"/>
      <x v="6"/>
      <x v="488"/>
      <x v="281"/>
    </i>
    <i r="1">
      <x v="322"/>
      <x v="205"/>
      <x/>
      <x v="6"/>
      <x v="6"/>
      <x v="489"/>
      <x v="713"/>
    </i>
    <i r="6">
      <x v="490"/>
      <x v="282"/>
    </i>
    <i r="1">
      <x v="324"/>
      <x v="204"/>
      <x/>
      <x v="6"/>
      <x v="6"/>
      <x v="492"/>
      <x v="283"/>
    </i>
    <i r="1">
      <x v="326"/>
      <x v="42"/>
      <x/>
      <x v="6"/>
      <x v="6"/>
      <x v="486"/>
      <x v="712"/>
    </i>
    <i r="6">
      <x v="487"/>
      <x v="280"/>
    </i>
    <i>
      <x v="67"/>
      <x v="267"/>
      <x v="105"/>
      <x/>
      <x v="6"/>
      <x v="6"/>
      <x v="516"/>
      <x v="725"/>
    </i>
    <i r="6">
      <x v="517"/>
      <x v="292"/>
    </i>
    <i r="1">
      <x v="268"/>
      <x v="120"/>
      <x/>
      <x v="6"/>
      <x v="6"/>
      <x v="519"/>
      <x v="727"/>
    </i>
    <i r="6">
      <x v="520"/>
      <x v="291"/>
    </i>
    <i r="1">
      <x v="275"/>
      <x v="133"/>
      <x/>
      <x v="6"/>
      <x v="6"/>
      <x v="515"/>
      <x v="724"/>
    </i>
    <i r="1">
      <x v="327"/>
      <x v="123"/>
      <x/>
      <x v="6"/>
      <x v="6"/>
      <x v="513"/>
      <x v="722"/>
    </i>
    <i r="1">
      <x v="328"/>
      <x v="107"/>
      <x/>
      <x v="6"/>
      <x v="6"/>
      <x v="514"/>
      <x v="723"/>
    </i>
    <i r="1">
      <x v="329"/>
      <x v="104"/>
      <x/>
      <x v="6"/>
      <x v="6"/>
      <x v="512"/>
      <x v="728"/>
    </i>
    <i r="1">
      <x v="330"/>
      <x v="106"/>
      <x/>
      <x v="6"/>
      <x v="6"/>
      <x v="518"/>
      <x v="726"/>
    </i>
    <i>
      <x v="68"/>
      <x v="267"/>
      <x v="105"/>
      <x/>
      <x v="6"/>
      <x v="6"/>
      <x v="526"/>
      <x v="293"/>
    </i>
    <i r="6">
      <x v="527"/>
      <x v="952"/>
    </i>
    <i r="1">
      <x v="268"/>
      <x v="120"/>
      <x/>
      <x v="6"/>
      <x v="6"/>
      <x v="528"/>
      <x v="295"/>
    </i>
    <i r="1">
      <x v="328"/>
      <x v="107"/>
      <x/>
      <x v="6"/>
      <x v="6"/>
      <x v="521"/>
      <x v="297"/>
    </i>
    <i r="6">
      <x v="522"/>
      <x v="953"/>
    </i>
    <i r="1">
      <x v="329"/>
      <x v="104"/>
      <x/>
      <x v="6"/>
      <x v="6"/>
      <x v="523"/>
      <x v="294"/>
    </i>
    <i r="1">
      <x v="330"/>
      <x v="106"/>
      <x/>
      <x v="6"/>
      <x v="6"/>
      <x v="524"/>
      <x v="296"/>
    </i>
    <i r="6">
      <x v="525"/>
      <x v="954"/>
    </i>
    <i>
      <x v="76"/>
      <x v="271"/>
      <x v="206"/>
      <x/>
      <x v="6"/>
      <x v="6"/>
      <x v="582"/>
      <x v="325"/>
    </i>
    <i r="1">
      <x v="303"/>
      <x v="177"/>
      <x/>
      <x v="6"/>
      <x v="6"/>
      <x v="585"/>
      <x v="327"/>
    </i>
    <i>
      <x v="77"/>
      <x v="271"/>
      <x v="206"/>
      <x/>
      <x v="6"/>
      <x v="6"/>
      <x v="597"/>
      <x v="332"/>
    </i>
    <i>
      <x v="78"/>
      <x v="271"/>
      <x v="206"/>
      <x/>
      <x v="6"/>
      <x v="6"/>
      <x v="599"/>
      <x v="338"/>
    </i>
    <i r="1">
      <x v="309"/>
      <x v="328"/>
      <x/>
      <x v="6"/>
      <x v="6"/>
      <x v="610"/>
      <x v="343"/>
    </i>
    <i r="1">
      <x v="327"/>
      <x v="123"/>
      <x/>
      <x v="6"/>
      <x v="6"/>
      <x v="619"/>
      <x v="349"/>
    </i>
    <i>
      <x v="79"/>
      <x v="272"/>
      <x v="110"/>
      <x/>
      <x v="6"/>
      <x v="6"/>
      <x v="634"/>
      <x v="762"/>
    </i>
    <i r="6">
      <x v="635"/>
      <x v="358"/>
    </i>
    <i r="1">
      <x v="424"/>
      <x v="146"/>
      <x/>
      <x v="6"/>
      <x v="6"/>
      <x v="630"/>
      <x v="769"/>
    </i>
    <i r="1">
      <x v="425"/>
      <x v="140"/>
      <x/>
      <x v="6"/>
      <x v="6"/>
      <x v="632"/>
      <x v="772"/>
    </i>
    <i>
      <x v="80"/>
      <x v="424"/>
      <x v="146"/>
      <x/>
      <x v="6"/>
      <x v="6"/>
      <x v="631"/>
      <x v="359"/>
    </i>
    <i r="1">
      <x v="425"/>
      <x v="140"/>
      <x/>
      <x v="6"/>
      <x v="6"/>
      <x v="633"/>
      <x v="353"/>
    </i>
    <i>
      <x v="84"/>
      <x v="274"/>
      <x v="108"/>
      <x/>
      <x v="6"/>
      <x v="6"/>
      <x v="682"/>
      <x v="789"/>
    </i>
    <i r="6">
      <x v="683"/>
      <x v="382"/>
    </i>
    <i r="1">
      <x v="278"/>
      <x v="286"/>
      <x/>
      <x v="6"/>
      <x v="6"/>
      <x v="675"/>
      <x v="786"/>
    </i>
    <i r="6">
      <x v="676"/>
      <x v="379"/>
    </i>
    <i r="1">
      <x v="281"/>
      <x v="86"/>
      <x/>
      <x v="6"/>
      <x v="6"/>
      <x v="679"/>
      <x v="788"/>
    </i>
    <i r="6">
      <x v="680"/>
      <x v="380"/>
    </i>
    <i r="1">
      <x v="282"/>
      <x v="85"/>
      <x/>
      <x v="6"/>
      <x v="6"/>
      <x v="677"/>
      <x v="787"/>
    </i>
    <i r="6">
      <x v="678"/>
      <x v="378"/>
    </i>
    <i r="1">
      <x v="309"/>
      <x v="328"/>
      <x/>
      <x v="6"/>
      <x v="6"/>
      <x v="687"/>
      <x v="790"/>
    </i>
    <i r="1">
      <x v="424"/>
      <x v="146"/>
      <x/>
      <x v="6"/>
      <x v="6"/>
      <x v="686"/>
      <x v="791"/>
    </i>
    <i>
      <x v="86"/>
      <x v="269"/>
      <x v="248"/>
      <x/>
      <x v="6"/>
      <x v="6"/>
      <x v="695"/>
      <x v="391"/>
    </i>
    <i r="1">
      <x v="270"/>
      <x v="247"/>
      <x/>
      <x v="6"/>
      <x v="6"/>
      <x v="697"/>
      <x v="389"/>
    </i>
    <i r="1">
      <x v="304"/>
      <x v="330"/>
      <x/>
      <x v="6"/>
      <x v="6"/>
      <x v="694"/>
      <x v="393"/>
    </i>
    <i r="1">
      <x v="338"/>
      <x v="366"/>
      <x/>
      <x v="6"/>
      <x v="6"/>
      <x v="689"/>
      <x v="384"/>
    </i>
    <i r="6">
      <x v="713"/>
      <x v="804"/>
    </i>
    <i r="1">
      <x v="341"/>
      <x v="250"/>
      <x/>
      <x v="6"/>
      <x v="6"/>
      <x v="696"/>
      <x v="394"/>
    </i>
    <i r="1">
      <x v="423"/>
      <x v="143"/>
      <x/>
      <x v="6"/>
      <x v="6"/>
      <x v="708"/>
      <x v="795"/>
    </i>
    <i r="6">
      <x v="709"/>
      <x v="387"/>
    </i>
    <i>
      <x v="91"/>
      <x v="273"/>
      <x v="113"/>
      <x/>
      <x v="6"/>
      <x v="6"/>
      <x v="761"/>
      <x v="831"/>
    </i>
    <i r="6">
      <x v="762"/>
      <x v="420"/>
    </i>
    <i r="1">
      <x v="304"/>
      <x v="330"/>
      <x/>
      <x v="6"/>
      <x v="6"/>
      <x v="765"/>
      <x v="830"/>
    </i>
    <i r="1">
      <x v="342"/>
      <x v="249"/>
      <x/>
      <x v="6"/>
      <x v="6"/>
      <x v="763"/>
      <x v="832"/>
    </i>
    <i r="6">
      <x v="764"/>
      <x v="421"/>
    </i>
    <i r="1">
      <x v="426"/>
      <x v="210"/>
      <x/>
      <x v="6"/>
      <x v="6"/>
      <x v="752"/>
      <x v="824"/>
    </i>
    <i r="6">
      <x v="753"/>
      <x v="417"/>
    </i>
    <i>
      <x v="98"/>
      <x v="427"/>
      <x v="211"/>
      <x/>
      <x v="6"/>
      <x v="6"/>
      <x v="808"/>
      <x v="857"/>
    </i>
    <i r="6">
      <x v="828"/>
      <x v="447"/>
    </i>
    <i>
      <x v="99"/>
      <x v="265"/>
      <x v="167"/>
      <x/>
      <x v="6"/>
      <x v="6"/>
      <x v="854"/>
      <x v="878"/>
    </i>
    <i r="6">
      <x v="855"/>
      <x v="461"/>
    </i>
    <i r="1">
      <x v="343"/>
      <x v="405"/>
      <x/>
      <x v="6"/>
      <x v="6"/>
      <x v="856"/>
      <x v="879"/>
    </i>
    <i r="6">
      <x v="857"/>
      <x v="460"/>
    </i>
    <i r="1">
      <x v="428"/>
      <x v="141"/>
      <x/>
      <x v="6"/>
      <x v="6"/>
      <x v="830"/>
      <x v="867"/>
    </i>
    <i r="6">
      <x v="831"/>
      <x v="451"/>
    </i>
    <i>
      <x v="102"/>
      <x v="283"/>
      <x v="14"/>
      <x/>
      <x v="6"/>
      <x v="6"/>
      <x v="866"/>
      <x v="890"/>
    </i>
    <i r="6">
      <x v="867"/>
      <x v="469"/>
    </i>
    <i r="1">
      <x v="284"/>
      <x v="15"/>
      <x/>
      <x v="6"/>
      <x v="6"/>
      <x v="868"/>
      <x v="889"/>
    </i>
    <i r="6">
      <x v="869"/>
      <x v="468"/>
    </i>
    <i r="1">
      <x v="285"/>
      <x v="16"/>
      <x/>
      <x v="6"/>
      <x v="6"/>
      <x v="870"/>
      <x v="888"/>
    </i>
    <i r="6">
      <x v="871"/>
      <x v="467"/>
    </i>
    <i r="1">
      <x v="344"/>
      <x v="314"/>
      <x/>
      <x v="6"/>
      <x v="6"/>
      <x v="887"/>
      <x v="891"/>
    </i>
    <i r="6">
      <x v="888"/>
      <x v="471"/>
    </i>
    <i>
      <x v="103"/>
      <x v="279"/>
      <x v="308"/>
      <x/>
      <x v="6"/>
      <x v="6"/>
      <x v="890"/>
      <x v="902"/>
    </i>
    <i r="6">
      <x v="891"/>
      <x v="483"/>
    </i>
    <i r="1">
      <x v="280"/>
      <x v="307"/>
      <x/>
      <x v="6"/>
      <x v="6"/>
      <x v="892"/>
      <x v="901"/>
    </i>
    <i r="6">
      <x v="893"/>
      <x v="482"/>
    </i>
    <i r="1">
      <x v="306"/>
      <x v="98"/>
      <x/>
      <x v="6"/>
      <x v="6"/>
      <x v="894"/>
      <x v="900"/>
    </i>
    <i r="6">
      <x v="895"/>
      <x v="479"/>
    </i>
    <i r="1">
      <x v="307"/>
      <x v="99"/>
      <x/>
      <x v="6"/>
      <x v="6"/>
      <x v="896"/>
      <x v="899"/>
    </i>
    <i r="6">
      <x v="897"/>
      <x v="480"/>
    </i>
    <i>
      <x v="112"/>
      <x v="305"/>
      <x v="321"/>
      <x/>
      <x v="6"/>
      <x v="6"/>
      <x v="930"/>
      <x v="501"/>
    </i>
    <i>
      <x v="115"/>
      <x v="277"/>
      <x v="390"/>
      <x/>
      <x v="6"/>
      <x v="6"/>
      <x v="934"/>
      <x v="921"/>
    </i>
    <i r="6">
      <x v="935"/>
      <x v="503"/>
    </i>
    <i>
      <x v="118"/>
      <x v="345"/>
      <x v="410"/>
      <x/>
      <x v="6"/>
      <x v="6"/>
      <x v="940"/>
      <x v="509"/>
    </i>
    <i r="1">
      <x v="346"/>
      <x v="411"/>
      <x/>
      <x v="6"/>
      <x v="6"/>
      <x v="941"/>
      <x v="507"/>
    </i>
    <i>
      <x v="127"/>
      <x v="331"/>
      <x v="37"/>
      <x/>
      <x v="6"/>
      <x v="6"/>
      <x v="992"/>
      <x v="1030"/>
    </i>
    <i r="6">
      <x v="993"/>
      <x v="975"/>
    </i>
    <i r="1">
      <x v="333"/>
      <x v="38"/>
      <x/>
      <x v="6"/>
      <x v="6"/>
      <x v="994"/>
      <x v="1027"/>
    </i>
    <i r="6">
      <x v="995"/>
      <x v="977"/>
    </i>
    <i r="1">
      <x v="347"/>
      <x v="176"/>
      <x/>
      <x v="6"/>
      <x v="6"/>
      <x v="996"/>
      <x v="1028"/>
    </i>
    <i r="1">
      <x v="348"/>
      <x/>
      <x/>
      <x v="6"/>
      <x v="6"/>
      <x v="997"/>
      <x v="1029"/>
    </i>
    <i r="6">
      <x v="998"/>
      <x v="976"/>
    </i>
    <i>
      <x v="129"/>
      <x v="349"/>
      <x v="58"/>
      <x/>
      <x v="6"/>
      <x v="6"/>
      <x v="1003"/>
      <x v="1035"/>
    </i>
    <i r="6">
      <x v="1004"/>
      <x v="980"/>
    </i>
    <i r="1">
      <x v="350"/>
      <x v="64"/>
      <x/>
      <x v="6"/>
      <x v="6"/>
      <x v="1005"/>
      <x v="1033"/>
    </i>
    <i r="6">
      <x v="1006"/>
      <x v="981"/>
    </i>
    <i r="1">
      <x v="351"/>
      <x v="68"/>
      <x/>
      <x v="6"/>
      <x v="6"/>
      <x v="1007"/>
      <x v="1036"/>
    </i>
    <i r="1">
      <x v="352"/>
      <x v="71"/>
      <x/>
      <x v="6"/>
      <x v="6"/>
      <x v="1008"/>
      <x v="1037"/>
    </i>
    <i r="1">
      <x v="353"/>
      <x v="111"/>
      <x/>
      <x v="6"/>
      <x v="6"/>
      <x v="1009"/>
      <x v="1034"/>
    </i>
    <i>
      <x v="133"/>
      <x v="334"/>
      <x v="199"/>
      <x/>
      <x v="6"/>
      <x v="6"/>
      <x v="1022"/>
      <x v="1043"/>
    </i>
    <i r="6">
      <x v="1023"/>
      <x v="993"/>
    </i>
    <i r="1">
      <x v="335"/>
      <x v="194"/>
      <x/>
      <x v="6"/>
      <x v="6"/>
      <x v="1024"/>
      <x v="1042"/>
    </i>
    <i r="6">
      <x v="1025"/>
      <x v="990"/>
    </i>
    <i r="1">
      <x v="336"/>
      <x v="196"/>
      <x/>
      <x v="6"/>
      <x v="6"/>
      <x v="1027"/>
      <x v="1046"/>
    </i>
    <i r="6">
      <x v="1028"/>
      <x v="991"/>
    </i>
    <i r="1">
      <x v="337"/>
      <x v="195"/>
      <x/>
      <x v="6"/>
      <x v="6"/>
      <x v="1026"/>
      <x v="1044"/>
    </i>
    <i r="1">
      <x v="357"/>
      <x v="39"/>
      <x/>
      <x v="6"/>
      <x v="6"/>
      <x v="1029"/>
      <x v="1045"/>
    </i>
    <i>
      <x v="136"/>
      <x v="354"/>
      <x v="310"/>
      <x/>
      <x v="6"/>
      <x v="6"/>
      <x v="1051"/>
      <x v="1003"/>
    </i>
    <i r="1">
      <x v="355"/>
      <x v="309"/>
      <x/>
      <x v="6"/>
      <x v="6"/>
      <x v="1052"/>
      <x v="1004"/>
    </i>
    <i>
      <x v="139"/>
      <x v="358"/>
      <x v="315"/>
      <x/>
      <x v="6"/>
      <x v="6"/>
      <x v="1063"/>
      <x v="1068"/>
    </i>
    <i r="1">
      <x v="387"/>
      <x v="65"/>
      <x/>
      <x v="6"/>
      <x v="6"/>
      <x v="1062"/>
      <x v="1067"/>
    </i>
    <i>
      <x v="140"/>
      <x v="332"/>
      <x v="197"/>
      <x/>
      <x v="6"/>
      <x v="6"/>
      <x v="1065"/>
      <x v="1072"/>
    </i>
    <i r="6">
      <x v="1066"/>
      <x v="1009"/>
    </i>
    <i r="1">
      <x v="356"/>
      <x v="198"/>
      <x/>
      <x v="6"/>
      <x v="6"/>
      <x v="1067"/>
      <x v="1074"/>
    </i>
    <i r="6">
      <x v="1068"/>
      <x v="1008"/>
    </i>
    <i>
      <x v="145"/>
      <x v="440"/>
      <x v="443"/>
      <x/>
      <x v="6"/>
      <x v="6"/>
      <x v="1097"/>
      <x v="1095"/>
    </i>
    <i r="6">
      <x v="1098"/>
      <x v="1096"/>
    </i>
    <i r="1">
      <x v="441"/>
      <x v="444"/>
      <x/>
      <x v="6"/>
      <x v="6"/>
      <x v="1099"/>
      <x v="1097"/>
    </i>
    <i>
      <x v="146"/>
      <x v="440"/>
      <x v="443"/>
      <x/>
      <x v="6"/>
      <x v="6"/>
      <x v="1101"/>
      <x v="1099"/>
    </i>
    <i r="1">
      <x v="442"/>
      <x v="445"/>
      <x/>
      <x v="6"/>
      <x v="6"/>
      <x v="1100"/>
      <x v="1098"/>
    </i>
    <i r="1">
      <x v="443"/>
      <x v="446"/>
      <x/>
      <x v="6"/>
      <x v="6"/>
      <x v="1102"/>
      <x v="1100"/>
    </i>
    <i r="1">
      <x v="444"/>
      <x v="447"/>
      <x/>
      <x v="6"/>
      <x v="6"/>
      <x v="1103"/>
      <x v="1101"/>
    </i>
    <i>
      <x v="147"/>
      <x v="440"/>
      <x v="443"/>
      <x/>
      <x v="6"/>
      <x v="6"/>
      <x v="1105"/>
      <x v="1103"/>
    </i>
    <i r="1">
      <x v="441"/>
      <x v="444"/>
      <x/>
      <x v="6"/>
      <x v="6"/>
      <x v="1104"/>
      <x v="1102"/>
    </i>
    <i>
      <x v="149"/>
      <x v="443"/>
      <x v="446"/>
      <x/>
      <x v="6"/>
      <x v="6"/>
      <x v="1109"/>
      <x v="1107"/>
    </i>
    <i r="1">
      <x v="444"/>
      <x v="447"/>
      <x/>
      <x v="6"/>
      <x v="6"/>
      <x v="1110"/>
      <x v="1108"/>
    </i>
    <i>
      <x v="150"/>
      <x v="445"/>
      <x v="448"/>
      <x v="1"/>
      <x v="6"/>
      <x v="6"/>
      <x v="1111"/>
      <x v="1109"/>
    </i>
    <i r="1">
      <x v="446"/>
      <x v="449"/>
      <x v="1"/>
      <x v="6"/>
      <x v="6"/>
      <x v="1118"/>
      <x v="1116"/>
    </i>
    <i r="6">
      <x v="1122"/>
      <x v="1117"/>
    </i>
    <i>
      <x v="151"/>
      <x v="445"/>
      <x v="448"/>
      <x v="1"/>
      <x v="6"/>
      <x v="6"/>
      <x v="1112"/>
      <x v="1110"/>
    </i>
    <i r="6">
      <x v="1113"/>
      <x v="1111"/>
    </i>
    <i r="6">
      <x v="1114"/>
      <x v="1112"/>
    </i>
    <i r="6">
      <x v="1115"/>
      <x v="1113"/>
    </i>
    <i r="1">
      <x v="446"/>
      <x v="449"/>
      <x v="1"/>
      <x v="6"/>
      <x v="6"/>
      <x v="1119"/>
      <x v="1117"/>
    </i>
    <i>
      <x v="152"/>
      <x v="445"/>
      <x v="448"/>
      <x v="1"/>
      <x v="6"/>
      <x v="6"/>
      <x v="1116"/>
      <x v="1114"/>
    </i>
    <i r="6">
      <x v="1117"/>
      <x v="1115"/>
    </i>
    <i r="1">
      <x v="446"/>
      <x v="449"/>
      <x v="1"/>
      <x v="6"/>
      <x v="6"/>
      <x v="1120"/>
      <x v="1118"/>
    </i>
    <i r="6">
      <x v="1121"/>
      <x v="1119"/>
    </i>
    <i>
      <x v="153"/>
      <x v="447"/>
      <x v="450"/>
      <x v="1"/>
      <x v="6"/>
      <x v="6"/>
      <x v="1123"/>
      <x v="1120"/>
    </i>
    <i r="1">
      <x v="448"/>
      <x v="451"/>
      <x v="1"/>
      <x v="6"/>
      <x v="6"/>
      <x v="1124"/>
      <x v="1121"/>
    </i>
    <i>
      <x v="154"/>
      <x v="449"/>
      <x v="452"/>
      <x v="1"/>
      <x v="6"/>
      <x v="6"/>
      <x v="1125"/>
      <x v="1123"/>
    </i>
    <i>
      <x v="156"/>
      <x v="452"/>
      <x v="455"/>
      <x v="1"/>
      <x v="6"/>
      <x v="6"/>
      <x v="1128"/>
      <x v="1122"/>
    </i>
    <i>
      <x v="157"/>
      <x v="453"/>
      <x v="456"/>
      <x v="1"/>
      <x v="6"/>
      <x v="6"/>
      <x v="1129"/>
      <x v="1126"/>
    </i>
    <i>
      <x v="158"/>
      <x v="454"/>
      <x v="457"/>
      <x v="1"/>
      <x v="6"/>
      <x v="6"/>
      <x v="1130"/>
      <x v="1127"/>
    </i>
    <i>
      <x v="161"/>
      <x v="450"/>
      <x v="453"/>
      <x v="1"/>
      <x v="6"/>
      <x v="6"/>
      <x v="1126"/>
      <x v="1124"/>
    </i>
    <i r="1">
      <x v="451"/>
      <x v="454"/>
      <x v="1"/>
      <x v="6"/>
      <x v="6"/>
      <x v="1127"/>
      <x v="1125"/>
    </i>
    <i>
      <x v="162"/>
      <x v="455"/>
      <x v="458"/>
      <x v="1"/>
      <x v="6"/>
      <x v="6"/>
      <x v="1132"/>
      <x v="1130"/>
    </i>
    <i r="1">
      <x v="456"/>
      <x v="459"/>
      <x v="1"/>
      <x v="6"/>
      <x v="6"/>
      <x v="1133"/>
      <x v="1129"/>
    </i>
    <i>
      <x v="163"/>
      <x v="455"/>
      <x v="458"/>
      <x v="1"/>
      <x v="6"/>
      <x v="6"/>
      <x v="1131"/>
      <x v="1128"/>
    </i>
    <i>
      <x v="164"/>
      <x v="458"/>
      <x v="461"/>
      <x v="1"/>
      <x v="6"/>
      <x v="6"/>
      <x v="1134"/>
      <x v="1131"/>
    </i>
    <i>
      <x v="165"/>
      <x v="459"/>
      <x v="462"/>
      <x v="1"/>
      <x v="6"/>
      <x v="6"/>
      <x v="1135"/>
      <x v="1132"/>
    </i>
    <i>
      <x v="166"/>
      <x v="460"/>
      <x v="463"/>
      <x v="1"/>
      <x v="6"/>
      <x v="6"/>
      <x v="1136"/>
      <x v="1122"/>
    </i>
    <i r="1">
      <x v="461"/>
      <x v="464"/>
      <x v="1"/>
      <x v="6"/>
      <x v="6"/>
      <x v="1136"/>
      <x v="1122"/>
    </i>
    <i r="1">
      <x v="462"/>
      <x v="465"/>
      <x v="1"/>
      <x v="6"/>
      <x v="6"/>
      <x v="1136"/>
      <x v="1122"/>
    </i>
    <i r="1">
      <x v="463"/>
      <x v="466"/>
      <x v="1"/>
      <x v="6"/>
      <x v="6"/>
      <x v="1136"/>
      <x v="1122"/>
    </i>
    <i r="1">
      <x v="464"/>
      <x v="467"/>
      <x v="1"/>
      <x v="6"/>
      <x v="6"/>
      <x v="1136"/>
      <x v="1122"/>
    </i>
    <i t="grand">
      <x/>
    </i>
  </rowItems>
  <colFields count="1">
    <field x="9"/>
  </colFields>
  <col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25"/>
    </i>
    <i>
      <x v="26"/>
    </i>
    <i>
      <x v="27"/>
    </i>
    <i t="grand">
      <x/>
    </i>
  </colItems>
  <dataFields count="1">
    <dataField name="Sum of Qty" fld="10" baseField="0" baseItem="0"/>
  </dataFields>
  <formats count="20">
    <format dxfId="640">
      <pivotArea field="5" type="button" dataOnly="0" labelOnly="1" outline="0" axis="axisRow" fieldPosition="5"/>
    </format>
    <format dxfId="639">
      <pivotArea field="6" type="button" dataOnly="0" labelOnly="1" outline="0" axis="axisRow" fieldPosition="6"/>
    </format>
    <format dxfId="638">
      <pivotArea field="7" type="button" dataOnly="0" labelOnly="1" outline="0" axis="axisRow" fieldPosition="7"/>
    </format>
    <format dxfId="637">
      <pivotArea dataOnly="0" labelOnly="1" fieldPosition="0">
        <references count="1">
          <reference field="9" count="0"/>
        </references>
      </pivotArea>
    </format>
    <format dxfId="636">
      <pivotArea dataOnly="0" labelOnly="1" grandCol="1" outline="0" fieldPosition="0"/>
    </format>
    <format dxfId="635">
      <pivotArea field="5" type="button" dataOnly="0" labelOnly="1" outline="0" axis="axisRow" fieldPosition="5"/>
    </format>
    <format dxfId="634">
      <pivotArea field="6" type="button" dataOnly="0" labelOnly="1" outline="0" axis="axisRow" fieldPosition="6"/>
    </format>
    <format dxfId="633">
      <pivotArea field="7" type="button" dataOnly="0" labelOnly="1" outline="0" axis="axisRow" fieldPosition="7"/>
    </format>
    <format dxfId="632">
      <pivotArea dataOnly="0" labelOnly="1" fieldPosition="0">
        <references count="1">
          <reference field="9" count="0"/>
        </references>
      </pivotArea>
    </format>
    <format dxfId="631">
      <pivotArea dataOnly="0" labelOnly="1" grandCol="1" outline="0" fieldPosition="0"/>
    </format>
    <format dxfId="630">
      <pivotArea field="5" type="button" dataOnly="0" labelOnly="1" outline="0" axis="axisRow" fieldPosition="5"/>
    </format>
    <format dxfId="629">
      <pivotArea field="6" type="button" dataOnly="0" labelOnly="1" outline="0" axis="axisRow" fieldPosition="6"/>
    </format>
    <format dxfId="628">
      <pivotArea field="7" type="button" dataOnly="0" labelOnly="1" outline="0" axis="axisRow" fieldPosition="7"/>
    </format>
    <format dxfId="627">
      <pivotArea dataOnly="0" labelOnly="1" fieldPosition="0">
        <references count="1">
          <reference field="9" count="0"/>
        </references>
      </pivotArea>
    </format>
    <format dxfId="626">
      <pivotArea dataOnly="0" labelOnly="1" grandCol="1" outline="0" fieldPosition="0"/>
    </format>
    <format dxfId="625">
      <pivotArea field="5" type="button" dataOnly="0" labelOnly="1" outline="0" axis="axisRow" fieldPosition="5"/>
    </format>
    <format dxfId="624">
      <pivotArea field="6" type="button" dataOnly="0" labelOnly="1" outline="0" axis="axisRow" fieldPosition="6"/>
    </format>
    <format dxfId="623">
      <pivotArea field="7" type="button" dataOnly="0" labelOnly="1" outline="0" axis="axisRow" fieldPosition="7"/>
    </format>
    <format dxfId="622">
      <pivotArea dataOnly="0" labelOnly="1" fieldPosition="0">
        <references count="1">
          <reference field="9" count="0"/>
        </references>
      </pivotArea>
    </format>
    <format dxfId="621">
      <pivotArea dataOnly="0" labelOnly="1" grandCol="1" outline="0" fieldPosition="0"/>
    </format>
  </formats>
  <pivotTableStyleInfo name="PivotStyleMedium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C9442F-BFCF-48E5-80AA-52D12FA5F83F}" name="PivotTable1" cacheId="3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20" firstHeaderRow="1" firstDataRow="1" firstDataCol="1" rowPageCount="1" colPageCount="1"/>
  <pivotFields count="11">
    <pivotField showAll="0"/>
    <pivotField showAll="0"/>
    <pivotField showAll="0"/>
    <pivotField showAll="0"/>
    <pivotField showAll="0"/>
    <pivotField axis="axisPage" showAll="0">
      <items count="15">
        <item m="1" x="12"/>
        <item m="1" x="10"/>
        <item x="0"/>
        <item x="1"/>
        <item x="2"/>
        <item x="3"/>
        <item x="4"/>
        <item x="5"/>
        <item x="6"/>
        <item x="7"/>
        <item m="1" x="11"/>
        <item m="1" x="8"/>
        <item m="1" x="13"/>
        <item m="1" x="9"/>
        <item t="default"/>
      </items>
    </pivotField>
    <pivotField showAll="0"/>
    <pivotField showAll="0"/>
    <pivotField numFmtId="168" showAll="0"/>
    <pivotField axis="axisRow" showAll="0">
      <items count="29">
        <item x="5"/>
        <item x="10"/>
        <item x="0"/>
        <item x="12"/>
        <item x="7"/>
        <item x="13"/>
        <item m="1" x="24"/>
        <item m="1" x="19"/>
        <item m="1" x="17"/>
        <item x="6"/>
        <item x="8"/>
        <item x="4"/>
        <item x="14"/>
        <item x="11"/>
        <item m="1" x="22"/>
        <item x="9"/>
        <item m="1" x="18"/>
        <item x="15"/>
        <item x="2"/>
        <item x="1"/>
        <item m="1" x="23"/>
        <item m="1" x="26"/>
        <item m="1" x="21"/>
        <item x="3"/>
        <item m="1" x="20"/>
        <item m="1" x="25"/>
        <item m="1" x="27"/>
        <item x="16"/>
        <item t="default"/>
      </items>
    </pivotField>
    <pivotField dataField="1" showAll="0"/>
  </pivotFields>
  <rowFields count="1">
    <field x="9"/>
  </rowFields>
  <rowItems count="17">
    <i>
      <x/>
    </i>
    <i>
      <x v="1"/>
    </i>
    <i>
      <x v="2"/>
    </i>
    <i>
      <x v="3"/>
    </i>
    <i>
      <x v="4"/>
    </i>
    <i>
      <x v="5"/>
    </i>
    <i>
      <x v="9"/>
    </i>
    <i>
      <x v="10"/>
    </i>
    <i>
      <x v="11"/>
    </i>
    <i>
      <x v="13"/>
    </i>
    <i>
      <x v="15"/>
    </i>
    <i>
      <x v="17"/>
    </i>
    <i>
      <x v="18"/>
    </i>
    <i>
      <x v="19"/>
    </i>
    <i>
      <x v="23"/>
    </i>
    <i>
      <x v="27"/>
    </i>
    <i t="grand">
      <x/>
    </i>
  </rowItems>
  <colItems count="1">
    <i/>
  </colItems>
  <pageFields count="1">
    <pageField fld="5" item="8" hier="-1"/>
  </pageFields>
  <dataFields count="1">
    <dataField name="Sum of Qty" fld="10" baseField="0" baseItem="0" numFmtId="170"/>
  </dataFields>
  <formats count="2">
    <format dxfId="620">
      <pivotArea outline="0" collapsedLevelsAreSubtotals="1" fieldPosition="0"/>
    </format>
    <format dxfId="61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628B89-3DEF-4BA4-B0D0-311972D62268}" name="PivotTable1" cacheId="4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A10:C16" firstHeaderRow="1" firstDataRow="2" firstDataCol="2" rowPageCount="2" colPageCount="1"/>
  <pivotFields count="2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sortType="ascending" defaultSubtotal="0">
      <items count="6">
        <item h="1" x="4"/>
        <item h="1" x="5"/>
        <item h="1" x="0"/>
        <item x="1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5" outline="0" multipleItemSelectionAllowed="1" showAll="0" sortType="ascending" defaultSubtotal="0">
      <items count="45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m="1" x="454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m="1" x="453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m="1" x="452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6">
        <item h="1" m="1" x="5"/>
        <item x="2"/>
        <item x="3"/>
        <item h="1" x="1"/>
        <item x="0"/>
        <item h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8">
        <item x="28"/>
        <item x="31"/>
        <item x="0"/>
        <item x="33"/>
        <item x="1"/>
        <item x="24"/>
        <item x="18"/>
        <item x="7"/>
        <item x="8"/>
        <item x="9"/>
        <item x="10"/>
        <item x="25"/>
        <item m="1" x="37"/>
        <item m="1" x="36"/>
        <item x="23"/>
        <item x="2"/>
        <item x="29"/>
        <item x="3"/>
        <item x="30"/>
        <item x="26"/>
        <item x="32"/>
        <item x="20"/>
        <item x="34"/>
        <item x="17"/>
        <item x="21"/>
        <item x="27"/>
        <item x="11"/>
        <item sd="0" x="35"/>
        <item sd="0" x="4"/>
        <item x="5"/>
        <item x="19"/>
        <item x="12"/>
        <item x="22"/>
        <item x="6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sortType="ascending" defaultSubtotal="0">
      <items count="184">
        <item h="1" x="17"/>
        <item h="1" x="154"/>
        <item h="1" x="156"/>
        <item h="1" x="126"/>
        <item h="1" x="128"/>
        <item h="1" x="159"/>
        <item h="1" x="36"/>
        <item h="1" x="26"/>
        <item h="1" x="32"/>
        <item h="1" x="25"/>
        <item h="1" x="100"/>
        <item h="1" x="108"/>
        <item h="1" x="110"/>
        <item h="1" x="109"/>
        <item h="1" x="107"/>
        <item h="1" x="91"/>
        <item h="1" x="137"/>
        <item h="1" x="145"/>
        <item h="1" x="152"/>
        <item h="1" x="129"/>
        <item h="1" x="132"/>
        <item h="1" x="146"/>
        <item h="1" x="35"/>
        <item h="1" x="38"/>
        <item h="1" x="60"/>
        <item h="1" x="123"/>
        <item h="1" x="118"/>
        <item h="1" x="41"/>
        <item h="1" x="39"/>
        <item h="1" x="46"/>
        <item h="1" x="45"/>
        <item h="1" x="150"/>
        <item h="1" x="33"/>
        <item h="1" x="34"/>
        <item h="1" x="133"/>
        <item h="1" x="131"/>
        <item h="1" x="135"/>
        <item h="1" x="136"/>
        <item h="1" x="82"/>
        <item h="1" x="86"/>
        <item h="1" x="165"/>
        <item h="1" x="115"/>
        <item h="1" x="116"/>
        <item h="1" x="66"/>
        <item h="1" x="64"/>
        <item h="1" x="65"/>
        <item h="1" x="61"/>
        <item h="1" x="62"/>
        <item h="1" x="81"/>
        <item h="1" x="77"/>
        <item h="1" x="139"/>
        <item h="1" x="94"/>
        <item h="1" x="164"/>
        <item h="1" x="63"/>
        <item h="1" x="67"/>
        <item h="1" x="166"/>
        <item h="1" x="49"/>
        <item h="1" x="11"/>
        <item h="1" x="167"/>
        <item h="1" x="72"/>
        <item h="1" x="79"/>
        <item h="1" x="31"/>
        <item h="1" x="57"/>
        <item h="1" x="84"/>
        <item h="1" x="85"/>
        <item h="1" x="76"/>
        <item h="1" x="101"/>
        <item h="1" x="143"/>
        <item h="1" x="78"/>
        <item h="1" x="19"/>
        <item h="1" x="16"/>
        <item h="1" x="15"/>
        <item h="1" x="20"/>
        <item h="1" x="103"/>
        <item h="1" x="105"/>
        <item h="1" x="176"/>
        <item h="1" x="130"/>
        <item h="1" x="127"/>
        <item h="1" x="168"/>
        <item h="1" x="69"/>
        <item h="1" x="2"/>
        <item h="1" x="182"/>
        <item x="177"/>
        <item h="1" x="58"/>
        <item h="1" x="147"/>
        <item h="1" x="141"/>
        <item h="1" x="144"/>
        <item h="1" x="142"/>
        <item h="1" x="155"/>
        <item h="1" x="157"/>
        <item h="1" x="140"/>
        <item h="1" x="138"/>
        <item h="1" x="59"/>
        <item h="1" x="169"/>
        <item h="1" x="160"/>
        <item h="1" x="68"/>
        <item h="1" x="55"/>
        <item h="1" x="112"/>
        <item h="1" x="161"/>
        <item h="1" x="93"/>
        <item h="1" x="153"/>
        <item h="1" x="98"/>
        <item h="1" x="121"/>
        <item h="1" x="102"/>
        <item h="1" x="92"/>
        <item h="1" x="83"/>
        <item h="1" x="97"/>
        <item h="1" x="21"/>
        <item h="1" x="1"/>
        <item h="1" x="7"/>
        <item h="1" x="99"/>
        <item h="1" x="183"/>
        <item h="1" x="56"/>
        <item h="1" x="74"/>
        <item h="1" x="75"/>
        <item h="1" x="95"/>
        <item h="1" x="88"/>
        <item h="1" x="90"/>
        <item h="1" x="162"/>
        <item h="1" x="163"/>
        <item h="1" x="54"/>
        <item h="1" x="6"/>
        <item h="1" x="3"/>
        <item h="1" x="52"/>
        <item h="1" x="5"/>
        <item h="1" x="4"/>
        <item h="1" x="51"/>
        <item h="1" x="53"/>
        <item h="1" x="12"/>
        <item h="1" x="22"/>
        <item h="1" x="114"/>
        <item h="1" x="113"/>
        <item h="1" x="149"/>
        <item h="1" x="148"/>
        <item h="1" x="122"/>
        <item h="1" x="117"/>
        <item h="1" x="106"/>
        <item h="1" x="111"/>
        <item h="1" x="158"/>
        <item h="1" x="151"/>
        <item h="1" x="0"/>
        <item h="1" x="119"/>
        <item h="1" x="71"/>
        <item h="1" x="73"/>
        <item h="1" x="70"/>
        <item h="1" x="29"/>
        <item h="1" x="179"/>
        <item h="1" x="134"/>
        <item h="1" x="9"/>
        <item h="1" x="8"/>
        <item h="1" x="175"/>
        <item h="1" x="172"/>
        <item h="1" x="170"/>
        <item h="1" x="171"/>
        <item h="1" x="96"/>
        <item h="1" x="80"/>
        <item h="1" x="87"/>
        <item h="1" x="89"/>
        <item h="1" x="14"/>
        <item h="1" x="23"/>
        <item h="1" x="120"/>
        <item h="1" x="13"/>
        <item h="1" x="18"/>
        <item h="1" x="178"/>
        <item h="1" x="174"/>
        <item h="1" x="180"/>
        <item h="1" x="30"/>
        <item h="1" x="104"/>
        <item h="1" x="181"/>
        <item h="1" x="50"/>
        <item h="1" x="47"/>
        <item h="1" x="125"/>
        <item h="1" x="124"/>
        <item h="1" x="10"/>
        <item h="1" x="40"/>
        <item h="1" x="27"/>
        <item h="1" x="43"/>
        <item h="1" x="48"/>
        <item h="1" x="42"/>
        <item h="1" x="44"/>
        <item h="1" x="37"/>
        <item h="1" x="173"/>
        <item h="1" x="24"/>
        <item h="1"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51">
        <item m="1" x="236"/>
        <item x="88"/>
        <item x="89"/>
        <item m="1" x="224"/>
        <item m="1" x="243"/>
        <item m="1" x="219"/>
        <item x="43"/>
        <item m="1" x="242"/>
        <item m="1" x="165"/>
        <item x="62"/>
        <item m="1" x="238"/>
        <item x="67"/>
        <item x="68"/>
        <item x="69"/>
        <item x="75"/>
        <item x="76"/>
        <item x="77"/>
        <item m="1" x="210"/>
        <item m="1" x="217"/>
        <item m="1" x="183"/>
        <item x="83"/>
        <item x="84"/>
        <item m="1" x="211"/>
        <item m="1" x="199"/>
        <item x="10"/>
        <item x="11"/>
        <item x="12"/>
        <item x="15"/>
        <item x="17"/>
        <item x="18"/>
        <item x="19"/>
        <item x="20"/>
        <item x="0"/>
        <item x="5"/>
        <item x="6"/>
        <item m="1" x="187"/>
        <item m="1" x="189"/>
        <item x="7"/>
        <item x="95"/>
        <item x="96"/>
        <item x="97"/>
        <item x="21"/>
        <item x="22"/>
        <item m="1" x="200"/>
        <item m="1" x="185"/>
        <item m="1" x="172"/>
        <item m="1" x="173"/>
        <item m="1" x="239"/>
        <item x="27"/>
        <item x="34"/>
        <item x="35"/>
        <item x="39"/>
        <item x="41"/>
        <item x="42"/>
        <item m="1" x="198"/>
        <item x="45"/>
        <item x="46"/>
        <item x="47"/>
        <item x="48"/>
        <item x="56"/>
        <item x="53"/>
        <item x="54"/>
        <item x="64"/>
        <item x="65"/>
        <item x="60"/>
        <item x="70"/>
        <item x="71"/>
        <item x="72"/>
        <item x="78"/>
        <item x="79"/>
        <item x="85"/>
        <item x="126"/>
        <item x="127"/>
        <item x="128"/>
        <item x="131"/>
        <item x="132"/>
        <item x="133"/>
        <item x="134"/>
        <item x="135"/>
        <item x="136"/>
        <item x="137"/>
        <item x="138"/>
        <item x="147"/>
        <item m="1" x="249"/>
        <item x="103"/>
        <item x="102"/>
        <item x="105"/>
        <item x="109"/>
        <item x="110"/>
        <item x="111"/>
        <item x="114"/>
        <item x="115"/>
        <item x="116"/>
        <item x="123"/>
        <item x="124"/>
        <item x="120"/>
        <item x="121"/>
        <item x="149"/>
        <item x="151"/>
        <item x="150"/>
        <item x="152"/>
        <item x="129"/>
        <item m="1" x="206"/>
        <item x="139"/>
        <item x="140"/>
        <item x="141"/>
        <item x="142"/>
        <item x="143"/>
        <item x="144"/>
        <item m="1" x="247"/>
        <item m="1" x="166"/>
        <item m="1" x="168"/>
        <item m="1" x="178"/>
        <item x="145"/>
        <item x="146"/>
        <item m="1" x="221"/>
        <item m="1" x="223"/>
        <item m="1" x="228"/>
        <item x="148"/>
        <item m="1" x="234"/>
        <item x="13"/>
        <item x="14"/>
        <item m="1" x="164"/>
        <item x="16"/>
        <item m="1" x="246"/>
        <item x="1"/>
        <item x="3"/>
        <item x="4"/>
        <item m="1" x="188"/>
        <item x="8"/>
        <item x="9"/>
        <item m="1" x="190"/>
        <item m="1" x="169"/>
        <item m="1" x="218"/>
        <item m="1" x="225"/>
        <item m="1" x="230"/>
        <item x="98"/>
        <item x="99"/>
        <item x="23"/>
        <item x="24"/>
        <item m="1" x="201"/>
        <item m="1" x="186"/>
        <item m="1" x="202"/>
        <item m="1" x="196"/>
        <item x="28"/>
        <item x="29"/>
        <item m="1" x="222"/>
        <item x="30"/>
        <item x="31"/>
        <item x="32"/>
        <item x="33"/>
        <item x="36"/>
        <item x="37"/>
        <item x="38"/>
        <item m="1" x="170"/>
        <item x="40"/>
        <item m="1" x="163"/>
        <item m="1" x="205"/>
        <item x="49"/>
        <item m="1" x="233"/>
        <item m="1" x="220"/>
        <item m="1" x="226"/>
        <item x="50"/>
        <item x="51"/>
        <item m="1" x="175"/>
        <item x="55"/>
        <item x="57"/>
        <item x="58"/>
        <item x="59"/>
        <item m="1" x="176"/>
        <item m="1" x="161"/>
        <item m="1" x="214"/>
        <item x="66"/>
        <item m="1" x="212"/>
        <item m="1" x="208"/>
        <item x="61"/>
        <item x="73"/>
        <item x="74"/>
        <item m="1" x="240"/>
        <item x="80"/>
        <item x="81"/>
        <item x="82"/>
        <item m="1" x="244"/>
        <item m="1" x="235"/>
        <item m="1" x="250"/>
        <item x="86"/>
        <item x="87"/>
        <item m="1" x="195"/>
        <item m="1" x="213"/>
        <item x="130"/>
        <item m="1" x="241"/>
        <item m="1" x="207"/>
        <item m="1" x="248"/>
        <item m="1" x="167"/>
        <item x="104"/>
        <item m="1" x="177"/>
        <item m="1" x="237"/>
        <item x="106"/>
        <item x="107"/>
        <item x="108"/>
        <item m="1" x="194"/>
        <item m="1" x="171"/>
        <item x="112"/>
        <item x="113"/>
        <item m="1" x="181"/>
        <item m="1" x="184"/>
        <item x="117"/>
        <item x="118"/>
        <item x="119"/>
        <item m="1" x="162"/>
        <item x="122"/>
        <item x="125"/>
        <item m="1" x="191"/>
        <item x="25"/>
        <item x="26"/>
        <item m="1" x="203"/>
        <item m="1" x="197"/>
        <item x="2"/>
        <item x="44"/>
        <item x="63"/>
        <item m="1" x="192"/>
        <item x="153"/>
        <item m="1" x="179"/>
        <item m="1" x="231"/>
        <item m="1" x="180"/>
        <item m="1" x="227"/>
        <item m="1" x="245"/>
        <item m="1" x="209"/>
        <item m="1" x="215"/>
        <item m="1" x="204"/>
        <item m="1" x="216"/>
        <item m="1" x="174"/>
        <item m="1" x="232"/>
        <item m="1" x="182"/>
        <item x="52"/>
        <item x="90"/>
        <item x="91"/>
        <item x="92"/>
        <item x="93"/>
        <item x="94"/>
        <item x="100"/>
        <item x="101"/>
        <item x="154"/>
        <item m="1" x="193"/>
        <item m="1" x="229"/>
        <item x="155"/>
        <item x="156"/>
        <item x="157"/>
        <item x="158"/>
        <item x="159"/>
        <item x="16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0"/>
    <field x="24"/>
  </rowFields>
  <rowItems count="5">
    <i>
      <x v="2"/>
      <x v="221"/>
    </i>
    <i>
      <x v="15"/>
      <x v="217"/>
    </i>
    <i>
      <x v="27"/>
    </i>
    <i>
      <x v="28"/>
    </i>
    <i>
      <x v="30"/>
      <x v="217"/>
    </i>
  </rowItems>
  <colFields count="1">
    <field x="15"/>
  </colFields>
  <colItems count="1">
    <i>
      <x v="82"/>
    </i>
  </colItems>
  <pageFields count="2">
    <pageField fld="9" hier="-1"/>
    <pageField fld="2" hier="-1"/>
  </pageFields>
  <dataFields count="1">
    <dataField name="Sum of Qty" fld="13" baseField="0" baseItem="0"/>
  </dataFields>
  <formats count="12">
    <format dxfId="550">
      <pivotArea outline="0" fieldPosition="0">
        <references count="1">
          <reference field="15" count="1" selected="0">
            <x v="40"/>
          </reference>
        </references>
      </pivotArea>
    </format>
    <format dxfId="549">
      <pivotArea dataOnly="0" labelOnly="1" outline="0" fieldPosition="0">
        <references count="1">
          <reference field="15" count="1">
            <x v="40"/>
          </reference>
        </references>
      </pivotArea>
    </format>
    <format dxfId="548">
      <pivotArea outline="0" fieldPosition="0">
        <references count="1">
          <reference field="15" count="1" selected="0">
            <x v="52"/>
          </reference>
        </references>
      </pivotArea>
    </format>
    <format dxfId="547">
      <pivotArea dataOnly="0" labelOnly="1" outline="0" fieldPosition="0">
        <references count="1">
          <reference field="15" count="1">
            <x v="52"/>
          </reference>
        </references>
      </pivotArea>
    </format>
    <format dxfId="546">
      <pivotArea dataOnly="0" labelOnly="1" outline="0" fieldPosition="0">
        <references count="1">
          <reference field="15" count="2">
            <x v="118"/>
            <x v="119"/>
          </reference>
        </references>
      </pivotArea>
    </format>
    <format dxfId="545">
      <pivotArea outline="0" fieldPosition="0">
        <references count="3">
          <reference field="2" count="0" selected="0"/>
          <reference field="10" count="3" selected="0">
            <x v="28"/>
            <x v="29"/>
            <x v="30"/>
          </reference>
          <reference field="15" count="1" selected="0">
            <x v="118"/>
          </reference>
        </references>
      </pivotArea>
    </format>
    <format dxfId="544">
      <pivotArea outline="0" fieldPosition="0">
        <references count="3">
          <reference field="2" count="0" selected="0"/>
          <reference field="10" count="3" selected="0">
            <x v="28"/>
            <x v="29"/>
            <x v="30"/>
          </reference>
          <reference field="15" count="1" selected="0">
            <x v="119"/>
          </reference>
        </references>
      </pivotArea>
    </format>
    <format dxfId="543">
      <pivotArea outline="0" fieldPosition="0">
        <references count="2">
          <reference field="10" count="3" selected="0">
            <x v="27"/>
            <x v="28"/>
            <x v="29"/>
          </reference>
          <reference field="15" count="1" selected="0">
            <x v="150"/>
          </reference>
        </references>
      </pivotArea>
    </format>
    <format dxfId="542">
      <pivotArea dataOnly="0" labelOnly="1" outline="0" fieldPosition="0">
        <references count="1">
          <reference field="15" count="1">
            <x v="150"/>
          </reference>
        </references>
      </pivotArea>
    </format>
    <format dxfId="541">
      <pivotArea field="9" type="button" dataOnly="0" labelOnly="1" outline="0" axis="axisPage" fieldPosition="0"/>
    </format>
    <format dxfId="540">
      <pivotArea type="origin" dataOnly="0" labelOnly="1" outline="0" fieldPosition="0"/>
    </format>
    <format dxfId="539">
      <pivotArea field="6" type="button" dataOnly="0" labelOnly="1" outline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8CBC39-657A-4AFB-B3E6-D81A8F147A9F}" name="PivotTable2" cacheId="21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F10:H12" firstHeaderRow="1" firstDataRow="2" firstDataCol="2" rowPageCount="2" colPageCount="1"/>
  <pivotFields count="33"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0"/>
        <item x="2"/>
        <item x="3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67" outline="0" showAll="0" defaultSubtotal="0"/>
    <pivotField compact="0" outline="0" showAll="0" defaultSubtotal="0"/>
    <pivotField axis="axisPage" compact="0" outline="0" showAll="0" defaultSubtotal="0">
      <items count="3">
        <item m="1" x="2"/>
        <item x="1"/>
        <item x="0"/>
      </items>
    </pivotField>
    <pivotField axis="axisRow" compact="0" outline="0" showAll="0" defaultSubtotal="0">
      <items count="10">
        <item x="3"/>
        <item x="1"/>
        <item x="6"/>
        <item x="0"/>
        <item x="2"/>
        <item m="1" x="8"/>
        <item m="1" x="9"/>
        <item m="1" x="7"/>
        <item x="4"/>
        <item x="5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axis="axisCol" compact="0" outline="0" showAll="0" defaultSubtotal="0">
      <items count="55">
        <item h="1" m="1" x="53"/>
        <item h="1" m="1" x="54"/>
        <item h="1" x="25"/>
        <item h="1" x="51"/>
        <item h="1" x="39"/>
        <item h="1" x="38"/>
        <item h="1" x="21"/>
        <item h="1" x="10"/>
        <item h="1" x="24"/>
        <item h="1" x="48"/>
        <item h="1" x="41"/>
        <item h="1" x="27"/>
        <item h="1" x="32"/>
        <item h="1" x="16"/>
        <item h="1" x="31"/>
        <item h="1" x="28"/>
        <item h="1" x="23"/>
        <item h="1" x="1"/>
        <item h="1" x="34"/>
        <item h="1" x="26"/>
        <item h="1" x="30"/>
        <item h="1" x="29"/>
        <item h="1" x="22"/>
        <item h="1" x="4"/>
        <item h="1" x="47"/>
        <item h="1" x="45"/>
        <item h="1" x="44"/>
        <item h="1" x="43"/>
        <item h="1" x="40"/>
        <item h="1" x="37"/>
        <item h="1" x="2"/>
        <item h="1" x="0"/>
        <item h="1" x="3"/>
        <item h="1" x="5"/>
        <item h="1" x="6"/>
        <item h="1" x="7"/>
        <item h="1" x="8"/>
        <item h="1" x="9"/>
        <item h="1" x="13"/>
        <item h="1" x="14"/>
        <item h="1" x="15"/>
        <item h="1" x="18"/>
        <item h="1" x="19"/>
        <item h="1" x="20"/>
        <item x="49"/>
        <item h="1" x="36"/>
        <item h="1" x="50"/>
        <item h="1" x="33"/>
        <item h="1" x="11"/>
        <item h="1" x="35"/>
        <item h="1" x="42"/>
        <item h="1" x="46"/>
        <item h="1" x="17"/>
        <item h="1" x="12"/>
        <item h="1" x="5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ubtotalTop="0" showAll="0" defaultSubtotal="0">
      <items count="24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21"/>
        <item x="22"/>
        <item x="23"/>
        <item x="1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</pivotFields>
  <rowFields count="2">
    <field x="11"/>
    <field x="25"/>
  </rowFields>
  <rowItems count="1">
    <i>
      <x v="1"/>
      <x v="19"/>
    </i>
  </rowItems>
  <colFields count="1">
    <field x="16"/>
  </colFields>
  <colItems count="1">
    <i>
      <x v="44"/>
    </i>
  </colItems>
  <pageFields count="2">
    <pageField fld="10" hier="-1"/>
    <pageField fld="3" item="1" hier="-1"/>
  </pageFields>
  <dataFields count="1">
    <dataField name="Sum of Qty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BF2A85-0528-45B5-981E-BA54CB73BD55}" name="PivotTable3" cacheId="3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3:H7" firstHeaderRow="1" firstDataRow="4" firstDataCol="1"/>
  <pivotFields count="29">
    <pivotField showAll="0" defaultSubtotal="0"/>
    <pivotField showAll="0" defaultSubtotal="0"/>
    <pivotField axis="axisCol" showAll="0" defaultSubtotal="0">
      <items count="6">
        <item x="4"/>
        <item x="5"/>
        <item x="0"/>
        <item x="1"/>
        <item x="3"/>
        <item x="2"/>
      </items>
    </pivotField>
    <pivotField showAll="0" defaultSubtotal="0"/>
    <pivotField showAll="0" defaultSubtotal="0"/>
    <pivotField showAll="0" defaultSubtotal="0"/>
    <pivotField numFmtId="15" showAll="0" defaultSubtotal="0"/>
    <pivotField numFmtId="167" showAll="0" defaultSubtotal="0"/>
    <pivotField showAll="0" defaultSubtotal="0"/>
    <pivotField axis="axisCol" showAll="0" defaultSubtotal="0">
      <items count="3">
        <item x="1"/>
        <item x="2"/>
        <item x="0"/>
      </items>
    </pivotField>
    <pivotField axis="axisCol" multipleItemSelectionAllowed="1" showAll="0" defaultSubtotal="0">
      <items count="37">
        <item h="1" x="0"/>
        <item h="1" x="4"/>
        <item x="1"/>
        <item x="5"/>
        <item x="2"/>
        <item h="1" x="3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</items>
    </pivotField>
    <pivotField showAll="0" defaultSubtotal="0"/>
    <pivotField showAll="0" defaultSubtotal="0"/>
    <pivotField dataField="1" showAll="0" defaultSubtotal="0"/>
    <pivotField showAll="0" defaultSubtotal="0"/>
    <pivotField axis="axisRow" showAll="0" defaultSubtotal="0">
      <items count="186">
        <item h="1" x="5"/>
        <item h="1" x="173"/>
        <item h="1" x="18"/>
        <item h="1" x="92"/>
        <item h="1" x="94"/>
        <item h="1" x="150"/>
        <item h="1" x="0"/>
        <item h="1" x="37"/>
        <item h="1" x="177"/>
        <item h="1" x="32"/>
        <item h="1" x="178"/>
        <item h="1" x="81"/>
        <item h="1" x="84"/>
        <item h="1" x="82"/>
        <item h="1" x="83"/>
        <item h="1" x="158"/>
        <item h="1" x="148"/>
        <item h="1" x="166"/>
        <item h="1" x="149"/>
        <item h="1" x="95"/>
        <item h="1" x="170"/>
        <item h="1" x="172"/>
        <item h="1" x="1"/>
        <item h="1" x="2"/>
        <item h="1" x="16"/>
        <item h="1" x="184"/>
        <item h="1" x="145"/>
        <item h="1" x="40"/>
        <item h="1" x="8"/>
        <item h="1" x="6"/>
        <item h="1" x="42"/>
        <item h="1" x="109"/>
        <item h="1" x="152"/>
        <item h="1" x="169"/>
        <item h="1" x="96"/>
        <item h="1" x="97"/>
        <item h="1" x="98"/>
        <item h="1" x="99"/>
        <item h="1" x="62"/>
        <item h="1" x="179"/>
        <item h="1" x="117"/>
        <item h="1" x="164"/>
        <item h="1" x="87"/>
        <item h="1" x="49"/>
        <item h="1" x="48"/>
        <item h="1" x="14"/>
        <item h="1" x="12"/>
        <item h="1" x="13"/>
        <item h="1" x="61"/>
        <item h="1" x="58"/>
        <item h="1" x="182"/>
        <item h="1" x="72"/>
        <item h="1" x="116"/>
        <item h="1" x="15"/>
        <item h="1" x="50"/>
        <item h="1" x="121"/>
        <item h="1" x="119"/>
        <item h="1" x="43"/>
        <item h="1" x="70"/>
        <item h="1" x="93"/>
        <item h="1" x="124"/>
        <item h="1" x="140"/>
        <item h="1" x="59"/>
        <item h="1" x="36"/>
        <item h="1" x="46"/>
        <item h="1" x="64"/>
        <item h="1" x="66"/>
        <item h="1" x="57"/>
        <item h="1" x="75"/>
        <item h="1" x="185"/>
        <item h="1" x="60"/>
        <item h="1" x="24"/>
        <item h="1" x="22"/>
        <item h="1" x="27"/>
        <item h="1" x="138"/>
        <item h="1" x="76"/>
        <item h="1" x="79"/>
        <item h="1" x="133"/>
        <item h="1" x="161"/>
        <item h="1" x="146"/>
        <item h="1" x="125"/>
        <item h="1" x="52"/>
        <item h="1" x="78"/>
        <item h="1" x="134"/>
        <item h="1" x="47"/>
        <item h="1" x="162"/>
        <item h="1" x="101"/>
        <item h="1" x="171"/>
        <item h="1" x="102"/>
        <item h="1" x="108"/>
        <item h="1" x="107"/>
        <item h="1" x="100"/>
        <item h="1" x="165"/>
        <item h="1" x="11"/>
        <item h="1" x="126"/>
        <item h="1" x="112"/>
        <item h="1" x="53"/>
        <item h="1" x="139"/>
        <item h="1" x="160"/>
        <item h="1" x="113"/>
        <item h="1" x="71"/>
        <item h="1" x="106"/>
        <item h="1" x="74"/>
        <item h="1" x="180"/>
        <item h="1" x="175"/>
        <item h="1" x="157"/>
        <item h="1" x="63"/>
        <item h="1" x="159"/>
        <item h="1" x="38"/>
        <item h="1" x="23"/>
        <item h="1" x="25"/>
        <item h="1" x="174"/>
        <item h="1" x="155"/>
        <item h="1" x="56"/>
        <item h="1" x="141"/>
        <item h="1" x="73"/>
        <item h="1" x="68"/>
        <item h="1" x="142"/>
        <item h="1" x="114"/>
        <item h="1" x="115"/>
        <item h="1" x="44"/>
        <item h="1" x="26"/>
        <item h="1" x="29"/>
        <item h="1" x="10"/>
        <item h="1" x="168"/>
        <item h="1" x="167"/>
        <item h="1" x="45"/>
        <item h="1" x="183"/>
        <item h="1" x="176"/>
        <item h="1" x="156"/>
        <item h="1" x="143"/>
        <item h="1" x="86"/>
        <item h="1" x="103"/>
        <item h="1" x="104"/>
        <item h="1" x="181"/>
        <item h="1" x="144"/>
        <item h="1" x="110"/>
        <item h="1" x="17"/>
        <item h="1" x="85"/>
        <item h="1" x="111"/>
        <item h="1" x="105"/>
        <item x="19"/>
        <item h="1" x="88"/>
        <item h="1" x="55"/>
        <item h="1" x="80"/>
        <item h="1" x="54"/>
        <item h="1" x="34"/>
        <item h="1" x="147"/>
        <item h="1" x="20"/>
        <item h="1" x="135"/>
        <item h="1" x="132"/>
        <item h="1" x="129"/>
        <item h="1" x="127"/>
        <item h="1" x="128"/>
        <item h="1" x="163"/>
        <item h="1" x="65"/>
        <item h="1" x="67"/>
        <item h="1" x="69"/>
        <item h="1" x="122"/>
        <item h="1" x="123"/>
        <item h="1" x="28"/>
        <item h="1" x="118"/>
        <item h="1" x="120"/>
        <item h="1" x="51"/>
        <item h="1" x="30"/>
        <item h="1" x="89"/>
        <item h="1" x="21"/>
        <item h="1" x="151"/>
        <item h="1" x="131"/>
        <item h="1" x="35"/>
        <item h="1" x="77"/>
        <item h="1" x="9"/>
        <item h="1" x="153"/>
        <item h="1" x="91"/>
        <item h="1" x="90"/>
        <item h="1" x="4"/>
        <item h="1" x="39"/>
        <item h="1" x="33"/>
        <item h="1" x="7"/>
        <item h="1" x="154"/>
        <item h="1" x="41"/>
        <item h="1" x="137"/>
        <item h="1" x="136"/>
        <item h="1" x="130"/>
        <item h="1" x="31"/>
        <item h="1"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15"/>
  </rowFields>
  <rowItems count="1">
    <i>
      <x v="141"/>
    </i>
  </rowItems>
  <colFields count="3">
    <field x="9"/>
    <field x="10"/>
    <field x="2"/>
  </colFields>
  <colItems count="7">
    <i>
      <x/>
      <x v="2"/>
      <x v="2"/>
    </i>
    <i r="1">
      <x v="4"/>
      <x v="2"/>
    </i>
    <i r="2">
      <x v="5"/>
    </i>
    <i>
      <x v="2"/>
      <x v="2"/>
      <x v="2"/>
    </i>
    <i r="2">
      <x v="3"/>
    </i>
    <i r="1">
      <x v="4"/>
      <x v="2"/>
    </i>
    <i r="2">
      <x v="3"/>
    </i>
  </colItems>
  <dataFields count="1">
    <dataField name="Sum of Qty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29496F-087F-4539-974C-1F56C1E5C567}" name="DV_S" displayName="DV_S" ref="A9:Q55" totalsRowShown="0" tableBorderDxfId="682">
  <autoFilter ref="A9:Q55" xr:uid="{CA29496F-087F-4539-974C-1F56C1E5C567}"/>
  <tableColumns count="17">
    <tableColumn id="1" xr3:uid="{7692EAF2-2361-43BC-B7B9-DE9DE84F540F}" name="Row_ID" dataDxfId="681">
      <calculatedColumnFormula>CONCATENATE(IF(ROW(A10)-9&lt;10,"00",IF(ROW(A10)-9&lt;100,"0","")),ROW(A10)-9)</calculatedColumnFormula>
    </tableColumn>
    <tableColumn id="2" xr3:uid="{47A83C9D-A7A5-458C-BDAC-330D64EB23E5}" name="Nota Prefix" dataDxfId="680"/>
    <tableColumn id="3" xr3:uid="{34316158-C8F3-482E-8B17-80B0E80C90F1}" name="Transaction  Type" dataDxfId="679"/>
    <tableColumn id="11" xr3:uid="{C7DDC597-50D0-4E03-9DA6-BBDB4839783F}" name="WH ID" dataDxfId="678"/>
    <tableColumn id="4" xr3:uid="{DC7838CD-37E4-4A45-9385-FA169D0D8650}" name="WH GCI" dataDxfId="677"/>
    <tableColumn id="5" xr3:uid="{CDE416B2-33BD-4F47-84A3-49431329A05B}" name="PIC WH" dataDxfId="676"/>
    <tableColumn id="6" xr3:uid="{A8251308-99FF-4A39-A9BB-A35EA31FEC57}" name="Unit" dataDxfId="675"/>
    <tableColumn id="7" xr3:uid="{3E78847A-E392-4FFE-8D21-5F38CB0AD58B}" name="Material Source / Destination" dataDxfId="674"/>
    <tableColumn id="8" xr3:uid="{30921FEC-B6FD-4919-B1A7-689F3E9040D7}" name="Type Material" dataDxfId="673"/>
    <tableColumn id="9" xr3:uid="{7B70F227-6D46-46E4-B93F-298B44C79E66}" name="Condition" dataDxfId="672"/>
    <tableColumn id="12" xr3:uid="{5EE78786-61C4-4522-A2F8-F8C9E371AAA7}" name="Services Partner" dataDxfId="671"/>
    <tableColumn id="10" xr3:uid="{713AA9BC-CADA-4215-80D6-AE96DA4512EE}" name="Material Supplier" dataDxfId="670"/>
    <tableColumn id="13" xr3:uid="{EDCD7248-CE25-443C-AC09-B44DC34AD41F}" name="Tagging Type" dataDxfId="669"/>
    <tableColumn id="14" xr3:uid="{95DFD884-3058-4A9F-8C8B-D73F32E5E713}" name="Material Leftovers" dataDxfId="668"/>
    <tableColumn id="15" xr3:uid="{6C842D88-75F0-412B-94B6-B7DEBA43D594}" name="Label ID Prefix" dataDxfId="667"/>
    <tableColumn id="16" xr3:uid="{A8DA5328-4A07-4123-8C6E-FA37FF399B93}" name="Cable Roll" dataDxfId="666"/>
    <tableColumn id="18" xr3:uid="{9FB2015A-4462-4942-8C32-BDF99B5CD34A}" name="Material Milestone" dataDxfId="66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15250A-855D-4AFF-AD89-4D3964EF9683}" name="Master_S" displayName="Master_S" ref="A4:O53" totalsRowShown="0" headerRowDxfId="664" headerRowBorderDxfId="663" tableBorderDxfId="662" totalsRowBorderDxfId="661">
  <autoFilter ref="A4:O53" xr:uid="{BD15250A-855D-4AFF-AD89-4D3964EF9683}"/>
  <sortState xmlns:xlrd2="http://schemas.microsoft.com/office/spreadsheetml/2017/richdata2" ref="A5:O53">
    <sortCondition descending="1" ref="C4:C53"/>
  </sortState>
  <tableColumns count="15">
    <tableColumn id="1" xr3:uid="{1FB2FB57-B436-49CE-BFEE-9810934FE45E}" name="Row_ID" dataDxfId="660">
      <calculatedColumnFormula>CONCATENATE(IF(ROW(A5)-4&lt;10,"00",IF(ROW(A5)-4&lt;100,"0","")),ROW(A5)-4)</calculatedColumnFormula>
    </tableColumn>
    <tableColumn id="2" xr3:uid="{7B49BDCF-7904-40DD-8BEB-EE527FCA2BA2}" name="Type Material" dataDxfId="659"/>
    <tableColumn id="3" xr3:uid="{584CAE56-01A7-4492-A74E-56B93D883BF9}" name="Source Material" dataDxfId="658"/>
    <tableColumn id="4" xr3:uid="{B5749A2F-5B1B-41B1-B2A7-AFE9286C366A}" name="Material Code" dataDxfId="657"/>
    <tableColumn id="5" xr3:uid="{041F9207-A7E0-474B-B1DD-072F8BCC0020}" name="Material Name" dataDxfId="656"/>
    <tableColumn id="6" xr3:uid="{F27A2E27-0342-418C-B636-DCA18D07E7D9}" name="Unit" dataDxfId="655"/>
    <tableColumn id="7" xr3:uid="{07E881D7-2F8D-4B5E-80FC-A8BCB56F0705}" name="INBOUND" dataDxfId="654">
      <calculatedColumnFormula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calculatedColumnFormula>
    </tableColumn>
    <tableColumn id="8" xr3:uid="{4A5AAA7E-EDCD-48E2-B290-10A30D575C4E}" name="OUTBOUND" dataDxfId="653">
      <calculatedColumnFormula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calculatedColumnFormula>
    </tableColumn>
    <tableColumn id="15" xr3:uid="{207FC23F-3C0A-4F57-BFE5-0C06C2634C88}" name="Transfer IN" dataDxfId="652">
      <calculatedColumnFormula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calculatedColumnFormula>
    </tableColumn>
    <tableColumn id="14" xr3:uid="{38F690EF-177E-410F-9942-F47FA4353887}" name="Transfer Out" dataDxfId="651">
      <calculatedColumnFormula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calculatedColumnFormula>
    </tableColumn>
    <tableColumn id="9" xr3:uid="{2E6155C8-5242-4A45-A6C4-D674BD390060}" name="Borrow IN" dataDxfId="650">
      <calculatedColumnFormula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calculatedColumnFormula>
    </tableColumn>
    <tableColumn id="10" xr3:uid="{C58AFD79-6E19-4E5F-B937-C43D5AE2341F}" name="Borrow Out" dataDxfId="649">
      <calculatedColumnFormula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calculatedColumnFormula>
    </tableColumn>
    <tableColumn id="12" xr3:uid="{493DB6F3-9EC7-4B84-B5F1-6D65169BAF19}" name="Stock WH" dataDxfId="648">
      <calculatedColumnFormula>(Master_S[[#This Row],[INBOUND]]+Master_S[[#This Row],[Transfer IN]]+Master_S[[#This Row],[Borrow IN]])-(Master_S[[#This Row],[OUTBOUND]]+Master_S[[#This Row],[Transfer Out]]+Master_S[[#This Row],[Borrow Out]])</calculatedColumnFormula>
    </tableColumn>
    <tableColumn id="19" xr3:uid="{3511DA3A-5977-4729-94B0-F0AEA2C03A06}" name="Leftovers Stock" dataDxfId="647">
      <calculatedColumnFormula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calculatedColumnFormula>
    </tableColumn>
    <tableColumn id="13" xr3:uid="{1DE21C0E-030A-4DDA-8FD5-06BC38D21355}" name="ADD REMARK" dataDxfId="6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06B197E-27B3-45D5-8E07-C8D3A4D76369}" name="DO_DB" displayName="DO_DB" ref="A4:K2369" totalsRowShown="0" headerRowDxfId="618" headerRowBorderDxfId="617" tableBorderDxfId="616">
  <autoFilter ref="A4:K2369" xr:uid="{40B1B6E7-D990-487C-A93A-A274C5ABC4B9}"/>
  <tableColumns count="11">
    <tableColumn id="1" xr3:uid="{A8F50B28-042C-449D-B59C-1779044B44E5}" name="SiteID"/>
    <tableColumn id="2" xr3:uid="{D911D589-4AC7-42DB-A02F-B9262BEA16F7}" name="SiteName"/>
    <tableColumn id="3" xr3:uid="{C29A431D-B39A-474D-82A3-D8C36DA1E3AA}" name="Subcon"/>
    <tableColumn id="4" xr3:uid="{3B6F7AC6-1BA4-477B-9A07-C8A4373DC4FE}" name="REGION"/>
    <tableColumn id="5" xr3:uid="{4090BDCD-C553-4456-8BA8-432B6FE6D61D}" name="City"/>
    <tableColumn id="6" xr3:uid="{50C90123-C7F1-4FC3-910C-66F123859C6F}" name="Drop to CITY"/>
    <tableColumn id="7" xr3:uid="{3D35DAC5-5F7F-472C-AEA8-16C283DD0B03}" name="DO Number"/>
    <tableColumn id="8" xr3:uid="{53EA5FC1-E2D6-4B71-A091-CA1592EDEDBE}" name="DN Number"/>
    <tableColumn id="9" xr3:uid="{8D4C2522-4B27-4507-8550-07122F902CCC}" name="Material Pick-update" dataDxfId="615"/>
    <tableColumn id="10" xr3:uid="{7A589D42-FE57-4E87-99DF-42DF2576E307}" name="Material Name"/>
    <tableColumn id="11" xr3:uid="{E3B6F456-7F25-4CF1-AC05-08ECB8E15E0A}" name="Qt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3B6BAFF-BA3C-4FA2-9143-1246FAD3803B}" name="Site_DB" displayName="Site_DB" ref="A4:AI134" totalsRowShown="0" headerRowDxfId="614" dataDxfId="613" tableBorderDxfId="612">
  <autoFilter ref="A4:AI134" xr:uid="{C3B6BAFF-BA3C-4FA2-9143-1246FAD3803B}"/>
  <tableColumns count="35">
    <tableColumn id="1" xr3:uid="{5C2DB5BF-E65A-45E8-928D-7F7E9127AD72}" name="NO" dataDxfId="611">
      <calculatedColumnFormula>ROW()-ROW($A$4)</calculatedColumnFormula>
    </tableColumn>
    <tableColumn id="2" xr3:uid="{DE5D7968-C4CC-4EA1-BC91-6C300DF7E5EB}" name="Region" dataDxfId="610"/>
    <tableColumn id="3" xr3:uid="{E92F6F97-76F0-4917-9F82-FAE471F53667}" name="City" dataDxfId="609"/>
    <tableColumn id="4" xr3:uid="{B6F1DB8E-3555-4344-8838-AFFA55455C31}" name="Site ID" dataDxfId="608"/>
    <tableColumn id="5" xr3:uid="{DFBFF636-082B-4C38-A022-A9D2D85515BD}" name="Sitename" dataDxfId="607"/>
    <tableColumn id="6" xr3:uid="{58FDC714-FFC3-4A01-BE06-315FF8E38EED}" name="Address / Grouping" dataDxfId="606"/>
    <tableColumn id="7" xr3:uid="{203A0920-FFDF-4DE5-9EE9-444A9AB8E809}" name="Assignment Email Date" dataDxfId="605"/>
    <tableColumn id="8" xr3:uid="{9DFF2B40-0398-411E-8716-3CD76E3A9226}" name="Team" dataDxfId="604"/>
    <tableColumn id="17" xr3:uid="{9AEEFA11-5C02-4844-B10D-5B03C345BE5D}" name="Imple" dataDxfId="603">
      <calculatedColumnFormula>_xlfn.XLOOKUP(Site_DB[[#This Row],[Site ID]],Logfile_S[SiteID],Logfile_S[Date],"",0,1)</calculatedColumnFormula>
    </tableColumn>
    <tableColumn id="9" xr3:uid="{13C88E4E-BC82-4FE9-A8ED-6B6DD5159C74}" name="Pole 7M 2.5&quot;" dataDxfId="602">
      <calculatedColumnFormula>_xlfn.IFNA(VLOOKUP(Site_DB[[#This Row],[Site ID]],SUM_DN!B:X,21,0),0)</calculatedColumnFormula>
    </tableColumn>
    <tableColumn id="70" xr3:uid="{DA4C26F6-3C2A-4676-BA49-73A8DD1DD266}" name="Pole 7M 4&quot;" dataDxfId="601"/>
    <tableColumn id="71" xr3:uid="{B4AE195B-6C40-4B48-A771-342219B50F5D}" name="Pole7M3&quot;" dataDxfId="600"/>
    <tableColumn id="72" xr3:uid="{1ACB86EF-399E-4BCF-BC5E-215A5D90646D}" name="Pole9M" dataDxfId="599"/>
    <tableColumn id="73" xr3:uid="{DE21D957-0574-4728-97D3-B340A972F75A}" name="ADSS24C" dataDxfId="598"/>
    <tableColumn id="74" xr3:uid="{0F6C8DCA-E878-45BA-A89C-0CC45352BA53}" name="ADSS48C" dataDxfId="597"/>
    <tableColumn id="75" xr3:uid="{AB020CA0-06E7-491C-8D3F-03AAE7D4D2BB}" name="ADSS96C" dataDxfId="596"/>
    <tableColumn id="76" xr3:uid="{BA4B8ACB-9B09-41A9-B9F3-73FA4EC836FF}" name="ADSS 144" dataDxfId="595"/>
    <tableColumn id="77" xr3:uid="{B6673719-85C1-472E-8C2C-42FCD11FFAE8}" name="FDT-48" dataDxfId="594"/>
    <tableColumn id="78" xr3:uid="{6407C503-53C3-4CD5-AAAD-411965C17BF0}" name="FDT-72" dataDxfId="593"/>
    <tableColumn id="79" xr3:uid="{C878D188-6BFC-4C54-9893-BA559193336B}" name="FAT-16" dataDxfId="592"/>
    <tableColumn id="80" xr3:uid="{9AFDE8C2-1D6C-48F6-809A-4D1BE397BFDA}" name="JC144Core" dataDxfId="591"/>
    <tableColumn id="81" xr3:uid="{CE311991-3640-4E2D-9896-F347CADB94B3}" name="HDPE40/34mm" dataDxfId="590"/>
    <tableColumn id="82" xr3:uid="{3BB3E46C-1602-4E0B-969F-F1D886AE9A89}" name="Xlookup(" dataDxfId="589"/>
    <tableColumn id="16" xr3:uid="{23CD2F24-85A8-4E6A-AE9C-CDCFB3518A2D}" name="Pole 7m 2&quot;" dataDxfId="588">
      <calculatedColumnFormula>SUMIFS(Logfile_S[Qty],Logfile_S[Material Name],Site_DB[[#Headers],[Pole 7M 2.5"]],Logfile_S[SiteID],Site_DB[[#This Row],[Site ID]],Logfile_S[Transaction  Type],"outBOUND")</calculatedColumnFormula>
    </tableColumn>
    <tableColumn id="87" xr3:uid="{335F2C46-3CBD-4A1D-8B45-7A995F07D104}" name="Pole 7M 4&quot;2" dataDxfId="587">
      <calculatedColumnFormula>SUMIFS(Logfile_S[Qty],Logfile_S[Material Name],Site_DB[[#Headers],[Pole 7M 4"]],Logfile_S[SiteID],Site_DB[[#This Row],[Site ID]],Logfile_S[Transaction  Type],"outBOUND")</calculatedColumnFormula>
    </tableColumn>
    <tableColumn id="10" xr3:uid="{A5714F35-9DAE-4267-B87A-E79F380BD528}" name="Pole 7M 3&quot;" dataDxfId="586">
      <calculatedColumnFormula>SUMIFS(Logfile_S[Qty],Logfile_S[Material Name],Site_DB[[#Headers],[Pole 7M 3"]],Logfile_S[SiteID],Site_DB[[#This Row],[Site ID]],Logfile_S[Transaction  Type],"outBOUND")</calculatedColumnFormula>
    </tableColumn>
    <tableColumn id="11" xr3:uid="{EC074DD5-D904-474F-B751-AA26D8721ACA}" name="Pole 9M" dataDxfId="585">
      <calculatedColumnFormula>SUMIFS(Logfile_S[Qty],Logfile_S[Material Name],Site_DB[[#Headers],[Pole 9M]],Logfile_S[SiteID],Site_DB[[#This Row],[Site ID]],Logfile_S[Transaction  Type],"outBOUND")</calculatedColumnFormula>
    </tableColumn>
    <tableColumn id="83" xr3:uid="{D7EAF7A7-2A8D-4AC8-8A3B-C794E6893B82}" name="ADSS 24C" dataDxfId="584"/>
    <tableColumn id="84" xr3:uid="{C34562AC-C88D-41CA-87CA-01A952999F3F}" name="ADSS 48C" dataDxfId="583"/>
    <tableColumn id="85" xr3:uid="{4AF7900E-9699-44F5-AC09-AAF1EACDECF8}" name="ADSS 96C" dataDxfId="582"/>
    <tableColumn id="86" xr3:uid="{9605C0CC-1F2D-448C-916A-0C783C113265}" name="ADSS 144C" dataDxfId="581"/>
    <tableColumn id="12" xr3:uid="{B6ECE973-FE89-4095-B799-1F2D9E4121A2}" name="JC 144 Core" dataDxfId="580"/>
    <tableColumn id="13" xr3:uid="{05BD1D9D-D97D-45C9-8EDA-FEB0E6A5DDF1}" name="FDT-72c" dataDxfId="579"/>
    <tableColumn id="14" xr3:uid="{8DB7FF4A-076F-44DF-B0A5-7FDE16DEB1C0}" name="FDT-48c" dataDxfId="578"/>
    <tableColumn id="15" xr3:uid="{E0D12E10-B4AA-4C72-BB93-998280D63EED}" name="FAT-16c" dataDxfId="57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47C7A2A-102E-4C13-9CFC-901E29D2BBA9}" name="Opname" displayName="Opname" ref="A4:Z40" totalsRowShown="0" headerRowDxfId="576" tableBorderDxfId="575">
  <autoFilter ref="A4:Z40" xr:uid="{447C7A2A-102E-4C13-9CFC-901E29D2BBA9}"/>
  <tableColumns count="26">
    <tableColumn id="1" xr3:uid="{E989B67F-5951-41A8-9505-DE6334667F67}" name="Row_ID" dataDxfId="574">
      <calculatedColumnFormula>CONCATENATE(IF(ROW(A5)-4&lt;10,"00",IF(ROW(A5)-4&lt;100,"0","")),ROW(A5)-4)</calculatedColumnFormula>
    </tableColumn>
    <tableColumn id="2" xr3:uid="{A8240BB3-8D89-4FCA-8C84-7C366BB7AC0E}" name="Site ID"/>
    <tableColumn id="3" xr3:uid="{BD9DE87D-F8FC-4110-8FD7-7D5A1CD74FB8}" name="Site Name" dataDxfId="573">
      <calculatedColumnFormula>IF($B5="","-",_xlfn.XLOOKUP($B5,Site_DB[Site ID],Site_DB[Sitename]))</calculatedColumnFormula>
    </tableColumn>
    <tableColumn id="4" xr3:uid="{0EEF812F-6C65-416D-B4EA-A6734C22C43A}" name="Region" dataDxfId="572">
      <calculatedColumnFormula>IF($B5="","-",_xlfn.XLOOKUP($B5,Site_DB[Site ID],Site_DB[Region]))</calculatedColumnFormula>
    </tableColumn>
    <tableColumn id="5" xr3:uid="{29A5815B-E2F1-4A57-BF3A-7984B178EB51}" name="City" dataDxfId="571">
      <calculatedColumnFormula>IF($B5="","-",_xlfn.XLOOKUP($B5,Site_DB[Site ID],Site_DB[City]))</calculatedColumnFormula>
    </tableColumn>
    <tableColumn id="6" xr3:uid="{CB393DDA-C4A9-4854-BF5D-9CF0C9A62FB8}" name="Imple Start" dataDxfId="570">
      <calculatedColumnFormula>IF($B5="","-",_xlfn.XLOOKUP($B5,Site_DB[Site ID],#REF!))</calculatedColumnFormula>
    </tableColumn>
    <tableColumn id="7" xr3:uid="{A45BB797-B934-468F-94E8-77742BFB8CA8}" name="Imple end" dataDxfId="569">
      <calculatedColumnFormula>IF($B5="","-",_xlfn.XLOOKUP($B5,Site_DB[Site ID],#REF!))</calculatedColumnFormula>
    </tableColumn>
    <tableColumn id="8" xr3:uid="{28E2FA36-7578-402B-9010-53AD55263E8F}" name="IMPLE Milestone" dataDxfId="568">
      <calculatedColumnFormula>IF($B5="","-",_xlfn.XLOOKUP($B5,Site_DB[Site ID],#REF!))</calculatedColumnFormula>
    </tableColumn>
    <tableColumn id="9" xr3:uid="{DCEAB55B-09B2-495B-A3EA-60817BA32B95}" name="Material Code" dataDxfId="567">
      <calculatedColumnFormula>IF($L5="","-",_xlfn.XLOOKUP($L5,Master_S[Material Name],Master_S[Material Code]))</calculatedColumnFormula>
    </tableColumn>
    <tableColumn id="10" xr3:uid="{90F2A3C2-21CE-4221-96F9-22123F4AA642}" name="Unit" dataDxfId="566">
      <calculatedColumnFormula>IF($L5="","-",_xlfn.XLOOKUP($L5,Master_S[Material Name],Master_S[Unit]))</calculatedColumnFormula>
    </tableColumn>
    <tableColumn id="11" xr3:uid="{5F79FF04-E92E-4B67-A211-7DDD0C02BCCD}" name="Source Material" dataDxfId="565"/>
    <tableColumn id="12" xr3:uid="{8C233652-BDA8-443D-8A3B-E9993B33EE75}" name="Material Name" dataDxfId="564"/>
    <tableColumn id="13" xr3:uid="{2752C28D-AB2A-47E8-8455-BB4AC4C9318C}" name="APD (Qty)"/>
    <tableColumn id="14" xr3:uid="{C9413407-915A-4706-9E82-651A5A3BF53B}" name="DO (Qty)" dataDxfId="563">
      <calculatedColumnFormula>IF(Opname[[#This Row],[Material Name]]="","",SUMIFS(Logfile_S[Qty],Logfile_S[SiteID],Opname[[#This Row],[Site ID]],Logfile_S[Material Name],Opname[[#This Row],[Material Name]],Logfile_S[Transaction  Type],"INBOUND"))</calculatedColumnFormula>
    </tableColumn>
    <tableColumn id="15" xr3:uid="{480E6672-8D88-440C-B9AB-458BA68A0992}" name="MOS (Qty)" dataDxfId="562">
      <calculatedColumnFormula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calculatedColumnFormula>
    </tableColumn>
    <tableColumn id="16" xr3:uid="{C8B9AC0E-DCAD-421B-B649-2F60FB5925F8}" name="ABD / Redline (Qty)" dataDxfId="561"/>
    <tableColumn id="17" xr3:uid="{6A6225AD-3D0B-48CB-8EE1-FCC44EEB6D33}" name="BA (Qty)" dataDxfId="560"/>
    <tableColumn id="18" xr3:uid="{A748244E-BEB6-41A0-95C3-2F30AAB1019C}" name="Opname (Qty)" dataDxfId="559"/>
    <tableColumn id="19" xr3:uid="{209557C8-E7DD-45AF-A0DD-285997B94E6F}" name="Return / Transfer (Qty)" dataDxfId="558"/>
    <tableColumn id="24" xr3:uid="{411CF6DB-5B97-413A-8B81-31E7527A0001}" name="Gap MOS" dataDxfId="557">
      <calculatedColumnFormula>Opname[[#This Row],[MOS (Qty)]]-Opname[[#This Row],[APD (Qty)]]</calculatedColumnFormula>
    </tableColumn>
    <tableColumn id="26" xr3:uid="{CA0CE9C7-DB1D-4B1B-A403-6B32909BB620}" name="Gap RL" dataDxfId="556">
      <calculatedColumnFormula>Opname[[#This Row],[ABD / Redline (Qty)]]-Opname[[#This Row],[MOS (Qty)]]</calculatedColumnFormula>
    </tableColumn>
    <tableColumn id="25" xr3:uid="{5741F31F-E950-41A9-BF62-83C0ED88582F}" name="Gap Final (Stock )" dataDxfId="555">
      <calculatedColumnFormula>IF(Opname[[#This Row],[Opname (Qty)]]="","",Opname[[#This Row],[DO (Qty)]]-(Opname[[#This Row],[BA (Qty)]]+Opname[[#This Row],[Opname (Qty)]]))</calculatedColumnFormula>
    </tableColumn>
    <tableColumn id="23" xr3:uid="{7C7F082C-2BEF-4E6F-B152-12A8B36F5754}" name="BA/Justi Date" dataDxfId="554"/>
    <tableColumn id="22" xr3:uid="{E5220B54-9173-4873-86A5-8908AA551B11}" name="MC Status" dataDxfId="553"/>
    <tableColumn id="20" xr3:uid="{C43AC1A3-FF43-426F-B10A-BB473CB64992}" name="Material Milestone"/>
    <tableColumn id="21" xr3:uid="{D82FE391-05E5-440E-A94A-99FC6D720A74}" name="Remark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C2E79BD-04FA-48E9-A53C-5E8549443CD7}" name="Temp_Table" displayName="Temp_Table" ref="G3:AC4" insertRow="1" totalsRowShown="0" headerRowDxfId="552">
  <autoFilter ref="G3:AC4" xr:uid="{CC2E79BD-04FA-48E9-A53C-5E8549443CD7}"/>
  <tableColumns count="23">
    <tableColumn id="23" xr3:uid="{0A61D665-0A0B-4E64-AC87-EB7865919A11}" name="Line_ID"/>
    <tableColumn id="1" xr3:uid="{80FB44A2-3BEB-4EA6-B271-EA9A92AD1793}" name="Transaction Type"/>
    <tableColumn id="2" xr3:uid="{FAFB63A6-4258-499B-BC23-218A76447DA8}" name="Nota No."/>
    <tableColumn id="3" xr3:uid="{49BA8851-1932-4C5D-8DD7-FDCD85CE1F80}" name="WH GCI"/>
    <tableColumn id="4" xr3:uid="{D36FA4D8-1B90-4A10-9B81-25A14D522ADC}" name="PIC Warehouse"/>
    <tableColumn id="5" xr3:uid="{A90EFC9A-2E50-45C8-9A5B-C98BF73F63FA}" name="Date"/>
    <tableColumn id="6" xr3:uid="{0E98F7DE-EC45-4665-9AEF-9DAE1EFA6B10}" name="Time" dataDxfId="551"/>
    <tableColumn id="7" xr3:uid="{72F1D151-1A5B-4B53-876A-C56CF5EFF5C8}" name="Material Source / Destination"/>
    <tableColumn id="8" xr3:uid="{A8BC7F83-0D04-4401-A07C-50714201E521}" name="Type Material"/>
    <tableColumn id="9" xr3:uid="{41D9AC89-68E6-4A6D-BF63-66F66896A79F}" name="Material Name"/>
    <tableColumn id="10" xr3:uid="{10B21514-558B-4C24-9175-10A71276D918}" name="Material Code"/>
    <tableColumn id="11" xr3:uid="{A493E65F-4405-4AD1-883F-6ACD1E7EBF88}" name="Unit"/>
    <tableColumn id="12" xr3:uid="{6D61304D-E274-462B-A3DE-8415ED161737}" name="Qty"/>
    <tableColumn id="13" xr3:uid="{D108D9B7-4103-4088-9FD4-4490978166E8}" name="SiteID"/>
    <tableColumn id="14" xr3:uid="{252EF415-AD3C-442F-848D-0C3BF4B08937}" name="Site Name"/>
    <tableColumn id="15" xr3:uid="{C34514DA-C7C3-41A9-AF8C-A212751409B0}" name="DO number"/>
    <tableColumn id="16" xr3:uid="{45A958AD-9DA5-48BE-809D-2B4B8055D020}" name="DN Number"/>
    <tableColumn id="17" xr3:uid="{9C41E914-695A-4CFC-AA21-524C74A1BE0E}" name="Condition"/>
    <tableColumn id="18" xr3:uid="{5CBB6C33-55FC-4EF6-A112-B6269410E1C1}" name="PIC Delivery"/>
    <tableColumn id="19" xr3:uid="{9A715867-42F6-4335-ABD7-E566BB56855B}" name="Vendor Supplier"/>
    <tableColumn id="20" xr3:uid="{3E75A339-0589-4AC0-A248-B13E320C051D}" name="ID Card"/>
    <tableColumn id="21" xr3:uid="{9004CD06-BAC8-4C77-AE03-1417D6FA6BB9}" name="Car Plate"/>
    <tableColumn id="22" xr3:uid="{5EE3EA44-B698-491A-A39A-14291F5494BD}" name="Remark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1171EC7-B8B8-4517-84C4-8C3EF14F8BFE}" name="Logfile_S" displayName="Logfile_S" ref="A4:AC2651" totalsRowShown="0" headerRowDxfId="538" dataDxfId="536" headerRowBorderDxfId="537" tableBorderDxfId="535" totalsRowBorderDxfId="534" headerRowCellStyle="Neutral">
  <autoFilter ref="A4:AC2651" xr:uid="{01171EC7-B8B8-4517-84C4-8C3EF14F8BFE}"/>
  <tableColumns count="29">
    <tableColumn id="23" xr3:uid="{C05AA45F-E144-4BF2-9DFF-A575A6DCE54A}" name="Row_ID" dataDxfId="533">
      <calculatedColumnFormula>TEXT(ROW(A5)-ROW($A$4),"000")</calculatedColumnFormula>
    </tableColumn>
    <tableColumn id="25" xr3:uid="{36B2CB9C-A66D-49D6-B152-69179F2FCB76}" name="Line_ID" dataDxfId="532" totalsRowDxfId="531"/>
    <tableColumn id="1" xr3:uid="{CE9D3003-985B-4234-9C94-7EBC59360C91}" name="Transaction  Type" dataDxfId="530" totalsRowDxfId="529"/>
    <tableColumn id="2" xr3:uid="{C7C6147C-81D2-44BA-8B9D-87C2EC8691AA}" name="Nota No." dataDxfId="528" totalsRowDxfId="527"/>
    <tableColumn id="3" xr3:uid="{50F2271E-BA05-4B28-9A31-C2A18F58D532}" name="WH GCI" dataDxfId="526" totalsRowDxfId="525"/>
    <tableColumn id="4" xr3:uid="{D6573F34-9456-4D3E-814B-2F00C91A3D98}" name="PIC Warehouse" dataDxfId="524" totalsRowDxfId="523"/>
    <tableColumn id="5" xr3:uid="{1BDAEB8A-B2E5-415A-9D87-9B7367FB37A9}" name="Date" dataDxfId="522" totalsRowDxfId="521"/>
    <tableColumn id="6" xr3:uid="{750B9F6F-5117-4310-8C4C-9769485FC4E8}" name="Time" dataDxfId="520" totalsRowDxfId="519"/>
    <tableColumn id="7" xr3:uid="{024A2A0D-F930-4EAC-9333-08DD9BDB9360}" name="Material Source / Destination" dataDxfId="518" totalsRowDxfId="517"/>
    <tableColumn id="8" xr3:uid="{83F2AC8A-F53A-465C-A23A-C5329D382CBD}" name="Type Material" dataDxfId="516" totalsRowDxfId="515"/>
    <tableColumn id="9" xr3:uid="{AA339D05-C465-42F7-A810-CB898D6CBA8F}" name="Material Name" dataDxfId="514" totalsRowDxfId="513"/>
    <tableColumn id="10" xr3:uid="{E1593B77-4365-4A2F-9C0B-B798C9CCA395}" name="Material Code" dataDxfId="512" totalsRowDxfId="511">
      <calculatedColumnFormula>VLOOKUP(Logfile_S[[#This Row],[Material Name]],Sheet2!B:C,2,0)</calculatedColumnFormula>
    </tableColumn>
    <tableColumn id="26" xr3:uid="{0EDABE57-7338-4A1A-8CCD-2936A24215C7}" name="Unit" dataDxfId="510" totalsRowDxfId="509"/>
    <tableColumn id="11" xr3:uid="{6785FF45-1DDE-4CAF-8E53-E88DB8E61537}" name="Qty" dataDxfId="508" totalsRowDxfId="507"/>
    <tableColumn id="13" xr3:uid="{20F4B642-F77A-488C-94D6-C4DE6F1DF440}" name="SiteID" dataDxfId="506" totalsRowDxfId="505"/>
    <tableColumn id="14" xr3:uid="{80D50ECC-BD4B-4237-8A19-7DC80A442447}" name="Site Name" dataDxfId="504" totalsRowDxfId="503"/>
    <tableColumn id="15" xr3:uid="{452A8F3F-044B-43E3-95E9-24575BAD0CF3}" name="DO number" dataDxfId="502" totalsRowDxfId="501"/>
    <tableColumn id="16" xr3:uid="{01557555-E188-44FF-8327-FBECD60CB290}" name="DN Number" dataDxfId="500" totalsRowDxfId="499"/>
    <tableColumn id="17" xr3:uid="{7EF41B40-8290-4D21-B27D-6EEEE436CA93}" name="Condition" dataDxfId="498" totalsRowDxfId="497"/>
    <tableColumn id="18" xr3:uid="{4FA4686D-54DC-4B10-A631-64FDF85D8D53}" name="PIC Delivery" dataDxfId="496" totalsRowDxfId="495"/>
    <tableColumn id="19" xr3:uid="{8C526002-D87B-4B5D-BA45-ACA3DFA5376C}" name="Vendor Supplier" dataDxfId="494" totalsRowDxfId="493"/>
    <tableColumn id="20" xr3:uid="{8AE78706-A765-4E07-9582-A12D1F87EE47}" name="ID Card" dataDxfId="492" totalsRowDxfId="491"/>
    <tableColumn id="21" xr3:uid="{20CA778B-2B7A-4A0F-B0E3-A9E7F15BDD82}" name="Car Plate" dataDxfId="490" totalsRowDxfId="489"/>
    <tableColumn id="22" xr3:uid="{14E1F6DE-81E2-4C30-80F5-3CF299C79F50}" name="Remarks" dataDxfId="488" totalsRowDxfId="487"/>
    <tableColumn id="12" xr3:uid="{5CF96B82-DB63-421D-B650-FF5AC8CA75EF}" name="Haspel/Drum" dataDxfId="486" totalsRowDxfId="485">
      <calculatedColumnFormula>"H-"&amp;Logfile_S[[#This Row],[Material Name]]&amp;"-"&amp;YEAR(Logfile_S[[#This Row],[Date]])&amp;MONTH(Logfile_S[[#This Row],[Date]])&amp;DAY(Logfile_S[[#This Row],[Date]])&amp;"-01"</calculatedColumnFormula>
    </tableColumn>
    <tableColumn id="27" xr3:uid="{2C1911BC-911A-4C33-AB9D-128C3F89FE8F}" name="0" dataDxfId="484" totalsRowDxfId="483">
      <calculatedColumnFormula>P5</calculatedColumnFormula>
    </tableColumn>
    <tableColumn id="28" xr3:uid="{218E9530-05DF-426F-B89A-5D306E057250}" name="date pick" dataDxfId="482" totalsRowDxfId="481">
      <calculatedColumnFormula>VLOOKUP(Logfile_S[[#This Row],[DO number]],DO_DB!G:I,3,0)</calculatedColumnFormula>
    </tableColumn>
    <tableColumn id="29" xr3:uid="{24C6A68D-2951-4A3B-99D7-17A821EA37F2}" name="cek" dataDxfId="480" totalsRowDxfId="479">
      <calculatedColumnFormula>EXACT(Logfile_S[[#This Row],[date pick]],Logfile_S[[#This Row],[Date]])</calculatedColumnFormula>
    </tableColumn>
    <tableColumn id="24" xr3:uid="{35857BE2-01A5-4903-BFA2-E2D3043F9ABB}" name="CEK2" dataDxfId="478" totalsRowDxfId="477">
      <calculatedColumnFormula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E3049BA-07AB-4544-8F2A-A4F5C90A250B}" name="Table411" displayName="Table411" ref="A2:Z140" totalsRowShown="0" headerRowDxfId="476" dataDxfId="474" headerRowBorderDxfId="475" tableBorderDxfId="473" totalsRowBorderDxfId="472">
  <autoFilter ref="A2:Z140" xr:uid="{F1DE02DF-AE83-4A86-85FD-7DB3E6D7AE09}">
    <filterColumn colId="2">
      <filters>
        <dateGroupItem year="2024" month="1" dateTimeGrouping="month"/>
        <dateGroupItem year="2024" month="2" dateTimeGrouping="month"/>
        <dateGroupItem year="2023" dateTimeGrouping="year"/>
      </filters>
    </filterColumn>
  </autoFilter>
  <sortState xmlns:xlrd2="http://schemas.microsoft.com/office/spreadsheetml/2017/richdata2" ref="A3:Z139">
    <sortCondition ref="C2:C139"/>
  </sortState>
  <tableColumns count="26">
    <tableColumn id="1" xr3:uid="{A3E60046-8EF0-4244-B9DB-F4DFEE7407E9}" name="HASBEL_ID" dataDxfId="471">
      <calculatedColumnFormula>"H-"&amp;B3&amp;"-"&amp;YEAR(C3)&amp;MONTH(Table411[[#This Row],[Date Inbound]])&amp;DAY(Table411[[#This Row],[Date Inbound]])&amp;"-0"&amp;D3</calculatedColumnFormula>
    </tableColumn>
    <tableColumn id="2" xr3:uid="{21C09F78-9104-4969-BA4B-E9909D815539}" name="Core" dataDxfId="470"/>
    <tableColumn id="3" xr3:uid="{8848FAEA-3C84-4483-800F-E0EF8D50157E}" name="Date Inbound" dataDxfId="469"/>
    <tableColumn id="4" xr3:uid="{BDC2A096-7C67-4959-83F1-CAE6CAD36F2D}" name="Series" dataDxfId="468" dataCellStyle="Comma"/>
    <tableColumn id="5" xr3:uid="{BFC7AD81-B6B3-487A-9FC9-47FBD271AB49}" name="Qty Inbound" dataDxfId="467"/>
    <tableColumn id="26" xr3:uid="{16196678-DA4F-4399-84B0-E386FF808AAA}" name="cekk" dataDxfId="466">
      <calculatedColumnFormula>_xlfn.XLOOKUP(Table411[[#This Row],[HASBEL_ID]],Logfile!Y:Y,Logfile!X:X,"",0,-1)</calculatedColumnFormula>
    </tableColumn>
    <tableColumn id="6" xr3:uid="{3FFA05A1-2C68-48D4-A575-83C74199B571}" name="date1" dataDxfId="465"/>
    <tableColumn id="7" xr3:uid="{BF385B0D-39D4-49DF-B466-B9F9FFCECE8E}" name="qty outbond" dataDxfId="464"/>
    <tableColumn id="8" xr3:uid="{F8F921E5-7E9E-4FBB-AAB7-AA56869EB7B8}" name="Remark1" dataDxfId="463"/>
    <tableColumn id="9" xr3:uid="{E74C8D2D-8897-486C-8CF9-789DA11AB118}" name="leftover" dataDxfId="462">
      <calculatedColumnFormula>E3-H3</calculatedColumnFormula>
    </tableColumn>
    <tableColumn id="10" xr3:uid="{FF1D7CB8-29AB-4AB5-8233-776CBED99351}" name="date out 2" dataDxfId="461"/>
    <tableColumn id="11" xr3:uid="{87E0AE5F-BF7B-43F5-A9F9-75FB5C391706}" name="qty " dataDxfId="460"/>
    <tableColumn id="12" xr3:uid="{1C3DFE04-410F-45F2-90B0-A41406D5F512}" name="Remark2" dataDxfId="459"/>
    <tableColumn id="13" xr3:uid="{4C0356E9-C4A7-447A-9B0C-FBD59DF85F4F}" name="leftover2" dataDxfId="458">
      <calculatedColumnFormula>J3-L3</calculatedColumnFormula>
    </tableColumn>
    <tableColumn id="14" xr3:uid="{E2D59027-010D-423D-8F35-52C641A5DA29}" name="date out3" dataDxfId="457"/>
    <tableColumn id="15" xr3:uid="{479504AB-476E-4F87-9A0C-8E6B01F29FB9}" name="qty 3" dataDxfId="456"/>
    <tableColumn id="16" xr3:uid="{252F0243-45C2-4D5D-A6DA-C83AA0468ABE}" name="Remark3" dataDxfId="455"/>
    <tableColumn id="17" xr3:uid="{3847BCB8-C5DB-4A84-A14E-748DE4BCFD55}" name="leftover3" dataDxfId="454">
      <calculatedColumnFormula>N3-P3</calculatedColumnFormula>
    </tableColumn>
    <tableColumn id="24" xr3:uid="{C29A39F3-6EA4-4E8D-A969-2D7099C17595}" name="date out4" dataDxfId="453"/>
    <tableColumn id="21" xr3:uid="{68ED37E6-60A7-4807-829D-087A01F5DFD6}" name="qty 4" dataDxfId="452"/>
    <tableColumn id="22" xr3:uid="{B7AFED67-307A-40B2-9546-AB57AAC01B0D}" name="Remark4" dataDxfId="451"/>
    <tableColumn id="23" xr3:uid="{599B43DF-E7A1-4E91-9D85-16DECE3D4B68}" name="leftover4" dataDxfId="450">
      <calculatedColumnFormula>R3-T3</calculatedColumnFormula>
    </tableColumn>
    <tableColumn id="18" xr3:uid="{377F7248-2149-4374-A900-C36863C3C300}" name="Code1" dataDxfId="449">
      <calculatedColumnFormula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calculatedColumnFormula>
    </tableColumn>
    <tableColumn id="19" xr3:uid="{7CFEB46D-6BAD-401E-809B-656F1BA16817}" name="Code2" dataDxfId="448">
      <calculatedColumnFormula>Table411[[#This Row],[date out4]]&amp;"_"&amp;Table411[[#This Row],[Core]]&amp;"_"&amp;Table411[[#This Row],[leftover4]]</calculatedColumnFormula>
    </tableColumn>
    <tableColumn id="20" xr3:uid="{D7F80432-20F4-48EE-B42B-F07B8D86969B}" name="iv" dataDxfId="447">
      <calculatedColumnFormula>IF(Table411[[#This Row],[Date Inbound]]&gt;Table411[[#This Row],[date1]],"INV","")</calculatedColumnFormula>
    </tableColumn>
    <tableColumn id="25" xr3:uid="{55C75381-C4DD-4DE7-8CAB-960B92849F1C}" name="XCEK" dataDxfId="446">
      <calculatedColumnFormula>_xlfn.IFNA(VLOOKUP(Table411[[#This Row],[HASBEL_ID]],Logfile!Y:Y,1,0),VLOOKUP(Table411[[#This Row],[HASBEL_ID]],LO_Logfile!Z:Z,1,0))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253286-980C-4101-B1D4-E7A4EFED773D}" name="LO_Logfile" displayName="LO_Logfile" ref="A4:AG145" totalsRowShown="0" headerRowDxfId="445" dataDxfId="443" headerRowBorderDxfId="444" tableBorderDxfId="442" totalsRowBorderDxfId="441" headerRowCellStyle="Neutral">
  <autoFilter ref="A4:AG145" xr:uid="{8B253286-980C-4101-B1D4-E7A4EFED773D}"/>
  <tableColumns count="33">
    <tableColumn id="30" xr3:uid="{E5B73C54-29DA-4991-AD8B-305EF2EFCDEC}" name="Row_ID" dataDxfId="440">
      <calculatedColumnFormula>TEXT(ROW(A5)-ROW($A$4),"000")</calculatedColumnFormula>
    </tableColumn>
    <tableColumn id="1" xr3:uid="{36B68D01-9C70-4610-8CD3-96E9CE791317}" name="Tag_ID" dataDxfId="439">
      <calculatedColumnFormula array="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calculatedColumnFormula>
    </tableColumn>
    <tableColumn id="2" xr3:uid="{5628E428-9F93-4B33-A7B0-2DB4F520A2FC}" name="Line_ID" dataDxfId="438"/>
    <tableColumn id="3" xr3:uid="{2EEE631B-7379-4495-A149-AFB893B5A720}" name="Transaction  Type" dataDxfId="437"/>
    <tableColumn id="4" xr3:uid="{FC448023-6CB5-450D-8A26-CE7739DFFF43}" name="Nota No." dataDxfId="436"/>
    <tableColumn id="5" xr3:uid="{ED2289F2-61C6-412E-84D4-64ED8752270A}" name="WH GCI" dataDxfId="435"/>
    <tableColumn id="6" xr3:uid="{953BD698-DEB6-442A-B47B-5A9EF6EFDAAD}" name="PIC Warehouse" dataDxfId="434"/>
    <tableColumn id="7" xr3:uid="{67AA84D9-622A-442A-AA19-7045D7F8B519}" name="Date" dataDxfId="433"/>
    <tableColumn id="8" xr3:uid="{C58899C5-B909-43CD-A3AD-149243051A84}" name="Time" dataDxfId="432"/>
    <tableColumn id="9" xr3:uid="{2D929F9A-01BF-4E61-AC28-D75A02427897}" name="Material Source / Destination" dataDxfId="431"/>
    <tableColumn id="10" xr3:uid="{683FE849-AE5B-4CE0-8598-96040A0E63E9}" name="Type Material" dataDxfId="430"/>
    <tableColumn id="11" xr3:uid="{E036D896-4C13-4D7B-BCF7-0BCAE664519B}" name="Material Name" dataDxfId="429"/>
    <tableColumn id="12" xr3:uid="{71C76099-28E7-469B-ABA0-EB479BACA162}" name="Material Code" dataDxfId="428">
      <calculatedColumnFormula>VLOOKUP(LO_Logfile[[#This Row],[Material Name]],Sheet2!B:D,2,0)</calculatedColumnFormula>
    </tableColumn>
    <tableColumn id="13" xr3:uid="{5C4B0FAC-48E6-4DB0-8CEE-9E12005AF208}" name="Unit" dataDxfId="427"/>
    <tableColumn id="14" xr3:uid="{444B7789-2B2D-478A-875B-F184116B8CA9}" name="Qty" dataDxfId="426"/>
    <tableColumn id="15" xr3:uid="{0BF42ABF-3D01-459B-BE28-F4E6A5D82FCD}" name="SiteID" dataDxfId="425"/>
    <tableColumn id="16" xr3:uid="{92914DC7-6D3A-49D0-920E-8F79B2E1E4ED}" name="Site Name" dataDxfId="424"/>
    <tableColumn id="17" xr3:uid="{561D5649-D914-4D62-BED9-798BDCCDDC7A}" name="DO number" dataDxfId="423"/>
    <tableColumn id="18" xr3:uid="{65C34DD9-4547-4E00-8237-4A21C0A3249C}" name="DN Number" dataDxfId="422"/>
    <tableColumn id="19" xr3:uid="{3FED7F9B-0419-44B3-A3E7-5794E2B1F85B}" name="Condition" dataDxfId="421"/>
    <tableColumn id="20" xr3:uid="{36F74828-E9FF-42F8-9670-19EADE31E8F0}" name="PIC Delivery" dataDxfId="420"/>
    <tableColumn id="21" xr3:uid="{0104B3EF-1DB6-4342-A7C5-63CC9C18202B}" name="Vendor Supplier" dataDxfId="419"/>
    <tableColumn id="22" xr3:uid="{2B581004-5D38-4FCC-AD44-D806977F7D1A}" name="ID Card" dataDxfId="418"/>
    <tableColumn id="23" xr3:uid="{E7055876-34B9-4BC5-8ED1-24B75E97D2E4}" name="Car Plate" dataDxfId="417"/>
    <tableColumn id="24" xr3:uid="{C0D10994-1662-4853-9904-407C7BF43502}" name="Remarks" dataDxfId="416"/>
    <tableColumn id="29" xr3:uid="{54702349-D7A6-4538-BDF8-A5BC6925C03E}" name="Haspel/Drum" dataDxfId="415"/>
    <tableColumn id="28" xr3:uid="{4892E7D7-3A87-4FFC-B217-16EAEE3CF945}" name="Cable Length Marker" dataDxfId="414"/>
    <tableColumn id="25" xr3:uid="{EB9A510C-9A0F-4510-9E82-97EBA4FA2B6B}" name="In-Out Qty" dataDxfId="413">
      <calculatedColumnFormula>IF(LO_Logfile[[#This Row],[Transaction  Type]]="","",IF(OR(LO_Logfile[[#This Row],[Transaction  Type]]="Inbound",LO_Logfile[[#This Row],[Transaction  Type]]="Borrow IN",LO_Logfile[[#This Row],[Transaction  Type]]="Transfer IN"),1,-1))</calculatedColumnFormula>
    </tableColumn>
    <tableColumn id="26" xr3:uid="{6D93CB93-78F6-42C9-A6E8-5FDC25E19D2B}" name="LO Criteria" dataDxfId="412">
      <calculatedColumnFormula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calculatedColumnFormula>
    </tableColumn>
    <tableColumn id="27" xr3:uid="{7AA0EFCD-E283-4BB5-A43C-F823FF49CD81}" name="looK" dataDxfId="411">
      <calculatedColumnFormula>LO_Logfile[[#This Row],[Material Name]]&amp;"_"&amp;LO_Logfile[[#This Row],[Qty]]</calculatedColumnFormula>
    </tableColumn>
    <tableColumn id="31" xr3:uid="{ED6E6575-44B3-4B87-8494-840C9657E161}" name="Column1" dataDxfId="410">
      <calculatedColumnFormula>VLOOKUP(LO_Logfile[[#This Row],[looK]],MANUAL!F:F,1,0)</calculatedColumnFormula>
    </tableColumn>
    <tableColumn id="32" xr3:uid="{441AB72F-1942-46B8-A683-B1876C31CFB7}" name="INOUT" dataDxfId="409">
      <calculatedColumnFormula>LO_Logfile[[#This Row],[Material Name]]&amp;LO_Logfile[[#This Row],[Qty]]&amp;"_"&amp;LO_Logfile[[#This Row],[In-Out Qty]]</calculatedColumnFormula>
    </tableColumn>
    <tableColumn id="33" xr3:uid="{D219A633-CD3A-4D0C-99A2-BEA47B8D2B00}" name="Column2" dataDxfId="408">
      <calculatedColumnFormula>VLOOKUP(LO_Logfile[[#This Row],[Material Name]]&amp;LO_Logfile[[#This Row],[Qty]]&amp;"_"&amp;-2+LO_Logfile[[#This Row],[In-Out Qty]],AF:AF,1,0)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9EF3E23-8D36-41B7-B252-70DF932BAAF0}" name="Table4" displayName="Table4" ref="A2:X81" totalsRowShown="0" headerRowDxfId="407" dataDxfId="405" headerRowBorderDxfId="406" tableBorderDxfId="404" totalsRowBorderDxfId="403">
  <autoFilter ref="A2:X81" xr:uid="{F1DE02DF-AE83-4A86-85FD-7DB3E6D7AE09}"/>
  <sortState xmlns:xlrd2="http://schemas.microsoft.com/office/spreadsheetml/2017/richdata2" ref="A3:X81">
    <sortCondition ref="C2:C81"/>
  </sortState>
  <tableColumns count="24">
    <tableColumn id="1" xr3:uid="{51C4DBB4-1EC8-4C71-BE0E-06C43F411C9C}" name="HASBEL_ID" dataDxfId="402">
      <calculatedColumnFormula>"C_"&amp;B3&amp;"_MLG_"&amp;C3&amp;"_"&amp;D3</calculatedColumnFormula>
    </tableColumn>
    <tableColumn id="2" xr3:uid="{40F07219-D702-4A47-8E2E-84883115D47F}" name="Core" dataDxfId="401"/>
    <tableColumn id="3" xr3:uid="{A624AFB4-D532-4635-A958-9CBB7E833F7C}" name="Date Inbound" dataDxfId="400"/>
    <tableColumn id="4" xr3:uid="{4584F2F2-0057-4556-AAD1-36626096FBF9}" name="Series" dataDxfId="399" dataCellStyle="Comma"/>
    <tableColumn id="5" xr3:uid="{E233EDEA-1289-4EF7-8E40-C77EAE884411}" name="Qty Inbound" dataDxfId="398"/>
    <tableColumn id="6" xr3:uid="{DD8D0252-766B-48E7-88F7-0F98EE5BB6A2}" name="date1" dataDxfId="397"/>
    <tableColumn id="7" xr3:uid="{78311303-559F-4F46-BC2D-F52D0A473472}" name="qty outbond" dataDxfId="396"/>
    <tableColumn id="8" xr3:uid="{A68226CE-09F4-4A64-B94A-C51801857BF8}" name="Remark1" dataDxfId="395"/>
    <tableColumn id="9" xr3:uid="{7D5BF4C0-E646-4F87-9DE0-7C57118C171E}" name="leftover" dataDxfId="394">
      <calculatedColumnFormula>E3-G3</calculatedColumnFormula>
    </tableColumn>
    <tableColumn id="10" xr3:uid="{F426038B-F479-4E9C-9D97-A6621530D3A7}" name="date out 2" dataDxfId="393"/>
    <tableColumn id="11" xr3:uid="{15305024-7766-45E1-A883-A953544B5176}" name="qty " dataDxfId="392"/>
    <tableColumn id="12" xr3:uid="{89AE8E2F-54AE-440C-A7FC-0D02C421F952}" name="Remark2" dataDxfId="391"/>
    <tableColumn id="13" xr3:uid="{E5E205A6-8D28-4BAC-AF6D-48AE17202A00}" name="leftover2" dataDxfId="390">
      <calculatedColumnFormula>I3-K3</calculatedColumnFormula>
    </tableColumn>
    <tableColumn id="14" xr3:uid="{B13F27E8-32E7-4DA4-AD6C-2AAA8D24EE7E}" name="date out3" dataDxfId="389"/>
    <tableColumn id="15" xr3:uid="{92C840E9-1625-4B74-823D-57DB73683D74}" name="qty 3" dataDxfId="388"/>
    <tableColumn id="16" xr3:uid="{51A2EBFC-532C-4774-9087-03DFA68EFA73}" name="Remark3" dataDxfId="387"/>
    <tableColumn id="17" xr3:uid="{D5A8DCEA-74A7-43FD-BC1A-28FC8A7FC86F}" name="leftover3" dataDxfId="386">
      <calculatedColumnFormula>M3-O3</calculatedColumnFormula>
    </tableColumn>
    <tableColumn id="24" xr3:uid="{A46A6539-8FFF-42BD-8968-16EF8F5740D1}" name="date out4" dataDxfId="385"/>
    <tableColumn id="21" xr3:uid="{704F456A-F9EC-4B4C-A24C-E85A7CB3CB34}" name="qty 4" dataDxfId="384"/>
    <tableColumn id="22" xr3:uid="{E761D813-B99D-4BBA-88C7-B6725FA834EC}" name="Remark4" dataDxfId="383"/>
    <tableColumn id="23" xr3:uid="{98174F26-03DB-4BB9-870B-CB947828439E}" name="leftover4" dataDxfId="382">
      <calculatedColumnFormula>Q3-S3</calculatedColumnFormula>
    </tableColumn>
    <tableColumn id="18" xr3:uid="{CF91560D-D956-4D8B-9FAD-EE67F54E2F42}" name="Code1" dataDxfId="381">
      <calculatedColumnFormula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calculatedColumnFormula>
    </tableColumn>
    <tableColumn id="19" xr3:uid="{6EB2C204-A8DD-4020-9F06-ECC08FC91934}" name="Code2" dataDxfId="380">
      <calculatedColumnFormula>Table4[[#This Row],[date out4]]&amp;"_"&amp;Table4[[#This Row],[Core]]&amp;"_"&amp;Table4[[#This Row],[leftover4]]</calculatedColumnFormula>
    </tableColumn>
    <tableColumn id="20" xr3:uid="{BE5E8438-DA03-4D56-905B-AA188DB91F58}" name="iv" dataDxfId="379">
      <calculatedColumnFormula>IF(Table4[[#This Row],[Date Inbound]]&gt;Table4[[#This Row],[date1]],"INV","")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B2227DC-192F-4363-B69B-57A4F9FAD50D}" name="Logfile_S12" displayName="Logfile_S12" ref="A4:AC2711" totalsRowShown="0" headerRowDxfId="378" dataDxfId="376" headerRowBorderDxfId="377" tableBorderDxfId="375" totalsRowBorderDxfId="374" headerRowCellStyle="Neutral">
  <autoFilter ref="A4:AC2711" xr:uid="{01171EC7-B8B8-4517-84C4-8C3EF14F8BFE}">
    <filterColumn colId="6">
      <filters>
        <dateGroupItem year="2023" dateTimeGrouping="year"/>
      </filters>
    </filterColumn>
    <filterColumn colId="10">
      <filters>
        <filter val="ADSS 48C"/>
      </filters>
    </filterColumn>
  </autoFilter>
  <sortState xmlns:xlrd2="http://schemas.microsoft.com/office/spreadsheetml/2017/richdata2" ref="A51:AC107">
    <sortCondition ref="Y4:Y2711"/>
  </sortState>
  <tableColumns count="29">
    <tableColumn id="23" xr3:uid="{AC47D640-6438-41CF-8D72-43489F061451}" name="Row_ID" dataDxfId="373">
      <calculatedColumnFormula>TEXT(ROW(A5)-ROW($A$4),"000")</calculatedColumnFormula>
    </tableColumn>
    <tableColumn id="25" xr3:uid="{7F126A55-0989-4212-97CB-4BF48D5054D7}" name="Line_ID" dataDxfId="372" totalsRowDxfId="371"/>
    <tableColumn id="1" xr3:uid="{CAE75133-3CEF-445F-94EF-C80241E29008}" name="Transaction  Type" dataDxfId="370" totalsRowDxfId="369"/>
    <tableColumn id="2" xr3:uid="{284499A0-9311-49F2-BDE3-61259249041D}" name="Nota No." dataDxfId="368" totalsRowDxfId="367"/>
    <tableColumn id="3" xr3:uid="{35054D1E-4E0D-4232-A78E-1E1D709A59F9}" name="WH GCI" dataDxfId="366" totalsRowDxfId="365"/>
    <tableColumn id="4" xr3:uid="{A6E4E759-9C90-4366-AFFD-4AA53368641E}" name="PIC Warehouse" dataDxfId="364" totalsRowDxfId="363"/>
    <tableColumn id="5" xr3:uid="{CF414D0F-9E5F-4CA6-A487-8DF1239FE11C}" name="Date" dataDxfId="362" totalsRowDxfId="361"/>
    <tableColumn id="6" xr3:uid="{A76F654C-CF25-4213-8297-A465BAADE471}" name="Time" dataDxfId="360" totalsRowDxfId="359"/>
    <tableColumn id="7" xr3:uid="{0478561B-B806-4129-8E62-BB4E6D8C0EB6}" name="Material Source / Destination" dataDxfId="358" totalsRowDxfId="357"/>
    <tableColumn id="8" xr3:uid="{7420F47C-7F88-42A9-9AB2-945A6E0D6F2F}" name="Type Material" dataDxfId="356" totalsRowDxfId="355"/>
    <tableColumn id="9" xr3:uid="{71579EA0-29CF-4F21-A6E3-44395FFC6E12}" name="Material Name" dataDxfId="354" totalsRowDxfId="353"/>
    <tableColumn id="10" xr3:uid="{14D41A83-007B-40AA-918D-2DE1AE9A00BE}" name="Material Code" dataDxfId="352" totalsRowDxfId="351">
      <calculatedColumnFormula>VLOOKUP(Logfile_S12[[#This Row],[Material Name]],Sheet2!B:C,2,0)</calculatedColumnFormula>
    </tableColumn>
    <tableColumn id="26" xr3:uid="{3F67C612-FC5F-4002-BEED-9032768844D5}" name="Unit" dataDxfId="350" totalsRowDxfId="349"/>
    <tableColumn id="11" xr3:uid="{7FDBB4CB-3CC3-485D-8E71-9E1336F5DE8B}" name="Qty" dataDxfId="348" totalsRowDxfId="347"/>
    <tableColumn id="13" xr3:uid="{637DF96D-48DC-4380-96A6-DCA80885C6B4}" name="SiteID" dataDxfId="346" totalsRowDxfId="345"/>
    <tableColumn id="14" xr3:uid="{F0606957-DEE5-4AD1-955E-01F6D5C5F1E3}" name="Site Name" dataDxfId="344" totalsRowDxfId="343"/>
    <tableColumn id="15" xr3:uid="{09F36007-6B5F-412C-898D-E26A1D259C46}" name="DO number" dataDxfId="342" totalsRowDxfId="341"/>
    <tableColumn id="16" xr3:uid="{7DF93161-B816-4EDB-9411-717C52413B81}" name="DN Number" dataDxfId="340" totalsRowDxfId="339"/>
    <tableColumn id="17" xr3:uid="{3CA84277-44A8-4D7E-8299-6791779B7EC4}" name="Condition" dataDxfId="338" totalsRowDxfId="337"/>
    <tableColumn id="18" xr3:uid="{D42FBEE4-B481-433E-B60A-8345B2B22972}" name="PIC Delivery" dataDxfId="336" totalsRowDxfId="335"/>
    <tableColumn id="19" xr3:uid="{11F37A51-A12A-407A-8F9C-903087327F7E}" name="Vendor Supplier" dataDxfId="334" totalsRowDxfId="333"/>
    <tableColumn id="20" xr3:uid="{5CB061BE-562B-4B70-A137-E8F4424D6F9A}" name="ID Card" dataDxfId="332" totalsRowDxfId="331"/>
    <tableColumn id="21" xr3:uid="{AB511E69-CB33-47C3-93CC-16BEFB885883}" name="Car Plate" dataDxfId="330" totalsRowDxfId="329"/>
    <tableColumn id="22" xr3:uid="{D27717E4-4F82-4E73-8DC1-456B6319F8FE}" name="Remarks" dataDxfId="328" totalsRowDxfId="327"/>
    <tableColumn id="12" xr3:uid="{0BEE0557-6024-457F-8D0E-F2A126EB5C96}" name="Haspel/Drum" dataDxfId="326" totalsRowDxfId="325">
      <calculatedColumnFormula>"H-"&amp;Logfile_S12[[#This Row],[Material Name]]&amp;"-"&amp;YEAR(Logfile_S12[[#This Row],[Date]])&amp;MONTH(Logfile_S12[[#This Row],[Date]])&amp;DAY(Logfile_S12[[#This Row],[Date]])&amp;"-01"</calculatedColumnFormula>
    </tableColumn>
    <tableColumn id="27" xr3:uid="{DC87B0CF-E1D6-4106-9098-FA1B956D2EC6}" name="0" dataDxfId="324" totalsRowDxfId="323">
      <calculatedColumnFormula>P5</calculatedColumnFormula>
    </tableColumn>
    <tableColumn id="28" xr3:uid="{24A843C3-7B5E-4B52-9A86-9C0893658E2A}" name="date pick" dataDxfId="322" totalsRowDxfId="321">
      <calculatedColumnFormula>VLOOKUP(Logfile_S12[[#This Row],[DO number]],DO_DB!G:I,3,0)</calculatedColumnFormula>
    </tableColumn>
    <tableColumn id="29" xr3:uid="{41B78A1C-ADD1-4AD8-BB74-D28AAC112301}" name="cek" dataDxfId="320" totalsRowDxfId="319">
      <calculatedColumnFormula>EXACT(Logfile_S12[[#This Row],[date pick]],Logfile_S12[[#This Row],[Date]])</calculatedColumnFormula>
    </tableColumn>
    <tableColumn id="24" xr3:uid="{692110C0-9C06-44DC-A166-F46D3138CD29}" name="CEK2" dataDxfId="318" totalsRowDxfId="317">
      <calculatedColumnFormula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9.xml"/><Relationship Id="rId1" Type="http://schemas.openxmlformats.org/officeDocument/2006/relationships/vmlDrawing" Target="../drawings/vmlDrawing4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46DD0-C454-45E2-9250-5685A1DC4895}">
  <sheetPr codeName="Sheet6"/>
  <dimension ref="B1:N64"/>
  <sheetViews>
    <sheetView showGridLines="0" topLeftCell="A52" zoomScale="85" zoomScaleNormal="85" workbookViewId="0">
      <selection activeCell="H26" sqref="H26"/>
    </sheetView>
  </sheetViews>
  <sheetFormatPr defaultColWidth="65.58203125" defaultRowHeight="14"/>
  <cols>
    <col min="1" max="1" width="2.5" customWidth="1"/>
    <col min="2" max="2" width="10.1640625" customWidth="1"/>
    <col min="3" max="3" width="14.9140625" customWidth="1"/>
    <col min="4" max="4" width="23.6640625" customWidth="1"/>
    <col min="5" max="5" width="18.08203125" customWidth="1"/>
    <col min="6" max="6" width="22" customWidth="1"/>
    <col min="7" max="7" width="7.4140625" customWidth="1"/>
    <col min="8" max="8" width="2.5" customWidth="1"/>
    <col min="9" max="9" width="10.58203125" customWidth="1"/>
    <col min="10" max="10" width="20.08203125" customWidth="1"/>
    <col min="11" max="11" width="10.4140625" customWidth="1"/>
    <col min="12" max="12" width="26.5" customWidth="1"/>
    <col min="13" max="13" width="31.5" customWidth="1"/>
    <col min="14" max="14" width="9.1640625" customWidth="1"/>
    <col min="15" max="15" width="7.4140625" customWidth="1"/>
  </cols>
  <sheetData>
    <row r="1" spans="3:13">
      <c r="H1" s="54"/>
    </row>
    <row r="2" spans="3:13" ht="18">
      <c r="C2" s="75" t="s">
        <v>3160</v>
      </c>
      <c r="H2" s="54"/>
      <c r="J2" s="49" t="s">
        <v>3042</v>
      </c>
    </row>
    <row r="3" spans="3:13">
      <c r="C3" s="49" t="s">
        <v>3038</v>
      </c>
      <c r="H3" s="54"/>
      <c r="J3" s="565" t="s">
        <v>3043</v>
      </c>
      <c r="K3" s="565"/>
      <c r="L3" s="565"/>
      <c r="M3" s="565"/>
    </row>
    <row r="4" spans="3:13" ht="28.25" customHeight="1">
      <c r="C4" s="565" t="s">
        <v>3039</v>
      </c>
      <c r="D4" s="565"/>
      <c r="E4" s="565"/>
      <c r="F4" s="565"/>
      <c r="H4" s="54"/>
      <c r="J4" s="565"/>
      <c r="K4" s="565"/>
      <c r="L4" s="565"/>
      <c r="M4" s="565"/>
    </row>
    <row r="5" spans="3:13">
      <c r="C5" s="53"/>
      <c r="D5" s="565" t="s">
        <v>3175</v>
      </c>
      <c r="E5" s="565"/>
      <c r="F5" s="565"/>
      <c r="H5" s="54"/>
      <c r="J5" t="s">
        <v>3046</v>
      </c>
      <c r="K5" t="s">
        <v>3045</v>
      </c>
    </row>
    <row r="6" spans="3:13" ht="14.4" customHeight="1">
      <c r="C6" s="73"/>
      <c r="D6" s="565" t="s">
        <v>3176</v>
      </c>
      <c r="E6" s="565"/>
      <c r="F6" s="565"/>
      <c r="H6" s="54"/>
    </row>
    <row r="7" spans="3:13">
      <c r="C7" s="59"/>
      <c r="D7" s="565" t="s">
        <v>3041</v>
      </c>
      <c r="E7" s="565"/>
      <c r="F7" s="565"/>
      <c r="H7" s="54"/>
      <c r="J7" t="s">
        <v>3044</v>
      </c>
      <c r="K7" t="s">
        <v>3047</v>
      </c>
    </row>
    <row r="8" spans="3:13" ht="15.5">
      <c r="C8" s="51"/>
      <c r="H8" s="54"/>
      <c r="K8" t="s">
        <v>3048</v>
      </c>
    </row>
    <row r="9" spans="3:13">
      <c r="C9" s="49" t="s">
        <v>3034</v>
      </c>
      <c r="H9" s="54"/>
      <c r="K9" t="s">
        <v>3049</v>
      </c>
    </row>
    <row r="10" spans="3:13">
      <c r="C10" s="578" t="s">
        <v>3035</v>
      </c>
      <c r="D10" s="578"/>
      <c r="E10" s="578"/>
      <c r="F10" s="578"/>
      <c r="H10" s="54"/>
      <c r="K10" t="s">
        <v>4634</v>
      </c>
    </row>
    <row r="11" spans="3:13">
      <c r="C11" t="s">
        <v>3036</v>
      </c>
      <c r="H11" s="54"/>
    </row>
    <row r="12" spans="3:13">
      <c r="H12" s="54"/>
      <c r="J12" t="s">
        <v>3050</v>
      </c>
      <c r="K12" t="s">
        <v>3052</v>
      </c>
    </row>
    <row r="13" spans="3:13">
      <c r="C13" s="49" t="s">
        <v>4514</v>
      </c>
      <c r="H13" s="54"/>
      <c r="K13" t="s">
        <v>3051</v>
      </c>
    </row>
    <row r="14" spans="3:13">
      <c r="C14" s="578" t="s">
        <v>3037</v>
      </c>
      <c r="D14" s="578"/>
      <c r="E14" s="578"/>
      <c r="F14" s="578"/>
      <c r="H14" s="54"/>
    </row>
    <row r="15" spans="3:13">
      <c r="C15" s="578" t="s">
        <v>3040</v>
      </c>
      <c r="D15" s="578"/>
      <c r="E15" s="578"/>
      <c r="F15" s="578"/>
      <c r="H15" s="54"/>
      <c r="J15" t="s">
        <v>3053</v>
      </c>
      <c r="K15" t="s">
        <v>3054</v>
      </c>
    </row>
    <row r="16" spans="3:13">
      <c r="H16" s="54"/>
      <c r="K16" t="s">
        <v>3055</v>
      </c>
    </row>
    <row r="17" spans="3:13">
      <c r="C17" s="49" t="s">
        <v>4515</v>
      </c>
      <c r="H17" s="54"/>
    </row>
    <row r="18" spans="3:13">
      <c r="C18" s="578" t="s">
        <v>3190</v>
      </c>
      <c r="D18" s="578"/>
      <c r="E18" s="578"/>
      <c r="F18" s="578"/>
      <c r="H18" s="54"/>
      <c r="J18" s="49" t="s">
        <v>3063</v>
      </c>
    </row>
    <row r="19" spans="3:13">
      <c r="C19" s="578" t="s">
        <v>3191</v>
      </c>
      <c r="D19" s="578"/>
      <c r="E19" s="578"/>
      <c r="F19" s="578"/>
      <c r="H19" s="55"/>
      <c r="I19" s="50"/>
      <c r="J19" s="565" t="s">
        <v>3067</v>
      </c>
      <c r="K19" s="565"/>
      <c r="L19" s="565"/>
      <c r="M19" s="565"/>
    </row>
    <row r="20" spans="3:13">
      <c r="C20" s="50"/>
      <c r="D20" s="50"/>
      <c r="E20" s="50"/>
      <c r="F20" s="50"/>
      <c r="H20" s="54"/>
      <c r="J20" s="565"/>
      <c r="K20" s="565"/>
      <c r="L20" s="565"/>
      <c r="M20" s="565"/>
    </row>
    <row r="21" spans="3:13">
      <c r="C21" s="49" t="s">
        <v>4516</v>
      </c>
      <c r="H21" s="54"/>
      <c r="J21" t="s">
        <v>3068</v>
      </c>
    </row>
    <row r="22" spans="3:13">
      <c r="C22" s="578" t="s">
        <v>4517</v>
      </c>
      <c r="D22" s="578"/>
      <c r="E22" s="578"/>
      <c r="F22" s="578"/>
      <c r="H22" s="54"/>
    </row>
    <row r="23" spans="3:13">
      <c r="C23" s="578" t="s">
        <v>4518</v>
      </c>
      <c r="D23" s="578"/>
      <c r="E23" s="578"/>
      <c r="F23" s="578"/>
      <c r="H23" s="54"/>
    </row>
    <row r="24" spans="3:13">
      <c r="C24" s="50"/>
      <c r="D24" s="50"/>
      <c r="E24" s="50"/>
      <c r="F24" s="50"/>
      <c r="H24" s="54"/>
    </row>
    <row r="25" spans="3:13">
      <c r="C25" s="50"/>
      <c r="D25" s="50"/>
      <c r="E25" s="50"/>
      <c r="F25" s="50"/>
      <c r="H25" s="54"/>
    </row>
    <row r="26" spans="3:13">
      <c r="C26" s="50"/>
      <c r="D26" s="50"/>
      <c r="E26" s="50"/>
      <c r="F26" s="50"/>
      <c r="H26" s="54"/>
    </row>
    <row r="27" spans="3:13">
      <c r="C27" s="50"/>
      <c r="D27" s="50"/>
      <c r="E27" s="50"/>
      <c r="F27" s="50"/>
      <c r="H27" s="54"/>
    </row>
    <row r="28" spans="3:13">
      <c r="C28" s="50"/>
      <c r="D28" s="50"/>
      <c r="E28" s="50"/>
      <c r="F28" s="50"/>
      <c r="H28" s="54"/>
    </row>
    <row r="29" spans="3:13">
      <c r="C29" s="50"/>
      <c r="D29" s="50"/>
      <c r="E29" s="50"/>
      <c r="F29" s="50"/>
      <c r="H29" s="54"/>
    </row>
    <row r="30" spans="3:13">
      <c r="C30" s="50"/>
      <c r="D30" s="50"/>
      <c r="E30" s="50"/>
      <c r="F30" s="50"/>
      <c r="H30" s="54"/>
    </row>
    <row r="31" spans="3:13">
      <c r="C31" s="50"/>
      <c r="D31" s="50"/>
      <c r="E31" s="50"/>
      <c r="F31" s="50"/>
      <c r="H31" s="54"/>
    </row>
    <row r="32" spans="3:13">
      <c r="C32" s="50"/>
      <c r="D32" s="50"/>
      <c r="E32" s="50"/>
      <c r="F32" s="50"/>
      <c r="H32" s="54"/>
    </row>
    <row r="33" spans="3:13">
      <c r="C33" s="50"/>
      <c r="D33" s="50"/>
      <c r="E33" s="50"/>
      <c r="F33" s="50"/>
      <c r="H33" s="54"/>
    </row>
    <row r="34" spans="3:13" ht="20.399999999999999" customHeight="1">
      <c r="C34" s="50"/>
      <c r="D34" s="50"/>
      <c r="E34" s="50"/>
      <c r="F34" s="50"/>
      <c r="H34" s="54"/>
      <c r="J34" s="579" t="s">
        <v>3264</v>
      </c>
      <c r="K34" s="579"/>
      <c r="L34" s="579"/>
      <c r="M34" s="579"/>
    </row>
    <row r="35" spans="3:13" ht="14.4" customHeight="1">
      <c r="C35" s="50"/>
      <c r="D35" s="50"/>
      <c r="E35" s="50"/>
      <c r="F35" s="50"/>
      <c r="J35" s="63" t="s">
        <v>3267</v>
      </c>
      <c r="K35" s="565" t="s">
        <v>3268</v>
      </c>
      <c r="L35" s="565"/>
      <c r="M35" s="565"/>
    </row>
    <row r="36" spans="3:13" ht="18.649999999999999" customHeight="1">
      <c r="C36" s="50"/>
      <c r="D36" s="50"/>
      <c r="E36" s="50"/>
      <c r="F36" s="50"/>
      <c r="J36" s="83" t="s">
        <v>3192</v>
      </c>
      <c r="K36" s="565" t="s">
        <v>3269</v>
      </c>
      <c r="L36" s="565"/>
      <c r="M36" s="565"/>
    </row>
    <row r="37" spans="3:13" ht="15.5">
      <c r="C37" s="51" t="s">
        <v>3056</v>
      </c>
      <c r="D37" s="50"/>
      <c r="E37" s="50"/>
      <c r="F37" s="50"/>
      <c r="K37" t="s">
        <v>3270</v>
      </c>
    </row>
    <row r="38" spans="3:13" ht="10.25" customHeight="1">
      <c r="C38" s="50"/>
      <c r="D38" s="50"/>
      <c r="E38" s="50"/>
      <c r="F38" s="50"/>
    </row>
    <row r="39" spans="3:13" ht="26.4" customHeight="1">
      <c r="C39" s="579" t="s">
        <v>57</v>
      </c>
      <c r="D39" s="579"/>
      <c r="E39" s="579"/>
      <c r="F39" s="579"/>
      <c r="J39" s="579" t="s">
        <v>22</v>
      </c>
      <c r="K39" s="579"/>
      <c r="L39" s="579"/>
      <c r="M39" s="579"/>
    </row>
    <row r="40" spans="3:13" ht="25.25" customHeight="1">
      <c r="C40" s="63" t="s">
        <v>48</v>
      </c>
      <c r="D40" s="565" t="s">
        <v>3058</v>
      </c>
      <c r="E40" s="565"/>
      <c r="F40" s="565"/>
      <c r="J40" s="63" t="s">
        <v>39</v>
      </c>
      <c r="K40" s="565" t="s">
        <v>3064</v>
      </c>
      <c r="L40" s="565"/>
      <c r="M40" s="565"/>
    </row>
    <row r="41" spans="3:13" ht="9.65" customHeight="1">
      <c r="C41" s="63"/>
      <c r="D41" s="52"/>
      <c r="E41" s="52"/>
      <c r="F41" s="52"/>
      <c r="J41" s="63"/>
      <c r="K41" s="52"/>
      <c r="L41" s="52"/>
      <c r="M41" s="52"/>
    </row>
    <row r="42" spans="3:13" ht="25.25" customHeight="1">
      <c r="C42" s="63" t="s">
        <v>49</v>
      </c>
      <c r="D42" s="565" t="s">
        <v>3057</v>
      </c>
      <c r="E42" s="565"/>
      <c r="F42" s="565"/>
      <c r="J42" s="63" t="s">
        <v>3188</v>
      </c>
      <c r="K42" s="565" t="s">
        <v>3065</v>
      </c>
      <c r="L42" s="565"/>
      <c r="M42" s="565"/>
    </row>
    <row r="43" spans="3:13" ht="10.25" customHeight="1">
      <c r="C43" s="63"/>
      <c r="D43" s="52"/>
      <c r="E43" s="52"/>
      <c r="F43" s="52"/>
      <c r="J43" s="63"/>
      <c r="K43" s="52"/>
      <c r="L43" s="52"/>
      <c r="M43" s="52"/>
    </row>
    <row r="44" spans="3:13" ht="25.25" customHeight="1">
      <c r="C44" s="63" t="s">
        <v>3019</v>
      </c>
      <c r="D44" s="565" t="s">
        <v>3059</v>
      </c>
      <c r="E44" s="565"/>
      <c r="F44" s="565"/>
      <c r="J44" s="64" t="s">
        <v>3173</v>
      </c>
      <c r="K44" s="565" t="s">
        <v>3189</v>
      </c>
      <c r="L44" s="565"/>
      <c r="M44" s="565"/>
    </row>
    <row r="45" spans="3:13" ht="10.25" customHeight="1">
      <c r="C45" s="63"/>
      <c r="D45" s="52"/>
      <c r="E45" s="52"/>
      <c r="F45" s="52"/>
      <c r="J45" s="63"/>
      <c r="K45" s="52"/>
      <c r="L45" s="52"/>
      <c r="M45" s="52"/>
    </row>
    <row r="46" spans="3:13" ht="25.25" customHeight="1">
      <c r="C46" s="63" t="s">
        <v>3020</v>
      </c>
      <c r="D46" s="565" t="s">
        <v>3060</v>
      </c>
      <c r="E46" s="565"/>
      <c r="F46" s="565"/>
      <c r="J46" s="64" t="s">
        <v>3172</v>
      </c>
      <c r="K46" s="565" t="s">
        <v>3187</v>
      </c>
      <c r="L46" s="565"/>
      <c r="M46" s="565"/>
    </row>
    <row r="47" spans="3:13" ht="10.25" customHeight="1">
      <c r="C47" s="63"/>
      <c r="D47" s="52"/>
      <c r="E47" s="52"/>
      <c r="F47" s="52"/>
      <c r="J47" s="63"/>
      <c r="K47" s="52"/>
      <c r="L47" s="52"/>
      <c r="M47" s="52"/>
    </row>
    <row r="48" spans="3:13" ht="25.25" customHeight="1">
      <c r="C48" s="63" t="s">
        <v>3021</v>
      </c>
      <c r="D48" s="50" t="s">
        <v>3061</v>
      </c>
      <c r="E48" s="50"/>
      <c r="F48" s="50"/>
      <c r="J48" s="63" t="s">
        <v>40</v>
      </c>
      <c r="K48" s="565" t="s">
        <v>3066</v>
      </c>
      <c r="L48" s="565"/>
      <c r="M48" s="565"/>
    </row>
    <row r="49" spans="2:14" ht="25.25" customHeight="1">
      <c r="C49" s="63" t="s">
        <v>3022</v>
      </c>
      <c r="D49" s="50" t="s">
        <v>3062</v>
      </c>
      <c r="E49" s="50"/>
      <c r="F49" s="50"/>
      <c r="J49" s="63"/>
      <c r="K49" s="50"/>
      <c r="L49" s="50"/>
      <c r="M49" s="50"/>
    </row>
    <row r="50" spans="2:14" ht="9.65" customHeight="1"/>
    <row r="51" spans="2:14">
      <c r="B51" s="82" t="s">
        <v>3174</v>
      </c>
      <c r="C51" s="66"/>
      <c r="D51" s="67"/>
      <c r="E51" s="67"/>
      <c r="F51" s="67"/>
      <c r="G51" s="65"/>
      <c r="H51" s="65"/>
      <c r="I51" s="65"/>
      <c r="J51" s="66"/>
      <c r="K51" s="67"/>
      <c r="L51" s="67"/>
      <c r="M51" s="67"/>
      <c r="N51" s="65"/>
    </row>
    <row r="53" spans="2:14" ht="14.5" thickBot="1"/>
    <row r="54" spans="2:14" ht="14.5" thickBot="1">
      <c r="B54" s="42" t="s">
        <v>3028</v>
      </c>
      <c r="C54" s="43"/>
      <c r="D54" s="44"/>
      <c r="E54" s="45"/>
      <c r="F54" s="46"/>
    </row>
    <row r="55" spans="2:14">
      <c r="B55" s="47" t="s">
        <v>54</v>
      </c>
      <c r="C55" s="48" t="s">
        <v>3029</v>
      </c>
      <c r="D55" s="47" t="s">
        <v>3030</v>
      </c>
      <c r="E55" s="577" t="s">
        <v>3031</v>
      </c>
      <c r="F55" s="577"/>
    </row>
    <row r="56" spans="2:14">
      <c r="B56" s="117">
        <v>45887</v>
      </c>
      <c r="C56" s="119" t="s">
        <v>3153</v>
      </c>
      <c r="D56" s="118" t="s">
        <v>3032</v>
      </c>
      <c r="E56" s="566" t="s">
        <v>3033</v>
      </c>
      <c r="F56" s="567"/>
    </row>
    <row r="57" spans="2:14">
      <c r="B57" s="561">
        <v>45889</v>
      </c>
      <c r="C57" s="569" t="s">
        <v>3154</v>
      </c>
      <c r="D57" s="572" t="s">
        <v>59</v>
      </c>
      <c r="E57" s="566" t="s">
        <v>3155</v>
      </c>
      <c r="F57" s="567"/>
    </row>
    <row r="58" spans="2:14">
      <c r="B58" s="568"/>
      <c r="C58" s="570"/>
      <c r="D58" s="573"/>
      <c r="E58" s="566" t="s">
        <v>3156</v>
      </c>
      <c r="F58" s="567"/>
    </row>
    <row r="59" spans="2:14">
      <c r="B59" s="568"/>
      <c r="C59" s="570"/>
      <c r="D59" s="573"/>
      <c r="E59" s="575" t="s">
        <v>3157</v>
      </c>
      <c r="F59" s="576"/>
    </row>
    <row r="60" spans="2:14" ht="29" customHeight="1">
      <c r="B60" s="562"/>
      <c r="C60" s="571"/>
      <c r="D60" s="574"/>
      <c r="E60" s="566" t="s">
        <v>3158</v>
      </c>
      <c r="F60" s="567"/>
    </row>
    <row r="61" spans="2:14" ht="32" customHeight="1">
      <c r="B61" s="117">
        <v>45891</v>
      </c>
      <c r="C61" s="119" t="s">
        <v>3184</v>
      </c>
      <c r="D61" s="118" t="s">
        <v>3185</v>
      </c>
      <c r="E61" s="566" t="s">
        <v>3186</v>
      </c>
      <c r="F61" s="567"/>
    </row>
    <row r="62" spans="2:14" ht="35.4" customHeight="1">
      <c r="B62" s="117">
        <v>45894</v>
      </c>
      <c r="C62" s="119" t="s">
        <v>3304</v>
      </c>
      <c r="D62" s="120" t="s">
        <v>3624</v>
      </c>
      <c r="E62" s="566" t="s">
        <v>3625</v>
      </c>
      <c r="F62" s="567"/>
    </row>
    <row r="63" spans="2:14">
      <c r="B63" s="561">
        <v>45897</v>
      </c>
      <c r="C63" s="563" t="s">
        <v>3623</v>
      </c>
      <c r="D63" s="8" t="s">
        <v>3628</v>
      </c>
      <c r="E63" s="559" t="s">
        <v>3629</v>
      </c>
      <c r="F63" s="560"/>
    </row>
    <row r="64" spans="2:14">
      <c r="B64" s="562"/>
      <c r="C64" s="564"/>
      <c r="D64" s="8" t="s">
        <v>3626</v>
      </c>
      <c r="E64" s="559" t="s">
        <v>3627</v>
      </c>
      <c r="F64" s="560"/>
    </row>
  </sheetData>
  <mergeCells count="42">
    <mergeCell ref="C15:F15"/>
    <mergeCell ref="C18:F18"/>
    <mergeCell ref="E63:F63"/>
    <mergeCell ref="J19:M20"/>
    <mergeCell ref="J3:M4"/>
    <mergeCell ref="D7:F7"/>
    <mergeCell ref="D40:F40"/>
    <mergeCell ref="C39:F39"/>
    <mergeCell ref="J39:M39"/>
    <mergeCell ref="K40:M40"/>
    <mergeCell ref="E60:F60"/>
    <mergeCell ref="E56:F56"/>
    <mergeCell ref="D44:F44"/>
    <mergeCell ref="D46:F46"/>
    <mergeCell ref="K42:M42"/>
    <mergeCell ref="E62:F62"/>
    <mergeCell ref="D5:F5"/>
    <mergeCell ref="D6:F6"/>
    <mergeCell ref="C10:F10"/>
    <mergeCell ref="C14:F14"/>
    <mergeCell ref="C4:F4"/>
    <mergeCell ref="C19:F19"/>
    <mergeCell ref="C22:F22"/>
    <mergeCell ref="C23:F23"/>
    <mergeCell ref="J34:M34"/>
    <mergeCell ref="K35:M35"/>
    <mergeCell ref="E64:F64"/>
    <mergeCell ref="B63:B64"/>
    <mergeCell ref="C63:C64"/>
    <mergeCell ref="K36:M36"/>
    <mergeCell ref="D42:F42"/>
    <mergeCell ref="E57:F57"/>
    <mergeCell ref="K44:M44"/>
    <mergeCell ref="K46:M46"/>
    <mergeCell ref="E61:F61"/>
    <mergeCell ref="B57:B60"/>
    <mergeCell ref="C57:C60"/>
    <mergeCell ref="D57:D60"/>
    <mergeCell ref="K48:M48"/>
    <mergeCell ref="E58:F58"/>
    <mergeCell ref="E59:F59"/>
    <mergeCell ref="E55:F55"/>
  </mergeCells>
  <phoneticPr fontId="20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4D66A-DCEB-43AF-A1B4-130DE8507503}">
  <sheetPr codeName="Sheet1"/>
  <dimension ref="A1:Q55"/>
  <sheetViews>
    <sheetView zoomScale="85" zoomScaleNormal="85" workbookViewId="0">
      <selection activeCell="H14" sqref="H14"/>
    </sheetView>
  </sheetViews>
  <sheetFormatPr defaultRowHeight="14"/>
  <cols>
    <col min="1" max="1" width="8.9140625" customWidth="1"/>
    <col min="2" max="2" width="21" customWidth="1"/>
    <col min="3" max="4" width="17.08203125" customWidth="1"/>
    <col min="5" max="5" width="18.1640625" customWidth="1"/>
    <col min="6" max="6" width="21.4140625" customWidth="1"/>
    <col min="7" max="7" width="8.5" customWidth="1"/>
    <col min="8" max="8" width="25.6640625" customWidth="1"/>
    <col min="9" max="9" width="19.5" customWidth="1"/>
    <col min="10" max="11" width="20.58203125" customWidth="1"/>
    <col min="12" max="12" width="17.6640625" customWidth="1"/>
    <col min="13" max="13" width="23" customWidth="1"/>
    <col min="14" max="14" width="20.9140625" customWidth="1"/>
    <col min="15" max="15" width="18.58203125" customWidth="1"/>
    <col min="16" max="16" width="14.08203125" customWidth="1"/>
    <col min="17" max="17" width="33.08203125" customWidth="1"/>
  </cols>
  <sheetData>
    <row r="1" spans="1:17" ht="15.5">
      <c r="A1" s="1" t="s">
        <v>21</v>
      </c>
      <c r="B1" s="1"/>
      <c r="C1" s="1"/>
      <c r="D1" s="1"/>
    </row>
    <row r="2" spans="1:17" ht="15.5">
      <c r="A2" s="1"/>
      <c r="B2" s="76" t="s">
        <v>3164</v>
      </c>
      <c r="C2" s="76" t="s">
        <v>3031</v>
      </c>
      <c r="D2" s="1"/>
    </row>
    <row r="3" spans="1:17">
      <c r="B3" s="81"/>
      <c r="C3" s="580" t="s">
        <v>3162</v>
      </c>
      <c r="D3" s="580"/>
    </row>
    <row r="4" spans="1:17">
      <c r="B4" s="77"/>
      <c r="C4" t="s">
        <v>3163</v>
      </c>
    </row>
    <row r="9" spans="1:17" ht="39.65" customHeight="1">
      <c r="A9" s="9" t="s">
        <v>18</v>
      </c>
      <c r="B9" s="80" t="s">
        <v>3161</v>
      </c>
      <c r="C9" s="80" t="s">
        <v>57</v>
      </c>
      <c r="D9" s="80" t="s">
        <v>3151</v>
      </c>
      <c r="E9" s="80" t="s">
        <v>23</v>
      </c>
      <c r="F9" s="80" t="s">
        <v>55</v>
      </c>
      <c r="G9" s="78" t="s">
        <v>17</v>
      </c>
      <c r="H9" s="78" t="s">
        <v>3025</v>
      </c>
      <c r="I9" s="78" t="s">
        <v>30</v>
      </c>
      <c r="J9" s="78" t="s">
        <v>22</v>
      </c>
      <c r="K9" s="78" t="s">
        <v>3166</v>
      </c>
      <c r="L9" s="78" t="s">
        <v>3165</v>
      </c>
      <c r="M9" s="78" t="s">
        <v>3264</v>
      </c>
      <c r="N9" s="123" t="s">
        <v>3274</v>
      </c>
      <c r="O9" s="123" t="s">
        <v>3273</v>
      </c>
      <c r="P9" s="123" t="s">
        <v>3616</v>
      </c>
      <c r="Q9" s="152" t="s">
        <v>4610</v>
      </c>
    </row>
    <row r="10" spans="1:17">
      <c r="A10" s="10" t="str">
        <f t="shared" ref="A10:A55" si="0">CONCATENATE(IF(ROW(A10)-9&lt;10,"00",IF(ROW(A10)-9&lt;100,"0","")),ROW(A10)-9)</f>
        <v>001</v>
      </c>
      <c r="B10" s="8" t="s">
        <v>4496</v>
      </c>
      <c r="C10" s="8" t="s">
        <v>48</v>
      </c>
      <c r="D10" s="8" t="s">
        <v>3150</v>
      </c>
      <c r="E10" s="8" t="s">
        <v>3150</v>
      </c>
      <c r="F10" s="8"/>
      <c r="G10" s="7" t="s">
        <v>19</v>
      </c>
      <c r="H10" s="7" t="s">
        <v>37</v>
      </c>
      <c r="I10" s="7" t="s">
        <v>3023</v>
      </c>
      <c r="J10" s="11" t="s">
        <v>39</v>
      </c>
      <c r="K10" s="79"/>
      <c r="L10" s="28"/>
      <c r="M10" s="28" t="s">
        <v>58</v>
      </c>
      <c r="N10" s="28" t="s">
        <v>3069</v>
      </c>
      <c r="O10" s="28" t="s">
        <v>3278</v>
      </c>
      <c r="P10" s="28" t="s">
        <v>3617</v>
      </c>
      <c r="Q10" s="28" t="s">
        <v>4615</v>
      </c>
    </row>
    <row r="11" spans="1:17">
      <c r="A11" s="10" t="str">
        <f t="shared" si="0"/>
        <v>002</v>
      </c>
      <c r="B11" s="8" t="s">
        <v>3167</v>
      </c>
      <c r="C11" s="8" t="s">
        <v>49</v>
      </c>
      <c r="D11" s="8" t="s">
        <v>3195</v>
      </c>
      <c r="E11" s="8" t="s">
        <v>3194</v>
      </c>
      <c r="F11" s="8"/>
      <c r="G11" s="7" t="s">
        <v>20</v>
      </c>
      <c r="H11" s="7" t="s">
        <v>38</v>
      </c>
      <c r="I11" s="7" t="s">
        <v>3024</v>
      </c>
      <c r="J11" s="11" t="s">
        <v>3177</v>
      </c>
      <c r="K11" s="11"/>
      <c r="L11" s="8"/>
      <c r="M11" s="8" t="s">
        <v>3265</v>
      </c>
      <c r="N11" s="8" t="s">
        <v>3070</v>
      </c>
      <c r="O11" s="8" t="s">
        <v>3279</v>
      </c>
      <c r="P11" s="8" t="s">
        <v>3630</v>
      </c>
      <c r="Q11" s="8" t="s">
        <v>4616</v>
      </c>
    </row>
    <row r="12" spans="1:17">
      <c r="A12" s="10" t="str">
        <f t="shared" si="0"/>
        <v>003</v>
      </c>
      <c r="B12" s="8" t="s">
        <v>3168</v>
      </c>
      <c r="C12" s="8" t="s">
        <v>3429</v>
      </c>
      <c r="D12" s="8" t="s">
        <v>3152</v>
      </c>
      <c r="E12" s="8" t="s">
        <v>3148</v>
      </c>
      <c r="F12" s="8" t="s">
        <v>3149</v>
      </c>
      <c r="G12" s="8" t="s">
        <v>41</v>
      </c>
      <c r="H12" s="8" t="s">
        <v>3017</v>
      </c>
      <c r="I12" s="8" t="s">
        <v>3192</v>
      </c>
      <c r="J12" s="102" t="s">
        <v>3173</v>
      </c>
      <c r="K12" s="11"/>
      <c r="L12" s="8"/>
      <c r="M12" s="8"/>
      <c r="N12" s="8" t="s">
        <v>3071</v>
      </c>
      <c r="O12" s="8" t="s">
        <v>3280</v>
      </c>
      <c r="P12" s="8"/>
      <c r="Q12" s="8" t="s">
        <v>4617</v>
      </c>
    </row>
    <row r="13" spans="1:17">
      <c r="A13" s="10" t="str">
        <f t="shared" si="0"/>
        <v>004</v>
      </c>
      <c r="B13" s="8" t="s">
        <v>3169</v>
      </c>
      <c r="C13" s="8" t="s">
        <v>3449</v>
      </c>
      <c r="D13" s="8" t="s">
        <v>3294</v>
      </c>
      <c r="E13" s="8" t="s">
        <v>3295</v>
      </c>
      <c r="F13" s="8" t="s">
        <v>3299</v>
      </c>
      <c r="G13" s="8"/>
      <c r="H13" s="8" t="s">
        <v>3193</v>
      </c>
      <c r="I13" s="7"/>
      <c r="J13" s="11" t="s">
        <v>3172</v>
      </c>
      <c r="K13" s="11"/>
      <c r="L13" s="8"/>
      <c r="M13" s="8"/>
      <c r="N13" s="8" t="s">
        <v>3072</v>
      </c>
      <c r="O13" s="8" t="s">
        <v>3281</v>
      </c>
      <c r="P13" s="8"/>
      <c r="Q13" s="8" t="s">
        <v>4618</v>
      </c>
    </row>
    <row r="14" spans="1:17">
      <c r="A14" s="10" t="str">
        <f t="shared" si="0"/>
        <v>005</v>
      </c>
      <c r="B14" s="8" t="s">
        <v>3170</v>
      </c>
      <c r="C14" s="8" t="s">
        <v>3313</v>
      </c>
      <c r="D14" s="8" t="s">
        <v>3296</v>
      </c>
      <c r="E14" s="8" t="s">
        <v>3297</v>
      </c>
      <c r="F14" s="8" t="s">
        <v>3298</v>
      </c>
      <c r="G14" s="8"/>
      <c r="H14" s="8" t="s">
        <v>3148</v>
      </c>
      <c r="I14" s="8"/>
      <c r="J14" s="11" t="s">
        <v>40</v>
      </c>
      <c r="K14" s="72"/>
      <c r="L14" s="18"/>
      <c r="M14" s="8"/>
      <c r="N14" s="8" t="s">
        <v>3073</v>
      </c>
      <c r="O14" s="8" t="s">
        <v>3275</v>
      </c>
      <c r="P14" s="8"/>
      <c r="Q14" s="8" t="s">
        <v>4619</v>
      </c>
    </row>
    <row r="15" spans="1:17">
      <c r="A15" s="10" t="str">
        <f t="shared" si="0"/>
        <v>006</v>
      </c>
      <c r="B15" s="8" t="s">
        <v>3171</v>
      </c>
      <c r="C15" s="8" t="s">
        <v>3388</v>
      </c>
      <c r="D15" s="8" t="s">
        <v>4489</v>
      </c>
      <c r="E15" s="8" t="s">
        <v>4487</v>
      </c>
      <c r="F15" s="8" t="s">
        <v>4491</v>
      </c>
      <c r="G15" s="8"/>
      <c r="H15" s="8" t="s">
        <v>3295</v>
      </c>
      <c r="I15" s="8"/>
      <c r="J15" s="12"/>
      <c r="K15" s="12"/>
      <c r="L15" s="8"/>
      <c r="M15" s="8"/>
      <c r="N15" s="8" t="s">
        <v>3074</v>
      </c>
      <c r="O15" s="8" t="s">
        <v>3282</v>
      </c>
      <c r="P15" s="8"/>
      <c r="Q15" s="8" t="s">
        <v>4620</v>
      </c>
    </row>
    <row r="16" spans="1:17">
      <c r="A16" s="10" t="str">
        <f t="shared" si="0"/>
        <v>007</v>
      </c>
      <c r="B16" s="8" t="s">
        <v>4495</v>
      </c>
      <c r="C16" s="18" t="s">
        <v>4497</v>
      </c>
      <c r="D16" s="8" t="s">
        <v>4490</v>
      </c>
      <c r="E16" s="18" t="s">
        <v>4488</v>
      </c>
      <c r="F16" s="18" t="s">
        <v>4492</v>
      </c>
      <c r="G16" s="18"/>
      <c r="H16" s="8" t="s">
        <v>3297</v>
      </c>
      <c r="I16" s="18"/>
      <c r="J16" s="19"/>
      <c r="K16" s="19"/>
      <c r="L16" s="18"/>
      <c r="M16" s="8"/>
      <c r="N16" s="8" t="s">
        <v>3075</v>
      </c>
      <c r="O16" s="8" t="s">
        <v>3250</v>
      </c>
      <c r="P16" s="8"/>
      <c r="Q16" s="8" t="s">
        <v>4621</v>
      </c>
    </row>
    <row r="17" spans="1:17">
      <c r="A17" s="10" t="str">
        <f t="shared" si="0"/>
        <v>008</v>
      </c>
      <c r="B17" s="8" t="s">
        <v>4513</v>
      </c>
      <c r="C17" s="18" t="s">
        <v>4512</v>
      </c>
      <c r="D17" s="8" t="s">
        <v>4502</v>
      </c>
      <c r="E17" s="18" t="s">
        <v>4498</v>
      </c>
      <c r="F17" s="18" t="s">
        <v>3238</v>
      </c>
      <c r="G17" s="18"/>
      <c r="H17" s="8" t="s">
        <v>4487</v>
      </c>
      <c r="I17" s="18"/>
      <c r="J17" s="19"/>
      <c r="K17" s="19"/>
      <c r="L17" s="18"/>
      <c r="M17" s="8"/>
      <c r="N17" s="8" t="s">
        <v>3076</v>
      </c>
      <c r="O17" s="8" t="s">
        <v>3276</v>
      </c>
      <c r="P17" s="8"/>
      <c r="Q17" s="8" t="s">
        <v>4622</v>
      </c>
    </row>
    <row r="18" spans="1:17">
      <c r="A18" s="10" t="str">
        <f t="shared" si="0"/>
        <v>009</v>
      </c>
      <c r="B18" s="18"/>
      <c r="C18" s="18"/>
      <c r="D18" s="8" t="s">
        <v>4503</v>
      </c>
      <c r="E18" s="18" t="s">
        <v>4510</v>
      </c>
      <c r="F18" s="18" t="s">
        <v>4511</v>
      </c>
      <c r="G18" s="18"/>
      <c r="H18" s="18" t="s">
        <v>4488</v>
      </c>
      <c r="I18" s="18"/>
      <c r="J18" s="19"/>
      <c r="K18" s="19"/>
      <c r="L18" s="18"/>
      <c r="M18" s="8"/>
      <c r="N18" s="8" t="s">
        <v>3077</v>
      </c>
      <c r="O18" s="8" t="s">
        <v>3277</v>
      </c>
      <c r="P18" s="8"/>
      <c r="Q18" s="8" t="s">
        <v>4623</v>
      </c>
    </row>
    <row r="19" spans="1:17">
      <c r="A19" s="10" t="str">
        <f t="shared" si="0"/>
        <v>010</v>
      </c>
      <c r="B19" s="18"/>
      <c r="C19" s="18"/>
      <c r="D19" s="8" t="s">
        <v>4504</v>
      </c>
      <c r="E19" s="18" t="s">
        <v>4500</v>
      </c>
      <c r="F19" s="18" t="s">
        <v>4509</v>
      </c>
      <c r="G19" s="18"/>
      <c r="H19" s="18" t="s">
        <v>4498</v>
      </c>
      <c r="I19" s="18"/>
      <c r="J19" s="19"/>
      <c r="K19" s="19"/>
      <c r="L19" s="18"/>
      <c r="M19" s="8"/>
      <c r="N19" s="8" t="s">
        <v>14</v>
      </c>
      <c r="O19" s="8" t="s">
        <v>3283</v>
      </c>
      <c r="P19" s="8"/>
      <c r="Q19" s="8" t="s">
        <v>4624</v>
      </c>
    </row>
    <row r="20" spans="1:17">
      <c r="A20" s="10" t="str">
        <f t="shared" si="0"/>
        <v>011</v>
      </c>
      <c r="B20" s="8"/>
      <c r="C20" s="8"/>
      <c r="D20" s="8" t="s">
        <v>4505</v>
      </c>
      <c r="E20" s="8" t="s">
        <v>4499</v>
      </c>
      <c r="F20" s="8" t="s">
        <v>4507</v>
      </c>
      <c r="G20" s="8"/>
      <c r="H20" s="18" t="s">
        <v>4510</v>
      </c>
      <c r="I20" s="8"/>
      <c r="J20" s="12"/>
      <c r="K20" s="12"/>
      <c r="L20" s="8"/>
      <c r="M20" s="8"/>
      <c r="N20" s="8" t="s">
        <v>15</v>
      </c>
      <c r="O20" s="8" t="s">
        <v>3284</v>
      </c>
      <c r="P20" s="8"/>
      <c r="Q20" s="8" t="s">
        <v>4625</v>
      </c>
    </row>
    <row r="21" spans="1:17">
      <c r="A21" s="10" t="str">
        <f t="shared" si="0"/>
        <v>012</v>
      </c>
      <c r="B21" s="8"/>
      <c r="C21" s="8"/>
      <c r="D21" s="8" t="s">
        <v>4506</v>
      </c>
      <c r="E21" s="8" t="s">
        <v>4501</v>
      </c>
      <c r="F21" s="8" t="s">
        <v>4508</v>
      </c>
      <c r="G21" s="8"/>
      <c r="H21" s="18" t="s">
        <v>4500</v>
      </c>
      <c r="I21" s="8"/>
      <c r="J21" s="12"/>
      <c r="K21" s="12"/>
      <c r="L21" s="8"/>
      <c r="M21" s="8"/>
      <c r="N21" s="8" t="s">
        <v>13</v>
      </c>
      <c r="O21" s="8" t="s">
        <v>3285</v>
      </c>
      <c r="P21" s="8"/>
      <c r="Q21" s="8" t="s">
        <v>4626</v>
      </c>
    </row>
    <row r="22" spans="1:17">
      <c r="A22" s="10" t="str">
        <f t="shared" si="0"/>
        <v>013</v>
      </c>
      <c r="B22" s="8"/>
      <c r="C22" s="8"/>
      <c r="D22" s="8"/>
      <c r="E22" s="8"/>
      <c r="F22" s="8"/>
      <c r="G22" s="8"/>
      <c r="H22" s="8" t="s">
        <v>4499</v>
      </c>
      <c r="I22" s="8"/>
      <c r="J22" s="12"/>
      <c r="K22" s="12"/>
      <c r="L22" s="8"/>
      <c r="M22" s="8"/>
      <c r="N22" s="8" t="s">
        <v>3080</v>
      </c>
      <c r="O22" s="8" t="s">
        <v>3286</v>
      </c>
      <c r="P22" s="8"/>
      <c r="Q22" s="8"/>
    </row>
    <row r="23" spans="1:17">
      <c r="A23" s="10" t="str">
        <f t="shared" si="0"/>
        <v>014</v>
      </c>
      <c r="B23" s="8"/>
      <c r="C23" s="8"/>
      <c r="D23" s="8"/>
      <c r="E23" s="8"/>
      <c r="F23" s="8"/>
      <c r="G23" s="8"/>
      <c r="H23" s="8" t="s">
        <v>4501</v>
      </c>
      <c r="I23" s="8"/>
      <c r="J23" s="12"/>
      <c r="K23" s="12"/>
      <c r="L23" s="8"/>
      <c r="M23" s="8"/>
      <c r="N23" s="8" t="s">
        <v>16</v>
      </c>
      <c r="O23" s="8" t="s">
        <v>3287</v>
      </c>
      <c r="P23" s="8"/>
      <c r="Q23" s="8"/>
    </row>
    <row r="24" spans="1:17">
      <c r="A24" s="10" t="str">
        <f t="shared" si="0"/>
        <v>015</v>
      </c>
      <c r="B24" s="8"/>
      <c r="C24" s="8"/>
      <c r="D24" s="8"/>
      <c r="E24" s="8"/>
      <c r="F24" s="8"/>
      <c r="G24" s="8"/>
      <c r="H24" s="8"/>
      <c r="I24" s="8"/>
      <c r="J24" s="12"/>
      <c r="K24" s="12"/>
      <c r="L24" s="8"/>
      <c r="M24" s="8"/>
      <c r="N24" s="8" t="s">
        <v>3144</v>
      </c>
      <c r="O24" s="8" t="s">
        <v>3288</v>
      </c>
      <c r="P24" s="8"/>
      <c r="Q24" s="8"/>
    </row>
    <row r="25" spans="1:17">
      <c r="A25" s="10" t="str">
        <f t="shared" si="0"/>
        <v>016</v>
      </c>
      <c r="B25" s="8"/>
      <c r="C25" s="8"/>
      <c r="D25" s="8"/>
      <c r="E25" s="8"/>
      <c r="F25" s="8"/>
      <c r="G25" s="8"/>
      <c r="H25" s="8"/>
      <c r="I25" s="8"/>
      <c r="J25" s="12"/>
      <c r="K25" s="12"/>
      <c r="L25" s="8"/>
      <c r="M25" s="8"/>
      <c r="N25" s="8"/>
      <c r="O25" s="8"/>
      <c r="P25" s="8"/>
      <c r="Q25" s="8"/>
    </row>
    <row r="26" spans="1:17">
      <c r="A26" s="10" t="str">
        <f t="shared" si="0"/>
        <v>017</v>
      </c>
      <c r="B26" s="8"/>
      <c r="C26" s="8"/>
      <c r="D26" s="8"/>
      <c r="E26" s="8"/>
      <c r="F26" s="8"/>
      <c r="G26" s="8"/>
      <c r="H26" s="8"/>
      <c r="I26" s="8"/>
      <c r="J26" s="12"/>
      <c r="K26" s="12"/>
      <c r="L26" s="8"/>
      <c r="M26" s="8"/>
      <c r="N26" s="8"/>
      <c r="O26" s="8"/>
      <c r="P26" s="8"/>
      <c r="Q26" s="8"/>
    </row>
    <row r="27" spans="1:17">
      <c r="A27" s="10" t="str">
        <f t="shared" si="0"/>
        <v>018</v>
      </c>
      <c r="B27" s="8"/>
      <c r="C27" s="8"/>
      <c r="D27" s="8"/>
      <c r="E27" s="8"/>
      <c r="F27" s="8"/>
      <c r="G27" s="8"/>
      <c r="H27" s="8"/>
      <c r="I27" s="8"/>
      <c r="J27" s="12"/>
      <c r="K27" s="12"/>
      <c r="L27" s="8"/>
      <c r="M27" s="8"/>
      <c r="N27" s="8"/>
      <c r="O27" s="8"/>
      <c r="P27" s="8"/>
      <c r="Q27" s="8"/>
    </row>
    <row r="28" spans="1:17">
      <c r="A28" s="10" t="str">
        <f t="shared" si="0"/>
        <v>019</v>
      </c>
      <c r="B28" s="8"/>
      <c r="C28" s="8"/>
      <c r="D28" s="8"/>
      <c r="E28" s="8"/>
      <c r="F28" s="8"/>
      <c r="G28" s="8"/>
      <c r="H28" s="8"/>
      <c r="I28" s="8"/>
      <c r="J28" s="12"/>
      <c r="K28" s="12"/>
      <c r="L28" s="8"/>
      <c r="M28" s="8"/>
      <c r="N28" s="8"/>
      <c r="O28" s="8"/>
      <c r="P28" s="8"/>
      <c r="Q28" s="8"/>
    </row>
    <row r="29" spans="1:17">
      <c r="A29" s="10" t="str">
        <f t="shared" si="0"/>
        <v>020</v>
      </c>
      <c r="B29" s="8"/>
      <c r="C29" s="8"/>
      <c r="D29" s="8"/>
      <c r="E29" s="8"/>
      <c r="F29" s="8"/>
      <c r="G29" s="8"/>
      <c r="H29" s="8"/>
      <c r="I29" s="8"/>
      <c r="J29" s="12"/>
      <c r="K29" s="12"/>
      <c r="L29" s="8"/>
      <c r="M29" s="8"/>
      <c r="N29" s="8"/>
      <c r="O29" s="8"/>
      <c r="P29" s="8"/>
      <c r="Q29" s="8"/>
    </row>
    <row r="30" spans="1:17">
      <c r="A30" s="10" t="str">
        <f t="shared" si="0"/>
        <v>021</v>
      </c>
      <c r="B30" s="18"/>
      <c r="C30" s="18"/>
      <c r="D30" s="18"/>
      <c r="E30" s="18"/>
      <c r="F30" s="18"/>
      <c r="G30" s="18"/>
      <c r="H30" s="18"/>
      <c r="I30" s="18"/>
      <c r="J30" s="19"/>
      <c r="K30" s="19"/>
      <c r="L30" s="18"/>
      <c r="M30" s="8"/>
      <c r="N30" s="8"/>
      <c r="O30" s="8"/>
      <c r="P30" s="8"/>
      <c r="Q30" s="8"/>
    </row>
    <row r="31" spans="1:17">
      <c r="A31" s="10" t="str">
        <f t="shared" si="0"/>
        <v>022</v>
      </c>
      <c r="B31" s="18"/>
      <c r="C31" s="18"/>
      <c r="D31" s="18"/>
      <c r="E31" s="18"/>
      <c r="F31" s="18"/>
      <c r="G31" s="18"/>
      <c r="H31" s="18"/>
      <c r="I31" s="18"/>
      <c r="J31" s="19"/>
      <c r="K31" s="19"/>
      <c r="L31" s="18"/>
      <c r="M31" s="18"/>
      <c r="N31" s="18"/>
      <c r="O31" s="18"/>
      <c r="P31" s="8"/>
      <c r="Q31" s="8"/>
    </row>
    <row r="32" spans="1:17">
      <c r="A32" s="10" t="str">
        <f t="shared" si="0"/>
        <v>023</v>
      </c>
      <c r="B32" s="8"/>
      <c r="C32" s="8"/>
      <c r="D32" s="18"/>
      <c r="E32" s="8"/>
      <c r="F32" s="8"/>
      <c r="G32" s="8"/>
      <c r="H32" s="8"/>
      <c r="I32" s="8"/>
      <c r="J32" s="12"/>
      <c r="K32" s="19"/>
      <c r="L32" s="8"/>
      <c r="M32" s="8"/>
      <c r="N32" s="8"/>
      <c r="O32" s="8"/>
      <c r="P32" s="8"/>
      <c r="Q32" s="8"/>
    </row>
    <row r="33" spans="1:17">
      <c r="A33" s="10" t="str">
        <f t="shared" si="0"/>
        <v>024</v>
      </c>
      <c r="B33" s="8"/>
      <c r="C33" s="8"/>
      <c r="D33" s="109"/>
      <c r="E33" s="8"/>
      <c r="F33" s="8"/>
      <c r="G33" s="8"/>
      <c r="H33" s="8"/>
      <c r="I33" s="8"/>
      <c r="J33" s="12"/>
      <c r="K33" s="104"/>
      <c r="L33" s="8"/>
      <c r="M33" s="8"/>
      <c r="N33" s="8"/>
      <c r="O33" s="8"/>
      <c r="P33" s="8"/>
      <c r="Q33" s="8"/>
    </row>
    <row r="34" spans="1:17">
      <c r="A34" s="10" t="str">
        <f t="shared" si="0"/>
        <v>025</v>
      </c>
      <c r="B34" s="8"/>
      <c r="C34" s="8"/>
      <c r="D34" s="109"/>
      <c r="E34" s="8"/>
      <c r="F34" s="8"/>
      <c r="G34" s="8"/>
      <c r="H34" s="8"/>
      <c r="I34" s="8"/>
      <c r="J34" s="12"/>
      <c r="K34" s="104"/>
      <c r="L34" s="8"/>
      <c r="M34" s="8"/>
      <c r="N34" s="8"/>
      <c r="O34" s="8"/>
      <c r="P34" s="8"/>
      <c r="Q34" s="8"/>
    </row>
    <row r="35" spans="1:17">
      <c r="A35" s="10" t="str">
        <f t="shared" si="0"/>
        <v>026</v>
      </c>
      <c r="B35" s="8"/>
      <c r="C35" s="8"/>
      <c r="D35" s="109"/>
      <c r="E35" s="8"/>
      <c r="F35" s="8"/>
      <c r="G35" s="8"/>
      <c r="H35" s="8"/>
      <c r="I35" s="8"/>
      <c r="J35" s="12"/>
      <c r="K35" s="104"/>
      <c r="L35" s="8"/>
      <c r="M35" s="8"/>
      <c r="N35" s="8"/>
      <c r="O35" s="8"/>
      <c r="P35" s="8"/>
      <c r="Q35" s="8"/>
    </row>
    <row r="36" spans="1:17">
      <c r="A36" s="10" t="str">
        <f t="shared" si="0"/>
        <v>027</v>
      </c>
      <c r="B36" s="8"/>
      <c r="C36" s="8"/>
      <c r="D36" s="109"/>
      <c r="E36" s="8"/>
      <c r="F36" s="8"/>
      <c r="G36" s="8"/>
      <c r="H36" s="8"/>
      <c r="I36" s="8"/>
      <c r="J36" s="12"/>
      <c r="K36" s="104"/>
      <c r="L36" s="8"/>
      <c r="M36" s="8"/>
      <c r="N36" s="8"/>
      <c r="O36" s="8"/>
      <c r="P36" s="8"/>
      <c r="Q36" s="8"/>
    </row>
    <row r="37" spans="1:17">
      <c r="A37" s="10" t="str">
        <f t="shared" si="0"/>
        <v>028</v>
      </c>
      <c r="B37" s="8"/>
      <c r="C37" s="8"/>
      <c r="D37" s="109"/>
      <c r="E37" s="8"/>
      <c r="F37" s="8"/>
      <c r="G37" s="8"/>
      <c r="H37" s="8"/>
      <c r="I37" s="8"/>
      <c r="J37" s="12"/>
      <c r="K37" s="104"/>
      <c r="L37" s="8"/>
      <c r="M37" s="8"/>
      <c r="N37" s="8"/>
      <c r="O37" s="8"/>
      <c r="P37" s="8"/>
      <c r="Q37" s="8"/>
    </row>
    <row r="38" spans="1:17">
      <c r="A38" s="10" t="str">
        <f t="shared" si="0"/>
        <v>029</v>
      </c>
      <c r="B38" s="8"/>
      <c r="C38" s="8"/>
      <c r="D38" s="109"/>
      <c r="E38" s="8"/>
      <c r="F38" s="8"/>
      <c r="G38" s="8"/>
      <c r="H38" s="8"/>
      <c r="I38" s="8"/>
      <c r="J38" s="12"/>
      <c r="K38" s="104"/>
      <c r="L38" s="8"/>
      <c r="M38" s="8"/>
      <c r="N38" s="8"/>
      <c r="O38" s="8"/>
      <c r="P38" s="8"/>
      <c r="Q38" s="8"/>
    </row>
    <row r="39" spans="1:17">
      <c r="A39" s="10" t="str">
        <f t="shared" si="0"/>
        <v>030</v>
      </c>
      <c r="B39" s="8"/>
      <c r="C39" s="8"/>
      <c r="D39" s="109"/>
      <c r="E39" s="8"/>
      <c r="F39" s="8"/>
      <c r="G39" s="8"/>
      <c r="H39" s="8"/>
      <c r="I39" s="8"/>
      <c r="J39" s="12"/>
      <c r="K39" s="104"/>
      <c r="L39" s="8"/>
      <c r="M39" s="8"/>
      <c r="N39" s="8"/>
      <c r="O39" s="8"/>
      <c r="P39" s="8"/>
      <c r="Q39" s="8"/>
    </row>
    <row r="40" spans="1:17">
      <c r="A40" s="10" t="str">
        <f t="shared" si="0"/>
        <v>031</v>
      </c>
      <c r="B40" s="8"/>
      <c r="C40" s="8"/>
      <c r="D40" s="109"/>
      <c r="E40" s="8"/>
      <c r="F40" s="8"/>
      <c r="G40" s="8"/>
      <c r="H40" s="8"/>
      <c r="I40" s="8"/>
      <c r="J40" s="12"/>
      <c r="K40" s="104"/>
      <c r="L40" s="8"/>
      <c r="M40" s="8"/>
      <c r="N40" s="8"/>
      <c r="O40" s="8"/>
      <c r="P40" s="8"/>
      <c r="Q40" s="8"/>
    </row>
    <row r="41" spans="1:17">
      <c r="A41" s="10" t="str">
        <f t="shared" si="0"/>
        <v>032</v>
      </c>
      <c r="B41" s="8"/>
      <c r="C41" s="8"/>
      <c r="D41" s="109"/>
      <c r="E41" s="8"/>
      <c r="F41" s="8"/>
      <c r="G41" s="8"/>
      <c r="H41" s="8"/>
      <c r="I41" s="8"/>
      <c r="J41" s="12"/>
      <c r="K41" s="104"/>
      <c r="L41" s="8"/>
      <c r="M41" s="8"/>
      <c r="N41" s="8"/>
      <c r="O41" s="8"/>
      <c r="P41" s="8"/>
      <c r="Q41" s="8"/>
    </row>
    <row r="42" spans="1:17">
      <c r="A42" s="10" t="str">
        <f t="shared" si="0"/>
        <v>033</v>
      </c>
      <c r="B42" s="8"/>
      <c r="C42" s="8"/>
      <c r="D42" s="109"/>
      <c r="E42" s="8"/>
      <c r="F42" s="8"/>
      <c r="G42" s="8"/>
      <c r="H42" s="8"/>
      <c r="I42" s="8"/>
      <c r="J42" s="12"/>
      <c r="K42" s="104"/>
      <c r="L42" s="8"/>
      <c r="M42" s="8"/>
      <c r="N42" s="8"/>
      <c r="O42" s="8"/>
      <c r="P42" s="8"/>
      <c r="Q42" s="8"/>
    </row>
    <row r="43" spans="1:17">
      <c r="A43" s="10" t="str">
        <f t="shared" si="0"/>
        <v>034</v>
      </c>
      <c r="B43" s="8"/>
      <c r="C43" s="8"/>
      <c r="D43" s="109"/>
      <c r="E43" s="8"/>
      <c r="F43" s="8"/>
      <c r="G43" s="8"/>
      <c r="H43" s="8"/>
      <c r="I43" s="8"/>
      <c r="J43" s="12"/>
      <c r="K43" s="104"/>
      <c r="L43" s="8"/>
      <c r="M43" s="8"/>
      <c r="N43" s="8"/>
      <c r="O43" s="8"/>
      <c r="P43" s="8"/>
      <c r="Q43" s="8"/>
    </row>
    <row r="44" spans="1:17">
      <c r="A44" s="10" t="str">
        <f t="shared" si="0"/>
        <v>035</v>
      </c>
      <c r="B44" s="8"/>
      <c r="C44" s="8"/>
      <c r="D44" s="109"/>
      <c r="E44" s="8"/>
      <c r="F44" s="8"/>
      <c r="G44" s="8"/>
      <c r="H44" s="8"/>
      <c r="I44" s="8"/>
      <c r="J44" s="12"/>
      <c r="K44" s="104"/>
      <c r="L44" s="8"/>
      <c r="M44" s="8"/>
      <c r="N44" s="8"/>
      <c r="O44" s="8"/>
      <c r="P44" s="8"/>
      <c r="Q44" s="8"/>
    </row>
    <row r="45" spans="1:17">
      <c r="A45" s="10" t="str">
        <f t="shared" si="0"/>
        <v>036</v>
      </c>
      <c r="B45" s="8"/>
      <c r="C45" s="8"/>
      <c r="D45" s="109"/>
      <c r="E45" s="8"/>
      <c r="F45" s="8"/>
      <c r="G45" s="8"/>
      <c r="H45" s="8"/>
      <c r="I45" s="8"/>
      <c r="J45" s="12"/>
      <c r="K45" s="104"/>
      <c r="L45" s="8"/>
      <c r="M45" s="8"/>
      <c r="N45" s="8"/>
      <c r="O45" s="8"/>
      <c r="P45" s="8"/>
      <c r="Q45" s="8"/>
    </row>
    <row r="46" spans="1:17">
      <c r="A46" s="10" t="str">
        <f t="shared" si="0"/>
        <v>037</v>
      </c>
      <c r="B46" s="8"/>
      <c r="C46" s="8"/>
      <c r="D46" s="109"/>
      <c r="E46" s="8"/>
      <c r="F46" s="8"/>
      <c r="G46" s="8"/>
      <c r="H46" s="8"/>
      <c r="I46" s="8"/>
      <c r="J46" s="12"/>
      <c r="K46" s="104"/>
      <c r="L46" s="8"/>
      <c r="M46" s="8"/>
      <c r="N46" s="8"/>
      <c r="O46" s="8"/>
      <c r="P46" s="8"/>
      <c r="Q46" s="8"/>
    </row>
    <row r="47" spans="1:17">
      <c r="A47" s="10" t="str">
        <f t="shared" si="0"/>
        <v>038</v>
      </c>
      <c r="B47" s="8"/>
      <c r="C47" s="8"/>
      <c r="D47" s="109"/>
      <c r="E47" s="8"/>
      <c r="F47" s="8"/>
      <c r="G47" s="8"/>
      <c r="H47" s="8"/>
      <c r="I47" s="8"/>
      <c r="J47" s="12"/>
      <c r="K47" s="104"/>
      <c r="L47" s="8"/>
      <c r="M47" s="8"/>
      <c r="N47" s="8"/>
      <c r="O47" s="8"/>
      <c r="P47" s="8"/>
      <c r="Q47" s="8"/>
    </row>
    <row r="48" spans="1:17">
      <c r="A48" s="10" t="str">
        <f t="shared" si="0"/>
        <v>039</v>
      </c>
      <c r="B48" s="8"/>
      <c r="C48" s="8"/>
      <c r="D48" s="109"/>
      <c r="E48" s="8"/>
      <c r="F48" s="8"/>
      <c r="G48" s="8"/>
      <c r="H48" s="8"/>
      <c r="I48" s="8"/>
      <c r="J48" s="12"/>
      <c r="K48" s="104"/>
      <c r="L48" s="8"/>
      <c r="M48" s="8"/>
      <c r="N48" s="8"/>
      <c r="O48" s="8"/>
      <c r="P48" s="8"/>
      <c r="Q48" s="8"/>
    </row>
    <row r="49" spans="1:17">
      <c r="A49" s="10" t="str">
        <f t="shared" si="0"/>
        <v>040</v>
      </c>
      <c r="B49" s="8"/>
      <c r="C49" s="8"/>
      <c r="D49" s="109"/>
      <c r="E49" s="8"/>
      <c r="F49" s="8"/>
      <c r="G49" s="8"/>
      <c r="H49" s="8"/>
      <c r="I49" s="8"/>
      <c r="J49" s="12"/>
      <c r="K49" s="104"/>
      <c r="L49" s="8"/>
      <c r="M49" s="8"/>
      <c r="N49" s="8"/>
      <c r="O49" s="8"/>
      <c r="P49" s="8"/>
      <c r="Q49" s="8"/>
    </row>
    <row r="50" spans="1:17">
      <c r="A50" s="10" t="str">
        <f t="shared" si="0"/>
        <v>041</v>
      </c>
      <c r="B50" s="8"/>
      <c r="C50" s="8"/>
      <c r="D50" s="109"/>
      <c r="E50" s="8"/>
      <c r="F50" s="8"/>
      <c r="G50" s="8"/>
      <c r="H50" s="8"/>
      <c r="I50" s="8"/>
      <c r="J50" s="12"/>
      <c r="K50" s="104"/>
      <c r="L50" s="8"/>
      <c r="M50" s="8"/>
      <c r="N50" s="8"/>
      <c r="O50" s="8"/>
      <c r="P50" s="8"/>
      <c r="Q50" s="8"/>
    </row>
    <row r="51" spans="1:17">
      <c r="A51" s="10" t="str">
        <f t="shared" si="0"/>
        <v>042</v>
      </c>
      <c r="B51" s="8"/>
      <c r="C51" s="8"/>
      <c r="D51" s="109"/>
      <c r="E51" s="8"/>
      <c r="F51" s="8"/>
      <c r="G51" s="8"/>
      <c r="H51" s="8"/>
      <c r="I51" s="8"/>
      <c r="J51" s="12"/>
      <c r="K51" s="104"/>
      <c r="L51" s="8"/>
      <c r="M51" s="8"/>
      <c r="N51" s="8"/>
      <c r="O51" s="8"/>
      <c r="P51" s="8"/>
      <c r="Q51" s="8"/>
    </row>
    <row r="52" spans="1:17">
      <c r="A52" s="10" t="str">
        <f t="shared" si="0"/>
        <v>043</v>
      </c>
      <c r="B52" s="8"/>
      <c r="C52" s="8"/>
      <c r="D52" s="109"/>
      <c r="E52" s="8"/>
      <c r="F52" s="8"/>
      <c r="G52" s="8"/>
      <c r="H52" s="8"/>
      <c r="I52" s="8"/>
      <c r="J52" s="12"/>
      <c r="K52" s="104"/>
      <c r="L52" s="8"/>
      <c r="M52" s="8"/>
      <c r="N52" s="8"/>
      <c r="O52" s="8"/>
      <c r="P52" s="8"/>
      <c r="Q52" s="8"/>
    </row>
    <row r="53" spans="1:17">
      <c r="A53" s="10" t="str">
        <f t="shared" si="0"/>
        <v>044</v>
      </c>
      <c r="B53" s="8"/>
      <c r="C53" s="8"/>
      <c r="D53" s="109"/>
      <c r="E53" s="8"/>
      <c r="F53" s="8"/>
      <c r="G53" s="8"/>
      <c r="H53" s="8"/>
      <c r="I53" s="8"/>
      <c r="J53" s="12"/>
      <c r="K53" s="104"/>
      <c r="L53" s="8"/>
      <c r="M53" s="8"/>
      <c r="N53" s="8"/>
      <c r="O53" s="8"/>
      <c r="P53" s="8"/>
      <c r="Q53" s="8"/>
    </row>
    <row r="54" spans="1:17">
      <c r="A54" s="10" t="str">
        <f t="shared" si="0"/>
        <v>045</v>
      </c>
      <c r="B54" s="8"/>
      <c r="C54" s="8"/>
      <c r="D54" s="109"/>
      <c r="E54" s="8"/>
      <c r="F54" s="8"/>
      <c r="G54" s="8"/>
      <c r="H54" s="8"/>
      <c r="I54" s="8"/>
      <c r="J54" s="12"/>
      <c r="K54" s="104"/>
      <c r="L54" s="8"/>
      <c r="M54" s="8"/>
      <c r="N54" s="8"/>
      <c r="O54" s="8"/>
      <c r="P54" s="8"/>
      <c r="Q54" s="8"/>
    </row>
    <row r="55" spans="1:17">
      <c r="A55" s="10" t="str">
        <f t="shared" si="0"/>
        <v>046</v>
      </c>
      <c r="B55" s="8"/>
      <c r="C55" s="8"/>
      <c r="D55" s="109"/>
      <c r="E55" s="8"/>
      <c r="F55" s="8"/>
      <c r="G55" s="8"/>
      <c r="H55" s="8"/>
      <c r="I55" s="8"/>
      <c r="J55" s="12"/>
      <c r="K55" s="104"/>
      <c r="L55" s="8"/>
      <c r="M55" s="8"/>
      <c r="N55" s="8"/>
      <c r="O55" s="8"/>
      <c r="P55" s="18"/>
      <c r="Q55" s="18"/>
    </row>
  </sheetData>
  <mergeCells count="1">
    <mergeCell ref="C3:D3"/>
  </mergeCells>
  <phoneticPr fontId="20" type="noConversion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2D36E-B1E1-46F2-832D-8FCC70A77808}">
  <sheetPr codeName="Sheet2">
    <tabColor rgb="FF7030A0"/>
  </sheetPr>
  <dimension ref="A1:Q53"/>
  <sheetViews>
    <sheetView showGridLines="0" topLeftCell="C1" zoomScaleNormal="100" workbookViewId="0">
      <pane ySplit="4" topLeftCell="A5" activePane="bottomLeft" state="frozen"/>
      <selection pane="bottomLeft" activeCell="N6" sqref="N6"/>
    </sheetView>
  </sheetViews>
  <sheetFormatPr defaultRowHeight="14" outlineLevelCol="1"/>
  <cols>
    <col min="1" max="1" width="8.1640625" customWidth="1"/>
    <col min="2" max="2" width="12.08203125" customWidth="1"/>
    <col min="3" max="3" width="14.9140625" customWidth="1"/>
    <col min="4" max="4" width="11.08203125" customWidth="1"/>
    <col min="5" max="5" width="29.5" customWidth="1"/>
    <col min="7" max="8" width="11.4140625" hidden="1" customWidth="1" outlineLevel="1"/>
    <col min="9" max="12" width="9.08203125" hidden="1" customWidth="1" outlineLevel="1"/>
    <col min="13" max="13" width="8.33203125" style="71" customWidth="1" collapsed="1"/>
    <col min="14" max="14" width="10" customWidth="1"/>
    <col min="15" max="15" width="31.08203125" bestFit="1" customWidth="1"/>
    <col min="16" max="16" width="13.5" customWidth="1"/>
    <col min="17" max="17" width="14" customWidth="1"/>
  </cols>
  <sheetData>
    <row r="1" spans="1:17" ht="15.5">
      <c r="A1" s="1" t="s">
        <v>47</v>
      </c>
    </row>
    <row r="2" spans="1:17" ht="16.25" customHeight="1">
      <c r="C2" s="114" t="s">
        <v>3291</v>
      </c>
      <c r="D2" s="115" cm="1">
        <f t="array" ref="D2">MAX(IF(ISNUMBER(SEARCH("IN",Logfile_S[Transaction  Type])),Logfile_S[Date]))</f>
        <v>46275</v>
      </c>
    </row>
    <row r="3" spans="1:17" ht="23" customHeight="1">
      <c r="C3" s="112" t="s">
        <v>3292</v>
      </c>
      <c r="D3" s="113" cm="1">
        <f t="array" ref="D3">MAX(IF(ISNUMBER(SEARCH("OUT",Logfile_S[Transaction  Type])),Logfile_S[Date]))</f>
        <v>46276</v>
      </c>
      <c r="E3" s="101" t="s">
        <v>3295</v>
      </c>
      <c r="H3" s="71"/>
      <c r="I3" s="71"/>
      <c r="J3" s="71"/>
      <c r="K3" s="71"/>
      <c r="L3" s="71"/>
      <c r="M3" s="71" t="s">
        <v>3271</v>
      </c>
      <c r="N3" s="71" t="s">
        <v>3290</v>
      </c>
      <c r="Q3" s="83"/>
    </row>
    <row r="4" spans="1:17" s="25" customFormat="1" ht="32" customHeight="1">
      <c r="A4" s="21" t="s">
        <v>18</v>
      </c>
      <c r="B4" s="20" t="s">
        <v>30</v>
      </c>
      <c r="C4" s="20" t="s">
        <v>29</v>
      </c>
      <c r="D4" s="22" t="s">
        <v>28</v>
      </c>
      <c r="E4" s="22" t="s">
        <v>27</v>
      </c>
      <c r="F4" s="22" t="s">
        <v>17</v>
      </c>
      <c r="G4" s="23" t="s">
        <v>48</v>
      </c>
      <c r="H4" s="24" t="s">
        <v>49</v>
      </c>
      <c r="I4" s="30" t="s">
        <v>3021</v>
      </c>
      <c r="J4" s="30" t="s">
        <v>3022</v>
      </c>
      <c r="K4" s="29" t="s">
        <v>3019</v>
      </c>
      <c r="L4" s="29" t="s">
        <v>3020</v>
      </c>
      <c r="M4" s="107" t="s">
        <v>3293</v>
      </c>
      <c r="N4" s="74" t="s">
        <v>3289</v>
      </c>
      <c r="O4" s="108" t="s">
        <v>50</v>
      </c>
    </row>
    <row r="5" spans="1:17">
      <c r="A5" s="13" t="str">
        <f t="shared" ref="A5:A36" si="0">CONCATENATE(IF(ROW(A5)-4&lt;10,"00",IF(ROW(A5)-4&lt;100,"0","")),ROW(A5)-4)</f>
        <v>001</v>
      </c>
      <c r="B5" s="7" t="s">
        <v>3141</v>
      </c>
      <c r="C5" s="7" t="s">
        <v>37</v>
      </c>
      <c r="D5" s="4" t="s">
        <v>0</v>
      </c>
      <c r="E5" s="5" t="s">
        <v>3069</v>
      </c>
      <c r="F5" s="7" t="s">
        <v>19</v>
      </c>
      <c r="G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3427</v>
      </c>
      <c r="H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3534</v>
      </c>
      <c r="I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177</v>
      </c>
      <c r="J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43</v>
      </c>
      <c r="K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69</v>
      </c>
      <c r="L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69</v>
      </c>
      <c r="M5" s="110">
        <f>(Master_S[[#This Row],[INBOUND]]+Master_S[[#This Row],[Transfer IN]]+Master_S[[#This Row],[Borrow IN]])-(Master_S[[#This Row],[OUTBOUND]]+Master_S[[#This Row],[Transfer Out]]+Master_S[[#This Row],[Borrow Out]])</f>
        <v>27</v>
      </c>
      <c r="N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1</v>
      </c>
      <c r="O5" s="12" t="s">
        <v>4473</v>
      </c>
    </row>
    <row r="6" spans="1:17">
      <c r="A6" s="13" t="str">
        <f t="shared" si="0"/>
        <v>002</v>
      </c>
      <c r="B6" s="7" t="s">
        <v>3141</v>
      </c>
      <c r="C6" s="7" t="s">
        <v>37</v>
      </c>
      <c r="D6" s="4" t="s">
        <v>1</v>
      </c>
      <c r="E6" s="5" t="s">
        <v>3070</v>
      </c>
      <c r="F6" s="7" t="s">
        <v>19</v>
      </c>
      <c r="G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1848</v>
      </c>
      <c r="H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1833</v>
      </c>
      <c r="I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</v>
      </c>
      <c r="J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88</v>
      </c>
      <c r="L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88</v>
      </c>
      <c r="M6" s="110">
        <f>(Master_S[[#This Row],[INBOUND]]+Master_S[[#This Row],[Transfer IN]]+Master_S[[#This Row],[Borrow IN]])-(Master_S[[#This Row],[OUTBOUND]]+Master_S[[#This Row],[Transfer Out]]+Master_S[[#This Row],[Borrow Out]])</f>
        <v>16</v>
      </c>
      <c r="N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6" s="12" t="s">
        <v>4473</v>
      </c>
    </row>
    <row r="7" spans="1:17">
      <c r="A7" s="13" t="str">
        <f t="shared" si="0"/>
        <v>003</v>
      </c>
      <c r="B7" s="7" t="s">
        <v>3141</v>
      </c>
      <c r="C7" s="7" t="s">
        <v>37</v>
      </c>
      <c r="D7" s="4" t="s">
        <v>2</v>
      </c>
      <c r="E7" s="5" t="s">
        <v>3071</v>
      </c>
      <c r="F7" s="7" t="s">
        <v>19</v>
      </c>
      <c r="G7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173</v>
      </c>
      <c r="H7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183</v>
      </c>
      <c r="I7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16</v>
      </c>
      <c r="J7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4</v>
      </c>
      <c r="K7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7</v>
      </c>
      <c r="L7" s="322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7</v>
      </c>
      <c r="M7" s="325">
        <f>(Master_S[[#This Row],[INBOUND]]+Master_S[[#This Row],[Transfer IN]]+Master_S[[#This Row],[Borrow IN]])-(Master_S[[#This Row],[OUTBOUND]]+Master_S[[#This Row],[Transfer Out]]+Master_S[[#This Row],[Borrow Out]])</f>
        <v>2</v>
      </c>
      <c r="N7" s="327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1</v>
      </c>
      <c r="O7" s="12" t="s">
        <v>4473</v>
      </c>
    </row>
    <row r="8" spans="1:17">
      <c r="A8" s="13" t="str">
        <f t="shared" si="0"/>
        <v>004</v>
      </c>
      <c r="B8" s="7" t="s">
        <v>3141</v>
      </c>
      <c r="C8" s="7" t="s">
        <v>37</v>
      </c>
      <c r="D8" s="4" t="s">
        <v>3</v>
      </c>
      <c r="E8" s="5" t="s">
        <v>3072</v>
      </c>
      <c r="F8" s="7" t="s">
        <v>19</v>
      </c>
      <c r="G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46</v>
      </c>
      <c r="H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65</v>
      </c>
      <c r="I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21</v>
      </c>
      <c r="J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</v>
      </c>
      <c r="K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4</v>
      </c>
      <c r="L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4</v>
      </c>
      <c r="M8" s="110">
        <f>(Master_S[[#This Row],[INBOUND]]+Master_S[[#This Row],[Transfer IN]]+Master_S[[#This Row],[Borrow IN]])-(Master_S[[#This Row],[OUTBOUND]]+Master_S[[#This Row],[Transfer Out]]+Master_S[[#This Row],[Borrow Out]])</f>
        <v>1</v>
      </c>
      <c r="N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8" s="12" t="s">
        <v>4473</v>
      </c>
    </row>
    <row r="9" spans="1:17">
      <c r="A9" s="13" t="str">
        <f t="shared" si="0"/>
        <v>005</v>
      </c>
      <c r="B9" s="7" t="s">
        <v>3141</v>
      </c>
      <c r="C9" s="7" t="s">
        <v>37</v>
      </c>
      <c r="D9" s="176" t="s">
        <v>4732</v>
      </c>
      <c r="E9" s="177" t="s">
        <v>4731</v>
      </c>
      <c r="F9" s="175" t="s">
        <v>19</v>
      </c>
      <c r="G9" s="178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557</v>
      </c>
      <c r="H9" s="178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537</v>
      </c>
      <c r="I9" s="178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9" s="178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9" s="178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9" s="178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9" s="326">
        <f>(Master_S[[#This Row],[INBOUND]]+Master_S[[#This Row],[Transfer IN]]+Master_S[[#This Row],[Borrow IN]])-(Master_S[[#This Row],[OUTBOUND]]+Master_S[[#This Row],[Transfer Out]]+Master_S[[#This Row],[Borrow Out]])</f>
        <v>20</v>
      </c>
      <c r="N9" s="328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9" s="12" t="s">
        <v>4473</v>
      </c>
    </row>
    <row r="10" spans="1:17">
      <c r="A10" s="14" t="str">
        <f t="shared" si="0"/>
        <v>006</v>
      </c>
      <c r="B10" s="7" t="s">
        <v>3142</v>
      </c>
      <c r="C10" s="7" t="s">
        <v>37</v>
      </c>
      <c r="D10" s="16" t="s">
        <v>4</v>
      </c>
      <c r="E10" s="5" t="s">
        <v>3073</v>
      </c>
      <c r="F10" s="7" t="s">
        <v>20</v>
      </c>
      <c r="G10" s="136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213440</v>
      </c>
      <c r="H10" s="136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214290</v>
      </c>
      <c r="I10" s="136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9000</v>
      </c>
      <c r="J10" s="136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12000</v>
      </c>
      <c r="K10" s="136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11000</v>
      </c>
      <c r="L10" s="137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3000</v>
      </c>
      <c r="M10" s="324">
        <f>(Master_S[[#This Row],[INBOUND]]+Master_S[[#This Row],[Transfer IN]]+Master_S[[#This Row],[Borrow IN]])-(Master_S[[#This Row],[OUTBOUND]]+Master_S[[#This Row],[Transfer Out]]+Master_S[[#This Row],[Borrow Out]])</f>
        <v>4150</v>
      </c>
      <c r="N10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11059</v>
      </c>
      <c r="O10" s="12" t="s">
        <v>4473</v>
      </c>
    </row>
    <row r="11" spans="1:17">
      <c r="A11" s="13" t="str">
        <f t="shared" si="0"/>
        <v>007</v>
      </c>
      <c r="B11" s="7" t="s">
        <v>3142</v>
      </c>
      <c r="C11" s="7" t="s">
        <v>37</v>
      </c>
      <c r="D11" s="16" t="s">
        <v>3109</v>
      </c>
      <c r="E11" s="5" t="s">
        <v>3074</v>
      </c>
      <c r="F11" s="7" t="s">
        <v>20</v>
      </c>
      <c r="G11" s="136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33000</v>
      </c>
      <c r="H11" s="136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27000</v>
      </c>
      <c r="I11" s="136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11" s="136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11" s="136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1" s="137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1" s="324">
        <f>(Master_S[[#This Row],[INBOUND]]+Master_S[[#This Row],[Transfer IN]]+Master_S[[#This Row],[Borrow IN]])-(Master_S[[#This Row],[OUTBOUND]]+Master_S[[#This Row],[Transfer Out]]+Master_S[[#This Row],[Borrow Out]])</f>
        <v>6000</v>
      </c>
      <c r="N11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4291</v>
      </c>
      <c r="O11" s="12" t="s">
        <v>4478</v>
      </c>
    </row>
    <row r="12" spans="1:17">
      <c r="A12" s="13" t="str">
        <f t="shared" si="0"/>
        <v>008</v>
      </c>
      <c r="B12" s="7" t="s">
        <v>3142</v>
      </c>
      <c r="C12" s="7" t="s">
        <v>37</v>
      </c>
      <c r="D12" s="4" t="s">
        <v>5</v>
      </c>
      <c r="E12" s="5" t="s">
        <v>3075</v>
      </c>
      <c r="F12" s="7" t="s">
        <v>20</v>
      </c>
      <c r="G1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121019</v>
      </c>
      <c r="H1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130019</v>
      </c>
      <c r="I1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27000</v>
      </c>
      <c r="J1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15000</v>
      </c>
      <c r="K1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9000</v>
      </c>
      <c r="L1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9000</v>
      </c>
      <c r="M12" s="110">
        <f>(Master_S[[#This Row],[INBOUND]]+Master_S[[#This Row],[Transfer IN]]+Master_S[[#This Row],[Borrow IN]])-(Master_S[[#This Row],[OUTBOUND]]+Master_S[[#This Row],[Transfer Out]]+Master_S[[#This Row],[Borrow Out]])</f>
        <v>3000</v>
      </c>
      <c r="N12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9011</v>
      </c>
      <c r="O12" s="12" t="s">
        <v>4473</v>
      </c>
    </row>
    <row r="13" spans="1:17">
      <c r="A13" s="13" t="str">
        <f t="shared" si="0"/>
        <v>009</v>
      </c>
      <c r="B13" s="7" t="s">
        <v>3142</v>
      </c>
      <c r="C13" s="7" t="s">
        <v>37</v>
      </c>
      <c r="D13" s="4" t="s">
        <v>11</v>
      </c>
      <c r="E13" s="106" t="s">
        <v>3077</v>
      </c>
      <c r="F13" s="7" t="s">
        <v>20</v>
      </c>
      <c r="G1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30000</v>
      </c>
      <c r="H1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39000</v>
      </c>
      <c r="I1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6000</v>
      </c>
      <c r="J1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1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9000</v>
      </c>
      <c r="L1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6000</v>
      </c>
      <c r="M13" s="110">
        <f>(Master_S[[#This Row],[INBOUND]]+Master_S[[#This Row],[Transfer IN]]+Master_S[[#This Row],[Borrow IN]])-(Master_S[[#This Row],[OUTBOUND]]+Master_S[[#This Row],[Transfer Out]]+Master_S[[#This Row],[Borrow Out]])</f>
        <v>0</v>
      </c>
      <c r="N13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790</v>
      </c>
      <c r="O13" s="12" t="s">
        <v>4473</v>
      </c>
    </row>
    <row r="14" spans="1:17">
      <c r="A14" s="13" t="str">
        <f t="shared" si="0"/>
        <v>010</v>
      </c>
      <c r="B14" s="7" t="s">
        <v>3142</v>
      </c>
      <c r="C14" s="7" t="s">
        <v>37</v>
      </c>
      <c r="D14" s="4" t="s">
        <v>6</v>
      </c>
      <c r="E14" s="6" t="s">
        <v>14</v>
      </c>
      <c r="F14" s="7" t="s">
        <v>19</v>
      </c>
      <c r="G14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78</v>
      </c>
      <c r="H14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82</v>
      </c>
      <c r="I14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8</v>
      </c>
      <c r="J14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3</v>
      </c>
      <c r="K14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2</v>
      </c>
      <c r="L14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2</v>
      </c>
      <c r="M14" s="110">
        <f>(Master_S[[#This Row],[INBOUND]]+Master_S[[#This Row],[Transfer IN]]+Master_S[[#This Row],[Borrow IN]])-(Master_S[[#This Row],[OUTBOUND]]+Master_S[[#This Row],[Transfer Out]]+Master_S[[#This Row],[Borrow Out]])</f>
        <v>1</v>
      </c>
      <c r="N14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4" s="12" t="s">
        <v>4473</v>
      </c>
    </row>
    <row r="15" spans="1:17">
      <c r="A15" s="13" t="str">
        <f t="shared" si="0"/>
        <v>011</v>
      </c>
      <c r="B15" s="7" t="s">
        <v>3142</v>
      </c>
      <c r="C15" s="7" t="s">
        <v>37</v>
      </c>
      <c r="D15" s="4" t="s">
        <v>7</v>
      </c>
      <c r="E15" s="106" t="s">
        <v>15</v>
      </c>
      <c r="F15" s="7" t="s">
        <v>19</v>
      </c>
      <c r="G1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26</v>
      </c>
      <c r="H1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21</v>
      </c>
      <c r="I1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1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3</v>
      </c>
      <c r="K1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5" s="110">
        <f>(Master_S[[#This Row],[INBOUND]]+Master_S[[#This Row],[Transfer IN]]+Master_S[[#This Row],[Borrow IN]])-(Master_S[[#This Row],[OUTBOUND]]+Master_S[[#This Row],[Transfer Out]]+Master_S[[#This Row],[Borrow Out]])</f>
        <v>2</v>
      </c>
      <c r="N1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5" s="12" t="s">
        <v>4473</v>
      </c>
    </row>
    <row r="16" spans="1:17">
      <c r="A16" s="13" t="str">
        <f t="shared" si="0"/>
        <v>012</v>
      </c>
      <c r="B16" s="7" t="s">
        <v>3142</v>
      </c>
      <c r="C16" s="7" t="s">
        <v>37</v>
      </c>
      <c r="D16" s="4" t="s">
        <v>3110</v>
      </c>
      <c r="E16" s="106" t="s">
        <v>3078</v>
      </c>
      <c r="F16" s="7" t="s">
        <v>19</v>
      </c>
      <c r="G1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1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1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1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1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6" s="110">
        <f>(Master_S[[#This Row],[INBOUND]]+Master_S[[#This Row],[Transfer IN]]+Master_S[[#This Row],[Borrow IN]])-(Master_S[[#This Row],[OUTBOUND]]+Master_S[[#This Row],[Transfer Out]]+Master_S[[#This Row],[Borrow Out]])</f>
        <v>0</v>
      </c>
      <c r="N1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6" s="12" t="s">
        <v>5111</v>
      </c>
    </row>
    <row r="17" spans="1:15">
      <c r="A17" s="13" t="str">
        <f t="shared" si="0"/>
        <v>013</v>
      </c>
      <c r="B17" s="7" t="s">
        <v>3142</v>
      </c>
      <c r="C17" s="7" t="s">
        <v>37</v>
      </c>
      <c r="D17" s="4" t="s">
        <v>8</v>
      </c>
      <c r="E17" s="6" t="s">
        <v>13</v>
      </c>
      <c r="F17" s="7" t="s">
        <v>19</v>
      </c>
      <c r="G17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1590</v>
      </c>
      <c r="H17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1877</v>
      </c>
      <c r="I17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408</v>
      </c>
      <c r="J17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70</v>
      </c>
      <c r="K17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20</v>
      </c>
      <c r="L17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20</v>
      </c>
      <c r="M17" s="110">
        <f>(Master_S[[#This Row],[INBOUND]]+Master_S[[#This Row],[Transfer IN]]+Master_S[[#This Row],[Borrow IN]])-(Master_S[[#This Row],[OUTBOUND]]+Master_S[[#This Row],[Transfer Out]]+Master_S[[#This Row],[Borrow Out]])</f>
        <v>51</v>
      </c>
      <c r="N17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7" s="12" t="s">
        <v>4473</v>
      </c>
    </row>
    <row r="18" spans="1:15">
      <c r="A18" s="13" t="str">
        <f t="shared" si="0"/>
        <v>014</v>
      </c>
      <c r="B18" s="7" t="s">
        <v>3142</v>
      </c>
      <c r="C18" s="7" t="s">
        <v>37</v>
      </c>
      <c r="D18" s="4" t="s">
        <v>3111</v>
      </c>
      <c r="E18" s="6" t="s">
        <v>3079</v>
      </c>
      <c r="F18" s="7" t="s">
        <v>19</v>
      </c>
      <c r="G1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1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1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1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1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8" s="110">
        <f>(Master_S[[#This Row],[INBOUND]]+Master_S[[#This Row],[Transfer IN]]+Master_S[[#This Row],[Borrow IN]])-(Master_S[[#This Row],[OUTBOUND]]+Master_S[[#This Row],[Transfer Out]]+Master_S[[#This Row],[Borrow Out]])</f>
        <v>0</v>
      </c>
      <c r="N1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8" s="12" t="s">
        <v>5111</v>
      </c>
    </row>
    <row r="19" spans="1:15">
      <c r="A19" s="13" t="str">
        <f t="shared" si="0"/>
        <v>015</v>
      </c>
      <c r="B19" s="7" t="s">
        <v>3142</v>
      </c>
      <c r="C19" s="7" t="s">
        <v>37</v>
      </c>
      <c r="D19" s="4" t="s">
        <v>9</v>
      </c>
      <c r="E19" s="6" t="s">
        <v>3080</v>
      </c>
      <c r="F19" s="7" t="s">
        <v>19</v>
      </c>
      <c r="G19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35</v>
      </c>
      <c r="H19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39</v>
      </c>
      <c r="I19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77</v>
      </c>
      <c r="J19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62</v>
      </c>
      <c r="K19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9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9" s="110">
        <f>(Master_S[[#This Row],[INBOUND]]+Master_S[[#This Row],[Transfer IN]]+Master_S[[#This Row],[Borrow IN]])-(Master_S[[#This Row],[OUTBOUND]]+Master_S[[#This Row],[Transfer Out]]+Master_S[[#This Row],[Borrow Out]])</f>
        <v>11</v>
      </c>
      <c r="N19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9" s="12" t="s">
        <v>4473</v>
      </c>
    </row>
    <row r="20" spans="1:15">
      <c r="A20" s="13" t="str">
        <f t="shared" si="0"/>
        <v>016</v>
      </c>
      <c r="B20" s="7" t="s">
        <v>3142</v>
      </c>
      <c r="C20" s="7" t="s">
        <v>37</v>
      </c>
      <c r="D20" s="4" t="s">
        <v>3112</v>
      </c>
      <c r="E20" s="6" t="s">
        <v>3081</v>
      </c>
      <c r="F20" s="7" t="s">
        <v>19</v>
      </c>
      <c r="G20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0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0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0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0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0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0" s="110">
        <f>(Master_S[[#This Row],[INBOUND]]+Master_S[[#This Row],[Transfer IN]]+Master_S[[#This Row],[Borrow IN]])-(Master_S[[#This Row],[OUTBOUND]]+Master_S[[#This Row],[Transfer Out]]+Master_S[[#This Row],[Borrow Out]])</f>
        <v>0</v>
      </c>
      <c r="N20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0" s="12" t="s">
        <v>5111</v>
      </c>
    </row>
    <row r="21" spans="1:15">
      <c r="A21" s="14" t="str">
        <f t="shared" si="0"/>
        <v>017</v>
      </c>
      <c r="B21" s="15" t="s">
        <v>3142</v>
      </c>
      <c r="C21" s="15" t="s">
        <v>37</v>
      </c>
      <c r="D21" s="16" t="s">
        <v>3113</v>
      </c>
      <c r="E21" s="17" t="s">
        <v>3082</v>
      </c>
      <c r="F21" s="15" t="s">
        <v>19</v>
      </c>
      <c r="G21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1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1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1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1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1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1" s="110">
        <f>(Master_S[[#This Row],[INBOUND]]+Master_S[[#This Row],[Transfer IN]]+Master_S[[#This Row],[Borrow IN]])-(Master_S[[#This Row],[OUTBOUND]]+Master_S[[#This Row],[Transfer Out]]+Master_S[[#This Row],[Borrow Out]])</f>
        <v>0</v>
      </c>
      <c r="N21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1" s="12" t="s">
        <v>5111</v>
      </c>
    </row>
    <row r="22" spans="1:15">
      <c r="A22" s="13" t="str">
        <f t="shared" si="0"/>
        <v>018</v>
      </c>
      <c r="B22" s="7" t="s">
        <v>3142</v>
      </c>
      <c r="C22" s="7" t="s">
        <v>37</v>
      </c>
      <c r="D22" s="4" t="s">
        <v>10</v>
      </c>
      <c r="E22" s="106" t="s">
        <v>3076</v>
      </c>
      <c r="F22" s="7" t="s">
        <v>20</v>
      </c>
      <c r="G2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6000</v>
      </c>
      <c r="H2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6000</v>
      </c>
      <c r="I2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2" s="110">
        <f>(Master_S[[#This Row],[INBOUND]]+Master_S[[#This Row],[Transfer IN]]+Master_S[[#This Row],[Borrow IN]])-(Master_S[[#This Row],[OUTBOUND]]+Master_S[[#This Row],[Transfer Out]]+Master_S[[#This Row],[Borrow Out]])</f>
        <v>0</v>
      </c>
      <c r="N22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2" s="12" t="s">
        <v>4478</v>
      </c>
    </row>
    <row r="23" spans="1:15">
      <c r="A23" s="13" t="str">
        <f t="shared" si="0"/>
        <v>019</v>
      </c>
      <c r="B23" s="7" t="s">
        <v>3141</v>
      </c>
      <c r="C23" s="7" t="s">
        <v>37</v>
      </c>
      <c r="D23" s="4" t="s">
        <v>3145</v>
      </c>
      <c r="E23" s="6" t="s">
        <v>3144</v>
      </c>
      <c r="F23" s="105" t="s">
        <v>20</v>
      </c>
      <c r="G2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3" s="110">
        <f>(Master_S[[#This Row],[INBOUND]]+Master_S[[#This Row],[Transfer IN]]+Master_S[[#This Row],[Borrow IN]])-(Master_S[[#This Row],[OUTBOUND]]+Master_S[[#This Row],[Transfer Out]]+Master_S[[#This Row],[Borrow Out]])</f>
        <v>0</v>
      </c>
      <c r="N23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3" s="12" t="s">
        <v>5111</v>
      </c>
    </row>
    <row r="24" spans="1:15">
      <c r="A24" s="13" t="str">
        <f t="shared" si="0"/>
        <v>020</v>
      </c>
      <c r="B24" s="7" t="s">
        <v>3142</v>
      </c>
      <c r="C24" s="7" t="s">
        <v>37</v>
      </c>
      <c r="D24" s="4" t="s">
        <v>3114</v>
      </c>
      <c r="E24" s="6" t="s">
        <v>3083</v>
      </c>
      <c r="F24" s="7" t="s">
        <v>19</v>
      </c>
      <c r="G24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4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4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4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4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4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4" s="110">
        <f>(Master_S[[#This Row],[INBOUND]]+Master_S[[#This Row],[Transfer IN]]+Master_S[[#This Row],[Borrow IN]])-(Master_S[[#This Row],[OUTBOUND]]+Master_S[[#This Row],[Transfer Out]]+Master_S[[#This Row],[Borrow Out]])</f>
        <v>0</v>
      </c>
      <c r="N24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4" s="12" t="s">
        <v>5111</v>
      </c>
    </row>
    <row r="25" spans="1:15">
      <c r="A25" s="13" t="str">
        <f t="shared" si="0"/>
        <v>021</v>
      </c>
      <c r="B25" s="7" t="s">
        <v>3142</v>
      </c>
      <c r="C25" s="7" t="s">
        <v>37</v>
      </c>
      <c r="D25" s="4" t="s">
        <v>3115</v>
      </c>
      <c r="E25" s="6" t="s">
        <v>3084</v>
      </c>
      <c r="F25" s="7" t="s">
        <v>19</v>
      </c>
      <c r="G2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5" s="110">
        <f>(Master_S[[#This Row],[INBOUND]]+Master_S[[#This Row],[Transfer IN]]+Master_S[[#This Row],[Borrow IN]])-(Master_S[[#This Row],[OUTBOUND]]+Master_S[[#This Row],[Transfer Out]]+Master_S[[#This Row],[Borrow Out]])</f>
        <v>0</v>
      </c>
      <c r="N2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5" s="12" t="s">
        <v>5111</v>
      </c>
    </row>
    <row r="26" spans="1:15">
      <c r="A26" s="13" t="str">
        <f t="shared" si="0"/>
        <v>022</v>
      </c>
      <c r="B26" s="7" t="s">
        <v>3142</v>
      </c>
      <c r="C26" s="7" t="s">
        <v>37</v>
      </c>
      <c r="D26" s="4" t="s">
        <v>3116</v>
      </c>
      <c r="E26" s="6" t="s">
        <v>3085</v>
      </c>
      <c r="F26" s="7" t="s">
        <v>19</v>
      </c>
      <c r="G2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6" s="110">
        <f>(Master_S[[#This Row],[INBOUND]]+Master_S[[#This Row],[Transfer IN]]+Master_S[[#This Row],[Borrow IN]])-(Master_S[[#This Row],[OUTBOUND]]+Master_S[[#This Row],[Transfer Out]]+Master_S[[#This Row],[Borrow Out]])</f>
        <v>0</v>
      </c>
      <c r="N2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6" s="12" t="s">
        <v>5111</v>
      </c>
    </row>
    <row r="27" spans="1:15">
      <c r="A27" s="13" t="str">
        <f t="shared" si="0"/>
        <v>023</v>
      </c>
      <c r="B27" s="7" t="s">
        <v>3142</v>
      </c>
      <c r="C27" s="7" t="s">
        <v>37</v>
      </c>
      <c r="D27" s="4" t="s">
        <v>3117</v>
      </c>
      <c r="E27" s="6" t="s">
        <v>3086</v>
      </c>
      <c r="F27" s="7" t="s">
        <v>19</v>
      </c>
      <c r="G27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7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7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7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7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7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7" s="110">
        <f>(Master_S[[#This Row],[INBOUND]]+Master_S[[#This Row],[Transfer IN]]+Master_S[[#This Row],[Borrow IN]])-(Master_S[[#This Row],[OUTBOUND]]+Master_S[[#This Row],[Transfer Out]]+Master_S[[#This Row],[Borrow Out]])</f>
        <v>0</v>
      </c>
      <c r="N27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7" s="12" t="s">
        <v>5111</v>
      </c>
    </row>
    <row r="28" spans="1:15">
      <c r="A28" s="13" t="str">
        <f t="shared" si="0"/>
        <v>024</v>
      </c>
      <c r="B28" s="7" t="s">
        <v>3142</v>
      </c>
      <c r="C28" s="7" t="s">
        <v>37</v>
      </c>
      <c r="D28" s="4" t="s">
        <v>12</v>
      </c>
      <c r="E28" s="121" t="s">
        <v>16</v>
      </c>
      <c r="F28" s="105" t="s">
        <v>20</v>
      </c>
      <c r="G2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328</v>
      </c>
      <c r="H2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295</v>
      </c>
      <c r="I2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327</v>
      </c>
      <c r="L2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320</v>
      </c>
      <c r="M28" s="110">
        <f>(Master_S[[#This Row],[INBOUND]]+Master_S[[#This Row],[Transfer IN]]+Master_S[[#This Row],[Borrow IN]])-(Master_S[[#This Row],[OUTBOUND]]+Master_S[[#This Row],[Transfer Out]]+Master_S[[#This Row],[Borrow Out]])</f>
        <v>40</v>
      </c>
      <c r="N2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8" s="12" t="s">
        <v>4479</v>
      </c>
    </row>
    <row r="29" spans="1:15">
      <c r="A29" s="13" t="str">
        <f t="shared" si="0"/>
        <v>025</v>
      </c>
      <c r="B29" s="7" t="s">
        <v>3143</v>
      </c>
      <c r="C29" s="7" t="s">
        <v>37</v>
      </c>
      <c r="D29" s="215" t="s">
        <v>5112</v>
      </c>
      <c r="E29" s="6" t="s">
        <v>3103</v>
      </c>
      <c r="F29" s="7" t="s">
        <v>19</v>
      </c>
      <c r="G29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50</v>
      </c>
      <c r="H29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44</v>
      </c>
      <c r="I29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9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6</v>
      </c>
      <c r="K29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9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9" s="110">
        <f>(Master_S[[#This Row],[INBOUND]]+Master_S[[#This Row],[Transfer IN]]+Master_S[[#This Row],[Borrow IN]])-(Master_S[[#This Row],[OUTBOUND]]+Master_S[[#This Row],[Transfer Out]]+Master_S[[#This Row],[Borrow Out]])</f>
        <v>0</v>
      </c>
      <c r="N29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9" s="12" t="s">
        <v>4478</v>
      </c>
    </row>
    <row r="30" spans="1:15">
      <c r="A30" s="13" t="str">
        <f t="shared" si="0"/>
        <v>026</v>
      </c>
      <c r="B30" s="7" t="s">
        <v>3143</v>
      </c>
      <c r="C30" s="7" t="s">
        <v>37</v>
      </c>
      <c r="D30" s="215" t="s">
        <v>5113</v>
      </c>
      <c r="E30" s="6" t="s">
        <v>3104</v>
      </c>
      <c r="F30" s="7" t="s">
        <v>3140</v>
      </c>
      <c r="G30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30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30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30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0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0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0" s="110">
        <f>(Master_S[[#This Row],[INBOUND]]+Master_S[[#This Row],[Transfer IN]]+Master_S[[#This Row],[Borrow IN]])-(Master_S[[#This Row],[OUTBOUND]]+Master_S[[#This Row],[Transfer Out]]+Master_S[[#This Row],[Borrow Out]])</f>
        <v>0</v>
      </c>
      <c r="N30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0" s="12" t="s">
        <v>5111</v>
      </c>
    </row>
    <row r="31" spans="1:15">
      <c r="A31" s="13" t="str">
        <f t="shared" si="0"/>
        <v>027</v>
      </c>
      <c r="B31" s="7" t="s">
        <v>3143</v>
      </c>
      <c r="C31" s="7" t="s">
        <v>38</v>
      </c>
      <c r="D31" s="4" t="s">
        <v>3118</v>
      </c>
      <c r="E31" s="6" t="s">
        <v>3087</v>
      </c>
      <c r="F31" s="7" t="s">
        <v>19</v>
      </c>
      <c r="G31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1956</v>
      </c>
      <c r="H31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2145</v>
      </c>
      <c r="I31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195</v>
      </c>
      <c r="J31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6</v>
      </c>
      <c r="K31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1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1" s="110">
        <f>(Master_S[[#This Row],[INBOUND]]+Master_S[[#This Row],[Transfer IN]]+Master_S[[#This Row],[Borrow IN]])-(Master_S[[#This Row],[OUTBOUND]]+Master_S[[#This Row],[Transfer Out]]+Master_S[[#This Row],[Borrow Out]])</f>
        <v>0</v>
      </c>
      <c r="N31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1" s="12" t="s">
        <v>4473</v>
      </c>
    </row>
    <row r="32" spans="1:15">
      <c r="A32" s="13" t="str">
        <f t="shared" si="0"/>
        <v>028</v>
      </c>
      <c r="B32" s="7" t="s">
        <v>3143</v>
      </c>
      <c r="C32" s="7" t="s">
        <v>38</v>
      </c>
      <c r="D32" s="4" t="s">
        <v>3119</v>
      </c>
      <c r="E32" s="6" t="s">
        <v>3088</v>
      </c>
      <c r="F32" s="7" t="s">
        <v>19</v>
      </c>
      <c r="G3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120</v>
      </c>
      <c r="H3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104</v>
      </c>
      <c r="I3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13</v>
      </c>
      <c r="J3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2" s="110">
        <f>(Master_S[[#This Row],[INBOUND]]+Master_S[[#This Row],[Transfer IN]]+Master_S[[#This Row],[Borrow IN]])-(Master_S[[#This Row],[OUTBOUND]]+Master_S[[#This Row],[Transfer Out]]+Master_S[[#This Row],[Borrow Out]])</f>
        <v>29</v>
      </c>
      <c r="N32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2" s="12" t="s">
        <v>4473</v>
      </c>
    </row>
    <row r="33" spans="1:15">
      <c r="A33" s="13" t="str">
        <f t="shared" si="0"/>
        <v>029</v>
      </c>
      <c r="B33" s="7" t="s">
        <v>3143</v>
      </c>
      <c r="C33" s="7" t="s">
        <v>38</v>
      </c>
      <c r="D33" s="4" t="s">
        <v>3120</v>
      </c>
      <c r="E33" s="127" t="s">
        <v>3089</v>
      </c>
      <c r="F33" s="7" t="s">
        <v>19</v>
      </c>
      <c r="G3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9057</v>
      </c>
      <c r="H3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9157</v>
      </c>
      <c r="I3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100</v>
      </c>
      <c r="J3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3" s="110">
        <f>(Master_S[[#This Row],[INBOUND]]+Master_S[[#This Row],[Transfer IN]]+Master_S[[#This Row],[Borrow IN]])-(Master_S[[#This Row],[OUTBOUND]]+Master_S[[#This Row],[Transfer Out]]+Master_S[[#This Row],[Borrow Out]])</f>
        <v>0</v>
      </c>
      <c r="N33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3" s="12" t="s">
        <v>4473</v>
      </c>
    </row>
    <row r="34" spans="1:15">
      <c r="A34" s="13" t="str">
        <f t="shared" si="0"/>
        <v>030</v>
      </c>
      <c r="B34" s="7" t="s">
        <v>3143</v>
      </c>
      <c r="C34" s="7" t="s">
        <v>38</v>
      </c>
      <c r="D34" s="4" t="s">
        <v>3121</v>
      </c>
      <c r="E34" s="127" t="s">
        <v>3090</v>
      </c>
      <c r="F34" s="7" t="s">
        <v>19</v>
      </c>
      <c r="G34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3869</v>
      </c>
      <c r="H34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4156</v>
      </c>
      <c r="I34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437</v>
      </c>
      <c r="J34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150</v>
      </c>
      <c r="K34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4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4" s="110">
        <f>(Master_S[[#This Row],[INBOUND]]+Master_S[[#This Row],[Transfer IN]]+Master_S[[#This Row],[Borrow IN]])-(Master_S[[#This Row],[OUTBOUND]]+Master_S[[#This Row],[Transfer Out]]+Master_S[[#This Row],[Borrow Out]])</f>
        <v>0</v>
      </c>
      <c r="N34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4" s="12" t="s">
        <v>4473</v>
      </c>
    </row>
    <row r="35" spans="1:15">
      <c r="A35" s="13" t="str">
        <f t="shared" si="0"/>
        <v>031</v>
      </c>
      <c r="B35" s="7" t="s">
        <v>3143</v>
      </c>
      <c r="C35" s="7" t="s">
        <v>38</v>
      </c>
      <c r="D35" s="4" t="s">
        <v>3122</v>
      </c>
      <c r="E35" s="6" t="s">
        <v>3091</v>
      </c>
      <c r="F35" s="7" t="s">
        <v>19</v>
      </c>
      <c r="G3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4294</v>
      </c>
      <c r="H3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4436</v>
      </c>
      <c r="I3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372</v>
      </c>
      <c r="J3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230</v>
      </c>
      <c r="K3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5" s="110">
        <f>(Master_S[[#This Row],[INBOUND]]+Master_S[[#This Row],[Transfer IN]]+Master_S[[#This Row],[Borrow IN]])-(Master_S[[#This Row],[OUTBOUND]]+Master_S[[#This Row],[Transfer Out]]+Master_S[[#This Row],[Borrow Out]])</f>
        <v>0</v>
      </c>
      <c r="N3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5" s="12" t="s">
        <v>4473</v>
      </c>
    </row>
    <row r="36" spans="1:15">
      <c r="A36" s="13" t="str">
        <f t="shared" si="0"/>
        <v>032</v>
      </c>
      <c r="B36" s="7" t="s">
        <v>3143</v>
      </c>
      <c r="C36" s="7" t="s">
        <v>38</v>
      </c>
      <c r="D36" s="4" t="s">
        <v>3123</v>
      </c>
      <c r="E36" s="6" t="s">
        <v>3092</v>
      </c>
      <c r="F36" s="7" t="s">
        <v>19</v>
      </c>
      <c r="G3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715</v>
      </c>
      <c r="H3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715</v>
      </c>
      <c r="I3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3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6" s="110">
        <f>(Master_S[[#This Row],[INBOUND]]+Master_S[[#This Row],[Transfer IN]]+Master_S[[#This Row],[Borrow IN]])-(Master_S[[#This Row],[OUTBOUND]]+Master_S[[#This Row],[Transfer Out]]+Master_S[[#This Row],[Borrow Out]])</f>
        <v>0</v>
      </c>
      <c r="N3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6" s="12" t="s">
        <v>4478</v>
      </c>
    </row>
    <row r="37" spans="1:15">
      <c r="A37" s="13" t="str">
        <f t="shared" ref="A37:A53" si="1">CONCATENATE(IF(ROW(A37)-4&lt;10,"00",IF(ROW(A37)-4&lt;100,"0","")),ROW(A37)-4)</f>
        <v>033</v>
      </c>
      <c r="B37" s="7" t="s">
        <v>3143</v>
      </c>
      <c r="C37" s="7" t="s">
        <v>38</v>
      </c>
      <c r="D37" s="4" t="s">
        <v>3124</v>
      </c>
      <c r="E37" s="6" t="s">
        <v>3093</v>
      </c>
      <c r="F37" s="7" t="s">
        <v>19</v>
      </c>
      <c r="G37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285</v>
      </c>
      <c r="H37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285</v>
      </c>
      <c r="I37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37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7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7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7" s="110">
        <f>(Master_S[[#This Row],[INBOUND]]+Master_S[[#This Row],[Transfer IN]]+Master_S[[#This Row],[Borrow IN]])-(Master_S[[#This Row],[OUTBOUND]]+Master_S[[#This Row],[Transfer Out]]+Master_S[[#This Row],[Borrow Out]])</f>
        <v>0</v>
      </c>
      <c r="N37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7" s="12" t="s">
        <v>4478</v>
      </c>
    </row>
    <row r="38" spans="1:15">
      <c r="A38" s="13" t="str">
        <f t="shared" si="1"/>
        <v>034</v>
      </c>
      <c r="B38" s="7" t="s">
        <v>3143</v>
      </c>
      <c r="C38" s="7" t="s">
        <v>38</v>
      </c>
      <c r="D38" s="4" t="s">
        <v>3125</v>
      </c>
      <c r="E38" s="6" t="s">
        <v>3094</v>
      </c>
      <c r="F38" s="7" t="s">
        <v>19</v>
      </c>
      <c r="G3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6880</v>
      </c>
      <c r="H3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7195</v>
      </c>
      <c r="I3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390</v>
      </c>
      <c r="J3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75</v>
      </c>
      <c r="K3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10</v>
      </c>
      <c r="L3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10</v>
      </c>
      <c r="M38" s="110">
        <f>(Master_S[[#This Row],[INBOUND]]+Master_S[[#This Row],[Transfer IN]]+Master_S[[#This Row],[Borrow IN]])-(Master_S[[#This Row],[OUTBOUND]]+Master_S[[#This Row],[Transfer Out]]+Master_S[[#This Row],[Borrow Out]])</f>
        <v>0</v>
      </c>
      <c r="N3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8" s="12" t="s">
        <v>4473</v>
      </c>
    </row>
    <row r="39" spans="1:15">
      <c r="A39" s="13" t="str">
        <f t="shared" si="1"/>
        <v>035</v>
      </c>
      <c r="B39" s="7" t="s">
        <v>3143</v>
      </c>
      <c r="C39" s="7" t="s">
        <v>38</v>
      </c>
      <c r="D39" s="4" t="s">
        <v>3126</v>
      </c>
      <c r="E39" s="345" t="s">
        <v>5137</v>
      </c>
      <c r="F39" s="7" t="s">
        <v>19</v>
      </c>
      <c r="G39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7911</v>
      </c>
      <c r="H39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8937</v>
      </c>
      <c r="I39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1121</v>
      </c>
      <c r="J39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95</v>
      </c>
      <c r="K39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9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9" s="110">
        <f>(Master_S[[#This Row],[INBOUND]]+Master_S[[#This Row],[Transfer IN]]+Master_S[[#This Row],[Borrow IN]])-(Master_S[[#This Row],[OUTBOUND]]+Master_S[[#This Row],[Transfer Out]]+Master_S[[#This Row],[Borrow Out]])</f>
        <v>0</v>
      </c>
      <c r="N39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9" s="12" t="s">
        <v>4473</v>
      </c>
    </row>
    <row r="40" spans="1:15">
      <c r="A40" s="13" t="str">
        <f t="shared" si="1"/>
        <v>036</v>
      </c>
      <c r="B40" s="7" t="s">
        <v>3143</v>
      </c>
      <c r="C40" s="7" t="s">
        <v>38</v>
      </c>
      <c r="D40" s="4" t="s">
        <v>3127</v>
      </c>
      <c r="E40" s="6" t="s">
        <v>3096</v>
      </c>
      <c r="F40" s="7" t="s">
        <v>19</v>
      </c>
      <c r="G40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326</v>
      </c>
      <c r="H40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326</v>
      </c>
      <c r="I40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0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0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0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0" s="110">
        <f>(Master_S[[#This Row],[INBOUND]]+Master_S[[#This Row],[Transfer IN]]+Master_S[[#This Row],[Borrow IN]])-(Master_S[[#This Row],[OUTBOUND]]+Master_S[[#This Row],[Transfer Out]]+Master_S[[#This Row],[Borrow Out]])</f>
        <v>0</v>
      </c>
      <c r="N40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0" s="12" t="s">
        <v>4478</v>
      </c>
    </row>
    <row r="41" spans="1:15">
      <c r="A41" s="13" t="str">
        <f t="shared" si="1"/>
        <v>037</v>
      </c>
      <c r="B41" s="7" t="s">
        <v>3143</v>
      </c>
      <c r="C41" s="7" t="s">
        <v>38</v>
      </c>
      <c r="D41" s="4" t="s">
        <v>3128</v>
      </c>
      <c r="E41" s="6" t="s">
        <v>3097</v>
      </c>
      <c r="F41" s="105" t="s">
        <v>19</v>
      </c>
      <c r="G41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26.8</v>
      </c>
      <c r="H41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29.8</v>
      </c>
      <c r="I41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3</v>
      </c>
      <c r="J41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1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1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1" s="110">
        <f>(Master_S[[#This Row],[INBOUND]]+Master_S[[#This Row],[Transfer IN]]+Master_S[[#This Row],[Borrow IN]])-(Master_S[[#This Row],[OUTBOUND]]+Master_S[[#This Row],[Transfer Out]]+Master_S[[#This Row],[Borrow Out]])</f>
        <v>0</v>
      </c>
      <c r="N41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1" s="12" t="s">
        <v>4473</v>
      </c>
    </row>
    <row r="42" spans="1:15">
      <c r="A42" s="13" t="str">
        <f t="shared" si="1"/>
        <v>038</v>
      </c>
      <c r="B42" s="7" t="s">
        <v>3143</v>
      </c>
      <c r="C42" s="7" t="s">
        <v>38</v>
      </c>
      <c r="D42" s="4" t="s">
        <v>3129</v>
      </c>
      <c r="E42" s="6" t="s">
        <v>3098</v>
      </c>
      <c r="F42" s="7" t="s">
        <v>19</v>
      </c>
      <c r="G4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1100</v>
      </c>
      <c r="H4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1108</v>
      </c>
      <c r="I4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8</v>
      </c>
      <c r="J4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2" s="110">
        <f>(Master_S[[#This Row],[INBOUND]]+Master_S[[#This Row],[Transfer IN]]+Master_S[[#This Row],[Borrow IN]])-(Master_S[[#This Row],[OUTBOUND]]+Master_S[[#This Row],[Transfer Out]]+Master_S[[#This Row],[Borrow Out]])</f>
        <v>0</v>
      </c>
      <c r="N42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2" s="12" t="s">
        <v>4478</v>
      </c>
    </row>
    <row r="43" spans="1:15">
      <c r="A43" s="13" t="str">
        <f t="shared" si="1"/>
        <v>039</v>
      </c>
      <c r="B43" s="7" t="s">
        <v>3143</v>
      </c>
      <c r="C43" s="7" t="s">
        <v>38</v>
      </c>
      <c r="D43" s="4" t="s">
        <v>3130</v>
      </c>
      <c r="E43" s="6" t="s">
        <v>3099</v>
      </c>
      <c r="F43" s="7" t="s">
        <v>19</v>
      </c>
      <c r="G4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73</v>
      </c>
      <c r="H4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73</v>
      </c>
      <c r="I4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3" s="110">
        <f>(Master_S[[#This Row],[INBOUND]]+Master_S[[#This Row],[Transfer IN]]+Master_S[[#This Row],[Borrow IN]])-(Master_S[[#This Row],[OUTBOUND]]+Master_S[[#This Row],[Transfer Out]]+Master_S[[#This Row],[Borrow Out]])</f>
        <v>0</v>
      </c>
      <c r="N43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3" s="12" t="s">
        <v>4478</v>
      </c>
    </row>
    <row r="44" spans="1:15">
      <c r="A44" s="13" t="str">
        <f t="shared" si="1"/>
        <v>040</v>
      </c>
      <c r="B44" s="7" t="s">
        <v>3143</v>
      </c>
      <c r="C44" s="7" t="s">
        <v>38</v>
      </c>
      <c r="D44" s="4" t="s">
        <v>3131</v>
      </c>
      <c r="E44" s="345" t="s">
        <v>5139</v>
      </c>
      <c r="F44" s="7" t="s">
        <v>19</v>
      </c>
      <c r="G44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198</v>
      </c>
      <c r="H44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70</v>
      </c>
      <c r="I44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6</v>
      </c>
      <c r="J44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134</v>
      </c>
      <c r="K44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4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4" s="110">
        <f>(Master_S[[#This Row],[INBOUND]]+Master_S[[#This Row],[Transfer IN]]+Master_S[[#This Row],[Borrow IN]])-(Master_S[[#This Row],[OUTBOUND]]+Master_S[[#This Row],[Transfer Out]]+Master_S[[#This Row],[Borrow Out]])</f>
        <v>0</v>
      </c>
      <c r="N44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4" s="12" t="s">
        <v>4478</v>
      </c>
    </row>
    <row r="45" spans="1:15">
      <c r="A45" s="13" t="str">
        <f t="shared" si="1"/>
        <v>041</v>
      </c>
      <c r="B45" s="7" t="s">
        <v>3143</v>
      </c>
      <c r="C45" s="7" t="s">
        <v>38</v>
      </c>
      <c r="D45" s="4" t="s">
        <v>3132</v>
      </c>
      <c r="E45" s="6" t="s">
        <v>3101</v>
      </c>
      <c r="F45" s="7" t="s">
        <v>19</v>
      </c>
      <c r="G4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50</v>
      </c>
      <c r="H4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50</v>
      </c>
      <c r="I4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5" s="110">
        <f>(Master_S[[#This Row],[INBOUND]]+Master_S[[#This Row],[Transfer IN]]+Master_S[[#This Row],[Borrow IN]])-(Master_S[[#This Row],[OUTBOUND]]+Master_S[[#This Row],[Transfer Out]]+Master_S[[#This Row],[Borrow Out]])</f>
        <v>0</v>
      </c>
      <c r="N4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5" s="12" t="s">
        <v>4478</v>
      </c>
    </row>
    <row r="46" spans="1:15">
      <c r="A46" s="13" t="str">
        <f t="shared" si="1"/>
        <v>042</v>
      </c>
      <c r="B46" s="7" t="s">
        <v>3143</v>
      </c>
      <c r="C46" s="7" t="s">
        <v>38</v>
      </c>
      <c r="D46" s="4" t="s">
        <v>3133</v>
      </c>
      <c r="E46" s="6" t="s">
        <v>3102</v>
      </c>
      <c r="F46" s="7" t="s">
        <v>19</v>
      </c>
      <c r="G4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4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4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6" s="110">
        <f>(Master_S[[#This Row],[INBOUND]]+Master_S[[#This Row],[Transfer IN]]+Master_S[[#This Row],[Borrow IN]])-(Master_S[[#This Row],[OUTBOUND]]+Master_S[[#This Row],[Transfer Out]]+Master_S[[#This Row],[Borrow Out]])</f>
        <v>0</v>
      </c>
      <c r="N4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6" s="12" t="s">
        <v>5111</v>
      </c>
    </row>
    <row r="47" spans="1:15">
      <c r="A47" s="13" t="str">
        <f t="shared" si="1"/>
        <v>043</v>
      </c>
      <c r="B47" s="7" t="s">
        <v>3143</v>
      </c>
      <c r="C47" s="7" t="s">
        <v>38</v>
      </c>
      <c r="D47" s="4" t="s">
        <v>3136</v>
      </c>
      <c r="E47" s="6" t="s">
        <v>3105</v>
      </c>
      <c r="F47" s="7" t="s">
        <v>19</v>
      </c>
      <c r="G47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47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47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7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7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7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7" s="110">
        <f>(Master_S[[#This Row],[INBOUND]]+Master_S[[#This Row],[Transfer IN]]+Master_S[[#This Row],[Borrow IN]])-(Master_S[[#This Row],[OUTBOUND]]+Master_S[[#This Row],[Transfer Out]]+Master_S[[#This Row],[Borrow Out]])</f>
        <v>0</v>
      </c>
      <c r="N47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7" s="12" t="s">
        <v>5111</v>
      </c>
    </row>
    <row r="48" spans="1:15">
      <c r="A48" s="13" t="str">
        <f t="shared" si="1"/>
        <v>044</v>
      </c>
      <c r="B48" s="7" t="s">
        <v>3143</v>
      </c>
      <c r="C48" s="7" t="s">
        <v>38</v>
      </c>
      <c r="D48" s="4" t="s">
        <v>3137</v>
      </c>
      <c r="E48" s="6" t="s">
        <v>3106</v>
      </c>
      <c r="F48" s="7" t="s">
        <v>19</v>
      </c>
      <c r="G4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60</v>
      </c>
      <c r="H4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60</v>
      </c>
      <c r="I4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8" s="110">
        <f>(Master_S[[#This Row],[INBOUND]]+Master_S[[#This Row],[Transfer IN]]+Master_S[[#This Row],[Borrow IN]])-(Master_S[[#This Row],[OUTBOUND]]+Master_S[[#This Row],[Transfer Out]]+Master_S[[#This Row],[Borrow Out]])</f>
        <v>0</v>
      </c>
      <c r="N4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8" s="12" t="s">
        <v>4478</v>
      </c>
    </row>
    <row r="49" spans="1:15">
      <c r="A49" s="13" t="str">
        <f t="shared" si="1"/>
        <v>045</v>
      </c>
      <c r="B49" s="7" t="s">
        <v>3143</v>
      </c>
      <c r="C49" s="7" t="s">
        <v>38</v>
      </c>
      <c r="D49" s="4" t="s">
        <v>3138</v>
      </c>
      <c r="E49" s="6" t="s">
        <v>3107</v>
      </c>
      <c r="F49" s="7" t="s">
        <v>19</v>
      </c>
      <c r="G49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200</v>
      </c>
      <c r="H49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200</v>
      </c>
      <c r="I49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9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9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9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9" s="110">
        <f>(Master_S[[#This Row],[INBOUND]]+Master_S[[#This Row],[Transfer IN]]+Master_S[[#This Row],[Borrow IN]])-(Master_S[[#This Row],[OUTBOUND]]+Master_S[[#This Row],[Transfer Out]]+Master_S[[#This Row],[Borrow Out]])</f>
        <v>0</v>
      </c>
      <c r="N49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9" s="12" t="s">
        <v>4478</v>
      </c>
    </row>
    <row r="50" spans="1:15">
      <c r="A50" s="13" t="str">
        <f t="shared" si="1"/>
        <v>046</v>
      </c>
      <c r="B50" s="7" t="s">
        <v>3143</v>
      </c>
      <c r="C50" s="7" t="s">
        <v>38</v>
      </c>
      <c r="D50" s="4" t="s">
        <v>3139</v>
      </c>
      <c r="E50" s="129" t="s">
        <v>3108</v>
      </c>
      <c r="F50" s="7" t="s">
        <v>19</v>
      </c>
      <c r="G50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1528</v>
      </c>
      <c r="H50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970</v>
      </c>
      <c r="I50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830</v>
      </c>
      <c r="J50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1000</v>
      </c>
      <c r="K50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50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50" s="110">
        <f>(Master_S[[#This Row],[INBOUND]]+Master_S[[#This Row],[Transfer IN]]+Master_S[[#This Row],[Borrow IN]])-(Master_S[[#This Row],[OUTBOUND]]+Master_S[[#This Row],[Transfer Out]]+Master_S[[#This Row],[Borrow Out]])</f>
        <v>388</v>
      </c>
      <c r="N50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50" s="12" t="s">
        <v>4478</v>
      </c>
    </row>
    <row r="51" spans="1:15">
      <c r="A51" s="13" t="str">
        <f t="shared" si="1"/>
        <v>047</v>
      </c>
      <c r="B51" s="7" t="s">
        <v>3143</v>
      </c>
      <c r="C51" s="7" t="s">
        <v>38</v>
      </c>
      <c r="D51" s="167" t="s">
        <v>3222</v>
      </c>
      <c r="E51" s="345" t="s">
        <v>3442</v>
      </c>
      <c r="F51" s="7" t="s">
        <v>19</v>
      </c>
      <c r="G51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2</v>
      </c>
      <c r="H51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51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51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51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51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51" s="110">
        <f>(Master_S[[#This Row],[INBOUND]]+Master_S[[#This Row],[Transfer IN]]+Master_S[[#This Row],[Borrow IN]])-(Master_S[[#This Row],[OUTBOUND]]+Master_S[[#This Row],[Transfer Out]]+Master_S[[#This Row],[Borrow Out]])</f>
        <v>2</v>
      </c>
      <c r="N51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51" s="12" t="s">
        <v>5111</v>
      </c>
    </row>
    <row r="52" spans="1:15">
      <c r="A52" s="13" t="str">
        <f t="shared" si="1"/>
        <v>048</v>
      </c>
      <c r="B52" s="7" t="s">
        <v>3142</v>
      </c>
      <c r="C52" s="7" t="s">
        <v>38</v>
      </c>
      <c r="D52" s="321" t="s">
        <v>4523</v>
      </c>
      <c r="E52" s="138" t="s">
        <v>4524</v>
      </c>
      <c r="F52" s="7" t="s">
        <v>19</v>
      </c>
      <c r="G5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</v>
      </c>
      <c r="H5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</v>
      </c>
      <c r="I5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5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5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5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52" s="323">
        <f>(Master_S[[#This Row],[INBOUND]]+Master_S[[#This Row],[Transfer IN]]+Master_S[[#This Row],[Borrow IN]])-(Master_S[[#This Row],[OUTBOUND]]+Master_S[[#This Row],[Transfer Out]]+Master_S[[#This Row],[Borrow Out]])</f>
        <v>0</v>
      </c>
      <c r="N52" s="139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52" s="12" t="s">
        <v>4473</v>
      </c>
    </row>
    <row r="53" spans="1:15">
      <c r="A53" s="13" t="str">
        <f t="shared" si="1"/>
        <v>049</v>
      </c>
      <c r="B53" s="7" t="s">
        <v>3142</v>
      </c>
      <c r="C53" s="7" t="s">
        <v>38</v>
      </c>
      <c r="D53" s="167" t="s">
        <v>4644</v>
      </c>
      <c r="E53" s="170" t="s">
        <v>4645</v>
      </c>
      <c r="F53" s="7" t="s">
        <v>19</v>
      </c>
      <c r="G5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5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5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5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5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5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53" s="323">
        <f>(Master_S[[#This Row],[INBOUND]]+Master_S[[#This Row],[Transfer IN]]+Master_S[[#This Row],[Borrow IN]])-(Master_S[[#This Row],[OUTBOUND]]+Master_S[[#This Row],[Transfer Out]]+Master_S[[#This Row],[Borrow Out]])</f>
        <v>0</v>
      </c>
      <c r="N53" s="139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53" s="12" t="s">
        <v>5111</v>
      </c>
    </row>
  </sheetData>
  <phoneticPr fontId="20" type="noConversion"/>
  <conditionalFormatting sqref="D5:D6 D8:D53">
    <cfRule type="duplicateValues" dxfId="316" priority="6"/>
  </conditionalFormatting>
  <conditionalFormatting sqref="D7">
    <cfRule type="duplicateValues" dxfId="315" priority="1"/>
  </conditionalFormatting>
  <pageMargins left="0.7" right="0.7" top="0.75" bottom="0.75" header="0.3" footer="0.3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65391C1-6732-433A-8BAD-6E12484A37E4}">
          <x14:formula1>
            <xm:f>DV!$E$10:$E$31</xm:f>
          </x14:formula1>
          <xm:sqref>E3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0FDCF-0BFE-496E-9C24-5C9A5DDF0484}">
  <sheetPr codeName="Sheet14"/>
  <dimension ref="A2:E53"/>
  <sheetViews>
    <sheetView topLeftCell="A7" workbookViewId="0">
      <selection sqref="A1:A1048576"/>
    </sheetView>
  </sheetViews>
  <sheetFormatPr defaultRowHeight="14"/>
  <cols>
    <col min="1" max="1" width="29.5" customWidth="1"/>
    <col min="2" max="2" width="12.08203125" customWidth="1"/>
    <col min="3" max="3" width="14.9140625" customWidth="1"/>
    <col min="4" max="4" width="11.08203125" customWidth="1"/>
    <col min="5" max="5" width="29.5" customWidth="1"/>
  </cols>
  <sheetData>
    <row r="2" spans="1:5">
      <c r="C2" s="114" t="s">
        <v>3291</v>
      </c>
      <c r="D2" s="115" cm="1">
        <f t="array" ref="D2">MAX(IF(ISNUMBER(SEARCH("IN",Logfile_S[Transaction  Type])),Logfile_S[Date]))</f>
        <v>46275</v>
      </c>
    </row>
    <row r="3" spans="1:5" ht="18">
      <c r="A3" s="101" t="s">
        <v>3295</v>
      </c>
      <c r="C3" s="112" t="s">
        <v>3292</v>
      </c>
      <c r="D3" s="113" cm="1">
        <f t="array" ref="D3">MAX(IF(ISNUMBER(SEARCH("OUT",Logfile_S[Transaction  Type])),Logfile_S[Date]))</f>
        <v>46276</v>
      </c>
      <c r="E3" s="101" t="s">
        <v>3295</v>
      </c>
    </row>
    <row r="4" spans="1:5" ht="28">
      <c r="A4" s="22" t="s">
        <v>27</v>
      </c>
      <c r="B4" s="20" t="s">
        <v>30</v>
      </c>
      <c r="C4" s="20" t="s">
        <v>29</v>
      </c>
      <c r="D4" s="22" t="s">
        <v>28</v>
      </c>
      <c r="E4" s="22" t="s">
        <v>27</v>
      </c>
    </row>
    <row r="5" spans="1:5">
      <c r="A5" s="5" t="s">
        <v>3069</v>
      </c>
      <c r="B5" s="7" t="s">
        <v>3141</v>
      </c>
      <c r="C5" s="7" t="s">
        <v>37</v>
      </c>
      <c r="D5" s="4" t="s">
        <v>0</v>
      </c>
      <c r="E5" s="5" t="s">
        <v>3069</v>
      </c>
    </row>
    <row r="6" spans="1:5">
      <c r="A6" s="5" t="s">
        <v>3070</v>
      </c>
      <c r="B6" s="7" t="s">
        <v>3141</v>
      </c>
      <c r="C6" s="7" t="s">
        <v>37</v>
      </c>
      <c r="D6" s="4" t="s">
        <v>1</v>
      </c>
      <c r="E6" s="5" t="s">
        <v>3070</v>
      </c>
    </row>
    <row r="7" spans="1:5">
      <c r="A7" s="177" t="s">
        <v>4731</v>
      </c>
      <c r="B7" s="7" t="s">
        <v>3141</v>
      </c>
      <c r="C7" s="7" t="s">
        <v>37</v>
      </c>
      <c r="D7" s="176" t="s">
        <v>4732</v>
      </c>
      <c r="E7" s="177" t="s">
        <v>4731</v>
      </c>
    </row>
    <row r="8" spans="1:5">
      <c r="A8" s="5" t="s">
        <v>3071</v>
      </c>
      <c r="B8" s="7" t="s">
        <v>3141</v>
      </c>
      <c r="C8" s="7" t="s">
        <v>37</v>
      </c>
      <c r="D8" s="4" t="s">
        <v>2</v>
      </c>
      <c r="E8" s="5" t="s">
        <v>3071</v>
      </c>
    </row>
    <row r="9" spans="1:5">
      <c r="A9" s="5" t="s">
        <v>3072</v>
      </c>
      <c r="B9" s="7" t="s">
        <v>3141</v>
      </c>
      <c r="C9" s="7" t="s">
        <v>37</v>
      </c>
      <c r="D9" s="4" t="s">
        <v>3</v>
      </c>
      <c r="E9" s="5" t="s">
        <v>3072</v>
      </c>
    </row>
    <row r="10" spans="1:5">
      <c r="A10" s="138" t="s">
        <v>4524</v>
      </c>
      <c r="B10" s="7" t="s">
        <v>3142</v>
      </c>
      <c r="C10" s="7" t="s">
        <v>38</v>
      </c>
      <c r="D10" s="135" t="s">
        <v>4523</v>
      </c>
      <c r="E10" s="138" t="s">
        <v>4524</v>
      </c>
    </row>
    <row r="11" spans="1:5">
      <c r="A11" s="170" t="s">
        <v>4645</v>
      </c>
      <c r="B11" s="7" t="s">
        <v>3142</v>
      </c>
      <c r="C11" s="7" t="s">
        <v>38</v>
      </c>
      <c r="D11" s="169" t="s">
        <v>4644</v>
      </c>
      <c r="E11" s="170" t="s">
        <v>4645</v>
      </c>
    </row>
    <row r="12" spans="1:5">
      <c r="A12" s="5" t="s">
        <v>3073</v>
      </c>
      <c r="B12" s="7" t="s">
        <v>3142</v>
      </c>
      <c r="C12" s="7" t="s">
        <v>37</v>
      </c>
      <c r="D12" s="4" t="s">
        <v>4</v>
      </c>
      <c r="E12" s="5" t="s">
        <v>3073</v>
      </c>
    </row>
    <row r="13" spans="1:5">
      <c r="A13" s="5" t="s">
        <v>3074</v>
      </c>
      <c r="B13" s="7" t="s">
        <v>3142</v>
      </c>
      <c r="C13" s="7" t="s">
        <v>37</v>
      </c>
      <c r="D13" s="4" t="s">
        <v>3109</v>
      </c>
      <c r="E13" s="5" t="s">
        <v>3074</v>
      </c>
    </row>
    <row r="14" spans="1:5">
      <c r="A14" s="5" t="s">
        <v>3075</v>
      </c>
      <c r="B14" s="7" t="s">
        <v>3142</v>
      </c>
      <c r="C14" s="7" t="s">
        <v>37</v>
      </c>
      <c r="D14" s="4" t="s">
        <v>5</v>
      </c>
      <c r="E14" s="5" t="s">
        <v>3075</v>
      </c>
    </row>
    <row r="15" spans="1:5">
      <c r="A15" s="106" t="s">
        <v>3076</v>
      </c>
      <c r="B15" s="7" t="s">
        <v>3142</v>
      </c>
      <c r="C15" s="7" t="s">
        <v>37</v>
      </c>
      <c r="D15" s="4" t="s">
        <v>10</v>
      </c>
      <c r="E15" s="106" t="s">
        <v>3076</v>
      </c>
    </row>
    <row r="16" spans="1:5">
      <c r="A16" s="106" t="s">
        <v>3077</v>
      </c>
      <c r="B16" s="7" t="s">
        <v>3142</v>
      </c>
      <c r="C16" s="7" t="s">
        <v>37</v>
      </c>
      <c r="D16" s="4" t="s">
        <v>11</v>
      </c>
      <c r="E16" s="106" t="s">
        <v>3077</v>
      </c>
    </row>
    <row r="17" spans="1:5">
      <c r="A17" s="6" t="s">
        <v>14</v>
      </c>
      <c r="B17" s="7" t="s">
        <v>3142</v>
      </c>
      <c r="C17" s="7" t="s">
        <v>37</v>
      </c>
      <c r="D17" s="4" t="s">
        <v>6</v>
      </c>
      <c r="E17" s="6" t="s">
        <v>14</v>
      </c>
    </row>
    <row r="18" spans="1:5">
      <c r="A18" s="106" t="s">
        <v>15</v>
      </c>
      <c r="B18" s="7" t="s">
        <v>3142</v>
      </c>
      <c r="C18" s="7" t="s">
        <v>37</v>
      </c>
      <c r="D18" s="4" t="s">
        <v>7</v>
      </c>
      <c r="E18" s="106" t="s">
        <v>15</v>
      </c>
    </row>
    <row r="19" spans="1:5">
      <c r="A19" s="106" t="s">
        <v>3078</v>
      </c>
      <c r="B19" s="7" t="s">
        <v>3142</v>
      </c>
      <c r="C19" s="7" t="s">
        <v>37</v>
      </c>
      <c r="D19" s="4" t="s">
        <v>3110</v>
      </c>
      <c r="E19" s="106" t="s">
        <v>3078</v>
      </c>
    </row>
    <row r="20" spans="1:5">
      <c r="A20" s="6" t="s">
        <v>13</v>
      </c>
      <c r="B20" s="7" t="s">
        <v>3142</v>
      </c>
      <c r="C20" s="7" t="s">
        <v>37</v>
      </c>
      <c r="D20" s="4" t="s">
        <v>8</v>
      </c>
      <c r="E20" s="6" t="s">
        <v>13</v>
      </c>
    </row>
    <row r="21" spans="1:5">
      <c r="A21" s="17" t="s">
        <v>3079</v>
      </c>
      <c r="B21" s="15" t="s">
        <v>3142</v>
      </c>
      <c r="C21" s="15" t="s">
        <v>37</v>
      </c>
      <c r="D21" s="16" t="s">
        <v>3111</v>
      </c>
      <c r="E21" s="17" t="s">
        <v>3079</v>
      </c>
    </row>
    <row r="22" spans="1:5">
      <c r="A22" s="6" t="s">
        <v>3080</v>
      </c>
      <c r="B22" s="7" t="s">
        <v>3142</v>
      </c>
      <c r="C22" s="7" t="s">
        <v>37</v>
      </c>
      <c r="D22" s="4" t="s">
        <v>9</v>
      </c>
      <c r="E22" s="6" t="s">
        <v>3080</v>
      </c>
    </row>
    <row r="23" spans="1:5">
      <c r="A23" s="6" t="s">
        <v>3081</v>
      </c>
      <c r="B23" s="7" t="s">
        <v>3142</v>
      </c>
      <c r="C23" s="7" t="s">
        <v>37</v>
      </c>
      <c r="D23" s="4" t="s">
        <v>3112</v>
      </c>
      <c r="E23" s="6" t="s">
        <v>3081</v>
      </c>
    </row>
    <row r="24" spans="1:5">
      <c r="A24" s="6" t="s">
        <v>3082</v>
      </c>
      <c r="B24" s="7" t="s">
        <v>3142</v>
      </c>
      <c r="C24" s="7" t="s">
        <v>37</v>
      </c>
      <c r="D24" s="4" t="s">
        <v>3113</v>
      </c>
      <c r="E24" s="6" t="s">
        <v>3082</v>
      </c>
    </row>
    <row r="25" spans="1:5">
      <c r="A25" s="121" t="s">
        <v>16</v>
      </c>
      <c r="B25" s="7" t="s">
        <v>3142</v>
      </c>
      <c r="C25" s="7" t="s">
        <v>37</v>
      </c>
      <c r="D25" s="4" t="s">
        <v>12</v>
      </c>
      <c r="E25" s="121" t="s">
        <v>16</v>
      </c>
    </row>
    <row r="26" spans="1:5">
      <c r="A26" s="6" t="s">
        <v>3083</v>
      </c>
      <c r="B26" s="7" t="s">
        <v>3142</v>
      </c>
      <c r="C26" s="7" t="s">
        <v>37</v>
      </c>
      <c r="D26" s="4" t="s">
        <v>3114</v>
      </c>
      <c r="E26" s="6" t="s">
        <v>3083</v>
      </c>
    </row>
    <row r="27" spans="1:5">
      <c r="A27" s="6" t="s">
        <v>3084</v>
      </c>
      <c r="B27" s="7" t="s">
        <v>3142</v>
      </c>
      <c r="C27" s="7" t="s">
        <v>37</v>
      </c>
      <c r="D27" s="4" t="s">
        <v>3115</v>
      </c>
      <c r="E27" s="6" t="s">
        <v>3084</v>
      </c>
    </row>
    <row r="28" spans="1:5">
      <c r="A28" s="6" t="s">
        <v>3085</v>
      </c>
      <c r="B28" s="7" t="s">
        <v>3142</v>
      </c>
      <c r="C28" s="7" t="s">
        <v>37</v>
      </c>
      <c r="D28" s="4" t="s">
        <v>3116</v>
      </c>
      <c r="E28" s="6" t="s">
        <v>3085</v>
      </c>
    </row>
    <row r="29" spans="1:5">
      <c r="A29" s="6" t="s">
        <v>3086</v>
      </c>
      <c r="B29" s="7" t="s">
        <v>3142</v>
      </c>
      <c r="C29" s="7" t="s">
        <v>37</v>
      </c>
      <c r="D29" s="4" t="s">
        <v>3117</v>
      </c>
      <c r="E29" s="6" t="s">
        <v>3086</v>
      </c>
    </row>
    <row r="30" spans="1:5">
      <c r="A30" s="6" t="s">
        <v>3087</v>
      </c>
      <c r="B30" s="7" t="s">
        <v>3143</v>
      </c>
      <c r="C30" s="7" t="s">
        <v>38</v>
      </c>
      <c r="D30" s="4" t="s">
        <v>3118</v>
      </c>
      <c r="E30" s="6" t="s">
        <v>3087</v>
      </c>
    </row>
    <row r="31" spans="1:5">
      <c r="A31" s="6" t="s">
        <v>3088</v>
      </c>
      <c r="B31" s="7" t="s">
        <v>3143</v>
      </c>
      <c r="C31" s="7" t="s">
        <v>38</v>
      </c>
      <c r="D31" s="4" t="s">
        <v>3119</v>
      </c>
      <c r="E31" s="6" t="s">
        <v>3088</v>
      </c>
    </row>
    <row r="32" spans="1:5">
      <c r="A32" s="127" t="s">
        <v>3089</v>
      </c>
      <c r="B32" s="7" t="s">
        <v>3143</v>
      </c>
      <c r="C32" s="7" t="s">
        <v>38</v>
      </c>
      <c r="D32" s="4" t="s">
        <v>3120</v>
      </c>
      <c r="E32" s="127" t="s">
        <v>3089</v>
      </c>
    </row>
    <row r="33" spans="1:5">
      <c r="A33" s="127" t="s">
        <v>3090</v>
      </c>
      <c r="B33" s="7" t="s">
        <v>3143</v>
      </c>
      <c r="C33" s="7" t="s">
        <v>38</v>
      </c>
      <c r="D33" s="4" t="s">
        <v>3121</v>
      </c>
      <c r="E33" s="127" t="s">
        <v>3090</v>
      </c>
    </row>
    <row r="34" spans="1:5">
      <c r="A34" s="6" t="s">
        <v>3091</v>
      </c>
      <c r="B34" s="7" t="s">
        <v>3143</v>
      </c>
      <c r="C34" s="7" t="s">
        <v>38</v>
      </c>
      <c r="D34" s="4" t="s">
        <v>3122</v>
      </c>
      <c r="E34" s="6" t="s">
        <v>3091</v>
      </c>
    </row>
    <row r="35" spans="1:5">
      <c r="A35" s="6" t="s">
        <v>3092</v>
      </c>
      <c r="B35" s="7" t="s">
        <v>3143</v>
      </c>
      <c r="C35" s="7" t="s">
        <v>38</v>
      </c>
      <c r="D35" s="4" t="s">
        <v>3123</v>
      </c>
      <c r="E35" s="6" t="s">
        <v>3092</v>
      </c>
    </row>
    <row r="36" spans="1:5">
      <c r="A36" s="6" t="s">
        <v>3093</v>
      </c>
      <c r="B36" s="7" t="s">
        <v>3143</v>
      </c>
      <c r="C36" s="7" t="s">
        <v>38</v>
      </c>
      <c r="D36" s="4" t="s">
        <v>3124</v>
      </c>
      <c r="E36" s="6" t="s">
        <v>3093</v>
      </c>
    </row>
    <row r="37" spans="1:5">
      <c r="A37" s="6" t="s">
        <v>3094</v>
      </c>
      <c r="B37" s="7" t="s">
        <v>3143</v>
      </c>
      <c r="C37" s="7" t="s">
        <v>38</v>
      </c>
      <c r="D37" s="4" t="s">
        <v>3125</v>
      </c>
      <c r="E37" s="6" t="s">
        <v>3094</v>
      </c>
    </row>
    <row r="38" spans="1:5">
      <c r="A38" s="127" t="s">
        <v>3095</v>
      </c>
      <c r="B38" s="7" t="s">
        <v>3143</v>
      </c>
      <c r="C38" s="7" t="s">
        <v>38</v>
      </c>
      <c r="D38" s="4" t="s">
        <v>3126</v>
      </c>
      <c r="E38" s="127" t="s">
        <v>3095</v>
      </c>
    </row>
    <row r="39" spans="1:5">
      <c r="A39" s="6" t="s">
        <v>3096</v>
      </c>
      <c r="B39" s="7" t="s">
        <v>3143</v>
      </c>
      <c r="C39" s="7" t="s">
        <v>38</v>
      </c>
      <c r="D39" s="4" t="s">
        <v>3127</v>
      </c>
      <c r="E39" s="6" t="s">
        <v>3096</v>
      </c>
    </row>
    <row r="40" spans="1:5">
      <c r="A40" s="6" t="s">
        <v>3097</v>
      </c>
      <c r="B40" s="7" t="s">
        <v>3143</v>
      </c>
      <c r="C40" s="7" t="s">
        <v>38</v>
      </c>
      <c r="D40" s="4" t="s">
        <v>3128</v>
      </c>
      <c r="E40" s="6" t="s">
        <v>3097</v>
      </c>
    </row>
    <row r="41" spans="1:5">
      <c r="A41" s="6" t="s">
        <v>3098</v>
      </c>
      <c r="B41" s="7" t="s">
        <v>3143</v>
      </c>
      <c r="C41" s="7" t="s">
        <v>38</v>
      </c>
      <c r="D41" s="4" t="s">
        <v>3129</v>
      </c>
      <c r="E41" s="6" t="s">
        <v>3098</v>
      </c>
    </row>
    <row r="42" spans="1:5">
      <c r="A42" s="6" t="s">
        <v>3099</v>
      </c>
      <c r="B42" s="7" t="s">
        <v>3143</v>
      </c>
      <c r="C42" s="7" t="s">
        <v>38</v>
      </c>
      <c r="D42" s="4" t="s">
        <v>3130</v>
      </c>
      <c r="E42" s="6" t="s">
        <v>3099</v>
      </c>
    </row>
    <row r="43" spans="1:5">
      <c r="A43" s="6" t="s">
        <v>3100</v>
      </c>
      <c r="B43" s="7" t="s">
        <v>3143</v>
      </c>
      <c r="C43" s="7" t="s">
        <v>38</v>
      </c>
      <c r="D43" s="4" t="s">
        <v>3131</v>
      </c>
      <c r="E43" s="6" t="s">
        <v>3100</v>
      </c>
    </row>
    <row r="44" spans="1:5">
      <c r="A44" s="6" t="s">
        <v>3101</v>
      </c>
      <c r="B44" s="7" t="s">
        <v>3143</v>
      </c>
      <c r="C44" s="7" t="s">
        <v>38</v>
      </c>
      <c r="D44" s="4" t="s">
        <v>3132</v>
      </c>
      <c r="E44" s="6" t="s">
        <v>3101</v>
      </c>
    </row>
    <row r="45" spans="1:5">
      <c r="A45" s="6" t="s">
        <v>3102</v>
      </c>
      <c r="B45" s="7" t="s">
        <v>3143</v>
      </c>
      <c r="C45" s="7" t="s">
        <v>38</v>
      </c>
      <c r="D45" s="4" t="s">
        <v>3133</v>
      </c>
      <c r="E45" s="6" t="s">
        <v>3102</v>
      </c>
    </row>
    <row r="46" spans="1:5">
      <c r="A46" s="6" t="s">
        <v>3103</v>
      </c>
      <c r="B46" s="7" t="s">
        <v>3143</v>
      </c>
      <c r="C46" s="7" t="s">
        <v>37</v>
      </c>
      <c r="D46" s="4" t="s">
        <v>3134</v>
      </c>
      <c r="E46" s="6" t="s">
        <v>3103</v>
      </c>
    </row>
    <row r="47" spans="1:5">
      <c r="A47" s="6" t="s">
        <v>3104</v>
      </c>
      <c r="B47" s="7" t="s">
        <v>3143</v>
      </c>
      <c r="C47" s="7" t="s">
        <v>37</v>
      </c>
      <c r="D47" s="4" t="s">
        <v>3135</v>
      </c>
      <c r="E47" s="6" t="s">
        <v>3104</v>
      </c>
    </row>
    <row r="48" spans="1:5">
      <c r="A48" s="6" t="s">
        <v>3105</v>
      </c>
      <c r="B48" s="7" t="s">
        <v>3143</v>
      </c>
      <c r="C48" s="7" t="s">
        <v>38</v>
      </c>
      <c r="D48" s="4" t="s">
        <v>3136</v>
      </c>
      <c r="E48" s="6" t="s">
        <v>3105</v>
      </c>
    </row>
    <row r="49" spans="1:5">
      <c r="A49" s="6" t="s">
        <v>3106</v>
      </c>
      <c r="B49" s="7" t="s">
        <v>3143</v>
      </c>
      <c r="C49" s="7" t="s">
        <v>38</v>
      </c>
      <c r="D49" s="4" t="s">
        <v>3137</v>
      </c>
      <c r="E49" s="6" t="s">
        <v>3106</v>
      </c>
    </row>
    <row r="50" spans="1:5">
      <c r="A50" s="6" t="s">
        <v>3107</v>
      </c>
      <c r="B50" s="7" t="s">
        <v>3143</v>
      </c>
      <c r="C50" s="7" t="s">
        <v>38</v>
      </c>
      <c r="D50" s="4" t="s">
        <v>3138</v>
      </c>
      <c r="E50" s="6" t="s">
        <v>3107</v>
      </c>
    </row>
    <row r="51" spans="1:5">
      <c r="A51" s="129" t="s">
        <v>3108</v>
      </c>
      <c r="B51" s="7" t="s">
        <v>3143</v>
      </c>
      <c r="C51" s="7" t="s">
        <v>38</v>
      </c>
      <c r="D51" s="4" t="s">
        <v>3139</v>
      </c>
      <c r="E51" s="129" t="s">
        <v>3108</v>
      </c>
    </row>
    <row r="52" spans="1:5">
      <c r="A52" s="168" t="s">
        <v>4646</v>
      </c>
      <c r="B52" s="7" t="s">
        <v>3143</v>
      </c>
      <c r="C52" s="7" t="s">
        <v>38</v>
      </c>
      <c r="D52" s="167" t="s">
        <v>3222</v>
      </c>
      <c r="E52" s="168" t="s">
        <v>4646</v>
      </c>
    </row>
    <row r="53" spans="1:5">
      <c r="A53" s="6" t="s">
        <v>3144</v>
      </c>
      <c r="B53" s="7" t="s">
        <v>3141</v>
      </c>
      <c r="C53" s="7" t="s">
        <v>37</v>
      </c>
      <c r="D53" s="4" t="s">
        <v>3145</v>
      </c>
      <c r="E53" s="6" t="s">
        <v>3144</v>
      </c>
    </row>
  </sheetData>
  <conditionalFormatting sqref="D5:D6 D8:D53">
    <cfRule type="duplicateValues" dxfId="314" priority="2"/>
  </conditionalFormatting>
  <conditionalFormatting sqref="D7">
    <cfRule type="duplicateValues" dxfId="313" priority="1"/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5CC805C-8FE2-47E3-9BDF-152261EC8FEC}">
          <x14:formula1>
            <xm:f>DV!$E$10:$E$31</xm:f>
          </x14:formula1>
          <xm:sqref>E3 A3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CF413-1CED-4B85-97CD-F50768B6E8FC}">
  <sheetPr codeName="Sheet9">
    <tabColor rgb="FF00B0F0"/>
  </sheetPr>
  <dimension ref="A1:N19"/>
  <sheetViews>
    <sheetView showGridLines="0" zoomScale="115" zoomScaleNormal="115" workbookViewId="0">
      <selection activeCell="G21" sqref="G21"/>
    </sheetView>
  </sheetViews>
  <sheetFormatPr defaultRowHeight="14"/>
  <cols>
    <col min="1" max="1" width="14.83203125" bestFit="1" customWidth="1"/>
    <col min="2" max="2" width="15.4140625" bestFit="1" customWidth="1"/>
    <col min="3" max="5" width="5" bestFit="1" customWidth="1"/>
    <col min="6" max="9" width="6" bestFit="1" customWidth="1"/>
    <col min="10" max="12" width="6.1640625" customWidth="1"/>
    <col min="13" max="13" width="12.25" bestFit="1" customWidth="1"/>
    <col min="14" max="14" width="14" bestFit="1" customWidth="1"/>
    <col min="15" max="15" width="5" bestFit="1" customWidth="1"/>
  </cols>
  <sheetData>
    <row r="1" spans="1:14">
      <c r="A1" s="103" t="s">
        <v>4520</v>
      </c>
      <c r="M1" s="103" t="s">
        <v>3632</v>
      </c>
    </row>
    <row r="2" spans="1:14">
      <c r="M2" s="103"/>
    </row>
    <row r="3" spans="1:14">
      <c r="A3" s="124" t="s">
        <v>17</v>
      </c>
      <c r="B3" t="s">
        <v>20</v>
      </c>
      <c r="M3" s="124" t="s">
        <v>17</v>
      </c>
      <c r="N3" t="s">
        <v>19</v>
      </c>
    </row>
    <row r="4" spans="1:14">
      <c r="A4" s="124" t="s">
        <v>23</v>
      </c>
      <c r="B4" t="s">
        <v>3295</v>
      </c>
      <c r="M4" s="124" t="s">
        <v>22</v>
      </c>
      <c r="N4" t="s">
        <v>3622</v>
      </c>
    </row>
    <row r="5" spans="1:14">
      <c r="M5" s="124" t="s">
        <v>23</v>
      </c>
      <c r="N5" t="s">
        <v>3295</v>
      </c>
    </row>
    <row r="6" spans="1:14">
      <c r="A6" s="124" t="s">
        <v>3621</v>
      </c>
      <c r="B6" t="s">
        <v>3619</v>
      </c>
    </row>
    <row r="7" spans="1:14">
      <c r="A7" s="558">
        <v>1</v>
      </c>
      <c r="B7" s="179">
        <v>98</v>
      </c>
      <c r="J7" s="71"/>
      <c r="K7" s="71"/>
      <c r="M7" s="124" t="s">
        <v>3633</v>
      </c>
      <c r="N7" s="126" t="s">
        <v>3615</v>
      </c>
    </row>
    <row r="8" spans="1:14">
      <c r="A8" s="125" t="s">
        <v>3073</v>
      </c>
      <c r="B8" s="179">
        <v>50</v>
      </c>
      <c r="J8" s="71"/>
      <c r="K8" s="71"/>
      <c r="M8" s="124" t="s">
        <v>3621</v>
      </c>
    </row>
    <row r="9" spans="1:14">
      <c r="A9" s="125" t="s">
        <v>3075</v>
      </c>
      <c r="B9" s="179">
        <v>32</v>
      </c>
      <c r="J9" s="71"/>
      <c r="K9" s="71"/>
      <c r="M9" s="558" t="s">
        <v>3227</v>
      </c>
      <c r="N9" s="179">
        <v>3</v>
      </c>
    </row>
    <row r="10" spans="1:14">
      <c r="A10" s="125" t="s">
        <v>3076</v>
      </c>
      <c r="B10" s="179">
        <v>1</v>
      </c>
      <c r="J10" s="71"/>
      <c r="K10" s="71"/>
      <c r="M10" s="558" t="s">
        <v>3071</v>
      </c>
      <c r="N10" s="179">
        <v>1</v>
      </c>
    </row>
    <row r="11" spans="1:14">
      <c r="A11" s="125" t="s">
        <v>3077</v>
      </c>
      <c r="B11" s="179">
        <v>5</v>
      </c>
      <c r="J11" s="71"/>
      <c r="K11" s="71"/>
      <c r="M11" s="558" t="s">
        <v>3620</v>
      </c>
      <c r="N11" s="179">
        <v>4</v>
      </c>
    </row>
    <row r="12" spans="1:14">
      <c r="A12" s="125" t="s">
        <v>3074</v>
      </c>
      <c r="B12" s="179">
        <v>10</v>
      </c>
      <c r="J12" s="71"/>
      <c r="K12" s="71"/>
    </row>
    <row r="13" spans="1:14">
      <c r="A13" s="558">
        <v>-1</v>
      </c>
      <c r="B13" s="179">
        <v>-39</v>
      </c>
      <c r="J13" s="71"/>
      <c r="K13" s="71"/>
    </row>
    <row r="14" spans="1:14">
      <c r="A14" s="125" t="s">
        <v>3073</v>
      </c>
      <c r="B14" s="179">
        <v>-23</v>
      </c>
      <c r="J14" s="71"/>
      <c r="K14" s="71"/>
    </row>
    <row r="15" spans="1:14">
      <c r="A15" s="125" t="s">
        <v>3075</v>
      </c>
      <c r="B15" s="179">
        <v>-6</v>
      </c>
      <c r="J15" s="71"/>
      <c r="K15" s="71"/>
    </row>
    <row r="16" spans="1:14">
      <c r="A16" s="125" t="s">
        <v>3076</v>
      </c>
      <c r="B16" s="179">
        <v>-1</v>
      </c>
      <c r="J16" s="71"/>
      <c r="K16" s="71"/>
    </row>
    <row r="17" spans="1:11">
      <c r="A17" s="125" t="s">
        <v>3077</v>
      </c>
      <c r="B17" s="179">
        <v>-5</v>
      </c>
      <c r="J17" s="71"/>
      <c r="K17" s="71"/>
    </row>
    <row r="18" spans="1:11">
      <c r="A18" s="125" t="s">
        <v>3074</v>
      </c>
      <c r="B18" s="179">
        <v>-4</v>
      </c>
    </row>
    <row r="19" spans="1:11">
      <c r="A19" s="558" t="s">
        <v>3620</v>
      </c>
      <c r="B19" s="179">
        <v>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AEAD7-E5D9-4110-81CC-4B2426BBF68B}">
  <sheetPr codeName="Sheet3">
    <tabColor rgb="FF00B0F0"/>
  </sheetPr>
  <dimension ref="A1:AF1117"/>
  <sheetViews>
    <sheetView topLeftCell="A230" zoomScale="85" zoomScaleNormal="85" workbookViewId="0">
      <selection activeCell="B235" sqref="B235:C235"/>
    </sheetView>
  </sheetViews>
  <sheetFormatPr defaultRowHeight="14"/>
  <cols>
    <col min="1" max="1" width="14.58203125" bestFit="1" customWidth="1"/>
    <col min="2" max="2" width="14.1640625" bestFit="1" customWidth="1"/>
    <col min="3" max="3" width="61" bestFit="1" customWidth="1"/>
    <col min="4" max="4" width="12.58203125" bestFit="1" customWidth="1"/>
    <col min="5" max="5" width="12.08203125" bestFit="1" customWidth="1"/>
    <col min="6" max="6" width="16.1640625" bestFit="1" customWidth="1"/>
    <col min="7" max="7" width="17.08203125" bestFit="1" customWidth="1"/>
    <col min="8" max="8" width="20.08203125" bestFit="1" customWidth="1"/>
    <col min="9" max="23" width="8.4140625" style="133" customWidth="1"/>
    <col min="24" max="24" width="10.5" bestFit="1" customWidth="1"/>
  </cols>
  <sheetData>
    <row r="1" spans="1:32">
      <c r="A1" s="103" t="s">
        <v>4521</v>
      </c>
    </row>
    <row r="3" spans="1:32">
      <c r="I3" s="141">
        <f>GETPIVOTDATA("Qty",$A$4,"Material Name","1:8 SPL for FDT-AE &amp; UG")</f>
        <v>58</v>
      </c>
      <c r="J3" s="141">
        <f>GETPIVOTDATA("Qty",$A$4,"Material Name","ADSS 144C")</f>
        <v>36000</v>
      </c>
      <c r="K3" s="140">
        <f>GETPIVOTDATA("Qty",$A$4,"Material Name","ADSS 24C")</f>
        <v>193440</v>
      </c>
      <c r="L3" s="140">
        <f>GETPIVOTDATA("Qty",$A$4,"Material Name","ADSS 36C")</f>
        <v>30000</v>
      </c>
      <c r="M3" s="140">
        <f>GETPIVOTDATA("Qty",$A$4,"Material Name","ADSS 48C")</f>
        <v>130019</v>
      </c>
      <c r="N3" s="140">
        <f>GETPIVOTDATA("Qty",$A$4,"Material Name","FAT-16")</f>
        <v>1611</v>
      </c>
      <c r="O3" s="140">
        <f t="shared" ref="O3:W3" si="0">GETPIVOTDATA("Qty",$A$4,"Material Name",O5)</f>
        <v>6000</v>
      </c>
      <c r="P3" s="140">
        <f t="shared" si="0"/>
        <v>73</v>
      </c>
      <c r="Q3" s="140">
        <f t="shared" si="0"/>
        <v>20</v>
      </c>
      <c r="R3" s="140">
        <f t="shared" si="0"/>
        <v>1611</v>
      </c>
      <c r="S3" s="140">
        <f t="shared" si="0"/>
        <v>58</v>
      </c>
      <c r="T3" s="140">
        <f t="shared" si="0"/>
        <v>380</v>
      </c>
      <c r="U3" s="140">
        <f t="shared" si="0"/>
        <v>36000</v>
      </c>
      <c r="V3" s="140">
        <f t="shared" si="0"/>
        <v>483</v>
      </c>
      <c r="W3" s="140">
        <f t="shared" si="0"/>
        <v>0</v>
      </c>
      <c r="X3" s="140"/>
    </row>
    <row r="4" spans="1:32">
      <c r="A4" s="124" t="s">
        <v>3633</v>
      </c>
      <c r="I4" s="124" t="s">
        <v>4522</v>
      </c>
      <c r="J4"/>
      <c r="K4"/>
      <c r="L4"/>
      <c r="M4"/>
      <c r="N4"/>
      <c r="O4"/>
      <c r="P4"/>
      <c r="Q4"/>
      <c r="R4"/>
      <c r="S4"/>
      <c r="T4"/>
      <c r="U4"/>
      <c r="V4"/>
      <c r="W4"/>
    </row>
    <row r="5" spans="1:32" s="132" customFormat="1" ht="51" customHeight="1">
      <c r="A5" s="124" t="s">
        <v>3621</v>
      </c>
      <c r="B5" s="124" t="s">
        <v>31</v>
      </c>
      <c r="C5" s="124" t="s">
        <v>60</v>
      </c>
      <c r="D5" s="124" t="s">
        <v>61</v>
      </c>
      <c r="E5" s="124" t="s">
        <v>62</v>
      </c>
      <c r="F5" s="164" t="s">
        <v>63</v>
      </c>
      <c r="G5" s="164" t="s">
        <v>64</v>
      </c>
      <c r="H5" s="164" t="s">
        <v>34</v>
      </c>
      <c r="I5" s="165" t="s">
        <v>3069</v>
      </c>
      <c r="J5" s="165" t="s">
        <v>3070</v>
      </c>
      <c r="K5" s="165" t="s">
        <v>3071</v>
      </c>
      <c r="L5" s="165" t="s">
        <v>3073</v>
      </c>
      <c r="M5" s="165" t="s">
        <v>3074</v>
      </c>
      <c r="N5" s="165" t="s">
        <v>3075</v>
      </c>
      <c r="O5" s="165" t="s">
        <v>3076</v>
      </c>
      <c r="P5" s="165" t="s">
        <v>14</v>
      </c>
      <c r="Q5" s="165" t="s">
        <v>15</v>
      </c>
      <c r="R5" s="165" t="s">
        <v>13</v>
      </c>
      <c r="S5" s="165" t="s">
        <v>3080</v>
      </c>
      <c r="T5" s="165" t="s">
        <v>16</v>
      </c>
      <c r="U5" s="165" t="s">
        <v>3077</v>
      </c>
      <c r="V5" s="165" t="s">
        <v>4731</v>
      </c>
      <c r="W5" s="165" t="s">
        <v>4559</v>
      </c>
      <c r="X5" s="165" t="s">
        <v>4856</v>
      </c>
      <c r="Y5" s="165" t="s">
        <v>3620</v>
      </c>
      <c r="Z5"/>
      <c r="AA5"/>
      <c r="AB5"/>
      <c r="AC5"/>
      <c r="AD5"/>
      <c r="AE5"/>
      <c r="AF5"/>
    </row>
    <row r="6" spans="1:32">
      <c r="A6" s="130">
        <v>45142</v>
      </c>
      <c r="B6" t="s">
        <v>84</v>
      </c>
      <c r="C6" t="s">
        <v>85</v>
      </c>
      <c r="D6" t="s">
        <v>71</v>
      </c>
      <c r="E6" t="s">
        <v>24</v>
      </c>
      <c r="F6" t="s">
        <v>3295</v>
      </c>
      <c r="G6" t="s">
        <v>88</v>
      </c>
      <c r="H6" t="s">
        <v>89</v>
      </c>
      <c r="I6" s="174">
        <v>56</v>
      </c>
      <c r="J6" s="174">
        <v>7</v>
      </c>
      <c r="K6" s="174"/>
      <c r="L6" s="174"/>
      <c r="M6" s="174"/>
      <c r="N6" s="174"/>
      <c r="O6" s="174"/>
      <c r="P6" s="174"/>
      <c r="Q6" s="174"/>
      <c r="R6" s="174"/>
      <c r="S6" s="174"/>
      <c r="T6" s="174"/>
      <c r="U6" s="174"/>
      <c r="V6" s="174"/>
      <c r="W6" s="174"/>
      <c r="X6" s="174"/>
      <c r="Y6" s="174">
        <v>63</v>
      </c>
    </row>
    <row r="7" spans="1:32">
      <c r="A7" s="130">
        <v>45142</v>
      </c>
      <c r="B7" t="s">
        <v>84</v>
      </c>
      <c r="C7" t="s">
        <v>85</v>
      </c>
      <c r="D7" t="s">
        <v>71</v>
      </c>
      <c r="E7" t="s">
        <v>24</v>
      </c>
      <c r="F7" t="s">
        <v>3295</v>
      </c>
      <c r="G7" t="s">
        <v>86</v>
      </c>
      <c r="H7" t="s">
        <v>87</v>
      </c>
      <c r="I7" s="174"/>
      <c r="J7" s="174"/>
      <c r="K7" s="174"/>
      <c r="L7" s="174">
        <v>3000</v>
      </c>
      <c r="M7" s="174"/>
      <c r="N7" s="174">
        <v>3000</v>
      </c>
      <c r="O7" s="174"/>
      <c r="P7" s="174">
        <v>1</v>
      </c>
      <c r="Q7" s="174"/>
      <c r="R7" s="174">
        <v>16</v>
      </c>
      <c r="S7" s="174">
        <v>3</v>
      </c>
      <c r="T7" s="174"/>
      <c r="U7" s="174"/>
      <c r="V7" s="174"/>
      <c r="W7" s="174"/>
      <c r="X7" s="174"/>
      <c r="Y7" s="174">
        <v>6020</v>
      </c>
    </row>
    <row r="8" spans="1:32">
      <c r="A8" s="130">
        <v>45170</v>
      </c>
      <c r="B8" t="s">
        <v>150</v>
      </c>
      <c r="C8" t="s">
        <v>151</v>
      </c>
      <c r="D8" t="s">
        <v>71</v>
      </c>
      <c r="E8" t="s">
        <v>24</v>
      </c>
      <c r="F8" t="s">
        <v>3295</v>
      </c>
      <c r="G8" t="s">
        <v>156</v>
      </c>
      <c r="H8" t="s">
        <v>157</v>
      </c>
      <c r="I8" s="174">
        <v>30</v>
      </c>
      <c r="J8" s="174">
        <v>8</v>
      </c>
      <c r="K8" s="174">
        <v>3</v>
      </c>
      <c r="L8" s="174"/>
      <c r="M8" s="174"/>
      <c r="N8" s="174"/>
      <c r="O8" s="174"/>
      <c r="P8" s="174"/>
      <c r="Q8" s="174"/>
      <c r="R8" s="174"/>
      <c r="S8" s="174"/>
      <c r="T8" s="174"/>
      <c r="U8" s="174"/>
      <c r="V8" s="174"/>
      <c r="W8" s="174"/>
      <c r="X8" s="174"/>
      <c r="Y8" s="174">
        <v>41</v>
      </c>
    </row>
    <row r="9" spans="1:32">
      <c r="A9" s="130">
        <v>45170</v>
      </c>
      <c r="B9" t="s">
        <v>150</v>
      </c>
      <c r="C9" t="s">
        <v>151</v>
      </c>
      <c r="D9" t="s">
        <v>71</v>
      </c>
      <c r="E9" t="s">
        <v>24</v>
      </c>
      <c r="F9" t="s">
        <v>3295</v>
      </c>
      <c r="G9" t="s">
        <v>152</v>
      </c>
      <c r="H9" t="s">
        <v>153</v>
      </c>
      <c r="I9" s="174"/>
      <c r="J9" s="174"/>
      <c r="K9" s="174"/>
      <c r="L9" s="174"/>
      <c r="M9" s="174"/>
      <c r="N9" s="174"/>
      <c r="O9" s="174"/>
      <c r="P9" s="174">
        <v>1</v>
      </c>
      <c r="Q9" s="174"/>
      <c r="R9" s="174">
        <v>17</v>
      </c>
      <c r="S9" s="174">
        <v>3</v>
      </c>
      <c r="T9" s="174"/>
      <c r="U9" s="174"/>
      <c r="V9" s="174"/>
      <c r="W9" s="174"/>
      <c r="X9" s="174"/>
      <c r="Y9" s="174">
        <v>21</v>
      </c>
    </row>
    <row r="10" spans="1:32">
      <c r="A10" s="130">
        <v>45170</v>
      </c>
      <c r="B10" t="s">
        <v>150</v>
      </c>
      <c r="C10" t="s">
        <v>151</v>
      </c>
      <c r="D10" t="s">
        <v>71</v>
      </c>
      <c r="E10" t="s">
        <v>24</v>
      </c>
      <c r="F10" t="s">
        <v>3295</v>
      </c>
      <c r="G10" t="s">
        <v>154</v>
      </c>
      <c r="H10" t="s">
        <v>155</v>
      </c>
      <c r="I10" s="174"/>
      <c r="J10" s="174"/>
      <c r="K10" s="174"/>
      <c r="L10" s="174"/>
      <c r="M10" s="174"/>
      <c r="N10" s="174">
        <v>3000</v>
      </c>
      <c r="O10" s="174"/>
      <c r="P10" s="174"/>
      <c r="Q10" s="174"/>
      <c r="R10" s="174"/>
      <c r="S10" s="174"/>
      <c r="T10" s="174"/>
      <c r="U10" s="174"/>
      <c r="V10" s="174"/>
      <c r="W10" s="174"/>
      <c r="X10" s="174"/>
      <c r="Y10" s="174">
        <v>3000</v>
      </c>
    </row>
    <row r="11" spans="1:32">
      <c r="A11" s="130">
        <v>45185</v>
      </c>
      <c r="B11" t="s">
        <v>84</v>
      </c>
      <c r="C11" t="s">
        <v>85</v>
      </c>
      <c r="D11" t="s">
        <v>71</v>
      </c>
      <c r="E11" t="s">
        <v>24</v>
      </c>
      <c r="F11" t="s">
        <v>3295</v>
      </c>
      <c r="G11" t="s">
        <v>168</v>
      </c>
      <c r="H11" t="s">
        <v>169</v>
      </c>
      <c r="I11" s="174"/>
      <c r="J11" s="174"/>
      <c r="K11" s="174">
        <v>1</v>
      </c>
      <c r="L11" s="174"/>
      <c r="M11" s="174"/>
      <c r="N11" s="174"/>
      <c r="O11" s="174"/>
      <c r="P11" s="174"/>
      <c r="Q11" s="174"/>
      <c r="R11" s="174"/>
      <c r="S11" s="174"/>
      <c r="T11" s="174"/>
      <c r="U11" s="174"/>
      <c r="V11" s="174"/>
      <c r="W11" s="174"/>
      <c r="X11" s="174"/>
      <c r="Y11" s="174">
        <v>1</v>
      </c>
    </row>
    <row r="12" spans="1:32">
      <c r="A12" s="130">
        <v>45185</v>
      </c>
      <c r="B12" t="s">
        <v>172</v>
      </c>
      <c r="C12" t="s">
        <v>173</v>
      </c>
      <c r="D12" t="s">
        <v>71</v>
      </c>
      <c r="E12" t="s">
        <v>24</v>
      </c>
      <c r="F12" t="s">
        <v>3295</v>
      </c>
      <c r="G12" t="s">
        <v>174</v>
      </c>
      <c r="H12" t="s">
        <v>175</v>
      </c>
      <c r="I12" s="174">
        <v>23</v>
      </c>
      <c r="J12" s="174">
        <v>3</v>
      </c>
      <c r="K12" s="174"/>
      <c r="L12" s="174"/>
      <c r="M12" s="174"/>
      <c r="N12" s="174"/>
      <c r="O12" s="174"/>
      <c r="P12" s="174"/>
      <c r="Q12" s="174"/>
      <c r="R12" s="174"/>
      <c r="S12" s="174"/>
      <c r="T12" s="174"/>
      <c r="U12" s="174"/>
      <c r="V12" s="174"/>
      <c r="W12" s="174"/>
      <c r="X12" s="174">
        <v>1</v>
      </c>
      <c r="Y12" s="174">
        <v>27</v>
      </c>
    </row>
    <row r="13" spans="1:32">
      <c r="A13" s="130">
        <v>45185</v>
      </c>
      <c r="B13" t="s">
        <v>164</v>
      </c>
      <c r="C13" t="s">
        <v>165</v>
      </c>
      <c r="D13" t="s">
        <v>71</v>
      </c>
      <c r="E13" t="s">
        <v>24</v>
      </c>
      <c r="F13" t="s">
        <v>3295</v>
      </c>
      <c r="G13" t="s">
        <v>170</v>
      </c>
      <c r="H13" t="s">
        <v>171</v>
      </c>
      <c r="I13" s="174">
        <v>42</v>
      </c>
      <c r="J13" s="174">
        <v>4</v>
      </c>
      <c r="K13" s="174">
        <v>2</v>
      </c>
      <c r="L13" s="174"/>
      <c r="M13" s="174"/>
      <c r="N13" s="174"/>
      <c r="O13" s="174"/>
      <c r="P13" s="174"/>
      <c r="Q13" s="174"/>
      <c r="R13" s="174"/>
      <c r="S13" s="174"/>
      <c r="T13" s="174"/>
      <c r="U13" s="174"/>
      <c r="V13" s="174"/>
      <c r="W13" s="174"/>
      <c r="X13" s="174">
        <v>1</v>
      </c>
      <c r="Y13" s="174">
        <v>49</v>
      </c>
    </row>
    <row r="14" spans="1:32">
      <c r="A14" s="130">
        <v>45185</v>
      </c>
      <c r="B14" t="s">
        <v>164</v>
      </c>
      <c r="C14" t="s">
        <v>165</v>
      </c>
      <c r="D14" t="s">
        <v>71</v>
      </c>
      <c r="E14" t="s">
        <v>24</v>
      </c>
      <c r="F14" t="s">
        <v>3295</v>
      </c>
      <c r="G14" t="s">
        <v>166</v>
      </c>
      <c r="H14" t="s">
        <v>167</v>
      </c>
      <c r="I14" s="174"/>
      <c r="J14" s="174"/>
      <c r="K14" s="174"/>
      <c r="L14" s="174"/>
      <c r="M14" s="174"/>
      <c r="N14" s="174">
        <v>3000</v>
      </c>
      <c r="O14" s="174"/>
      <c r="P14" s="174"/>
      <c r="Q14" s="174"/>
      <c r="R14" s="174">
        <v>11</v>
      </c>
      <c r="S14" s="174"/>
      <c r="T14" s="174"/>
      <c r="U14" s="174"/>
      <c r="V14" s="174"/>
      <c r="W14" s="174"/>
      <c r="X14" s="174"/>
      <c r="Y14" s="174">
        <v>3011</v>
      </c>
    </row>
    <row r="15" spans="1:32">
      <c r="A15" s="130">
        <v>45188</v>
      </c>
      <c r="B15" t="s">
        <v>180</v>
      </c>
      <c r="C15" t="s">
        <v>181</v>
      </c>
      <c r="D15" t="s">
        <v>71</v>
      </c>
      <c r="E15" t="s">
        <v>24</v>
      </c>
      <c r="F15" t="s">
        <v>3295</v>
      </c>
      <c r="G15" t="s">
        <v>184</v>
      </c>
      <c r="H15" t="s">
        <v>185</v>
      </c>
      <c r="I15" s="174">
        <v>18</v>
      </c>
      <c r="J15" s="174">
        <v>3</v>
      </c>
      <c r="K15" s="174">
        <v>5</v>
      </c>
      <c r="L15" s="174"/>
      <c r="M15" s="174"/>
      <c r="N15" s="174"/>
      <c r="O15" s="174"/>
      <c r="P15" s="174"/>
      <c r="Q15" s="174"/>
      <c r="R15" s="174"/>
      <c r="S15" s="174"/>
      <c r="T15" s="174"/>
      <c r="U15" s="174"/>
      <c r="V15" s="174"/>
      <c r="W15" s="174"/>
      <c r="X15" s="174"/>
      <c r="Y15" s="174">
        <v>26</v>
      </c>
    </row>
    <row r="16" spans="1:32">
      <c r="A16" s="130">
        <v>45188</v>
      </c>
      <c r="B16" t="s">
        <v>180</v>
      </c>
      <c r="C16" t="s">
        <v>181</v>
      </c>
      <c r="D16" t="s">
        <v>71</v>
      </c>
      <c r="E16" t="s">
        <v>24</v>
      </c>
      <c r="F16" t="s">
        <v>3295</v>
      </c>
      <c r="G16" t="s">
        <v>182</v>
      </c>
      <c r="H16" t="s">
        <v>183</v>
      </c>
      <c r="I16" s="174"/>
      <c r="J16" s="174"/>
      <c r="K16" s="174"/>
      <c r="L16" s="174">
        <v>3000</v>
      </c>
      <c r="M16" s="174"/>
      <c r="N16" s="174"/>
      <c r="O16" s="174"/>
      <c r="P16" s="174">
        <v>1</v>
      </c>
      <c r="Q16" s="174"/>
      <c r="R16" s="174">
        <v>11</v>
      </c>
      <c r="S16" s="174"/>
      <c r="T16" s="174"/>
      <c r="U16" s="174"/>
      <c r="V16" s="174"/>
      <c r="W16" s="174"/>
      <c r="X16" s="174"/>
      <c r="Y16" s="174">
        <v>3012</v>
      </c>
    </row>
    <row r="17" spans="1:25">
      <c r="A17" s="130">
        <v>45188</v>
      </c>
      <c r="B17" t="s">
        <v>172</v>
      </c>
      <c r="C17" t="s">
        <v>173</v>
      </c>
      <c r="D17" t="s">
        <v>71</v>
      </c>
      <c r="E17" t="s">
        <v>24</v>
      </c>
      <c r="F17" t="s">
        <v>3295</v>
      </c>
      <c r="G17" t="s">
        <v>178</v>
      </c>
      <c r="H17" t="s">
        <v>179</v>
      </c>
      <c r="I17" s="174"/>
      <c r="J17" s="174"/>
      <c r="K17" s="174"/>
      <c r="L17" s="174"/>
      <c r="M17" s="174"/>
      <c r="N17" s="174"/>
      <c r="O17" s="174"/>
      <c r="P17" s="174"/>
      <c r="Q17" s="174"/>
      <c r="R17" s="174">
        <v>16</v>
      </c>
      <c r="S17" s="174"/>
      <c r="T17" s="174"/>
      <c r="U17" s="174"/>
      <c r="V17" s="174"/>
      <c r="W17" s="174"/>
      <c r="X17" s="174"/>
      <c r="Y17" s="174">
        <v>16</v>
      </c>
    </row>
    <row r="18" spans="1:25">
      <c r="A18" s="130">
        <v>45188</v>
      </c>
      <c r="B18" t="s">
        <v>164</v>
      </c>
      <c r="C18" t="s">
        <v>165</v>
      </c>
      <c r="D18" t="s">
        <v>71</v>
      </c>
      <c r="E18" t="s">
        <v>24</v>
      </c>
      <c r="F18" t="s">
        <v>3295</v>
      </c>
      <c r="G18" t="s">
        <v>176</v>
      </c>
      <c r="H18" t="s">
        <v>177</v>
      </c>
      <c r="I18" s="174"/>
      <c r="J18" s="174"/>
      <c r="K18" s="174"/>
      <c r="L18" s="174"/>
      <c r="M18" s="174"/>
      <c r="N18" s="174"/>
      <c r="O18" s="174"/>
      <c r="P18" s="174">
        <v>1</v>
      </c>
      <c r="Q18" s="174"/>
      <c r="R18" s="174">
        <v>1</v>
      </c>
      <c r="S18" s="174"/>
      <c r="T18" s="174"/>
      <c r="U18" s="174"/>
      <c r="V18" s="174"/>
      <c r="W18" s="174"/>
      <c r="X18" s="174"/>
      <c r="Y18" s="174">
        <v>2</v>
      </c>
    </row>
    <row r="19" spans="1:25">
      <c r="A19" s="130">
        <v>45189</v>
      </c>
      <c r="B19" t="s">
        <v>222</v>
      </c>
      <c r="C19" t="s">
        <v>223</v>
      </c>
      <c r="D19" t="s">
        <v>71</v>
      </c>
      <c r="E19" t="s">
        <v>24</v>
      </c>
      <c r="F19" t="s">
        <v>3295</v>
      </c>
      <c r="G19" t="s">
        <v>226</v>
      </c>
      <c r="H19" t="s">
        <v>227</v>
      </c>
      <c r="I19" s="174">
        <v>120</v>
      </c>
      <c r="J19" s="174">
        <v>18</v>
      </c>
      <c r="K19" s="174">
        <v>9</v>
      </c>
      <c r="L19" s="174"/>
      <c r="M19" s="174"/>
      <c r="N19" s="174"/>
      <c r="O19" s="174"/>
      <c r="P19" s="174"/>
      <c r="Q19" s="174"/>
      <c r="R19" s="174"/>
      <c r="S19" s="174"/>
      <c r="T19" s="174"/>
      <c r="U19" s="174"/>
      <c r="V19" s="174"/>
      <c r="W19" s="174"/>
      <c r="X19" s="174"/>
      <c r="Y19" s="174">
        <v>147</v>
      </c>
    </row>
    <row r="20" spans="1:25">
      <c r="A20" s="130">
        <v>45189</v>
      </c>
      <c r="B20" t="s">
        <v>222</v>
      </c>
      <c r="C20" t="s">
        <v>223</v>
      </c>
      <c r="D20" t="s">
        <v>71</v>
      </c>
      <c r="E20" t="s">
        <v>24</v>
      </c>
      <c r="F20" t="s">
        <v>3295</v>
      </c>
      <c r="G20" t="s">
        <v>224</v>
      </c>
      <c r="H20" t="s">
        <v>225</v>
      </c>
      <c r="I20" s="174"/>
      <c r="J20" s="174"/>
      <c r="K20" s="174"/>
      <c r="L20" s="174">
        <v>3000</v>
      </c>
      <c r="M20" s="174"/>
      <c r="N20" s="174"/>
      <c r="O20" s="174"/>
      <c r="P20" s="174">
        <v>1</v>
      </c>
      <c r="Q20" s="174"/>
      <c r="R20" s="174">
        <v>11</v>
      </c>
      <c r="S20" s="174"/>
      <c r="T20" s="174"/>
      <c r="U20" s="174"/>
      <c r="V20" s="174"/>
      <c r="W20" s="174"/>
      <c r="X20" s="174"/>
      <c r="Y20" s="174">
        <v>3012</v>
      </c>
    </row>
    <row r="21" spans="1:25">
      <c r="A21" s="130">
        <v>45195</v>
      </c>
      <c r="B21" t="s">
        <v>222</v>
      </c>
      <c r="C21" t="s">
        <v>223</v>
      </c>
      <c r="D21" t="s">
        <v>71</v>
      </c>
      <c r="E21" t="s">
        <v>24</v>
      </c>
      <c r="F21" t="s">
        <v>3295</v>
      </c>
      <c r="G21" t="s">
        <v>238</v>
      </c>
      <c r="H21" t="s">
        <v>239</v>
      </c>
      <c r="I21" s="174"/>
      <c r="J21" s="174"/>
      <c r="K21" s="174"/>
      <c r="L21" s="174">
        <v>3000</v>
      </c>
      <c r="M21" s="174"/>
      <c r="N21" s="174">
        <v>3000</v>
      </c>
      <c r="O21" s="174"/>
      <c r="P21" s="174">
        <v>1</v>
      </c>
      <c r="Q21" s="174"/>
      <c r="R21" s="174"/>
      <c r="S21" s="174"/>
      <c r="T21" s="174"/>
      <c r="U21" s="174"/>
      <c r="V21" s="174"/>
      <c r="W21" s="174"/>
      <c r="X21" s="174"/>
      <c r="Y21" s="174">
        <v>6001</v>
      </c>
    </row>
    <row r="22" spans="1:25">
      <c r="A22" s="130">
        <v>45195</v>
      </c>
      <c r="B22" t="s">
        <v>222</v>
      </c>
      <c r="C22" t="s">
        <v>223</v>
      </c>
      <c r="D22" t="s">
        <v>71</v>
      </c>
      <c r="E22" t="s">
        <v>24</v>
      </c>
      <c r="F22" t="s">
        <v>3295</v>
      </c>
      <c r="G22" t="s">
        <v>240</v>
      </c>
      <c r="H22" t="s">
        <v>241</v>
      </c>
      <c r="I22" s="174"/>
      <c r="J22" s="174"/>
      <c r="K22" s="174"/>
      <c r="L22" s="174"/>
      <c r="M22" s="174"/>
      <c r="N22" s="174"/>
      <c r="O22" s="174"/>
      <c r="P22" s="174"/>
      <c r="Q22" s="174"/>
      <c r="R22" s="174">
        <v>7</v>
      </c>
      <c r="S22" s="174"/>
      <c r="T22" s="174"/>
      <c r="U22" s="174"/>
      <c r="V22" s="174"/>
      <c r="W22" s="174"/>
      <c r="X22" s="174"/>
      <c r="Y22" s="174">
        <v>7</v>
      </c>
    </row>
    <row r="23" spans="1:25">
      <c r="A23" s="130">
        <v>45195</v>
      </c>
      <c r="B23" t="s">
        <v>172</v>
      </c>
      <c r="C23" t="s">
        <v>173</v>
      </c>
      <c r="D23" t="s">
        <v>71</v>
      </c>
      <c r="E23" t="s">
        <v>24</v>
      </c>
      <c r="F23" t="s">
        <v>3295</v>
      </c>
      <c r="G23" t="s">
        <v>236</v>
      </c>
      <c r="H23" t="s">
        <v>237</v>
      </c>
      <c r="I23" s="174"/>
      <c r="J23" s="174"/>
      <c r="K23" s="174"/>
      <c r="L23" s="174"/>
      <c r="M23" s="174"/>
      <c r="N23" s="174">
        <v>3000</v>
      </c>
      <c r="O23" s="174"/>
      <c r="P23" s="174"/>
      <c r="Q23" s="174"/>
      <c r="R23" s="174"/>
      <c r="S23" s="174"/>
      <c r="T23" s="174"/>
      <c r="U23" s="174"/>
      <c r="V23" s="174"/>
      <c r="W23" s="174"/>
      <c r="X23" s="174"/>
      <c r="Y23" s="174">
        <v>3000</v>
      </c>
    </row>
    <row r="24" spans="1:25">
      <c r="A24" s="130">
        <v>45211</v>
      </c>
      <c r="B24" t="s">
        <v>222</v>
      </c>
      <c r="C24" t="s">
        <v>223</v>
      </c>
      <c r="D24" t="s">
        <v>71</v>
      </c>
      <c r="E24" t="s">
        <v>24</v>
      </c>
      <c r="F24" t="s">
        <v>3295</v>
      </c>
      <c r="G24" t="s">
        <v>308</v>
      </c>
      <c r="H24" t="s">
        <v>309</v>
      </c>
      <c r="I24" s="174"/>
      <c r="J24" s="174"/>
      <c r="K24" s="174"/>
      <c r="L24" s="174"/>
      <c r="M24" s="174"/>
      <c r="N24" s="174"/>
      <c r="O24" s="174"/>
      <c r="P24" s="174"/>
      <c r="Q24" s="174"/>
      <c r="R24" s="174">
        <v>15</v>
      </c>
      <c r="S24" s="174"/>
      <c r="T24" s="174"/>
      <c r="U24" s="174"/>
      <c r="V24" s="174"/>
      <c r="W24" s="174"/>
      <c r="X24" s="174"/>
      <c r="Y24" s="174">
        <v>15</v>
      </c>
    </row>
    <row r="25" spans="1:25">
      <c r="A25" s="130">
        <v>45211</v>
      </c>
      <c r="B25" t="s">
        <v>222</v>
      </c>
      <c r="C25" t="s">
        <v>223</v>
      </c>
      <c r="D25" t="s">
        <v>71</v>
      </c>
      <c r="E25" t="s">
        <v>24</v>
      </c>
      <c r="F25" t="s">
        <v>3295</v>
      </c>
      <c r="G25" t="s">
        <v>312</v>
      </c>
      <c r="H25" t="s">
        <v>313</v>
      </c>
      <c r="I25" s="174"/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4"/>
      <c r="U25" s="174"/>
      <c r="V25" s="174"/>
      <c r="W25" s="174"/>
      <c r="X25" s="174">
        <v>2</v>
      </c>
      <c r="Y25" s="174">
        <v>2</v>
      </c>
    </row>
    <row r="26" spans="1:25">
      <c r="A26" s="130">
        <v>45211</v>
      </c>
      <c r="B26" t="s">
        <v>172</v>
      </c>
      <c r="C26" t="s">
        <v>173</v>
      </c>
      <c r="D26" t="s">
        <v>71</v>
      </c>
      <c r="E26" t="s">
        <v>24</v>
      </c>
      <c r="F26" t="s">
        <v>3295</v>
      </c>
      <c r="G26" t="s">
        <v>310</v>
      </c>
      <c r="H26" t="s">
        <v>311</v>
      </c>
      <c r="I26" s="174"/>
      <c r="J26" s="174"/>
      <c r="K26" s="174"/>
      <c r="L26" s="174"/>
      <c r="M26" s="174"/>
      <c r="N26" s="174"/>
      <c r="O26" s="174"/>
      <c r="P26" s="174">
        <v>1</v>
      </c>
      <c r="Q26" s="174"/>
      <c r="R26" s="174"/>
      <c r="S26" s="174"/>
      <c r="T26" s="174"/>
      <c r="U26" s="174"/>
      <c r="V26" s="174"/>
      <c r="W26" s="174"/>
      <c r="X26" s="174"/>
      <c r="Y26" s="174">
        <v>1</v>
      </c>
    </row>
    <row r="27" spans="1:25">
      <c r="A27" s="130">
        <v>45212</v>
      </c>
      <c r="B27" t="s">
        <v>84</v>
      </c>
      <c r="C27" t="s">
        <v>85</v>
      </c>
      <c r="D27" t="s">
        <v>71</v>
      </c>
      <c r="E27" t="s">
        <v>24</v>
      </c>
      <c r="F27" t="s">
        <v>3295</v>
      </c>
      <c r="G27" t="s">
        <v>322</v>
      </c>
      <c r="H27" t="s">
        <v>323</v>
      </c>
      <c r="I27" s="174"/>
      <c r="J27" s="174"/>
      <c r="K27" s="174"/>
      <c r="L27" s="174"/>
      <c r="M27" s="174"/>
      <c r="N27" s="174"/>
      <c r="O27" s="174"/>
      <c r="P27" s="174"/>
      <c r="Q27" s="174"/>
      <c r="R27" s="174"/>
      <c r="S27" s="174"/>
      <c r="T27" s="174"/>
      <c r="U27" s="174"/>
      <c r="V27" s="174"/>
      <c r="W27" s="174"/>
      <c r="X27" s="174">
        <v>28</v>
      </c>
      <c r="Y27" s="174">
        <v>28</v>
      </c>
    </row>
    <row r="28" spans="1:25">
      <c r="A28" s="130">
        <v>45213</v>
      </c>
      <c r="B28" t="s">
        <v>328</v>
      </c>
      <c r="C28" t="s">
        <v>329</v>
      </c>
      <c r="D28" t="s">
        <v>71</v>
      </c>
      <c r="E28" t="s">
        <v>24</v>
      </c>
      <c r="F28" t="s">
        <v>3295</v>
      </c>
      <c r="G28" t="s">
        <v>348</v>
      </c>
      <c r="H28" t="s">
        <v>349</v>
      </c>
      <c r="I28" s="174">
        <v>54</v>
      </c>
      <c r="J28" s="174"/>
      <c r="K28" s="174">
        <v>2</v>
      </c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>
        <v>1</v>
      </c>
      <c r="Y28" s="174">
        <v>57</v>
      </c>
    </row>
    <row r="29" spans="1:25">
      <c r="A29" s="130">
        <v>45213</v>
      </c>
      <c r="B29" t="s">
        <v>328</v>
      </c>
      <c r="C29" t="s">
        <v>329</v>
      </c>
      <c r="D29" t="s">
        <v>71</v>
      </c>
      <c r="E29" t="s">
        <v>24</v>
      </c>
      <c r="F29" t="s">
        <v>3295</v>
      </c>
      <c r="G29" t="s">
        <v>330</v>
      </c>
      <c r="H29" t="s">
        <v>331</v>
      </c>
      <c r="I29" s="174"/>
      <c r="J29" s="174"/>
      <c r="K29" s="174"/>
      <c r="L29" s="174">
        <v>3000</v>
      </c>
      <c r="M29" s="174"/>
      <c r="N29" s="174">
        <v>3000</v>
      </c>
      <c r="O29" s="174"/>
      <c r="P29" s="174">
        <v>1</v>
      </c>
      <c r="Q29" s="174"/>
      <c r="R29" s="174">
        <v>8</v>
      </c>
      <c r="S29" s="174"/>
      <c r="T29" s="174"/>
      <c r="U29" s="174"/>
      <c r="V29" s="174"/>
      <c r="W29" s="174"/>
      <c r="X29" s="174"/>
      <c r="Y29" s="174">
        <v>6009</v>
      </c>
    </row>
    <row r="30" spans="1:25">
      <c r="A30" s="130">
        <v>45213</v>
      </c>
      <c r="B30" t="s">
        <v>332</v>
      </c>
      <c r="C30" t="s">
        <v>333</v>
      </c>
      <c r="D30" t="s">
        <v>71</v>
      </c>
      <c r="E30" t="s">
        <v>24</v>
      </c>
      <c r="F30" t="s">
        <v>3295</v>
      </c>
      <c r="G30" t="s">
        <v>350</v>
      </c>
      <c r="H30" t="s">
        <v>351</v>
      </c>
      <c r="I30" s="174">
        <v>50</v>
      </c>
      <c r="J30" s="174">
        <v>2</v>
      </c>
      <c r="K30" s="174"/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>
        <v>52</v>
      </c>
    </row>
    <row r="31" spans="1:25">
      <c r="A31" s="130">
        <v>45213</v>
      </c>
      <c r="B31" t="s">
        <v>332</v>
      </c>
      <c r="C31" t="s">
        <v>333</v>
      </c>
      <c r="D31" t="s">
        <v>71</v>
      </c>
      <c r="E31" t="s">
        <v>24</v>
      </c>
      <c r="F31" t="s">
        <v>3295</v>
      </c>
      <c r="G31" t="s">
        <v>334</v>
      </c>
      <c r="H31" t="s">
        <v>335</v>
      </c>
      <c r="I31" s="174"/>
      <c r="J31" s="174"/>
      <c r="K31" s="174"/>
      <c r="L31" s="174"/>
      <c r="M31" s="174"/>
      <c r="N31" s="174"/>
      <c r="O31" s="174"/>
      <c r="P31" s="174">
        <v>1</v>
      </c>
      <c r="Q31" s="174"/>
      <c r="R31" s="174">
        <v>8</v>
      </c>
      <c r="S31" s="174"/>
      <c r="T31" s="174"/>
      <c r="U31" s="174"/>
      <c r="V31" s="174"/>
      <c r="W31" s="174"/>
      <c r="X31" s="174"/>
      <c r="Y31" s="174">
        <v>9</v>
      </c>
    </row>
    <row r="32" spans="1:25">
      <c r="A32" s="130">
        <v>45213</v>
      </c>
      <c r="B32" t="s">
        <v>336</v>
      </c>
      <c r="C32" t="s">
        <v>337</v>
      </c>
      <c r="D32" t="s">
        <v>71</v>
      </c>
      <c r="E32" t="s">
        <v>24</v>
      </c>
      <c r="F32" t="s">
        <v>3295</v>
      </c>
      <c r="G32" t="s">
        <v>352</v>
      </c>
      <c r="H32" t="s">
        <v>353</v>
      </c>
      <c r="I32" s="174">
        <v>4</v>
      </c>
      <c r="J32" s="174">
        <v>4</v>
      </c>
      <c r="K32" s="174"/>
      <c r="L32" s="174"/>
      <c r="M32" s="174"/>
      <c r="N32" s="174"/>
      <c r="O32" s="174"/>
      <c r="P32" s="174"/>
      <c r="Q32" s="174"/>
      <c r="R32" s="174"/>
      <c r="S32" s="174"/>
      <c r="T32" s="174"/>
      <c r="U32" s="174"/>
      <c r="V32" s="174"/>
      <c r="W32" s="174"/>
      <c r="X32" s="174"/>
      <c r="Y32" s="174">
        <v>8</v>
      </c>
    </row>
    <row r="33" spans="1:25">
      <c r="A33" s="130">
        <v>45213</v>
      </c>
      <c r="B33" t="s">
        <v>336</v>
      </c>
      <c r="C33" t="s">
        <v>337</v>
      </c>
      <c r="D33" t="s">
        <v>71</v>
      </c>
      <c r="E33" t="s">
        <v>24</v>
      </c>
      <c r="F33" t="s">
        <v>3295</v>
      </c>
      <c r="G33" t="s">
        <v>338</v>
      </c>
      <c r="H33" t="s">
        <v>339</v>
      </c>
      <c r="I33" s="174"/>
      <c r="J33" s="174"/>
      <c r="K33" s="174"/>
      <c r="L33" s="174">
        <v>3000</v>
      </c>
      <c r="M33" s="174"/>
      <c r="N33" s="174"/>
      <c r="O33" s="174"/>
      <c r="P33" s="174"/>
      <c r="Q33" s="174"/>
      <c r="R33" s="174">
        <v>6</v>
      </c>
      <c r="S33" s="174"/>
      <c r="T33" s="174"/>
      <c r="U33" s="174"/>
      <c r="V33" s="174"/>
      <c r="W33" s="174"/>
      <c r="X33" s="174"/>
      <c r="Y33" s="174">
        <v>3006</v>
      </c>
    </row>
    <row r="34" spans="1:25">
      <c r="A34" s="130">
        <v>45213</v>
      </c>
      <c r="B34" t="s">
        <v>340</v>
      </c>
      <c r="C34" t="s">
        <v>341</v>
      </c>
      <c r="D34" t="s">
        <v>71</v>
      </c>
      <c r="E34" t="s">
        <v>24</v>
      </c>
      <c r="F34" t="s">
        <v>3295</v>
      </c>
      <c r="G34" t="s">
        <v>344</v>
      </c>
      <c r="H34" t="s">
        <v>345</v>
      </c>
      <c r="I34" s="174">
        <v>38</v>
      </c>
      <c r="J34" s="174">
        <v>2</v>
      </c>
      <c r="K34" s="174"/>
      <c r="L34" s="174"/>
      <c r="M34" s="174"/>
      <c r="N34" s="174"/>
      <c r="O34" s="174"/>
      <c r="P34" s="174"/>
      <c r="Q34" s="174"/>
      <c r="R34" s="174"/>
      <c r="S34" s="174"/>
      <c r="T34" s="174"/>
      <c r="U34" s="174"/>
      <c r="V34" s="174"/>
      <c r="W34" s="174"/>
      <c r="X34" s="174"/>
      <c r="Y34" s="174">
        <v>40</v>
      </c>
    </row>
    <row r="35" spans="1:25">
      <c r="A35" s="130">
        <v>45213</v>
      </c>
      <c r="B35" t="s">
        <v>340</v>
      </c>
      <c r="C35" t="s">
        <v>341</v>
      </c>
      <c r="D35" t="s">
        <v>71</v>
      </c>
      <c r="E35" t="s">
        <v>24</v>
      </c>
      <c r="F35" t="s">
        <v>3295</v>
      </c>
      <c r="G35" t="s">
        <v>342</v>
      </c>
      <c r="H35" t="s">
        <v>343</v>
      </c>
      <c r="I35" s="174"/>
      <c r="J35" s="174"/>
      <c r="K35" s="174"/>
      <c r="L35" s="174"/>
      <c r="M35" s="174"/>
      <c r="N35" s="174">
        <v>3000</v>
      </c>
      <c r="O35" s="174"/>
      <c r="P35" s="174">
        <v>1</v>
      </c>
      <c r="Q35" s="174"/>
      <c r="R35" s="174">
        <v>5</v>
      </c>
      <c r="S35" s="174"/>
      <c r="T35" s="174"/>
      <c r="U35" s="174"/>
      <c r="V35" s="174"/>
      <c r="W35" s="174"/>
      <c r="X35" s="174"/>
      <c r="Y35" s="174">
        <v>3006</v>
      </c>
    </row>
    <row r="36" spans="1:25">
      <c r="A36" s="130">
        <v>45213</v>
      </c>
      <c r="B36" t="s">
        <v>324</v>
      </c>
      <c r="C36" t="s">
        <v>325</v>
      </c>
      <c r="D36" t="s">
        <v>71</v>
      </c>
      <c r="E36" t="s">
        <v>24</v>
      </c>
      <c r="F36" t="s">
        <v>3295</v>
      </c>
      <c r="G36" t="s">
        <v>346</v>
      </c>
      <c r="H36" t="s">
        <v>347</v>
      </c>
      <c r="I36" s="174">
        <v>36</v>
      </c>
      <c r="J36" s="174">
        <v>2</v>
      </c>
      <c r="K36" s="174">
        <v>4</v>
      </c>
      <c r="L36" s="174"/>
      <c r="M36" s="174"/>
      <c r="N36" s="174"/>
      <c r="O36" s="174"/>
      <c r="P36" s="174"/>
      <c r="Q36" s="174"/>
      <c r="R36" s="174"/>
      <c r="S36" s="174"/>
      <c r="T36" s="174"/>
      <c r="U36" s="174"/>
      <c r="V36" s="174"/>
      <c r="W36" s="174"/>
      <c r="X36" s="174"/>
      <c r="Y36" s="174">
        <v>42</v>
      </c>
    </row>
    <row r="37" spans="1:25">
      <c r="A37" s="130">
        <v>45213</v>
      </c>
      <c r="B37" t="s">
        <v>324</v>
      </c>
      <c r="C37" t="s">
        <v>325</v>
      </c>
      <c r="D37" t="s">
        <v>71</v>
      </c>
      <c r="E37" t="s">
        <v>24</v>
      </c>
      <c r="F37" t="s">
        <v>3295</v>
      </c>
      <c r="G37" t="s">
        <v>326</v>
      </c>
      <c r="H37" t="s">
        <v>327</v>
      </c>
      <c r="I37" s="174"/>
      <c r="J37" s="174"/>
      <c r="K37" s="174"/>
      <c r="L37" s="174">
        <v>3000</v>
      </c>
      <c r="M37" s="174"/>
      <c r="N37" s="174"/>
      <c r="O37" s="174"/>
      <c r="P37" s="174"/>
      <c r="Q37" s="174"/>
      <c r="R37" s="174">
        <v>14</v>
      </c>
      <c r="S37" s="174"/>
      <c r="T37" s="174"/>
      <c r="U37" s="174"/>
      <c r="V37" s="174"/>
      <c r="W37" s="174"/>
      <c r="X37" s="174"/>
      <c r="Y37" s="174">
        <v>3014</v>
      </c>
    </row>
    <row r="38" spans="1:25">
      <c r="A38" s="130">
        <v>45234</v>
      </c>
      <c r="B38" t="s">
        <v>468</v>
      </c>
      <c r="C38" t="s">
        <v>469</v>
      </c>
      <c r="D38" t="s">
        <v>71</v>
      </c>
      <c r="E38" t="s">
        <v>24</v>
      </c>
      <c r="F38" t="s">
        <v>3295</v>
      </c>
      <c r="G38" t="s">
        <v>470</v>
      </c>
      <c r="H38" t="s">
        <v>471</v>
      </c>
      <c r="I38" s="174"/>
      <c r="J38" s="174"/>
      <c r="K38" s="174"/>
      <c r="L38" s="174"/>
      <c r="M38" s="174"/>
      <c r="N38" s="174"/>
      <c r="O38" s="174"/>
      <c r="P38" s="174"/>
      <c r="Q38" s="174"/>
      <c r="R38" s="174">
        <v>85</v>
      </c>
      <c r="S38" s="174"/>
      <c r="T38" s="174"/>
      <c r="U38" s="174"/>
      <c r="V38" s="174"/>
      <c r="W38" s="174"/>
      <c r="X38" s="174"/>
      <c r="Y38" s="174">
        <v>85</v>
      </c>
    </row>
    <row r="39" spans="1:25">
      <c r="A39" s="130">
        <v>45238</v>
      </c>
      <c r="B39" t="s">
        <v>172</v>
      </c>
      <c r="C39" t="s">
        <v>173</v>
      </c>
      <c r="D39" t="s">
        <v>71</v>
      </c>
      <c r="E39" t="s">
        <v>24</v>
      </c>
      <c r="F39" t="s">
        <v>3295</v>
      </c>
      <c r="G39" t="s">
        <v>508</v>
      </c>
      <c r="H39" t="s">
        <v>509</v>
      </c>
      <c r="I39" s="174"/>
      <c r="J39" s="174"/>
      <c r="K39" s="174">
        <v>7</v>
      </c>
      <c r="L39" s="174"/>
      <c r="M39" s="174"/>
      <c r="N39" s="174"/>
      <c r="O39" s="174"/>
      <c r="P39" s="174"/>
      <c r="Q39" s="174"/>
      <c r="R39" s="174"/>
      <c r="S39" s="174"/>
      <c r="T39" s="174"/>
      <c r="U39" s="174"/>
      <c r="V39" s="174"/>
      <c r="W39" s="174"/>
      <c r="X39" s="174"/>
      <c r="Y39" s="174">
        <v>7</v>
      </c>
    </row>
    <row r="40" spans="1:25">
      <c r="A40" s="130">
        <v>45245</v>
      </c>
      <c r="B40" t="s">
        <v>468</v>
      </c>
      <c r="C40" t="s">
        <v>469</v>
      </c>
      <c r="D40" t="s">
        <v>71</v>
      </c>
      <c r="E40" t="s">
        <v>24</v>
      </c>
      <c r="F40" t="s">
        <v>3295</v>
      </c>
      <c r="G40" t="s">
        <v>542</v>
      </c>
      <c r="H40" t="s">
        <v>543</v>
      </c>
      <c r="I40" s="174">
        <v>48</v>
      </c>
      <c r="J40" s="174">
        <v>26</v>
      </c>
      <c r="K40" s="174"/>
      <c r="L40" s="174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74"/>
      <c r="Y40" s="174">
        <v>74</v>
      </c>
    </row>
    <row r="41" spans="1:25">
      <c r="A41" s="130">
        <v>45245</v>
      </c>
      <c r="B41" t="s">
        <v>468</v>
      </c>
      <c r="C41" t="s">
        <v>469</v>
      </c>
      <c r="D41" t="s">
        <v>71</v>
      </c>
      <c r="E41" t="s">
        <v>24</v>
      </c>
      <c r="F41" t="s">
        <v>3295</v>
      </c>
      <c r="G41" t="s">
        <v>540</v>
      </c>
      <c r="H41" t="s">
        <v>541</v>
      </c>
      <c r="I41" s="174"/>
      <c r="J41" s="174"/>
      <c r="K41" s="174"/>
      <c r="L41" s="174">
        <v>3000</v>
      </c>
      <c r="M41" s="174"/>
      <c r="N41" s="174">
        <v>3000</v>
      </c>
      <c r="O41" s="174"/>
      <c r="P41" s="174">
        <v>1</v>
      </c>
      <c r="Q41" s="174"/>
      <c r="R41" s="174"/>
      <c r="S41" s="174"/>
      <c r="T41" s="174"/>
      <c r="U41" s="174"/>
      <c r="V41" s="174"/>
      <c r="W41" s="174"/>
      <c r="X41" s="174"/>
      <c r="Y41" s="174">
        <v>6001</v>
      </c>
    </row>
    <row r="42" spans="1:25">
      <c r="A42" s="130">
        <v>45287</v>
      </c>
      <c r="B42" t="s">
        <v>732</v>
      </c>
      <c r="C42" t="s">
        <v>733</v>
      </c>
      <c r="D42" t="s">
        <v>71</v>
      </c>
      <c r="E42" t="s">
        <v>24</v>
      </c>
      <c r="F42" t="s">
        <v>3295</v>
      </c>
      <c r="G42" t="s">
        <v>736</v>
      </c>
      <c r="H42" t="s">
        <v>737</v>
      </c>
      <c r="I42" s="174"/>
      <c r="J42" s="174"/>
      <c r="K42" s="174"/>
      <c r="L42" s="174">
        <v>3000</v>
      </c>
      <c r="M42" s="174"/>
      <c r="N42" s="174"/>
      <c r="O42" s="174"/>
      <c r="P42" s="174">
        <v>1</v>
      </c>
      <c r="Q42" s="174"/>
      <c r="R42" s="174"/>
      <c r="S42" s="174"/>
      <c r="T42" s="174"/>
      <c r="U42" s="174"/>
      <c r="V42" s="174"/>
      <c r="W42" s="174"/>
      <c r="X42" s="174"/>
      <c r="Y42" s="174">
        <v>3001</v>
      </c>
    </row>
    <row r="43" spans="1:25">
      <c r="A43" s="130">
        <v>45287</v>
      </c>
      <c r="B43" t="s">
        <v>738</v>
      </c>
      <c r="C43" t="s">
        <v>739</v>
      </c>
      <c r="D43" t="s">
        <v>71</v>
      </c>
      <c r="E43" t="s">
        <v>24</v>
      </c>
      <c r="F43" t="s">
        <v>3295</v>
      </c>
      <c r="G43" t="s">
        <v>748</v>
      </c>
      <c r="H43" t="s">
        <v>749</v>
      </c>
      <c r="I43" s="174">
        <v>50</v>
      </c>
      <c r="J43" s="174">
        <v>6</v>
      </c>
      <c r="K43" s="174">
        <v>2</v>
      </c>
      <c r="L43" s="174"/>
      <c r="M43" s="174"/>
      <c r="N43" s="174"/>
      <c r="O43" s="174"/>
      <c r="P43" s="174"/>
      <c r="Q43" s="174"/>
      <c r="R43" s="174"/>
      <c r="S43" s="174"/>
      <c r="T43" s="174"/>
      <c r="U43" s="174"/>
      <c r="V43" s="174"/>
      <c r="W43" s="174"/>
      <c r="X43" s="174"/>
      <c r="Y43" s="174">
        <v>58</v>
      </c>
    </row>
    <row r="44" spans="1:25">
      <c r="A44" s="130">
        <v>45287</v>
      </c>
      <c r="B44" t="s">
        <v>738</v>
      </c>
      <c r="C44" t="s">
        <v>739</v>
      </c>
      <c r="D44" t="s">
        <v>71</v>
      </c>
      <c r="E44" t="s">
        <v>24</v>
      </c>
      <c r="F44" t="s">
        <v>3295</v>
      </c>
      <c r="G44" t="s">
        <v>740</v>
      </c>
      <c r="H44" t="s">
        <v>741</v>
      </c>
      <c r="I44" s="174"/>
      <c r="J44" s="174"/>
      <c r="K44" s="174"/>
      <c r="L44" s="174">
        <v>3000</v>
      </c>
      <c r="M44" s="174"/>
      <c r="N44" s="174"/>
      <c r="O44" s="174"/>
      <c r="P44" s="174">
        <v>1</v>
      </c>
      <c r="Q44" s="174"/>
      <c r="R44" s="174"/>
      <c r="S44" s="174"/>
      <c r="T44" s="174"/>
      <c r="U44" s="174"/>
      <c r="V44" s="174"/>
      <c r="W44" s="174"/>
      <c r="X44" s="174"/>
      <c r="Y44" s="174">
        <v>3001</v>
      </c>
    </row>
    <row r="45" spans="1:25">
      <c r="A45" s="130">
        <v>45287</v>
      </c>
      <c r="B45" t="s">
        <v>742</v>
      </c>
      <c r="C45" t="s">
        <v>743</v>
      </c>
      <c r="D45" t="s">
        <v>71</v>
      </c>
      <c r="E45" t="s">
        <v>24</v>
      </c>
      <c r="F45" t="s">
        <v>3295</v>
      </c>
      <c r="G45" t="s">
        <v>746</v>
      </c>
      <c r="H45" t="s">
        <v>747</v>
      </c>
      <c r="I45" s="174">
        <v>62</v>
      </c>
      <c r="J45" s="174">
        <v>14</v>
      </c>
      <c r="K45" s="174"/>
      <c r="L45" s="174"/>
      <c r="M45" s="174"/>
      <c r="N45" s="174"/>
      <c r="O45" s="174"/>
      <c r="P45" s="174"/>
      <c r="Q45" s="174"/>
      <c r="R45" s="174"/>
      <c r="S45" s="174"/>
      <c r="T45" s="174"/>
      <c r="U45" s="174"/>
      <c r="V45" s="174"/>
      <c r="W45" s="174"/>
      <c r="X45" s="174"/>
      <c r="Y45" s="174">
        <v>76</v>
      </c>
    </row>
    <row r="46" spans="1:25">
      <c r="A46" s="130">
        <v>45287</v>
      </c>
      <c r="B46" t="s">
        <v>742</v>
      </c>
      <c r="C46" t="s">
        <v>743</v>
      </c>
      <c r="D46" t="s">
        <v>71</v>
      </c>
      <c r="E46" t="s">
        <v>24</v>
      </c>
      <c r="F46" t="s">
        <v>3295</v>
      </c>
      <c r="G46" t="s">
        <v>744</v>
      </c>
      <c r="H46" t="s">
        <v>745</v>
      </c>
      <c r="I46" s="174"/>
      <c r="J46" s="174"/>
      <c r="K46" s="174"/>
      <c r="L46" s="174"/>
      <c r="M46" s="174"/>
      <c r="N46" s="174"/>
      <c r="O46" s="174"/>
      <c r="P46" s="174">
        <v>1</v>
      </c>
      <c r="Q46" s="174"/>
      <c r="R46" s="174"/>
      <c r="S46" s="174"/>
      <c r="T46" s="174"/>
      <c r="U46" s="174"/>
      <c r="V46" s="174"/>
      <c r="W46" s="174"/>
      <c r="X46" s="174"/>
      <c r="Y46" s="174">
        <v>1</v>
      </c>
    </row>
    <row r="47" spans="1:25">
      <c r="A47" s="130">
        <v>45307</v>
      </c>
      <c r="B47" t="s">
        <v>828</v>
      </c>
      <c r="C47" t="s">
        <v>829</v>
      </c>
      <c r="D47" t="s">
        <v>71</v>
      </c>
      <c r="E47" t="s">
        <v>24</v>
      </c>
      <c r="F47" t="s">
        <v>3295</v>
      </c>
      <c r="G47" t="s">
        <v>830</v>
      </c>
      <c r="H47" t="s">
        <v>831</v>
      </c>
      <c r="I47" s="174">
        <v>173</v>
      </c>
      <c r="J47" s="174">
        <v>21</v>
      </c>
      <c r="K47" s="174"/>
      <c r="L47" s="174"/>
      <c r="M47" s="174"/>
      <c r="N47" s="174"/>
      <c r="O47" s="174"/>
      <c r="P47" s="174"/>
      <c r="Q47" s="174"/>
      <c r="R47" s="174"/>
      <c r="S47" s="174"/>
      <c r="T47" s="174"/>
      <c r="U47" s="174"/>
      <c r="V47" s="174"/>
      <c r="W47" s="174"/>
      <c r="X47" s="174">
        <v>1</v>
      </c>
      <c r="Y47" s="174">
        <v>195</v>
      </c>
    </row>
    <row r="48" spans="1:25">
      <c r="A48" s="130">
        <v>45307</v>
      </c>
      <c r="B48" t="s">
        <v>828</v>
      </c>
      <c r="C48" t="s">
        <v>829</v>
      </c>
      <c r="D48" t="s">
        <v>71</v>
      </c>
      <c r="E48" t="s">
        <v>24</v>
      </c>
      <c r="F48" t="s">
        <v>3295</v>
      </c>
      <c r="G48" t="s">
        <v>852</v>
      </c>
      <c r="H48" t="s">
        <v>853</v>
      </c>
      <c r="I48" s="174"/>
      <c r="J48" s="174"/>
      <c r="K48" s="174"/>
      <c r="L48" s="174">
        <v>6000</v>
      </c>
      <c r="M48" s="174"/>
      <c r="N48" s="174">
        <v>3000</v>
      </c>
      <c r="O48" s="174"/>
      <c r="P48" s="174">
        <v>3</v>
      </c>
      <c r="Q48" s="174"/>
      <c r="R48" s="174">
        <v>65</v>
      </c>
      <c r="S48" s="174"/>
      <c r="T48" s="174"/>
      <c r="U48" s="174"/>
      <c r="V48" s="174"/>
      <c r="W48" s="174"/>
      <c r="X48" s="174"/>
      <c r="Y48" s="174">
        <v>9068</v>
      </c>
    </row>
    <row r="49" spans="1:25">
      <c r="A49" s="130">
        <v>45307</v>
      </c>
      <c r="B49" t="s">
        <v>732</v>
      </c>
      <c r="C49" t="s">
        <v>733</v>
      </c>
      <c r="D49" t="s">
        <v>71</v>
      </c>
      <c r="E49" t="s">
        <v>24</v>
      </c>
      <c r="F49" t="s">
        <v>3295</v>
      </c>
      <c r="G49" t="s">
        <v>846</v>
      </c>
      <c r="H49" t="s">
        <v>847</v>
      </c>
      <c r="I49" s="174"/>
      <c r="J49" s="174"/>
      <c r="K49" s="174"/>
      <c r="L49" s="174"/>
      <c r="M49" s="174"/>
      <c r="N49" s="174"/>
      <c r="O49" s="174"/>
      <c r="P49" s="174"/>
      <c r="Q49" s="174"/>
      <c r="R49" s="174">
        <v>17</v>
      </c>
      <c r="S49" s="174"/>
      <c r="T49" s="174"/>
      <c r="U49" s="174"/>
      <c r="V49" s="174"/>
      <c r="W49" s="174"/>
      <c r="X49" s="174"/>
      <c r="Y49" s="174">
        <v>17</v>
      </c>
    </row>
    <row r="50" spans="1:25">
      <c r="A50" s="130">
        <v>45307</v>
      </c>
      <c r="B50" t="s">
        <v>738</v>
      </c>
      <c r="C50" t="s">
        <v>739</v>
      </c>
      <c r="D50" t="s">
        <v>71</v>
      </c>
      <c r="E50" t="s">
        <v>24</v>
      </c>
      <c r="F50" t="s">
        <v>3295</v>
      </c>
      <c r="G50" t="s">
        <v>844</v>
      </c>
      <c r="H50" t="s">
        <v>845</v>
      </c>
      <c r="I50" s="174"/>
      <c r="J50" s="174"/>
      <c r="K50" s="174"/>
      <c r="L50" s="174"/>
      <c r="M50" s="174"/>
      <c r="N50" s="174"/>
      <c r="O50" s="174"/>
      <c r="P50" s="174"/>
      <c r="Q50" s="174"/>
      <c r="R50" s="174">
        <v>19</v>
      </c>
      <c r="S50" s="174"/>
      <c r="T50" s="174"/>
      <c r="U50" s="174"/>
      <c r="V50" s="174"/>
      <c r="W50" s="174"/>
      <c r="X50" s="174"/>
      <c r="Y50" s="174">
        <v>19</v>
      </c>
    </row>
    <row r="51" spans="1:25">
      <c r="A51" s="130">
        <v>45307</v>
      </c>
      <c r="B51" t="s">
        <v>742</v>
      </c>
      <c r="C51" t="s">
        <v>743</v>
      </c>
      <c r="D51" t="s">
        <v>71</v>
      </c>
      <c r="E51" t="s">
        <v>24</v>
      </c>
      <c r="F51" t="s">
        <v>3295</v>
      </c>
      <c r="G51" t="s">
        <v>850</v>
      </c>
      <c r="H51" t="s">
        <v>851</v>
      </c>
      <c r="I51" s="174"/>
      <c r="J51" s="174"/>
      <c r="K51" s="174"/>
      <c r="L51" s="174"/>
      <c r="M51" s="174"/>
      <c r="N51" s="174"/>
      <c r="O51" s="174"/>
      <c r="P51" s="174"/>
      <c r="Q51" s="174"/>
      <c r="R51" s="174">
        <v>24</v>
      </c>
      <c r="S51" s="174"/>
      <c r="T51" s="174"/>
      <c r="U51" s="174"/>
      <c r="V51" s="174"/>
      <c r="W51" s="174"/>
      <c r="X51" s="174"/>
      <c r="Y51" s="174">
        <v>24</v>
      </c>
    </row>
    <row r="52" spans="1:25">
      <c r="A52" s="130">
        <v>45307</v>
      </c>
      <c r="B52" t="s">
        <v>742</v>
      </c>
      <c r="C52" t="s">
        <v>743</v>
      </c>
      <c r="D52" t="s">
        <v>71</v>
      </c>
      <c r="E52" t="s">
        <v>24</v>
      </c>
      <c r="F52" t="s">
        <v>3295</v>
      </c>
      <c r="G52" t="s">
        <v>832</v>
      </c>
      <c r="H52" t="s">
        <v>833</v>
      </c>
      <c r="I52" s="174"/>
      <c r="J52" s="174"/>
      <c r="K52" s="174">
        <v>10</v>
      </c>
      <c r="L52" s="174"/>
      <c r="M52" s="174"/>
      <c r="N52" s="174"/>
      <c r="O52" s="174"/>
      <c r="P52" s="174"/>
      <c r="Q52" s="174"/>
      <c r="R52" s="174"/>
      <c r="S52" s="174"/>
      <c r="T52" s="174"/>
      <c r="U52" s="174"/>
      <c r="V52" s="174"/>
      <c r="W52" s="174"/>
      <c r="X52" s="174"/>
      <c r="Y52" s="174">
        <v>10</v>
      </c>
    </row>
    <row r="53" spans="1:25">
      <c r="A53" s="130">
        <v>45307</v>
      </c>
      <c r="B53" t="s">
        <v>838</v>
      </c>
      <c r="C53" t="s">
        <v>839</v>
      </c>
      <c r="D53" t="s">
        <v>71</v>
      </c>
      <c r="E53" t="s">
        <v>24</v>
      </c>
      <c r="F53" t="s">
        <v>3295</v>
      </c>
      <c r="G53" t="s">
        <v>840</v>
      </c>
      <c r="H53" t="s">
        <v>841</v>
      </c>
      <c r="I53" s="174">
        <v>33</v>
      </c>
      <c r="J53" s="174">
        <v>17</v>
      </c>
      <c r="K53" s="174"/>
      <c r="L53" s="174"/>
      <c r="M53" s="174"/>
      <c r="N53" s="174"/>
      <c r="O53" s="174"/>
      <c r="P53" s="174"/>
      <c r="Q53" s="174"/>
      <c r="R53" s="174"/>
      <c r="S53" s="174"/>
      <c r="T53" s="174"/>
      <c r="U53" s="174"/>
      <c r="V53" s="174"/>
      <c r="W53" s="174"/>
      <c r="X53" s="174">
        <v>1</v>
      </c>
      <c r="Y53" s="174">
        <v>51</v>
      </c>
    </row>
    <row r="54" spans="1:25">
      <c r="A54" s="130">
        <v>45307</v>
      </c>
      <c r="B54" t="s">
        <v>838</v>
      </c>
      <c r="C54" t="s">
        <v>839</v>
      </c>
      <c r="D54" t="s">
        <v>71</v>
      </c>
      <c r="E54" t="s">
        <v>24</v>
      </c>
      <c r="F54" t="s">
        <v>3295</v>
      </c>
      <c r="G54" t="s">
        <v>842</v>
      </c>
      <c r="H54" t="s">
        <v>843</v>
      </c>
      <c r="I54" s="174"/>
      <c r="J54" s="174"/>
      <c r="K54" s="174"/>
      <c r="L54" s="174"/>
      <c r="M54" s="174"/>
      <c r="N54" s="174">
        <v>3000</v>
      </c>
      <c r="O54" s="174"/>
      <c r="P54" s="174">
        <v>1</v>
      </c>
      <c r="Q54" s="174"/>
      <c r="R54" s="174">
        <v>19</v>
      </c>
      <c r="S54" s="174"/>
      <c r="T54" s="174"/>
      <c r="U54" s="174"/>
      <c r="V54" s="174"/>
      <c r="W54" s="174"/>
      <c r="X54" s="174"/>
      <c r="Y54" s="174">
        <v>3020</v>
      </c>
    </row>
    <row r="55" spans="1:25">
      <c r="A55" s="130">
        <v>45307</v>
      </c>
      <c r="B55" t="s">
        <v>834</v>
      </c>
      <c r="C55" t="s">
        <v>835</v>
      </c>
      <c r="D55" t="s">
        <v>71</v>
      </c>
      <c r="E55" t="s">
        <v>24</v>
      </c>
      <c r="F55" t="s">
        <v>3295</v>
      </c>
      <c r="G55" t="s">
        <v>836</v>
      </c>
      <c r="H55" t="s">
        <v>837</v>
      </c>
      <c r="I55" s="174">
        <v>61</v>
      </c>
      <c r="J55" s="174"/>
      <c r="K55" s="174">
        <v>9</v>
      </c>
      <c r="L55" s="174"/>
      <c r="M55" s="174"/>
      <c r="N55" s="174"/>
      <c r="O55" s="174"/>
      <c r="P55" s="174"/>
      <c r="Q55" s="174"/>
      <c r="R55" s="174"/>
      <c r="S55" s="174"/>
      <c r="T55" s="174"/>
      <c r="U55" s="174"/>
      <c r="V55" s="174"/>
      <c r="W55" s="174"/>
      <c r="X55" s="174">
        <v>2</v>
      </c>
      <c r="Y55" s="174">
        <v>72</v>
      </c>
    </row>
    <row r="56" spans="1:25">
      <c r="A56" s="130">
        <v>45307</v>
      </c>
      <c r="B56" t="s">
        <v>834</v>
      </c>
      <c r="C56" t="s">
        <v>835</v>
      </c>
      <c r="D56" t="s">
        <v>71</v>
      </c>
      <c r="E56" t="s">
        <v>24</v>
      </c>
      <c r="F56" t="s">
        <v>3295</v>
      </c>
      <c r="G56" t="s">
        <v>848</v>
      </c>
      <c r="H56" t="s">
        <v>849</v>
      </c>
      <c r="I56" s="174"/>
      <c r="J56" s="174"/>
      <c r="K56" s="174"/>
      <c r="L56" s="174"/>
      <c r="M56" s="174"/>
      <c r="N56" s="174"/>
      <c r="O56" s="174">
        <v>6000</v>
      </c>
      <c r="P56" s="174"/>
      <c r="Q56" s="174"/>
      <c r="R56" s="174"/>
      <c r="S56" s="174"/>
      <c r="T56" s="174"/>
      <c r="U56" s="174"/>
      <c r="V56" s="174"/>
      <c r="W56" s="174"/>
      <c r="X56" s="174"/>
      <c r="Y56" s="174">
        <v>6000</v>
      </c>
    </row>
    <row r="57" spans="1:25">
      <c r="A57" s="130">
        <v>45337</v>
      </c>
      <c r="B57" t="s">
        <v>911</v>
      </c>
      <c r="C57" t="s">
        <v>912</v>
      </c>
      <c r="D57" t="s">
        <v>71</v>
      </c>
      <c r="E57" t="s">
        <v>24</v>
      </c>
      <c r="F57" t="s">
        <v>3295</v>
      </c>
      <c r="G57" t="s">
        <v>915</v>
      </c>
      <c r="H57" t="s">
        <v>916</v>
      </c>
      <c r="I57" s="174">
        <v>15</v>
      </c>
      <c r="J57" s="174">
        <v>7</v>
      </c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4"/>
      <c r="V57" s="174"/>
      <c r="W57" s="174"/>
      <c r="X57" s="174"/>
      <c r="Y57" s="174">
        <v>22</v>
      </c>
    </row>
    <row r="58" spans="1:25">
      <c r="A58" s="130">
        <v>45337</v>
      </c>
      <c r="B58" t="s">
        <v>911</v>
      </c>
      <c r="C58" t="s">
        <v>912</v>
      </c>
      <c r="D58" t="s">
        <v>71</v>
      </c>
      <c r="E58" t="s">
        <v>24</v>
      </c>
      <c r="F58" t="s">
        <v>3295</v>
      </c>
      <c r="G58" t="s">
        <v>913</v>
      </c>
      <c r="H58" t="s">
        <v>914</v>
      </c>
      <c r="I58" s="174"/>
      <c r="J58" s="174"/>
      <c r="K58" s="174"/>
      <c r="L58" s="174"/>
      <c r="M58" s="174"/>
      <c r="N58" s="174"/>
      <c r="O58" s="174"/>
      <c r="P58" s="174">
        <v>1</v>
      </c>
      <c r="Q58" s="174"/>
      <c r="R58" s="174">
        <v>7</v>
      </c>
      <c r="S58" s="174">
        <v>3</v>
      </c>
      <c r="T58" s="174"/>
      <c r="U58" s="174"/>
      <c r="V58" s="174"/>
      <c r="W58" s="174"/>
      <c r="X58" s="174"/>
      <c r="Y58" s="174">
        <v>11</v>
      </c>
    </row>
    <row r="59" spans="1:25">
      <c r="A59" s="130">
        <v>45337</v>
      </c>
      <c r="B59" t="s">
        <v>921</v>
      </c>
      <c r="C59" t="s">
        <v>922</v>
      </c>
      <c r="D59" t="s">
        <v>71</v>
      </c>
      <c r="E59" t="s">
        <v>24</v>
      </c>
      <c r="F59" t="s">
        <v>3295</v>
      </c>
      <c r="G59" t="s">
        <v>923</v>
      </c>
      <c r="H59" t="s">
        <v>924</v>
      </c>
      <c r="I59" s="174">
        <v>113</v>
      </c>
      <c r="J59" s="174">
        <v>15</v>
      </c>
      <c r="K59" s="174"/>
      <c r="L59" s="174"/>
      <c r="M59" s="174"/>
      <c r="N59" s="174"/>
      <c r="O59" s="174"/>
      <c r="P59" s="174"/>
      <c r="Q59" s="174"/>
      <c r="R59" s="174"/>
      <c r="S59" s="174"/>
      <c r="T59" s="174"/>
      <c r="U59" s="174"/>
      <c r="V59" s="174"/>
      <c r="W59" s="174"/>
      <c r="X59" s="174"/>
      <c r="Y59" s="174">
        <v>128</v>
      </c>
    </row>
    <row r="60" spans="1:25">
      <c r="A60" s="130">
        <v>45337</v>
      </c>
      <c r="B60" t="s">
        <v>921</v>
      </c>
      <c r="C60" t="s">
        <v>922</v>
      </c>
      <c r="D60" t="s">
        <v>71</v>
      </c>
      <c r="E60" t="s">
        <v>24</v>
      </c>
      <c r="F60" t="s">
        <v>3295</v>
      </c>
      <c r="G60" t="s">
        <v>929</v>
      </c>
      <c r="H60" t="s">
        <v>930</v>
      </c>
      <c r="I60" s="174"/>
      <c r="J60" s="174"/>
      <c r="K60" s="174"/>
      <c r="L60" s="174">
        <v>3000</v>
      </c>
      <c r="M60" s="174"/>
      <c r="N60" s="174">
        <v>6000</v>
      </c>
      <c r="O60" s="174"/>
      <c r="P60" s="174">
        <v>2</v>
      </c>
      <c r="Q60" s="174"/>
      <c r="R60" s="174">
        <v>45</v>
      </c>
      <c r="S60" s="174">
        <v>6</v>
      </c>
      <c r="T60" s="174"/>
      <c r="U60" s="174"/>
      <c r="V60" s="174"/>
      <c r="W60" s="174"/>
      <c r="X60" s="174"/>
      <c r="Y60" s="174">
        <v>9053</v>
      </c>
    </row>
    <row r="61" spans="1:25">
      <c r="A61" s="130">
        <v>45337</v>
      </c>
      <c r="B61" t="s">
        <v>925</v>
      </c>
      <c r="C61" t="s">
        <v>926</v>
      </c>
      <c r="D61" t="s">
        <v>71</v>
      </c>
      <c r="E61" t="s">
        <v>24</v>
      </c>
      <c r="F61" t="s">
        <v>3295</v>
      </c>
      <c r="G61" t="s">
        <v>927</v>
      </c>
      <c r="H61" t="s">
        <v>928</v>
      </c>
      <c r="I61" s="174"/>
      <c r="J61" s="174"/>
      <c r="K61" s="174"/>
      <c r="L61" s="174"/>
      <c r="M61" s="174"/>
      <c r="N61" s="174"/>
      <c r="O61" s="174"/>
      <c r="P61" s="174"/>
      <c r="Q61" s="174"/>
      <c r="R61" s="174">
        <v>3</v>
      </c>
      <c r="S61" s="174"/>
      <c r="T61" s="174"/>
      <c r="U61" s="174"/>
      <c r="V61" s="174"/>
      <c r="W61" s="174"/>
      <c r="X61" s="174"/>
      <c r="Y61" s="174">
        <v>3</v>
      </c>
    </row>
    <row r="62" spans="1:25">
      <c r="A62" s="130">
        <v>45337</v>
      </c>
      <c r="B62" t="s">
        <v>917</v>
      </c>
      <c r="C62" t="s">
        <v>918</v>
      </c>
      <c r="D62" t="s">
        <v>71</v>
      </c>
      <c r="E62" t="s">
        <v>24</v>
      </c>
      <c r="F62" t="s">
        <v>3295</v>
      </c>
      <c r="G62" t="s">
        <v>919</v>
      </c>
      <c r="H62" t="s">
        <v>920</v>
      </c>
      <c r="I62" s="174"/>
      <c r="J62" s="174"/>
      <c r="K62" s="174"/>
      <c r="L62" s="174"/>
      <c r="M62" s="174"/>
      <c r="N62" s="174"/>
      <c r="O62" s="174"/>
      <c r="P62" s="174"/>
      <c r="Q62" s="174"/>
      <c r="R62" s="174">
        <v>2</v>
      </c>
      <c r="S62" s="174"/>
      <c r="T62" s="174"/>
      <c r="U62" s="174"/>
      <c r="V62" s="174"/>
      <c r="W62" s="174"/>
      <c r="X62" s="174"/>
      <c r="Y62" s="174">
        <v>2</v>
      </c>
    </row>
    <row r="63" spans="1:25">
      <c r="A63" s="130">
        <v>45351</v>
      </c>
      <c r="B63" t="s">
        <v>921</v>
      </c>
      <c r="C63" t="s">
        <v>922</v>
      </c>
      <c r="D63" t="s">
        <v>71</v>
      </c>
      <c r="E63" t="s">
        <v>24</v>
      </c>
      <c r="F63" t="s">
        <v>3295</v>
      </c>
      <c r="G63" t="s">
        <v>1011</v>
      </c>
      <c r="H63" t="s">
        <v>1012</v>
      </c>
      <c r="I63" s="174"/>
      <c r="J63" s="174"/>
      <c r="K63" s="174"/>
      <c r="L63" s="174"/>
      <c r="M63" s="174"/>
      <c r="N63" s="174">
        <v>3000</v>
      </c>
      <c r="O63" s="174"/>
      <c r="P63" s="174"/>
      <c r="Q63" s="174"/>
      <c r="R63" s="174"/>
      <c r="S63" s="174"/>
      <c r="T63" s="174"/>
      <c r="U63" s="174"/>
      <c r="V63" s="174"/>
      <c r="W63" s="174"/>
      <c r="X63" s="174"/>
      <c r="Y63" s="174">
        <v>3000</v>
      </c>
    </row>
    <row r="64" spans="1:25">
      <c r="A64" s="130">
        <v>45351</v>
      </c>
      <c r="B64" t="s">
        <v>1013</v>
      </c>
      <c r="C64" t="s">
        <v>1014</v>
      </c>
      <c r="D64" t="s">
        <v>71</v>
      </c>
      <c r="E64" t="s">
        <v>24</v>
      </c>
      <c r="F64" t="s">
        <v>3295</v>
      </c>
      <c r="G64" t="s">
        <v>1017</v>
      </c>
      <c r="H64" t="s">
        <v>1018</v>
      </c>
      <c r="I64" s="174">
        <v>51</v>
      </c>
      <c r="J64" s="174">
        <v>17</v>
      </c>
      <c r="K64" s="174"/>
      <c r="L64" s="174"/>
      <c r="M64" s="174"/>
      <c r="N64" s="174"/>
      <c r="O64" s="174"/>
      <c r="P64" s="174"/>
      <c r="Q64" s="174"/>
      <c r="R64" s="174"/>
      <c r="S64" s="174"/>
      <c r="T64" s="174"/>
      <c r="U64" s="174"/>
      <c r="V64" s="174"/>
      <c r="W64" s="174"/>
      <c r="X64" s="174"/>
      <c r="Y64" s="174">
        <v>68</v>
      </c>
    </row>
    <row r="65" spans="1:25">
      <c r="A65" s="130">
        <v>45351</v>
      </c>
      <c r="B65" t="s">
        <v>1013</v>
      </c>
      <c r="C65" t="s">
        <v>1014</v>
      </c>
      <c r="D65" t="s">
        <v>71</v>
      </c>
      <c r="E65" t="s">
        <v>24</v>
      </c>
      <c r="F65" t="s">
        <v>3295</v>
      </c>
      <c r="G65" t="s">
        <v>1015</v>
      </c>
      <c r="H65" t="s">
        <v>1016</v>
      </c>
      <c r="I65" s="174"/>
      <c r="J65" s="174"/>
      <c r="K65" s="174"/>
      <c r="L65" s="174"/>
      <c r="M65" s="174"/>
      <c r="N65" s="174">
        <v>3000</v>
      </c>
      <c r="O65" s="174"/>
      <c r="P65" s="174">
        <v>1</v>
      </c>
      <c r="Q65" s="174"/>
      <c r="R65" s="174"/>
      <c r="S65" s="174">
        <v>3</v>
      </c>
      <c r="T65" s="174"/>
      <c r="U65" s="174"/>
      <c r="V65" s="174"/>
      <c r="W65" s="174"/>
      <c r="X65" s="174"/>
      <c r="Y65" s="174">
        <v>3004</v>
      </c>
    </row>
    <row r="66" spans="1:25">
      <c r="A66" s="130">
        <v>45358</v>
      </c>
      <c r="B66" t="s">
        <v>1013</v>
      </c>
      <c r="C66" t="s">
        <v>1014</v>
      </c>
      <c r="D66" t="s">
        <v>71</v>
      </c>
      <c r="E66" t="s">
        <v>24</v>
      </c>
      <c r="F66" t="s">
        <v>3295</v>
      </c>
      <c r="G66" t="s">
        <v>1069</v>
      </c>
      <c r="H66" t="s">
        <v>1070</v>
      </c>
      <c r="I66" s="174"/>
      <c r="J66" s="174"/>
      <c r="K66" s="174"/>
      <c r="L66" s="174"/>
      <c r="M66" s="174"/>
      <c r="N66" s="174"/>
      <c r="O66" s="174"/>
      <c r="P66" s="174"/>
      <c r="Q66" s="174"/>
      <c r="R66" s="174">
        <v>21</v>
      </c>
      <c r="S66" s="174"/>
      <c r="T66" s="174"/>
      <c r="U66" s="174"/>
      <c r="V66" s="174"/>
      <c r="W66" s="174"/>
      <c r="X66" s="174"/>
      <c r="Y66" s="174">
        <v>21</v>
      </c>
    </row>
    <row r="67" spans="1:25">
      <c r="A67" s="130">
        <v>45370</v>
      </c>
      <c r="B67" t="s">
        <v>1155</v>
      </c>
      <c r="C67" t="s">
        <v>1156</v>
      </c>
      <c r="D67" t="s">
        <v>71</v>
      </c>
      <c r="E67" t="s">
        <v>24</v>
      </c>
      <c r="F67" t="s">
        <v>3295</v>
      </c>
      <c r="G67" t="s">
        <v>1157</v>
      </c>
      <c r="H67" t="s">
        <v>1158</v>
      </c>
      <c r="I67" s="174">
        <v>22</v>
      </c>
      <c r="J67" s="174">
        <v>2</v>
      </c>
      <c r="K67" s="174"/>
      <c r="L67" s="174"/>
      <c r="M67" s="174"/>
      <c r="N67" s="174"/>
      <c r="O67" s="174"/>
      <c r="P67" s="174"/>
      <c r="Q67" s="174"/>
      <c r="R67" s="174"/>
      <c r="S67" s="174"/>
      <c r="T67" s="174"/>
      <c r="U67" s="174"/>
      <c r="V67" s="174"/>
      <c r="W67" s="174"/>
      <c r="X67" s="174"/>
      <c r="Y67" s="174">
        <v>24</v>
      </c>
    </row>
    <row r="68" spans="1:25">
      <c r="A68" s="130">
        <v>45370</v>
      </c>
      <c r="B68" t="s">
        <v>1155</v>
      </c>
      <c r="C68" t="s">
        <v>1156</v>
      </c>
      <c r="D68" t="s">
        <v>71</v>
      </c>
      <c r="E68" t="s">
        <v>24</v>
      </c>
      <c r="F68" t="s">
        <v>3295</v>
      </c>
      <c r="G68" t="s">
        <v>1167</v>
      </c>
      <c r="H68" t="s">
        <v>1168</v>
      </c>
      <c r="I68" s="174"/>
      <c r="J68" s="174"/>
      <c r="K68" s="174"/>
      <c r="L68" s="174"/>
      <c r="M68" s="174"/>
      <c r="N68" s="174">
        <v>3000</v>
      </c>
      <c r="O68" s="174"/>
      <c r="P68" s="174"/>
      <c r="Q68" s="174"/>
      <c r="R68" s="174">
        <v>11</v>
      </c>
      <c r="S68" s="174"/>
      <c r="T68" s="174"/>
      <c r="U68" s="174"/>
      <c r="V68" s="174"/>
      <c r="W68" s="174"/>
      <c r="X68" s="174"/>
      <c r="Y68" s="174">
        <v>3011</v>
      </c>
    </row>
    <row r="69" spans="1:25">
      <c r="A69" s="130">
        <v>45370</v>
      </c>
      <c r="B69" t="s">
        <v>1161</v>
      </c>
      <c r="C69" t="s">
        <v>1162</v>
      </c>
      <c r="D69" t="s">
        <v>71</v>
      </c>
      <c r="E69" t="s">
        <v>24</v>
      </c>
      <c r="F69" t="s">
        <v>3295</v>
      </c>
      <c r="G69" t="s">
        <v>1165</v>
      </c>
      <c r="H69" t="s">
        <v>1166</v>
      </c>
      <c r="I69" s="174">
        <v>20</v>
      </c>
      <c r="J69" s="174">
        <v>4</v>
      </c>
      <c r="K69" s="174"/>
      <c r="L69" s="174"/>
      <c r="M69" s="174"/>
      <c r="N69" s="174"/>
      <c r="O69" s="174"/>
      <c r="P69" s="174"/>
      <c r="Q69" s="174"/>
      <c r="R69" s="174"/>
      <c r="S69" s="174"/>
      <c r="T69" s="174"/>
      <c r="U69" s="174"/>
      <c r="V69" s="174"/>
      <c r="W69" s="174"/>
      <c r="X69" s="174"/>
      <c r="Y69" s="174">
        <v>24</v>
      </c>
    </row>
    <row r="70" spans="1:25">
      <c r="A70" s="130">
        <v>45370</v>
      </c>
      <c r="B70" t="s">
        <v>1161</v>
      </c>
      <c r="C70" t="s">
        <v>1162</v>
      </c>
      <c r="D70" t="s">
        <v>71</v>
      </c>
      <c r="E70" t="s">
        <v>24</v>
      </c>
      <c r="F70" t="s">
        <v>3295</v>
      </c>
      <c r="G70" t="s">
        <v>1163</v>
      </c>
      <c r="H70" t="s">
        <v>1164</v>
      </c>
      <c r="I70" s="174"/>
      <c r="J70" s="174"/>
      <c r="K70" s="174"/>
      <c r="L70" s="174"/>
      <c r="M70" s="174"/>
      <c r="N70" s="174"/>
      <c r="O70" s="174"/>
      <c r="P70" s="174">
        <v>1</v>
      </c>
      <c r="Q70" s="174"/>
      <c r="R70" s="174">
        <v>10</v>
      </c>
      <c r="S70" s="174">
        <v>3</v>
      </c>
      <c r="T70" s="174"/>
      <c r="U70" s="174"/>
      <c r="V70" s="174"/>
      <c r="W70" s="174"/>
      <c r="X70" s="174"/>
      <c r="Y70" s="174">
        <v>14</v>
      </c>
    </row>
    <row r="71" spans="1:25">
      <c r="A71" s="130">
        <v>45370</v>
      </c>
      <c r="B71" t="s">
        <v>1151</v>
      </c>
      <c r="C71" t="s">
        <v>1152</v>
      </c>
      <c r="D71" t="s">
        <v>71</v>
      </c>
      <c r="E71" t="s">
        <v>24</v>
      </c>
      <c r="F71" t="s">
        <v>3295</v>
      </c>
      <c r="G71" t="s">
        <v>1159</v>
      </c>
      <c r="H71" t="s">
        <v>1160</v>
      </c>
      <c r="I71" s="174">
        <v>11</v>
      </c>
      <c r="J71" s="174">
        <v>1</v>
      </c>
      <c r="K71" s="174">
        <v>1</v>
      </c>
      <c r="L71" s="174"/>
      <c r="M71" s="174"/>
      <c r="N71" s="174"/>
      <c r="O71" s="174"/>
      <c r="P71" s="174"/>
      <c r="Q71" s="174"/>
      <c r="R71" s="174"/>
      <c r="S71" s="174"/>
      <c r="T71" s="174"/>
      <c r="U71" s="174"/>
      <c r="V71" s="174"/>
      <c r="W71" s="174"/>
      <c r="X71" s="174"/>
      <c r="Y71" s="174">
        <v>13</v>
      </c>
    </row>
    <row r="72" spans="1:25">
      <c r="A72" s="130">
        <v>45370</v>
      </c>
      <c r="B72" t="s">
        <v>1151</v>
      </c>
      <c r="C72" t="s">
        <v>1152</v>
      </c>
      <c r="D72" t="s">
        <v>71</v>
      </c>
      <c r="E72" t="s">
        <v>24</v>
      </c>
      <c r="F72" t="s">
        <v>3295</v>
      </c>
      <c r="G72" t="s">
        <v>1153</v>
      </c>
      <c r="H72" t="s">
        <v>1154</v>
      </c>
      <c r="I72" s="174"/>
      <c r="J72" s="174"/>
      <c r="K72" s="174"/>
      <c r="L72" s="174">
        <v>3000</v>
      </c>
      <c r="M72" s="174"/>
      <c r="N72" s="174"/>
      <c r="O72" s="174"/>
      <c r="P72" s="174">
        <v>1</v>
      </c>
      <c r="Q72" s="174"/>
      <c r="R72" s="174">
        <v>7</v>
      </c>
      <c r="S72" s="174">
        <v>3</v>
      </c>
      <c r="T72" s="174"/>
      <c r="U72" s="174"/>
      <c r="V72" s="174"/>
      <c r="W72" s="174"/>
      <c r="X72" s="174"/>
      <c r="Y72" s="174">
        <v>3011</v>
      </c>
    </row>
    <row r="73" spans="1:25">
      <c r="A73" s="130">
        <v>45374</v>
      </c>
      <c r="B73" t="s">
        <v>1099</v>
      </c>
      <c r="C73" t="s">
        <v>1100</v>
      </c>
      <c r="D73" t="s">
        <v>71</v>
      </c>
      <c r="E73" t="s">
        <v>24</v>
      </c>
      <c r="F73" t="s">
        <v>3295</v>
      </c>
      <c r="G73" t="s">
        <v>1209</v>
      </c>
      <c r="H73" t="s">
        <v>1210</v>
      </c>
      <c r="I73" s="174"/>
      <c r="J73" s="174"/>
      <c r="K73" s="174"/>
      <c r="L73" s="174">
        <v>3000</v>
      </c>
      <c r="M73" s="174"/>
      <c r="N73" s="174"/>
      <c r="O73" s="174"/>
      <c r="P73" s="174"/>
      <c r="Q73" s="174"/>
      <c r="R73" s="174"/>
      <c r="S73" s="174"/>
      <c r="T73" s="174"/>
      <c r="U73" s="174"/>
      <c r="V73" s="174"/>
      <c r="W73" s="174"/>
      <c r="X73" s="174"/>
      <c r="Y73" s="174">
        <v>3000</v>
      </c>
    </row>
    <row r="74" spans="1:25">
      <c r="A74" s="130">
        <v>45374</v>
      </c>
      <c r="B74" t="s">
        <v>1109</v>
      </c>
      <c r="C74" t="s">
        <v>1110</v>
      </c>
      <c r="D74" t="s">
        <v>71</v>
      </c>
      <c r="E74" t="s">
        <v>24</v>
      </c>
      <c r="F74" t="s">
        <v>3295</v>
      </c>
      <c r="G74" t="s">
        <v>1211</v>
      </c>
      <c r="H74" t="s">
        <v>1212</v>
      </c>
      <c r="I74" s="174"/>
      <c r="J74" s="174"/>
      <c r="K74" s="174"/>
      <c r="L74" s="174">
        <v>3000</v>
      </c>
      <c r="M74" s="174"/>
      <c r="N74" s="174"/>
      <c r="O74" s="174"/>
      <c r="P74" s="174"/>
      <c r="Q74" s="174"/>
      <c r="R74" s="174"/>
      <c r="S74" s="174"/>
      <c r="T74" s="174"/>
      <c r="U74" s="174"/>
      <c r="V74" s="174"/>
      <c r="W74" s="174"/>
      <c r="X74" s="174"/>
      <c r="Y74" s="174">
        <v>3000</v>
      </c>
    </row>
    <row r="75" spans="1:25">
      <c r="A75" s="130">
        <v>45400</v>
      </c>
      <c r="B75" t="s">
        <v>1295</v>
      </c>
      <c r="C75" t="s">
        <v>1296</v>
      </c>
      <c r="D75" t="s">
        <v>71</v>
      </c>
      <c r="E75" t="s">
        <v>24</v>
      </c>
      <c r="F75" t="s">
        <v>3295</v>
      </c>
      <c r="G75" t="s">
        <v>1297</v>
      </c>
      <c r="H75" t="s">
        <v>1298</v>
      </c>
      <c r="I75" s="174"/>
      <c r="J75" s="174"/>
      <c r="K75" s="174"/>
      <c r="L75" s="174"/>
      <c r="M75" s="174"/>
      <c r="N75" s="174"/>
      <c r="O75" s="174"/>
      <c r="P75" s="174"/>
      <c r="Q75" s="174"/>
      <c r="R75" s="174">
        <v>13</v>
      </c>
      <c r="S75" s="174"/>
      <c r="T75" s="174"/>
      <c r="U75" s="174"/>
      <c r="V75" s="174"/>
      <c r="W75" s="174"/>
      <c r="X75" s="174"/>
      <c r="Y75" s="174">
        <v>13</v>
      </c>
    </row>
    <row r="76" spans="1:25">
      <c r="A76" s="130">
        <v>45400</v>
      </c>
      <c r="B76" t="s">
        <v>1291</v>
      </c>
      <c r="C76" t="s">
        <v>1292</v>
      </c>
      <c r="D76" t="s">
        <v>71</v>
      </c>
      <c r="E76" t="s">
        <v>24</v>
      </c>
      <c r="F76" t="s">
        <v>3295</v>
      </c>
      <c r="G76" t="s">
        <v>1293</v>
      </c>
      <c r="H76" t="s">
        <v>1294</v>
      </c>
      <c r="I76" s="174"/>
      <c r="J76" s="174"/>
      <c r="K76" s="174"/>
      <c r="L76" s="174"/>
      <c r="M76" s="174"/>
      <c r="N76" s="174"/>
      <c r="O76" s="174"/>
      <c r="P76" s="174">
        <v>1</v>
      </c>
      <c r="Q76" s="174"/>
      <c r="R76" s="174">
        <v>10</v>
      </c>
      <c r="S76" s="174">
        <v>3</v>
      </c>
      <c r="T76" s="174"/>
      <c r="U76" s="174"/>
      <c r="V76" s="174"/>
      <c r="W76" s="174"/>
      <c r="X76" s="174"/>
      <c r="Y76" s="174">
        <v>14</v>
      </c>
    </row>
    <row r="77" spans="1:25">
      <c r="A77" s="130">
        <v>45400</v>
      </c>
      <c r="B77" t="s">
        <v>1287</v>
      </c>
      <c r="C77" t="s">
        <v>1288</v>
      </c>
      <c r="D77" t="s">
        <v>71</v>
      </c>
      <c r="E77" t="s">
        <v>24</v>
      </c>
      <c r="F77" t="s">
        <v>3295</v>
      </c>
      <c r="G77" t="s">
        <v>1289</v>
      </c>
      <c r="H77" t="s">
        <v>1290</v>
      </c>
      <c r="I77" s="174"/>
      <c r="J77" s="174"/>
      <c r="K77" s="174"/>
      <c r="L77" s="174"/>
      <c r="M77" s="174"/>
      <c r="N77" s="174"/>
      <c r="O77" s="174"/>
      <c r="P77" s="174"/>
      <c r="Q77" s="174"/>
      <c r="R77" s="174">
        <v>5</v>
      </c>
      <c r="S77" s="174"/>
      <c r="T77" s="174"/>
      <c r="U77" s="174"/>
      <c r="V77" s="174"/>
      <c r="W77" s="174"/>
      <c r="X77" s="174"/>
      <c r="Y77" s="174">
        <v>5</v>
      </c>
    </row>
    <row r="78" spans="1:25">
      <c r="A78" s="130">
        <v>45407</v>
      </c>
      <c r="B78" t="s">
        <v>1295</v>
      </c>
      <c r="C78" t="s">
        <v>1296</v>
      </c>
      <c r="D78" t="s">
        <v>71</v>
      </c>
      <c r="E78" t="s">
        <v>24</v>
      </c>
      <c r="F78" t="s">
        <v>3295</v>
      </c>
      <c r="G78" t="s">
        <v>1317</v>
      </c>
      <c r="H78" t="s">
        <v>1318</v>
      </c>
      <c r="I78" s="174"/>
      <c r="J78" s="174"/>
      <c r="K78" s="174"/>
      <c r="L78" s="174">
        <v>3000</v>
      </c>
      <c r="M78" s="174"/>
      <c r="N78" s="174"/>
      <c r="O78" s="174"/>
      <c r="P78" s="174"/>
      <c r="Q78" s="174"/>
      <c r="R78" s="174"/>
      <c r="S78" s="174"/>
      <c r="T78" s="174"/>
      <c r="U78" s="174"/>
      <c r="V78" s="174"/>
      <c r="W78" s="174"/>
      <c r="X78" s="174"/>
      <c r="Y78" s="174">
        <v>3000</v>
      </c>
    </row>
    <row r="79" spans="1:25">
      <c r="A79" s="130">
        <v>45411</v>
      </c>
      <c r="B79" t="s">
        <v>1161</v>
      </c>
      <c r="C79" t="s">
        <v>1162</v>
      </c>
      <c r="D79" t="s">
        <v>71</v>
      </c>
      <c r="E79" t="s">
        <v>24</v>
      </c>
      <c r="F79" t="s">
        <v>3295</v>
      </c>
      <c r="G79" t="s">
        <v>1329</v>
      </c>
      <c r="H79" t="s">
        <v>1330</v>
      </c>
      <c r="I79" s="174"/>
      <c r="J79" s="174"/>
      <c r="K79" s="174"/>
      <c r="L79" s="174"/>
      <c r="M79" s="174"/>
      <c r="N79" s="174"/>
      <c r="O79" s="174"/>
      <c r="P79" s="174"/>
      <c r="Q79" s="174"/>
      <c r="R79" s="174"/>
      <c r="S79" s="174"/>
      <c r="T79" s="174"/>
      <c r="U79" s="174"/>
      <c r="V79" s="174"/>
      <c r="W79" s="174"/>
      <c r="X79" s="174">
        <v>1</v>
      </c>
      <c r="Y79" s="174">
        <v>1</v>
      </c>
    </row>
    <row r="80" spans="1:25">
      <c r="A80" s="130">
        <v>45411</v>
      </c>
      <c r="B80" t="s">
        <v>1151</v>
      </c>
      <c r="C80" t="s">
        <v>1152</v>
      </c>
      <c r="D80" t="s">
        <v>71</v>
      </c>
      <c r="E80" t="s">
        <v>24</v>
      </c>
      <c r="F80" t="s">
        <v>3295</v>
      </c>
      <c r="G80" t="s">
        <v>1331</v>
      </c>
      <c r="H80" t="s">
        <v>1332</v>
      </c>
      <c r="I80" s="174"/>
      <c r="J80" s="174"/>
      <c r="K80" s="174"/>
      <c r="L80" s="174"/>
      <c r="M80" s="174"/>
      <c r="N80" s="174"/>
      <c r="O80" s="174"/>
      <c r="P80" s="174"/>
      <c r="Q80" s="174"/>
      <c r="R80" s="174"/>
      <c r="S80" s="174"/>
      <c r="T80" s="174"/>
      <c r="U80" s="174"/>
      <c r="V80" s="174"/>
      <c r="W80" s="174"/>
      <c r="X80" s="174">
        <v>1</v>
      </c>
      <c r="Y80" s="174">
        <v>1</v>
      </c>
    </row>
    <row r="81" spans="1:25">
      <c r="A81" s="130">
        <v>45419</v>
      </c>
      <c r="B81" t="s">
        <v>1291</v>
      </c>
      <c r="C81" t="s">
        <v>1292</v>
      </c>
      <c r="D81" t="s">
        <v>71</v>
      </c>
      <c r="E81" t="s">
        <v>24</v>
      </c>
      <c r="F81" t="s">
        <v>3295</v>
      </c>
      <c r="G81" t="s">
        <v>1375</v>
      </c>
      <c r="H81" t="s">
        <v>1376</v>
      </c>
      <c r="I81" s="174"/>
      <c r="J81" s="174"/>
      <c r="K81" s="174"/>
      <c r="L81" s="174">
        <v>3000</v>
      </c>
      <c r="M81" s="174"/>
      <c r="N81" s="174"/>
      <c r="O81" s="174"/>
      <c r="P81" s="174"/>
      <c r="Q81" s="174"/>
      <c r="R81" s="174"/>
      <c r="S81" s="174"/>
      <c r="T81" s="174"/>
      <c r="U81" s="174"/>
      <c r="V81" s="174"/>
      <c r="W81" s="174"/>
      <c r="X81" s="174"/>
      <c r="Y81" s="174">
        <v>3000</v>
      </c>
    </row>
    <row r="82" spans="1:25">
      <c r="A82" s="130">
        <v>45432</v>
      </c>
      <c r="B82" t="s">
        <v>925</v>
      </c>
      <c r="C82" t="s">
        <v>926</v>
      </c>
      <c r="D82" t="s">
        <v>71</v>
      </c>
      <c r="E82" t="s">
        <v>24</v>
      </c>
      <c r="F82" t="s">
        <v>3295</v>
      </c>
      <c r="G82" t="s">
        <v>1399</v>
      </c>
      <c r="H82" t="s">
        <v>1400</v>
      </c>
      <c r="I82" s="174">
        <v>150</v>
      </c>
      <c r="J82" s="174"/>
      <c r="K82" s="174"/>
      <c r="L82" s="174"/>
      <c r="M82" s="174"/>
      <c r="N82" s="174"/>
      <c r="O82" s="174"/>
      <c r="P82" s="174"/>
      <c r="Q82" s="174"/>
      <c r="R82" s="174"/>
      <c r="S82" s="174"/>
      <c r="T82" s="174"/>
      <c r="U82" s="174"/>
      <c r="V82" s="174"/>
      <c r="W82" s="174"/>
      <c r="X82" s="174"/>
      <c r="Y82" s="174">
        <v>150</v>
      </c>
    </row>
    <row r="83" spans="1:25">
      <c r="A83" s="130">
        <v>45432</v>
      </c>
      <c r="B83" t="s">
        <v>1391</v>
      </c>
      <c r="C83" t="s">
        <v>1392</v>
      </c>
      <c r="D83" t="s">
        <v>71</v>
      </c>
      <c r="E83" t="s">
        <v>24</v>
      </c>
      <c r="F83" t="s">
        <v>3295</v>
      </c>
      <c r="G83" t="s">
        <v>1393</v>
      </c>
      <c r="H83" t="s">
        <v>1394</v>
      </c>
      <c r="I83" s="174"/>
      <c r="J83" s="174"/>
      <c r="K83" s="174"/>
      <c r="L83" s="174">
        <v>3000</v>
      </c>
      <c r="M83" s="174"/>
      <c r="N83" s="174"/>
      <c r="O83" s="174"/>
      <c r="P83" s="174">
        <v>1</v>
      </c>
      <c r="Q83" s="174"/>
      <c r="R83" s="174">
        <v>13</v>
      </c>
      <c r="S83" s="174">
        <v>3</v>
      </c>
      <c r="T83" s="174"/>
      <c r="U83" s="174"/>
      <c r="V83" s="174"/>
      <c r="W83" s="174"/>
      <c r="X83" s="174"/>
      <c r="Y83" s="174">
        <v>3017</v>
      </c>
    </row>
    <row r="84" spans="1:25">
      <c r="A84" s="130">
        <v>45432</v>
      </c>
      <c r="B84" t="s">
        <v>1405</v>
      </c>
      <c r="C84" t="s">
        <v>1406</v>
      </c>
      <c r="D84" t="s">
        <v>71</v>
      </c>
      <c r="E84" t="s">
        <v>24</v>
      </c>
      <c r="F84" t="s">
        <v>3295</v>
      </c>
      <c r="G84" t="s">
        <v>1407</v>
      </c>
      <c r="H84" t="s">
        <v>1408</v>
      </c>
      <c r="I84" s="174">
        <v>36</v>
      </c>
      <c r="J84" s="174">
        <v>7</v>
      </c>
      <c r="K84" s="174"/>
      <c r="L84" s="174"/>
      <c r="M84" s="174"/>
      <c r="N84" s="174"/>
      <c r="O84" s="174"/>
      <c r="P84" s="174"/>
      <c r="Q84" s="174"/>
      <c r="R84" s="174"/>
      <c r="S84" s="174"/>
      <c r="T84" s="174"/>
      <c r="U84" s="174"/>
      <c r="V84" s="174"/>
      <c r="W84" s="174"/>
      <c r="X84" s="174"/>
      <c r="Y84" s="174">
        <v>43</v>
      </c>
    </row>
    <row r="85" spans="1:25">
      <c r="A85" s="130">
        <v>45432</v>
      </c>
      <c r="B85" t="s">
        <v>1405</v>
      </c>
      <c r="C85" t="s">
        <v>1406</v>
      </c>
      <c r="D85" t="s">
        <v>71</v>
      </c>
      <c r="E85" t="s">
        <v>24</v>
      </c>
      <c r="F85" t="s">
        <v>3295</v>
      </c>
      <c r="G85" t="s">
        <v>1411</v>
      </c>
      <c r="H85" t="s">
        <v>1412</v>
      </c>
      <c r="I85" s="174"/>
      <c r="J85" s="174"/>
      <c r="K85" s="174"/>
      <c r="L85" s="174">
        <v>3000</v>
      </c>
      <c r="M85" s="174"/>
      <c r="N85" s="174"/>
      <c r="O85" s="174"/>
      <c r="P85" s="174">
        <v>1</v>
      </c>
      <c r="Q85" s="174"/>
      <c r="R85" s="174">
        <v>10</v>
      </c>
      <c r="S85" s="174">
        <v>3</v>
      </c>
      <c r="T85" s="174"/>
      <c r="U85" s="174"/>
      <c r="V85" s="174"/>
      <c r="W85" s="174"/>
      <c r="X85" s="174"/>
      <c r="Y85" s="174">
        <v>3014</v>
      </c>
    </row>
    <row r="86" spans="1:25">
      <c r="A86" s="130">
        <v>45432</v>
      </c>
      <c r="B86" t="s">
        <v>1401</v>
      </c>
      <c r="C86" t="s">
        <v>1402</v>
      </c>
      <c r="D86" t="s">
        <v>71</v>
      </c>
      <c r="E86" t="s">
        <v>24</v>
      </c>
      <c r="F86" t="s">
        <v>3295</v>
      </c>
      <c r="G86" t="s">
        <v>1403</v>
      </c>
      <c r="H86" t="s">
        <v>1404</v>
      </c>
      <c r="I86" s="174"/>
      <c r="J86" s="174"/>
      <c r="K86" s="174"/>
      <c r="L86" s="174"/>
      <c r="M86" s="174"/>
      <c r="N86" s="174">
        <v>3000</v>
      </c>
      <c r="O86" s="174"/>
      <c r="P86" s="174">
        <v>1</v>
      </c>
      <c r="Q86" s="174"/>
      <c r="R86" s="174">
        <v>10</v>
      </c>
      <c r="S86" s="174"/>
      <c r="T86" s="174"/>
      <c r="U86" s="174"/>
      <c r="V86" s="174"/>
      <c r="W86" s="174"/>
      <c r="X86" s="174"/>
      <c r="Y86" s="174">
        <v>3011</v>
      </c>
    </row>
    <row r="87" spans="1:25">
      <c r="A87" s="130">
        <v>45432</v>
      </c>
      <c r="B87" t="s">
        <v>1395</v>
      </c>
      <c r="C87" t="s">
        <v>1396</v>
      </c>
      <c r="D87" t="s">
        <v>71</v>
      </c>
      <c r="E87" t="s">
        <v>24</v>
      </c>
      <c r="F87" t="s">
        <v>3295</v>
      </c>
      <c r="G87" t="s">
        <v>1409</v>
      </c>
      <c r="H87" t="s">
        <v>1410</v>
      </c>
      <c r="I87" s="174">
        <v>30</v>
      </c>
      <c r="J87" s="174"/>
      <c r="K87" s="174"/>
      <c r="L87" s="174"/>
      <c r="M87" s="174"/>
      <c r="N87" s="174"/>
      <c r="O87" s="174"/>
      <c r="P87" s="174"/>
      <c r="Q87" s="174"/>
      <c r="R87" s="174"/>
      <c r="S87" s="174"/>
      <c r="T87" s="174"/>
      <c r="U87" s="174"/>
      <c r="V87" s="174"/>
      <c r="W87" s="174"/>
      <c r="X87" s="174"/>
      <c r="Y87" s="174">
        <v>30</v>
      </c>
    </row>
    <row r="88" spans="1:25">
      <c r="A88" s="130">
        <v>45432</v>
      </c>
      <c r="B88" t="s">
        <v>1395</v>
      </c>
      <c r="C88" t="s">
        <v>1396</v>
      </c>
      <c r="D88" t="s">
        <v>71</v>
      </c>
      <c r="E88" t="s">
        <v>24</v>
      </c>
      <c r="F88" t="s">
        <v>3295</v>
      </c>
      <c r="G88" t="s">
        <v>1397</v>
      </c>
      <c r="H88" t="s">
        <v>1398</v>
      </c>
      <c r="I88" s="174"/>
      <c r="J88" s="174"/>
      <c r="K88" s="174"/>
      <c r="L88" s="174"/>
      <c r="M88" s="174"/>
      <c r="N88" s="174"/>
      <c r="O88" s="174"/>
      <c r="P88" s="174">
        <v>1</v>
      </c>
      <c r="Q88" s="174"/>
      <c r="R88" s="174">
        <v>14</v>
      </c>
      <c r="S88" s="174">
        <v>3</v>
      </c>
      <c r="T88" s="174"/>
      <c r="U88" s="174"/>
      <c r="V88" s="174"/>
      <c r="W88" s="174"/>
      <c r="X88" s="174"/>
      <c r="Y88" s="174">
        <v>18</v>
      </c>
    </row>
    <row r="89" spans="1:25">
      <c r="A89" s="130">
        <v>45443</v>
      </c>
      <c r="B89" t="s">
        <v>1465</v>
      </c>
      <c r="C89" t="s">
        <v>1466</v>
      </c>
      <c r="D89" t="s">
        <v>71</v>
      </c>
      <c r="E89" t="s">
        <v>24</v>
      </c>
      <c r="F89" t="s">
        <v>3295</v>
      </c>
      <c r="G89" t="s">
        <v>1489</v>
      </c>
      <c r="H89" t="s">
        <v>1490</v>
      </c>
      <c r="I89" s="174">
        <v>53</v>
      </c>
      <c r="J89" s="174"/>
      <c r="K89" s="174"/>
      <c r="L89" s="174"/>
      <c r="M89" s="174"/>
      <c r="N89" s="174"/>
      <c r="O89" s="174"/>
      <c r="P89" s="174"/>
      <c r="Q89" s="174"/>
      <c r="R89" s="174"/>
      <c r="S89" s="174"/>
      <c r="T89" s="174"/>
      <c r="U89" s="174"/>
      <c r="V89" s="174"/>
      <c r="W89" s="174"/>
      <c r="X89" s="174"/>
      <c r="Y89" s="174">
        <v>53</v>
      </c>
    </row>
    <row r="90" spans="1:25">
      <c r="A90" s="130">
        <v>45443</v>
      </c>
      <c r="B90" t="s">
        <v>1465</v>
      </c>
      <c r="C90" t="s">
        <v>1466</v>
      </c>
      <c r="D90" t="s">
        <v>71</v>
      </c>
      <c r="E90" t="s">
        <v>24</v>
      </c>
      <c r="F90" t="s">
        <v>3295</v>
      </c>
      <c r="G90" t="s">
        <v>1467</v>
      </c>
      <c r="H90" t="s">
        <v>1468</v>
      </c>
      <c r="I90" s="174"/>
      <c r="J90" s="174"/>
      <c r="K90" s="174"/>
      <c r="L90" s="174"/>
      <c r="M90" s="174"/>
      <c r="N90" s="174">
        <v>6000</v>
      </c>
      <c r="O90" s="174"/>
      <c r="P90" s="174"/>
      <c r="Q90" s="174"/>
      <c r="R90" s="174"/>
      <c r="S90" s="174"/>
      <c r="T90" s="174"/>
      <c r="U90" s="174"/>
      <c r="V90" s="174"/>
      <c r="W90" s="174"/>
      <c r="X90" s="174"/>
      <c r="Y90" s="174">
        <v>6000</v>
      </c>
    </row>
    <row r="91" spans="1:25">
      <c r="A91" s="130">
        <v>45443</v>
      </c>
      <c r="B91" t="s">
        <v>1473</v>
      </c>
      <c r="C91" t="s">
        <v>1474</v>
      </c>
      <c r="D91" t="s">
        <v>71</v>
      </c>
      <c r="E91" t="s">
        <v>24</v>
      </c>
      <c r="F91" t="s">
        <v>3295</v>
      </c>
      <c r="G91" t="s">
        <v>1491</v>
      </c>
      <c r="H91" t="s">
        <v>1492</v>
      </c>
      <c r="I91" s="174">
        <v>64</v>
      </c>
      <c r="J91" s="174"/>
      <c r="K91" s="174"/>
      <c r="L91" s="174"/>
      <c r="M91" s="174"/>
      <c r="N91" s="174"/>
      <c r="O91" s="174"/>
      <c r="P91" s="174"/>
      <c r="Q91" s="174"/>
      <c r="R91" s="174"/>
      <c r="S91" s="174"/>
      <c r="T91" s="174"/>
      <c r="U91" s="174"/>
      <c r="V91" s="174"/>
      <c r="W91" s="174"/>
      <c r="X91" s="174"/>
      <c r="Y91" s="174">
        <v>64</v>
      </c>
    </row>
    <row r="92" spans="1:25">
      <c r="A92" s="130">
        <v>45443</v>
      </c>
      <c r="B92" t="s">
        <v>1473</v>
      </c>
      <c r="C92" t="s">
        <v>1474</v>
      </c>
      <c r="D92" t="s">
        <v>71</v>
      </c>
      <c r="E92" t="s">
        <v>24</v>
      </c>
      <c r="F92" t="s">
        <v>3295</v>
      </c>
      <c r="G92" t="s">
        <v>1475</v>
      </c>
      <c r="H92" t="s">
        <v>1476</v>
      </c>
      <c r="I92" s="174"/>
      <c r="J92" s="174"/>
      <c r="K92" s="174"/>
      <c r="L92" s="174"/>
      <c r="M92" s="174"/>
      <c r="N92" s="174">
        <v>3000</v>
      </c>
      <c r="O92" s="174"/>
      <c r="P92" s="174"/>
      <c r="Q92" s="174"/>
      <c r="R92" s="174"/>
      <c r="S92" s="174"/>
      <c r="T92" s="174"/>
      <c r="U92" s="174"/>
      <c r="V92" s="174"/>
      <c r="W92" s="174"/>
      <c r="X92" s="174"/>
      <c r="Y92" s="174">
        <v>3000</v>
      </c>
    </row>
    <row r="93" spans="1:25">
      <c r="A93" s="130">
        <v>45443</v>
      </c>
      <c r="B93" t="s">
        <v>1485</v>
      </c>
      <c r="C93" t="s">
        <v>1486</v>
      </c>
      <c r="D93" t="s">
        <v>71</v>
      </c>
      <c r="E93" t="s">
        <v>24</v>
      </c>
      <c r="F93" t="s">
        <v>3295</v>
      </c>
      <c r="G93" t="s">
        <v>1487</v>
      </c>
      <c r="H93" t="s">
        <v>1488</v>
      </c>
      <c r="I93" s="174">
        <v>17</v>
      </c>
      <c r="J93" s="174"/>
      <c r="K93" s="174"/>
      <c r="L93" s="174"/>
      <c r="M93" s="174"/>
      <c r="N93" s="174"/>
      <c r="O93" s="174"/>
      <c r="P93" s="174"/>
      <c r="Q93" s="174"/>
      <c r="R93" s="174"/>
      <c r="S93" s="174"/>
      <c r="T93" s="174"/>
      <c r="U93" s="174"/>
      <c r="V93" s="174"/>
      <c r="W93" s="174"/>
      <c r="X93" s="174"/>
      <c r="Y93" s="174">
        <v>17</v>
      </c>
    </row>
    <row r="94" spans="1:25">
      <c r="A94" s="130">
        <v>45443</v>
      </c>
      <c r="B94" t="s">
        <v>1481</v>
      </c>
      <c r="C94" t="s">
        <v>1482</v>
      </c>
      <c r="D94" t="s">
        <v>71</v>
      </c>
      <c r="E94" t="s">
        <v>24</v>
      </c>
      <c r="F94" t="s">
        <v>3295</v>
      </c>
      <c r="G94" t="s">
        <v>1483</v>
      </c>
      <c r="H94" t="s">
        <v>1484</v>
      </c>
      <c r="I94" s="174">
        <v>29</v>
      </c>
      <c r="J94" s="174"/>
      <c r="K94" s="174"/>
      <c r="L94" s="174"/>
      <c r="M94" s="174"/>
      <c r="N94" s="174"/>
      <c r="O94" s="174"/>
      <c r="P94" s="174"/>
      <c r="Q94" s="174"/>
      <c r="R94" s="174"/>
      <c r="S94" s="174"/>
      <c r="T94" s="174"/>
      <c r="U94" s="174"/>
      <c r="V94" s="174"/>
      <c r="W94" s="174"/>
      <c r="X94" s="174"/>
      <c r="Y94" s="174">
        <v>29</v>
      </c>
    </row>
    <row r="95" spans="1:25">
      <c r="A95" s="130">
        <v>45443</v>
      </c>
      <c r="B95" t="s">
        <v>1493</v>
      </c>
      <c r="C95" t="s">
        <v>1494</v>
      </c>
      <c r="D95" t="s">
        <v>71</v>
      </c>
      <c r="E95" t="s">
        <v>24</v>
      </c>
      <c r="F95" t="s">
        <v>3295</v>
      </c>
      <c r="G95" t="s">
        <v>1495</v>
      </c>
      <c r="H95" t="s">
        <v>1496</v>
      </c>
      <c r="I95" s="174">
        <v>42</v>
      </c>
      <c r="J95" s="174"/>
      <c r="K95" s="174"/>
      <c r="L95" s="174"/>
      <c r="M95" s="174"/>
      <c r="N95" s="174"/>
      <c r="O95" s="174"/>
      <c r="P95" s="174"/>
      <c r="Q95" s="174"/>
      <c r="R95" s="174"/>
      <c r="S95" s="174"/>
      <c r="T95" s="174"/>
      <c r="U95" s="174"/>
      <c r="V95" s="174"/>
      <c r="W95" s="174"/>
      <c r="X95" s="174"/>
      <c r="Y95" s="174">
        <v>42</v>
      </c>
    </row>
    <row r="96" spans="1:25">
      <c r="A96" s="130">
        <v>45443</v>
      </c>
      <c r="B96" t="s">
        <v>1477</v>
      </c>
      <c r="C96" t="s">
        <v>1478</v>
      </c>
      <c r="D96" t="s">
        <v>71</v>
      </c>
      <c r="E96" t="s">
        <v>24</v>
      </c>
      <c r="F96" t="s">
        <v>3295</v>
      </c>
      <c r="G96" t="s">
        <v>1479</v>
      </c>
      <c r="H96" t="s">
        <v>1480</v>
      </c>
      <c r="I96" s="174">
        <v>23</v>
      </c>
      <c r="J96" s="174"/>
      <c r="K96" s="174"/>
      <c r="L96" s="174"/>
      <c r="M96" s="174"/>
      <c r="N96" s="174"/>
      <c r="O96" s="174"/>
      <c r="P96" s="174"/>
      <c r="Q96" s="174"/>
      <c r="R96" s="174"/>
      <c r="S96" s="174"/>
      <c r="T96" s="174"/>
      <c r="U96" s="174"/>
      <c r="V96" s="174"/>
      <c r="W96" s="174"/>
      <c r="X96" s="174"/>
      <c r="Y96" s="174">
        <v>23</v>
      </c>
    </row>
    <row r="97" spans="1:25">
      <c r="A97" s="130">
        <v>45443</v>
      </c>
      <c r="B97" t="s">
        <v>1469</v>
      </c>
      <c r="C97" t="s">
        <v>1470</v>
      </c>
      <c r="D97" t="s">
        <v>71</v>
      </c>
      <c r="E97" t="s">
        <v>24</v>
      </c>
      <c r="F97" t="s">
        <v>3295</v>
      </c>
      <c r="G97" t="s">
        <v>1471</v>
      </c>
      <c r="H97" t="s">
        <v>1472</v>
      </c>
      <c r="I97" s="174">
        <v>57</v>
      </c>
      <c r="J97" s="174"/>
      <c r="K97" s="174"/>
      <c r="L97" s="174"/>
      <c r="M97" s="174"/>
      <c r="N97" s="174"/>
      <c r="O97" s="174"/>
      <c r="P97" s="174"/>
      <c r="Q97" s="174"/>
      <c r="R97" s="174"/>
      <c r="S97" s="174"/>
      <c r="T97" s="174"/>
      <c r="U97" s="174"/>
      <c r="V97" s="174"/>
      <c r="W97" s="174"/>
      <c r="X97" s="174"/>
      <c r="Y97" s="174">
        <v>57</v>
      </c>
    </row>
    <row r="98" spans="1:25">
      <c r="A98" s="130">
        <v>45448</v>
      </c>
      <c r="B98" t="s">
        <v>1465</v>
      </c>
      <c r="C98" t="s">
        <v>1466</v>
      </c>
      <c r="D98" t="s">
        <v>71</v>
      </c>
      <c r="E98" t="s">
        <v>24</v>
      </c>
      <c r="F98" t="s">
        <v>3295</v>
      </c>
      <c r="G98" t="s">
        <v>1509</v>
      </c>
      <c r="H98" t="s">
        <v>1510</v>
      </c>
      <c r="I98" s="174"/>
      <c r="J98" s="174"/>
      <c r="K98" s="174"/>
      <c r="L98" s="174"/>
      <c r="M98" s="174"/>
      <c r="N98" s="174"/>
      <c r="O98" s="174"/>
      <c r="P98" s="174">
        <v>1</v>
      </c>
      <c r="Q98" s="174"/>
      <c r="R98" s="174"/>
      <c r="S98" s="174"/>
      <c r="T98" s="174"/>
      <c r="U98" s="174"/>
      <c r="V98" s="174"/>
      <c r="W98" s="174"/>
      <c r="X98" s="174"/>
      <c r="Y98" s="174">
        <v>1</v>
      </c>
    </row>
    <row r="99" spans="1:25">
      <c r="A99" s="130">
        <v>45448</v>
      </c>
      <c r="B99" t="s">
        <v>1465</v>
      </c>
      <c r="C99" t="s">
        <v>1466</v>
      </c>
      <c r="D99" t="s">
        <v>71</v>
      </c>
      <c r="E99" t="s">
        <v>24</v>
      </c>
      <c r="F99" t="s">
        <v>3295</v>
      </c>
      <c r="G99" t="s">
        <v>1497</v>
      </c>
      <c r="H99" t="s">
        <v>1498</v>
      </c>
      <c r="I99" s="174"/>
      <c r="J99" s="174"/>
      <c r="K99" s="174"/>
      <c r="L99" s="174"/>
      <c r="M99" s="174"/>
      <c r="N99" s="174"/>
      <c r="O99" s="174"/>
      <c r="P99" s="174"/>
      <c r="Q99" s="174"/>
      <c r="R99" s="174"/>
      <c r="S99" s="174"/>
      <c r="T99" s="174"/>
      <c r="U99" s="174"/>
      <c r="V99" s="174"/>
      <c r="W99" s="174"/>
      <c r="X99" s="174">
        <v>1</v>
      </c>
      <c r="Y99" s="174">
        <v>1</v>
      </c>
    </row>
    <row r="100" spans="1:25">
      <c r="A100" s="130">
        <v>45448</v>
      </c>
      <c r="B100" t="s">
        <v>1473</v>
      </c>
      <c r="C100" t="s">
        <v>1474</v>
      </c>
      <c r="D100" t="s">
        <v>71</v>
      </c>
      <c r="E100" t="s">
        <v>24</v>
      </c>
      <c r="F100" t="s">
        <v>3295</v>
      </c>
      <c r="G100" t="s">
        <v>1511</v>
      </c>
      <c r="H100" t="s">
        <v>1512</v>
      </c>
      <c r="I100" s="174"/>
      <c r="J100" s="174"/>
      <c r="K100" s="174"/>
      <c r="L100" s="174">
        <v>3000</v>
      </c>
      <c r="M100" s="174"/>
      <c r="N100" s="174"/>
      <c r="O100" s="174"/>
      <c r="P100" s="174">
        <v>1</v>
      </c>
      <c r="Q100" s="174"/>
      <c r="R100" s="174"/>
      <c r="S100" s="174"/>
      <c r="T100" s="174"/>
      <c r="U100" s="174"/>
      <c r="V100" s="174"/>
      <c r="W100" s="174"/>
      <c r="X100" s="174"/>
      <c r="Y100" s="174">
        <v>3001</v>
      </c>
    </row>
    <row r="101" spans="1:25">
      <c r="A101" s="130">
        <v>45448</v>
      </c>
      <c r="B101" t="s">
        <v>1493</v>
      </c>
      <c r="C101" t="s">
        <v>1494</v>
      </c>
      <c r="D101" t="s">
        <v>71</v>
      </c>
      <c r="E101" t="s">
        <v>24</v>
      </c>
      <c r="F101" t="s">
        <v>3295</v>
      </c>
      <c r="G101" t="s">
        <v>1501</v>
      </c>
      <c r="H101" t="s">
        <v>1502</v>
      </c>
      <c r="I101" s="174"/>
      <c r="J101" s="174"/>
      <c r="K101" s="174"/>
      <c r="L101" s="174">
        <v>6000</v>
      </c>
      <c r="M101" s="174"/>
      <c r="N101" s="174"/>
      <c r="O101" s="174"/>
      <c r="P101" s="174">
        <v>1</v>
      </c>
      <c r="Q101" s="174"/>
      <c r="R101" s="174"/>
      <c r="S101" s="174"/>
      <c r="T101" s="174"/>
      <c r="U101" s="174"/>
      <c r="V101" s="174"/>
      <c r="W101" s="174"/>
      <c r="X101" s="174"/>
      <c r="Y101" s="174">
        <v>6001</v>
      </c>
    </row>
    <row r="102" spans="1:25">
      <c r="A102" s="130">
        <v>45448</v>
      </c>
      <c r="B102" t="s">
        <v>1493</v>
      </c>
      <c r="C102" t="s">
        <v>1494</v>
      </c>
      <c r="D102" t="s">
        <v>71</v>
      </c>
      <c r="E102" t="s">
        <v>24</v>
      </c>
      <c r="F102" t="s">
        <v>3295</v>
      </c>
      <c r="G102" t="s">
        <v>1503</v>
      </c>
      <c r="H102" t="s">
        <v>1504</v>
      </c>
      <c r="I102" s="174"/>
      <c r="J102" s="174"/>
      <c r="K102" s="174"/>
      <c r="L102" s="174"/>
      <c r="M102" s="174"/>
      <c r="N102" s="174"/>
      <c r="O102" s="174"/>
      <c r="P102" s="174"/>
      <c r="Q102" s="174"/>
      <c r="R102" s="174"/>
      <c r="S102" s="174"/>
      <c r="T102" s="174"/>
      <c r="U102" s="174"/>
      <c r="V102" s="174"/>
      <c r="W102" s="174"/>
      <c r="X102" s="174">
        <v>1</v>
      </c>
      <c r="Y102" s="174">
        <v>1</v>
      </c>
    </row>
    <row r="103" spans="1:25">
      <c r="A103" s="130">
        <v>45448</v>
      </c>
      <c r="B103" t="s">
        <v>1477</v>
      </c>
      <c r="C103" t="s">
        <v>1478</v>
      </c>
      <c r="D103" t="s">
        <v>71</v>
      </c>
      <c r="E103" t="s">
        <v>24</v>
      </c>
      <c r="F103" t="s">
        <v>3295</v>
      </c>
      <c r="G103" t="s">
        <v>1505</v>
      </c>
      <c r="H103" t="s">
        <v>1506</v>
      </c>
      <c r="I103" s="174"/>
      <c r="J103" s="174"/>
      <c r="K103" s="174"/>
      <c r="L103" s="174"/>
      <c r="M103" s="174"/>
      <c r="N103" s="174"/>
      <c r="O103" s="174"/>
      <c r="P103" s="174">
        <v>1</v>
      </c>
      <c r="Q103" s="174"/>
      <c r="R103" s="174"/>
      <c r="S103" s="174"/>
      <c r="T103" s="174"/>
      <c r="U103" s="174"/>
      <c r="V103" s="174"/>
      <c r="W103" s="174"/>
      <c r="X103" s="174"/>
      <c r="Y103" s="174">
        <v>1</v>
      </c>
    </row>
    <row r="104" spans="1:25">
      <c r="A104" s="130">
        <v>45448</v>
      </c>
      <c r="B104" t="s">
        <v>1469</v>
      </c>
      <c r="C104" t="s">
        <v>1470</v>
      </c>
      <c r="D104" t="s">
        <v>71</v>
      </c>
      <c r="E104" t="s">
        <v>24</v>
      </c>
      <c r="F104" t="s">
        <v>3295</v>
      </c>
      <c r="G104" t="s">
        <v>1507</v>
      </c>
      <c r="H104" t="s">
        <v>1508</v>
      </c>
      <c r="I104" s="174"/>
      <c r="J104" s="174"/>
      <c r="K104" s="174"/>
      <c r="L104" s="174">
        <v>3000</v>
      </c>
      <c r="M104" s="174"/>
      <c r="N104" s="174"/>
      <c r="O104" s="174"/>
      <c r="P104" s="174">
        <v>1</v>
      </c>
      <c r="Q104" s="174"/>
      <c r="R104" s="174"/>
      <c r="S104" s="174"/>
      <c r="T104" s="174"/>
      <c r="U104" s="174"/>
      <c r="V104" s="174"/>
      <c r="W104" s="174"/>
      <c r="X104" s="174"/>
      <c r="Y104" s="174">
        <v>3001</v>
      </c>
    </row>
    <row r="105" spans="1:25">
      <c r="A105" s="130">
        <v>45448</v>
      </c>
      <c r="B105" t="s">
        <v>1469</v>
      </c>
      <c r="C105" t="s">
        <v>1470</v>
      </c>
      <c r="D105" t="s">
        <v>71</v>
      </c>
      <c r="E105" t="s">
        <v>24</v>
      </c>
      <c r="F105" t="s">
        <v>3295</v>
      </c>
      <c r="G105" t="s">
        <v>1499</v>
      </c>
      <c r="H105" t="s">
        <v>1500</v>
      </c>
      <c r="I105" s="174"/>
      <c r="J105" s="174"/>
      <c r="K105" s="174"/>
      <c r="L105" s="174"/>
      <c r="M105" s="174"/>
      <c r="N105" s="174"/>
      <c r="O105" s="174"/>
      <c r="P105" s="174"/>
      <c r="Q105" s="174"/>
      <c r="R105" s="174"/>
      <c r="S105" s="174"/>
      <c r="T105" s="174"/>
      <c r="U105" s="174"/>
      <c r="V105" s="174"/>
      <c r="W105" s="174"/>
      <c r="X105" s="174">
        <v>1</v>
      </c>
      <c r="Y105" s="174">
        <v>1</v>
      </c>
    </row>
    <row r="106" spans="1:25">
      <c r="A106" s="130">
        <v>45467</v>
      </c>
      <c r="B106" t="s">
        <v>1683</v>
      </c>
      <c r="C106" t="s">
        <v>1684</v>
      </c>
      <c r="D106" t="s">
        <v>71</v>
      </c>
      <c r="E106" t="s">
        <v>24</v>
      </c>
      <c r="F106" t="s">
        <v>3295</v>
      </c>
      <c r="G106" t="s">
        <v>1693</v>
      </c>
      <c r="H106" t="s">
        <v>1694</v>
      </c>
      <c r="I106" s="174"/>
      <c r="J106" s="174"/>
      <c r="K106" s="174"/>
      <c r="L106" s="174"/>
      <c r="M106" s="174"/>
      <c r="N106" s="174"/>
      <c r="O106" s="174"/>
      <c r="P106" s="174"/>
      <c r="Q106" s="174"/>
      <c r="R106" s="174">
        <v>10</v>
      </c>
      <c r="S106" s="174"/>
      <c r="T106" s="174"/>
      <c r="U106" s="174"/>
      <c r="V106" s="174"/>
      <c r="W106" s="174"/>
      <c r="X106" s="174"/>
      <c r="Y106" s="174">
        <v>10</v>
      </c>
    </row>
    <row r="107" spans="1:25">
      <c r="A107" s="130">
        <v>45467</v>
      </c>
      <c r="B107" t="s">
        <v>1689</v>
      </c>
      <c r="C107" t="s">
        <v>1690</v>
      </c>
      <c r="D107" t="s">
        <v>71</v>
      </c>
      <c r="E107" t="s">
        <v>24</v>
      </c>
      <c r="F107" t="s">
        <v>3295</v>
      </c>
      <c r="G107" t="s">
        <v>1691</v>
      </c>
      <c r="H107" t="s">
        <v>1692</v>
      </c>
      <c r="I107" s="174"/>
      <c r="J107" s="174"/>
      <c r="K107" s="174"/>
      <c r="L107" s="174"/>
      <c r="M107" s="174"/>
      <c r="N107" s="174">
        <v>3000</v>
      </c>
      <c r="O107" s="174"/>
      <c r="P107" s="174"/>
      <c r="Q107" s="174"/>
      <c r="R107" s="174">
        <v>20</v>
      </c>
      <c r="S107" s="174"/>
      <c r="T107" s="174"/>
      <c r="U107" s="174"/>
      <c r="V107" s="174"/>
      <c r="W107" s="174"/>
      <c r="X107" s="174"/>
      <c r="Y107" s="174">
        <v>3020</v>
      </c>
    </row>
    <row r="108" spans="1:25">
      <c r="A108" s="130">
        <v>45468</v>
      </c>
      <c r="B108" t="s">
        <v>1683</v>
      </c>
      <c r="C108" t="s">
        <v>1684</v>
      </c>
      <c r="D108" t="s">
        <v>71</v>
      </c>
      <c r="E108" t="s">
        <v>24</v>
      </c>
      <c r="F108" t="s">
        <v>3295</v>
      </c>
      <c r="G108" t="s">
        <v>1685</v>
      </c>
      <c r="H108" t="s">
        <v>1686</v>
      </c>
      <c r="I108" s="174"/>
      <c r="J108" s="174"/>
      <c r="K108" s="174"/>
      <c r="L108" s="174">
        <v>3000</v>
      </c>
      <c r="M108" s="174"/>
      <c r="N108" s="174"/>
      <c r="O108" s="174"/>
      <c r="P108" s="174"/>
      <c r="Q108" s="174"/>
      <c r="R108" s="174"/>
      <c r="S108" s="174"/>
      <c r="T108" s="174"/>
      <c r="U108" s="174"/>
      <c r="V108" s="174"/>
      <c r="W108" s="174"/>
      <c r="X108" s="174"/>
      <c r="Y108" s="174">
        <v>3000</v>
      </c>
    </row>
    <row r="109" spans="1:25">
      <c r="A109" s="130">
        <v>45481</v>
      </c>
      <c r="B109" t="s">
        <v>1683</v>
      </c>
      <c r="C109" t="s">
        <v>1684</v>
      </c>
      <c r="D109" t="s">
        <v>71</v>
      </c>
      <c r="E109" t="s">
        <v>24</v>
      </c>
      <c r="F109" t="s">
        <v>3295</v>
      </c>
      <c r="G109" t="s">
        <v>1719</v>
      </c>
      <c r="H109" t="s">
        <v>1720</v>
      </c>
      <c r="I109" s="174"/>
      <c r="J109" s="174"/>
      <c r="K109" s="174"/>
      <c r="L109" s="174"/>
      <c r="M109" s="174"/>
      <c r="N109" s="174"/>
      <c r="O109" s="174"/>
      <c r="P109" s="174">
        <v>1</v>
      </c>
      <c r="Q109" s="174"/>
      <c r="R109" s="174"/>
      <c r="S109" s="174"/>
      <c r="T109" s="174"/>
      <c r="U109" s="174"/>
      <c r="V109" s="174"/>
      <c r="W109" s="174"/>
      <c r="X109" s="174"/>
      <c r="Y109" s="174">
        <v>1</v>
      </c>
    </row>
    <row r="110" spans="1:25">
      <c r="A110" s="130">
        <v>45481</v>
      </c>
      <c r="B110" t="s">
        <v>1705</v>
      </c>
      <c r="C110" t="s">
        <v>1706</v>
      </c>
      <c r="D110" t="s">
        <v>71</v>
      </c>
      <c r="E110" t="s">
        <v>24</v>
      </c>
      <c r="F110" t="s">
        <v>3295</v>
      </c>
      <c r="G110" t="s">
        <v>1715</v>
      </c>
      <c r="H110" t="s">
        <v>1716</v>
      </c>
      <c r="I110" s="174"/>
      <c r="J110" s="174"/>
      <c r="K110" s="174"/>
      <c r="L110" s="174"/>
      <c r="M110" s="174"/>
      <c r="N110" s="174">
        <v>3000</v>
      </c>
      <c r="O110" s="174"/>
      <c r="P110" s="174">
        <v>2</v>
      </c>
      <c r="Q110" s="174"/>
      <c r="R110" s="174">
        <v>31</v>
      </c>
      <c r="S110" s="174"/>
      <c r="T110" s="174"/>
      <c r="U110" s="174"/>
      <c r="V110" s="174"/>
      <c r="W110" s="174"/>
      <c r="X110" s="174"/>
      <c r="Y110" s="174">
        <v>3033</v>
      </c>
    </row>
    <row r="111" spans="1:25">
      <c r="A111" s="130">
        <v>45481</v>
      </c>
      <c r="B111" t="s">
        <v>1481</v>
      </c>
      <c r="C111" t="s">
        <v>1482</v>
      </c>
      <c r="D111" t="s">
        <v>71</v>
      </c>
      <c r="E111" t="s">
        <v>24</v>
      </c>
      <c r="F111" t="s">
        <v>3295</v>
      </c>
      <c r="G111" t="s">
        <v>1717</v>
      </c>
      <c r="H111" t="s">
        <v>1718</v>
      </c>
      <c r="I111" s="174"/>
      <c r="J111" s="174"/>
      <c r="K111" s="174"/>
      <c r="L111" s="174">
        <v>3000</v>
      </c>
      <c r="M111" s="174"/>
      <c r="N111" s="174"/>
      <c r="O111" s="174"/>
      <c r="P111" s="174"/>
      <c r="Q111" s="174"/>
      <c r="R111" s="174"/>
      <c r="S111" s="174"/>
      <c r="T111" s="174"/>
      <c r="U111" s="174"/>
      <c r="V111" s="174"/>
      <c r="W111" s="174"/>
      <c r="X111" s="174"/>
      <c r="Y111" s="174">
        <v>3000</v>
      </c>
    </row>
    <row r="112" spans="1:25">
      <c r="A112" s="130">
        <v>45496</v>
      </c>
      <c r="B112" t="s">
        <v>1803</v>
      </c>
      <c r="C112" t="s">
        <v>1804</v>
      </c>
      <c r="D112" t="s">
        <v>71</v>
      </c>
      <c r="E112" t="s">
        <v>24</v>
      </c>
      <c r="F112" t="s">
        <v>3295</v>
      </c>
      <c r="G112" t="s">
        <v>1811</v>
      </c>
      <c r="H112" t="s">
        <v>1812</v>
      </c>
      <c r="I112" s="174">
        <v>95</v>
      </c>
      <c r="J112" s="174"/>
      <c r="K112" s="174"/>
      <c r="L112" s="174"/>
      <c r="M112" s="174"/>
      <c r="N112" s="174"/>
      <c r="O112" s="174"/>
      <c r="P112" s="174"/>
      <c r="Q112" s="174"/>
      <c r="R112" s="174"/>
      <c r="S112" s="174"/>
      <c r="T112" s="174"/>
      <c r="U112" s="174"/>
      <c r="V112" s="174"/>
      <c r="W112" s="174"/>
      <c r="X112" s="174">
        <v>1</v>
      </c>
      <c r="Y112" s="174">
        <v>96</v>
      </c>
    </row>
    <row r="113" spans="1:25">
      <c r="A113" s="130">
        <v>45496</v>
      </c>
      <c r="B113" t="s">
        <v>1803</v>
      </c>
      <c r="C113" t="s">
        <v>1804</v>
      </c>
      <c r="D113" t="s">
        <v>71</v>
      </c>
      <c r="E113" t="s">
        <v>24</v>
      </c>
      <c r="F113" t="s">
        <v>3295</v>
      </c>
      <c r="G113" t="s">
        <v>1805</v>
      </c>
      <c r="H113" t="s">
        <v>1806</v>
      </c>
      <c r="I113" s="174"/>
      <c r="J113" s="174"/>
      <c r="K113" s="174"/>
      <c r="L113" s="174">
        <v>3000</v>
      </c>
      <c r="M113" s="174"/>
      <c r="N113" s="174">
        <v>6000</v>
      </c>
      <c r="O113" s="174"/>
      <c r="P113" s="174">
        <v>2</v>
      </c>
      <c r="Q113" s="174"/>
      <c r="R113" s="174">
        <v>37</v>
      </c>
      <c r="S113" s="174"/>
      <c r="T113" s="174"/>
      <c r="U113" s="174"/>
      <c r="V113" s="174"/>
      <c r="W113" s="174"/>
      <c r="X113" s="174"/>
      <c r="Y113" s="174">
        <v>9039</v>
      </c>
    </row>
    <row r="114" spans="1:25">
      <c r="A114" s="130">
        <v>45496</v>
      </c>
      <c r="B114" t="s">
        <v>1799</v>
      </c>
      <c r="C114" t="s">
        <v>1800</v>
      </c>
      <c r="D114" t="s">
        <v>71</v>
      </c>
      <c r="E114" t="s">
        <v>24</v>
      </c>
      <c r="F114" t="s">
        <v>3295</v>
      </c>
      <c r="G114" t="s">
        <v>1801</v>
      </c>
      <c r="H114" t="s">
        <v>1802</v>
      </c>
      <c r="I114" s="174">
        <v>79</v>
      </c>
      <c r="J114" s="174"/>
      <c r="K114" s="174">
        <v>4</v>
      </c>
      <c r="L114" s="174"/>
      <c r="M114" s="174"/>
      <c r="N114" s="174"/>
      <c r="O114" s="174"/>
      <c r="P114" s="174"/>
      <c r="Q114" s="174"/>
      <c r="R114" s="174"/>
      <c r="S114" s="174"/>
      <c r="T114" s="174"/>
      <c r="U114" s="174"/>
      <c r="V114" s="174"/>
      <c r="W114" s="174"/>
      <c r="X114" s="174">
        <v>2</v>
      </c>
      <c r="Y114" s="174">
        <v>85</v>
      </c>
    </row>
    <row r="115" spans="1:25">
      <c r="A115" s="130">
        <v>45496</v>
      </c>
      <c r="B115" t="s">
        <v>1807</v>
      </c>
      <c r="C115" t="s">
        <v>1808</v>
      </c>
      <c r="D115" t="s">
        <v>71</v>
      </c>
      <c r="E115" t="s">
        <v>24</v>
      </c>
      <c r="F115" t="s">
        <v>3295</v>
      </c>
      <c r="G115" t="s">
        <v>1809</v>
      </c>
      <c r="H115" t="s">
        <v>1810</v>
      </c>
      <c r="I115" s="174">
        <v>82</v>
      </c>
      <c r="J115" s="174"/>
      <c r="K115" s="174">
        <v>5</v>
      </c>
      <c r="L115" s="174"/>
      <c r="M115" s="174"/>
      <c r="N115" s="174"/>
      <c r="O115" s="174"/>
      <c r="P115" s="174"/>
      <c r="Q115" s="174"/>
      <c r="R115" s="174"/>
      <c r="S115" s="174"/>
      <c r="T115" s="174"/>
      <c r="U115" s="174"/>
      <c r="V115" s="174"/>
      <c r="W115" s="174"/>
      <c r="X115" s="174">
        <v>3</v>
      </c>
      <c r="Y115" s="174">
        <v>90</v>
      </c>
    </row>
    <row r="116" spans="1:25">
      <c r="A116" s="130">
        <v>45503</v>
      </c>
      <c r="B116" t="s">
        <v>1799</v>
      </c>
      <c r="C116" t="s">
        <v>1800</v>
      </c>
      <c r="D116" t="s">
        <v>71</v>
      </c>
      <c r="E116" t="s">
        <v>24</v>
      </c>
      <c r="F116" t="s">
        <v>3295</v>
      </c>
      <c r="G116" t="s">
        <v>1815</v>
      </c>
      <c r="H116" t="s">
        <v>1816</v>
      </c>
      <c r="I116" s="174"/>
      <c r="J116" s="174"/>
      <c r="K116" s="174"/>
      <c r="L116" s="174"/>
      <c r="M116" s="174"/>
      <c r="N116" s="174"/>
      <c r="O116" s="174"/>
      <c r="P116" s="174"/>
      <c r="Q116" s="174"/>
      <c r="R116" s="174"/>
      <c r="S116" s="174"/>
      <c r="T116" s="174"/>
      <c r="U116" s="174">
        <v>6000</v>
      </c>
      <c r="V116" s="174"/>
      <c r="W116" s="174"/>
      <c r="X116" s="174"/>
      <c r="Y116" s="174">
        <v>6000</v>
      </c>
    </row>
    <row r="117" spans="1:25">
      <c r="A117" s="130">
        <v>45503</v>
      </c>
      <c r="B117" t="s">
        <v>1807</v>
      </c>
      <c r="C117" t="s">
        <v>1808</v>
      </c>
      <c r="D117" t="s">
        <v>71</v>
      </c>
      <c r="E117" t="s">
        <v>24</v>
      </c>
      <c r="F117" t="s">
        <v>3295</v>
      </c>
      <c r="G117" t="s">
        <v>1813</v>
      </c>
      <c r="H117" t="s">
        <v>1814</v>
      </c>
      <c r="I117" s="174"/>
      <c r="J117" s="174"/>
      <c r="K117" s="174"/>
      <c r="L117" s="174"/>
      <c r="M117" s="174"/>
      <c r="N117" s="174"/>
      <c r="O117" s="174"/>
      <c r="P117" s="174"/>
      <c r="Q117" s="174"/>
      <c r="R117" s="174"/>
      <c r="S117" s="174"/>
      <c r="T117" s="174"/>
      <c r="U117" s="174">
        <v>3000</v>
      </c>
      <c r="V117" s="174"/>
      <c r="W117" s="174"/>
      <c r="X117" s="174"/>
      <c r="Y117" s="174">
        <v>3000</v>
      </c>
    </row>
    <row r="118" spans="1:25">
      <c r="A118" s="130">
        <v>45526</v>
      </c>
      <c r="B118" t="s">
        <v>1929</v>
      </c>
      <c r="C118" t="s">
        <v>1930</v>
      </c>
      <c r="D118" t="s">
        <v>71</v>
      </c>
      <c r="E118" t="s">
        <v>24</v>
      </c>
      <c r="F118" t="s">
        <v>3295</v>
      </c>
      <c r="G118" t="s">
        <v>1937</v>
      </c>
      <c r="H118" t="s">
        <v>1938</v>
      </c>
      <c r="I118" s="174">
        <v>83</v>
      </c>
      <c r="J118" s="174">
        <v>8</v>
      </c>
      <c r="K118" s="174"/>
      <c r="L118" s="174"/>
      <c r="M118" s="174"/>
      <c r="N118" s="174"/>
      <c r="O118" s="174"/>
      <c r="P118" s="174"/>
      <c r="Q118" s="174"/>
      <c r="R118" s="174"/>
      <c r="S118" s="174"/>
      <c r="T118" s="174"/>
      <c r="U118" s="174"/>
      <c r="V118" s="174"/>
      <c r="W118" s="174"/>
      <c r="X118" s="174"/>
      <c r="Y118" s="174">
        <v>91</v>
      </c>
    </row>
    <row r="119" spans="1:25">
      <c r="A119" s="130">
        <v>45526</v>
      </c>
      <c r="B119" t="s">
        <v>1929</v>
      </c>
      <c r="C119" t="s">
        <v>1930</v>
      </c>
      <c r="D119" t="s">
        <v>71</v>
      </c>
      <c r="E119" t="s">
        <v>24</v>
      </c>
      <c r="F119" t="s">
        <v>3295</v>
      </c>
      <c r="G119" t="s">
        <v>1931</v>
      </c>
      <c r="H119" t="s">
        <v>1932</v>
      </c>
      <c r="I119" s="174"/>
      <c r="J119" s="174"/>
      <c r="K119" s="174"/>
      <c r="L119" s="174"/>
      <c r="M119" s="174"/>
      <c r="N119" s="174">
        <v>3000</v>
      </c>
      <c r="O119" s="174"/>
      <c r="P119" s="174">
        <v>2</v>
      </c>
      <c r="Q119" s="174"/>
      <c r="R119" s="174">
        <v>38</v>
      </c>
      <c r="S119" s="174">
        <v>6</v>
      </c>
      <c r="T119" s="174"/>
      <c r="U119" s="174"/>
      <c r="V119" s="174"/>
      <c r="W119" s="174"/>
      <c r="X119" s="174"/>
      <c r="Y119" s="174">
        <v>3046</v>
      </c>
    </row>
    <row r="120" spans="1:25">
      <c r="A120" s="130">
        <v>45526</v>
      </c>
      <c r="B120" t="s">
        <v>1923</v>
      </c>
      <c r="C120" t="s">
        <v>1924</v>
      </c>
      <c r="D120" t="s">
        <v>71</v>
      </c>
      <c r="E120" t="s">
        <v>24</v>
      </c>
      <c r="F120" t="s">
        <v>3295</v>
      </c>
      <c r="G120" t="s">
        <v>1927</v>
      </c>
      <c r="H120" t="s">
        <v>1928</v>
      </c>
      <c r="I120" s="174">
        <v>41</v>
      </c>
      <c r="J120" s="174">
        <v>3</v>
      </c>
      <c r="K120" s="174">
        <v>2</v>
      </c>
      <c r="L120" s="174"/>
      <c r="M120" s="174"/>
      <c r="N120" s="174"/>
      <c r="O120" s="174"/>
      <c r="P120" s="174"/>
      <c r="Q120" s="174"/>
      <c r="R120" s="174"/>
      <c r="S120" s="174"/>
      <c r="T120" s="174"/>
      <c r="U120" s="174"/>
      <c r="V120" s="174"/>
      <c r="W120" s="174"/>
      <c r="X120" s="174"/>
      <c r="Y120" s="174">
        <v>46</v>
      </c>
    </row>
    <row r="121" spans="1:25">
      <c r="A121" s="130">
        <v>45526</v>
      </c>
      <c r="B121" t="s">
        <v>1923</v>
      </c>
      <c r="C121" t="s">
        <v>1924</v>
      </c>
      <c r="D121" t="s">
        <v>71</v>
      </c>
      <c r="E121" t="s">
        <v>24</v>
      </c>
      <c r="F121" t="s">
        <v>3295</v>
      </c>
      <c r="G121" t="s">
        <v>1925</v>
      </c>
      <c r="H121" t="s">
        <v>1926</v>
      </c>
      <c r="I121" s="174"/>
      <c r="J121" s="174"/>
      <c r="K121" s="174"/>
      <c r="L121" s="174">
        <v>3000</v>
      </c>
      <c r="M121" s="174"/>
      <c r="N121" s="174"/>
      <c r="O121" s="174"/>
      <c r="P121" s="174">
        <v>1</v>
      </c>
      <c r="Q121" s="174"/>
      <c r="R121" s="174">
        <v>22</v>
      </c>
      <c r="S121" s="174">
        <v>3</v>
      </c>
      <c r="T121" s="174"/>
      <c r="U121" s="174"/>
      <c r="V121" s="174"/>
      <c r="W121" s="174"/>
      <c r="X121" s="174"/>
      <c r="Y121" s="174">
        <v>3026</v>
      </c>
    </row>
    <row r="122" spans="1:25">
      <c r="A122" s="130">
        <v>45526</v>
      </c>
      <c r="B122" t="s">
        <v>1917</v>
      </c>
      <c r="C122" t="s">
        <v>1918</v>
      </c>
      <c r="D122" t="s">
        <v>71</v>
      </c>
      <c r="E122" t="s">
        <v>24</v>
      </c>
      <c r="F122" t="s">
        <v>3295</v>
      </c>
      <c r="G122" t="s">
        <v>1921</v>
      </c>
      <c r="H122" t="s">
        <v>1922</v>
      </c>
      <c r="I122" s="174">
        <v>23</v>
      </c>
      <c r="J122" s="174">
        <v>2</v>
      </c>
      <c r="K122" s="174">
        <v>6</v>
      </c>
      <c r="L122" s="174"/>
      <c r="M122" s="174"/>
      <c r="N122" s="174"/>
      <c r="O122" s="174"/>
      <c r="P122" s="174"/>
      <c r="Q122" s="174"/>
      <c r="R122" s="174"/>
      <c r="S122" s="174"/>
      <c r="T122" s="174"/>
      <c r="U122" s="174"/>
      <c r="V122" s="174"/>
      <c r="W122" s="174"/>
      <c r="X122" s="174">
        <v>1</v>
      </c>
      <c r="Y122" s="174">
        <v>32</v>
      </c>
    </row>
    <row r="123" spans="1:25">
      <c r="A123" s="130">
        <v>45526</v>
      </c>
      <c r="B123" t="s">
        <v>1917</v>
      </c>
      <c r="C123" t="s">
        <v>1918</v>
      </c>
      <c r="D123" t="s">
        <v>71</v>
      </c>
      <c r="E123" t="s">
        <v>24</v>
      </c>
      <c r="F123" t="s">
        <v>3295</v>
      </c>
      <c r="G123" t="s">
        <v>1919</v>
      </c>
      <c r="H123" t="s">
        <v>1920</v>
      </c>
      <c r="I123" s="174"/>
      <c r="J123" s="174"/>
      <c r="K123" s="174"/>
      <c r="L123" s="174">
        <v>3000</v>
      </c>
      <c r="M123" s="174"/>
      <c r="N123" s="174"/>
      <c r="O123" s="174"/>
      <c r="P123" s="174">
        <v>1</v>
      </c>
      <c r="Q123" s="174"/>
      <c r="R123" s="174">
        <v>15</v>
      </c>
      <c r="S123" s="174">
        <v>3</v>
      </c>
      <c r="T123" s="174"/>
      <c r="U123" s="174"/>
      <c r="V123" s="174"/>
      <c r="W123" s="174"/>
      <c r="X123" s="174"/>
      <c r="Y123" s="174">
        <v>3019</v>
      </c>
    </row>
    <row r="124" spans="1:25">
      <c r="A124" s="130">
        <v>45526</v>
      </c>
      <c r="B124" t="s">
        <v>1911</v>
      </c>
      <c r="C124" t="s">
        <v>1912</v>
      </c>
      <c r="D124" t="s">
        <v>71</v>
      </c>
      <c r="E124" t="s">
        <v>24</v>
      </c>
      <c r="F124" t="s">
        <v>3295</v>
      </c>
      <c r="G124" t="s">
        <v>1913</v>
      </c>
      <c r="H124" t="s">
        <v>1914</v>
      </c>
      <c r="I124" s="174">
        <v>28</v>
      </c>
      <c r="J124" s="174">
        <v>6</v>
      </c>
      <c r="K124" s="174">
        <v>2</v>
      </c>
      <c r="L124" s="174"/>
      <c r="M124" s="174"/>
      <c r="N124" s="174"/>
      <c r="O124" s="174"/>
      <c r="P124" s="174"/>
      <c r="Q124" s="174"/>
      <c r="R124" s="174"/>
      <c r="S124" s="174"/>
      <c r="T124" s="174"/>
      <c r="U124" s="174"/>
      <c r="V124" s="174"/>
      <c r="W124" s="174"/>
      <c r="X124" s="174"/>
      <c r="Y124" s="174">
        <v>36</v>
      </c>
    </row>
    <row r="125" spans="1:25">
      <c r="A125" s="130">
        <v>45526</v>
      </c>
      <c r="B125" t="s">
        <v>1911</v>
      </c>
      <c r="C125" t="s">
        <v>1912</v>
      </c>
      <c r="D125" t="s">
        <v>71</v>
      </c>
      <c r="E125" t="s">
        <v>24</v>
      </c>
      <c r="F125" t="s">
        <v>3295</v>
      </c>
      <c r="G125" t="s">
        <v>1915</v>
      </c>
      <c r="H125" t="s">
        <v>1916</v>
      </c>
      <c r="I125" s="174"/>
      <c r="J125" s="174"/>
      <c r="K125" s="174"/>
      <c r="L125" s="174">
        <v>3000</v>
      </c>
      <c r="M125" s="174"/>
      <c r="N125" s="174">
        <v>3000</v>
      </c>
      <c r="O125" s="174"/>
      <c r="P125" s="174">
        <v>1</v>
      </c>
      <c r="Q125" s="174"/>
      <c r="R125" s="174">
        <v>15</v>
      </c>
      <c r="S125" s="174">
        <v>3</v>
      </c>
      <c r="T125" s="174"/>
      <c r="U125" s="174"/>
      <c r="V125" s="174"/>
      <c r="W125" s="174"/>
      <c r="X125" s="174"/>
      <c r="Y125" s="174">
        <v>6019</v>
      </c>
    </row>
    <row r="126" spans="1:25">
      <c r="A126" s="130">
        <v>45526</v>
      </c>
      <c r="B126" t="s">
        <v>1705</v>
      </c>
      <c r="C126" t="s">
        <v>1706</v>
      </c>
      <c r="D126" t="s">
        <v>71</v>
      </c>
      <c r="E126" t="s">
        <v>24</v>
      </c>
      <c r="F126" t="s">
        <v>3295</v>
      </c>
      <c r="G126" t="s">
        <v>1935</v>
      </c>
      <c r="H126" t="s">
        <v>1936</v>
      </c>
      <c r="I126" s="174"/>
      <c r="J126" s="174"/>
      <c r="K126" s="174">
        <v>1</v>
      </c>
      <c r="L126" s="174"/>
      <c r="M126" s="174"/>
      <c r="N126" s="174"/>
      <c r="O126" s="174"/>
      <c r="P126" s="174"/>
      <c r="Q126" s="174"/>
      <c r="R126" s="174"/>
      <c r="S126" s="174"/>
      <c r="T126" s="174"/>
      <c r="U126" s="174"/>
      <c r="V126" s="174"/>
      <c r="W126" s="174"/>
      <c r="X126" s="174"/>
      <c r="Y126" s="174">
        <v>1</v>
      </c>
    </row>
    <row r="127" spans="1:25">
      <c r="A127" s="130">
        <v>45526</v>
      </c>
      <c r="B127" t="s">
        <v>1799</v>
      </c>
      <c r="C127" t="s">
        <v>1800</v>
      </c>
      <c r="D127" t="s">
        <v>71</v>
      </c>
      <c r="E127" t="s">
        <v>24</v>
      </c>
      <c r="F127" t="s">
        <v>3295</v>
      </c>
      <c r="G127" t="s">
        <v>1933</v>
      </c>
      <c r="H127" t="s">
        <v>1934</v>
      </c>
      <c r="I127" s="174"/>
      <c r="J127" s="174"/>
      <c r="K127" s="174">
        <v>4</v>
      </c>
      <c r="L127" s="174"/>
      <c r="M127" s="174"/>
      <c r="N127" s="174"/>
      <c r="O127" s="174"/>
      <c r="P127" s="174"/>
      <c r="Q127" s="174"/>
      <c r="R127" s="174"/>
      <c r="S127" s="174"/>
      <c r="T127" s="174"/>
      <c r="U127" s="174"/>
      <c r="V127" s="174"/>
      <c r="W127" s="174"/>
      <c r="X127" s="174"/>
      <c r="Y127" s="174">
        <v>4</v>
      </c>
    </row>
    <row r="128" spans="1:25">
      <c r="A128" s="130">
        <v>45531</v>
      </c>
      <c r="B128" t="s">
        <v>2007</v>
      </c>
      <c r="C128" t="s">
        <v>2008</v>
      </c>
      <c r="D128" t="s">
        <v>71</v>
      </c>
      <c r="E128" t="s">
        <v>24</v>
      </c>
      <c r="F128" t="s">
        <v>3295</v>
      </c>
      <c r="G128" t="s">
        <v>2009</v>
      </c>
      <c r="H128" t="s">
        <v>2010</v>
      </c>
      <c r="I128" s="174"/>
      <c r="J128" s="174"/>
      <c r="K128" s="174"/>
      <c r="L128" s="174"/>
      <c r="M128" s="174"/>
      <c r="N128" s="174">
        <v>3000</v>
      </c>
      <c r="O128" s="174"/>
      <c r="P128" s="174">
        <v>1</v>
      </c>
      <c r="Q128" s="174"/>
      <c r="R128" s="174">
        <v>7</v>
      </c>
      <c r="S128" s="174">
        <v>3</v>
      </c>
      <c r="T128" s="174"/>
      <c r="U128" s="174"/>
      <c r="V128" s="174"/>
      <c r="W128" s="174"/>
      <c r="X128" s="174"/>
      <c r="Y128" s="174">
        <v>3011</v>
      </c>
    </row>
    <row r="129" spans="1:25">
      <c r="A129" s="130">
        <v>45531</v>
      </c>
      <c r="B129" t="s">
        <v>2001</v>
      </c>
      <c r="C129" t="s">
        <v>2002</v>
      </c>
      <c r="D129" t="s">
        <v>71</v>
      </c>
      <c r="E129" t="s">
        <v>24</v>
      </c>
      <c r="F129" t="s">
        <v>3295</v>
      </c>
      <c r="G129" t="s">
        <v>2003</v>
      </c>
      <c r="H129" t="s">
        <v>2004</v>
      </c>
      <c r="I129" s="174"/>
      <c r="J129" s="174"/>
      <c r="K129" s="174"/>
      <c r="L129" s="174"/>
      <c r="M129" s="174"/>
      <c r="N129" s="174"/>
      <c r="O129" s="174"/>
      <c r="P129" s="174"/>
      <c r="Q129" s="174"/>
      <c r="R129" s="174">
        <v>5</v>
      </c>
      <c r="S129" s="174"/>
      <c r="T129" s="174"/>
      <c r="U129" s="174"/>
      <c r="V129" s="174"/>
      <c r="W129" s="174"/>
      <c r="X129" s="174"/>
      <c r="Y129" s="174">
        <v>5</v>
      </c>
    </row>
    <row r="130" spans="1:25">
      <c r="A130" s="130">
        <v>45531</v>
      </c>
      <c r="B130" t="s">
        <v>2013</v>
      </c>
      <c r="C130" t="s">
        <v>2014</v>
      </c>
      <c r="D130" t="s">
        <v>71</v>
      </c>
      <c r="E130" t="s">
        <v>24</v>
      </c>
      <c r="F130" t="s">
        <v>3295</v>
      </c>
      <c r="G130" t="s">
        <v>2015</v>
      </c>
      <c r="H130" t="s">
        <v>2016</v>
      </c>
      <c r="I130" s="174"/>
      <c r="J130" s="174"/>
      <c r="K130" s="174"/>
      <c r="L130" s="174">
        <v>3000</v>
      </c>
      <c r="M130" s="174"/>
      <c r="N130" s="174"/>
      <c r="O130" s="174"/>
      <c r="P130" s="174">
        <v>1</v>
      </c>
      <c r="Q130" s="174"/>
      <c r="R130" s="174">
        <v>13</v>
      </c>
      <c r="S130" s="174"/>
      <c r="T130" s="174"/>
      <c r="U130" s="174"/>
      <c r="V130" s="174"/>
      <c r="W130" s="174"/>
      <c r="X130" s="174"/>
      <c r="Y130" s="174">
        <v>3014</v>
      </c>
    </row>
    <row r="131" spans="1:25">
      <c r="A131" s="130">
        <v>45531</v>
      </c>
      <c r="B131" t="s">
        <v>1951</v>
      </c>
      <c r="C131" t="s">
        <v>1952</v>
      </c>
      <c r="D131" t="s">
        <v>71</v>
      </c>
      <c r="E131" t="s">
        <v>24</v>
      </c>
      <c r="F131" t="s">
        <v>3295</v>
      </c>
      <c r="G131" t="s">
        <v>2011</v>
      </c>
      <c r="H131" t="s">
        <v>2012</v>
      </c>
      <c r="I131" s="174"/>
      <c r="J131" s="174"/>
      <c r="K131" s="174"/>
      <c r="L131" s="174">
        <v>3000</v>
      </c>
      <c r="M131" s="174"/>
      <c r="N131" s="174">
        <v>3000</v>
      </c>
      <c r="O131" s="174"/>
      <c r="P131" s="174"/>
      <c r="Q131" s="174">
        <v>1</v>
      </c>
      <c r="R131" s="174">
        <v>26</v>
      </c>
      <c r="S131" s="174">
        <v>4</v>
      </c>
      <c r="T131" s="174"/>
      <c r="U131" s="174"/>
      <c r="V131" s="174"/>
      <c r="W131" s="174"/>
      <c r="X131" s="174"/>
      <c r="Y131" s="174">
        <v>6031</v>
      </c>
    </row>
    <row r="132" spans="1:25">
      <c r="A132" s="130">
        <v>45531</v>
      </c>
      <c r="B132" t="s">
        <v>1951</v>
      </c>
      <c r="C132" t="s">
        <v>1952</v>
      </c>
      <c r="D132" t="s">
        <v>71</v>
      </c>
      <c r="E132" t="s">
        <v>24</v>
      </c>
      <c r="F132" t="s">
        <v>3295</v>
      </c>
      <c r="G132" t="s">
        <v>2005</v>
      </c>
      <c r="H132" t="s">
        <v>2006</v>
      </c>
      <c r="I132" s="174"/>
      <c r="J132" s="174"/>
      <c r="K132" s="174">
        <v>2</v>
      </c>
      <c r="L132" s="174"/>
      <c r="M132" s="174"/>
      <c r="N132" s="174"/>
      <c r="O132" s="174"/>
      <c r="P132" s="174"/>
      <c r="Q132" s="174"/>
      <c r="R132" s="174"/>
      <c r="S132" s="174"/>
      <c r="T132" s="174"/>
      <c r="U132" s="174"/>
      <c r="V132" s="174"/>
      <c r="W132" s="174"/>
      <c r="X132" s="174"/>
      <c r="Y132" s="174">
        <v>2</v>
      </c>
    </row>
    <row r="133" spans="1:25">
      <c r="A133" s="130">
        <v>45531</v>
      </c>
      <c r="B133" t="s">
        <v>2025</v>
      </c>
      <c r="C133" t="s">
        <v>2026</v>
      </c>
      <c r="D133" t="s">
        <v>71</v>
      </c>
      <c r="E133" t="s">
        <v>24</v>
      </c>
      <c r="F133" t="s">
        <v>3295</v>
      </c>
      <c r="G133" t="s">
        <v>2027</v>
      </c>
      <c r="H133" t="s">
        <v>2028</v>
      </c>
      <c r="I133" s="174"/>
      <c r="J133" s="174"/>
      <c r="K133" s="174"/>
      <c r="L133" s="174"/>
      <c r="M133" s="174"/>
      <c r="N133" s="174"/>
      <c r="O133" s="174"/>
      <c r="P133" s="174"/>
      <c r="Q133" s="174"/>
      <c r="R133" s="174">
        <v>7</v>
      </c>
      <c r="S133" s="174"/>
      <c r="T133" s="174"/>
      <c r="U133" s="174"/>
      <c r="V133" s="174"/>
      <c r="W133" s="174"/>
      <c r="X133" s="174"/>
      <c r="Y133" s="174">
        <v>7</v>
      </c>
    </row>
    <row r="134" spans="1:25">
      <c r="A134" s="130">
        <v>45531</v>
      </c>
      <c r="B134" t="s">
        <v>1967</v>
      </c>
      <c r="C134" t="s">
        <v>1968</v>
      </c>
      <c r="D134" t="s">
        <v>71</v>
      </c>
      <c r="E134" t="s">
        <v>24</v>
      </c>
      <c r="F134" t="s">
        <v>3295</v>
      </c>
      <c r="G134" t="s">
        <v>1971</v>
      </c>
      <c r="H134" t="s">
        <v>1972</v>
      </c>
      <c r="I134" s="174"/>
      <c r="J134" s="174"/>
      <c r="K134" s="174"/>
      <c r="L134" s="174"/>
      <c r="M134" s="174"/>
      <c r="N134" s="174"/>
      <c r="O134" s="174"/>
      <c r="P134" s="174"/>
      <c r="Q134" s="174"/>
      <c r="R134" s="174"/>
      <c r="S134" s="174"/>
      <c r="T134" s="174"/>
      <c r="U134" s="174"/>
      <c r="V134" s="174"/>
      <c r="W134" s="174"/>
      <c r="X134" s="174">
        <v>2</v>
      </c>
      <c r="Y134" s="174">
        <v>2</v>
      </c>
    </row>
    <row r="135" spans="1:25">
      <c r="A135" s="130">
        <v>45531</v>
      </c>
      <c r="B135" t="s">
        <v>1967</v>
      </c>
      <c r="C135" t="s">
        <v>1968</v>
      </c>
      <c r="D135" t="s">
        <v>71</v>
      </c>
      <c r="E135" t="s">
        <v>24</v>
      </c>
      <c r="F135" t="s">
        <v>3295</v>
      </c>
      <c r="G135" t="s">
        <v>1969</v>
      </c>
      <c r="H135" t="s">
        <v>1970</v>
      </c>
      <c r="I135" s="174"/>
      <c r="J135" s="174"/>
      <c r="K135" s="174"/>
      <c r="L135" s="174"/>
      <c r="M135" s="174"/>
      <c r="N135" s="174"/>
      <c r="O135" s="174"/>
      <c r="P135" s="174"/>
      <c r="Q135" s="174"/>
      <c r="R135" s="174"/>
      <c r="S135" s="174"/>
      <c r="T135" s="174"/>
      <c r="U135" s="174">
        <v>6000</v>
      </c>
      <c r="V135" s="174"/>
      <c r="W135" s="174"/>
      <c r="X135" s="174"/>
      <c r="Y135" s="174">
        <v>6000</v>
      </c>
    </row>
    <row r="136" spans="1:25">
      <c r="A136" s="130">
        <v>45555</v>
      </c>
      <c r="B136" t="s">
        <v>2166</v>
      </c>
      <c r="C136" t="s">
        <v>2167</v>
      </c>
      <c r="D136" t="s">
        <v>71</v>
      </c>
      <c r="E136" t="s">
        <v>24</v>
      </c>
      <c r="F136" t="s">
        <v>3295</v>
      </c>
      <c r="G136" t="s">
        <v>2168</v>
      </c>
      <c r="H136" t="s">
        <v>2169</v>
      </c>
      <c r="I136" s="174">
        <v>69</v>
      </c>
      <c r="J136" s="174">
        <v>3</v>
      </c>
      <c r="K136" s="174"/>
      <c r="L136" s="174"/>
      <c r="M136" s="174"/>
      <c r="N136" s="174"/>
      <c r="O136" s="174"/>
      <c r="P136" s="174"/>
      <c r="Q136" s="174"/>
      <c r="R136" s="174"/>
      <c r="S136" s="174"/>
      <c r="T136" s="174"/>
      <c r="U136" s="174"/>
      <c r="V136" s="174"/>
      <c r="W136" s="174"/>
      <c r="X136" s="174"/>
      <c r="Y136" s="174">
        <v>72</v>
      </c>
    </row>
    <row r="137" spans="1:25">
      <c r="A137" s="130">
        <v>45555</v>
      </c>
      <c r="B137" t="s">
        <v>2166</v>
      </c>
      <c r="C137" t="s">
        <v>2167</v>
      </c>
      <c r="D137" t="s">
        <v>71</v>
      </c>
      <c r="E137" t="s">
        <v>24</v>
      </c>
      <c r="F137" t="s">
        <v>3295</v>
      </c>
      <c r="G137" t="s">
        <v>2170</v>
      </c>
      <c r="H137" t="s">
        <v>2171</v>
      </c>
      <c r="I137" s="174"/>
      <c r="J137" s="174"/>
      <c r="K137" s="174"/>
      <c r="L137" s="174">
        <v>3000</v>
      </c>
      <c r="M137" s="174"/>
      <c r="N137" s="174">
        <v>6000</v>
      </c>
      <c r="O137" s="174"/>
      <c r="P137" s="174"/>
      <c r="Q137" s="174">
        <v>1</v>
      </c>
      <c r="R137" s="174">
        <v>22</v>
      </c>
      <c r="S137" s="174"/>
      <c r="T137" s="174"/>
      <c r="U137" s="174"/>
      <c r="V137" s="174"/>
      <c r="W137" s="174"/>
      <c r="X137" s="174"/>
      <c r="Y137" s="174">
        <v>9023</v>
      </c>
    </row>
    <row r="138" spans="1:25">
      <c r="A138" s="130">
        <v>45555</v>
      </c>
      <c r="B138" t="s">
        <v>2013</v>
      </c>
      <c r="C138" t="s">
        <v>2014</v>
      </c>
      <c r="D138" t="s">
        <v>71</v>
      </c>
      <c r="E138" t="s">
        <v>24</v>
      </c>
      <c r="F138" t="s">
        <v>3295</v>
      </c>
      <c r="G138" t="s">
        <v>2164</v>
      </c>
      <c r="H138" t="s">
        <v>2165</v>
      </c>
      <c r="I138" s="174">
        <v>25</v>
      </c>
      <c r="J138" s="174">
        <v>10</v>
      </c>
      <c r="K138" s="174">
        <v>10</v>
      </c>
      <c r="L138" s="174"/>
      <c r="M138" s="174"/>
      <c r="N138" s="174"/>
      <c r="O138" s="174"/>
      <c r="P138" s="174"/>
      <c r="Q138" s="174"/>
      <c r="R138" s="174"/>
      <c r="S138" s="174"/>
      <c r="T138" s="174"/>
      <c r="U138" s="174"/>
      <c r="V138" s="174"/>
      <c r="W138" s="174"/>
      <c r="X138" s="174"/>
      <c r="Y138" s="174">
        <v>45</v>
      </c>
    </row>
    <row r="139" spans="1:25">
      <c r="A139" s="130">
        <v>45555</v>
      </c>
      <c r="B139" t="s">
        <v>2160</v>
      </c>
      <c r="C139" t="s">
        <v>2161</v>
      </c>
      <c r="D139" t="s">
        <v>71</v>
      </c>
      <c r="E139" t="s">
        <v>24</v>
      </c>
      <c r="F139" t="s">
        <v>3295</v>
      </c>
      <c r="G139" t="s">
        <v>2162</v>
      </c>
      <c r="H139" t="s">
        <v>2163</v>
      </c>
      <c r="I139" s="174">
        <v>32</v>
      </c>
      <c r="J139" s="174">
        <v>1</v>
      </c>
      <c r="K139" s="174"/>
      <c r="L139" s="174"/>
      <c r="M139" s="174"/>
      <c r="N139" s="174"/>
      <c r="O139" s="174"/>
      <c r="P139" s="174"/>
      <c r="Q139" s="174"/>
      <c r="R139" s="174"/>
      <c r="S139" s="174"/>
      <c r="T139" s="174"/>
      <c r="U139" s="174"/>
      <c r="V139" s="174"/>
      <c r="W139" s="174"/>
      <c r="X139" s="174"/>
      <c r="Y139" s="174">
        <v>33</v>
      </c>
    </row>
    <row r="140" spans="1:25">
      <c r="A140" s="130">
        <v>45555</v>
      </c>
      <c r="B140" t="s">
        <v>2160</v>
      </c>
      <c r="C140" t="s">
        <v>2161</v>
      </c>
      <c r="D140" t="s">
        <v>71</v>
      </c>
      <c r="E140" t="s">
        <v>24</v>
      </c>
      <c r="F140" t="s">
        <v>3295</v>
      </c>
      <c r="G140" t="s">
        <v>2172</v>
      </c>
      <c r="H140" t="s">
        <v>2173</v>
      </c>
      <c r="I140" s="174"/>
      <c r="J140" s="174"/>
      <c r="K140" s="174"/>
      <c r="L140" s="174"/>
      <c r="M140" s="174"/>
      <c r="N140" s="174"/>
      <c r="O140" s="174"/>
      <c r="P140" s="174"/>
      <c r="Q140" s="174"/>
      <c r="R140" s="174">
        <v>10</v>
      </c>
      <c r="S140" s="174"/>
      <c r="T140" s="174"/>
      <c r="U140" s="174"/>
      <c r="V140" s="174"/>
      <c r="W140" s="174"/>
      <c r="X140" s="174"/>
      <c r="Y140" s="174">
        <v>10</v>
      </c>
    </row>
    <row r="141" spans="1:25">
      <c r="A141" s="130">
        <v>45555</v>
      </c>
      <c r="B141" t="s">
        <v>2142</v>
      </c>
      <c r="C141" t="s">
        <v>2143</v>
      </c>
      <c r="D141" t="s">
        <v>71</v>
      </c>
      <c r="E141" t="s">
        <v>24</v>
      </c>
      <c r="F141" t="s">
        <v>3295</v>
      </c>
      <c r="G141" t="s">
        <v>2146</v>
      </c>
      <c r="H141" t="s">
        <v>2147</v>
      </c>
      <c r="I141" s="174"/>
      <c r="J141" s="174"/>
      <c r="K141" s="174"/>
      <c r="L141" s="174"/>
      <c r="M141" s="174"/>
      <c r="N141" s="174"/>
      <c r="O141" s="174"/>
      <c r="P141" s="174"/>
      <c r="Q141" s="174"/>
      <c r="R141" s="174"/>
      <c r="S141" s="174"/>
      <c r="T141" s="174"/>
      <c r="U141" s="174"/>
      <c r="V141" s="174"/>
      <c r="W141" s="174"/>
      <c r="X141" s="174">
        <v>4</v>
      </c>
      <c r="Y141" s="174">
        <v>4</v>
      </c>
    </row>
    <row r="142" spans="1:25">
      <c r="A142" s="130">
        <v>45555</v>
      </c>
      <c r="B142" t="s">
        <v>2142</v>
      </c>
      <c r="C142" t="s">
        <v>2143</v>
      </c>
      <c r="D142" t="s">
        <v>71</v>
      </c>
      <c r="E142" t="s">
        <v>24</v>
      </c>
      <c r="F142" t="s">
        <v>3295</v>
      </c>
      <c r="G142" t="s">
        <v>2144</v>
      </c>
      <c r="H142" t="s">
        <v>2145</v>
      </c>
      <c r="I142" s="174"/>
      <c r="J142" s="174"/>
      <c r="K142" s="174"/>
      <c r="L142" s="174"/>
      <c r="M142" s="174"/>
      <c r="N142" s="174"/>
      <c r="O142" s="174"/>
      <c r="P142" s="174"/>
      <c r="Q142" s="174"/>
      <c r="R142" s="174"/>
      <c r="S142" s="174"/>
      <c r="T142" s="174">
        <v>380</v>
      </c>
      <c r="U142" s="174">
        <v>12000</v>
      </c>
      <c r="V142" s="174"/>
      <c r="W142" s="174"/>
      <c r="X142" s="174"/>
      <c r="Y142" s="174">
        <v>12380</v>
      </c>
    </row>
    <row r="143" spans="1:25">
      <c r="A143" s="130">
        <v>45588</v>
      </c>
      <c r="B143" t="s">
        <v>2322</v>
      </c>
      <c r="C143" t="s">
        <v>2323</v>
      </c>
      <c r="D143" t="s">
        <v>71</v>
      </c>
      <c r="E143" t="s">
        <v>24</v>
      </c>
      <c r="F143" t="s">
        <v>3295</v>
      </c>
      <c r="G143" t="s">
        <v>2340</v>
      </c>
      <c r="H143" t="s">
        <v>2341</v>
      </c>
      <c r="I143" s="174"/>
      <c r="J143" s="174"/>
      <c r="K143" s="174">
        <v>1</v>
      </c>
      <c r="L143" s="174"/>
      <c r="M143" s="174"/>
      <c r="N143" s="174"/>
      <c r="O143" s="174"/>
      <c r="P143" s="174"/>
      <c r="Q143" s="174"/>
      <c r="R143" s="174"/>
      <c r="S143" s="174"/>
      <c r="T143" s="174"/>
      <c r="U143" s="174"/>
      <c r="V143" s="174"/>
      <c r="W143" s="174"/>
      <c r="X143" s="174">
        <v>3</v>
      </c>
      <c r="Y143" s="174">
        <v>4</v>
      </c>
    </row>
    <row r="144" spans="1:25">
      <c r="A144" s="130">
        <v>45588</v>
      </c>
      <c r="B144" t="s">
        <v>2322</v>
      </c>
      <c r="C144" t="s">
        <v>2323</v>
      </c>
      <c r="D144" t="s">
        <v>71</v>
      </c>
      <c r="E144" t="s">
        <v>24</v>
      </c>
      <c r="F144" t="s">
        <v>3295</v>
      </c>
      <c r="G144" t="s">
        <v>2324</v>
      </c>
      <c r="H144" t="s">
        <v>2325</v>
      </c>
      <c r="I144" s="174"/>
      <c r="J144" s="174"/>
      <c r="K144" s="174"/>
      <c r="L144" s="174"/>
      <c r="M144" s="174"/>
      <c r="N144" s="174"/>
      <c r="O144" s="174"/>
      <c r="P144" s="174"/>
      <c r="Q144" s="174"/>
      <c r="R144" s="174"/>
      <c r="S144" s="174"/>
      <c r="T144" s="174"/>
      <c r="U144" s="174">
        <v>6000</v>
      </c>
      <c r="V144" s="174"/>
      <c r="W144" s="174"/>
      <c r="X144" s="174"/>
      <c r="Y144" s="174">
        <v>6000</v>
      </c>
    </row>
    <row r="145" spans="1:25">
      <c r="A145" s="130">
        <v>45602</v>
      </c>
      <c r="B145" t="s">
        <v>2350</v>
      </c>
      <c r="C145" t="s">
        <v>2351</v>
      </c>
      <c r="D145" t="s">
        <v>71</v>
      </c>
      <c r="E145" t="s">
        <v>24</v>
      </c>
      <c r="F145" t="s">
        <v>3295</v>
      </c>
      <c r="G145" t="s">
        <v>2352</v>
      </c>
      <c r="H145" t="s">
        <v>2353</v>
      </c>
      <c r="I145" s="174">
        <v>20</v>
      </c>
      <c r="J145" s="174">
        <v>5</v>
      </c>
      <c r="K145" s="174"/>
      <c r="L145" s="174"/>
      <c r="M145" s="174"/>
      <c r="N145" s="174"/>
      <c r="O145" s="174"/>
      <c r="P145" s="174"/>
      <c r="Q145" s="174"/>
      <c r="R145" s="174"/>
      <c r="S145" s="174"/>
      <c r="T145" s="174"/>
      <c r="U145" s="174"/>
      <c r="V145" s="174"/>
      <c r="W145" s="174"/>
      <c r="X145" s="174"/>
      <c r="Y145" s="174">
        <v>25</v>
      </c>
    </row>
    <row r="146" spans="1:25">
      <c r="A146" s="130">
        <v>45602</v>
      </c>
      <c r="B146" t="s">
        <v>2350</v>
      </c>
      <c r="C146" t="s">
        <v>2351</v>
      </c>
      <c r="D146" t="s">
        <v>71</v>
      </c>
      <c r="E146" t="s">
        <v>24</v>
      </c>
      <c r="F146" t="s">
        <v>3295</v>
      </c>
      <c r="G146" t="s">
        <v>2358</v>
      </c>
      <c r="H146" t="s">
        <v>2359</v>
      </c>
      <c r="I146" s="174"/>
      <c r="J146" s="174"/>
      <c r="K146" s="174"/>
      <c r="L146" s="174">
        <v>3000</v>
      </c>
      <c r="M146" s="174"/>
      <c r="N146" s="174">
        <v>6000</v>
      </c>
      <c r="O146" s="174"/>
      <c r="P146" s="174"/>
      <c r="Q146" s="174"/>
      <c r="R146" s="174">
        <v>10</v>
      </c>
      <c r="S146" s="174"/>
      <c r="T146" s="174"/>
      <c r="U146" s="174"/>
      <c r="V146" s="174"/>
      <c r="W146" s="174"/>
      <c r="X146" s="174"/>
      <c r="Y146" s="174">
        <v>9010</v>
      </c>
    </row>
    <row r="147" spans="1:25">
      <c r="A147" s="130">
        <v>45602</v>
      </c>
      <c r="B147" t="s">
        <v>2360</v>
      </c>
      <c r="C147" t="s">
        <v>2361</v>
      </c>
      <c r="D147" t="s">
        <v>71</v>
      </c>
      <c r="E147" t="s">
        <v>24</v>
      </c>
      <c r="F147" t="s">
        <v>3295</v>
      </c>
      <c r="G147" t="s">
        <v>2364</v>
      </c>
      <c r="H147" t="s">
        <v>2365</v>
      </c>
      <c r="I147" s="174">
        <v>81</v>
      </c>
      <c r="J147" s="174">
        <v>10</v>
      </c>
      <c r="K147" s="174"/>
      <c r="L147" s="174"/>
      <c r="M147" s="174"/>
      <c r="N147" s="174"/>
      <c r="O147" s="174"/>
      <c r="P147" s="174"/>
      <c r="Q147" s="174"/>
      <c r="R147" s="174"/>
      <c r="S147" s="174"/>
      <c r="T147" s="174"/>
      <c r="U147" s="174"/>
      <c r="V147" s="174"/>
      <c r="W147" s="174"/>
      <c r="X147" s="174"/>
      <c r="Y147" s="174">
        <v>91</v>
      </c>
    </row>
    <row r="148" spans="1:25">
      <c r="A148" s="130">
        <v>45602</v>
      </c>
      <c r="B148" t="s">
        <v>2360</v>
      </c>
      <c r="C148" t="s">
        <v>2361</v>
      </c>
      <c r="D148" t="s">
        <v>71</v>
      </c>
      <c r="E148" t="s">
        <v>24</v>
      </c>
      <c r="F148" t="s">
        <v>3295</v>
      </c>
      <c r="G148" t="s">
        <v>2362</v>
      </c>
      <c r="H148" t="s">
        <v>2363</v>
      </c>
      <c r="I148" s="174"/>
      <c r="J148" s="174"/>
      <c r="K148" s="174"/>
      <c r="L148" s="174">
        <v>3000</v>
      </c>
      <c r="M148" s="174"/>
      <c r="N148" s="174"/>
      <c r="O148" s="174"/>
      <c r="P148" s="174"/>
      <c r="Q148" s="174">
        <v>1</v>
      </c>
      <c r="R148" s="174">
        <v>29</v>
      </c>
      <c r="S148" s="174"/>
      <c r="T148" s="174"/>
      <c r="U148" s="174"/>
      <c r="V148" s="174"/>
      <c r="W148" s="174"/>
      <c r="X148" s="174"/>
      <c r="Y148" s="174">
        <v>3030</v>
      </c>
    </row>
    <row r="149" spans="1:25">
      <c r="A149" s="130">
        <v>45602</v>
      </c>
      <c r="B149" t="s">
        <v>2354</v>
      </c>
      <c r="C149" t="s">
        <v>2355</v>
      </c>
      <c r="D149" t="s">
        <v>71</v>
      </c>
      <c r="E149" t="s">
        <v>24</v>
      </c>
      <c r="F149" t="s">
        <v>3295</v>
      </c>
      <c r="G149" t="s">
        <v>2356</v>
      </c>
      <c r="H149" t="s">
        <v>2357</v>
      </c>
      <c r="I149" s="174">
        <v>25</v>
      </c>
      <c r="J149" s="174">
        <v>8</v>
      </c>
      <c r="K149" s="174"/>
      <c r="L149" s="174"/>
      <c r="M149" s="174"/>
      <c r="N149" s="174"/>
      <c r="O149" s="174"/>
      <c r="P149" s="174"/>
      <c r="Q149" s="174"/>
      <c r="R149" s="174"/>
      <c r="S149" s="174"/>
      <c r="T149" s="174"/>
      <c r="U149" s="174"/>
      <c r="V149" s="174"/>
      <c r="W149" s="174"/>
      <c r="X149" s="174">
        <v>1</v>
      </c>
      <c r="Y149" s="174">
        <v>34</v>
      </c>
    </row>
    <row r="150" spans="1:25">
      <c r="A150" s="130">
        <v>45602</v>
      </c>
      <c r="B150" t="s">
        <v>2354</v>
      </c>
      <c r="C150" t="s">
        <v>2355</v>
      </c>
      <c r="D150" t="s">
        <v>71</v>
      </c>
      <c r="E150" t="s">
        <v>24</v>
      </c>
      <c r="F150" t="s">
        <v>3295</v>
      </c>
      <c r="G150" t="s">
        <v>2366</v>
      </c>
      <c r="H150" t="s">
        <v>2367</v>
      </c>
      <c r="I150" s="174"/>
      <c r="J150" s="174"/>
      <c r="K150" s="174"/>
      <c r="L150" s="174"/>
      <c r="M150" s="174"/>
      <c r="N150" s="174"/>
      <c r="O150" s="174"/>
      <c r="P150" s="174"/>
      <c r="Q150" s="174"/>
      <c r="R150" s="174"/>
      <c r="S150" s="174"/>
      <c r="T150" s="174"/>
      <c r="U150" s="174">
        <v>3000</v>
      </c>
      <c r="V150" s="174"/>
      <c r="W150" s="174"/>
      <c r="X150" s="174"/>
      <c r="Y150" s="174">
        <v>3000</v>
      </c>
    </row>
    <row r="151" spans="1:25">
      <c r="A151" s="130">
        <v>45622</v>
      </c>
      <c r="B151" t="s">
        <v>2502</v>
      </c>
      <c r="C151" t="s">
        <v>2503</v>
      </c>
      <c r="D151" t="s">
        <v>71</v>
      </c>
      <c r="E151" t="s">
        <v>24</v>
      </c>
      <c r="F151" t="s">
        <v>3295</v>
      </c>
      <c r="G151" t="s">
        <v>2504</v>
      </c>
      <c r="H151" t="s">
        <v>2505</v>
      </c>
      <c r="I151" s="174">
        <v>36</v>
      </c>
      <c r="J151" s="174">
        <v>4</v>
      </c>
      <c r="K151" s="174"/>
      <c r="L151" s="174"/>
      <c r="M151" s="174"/>
      <c r="N151" s="174"/>
      <c r="O151" s="174"/>
      <c r="P151" s="174"/>
      <c r="Q151" s="174"/>
      <c r="R151" s="174"/>
      <c r="S151" s="174"/>
      <c r="T151" s="174"/>
      <c r="U151" s="174"/>
      <c r="V151" s="174"/>
      <c r="W151" s="174"/>
      <c r="X151" s="174"/>
      <c r="Y151" s="174">
        <v>40</v>
      </c>
    </row>
    <row r="152" spans="1:25">
      <c r="A152" s="130">
        <v>45622</v>
      </c>
      <c r="B152" t="s">
        <v>2502</v>
      </c>
      <c r="C152" t="s">
        <v>2503</v>
      </c>
      <c r="D152" t="s">
        <v>71</v>
      </c>
      <c r="E152" t="s">
        <v>24</v>
      </c>
      <c r="F152" t="s">
        <v>3295</v>
      </c>
      <c r="G152" t="s">
        <v>2506</v>
      </c>
      <c r="H152" t="s">
        <v>2507</v>
      </c>
      <c r="I152" s="174"/>
      <c r="J152" s="174"/>
      <c r="K152" s="174"/>
      <c r="L152" s="174">
        <v>3000</v>
      </c>
      <c r="M152" s="174"/>
      <c r="N152" s="174"/>
      <c r="O152" s="174"/>
      <c r="P152" s="174">
        <v>1</v>
      </c>
      <c r="Q152" s="174"/>
      <c r="R152" s="174">
        <v>14</v>
      </c>
      <c r="S152" s="174"/>
      <c r="T152" s="174"/>
      <c r="U152" s="174"/>
      <c r="V152" s="174"/>
      <c r="W152" s="174"/>
      <c r="X152" s="174"/>
      <c r="Y152" s="174">
        <v>3015</v>
      </c>
    </row>
    <row r="153" spans="1:25">
      <c r="A153" s="130">
        <v>45622</v>
      </c>
      <c r="B153" t="s">
        <v>2508</v>
      </c>
      <c r="C153" t="s">
        <v>2509</v>
      </c>
      <c r="D153" t="s">
        <v>71</v>
      </c>
      <c r="E153" t="s">
        <v>24</v>
      </c>
      <c r="F153" t="s">
        <v>3295</v>
      </c>
      <c r="G153" t="s">
        <v>2510</v>
      </c>
      <c r="H153" t="s">
        <v>2511</v>
      </c>
      <c r="I153" s="174">
        <v>21</v>
      </c>
      <c r="J153" s="174"/>
      <c r="K153" s="174">
        <v>2</v>
      </c>
      <c r="L153" s="174"/>
      <c r="M153" s="174"/>
      <c r="N153" s="174"/>
      <c r="O153" s="174"/>
      <c r="P153" s="174"/>
      <c r="Q153" s="174"/>
      <c r="R153" s="174"/>
      <c r="S153" s="174"/>
      <c r="T153" s="174"/>
      <c r="U153" s="174"/>
      <c r="V153" s="174"/>
      <c r="W153" s="174"/>
      <c r="X153" s="174"/>
      <c r="Y153" s="174">
        <v>23</v>
      </c>
    </row>
    <row r="154" spans="1:25">
      <c r="A154" s="130">
        <v>45622</v>
      </c>
      <c r="B154" t="s">
        <v>2508</v>
      </c>
      <c r="C154" t="s">
        <v>2509</v>
      </c>
      <c r="D154" t="s">
        <v>71</v>
      </c>
      <c r="E154" t="s">
        <v>24</v>
      </c>
      <c r="F154" t="s">
        <v>3295</v>
      </c>
      <c r="G154" t="s">
        <v>2512</v>
      </c>
      <c r="H154" t="s">
        <v>2513</v>
      </c>
      <c r="I154" s="174"/>
      <c r="J154" s="174"/>
      <c r="K154" s="174"/>
      <c r="L154" s="174">
        <v>3000</v>
      </c>
      <c r="M154" s="174"/>
      <c r="N154" s="174">
        <v>3000</v>
      </c>
      <c r="O154" s="174"/>
      <c r="P154" s="174">
        <v>1</v>
      </c>
      <c r="Q154" s="174"/>
      <c r="R154" s="174">
        <v>11</v>
      </c>
      <c r="S154" s="174"/>
      <c r="T154" s="174"/>
      <c r="U154" s="174"/>
      <c r="V154" s="174"/>
      <c r="W154" s="174"/>
      <c r="X154" s="174"/>
      <c r="Y154" s="174">
        <v>6012</v>
      </c>
    </row>
    <row r="155" spans="1:25">
      <c r="A155" s="130">
        <v>45622</v>
      </c>
      <c r="B155" t="s">
        <v>2514</v>
      </c>
      <c r="C155" t="s">
        <v>2515</v>
      </c>
      <c r="D155" t="s">
        <v>71</v>
      </c>
      <c r="E155" t="s">
        <v>24</v>
      </c>
      <c r="F155" t="s">
        <v>3295</v>
      </c>
      <c r="G155" t="s">
        <v>2516</v>
      </c>
      <c r="H155" t="s">
        <v>2517</v>
      </c>
      <c r="I155" s="174">
        <v>55</v>
      </c>
      <c r="J155" s="174">
        <v>7</v>
      </c>
      <c r="K155" s="174">
        <v>1</v>
      </c>
      <c r="L155" s="174"/>
      <c r="M155" s="174"/>
      <c r="N155" s="174"/>
      <c r="O155" s="174"/>
      <c r="P155" s="174"/>
      <c r="Q155" s="174"/>
      <c r="R155" s="174"/>
      <c r="S155" s="174"/>
      <c r="T155" s="174"/>
      <c r="U155" s="174"/>
      <c r="V155" s="174"/>
      <c r="W155" s="174"/>
      <c r="X155" s="174"/>
      <c r="Y155" s="174">
        <v>63</v>
      </c>
    </row>
    <row r="156" spans="1:25">
      <c r="A156" s="130">
        <v>45622</v>
      </c>
      <c r="B156" t="s">
        <v>2514</v>
      </c>
      <c r="C156" t="s">
        <v>2515</v>
      </c>
      <c r="D156" t="s">
        <v>71</v>
      </c>
      <c r="E156" t="s">
        <v>24</v>
      </c>
      <c r="F156" t="s">
        <v>3295</v>
      </c>
      <c r="G156" t="s">
        <v>2518</v>
      </c>
      <c r="H156" t="s">
        <v>2519</v>
      </c>
      <c r="I156" s="174"/>
      <c r="J156" s="174"/>
      <c r="K156" s="174"/>
      <c r="L156" s="174">
        <v>3000</v>
      </c>
      <c r="M156" s="174"/>
      <c r="N156" s="174"/>
      <c r="O156" s="174"/>
      <c r="P156" s="174">
        <v>1</v>
      </c>
      <c r="Q156" s="174"/>
      <c r="R156" s="174">
        <v>17</v>
      </c>
      <c r="S156" s="174"/>
      <c r="T156" s="174"/>
      <c r="U156" s="174"/>
      <c r="V156" s="174"/>
      <c r="W156" s="174"/>
      <c r="X156" s="174"/>
      <c r="Y156" s="174">
        <v>3018</v>
      </c>
    </row>
    <row r="157" spans="1:25">
      <c r="A157" s="130">
        <v>45622</v>
      </c>
      <c r="B157" t="s">
        <v>2520</v>
      </c>
      <c r="C157" t="s">
        <v>2521</v>
      </c>
      <c r="D157" t="s">
        <v>71</v>
      </c>
      <c r="E157" t="s">
        <v>24</v>
      </c>
      <c r="F157" t="s">
        <v>3295</v>
      </c>
      <c r="G157" t="s">
        <v>2522</v>
      </c>
      <c r="H157" t="s">
        <v>2523</v>
      </c>
      <c r="I157" s="174">
        <v>40</v>
      </c>
      <c r="J157" s="174">
        <v>2</v>
      </c>
      <c r="K157" s="174"/>
      <c r="L157" s="174"/>
      <c r="M157" s="174"/>
      <c r="N157" s="174"/>
      <c r="O157" s="174"/>
      <c r="P157" s="174"/>
      <c r="Q157" s="174"/>
      <c r="R157" s="174"/>
      <c r="S157" s="174"/>
      <c r="T157" s="174"/>
      <c r="U157" s="174"/>
      <c r="V157" s="174"/>
      <c r="W157" s="174"/>
      <c r="X157" s="174">
        <v>1</v>
      </c>
      <c r="Y157" s="174">
        <v>43</v>
      </c>
    </row>
    <row r="158" spans="1:25">
      <c r="A158" s="130">
        <v>45622</v>
      </c>
      <c r="B158" t="s">
        <v>2520</v>
      </c>
      <c r="C158" t="s">
        <v>2521</v>
      </c>
      <c r="D158" t="s">
        <v>71</v>
      </c>
      <c r="E158" t="s">
        <v>24</v>
      </c>
      <c r="F158" t="s">
        <v>3295</v>
      </c>
      <c r="G158" t="s">
        <v>2524</v>
      </c>
      <c r="H158" t="s">
        <v>2525</v>
      </c>
      <c r="I158" s="174"/>
      <c r="J158" s="174"/>
      <c r="K158" s="174"/>
      <c r="L158" s="174"/>
      <c r="M158" s="174"/>
      <c r="N158" s="174">
        <v>3000</v>
      </c>
      <c r="O158" s="174"/>
      <c r="P158" s="174">
        <v>1</v>
      </c>
      <c r="Q158" s="174"/>
      <c r="R158" s="174">
        <v>12</v>
      </c>
      <c r="S158" s="174"/>
      <c r="T158" s="174"/>
      <c r="U158" s="174"/>
      <c r="V158" s="174"/>
      <c r="W158" s="174"/>
      <c r="X158" s="174"/>
      <c r="Y158" s="174">
        <v>3013</v>
      </c>
    </row>
    <row r="159" spans="1:25">
      <c r="A159" s="130">
        <v>45642</v>
      </c>
      <c r="B159" t="s">
        <v>2539</v>
      </c>
      <c r="C159" t="s">
        <v>2540</v>
      </c>
      <c r="D159" t="s">
        <v>71</v>
      </c>
      <c r="E159" t="s">
        <v>24</v>
      </c>
      <c r="F159" t="s">
        <v>3295</v>
      </c>
      <c r="G159" t="s">
        <v>2541</v>
      </c>
      <c r="H159" t="s">
        <v>2542</v>
      </c>
      <c r="I159" s="174">
        <v>22</v>
      </c>
      <c r="J159" s="174">
        <v>4</v>
      </c>
      <c r="K159" s="174"/>
      <c r="L159" s="174"/>
      <c r="M159" s="174"/>
      <c r="N159" s="174"/>
      <c r="O159" s="174"/>
      <c r="P159" s="174"/>
      <c r="Q159" s="174"/>
      <c r="R159" s="174"/>
      <c r="S159" s="174"/>
      <c r="T159" s="174"/>
      <c r="U159" s="174"/>
      <c r="V159" s="174"/>
      <c r="W159" s="174"/>
      <c r="X159" s="174">
        <v>1</v>
      </c>
      <c r="Y159" s="174">
        <v>27</v>
      </c>
    </row>
    <row r="160" spans="1:25">
      <c r="A160" s="130">
        <v>45642</v>
      </c>
      <c r="B160" t="s">
        <v>2539</v>
      </c>
      <c r="C160" t="s">
        <v>2540</v>
      </c>
      <c r="D160" t="s">
        <v>71</v>
      </c>
      <c r="E160" t="s">
        <v>24</v>
      </c>
      <c r="F160" t="s">
        <v>3295</v>
      </c>
      <c r="G160" t="s">
        <v>2553</v>
      </c>
      <c r="H160" t="s">
        <v>2554</v>
      </c>
      <c r="I160" s="174"/>
      <c r="J160" s="174"/>
      <c r="K160" s="174"/>
      <c r="L160" s="174"/>
      <c r="M160" s="174"/>
      <c r="N160" s="174"/>
      <c r="O160" s="174"/>
      <c r="P160" s="174">
        <v>1</v>
      </c>
      <c r="Q160" s="174"/>
      <c r="R160" s="174">
        <v>12</v>
      </c>
      <c r="S160" s="174"/>
      <c r="T160" s="174"/>
      <c r="U160" s="174"/>
      <c r="V160" s="174"/>
      <c r="W160" s="174"/>
      <c r="X160" s="174"/>
      <c r="Y160" s="174">
        <v>13</v>
      </c>
    </row>
    <row r="161" spans="1:25">
      <c r="A161" s="130">
        <v>45642</v>
      </c>
      <c r="B161" t="s">
        <v>2549</v>
      </c>
      <c r="C161" t="s">
        <v>2550</v>
      </c>
      <c r="D161" t="s">
        <v>71</v>
      </c>
      <c r="E161" t="s">
        <v>24</v>
      </c>
      <c r="F161" t="s">
        <v>3295</v>
      </c>
      <c r="G161" t="s">
        <v>2551</v>
      </c>
      <c r="H161" t="s">
        <v>2552</v>
      </c>
      <c r="I161" s="174">
        <v>15</v>
      </c>
      <c r="J161" s="174">
        <v>3</v>
      </c>
      <c r="K161" s="174"/>
      <c r="L161" s="174"/>
      <c r="M161" s="174"/>
      <c r="N161" s="174"/>
      <c r="O161" s="174"/>
      <c r="P161" s="174"/>
      <c r="Q161" s="174"/>
      <c r="R161" s="174"/>
      <c r="S161" s="174"/>
      <c r="T161" s="174"/>
      <c r="U161" s="174"/>
      <c r="V161" s="174"/>
      <c r="W161" s="174"/>
      <c r="X161" s="174"/>
      <c r="Y161" s="174">
        <v>18</v>
      </c>
    </row>
    <row r="162" spans="1:25">
      <c r="A162" s="130">
        <v>45642</v>
      </c>
      <c r="B162" t="s">
        <v>2549</v>
      </c>
      <c r="C162" t="s">
        <v>2550</v>
      </c>
      <c r="D162" t="s">
        <v>71</v>
      </c>
      <c r="E162" t="s">
        <v>24</v>
      </c>
      <c r="F162" t="s">
        <v>3295</v>
      </c>
      <c r="G162" t="s">
        <v>2555</v>
      </c>
      <c r="H162" t="s">
        <v>2556</v>
      </c>
      <c r="I162" s="174"/>
      <c r="J162" s="174"/>
      <c r="K162" s="174"/>
      <c r="L162" s="174"/>
      <c r="M162" s="174"/>
      <c r="N162" s="174"/>
      <c r="O162" s="174"/>
      <c r="P162" s="174"/>
      <c r="Q162" s="174"/>
      <c r="R162" s="174">
        <v>6</v>
      </c>
      <c r="S162" s="174"/>
      <c r="T162" s="174"/>
      <c r="U162" s="174"/>
      <c r="V162" s="174"/>
      <c r="W162" s="174"/>
      <c r="X162" s="174"/>
      <c r="Y162" s="174">
        <v>6</v>
      </c>
    </row>
    <row r="163" spans="1:25">
      <c r="A163" s="130">
        <v>45642</v>
      </c>
      <c r="B163" t="s">
        <v>2535</v>
      </c>
      <c r="C163" t="s">
        <v>2536</v>
      </c>
      <c r="D163" t="s">
        <v>71</v>
      </c>
      <c r="E163" t="s">
        <v>24</v>
      </c>
      <c r="F163" t="s">
        <v>3295</v>
      </c>
      <c r="G163" t="s">
        <v>2547</v>
      </c>
      <c r="H163" t="s">
        <v>2548</v>
      </c>
      <c r="I163" s="174">
        <v>46</v>
      </c>
      <c r="J163" s="174">
        <v>3</v>
      </c>
      <c r="K163" s="174"/>
      <c r="L163" s="174"/>
      <c r="M163" s="174"/>
      <c r="N163" s="174"/>
      <c r="O163" s="174"/>
      <c r="P163" s="174"/>
      <c r="Q163" s="174"/>
      <c r="R163" s="174"/>
      <c r="S163" s="174"/>
      <c r="T163" s="174"/>
      <c r="U163" s="174"/>
      <c r="V163" s="174"/>
      <c r="W163" s="174"/>
      <c r="X163" s="174"/>
      <c r="Y163" s="174">
        <v>49</v>
      </c>
    </row>
    <row r="164" spans="1:25">
      <c r="A164" s="130">
        <v>45642</v>
      </c>
      <c r="B164" t="s">
        <v>2535</v>
      </c>
      <c r="C164" t="s">
        <v>2536</v>
      </c>
      <c r="D164" t="s">
        <v>71</v>
      </c>
      <c r="E164" t="s">
        <v>24</v>
      </c>
      <c r="F164" t="s">
        <v>3295</v>
      </c>
      <c r="G164" t="s">
        <v>2537</v>
      </c>
      <c r="H164" t="s">
        <v>2538</v>
      </c>
      <c r="I164" s="174"/>
      <c r="J164" s="174"/>
      <c r="K164" s="174"/>
      <c r="L164" s="174">
        <v>3000</v>
      </c>
      <c r="M164" s="174"/>
      <c r="N164" s="174"/>
      <c r="O164" s="174"/>
      <c r="P164" s="174">
        <v>1</v>
      </c>
      <c r="Q164" s="174"/>
      <c r="R164" s="174">
        <v>18</v>
      </c>
      <c r="S164" s="174"/>
      <c r="T164" s="174"/>
      <c r="U164" s="174"/>
      <c r="V164" s="174"/>
      <c r="W164" s="174"/>
      <c r="X164" s="174"/>
      <c r="Y164" s="174">
        <v>3019</v>
      </c>
    </row>
    <row r="165" spans="1:25">
      <c r="A165" s="130">
        <v>45642</v>
      </c>
      <c r="B165" t="s">
        <v>2543</v>
      </c>
      <c r="C165" t="s">
        <v>2544</v>
      </c>
      <c r="D165" t="s">
        <v>71</v>
      </c>
      <c r="E165" t="s">
        <v>24</v>
      </c>
      <c r="F165" t="s">
        <v>3295</v>
      </c>
      <c r="G165" t="s">
        <v>2545</v>
      </c>
      <c r="H165" t="s">
        <v>2546</v>
      </c>
      <c r="I165" s="174">
        <v>30</v>
      </c>
      <c r="J165" s="174">
        <v>6</v>
      </c>
      <c r="K165" s="174"/>
      <c r="L165" s="174"/>
      <c r="M165" s="174"/>
      <c r="N165" s="174"/>
      <c r="O165" s="174"/>
      <c r="P165" s="174"/>
      <c r="Q165" s="174"/>
      <c r="R165" s="174"/>
      <c r="S165" s="174"/>
      <c r="T165" s="174"/>
      <c r="U165" s="174"/>
      <c r="V165" s="174"/>
      <c r="W165" s="174"/>
      <c r="X165" s="174"/>
      <c r="Y165" s="174">
        <v>36</v>
      </c>
    </row>
    <row r="166" spans="1:25">
      <c r="A166" s="130">
        <v>45642</v>
      </c>
      <c r="B166" t="s">
        <v>2543</v>
      </c>
      <c r="C166" t="s">
        <v>2544</v>
      </c>
      <c r="D166" t="s">
        <v>71</v>
      </c>
      <c r="E166" t="s">
        <v>24</v>
      </c>
      <c r="F166" t="s">
        <v>3295</v>
      </c>
      <c r="G166" t="s">
        <v>2557</v>
      </c>
      <c r="H166" t="s">
        <v>2558</v>
      </c>
      <c r="I166" s="174"/>
      <c r="J166" s="174"/>
      <c r="K166" s="174"/>
      <c r="L166" s="174">
        <v>3000</v>
      </c>
      <c r="M166" s="174"/>
      <c r="N166" s="174"/>
      <c r="O166" s="174"/>
      <c r="P166" s="174">
        <v>1</v>
      </c>
      <c r="Q166" s="174"/>
      <c r="R166" s="174">
        <v>13</v>
      </c>
      <c r="S166" s="174"/>
      <c r="T166" s="174"/>
      <c r="U166" s="174"/>
      <c r="V166" s="174"/>
      <c r="W166" s="174"/>
      <c r="X166" s="174"/>
      <c r="Y166" s="174">
        <v>3014</v>
      </c>
    </row>
    <row r="167" spans="1:25">
      <c r="A167" s="130">
        <v>45693</v>
      </c>
      <c r="B167" t="s">
        <v>2633</v>
      </c>
      <c r="C167" t="s">
        <v>2634</v>
      </c>
      <c r="D167" t="s">
        <v>71</v>
      </c>
      <c r="E167" t="s">
        <v>24</v>
      </c>
      <c r="F167" t="s">
        <v>3295</v>
      </c>
      <c r="G167" t="s">
        <v>2635</v>
      </c>
      <c r="H167" t="s">
        <v>2636</v>
      </c>
      <c r="I167" s="174"/>
      <c r="J167" s="174"/>
      <c r="K167" s="174"/>
      <c r="L167" s="174">
        <v>3000</v>
      </c>
      <c r="M167" s="174"/>
      <c r="N167" s="174"/>
      <c r="O167" s="174"/>
      <c r="P167" s="174">
        <v>1</v>
      </c>
      <c r="Q167" s="174"/>
      <c r="R167" s="174">
        <v>7</v>
      </c>
      <c r="S167" s="174"/>
      <c r="T167" s="174"/>
      <c r="U167" s="174"/>
      <c r="V167" s="174"/>
      <c r="W167" s="174"/>
      <c r="X167" s="174"/>
      <c r="Y167" s="174">
        <v>3008</v>
      </c>
    </row>
    <row r="168" spans="1:25">
      <c r="A168" s="130">
        <v>45707</v>
      </c>
      <c r="B168" t="s">
        <v>2648</v>
      </c>
      <c r="C168" t="s">
        <v>2649</v>
      </c>
      <c r="D168" t="s">
        <v>71</v>
      </c>
      <c r="E168" t="s">
        <v>24</v>
      </c>
      <c r="F168" t="s">
        <v>3295</v>
      </c>
      <c r="G168" t="s">
        <v>2652</v>
      </c>
      <c r="H168" t="s">
        <v>2653</v>
      </c>
      <c r="I168" s="174"/>
      <c r="J168" s="174">
        <v>57</v>
      </c>
      <c r="K168" s="174"/>
      <c r="L168" s="174"/>
      <c r="M168" s="174"/>
      <c r="N168" s="174"/>
      <c r="O168" s="174"/>
      <c r="P168" s="174"/>
      <c r="Q168" s="174"/>
      <c r="R168" s="174"/>
      <c r="S168" s="174"/>
      <c r="T168" s="174"/>
      <c r="U168" s="174"/>
      <c r="V168" s="174"/>
      <c r="W168" s="174"/>
      <c r="X168" s="174"/>
      <c r="Y168" s="174">
        <v>57</v>
      </c>
    </row>
    <row r="169" spans="1:25">
      <c r="A169" s="130">
        <v>45707</v>
      </c>
      <c r="B169" t="s">
        <v>2648</v>
      </c>
      <c r="C169" t="s">
        <v>2649</v>
      </c>
      <c r="D169" t="s">
        <v>71</v>
      </c>
      <c r="E169" t="s">
        <v>24</v>
      </c>
      <c r="F169" t="s">
        <v>3295</v>
      </c>
      <c r="G169" t="s">
        <v>2650</v>
      </c>
      <c r="H169" t="s">
        <v>2651</v>
      </c>
      <c r="I169" s="174"/>
      <c r="J169" s="174"/>
      <c r="K169" s="174"/>
      <c r="L169" s="174">
        <v>3000</v>
      </c>
      <c r="M169" s="174"/>
      <c r="N169" s="174">
        <v>3000</v>
      </c>
      <c r="O169" s="174"/>
      <c r="P169" s="174">
        <v>1</v>
      </c>
      <c r="Q169" s="174"/>
      <c r="R169" s="174">
        <v>20</v>
      </c>
      <c r="S169" s="174"/>
      <c r="T169" s="174"/>
      <c r="U169" s="174"/>
      <c r="V169" s="174"/>
      <c r="W169" s="174"/>
      <c r="X169" s="174"/>
      <c r="Y169" s="174">
        <v>6021</v>
      </c>
    </row>
    <row r="170" spans="1:25">
      <c r="A170" s="130">
        <v>45735</v>
      </c>
      <c r="B170" t="s">
        <v>2664</v>
      </c>
      <c r="C170" t="s">
        <v>2665</v>
      </c>
      <c r="D170" t="s">
        <v>71</v>
      </c>
      <c r="E170" t="s">
        <v>24</v>
      </c>
      <c r="F170" t="s">
        <v>3295</v>
      </c>
      <c r="G170" t="s">
        <v>2666</v>
      </c>
      <c r="H170" t="s">
        <v>2667</v>
      </c>
      <c r="I170" s="174"/>
      <c r="J170" s="174"/>
      <c r="K170" s="174"/>
      <c r="L170" s="174"/>
      <c r="M170" s="174"/>
      <c r="N170" s="174"/>
      <c r="O170" s="174"/>
      <c r="P170" s="174"/>
      <c r="Q170" s="174">
        <v>1</v>
      </c>
      <c r="R170" s="174">
        <v>17</v>
      </c>
      <c r="S170" s="174"/>
      <c r="T170" s="174"/>
      <c r="U170" s="174"/>
      <c r="V170" s="174"/>
      <c r="W170" s="174"/>
      <c r="X170" s="174"/>
      <c r="Y170" s="174">
        <v>18</v>
      </c>
    </row>
    <row r="171" spans="1:25">
      <c r="A171" s="130">
        <v>45735</v>
      </c>
      <c r="B171" t="s">
        <v>2668</v>
      </c>
      <c r="C171" t="s">
        <v>2669</v>
      </c>
      <c r="D171" t="s">
        <v>71</v>
      </c>
      <c r="E171" t="s">
        <v>24</v>
      </c>
      <c r="F171" t="s">
        <v>3295</v>
      </c>
      <c r="G171" t="s">
        <v>2670</v>
      </c>
      <c r="H171" t="s">
        <v>2671</v>
      </c>
      <c r="I171" s="174"/>
      <c r="J171" s="174"/>
      <c r="K171" s="174"/>
      <c r="L171" s="174"/>
      <c r="M171" s="174"/>
      <c r="N171" s="174"/>
      <c r="O171" s="174"/>
      <c r="P171" s="174">
        <v>1</v>
      </c>
      <c r="Q171" s="174"/>
      <c r="R171" s="174">
        <v>15</v>
      </c>
      <c r="S171" s="174"/>
      <c r="T171" s="174"/>
      <c r="U171" s="174"/>
      <c r="V171" s="174"/>
      <c r="W171" s="174"/>
      <c r="X171" s="174"/>
      <c r="Y171" s="174">
        <v>16</v>
      </c>
    </row>
    <row r="172" spans="1:25">
      <c r="A172" s="130">
        <v>45820</v>
      </c>
      <c r="B172" t="s">
        <v>2809</v>
      </c>
      <c r="C172" t="s">
        <v>2810</v>
      </c>
      <c r="D172" t="s">
        <v>71</v>
      </c>
      <c r="E172" t="s">
        <v>24</v>
      </c>
      <c r="F172" t="s">
        <v>3295</v>
      </c>
      <c r="G172" t="s">
        <v>2811</v>
      </c>
      <c r="H172" t="s">
        <v>2812</v>
      </c>
      <c r="I172" s="174"/>
      <c r="J172" s="174">
        <v>98</v>
      </c>
      <c r="K172" s="174">
        <v>7</v>
      </c>
      <c r="L172" s="174"/>
      <c r="M172" s="174"/>
      <c r="N172" s="174"/>
      <c r="O172" s="174"/>
      <c r="P172" s="174"/>
      <c r="Q172" s="174">
        <v>2</v>
      </c>
      <c r="R172" s="174">
        <v>55</v>
      </c>
      <c r="S172" s="174"/>
      <c r="T172" s="174"/>
      <c r="U172" s="174"/>
      <c r="V172" s="174"/>
      <c r="W172" s="174"/>
      <c r="X172" s="174"/>
      <c r="Y172" s="174">
        <v>162</v>
      </c>
    </row>
    <row r="173" spans="1:25">
      <c r="A173" s="130">
        <v>45820</v>
      </c>
      <c r="B173" t="s">
        <v>2809</v>
      </c>
      <c r="C173" t="s">
        <v>2810</v>
      </c>
      <c r="D173" t="s">
        <v>71</v>
      </c>
      <c r="E173" t="s">
        <v>24</v>
      </c>
      <c r="F173" t="s">
        <v>3295</v>
      </c>
      <c r="G173" t="s">
        <v>2813</v>
      </c>
      <c r="H173" t="s">
        <v>2814</v>
      </c>
      <c r="I173" s="174"/>
      <c r="J173" s="174"/>
      <c r="K173" s="174"/>
      <c r="L173" s="174">
        <v>3000</v>
      </c>
      <c r="M173" s="174"/>
      <c r="N173" s="174">
        <v>6000</v>
      </c>
      <c r="O173" s="174"/>
      <c r="P173" s="174"/>
      <c r="Q173" s="174"/>
      <c r="R173" s="174"/>
      <c r="S173" s="174"/>
      <c r="T173" s="174"/>
      <c r="U173" s="174"/>
      <c r="V173" s="174"/>
      <c r="W173" s="174"/>
      <c r="X173" s="174"/>
      <c r="Y173" s="174">
        <v>9000</v>
      </c>
    </row>
    <row r="174" spans="1:25">
      <c r="A174" s="130">
        <v>45820</v>
      </c>
      <c r="B174" t="s">
        <v>2815</v>
      </c>
      <c r="C174" t="s">
        <v>2816</v>
      </c>
      <c r="D174" t="s">
        <v>71</v>
      </c>
      <c r="E174" t="s">
        <v>24</v>
      </c>
      <c r="F174" t="s">
        <v>3295</v>
      </c>
      <c r="G174" t="s">
        <v>2817</v>
      </c>
      <c r="H174" t="s">
        <v>2818</v>
      </c>
      <c r="I174" s="174"/>
      <c r="J174" s="174">
        <v>14</v>
      </c>
      <c r="K174" s="174"/>
      <c r="L174" s="174"/>
      <c r="M174" s="174"/>
      <c r="N174" s="174"/>
      <c r="O174" s="174"/>
      <c r="P174" s="174">
        <v>1</v>
      </c>
      <c r="Q174" s="174"/>
      <c r="R174" s="174">
        <v>8</v>
      </c>
      <c r="S174" s="174"/>
      <c r="T174" s="174"/>
      <c r="U174" s="174"/>
      <c r="V174" s="174"/>
      <c r="W174" s="174"/>
      <c r="X174" s="174"/>
      <c r="Y174" s="174">
        <v>23</v>
      </c>
    </row>
    <row r="175" spans="1:25">
      <c r="A175" s="130">
        <v>45820</v>
      </c>
      <c r="B175" t="s">
        <v>2815</v>
      </c>
      <c r="C175" t="s">
        <v>2816</v>
      </c>
      <c r="D175" t="s">
        <v>71</v>
      </c>
      <c r="E175" t="s">
        <v>24</v>
      </c>
      <c r="F175" t="s">
        <v>3295</v>
      </c>
      <c r="G175" t="s">
        <v>2819</v>
      </c>
      <c r="H175" t="s">
        <v>2820</v>
      </c>
      <c r="I175" s="174"/>
      <c r="J175" s="174"/>
      <c r="K175" s="174"/>
      <c r="L175" s="174">
        <v>3000</v>
      </c>
      <c r="M175" s="174"/>
      <c r="N175" s="174"/>
      <c r="O175" s="174"/>
      <c r="P175" s="174"/>
      <c r="Q175" s="174"/>
      <c r="R175" s="174"/>
      <c r="S175" s="174"/>
      <c r="T175" s="174"/>
      <c r="U175" s="174"/>
      <c r="V175" s="174"/>
      <c r="W175" s="174"/>
      <c r="X175" s="174"/>
      <c r="Y175" s="174">
        <v>3000</v>
      </c>
    </row>
    <row r="176" spans="1:25">
      <c r="A176" s="130">
        <v>45820</v>
      </c>
      <c r="B176" t="s">
        <v>2821</v>
      </c>
      <c r="C176" t="s">
        <v>2822</v>
      </c>
      <c r="D176" t="s">
        <v>71</v>
      </c>
      <c r="E176" t="s">
        <v>24</v>
      </c>
      <c r="F176" t="s">
        <v>3295</v>
      </c>
      <c r="G176" t="s">
        <v>2823</v>
      </c>
      <c r="H176" t="s">
        <v>2824</v>
      </c>
      <c r="I176" s="174"/>
      <c r="J176" s="174">
        <v>26</v>
      </c>
      <c r="K176" s="174"/>
      <c r="L176" s="174"/>
      <c r="M176" s="174"/>
      <c r="N176" s="174"/>
      <c r="O176" s="174"/>
      <c r="P176" s="174">
        <v>1</v>
      </c>
      <c r="Q176" s="174"/>
      <c r="R176" s="174">
        <v>7</v>
      </c>
      <c r="S176" s="174"/>
      <c r="T176" s="174"/>
      <c r="U176" s="174"/>
      <c r="V176" s="174"/>
      <c r="W176" s="174"/>
      <c r="X176" s="174"/>
      <c r="Y176" s="174">
        <v>34</v>
      </c>
    </row>
    <row r="177" spans="1:25">
      <c r="A177" s="130">
        <v>45820</v>
      </c>
      <c r="B177" t="s">
        <v>2825</v>
      </c>
      <c r="C177" t="s">
        <v>2826</v>
      </c>
      <c r="D177" t="s">
        <v>71</v>
      </c>
      <c r="E177" t="s">
        <v>24</v>
      </c>
      <c r="F177" t="s">
        <v>3295</v>
      </c>
      <c r="G177" t="s">
        <v>2827</v>
      </c>
      <c r="H177" t="s">
        <v>2828</v>
      </c>
      <c r="I177" s="174"/>
      <c r="J177" s="174">
        <v>21</v>
      </c>
      <c r="K177" s="174">
        <v>3</v>
      </c>
      <c r="L177" s="174"/>
      <c r="M177" s="174"/>
      <c r="N177" s="174"/>
      <c r="O177" s="174"/>
      <c r="P177" s="174">
        <v>1</v>
      </c>
      <c r="Q177" s="174"/>
      <c r="R177" s="174">
        <v>10</v>
      </c>
      <c r="S177" s="174"/>
      <c r="T177" s="174"/>
      <c r="U177" s="174"/>
      <c r="V177" s="174"/>
      <c r="W177" s="174"/>
      <c r="X177" s="174"/>
      <c r="Y177" s="174">
        <v>35</v>
      </c>
    </row>
    <row r="178" spans="1:25">
      <c r="A178" s="130">
        <v>45820</v>
      </c>
      <c r="B178" t="s">
        <v>2825</v>
      </c>
      <c r="C178" t="s">
        <v>2826</v>
      </c>
      <c r="D178" t="s">
        <v>71</v>
      </c>
      <c r="E178" t="s">
        <v>24</v>
      </c>
      <c r="F178" t="s">
        <v>3295</v>
      </c>
      <c r="G178" t="s">
        <v>2829</v>
      </c>
      <c r="H178" t="s">
        <v>2830</v>
      </c>
      <c r="I178" s="174"/>
      <c r="J178" s="174"/>
      <c r="K178" s="174"/>
      <c r="L178" s="174">
        <v>3000</v>
      </c>
      <c r="M178" s="174"/>
      <c r="N178" s="174">
        <v>1019</v>
      </c>
      <c r="O178" s="174"/>
      <c r="P178" s="174"/>
      <c r="Q178" s="174"/>
      <c r="R178" s="174"/>
      <c r="S178" s="174"/>
      <c r="T178" s="174"/>
      <c r="U178" s="174"/>
      <c r="V178" s="174"/>
      <c r="W178" s="174"/>
      <c r="X178" s="174"/>
      <c r="Y178" s="174">
        <v>4019</v>
      </c>
    </row>
    <row r="179" spans="1:25">
      <c r="A179" s="130">
        <v>45825</v>
      </c>
      <c r="B179" t="s">
        <v>2861</v>
      </c>
      <c r="C179" t="s">
        <v>2862</v>
      </c>
      <c r="D179" t="s">
        <v>71</v>
      </c>
      <c r="E179" t="s">
        <v>24</v>
      </c>
      <c r="F179" t="s">
        <v>3295</v>
      </c>
      <c r="G179" t="s">
        <v>2865</v>
      </c>
      <c r="H179" t="s">
        <v>2866</v>
      </c>
      <c r="I179" s="174"/>
      <c r="J179" s="174">
        <v>73</v>
      </c>
      <c r="K179" s="174">
        <v>6</v>
      </c>
      <c r="L179" s="174"/>
      <c r="M179" s="174"/>
      <c r="N179" s="174"/>
      <c r="O179" s="174"/>
      <c r="P179" s="174"/>
      <c r="Q179" s="174">
        <v>1</v>
      </c>
      <c r="R179" s="174">
        <v>26</v>
      </c>
      <c r="S179" s="174"/>
      <c r="T179" s="174"/>
      <c r="U179" s="174"/>
      <c r="V179" s="174"/>
      <c r="W179" s="174"/>
      <c r="X179" s="174"/>
      <c r="Y179" s="174">
        <v>106</v>
      </c>
    </row>
    <row r="180" spans="1:25">
      <c r="A180" s="130">
        <v>45825</v>
      </c>
      <c r="B180" t="s">
        <v>2861</v>
      </c>
      <c r="C180" t="s">
        <v>2862</v>
      </c>
      <c r="D180" t="s">
        <v>71</v>
      </c>
      <c r="E180" t="s">
        <v>24</v>
      </c>
      <c r="F180" t="s">
        <v>3295</v>
      </c>
      <c r="G180" t="s">
        <v>2863</v>
      </c>
      <c r="H180" t="s">
        <v>2864</v>
      </c>
      <c r="I180" s="174"/>
      <c r="J180" s="174"/>
      <c r="K180" s="174"/>
      <c r="L180" s="174"/>
      <c r="M180" s="174"/>
      <c r="N180" s="174">
        <v>3000</v>
      </c>
      <c r="O180" s="174"/>
      <c r="P180" s="174"/>
      <c r="Q180" s="174"/>
      <c r="R180" s="174"/>
      <c r="S180" s="174"/>
      <c r="T180" s="174"/>
      <c r="U180" s="174"/>
      <c r="V180" s="174"/>
      <c r="W180" s="174"/>
      <c r="X180" s="174"/>
      <c r="Y180" s="174">
        <v>3000</v>
      </c>
    </row>
    <row r="181" spans="1:25">
      <c r="A181" s="130">
        <v>45825</v>
      </c>
      <c r="B181" t="s">
        <v>2855</v>
      </c>
      <c r="C181" t="s">
        <v>2856</v>
      </c>
      <c r="D181" t="s">
        <v>71</v>
      </c>
      <c r="E181" t="s">
        <v>24</v>
      </c>
      <c r="F181" t="s">
        <v>3295</v>
      </c>
      <c r="G181" t="s">
        <v>2859</v>
      </c>
      <c r="H181" t="s">
        <v>2860</v>
      </c>
      <c r="I181" s="174"/>
      <c r="J181" s="174">
        <v>41</v>
      </c>
      <c r="K181" s="174">
        <v>2</v>
      </c>
      <c r="L181" s="174"/>
      <c r="M181" s="174"/>
      <c r="N181" s="174"/>
      <c r="O181" s="174"/>
      <c r="P181" s="174">
        <v>1</v>
      </c>
      <c r="Q181" s="174"/>
      <c r="R181" s="174">
        <v>16</v>
      </c>
      <c r="S181" s="174"/>
      <c r="T181" s="174"/>
      <c r="U181" s="174"/>
      <c r="V181" s="174"/>
      <c r="W181" s="174"/>
      <c r="X181" s="174">
        <v>1</v>
      </c>
      <c r="Y181" s="174">
        <v>61</v>
      </c>
    </row>
    <row r="182" spans="1:25">
      <c r="A182" s="130">
        <v>45825</v>
      </c>
      <c r="B182" t="s">
        <v>2855</v>
      </c>
      <c r="C182" t="s">
        <v>2856</v>
      </c>
      <c r="D182" t="s">
        <v>71</v>
      </c>
      <c r="E182" t="s">
        <v>24</v>
      </c>
      <c r="F182" t="s">
        <v>3295</v>
      </c>
      <c r="G182" t="s">
        <v>2857</v>
      </c>
      <c r="H182" t="s">
        <v>2858</v>
      </c>
      <c r="I182" s="174"/>
      <c r="J182" s="174"/>
      <c r="K182" s="174"/>
      <c r="L182" s="174"/>
      <c r="M182" s="174"/>
      <c r="N182" s="174">
        <v>3000</v>
      </c>
      <c r="O182" s="174"/>
      <c r="P182" s="174"/>
      <c r="Q182" s="174"/>
      <c r="R182" s="174"/>
      <c r="S182" s="174"/>
      <c r="T182" s="174"/>
      <c r="U182" s="174"/>
      <c r="V182" s="174"/>
      <c r="W182" s="174"/>
      <c r="X182" s="174"/>
      <c r="Y182" s="174">
        <v>3000</v>
      </c>
    </row>
    <row r="183" spans="1:25">
      <c r="A183" s="130">
        <v>45825</v>
      </c>
      <c r="B183" t="s">
        <v>2851</v>
      </c>
      <c r="C183" t="s">
        <v>2852</v>
      </c>
      <c r="D183" t="s">
        <v>71</v>
      </c>
      <c r="E183" t="s">
        <v>24</v>
      </c>
      <c r="F183" t="s">
        <v>3295</v>
      </c>
      <c r="G183" t="s">
        <v>2853</v>
      </c>
      <c r="H183" t="s">
        <v>2854</v>
      </c>
      <c r="I183" s="174"/>
      <c r="J183" s="174">
        <v>36</v>
      </c>
      <c r="K183" s="174">
        <v>4</v>
      </c>
      <c r="L183" s="174"/>
      <c r="M183" s="174"/>
      <c r="N183" s="174"/>
      <c r="O183" s="174"/>
      <c r="P183" s="174"/>
      <c r="Q183" s="174">
        <v>1</v>
      </c>
      <c r="R183" s="174">
        <v>14</v>
      </c>
      <c r="S183" s="174"/>
      <c r="T183" s="174"/>
      <c r="U183" s="174"/>
      <c r="V183" s="174"/>
      <c r="W183" s="174"/>
      <c r="X183" s="174"/>
      <c r="Y183" s="174">
        <v>55</v>
      </c>
    </row>
    <row r="184" spans="1:25">
      <c r="A184" s="130">
        <v>45825</v>
      </c>
      <c r="B184" t="s">
        <v>2847</v>
      </c>
      <c r="C184" t="s">
        <v>2848</v>
      </c>
      <c r="D184" t="s">
        <v>71</v>
      </c>
      <c r="E184" t="s">
        <v>24</v>
      </c>
      <c r="F184" t="s">
        <v>3295</v>
      </c>
      <c r="G184" t="s">
        <v>2849</v>
      </c>
      <c r="H184" t="s">
        <v>2850</v>
      </c>
      <c r="I184" s="174"/>
      <c r="J184" s="174">
        <v>24</v>
      </c>
      <c r="K184" s="174"/>
      <c r="L184" s="174"/>
      <c r="M184" s="174"/>
      <c r="N184" s="174"/>
      <c r="O184" s="174"/>
      <c r="P184" s="174"/>
      <c r="Q184" s="174"/>
      <c r="R184" s="174">
        <v>9</v>
      </c>
      <c r="S184" s="174"/>
      <c r="T184" s="174"/>
      <c r="U184" s="174"/>
      <c r="V184" s="174"/>
      <c r="W184" s="174"/>
      <c r="X184" s="174"/>
      <c r="Y184" s="174">
        <v>33</v>
      </c>
    </row>
    <row r="185" spans="1:25">
      <c r="A185" s="130">
        <v>45825</v>
      </c>
      <c r="B185" t="s">
        <v>2843</v>
      </c>
      <c r="C185" t="s">
        <v>2844</v>
      </c>
      <c r="D185" t="s">
        <v>71</v>
      </c>
      <c r="E185" t="s">
        <v>24</v>
      </c>
      <c r="F185" t="s">
        <v>3295</v>
      </c>
      <c r="G185" t="s">
        <v>2845</v>
      </c>
      <c r="H185" t="s">
        <v>2846</v>
      </c>
      <c r="I185" s="174"/>
      <c r="J185" s="174">
        <v>18</v>
      </c>
      <c r="K185" s="174"/>
      <c r="L185" s="174"/>
      <c r="M185" s="174"/>
      <c r="N185" s="174"/>
      <c r="O185" s="174"/>
      <c r="P185" s="174"/>
      <c r="Q185" s="174"/>
      <c r="R185" s="174">
        <v>7</v>
      </c>
      <c r="S185" s="174"/>
      <c r="T185" s="174"/>
      <c r="U185" s="174"/>
      <c r="V185" s="174"/>
      <c r="W185" s="174"/>
      <c r="X185" s="174"/>
      <c r="Y185" s="174">
        <v>25</v>
      </c>
    </row>
    <row r="186" spans="1:25">
      <c r="A186" s="130">
        <v>45850</v>
      </c>
      <c r="B186" t="s">
        <v>2903</v>
      </c>
      <c r="C186" t="s">
        <v>2904</v>
      </c>
      <c r="D186" t="s">
        <v>71</v>
      </c>
      <c r="E186" t="s">
        <v>24</v>
      </c>
      <c r="F186" t="s">
        <v>3295</v>
      </c>
      <c r="G186" t="s">
        <v>2905</v>
      </c>
      <c r="H186" t="s">
        <v>2906</v>
      </c>
      <c r="I186" s="174"/>
      <c r="J186" s="174">
        <v>39</v>
      </c>
      <c r="K186" s="174">
        <v>2</v>
      </c>
      <c r="L186" s="174"/>
      <c r="M186" s="174"/>
      <c r="N186" s="174"/>
      <c r="O186" s="174"/>
      <c r="P186" s="174"/>
      <c r="Q186" s="174"/>
      <c r="R186" s="174">
        <v>13</v>
      </c>
      <c r="S186" s="174"/>
      <c r="T186" s="174"/>
      <c r="U186" s="174"/>
      <c r="V186" s="174"/>
      <c r="W186" s="174"/>
      <c r="X186" s="174"/>
      <c r="Y186" s="174">
        <v>54</v>
      </c>
    </row>
    <row r="187" spans="1:25">
      <c r="A187" s="130">
        <v>45850</v>
      </c>
      <c r="B187" t="s">
        <v>2903</v>
      </c>
      <c r="C187" t="s">
        <v>2904</v>
      </c>
      <c r="D187" t="s">
        <v>71</v>
      </c>
      <c r="E187" t="s">
        <v>24</v>
      </c>
      <c r="F187" t="s">
        <v>3295</v>
      </c>
      <c r="G187" t="s">
        <v>2907</v>
      </c>
      <c r="H187" t="s">
        <v>2908</v>
      </c>
      <c r="I187" s="174"/>
      <c r="J187" s="174"/>
      <c r="K187" s="174"/>
      <c r="L187" s="174"/>
      <c r="M187" s="174"/>
      <c r="N187" s="174">
        <v>3000</v>
      </c>
      <c r="O187" s="174"/>
      <c r="P187" s="174"/>
      <c r="Q187" s="174"/>
      <c r="R187" s="174"/>
      <c r="S187" s="174"/>
      <c r="T187" s="174"/>
      <c r="U187" s="174"/>
      <c r="V187" s="174"/>
      <c r="W187" s="174"/>
      <c r="X187" s="174"/>
      <c r="Y187" s="174">
        <v>3000</v>
      </c>
    </row>
    <row r="188" spans="1:25">
      <c r="A188" s="130">
        <v>45850</v>
      </c>
      <c r="B188" t="s">
        <v>2909</v>
      </c>
      <c r="C188" t="s">
        <v>2910</v>
      </c>
      <c r="D188" t="s">
        <v>71</v>
      </c>
      <c r="E188" t="s">
        <v>24</v>
      </c>
      <c r="F188" t="s">
        <v>3295</v>
      </c>
      <c r="G188" t="s">
        <v>2911</v>
      </c>
      <c r="H188" t="s">
        <v>2912</v>
      </c>
      <c r="I188" s="174"/>
      <c r="J188" s="174">
        <v>27</v>
      </c>
      <c r="K188" s="174">
        <v>5</v>
      </c>
      <c r="L188" s="174"/>
      <c r="M188" s="174"/>
      <c r="N188" s="174"/>
      <c r="O188" s="174"/>
      <c r="P188" s="174">
        <v>1</v>
      </c>
      <c r="Q188" s="174"/>
      <c r="R188" s="174">
        <v>15</v>
      </c>
      <c r="S188" s="174"/>
      <c r="T188" s="174"/>
      <c r="U188" s="174"/>
      <c r="V188" s="174"/>
      <c r="W188" s="174"/>
      <c r="X188" s="174"/>
      <c r="Y188" s="174">
        <v>48</v>
      </c>
    </row>
    <row r="189" spans="1:25">
      <c r="A189" s="130">
        <v>45850</v>
      </c>
      <c r="B189" t="s">
        <v>2909</v>
      </c>
      <c r="C189" t="s">
        <v>2910</v>
      </c>
      <c r="D189" t="s">
        <v>71</v>
      </c>
      <c r="E189" t="s">
        <v>24</v>
      </c>
      <c r="F189" t="s">
        <v>3295</v>
      </c>
      <c r="G189" t="s">
        <v>2913</v>
      </c>
      <c r="H189" t="s">
        <v>2914</v>
      </c>
      <c r="I189" s="174"/>
      <c r="J189" s="174"/>
      <c r="K189" s="174"/>
      <c r="L189" s="174"/>
      <c r="M189" s="174"/>
      <c r="N189" s="174">
        <v>3000</v>
      </c>
      <c r="O189" s="174"/>
      <c r="P189" s="174"/>
      <c r="Q189" s="174"/>
      <c r="R189" s="174"/>
      <c r="S189" s="174"/>
      <c r="T189" s="174"/>
      <c r="U189" s="174"/>
      <c r="V189" s="174"/>
      <c r="W189" s="174"/>
      <c r="X189" s="174"/>
      <c r="Y189" s="174">
        <v>3000</v>
      </c>
    </row>
    <row r="190" spans="1:25">
      <c r="A190" s="130">
        <v>45850</v>
      </c>
      <c r="B190" t="s">
        <v>2915</v>
      </c>
      <c r="C190" t="s">
        <v>2916</v>
      </c>
      <c r="D190" t="s">
        <v>71</v>
      </c>
      <c r="E190" t="s">
        <v>24</v>
      </c>
      <c r="F190" t="s">
        <v>3295</v>
      </c>
      <c r="G190" t="s">
        <v>2917</v>
      </c>
      <c r="H190" t="s">
        <v>2918</v>
      </c>
      <c r="I190" s="174"/>
      <c r="J190" s="174">
        <v>33</v>
      </c>
      <c r="K190" s="174">
        <v>4</v>
      </c>
      <c r="L190" s="174"/>
      <c r="M190" s="174"/>
      <c r="N190" s="174"/>
      <c r="O190" s="174"/>
      <c r="P190" s="174"/>
      <c r="Q190" s="174">
        <v>1</v>
      </c>
      <c r="R190" s="174">
        <v>13</v>
      </c>
      <c r="S190" s="174"/>
      <c r="T190" s="174"/>
      <c r="U190" s="174"/>
      <c r="V190" s="174"/>
      <c r="W190" s="174"/>
      <c r="X190" s="174">
        <v>1</v>
      </c>
      <c r="Y190" s="174">
        <v>52</v>
      </c>
    </row>
    <row r="191" spans="1:25">
      <c r="A191" s="130">
        <v>45850</v>
      </c>
      <c r="B191" t="s">
        <v>2915</v>
      </c>
      <c r="C191" t="s">
        <v>2916</v>
      </c>
      <c r="D191" t="s">
        <v>71</v>
      </c>
      <c r="E191" t="s">
        <v>24</v>
      </c>
      <c r="F191" t="s">
        <v>3295</v>
      </c>
      <c r="G191" t="s">
        <v>2919</v>
      </c>
      <c r="H191" t="s">
        <v>2920</v>
      </c>
      <c r="I191" s="174"/>
      <c r="J191" s="174"/>
      <c r="K191" s="174"/>
      <c r="L191" s="174"/>
      <c r="M191" s="174"/>
      <c r="N191" s="174">
        <v>3000</v>
      </c>
      <c r="O191" s="174"/>
      <c r="P191" s="174"/>
      <c r="Q191" s="174"/>
      <c r="R191" s="174"/>
      <c r="S191" s="174"/>
      <c r="T191" s="174"/>
      <c r="U191" s="174"/>
      <c r="V191" s="174"/>
      <c r="W191" s="174"/>
      <c r="X191" s="174"/>
      <c r="Y191" s="174">
        <v>3000</v>
      </c>
    </row>
    <row r="192" spans="1:25">
      <c r="A192" s="130">
        <v>45850</v>
      </c>
      <c r="B192" t="s">
        <v>2921</v>
      </c>
      <c r="C192" t="s">
        <v>2922</v>
      </c>
      <c r="D192" t="s">
        <v>71</v>
      </c>
      <c r="E192" t="s">
        <v>24</v>
      </c>
      <c r="F192" t="s">
        <v>3295</v>
      </c>
      <c r="G192" t="s">
        <v>2923</v>
      </c>
      <c r="H192" t="s">
        <v>2924</v>
      </c>
      <c r="I192" s="174"/>
      <c r="J192" s="174">
        <v>18</v>
      </c>
      <c r="K192" s="174"/>
      <c r="L192" s="174"/>
      <c r="M192" s="174"/>
      <c r="N192" s="174"/>
      <c r="O192" s="174"/>
      <c r="P192" s="174"/>
      <c r="Q192" s="174"/>
      <c r="R192" s="174">
        <v>7</v>
      </c>
      <c r="S192" s="174"/>
      <c r="T192" s="174"/>
      <c r="U192" s="174"/>
      <c r="V192" s="174"/>
      <c r="W192" s="174"/>
      <c r="X192" s="174"/>
      <c r="Y192" s="174">
        <v>25</v>
      </c>
    </row>
    <row r="193" spans="1:25">
      <c r="A193" s="130">
        <v>45850</v>
      </c>
      <c r="B193" t="s">
        <v>2925</v>
      </c>
      <c r="C193" t="s">
        <v>2926</v>
      </c>
      <c r="D193" t="s">
        <v>71</v>
      </c>
      <c r="E193" t="s">
        <v>24</v>
      </c>
      <c r="F193" t="s">
        <v>3295</v>
      </c>
      <c r="G193" t="s">
        <v>2927</v>
      </c>
      <c r="H193" t="s">
        <v>2928</v>
      </c>
      <c r="I193" s="174"/>
      <c r="J193" s="174">
        <v>39</v>
      </c>
      <c r="K193" s="174">
        <v>5</v>
      </c>
      <c r="L193" s="174"/>
      <c r="M193" s="174"/>
      <c r="N193" s="174"/>
      <c r="O193" s="174"/>
      <c r="P193" s="174">
        <v>1</v>
      </c>
      <c r="Q193" s="174"/>
      <c r="R193" s="174">
        <v>16</v>
      </c>
      <c r="S193" s="174"/>
      <c r="T193" s="174"/>
      <c r="U193" s="174"/>
      <c r="V193" s="174"/>
      <c r="W193" s="174"/>
      <c r="X193" s="174"/>
      <c r="Y193" s="174">
        <v>61</v>
      </c>
    </row>
    <row r="194" spans="1:25">
      <c r="A194" s="130">
        <v>45875</v>
      </c>
      <c r="B194" t="s">
        <v>2992</v>
      </c>
      <c r="C194" t="s">
        <v>2993</v>
      </c>
      <c r="D194" t="s">
        <v>71</v>
      </c>
      <c r="E194" t="s">
        <v>24</v>
      </c>
      <c r="F194" t="s">
        <v>3295</v>
      </c>
      <c r="G194" t="s">
        <v>2994</v>
      </c>
      <c r="H194" t="s">
        <v>2995</v>
      </c>
      <c r="I194" s="174"/>
      <c r="J194" s="174"/>
      <c r="K194" s="174"/>
      <c r="L194" s="174">
        <v>1440</v>
      </c>
      <c r="M194" s="174"/>
      <c r="N194" s="174"/>
      <c r="O194" s="174"/>
      <c r="P194" s="174"/>
      <c r="Q194" s="174"/>
      <c r="R194" s="174"/>
      <c r="S194" s="174"/>
      <c r="T194" s="174"/>
      <c r="U194" s="174"/>
      <c r="V194" s="174"/>
      <c r="W194" s="174"/>
      <c r="X194" s="174"/>
      <c r="Y194" s="174">
        <v>1440</v>
      </c>
    </row>
    <row r="195" spans="1:25">
      <c r="A195" s="130">
        <v>45875</v>
      </c>
      <c r="B195" t="s">
        <v>2996</v>
      </c>
      <c r="C195" t="s">
        <v>2997</v>
      </c>
      <c r="D195" t="s">
        <v>71</v>
      </c>
      <c r="E195" t="s">
        <v>24</v>
      </c>
      <c r="F195" t="s">
        <v>3295</v>
      </c>
      <c r="G195" t="s">
        <v>2998</v>
      </c>
      <c r="H195" t="s">
        <v>2999</v>
      </c>
      <c r="I195" s="174"/>
      <c r="J195" s="174"/>
      <c r="K195" s="174"/>
      <c r="L195" s="174">
        <v>3000</v>
      </c>
      <c r="M195" s="174"/>
      <c r="N195" s="174"/>
      <c r="O195" s="174"/>
      <c r="P195" s="174"/>
      <c r="Q195" s="174"/>
      <c r="R195" s="174"/>
      <c r="S195" s="174"/>
      <c r="T195" s="174"/>
      <c r="U195" s="174"/>
      <c r="V195" s="174"/>
      <c r="W195" s="174"/>
      <c r="X195" s="174"/>
      <c r="Y195" s="174">
        <v>3000</v>
      </c>
    </row>
    <row r="196" spans="1:25">
      <c r="A196" s="130">
        <v>45888</v>
      </c>
      <c r="B196" t="s">
        <v>3203</v>
      </c>
      <c r="C196" t="s">
        <v>3204</v>
      </c>
      <c r="D196" t="s">
        <v>71</v>
      </c>
      <c r="E196" t="s">
        <v>24</v>
      </c>
      <c r="F196" t="s">
        <v>3295</v>
      </c>
      <c r="G196" t="s">
        <v>3205</v>
      </c>
      <c r="H196" t="s">
        <v>3206</v>
      </c>
      <c r="I196" s="174">
        <v>1</v>
      </c>
      <c r="J196" s="174">
        <v>44</v>
      </c>
      <c r="K196" s="174"/>
      <c r="L196" s="174"/>
      <c r="M196" s="174"/>
      <c r="N196" s="174">
        <v>3000</v>
      </c>
      <c r="O196" s="174"/>
      <c r="P196" s="174">
        <v>1</v>
      </c>
      <c r="Q196" s="174"/>
      <c r="R196" s="174">
        <v>19</v>
      </c>
      <c r="S196" s="174"/>
      <c r="T196" s="174"/>
      <c r="U196" s="174"/>
      <c r="V196" s="174"/>
      <c r="W196" s="174"/>
      <c r="X196" s="174">
        <v>1</v>
      </c>
      <c r="Y196" s="174">
        <v>3066</v>
      </c>
    </row>
    <row r="197" spans="1:25">
      <c r="A197" s="130">
        <v>45888</v>
      </c>
      <c r="B197" t="s">
        <v>2696</v>
      </c>
      <c r="C197" t="s">
        <v>2697</v>
      </c>
      <c r="D197" t="s">
        <v>71</v>
      </c>
      <c r="E197" t="s">
        <v>24</v>
      </c>
      <c r="F197" t="s">
        <v>3295</v>
      </c>
      <c r="G197" t="s">
        <v>3201</v>
      </c>
      <c r="H197" t="s">
        <v>3202</v>
      </c>
      <c r="I197" s="174"/>
      <c r="J197" s="174">
        <v>101</v>
      </c>
      <c r="K197" s="174"/>
      <c r="L197" s="174"/>
      <c r="M197" s="174"/>
      <c r="N197" s="174"/>
      <c r="O197" s="174"/>
      <c r="P197" s="174"/>
      <c r="Q197" s="174"/>
      <c r="R197" s="174"/>
      <c r="S197" s="174"/>
      <c r="T197" s="174"/>
      <c r="U197" s="174"/>
      <c r="V197" s="174"/>
      <c r="W197" s="174"/>
      <c r="X197" s="174"/>
      <c r="Y197" s="174">
        <v>101</v>
      </c>
    </row>
    <row r="198" spans="1:25">
      <c r="A198" s="130">
        <v>45896</v>
      </c>
      <c r="B198" t="s">
        <v>3662</v>
      </c>
      <c r="C198" t="s">
        <v>3663</v>
      </c>
      <c r="D198" t="s">
        <v>71</v>
      </c>
      <c r="E198" t="s">
        <v>24</v>
      </c>
      <c r="F198" t="s">
        <v>3295</v>
      </c>
      <c r="G198" t="s">
        <v>3664</v>
      </c>
      <c r="H198" t="s">
        <v>3665</v>
      </c>
      <c r="I198" s="174"/>
      <c r="J198" s="174">
        <v>34</v>
      </c>
      <c r="K198" s="174"/>
      <c r="L198" s="174">
        <v>3000</v>
      </c>
      <c r="M198" s="174"/>
      <c r="N198" s="174"/>
      <c r="O198" s="174"/>
      <c r="P198" s="174"/>
      <c r="Q198" s="174"/>
      <c r="R198" s="174"/>
      <c r="S198" s="174"/>
      <c r="T198" s="174"/>
      <c r="U198" s="174"/>
      <c r="V198" s="174"/>
      <c r="W198" s="174"/>
      <c r="X198" s="174"/>
      <c r="Y198" s="174">
        <v>3034</v>
      </c>
    </row>
    <row r="199" spans="1:25">
      <c r="A199" s="130">
        <v>45896</v>
      </c>
      <c r="B199" t="s">
        <v>3662</v>
      </c>
      <c r="C199" t="s">
        <v>3663</v>
      </c>
      <c r="D199" t="s">
        <v>71</v>
      </c>
      <c r="E199" t="s">
        <v>24</v>
      </c>
      <c r="F199" t="s">
        <v>3295</v>
      </c>
      <c r="G199" t="s">
        <v>3666</v>
      </c>
      <c r="H199" t="s">
        <v>3667</v>
      </c>
      <c r="I199" s="174"/>
      <c r="J199" s="174"/>
      <c r="K199" s="174"/>
      <c r="L199" s="174"/>
      <c r="M199" s="174"/>
      <c r="N199" s="174"/>
      <c r="O199" s="174"/>
      <c r="P199" s="174"/>
      <c r="Q199" s="174"/>
      <c r="R199" s="174">
        <v>10</v>
      </c>
      <c r="S199" s="174"/>
      <c r="T199" s="174"/>
      <c r="U199" s="174"/>
      <c r="V199" s="174"/>
      <c r="W199" s="174"/>
      <c r="X199" s="174"/>
      <c r="Y199" s="174">
        <v>10</v>
      </c>
    </row>
    <row r="200" spans="1:25">
      <c r="A200" s="130">
        <v>45896</v>
      </c>
      <c r="B200" t="s">
        <v>3668</v>
      </c>
      <c r="C200" t="s">
        <v>3669</v>
      </c>
      <c r="D200" t="s">
        <v>71</v>
      </c>
      <c r="E200" t="s">
        <v>24</v>
      </c>
      <c r="F200" t="s">
        <v>3295</v>
      </c>
      <c r="G200" t="s">
        <v>3670</v>
      </c>
      <c r="H200" t="s">
        <v>3671</v>
      </c>
      <c r="I200" s="174">
        <v>21</v>
      </c>
      <c r="J200" s="174">
        <v>15</v>
      </c>
      <c r="K200" s="174"/>
      <c r="L200" s="174">
        <v>3000</v>
      </c>
      <c r="M200" s="174"/>
      <c r="N200" s="174"/>
      <c r="O200" s="174"/>
      <c r="P200" s="174">
        <v>1</v>
      </c>
      <c r="Q200" s="174"/>
      <c r="R200" s="174"/>
      <c r="S200" s="174"/>
      <c r="T200" s="174"/>
      <c r="U200" s="174"/>
      <c r="V200" s="174"/>
      <c r="W200" s="174"/>
      <c r="X200" s="174"/>
      <c r="Y200" s="174">
        <v>3037</v>
      </c>
    </row>
    <row r="201" spans="1:25">
      <c r="A201" s="130">
        <v>45896</v>
      </c>
      <c r="B201" t="s">
        <v>3668</v>
      </c>
      <c r="C201" t="s">
        <v>3669</v>
      </c>
      <c r="D201" t="s">
        <v>71</v>
      </c>
      <c r="E201" t="s">
        <v>24</v>
      </c>
      <c r="F201" t="s">
        <v>3295</v>
      </c>
      <c r="G201" t="s">
        <v>3672</v>
      </c>
      <c r="H201" t="s">
        <v>3673</v>
      </c>
      <c r="I201" s="174"/>
      <c r="J201" s="174"/>
      <c r="K201" s="174"/>
      <c r="L201" s="174"/>
      <c r="M201" s="174"/>
      <c r="N201" s="174"/>
      <c r="O201" s="174"/>
      <c r="P201" s="174"/>
      <c r="Q201" s="174"/>
      <c r="R201" s="174">
        <v>9</v>
      </c>
      <c r="S201" s="174"/>
      <c r="T201" s="174"/>
      <c r="U201" s="174"/>
      <c r="V201" s="174"/>
      <c r="W201" s="174"/>
      <c r="X201" s="174"/>
      <c r="Y201" s="174">
        <v>9</v>
      </c>
    </row>
    <row r="202" spans="1:25">
      <c r="A202" s="130">
        <v>45951</v>
      </c>
      <c r="B202" t="s">
        <v>4663</v>
      </c>
      <c r="C202" t="s">
        <v>4664</v>
      </c>
      <c r="D202" t="s">
        <v>71</v>
      </c>
      <c r="E202" t="s">
        <v>24</v>
      </c>
      <c r="F202" t="s">
        <v>3295</v>
      </c>
      <c r="G202" t="s">
        <v>4665</v>
      </c>
      <c r="H202" t="s">
        <v>4666</v>
      </c>
      <c r="I202" s="174">
        <v>1</v>
      </c>
      <c r="J202" s="174">
        <v>37</v>
      </c>
      <c r="K202" s="174"/>
      <c r="L202" s="174"/>
      <c r="M202" s="174"/>
      <c r="N202" s="174"/>
      <c r="O202" s="174"/>
      <c r="P202" s="174"/>
      <c r="Q202" s="174"/>
      <c r="R202" s="174"/>
      <c r="S202" s="174"/>
      <c r="T202" s="174"/>
      <c r="U202" s="174"/>
      <c r="V202" s="174"/>
      <c r="W202" s="174"/>
      <c r="X202" s="174"/>
      <c r="Y202" s="174">
        <v>38</v>
      </c>
    </row>
    <row r="203" spans="1:25">
      <c r="A203" s="130">
        <v>45951</v>
      </c>
      <c r="B203" t="s">
        <v>4663</v>
      </c>
      <c r="C203" t="s">
        <v>4664</v>
      </c>
      <c r="D203" t="s">
        <v>71</v>
      </c>
      <c r="E203" t="s">
        <v>24</v>
      </c>
      <c r="F203" t="s">
        <v>3295</v>
      </c>
      <c r="G203" t="s">
        <v>4667</v>
      </c>
      <c r="H203" t="s">
        <v>4668</v>
      </c>
      <c r="I203" s="174"/>
      <c r="J203" s="174"/>
      <c r="K203" s="174"/>
      <c r="L203" s="174"/>
      <c r="M203" s="174"/>
      <c r="N203" s="174"/>
      <c r="O203" s="174"/>
      <c r="P203" s="174"/>
      <c r="Q203" s="174">
        <v>1</v>
      </c>
      <c r="R203" s="174"/>
      <c r="S203" s="174"/>
      <c r="T203" s="174"/>
      <c r="U203" s="174"/>
      <c r="V203" s="174"/>
      <c r="W203" s="174"/>
      <c r="X203" s="174"/>
      <c r="Y203" s="174">
        <v>1</v>
      </c>
    </row>
    <row r="204" spans="1:25">
      <c r="A204" s="130">
        <v>45951</v>
      </c>
      <c r="B204" t="s">
        <v>4595</v>
      </c>
      <c r="C204" t="s">
        <v>4596</v>
      </c>
      <c r="D204" t="s">
        <v>71</v>
      </c>
      <c r="E204" t="s">
        <v>24</v>
      </c>
      <c r="F204" t="s">
        <v>3295</v>
      </c>
      <c r="G204" t="s">
        <v>4669</v>
      </c>
      <c r="H204" t="s">
        <v>4670</v>
      </c>
      <c r="I204" s="174">
        <v>1</v>
      </c>
      <c r="J204" s="174">
        <v>24</v>
      </c>
      <c r="K204" s="174"/>
      <c r="L204" s="174"/>
      <c r="M204" s="174"/>
      <c r="N204" s="174"/>
      <c r="O204" s="174"/>
      <c r="P204" s="174">
        <v>1</v>
      </c>
      <c r="Q204" s="174"/>
      <c r="R204" s="174"/>
      <c r="S204" s="174"/>
      <c r="T204" s="174"/>
      <c r="U204" s="174"/>
      <c r="V204" s="174"/>
      <c r="W204" s="174"/>
      <c r="X204" s="174"/>
      <c r="Y204" s="174">
        <v>26</v>
      </c>
    </row>
    <row r="205" spans="1:25">
      <c r="A205" s="130">
        <v>45955</v>
      </c>
      <c r="B205" t="s">
        <v>4663</v>
      </c>
      <c r="C205" t="s">
        <v>4664</v>
      </c>
      <c r="D205" t="s">
        <v>71</v>
      </c>
      <c r="E205" t="s">
        <v>24</v>
      </c>
      <c r="F205" t="s">
        <v>3295</v>
      </c>
      <c r="G205" t="s">
        <v>4690</v>
      </c>
      <c r="H205" t="s">
        <v>4691</v>
      </c>
      <c r="I205" s="174">
        <v>32</v>
      </c>
      <c r="J205" s="174"/>
      <c r="K205" s="174"/>
      <c r="L205" s="174"/>
      <c r="M205" s="174"/>
      <c r="N205" s="174"/>
      <c r="O205" s="174"/>
      <c r="P205" s="174"/>
      <c r="Q205" s="174"/>
      <c r="R205" s="174"/>
      <c r="S205" s="174"/>
      <c r="T205" s="174"/>
      <c r="U205" s="174"/>
      <c r="V205" s="174"/>
      <c r="W205" s="174"/>
      <c r="X205" s="174"/>
      <c r="Y205" s="174">
        <v>32</v>
      </c>
    </row>
    <row r="206" spans="1:25">
      <c r="A206" s="130">
        <v>45955</v>
      </c>
      <c r="B206" t="s">
        <v>4687</v>
      </c>
      <c r="C206" t="s">
        <v>4599</v>
      </c>
      <c r="D206" t="s">
        <v>71</v>
      </c>
      <c r="E206" t="s">
        <v>24</v>
      </c>
      <c r="F206" t="s">
        <v>3295</v>
      </c>
      <c r="G206" t="s">
        <v>4688</v>
      </c>
      <c r="H206" t="s">
        <v>4689</v>
      </c>
      <c r="I206" s="174"/>
      <c r="J206" s="174">
        <v>7</v>
      </c>
      <c r="K206" s="174"/>
      <c r="L206" s="174">
        <v>3000</v>
      </c>
      <c r="M206" s="174"/>
      <c r="N206" s="174"/>
      <c r="O206" s="174"/>
      <c r="P206" s="174"/>
      <c r="Q206" s="174"/>
      <c r="R206" s="174"/>
      <c r="S206" s="174"/>
      <c r="T206" s="174"/>
      <c r="U206" s="174"/>
      <c r="V206" s="174"/>
      <c r="W206" s="174"/>
      <c r="X206" s="174"/>
      <c r="Y206" s="174">
        <v>3007</v>
      </c>
    </row>
    <row r="207" spans="1:25">
      <c r="A207" s="130">
        <v>45955</v>
      </c>
      <c r="B207" t="s">
        <v>4692</v>
      </c>
      <c r="C207" t="s">
        <v>4693</v>
      </c>
      <c r="D207" t="s">
        <v>71</v>
      </c>
      <c r="E207" t="s">
        <v>24</v>
      </c>
      <c r="F207" t="s">
        <v>3295</v>
      </c>
      <c r="G207" t="s">
        <v>4694</v>
      </c>
      <c r="H207" t="s">
        <v>4695</v>
      </c>
      <c r="I207" s="174"/>
      <c r="J207" s="174">
        <v>58</v>
      </c>
      <c r="K207" s="174">
        <v>8</v>
      </c>
      <c r="L207" s="174">
        <v>3000</v>
      </c>
      <c r="M207" s="174">
        <v>3000</v>
      </c>
      <c r="N207" s="174"/>
      <c r="O207" s="174"/>
      <c r="P207" s="174">
        <v>1</v>
      </c>
      <c r="Q207" s="174"/>
      <c r="R207" s="174"/>
      <c r="S207" s="174"/>
      <c r="T207" s="174"/>
      <c r="U207" s="174"/>
      <c r="V207" s="174"/>
      <c r="W207" s="174"/>
      <c r="X207" s="174"/>
      <c r="Y207" s="174">
        <v>6067</v>
      </c>
    </row>
    <row r="208" spans="1:25">
      <c r="A208" s="130">
        <v>45955</v>
      </c>
      <c r="B208" t="s">
        <v>4696</v>
      </c>
      <c r="C208" t="s">
        <v>4697</v>
      </c>
      <c r="D208" t="s">
        <v>71</v>
      </c>
      <c r="E208" t="s">
        <v>24</v>
      </c>
      <c r="F208" t="s">
        <v>3295</v>
      </c>
      <c r="G208" t="s">
        <v>4698</v>
      </c>
      <c r="H208" t="s">
        <v>4699</v>
      </c>
      <c r="I208" s="174">
        <v>1</v>
      </c>
      <c r="J208" s="174">
        <v>52</v>
      </c>
      <c r="K208" s="174"/>
      <c r="L208" s="174"/>
      <c r="M208" s="174"/>
      <c r="N208" s="174">
        <v>3000</v>
      </c>
      <c r="O208" s="174"/>
      <c r="P208" s="174"/>
      <c r="Q208" s="174">
        <v>1</v>
      </c>
      <c r="R208" s="174"/>
      <c r="S208" s="174"/>
      <c r="T208" s="174"/>
      <c r="U208" s="174"/>
      <c r="V208" s="174"/>
      <c r="W208" s="174"/>
      <c r="X208" s="174"/>
      <c r="Y208" s="174">
        <v>3054</v>
      </c>
    </row>
    <row r="209" spans="1:25">
      <c r="A209" s="130">
        <v>45959</v>
      </c>
      <c r="B209" t="s">
        <v>4663</v>
      </c>
      <c r="C209" t="s">
        <v>4664</v>
      </c>
      <c r="D209" t="s">
        <v>71</v>
      </c>
      <c r="E209" t="s">
        <v>24</v>
      </c>
      <c r="F209" t="s">
        <v>3295</v>
      </c>
      <c r="G209" t="s">
        <v>4702</v>
      </c>
      <c r="H209" t="s">
        <v>4703</v>
      </c>
      <c r="I209" s="174"/>
      <c r="J209" s="174"/>
      <c r="K209" s="174"/>
      <c r="L209" s="174"/>
      <c r="M209" s="174"/>
      <c r="N209" s="174"/>
      <c r="O209" s="174"/>
      <c r="P209" s="174"/>
      <c r="Q209" s="174"/>
      <c r="R209" s="174">
        <v>15</v>
      </c>
      <c r="S209" s="174"/>
      <c r="T209" s="174"/>
      <c r="U209" s="174"/>
      <c r="V209" s="174"/>
      <c r="W209" s="174"/>
      <c r="X209" s="174"/>
      <c r="Y209" s="174">
        <v>15</v>
      </c>
    </row>
    <row r="210" spans="1:25">
      <c r="A210" s="130">
        <v>45959</v>
      </c>
      <c r="B210" t="s">
        <v>4595</v>
      </c>
      <c r="C210" t="s">
        <v>4596</v>
      </c>
      <c r="D210" t="s">
        <v>71</v>
      </c>
      <c r="E210" t="s">
        <v>24</v>
      </c>
      <c r="F210" t="s">
        <v>3295</v>
      </c>
      <c r="G210" t="s">
        <v>4700</v>
      </c>
      <c r="H210" t="s">
        <v>4701</v>
      </c>
      <c r="I210" s="174"/>
      <c r="J210" s="174"/>
      <c r="K210" s="174"/>
      <c r="L210" s="174"/>
      <c r="M210" s="174"/>
      <c r="N210" s="174"/>
      <c r="O210" s="174"/>
      <c r="P210" s="174"/>
      <c r="Q210" s="174"/>
      <c r="R210" s="174">
        <v>17</v>
      </c>
      <c r="S210" s="174"/>
      <c r="T210" s="174"/>
      <c r="U210" s="174"/>
      <c r="V210" s="174"/>
      <c r="W210" s="174"/>
      <c r="X210" s="174"/>
      <c r="Y210" s="174">
        <v>17</v>
      </c>
    </row>
    <row r="211" spans="1:25">
      <c r="A211" s="130">
        <v>45981</v>
      </c>
      <c r="B211" t="s">
        <v>4692</v>
      </c>
      <c r="C211" t="s">
        <v>4693</v>
      </c>
      <c r="D211" t="s">
        <v>71</v>
      </c>
      <c r="E211" t="s">
        <v>24</v>
      </c>
      <c r="F211" t="s">
        <v>3295</v>
      </c>
      <c r="G211" t="s">
        <v>4710</v>
      </c>
      <c r="H211" t="s">
        <v>4711</v>
      </c>
      <c r="I211" s="174">
        <v>37</v>
      </c>
      <c r="J211" s="174"/>
      <c r="K211" s="174">
        <v>5</v>
      </c>
      <c r="L211" s="174">
        <v>3000</v>
      </c>
      <c r="M211" s="174"/>
      <c r="N211" s="174"/>
      <c r="O211" s="174"/>
      <c r="P211" s="174"/>
      <c r="Q211" s="174"/>
      <c r="R211" s="174"/>
      <c r="S211" s="174"/>
      <c r="T211" s="174"/>
      <c r="U211" s="174"/>
      <c r="V211" s="174"/>
      <c r="W211" s="174"/>
      <c r="X211" s="174"/>
      <c r="Y211" s="174">
        <v>3042</v>
      </c>
    </row>
    <row r="212" spans="1:25">
      <c r="A212" s="130">
        <v>45981</v>
      </c>
      <c r="B212" t="s">
        <v>4696</v>
      </c>
      <c r="C212" t="s">
        <v>4697</v>
      </c>
      <c r="D212" t="s">
        <v>71</v>
      </c>
      <c r="E212" t="s">
        <v>24</v>
      </c>
      <c r="F212" t="s">
        <v>3295</v>
      </c>
      <c r="G212" t="s">
        <v>4712</v>
      </c>
      <c r="H212" t="s">
        <v>4713</v>
      </c>
      <c r="I212" s="174"/>
      <c r="J212" s="174"/>
      <c r="K212" s="174"/>
      <c r="L212" s="174"/>
      <c r="M212" s="174"/>
      <c r="N212" s="174"/>
      <c r="O212" s="174"/>
      <c r="P212" s="174"/>
      <c r="Q212" s="174"/>
      <c r="R212" s="174"/>
      <c r="S212" s="174"/>
      <c r="T212" s="174"/>
      <c r="U212" s="174"/>
      <c r="V212" s="174"/>
      <c r="W212" s="174"/>
      <c r="X212" s="174"/>
      <c r="Y212" s="174"/>
    </row>
    <row r="213" spans="1:25">
      <c r="A213" s="130">
        <v>46002</v>
      </c>
      <c r="B213" t="s">
        <v>4785</v>
      </c>
      <c r="C213" t="s">
        <v>4786</v>
      </c>
      <c r="D213" t="s">
        <v>67</v>
      </c>
      <c r="E213" t="s">
        <v>24</v>
      </c>
      <c r="F213" t="s">
        <v>3295</v>
      </c>
      <c r="G213" t="s">
        <v>4787</v>
      </c>
      <c r="H213" t="s">
        <v>4788</v>
      </c>
      <c r="I213" s="174">
        <v>50</v>
      </c>
      <c r="J213" s="174">
        <v>134</v>
      </c>
      <c r="K213" s="174">
        <v>3</v>
      </c>
      <c r="L213" s="174"/>
      <c r="M213" s="174"/>
      <c r="N213" s="174"/>
      <c r="O213" s="174"/>
      <c r="P213" s="174"/>
      <c r="Q213" s="174"/>
      <c r="R213" s="174"/>
      <c r="S213" s="174"/>
      <c r="T213" s="174"/>
      <c r="U213" s="174"/>
      <c r="V213" s="174"/>
      <c r="W213" s="174"/>
      <c r="X213" s="174"/>
      <c r="Y213" s="174">
        <v>187</v>
      </c>
    </row>
    <row r="214" spans="1:25">
      <c r="A214" s="130">
        <v>46002</v>
      </c>
      <c r="B214" t="s">
        <v>4801</v>
      </c>
      <c r="C214" t="s">
        <v>4802</v>
      </c>
      <c r="D214" t="s">
        <v>67</v>
      </c>
      <c r="E214" t="s">
        <v>24</v>
      </c>
      <c r="F214" t="s">
        <v>3295</v>
      </c>
      <c r="G214" t="s">
        <v>4803</v>
      </c>
      <c r="H214" t="s">
        <v>4804</v>
      </c>
      <c r="I214" s="174">
        <v>50</v>
      </c>
      <c r="J214" s="174">
        <v>86</v>
      </c>
      <c r="K214" s="174">
        <v>2</v>
      </c>
      <c r="L214" s="174"/>
      <c r="M214" s="174"/>
      <c r="N214" s="174"/>
      <c r="O214" s="174"/>
      <c r="P214" s="174"/>
      <c r="Q214" s="174"/>
      <c r="R214" s="174"/>
      <c r="S214" s="174"/>
      <c r="T214" s="174"/>
      <c r="U214" s="174"/>
      <c r="V214" s="174"/>
      <c r="W214" s="174"/>
      <c r="X214" s="174"/>
      <c r="Y214" s="174">
        <v>138</v>
      </c>
    </row>
    <row r="215" spans="1:25">
      <c r="A215" s="130">
        <v>46002</v>
      </c>
      <c r="B215" t="s">
        <v>4801</v>
      </c>
      <c r="C215" t="s">
        <v>4802</v>
      </c>
      <c r="D215" t="s">
        <v>67</v>
      </c>
      <c r="E215" t="s">
        <v>24</v>
      </c>
      <c r="F215" t="s">
        <v>3295</v>
      </c>
      <c r="G215" t="s">
        <v>4827</v>
      </c>
      <c r="H215" t="s">
        <v>4806</v>
      </c>
      <c r="I215" s="174"/>
      <c r="J215" s="174"/>
      <c r="K215" s="174"/>
      <c r="L215" s="174"/>
      <c r="M215" s="174"/>
      <c r="N215" s="174"/>
      <c r="O215" s="174"/>
      <c r="P215" s="174"/>
      <c r="Q215" s="174">
        <v>3</v>
      </c>
      <c r="R215" s="174">
        <v>20</v>
      </c>
      <c r="S215" s="174"/>
      <c r="T215" s="174"/>
      <c r="U215" s="174"/>
      <c r="V215" s="174"/>
      <c r="W215" s="174"/>
      <c r="X215" s="174">
        <v>2</v>
      </c>
      <c r="Y215" s="174">
        <v>25</v>
      </c>
    </row>
    <row r="216" spans="1:25">
      <c r="A216" s="130">
        <v>46003</v>
      </c>
      <c r="B216" t="s">
        <v>4785</v>
      </c>
      <c r="C216" t="s">
        <v>4786</v>
      </c>
      <c r="D216" t="s">
        <v>67</v>
      </c>
      <c r="E216" t="s">
        <v>24</v>
      </c>
      <c r="F216" t="s">
        <v>3295</v>
      </c>
      <c r="G216" t="s">
        <v>4789</v>
      </c>
      <c r="H216" t="s">
        <v>4790</v>
      </c>
      <c r="I216" s="174"/>
      <c r="J216" s="174"/>
      <c r="K216" s="174"/>
      <c r="L216" s="174">
        <v>15000</v>
      </c>
      <c r="M216" s="174">
        <v>9000</v>
      </c>
      <c r="N216" s="174"/>
      <c r="O216" s="174"/>
      <c r="P216" s="174"/>
      <c r="Q216" s="174"/>
      <c r="R216" s="174"/>
      <c r="S216" s="174"/>
      <c r="T216" s="174"/>
      <c r="U216" s="174"/>
      <c r="V216" s="174"/>
      <c r="W216" s="174"/>
      <c r="X216" s="174"/>
      <c r="Y216" s="174">
        <v>24000</v>
      </c>
    </row>
    <row r="217" spans="1:25">
      <c r="A217" s="130">
        <v>46003</v>
      </c>
      <c r="B217" t="s">
        <v>4785</v>
      </c>
      <c r="C217" t="s">
        <v>4786</v>
      </c>
      <c r="D217" t="s">
        <v>67</v>
      </c>
      <c r="E217" t="s">
        <v>24</v>
      </c>
      <c r="F217" t="s">
        <v>3295</v>
      </c>
      <c r="G217" t="s">
        <v>4791</v>
      </c>
      <c r="H217" t="s">
        <v>4792</v>
      </c>
      <c r="I217" s="174"/>
      <c r="J217" s="174"/>
      <c r="K217" s="174"/>
      <c r="L217" s="174"/>
      <c r="M217" s="174"/>
      <c r="N217" s="174"/>
      <c r="O217" s="174"/>
      <c r="P217" s="174">
        <v>1</v>
      </c>
      <c r="Q217" s="174"/>
      <c r="R217" s="174">
        <v>20</v>
      </c>
      <c r="S217" s="174"/>
      <c r="T217" s="174"/>
      <c r="U217" s="174"/>
      <c r="V217" s="174"/>
      <c r="W217" s="174"/>
      <c r="X217" s="174">
        <v>2</v>
      </c>
      <c r="Y217" s="174">
        <v>23</v>
      </c>
    </row>
    <row r="218" spans="1:25">
      <c r="A218" s="130">
        <v>46003</v>
      </c>
      <c r="B218" t="s">
        <v>4785</v>
      </c>
      <c r="C218" t="s">
        <v>4786</v>
      </c>
      <c r="D218" t="s">
        <v>67</v>
      </c>
      <c r="E218" t="s">
        <v>24</v>
      </c>
      <c r="F218" t="s">
        <v>3295</v>
      </c>
      <c r="G218" t="s">
        <v>4793</v>
      </c>
      <c r="H218" t="s">
        <v>4794</v>
      </c>
      <c r="I218" s="174"/>
      <c r="J218" s="174"/>
      <c r="K218" s="174"/>
      <c r="L218" s="174"/>
      <c r="M218" s="174"/>
      <c r="N218" s="174"/>
      <c r="O218" s="174"/>
      <c r="P218" s="174"/>
      <c r="Q218" s="174">
        <v>3</v>
      </c>
      <c r="R218" s="174"/>
      <c r="S218" s="174"/>
      <c r="T218" s="174"/>
      <c r="U218" s="174"/>
      <c r="V218" s="174"/>
      <c r="W218" s="174"/>
      <c r="X218" s="174"/>
      <c r="Y218" s="174">
        <v>3</v>
      </c>
    </row>
    <row r="219" spans="1:25">
      <c r="A219" s="130">
        <v>46003</v>
      </c>
      <c r="B219" t="s">
        <v>4785</v>
      </c>
      <c r="C219" t="s">
        <v>4786</v>
      </c>
      <c r="D219" t="s">
        <v>67</v>
      </c>
      <c r="E219" t="s">
        <v>24</v>
      </c>
      <c r="F219" t="s">
        <v>3295</v>
      </c>
      <c r="G219" t="s">
        <v>4795</v>
      </c>
      <c r="H219" t="s">
        <v>4796</v>
      </c>
      <c r="I219" s="174"/>
      <c r="J219" s="174"/>
      <c r="K219" s="174"/>
      <c r="L219" s="174"/>
      <c r="M219" s="174"/>
      <c r="N219" s="174"/>
      <c r="O219" s="174"/>
      <c r="P219" s="174"/>
      <c r="Q219" s="174"/>
      <c r="R219" s="174"/>
      <c r="S219" s="174"/>
      <c r="T219" s="174"/>
      <c r="U219" s="174"/>
      <c r="V219" s="174">
        <v>119</v>
      </c>
      <c r="W219" s="174"/>
      <c r="X219" s="174"/>
      <c r="Y219" s="174">
        <v>119</v>
      </c>
    </row>
    <row r="220" spans="1:25">
      <c r="A220" s="130">
        <v>46003</v>
      </c>
      <c r="B220" t="s">
        <v>4801</v>
      </c>
      <c r="C220" t="s">
        <v>4802</v>
      </c>
      <c r="D220" t="s">
        <v>67</v>
      </c>
      <c r="E220" t="s">
        <v>24</v>
      </c>
      <c r="F220" t="s">
        <v>3295</v>
      </c>
      <c r="G220" t="s">
        <v>4805</v>
      </c>
      <c r="H220" t="s">
        <v>4806</v>
      </c>
      <c r="I220" s="174"/>
      <c r="J220" s="174"/>
      <c r="K220" s="174"/>
      <c r="L220" s="174">
        <v>6000</v>
      </c>
      <c r="M220" s="174">
        <v>9000</v>
      </c>
      <c r="N220" s="174"/>
      <c r="O220" s="174"/>
      <c r="P220" s="174"/>
      <c r="Q220" s="174"/>
      <c r="R220" s="174"/>
      <c r="S220" s="174"/>
      <c r="T220" s="174"/>
      <c r="U220" s="174"/>
      <c r="V220" s="174"/>
      <c r="W220" s="174"/>
      <c r="X220" s="174"/>
      <c r="Y220" s="174">
        <v>15000</v>
      </c>
    </row>
    <row r="221" spans="1:25">
      <c r="A221" s="130">
        <v>46007</v>
      </c>
      <c r="B221" t="s">
        <v>4785</v>
      </c>
      <c r="C221" t="s">
        <v>4786</v>
      </c>
      <c r="D221" t="s">
        <v>67</v>
      </c>
      <c r="E221" t="s">
        <v>24</v>
      </c>
      <c r="F221" t="s">
        <v>3295</v>
      </c>
      <c r="G221" t="s">
        <v>4797</v>
      </c>
      <c r="H221" t="s">
        <v>4798</v>
      </c>
      <c r="I221" s="174"/>
      <c r="J221" s="174"/>
      <c r="K221" s="174"/>
      <c r="L221" s="174"/>
      <c r="M221" s="174"/>
      <c r="N221" s="174"/>
      <c r="O221" s="174"/>
      <c r="P221" s="174"/>
      <c r="Q221" s="174"/>
      <c r="R221" s="174">
        <v>51</v>
      </c>
      <c r="S221" s="174"/>
      <c r="T221" s="174"/>
      <c r="U221" s="174"/>
      <c r="V221" s="174">
        <v>92</v>
      </c>
      <c r="W221" s="174"/>
      <c r="X221" s="174"/>
      <c r="Y221" s="174">
        <v>143</v>
      </c>
    </row>
    <row r="222" spans="1:25">
      <c r="A222" s="130">
        <v>46007</v>
      </c>
      <c r="B222" t="s">
        <v>4785</v>
      </c>
      <c r="C222" t="s">
        <v>4786</v>
      </c>
      <c r="D222" t="s">
        <v>67</v>
      </c>
      <c r="E222" t="s">
        <v>24</v>
      </c>
      <c r="F222" t="s">
        <v>3295</v>
      </c>
      <c r="G222" t="s">
        <v>4799</v>
      </c>
      <c r="H222" t="s">
        <v>4800</v>
      </c>
      <c r="I222" s="174"/>
      <c r="J222" s="174"/>
      <c r="K222" s="174"/>
      <c r="L222" s="174"/>
      <c r="M222" s="174">
        <v>3000</v>
      </c>
      <c r="N222" s="174"/>
      <c r="O222" s="174"/>
      <c r="P222" s="174"/>
      <c r="Q222" s="174"/>
      <c r="R222" s="174"/>
      <c r="S222" s="174"/>
      <c r="T222" s="174"/>
      <c r="U222" s="174"/>
      <c r="V222" s="174"/>
      <c r="W222" s="174"/>
      <c r="X222" s="174"/>
      <c r="Y222" s="174">
        <v>3000</v>
      </c>
    </row>
    <row r="223" spans="1:25">
      <c r="A223" s="130">
        <v>46007</v>
      </c>
      <c r="B223" t="s">
        <v>4801</v>
      </c>
      <c r="C223" t="s">
        <v>4802</v>
      </c>
      <c r="D223" t="s">
        <v>67</v>
      </c>
      <c r="E223" t="s">
        <v>24</v>
      </c>
      <c r="F223" t="s">
        <v>3295</v>
      </c>
      <c r="G223" t="s">
        <v>4807</v>
      </c>
      <c r="H223" t="s">
        <v>4808</v>
      </c>
      <c r="I223" s="174"/>
      <c r="J223" s="174"/>
      <c r="K223" s="174"/>
      <c r="L223" s="174"/>
      <c r="M223" s="174"/>
      <c r="N223" s="174"/>
      <c r="O223" s="174"/>
      <c r="P223" s="174"/>
      <c r="Q223" s="174"/>
      <c r="R223" s="174">
        <v>59</v>
      </c>
      <c r="S223" s="174"/>
      <c r="T223" s="174"/>
      <c r="U223" s="174"/>
      <c r="V223" s="174">
        <v>134</v>
      </c>
      <c r="W223" s="174"/>
      <c r="X223" s="174"/>
      <c r="Y223" s="174">
        <v>193</v>
      </c>
    </row>
    <row r="224" spans="1:25">
      <c r="A224" s="130">
        <v>46007</v>
      </c>
      <c r="B224" t="s">
        <v>4801</v>
      </c>
      <c r="C224" t="s">
        <v>4802</v>
      </c>
      <c r="D224" t="s">
        <v>67</v>
      </c>
      <c r="E224" t="s">
        <v>24</v>
      </c>
      <c r="F224" t="s">
        <v>3295</v>
      </c>
      <c r="G224" t="s">
        <v>4809</v>
      </c>
      <c r="H224" t="s">
        <v>4810</v>
      </c>
      <c r="I224" s="174"/>
      <c r="J224" s="174"/>
      <c r="K224" s="174"/>
      <c r="L224" s="174"/>
      <c r="M224" s="174">
        <v>3000</v>
      </c>
      <c r="N224" s="174"/>
      <c r="O224" s="174"/>
      <c r="P224" s="174"/>
      <c r="Q224" s="174"/>
      <c r="R224" s="174"/>
      <c r="S224" s="174"/>
      <c r="T224" s="174"/>
      <c r="U224" s="174"/>
      <c r="V224" s="174"/>
      <c r="W224" s="174"/>
      <c r="X224" s="174"/>
      <c r="Y224" s="174">
        <v>3000</v>
      </c>
    </row>
    <row r="225" spans="1:25">
      <c r="A225" s="130">
        <v>46041</v>
      </c>
      <c r="B225" t="s">
        <v>4814</v>
      </c>
      <c r="C225" t="s">
        <v>4816</v>
      </c>
      <c r="D225" t="s">
        <v>67</v>
      </c>
      <c r="E225" t="s">
        <v>24</v>
      </c>
      <c r="F225" t="s">
        <v>3295</v>
      </c>
      <c r="G225" t="s">
        <v>4818</v>
      </c>
      <c r="H225" t="s">
        <v>4817</v>
      </c>
      <c r="I225" s="174"/>
      <c r="J225" s="174">
        <v>25</v>
      </c>
      <c r="K225" s="174"/>
      <c r="L225" s="174"/>
      <c r="M225" s="174">
        <v>3000</v>
      </c>
      <c r="N225" s="174"/>
      <c r="O225" s="174"/>
      <c r="P225" s="174"/>
      <c r="Q225" s="174">
        <v>1</v>
      </c>
      <c r="R225" s="174">
        <v>15</v>
      </c>
      <c r="S225" s="174"/>
      <c r="T225" s="174"/>
      <c r="U225" s="174"/>
      <c r="V225" s="174">
        <v>6</v>
      </c>
      <c r="W225" s="174"/>
      <c r="X225" s="174"/>
      <c r="Y225" s="174">
        <v>3047</v>
      </c>
    </row>
    <row r="226" spans="1:25">
      <c r="A226" s="130">
        <v>46041</v>
      </c>
      <c r="B226" t="s">
        <v>4813</v>
      </c>
      <c r="C226" t="s">
        <v>4815</v>
      </c>
      <c r="D226" t="s">
        <v>67</v>
      </c>
      <c r="E226" t="s">
        <v>24</v>
      </c>
      <c r="F226" t="s">
        <v>3295</v>
      </c>
      <c r="G226" t="s">
        <v>4820</v>
      </c>
      <c r="H226" t="s">
        <v>4819</v>
      </c>
      <c r="I226" s="174">
        <v>1</v>
      </c>
      <c r="J226" s="174">
        <v>13</v>
      </c>
      <c r="K226" s="174"/>
      <c r="L226" s="174"/>
      <c r="M226" s="174"/>
      <c r="N226" s="174"/>
      <c r="O226" s="174"/>
      <c r="P226" s="174"/>
      <c r="Q226" s="174"/>
      <c r="R226" s="174">
        <v>13</v>
      </c>
      <c r="S226" s="174"/>
      <c r="T226" s="174"/>
      <c r="U226" s="174"/>
      <c r="V226" s="174">
        <v>12</v>
      </c>
      <c r="W226" s="174"/>
      <c r="X226" s="174"/>
      <c r="Y226" s="174">
        <v>39</v>
      </c>
    </row>
    <row r="227" spans="1:25">
      <c r="A227" s="130">
        <v>46087</v>
      </c>
      <c r="B227" t="s">
        <v>4835</v>
      </c>
      <c r="C227" t="s">
        <v>4836</v>
      </c>
      <c r="D227" t="s">
        <v>67</v>
      </c>
      <c r="E227" t="s">
        <v>24</v>
      </c>
      <c r="F227" t="s">
        <v>3295</v>
      </c>
      <c r="G227" t="s">
        <v>4849</v>
      </c>
      <c r="H227" t="s">
        <v>4852</v>
      </c>
      <c r="I227" s="174"/>
      <c r="J227" s="174"/>
      <c r="K227" s="174"/>
      <c r="L227" s="174"/>
      <c r="M227" s="174"/>
      <c r="N227" s="174"/>
      <c r="O227" s="174"/>
      <c r="P227" s="174"/>
      <c r="Q227" s="174">
        <v>1</v>
      </c>
      <c r="R227" s="174">
        <v>21</v>
      </c>
      <c r="S227" s="174"/>
      <c r="T227" s="174"/>
      <c r="U227" s="174"/>
      <c r="V227" s="174">
        <v>13</v>
      </c>
      <c r="W227" s="174"/>
      <c r="X227" s="174">
        <v>1</v>
      </c>
      <c r="Y227" s="174">
        <v>36</v>
      </c>
    </row>
    <row r="228" spans="1:25">
      <c r="A228" s="130">
        <v>46133</v>
      </c>
      <c r="B228" t="s">
        <v>4847</v>
      </c>
      <c r="C228" t="s">
        <v>4846</v>
      </c>
      <c r="D228" t="s">
        <v>67</v>
      </c>
      <c r="E228" t="s">
        <v>24</v>
      </c>
      <c r="F228" t="s">
        <v>3295</v>
      </c>
      <c r="G228" t="s">
        <v>4855</v>
      </c>
      <c r="H228" t="s">
        <v>4559</v>
      </c>
      <c r="I228" s="174"/>
      <c r="J228" s="174"/>
      <c r="K228" s="174"/>
      <c r="L228" s="174"/>
      <c r="M228" s="174"/>
      <c r="N228" s="174"/>
      <c r="O228" s="174"/>
      <c r="P228" s="174">
        <v>1</v>
      </c>
      <c r="Q228" s="174"/>
      <c r="R228" s="174">
        <v>14</v>
      </c>
      <c r="S228" s="174"/>
      <c r="T228" s="174"/>
      <c r="U228" s="174"/>
      <c r="V228" s="174"/>
      <c r="W228" s="174"/>
      <c r="X228" s="174"/>
      <c r="Y228" s="174">
        <v>15</v>
      </c>
    </row>
    <row r="229" spans="1:25">
      <c r="A229" s="130">
        <v>46151</v>
      </c>
      <c r="B229" t="s">
        <v>4866</v>
      </c>
      <c r="C229" t="s">
        <v>4867</v>
      </c>
      <c r="D229" t="s">
        <v>67</v>
      </c>
      <c r="E229" t="s">
        <v>24</v>
      </c>
      <c r="F229" t="s">
        <v>3295</v>
      </c>
      <c r="G229" t="s">
        <v>4868</v>
      </c>
      <c r="H229" t="s">
        <v>4872</v>
      </c>
      <c r="I229" s="174">
        <v>1</v>
      </c>
      <c r="J229" s="174"/>
      <c r="K229" s="174"/>
      <c r="L229" s="174">
        <v>3000</v>
      </c>
      <c r="M229" s="174"/>
      <c r="N229" s="174"/>
      <c r="O229" s="174"/>
      <c r="P229" s="174">
        <v>1</v>
      </c>
      <c r="Q229" s="174"/>
      <c r="R229" s="174"/>
      <c r="S229" s="174"/>
      <c r="T229" s="174"/>
      <c r="U229" s="174"/>
      <c r="V229" s="174">
        <v>14</v>
      </c>
      <c r="W229" s="174"/>
      <c r="X229" s="174"/>
      <c r="Y229" s="174">
        <v>3016</v>
      </c>
    </row>
    <row r="230" spans="1:25">
      <c r="A230" s="130">
        <v>46164</v>
      </c>
      <c r="B230" t="s">
        <v>4870</v>
      </c>
      <c r="C230" t="s">
        <v>4871</v>
      </c>
      <c r="D230" t="s">
        <v>67</v>
      </c>
      <c r="E230" t="s">
        <v>24</v>
      </c>
      <c r="F230" t="s">
        <v>3295</v>
      </c>
      <c r="G230" t="s">
        <v>4869</v>
      </c>
      <c r="H230" t="s">
        <v>5132</v>
      </c>
      <c r="I230" s="174">
        <v>9</v>
      </c>
      <c r="J230" s="174">
        <v>8</v>
      </c>
      <c r="K230" s="174"/>
      <c r="L230" s="174">
        <v>3000</v>
      </c>
      <c r="M230" s="174"/>
      <c r="N230" s="174"/>
      <c r="O230" s="174"/>
      <c r="P230" s="174">
        <v>1</v>
      </c>
      <c r="Q230" s="174"/>
      <c r="R230" s="174">
        <v>11</v>
      </c>
      <c r="S230" s="174"/>
      <c r="T230" s="174"/>
      <c r="U230" s="174"/>
      <c r="V230" s="174">
        <v>8</v>
      </c>
      <c r="W230" s="174"/>
      <c r="X230" s="174"/>
      <c r="Y230" s="174">
        <v>3037</v>
      </c>
    </row>
    <row r="231" spans="1:25">
      <c r="A231" s="130">
        <v>46093</v>
      </c>
      <c r="B231" t="s">
        <v>4841</v>
      </c>
      <c r="C231" t="s">
        <v>4842</v>
      </c>
      <c r="D231" t="s">
        <v>67</v>
      </c>
      <c r="E231" t="s">
        <v>24</v>
      </c>
      <c r="F231" t="s">
        <v>3295</v>
      </c>
      <c r="G231" t="s">
        <v>4850</v>
      </c>
      <c r="H231" t="s">
        <v>4853</v>
      </c>
      <c r="I231" s="174">
        <v>6</v>
      </c>
      <c r="J231" s="174"/>
      <c r="K231" s="174"/>
      <c r="L231" s="174"/>
      <c r="M231" s="174"/>
      <c r="N231" s="174"/>
      <c r="O231" s="174"/>
      <c r="P231" s="174"/>
      <c r="Q231" s="174"/>
      <c r="R231" s="174"/>
      <c r="S231" s="174"/>
      <c r="T231" s="174"/>
      <c r="U231" s="174"/>
      <c r="V231" s="174">
        <v>2</v>
      </c>
      <c r="W231" s="174"/>
      <c r="X231" s="174"/>
      <c r="Y231" s="174">
        <v>8</v>
      </c>
    </row>
    <row r="232" spans="1:25">
      <c r="A232" s="130">
        <v>46093</v>
      </c>
      <c r="B232" t="s">
        <v>4839</v>
      </c>
      <c r="C232" t="s">
        <v>4840</v>
      </c>
      <c r="D232" t="s">
        <v>67</v>
      </c>
      <c r="E232" t="s">
        <v>24</v>
      </c>
      <c r="F232" t="s">
        <v>3295</v>
      </c>
      <c r="G232" t="s">
        <v>4851</v>
      </c>
      <c r="H232" t="s">
        <v>4854</v>
      </c>
      <c r="I232" s="174">
        <v>1</v>
      </c>
      <c r="J232" s="174"/>
      <c r="K232" s="174"/>
      <c r="L232" s="174">
        <v>3000</v>
      </c>
      <c r="M232" s="174"/>
      <c r="N232" s="174"/>
      <c r="O232" s="174"/>
      <c r="P232" s="174"/>
      <c r="Q232" s="174"/>
      <c r="R232" s="174"/>
      <c r="S232" s="174"/>
      <c r="T232" s="174"/>
      <c r="U232" s="174"/>
      <c r="V232" s="174">
        <v>9</v>
      </c>
      <c r="W232" s="174"/>
      <c r="X232" s="174">
        <v>1</v>
      </c>
      <c r="Y232" s="174">
        <v>3011</v>
      </c>
    </row>
    <row r="233" spans="1:25">
      <c r="A233" s="130">
        <v>46200</v>
      </c>
      <c r="B233" t="s">
        <v>4898</v>
      </c>
      <c r="C233" t="s">
        <v>4900</v>
      </c>
      <c r="D233" t="s">
        <v>67</v>
      </c>
      <c r="E233" t="s">
        <v>24</v>
      </c>
      <c r="F233" t="s">
        <v>3295</v>
      </c>
      <c r="G233" t="s">
        <v>4899</v>
      </c>
      <c r="H233" t="s">
        <v>5135</v>
      </c>
      <c r="I233" s="174">
        <v>10</v>
      </c>
      <c r="J233" s="174"/>
      <c r="K233" s="174"/>
      <c r="L233" s="174"/>
      <c r="M233" s="174"/>
      <c r="N233" s="174"/>
      <c r="O233" s="174"/>
      <c r="P233" s="174"/>
      <c r="Q233" s="174"/>
      <c r="R233" s="174"/>
      <c r="S233" s="174"/>
      <c r="T233" s="174"/>
      <c r="U233" s="174"/>
      <c r="V233" s="174"/>
      <c r="W233" s="174"/>
      <c r="X233" s="174"/>
      <c r="Y233" s="174">
        <v>10</v>
      </c>
    </row>
    <row r="234" spans="1:25">
      <c r="A234" s="130">
        <v>46200</v>
      </c>
      <c r="B234" t="s">
        <v>4902</v>
      </c>
      <c r="C234" t="s">
        <v>4903</v>
      </c>
      <c r="D234" t="s">
        <v>67</v>
      </c>
      <c r="E234" t="s">
        <v>24</v>
      </c>
      <c r="F234" t="s">
        <v>3295</v>
      </c>
      <c r="G234" t="s">
        <v>4901</v>
      </c>
      <c r="H234" t="s">
        <v>5134</v>
      </c>
      <c r="I234" s="174">
        <v>23</v>
      </c>
      <c r="J234" s="174"/>
      <c r="K234" s="174"/>
      <c r="L234" s="174">
        <v>3000</v>
      </c>
      <c r="M234" s="174"/>
      <c r="N234" s="174"/>
      <c r="O234" s="174"/>
      <c r="P234" s="174">
        <v>1</v>
      </c>
      <c r="Q234" s="174"/>
      <c r="R234" s="174">
        <v>19</v>
      </c>
      <c r="S234" s="174"/>
      <c r="T234" s="174"/>
      <c r="U234" s="174"/>
      <c r="V234" s="174">
        <v>24</v>
      </c>
      <c r="W234" s="174"/>
      <c r="X234" s="174"/>
      <c r="Y234" s="174">
        <v>3067</v>
      </c>
    </row>
    <row r="235" spans="1:25">
      <c r="A235" s="130">
        <v>46191</v>
      </c>
      <c r="B235" t="s">
        <v>4898</v>
      </c>
      <c r="C235" t="s">
        <v>4900</v>
      </c>
      <c r="D235" t="s">
        <v>67</v>
      </c>
      <c r="E235" t="s">
        <v>24</v>
      </c>
      <c r="F235" t="s">
        <v>3295</v>
      </c>
      <c r="G235" t="s">
        <v>4904</v>
      </c>
      <c r="H235" t="s">
        <v>5133</v>
      </c>
      <c r="I235" s="174"/>
      <c r="J235" s="174">
        <v>18</v>
      </c>
      <c r="K235" s="174"/>
      <c r="L235" s="174"/>
      <c r="M235" s="174"/>
      <c r="N235" s="174"/>
      <c r="O235" s="174"/>
      <c r="P235" s="174"/>
      <c r="Q235" s="174">
        <v>1</v>
      </c>
      <c r="R235" s="174">
        <v>25</v>
      </c>
      <c r="S235" s="174"/>
      <c r="T235" s="174"/>
      <c r="U235" s="174"/>
      <c r="V235" s="174">
        <v>34</v>
      </c>
      <c r="W235" s="174"/>
      <c r="X235" s="174"/>
      <c r="Y235" s="174">
        <v>78</v>
      </c>
    </row>
    <row r="236" spans="1:25">
      <c r="A236" s="130">
        <v>46212</v>
      </c>
      <c r="B236" t="s">
        <v>5122</v>
      </c>
      <c r="C236" t="s">
        <v>5125</v>
      </c>
      <c r="D236" t="s">
        <v>67</v>
      </c>
      <c r="E236" t="s">
        <v>24</v>
      </c>
      <c r="F236" t="s">
        <v>3295</v>
      </c>
      <c r="G236" t="s">
        <v>5123</v>
      </c>
      <c r="H236" t="s">
        <v>5124</v>
      </c>
      <c r="I236" s="174">
        <v>1</v>
      </c>
      <c r="J236" s="174">
        <v>23</v>
      </c>
      <c r="K236" s="174">
        <v>4</v>
      </c>
      <c r="L236" s="174">
        <v>3000</v>
      </c>
      <c r="M236" s="174"/>
      <c r="N236" s="174"/>
      <c r="O236" s="174"/>
      <c r="P236" s="174">
        <v>1</v>
      </c>
      <c r="Q236" s="174"/>
      <c r="R236" s="174">
        <v>9</v>
      </c>
      <c r="S236" s="174"/>
      <c r="T236" s="174"/>
      <c r="U236" s="174"/>
      <c r="V236" s="174">
        <v>9</v>
      </c>
      <c r="W236" s="174"/>
      <c r="X236" s="174"/>
      <c r="Y236" s="174">
        <v>3047</v>
      </c>
    </row>
    <row r="237" spans="1:25">
      <c r="A237" s="130">
        <v>46220</v>
      </c>
      <c r="B237" t="s">
        <v>5352</v>
      </c>
      <c r="C237" t="s">
        <v>5353</v>
      </c>
      <c r="D237" t="s">
        <v>67</v>
      </c>
      <c r="E237" t="s">
        <v>24</v>
      </c>
      <c r="F237" t="s">
        <v>3295</v>
      </c>
      <c r="G237" t="s">
        <v>5350</v>
      </c>
      <c r="H237" t="s">
        <v>5351</v>
      </c>
      <c r="I237" s="174"/>
      <c r="J237" s="174">
        <v>14</v>
      </c>
      <c r="K237" s="174"/>
      <c r="L237" s="174">
        <v>3000</v>
      </c>
      <c r="M237" s="174"/>
      <c r="N237" s="174"/>
      <c r="O237" s="174"/>
      <c r="P237" s="174">
        <v>1</v>
      </c>
      <c r="Q237" s="174"/>
      <c r="R237" s="174">
        <v>13</v>
      </c>
      <c r="S237" s="174"/>
      <c r="T237" s="174"/>
      <c r="U237" s="174"/>
      <c r="V237" s="174">
        <v>7</v>
      </c>
      <c r="W237" s="174"/>
      <c r="X237" s="174"/>
      <c r="Y237" s="174">
        <v>3035</v>
      </c>
    </row>
    <row r="238" spans="1:25">
      <c r="A238" s="130" t="s">
        <v>4559</v>
      </c>
      <c r="B238" t="s">
        <v>5380</v>
      </c>
      <c r="C238" t="s">
        <v>5379</v>
      </c>
      <c r="D238" t="s">
        <v>67</v>
      </c>
      <c r="E238" t="s">
        <v>24</v>
      </c>
      <c r="F238" t="s">
        <v>3295</v>
      </c>
      <c r="G238" t="s">
        <v>4559</v>
      </c>
      <c r="H238" t="s">
        <v>4559</v>
      </c>
      <c r="I238" s="174"/>
      <c r="J238" s="174"/>
      <c r="K238" s="174"/>
      <c r="L238" s="174"/>
      <c r="M238" s="174"/>
      <c r="N238" s="174"/>
      <c r="O238" s="174"/>
      <c r="P238" s="174"/>
      <c r="Q238" s="174"/>
      <c r="R238" s="174"/>
      <c r="S238" s="174"/>
      <c r="T238" s="174"/>
      <c r="U238" s="174"/>
      <c r="V238" s="174"/>
      <c r="W238" s="174"/>
      <c r="X238" s="174"/>
      <c r="Y238" s="174"/>
    </row>
    <row r="239" spans="1:25">
      <c r="A239" s="130" t="s">
        <v>4559</v>
      </c>
      <c r="B239" t="s">
        <v>5381</v>
      </c>
      <c r="C239" t="s">
        <v>5382</v>
      </c>
      <c r="D239" t="s">
        <v>67</v>
      </c>
      <c r="E239" t="s">
        <v>24</v>
      </c>
      <c r="F239" t="s">
        <v>3295</v>
      </c>
      <c r="G239" t="s">
        <v>4559</v>
      </c>
      <c r="H239" t="s">
        <v>4559</v>
      </c>
      <c r="I239" s="174"/>
      <c r="J239" s="174"/>
      <c r="K239" s="174"/>
      <c r="L239" s="174"/>
      <c r="M239" s="174"/>
      <c r="N239" s="174"/>
      <c r="O239" s="174"/>
      <c r="P239" s="174"/>
      <c r="Q239" s="174"/>
      <c r="R239" s="174"/>
      <c r="S239" s="174"/>
      <c r="T239" s="174"/>
      <c r="U239" s="174"/>
      <c r="V239" s="174"/>
      <c r="W239" s="174"/>
      <c r="X239" s="174"/>
      <c r="Y239" s="174"/>
    </row>
    <row r="240" spans="1:25">
      <c r="A240" s="130" t="s">
        <v>4559</v>
      </c>
      <c r="B240" t="s">
        <v>5383</v>
      </c>
      <c r="C240" t="s">
        <v>5386</v>
      </c>
      <c r="D240" t="s">
        <v>67</v>
      </c>
      <c r="E240" t="s">
        <v>24</v>
      </c>
      <c r="F240" t="s">
        <v>3295</v>
      </c>
      <c r="G240" t="s">
        <v>4559</v>
      </c>
      <c r="H240" t="s">
        <v>4559</v>
      </c>
      <c r="I240" s="174"/>
      <c r="J240" s="174"/>
      <c r="K240" s="174"/>
      <c r="L240" s="174"/>
      <c r="M240" s="174"/>
      <c r="N240" s="174"/>
      <c r="O240" s="174"/>
      <c r="P240" s="174"/>
      <c r="Q240" s="174"/>
      <c r="R240" s="174"/>
      <c r="S240" s="174"/>
      <c r="T240" s="174"/>
      <c r="U240" s="174"/>
      <c r="V240" s="174"/>
      <c r="W240" s="174"/>
      <c r="X240" s="174"/>
      <c r="Y240" s="174"/>
    </row>
    <row r="241" spans="1:25">
      <c r="A241" s="130" t="s">
        <v>4559</v>
      </c>
      <c r="B241" t="s">
        <v>5384</v>
      </c>
      <c r="C241" t="s">
        <v>5385</v>
      </c>
      <c r="D241" t="s">
        <v>67</v>
      </c>
      <c r="E241" t="s">
        <v>24</v>
      </c>
      <c r="F241" t="s">
        <v>3295</v>
      </c>
      <c r="G241" t="s">
        <v>4559</v>
      </c>
      <c r="H241" t="s">
        <v>4559</v>
      </c>
      <c r="I241" s="174"/>
      <c r="J241" s="174"/>
      <c r="K241" s="174"/>
      <c r="L241" s="174"/>
      <c r="M241" s="174"/>
      <c r="N241" s="174"/>
      <c r="O241" s="174"/>
      <c r="P241" s="174"/>
      <c r="Q241" s="174"/>
      <c r="R241" s="174"/>
      <c r="S241" s="174"/>
      <c r="T241" s="174"/>
      <c r="U241" s="174"/>
      <c r="V241" s="174"/>
      <c r="W241" s="174"/>
      <c r="X241" s="174"/>
      <c r="Y241" s="174"/>
    </row>
    <row r="242" spans="1:25">
      <c r="A242" s="130" t="s">
        <v>4559</v>
      </c>
      <c r="B242" t="s">
        <v>5388</v>
      </c>
      <c r="C242" t="s">
        <v>5387</v>
      </c>
      <c r="D242" t="s">
        <v>67</v>
      </c>
      <c r="E242" t="s">
        <v>24</v>
      </c>
      <c r="F242" t="s">
        <v>3295</v>
      </c>
      <c r="G242" t="s">
        <v>4559</v>
      </c>
      <c r="H242" t="s">
        <v>4559</v>
      </c>
      <c r="I242" s="174"/>
      <c r="J242" s="174"/>
      <c r="K242" s="174"/>
      <c r="L242" s="174"/>
      <c r="M242" s="174"/>
      <c r="N242" s="174"/>
      <c r="O242" s="174"/>
      <c r="P242" s="174"/>
      <c r="Q242" s="174"/>
      <c r="R242" s="174"/>
      <c r="S242" s="174"/>
      <c r="T242" s="174"/>
      <c r="U242" s="174"/>
      <c r="V242" s="174"/>
      <c r="W242" s="174"/>
      <c r="X242" s="174"/>
      <c r="Y242" s="174"/>
    </row>
    <row r="243" spans="1:25">
      <c r="A243" s="130" t="s">
        <v>3620</v>
      </c>
      <c r="I243" s="174">
        <v>2825</v>
      </c>
      <c r="J243" s="174">
        <v>1532</v>
      </c>
      <c r="K243" s="174">
        <v>155</v>
      </c>
      <c r="L243" s="174">
        <v>193440</v>
      </c>
      <c r="M243" s="174">
        <v>30000</v>
      </c>
      <c r="N243" s="174">
        <v>130019</v>
      </c>
      <c r="O243" s="174">
        <v>6000</v>
      </c>
      <c r="P243" s="174">
        <v>73</v>
      </c>
      <c r="Q243" s="174">
        <v>20</v>
      </c>
      <c r="R243" s="174">
        <v>1611</v>
      </c>
      <c r="S243" s="174">
        <v>58</v>
      </c>
      <c r="T243" s="174">
        <v>380</v>
      </c>
      <c r="U243" s="174">
        <v>36000</v>
      </c>
      <c r="V243" s="174">
        <v>483</v>
      </c>
      <c r="W243" s="174"/>
      <c r="X243" s="174">
        <v>70</v>
      </c>
      <c r="Y243" s="174">
        <v>402666</v>
      </c>
    </row>
    <row r="244" spans="1:25"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</row>
    <row r="245" spans="1:25"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</row>
    <row r="246" spans="1:25"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</row>
    <row r="247" spans="1:25"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</row>
    <row r="248" spans="1:25"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</row>
    <row r="249" spans="1:25"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</row>
    <row r="250" spans="1:25"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</row>
    <row r="251" spans="1:25"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</row>
    <row r="252" spans="1:25"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</row>
    <row r="253" spans="1:25"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</row>
    <row r="254" spans="1:25"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</row>
    <row r="255" spans="1:25"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</row>
    <row r="256" spans="1:25"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</row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416A1-8FCB-467A-95CB-D15BF6F27B26}">
  <sheetPr codeName="Sheet15"/>
  <dimension ref="A1:E20"/>
  <sheetViews>
    <sheetView workbookViewId="0">
      <selection activeCell="D6" sqref="D6"/>
    </sheetView>
  </sheetViews>
  <sheetFormatPr defaultRowHeight="14"/>
  <cols>
    <col min="1" max="1" width="22.4140625" bestFit="1" customWidth="1"/>
    <col min="2" max="2" width="14" style="209" bestFit="1" customWidth="1"/>
    <col min="4" max="4" width="8.83203125" style="208"/>
  </cols>
  <sheetData>
    <row r="1" spans="1:5">
      <c r="A1" s="124" t="s">
        <v>63</v>
      </c>
      <c r="B1" t="s">
        <v>3295</v>
      </c>
    </row>
    <row r="3" spans="1:5">
      <c r="A3" s="124" t="s">
        <v>3621</v>
      </c>
      <c r="B3" s="210" t="s">
        <v>3633</v>
      </c>
    </row>
    <row r="4" spans="1:5">
      <c r="A4" s="558" t="s">
        <v>3080</v>
      </c>
      <c r="B4" s="210">
        <v>58</v>
      </c>
    </row>
    <row r="5" spans="1:5">
      <c r="A5" s="558" t="s">
        <v>3077</v>
      </c>
      <c r="B5" s="210">
        <v>36000</v>
      </c>
      <c r="D5" s="208">
        <f>(B5-E5)/3000</f>
        <v>12</v>
      </c>
      <c r="E5" s="210">
        <f>MOD(B5,3000)</f>
        <v>0</v>
      </c>
    </row>
    <row r="6" spans="1:5">
      <c r="A6" s="558" t="s">
        <v>3073</v>
      </c>
      <c r="B6" s="210">
        <v>193440</v>
      </c>
      <c r="D6" s="208">
        <f>(B6-E6)/3000</f>
        <v>64</v>
      </c>
      <c r="E6" s="210">
        <f>MOD(B6,3000)</f>
        <v>1440</v>
      </c>
    </row>
    <row r="7" spans="1:5">
      <c r="A7" s="558" t="s">
        <v>3074</v>
      </c>
      <c r="B7" s="210">
        <v>30000</v>
      </c>
      <c r="D7" s="208">
        <f>(B7-E7)/3000</f>
        <v>10</v>
      </c>
      <c r="E7" s="210">
        <f>MOD(B7,3000)</f>
        <v>0</v>
      </c>
    </row>
    <row r="8" spans="1:5">
      <c r="A8" s="558" t="s">
        <v>3075</v>
      </c>
      <c r="B8" s="210">
        <v>133019</v>
      </c>
      <c r="D8" s="208">
        <f>(B8-E8)/3000</f>
        <v>44</v>
      </c>
      <c r="E8" s="210">
        <f>MOD(B8,3000)</f>
        <v>1019</v>
      </c>
    </row>
    <row r="9" spans="1:5">
      <c r="A9" s="558" t="s">
        <v>3076</v>
      </c>
      <c r="B9" s="210">
        <v>6000</v>
      </c>
      <c r="D9" s="208">
        <f>(B9-E9)/3000</f>
        <v>2</v>
      </c>
      <c r="E9" s="210">
        <f>MOD(B9,3000)</f>
        <v>0</v>
      </c>
    </row>
    <row r="10" spans="1:5">
      <c r="A10" s="558" t="s">
        <v>13</v>
      </c>
      <c r="B10" s="210">
        <v>1657</v>
      </c>
    </row>
    <row r="11" spans="1:5">
      <c r="A11" s="558" t="s">
        <v>14</v>
      </c>
      <c r="B11" s="210">
        <v>76</v>
      </c>
    </row>
    <row r="12" spans="1:5">
      <c r="A12" s="558" t="s">
        <v>15</v>
      </c>
      <c r="B12" s="210">
        <v>20</v>
      </c>
    </row>
    <row r="13" spans="1:5">
      <c r="A13" s="558" t="s">
        <v>16</v>
      </c>
      <c r="B13" s="210">
        <v>380</v>
      </c>
    </row>
    <row r="14" spans="1:5">
      <c r="A14" s="558" t="s">
        <v>4856</v>
      </c>
      <c r="B14" s="210">
        <v>72</v>
      </c>
    </row>
    <row r="15" spans="1:5">
      <c r="A15" s="558" t="s">
        <v>4731</v>
      </c>
      <c r="B15" s="210">
        <v>483</v>
      </c>
    </row>
    <row r="16" spans="1:5">
      <c r="A16" s="558" t="s">
        <v>3070</v>
      </c>
      <c r="B16" s="210">
        <v>1655</v>
      </c>
    </row>
    <row r="17" spans="1:5">
      <c r="A17" s="558" t="s">
        <v>3069</v>
      </c>
      <c r="B17" s="210">
        <v>3067</v>
      </c>
      <c r="D17" s="208">
        <v>3516</v>
      </c>
      <c r="E17" s="211">
        <f>D17-B17</f>
        <v>449</v>
      </c>
    </row>
    <row r="18" spans="1:5">
      <c r="A18" s="558" t="s">
        <v>3071</v>
      </c>
      <c r="B18" s="210">
        <v>155</v>
      </c>
    </row>
    <row r="19" spans="1:5">
      <c r="A19" s="558" t="s">
        <v>4559</v>
      </c>
      <c r="B19" s="210"/>
    </row>
    <row r="20" spans="1:5">
      <c r="A20" s="558" t="s">
        <v>3620</v>
      </c>
      <c r="B20" s="210">
        <v>406082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1B6E7-D990-487C-A93A-A274C5ABC4B9}">
  <sheetPr codeName="Sheet10">
    <tabColor rgb="FFFFFF00"/>
  </sheetPr>
  <dimension ref="A1:R2369"/>
  <sheetViews>
    <sheetView topLeftCell="A2350" zoomScale="85" zoomScaleNormal="85" workbookViewId="0">
      <selection activeCell="C2372" sqref="C2372"/>
    </sheetView>
  </sheetViews>
  <sheetFormatPr defaultRowHeight="14"/>
  <cols>
    <col min="1" max="1" width="25.58203125" bestFit="1" customWidth="1"/>
    <col min="2" max="2" width="25" customWidth="1"/>
    <col min="3" max="3" width="8.6640625" customWidth="1"/>
    <col min="4" max="4" width="9.1640625" customWidth="1"/>
    <col min="5" max="5" width="9.5" customWidth="1"/>
    <col min="6" max="6" width="15.1640625" bestFit="1" customWidth="1"/>
    <col min="7" max="7" width="15.4140625" bestFit="1" customWidth="1"/>
    <col min="8" max="8" width="20.08203125" bestFit="1" customWidth="1"/>
    <col min="9" max="9" width="18.6640625" customWidth="1"/>
    <col min="10" max="10" width="17.1640625" customWidth="1"/>
    <col min="13" max="13" width="25.4140625" bestFit="1" customWidth="1"/>
    <col min="14" max="14" width="15.6640625" bestFit="1" customWidth="1"/>
    <col min="15" max="15" width="15.6640625" customWidth="1"/>
    <col min="16" max="16" width="22.6640625" bestFit="1" customWidth="1"/>
  </cols>
  <sheetData>
    <row r="1" spans="1:18" ht="15.5">
      <c r="A1" s="1" t="s">
        <v>4519</v>
      </c>
      <c r="D1" s="83" t="s">
        <v>4525</v>
      </c>
      <c r="E1" s="83">
        <f>COUNTA(_xlfn.UNIQUE(DO_DB[SiteName]))</f>
        <v>456</v>
      </c>
      <c r="J1" s="83" t="s">
        <v>4526</v>
      </c>
      <c r="K1" s="83">
        <f>SUBTOTAL(9,K5:K10633)</f>
        <v>1721646</v>
      </c>
    </row>
    <row r="2" spans="1:18" ht="15.5">
      <c r="A2" s="1"/>
      <c r="D2" s="83" t="s">
        <v>4525</v>
      </c>
      <c r="E2" s="83">
        <f>COUNTA(_xlfn.UNIQUE(DO_DB[DO Number]))</f>
        <v>1112</v>
      </c>
      <c r="J2" t="s">
        <v>3073</v>
      </c>
      <c r="K2">
        <f ca="1">SUMIF(J1814:K1831,J2,K1814:K2832)</f>
        <v>30000</v>
      </c>
      <c r="L2">
        <f ca="1">K2/3000</f>
        <v>10</v>
      </c>
    </row>
    <row r="3" spans="1:18" ht="15.5">
      <c r="A3" s="1"/>
      <c r="J3" t="s">
        <v>3075</v>
      </c>
      <c r="K3">
        <f ca="1">SUMIF(J1815:K1832,J3,K1815:K1832)</f>
        <v>24000</v>
      </c>
      <c r="L3">
        <f ca="1">K3/3000</f>
        <v>8</v>
      </c>
    </row>
    <row r="4" spans="1:18">
      <c r="A4" s="142" t="s">
        <v>31</v>
      </c>
      <c r="B4" s="142" t="s">
        <v>60</v>
      </c>
      <c r="C4" s="142" t="s">
        <v>3196</v>
      </c>
      <c r="D4" s="142" t="s">
        <v>61</v>
      </c>
      <c r="E4" s="142" t="s">
        <v>62</v>
      </c>
      <c r="F4" s="143" t="s">
        <v>63</v>
      </c>
      <c r="G4" s="142" t="s">
        <v>64</v>
      </c>
      <c r="H4" s="142" t="s">
        <v>34</v>
      </c>
      <c r="I4" s="142" t="s">
        <v>3197</v>
      </c>
      <c r="J4" s="142" t="s">
        <v>27</v>
      </c>
      <c r="K4" s="142" t="s">
        <v>35</v>
      </c>
      <c r="M4" t="s">
        <v>5333</v>
      </c>
      <c r="N4" t="s">
        <v>54</v>
      </c>
      <c r="P4" t="s">
        <v>4939</v>
      </c>
      <c r="Q4" t="s">
        <v>4940</v>
      </c>
      <c r="R4" t="s">
        <v>4941</v>
      </c>
    </row>
    <row r="5" spans="1:18">
      <c r="A5" t="s">
        <v>1019</v>
      </c>
      <c r="B5" t="s">
        <v>1020</v>
      </c>
      <c r="C5" s="172" t="s">
        <v>4482</v>
      </c>
      <c r="D5" t="s">
        <v>71</v>
      </c>
      <c r="E5" t="s">
        <v>68</v>
      </c>
      <c r="F5" t="s">
        <v>4510</v>
      </c>
      <c r="G5" t="s">
        <v>1021</v>
      </c>
      <c r="H5" t="s">
        <v>1022</v>
      </c>
      <c r="I5" s="130">
        <v>45352</v>
      </c>
      <c r="J5" t="s">
        <v>3073</v>
      </c>
      <c r="K5">
        <v>3000</v>
      </c>
      <c r="M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24C-202431-01</v>
      </c>
      <c r="N5" t="str">
        <f>DO_DB[[#This Row],[Material Pick-update]]&amp;"_"&amp;DO_DB[[#This Row],[Material Name]]</f>
        <v>45352_ADSS 24C</v>
      </c>
      <c r="O5" t="str">
        <f>DO_DB[[#This Row],[SiteID]]</f>
        <v>CLR38-02-043</v>
      </c>
      <c r="P5" t="str">
        <f>DO_DB[[#This Row],[SiteID]]&amp;"_"&amp;DO_DB[[#This Row],[Material Name]]</f>
        <v>CLR38-02-043_ADSS 24C</v>
      </c>
      <c r="Q5" t="str">
        <f>DO_DB[[#This Row],[DO Number]]</f>
        <v>DOEID240229BL</v>
      </c>
      <c r="R5" t="str">
        <f>DO_DB[[#This Row],[DN Number]]</f>
        <v>DNWID0342024022916</v>
      </c>
    </row>
    <row r="6" spans="1:18">
      <c r="A6" t="s">
        <v>1023</v>
      </c>
      <c r="B6" t="s">
        <v>1024</v>
      </c>
      <c r="C6" s="172" t="s">
        <v>4482</v>
      </c>
      <c r="D6" t="s">
        <v>71</v>
      </c>
      <c r="E6" t="s">
        <v>68</v>
      </c>
      <c r="F6" t="s">
        <v>4510</v>
      </c>
      <c r="G6" t="s">
        <v>1025</v>
      </c>
      <c r="H6" t="s">
        <v>1026</v>
      </c>
      <c r="I6" s="130">
        <v>45352</v>
      </c>
      <c r="J6" t="s">
        <v>3073</v>
      </c>
      <c r="K6">
        <v>3000</v>
      </c>
      <c r="M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24C-202431-01</v>
      </c>
      <c r="N6" t="str">
        <f>DO_DB[[#This Row],[Material Pick-update]]&amp;"_"&amp;DO_DB[[#This Row],[Material Name]]</f>
        <v>45352_ADSS 24C</v>
      </c>
      <c r="O6" t="str">
        <f>DO_DB[[#This Row],[SiteID]]</f>
        <v>CLR38-01-035</v>
      </c>
      <c r="P6" t="str">
        <f>DO_DB[[#This Row],[SiteID]]&amp;"_"&amp;DO_DB[[#This Row],[Material Name]]</f>
        <v>CLR38-01-035_ADSS 24C</v>
      </c>
      <c r="Q6" t="str">
        <f>DO_DB[[#This Row],[DO Number]]</f>
        <v>DOEID240229BO</v>
      </c>
      <c r="R6" t="str">
        <f>DO_DB[[#This Row],[DN Number]]</f>
        <v>DNWID0342024022917</v>
      </c>
    </row>
    <row r="7" spans="1:18">
      <c r="A7" t="s">
        <v>1019</v>
      </c>
      <c r="B7" t="s">
        <v>1020</v>
      </c>
      <c r="C7" s="172" t="s">
        <v>4482</v>
      </c>
      <c r="D7" t="s">
        <v>71</v>
      </c>
      <c r="E7" t="s">
        <v>68</v>
      </c>
      <c r="F7" t="s">
        <v>4510</v>
      </c>
      <c r="G7" t="s">
        <v>1027</v>
      </c>
      <c r="H7" t="s">
        <v>1028</v>
      </c>
      <c r="I7" s="130">
        <v>45352</v>
      </c>
      <c r="J7" t="s">
        <v>3069</v>
      </c>
      <c r="K7">
        <v>24</v>
      </c>
      <c r="M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" t="str">
        <f>DO_DB[[#This Row],[Material Pick-update]]&amp;"_"&amp;DO_DB[[#This Row],[Material Name]]</f>
        <v>45352_Pole 7M 4"</v>
      </c>
      <c r="O7" t="str">
        <f>DO_DB[[#This Row],[SiteID]]</f>
        <v>CLR38-02-043</v>
      </c>
      <c r="P7" t="str">
        <f>DO_DB[[#This Row],[SiteID]]&amp;"_"&amp;DO_DB[[#This Row],[Material Name]]</f>
        <v>CLR38-02-043_Pole 7M 4"</v>
      </c>
      <c r="Q7" t="str">
        <f>DO_DB[[#This Row],[DO Number]]</f>
        <v>DOEID240229BK</v>
      </c>
      <c r="R7" t="str">
        <f>DO_DB[[#This Row],[DN Number]]</f>
        <v>DNWID0362024022924</v>
      </c>
    </row>
    <row r="8" spans="1:18">
      <c r="A8" t="s">
        <v>1019</v>
      </c>
      <c r="B8" t="s">
        <v>1020</v>
      </c>
      <c r="C8" s="172" t="s">
        <v>4482</v>
      </c>
      <c r="D8" t="s">
        <v>71</v>
      </c>
      <c r="E8" t="s">
        <v>68</v>
      </c>
      <c r="F8" t="s">
        <v>4510</v>
      </c>
      <c r="G8" t="s">
        <v>1027</v>
      </c>
      <c r="H8" t="s">
        <v>1028</v>
      </c>
      <c r="I8" s="130">
        <v>45352</v>
      </c>
      <c r="J8" t="s">
        <v>3070</v>
      </c>
      <c r="K8">
        <v>9</v>
      </c>
      <c r="M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" t="str">
        <f>DO_DB[[#This Row],[Material Pick-update]]&amp;"_"&amp;DO_DB[[#This Row],[Material Name]]</f>
        <v>45352_Pole 7M 3"</v>
      </c>
      <c r="O8" t="str">
        <f>DO_DB[[#This Row],[SiteID]]</f>
        <v>CLR38-02-043</v>
      </c>
      <c r="P8" t="str">
        <f>DO_DB[[#This Row],[SiteID]]&amp;"_"&amp;DO_DB[[#This Row],[Material Name]]</f>
        <v>CLR38-02-043_Pole 7M 3"</v>
      </c>
      <c r="Q8" t="str">
        <f>DO_DB[[#This Row],[DO Number]]</f>
        <v>DOEID240229BK</v>
      </c>
      <c r="R8" t="str">
        <f>DO_DB[[#This Row],[DN Number]]</f>
        <v>DNWID0362024022924</v>
      </c>
    </row>
    <row r="9" spans="1:18">
      <c r="A9" t="s">
        <v>1019</v>
      </c>
      <c r="B9" t="s">
        <v>1020</v>
      </c>
      <c r="C9" s="172" t="s">
        <v>4482</v>
      </c>
      <c r="D9" t="s">
        <v>71</v>
      </c>
      <c r="E9" t="s">
        <v>68</v>
      </c>
      <c r="F9" t="s">
        <v>4510</v>
      </c>
      <c r="G9" t="s">
        <v>1027</v>
      </c>
      <c r="H9" t="s">
        <v>1028</v>
      </c>
      <c r="I9" s="130">
        <v>45352</v>
      </c>
      <c r="J9" t="s">
        <v>3071</v>
      </c>
      <c r="K9">
        <v>8</v>
      </c>
      <c r="M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" t="str">
        <f>DO_DB[[#This Row],[Material Pick-update]]&amp;"_"&amp;DO_DB[[#This Row],[Material Name]]</f>
        <v>45352_Pole 9M</v>
      </c>
      <c r="O9" t="str">
        <f>DO_DB[[#This Row],[SiteID]]</f>
        <v>CLR38-02-043</v>
      </c>
      <c r="P9" t="str">
        <f>DO_DB[[#This Row],[SiteID]]&amp;"_"&amp;DO_DB[[#This Row],[Material Name]]</f>
        <v>CLR38-02-043_Pole 9M</v>
      </c>
      <c r="Q9" t="str">
        <f>DO_DB[[#This Row],[DO Number]]</f>
        <v>DOEID240229BK</v>
      </c>
      <c r="R9" t="str">
        <f>DO_DB[[#This Row],[DN Number]]</f>
        <v>DNWID0362024022924</v>
      </c>
    </row>
    <row r="10" spans="1:18">
      <c r="A10" t="s">
        <v>1029</v>
      </c>
      <c r="B10" t="s">
        <v>1030</v>
      </c>
      <c r="C10" s="172" t="s">
        <v>4482</v>
      </c>
      <c r="D10" t="s">
        <v>71</v>
      </c>
      <c r="E10" t="s">
        <v>68</v>
      </c>
      <c r="F10" t="s">
        <v>4510</v>
      </c>
      <c r="G10" t="s">
        <v>1031</v>
      </c>
      <c r="H10" t="s">
        <v>1032</v>
      </c>
      <c r="I10" s="130">
        <v>45352</v>
      </c>
      <c r="J10" t="s">
        <v>3069</v>
      </c>
      <c r="K10">
        <v>30</v>
      </c>
      <c r="M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" t="str">
        <f>DO_DB[[#This Row],[Material Pick-update]]&amp;"_"&amp;DO_DB[[#This Row],[Material Name]]</f>
        <v>45352_Pole 7M 4"</v>
      </c>
      <c r="O10" t="str">
        <f>DO_DB[[#This Row],[SiteID]]</f>
        <v>CLR38-01-034</v>
      </c>
      <c r="P10" t="str">
        <f>DO_DB[[#This Row],[SiteID]]&amp;"_"&amp;DO_DB[[#This Row],[Material Name]]</f>
        <v>CLR38-01-034_Pole 7M 4"</v>
      </c>
      <c r="Q10" t="str">
        <f>DO_DB[[#This Row],[DO Number]]</f>
        <v>DOEID240229BM</v>
      </c>
      <c r="R10" t="str">
        <f>DO_DB[[#This Row],[DN Number]]</f>
        <v>DNWID0362024022925</v>
      </c>
    </row>
    <row r="11" spans="1:18">
      <c r="A11" t="s">
        <v>1029</v>
      </c>
      <c r="B11" t="s">
        <v>1030</v>
      </c>
      <c r="C11" s="172" t="s">
        <v>4482</v>
      </c>
      <c r="D11" t="s">
        <v>71</v>
      </c>
      <c r="E11" t="s">
        <v>68</v>
      </c>
      <c r="F11" t="s">
        <v>4510</v>
      </c>
      <c r="G11" t="s">
        <v>1031</v>
      </c>
      <c r="H11" t="s">
        <v>1032</v>
      </c>
      <c r="I11" s="130">
        <v>45352</v>
      </c>
      <c r="J11" t="s">
        <v>3070</v>
      </c>
      <c r="K11">
        <v>7</v>
      </c>
      <c r="M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" t="str">
        <f>DO_DB[[#This Row],[Material Pick-update]]&amp;"_"&amp;DO_DB[[#This Row],[Material Name]]</f>
        <v>45352_Pole 7M 3"</v>
      </c>
      <c r="O11" t="str">
        <f>DO_DB[[#This Row],[SiteID]]</f>
        <v>CLR38-01-034</v>
      </c>
      <c r="P11" t="str">
        <f>DO_DB[[#This Row],[SiteID]]&amp;"_"&amp;DO_DB[[#This Row],[Material Name]]</f>
        <v>CLR38-01-034_Pole 7M 3"</v>
      </c>
      <c r="Q11" t="str">
        <f>DO_DB[[#This Row],[DO Number]]</f>
        <v>DOEID240229BM</v>
      </c>
      <c r="R11" t="str">
        <f>DO_DB[[#This Row],[DN Number]]</f>
        <v>DNWID0362024022925</v>
      </c>
    </row>
    <row r="12" spans="1:18">
      <c r="A12" t="s">
        <v>1029</v>
      </c>
      <c r="B12" t="s">
        <v>1030</v>
      </c>
      <c r="C12" s="172" t="s">
        <v>4482</v>
      </c>
      <c r="D12" t="s">
        <v>71</v>
      </c>
      <c r="E12" t="s">
        <v>68</v>
      </c>
      <c r="F12" t="s">
        <v>4510</v>
      </c>
      <c r="G12" t="s">
        <v>1031</v>
      </c>
      <c r="H12" t="s">
        <v>1032</v>
      </c>
      <c r="I12" s="130">
        <v>45352</v>
      </c>
      <c r="J12" t="s">
        <v>3071</v>
      </c>
      <c r="K12">
        <v>4</v>
      </c>
      <c r="M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" t="str">
        <f>DO_DB[[#This Row],[Material Pick-update]]&amp;"_"&amp;DO_DB[[#This Row],[Material Name]]</f>
        <v>45352_Pole 9M</v>
      </c>
      <c r="O12" t="str">
        <f>DO_DB[[#This Row],[SiteID]]</f>
        <v>CLR38-01-034</v>
      </c>
      <c r="P12" t="str">
        <f>DO_DB[[#This Row],[SiteID]]&amp;"_"&amp;DO_DB[[#This Row],[Material Name]]</f>
        <v>CLR38-01-034_Pole 9M</v>
      </c>
      <c r="Q12" t="str">
        <f>DO_DB[[#This Row],[DO Number]]</f>
        <v>DOEID240229BM</v>
      </c>
      <c r="R12" t="str">
        <f>DO_DB[[#This Row],[DN Number]]</f>
        <v>DNWID0362024022925</v>
      </c>
    </row>
    <row r="13" spans="1:18">
      <c r="A13" t="s">
        <v>1023</v>
      </c>
      <c r="B13" t="s">
        <v>1024</v>
      </c>
      <c r="C13" s="172" t="s">
        <v>4482</v>
      </c>
      <c r="D13" t="s">
        <v>71</v>
      </c>
      <c r="E13" t="s">
        <v>68</v>
      </c>
      <c r="F13" t="s">
        <v>4510</v>
      </c>
      <c r="G13" t="s">
        <v>1033</v>
      </c>
      <c r="H13" t="s">
        <v>1034</v>
      </c>
      <c r="I13" s="130">
        <v>45352</v>
      </c>
      <c r="J13" t="s">
        <v>3069</v>
      </c>
      <c r="K13">
        <v>35</v>
      </c>
      <c r="M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" t="str">
        <f>DO_DB[[#This Row],[Material Pick-update]]&amp;"_"&amp;DO_DB[[#This Row],[Material Name]]</f>
        <v>45352_Pole 7M 4"</v>
      </c>
      <c r="O13" t="str">
        <f>DO_DB[[#This Row],[SiteID]]</f>
        <v>CLR38-01-035</v>
      </c>
      <c r="P13" t="str">
        <f>DO_DB[[#This Row],[SiteID]]&amp;"_"&amp;DO_DB[[#This Row],[Material Name]]</f>
        <v>CLR38-01-035_Pole 7M 4"</v>
      </c>
      <c r="Q13" t="str">
        <f>DO_DB[[#This Row],[DO Number]]</f>
        <v>DOEID240229BN</v>
      </c>
      <c r="R13" t="str">
        <f>DO_DB[[#This Row],[DN Number]]</f>
        <v>DNWID0362024022920</v>
      </c>
    </row>
    <row r="14" spans="1:18">
      <c r="A14" t="s">
        <v>1023</v>
      </c>
      <c r="B14" t="s">
        <v>1024</v>
      </c>
      <c r="C14" s="172" t="s">
        <v>4482</v>
      </c>
      <c r="D14" t="s">
        <v>71</v>
      </c>
      <c r="E14" t="s">
        <v>68</v>
      </c>
      <c r="F14" t="s">
        <v>4510</v>
      </c>
      <c r="G14" t="s">
        <v>1033</v>
      </c>
      <c r="H14" t="s">
        <v>1034</v>
      </c>
      <c r="I14" s="130">
        <v>45352</v>
      </c>
      <c r="J14" t="s">
        <v>3070</v>
      </c>
      <c r="K14">
        <v>2</v>
      </c>
      <c r="M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" t="str">
        <f>DO_DB[[#This Row],[Material Pick-update]]&amp;"_"&amp;DO_DB[[#This Row],[Material Name]]</f>
        <v>45352_Pole 7M 3"</v>
      </c>
      <c r="O14" t="str">
        <f>DO_DB[[#This Row],[SiteID]]</f>
        <v>CLR38-01-035</v>
      </c>
      <c r="P14" t="str">
        <f>DO_DB[[#This Row],[SiteID]]&amp;"_"&amp;DO_DB[[#This Row],[Material Name]]</f>
        <v>CLR38-01-035_Pole 7M 3"</v>
      </c>
      <c r="Q14" t="str">
        <f>DO_DB[[#This Row],[DO Number]]</f>
        <v>DOEID240229BN</v>
      </c>
      <c r="R14" t="str">
        <f>DO_DB[[#This Row],[DN Number]]</f>
        <v>DNWID0362024022920</v>
      </c>
    </row>
    <row r="15" spans="1:18">
      <c r="A15" t="s">
        <v>1023</v>
      </c>
      <c r="B15" t="s">
        <v>1024</v>
      </c>
      <c r="C15" s="172" t="s">
        <v>4482</v>
      </c>
      <c r="D15" t="s">
        <v>71</v>
      </c>
      <c r="E15" t="s">
        <v>68</v>
      </c>
      <c r="F15" t="s">
        <v>4510</v>
      </c>
      <c r="G15" t="s">
        <v>1033</v>
      </c>
      <c r="H15" t="s">
        <v>1034</v>
      </c>
      <c r="I15" s="130">
        <v>45352</v>
      </c>
      <c r="J15" t="s">
        <v>3071</v>
      </c>
      <c r="K15">
        <v>4</v>
      </c>
      <c r="M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" t="str">
        <f>DO_DB[[#This Row],[Material Pick-update]]&amp;"_"&amp;DO_DB[[#This Row],[Material Name]]</f>
        <v>45352_Pole 9M</v>
      </c>
      <c r="O15" t="str">
        <f>DO_DB[[#This Row],[SiteID]]</f>
        <v>CLR38-01-035</v>
      </c>
      <c r="P15" t="str">
        <f>DO_DB[[#This Row],[SiteID]]&amp;"_"&amp;DO_DB[[#This Row],[Material Name]]</f>
        <v>CLR38-01-035_Pole 9M</v>
      </c>
      <c r="Q15" t="str">
        <f>DO_DB[[#This Row],[DO Number]]</f>
        <v>DOEID240229BN</v>
      </c>
      <c r="R15" t="str">
        <f>DO_DB[[#This Row],[DN Number]]</f>
        <v>DNWID0362024022920</v>
      </c>
    </row>
    <row r="16" spans="1:18">
      <c r="A16" t="s">
        <v>1023</v>
      </c>
      <c r="B16" t="s">
        <v>1024</v>
      </c>
      <c r="C16" s="172" t="s">
        <v>4482</v>
      </c>
      <c r="D16" t="s">
        <v>71</v>
      </c>
      <c r="E16" t="s">
        <v>68</v>
      </c>
      <c r="F16" t="s">
        <v>4510</v>
      </c>
      <c r="G16" t="s">
        <v>1025</v>
      </c>
      <c r="H16" t="s">
        <v>1026</v>
      </c>
      <c r="I16" s="130">
        <v>45352</v>
      </c>
      <c r="J16" t="s">
        <v>15</v>
      </c>
      <c r="K16">
        <v>1</v>
      </c>
      <c r="M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" t="str">
        <f>DO_DB[[#This Row],[Material Pick-update]]&amp;"_"&amp;DO_DB[[#This Row],[Material Name]]</f>
        <v>45352_FDT-72</v>
      </c>
      <c r="O16" t="str">
        <f>DO_DB[[#This Row],[SiteID]]</f>
        <v>CLR38-01-035</v>
      </c>
      <c r="P16" t="str">
        <f>DO_DB[[#This Row],[SiteID]]&amp;"_"&amp;DO_DB[[#This Row],[Material Name]]</f>
        <v>CLR38-01-035_FDT-72</v>
      </c>
      <c r="Q16" t="str">
        <f>DO_DB[[#This Row],[DO Number]]</f>
        <v>DOEID240229BO</v>
      </c>
      <c r="R16" t="str">
        <f>DO_DB[[#This Row],[DN Number]]</f>
        <v>DNWID0342024022917</v>
      </c>
    </row>
    <row r="17" spans="1:18">
      <c r="A17" t="s">
        <v>1023</v>
      </c>
      <c r="B17" t="s">
        <v>1024</v>
      </c>
      <c r="C17" s="172" t="s">
        <v>4482</v>
      </c>
      <c r="D17" t="s">
        <v>71</v>
      </c>
      <c r="E17" t="s">
        <v>68</v>
      </c>
      <c r="F17" t="s">
        <v>4510</v>
      </c>
      <c r="G17" t="s">
        <v>1025</v>
      </c>
      <c r="H17" t="s">
        <v>1026</v>
      </c>
      <c r="I17" s="130">
        <v>45352</v>
      </c>
      <c r="J17" t="s">
        <v>3080</v>
      </c>
      <c r="K17">
        <v>4</v>
      </c>
      <c r="M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" t="str">
        <f>DO_DB[[#This Row],[Material Pick-update]]&amp;"_"&amp;DO_DB[[#This Row],[Material Name]]</f>
        <v>45352_1:8 SPL for FDT-AE &amp; UG</v>
      </c>
      <c r="O17" t="str">
        <f>DO_DB[[#This Row],[SiteID]]</f>
        <v>CLR38-01-035</v>
      </c>
      <c r="P17" t="str">
        <f>DO_DB[[#This Row],[SiteID]]&amp;"_"&amp;DO_DB[[#This Row],[Material Name]]</f>
        <v>CLR38-01-035_1:8 SPL for FDT-AE &amp; UG</v>
      </c>
      <c r="Q17" t="str">
        <f>DO_DB[[#This Row],[DO Number]]</f>
        <v>DOEID240229BO</v>
      </c>
      <c r="R17" t="str">
        <f>DO_DB[[#This Row],[DN Number]]</f>
        <v>DNWID0342024022917</v>
      </c>
    </row>
    <row r="18" spans="1:18">
      <c r="A18" t="s">
        <v>1019</v>
      </c>
      <c r="B18" t="s">
        <v>1020</v>
      </c>
      <c r="C18" s="172" t="s">
        <v>4482</v>
      </c>
      <c r="D18" t="s">
        <v>71</v>
      </c>
      <c r="E18" t="s">
        <v>68</v>
      </c>
      <c r="F18" t="s">
        <v>4510</v>
      </c>
      <c r="G18" t="s">
        <v>1079</v>
      </c>
      <c r="H18" t="s">
        <v>1080</v>
      </c>
      <c r="I18" s="130">
        <v>45366</v>
      </c>
      <c r="J18" t="s">
        <v>13</v>
      </c>
      <c r="K18">
        <v>8</v>
      </c>
      <c r="M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" t="str">
        <f>DO_DB[[#This Row],[Material Pick-update]]&amp;"_"&amp;DO_DB[[#This Row],[Material Name]]</f>
        <v>45366_FAT-16</v>
      </c>
      <c r="O18" t="str">
        <f>DO_DB[[#This Row],[SiteID]]</f>
        <v>CLR38-02-043</v>
      </c>
      <c r="P18" t="str">
        <f>DO_DB[[#This Row],[SiteID]]&amp;"_"&amp;DO_DB[[#This Row],[Material Name]]</f>
        <v>CLR38-02-043_FAT-16</v>
      </c>
      <c r="Q18" t="str">
        <f>DO_DB[[#This Row],[DO Number]]</f>
        <v>DOEID240314DV</v>
      </c>
      <c r="R18" t="str">
        <f>DO_DB[[#This Row],[DN Number]]</f>
        <v>DNWID0342024031503</v>
      </c>
    </row>
    <row r="19" spans="1:18">
      <c r="A19" t="s">
        <v>1029</v>
      </c>
      <c r="B19" t="s">
        <v>1030</v>
      </c>
      <c r="C19" s="172" t="s">
        <v>4482</v>
      </c>
      <c r="D19" t="s">
        <v>71</v>
      </c>
      <c r="E19" t="s">
        <v>68</v>
      </c>
      <c r="F19" t="s">
        <v>4510</v>
      </c>
      <c r="G19" t="s">
        <v>1075</v>
      </c>
      <c r="H19" t="s">
        <v>1076</v>
      </c>
      <c r="I19" s="130">
        <v>45366</v>
      </c>
      <c r="J19" t="s">
        <v>13</v>
      </c>
      <c r="K19">
        <v>9</v>
      </c>
      <c r="M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" t="str">
        <f>DO_DB[[#This Row],[Material Pick-update]]&amp;"_"&amp;DO_DB[[#This Row],[Material Name]]</f>
        <v>45366_FAT-16</v>
      </c>
      <c r="O19" t="str">
        <f>DO_DB[[#This Row],[SiteID]]</f>
        <v>CLR38-01-034</v>
      </c>
      <c r="P19" t="str">
        <f>DO_DB[[#This Row],[SiteID]]&amp;"_"&amp;DO_DB[[#This Row],[Material Name]]</f>
        <v>CLR38-01-034_FAT-16</v>
      </c>
      <c r="Q19" t="str">
        <f>DO_DB[[#This Row],[DO Number]]</f>
        <v>DOEID240314DW</v>
      </c>
      <c r="R19" t="str">
        <f>DO_DB[[#This Row],[DN Number]]</f>
        <v>DNWID0342024031504</v>
      </c>
    </row>
    <row r="20" spans="1:18">
      <c r="A20" t="s">
        <v>1023</v>
      </c>
      <c r="B20" t="s">
        <v>1024</v>
      </c>
      <c r="C20" s="172" t="s">
        <v>4482</v>
      </c>
      <c r="D20" t="s">
        <v>71</v>
      </c>
      <c r="E20" t="s">
        <v>68</v>
      </c>
      <c r="F20" t="s">
        <v>4510</v>
      </c>
      <c r="G20" t="s">
        <v>1077</v>
      </c>
      <c r="H20" t="s">
        <v>1078</v>
      </c>
      <c r="I20" s="130">
        <v>45366</v>
      </c>
      <c r="J20" t="s">
        <v>13</v>
      </c>
      <c r="K20">
        <v>11</v>
      </c>
      <c r="M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" t="str">
        <f>DO_DB[[#This Row],[Material Pick-update]]&amp;"_"&amp;DO_DB[[#This Row],[Material Name]]</f>
        <v>45366_FAT-16</v>
      </c>
      <c r="O20" t="str">
        <f>DO_DB[[#This Row],[SiteID]]</f>
        <v>CLR38-01-035</v>
      </c>
      <c r="P20" t="str">
        <f>DO_DB[[#This Row],[SiteID]]&amp;"_"&amp;DO_DB[[#This Row],[Material Name]]</f>
        <v>CLR38-01-035_FAT-16</v>
      </c>
      <c r="Q20" t="str">
        <f>DO_DB[[#This Row],[DO Number]]</f>
        <v>DOEID240314DX</v>
      </c>
      <c r="R20" t="str">
        <f>DO_DB[[#This Row],[DN Number]]</f>
        <v>DNWID0342024031509</v>
      </c>
    </row>
    <row r="21" spans="1:18">
      <c r="A21" t="s">
        <v>65</v>
      </c>
      <c r="B21" t="s">
        <v>66</v>
      </c>
      <c r="C21" s="172" t="s">
        <v>4482</v>
      </c>
      <c r="D21" t="s">
        <v>71</v>
      </c>
      <c r="E21" t="s">
        <v>68</v>
      </c>
      <c r="F21" t="s">
        <v>4510</v>
      </c>
      <c r="G21" t="s">
        <v>1147</v>
      </c>
      <c r="H21" t="s">
        <v>1148</v>
      </c>
      <c r="I21" s="130">
        <v>45370</v>
      </c>
      <c r="J21" t="s">
        <v>3073</v>
      </c>
      <c r="K21">
        <v>3000</v>
      </c>
      <c r="M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24C-2024319-01</v>
      </c>
      <c r="N21" t="str">
        <f>DO_DB[[#This Row],[Material Pick-update]]&amp;"_"&amp;DO_DB[[#This Row],[Material Name]]</f>
        <v>45370_ADSS 24C</v>
      </c>
      <c r="O21" t="str">
        <f>DO_DB[[#This Row],[SiteID]]</f>
        <v>CLR38-01-039</v>
      </c>
      <c r="P21" t="str">
        <f>DO_DB[[#This Row],[SiteID]]&amp;"_"&amp;DO_DB[[#This Row],[Material Name]]</f>
        <v>CLR38-01-039_ADSS 24C</v>
      </c>
      <c r="Q21" t="str">
        <f>DO_DB[[#This Row],[DO Number]]</f>
        <v>DOEID24031913</v>
      </c>
      <c r="R21" t="str">
        <f>DO_DB[[#This Row],[DN Number]]</f>
        <v>DNWID0342024031903</v>
      </c>
    </row>
    <row r="22" spans="1:18">
      <c r="A22" t="s">
        <v>43</v>
      </c>
      <c r="B22" t="s">
        <v>44</v>
      </c>
      <c r="C22" s="172" t="s">
        <v>4482</v>
      </c>
      <c r="D22" t="s">
        <v>71</v>
      </c>
      <c r="E22" t="s">
        <v>68</v>
      </c>
      <c r="F22" t="s">
        <v>4510</v>
      </c>
      <c r="G22" t="s">
        <v>72</v>
      </c>
      <c r="H22" t="s">
        <v>73</v>
      </c>
      <c r="I22" s="130">
        <v>45370</v>
      </c>
      <c r="J22" t="s">
        <v>3075</v>
      </c>
      <c r="K22">
        <v>3000</v>
      </c>
      <c r="M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48C-2024319-01</v>
      </c>
      <c r="N22" t="str">
        <f>DO_DB[[#This Row],[Material Pick-update]]&amp;"_"&amp;DO_DB[[#This Row],[Material Name]]</f>
        <v>45370_ADSS 48C</v>
      </c>
      <c r="O22" t="str">
        <f>DO_DB[[#This Row],[SiteID]]</f>
        <v>CLR38-02-020</v>
      </c>
      <c r="P22" t="str">
        <f>DO_DB[[#This Row],[SiteID]]&amp;"_"&amp;DO_DB[[#This Row],[Material Name]]</f>
        <v>CLR38-02-020_ADSS 48C</v>
      </c>
      <c r="Q22" t="str">
        <f>DO_DB[[#This Row],[DO Number]]</f>
        <v>DOEID24031915</v>
      </c>
      <c r="R22" t="str">
        <f>DO_DB[[#This Row],[DN Number]]</f>
        <v>DNWID0342024031904</v>
      </c>
    </row>
    <row r="23" spans="1:18">
      <c r="A23" t="s">
        <v>74</v>
      </c>
      <c r="B23" t="s">
        <v>75</v>
      </c>
      <c r="C23" s="172" t="s">
        <v>4482</v>
      </c>
      <c r="D23" t="s">
        <v>71</v>
      </c>
      <c r="E23" t="s">
        <v>68</v>
      </c>
      <c r="F23" t="s">
        <v>4510</v>
      </c>
      <c r="G23" t="s">
        <v>78</v>
      </c>
      <c r="H23" t="s">
        <v>79</v>
      </c>
      <c r="I23" s="130">
        <v>45370</v>
      </c>
      <c r="J23" t="s">
        <v>3075</v>
      </c>
      <c r="K23">
        <v>3000</v>
      </c>
      <c r="M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48C-2024319-01</v>
      </c>
      <c r="N23" t="str">
        <f>DO_DB[[#This Row],[Material Pick-update]]&amp;"_"&amp;DO_DB[[#This Row],[Material Name]]</f>
        <v>45370_ADSS 48C</v>
      </c>
      <c r="O23" t="str">
        <f>DO_DB[[#This Row],[SiteID]]</f>
        <v>CLR38-02-022</v>
      </c>
      <c r="P23" t="str">
        <f>DO_DB[[#This Row],[SiteID]]&amp;"_"&amp;DO_DB[[#This Row],[Material Name]]</f>
        <v>CLR38-02-022_ADSS 48C</v>
      </c>
      <c r="Q23" t="str">
        <f>DO_DB[[#This Row],[DO Number]]</f>
        <v>DOEID24031917</v>
      </c>
      <c r="R23" t="str">
        <f>DO_DB[[#This Row],[DN Number]]</f>
        <v>DNWID0342024031905</v>
      </c>
    </row>
    <row r="24" spans="1:18">
      <c r="A24" t="s">
        <v>80</v>
      </c>
      <c r="B24" t="s">
        <v>81</v>
      </c>
      <c r="C24" s="172" t="s">
        <v>4482</v>
      </c>
      <c r="D24" t="s">
        <v>71</v>
      </c>
      <c r="E24" t="s">
        <v>68</v>
      </c>
      <c r="F24" t="s">
        <v>4510</v>
      </c>
      <c r="G24" t="s">
        <v>82</v>
      </c>
      <c r="H24" t="s">
        <v>83</v>
      </c>
      <c r="I24" s="130">
        <v>45370</v>
      </c>
      <c r="J24" t="s">
        <v>3069</v>
      </c>
      <c r="K24">
        <v>38</v>
      </c>
      <c r="M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4" t="str">
        <f>DO_DB[[#This Row],[Material Pick-update]]&amp;"_"&amp;DO_DB[[#This Row],[Material Name]]</f>
        <v>45370_Pole 7M 4"</v>
      </c>
      <c r="O24" t="str">
        <f>DO_DB[[#This Row],[SiteID]]</f>
        <v>CLR38-02-044</v>
      </c>
      <c r="P24" t="str">
        <f>DO_DB[[#This Row],[SiteID]]&amp;"_"&amp;DO_DB[[#This Row],[Material Name]]</f>
        <v>CLR38-02-044_Pole 7M 4"</v>
      </c>
      <c r="Q24" t="str">
        <f>DO_DB[[#This Row],[DO Number]]</f>
        <v>DOEID24031910</v>
      </c>
      <c r="R24" t="str">
        <f>DO_DB[[#This Row],[DN Number]]</f>
        <v>DNWID0362024031902</v>
      </c>
    </row>
    <row r="25" spans="1:18">
      <c r="A25" t="s">
        <v>80</v>
      </c>
      <c r="B25" t="s">
        <v>81</v>
      </c>
      <c r="C25" s="172" t="s">
        <v>4482</v>
      </c>
      <c r="D25" t="s">
        <v>71</v>
      </c>
      <c r="E25" t="s">
        <v>68</v>
      </c>
      <c r="F25" t="s">
        <v>4510</v>
      </c>
      <c r="G25" t="s">
        <v>82</v>
      </c>
      <c r="H25" t="s">
        <v>83</v>
      </c>
      <c r="I25" s="130">
        <v>45370</v>
      </c>
      <c r="J25" t="s">
        <v>3070</v>
      </c>
      <c r="K25">
        <v>2</v>
      </c>
      <c r="M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5" t="str">
        <f>DO_DB[[#This Row],[Material Pick-update]]&amp;"_"&amp;DO_DB[[#This Row],[Material Name]]</f>
        <v>45370_Pole 7M 3"</v>
      </c>
      <c r="O25" t="str">
        <f>DO_DB[[#This Row],[SiteID]]</f>
        <v>CLR38-02-044</v>
      </c>
      <c r="P25" t="str">
        <f>DO_DB[[#This Row],[SiteID]]&amp;"_"&amp;DO_DB[[#This Row],[Material Name]]</f>
        <v>CLR38-02-044_Pole 7M 3"</v>
      </c>
      <c r="Q25" t="str">
        <f>DO_DB[[#This Row],[DO Number]]</f>
        <v>DOEID24031910</v>
      </c>
      <c r="R25" t="str">
        <f>DO_DB[[#This Row],[DN Number]]</f>
        <v>DNWID0362024031902</v>
      </c>
    </row>
    <row r="26" spans="1:18">
      <c r="A26" t="s">
        <v>80</v>
      </c>
      <c r="B26" t="s">
        <v>81</v>
      </c>
      <c r="C26" s="172" t="s">
        <v>4482</v>
      </c>
      <c r="D26" t="s">
        <v>71</v>
      </c>
      <c r="E26" t="s">
        <v>68</v>
      </c>
      <c r="F26" t="s">
        <v>4510</v>
      </c>
      <c r="G26" t="s">
        <v>82</v>
      </c>
      <c r="H26" t="s">
        <v>83</v>
      </c>
      <c r="I26" s="130">
        <v>45370</v>
      </c>
      <c r="J26" t="s">
        <v>3071</v>
      </c>
      <c r="K26">
        <v>2</v>
      </c>
      <c r="M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6" t="str">
        <f>DO_DB[[#This Row],[Material Pick-update]]&amp;"_"&amp;DO_DB[[#This Row],[Material Name]]</f>
        <v>45370_Pole 9M</v>
      </c>
      <c r="O26" t="str">
        <f>DO_DB[[#This Row],[SiteID]]</f>
        <v>CLR38-02-044</v>
      </c>
      <c r="P26" t="str">
        <f>DO_DB[[#This Row],[SiteID]]&amp;"_"&amp;DO_DB[[#This Row],[Material Name]]</f>
        <v>CLR38-02-044_Pole 9M</v>
      </c>
      <c r="Q26" t="str">
        <f>DO_DB[[#This Row],[DO Number]]</f>
        <v>DOEID24031910</v>
      </c>
      <c r="R26" t="str">
        <f>DO_DB[[#This Row],[DN Number]]</f>
        <v>DNWID0362024031902</v>
      </c>
    </row>
    <row r="27" spans="1:18">
      <c r="A27" t="s">
        <v>80</v>
      </c>
      <c r="B27" t="s">
        <v>81</v>
      </c>
      <c r="C27" s="172" t="s">
        <v>4482</v>
      </c>
      <c r="D27" t="s">
        <v>71</v>
      </c>
      <c r="E27" t="s">
        <v>68</v>
      </c>
      <c r="F27" t="s">
        <v>4510</v>
      </c>
      <c r="G27" t="s">
        <v>1149</v>
      </c>
      <c r="H27" t="s">
        <v>1150</v>
      </c>
      <c r="I27" s="130">
        <v>45370</v>
      </c>
      <c r="J27" t="s">
        <v>14</v>
      </c>
      <c r="K27">
        <v>1</v>
      </c>
      <c r="M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7" t="str">
        <f>DO_DB[[#This Row],[Material Pick-update]]&amp;"_"&amp;DO_DB[[#This Row],[Material Name]]</f>
        <v>45370_FDT-48</v>
      </c>
      <c r="O27" t="str">
        <f>DO_DB[[#This Row],[SiteID]]</f>
        <v>CLR38-02-044</v>
      </c>
      <c r="P27" t="str">
        <f>DO_DB[[#This Row],[SiteID]]&amp;"_"&amp;DO_DB[[#This Row],[Material Name]]</f>
        <v>CLR38-02-044_FDT-48</v>
      </c>
      <c r="Q27" t="str">
        <f>DO_DB[[#This Row],[DO Number]]</f>
        <v>DOEID24031911</v>
      </c>
      <c r="R27" t="str">
        <f>DO_DB[[#This Row],[DN Number]]</f>
        <v>DNWID0342024031902</v>
      </c>
    </row>
    <row r="28" spans="1:18">
      <c r="A28" t="s">
        <v>80</v>
      </c>
      <c r="B28" t="s">
        <v>81</v>
      </c>
      <c r="C28" s="172" t="s">
        <v>4482</v>
      </c>
      <c r="D28" t="s">
        <v>71</v>
      </c>
      <c r="E28" t="s">
        <v>68</v>
      </c>
      <c r="F28" t="s">
        <v>4510</v>
      </c>
      <c r="G28" t="s">
        <v>1149</v>
      </c>
      <c r="H28" t="s">
        <v>1150</v>
      </c>
      <c r="I28" s="130">
        <v>45370</v>
      </c>
      <c r="J28" t="s">
        <v>13</v>
      </c>
      <c r="K28">
        <v>5</v>
      </c>
      <c r="M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8" t="str">
        <f>DO_DB[[#This Row],[Material Pick-update]]&amp;"_"&amp;DO_DB[[#This Row],[Material Name]]</f>
        <v>45370_FAT-16</v>
      </c>
      <c r="O28" t="str">
        <f>DO_DB[[#This Row],[SiteID]]</f>
        <v>CLR38-02-044</v>
      </c>
      <c r="P28" t="str">
        <f>DO_DB[[#This Row],[SiteID]]&amp;"_"&amp;DO_DB[[#This Row],[Material Name]]</f>
        <v>CLR38-02-044_FAT-16</v>
      </c>
      <c r="Q28" t="str">
        <f>DO_DB[[#This Row],[DO Number]]</f>
        <v>DOEID24031911</v>
      </c>
      <c r="R28" t="str">
        <f>DO_DB[[#This Row],[DN Number]]</f>
        <v>DNWID0342024031902</v>
      </c>
    </row>
    <row r="29" spans="1:18">
      <c r="A29" t="s">
        <v>80</v>
      </c>
      <c r="B29" t="s">
        <v>81</v>
      </c>
      <c r="C29" s="172" t="s">
        <v>4482</v>
      </c>
      <c r="D29" t="s">
        <v>71</v>
      </c>
      <c r="E29" t="s">
        <v>68</v>
      </c>
      <c r="F29" t="s">
        <v>4510</v>
      </c>
      <c r="G29" t="s">
        <v>1149</v>
      </c>
      <c r="H29" t="s">
        <v>1150</v>
      </c>
      <c r="I29" s="130">
        <v>45370</v>
      </c>
      <c r="J29" t="s">
        <v>3080</v>
      </c>
      <c r="K29">
        <v>3</v>
      </c>
      <c r="M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9" t="str">
        <f>DO_DB[[#This Row],[Material Pick-update]]&amp;"_"&amp;DO_DB[[#This Row],[Material Name]]</f>
        <v>45370_1:8 SPL for FDT-AE &amp; UG</v>
      </c>
      <c r="O29" t="str">
        <f>DO_DB[[#This Row],[SiteID]]</f>
        <v>CLR38-02-044</v>
      </c>
      <c r="P29" t="str">
        <f>DO_DB[[#This Row],[SiteID]]&amp;"_"&amp;DO_DB[[#This Row],[Material Name]]</f>
        <v>CLR38-02-044_1:8 SPL for FDT-AE &amp; UG</v>
      </c>
      <c r="Q29" t="str">
        <f>DO_DB[[#This Row],[DO Number]]</f>
        <v>DOEID24031911</v>
      </c>
      <c r="R29" t="str">
        <f>DO_DB[[#This Row],[DN Number]]</f>
        <v>DNWID0342024031902</v>
      </c>
    </row>
    <row r="30" spans="1:18">
      <c r="A30" t="s">
        <v>65</v>
      </c>
      <c r="B30" t="s">
        <v>66</v>
      </c>
      <c r="C30" s="172" t="s">
        <v>4482</v>
      </c>
      <c r="D30" t="s">
        <v>67</v>
      </c>
      <c r="E30" t="s">
        <v>68</v>
      </c>
      <c r="F30" t="s">
        <v>4510</v>
      </c>
      <c r="G30" t="s">
        <v>69</v>
      </c>
      <c r="H30" t="s">
        <v>70</v>
      </c>
      <c r="I30" s="130">
        <v>45370</v>
      </c>
      <c r="J30" t="s">
        <v>3069</v>
      </c>
      <c r="K30">
        <v>14</v>
      </c>
      <c r="M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0" t="str">
        <f>DO_DB[[#This Row],[Material Pick-update]]&amp;"_"&amp;DO_DB[[#This Row],[Material Name]]</f>
        <v>45370_Pole 7M 4"</v>
      </c>
      <c r="O30" t="str">
        <f>DO_DB[[#This Row],[SiteID]]</f>
        <v>CLR38-01-039</v>
      </c>
      <c r="P30" t="str">
        <f>DO_DB[[#This Row],[SiteID]]&amp;"_"&amp;DO_DB[[#This Row],[Material Name]]</f>
        <v>CLR38-01-039_Pole 7M 4"</v>
      </c>
      <c r="Q30" t="str">
        <f>DO_DB[[#This Row],[DO Number]]</f>
        <v>DOEID24031912</v>
      </c>
      <c r="R30" t="str">
        <f>DO_DB[[#This Row],[DN Number]]</f>
        <v>DNWID0362024031903</v>
      </c>
    </row>
    <row r="31" spans="1:18">
      <c r="A31" t="s">
        <v>65</v>
      </c>
      <c r="B31" t="s">
        <v>66</v>
      </c>
      <c r="C31" s="172" t="s">
        <v>4482</v>
      </c>
      <c r="D31" t="s">
        <v>67</v>
      </c>
      <c r="E31" t="s">
        <v>68</v>
      </c>
      <c r="F31" t="s">
        <v>4510</v>
      </c>
      <c r="G31" t="s">
        <v>69</v>
      </c>
      <c r="H31" t="s">
        <v>70</v>
      </c>
      <c r="I31" s="130">
        <v>45370</v>
      </c>
      <c r="J31" t="s">
        <v>3070</v>
      </c>
      <c r="K31">
        <v>10</v>
      </c>
      <c r="M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1" t="str">
        <f>DO_DB[[#This Row],[Material Pick-update]]&amp;"_"&amp;DO_DB[[#This Row],[Material Name]]</f>
        <v>45370_Pole 7M 3"</v>
      </c>
      <c r="O31" t="str">
        <f>DO_DB[[#This Row],[SiteID]]</f>
        <v>CLR38-01-039</v>
      </c>
      <c r="P31" t="str">
        <f>DO_DB[[#This Row],[SiteID]]&amp;"_"&amp;DO_DB[[#This Row],[Material Name]]</f>
        <v>CLR38-01-039_Pole 7M 3"</v>
      </c>
      <c r="Q31" t="str">
        <f>DO_DB[[#This Row],[DO Number]]</f>
        <v>DOEID24031912</v>
      </c>
      <c r="R31" t="str">
        <f>DO_DB[[#This Row],[DN Number]]</f>
        <v>DNWID0362024031903</v>
      </c>
    </row>
    <row r="32" spans="1:18">
      <c r="A32" t="s">
        <v>65</v>
      </c>
      <c r="B32" t="s">
        <v>66</v>
      </c>
      <c r="C32" s="172" t="s">
        <v>4482</v>
      </c>
      <c r="D32" t="s">
        <v>71</v>
      </c>
      <c r="E32" t="s">
        <v>68</v>
      </c>
      <c r="F32" t="s">
        <v>4510</v>
      </c>
      <c r="G32" t="s">
        <v>1147</v>
      </c>
      <c r="H32" t="s">
        <v>1148</v>
      </c>
      <c r="I32" s="130">
        <v>45370</v>
      </c>
      <c r="J32" t="s">
        <v>14</v>
      </c>
      <c r="K32">
        <v>1</v>
      </c>
      <c r="M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2" t="str">
        <f>DO_DB[[#This Row],[Material Pick-update]]&amp;"_"&amp;DO_DB[[#This Row],[Material Name]]</f>
        <v>45370_FDT-48</v>
      </c>
      <c r="O32" t="str">
        <f>DO_DB[[#This Row],[SiteID]]</f>
        <v>CLR38-01-039</v>
      </c>
      <c r="P32" t="str">
        <f>DO_DB[[#This Row],[SiteID]]&amp;"_"&amp;DO_DB[[#This Row],[Material Name]]</f>
        <v>CLR38-01-039_FDT-48</v>
      </c>
      <c r="Q32" t="str">
        <f>DO_DB[[#This Row],[DO Number]]</f>
        <v>DOEID24031913</v>
      </c>
      <c r="R32" t="str">
        <f>DO_DB[[#This Row],[DN Number]]</f>
        <v>DNWID0342024031903</v>
      </c>
    </row>
    <row r="33" spans="1:18">
      <c r="A33" t="s">
        <v>65</v>
      </c>
      <c r="B33" t="s">
        <v>66</v>
      </c>
      <c r="C33" s="172" t="s">
        <v>4482</v>
      </c>
      <c r="D33" t="s">
        <v>71</v>
      </c>
      <c r="E33" t="s">
        <v>68</v>
      </c>
      <c r="F33" t="s">
        <v>4510</v>
      </c>
      <c r="G33" t="s">
        <v>1147</v>
      </c>
      <c r="H33" t="s">
        <v>1148</v>
      </c>
      <c r="I33" s="130">
        <v>45370</v>
      </c>
      <c r="J33" t="s">
        <v>13</v>
      </c>
      <c r="K33">
        <v>8</v>
      </c>
      <c r="M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3" t="str">
        <f>DO_DB[[#This Row],[Material Pick-update]]&amp;"_"&amp;DO_DB[[#This Row],[Material Name]]</f>
        <v>45370_FAT-16</v>
      </c>
      <c r="O33" t="str">
        <f>DO_DB[[#This Row],[SiteID]]</f>
        <v>CLR38-01-039</v>
      </c>
      <c r="P33" t="str">
        <f>DO_DB[[#This Row],[SiteID]]&amp;"_"&amp;DO_DB[[#This Row],[Material Name]]</f>
        <v>CLR38-01-039_FAT-16</v>
      </c>
      <c r="Q33" t="str">
        <f>DO_DB[[#This Row],[DO Number]]</f>
        <v>DOEID24031913</v>
      </c>
      <c r="R33" t="str">
        <f>DO_DB[[#This Row],[DN Number]]</f>
        <v>DNWID0342024031903</v>
      </c>
    </row>
    <row r="34" spans="1:18">
      <c r="A34" t="s">
        <v>65</v>
      </c>
      <c r="B34" t="s">
        <v>66</v>
      </c>
      <c r="C34" s="172" t="s">
        <v>4482</v>
      </c>
      <c r="D34" t="s">
        <v>71</v>
      </c>
      <c r="E34" t="s">
        <v>68</v>
      </c>
      <c r="F34" t="s">
        <v>4510</v>
      </c>
      <c r="G34" t="s">
        <v>1147</v>
      </c>
      <c r="H34" t="s">
        <v>1148</v>
      </c>
      <c r="I34" s="130">
        <v>45370</v>
      </c>
      <c r="J34" t="s">
        <v>3080</v>
      </c>
      <c r="K34">
        <v>3</v>
      </c>
      <c r="M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4" t="str">
        <f>DO_DB[[#This Row],[Material Pick-update]]&amp;"_"&amp;DO_DB[[#This Row],[Material Name]]</f>
        <v>45370_1:8 SPL for FDT-AE &amp; UG</v>
      </c>
      <c r="O34" t="str">
        <f>DO_DB[[#This Row],[SiteID]]</f>
        <v>CLR38-01-039</v>
      </c>
      <c r="P34" t="str">
        <f>DO_DB[[#This Row],[SiteID]]&amp;"_"&amp;DO_DB[[#This Row],[Material Name]]</f>
        <v>CLR38-01-039_1:8 SPL for FDT-AE &amp; UG</v>
      </c>
      <c r="Q34" t="str">
        <f>DO_DB[[#This Row],[DO Number]]</f>
        <v>DOEID24031913</v>
      </c>
      <c r="R34" t="str">
        <f>DO_DB[[#This Row],[DN Number]]</f>
        <v>DNWID0342024031903</v>
      </c>
    </row>
    <row r="35" spans="1:18">
      <c r="A35" t="s">
        <v>43</v>
      </c>
      <c r="B35" t="s">
        <v>44</v>
      </c>
      <c r="C35" s="172" t="s">
        <v>4482</v>
      </c>
      <c r="D35" t="s">
        <v>71</v>
      </c>
      <c r="E35" t="s">
        <v>68</v>
      </c>
      <c r="F35" t="s">
        <v>4510</v>
      </c>
      <c r="G35" t="s">
        <v>45</v>
      </c>
      <c r="H35" t="s">
        <v>46</v>
      </c>
      <c r="I35" s="130">
        <v>45370</v>
      </c>
      <c r="J35" t="s">
        <v>3069</v>
      </c>
      <c r="K35">
        <v>36</v>
      </c>
      <c r="M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5" t="str">
        <f>DO_DB[[#This Row],[Material Pick-update]]&amp;"_"&amp;DO_DB[[#This Row],[Material Name]]</f>
        <v>45370_Pole 7M 4"</v>
      </c>
      <c r="O35" t="str">
        <f>DO_DB[[#This Row],[SiteID]]</f>
        <v>CLR38-02-020</v>
      </c>
      <c r="P35" t="str">
        <f>DO_DB[[#This Row],[SiteID]]&amp;"_"&amp;DO_DB[[#This Row],[Material Name]]</f>
        <v>CLR38-02-020_Pole 7M 4"</v>
      </c>
      <c r="Q35" t="str">
        <f>DO_DB[[#This Row],[DO Number]]</f>
        <v>DOEID24031914</v>
      </c>
      <c r="R35" t="str">
        <f>DO_DB[[#This Row],[DN Number]]</f>
        <v>DNWID0362024031904</v>
      </c>
    </row>
    <row r="36" spans="1:18">
      <c r="A36" t="s">
        <v>43</v>
      </c>
      <c r="B36" t="s">
        <v>44</v>
      </c>
      <c r="C36" s="172" t="s">
        <v>4482</v>
      </c>
      <c r="D36" t="s">
        <v>71</v>
      </c>
      <c r="E36" t="s">
        <v>68</v>
      </c>
      <c r="F36" t="s">
        <v>4510</v>
      </c>
      <c r="G36" t="s">
        <v>45</v>
      </c>
      <c r="H36" t="s">
        <v>46</v>
      </c>
      <c r="I36" s="130">
        <v>45370</v>
      </c>
      <c r="J36" t="s">
        <v>3070</v>
      </c>
      <c r="K36">
        <v>8</v>
      </c>
      <c r="M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6" t="str">
        <f>DO_DB[[#This Row],[Material Pick-update]]&amp;"_"&amp;DO_DB[[#This Row],[Material Name]]</f>
        <v>45370_Pole 7M 3"</v>
      </c>
      <c r="O36" t="str">
        <f>DO_DB[[#This Row],[SiteID]]</f>
        <v>CLR38-02-020</v>
      </c>
      <c r="P36" t="str">
        <f>DO_DB[[#This Row],[SiteID]]&amp;"_"&amp;DO_DB[[#This Row],[Material Name]]</f>
        <v>CLR38-02-020_Pole 7M 3"</v>
      </c>
      <c r="Q36" t="str">
        <f>DO_DB[[#This Row],[DO Number]]</f>
        <v>DOEID24031914</v>
      </c>
      <c r="R36" t="str">
        <f>DO_DB[[#This Row],[DN Number]]</f>
        <v>DNWID0362024031904</v>
      </c>
    </row>
    <row r="37" spans="1:18">
      <c r="A37" t="s">
        <v>43</v>
      </c>
      <c r="B37" t="s">
        <v>44</v>
      </c>
      <c r="C37" s="172" t="s">
        <v>4482</v>
      </c>
      <c r="D37" t="s">
        <v>71</v>
      </c>
      <c r="E37" t="s">
        <v>68</v>
      </c>
      <c r="F37" t="s">
        <v>4510</v>
      </c>
      <c r="G37" t="s">
        <v>45</v>
      </c>
      <c r="H37" t="s">
        <v>46</v>
      </c>
      <c r="I37" s="130">
        <v>45370</v>
      </c>
      <c r="J37" t="s">
        <v>3071</v>
      </c>
      <c r="K37">
        <v>4</v>
      </c>
      <c r="M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7" t="str">
        <f>DO_DB[[#This Row],[Material Pick-update]]&amp;"_"&amp;DO_DB[[#This Row],[Material Name]]</f>
        <v>45370_Pole 9M</v>
      </c>
      <c r="O37" t="str">
        <f>DO_DB[[#This Row],[SiteID]]</f>
        <v>CLR38-02-020</v>
      </c>
      <c r="P37" t="str">
        <f>DO_DB[[#This Row],[SiteID]]&amp;"_"&amp;DO_DB[[#This Row],[Material Name]]</f>
        <v>CLR38-02-020_Pole 9M</v>
      </c>
      <c r="Q37" t="str">
        <f>DO_DB[[#This Row],[DO Number]]</f>
        <v>DOEID24031914</v>
      </c>
      <c r="R37" t="str">
        <f>DO_DB[[#This Row],[DN Number]]</f>
        <v>DNWID0362024031904</v>
      </c>
    </row>
    <row r="38" spans="1:18">
      <c r="A38" t="s">
        <v>43</v>
      </c>
      <c r="B38" t="s">
        <v>44</v>
      </c>
      <c r="C38" s="172" t="s">
        <v>4482</v>
      </c>
      <c r="D38" t="s">
        <v>71</v>
      </c>
      <c r="E38" t="s">
        <v>68</v>
      </c>
      <c r="F38" t="s">
        <v>4510</v>
      </c>
      <c r="G38" t="s">
        <v>72</v>
      </c>
      <c r="H38" t="s">
        <v>73</v>
      </c>
      <c r="I38" s="130">
        <v>45370</v>
      </c>
      <c r="J38" t="s">
        <v>13</v>
      </c>
      <c r="K38">
        <v>12</v>
      </c>
      <c r="M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8" t="str">
        <f>DO_DB[[#This Row],[Material Pick-update]]&amp;"_"&amp;DO_DB[[#This Row],[Material Name]]</f>
        <v>45370_FAT-16</v>
      </c>
      <c r="O38" t="str">
        <f>DO_DB[[#This Row],[SiteID]]</f>
        <v>CLR38-02-020</v>
      </c>
      <c r="P38" t="str">
        <f>DO_DB[[#This Row],[SiteID]]&amp;"_"&amp;DO_DB[[#This Row],[Material Name]]</f>
        <v>CLR38-02-020_FAT-16</v>
      </c>
      <c r="Q38" t="str">
        <f>DO_DB[[#This Row],[DO Number]]</f>
        <v>DOEID24031915</v>
      </c>
      <c r="R38" t="str">
        <f>DO_DB[[#This Row],[DN Number]]</f>
        <v>DNWID0342024031904</v>
      </c>
    </row>
    <row r="39" spans="1:18">
      <c r="A39" t="s">
        <v>74</v>
      </c>
      <c r="B39" t="s">
        <v>75</v>
      </c>
      <c r="C39" s="172" t="s">
        <v>4482</v>
      </c>
      <c r="D39" t="s">
        <v>71</v>
      </c>
      <c r="E39" t="s">
        <v>68</v>
      </c>
      <c r="F39" t="s">
        <v>4510</v>
      </c>
      <c r="G39" t="s">
        <v>76</v>
      </c>
      <c r="H39" t="s">
        <v>77</v>
      </c>
      <c r="I39" s="130">
        <v>45370</v>
      </c>
      <c r="J39" t="s">
        <v>3069</v>
      </c>
      <c r="K39">
        <v>45</v>
      </c>
      <c r="M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9" t="str">
        <f>DO_DB[[#This Row],[Material Pick-update]]&amp;"_"&amp;DO_DB[[#This Row],[Material Name]]</f>
        <v>45370_Pole 7M 4"</v>
      </c>
      <c r="O39" t="str">
        <f>DO_DB[[#This Row],[SiteID]]</f>
        <v>CLR38-02-022</v>
      </c>
      <c r="P39" t="str">
        <f>DO_DB[[#This Row],[SiteID]]&amp;"_"&amp;DO_DB[[#This Row],[Material Name]]</f>
        <v>CLR38-02-022_Pole 7M 4"</v>
      </c>
      <c r="Q39" t="str">
        <f>DO_DB[[#This Row],[DO Number]]</f>
        <v>DOEID24031916</v>
      </c>
      <c r="R39" t="str">
        <f>DO_DB[[#This Row],[DN Number]]</f>
        <v>DNWID0362024031905</v>
      </c>
    </row>
    <row r="40" spans="1:18">
      <c r="A40" t="s">
        <v>74</v>
      </c>
      <c r="B40" t="s">
        <v>75</v>
      </c>
      <c r="C40" s="172" t="s">
        <v>4482</v>
      </c>
      <c r="D40" t="s">
        <v>71</v>
      </c>
      <c r="E40" t="s">
        <v>68</v>
      </c>
      <c r="F40" t="s">
        <v>4510</v>
      </c>
      <c r="G40" t="s">
        <v>76</v>
      </c>
      <c r="H40" t="s">
        <v>77</v>
      </c>
      <c r="I40" s="130">
        <v>45370</v>
      </c>
      <c r="J40" t="s">
        <v>3070</v>
      </c>
      <c r="K40">
        <v>5</v>
      </c>
      <c r="M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0" t="str">
        <f>DO_DB[[#This Row],[Material Pick-update]]&amp;"_"&amp;DO_DB[[#This Row],[Material Name]]</f>
        <v>45370_Pole 7M 3"</v>
      </c>
      <c r="O40" t="str">
        <f>DO_DB[[#This Row],[SiteID]]</f>
        <v>CLR38-02-022</v>
      </c>
      <c r="P40" t="str">
        <f>DO_DB[[#This Row],[SiteID]]&amp;"_"&amp;DO_DB[[#This Row],[Material Name]]</f>
        <v>CLR38-02-022_Pole 7M 3"</v>
      </c>
      <c r="Q40" t="str">
        <f>DO_DB[[#This Row],[DO Number]]</f>
        <v>DOEID24031916</v>
      </c>
      <c r="R40" t="str">
        <f>DO_DB[[#This Row],[DN Number]]</f>
        <v>DNWID0362024031905</v>
      </c>
    </row>
    <row r="41" spans="1:18">
      <c r="A41" t="s">
        <v>74</v>
      </c>
      <c r="B41" t="s">
        <v>75</v>
      </c>
      <c r="C41" s="172" t="s">
        <v>4482</v>
      </c>
      <c r="D41" t="s">
        <v>71</v>
      </c>
      <c r="E41" t="s">
        <v>68</v>
      </c>
      <c r="F41" t="s">
        <v>4510</v>
      </c>
      <c r="G41" t="s">
        <v>78</v>
      </c>
      <c r="H41" t="s">
        <v>79</v>
      </c>
      <c r="I41" s="130">
        <v>45370</v>
      </c>
      <c r="J41" t="s">
        <v>13</v>
      </c>
      <c r="K41">
        <v>13</v>
      </c>
      <c r="M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1" t="str">
        <f>DO_DB[[#This Row],[Material Pick-update]]&amp;"_"&amp;DO_DB[[#This Row],[Material Name]]</f>
        <v>45370_FAT-16</v>
      </c>
      <c r="O41" t="str">
        <f>DO_DB[[#This Row],[SiteID]]</f>
        <v>CLR38-02-022</v>
      </c>
      <c r="P41" t="str">
        <f>DO_DB[[#This Row],[SiteID]]&amp;"_"&amp;DO_DB[[#This Row],[Material Name]]</f>
        <v>CLR38-02-022_FAT-16</v>
      </c>
      <c r="Q41" t="str">
        <f>DO_DB[[#This Row],[DO Number]]</f>
        <v>DOEID24031917</v>
      </c>
      <c r="R41" t="str">
        <f>DO_DB[[#This Row],[DN Number]]</f>
        <v>DNWID0342024031905</v>
      </c>
    </row>
    <row r="42" spans="1:18">
      <c r="A42" t="s">
        <v>80</v>
      </c>
      <c r="B42" t="s">
        <v>81</v>
      </c>
      <c r="C42" s="172" t="s">
        <v>4482</v>
      </c>
      <c r="D42" t="s">
        <v>71</v>
      </c>
      <c r="E42" t="s">
        <v>68</v>
      </c>
      <c r="F42" t="s">
        <v>4510</v>
      </c>
      <c r="G42" t="s">
        <v>1321</v>
      </c>
      <c r="H42" t="s">
        <v>1322</v>
      </c>
      <c r="I42" s="130">
        <v>45411</v>
      </c>
      <c r="J42" t="s">
        <v>4856</v>
      </c>
      <c r="K42">
        <v>1</v>
      </c>
      <c r="M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2" t="str">
        <f>DO_DB[[#This Row],[Material Pick-update]]&amp;"_"&amp;DO_DB[[#This Row],[Material Name]]</f>
        <v>45411_JC 144Core</v>
      </c>
      <c r="O42" t="str">
        <f>DO_DB[[#This Row],[SiteID]]</f>
        <v>CLR38-02-044</v>
      </c>
      <c r="P42" t="str">
        <f>DO_DB[[#This Row],[SiteID]]&amp;"_"&amp;DO_DB[[#This Row],[Material Name]]</f>
        <v>CLR38-02-044_JC 144Core</v>
      </c>
      <c r="Q42" t="str">
        <f>DO_DB[[#This Row],[DO Number]]</f>
        <v>DOEID240426CS</v>
      </c>
      <c r="R42" t="str">
        <f>DO_DB[[#This Row],[DN Number]]</f>
        <v>DNWID0362024042609</v>
      </c>
    </row>
    <row r="43" spans="1:18">
      <c r="A43" t="s">
        <v>74</v>
      </c>
      <c r="B43" t="s">
        <v>75</v>
      </c>
      <c r="C43" s="172" t="s">
        <v>4482</v>
      </c>
      <c r="D43" t="s">
        <v>71</v>
      </c>
      <c r="E43" t="s">
        <v>68</v>
      </c>
      <c r="F43" t="s">
        <v>4510</v>
      </c>
      <c r="G43" t="s">
        <v>1319</v>
      </c>
      <c r="H43" t="s">
        <v>1320</v>
      </c>
      <c r="I43" s="130">
        <v>45411</v>
      </c>
      <c r="J43" t="s">
        <v>4856</v>
      </c>
      <c r="K43">
        <v>1</v>
      </c>
      <c r="M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3" t="str">
        <f>DO_DB[[#This Row],[Material Pick-update]]&amp;"_"&amp;DO_DB[[#This Row],[Material Name]]</f>
        <v>45411_JC 144Core</v>
      </c>
      <c r="O43" t="str">
        <f>DO_DB[[#This Row],[SiteID]]</f>
        <v>CLR38-02-022</v>
      </c>
      <c r="P43" t="str">
        <f>DO_DB[[#This Row],[SiteID]]&amp;"_"&amp;DO_DB[[#This Row],[Material Name]]</f>
        <v>CLR38-02-022_JC 144Core</v>
      </c>
      <c r="Q43" t="str">
        <f>DO_DB[[#This Row],[DO Number]]</f>
        <v>DOEID240426CU</v>
      </c>
      <c r="R43" t="str">
        <f>DO_DB[[#This Row],[DN Number]]</f>
        <v>DNWID0362024042610</v>
      </c>
    </row>
    <row r="44" spans="1:18">
      <c r="A44" t="s">
        <v>1333</v>
      </c>
      <c r="B44" t="s">
        <v>1334</v>
      </c>
      <c r="C44" s="172" t="s">
        <v>4482</v>
      </c>
      <c r="D44" t="s">
        <v>71</v>
      </c>
      <c r="E44" t="s">
        <v>68</v>
      </c>
      <c r="F44" t="s">
        <v>4510</v>
      </c>
      <c r="G44" t="s">
        <v>1339</v>
      </c>
      <c r="H44" t="s">
        <v>1340</v>
      </c>
      <c r="I44" s="130">
        <v>45415</v>
      </c>
      <c r="J44" t="s">
        <v>3073</v>
      </c>
      <c r="K44">
        <v>3000</v>
      </c>
      <c r="M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24C-202453-01</v>
      </c>
      <c r="N44" t="str">
        <f>DO_DB[[#This Row],[Material Pick-update]]&amp;"_"&amp;DO_DB[[#This Row],[Material Name]]</f>
        <v>45415_ADSS 24C</v>
      </c>
      <c r="O44" t="str">
        <f>DO_DB[[#This Row],[SiteID]]</f>
        <v>CLR38-02-023</v>
      </c>
      <c r="P44" t="str">
        <f>DO_DB[[#This Row],[SiteID]]&amp;"_"&amp;DO_DB[[#This Row],[Material Name]]</f>
        <v>CLR38-02-023_ADSS 24C</v>
      </c>
      <c r="Q44" t="str">
        <f>DO_DB[[#This Row],[DO Number]]</f>
        <v>DOEID24042918</v>
      </c>
      <c r="R44" t="str">
        <f>DO_DB[[#This Row],[DN Number]]</f>
        <v>DNWID0342024042909</v>
      </c>
    </row>
    <row r="45" spans="1:18">
      <c r="A45" t="s">
        <v>1333</v>
      </c>
      <c r="B45" t="s">
        <v>1334</v>
      </c>
      <c r="C45" s="172" t="s">
        <v>4482</v>
      </c>
      <c r="D45" t="s">
        <v>71</v>
      </c>
      <c r="E45" t="s">
        <v>68</v>
      </c>
      <c r="F45" t="s">
        <v>4510</v>
      </c>
      <c r="G45" t="s">
        <v>1335</v>
      </c>
      <c r="H45" t="s">
        <v>1336</v>
      </c>
      <c r="I45" s="130">
        <v>45415</v>
      </c>
      <c r="J45" t="s">
        <v>3069</v>
      </c>
      <c r="K45">
        <v>42</v>
      </c>
      <c r="M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5" t="str">
        <f>DO_DB[[#This Row],[Material Pick-update]]&amp;"_"&amp;DO_DB[[#This Row],[Material Name]]</f>
        <v>45415_Pole 7M 4"</v>
      </c>
      <c r="O45" t="str">
        <f>DO_DB[[#This Row],[SiteID]]</f>
        <v>CLR38-02-023</v>
      </c>
      <c r="P45" t="str">
        <f>DO_DB[[#This Row],[SiteID]]&amp;"_"&amp;DO_DB[[#This Row],[Material Name]]</f>
        <v>CLR38-02-023_Pole 7M 4"</v>
      </c>
      <c r="Q45" t="str">
        <f>DO_DB[[#This Row],[DO Number]]</f>
        <v>DOEID24042917</v>
      </c>
      <c r="R45" t="str">
        <f>DO_DB[[#This Row],[DN Number]]</f>
        <v>DNWID0362024042916</v>
      </c>
    </row>
    <row r="46" spans="1:18">
      <c r="A46" t="s">
        <v>1333</v>
      </c>
      <c r="B46" t="s">
        <v>1334</v>
      </c>
      <c r="C46" s="172" t="s">
        <v>4482</v>
      </c>
      <c r="D46" t="s">
        <v>71</v>
      </c>
      <c r="E46" t="s">
        <v>68</v>
      </c>
      <c r="F46" t="s">
        <v>4510</v>
      </c>
      <c r="G46" t="s">
        <v>1335</v>
      </c>
      <c r="H46" t="s">
        <v>1336</v>
      </c>
      <c r="I46" s="130">
        <v>45415</v>
      </c>
      <c r="J46" t="s">
        <v>3070</v>
      </c>
      <c r="K46">
        <v>10</v>
      </c>
      <c r="M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6" t="str">
        <f>DO_DB[[#This Row],[Material Pick-update]]&amp;"_"&amp;DO_DB[[#This Row],[Material Name]]</f>
        <v>45415_Pole 7M 3"</v>
      </c>
      <c r="O46" t="str">
        <f>DO_DB[[#This Row],[SiteID]]</f>
        <v>CLR38-02-023</v>
      </c>
      <c r="P46" t="str">
        <f>DO_DB[[#This Row],[SiteID]]&amp;"_"&amp;DO_DB[[#This Row],[Material Name]]</f>
        <v>CLR38-02-023_Pole 7M 3"</v>
      </c>
      <c r="Q46" t="str">
        <f>DO_DB[[#This Row],[DO Number]]</f>
        <v>DOEID24042917</v>
      </c>
      <c r="R46" t="str">
        <f>DO_DB[[#This Row],[DN Number]]</f>
        <v>DNWID0362024042916</v>
      </c>
    </row>
    <row r="47" spans="1:18">
      <c r="A47" t="s">
        <v>1333</v>
      </c>
      <c r="B47" t="s">
        <v>1334</v>
      </c>
      <c r="C47" s="172" t="s">
        <v>4482</v>
      </c>
      <c r="D47" t="s">
        <v>71</v>
      </c>
      <c r="E47" t="s">
        <v>68</v>
      </c>
      <c r="F47" t="s">
        <v>4510</v>
      </c>
      <c r="G47" t="s">
        <v>1339</v>
      </c>
      <c r="H47" t="s">
        <v>1340</v>
      </c>
      <c r="I47" s="130">
        <v>45415</v>
      </c>
      <c r="J47" t="s">
        <v>14</v>
      </c>
      <c r="K47">
        <v>1</v>
      </c>
      <c r="M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7" t="str">
        <f>DO_DB[[#This Row],[Material Pick-update]]&amp;"_"&amp;DO_DB[[#This Row],[Material Name]]</f>
        <v>45415_FDT-48</v>
      </c>
      <c r="O47" t="str">
        <f>DO_DB[[#This Row],[SiteID]]</f>
        <v>CLR38-02-023</v>
      </c>
      <c r="P47" t="str">
        <f>DO_DB[[#This Row],[SiteID]]&amp;"_"&amp;DO_DB[[#This Row],[Material Name]]</f>
        <v>CLR38-02-023_FDT-48</v>
      </c>
      <c r="Q47" t="str">
        <f>DO_DB[[#This Row],[DO Number]]</f>
        <v>DOEID24042918</v>
      </c>
      <c r="R47" t="str">
        <f>DO_DB[[#This Row],[DN Number]]</f>
        <v>DNWID0342024042909</v>
      </c>
    </row>
    <row r="48" spans="1:18">
      <c r="A48" t="s">
        <v>1333</v>
      </c>
      <c r="B48" t="s">
        <v>1334</v>
      </c>
      <c r="C48" s="172" t="s">
        <v>4482</v>
      </c>
      <c r="D48" t="s">
        <v>71</v>
      </c>
      <c r="E48" t="s">
        <v>68</v>
      </c>
      <c r="F48" t="s">
        <v>4510</v>
      </c>
      <c r="G48" t="s">
        <v>1339</v>
      </c>
      <c r="H48" t="s">
        <v>1340</v>
      </c>
      <c r="I48" s="130">
        <v>45415</v>
      </c>
      <c r="J48" t="s">
        <v>13</v>
      </c>
      <c r="K48">
        <v>16</v>
      </c>
      <c r="M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8" t="str">
        <f>DO_DB[[#This Row],[Material Pick-update]]&amp;"_"&amp;DO_DB[[#This Row],[Material Name]]</f>
        <v>45415_FAT-16</v>
      </c>
      <c r="O48" t="str">
        <f>DO_DB[[#This Row],[SiteID]]</f>
        <v>CLR38-02-023</v>
      </c>
      <c r="P48" t="str">
        <f>DO_DB[[#This Row],[SiteID]]&amp;"_"&amp;DO_DB[[#This Row],[Material Name]]</f>
        <v>CLR38-02-023_FAT-16</v>
      </c>
      <c r="Q48" t="str">
        <f>DO_DB[[#This Row],[DO Number]]</f>
        <v>DOEID24042918</v>
      </c>
      <c r="R48" t="str">
        <f>DO_DB[[#This Row],[DN Number]]</f>
        <v>DNWID0342024042909</v>
      </c>
    </row>
    <row r="49" spans="1:18">
      <c r="A49" t="s">
        <v>1333</v>
      </c>
      <c r="B49" t="s">
        <v>1334</v>
      </c>
      <c r="C49" s="172" t="s">
        <v>4482</v>
      </c>
      <c r="D49" t="s">
        <v>71</v>
      </c>
      <c r="E49" t="s">
        <v>68</v>
      </c>
      <c r="F49" t="s">
        <v>4510</v>
      </c>
      <c r="G49" t="s">
        <v>1339</v>
      </c>
      <c r="H49" t="s">
        <v>1340</v>
      </c>
      <c r="I49" s="130">
        <v>45415</v>
      </c>
      <c r="J49" t="s">
        <v>3080</v>
      </c>
      <c r="K49">
        <v>3</v>
      </c>
      <c r="M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9" t="str">
        <f>DO_DB[[#This Row],[Material Pick-update]]&amp;"_"&amp;DO_DB[[#This Row],[Material Name]]</f>
        <v>45415_1:8 SPL for FDT-AE &amp; UG</v>
      </c>
      <c r="O49" t="str">
        <f>DO_DB[[#This Row],[SiteID]]</f>
        <v>CLR38-02-023</v>
      </c>
      <c r="P49" t="str">
        <f>DO_DB[[#This Row],[SiteID]]&amp;"_"&amp;DO_DB[[#This Row],[Material Name]]</f>
        <v>CLR38-02-023_1:8 SPL for FDT-AE &amp; UG</v>
      </c>
      <c r="Q49" t="str">
        <f>DO_DB[[#This Row],[DO Number]]</f>
        <v>DOEID24042918</v>
      </c>
      <c r="R49" t="str">
        <f>DO_DB[[#This Row],[DN Number]]</f>
        <v>DNWID0342024042909</v>
      </c>
    </row>
    <row r="50" spans="1:18">
      <c r="A50" t="s">
        <v>65</v>
      </c>
      <c r="B50" t="s">
        <v>66</v>
      </c>
      <c r="C50" s="172" t="s">
        <v>4482</v>
      </c>
      <c r="D50" t="s">
        <v>71</v>
      </c>
      <c r="E50" t="s">
        <v>68</v>
      </c>
      <c r="F50" t="s">
        <v>4510</v>
      </c>
      <c r="G50" t="s">
        <v>1337</v>
      </c>
      <c r="H50" t="s">
        <v>1338</v>
      </c>
      <c r="I50" s="130">
        <v>45415</v>
      </c>
      <c r="J50" t="s">
        <v>3069</v>
      </c>
      <c r="K50">
        <v>100</v>
      </c>
      <c r="M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0" t="str">
        <f>DO_DB[[#This Row],[Material Pick-update]]&amp;"_"&amp;DO_DB[[#This Row],[Material Name]]</f>
        <v>45415_Pole 7M 4"</v>
      </c>
      <c r="O50" t="str">
        <f>DO_DB[[#This Row],[SiteID]]</f>
        <v>CLR38-01-039</v>
      </c>
      <c r="P50" t="str">
        <f>DO_DB[[#This Row],[SiteID]]&amp;"_"&amp;DO_DB[[#This Row],[Material Name]]</f>
        <v>CLR38-01-039_Pole 7M 4"</v>
      </c>
      <c r="Q50" t="str">
        <f>DO_DB[[#This Row],[DO Number]]</f>
        <v>DOEID240502AP</v>
      </c>
      <c r="R50" t="str">
        <f>DO_DB[[#This Row],[DN Number]]</f>
        <v>DNWID0362024050211</v>
      </c>
    </row>
    <row r="51" spans="1:18">
      <c r="A51" t="s">
        <v>158</v>
      </c>
      <c r="B51" t="s">
        <v>159</v>
      </c>
      <c r="C51" s="172" t="s">
        <v>4482</v>
      </c>
      <c r="D51" t="s">
        <v>71</v>
      </c>
      <c r="E51" t="s">
        <v>26</v>
      </c>
      <c r="F51" t="s">
        <v>3148</v>
      </c>
      <c r="G51" t="s">
        <v>162</v>
      </c>
      <c r="H51" t="s">
        <v>163</v>
      </c>
      <c r="I51" s="130">
        <v>45181</v>
      </c>
      <c r="J51" t="s">
        <v>3069</v>
      </c>
      <c r="K51">
        <v>89</v>
      </c>
      <c r="M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1" t="str">
        <f>DO_DB[[#This Row],[Material Pick-update]]&amp;"_"&amp;DO_DB[[#This Row],[Material Name]]</f>
        <v>45181_Pole 7M 4"</v>
      </c>
      <c r="O51" t="str">
        <f>DO_DB[[#This Row],[SiteID]]</f>
        <v>CLR31-05-015</v>
      </c>
      <c r="P51" t="str">
        <f>DO_DB[[#This Row],[SiteID]]&amp;"_"&amp;DO_DB[[#This Row],[Material Name]]</f>
        <v>CLR31-05-015_Pole 7M 4"</v>
      </c>
      <c r="Q51" t="str">
        <f>DO_DB[[#This Row],[DO Number]]</f>
        <v>DOEID23091126</v>
      </c>
      <c r="R51" t="str">
        <f>DO_DB[[#This Row],[DN Number]]</f>
        <v>DNWID0362023091102</v>
      </c>
    </row>
    <row r="52" spans="1:18">
      <c r="A52" t="s">
        <v>158</v>
      </c>
      <c r="B52" t="s">
        <v>159</v>
      </c>
      <c r="C52" s="172" t="s">
        <v>4482</v>
      </c>
      <c r="D52" t="s">
        <v>71</v>
      </c>
      <c r="E52" t="s">
        <v>26</v>
      </c>
      <c r="F52" t="s">
        <v>3148</v>
      </c>
      <c r="G52" t="s">
        <v>162</v>
      </c>
      <c r="H52" t="s">
        <v>163</v>
      </c>
      <c r="I52" s="130">
        <v>45181</v>
      </c>
      <c r="J52" t="s">
        <v>3070</v>
      </c>
      <c r="K52">
        <v>10</v>
      </c>
      <c r="M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2" t="str">
        <f>DO_DB[[#This Row],[Material Pick-update]]&amp;"_"&amp;DO_DB[[#This Row],[Material Name]]</f>
        <v>45181_Pole 7M 3"</v>
      </c>
      <c r="O52" t="str">
        <f>DO_DB[[#This Row],[SiteID]]</f>
        <v>CLR31-05-015</v>
      </c>
      <c r="P52" t="str">
        <f>DO_DB[[#This Row],[SiteID]]&amp;"_"&amp;DO_DB[[#This Row],[Material Name]]</f>
        <v>CLR31-05-015_Pole 7M 3"</v>
      </c>
      <c r="Q52" t="str">
        <f>DO_DB[[#This Row],[DO Number]]</f>
        <v>DOEID23091126</v>
      </c>
      <c r="R52" t="str">
        <f>DO_DB[[#This Row],[DN Number]]</f>
        <v>DNWID0362023091102</v>
      </c>
    </row>
    <row r="53" spans="1:18">
      <c r="A53" t="s">
        <v>158</v>
      </c>
      <c r="B53" t="s">
        <v>159</v>
      </c>
      <c r="C53" s="172" t="s">
        <v>4482</v>
      </c>
      <c r="D53" t="s">
        <v>71</v>
      </c>
      <c r="E53" t="s">
        <v>26</v>
      </c>
      <c r="F53" t="s">
        <v>3148</v>
      </c>
      <c r="G53" t="s">
        <v>162</v>
      </c>
      <c r="H53" t="s">
        <v>163</v>
      </c>
      <c r="I53" s="130">
        <v>45181</v>
      </c>
      <c r="J53" t="s">
        <v>4856</v>
      </c>
      <c r="K53">
        <v>1</v>
      </c>
      <c r="M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3" t="str">
        <f>DO_DB[[#This Row],[Material Pick-update]]&amp;"_"&amp;DO_DB[[#This Row],[Material Name]]</f>
        <v>45181_JC 144Core</v>
      </c>
      <c r="O53" t="str">
        <f>DO_DB[[#This Row],[SiteID]]</f>
        <v>CLR31-05-015</v>
      </c>
      <c r="P53" t="str">
        <f>DO_DB[[#This Row],[SiteID]]&amp;"_"&amp;DO_DB[[#This Row],[Material Name]]</f>
        <v>CLR31-05-015_JC 144Core</v>
      </c>
      <c r="Q53" t="str">
        <f>DO_DB[[#This Row],[DO Number]]</f>
        <v>DOEID23091126</v>
      </c>
      <c r="R53" t="str">
        <f>DO_DB[[#This Row],[DN Number]]</f>
        <v>DNWID0362023091102</v>
      </c>
    </row>
    <row r="54" spans="1:18">
      <c r="A54" t="s">
        <v>158</v>
      </c>
      <c r="B54" t="s">
        <v>159</v>
      </c>
      <c r="C54" s="172" t="s">
        <v>4482</v>
      </c>
      <c r="D54" t="s">
        <v>71</v>
      </c>
      <c r="E54" t="s">
        <v>26</v>
      </c>
      <c r="F54" t="s">
        <v>3148</v>
      </c>
      <c r="G54" t="s">
        <v>160</v>
      </c>
      <c r="H54" t="s">
        <v>161</v>
      </c>
      <c r="I54" s="130">
        <v>45181</v>
      </c>
      <c r="J54" t="s">
        <v>13</v>
      </c>
      <c r="K54">
        <v>41</v>
      </c>
      <c r="M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4" t="str">
        <f>DO_DB[[#This Row],[Material Pick-update]]&amp;"_"&amp;DO_DB[[#This Row],[Material Name]]</f>
        <v>45181_FAT-16</v>
      </c>
      <c r="O54" t="str">
        <f>DO_DB[[#This Row],[SiteID]]</f>
        <v>CLR31-05-015</v>
      </c>
      <c r="P54" t="str">
        <f>DO_DB[[#This Row],[SiteID]]&amp;"_"&amp;DO_DB[[#This Row],[Material Name]]</f>
        <v>CLR31-05-015_FAT-16</v>
      </c>
      <c r="Q54" t="str">
        <f>DO_DB[[#This Row],[DO Number]]</f>
        <v>DOEID23091127</v>
      </c>
      <c r="R54" t="str">
        <f>DO_DB[[#This Row],[DN Number]]</f>
        <v>DNWID0342023091106</v>
      </c>
    </row>
    <row r="55" spans="1:18">
      <c r="A55" t="s">
        <v>158</v>
      </c>
      <c r="B55" t="s">
        <v>159</v>
      </c>
      <c r="C55" s="172" t="s">
        <v>4482</v>
      </c>
      <c r="D55" t="s">
        <v>71</v>
      </c>
      <c r="E55" t="s">
        <v>26</v>
      </c>
      <c r="F55" t="s">
        <v>3148</v>
      </c>
      <c r="G55" t="s">
        <v>160</v>
      </c>
      <c r="H55" t="s">
        <v>161</v>
      </c>
      <c r="I55" s="130">
        <v>45181</v>
      </c>
      <c r="J55" t="s">
        <v>3075</v>
      </c>
      <c r="K55">
        <v>6000</v>
      </c>
      <c r="M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48C-2023912-01</v>
      </c>
      <c r="N55" t="str">
        <f>DO_DB[[#This Row],[Material Pick-update]]&amp;"_"&amp;DO_DB[[#This Row],[Material Name]]</f>
        <v>45181_ADSS 48C</v>
      </c>
      <c r="O55" t="str">
        <f>DO_DB[[#This Row],[SiteID]]</f>
        <v>CLR31-05-015</v>
      </c>
      <c r="P55" t="str">
        <f>DO_DB[[#This Row],[SiteID]]&amp;"_"&amp;DO_DB[[#This Row],[Material Name]]</f>
        <v>CLR31-05-015_ADSS 48C</v>
      </c>
      <c r="Q55" t="str">
        <f>DO_DB[[#This Row],[DO Number]]</f>
        <v>DOEID23091127</v>
      </c>
      <c r="R55" t="str">
        <f>DO_DB[[#This Row],[DN Number]]</f>
        <v>DNWID0342023091106</v>
      </c>
    </row>
    <row r="56" spans="1:18">
      <c r="A56" t="s">
        <v>158</v>
      </c>
      <c r="B56" t="s">
        <v>159</v>
      </c>
      <c r="C56" s="172" t="s">
        <v>4482</v>
      </c>
      <c r="D56" t="s">
        <v>71</v>
      </c>
      <c r="E56" t="s">
        <v>26</v>
      </c>
      <c r="F56" t="s">
        <v>3148</v>
      </c>
      <c r="G56" t="s">
        <v>228</v>
      </c>
      <c r="H56" t="s">
        <v>229</v>
      </c>
      <c r="I56" s="130">
        <v>45194</v>
      </c>
      <c r="J56" t="s">
        <v>15</v>
      </c>
      <c r="K56">
        <v>1</v>
      </c>
      <c r="M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6" t="str">
        <f>DO_DB[[#This Row],[Material Pick-update]]&amp;"_"&amp;DO_DB[[#This Row],[Material Name]]</f>
        <v>45194_FDT-72</v>
      </c>
      <c r="O56" t="str">
        <f>DO_DB[[#This Row],[SiteID]]</f>
        <v>CLR31-05-015</v>
      </c>
      <c r="P56" t="str">
        <f>DO_DB[[#This Row],[SiteID]]&amp;"_"&amp;DO_DB[[#This Row],[Material Name]]</f>
        <v>CLR31-05-015_FDT-72</v>
      </c>
      <c r="Q56" t="str">
        <f>DO_DB[[#This Row],[DO Number]]</f>
        <v>DOEID23092462</v>
      </c>
      <c r="R56" t="str">
        <f>DO_DB[[#This Row],[DN Number]]</f>
        <v>DNWID0342023092506</v>
      </c>
    </row>
    <row r="57" spans="1:18">
      <c r="A57" t="s">
        <v>246</v>
      </c>
      <c r="B57" t="s">
        <v>247</v>
      </c>
      <c r="C57" s="172" t="s">
        <v>4482</v>
      </c>
      <c r="D57" t="s">
        <v>71</v>
      </c>
      <c r="E57" t="s">
        <v>26</v>
      </c>
      <c r="F57" t="s">
        <v>3148</v>
      </c>
      <c r="G57" t="s">
        <v>248</v>
      </c>
      <c r="H57" t="s">
        <v>249</v>
      </c>
      <c r="I57" s="130">
        <v>45203</v>
      </c>
      <c r="J57" t="s">
        <v>3075</v>
      </c>
      <c r="K57">
        <v>3000</v>
      </c>
      <c r="M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48C-2023104-01</v>
      </c>
      <c r="N57" t="str">
        <f>DO_DB[[#This Row],[Material Pick-update]]&amp;"_"&amp;DO_DB[[#This Row],[Material Name]]</f>
        <v>45203_ADSS 48C</v>
      </c>
      <c r="O57" t="str">
        <f>DO_DB[[#This Row],[SiteID]]</f>
        <v>CLR31-99-047</v>
      </c>
      <c r="P57" t="str">
        <f>DO_DB[[#This Row],[SiteID]]&amp;"_"&amp;DO_DB[[#This Row],[Material Name]]</f>
        <v>CLR31-99-047_ADSS 48C</v>
      </c>
      <c r="Q57" t="str">
        <f>DO_DB[[#This Row],[DO Number]]</f>
        <v>DOEID23100393</v>
      </c>
      <c r="R57" t="str">
        <f>DO_DB[[#This Row],[DN Number]]</f>
        <v>DNWID0342023100311</v>
      </c>
    </row>
    <row r="58" spans="1:18">
      <c r="A58" t="s">
        <v>258</v>
      </c>
      <c r="B58" t="s">
        <v>259</v>
      </c>
      <c r="C58" s="172" t="s">
        <v>4482</v>
      </c>
      <c r="D58" t="s">
        <v>71</v>
      </c>
      <c r="E58" t="s">
        <v>26</v>
      </c>
      <c r="F58" t="s">
        <v>3148</v>
      </c>
      <c r="G58" t="s">
        <v>260</v>
      </c>
      <c r="H58" t="s">
        <v>261</v>
      </c>
      <c r="I58" s="130">
        <v>45203</v>
      </c>
      <c r="J58" t="s">
        <v>3075</v>
      </c>
      <c r="K58">
        <v>3000</v>
      </c>
      <c r="M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48C-2023104-01</v>
      </c>
      <c r="N58" t="str">
        <f>DO_DB[[#This Row],[Material Pick-update]]&amp;"_"&amp;DO_DB[[#This Row],[Material Name]]</f>
        <v>45203_ADSS 48C</v>
      </c>
      <c r="O58" t="str">
        <f>DO_DB[[#This Row],[SiteID]]</f>
        <v>CLR31-99-050</v>
      </c>
      <c r="P58" t="str">
        <f>DO_DB[[#This Row],[SiteID]]&amp;"_"&amp;DO_DB[[#This Row],[Material Name]]</f>
        <v>CLR31-99-050_ADSS 48C</v>
      </c>
      <c r="Q58" t="str">
        <f>DO_DB[[#This Row],[DO Number]]</f>
        <v>DOEID23100399</v>
      </c>
      <c r="R58" t="str">
        <f>DO_DB[[#This Row],[DN Number]]</f>
        <v>DNWID0342023100314</v>
      </c>
    </row>
    <row r="59" spans="1:18">
      <c r="A59" t="s">
        <v>262</v>
      </c>
      <c r="B59" t="s">
        <v>263</v>
      </c>
      <c r="C59" s="172" t="s">
        <v>4482</v>
      </c>
      <c r="D59" t="s">
        <v>71</v>
      </c>
      <c r="E59" t="s">
        <v>26</v>
      </c>
      <c r="F59" t="s">
        <v>3148</v>
      </c>
      <c r="G59" t="s">
        <v>264</v>
      </c>
      <c r="H59" t="s">
        <v>265</v>
      </c>
      <c r="I59" s="130">
        <v>45203</v>
      </c>
      <c r="J59" t="s">
        <v>3075</v>
      </c>
      <c r="K59">
        <v>3000</v>
      </c>
      <c r="M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48C-2023104-01</v>
      </c>
      <c r="N59" t="str">
        <f>DO_DB[[#This Row],[Material Pick-update]]&amp;"_"&amp;DO_DB[[#This Row],[Material Name]]</f>
        <v>45203_ADSS 48C</v>
      </c>
      <c r="O59" t="str">
        <f>DO_DB[[#This Row],[SiteID]]</f>
        <v>CLR31-99-051</v>
      </c>
      <c r="P59" t="str">
        <f>DO_DB[[#This Row],[SiteID]]&amp;"_"&amp;DO_DB[[#This Row],[Material Name]]</f>
        <v>CLR31-99-051_ADSS 48C</v>
      </c>
      <c r="Q59" t="str">
        <f>DO_DB[[#This Row],[DO Number]]</f>
        <v>DOEID231003A1</v>
      </c>
      <c r="R59" t="str">
        <f>DO_DB[[#This Row],[DN Number]]</f>
        <v>DNWID0342023100315</v>
      </c>
    </row>
    <row r="60" spans="1:18">
      <c r="A60" t="s">
        <v>242</v>
      </c>
      <c r="B60" t="s">
        <v>243</v>
      </c>
      <c r="C60" s="172" t="s">
        <v>4482</v>
      </c>
      <c r="D60" t="s">
        <v>71</v>
      </c>
      <c r="E60" t="s">
        <v>26</v>
      </c>
      <c r="F60" t="s">
        <v>3148</v>
      </c>
      <c r="G60" t="s">
        <v>270</v>
      </c>
      <c r="H60" t="s">
        <v>271</v>
      </c>
      <c r="I60" s="130">
        <v>45203</v>
      </c>
      <c r="J60" t="s">
        <v>3070</v>
      </c>
      <c r="K60">
        <v>13</v>
      </c>
      <c r="M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0" t="str">
        <f>DO_DB[[#This Row],[Material Pick-update]]&amp;"_"&amp;DO_DB[[#This Row],[Material Name]]</f>
        <v>45203_Pole 7M 3"</v>
      </c>
      <c r="O60" t="str">
        <f>DO_DB[[#This Row],[SiteID]]</f>
        <v>CLR31-05-027</v>
      </c>
      <c r="P60" t="str">
        <f>DO_DB[[#This Row],[SiteID]]&amp;"_"&amp;DO_DB[[#This Row],[Material Name]]</f>
        <v>CLR31-05-027_Pole 7M 3"</v>
      </c>
      <c r="Q60" t="str">
        <f>DO_DB[[#This Row],[DO Number]]</f>
        <v>DOEID23100390</v>
      </c>
      <c r="R60" t="str">
        <f>DO_DB[[#This Row],[DN Number]]</f>
        <v>DNWID0362023100318</v>
      </c>
    </row>
    <row r="61" spans="1:18">
      <c r="A61" t="s">
        <v>242</v>
      </c>
      <c r="B61" t="s">
        <v>243</v>
      </c>
      <c r="C61" s="172" t="s">
        <v>4482</v>
      </c>
      <c r="D61" t="s">
        <v>71</v>
      </c>
      <c r="E61" t="s">
        <v>26</v>
      </c>
      <c r="F61" t="s">
        <v>3148</v>
      </c>
      <c r="G61" t="s">
        <v>270</v>
      </c>
      <c r="H61" t="s">
        <v>271</v>
      </c>
      <c r="I61" s="130">
        <v>45203</v>
      </c>
      <c r="J61" t="s">
        <v>3071</v>
      </c>
      <c r="K61">
        <v>4</v>
      </c>
      <c r="M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1" t="str">
        <f>DO_DB[[#This Row],[Material Pick-update]]&amp;"_"&amp;DO_DB[[#This Row],[Material Name]]</f>
        <v>45203_Pole 9M</v>
      </c>
      <c r="O61" t="str">
        <f>DO_DB[[#This Row],[SiteID]]</f>
        <v>CLR31-05-027</v>
      </c>
      <c r="P61" t="str">
        <f>DO_DB[[#This Row],[SiteID]]&amp;"_"&amp;DO_DB[[#This Row],[Material Name]]</f>
        <v>CLR31-05-027_Pole 9M</v>
      </c>
      <c r="Q61" t="str">
        <f>DO_DB[[#This Row],[DO Number]]</f>
        <v>DOEID23100390</v>
      </c>
      <c r="R61" t="str">
        <f>DO_DB[[#This Row],[DN Number]]</f>
        <v>DNWID0362023100318</v>
      </c>
    </row>
    <row r="62" spans="1:18">
      <c r="A62" t="s">
        <v>242</v>
      </c>
      <c r="B62" t="s">
        <v>243</v>
      </c>
      <c r="C62" s="172" t="s">
        <v>4482</v>
      </c>
      <c r="D62" t="s">
        <v>71</v>
      </c>
      <c r="E62" t="s">
        <v>26</v>
      </c>
      <c r="F62" t="s">
        <v>3148</v>
      </c>
      <c r="G62" t="s">
        <v>270</v>
      </c>
      <c r="H62" t="s">
        <v>271</v>
      </c>
      <c r="I62" s="130">
        <v>45203</v>
      </c>
      <c r="J62" t="s">
        <v>4856</v>
      </c>
      <c r="K62">
        <v>1</v>
      </c>
      <c r="M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2" t="str">
        <f>DO_DB[[#This Row],[Material Pick-update]]&amp;"_"&amp;DO_DB[[#This Row],[Material Name]]</f>
        <v>45203_JC 144Core</v>
      </c>
      <c r="O62" t="str">
        <f>DO_DB[[#This Row],[SiteID]]</f>
        <v>CLR31-05-027</v>
      </c>
      <c r="P62" t="str">
        <f>DO_DB[[#This Row],[SiteID]]&amp;"_"&amp;DO_DB[[#This Row],[Material Name]]</f>
        <v>CLR31-05-027_JC 144Core</v>
      </c>
      <c r="Q62" t="str">
        <f>DO_DB[[#This Row],[DO Number]]</f>
        <v>DOEID23100390</v>
      </c>
      <c r="R62" t="str">
        <f>DO_DB[[#This Row],[DN Number]]</f>
        <v>DNWID0362023100318</v>
      </c>
    </row>
    <row r="63" spans="1:18">
      <c r="A63" t="s">
        <v>242</v>
      </c>
      <c r="B63" t="s">
        <v>243</v>
      </c>
      <c r="C63" s="172" t="s">
        <v>4482</v>
      </c>
      <c r="D63" t="s">
        <v>71</v>
      </c>
      <c r="E63" t="s">
        <v>26</v>
      </c>
      <c r="F63" t="s">
        <v>3148</v>
      </c>
      <c r="G63" t="s">
        <v>244</v>
      </c>
      <c r="H63" t="s">
        <v>245</v>
      </c>
      <c r="I63" s="130">
        <v>45203</v>
      </c>
      <c r="J63" t="s">
        <v>14</v>
      </c>
      <c r="K63">
        <v>1</v>
      </c>
      <c r="M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3" t="str">
        <f>DO_DB[[#This Row],[Material Pick-update]]&amp;"_"&amp;DO_DB[[#This Row],[Material Name]]</f>
        <v>45203_FDT-48</v>
      </c>
      <c r="O63" t="str">
        <f>DO_DB[[#This Row],[SiteID]]</f>
        <v>CLR31-05-027</v>
      </c>
      <c r="P63" t="str">
        <f>DO_DB[[#This Row],[SiteID]]&amp;"_"&amp;DO_DB[[#This Row],[Material Name]]</f>
        <v>CLR31-05-027_FDT-48</v>
      </c>
      <c r="Q63" t="str">
        <f>DO_DB[[#This Row],[DO Number]]</f>
        <v>DOEID23100391</v>
      </c>
      <c r="R63" t="str">
        <f>DO_DB[[#This Row],[DN Number]]</f>
        <v>DNWID0342023100310</v>
      </c>
    </row>
    <row r="64" spans="1:18">
      <c r="A64" t="s">
        <v>246</v>
      </c>
      <c r="B64" t="s">
        <v>247</v>
      </c>
      <c r="C64" s="172" t="s">
        <v>4482</v>
      </c>
      <c r="D64" t="s">
        <v>71</v>
      </c>
      <c r="E64" t="s">
        <v>26</v>
      </c>
      <c r="F64" t="s">
        <v>3148</v>
      </c>
      <c r="G64" t="s">
        <v>272</v>
      </c>
      <c r="H64" t="s">
        <v>273</v>
      </c>
      <c r="I64" s="130">
        <v>45203</v>
      </c>
      <c r="J64" t="s">
        <v>3070</v>
      </c>
      <c r="K64">
        <v>18</v>
      </c>
      <c r="M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4" t="str">
        <f>DO_DB[[#This Row],[Material Pick-update]]&amp;"_"&amp;DO_DB[[#This Row],[Material Name]]</f>
        <v>45203_Pole 7M 3"</v>
      </c>
      <c r="O64" t="str">
        <f>DO_DB[[#This Row],[SiteID]]</f>
        <v>CLR31-99-047</v>
      </c>
      <c r="P64" t="str">
        <f>DO_DB[[#This Row],[SiteID]]&amp;"_"&amp;DO_DB[[#This Row],[Material Name]]</f>
        <v>CLR31-99-047_Pole 7M 3"</v>
      </c>
      <c r="Q64" t="str">
        <f>DO_DB[[#This Row],[DO Number]]</f>
        <v>DOEID23100392</v>
      </c>
      <c r="R64" t="str">
        <f>DO_DB[[#This Row],[DN Number]]</f>
        <v>DNWID0362023100319</v>
      </c>
    </row>
    <row r="65" spans="1:18">
      <c r="A65" t="s">
        <v>246</v>
      </c>
      <c r="B65" t="s">
        <v>247</v>
      </c>
      <c r="C65" s="172" t="s">
        <v>4482</v>
      </c>
      <c r="D65" t="s">
        <v>71</v>
      </c>
      <c r="E65" t="s">
        <v>26</v>
      </c>
      <c r="F65" t="s">
        <v>3148</v>
      </c>
      <c r="G65" t="s">
        <v>272</v>
      </c>
      <c r="H65" t="s">
        <v>273</v>
      </c>
      <c r="I65" s="130">
        <v>45203</v>
      </c>
      <c r="J65" t="s">
        <v>3071</v>
      </c>
      <c r="K65">
        <v>1</v>
      </c>
      <c r="M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5" t="str">
        <f>DO_DB[[#This Row],[Material Pick-update]]&amp;"_"&amp;DO_DB[[#This Row],[Material Name]]</f>
        <v>45203_Pole 9M</v>
      </c>
      <c r="O65" t="str">
        <f>DO_DB[[#This Row],[SiteID]]</f>
        <v>CLR31-99-047</v>
      </c>
      <c r="P65" t="str">
        <f>DO_DB[[#This Row],[SiteID]]&amp;"_"&amp;DO_DB[[#This Row],[Material Name]]</f>
        <v>CLR31-99-047_Pole 9M</v>
      </c>
      <c r="Q65" t="str">
        <f>DO_DB[[#This Row],[DO Number]]</f>
        <v>DOEID23100392</v>
      </c>
      <c r="R65" t="str">
        <f>DO_DB[[#This Row],[DN Number]]</f>
        <v>DNWID0362023100319</v>
      </c>
    </row>
    <row r="66" spans="1:18">
      <c r="A66" t="s">
        <v>246</v>
      </c>
      <c r="B66" t="s">
        <v>247</v>
      </c>
      <c r="C66" s="172" t="s">
        <v>4482</v>
      </c>
      <c r="D66" t="s">
        <v>71</v>
      </c>
      <c r="E66" t="s">
        <v>26</v>
      </c>
      <c r="F66" t="s">
        <v>3148</v>
      </c>
      <c r="G66" t="s">
        <v>272</v>
      </c>
      <c r="H66" t="s">
        <v>273</v>
      </c>
      <c r="I66" s="130">
        <v>45203</v>
      </c>
      <c r="J66" t="s">
        <v>4856</v>
      </c>
      <c r="K66">
        <v>1</v>
      </c>
      <c r="M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6" t="str">
        <f>DO_DB[[#This Row],[Material Pick-update]]&amp;"_"&amp;DO_DB[[#This Row],[Material Name]]</f>
        <v>45203_JC 144Core</v>
      </c>
      <c r="O66" t="str">
        <f>DO_DB[[#This Row],[SiteID]]</f>
        <v>CLR31-99-047</v>
      </c>
      <c r="P66" t="str">
        <f>DO_DB[[#This Row],[SiteID]]&amp;"_"&amp;DO_DB[[#This Row],[Material Name]]</f>
        <v>CLR31-99-047_JC 144Core</v>
      </c>
      <c r="Q66" t="str">
        <f>DO_DB[[#This Row],[DO Number]]</f>
        <v>DOEID23100392</v>
      </c>
      <c r="R66" t="str">
        <f>DO_DB[[#This Row],[DN Number]]</f>
        <v>DNWID0362023100319</v>
      </c>
    </row>
    <row r="67" spans="1:18">
      <c r="A67" t="s">
        <v>246</v>
      </c>
      <c r="B67" t="s">
        <v>247</v>
      </c>
      <c r="C67" s="172" t="s">
        <v>4482</v>
      </c>
      <c r="D67" t="s">
        <v>71</v>
      </c>
      <c r="E67" t="s">
        <v>26</v>
      </c>
      <c r="F67" t="s">
        <v>3148</v>
      </c>
      <c r="G67" t="s">
        <v>248</v>
      </c>
      <c r="H67" t="s">
        <v>249</v>
      </c>
      <c r="I67" s="130">
        <v>45203</v>
      </c>
      <c r="J67" t="s">
        <v>14</v>
      </c>
      <c r="K67">
        <v>1</v>
      </c>
      <c r="M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7" t="str">
        <f>DO_DB[[#This Row],[Material Pick-update]]&amp;"_"&amp;DO_DB[[#This Row],[Material Name]]</f>
        <v>45203_FDT-48</v>
      </c>
      <c r="O67" t="str">
        <f>DO_DB[[#This Row],[SiteID]]</f>
        <v>CLR31-99-047</v>
      </c>
      <c r="P67" t="str">
        <f>DO_DB[[#This Row],[SiteID]]&amp;"_"&amp;DO_DB[[#This Row],[Material Name]]</f>
        <v>CLR31-99-047_FDT-48</v>
      </c>
      <c r="Q67" t="str">
        <f>DO_DB[[#This Row],[DO Number]]</f>
        <v>DOEID23100393</v>
      </c>
      <c r="R67" t="str">
        <f>DO_DB[[#This Row],[DN Number]]</f>
        <v>DNWID0342023100311</v>
      </c>
    </row>
    <row r="68" spans="1:18">
      <c r="A68" t="s">
        <v>250</v>
      </c>
      <c r="B68" t="s">
        <v>251</v>
      </c>
      <c r="C68" s="172" t="s">
        <v>4482</v>
      </c>
      <c r="D68" t="s">
        <v>71</v>
      </c>
      <c r="E68" t="s">
        <v>26</v>
      </c>
      <c r="F68" t="s">
        <v>3148</v>
      </c>
      <c r="G68" t="s">
        <v>274</v>
      </c>
      <c r="H68" t="s">
        <v>275</v>
      </c>
      <c r="I68" s="130">
        <v>45203</v>
      </c>
      <c r="J68" t="s">
        <v>3070</v>
      </c>
      <c r="K68">
        <v>5</v>
      </c>
      <c r="M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8" t="str">
        <f>DO_DB[[#This Row],[Material Pick-update]]&amp;"_"&amp;DO_DB[[#This Row],[Material Name]]</f>
        <v>45203_Pole 7M 3"</v>
      </c>
      <c r="O68" t="str">
        <f>DO_DB[[#This Row],[SiteID]]</f>
        <v>CLR31-99-048</v>
      </c>
      <c r="P68" t="str">
        <f>DO_DB[[#This Row],[SiteID]]&amp;"_"&amp;DO_DB[[#This Row],[Material Name]]</f>
        <v>CLR31-99-048_Pole 7M 3"</v>
      </c>
      <c r="Q68" t="str">
        <f>DO_DB[[#This Row],[DO Number]]</f>
        <v>DOEID23100394</v>
      </c>
      <c r="R68" t="str">
        <f>DO_DB[[#This Row],[DN Number]]</f>
        <v>DNWID0362023100320</v>
      </c>
    </row>
    <row r="69" spans="1:18">
      <c r="A69" t="s">
        <v>250</v>
      </c>
      <c r="B69" t="s">
        <v>251</v>
      </c>
      <c r="C69" s="172" t="s">
        <v>4482</v>
      </c>
      <c r="D69" t="s">
        <v>71</v>
      </c>
      <c r="E69" t="s">
        <v>26</v>
      </c>
      <c r="F69" t="s">
        <v>3148</v>
      </c>
      <c r="G69" t="s">
        <v>274</v>
      </c>
      <c r="H69" t="s">
        <v>275</v>
      </c>
      <c r="I69" s="130">
        <v>45203</v>
      </c>
      <c r="J69" t="s">
        <v>4856</v>
      </c>
      <c r="K69">
        <v>1</v>
      </c>
      <c r="M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9" t="str">
        <f>DO_DB[[#This Row],[Material Pick-update]]&amp;"_"&amp;DO_DB[[#This Row],[Material Name]]</f>
        <v>45203_JC 144Core</v>
      </c>
      <c r="O69" t="str">
        <f>DO_DB[[#This Row],[SiteID]]</f>
        <v>CLR31-99-048</v>
      </c>
      <c r="P69" t="str">
        <f>DO_DB[[#This Row],[SiteID]]&amp;"_"&amp;DO_DB[[#This Row],[Material Name]]</f>
        <v>CLR31-99-048_JC 144Core</v>
      </c>
      <c r="Q69" t="str">
        <f>DO_DB[[#This Row],[DO Number]]</f>
        <v>DOEID23100394</v>
      </c>
      <c r="R69" t="str">
        <f>DO_DB[[#This Row],[DN Number]]</f>
        <v>DNWID0362023100320</v>
      </c>
    </row>
    <row r="70" spans="1:18">
      <c r="A70" t="s">
        <v>250</v>
      </c>
      <c r="B70" t="s">
        <v>251</v>
      </c>
      <c r="C70" s="172" t="s">
        <v>4482</v>
      </c>
      <c r="D70" t="s">
        <v>71</v>
      </c>
      <c r="E70" t="s">
        <v>26</v>
      </c>
      <c r="F70" t="s">
        <v>3148</v>
      </c>
      <c r="G70" t="s">
        <v>252</v>
      </c>
      <c r="H70" t="s">
        <v>253</v>
      </c>
      <c r="I70" s="130">
        <v>45203</v>
      </c>
      <c r="J70" t="s">
        <v>14</v>
      </c>
      <c r="K70">
        <v>1</v>
      </c>
      <c r="M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0" t="str">
        <f>DO_DB[[#This Row],[Material Pick-update]]&amp;"_"&amp;DO_DB[[#This Row],[Material Name]]</f>
        <v>45203_FDT-48</v>
      </c>
      <c r="O70" t="str">
        <f>DO_DB[[#This Row],[SiteID]]</f>
        <v>CLR31-99-048</v>
      </c>
      <c r="P70" t="str">
        <f>DO_DB[[#This Row],[SiteID]]&amp;"_"&amp;DO_DB[[#This Row],[Material Name]]</f>
        <v>CLR31-99-048_FDT-48</v>
      </c>
      <c r="Q70" t="str">
        <f>DO_DB[[#This Row],[DO Number]]</f>
        <v>DOEID23100395</v>
      </c>
      <c r="R70" t="str">
        <f>DO_DB[[#This Row],[DN Number]]</f>
        <v>DNWID0342023100312</v>
      </c>
    </row>
    <row r="71" spans="1:18">
      <c r="A71" t="s">
        <v>254</v>
      </c>
      <c r="B71" t="s">
        <v>255</v>
      </c>
      <c r="C71" s="172" t="s">
        <v>4482</v>
      </c>
      <c r="D71" t="s">
        <v>71</v>
      </c>
      <c r="E71" t="s">
        <v>26</v>
      </c>
      <c r="F71" t="s">
        <v>3148</v>
      </c>
      <c r="G71" t="s">
        <v>276</v>
      </c>
      <c r="H71" t="s">
        <v>277</v>
      </c>
      <c r="I71" s="130">
        <v>45203</v>
      </c>
      <c r="J71" t="s">
        <v>3069</v>
      </c>
      <c r="K71">
        <v>20</v>
      </c>
      <c r="M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1" t="str">
        <f>DO_DB[[#This Row],[Material Pick-update]]&amp;"_"&amp;DO_DB[[#This Row],[Material Name]]</f>
        <v>45203_Pole 7M 4"</v>
      </c>
      <c r="O71" t="str">
        <f>DO_DB[[#This Row],[SiteID]]</f>
        <v>CLR31-99-049</v>
      </c>
      <c r="P71" t="str">
        <f>DO_DB[[#This Row],[SiteID]]&amp;"_"&amp;DO_DB[[#This Row],[Material Name]]</f>
        <v>CLR31-99-049_Pole 7M 4"</v>
      </c>
      <c r="Q71" t="str">
        <f>DO_DB[[#This Row],[DO Number]]</f>
        <v>DOEID23100396</v>
      </c>
      <c r="R71" t="str">
        <f>DO_DB[[#This Row],[DN Number]]</f>
        <v>DNWID0362023100321</v>
      </c>
    </row>
    <row r="72" spans="1:18">
      <c r="A72" t="s">
        <v>254</v>
      </c>
      <c r="B72" t="s">
        <v>255</v>
      </c>
      <c r="C72" s="172" t="s">
        <v>4482</v>
      </c>
      <c r="D72" t="s">
        <v>71</v>
      </c>
      <c r="E72" t="s">
        <v>26</v>
      </c>
      <c r="F72" t="s">
        <v>3148</v>
      </c>
      <c r="G72" t="s">
        <v>276</v>
      </c>
      <c r="H72" t="s">
        <v>277</v>
      </c>
      <c r="I72" s="130">
        <v>45203</v>
      </c>
      <c r="J72" t="s">
        <v>3070</v>
      </c>
      <c r="K72">
        <v>7</v>
      </c>
      <c r="M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2" t="str">
        <f>DO_DB[[#This Row],[Material Pick-update]]&amp;"_"&amp;DO_DB[[#This Row],[Material Name]]</f>
        <v>45203_Pole 7M 3"</v>
      </c>
      <c r="O72" t="str">
        <f>DO_DB[[#This Row],[SiteID]]</f>
        <v>CLR31-99-049</v>
      </c>
      <c r="P72" t="str">
        <f>DO_DB[[#This Row],[SiteID]]&amp;"_"&amp;DO_DB[[#This Row],[Material Name]]</f>
        <v>CLR31-99-049_Pole 7M 3"</v>
      </c>
      <c r="Q72" t="str">
        <f>DO_DB[[#This Row],[DO Number]]</f>
        <v>DOEID23100396</v>
      </c>
      <c r="R72" t="str">
        <f>DO_DB[[#This Row],[DN Number]]</f>
        <v>DNWID0362023100321</v>
      </c>
    </row>
    <row r="73" spans="1:18">
      <c r="A73" t="s">
        <v>254</v>
      </c>
      <c r="B73" t="s">
        <v>255</v>
      </c>
      <c r="C73" s="172" t="s">
        <v>4482</v>
      </c>
      <c r="D73" t="s">
        <v>71</v>
      </c>
      <c r="E73" t="s">
        <v>26</v>
      </c>
      <c r="F73" t="s">
        <v>3148</v>
      </c>
      <c r="G73" t="s">
        <v>276</v>
      </c>
      <c r="H73" t="s">
        <v>277</v>
      </c>
      <c r="I73" s="130">
        <v>45203</v>
      </c>
      <c r="J73" t="s">
        <v>4856</v>
      </c>
      <c r="K73">
        <v>1</v>
      </c>
      <c r="M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3" t="str">
        <f>DO_DB[[#This Row],[Material Pick-update]]&amp;"_"&amp;DO_DB[[#This Row],[Material Name]]</f>
        <v>45203_JC 144Core</v>
      </c>
      <c r="O73" t="str">
        <f>DO_DB[[#This Row],[SiteID]]</f>
        <v>CLR31-99-049</v>
      </c>
      <c r="P73" t="str">
        <f>DO_DB[[#This Row],[SiteID]]&amp;"_"&amp;DO_DB[[#This Row],[Material Name]]</f>
        <v>CLR31-99-049_JC 144Core</v>
      </c>
      <c r="Q73" t="str">
        <f>DO_DB[[#This Row],[DO Number]]</f>
        <v>DOEID23100396</v>
      </c>
      <c r="R73" t="str">
        <f>DO_DB[[#This Row],[DN Number]]</f>
        <v>DNWID0362023100321</v>
      </c>
    </row>
    <row r="74" spans="1:18">
      <c r="A74" t="s">
        <v>254</v>
      </c>
      <c r="B74" t="s">
        <v>255</v>
      </c>
      <c r="C74" s="172" t="s">
        <v>4482</v>
      </c>
      <c r="D74" t="s">
        <v>71</v>
      </c>
      <c r="E74" t="s">
        <v>26</v>
      </c>
      <c r="F74" t="s">
        <v>3148</v>
      </c>
      <c r="G74" t="s">
        <v>256</v>
      </c>
      <c r="H74" t="s">
        <v>257</v>
      </c>
      <c r="I74" s="130">
        <v>45203</v>
      </c>
      <c r="J74" t="s">
        <v>14</v>
      </c>
      <c r="K74">
        <v>1</v>
      </c>
      <c r="M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4" t="str">
        <f>DO_DB[[#This Row],[Material Pick-update]]&amp;"_"&amp;DO_DB[[#This Row],[Material Name]]</f>
        <v>45203_FDT-48</v>
      </c>
      <c r="O74" t="str">
        <f>DO_DB[[#This Row],[SiteID]]</f>
        <v>CLR31-99-049</v>
      </c>
      <c r="P74" t="str">
        <f>DO_DB[[#This Row],[SiteID]]&amp;"_"&amp;DO_DB[[#This Row],[Material Name]]</f>
        <v>CLR31-99-049_FDT-48</v>
      </c>
      <c r="Q74" t="str">
        <f>DO_DB[[#This Row],[DO Number]]</f>
        <v>DOEID23100397</v>
      </c>
      <c r="R74" t="str">
        <f>DO_DB[[#This Row],[DN Number]]</f>
        <v>DNWID0342023100313</v>
      </c>
    </row>
    <row r="75" spans="1:18">
      <c r="A75" t="s">
        <v>258</v>
      </c>
      <c r="B75" t="s">
        <v>259</v>
      </c>
      <c r="C75" s="172" t="s">
        <v>4482</v>
      </c>
      <c r="D75" t="s">
        <v>71</v>
      </c>
      <c r="E75" t="s">
        <v>26</v>
      </c>
      <c r="F75" t="s">
        <v>3148</v>
      </c>
      <c r="G75" t="s">
        <v>278</v>
      </c>
      <c r="H75" t="s">
        <v>279</v>
      </c>
      <c r="I75" s="130">
        <v>45203</v>
      </c>
      <c r="J75" t="s">
        <v>3070</v>
      </c>
      <c r="K75">
        <v>5</v>
      </c>
      <c r="M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5" t="str">
        <f>DO_DB[[#This Row],[Material Pick-update]]&amp;"_"&amp;DO_DB[[#This Row],[Material Name]]</f>
        <v>45203_Pole 7M 3"</v>
      </c>
      <c r="O75" t="str">
        <f>DO_DB[[#This Row],[SiteID]]</f>
        <v>CLR31-99-050</v>
      </c>
      <c r="P75" t="str">
        <f>DO_DB[[#This Row],[SiteID]]&amp;"_"&amp;DO_DB[[#This Row],[Material Name]]</f>
        <v>CLR31-99-050_Pole 7M 3"</v>
      </c>
      <c r="Q75" t="str">
        <f>DO_DB[[#This Row],[DO Number]]</f>
        <v>DOEID23100398</v>
      </c>
      <c r="R75" t="str">
        <f>DO_DB[[#This Row],[DN Number]]</f>
        <v>DNWID0362023100322</v>
      </c>
    </row>
    <row r="76" spans="1:18">
      <c r="A76" t="s">
        <v>258</v>
      </c>
      <c r="B76" t="s">
        <v>259</v>
      </c>
      <c r="C76" s="172" t="s">
        <v>4482</v>
      </c>
      <c r="D76" t="s">
        <v>71</v>
      </c>
      <c r="E76" t="s">
        <v>26</v>
      </c>
      <c r="F76" t="s">
        <v>3148</v>
      </c>
      <c r="G76" t="s">
        <v>260</v>
      </c>
      <c r="H76" t="s">
        <v>261</v>
      </c>
      <c r="I76" s="130">
        <v>45203</v>
      </c>
      <c r="J76" t="s">
        <v>14</v>
      </c>
      <c r="K76">
        <v>1</v>
      </c>
      <c r="M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6" t="str">
        <f>DO_DB[[#This Row],[Material Pick-update]]&amp;"_"&amp;DO_DB[[#This Row],[Material Name]]</f>
        <v>45203_FDT-48</v>
      </c>
      <c r="O76" t="str">
        <f>DO_DB[[#This Row],[SiteID]]</f>
        <v>CLR31-99-050</v>
      </c>
      <c r="P76" t="str">
        <f>DO_DB[[#This Row],[SiteID]]&amp;"_"&amp;DO_DB[[#This Row],[Material Name]]</f>
        <v>CLR31-99-050_FDT-48</v>
      </c>
      <c r="Q76" t="str">
        <f>DO_DB[[#This Row],[DO Number]]</f>
        <v>DOEID23100399</v>
      </c>
      <c r="R76" t="str">
        <f>DO_DB[[#This Row],[DN Number]]</f>
        <v>DNWID0342023100314</v>
      </c>
    </row>
    <row r="77" spans="1:18">
      <c r="A77" t="s">
        <v>262</v>
      </c>
      <c r="B77" t="s">
        <v>263</v>
      </c>
      <c r="C77" s="172" t="s">
        <v>4482</v>
      </c>
      <c r="D77" t="s">
        <v>71</v>
      </c>
      <c r="E77" t="s">
        <v>26</v>
      </c>
      <c r="F77" t="s">
        <v>3148</v>
      </c>
      <c r="G77" t="s">
        <v>280</v>
      </c>
      <c r="H77" t="s">
        <v>281</v>
      </c>
      <c r="I77" s="130">
        <v>45203</v>
      </c>
      <c r="J77" t="s">
        <v>3070</v>
      </c>
      <c r="K77">
        <v>6</v>
      </c>
      <c r="M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7" t="str">
        <f>DO_DB[[#This Row],[Material Pick-update]]&amp;"_"&amp;DO_DB[[#This Row],[Material Name]]</f>
        <v>45203_Pole 7M 3"</v>
      </c>
      <c r="O77" t="str">
        <f>DO_DB[[#This Row],[SiteID]]</f>
        <v>CLR31-99-051</v>
      </c>
      <c r="P77" t="str">
        <f>DO_DB[[#This Row],[SiteID]]&amp;"_"&amp;DO_DB[[#This Row],[Material Name]]</f>
        <v>CLR31-99-051_Pole 7M 3"</v>
      </c>
      <c r="Q77" t="str">
        <f>DO_DB[[#This Row],[DO Number]]</f>
        <v>DOEID231003A0</v>
      </c>
      <c r="R77" t="str">
        <f>DO_DB[[#This Row],[DN Number]]</f>
        <v>DNWID0362023100323</v>
      </c>
    </row>
    <row r="78" spans="1:18">
      <c r="A78" t="s">
        <v>262</v>
      </c>
      <c r="B78" t="s">
        <v>263</v>
      </c>
      <c r="C78" s="172" t="s">
        <v>4482</v>
      </c>
      <c r="D78" t="s">
        <v>71</v>
      </c>
      <c r="E78" t="s">
        <v>26</v>
      </c>
      <c r="F78" t="s">
        <v>3148</v>
      </c>
      <c r="G78" t="s">
        <v>280</v>
      </c>
      <c r="H78" t="s">
        <v>281</v>
      </c>
      <c r="I78" s="130">
        <v>45203</v>
      </c>
      <c r="J78" t="s">
        <v>4856</v>
      </c>
      <c r="K78">
        <v>1</v>
      </c>
      <c r="M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8" t="str">
        <f>DO_DB[[#This Row],[Material Pick-update]]&amp;"_"&amp;DO_DB[[#This Row],[Material Name]]</f>
        <v>45203_JC 144Core</v>
      </c>
      <c r="O78" t="str">
        <f>DO_DB[[#This Row],[SiteID]]</f>
        <v>CLR31-99-051</v>
      </c>
      <c r="P78" t="str">
        <f>DO_DB[[#This Row],[SiteID]]&amp;"_"&amp;DO_DB[[#This Row],[Material Name]]</f>
        <v>CLR31-99-051_JC 144Core</v>
      </c>
      <c r="Q78" t="str">
        <f>DO_DB[[#This Row],[DO Number]]</f>
        <v>DOEID231003A0</v>
      </c>
      <c r="R78" t="str">
        <f>DO_DB[[#This Row],[DN Number]]</f>
        <v>DNWID0362023100323</v>
      </c>
    </row>
    <row r="79" spans="1:18">
      <c r="A79" t="s">
        <v>262</v>
      </c>
      <c r="B79" t="s">
        <v>263</v>
      </c>
      <c r="C79" s="172" t="s">
        <v>4482</v>
      </c>
      <c r="D79" t="s">
        <v>71</v>
      </c>
      <c r="E79" t="s">
        <v>26</v>
      </c>
      <c r="F79" t="s">
        <v>3148</v>
      </c>
      <c r="G79" t="s">
        <v>264</v>
      </c>
      <c r="H79" t="s">
        <v>265</v>
      </c>
      <c r="I79" s="130">
        <v>45203</v>
      </c>
      <c r="J79" t="s">
        <v>14</v>
      </c>
      <c r="K79">
        <v>1</v>
      </c>
      <c r="M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9" t="str">
        <f>DO_DB[[#This Row],[Material Pick-update]]&amp;"_"&amp;DO_DB[[#This Row],[Material Name]]</f>
        <v>45203_FDT-48</v>
      </c>
      <c r="O79" t="str">
        <f>DO_DB[[#This Row],[SiteID]]</f>
        <v>CLR31-99-051</v>
      </c>
      <c r="P79" t="str">
        <f>DO_DB[[#This Row],[SiteID]]&amp;"_"&amp;DO_DB[[#This Row],[Material Name]]</f>
        <v>CLR31-99-051_FDT-48</v>
      </c>
      <c r="Q79" t="str">
        <f>DO_DB[[#This Row],[DO Number]]</f>
        <v>DOEID231003A1</v>
      </c>
      <c r="R79" t="str">
        <f>DO_DB[[#This Row],[DN Number]]</f>
        <v>DNWID0342023100315</v>
      </c>
    </row>
    <row r="80" spans="1:18">
      <c r="A80" t="s">
        <v>266</v>
      </c>
      <c r="B80" t="s">
        <v>267</v>
      </c>
      <c r="C80" s="172" t="s">
        <v>4482</v>
      </c>
      <c r="D80" t="s">
        <v>71</v>
      </c>
      <c r="E80" t="s">
        <v>26</v>
      </c>
      <c r="F80" t="s">
        <v>3148</v>
      </c>
      <c r="G80" t="s">
        <v>282</v>
      </c>
      <c r="H80" t="s">
        <v>283</v>
      </c>
      <c r="I80" s="130">
        <v>45203</v>
      </c>
      <c r="J80" t="s">
        <v>3069</v>
      </c>
      <c r="K80">
        <v>40</v>
      </c>
      <c r="M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0" t="str">
        <f>DO_DB[[#This Row],[Material Pick-update]]&amp;"_"&amp;DO_DB[[#This Row],[Material Name]]</f>
        <v>45203_Pole 7M 4"</v>
      </c>
      <c r="O80" t="str">
        <f>DO_DB[[#This Row],[SiteID]]</f>
        <v>CLR31-99-052</v>
      </c>
      <c r="P80" t="str">
        <f>DO_DB[[#This Row],[SiteID]]&amp;"_"&amp;DO_DB[[#This Row],[Material Name]]</f>
        <v>CLR31-99-052_Pole 7M 4"</v>
      </c>
      <c r="Q80" t="str">
        <f>DO_DB[[#This Row],[DO Number]]</f>
        <v>DOEID231003A2</v>
      </c>
      <c r="R80" t="str">
        <f>DO_DB[[#This Row],[DN Number]]</f>
        <v>DNWID0362023100324</v>
      </c>
    </row>
    <row r="81" spans="1:18">
      <c r="A81" t="s">
        <v>266</v>
      </c>
      <c r="B81" t="s">
        <v>267</v>
      </c>
      <c r="C81" s="172" t="s">
        <v>4482</v>
      </c>
      <c r="D81" t="s">
        <v>71</v>
      </c>
      <c r="E81" t="s">
        <v>26</v>
      </c>
      <c r="F81" t="s">
        <v>3148</v>
      </c>
      <c r="G81" t="s">
        <v>282</v>
      </c>
      <c r="H81" t="s">
        <v>283</v>
      </c>
      <c r="I81" s="130">
        <v>45203</v>
      </c>
      <c r="J81" t="s">
        <v>3070</v>
      </c>
      <c r="K81">
        <v>17</v>
      </c>
      <c r="M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1" t="str">
        <f>DO_DB[[#This Row],[Material Pick-update]]&amp;"_"&amp;DO_DB[[#This Row],[Material Name]]</f>
        <v>45203_Pole 7M 3"</v>
      </c>
      <c r="O81" t="str">
        <f>DO_DB[[#This Row],[SiteID]]</f>
        <v>CLR31-99-052</v>
      </c>
      <c r="P81" t="str">
        <f>DO_DB[[#This Row],[SiteID]]&amp;"_"&amp;DO_DB[[#This Row],[Material Name]]</f>
        <v>CLR31-99-052_Pole 7M 3"</v>
      </c>
      <c r="Q81" t="str">
        <f>DO_DB[[#This Row],[DO Number]]</f>
        <v>DOEID231003A2</v>
      </c>
      <c r="R81" t="str">
        <f>DO_DB[[#This Row],[DN Number]]</f>
        <v>DNWID0362023100324</v>
      </c>
    </row>
    <row r="82" spans="1:18">
      <c r="A82" t="s">
        <v>266</v>
      </c>
      <c r="B82" t="s">
        <v>267</v>
      </c>
      <c r="C82" s="172" t="s">
        <v>4482</v>
      </c>
      <c r="D82" t="s">
        <v>71</v>
      </c>
      <c r="E82" t="s">
        <v>26</v>
      </c>
      <c r="F82" t="s">
        <v>3148</v>
      </c>
      <c r="G82" t="s">
        <v>268</v>
      </c>
      <c r="H82" t="s">
        <v>269</v>
      </c>
      <c r="I82" s="130">
        <v>45203</v>
      </c>
      <c r="J82" t="s">
        <v>14</v>
      </c>
      <c r="K82">
        <v>1</v>
      </c>
      <c r="M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2" t="str">
        <f>DO_DB[[#This Row],[Material Pick-update]]&amp;"_"&amp;DO_DB[[#This Row],[Material Name]]</f>
        <v>45203_FDT-48</v>
      </c>
      <c r="O82" t="str">
        <f>DO_DB[[#This Row],[SiteID]]</f>
        <v>CLR31-99-052</v>
      </c>
      <c r="P82" t="str">
        <f>DO_DB[[#This Row],[SiteID]]&amp;"_"&amp;DO_DB[[#This Row],[Material Name]]</f>
        <v>CLR31-99-052_FDT-48</v>
      </c>
      <c r="Q82" t="str">
        <f>DO_DB[[#This Row],[DO Number]]</f>
        <v>DOEID231003A3</v>
      </c>
      <c r="R82" t="str">
        <f>DO_DB[[#This Row],[DN Number]]</f>
        <v>DNWID0342023100316</v>
      </c>
    </row>
    <row r="83" spans="1:18">
      <c r="A83" t="s">
        <v>242</v>
      </c>
      <c r="B83" t="s">
        <v>243</v>
      </c>
      <c r="C83" s="172" t="s">
        <v>4482</v>
      </c>
      <c r="D83" t="s">
        <v>71</v>
      </c>
      <c r="E83" t="s">
        <v>26</v>
      </c>
      <c r="F83" t="s">
        <v>3148</v>
      </c>
      <c r="G83" t="s">
        <v>244</v>
      </c>
      <c r="H83" t="s">
        <v>245</v>
      </c>
      <c r="I83" s="130">
        <v>45203</v>
      </c>
      <c r="J83" t="s">
        <v>3073</v>
      </c>
      <c r="K83">
        <v>6000</v>
      </c>
      <c r="M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24C-2023104-01</v>
      </c>
      <c r="N83" t="str">
        <f>DO_DB[[#This Row],[Material Pick-update]]&amp;"_"&amp;DO_DB[[#This Row],[Material Name]]</f>
        <v>45203_ADSS 24C</v>
      </c>
      <c r="O83" t="str">
        <f>DO_DB[[#This Row],[SiteID]]</f>
        <v>CLR31-05-027</v>
      </c>
      <c r="P83" t="str">
        <f>DO_DB[[#This Row],[SiteID]]&amp;"_"&amp;DO_DB[[#This Row],[Material Name]]</f>
        <v>CLR31-05-027_ADSS 24C</v>
      </c>
      <c r="Q83" t="str">
        <f>DO_DB[[#This Row],[DO Number]]</f>
        <v>DOEID23100391</v>
      </c>
      <c r="R83" t="str">
        <f>DO_DB[[#This Row],[DN Number]]</f>
        <v>DNWID0342023100310</v>
      </c>
    </row>
    <row r="84" spans="1:18">
      <c r="A84" t="s">
        <v>262</v>
      </c>
      <c r="B84" t="s">
        <v>263</v>
      </c>
      <c r="C84" s="172" t="s">
        <v>4482</v>
      </c>
      <c r="D84" t="s">
        <v>71</v>
      </c>
      <c r="E84" t="s">
        <v>26</v>
      </c>
      <c r="F84" t="s">
        <v>3148</v>
      </c>
      <c r="G84" t="s">
        <v>264</v>
      </c>
      <c r="H84" t="s">
        <v>265</v>
      </c>
      <c r="I84" s="130">
        <v>45203</v>
      </c>
      <c r="J84" t="s">
        <v>3073</v>
      </c>
      <c r="K84">
        <v>6000</v>
      </c>
      <c r="M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24C-2023104-01</v>
      </c>
      <c r="N84" t="str">
        <f>DO_DB[[#This Row],[Material Pick-update]]&amp;"_"&amp;DO_DB[[#This Row],[Material Name]]</f>
        <v>45203_ADSS 24C</v>
      </c>
      <c r="O84" t="str">
        <f>DO_DB[[#This Row],[SiteID]]</f>
        <v>CLR31-99-051</v>
      </c>
      <c r="P84" t="str">
        <f>DO_DB[[#This Row],[SiteID]]&amp;"_"&amp;DO_DB[[#This Row],[Material Name]]</f>
        <v>CLR31-99-051_ADSS 24C</v>
      </c>
      <c r="Q84" t="str">
        <f>DO_DB[[#This Row],[DO Number]]</f>
        <v>DOEID231003A1</v>
      </c>
      <c r="R84" t="str">
        <f>DO_DB[[#This Row],[DN Number]]</f>
        <v>DNWID0342023100315</v>
      </c>
    </row>
    <row r="85" spans="1:18">
      <c r="A85" t="s">
        <v>242</v>
      </c>
      <c r="B85" t="s">
        <v>243</v>
      </c>
      <c r="C85" s="172" t="s">
        <v>4482</v>
      </c>
      <c r="D85" t="s">
        <v>71</v>
      </c>
      <c r="E85" t="s">
        <v>26</v>
      </c>
      <c r="F85" t="s">
        <v>3148</v>
      </c>
      <c r="G85" t="s">
        <v>286</v>
      </c>
      <c r="H85" t="s">
        <v>287</v>
      </c>
      <c r="I85" s="130">
        <v>45209</v>
      </c>
      <c r="J85" t="s">
        <v>3069</v>
      </c>
      <c r="K85">
        <v>44</v>
      </c>
      <c r="M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5" t="str">
        <f>DO_DB[[#This Row],[Material Pick-update]]&amp;"_"&amp;DO_DB[[#This Row],[Material Name]]</f>
        <v>45209_Pole 7M 4"</v>
      </c>
      <c r="O85" t="str">
        <f>DO_DB[[#This Row],[SiteID]]</f>
        <v>CLR31-05-027</v>
      </c>
      <c r="P85" t="str">
        <f>DO_DB[[#This Row],[SiteID]]&amp;"_"&amp;DO_DB[[#This Row],[Material Name]]</f>
        <v>CLR31-05-027_Pole 7M 4"</v>
      </c>
      <c r="Q85" t="str">
        <f>DO_DB[[#This Row],[DO Number]]</f>
        <v>DOEID23100939</v>
      </c>
      <c r="R85" t="str">
        <f>DO_DB[[#This Row],[DN Number]]</f>
        <v>DNWID0362023100916</v>
      </c>
    </row>
    <row r="86" spans="1:18">
      <c r="A86" t="s">
        <v>246</v>
      </c>
      <c r="B86" t="s">
        <v>247</v>
      </c>
      <c r="C86" s="172" t="s">
        <v>4482</v>
      </c>
      <c r="D86" t="s">
        <v>71</v>
      </c>
      <c r="E86" t="s">
        <v>26</v>
      </c>
      <c r="F86" t="s">
        <v>3148</v>
      </c>
      <c r="G86" t="s">
        <v>292</v>
      </c>
      <c r="H86" t="s">
        <v>293</v>
      </c>
      <c r="I86" s="130">
        <v>45209</v>
      </c>
      <c r="J86" t="s">
        <v>3069</v>
      </c>
      <c r="K86">
        <v>50</v>
      </c>
      <c r="M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6" t="str">
        <f>DO_DB[[#This Row],[Material Pick-update]]&amp;"_"&amp;DO_DB[[#This Row],[Material Name]]</f>
        <v>45209_Pole 7M 4"</v>
      </c>
      <c r="O86" t="str">
        <f>DO_DB[[#This Row],[SiteID]]</f>
        <v>CLR31-99-047</v>
      </c>
      <c r="P86" t="str">
        <f>DO_DB[[#This Row],[SiteID]]&amp;"_"&amp;DO_DB[[#This Row],[Material Name]]</f>
        <v>CLR31-99-047_Pole 7M 4"</v>
      </c>
      <c r="Q86" t="str">
        <f>DO_DB[[#This Row],[DO Number]]</f>
        <v>DOEID23100944</v>
      </c>
      <c r="R86" t="str">
        <f>DO_DB[[#This Row],[DN Number]]</f>
        <v>DNWID0362023100919</v>
      </c>
    </row>
    <row r="87" spans="1:18">
      <c r="A87" t="s">
        <v>250</v>
      </c>
      <c r="B87" t="s">
        <v>251</v>
      </c>
      <c r="C87" s="172" t="s">
        <v>4482</v>
      </c>
      <c r="D87" t="s">
        <v>71</v>
      </c>
      <c r="E87" t="s">
        <v>26</v>
      </c>
      <c r="F87" t="s">
        <v>3148</v>
      </c>
      <c r="G87" t="s">
        <v>284</v>
      </c>
      <c r="H87" t="s">
        <v>285</v>
      </c>
      <c r="I87" s="130">
        <v>45209</v>
      </c>
      <c r="J87" t="s">
        <v>3069</v>
      </c>
      <c r="K87">
        <v>12</v>
      </c>
      <c r="M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7" t="str">
        <f>DO_DB[[#This Row],[Material Pick-update]]&amp;"_"&amp;DO_DB[[#This Row],[Material Name]]</f>
        <v>45209_Pole 7M 4"</v>
      </c>
      <c r="O87" t="str">
        <f>DO_DB[[#This Row],[SiteID]]</f>
        <v>CLR31-99-048</v>
      </c>
      <c r="P87" t="str">
        <f>DO_DB[[#This Row],[SiteID]]&amp;"_"&amp;DO_DB[[#This Row],[Material Name]]</f>
        <v>CLR31-99-048_Pole 7M 4"</v>
      </c>
      <c r="Q87" t="str">
        <f>DO_DB[[#This Row],[DO Number]]</f>
        <v>DOEID23100947</v>
      </c>
      <c r="R87" t="str">
        <f>DO_DB[[#This Row],[DN Number]]</f>
        <v>DNWID0362023100915</v>
      </c>
    </row>
    <row r="88" spans="1:18">
      <c r="A88" t="s">
        <v>258</v>
      </c>
      <c r="B88" t="s">
        <v>259</v>
      </c>
      <c r="C88" s="172" t="s">
        <v>4482</v>
      </c>
      <c r="D88" t="s">
        <v>71</v>
      </c>
      <c r="E88" t="s">
        <v>26</v>
      </c>
      <c r="F88" t="s">
        <v>3148</v>
      </c>
      <c r="G88" t="s">
        <v>288</v>
      </c>
      <c r="H88" t="s">
        <v>289</v>
      </c>
      <c r="I88" s="130">
        <v>45209</v>
      </c>
      <c r="J88" t="s">
        <v>3069</v>
      </c>
      <c r="K88">
        <v>22</v>
      </c>
      <c r="M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8" t="str">
        <f>DO_DB[[#This Row],[Material Pick-update]]&amp;"_"&amp;DO_DB[[#This Row],[Material Name]]</f>
        <v>45209_Pole 7M 4"</v>
      </c>
      <c r="O88" t="str">
        <f>DO_DB[[#This Row],[SiteID]]</f>
        <v>CLR31-99-050</v>
      </c>
      <c r="P88" t="str">
        <f>DO_DB[[#This Row],[SiteID]]&amp;"_"&amp;DO_DB[[#This Row],[Material Name]]</f>
        <v>CLR31-99-050_Pole 7M 4"</v>
      </c>
      <c r="Q88" t="str">
        <f>DO_DB[[#This Row],[DO Number]]</f>
        <v>DOEID23100958</v>
      </c>
      <c r="R88" t="str">
        <f>DO_DB[[#This Row],[DN Number]]</f>
        <v>DNWID0362023100917</v>
      </c>
    </row>
    <row r="89" spans="1:18">
      <c r="A89" t="s">
        <v>262</v>
      </c>
      <c r="B89" t="s">
        <v>263</v>
      </c>
      <c r="C89" s="172" t="s">
        <v>4482</v>
      </c>
      <c r="D89" t="s">
        <v>71</v>
      </c>
      <c r="E89" t="s">
        <v>26</v>
      </c>
      <c r="F89" t="s">
        <v>3148</v>
      </c>
      <c r="G89" t="s">
        <v>290</v>
      </c>
      <c r="H89" t="s">
        <v>291</v>
      </c>
      <c r="I89" s="130">
        <v>45209</v>
      </c>
      <c r="J89" t="s">
        <v>3069</v>
      </c>
      <c r="K89">
        <v>88</v>
      </c>
      <c r="M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9" t="str">
        <f>DO_DB[[#This Row],[Material Pick-update]]&amp;"_"&amp;DO_DB[[#This Row],[Material Name]]</f>
        <v>45209_Pole 7M 4"</v>
      </c>
      <c r="O89" t="str">
        <f>DO_DB[[#This Row],[SiteID]]</f>
        <v>CLR31-99-051</v>
      </c>
      <c r="P89" t="str">
        <f>DO_DB[[#This Row],[SiteID]]&amp;"_"&amp;DO_DB[[#This Row],[Material Name]]</f>
        <v>CLR31-99-051_Pole 7M 4"</v>
      </c>
      <c r="Q89" t="str">
        <f>DO_DB[[#This Row],[DO Number]]</f>
        <v>DOEID23100960</v>
      </c>
      <c r="R89" t="str">
        <f>DO_DB[[#This Row],[DN Number]]</f>
        <v>DNWID0362023100918</v>
      </c>
    </row>
    <row r="90" spans="1:18">
      <c r="A90" t="s">
        <v>242</v>
      </c>
      <c r="B90" t="s">
        <v>243</v>
      </c>
      <c r="C90" s="172" t="s">
        <v>4482</v>
      </c>
      <c r="D90" t="s">
        <v>71</v>
      </c>
      <c r="E90" t="s">
        <v>26</v>
      </c>
      <c r="F90" t="s">
        <v>3148</v>
      </c>
      <c r="G90" t="s">
        <v>302</v>
      </c>
      <c r="H90" t="s">
        <v>303</v>
      </c>
      <c r="I90" s="130">
        <v>45211</v>
      </c>
      <c r="J90" t="s">
        <v>13</v>
      </c>
      <c r="K90">
        <v>19</v>
      </c>
      <c r="M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0" t="str">
        <f>DO_DB[[#This Row],[Material Pick-update]]&amp;"_"&amp;DO_DB[[#This Row],[Material Name]]</f>
        <v>45211_FAT-16</v>
      </c>
      <c r="O90" t="str">
        <f>DO_DB[[#This Row],[SiteID]]</f>
        <v>CLR31-05-027</v>
      </c>
      <c r="P90" t="str">
        <f>DO_DB[[#This Row],[SiteID]]&amp;"_"&amp;DO_DB[[#This Row],[Material Name]]</f>
        <v>CLR31-05-027_FAT-16</v>
      </c>
      <c r="Q90" t="str">
        <f>DO_DB[[#This Row],[DO Number]]</f>
        <v>DOEID23100942</v>
      </c>
      <c r="R90" t="str">
        <f>DO_DB[[#This Row],[DN Number]]</f>
        <v>DNWID0342023100917</v>
      </c>
    </row>
    <row r="91" spans="1:18">
      <c r="A91" t="s">
        <v>246</v>
      </c>
      <c r="B91" t="s">
        <v>247</v>
      </c>
      <c r="C91" s="172" t="s">
        <v>4482</v>
      </c>
      <c r="D91" t="s">
        <v>71</v>
      </c>
      <c r="E91" t="s">
        <v>26</v>
      </c>
      <c r="F91" t="s">
        <v>3148</v>
      </c>
      <c r="G91" t="s">
        <v>306</v>
      </c>
      <c r="H91" t="s">
        <v>307</v>
      </c>
      <c r="I91" s="130">
        <v>45211</v>
      </c>
      <c r="J91" t="s">
        <v>13</v>
      </c>
      <c r="K91">
        <v>22</v>
      </c>
      <c r="M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1" t="str">
        <f>DO_DB[[#This Row],[Material Pick-update]]&amp;"_"&amp;DO_DB[[#This Row],[Material Name]]</f>
        <v>45211_FAT-16</v>
      </c>
      <c r="O91" t="str">
        <f>DO_DB[[#This Row],[SiteID]]</f>
        <v>CLR31-99-047</v>
      </c>
      <c r="P91" t="str">
        <f>DO_DB[[#This Row],[SiteID]]&amp;"_"&amp;DO_DB[[#This Row],[Material Name]]</f>
        <v>CLR31-99-047_FAT-16</v>
      </c>
      <c r="Q91" t="str">
        <f>DO_DB[[#This Row],[DO Number]]</f>
        <v>DOEID23100945</v>
      </c>
      <c r="R91" t="str">
        <f>DO_DB[[#This Row],[DN Number]]</f>
        <v>DNWID0342023100919</v>
      </c>
    </row>
    <row r="92" spans="1:18">
      <c r="A92" t="s">
        <v>250</v>
      </c>
      <c r="B92" t="s">
        <v>251</v>
      </c>
      <c r="C92" s="172" t="s">
        <v>4482</v>
      </c>
      <c r="D92" t="s">
        <v>71</v>
      </c>
      <c r="E92" t="s">
        <v>26</v>
      </c>
      <c r="F92" t="s">
        <v>3148</v>
      </c>
      <c r="G92" t="s">
        <v>296</v>
      </c>
      <c r="H92" t="s">
        <v>297</v>
      </c>
      <c r="I92" s="130">
        <v>45211</v>
      </c>
      <c r="J92" t="s">
        <v>13</v>
      </c>
      <c r="K92">
        <v>15</v>
      </c>
      <c r="M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2" t="str">
        <f>DO_DB[[#This Row],[Material Pick-update]]&amp;"_"&amp;DO_DB[[#This Row],[Material Name]]</f>
        <v>45211_FAT-16</v>
      </c>
      <c r="O92" t="str">
        <f>DO_DB[[#This Row],[SiteID]]</f>
        <v>CLR31-99-048</v>
      </c>
      <c r="P92" t="str">
        <f>DO_DB[[#This Row],[SiteID]]&amp;"_"&amp;DO_DB[[#This Row],[Material Name]]</f>
        <v>CLR31-99-048_FAT-16</v>
      </c>
      <c r="Q92" t="str">
        <f>DO_DB[[#This Row],[DO Number]]</f>
        <v>DOEID23100950</v>
      </c>
      <c r="R92" t="str">
        <f>DO_DB[[#This Row],[DN Number]]</f>
        <v>DNWID0342023100914</v>
      </c>
    </row>
    <row r="93" spans="1:18">
      <c r="A93" t="s">
        <v>254</v>
      </c>
      <c r="B93" t="s">
        <v>255</v>
      </c>
      <c r="C93" s="172" t="s">
        <v>4482</v>
      </c>
      <c r="D93" t="s">
        <v>71</v>
      </c>
      <c r="E93" t="s">
        <v>26</v>
      </c>
      <c r="F93" t="s">
        <v>3148</v>
      </c>
      <c r="G93" t="s">
        <v>304</v>
      </c>
      <c r="H93" t="s">
        <v>305</v>
      </c>
      <c r="I93" s="130">
        <v>45211</v>
      </c>
      <c r="J93" t="s">
        <v>13</v>
      </c>
      <c r="K93">
        <v>15</v>
      </c>
      <c r="M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3" t="str">
        <f>DO_DB[[#This Row],[Material Pick-update]]&amp;"_"&amp;DO_DB[[#This Row],[Material Name]]</f>
        <v>45211_FAT-16</v>
      </c>
      <c r="O93" t="str">
        <f>DO_DB[[#This Row],[SiteID]]</f>
        <v>CLR31-99-049</v>
      </c>
      <c r="P93" t="str">
        <f>DO_DB[[#This Row],[SiteID]]&amp;"_"&amp;DO_DB[[#This Row],[Material Name]]</f>
        <v>CLR31-99-049_FAT-16</v>
      </c>
      <c r="Q93" t="str">
        <f>DO_DB[[#This Row],[DO Number]]</f>
        <v>DOEID23100957</v>
      </c>
      <c r="R93" t="str">
        <f>DO_DB[[#This Row],[DN Number]]</f>
        <v>DNWID0342023100918</v>
      </c>
    </row>
    <row r="94" spans="1:18">
      <c r="A94" t="s">
        <v>258</v>
      </c>
      <c r="B94" t="s">
        <v>259</v>
      </c>
      <c r="C94" s="172" t="s">
        <v>4482</v>
      </c>
      <c r="D94" t="s">
        <v>71</v>
      </c>
      <c r="E94" t="s">
        <v>26</v>
      </c>
      <c r="F94" t="s">
        <v>3148</v>
      </c>
      <c r="G94" t="s">
        <v>294</v>
      </c>
      <c r="H94" t="s">
        <v>295</v>
      </c>
      <c r="I94" s="130">
        <v>45211</v>
      </c>
      <c r="J94" t="s">
        <v>13</v>
      </c>
      <c r="K94">
        <v>24</v>
      </c>
      <c r="M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4" t="str">
        <f>DO_DB[[#This Row],[Material Pick-update]]&amp;"_"&amp;DO_DB[[#This Row],[Material Name]]</f>
        <v>45211_FAT-16</v>
      </c>
      <c r="O94" t="str">
        <f>DO_DB[[#This Row],[SiteID]]</f>
        <v>CLR31-99-050</v>
      </c>
      <c r="P94" t="str">
        <f>DO_DB[[#This Row],[SiteID]]&amp;"_"&amp;DO_DB[[#This Row],[Material Name]]</f>
        <v>CLR31-99-050_FAT-16</v>
      </c>
      <c r="Q94" t="str">
        <f>DO_DB[[#This Row],[DO Number]]</f>
        <v>DOEID23100959</v>
      </c>
      <c r="R94" t="str">
        <f>DO_DB[[#This Row],[DN Number]]</f>
        <v>DNWID0342023100913</v>
      </c>
    </row>
    <row r="95" spans="1:18">
      <c r="A95" t="s">
        <v>262</v>
      </c>
      <c r="B95" t="s">
        <v>263</v>
      </c>
      <c r="C95" s="172" t="s">
        <v>4482</v>
      </c>
      <c r="D95" t="s">
        <v>71</v>
      </c>
      <c r="E95" t="s">
        <v>26</v>
      </c>
      <c r="F95" t="s">
        <v>3148</v>
      </c>
      <c r="G95" t="s">
        <v>300</v>
      </c>
      <c r="H95" t="s">
        <v>301</v>
      </c>
      <c r="I95" s="130">
        <v>45211</v>
      </c>
      <c r="J95" t="s">
        <v>13</v>
      </c>
      <c r="K95">
        <v>13</v>
      </c>
      <c r="M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5" t="str">
        <f>DO_DB[[#This Row],[Material Pick-update]]&amp;"_"&amp;DO_DB[[#This Row],[Material Name]]</f>
        <v>45211_FAT-16</v>
      </c>
      <c r="O95" t="str">
        <f>DO_DB[[#This Row],[SiteID]]</f>
        <v>CLR31-99-051</v>
      </c>
      <c r="P95" t="str">
        <f>DO_DB[[#This Row],[SiteID]]&amp;"_"&amp;DO_DB[[#This Row],[Material Name]]</f>
        <v>CLR31-99-051_FAT-16</v>
      </c>
      <c r="Q95" t="str">
        <f>DO_DB[[#This Row],[DO Number]]</f>
        <v>DOEID23100961</v>
      </c>
      <c r="R95" t="str">
        <f>DO_DB[[#This Row],[DN Number]]</f>
        <v>DNWID0342023100916</v>
      </c>
    </row>
    <row r="96" spans="1:18">
      <c r="A96" t="s">
        <v>266</v>
      </c>
      <c r="B96" t="s">
        <v>267</v>
      </c>
      <c r="C96" s="172" t="s">
        <v>4482</v>
      </c>
      <c r="D96" t="s">
        <v>71</v>
      </c>
      <c r="E96" t="s">
        <v>26</v>
      </c>
      <c r="F96" t="s">
        <v>3148</v>
      </c>
      <c r="G96" t="s">
        <v>298</v>
      </c>
      <c r="H96" t="s">
        <v>299</v>
      </c>
      <c r="I96" s="130">
        <v>45211</v>
      </c>
      <c r="J96" t="s">
        <v>13</v>
      </c>
      <c r="K96">
        <v>22</v>
      </c>
      <c r="M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6" t="str">
        <f>DO_DB[[#This Row],[Material Pick-update]]&amp;"_"&amp;DO_DB[[#This Row],[Material Name]]</f>
        <v>45211_FAT-16</v>
      </c>
      <c r="O96" t="str">
        <f>DO_DB[[#This Row],[SiteID]]</f>
        <v>CLR31-99-052</v>
      </c>
      <c r="P96" t="str">
        <f>DO_DB[[#This Row],[SiteID]]&amp;"_"&amp;DO_DB[[#This Row],[Material Name]]</f>
        <v>CLR31-99-052_FAT-16</v>
      </c>
      <c r="Q96" t="str">
        <f>DO_DB[[#This Row],[DO Number]]</f>
        <v>DOEID23100963</v>
      </c>
      <c r="R96" t="str">
        <f>DO_DB[[#This Row],[DN Number]]</f>
        <v>DNWID0342023100915</v>
      </c>
    </row>
    <row r="97" spans="1:18">
      <c r="A97" t="s">
        <v>380</v>
      </c>
      <c r="B97" t="s">
        <v>381</v>
      </c>
      <c r="C97" s="172" t="s">
        <v>4482</v>
      </c>
      <c r="D97" t="s">
        <v>71</v>
      </c>
      <c r="E97" t="s">
        <v>26</v>
      </c>
      <c r="F97" t="s">
        <v>3148</v>
      </c>
      <c r="G97" t="s">
        <v>382</v>
      </c>
      <c r="H97" t="s">
        <v>383</v>
      </c>
      <c r="I97" s="130">
        <v>45223</v>
      </c>
      <c r="J97" t="s">
        <v>3075</v>
      </c>
      <c r="K97">
        <v>3000</v>
      </c>
      <c r="M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48C-20231024-01</v>
      </c>
      <c r="N97" t="str">
        <f>DO_DB[[#This Row],[Material Pick-update]]&amp;"_"&amp;DO_DB[[#This Row],[Material Name]]</f>
        <v>45223_ADSS 48C</v>
      </c>
      <c r="O97" t="str">
        <f>DO_DB[[#This Row],[SiteID]]</f>
        <v>CLR31-99-058</v>
      </c>
      <c r="P97" t="str">
        <f>DO_DB[[#This Row],[SiteID]]&amp;"_"&amp;DO_DB[[#This Row],[Material Name]]</f>
        <v>CLR31-99-058_ADSS 48C</v>
      </c>
      <c r="Q97" t="str">
        <f>DO_DB[[#This Row],[DO Number]]</f>
        <v>DOEID23102355</v>
      </c>
      <c r="R97" t="str">
        <f>DO_DB[[#This Row],[DN Number]]</f>
        <v>DNWID0342023102322</v>
      </c>
    </row>
    <row r="98" spans="1:18">
      <c r="A98" t="s">
        <v>384</v>
      </c>
      <c r="B98" t="s">
        <v>385</v>
      </c>
      <c r="C98" s="172" t="s">
        <v>4482</v>
      </c>
      <c r="D98" t="s">
        <v>71</v>
      </c>
      <c r="E98" t="s">
        <v>26</v>
      </c>
      <c r="F98" t="s">
        <v>3148</v>
      </c>
      <c r="G98" t="s">
        <v>386</v>
      </c>
      <c r="H98" t="s">
        <v>387</v>
      </c>
      <c r="I98" s="130">
        <v>45223</v>
      </c>
      <c r="J98" t="s">
        <v>3075</v>
      </c>
      <c r="K98">
        <v>3000</v>
      </c>
      <c r="M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48C-20231024-01</v>
      </c>
      <c r="N98" t="str">
        <f>DO_DB[[#This Row],[Material Pick-update]]&amp;"_"&amp;DO_DB[[#This Row],[Material Name]]</f>
        <v>45223_ADSS 48C</v>
      </c>
      <c r="O98" t="str">
        <f>DO_DB[[#This Row],[SiteID]]</f>
        <v>CLR31-99-035</v>
      </c>
      <c r="P98" t="str">
        <f>DO_DB[[#This Row],[SiteID]]&amp;"_"&amp;DO_DB[[#This Row],[Material Name]]</f>
        <v>CLR31-99-035_ADSS 48C</v>
      </c>
      <c r="Q98" t="str">
        <f>DO_DB[[#This Row],[DO Number]]</f>
        <v>DOEID23102357</v>
      </c>
      <c r="R98" t="str">
        <f>DO_DB[[#This Row],[DN Number]]</f>
        <v>DNWID0342023102323</v>
      </c>
    </row>
    <row r="99" spans="1:18">
      <c r="A99" t="s">
        <v>388</v>
      </c>
      <c r="B99" t="s">
        <v>389</v>
      </c>
      <c r="C99" s="172" t="s">
        <v>4482</v>
      </c>
      <c r="D99" t="s">
        <v>71</v>
      </c>
      <c r="E99" t="s">
        <v>26</v>
      </c>
      <c r="F99" t="s">
        <v>3148</v>
      </c>
      <c r="G99" t="s">
        <v>390</v>
      </c>
      <c r="H99" t="s">
        <v>391</v>
      </c>
      <c r="I99" s="130">
        <v>45223</v>
      </c>
      <c r="J99" t="s">
        <v>3075</v>
      </c>
      <c r="K99">
        <v>3000</v>
      </c>
      <c r="M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48C-20231024-01</v>
      </c>
      <c r="N99" t="str">
        <f>DO_DB[[#This Row],[Material Pick-update]]&amp;"_"&amp;DO_DB[[#This Row],[Material Name]]</f>
        <v>45223_ADSS 48C</v>
      </c>
      <c r="O99" t="str">
        <f>DO_DB[[#This Row],[SiteID]]</f>
        <v>CLR31-99-039</v>
      </c>
      <c r="P99" t="str">
        <f>DO_DB[[#This Row],[SiteID]]&amp;"_"&amp;DO_DB[[#This Row],[Material Name]]</f>
        <v>CLR31-99-039_ADSS 48C</v>
      </c>
      <c r="Q99" t="str">
        <f>DO_DB[[#This Row],[DO Number]]</f>
        <v>DOEID23102360</v>
      </c>
      <c r="R99" t="str">
        <f>DO_DB[[#This Row],[DN Number]]</f>
        <v>DNWID0342023102324</v>
      </c>
    </row>
    <row r="100" spans="1:18">
      <c r="A100" t="s">
        <v>392</v>
      </c>
      <c r="B100" t="s">
        <v>393</v>
      </c>
      <c r="C100" s="172" t="s">
        <v>4482</v>
      </c>
      <c r="D100" t="s">
        <v>71</v>
      </c>
      <c r="E100" t="s">
        <v>26</v>
      </c>
      <c r="F100" t="s">
        <v>3148</v>
      </c>
      <c r="G100" t="s">
        <v>394</v>
      </c>
      <c r="H100" t="s">
        <v>395</v>
      </c>
      <c r="I100" s="130">
        <v>45223</v>
      </c>
      <c r="J100" t="s">
        <v>3073</v>
      </c>
      <c r="K100">
        <v>3000</v>
      </c>
      <c r="M1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24C-20231024-01</v>
      </c>
      <c r="N100" t="str">
        <f>DO_DB[[#This Row],[Material Pick-update]]&amp;"_"&amp;DO_DB[[#This Row],[Material Name]]</f>
        <v>45223_ADSS 24C</v>
      </c>
      <c r="O100" t="str">
        <f>DO_DB[[#This Row],[SiteID]]</f>
        <v>CLR31-99-032</v>
      </c>
      <c r="P100" t="str">
        <f>DO_DB[[#This Row],[SiteID]]&amp;"_"&amp;DO_DB[[#This Row],[Material Name]]</f>
        <v>CLR31-99-032_ADSS 24C</v>
      </c>
      <c r="Q100" t="str">
        <f>DO_DB[[#This Row],[DO Number]]</f>
        <v>DOEID23102362</v>
      </c>
      <c r="R100" t="str">
        <f>DO_DB[[#This Row],[DN Number]]</f>
        <v>DNWID0342023102325</v>
      </c>
    </row>
    <row r="101" spans="1:18">
      <c r="A101" t="s">
        <v>372</v>
      </c>
      <c r="B101" t="s">
        <v>373</v>
      </c>
      <c r="C101" s="172" t="s">
        <v>4482</v>
      </c>
      <c r="D101" t="s">
        <v>71</v>
      </c>
      <c r="E101" t="s">
        <v>26</v>
      </c>
      <c r="F101" t="s">
        <v>3148</v>
      </c>
      <c r="G101" t="s">
        <v>374</v>
      </c>
      <c r="H101" t="s">
        <v>375</v>
      </c>
      <c r="I101" s="130">
        <v>45223</v>
      </c>
      <c r="J101" t="s">
        <v>3073</v>
      </c>
      <c r="K101">
        <v>3000</v>
      </c>
      <c r="M1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24C-20231024-01</v>
      </c>
      <c r="N101" t="str">
        <f>DO_DB[[#This Row],[Material Pick-update]]&amp;"_"&amp;DO_DB[[#This Row],[Material Name]]</f>
        <v>45223_ADSS 24C</v>
      </c>
      <c r="O101" t="str">
        <f>DO_DB[[#This Row],[SiteID]]</f>
        <v>CLR31-99-033</v>
      </c>
      <c r="P101" t="str">
        <f>DO_DB[[#This Row],[SiteID]]&amp;"_"&amp;DO_DB[[#This Row],[Material Name]]</f>
        <v>CLR31-99-033_ADSS 24C</v>
      </c>
      <c r="Q101" t="str">
        <f>DO_DB[[#This Row],[DO Number]]</f>
        <v>DOEID23102364</v>
      </c>
      <c r="R101" t="str">
        <f>DO_DB[[#This Row],[DN Number]]</f>
        <v>DNWID0342023102317</v>
      </c>
    </row>
    <row r="102" spans="1:18">
      <c r="A102" t="s">
        <v>380</v>
      </c>
      <c r="B102" t="s">
        <v>381</v>
      </c>
      <c r="C102" s="172" t="s">
        <v>4482</v>
      </c>
      <c r="D102" t="s">
        <v>71</v>
      </c>
      <c r="E102" t="s">
        <v>26</v>
      </c>
      <c r="F102" t="s">
        <v>3148</v>
      </c>
      <c r="G102" t="s">
        <v>398</v>
      </c>
      <c r="H102" t="s">
        <v>399</v>
      </c>
      <c r="I102" s="130">
        <v>45223</v>
      </c>
      <c r="J102" t="s">
        <v>3070</v>
      </c>
      <c r="K102">
        <v>8</v>
      </c>
      <c r="M1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2" t="str">
        <f>DO_DB[[#This Row],[Material Pick-update]]&amp;"_"&amp;DO_DB[[#This Row],[Material Name]]</f>
        <v>45223_Pole 7M 3"</v>
      </c>
      <c r="O102" t="str">
        <f>DO_DB[[#This Row],[SiteID]]</f>
        <v>CLR31-99-058</v>
      </c>
      <c r="P102" t="str">
        <f>DO_DB[[#This Row],[SiteID]]&amp;"_"&amp;DO_DB[[#This Row],[Material Name]]</f>
        <v>CLR31-99-058_Pole 7M 3"</v>
      </c>
      <c r="Q102" t="str">
        <f>DO_DB[[#This Row],[DO Number]]</f>
        <v>DOEID23102354</v>
      </c>
      <c r="R102" t="str">
        <f>DO_DB[[#This Row],[DN Number]]</f>
        <v>DNWID0362023102317</v>
      </c>
    </row>
    <row r="103" spans="1:18">
      <c r="A103" t="s">
        <v>380</v>
      </c>
      <c r="B103" t="s">
        <v>381</v>
      </c>
      <c r="C103" s="172" t="s">
        <v>4482</v>
      </c>
      <c r="D103" t="s">
        <v>71</v>
      </c>
      <c r="E103" t="s">
        <v>26</v>
      </c>
      <c r="F103" t="s">
        <v>3148</v>
      </c>
      <c r="G103" t="s">
        <v>398</v>
      </c>
      <c r="H103" t="s">
        <v>399</v>
      </c>
      <c r="I103" s="130">
        <v>45223</v>
      </c>
      <c r="J103" t="s">
        <v>3071</v>
      </c>
      <c r="K103">
        <v>1</v>
      </c>
      <c r="M1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3" t="str">
        <f>DO_DB[[#This Row],[Material Pick-update]]&amp;"_"&amp;DO_DB[[#This Row],[Material Name]]</f>
        <v>45223_Pole 9M</v>
      </c>
      <c r="O103" t="str">
        <f>DO_DB[[#This Row],[SiteID]]</f>
        <v>CLR31-99-058</v>
      </c>
      <c r="P103" t="str">
        <f>DO_DB[[#This Row],[SiteID]]&amp;"_"&amp;DO_DB[[#This Row],[Material Name]]</f>
        <v>CLR31-99-058_Pole 9M</v>
      </c>
      <c r="Q103" t="str">
        <f>DO_DB[[#This Row],[DO Number]]</f>
        <v>DOEID23102354</v>
      </c>
      <c r="R103" t="str">
        <f>DO_DB[[#This Row],[DN Number]]</f>
        <v>DNWID0362023102317</v>
      </c>
    </row>
    <row r="104" spans="1:18">
      <c r="A104" t="s">
        <v>380</v>
      </c>
      <c r="B104" t="s">
        <v>381</v>
      </c>
      <c r="C104" s="172" t="s">
        <v>4482</v>
      </c>
      <c r="D104" t="s">
        <v>71</v>
      </c>
      <c r="E104" t="s">
        <v>26</v>
      </c>
      <c r="F104" t="s">
        <v>3148</v>
      </c>
      <c r="G104" t="s">
        <v>382</v>
      </c>
      <c r="H104" t="s">
        <v>383</v>
      </c>
      <c r="I104" s="130">
        <v>45223</v>
      </c>
      <c r="J104" t="s">
        <v>14</v>
      </c>
      <c r="K104">
        <v>1</v>
      </c>
      <c r="M1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4" t="str">
        <f>DO_DB[[#This Row],[Material Pick-update]]&amp;"_"&amp;DO_DB[[#This Row],[Material Name]]</f>
        <v>45223_FDT-48</v>
      </c>
      <c r="O104" t="str">
        <f>DO_DB[[#This Row],[SiteID]]</f>
        <v>CLR31-99-058</v>
      </c>
      <c r="P104" t="str">
        <f>DO_DB[[#This Row],[SiteID]]&amp;"_"&amp;DO_DB[[#This Row],[Material Name]]</f>
        <v>CLR31-99-058_FDT-48</v>
      </c>
      <c r="Q104" t="str">
        <f>DO_DB[[#This Row],[DO Number]]</f>
        <v>DOEID23102355</v>
      </c>
      <c r="R104" t="str">
        <f>DO_DB[[#This Row],[DN Number]]</f>
        <v>DNWID0342023102322</v>
      </c>
    </row>
    <row r="105" spans="1:18">
      <c r="A105" t="s">
        <v>384</v>
      </c>
      <c r="B105" t="s">
        <v>385</v>
      </c>
      <c r="C105" s="172" t="s">
        <v>4482</v>
      </c>
      <c r="D105" t="s">
        <v>71</v>
      </c>
      <c r="E105" t="s">
        <v>26</v>
      </c>
      <c r="F105" t="s">
        <v>3148</v>
      </c>
      <c r="G105" t="s">
        <v>400</v>
      </c>
      <c r="H105" t="s">
        <v>401</v>
      </c>
      <c r="I105" s="130">
        <v>45223</v>
      </c>
      <c r="J105" t="s">
        <v>3069</v>
      </c>
      <c r="K105">
        <v>34</v>
      </c>
      <c r="M1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5" t="str">
        <f>DO_DB[[#This Row],[Material Pick-update]]&amp;"_"&amp;DO_DB[[#This Row],[Material Name]]</f>
        <v>45223_Pole 7M 4"</v>
      </c>
      <c r="O105" t="str">
        <f>DO_DB[[#This Row],[SiteID]]</f>
        <v>CLR31-99-035</v>
      </c>
      <c r="P105" t="str">
        <f>DO_DB[[#This Row],[SiteID]]&amp;"_"&amp;DO_DB[[#This Row],[Material Name]]</f>
        <v>CLR31-99-035_Pole 7M 4"</v>
      </c>
      <c r="Q105" t="str">
        <f>DO_DB[[#This Row],[DO Number]]</f>
        <v>DOEID23102356</v>
      </c>
      <c r="R105" t="str">
        <f>DO_DB[[#This Row],[DN Number]]</f>
        <v>DNWID0362023102318</v>
      </c>
    </row>
    <row r="106" spans="1:18">
      <c r="A106" t="s">
        <v>384</v>
      </c>
      <c r="B106" t="s">
        <v>385</v>
      </c>
      <c r="C106" s="172" t="s">
        <v>4482</v>
      </c>
      <c r="D106" t="s">
        <v>71</v>
      </c>
      <c r="E106" t="s">
        <v>26</v>
      </c>
      <c r="F106" t="s">
        <v>3148</v>
      </c>
      <c r="G106" t="s">
        <v>386</v>
      </c>
      <c r="H106" t="s">
        <v>387</v>
      </c>
      <c r="I106" s="130">
        <v>45223</v>
      </c>
      <c r="J106" t="s">
        <v>14</v>
      </c>
      <c r="K106">
        <v>1</v>
      </c>
      <c r="M1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6" t="str">
        <f>DO_DB[[#This Row],[Material Pick-update]]&amp;"_"&amp;DO_DB[[#This Row],[Material Name]]</f>
        <v>45223_FDT-48</v>
      </c>
      <c r="O106" t="str">
        <f>DO_DB[[#This Row],[SiteID]]</f>
        <v>CLR31-99-035</v>
      </c>
      <c r="P106" t="str">
        <f>DO_DB[[#This Row],[SiteID]]&amp;"_"&amp;DO_DB[[#This Row],[Material Name]]</f>
        <v>CLR31-99-035_FDT-48</v>
      </c>
      <c r="Q106" t="str">
        <f>DO_DB[[#This Row],[DO Number]]</f>
        <v>DOEID23102357</v>
      </c>
      <c r="R106" t="str">
        <f>DO_DB[[#This Row],[DN Number]]</f>
        <v>DNWID0342023102323</v>
      </c>
    </row>
    <row r="107" spans="1:18">
      <c r="A107" t="s">
        <v>402</v>
      </c>
      <c r="B107" t="s">
        <v>403</v>
      </c>
      <c r="C107" s="172" t="s">
        <v>4482</v>
      </c>
      <c r="D107" t="s">
        <v>71</v>
      </c>
      <c r="E107" t="s">
        <v>26</v>
      </c>
      <c r="F107" t="s">
        <v>3148</v>
      </c>
      <c r="G107" t="s">
        <v>404</v>
      </c>
      <c r="H107" t="s">
        <v>405</v>
      </c>
      <c r="I107" s="130">
        <v>45223</v>
      </c>
      <c r="J107" t="s">
        <v>3070</v>
      </c>
      <c r="K107">
        <v>2</v>
      </c>
      <c r="M1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7" t="str">
        <f>DO_DB[[#This Row],[Material Pick-update]]&amp;"_"&amp;DO_DB[[#This Row],[Material Name]]</f>
        <v>45223_Pole 7M 3"</v>
      </c>
      <c r="O107" t="str">
        <f>DO_DB[[#This Row],[SiteID]]</f>
        <v>CLR31-05-026</v>
      </c>
      <c r="P107" t="str">
        <f>DO_DB[[#This Row],[SiteID]]&amp;"_"&amp;DO_DB[[#This Row],[Material Name]]</f>
        <v>CLR31-05-026_Pole 7M 3"</v>
      </c>
      <c r="Q107" t="str">
        <f>DO_DB[[#This Row],[DO Number]]</f>
        <v>DOEID23102358</v>
      </c>
      <c r="R107" t="str">
        <f>DO_DB[[#This Row],[DN Number]]</f>
        <v>DNWID0362023102319</v>
      </c>
    </row>
    <row r="108" spans="1:18">
      <c r="A108" t="s">
        <v>388</v>
      </c>
      <c r="B108" t="s">
        <v>389</v>
      </c>
      <c r="C108" s="172" t="s">
        <v>4482</v>
      </c>
      <c r="D108" t="s">
        <v>71</v>
      </c>
      <c r="E108" t="s">
        <v>26</v>
      </c>
      <c r="F108" t="s">
        <v>3148</v>
      </c>
      <c r="G108" t="s">
        <v>406</v>
      </c>
      <c r="H108" t="s">
        <v>407</v>
      </c>
      <c r="I108" s="130">
        <v>45223</v>
      </c>
      <c r="J108" t="s">
        <v>3069</v>
      </c>
      <c r="K108">
        <v>47</v>
      </c>
      <c r="M1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8" t="str">
        <f>DO_DB[[#This Row],[Material Pick-update]]&amp;"_"&amp;DO_DB[[#This Row],[Material Name]]</f>
        <v>45223_Pole 7M 4"</v>
      </c>
      <c r="O108" t="str">
        <f>DO_DB[[#This Row],[SiteID]]</f>
        <v>CLR31-99-039</v>
      </c>
      <c r="P108" t="str">
        <f>DO_DB[[#This Row],[SiteID]]&amp;"_"&amp;DO_DB[[#This Row],[Material Name]]</f>
        <v>CLR31-99-039_Pole 7M 4"</v>
      </c>
      <c r="Q108" t="str">
        <f>DO_DB[[#This Row],[DO Number]]</f>
        <v>DOEID23102359</v>
      </c>
      <c r="R108" t="str">
        <f>DO_DB[[#This Row],[DN Number]]</f>
        <v>DNWID0362023102320</v>
      </c>
    </row>
    <row r="109" spans="1:18">
      <c r="A109" t="s">
        <v>388</v>
      </c>
      <c r="B109" t="s">
        <v>389</v>
      </c>
      <c r="C109" s="172" t="s">
        <v>4482</v>
      </c>
      <c r="D109" t="s">
        <v>71</v>
      </c>
      <c r="E109" t="s">
        <v>26</v>
      </c>
      <c r="F109" t="s">
        <v>3148</v>
      </c>
      <c r="G109" t="s">
        <v>406</v>
      </c>
      <c r="H109" t="s">
        <v>407</v>
      </c>
      <c r="I109" s="130">
        <v>45223</v>
      </c>
      <c r="J109" t="s">
        <v>3070</v>
      </c>
      <c r="K109">
        <v>12</v>
      </c>
      <c r="M1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9" t="str">
        <f>DO_DB[[#This Row],[Material Pick-update]]&amp;"_"&amp;DO_DB[[#This Row],[Material Name]]</f>
        <v>45223_Pole 7M 3"</v>
      </c>
      <c r="O109" t="str">
        <f>DO_DB[[#This Row],[SiteID]]</f>
        <v>CLR31-99-039</v>
      </c>
      <c r="P109" t="str">
        <f>DO_DB[[#This Row],[SiteID]]&amp;"_"&amp;DO_DB[[#This Row],[Material Name]]</f>
        <v>CLR31-99-039_Pole 7M 3"</v>
      </c>
      <c r="Q109" t="str">
        <f>DO_DB[[#This Row],[DO Number]]</f>
        <v>DOEID23102359</v>
      </c>
      <c r="R109" t="str">
        <f>DO_DB[[#This Row],[DN Number]]</f>
        <v>DNWID0362023102320</v>
      </c>
    </row>
    <row r="110" spans="1:18">
      <c r="A110" t="s">
        <v>392</v>
      </c>
      <c r="B110" t="s">
        <v>393</v>
      </c>
      <c r="C110" s="172" t="s">
        <v>4482</v>
      </c>
      <c r="D110" t="s">
        <v>71</v>
      </c>
      <c r="E110" t="s">
        <v>26</v>
      </c>
      <c r="F110" t="s">
        <v>3148</v>
      </c>
      <c r="G110" t="s">
        <v>408</v>
      </c>
      <c r="H110" t="s">
        <v>409</v>
      </c>
      <c r="I110" s="130">
        <v>45223</v>
      </c>
      <c r="J110" t="s">
        <v>3069</v>
      </c>
      <c r="K110">
        <v>45</v>
      </c>
      <c r="M1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0" t="str">
        <f>DO_DB[[#This Row],[Material Pick-update]]&amp;"_"&amp;DO_DB[[#This Row],[Material Name]]</f>
        <v>45223_Pole 7M 4"</v>
      </c>
      <c r="O110" t="str">
        <f>DO_DB[[#This Row],[SiteID]]</f>
        <v>CLR31-99-032</v>
      </c>
      <c r="P110" t="str">
        <f>DO_DB[[#This Row],[SiteID]]&amp;"_"&amp;DO_DB[[#This Row],[Material Name]]</f>
        <v>CLR31-99-032_Pole 7M 4"</v>
      </c>
      <c r="Q110" t="str">
        <f>DO_DB[[#This Row],[DO Number]]</f>
        <v>DOEID23102361</v>
      </c>
      <c r="R110" t="str">
        <f>DO_DB[[#This Row],[DN Number]]</f>
        <v>DNWID0362023102321</v>
      </c>
    </row>
    <row r="111" spans="1:18">
      <c r="A111" t="s">
        <v>392</v>
      </c>
      <c r="B111" t="s">
        <v>393</v>
      </c>
      <c r="C111" s="172" t="s">
        <v>4482</v>
      </c>
      <c r="D111" t="s">
        <v>71</v>
      </c>
      <c r="E111" t="s">
        <v>26</v>
      </c>
      <c r="F111" t="s">
        <v>3148</v>
      </c>
      <c r="G111" t="s">
        <v>408</v>
      </c>
      <c r="H111" t="s">
        <v>409</v>
      </c>
      <c r="I111" s="130">
        <v>45223</v>
      </c>
      <c r="J111" t="s">
        <v>3070</v>
      </c>
      <c r="K111">
        <v>8</v>
      </c>
      <c r="M1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1" t="str">
        <f>DO_DB[[#This Row],[Material Pick-update]]&amp;"_"&amp;DO_DB[[#This Row],[Material Name]]</f>
        <v>45223_Pole 7M 3"</v>
      </c>
      <c r="O111" t="str">
        <f>DO_DB[[#This Row],[SiteID]]</f>
        <v>CLR31-99-032</v>
      </c>
      <c r="P111" t="str">
        <f>DO_DB[[#This Row],[SiteID]]&amp;"_"&amp;DO_DB[[#This Row],[Material Name]]</f>
        <v>CLR31-99-032_Pole 7M 3"</v>
      </c>
      <c r="Q111" t="str">
        <f>DO_DB[[#This Row],[DO Number]]</f>
        <v>DOEID23102361</v>
      </c>
      <c r="R111" t="str">
        <f>DO_DB[[#This Row],[DN Number]]</f>
        <v>DNWID0362023102321</v>
      </c>
    </row>
    <row r="112" spans="1:18">
      <c r="A112" t="s">
        <v>392</v>
      </c>
      <c r="B112" t="s">
        <v>393</v>
      </c>
      <c r="C112" s="172" t="s">
        <v>4482</v>
      </c>
      <c r="D112" t="s">
        <v>71</v>
      </c>
      <c r="E112" t="s">
        <v>26</v>
      </c>
      <c r="F112" t="s">
        <v>3148</v>
      </c>
      <c r="G112" t="s">
        <v>408</v>
      </c>
      <c r="H112" t="s">
        <v>409</v>
      </c>
      <c r="I112" s="130">
        <v>45223</v>
      </c>
      <c r="J112" t="s">
        <v>3071</v>
      </c>
      <c r="K112">
        <v>6</v>
      </c>
      <c r="M1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2" t="str">
        <f>DO_DB[[#This Row],[Material Pick-update]]&amp;"_"&amp;DO_DB[[#This Row],[Material Name]]</f>
        <v>45223_Pole 9M</v>
      </c>
      <c r="O112" t="str">
        <f>DO_DB[[#This Row],[SiteID]]</f>
        <v>CLR31-99-032</v>
      </c>
      <c r="P112" t="str">
        <f>DO_DB[[#This Row],[SiteID]]&amp;"_"&amp;DO_DB[[#This Row],[Material Name]]</f>
        <v>CLR31-99-032_Pole 9M</v>
      </c>
      <c r="Q112" t="str">
        <f>DO_DB[[#This Row],[DO Number]]</f>
        <v>DOEID23102361</v>
      </c>
      <c r="R112" t="str">
        <f>DO_DB[[#This Row],[DN Number]]</f>
        <v>DNWID0362023102321</v>
      </c>
    </row>
    <row r="113" spans="1:18">
      <c r="A113" t="s">
        <v>372</v>
      </c>
      <c r="B113" t="s">
        <v>373</v>
      </c>
      <c r="C113" s="172" t="s">
        <v>4482</v>
      </c>
      <c r="D113" t="s">
        <v>71</v>
      </c>
      <c r="E113" t="s">
        <v>26</v>
      </c>
      <c r="F113" t="s">
        <v>3148</v>
      </c>
      <c r="G113" t="s">
        <v>410</v>
      </c>
      <c r="H113" t="s">
        <v>411</v>
      </c>
      <c r="I113" s="130">
        <v>45223</v>
      </c>
      <c r="J113" t="s">
        <v>3069</v>
      </c>
      <c r="K113">
        <v>24</v>
      </c>
      <c r="M1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3" t="str">
        <f>DO_DB[[#This Row],[Material Pick-update]]&amp;"_"&amp;DO_DB[[#This Row],[Material Name]]</f>
        <v>45223_Pole 7M 4"</v>
      </c>
      <c r="O113" t="str">
        <f>DO_DB[[#This Row],[SiteID]]</f>
        <v>CLR31-99-033</v>
      </c>
      <c r="P113" t="str">
        <f>DO_DB[[#This Row],[SiteID]]&amp;"_"&amp;DO_DB[[#This Row],[Material Name]]</f>
        <v>CLR31-99-033_Pole 7M 4"</v>
      </c>
      <c r="Q113" t="str">
        <f>DO_DB[[#This Row],[DO Number]]</f>
        <v>DOEID23102363</v>
      </c>
      <c r="R113" t="str">
        <f>DO_DB[[#This Row],[DN Number]]</f>
        <v>DNWID0362023102322</v>
      </c>
    </row>
    <row r="114" spans="1:18">
      <c r="A114" t="s">
        <v>372</v>
      </c>
      <c r="B114" t="s">
        <v>373</v>
      </c>
      <c r="C114" s="172" t="s">
        <v>4482</v>
      </c>
      <c r="D114" t="s">
        <v>71</v>
      </c>
      <c r="E114" t="s">
        <v>26</v>
      </c>
      <c r="F114" t="s">
        <v>3148</v>
      </c>
      <c r="G114" t="s">
        <v>410</v>
      </c>
      <c r="H114" t="s">
        <v>411</v>
      </c>
      <c r="I114" s="130">
        <v>45223</v>
      </c>
      <c r="J114" t="s">
        <v>3070</v>
      </c>
      <c r="K114">
        <v>11</v>
      </c>
      <c r="M1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4" t="str">
        <f>DO_DB[[#This Row],[Material Pick-update]]&amp;"_"&amp;DO_DB[[#This Row],[Material Name]]</f>
        <v>45223_Pole 7M 3"</v>
      </c>
      <c r="O114" t="str">
        <f>DO_DB[[#This Row],[SiteID]]</f>
        <v>CLR31-99-033</v>
      </c>
      <c r="P114" t="str">
        <f>DO_DB[[#This Row],[SiteID]]&amp;"_"&amp;DO_DB[[#This Row],[Material Name]]</f>
        <v>CLR31-99-033_Pole 7M 3"</v>
      </c>
      <c r="Q114" t="str">
        <f>DO_DB[[#This Row],[DO Number]]</f>
        <v>DOEID23102363</v>
      </c>
      <c r="R114" t="str">
        <f>DO_DB[[#This Row],[DN Number]]</f>
        <v>DNWID0362023102322</v>
      </c>
    </row>
    <row r="115" spans="1:18">
      <c r="A115" t="s">
        <v>372</v>
      </c>
      <c r="B115" t="s">
        <v>373</v>
      </c>
      <c r="C115" s="172" t="s">
        <v>4482</v>
      </c>
      <c r="D115" t="s">
        <v>71</v>
      </c>
      <c r="E115" t="s">
        <v>26</v>
      </c>
      <c r="F115" t="s">
        <v>3148</v>
      </c>
      <c r="G115" t="s">
        <v>410</v>
      </c>
      <c r="H115" t="s">
        <v>411</v>
      </c>
      <c r="I115" s="130">
        <v>45223</v>
      </c>
      <c r="J115" t="s">
        <v>3071</v>
      </c>
      <c r="K115">
        <v>1</v>
      </c>
      <c r="M1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5" t="str">
        <f>DO_DB[[#This Row],[Material Pick-update]]&amp;"_"&amp;DO_DB[[#This Row],[Material Name]]</f>
        <v>45223_Pole 9M</v>
      </c>
      <c r="O115" t="str">
        <f>DO_DB[[#This Row],[SiteID]]</f>
        <v>CLR31-99-033</v>
      </c>
      <c r="P115" t="str">
        <f>DO_DB[[#This Row],[SiteID]]&amp;"_"&amp;DO_DB[[#This Row],[Material Name]]</f>
        <v>CLR31-99-033_Pole 9M</v>
      </c>
      <c r="Q115" t="str">
        <f>DO_DB[[#This Row],[DO Number]]</f>
        <v>DOEID23102363</v>
      </c>
      <c r="R115" t="str">
        <f>DO_DB[[#This Row],[DN Number]]</f>
        <v>DNWID0362023102322</v>
      </c>
    </row>
    <row r="116" spans="1:18">
      <c r="A116" t="s">
        <v>372</v>
      </c>
      <c r="B116" t="s">
        <v>373</v>
      </c>
      <c r="C116" s="172" t="s">
        <v>4482</v>
      </c>
      <c r="D116" t="s">
        <v>71</v>
      </c>
      <c r="E116" t="s">
        <v>26</v>
      </c>
      <c r="F116" t="s">
        <v>3148</v>
      </c>
      <c r="G116" t="s">
        <v>374</v>
      </c>
      <c r="H116" t="s">
        <v>375</v>
      </c>
      <c r="I116" s="130">
        <v>45223</v>
      </c>
      <c r="J116" t="s">
        <v>14</v>
      </c>
      <c r="K116">
        <v>1</v>
      </c>
      <c r="M1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6" t="str">
        <f>DO_DB[[#This Row],[Material Pick-update]]&amp;"_"&amp;DO_DB[[#This Row],[Material Name]]</f>
        <v>45223_FDT-48</v>
      </c>
      <c r="O116" t="str">
        <f>DO_DB[[#This Row],[SiteID]]</f>
        <v>CLR31-99-033</v>
      </c>
      <c r="P116" t="str">
        <f>DO_DB[[#This Row],[SiteID]]&amp;"_"&amp;DO_DB[[#This Row],[Material Name]]</f>
        <v>CLR31-99-033_FDT-48</v>
      </c>
      <c r="Q116" t="str">
        <f>DO_DB[[#This Row],[DO Number]]</f>
        <v>DOEID23102364</v>
      </c>
      <c r="R116" t="str">
        <f>DO_DB[[#This Row],[DN Number]]</f>
        <v>DNWID0342023102317</v>
      </c>
    </row>
    <row r="117" spans="1:18">
      <c r="A117" t="s">
        <v>376</v>
      </c>
      <c r="B117" t="s">
        <v>377</v>
      </c>
      <c r="C117" s="172" t="s">
        <v>4482</v>
      </c>
      <c r="D117" t="s">
        <v>71</v>
      </c>
      <c r="E117" t="s">
        <v>26</v>
      </c>
      <c r="F117" t="s">
        <v>3148</v>
      </c>
      <c r="G117" t="s">
        <v>396</v>
      </c>
      <c r="H117" t="s">
        <v>397</v>
      </c>
      <c r="I117" s="130">
        <v>45223</v>
      </c>
      <c r="J117" t="s">
        <v>3069</v>
      </c>
      <c r="K117">
        <v>14</v>
      </c>
      <c r="M1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7" t="str">
        <f>DO_DB[[#This Row],[Material Pick-update]]&amp;"_"&amp;DO_DB[[#This Row],[Material Name]]</f>
        <v>45223_Pole 7M 4"</v>
      </c>
      <c r="O117" t="str">
        <f>DO_DB[[#This Row],[SiteID]]</f>
        <v>CLR31-05-019</v>
      </c>
      <c r="P117" t="str">
        <f>DO_DB[[#This Row],[SiteID]]&amp;"_"&amp;DO_DB[[#This Row],[Material Name]]</f>
        <v>CLR31-05-019_Pole 7M 4"</v>
      </c>
      <c r="Q117" t="str">
        <f>DO_DB[[#This Row],[DO Number]]</f>
        <v>DOEID23102365</v>
      </c>
      <c r="R117" t="str">
        <f>DO_DB[[#This Row],[DN Number]]</f>
        <v>DNWID0362023102312</v>
      </c>
    </row>
    <row r="118" spans="1:18">
      <c r="A118" t="s">
        <v>376</v>
      </c>
      <c r="B118" t="s">
        <v>377</v>
      </c>
      <c r="C118" s="172" t="s">
        <v>4482</v>
      </c>
      <c r="D118" t="s">
        <v>71</v>
      </c>
      <c r="E118" t="s">
        <v>26</v>
      </c>
      <c r="F118" t="s">
        <v>3148</v>
      </c>
      <c r="G118" t="s">
        <v>396</v>
      </c>
      <c r="H118" t="s">
        <v>397</v>
      </c>
      <c r="I118" s="130">
        <v>45223</v>
      </c>
      <c r="J118" t="s">
        <v>3070</v>
      </c>
      <c r="K118">
        <v>1</v>
      </c>
      <c r="M1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8" t="str">
        <f>DO_DB[[#This Row],[Material Pick-update]]&amp;"_"&amp;DO_DB[[#This Row],[Material Name]]</f>
        <v>45223_Pole 7M 3"</v>
      </c>
      <c r="O118" t="str">
        <f>DO_DB[[#This Row],[SiteID]]</f>
        <v>CLR31-05-019</v>
      </c>
      <c r="P118" t="str">
        <f>DO_DB[[#This Row],[SiteID]]&amp;"_"&amp;DO_DB[[#This Row],[Material Name]]</f>
        <v>CLR31-05-019_Pole 7M 3"</v>
      </c>
      <c r="Q118" t="str">
        <f>DO_DB[[#This Row],[DO Number]]</f>
        <v>DOEID23102365</v>
      </c>
      <c r="R118" t="str">
        <f>DO_DB[[#This Row],[DN Number]]</f>
        <v>DNWID0362023102312</v>
      </c>
    </row>
    <row r="119" spans="1:18">
      <c r="A119" t="s">
        <v>376</v>
      </c>
      <c r="B119" t="s">
        <v>377</v>
      </c>
      <c r="C119" s="172" t="s">
        <v>4482</v>
      </c>
      <c r="D119" t="s">
        <v>71</v>
      </c>
      <c r="E119" t="s">
        <v>26</v>
      </c>
      <c r="F119" t="s">
        <v>3148</v>
      </c>
      <c r="G119" t="s">
        <v>378</v>
      </c>
      <c r="H119" t="s">
        <v>379</v>
      </c>
      <c r="I119" s="130">
        <v>45223</v>
      </c>
      <c r="J119" t="s">
        <v>14</v>
      </c>
      <c r="K119">
        <v>1</v>
      </c>
      <c r="M1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9" t="str">
        <f>DO_DB[[#This Row],[Material Pick-update]]&amp;"_"&amp;DO_DB[[#This Row],[Material Name]]</f>
        <v>45223_FDT-48</v>
      </c>
      <c r="O119" t="str">
        <f>DO_DB[[#This Row],[SiteID]]</f>
        <v>CLR31-05-019</v>
      </c>
      <c r="P119" t="str">
        <f>DO_DB[[#This Row],[SiteID]]&amp;"_"&amp;DO_DB[[#This Row],[Material Name]]</f>
        <v>CLR31-05-019_FDT-48</v>
      </c>
      <c r="Q119" t="str">
        <f>DO_DB[[#This Row],[DO Number]]</f>
        <v>DOEID23102366</v>
      </c>
      <c r="R119" t="str">
        <f>DO_DB[[#This Row],[DN Number]]</f>
        <v>DNWID0342023102318</v>
      </c>
    </row>
    <row r="120" spans="1:18">
      <c r="A120" t="s">
        <v>380</v>
      </c>
      <c r="B120" t="s">
        <v>381</v>
      </c>
      <c r="C120" s="172" t="s">
        <v>4482</v>
      </c>
      <c r="D120" t="s">
        <v>71</v>
      </c>
      <c r="E120" t="s">
        <v>26</v>
      </c>
      <c r="F120" t="s">
        <v>3148</v>
      </c>
      <c r="G120" t="s">
        <v>454</v>
      </c>
      <c r="H120" t="s">
        <v>455</v>
      </c>
      <c r="I120" s="130">
        <v>45229</v>
      </c>
      <c r="J120" t="s">
        <v>3069</v>
      </c>
      <c r="K120">
        <v>50</v>
      </c>
      <c r="M1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0" t="str">
        <f>DO_DB[[#This Row],[Material Pick-update]]&amp;"_"&amp;DO_DB[[#This Row],[Material Name]]</f>
        <v>45229_Pole 7M 4"</v>
      </c>
      <c r="O120" t="str">
        <f>DO_DB[[#This Row],[SiteID]]</f>
        <v>CLR31-99-058</v>
      </c>
      <c r="P120" t="str">
        <f>DO_DB[[#This Row],[SiteID]]&amp;"_"&amp;DO_DB[[#This Row],[Material Name]]</f>
        <v>CLR31-99-058_Pole 7M 4"</v>
      </c>
      <c r="Q120" t="str">
        <f>DO_DB[[#This Row],[DO Number]]</f>
        <v>DOEID23102878</v>
      </c>
      <c r="R120" t="str">
        <f>DO_DB[[#This Row],[DN Number]]</f>
        <v>DNWID0362023102816</v>
      </c>
    </row>
    <row r="121" spans="1:18">
      <c r="A121" t="s">
        <v>402</v>
      </c>
      <c r="B121" t="s">
        <v>403</v>
      </c>
      <c r="C121" s="172" t="s">
        <v>4482</v>
      </c>
      <c r="D121" t="s">
        <v>71</v>
      </c>
      <c r="E121" t="s">
        <v>26</v>
      </c>
      <c r="F121" t="s">
        <v>3148</v>
      </c>
      <c r="G121" t="s">
        <v>452</v>
      </c>
      <c r="H121" t="s">
        <v>453</v>
      </c>
      <c r="I121" s="130">
        <v>45229</v>
      </c>
      <c r="J121" t="s">
        <v>3069</v>
      </c>
      <c r="K121">
        <v>18</v>
      </c>
      <c r="M1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1" t="str">
        <f>DO_DB[[#This Row],[Material Pick-update]]&amp;"_"&amp;DO_DB[[#This Row],[Material Name]]</f>
        <v>45229_Pole 7M 4"</v>
      </c>
      <c r="O121" t="str">
        <f>DO_DB[[#This Row],[SiteID]]</f>
        <v>CLR31-05-026</v>
      </c>
      <c r="P121" t="str">
        <f>DO_DB[[#This Row],[SiteID]]&amp;"_"&amp;DO_DB[[#This Row],[Material Name]]</f>
        <v>CLR31-05-026_Pole 7M 4"</v>
      </c>
      <c r="Q121" t="str">
        <f>DO_DB[[#This Row],[DO Number]]</f>
        <v>DOEID23102879</v>
      </c>
      <c r="R121" t="str">
        <f>DO_DB[[#This Row],[DN Number]]</f>
        <v>DNWID0362023102811</v>
      </c>
    </row>
    <row r="122" spans="1:18">
      <c r="A122" t="s">
        <v>388</v>
      </c>
      <c r="B122" t="s">
        <v>389</v>
      </c>
      <c r="C122" s="172" t="s">
        <v>4482</v>
      </c>
      <c r="D122" t="s">
        <v>71</v>
      </c>
      <c r="E122" t="s">
        <v>26</v>
      </c>
      <c r="F122" t="s">
        <v>3148</v>
      </c>
      <c r="G122" t="s">
        <v>434</v>
      </c>
      <c r="H122" t="s">
        <v>435</v>
      </c>
      <c r="I122" s="130">
        <v>45229</v>
      </c>
      <c r="J122" t="s">
        <v>15</v>
      </c>
      <c r="K122">
        <v>1</v>
      </c>
      <c r="M1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2" t="str">
        <f>DO_DB[[#This Row],[Material Pick-update]]&amp;"_"&amp;DO_DB[[#This Row],[Material Name]]</f>
        <v>45229_FDT-72</v>
      </c>
      <c r="O122" t="str">
        <f>DO_DB[[#This Row],[SiteID]]</f>
        <v>CLR31-99-039</v>
      </c>
      <c r="P122" t="str">
        <f>DO_DB[[#This Row],[SiteID]]&amp;"_"&amp;DO_DB[[#This Row],[Material Name]]</f>
        <v>CLR31-99-039_FDT-72</v>
      </c>
      <c r="Q122" t="str">
        <f>DO_DB[[#This Row],[DO Number]]</f>
        <v>DOEID23102880</v>
      </c>
      <c r="R122" t="str">
        <f>DO_DB[[#This Row],[DN Number]]</f>
        <v>DNWID0342023102805</v>
      </c>
    </row>
    <row r="123" spans="1:18">
      <c r="A123" t="s">
        <v>388</v>
      </c>
      <c r="B123" t="s">
        <v>389</v>
      </c>
      <c r="C123" s="172" t="s">
        <v>4482</v>
      </c>
      <c r="D123" t="s">
        <v>71</v>
      </c>
      <c r="E123" t="s">
        <v>26</v>
      </c>
      <c r="F123" t="s">
        <v>3148</v>
      </c>
      <c r="G123" t="s">
        <v>434</v>
      </c>
      <c r="H123" t="s">
        <v>435</v>
      </c>
      <c r="I123" s="130">
        <v>45229</v>
      </c>
      <c r="J123" t="s">
        <v>3080</v>
      </c>
      <c r="K123">
        <v>4</v>
      </c>
      <c r="M1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3" t="str">
        <f>DO_DB[[#This Row],[Material Pick-update]]&amp;"_"&amp;DO_DB[[#This Row],[Material Name]]</f>
        <v>45229_1:8 SPL for FDT-AE &amp; UG</v>
      </c>
      <c r="O123" t="str">
        <f>DO_DB[[#This Row],[SiteID]]</f>
        <v>CLR31-99-039</v>
      </c>
      <c r="P123" t="str">
        <f>DO_DB[[#This Row],[SiteID]]&amp;"_"&amp;DO_DB[[#This Row],[Material Name]]</f>
        <v>CLR31-99-039_1:8 SPL for FDT-AE &amp; UG</v>
      </c>
      <c r="Q123" t="str">
        <f>DO_DB[[#This Row],[DO Number]]</f>
        <v>DOEID23102880</v>
      </c>
      <c r="R123" t="str">
        <f>DO_DB[[#This Row],[DN Number]]</f>
        <v>DNWID0342023102805</v>
      </c>
    </row>
    <row r="124" spans="1:18">
      <c r="A124" t="s">
        <v>392</v>
      </c>
      <c r="B124" t="s">
        <v>393</v>
      </c>
      <c r="C124" s="172" t="s">
        <v>4482</v>
      </c>
      <c r="D124" t="s">
        <v>71</v>
      </c>
      <c r="E124" t="s">
        <v>26</v>
      </c>
      <c r="F124" t="s">
        <v>3148</v>
      </c>
      <c r="G124" t="s">
        <v>436</v>
      </c>
      <c r="H124" t="s">
        <v>437</v>
      </c>
      <c r="I124" s="130">
        <v>45229</v>
      </c>
      <c r="J124" t="s">
        <v>15</v>
      </c>
      <c r="K124">
        <v>1</v>
      </c>
      <c r="M1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4" t="str">
        <f>DO_DB[[#This Row],[Material Pick-update]]&amp;"_"&amp;DO_DB[[#This Row],[Material Name]]</f>
        <v>45229_FDT-72</v>
      </c>
      <c r="O124" t="str">
        <f>DO_DB[[#This Row],[SiteID]]</f>
        <v>CLR31-99-032</v>
      </c>
      <c r="P124" t="str">
        <f>DO_DB[[#This Row],[SiteID]]&amp;"_"&amp;DO_DB[[#This Row],[Material Name]]</f>
        <v>CLR31-99-032_FDT-72</v>
      </c>
      <c r="Q124" t="str">
        <f>DO_DB[[#This Row],[DO Number]]</f>
        <v>DOEID23102881</v>
      </c>
      <c r="R124" t="str">
        <f>DO_DB[[#This Row],[DN Number]]</f>
        <v>DNWID0342023102806</v>
      </c>
    </row>
    <row r="125" spans="1:18">
      <c r="A125" t="s">
        <v>392</v>
      </c>
      <c r="B125" t="s">
        <v>393</v>
      </c>
      <c r="C125" s="172" t="s">
        <v>4482</v>
      </c>
      <c r="D125" t="s">
        <v>71</v>
      </c>
      <c r="E125" t="s">
        <v>26</v>
      </c>
      <c r="F125" t="s">
        <v>3148</v>
      </c>
      <c r="G125" t="s">
        <v>436</v>
      </c>
      <c r="H125" t="s">
        <v>437</v>
      </c>
      <c r="I125" s="130">
        <v>45229</v>
      </c>
      <c r="J125" t="s">
        <v>3080</v>
      </c>
      <c r="K125">
        <v>4</v>
      </c>
      <c r="M1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5" t="str">
        <f>DO_DB[[#This Row],[Material Pick-update]]&amp;"_"&amp;DO_DB[[#This Row],[Material Name]]</f>
        <v>45229_1:8 SPL for FDT-AE &amp; UG</v>
      </c>
      <c r="O125" t="str">
        <f>DO_DB[[#This Row],[SiteID]]</f>
        <v>CLR31-99-032</v>
      </c>
      <c r="P125" t="str">
        <f>DO_DB[[#This Row],[SiteID]]&amp;"_"&amp;DO_DB[[#This Row],[Material Name]]</f>
        <v>CLR31-99-032_1:8 SPL for FDT-AE &amp; UG</v>
      </c>
      <c r="Q125" t="str">
        <f>DO_DB[[#This Row],[DO Number]]</f>
        <v>DOEID23102881</v>
      </c>
      <c r="R125" t="str">
        <f>DO_DB[[#This Row],[DN Number]]</f>
        <v>DNWID0342023102806</v>
      </c>
    </row>
    <row r="126" spans="1:18">
      <c r="A126" t="s">
        <v>376</v>
      </c>
      <c r="B126" t="s">
        <v>377</v>
      </c>
      <c r="C126" s="172" t="s">
        <v>4482</v>
      </c>
      <c r="D126" t="s">
        <v>71</v>
      </c>
      <c r="E126" t="s">
        <v>26</v>
      </c>
      <c r="F126" t="s">
        <v>3148</v>
      </c>
      <c r="G126" t="s">
        <v>444</v>
      </c>
      <c r="H126" t="s">
        <v>445</v>
      </c>
      <c r="I126" s="130">
        <v>45229</v>
      </c>
      <c r="J126" t="s">
        <v>13</v>
      </c>
      <c r="K126">
        <v>7</v>
      </c>
      <c r="M1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6" t="str">
        <f>DO_DB[[#This Row],[Material Pick-update]]&amp;"_"&amp;DO_DB[[#This Row],[Material Name]]</f>
        <v>45229_FAT-16</v>
      </c>
      <c r="O126" t="str">
        <f>DO_DB[[#This Row],[SiteID]]</f>
        <v>CLR31-05-019</v>
      </c>
      <c r="P126" t="str">
        <f>DO_DB[[#This Row],[SiteID]]&amp;"_"&amp;DO_DB[[#This Row],[Material Name]]</f>
        <v>CLR31-05-019_FAT-16</v>
      </c>
      <c r="Q126" t="str">
        <f>DO_DB[[#This Row],[DO Number]]</f>
        <v>DOEID231031A1</v>
      </c>
      <c r="R126" t="str">
        <f>DO_DB[[#This Row],[DN Number]]</f>
        <v>DNWID0342023103113</v>
      </c>
    </row>
    <row r="127" spans="1:18">
      <c r="A127" t="s">
        <v>372</v>
      </c>
      <c r="B127" t="s">
        <v>373</v>
      </c>
      <c r="C127" s="172" t="s">
        <v>4482</v>
      </c>
      <c r="D127" t="s">
        <v>71</v>
      </c>
      <c r="E127" t="s">
        <v>26</v>
      </c>
      <c r="F127" t="s">
        <v>3148</v>
      </c>
      <c r="G127" t="s">
        <v>438</v>
      </c>
      <c r="H127" t="s">
        <v>439</v>
      </c>
      <c r="I127" s="130">
        <v>45229</v>
      </c>
      <c r="J127" t="s">
        <v>13</v>
      </c>
      <c r="K127">
        <v>11</v>
      </c>
      <c r="M1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7" t="str">
        <f>DO_DB[[#This Row],[Material Pick-update]]&amp;"_"&amp;DO_DB[[#This Row],[Material Name]]</f>
        <v>45229_FAT-16</v>
      </c>
      <c r="O127" t="str">
        <f>DO_DB[[#This Row],[SiteID]]</f>
        <v>CLR31-99-033</v>
      </c>
      <c r="P127" t="str">
        <f>DO_DB[[#This Row],[SiteID]]&amp;"_"&amp;DO_DB[[#This Row],[Material Name]]</f>
        <v>CLR31-99-033_FAT-16</v>
      </c>
      <c r="Q127" t="str">
        <f>DO_DB[[#This Row],[DO Number]]</f>
        <v>DOEID231031A2</v>
      </c>
      <c r="R127" t="str">
        <f>DO_DB[[#This Row],[DN Number]]</f>
        <v>DNWID0342023103109</v>
      </c>
    </row>
    <row r="128" spans="1:18">
      <c r="A128" t="s">
        <v>392</v>
      </c>
      <c r="B128" t="s">
        <v>393</v>
      </c>
      <c r="C128" s="172" t="s">
        <v>4482</v>
      </c>
      <c r="D128" t="s">
        <v>71</v>
      </c>
      <c r="E128" t="s">
        <v>26</v>
      </c>
      <c r="F128" t="s">
        <v>3148</v>
      </c>
      <c r="G128" t="s">
        <v>448</v>
      </c>
      <c r="H128" t="s">
        <v>449</v>
      </c>
      <c r="I128" s="130">
        <v>45229</v>
      </c>
      <c r="J128" t="s">
        <v>13</v>
      </c>
      <c r="K128">
        <v>22</v>
      </c>
      <c r="M1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8" t="str">
        <f>DO_DB[[#This Row],[Material Pick-update]]&amp;"_"&amp;DO_DB[[#This Row],[Material Name]]</f>
        <v>45229_FAT-16</v>
      </c>
      <c r="O128" t="str">
        <f>DO_DB[[#This Row],[SiteID]]</f>
        <v>CLR31-99-032</v>
      </c>
      <c r="P128" t="str">
        <f>DO_DB[[#This Row],[SiteID]]&amp;"_"&amp;DO_DB[[#This Row],[Material Name]]</f>
        <v>CLR31-99-032_FAT-16</v>
      </c>
      <c r="Q128" t="str">
        <f>DO_DB[[#This Row],[DO Number]]</f>
        <v>DOEID231031A4</v>
      </c>
      <c r="R128" t="str">
        <f>DO_DB[[#This Row],[DN Number]]</f>
        <v>DNWID0342023103116</v>
      </c>
    </row>
    <row r="129" spans="1:18">
      <c r="A129" t="s">
        <v>388</v>
      </c>
      <c r="B129" t="s">
        <v>389</v>
      </c>
      <c r="C129" s="172" t="s">
        <v>4482</v>
      </c>
      <c r="D129" t="s">
        <v>71</v>
      </c>
      <c r="E129" t="s">
        <v>26</v>
      </c>
      <c r="F129" t="s">
        <v>3148</v>
      </c>
      <c r="G129" t="s">
        <v>446</v>
      </c>
      <c r="H129" t="s">
        <v>447</v>
      </c>
      <c r="I129" s="130">
        <v>45229</v>
      </c>
      <c r="J129" t="s">
        <v>13</v>
      </c>
      <c r="K129">
        <v>27</v>
      </c>
      <c r="M1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9" t="str">
        <f>DO_DB[[#This Row],[Material Pick-update]]&amp;"_"&amp;DO_DB[[#This Row],[Material Name]]</f>
        <v>45229_FAT-16</v>
      </c>
      <c r="O129" t="str">
        <f>DO_DB[[#This Row],[SiteID]]</f>
        <v>CLR31-99-039</v>
      </c>
      <c r="P129" t="str">
        <f>DO_DB[[#This Row],[SiteID]]&amp;"_"&amp;DO_DB[[#This Row],[Material Name]]</f>
        <v>CLR31-99-039_FAT-16</v>
      </c>
      <c r="Q129" t="str">
        <f>DO_DB[[#This Row],[DO Number]]</f>
        <v>DOEID231031A5</v>
      </c>
      <c r="R129" t="str">
        <f>DO_DB[[#This Row],[DN Number]]</f>
        <v>DNWID0342023103114</v>
      </c>
    </row>
    <row r="130" spans="1:18">
      <c r="A130" t="s">
        <v>402</v>
      </c>
      <c r="B130" t="s">
        <v>403</v>
      </c>
      <c r="C130" s="172" t="s">
        <v>4482</v>
      </c>
      <c r="D130" t="s">
        <v>71</v>
      </c>
      <c r="E130" t="s">
        <v>26</v>
      </c>
      <c r="F130" t="s">
        <v>3148</v>
      </c>
      <c r="G130" t="s">
        <v>440</v>
      </c>
      <c r="H130" t="s">
        <v>441</v>
      </c>
      <c r="I130" s="130">
        <v>45229</v>
      </c>
      <c r="J130" t="s">
        <v>13</v>
      </c>
      <c r="K130">
        <v>12</v>
      </c>
      <c r="M1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0" t="str">
        <f>DO_DB[[#This Row],[Material Pick-update]]&amp;"_"&amp;DO_DB[[#This Row],[Material Name]]</f>
        <v>45229_FAT-16</v>
      </c>
      <c r="O130" t="str">
        <f>DO_DB[[#This Row],[SiteID]]</f>
        <v>CLR31-05-026</v>
      </c>
      <c r="P130" t="str">
        <f>DO_DB[[#This Row],[SiteID]]&amp;"_"&amp;DO_DB[[#This Row],[Material Name]]</f>
        <v>CLR31-05-026_FAT-16</v>
      </c>
      <c r="Q130" t="str">
        <f>DO_DB[[#This Row],[DO Number]]</f>
        <v>DOEID231031A6</v>
      </c>
      <c r="R130" t="str">
        <f>DO_DB[[#This Row],[DN Number]]</f>
        <v>DNWID0342023103110</v>
      </c>
    </row>
    <row r="131" spans="1:18">
      <c r="A131" t="s">
        <v>384</v>
      </c>
      <c r="B131" t="s">
        <v>385</v>
      </c>
      <c r="C131" s="172" t="s">
        <v>4482</v>
      </c>
      <c r="D131" t="s">
        <v>71</v>
      </c>
      <c r="E131" t="s">
        <v>26</v>
      </c>
      <c r="F131" t="s">
        <v>3148</v>
      </c>
      <c r="G131" t="s">
        <v>442</v>
      </c>
      <c r="H131" t="s">
        <v>443</v>
      </c>
      <c r="I131" s="130">
        <v>45229</v>
      </c>
      <c r="J131" t="s">
        <v>13</v>
      </c>
      <c r="K131">
        <v>12</v>
      </c>
      <c r="M1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1" t="str">
        <f>DO_DB[[#This Row],[Material Pick-update]]&amp;"_"&amp;DO_DB[[#This Row],[Material Name]]</f>
        <v>45229_FAT-16</v>
      </c>
      <c r="O131" t="str">
        <f>DO_DB[[#This Row],[SiteID]]</f>
        <v>CLR31-99-035</v>
      </c>
      <c r="P131" t="str">
        <f>DO_DB[[#This Row],[SiteID]]&amp;"_"&amp;DO_DB[[#This Row],[Material Name]]</f>
        <v>CLR31-99-035_FAT-16</v>
      </c>
      <c r="Q131" t="str">
        <f>DO_DB[[#This Row],[DO Number]]</f>
        <v>DOEID231031A7</v>
      </c>
      <c r="R131" t="str">
        <f>DO_DB[[#This Row],[DN Number]]</f>
        <v>DNWID0342023103111</v>
      </c>
    </row>
    <row r="132" spans="1:18">
      <c r="A132" t="s">
        <v>380</v>
      </c>
      <c r="B132" t="s">
        <v>381</v>
      </c>
      <c r="C132" s="172" t="s">
        <v>4482</v>
      </c>
      <c r="D132" t="s">
        <v>71</v>
      </c>
      <c r="E132" t="s">
        <v>26</v>
      </c>
      <c r="F132" t="s">
        <v>3148</v>
      </c>
      <c r="G132" t="s">
        <v>450</v>
      </c>
      <c r="H132" t="s">
        <v>451</v>
      </c>
      <c r="I132" s="130">
        <v>45229</v>
      </c>
      <c r="J132" t="s">
        <v>13</v>
      </c>
      <c r="K132">
        <v>24</v>
      </c>
      <c r="M1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2" t="str">
        <f>DO_DB[[#This Row],[Material Pick-update]]&amp;"_"&amp;DO_DB[[#This Row],[Material Name]]</f>
        <v>45229_FAT-16</v>
      </c>
      <c r="O132" t="str">
        <f>DO_DB[[#This Row],[SiteID]]</f>
        <v>CLR31-99-058</v>
      </c>
      <c r="P132" t="str">
        <f>DO_DB[[#This Row],[SiteID]]&amp;"_"&amp;DO_DB[[#This Row],[Material Name]]</f>
        <v>CLR31-99-058_FAT-16</v>
      </c>
      <c r="Q132" t="str">
        <f>DO_DB[[#This Row],[DO Number]]</f>
        <v>DOEID231031A8</v>
      </c>
      <c r="R132" t="str">
        <f>DO_DB[[#This Row],[DN Number]]</f>
        <v>DNWID0342023103117</v>
      </c>
    </row>
    <row r="133" spans="1:18">
      <c r="A133" t="s">
        <v>562</v>
      </c>
      <c r="B133" t="s">
        <v>563</v>
      </c>
      <c r="C133" s="172" t="s">
        <v>4482</v>
      </c>
      <c r="D133" t="s">
        <v>71</v>
      </c>
      <c r="E133" t="s">
        <v>26</v>
      </c>
      <c r="F133" t="s">
        <v>3148</v>
      </c>
      <c r="G133" t="s">
        <v>564</v>
      </c>
      <c r="H133" t="s">
        <v>565</v>
      </c>
      <c r="I133" s="130">
        <v>45251</v>
      </c>
      <c r="J133" t="s">
        <v>3073</v>
      </c>
      <c r="K133">
        <v>3000</v>
      </c>
      <c r="M1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24C-20231121-01</v>
      </c>
      <c r="N133" t="str">
        <f>DO_DB[[#This Row],[Material Pick-update]]&amp;"_"&amp;DO_DB[[#This Row],[Material Name]]</f>
        <v>45251_ADSS 24C</v>
      </c>
      <c r="O133" t="str">
        <f>DO_DB[[#This Row],[SiteID]]</f>
        <v>CLR31-99-054</v>
      </c>
      <c r="P133" t="str">
        <f>DO_DB[[#This Row],[SiteID]]&amp;"_"&amp;DO_DB[[#This Row],[Material Name]]</f>
        <v>CLR31-99-054_ADSS 24C</v>
      </c>
      <c r="Q133" t="str">
        <f>DO_DB[[#This Row],[DO Number]]</f>
        <v>DOEID231120CA</v>
      </c>
      <c r="R133" t="str">
        <f>DO_DB[[#This Row],[DN Number]]</f>
        <v>DNWID0342023112102</v>
      </c>
    </row>
    <row r="134" spans="1:18">
      <c r="A134" t="s">
        <v>566</v>
      </c>
      <c r="B134" t="s">
        <v>567</v>
      </c>
      <c r="C134" s="172" t="s">
        <v>4482</v>
      </c>
      <c r="D134" t="s">
        <v>71</v>
      </c>
      <c r="E134" t="s">
        <v>26</v>
      </c>
      <c r="F134" t="s">
        <v>3148</v>
      </c>
      <c r="G134" t="s">
        <v>568</v>
      </c>
      <c r="H134" t="s">
        <v>569</v>
      </c>
      <c r="I134" s="130">
        <v>45251</v>
      </c>
      <c r="J134" t="s">
        <v>3073</v>
      </c>
      <c r="K134">
        <v>3000</v>
      </c>
      <c r="M1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24C-20231121-01</v>
      </c>
      <c r="N134" t="str">
        <f>DO_DB[[#This Row],[Material Pick-update]]&amp;"_"&amp;DO_DB[[#This Row],[Material Name]]</f>
        <v>45251_ADSS 24C</v>
      </c>
      <c r="O134" t="str">
        <f>DO_DB[[#This Row],[SiteID]]</f>
        <v>CLR31-99-057</v>
      </c>
      <c r="P134" t="str">
        <f>DO_DB[[#This Row],[SiteID]]&amp;"_"&amp;DO_DB[[#This Row],[Material Name]]</f>
        <v>CLR31-99-057_ADSS 24C</v>
      </c>
      <c r="Q134" t="str">
        <f>DO_DB[[#This Row],[DO Number]]</f>
        <v>DOEID231120CF</v>
      </c>
      <c r="R134" t="str">
        <f>DO_DB[[#This Row],[DN Number]]</f>
        <v>DNWID0342023112104</v>
      </c>
    </row>
    <row r="135" spans="1:18">
      <c r="A135" t="s">
        <v>566</v>
      </c>
      <c r="B135" t="s">
        <v>567</v>
      </c>
      <c r="C135" s="172" t="s">
        <v>4482</v>
      </c>
      <c r="D135" t="s">
        <v>71</v>
      </c>
      <c r="E135" t="s">
        <v>26</v>
      </c>
      <c r="F135" t="s">
        <v>3148</v>
      </c>
      <c r="G135" t="s">
        <v>568</v>
      </c>
      <c r="H135" t="s">
        <v>569</v>
      </c>
      <c r="I135" s="130">
        <v>45251</v>
      </c>
      <c r="J135" t="s">
        <v>3075</v>
      </c>
      <c r="K135">
        <v>3000</v>
      </c>
      <c r="M1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48C-20231121-01</v>
      </c>
      <c r="N135" t="str">
        <f>DO_DB[[#This Row],[Material Pick-update]]&amp;"_"&amp;DO_DB[[#This Row],[Material Name]]</f>
        <v>45251_ADSS 48C</v>
      </c>
      <c r="O135" t="str">
        <f>DO_DB[[#This Row],[SiteID]]</f>
        <v>CLR31-99-057</v>
      </c>
      <c r="P135" t="str">
        <f>DO_DB[[#This Row],[SiteID]]&amp;"_"&amp;DO_DB[[#This Row],[Material Name]]</f>
        <v>CLR31-99-057_ADSS 48C</v>
      </c>
      <c r="Q135" t="str">
        <f>DO_DB[[#This Row],[DO Number]]</f>
        <v>DOEID231120CF</v>
      </c>
      <c r="R135" t="str">
        <f>DO_DB[[#This Row],[DN Number]]</f>
        <v>DNWID0342023112104</v>
      </c>
    </row>
    <row r="136" spans="1:18">
      <c r="A136" t="s">
        <v>570</v>
      </c>
      <c r="B136" t="s">
        <v>571</v>
      </c>
      <c r="C136" s="172" t="s">
        <v>4482</v>
      </c>
      <c r="D136" t="s">
        <v>71</v>
      </c>
      <c r="E136" t="s">
        <v>26</v>
      </c>
      <c r="F136" t="s">
        <v>3148</v>
      </c>
      <c r="G136" t="s">
        <v>572</v>
      </c>
      <c r="H136" t="s">
        <v>573</v>
      </c>
      <c r="I136" s="130">
        <v>45251</v>
      </c>
      <c r="J136" t="s">
        <v>3075</v>
      </c>
      <c r="K136">
        <v>3000</v>
      </c>
      <c r="M1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48C-20231121-01</v>
      </c>
      <c r="N136" t="str">
        <f>DO_DB[[#This Row],[Material Pick-update]]&amp;"_"&amp;DO_DB[[#This Row],[Material Name]]</f>
        <v>45251_ADSS 48C</v>
      </c>
      <c r="O136" t="str">
        <f>DO_DB[[#This Row],[SiteID]]</f>
        <v>CLR31-99-056</v>
      </c>
      <c r="P136" t="str">
        <f>DO_DB[[#This Row],[SiteID]]&amp;"_"&amp;DO_DB[[#This Row],[Material Name]]</f>
        <v>CLR31-99-056_ADSS 48C</v>
      </c>
      <c r="Q136" t="str">
        <f>DO_DB[[#This Row],[DO Number]]</f>
        <v>DOEID23112148</v>
      </c>
      <c r="R136" t="str">
        <f>DO_DB[[#This Row],[DN Number]]</f>
        <v>DNWID0342023112110</v>
      </c>
    </row>
    <row r="137" spans="1:18">
      <c r="A137" t="s">
        <v>558</v>
      </c>
      <c r="B137" t="s">
        <v>559</v>
      </c>
      <c r="C137" s="172" t="s">
        <v>4482</v>
      </c>
      <c r="D137" t="s">
        <v>71</v>
      </c>
      <c r="E137" t="s">
        <v>26</v>
      </c>
      <c r="F137" t="s">
        <v>3148</v>
      </c>
      <c r="G137" t="s">
        <v>580</v>
      </c>
      <c r="H137" t="s">
        <v>581</v>
      </c>
      <c r="I137" s="130">
        <v>45251</v>
      </c>
      <c r="J137" t="s">
        <v>3069</v>
      </c>
      <c r="K137">
        <v>15</v>
      </c>
      <c r="M1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7" t="str">
        <f>DO_DB[[#This Row],[Material Pick-update]]&amp;"_"&amp;DO_DB[[#This Row],[Material Name]]</f>
        <v>45251_Pole 7M 4"</v>
      </c>
      <c r="O137" t="str">
        <f>DO_DB[[#This Row],[SiteID]]</f>
        <v>CLR31-99-053</v>
      </c>
      <c r="P137" t="str">
        <f>DO_DB[[#This Row],[SiteID]]&amp;"_"&amp;DO_DB[[#This Row],[Material Name]]</f>
        <v>CLR31-99-053_Pole 7M 4"</v>
      </c>
      <c r="Q137" t="str">
        <f>DO_DB[[#This Row],[DO Number]]</f>
        <v>DOEID231120C7</v>
      </c>
      <c r="R137" t="str">
        <f>DO_DB[[#This Row],[DN Number]]</f>
        <v>DNWID0362023112116</v>
      </c>
    </row>
    <row r="138" spans="1:18">
      <c r="A138" t="s">
        <v>558</v>
      </c>
      <c r="B138" t="s">
        <v>559</v>
      </c>
      <c r="C138" s="172" t="s">
        <v>4482</v>
      </c>
      <c r="D138" t="s">
        <v>71</v>
      </c>
      <c r="E138" t="s">
        <v>26</v>
      </c>
      <c r="F138" t="s">
        <v>3148</v>
      </c>
      <c r="G138" t="s">
        <v>580</v>
      </c>
      <c r="H138" t="s">
        <v>581</v>
      </c>
      <c r="I138" s="130">
        <v>45251</v>
      </c>
      <c r="J138" t="s">
        <v>3071</v>
      </c>
      <c r="K138">
        <v>9</v>
      </c>
      <c r="M1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8" t="str">
        <f>DO_DB[[#This Row],[Material Pick-update]]&amp;"_"&amp;DO_DB[[#This Row],[Material Name]]</f>
        <v>45251_Pole 9M</v>
      </c>
      <c r="O138" t="str">
        <f>DO_DB[[#This Row],[SiteID]]</f>
        <v>CLR31-99-053</v>
      </c>
      <c r="P138" t="str">
        <f>DO_DB[[#This Row],[SiteID]]&amp;"_"&amp;DO_DB[[#This Row],[Material Name]]</f>
        <v>CLR31-99-053_Pole 9M</v>
      </c>
      <c r="Q138" t="str">
        <f>DO_DB[[#This Row],[DO Number]]</f>
        <v>DOEID231120C7</v>
      </c>
      <c r="R138" t="str">
        <f>DO_DB[[#This Row],[DN Number]]</f>
        <v>DNWID0362023112116</v>
      </c>
    </row>
    <row r="139" spans="1:18">
      <c r="A139" t="s">
        <v>558</v>
      </c>
      <c r="B139" t="s">
        <v>559</v>
      </c>
      <c r="C139" s="172" t="s">
        <v>4482</v>
      </c>
      <c r="D139" t="s">
        <v>71</v>
      </c>
      <c r="E139" t="s">
        <v>26</v>
      </c>
      <c r="F139" t="s">
        <v>3148</v>
      </c>
      <c r="G139" t="s">
        <v>560</v>
      </c>
      <c r="H139" t="s">
        <v>561</v>
      </c>
      <c r="I139" s="130">
        <v>45251</v>
      </c>
      <c r="J139" t="s">
        <v>14</v>
      </c>
      <c r="K139">
        <v>1</v>
      </c>
      <c r="M1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9" t="str">
        <f>DO_DB[[#This Row],[Material Pick-update]]&amp;"_"&amp;DO_DB[[#This Row],[Material Name]]</f>
        <v>45251_FDT-48</v>
      </c>
      <c r="O139" t="str">
        <f>DO_DB[[#This Row],[SiteID]]</f>
        <v>CLR31-99-053</v>
      </c>
      <c r="P139" t="str">
        <f>DO_DB[[#This Row],[SiteID]]&amp;"_"&amp;DO_DB[[#This Row],[Material Name]]</f>
        <v>CLR31-99-053_FDT-48</v>
      </c>
      <c r="Q139" t="str">
        <f>DO_DB[[#This Row],[DO Number]]</f>
        <v>DOEID231120C8</v>
      </c>
      <c r="R139" t="str">
        <f>DO_DB[[#This Row],[DN Number]]</f>
        <v>DNWID0342023112101</v>
      </c>
    </row>
    <row r="140" spans="1:18">
      <c r="A140" t="s">
        <v>562</v>
      </c>
      <c r="B140" t="s">
        <v>563</v>
      </c>
      <c r="C140" s="172" t="s">
        <v>4482</v>
      </c>
      <c r="D140" t="s">
        <v>71</v>
      </c>
      <c r="E140" t="s">
        <v>26</v>
      </c>
      <c r="F140" t="s">
        <v>3148</v>
      </c>
      <c r="G140" t="s">
        <v>582</v>
      </c>
      <c r="H140" t="s">
        <v>583</v>
      </c>
      <c r="I140" s="130">
        <v>45251</v>
      </c>
      <c r="J140" t="s">
        <v>3069</v>
      </c>
      <c r="K140">
        <v>22</v>
      </c>
      <c r="M1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0" t="str">
        <f>DO_DB[[#This Row],[Material Pick-update]]&amp;"_"&amp;DO_DB[[#This Row],[Material Name]]</f>
        <v>45251_Pole 7M 4"</v>
      </c>
      <c r="O140" t="str">
        <f>DO_DB[[#This Row],[SiteID]]</f>
        <v>CLR31-99-054</v>
      </c>
      <c r="P140" t="str">
        <f>DO_DB[[#This Row],[SiteID]]&amp;"_"&amp;DO_DB[[#This Row],[Material Name]]</f>
        <v>CLR31-99-054_Pole 7M 4"</v>
      </c>
      <c r="Q140" t="str">
        <f>DO_DB[[#This Row],[DO Number]]</f>
        <v>DOEID231120C9</v>
      </c>
      <c r="R140" t="str">
        <f>DO_DB[[#This Row],[DN Number]]</f>
        <v>DNWID0362023112117</v>
      </c>
    </row>
    <row r="141" spans="1:18">
      <c r="A141" t="s">
        <v>562</v>
      </c>
      <c r="B141" t="s">
        <v>563</v>
      </c>
      <c r="C141" s="172" t="s">
        <v>4482</v>
      </c>
      <c r="D141" t="s">
        <v>71</v>
      </c>
      <c r="E141" t="s">
        <v>26</v>
      </c>
      <c r="F141" t="s">
        <v>3148</v>
      </c>
      <c r="G141" t="s">
        <v>564</v>
      </c>
      <c r="H141" t="s">
        <v>565</v>
      </c>
      <c r="I141" s="130">
        <v>45251</v>
      </c>
      <c r="J141" t="s">
        <v>14</v>
      </c>
      <c r="K141">
        <v>1</v>
      </c>
      <c r="M1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1" t="str">
        <f>DO_DB[[#This Row],[Material Pick-update]]&amp;"_"&amp;DO_DB[[#This Row],[Material Name]]</f>
        <v>45251_FDT-48</v>
      </c>
      <c r="O141" t="str">
        <f>DO_DB[[#This Row],[SiteID]]</f>
        <v>CLR31-99-054</v>
      </c>
      <c r="P141" t="str">
        <f>DO_DB[[#This Row],[SiteID]]&amp;"_"&amp;DO_DB[[#This Row],[Material Name]]</f>
        <v>CLR31-99-054_FDT-48</v>
      </c>
      <c r="Q141" t="str">
        <f>DO_DB[[#This Row],[DO Number]]</f>
        <v>DOEID231120CA</v>
      </c>
      <c r="R141" t="str">
        <f>DO_DB[[#This Row],[DN Number]]</f>
        <v>DNWID0342023112102</v>
      </c>
    </row>
    <row r="142" spans="1:18">
      <c r="A142" t="s">
        <v>574</v>
      </c>
      <c r="B142" t="s">
        <v>575</v>
      </c>
      <c r="C142" s="172" t="s">
        <v>4482</v>
      </c>
      <c r="D142" t="s">
        <v>71</v>
      </c>
      <c r="E142" t="s">
        <v>26</v>
      </c>
      <c r="F142" t="s">
        <v>3148</v>
      </c>
      <c r="G142" t="s">
        <v>576</v>
      </c>
      <c r="H142" t="s">
        <v>577</v>
      </c>
      <c r="I142" s="130">
        <v>45251</v>
      </c>
      <c r="J142" t="s">
        <v>3069</v>
      </c>
      <c r="K142">
        <v>22</v>
      </c>
      <c r="M1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2" t="str">
        <f>DO_DB[[#This Row],[Material Pick-update]]&amp;"_"&amp;DO_DB[[#This Row],[Material Name]]</f>
        <v>45251_Pole 7M 4"</v>
      </c>
      <c r="O142" t="str">
        <f>DO_DB[[#This Row],[SiteID]]</f>
        <v>CLR31-99-055</v>
      </c>
      <c r="P142" t="str">
        <f>DO_DB[[#This Row],[SiteID]]&amp;"_"&amp;DO_DB[[#This Row],[Material Name]]</f>
        <v>CLR31-99-055_Pole 7M 4"</v>
      </c>
      <c r="Q142" t="str">
        <f>DO_DB[[#This Row],[DO Number]]</f>
        <v>DOEID231120CB</v>
      </c>
      <c r="R142" t="str">
        <f>DO_DB[[#This Row],[DN Number]]</f>
        <v>DNWID0362023112118</v>
      </c>
    </row>
    <row r="143" spans="1:18">
      <c r="A143" t="s">
        <v>574</v>
      </c>
      <c r="B143" t="s">
        <v>575</v>
      </c>
      <c r="C143" s="172" t="s">
        <v>4482</v>
      </c>
      <c r="D143" t="s">
        <v>71</v>
      </c>
      <c r="E143" t="s">
        <v>26</v>
      </c>
      <c r="F143" t="s">
        <v>3148</v>
      </c>
      <c r="G143" t="s">
        <v>576</v>
      </c>
      <c r="H143" t="s">
        <v>577</v>
      </c>
      <c r="I143" s="130">
        <v>45251</v>
      </c>
      <c r="J143" t="s">
        <v>3071</v>
      </c>
      <c r="K143">
        <v>1</v>
      </c>
      <c r="M1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3" t="str">
        <f>DO_DB[[#This Row],[Material Pick-update]]&amp;"_"&amp;DO_DB[[#This Row],[Material Name]]</f>
        <v>45251_Pole 9M</v>
      </c>
      <c r="O143" t="str">
        <f>DO_DB[[#This Row],[SiteID]]</f>
        <v>CLR31-99-055</v>
      </c>
      <c r="P143" t="str">
        <f>DO_DB[[#This Row],[SiteID]]&amp;"_"&amp;DO_DB[[#This Row],[Material Name]]</f>
        <v>CLR31-99-055_Pole 9M</v>
      </c>
      <c r="Q143" t="str">
        <f>DO_DB[[#This Row],[DO Number]]</f>
        <v>DOEID231120CB</v>
      </c>
      <c r="R143" t="str">
        <f>DO_DB[[#This Row],[DN Number]]</f>
        <v>DNWID0362023112118</v>
      </c>
    </row>
    <row r="144" spans="1:18">
      <c r="A144" t="s">
        <v>566</v>
      </c>
      <c r="B144" t="s">
        <v>567</v>
      </c>
      <c r="C144" s="172" t="s">
        <v>4482</v>
      </c>
      <c r="D144" t="s">
        <v>71</v>
      </c>
      <c r="E144" t="s">
        <v>26</v>
      </c>
      <c r="F144" t="s">
        <v>3148</v>
      </c>
      <c r="G144" t="s">
        <v>584</v>
      </c>
      <c r="H144" t="s">
        <v>585</v>
      </c>
      <c r="I144" s="130">
        <v>45251</v>
      </c>
      <c r="J144" t="s">
        <v>3069</v>
      </c>
      <c r="K144">
        <v>34</v>
      </c>
      <c r="M1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4" t="str">
        <f>DO_DB[[#This Row],[Material Pick-update]]&amp;"_"&amp;DO_DB[[#This Row],[Material Name]]</f>
        <v>45251_Pole 7M 4"</v>
      </c>
      <c r="O144" t="str">
        <f>DO_DB[[#This Row],[SiteID]]</f>
        <v>CLR31-99-057</v>
      </c>
      <c r="P144" t="str">
        <f>DO_DB[[#This Row],[SiteID]]&amp;"_"&amp;DO_DB[[#This Row],[Material Name]]</f>
        <v>CLR31-99-057_Pole 7M 4"</v>
      </c>
      <c r="Q144" t="str">
        <f>DO_DB[[#This Row],[DO Number]]</f>
        <v>DOEID231120CE</v>
      </c>
      <c r="R144" t="str">
        <f>DO_DB[[#This Row],[DN Number]]</f>
        <v>DNWID0362023112119</v>
      </c>
    </row>
    <row r="145" spans="1:18">
      <c r="A145" t="s">
        <v>566</v>
      </c>
      <c r="B145" t="s">
        <v>567</v>
      </c>
      <c r="C145" s="172" t="s">
        <v>4482</v>
      </c>
      <c r="D145" t="s">
        <v>71</v>
      </c>
      <c r="E145" t="s">
        <v>26</v>
      </c>
      <c r="F145" t="s">
        <v>3148</v>
      </c>
      <c r="G145" t="s">
        <v>584</v>
      </c>
      <c r="H145" t="s">
        <v>585</v>
      </c>
      <c r="I145" s="130">
        <v>45251</v>
      </c>
      <c r="J145" t="s">
        <v>3071</v>
      </c>
      <c r="K145">
        <v>4</v>
      </c>
      <c r="M1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5" t="str">
        <f>DO_DB[[#This Row],[Material Pick-update]]&amp;"_"&amp;DO_DB[[#This Row],[Material Name]]</f>
        <v>45251_Pole 9M</v>
      </c>
      <c r="O145" t="str">
        <f>DO_DB[[#This Row],[SiteID]]</f>
        <v>CLR31-99-057</v>
      </c>
      <c r="P145" t="str">
        <f>DO_DB[[#This Row],[SiteID]]&amp;"_"&amp;DO_DB[[#This Row],[Material Name]]</f>
        <v>CLR31-99-057_Pole 9M</v>
      </c>
      <c r="Q145" t="str">
        <f>DO_DB[[#This Row],[DO Number]]</f>
        <v>DOEID231120CE</v>
      </c>
      <c r="R145" t="str">
        <f>DO_DB[[#This Row],[DN Number]]</f>
        <v>DNWID0362023112119</v>
      </c>
    </row>
    <row r="146" spans="1:18">
      <c r="A146" t="s">
        <v>566</v>
      </c>
      <c r="B146" t="s">
        <v>567</v>
      </c>
      <c r="C146" s="172" t="s">
        <v>4482</v>
      </c>
      <c r="D146" t="s">
        <v>71</v>
      </c>
      <c r="E146" t="s">
        <v>26</v>
      </c>
      <c r="F146" t="s">
        <v>3148</v>
      </c>
      <c r="G146" t="s">
        <v>568</v>
      </c>
      <c r="H146" t="s">
        <v>569</v>
      </c>
      <c r="I146" s="130">
        <v>45251</v>
      </c>
      <c r="J146" t="s">
        <v>14</v>
      </c>
      <c r="K146">
        <v>1</v>
      </c>
      <c r="M1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6" t="str">
        <f>DO_DB[[#This Row],[Material Pick-update]]&amp;"_"&amp;DO_DB[[#This Row],[Material Name]]</f>
        <v>45251_FDT-48</v>
      </c>
      <c r="O146" t="str">
        <f>DO_DB[[#This Row],[SiteID]]</f>
        <v>CLR31-99-057</v>
      </c>
      <c r="P146" t="str">
        <f>DO_DB[[#This Row],[SiteID]]&amp;"_"&amp;DO_DB[[#This Row],[Material Name]]</f>
        <v>CLR31-99-057_FDT-48</v>
      </c>
      <c r="Q146" t="str">
        <f>DO_DB[[#This Row],[DO Number]]</f>
        <v>DOEID231120CF</v>
      </c>
      <c r="R146" t="str">
        <f>DO_DB[[#This Row],[DN Number]]</f>
        <v>DNWID0342023112104</v>
      </c>
    </row>
    <row r="147" spans="1:18">
      <c r="A147" t="s">
        <v>570</v>
      </c>
      <c r="B147" t="s">
        <v>571</v>
      </c>
      <c r="C147" s="172" t="s">
        <v>4482</v>
      </c>
      <c r="D147" t="s">
        <v>71</v>
      </c>
      <c r="E147" t="s">
        <v>26</v>
      </c>
      <c r="F147" t="s">
        <v>3148</v>
      </c>
      <c r="G147" t="s">
        <v>578</v>
      </c>
      <c r="H147" t="s">
        <v>579</v>
      </c>
      <c r="I147" s="130">
        <v>45251</v>
      </c>
      <c r="J147" t="s">
        <v>3069</v>
      </c>
      <c r="K147">
        <v>44</v>
      </c>
      <c r="M1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7" t="str">
        <f>DO_DB[[#This Row],[Material Pick-update]]&amp;"_"&amp;DO_DB[[#This Row],[Material Name]]</f>
        <v>45251_Pole 7M 4"</v>
      </c>
      <c r="O147" t="str">
        <f>DO_DB[[#This Row],[SiteID]]</f>
        <v>CLR31-99-056</v>
      </c>
      <c r="P147" t="str">
        <f>DO_DB[[#This Row],[SiteID]]&amp;"_"&amp;DO_DB[[#This Row],[Material Name]]</f>
        <v>CLR31-99-056_Pole 7M 4"</v>
      </c>
      <c r="Q147" t="str">
        <f>DO_DB[[#This Row],[DO Number]]</f>
        <v>DOEID23112147</v>
      </c>
      <c r="R147" t="str">
        <f>DO_DB[[#This Row],[DN Number]]</f>
        <v>DNWID0362023112115</v>
      </c>
    </row>
    <row r="148" spans="1:18">
      <c r="A148" t="s">
        <v>586</v>
      </c>
      <c r="B148" t="s">
        <v>587</v>
      </c>
      <c r="C148" s="172" t="s">
        <v>4482</v>
      </c>
      <c r="D148" t="s">
        <v>71</v>
      </c>
      <c r="E148" t="s">
        <v>26</v>
      </c>
      <c r="F148" t="s">
        <v>3148</v>
      </c>
      <c r="G148" t="s">
        <v>588</v>
      </c>
      <c r="H148" t="s">
        <v>589</v>
      </c>
      <c r="I148" s="130">
        <v>45253</v>
      </c>
      <c r="J148" t="s">
        <v>3075</v>
      </c>
      <c r="K148">
        <v>3000</v>
      </c>
      <c r="M1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48C-20231123-01</v>
      </c>
      <c r="N148" t="str">
        <f>DO_DB[[#This Row],[Material Pick-update]]&amp;"_"&amp;DO_DB[[#This Row],[Material Name]]</f>
        <v>45253_ADSS 48C</v>
      </c>
      <c r="O148" t="str">
        <f>DO_DB[[#This Row],[SiteID]]</f>
        <v>CLR31-04-044</v>
      </c>
      <c r="P148" t="str">
        <f>DO_DB[[#This Row],[SiteID]]&amp;"_"&amp;DO_DB[[#This Row],[Material Name]]</f>
        <v>CLR31-04-044_ADSS 48C</v>
      </c>
      <c r="Q148" t="str">
        <f>DO_DB[[#This Row],[DO Number]]</f>
        <v>DOEID231120CH</v>
      </c>
      <c r="R148" t="str">
        <f>DO_DB[[#This Row],[DN Number]]</f>
        <v>DNWID0342023112105</v>
      </c>
    </row>
    <row r="149" spans="1:18">
      <c r="A149" t="s">
        <v>590</v>
      </c>
      <c r="B149" t="s">
        <v>591</v>
      </c>
      <c r="C149" s="172" t="s">
        <v>4482</v>
      </c>
      <c r="D149" t="s">
        <v>71</v>
      </c>
      <c r="E149" t="s">
        <v>26</v>
      </c>
      <c r="F149" t="s">
        <v>3148</v>
      </c>
      <c r="G149" t="s">
        <v>592</v>
      </c>
      <c r="H149" t="s">
        <v>593</v>
      </c>
      <c r="I149" s="130">
        <v>45253</v>
      </c>
      <c r="J149" t="s">
        <v>3075</v>
      </c>
      <c r="K149">
        <v>3000</v>
      </c>
      <c r="M1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48C-20231123-01</v>
      </c>
      <c r="N149" t="str">
        <f>DO_DB[[#This Row],[Material Pick-update]]&amp;"_"&amp;DO_DB[[#This Row],[Material Name]]</f>
        <v>45253_ADSS 48C</v>
      </c>
      <c r="O149" t="str">
        <f>DO_DB[[#This Row],[SiteID]]</f>
        <v>CLR31-04-028</v>
      </c>
      <c r="P149" t="str">
        <f>DO_DB[[#This Row],[SiteID]]&amp;"_"&amp;DO_DB[[#This Row],[Material Name]]</f>
        <v>CLR31-04-028_ADSS 48C</v>
      </c>
      <c r="Q149" t="str">
        <f>DO_DB[[#This Row],[DO Number]]</f>
        <v>DOEID231120CJ</v>
      </c>
      <c r="R149" t="str">
        <f>DO_DB[[#This Row],[DN Number]]</f>
        <v>DNWID0342023112106</v>
      </c>
    </row>
    <row r="150" spans="1:18">
      <c r="A150" t="s">
        <v>594</v>
      </c>
      <c r="B150" t="s">
        <v>595</v>
      </c>
      <c r="C150" s="172" t="s">
        <v>4482</v>
      </c>
      <c r="D150" t="s">
        <v>71</v>
      </c>
      <c r="E150" t="s">
        <v>26</v>
      </c>
      <c r="F150" t="s">
        <v>3148</v>
      </c>
      <c r="G150" t="s">
        <v>596</v>
      </c>
      <c r="H150" t="s">
        <v>597</v>
      </c>
      <c r="I150" s="130">
        <v>45253</v>
      </c>
      <c r="J150" t="s">
        <v>3073</v>
      </c>
      <c r="K150">
        <v>3000</v>
      </c>
      <c r="M1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24C-20231123-01</v>
      </c>
      <c r="N150" t="str">
        <f>DO_DB[[#This Row],[Material Pick-update]]&amp;"_"&amp;DO_DB[[#This Row],[Material Name]]</f>
        <v>45253_ADSS 24C</v>
      </c>
      <c r="O150" t="str">
        <f>DO_DB[[#This Row],[SiteID]]</f>
        <v>CLR31-04-041</v>
      </c>
      <c r="P150" t="str">
        <f>DO_DB[[#This Row],[SiteID]]&amp;"_"&amp;DO_DB[[#This Row],[Material Name]]</f>
        <v>CLR31-04-041_ADSS 24C</v>
      </c>
      <c r="Q150" t="str">
        <f>DO_DB[[#This Row],[DO Number]]</f>
        <v>DOEID231120CL</v>
      </c>
      <c r="R150" t="str">
        <f>DO_DB[[#This Row],[DN Number]]</f>
        <v>DNWID0342023112107</v>
      </c>
    </row>
    <row r="151" spans="1:18">
      <c r="A151" t="s">
        <v>598</v>
      </c>
      <c r="B151" t="s">
        <v>599</v>
      </c>
      <c r="C151" s="172" t="s">
        <v>4482</v>
      </c>
      <c r="D151" t="s">
        <v>71</v>
      </c>
      <c r="E151" t="s">
        <v>26</v>
      </c>
      <c r="F151" t="s">
        <v>3148</v>
      </c>
      <c r="G151" t="s">
        <v>600</v>
      </c>
      <c r="H151" t="s">
        <v>601</v>
      </c>
      <c r="I151" s="130">
        <v>45253</v>
      </c>
      <c r="J151" t="s">
        <v>3075</v>
      </c>
      <c r="K151">
        <v>3000</v>
      </c>
      <c r="M1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48C-20231123-01</v>
      </c>
      <c r="N151" t="str">
        <f>DO_DB[[#This Row],[Material Pick-update]]&amp;"_"&amp;DO_DB[[#This Row],[Material Name]]</f>
        <v>45253_ADSS 48C</v>
      </c>
      <c r="O151" t="str">
        <f>DO_DB[[#This Row],[SiteID]]</f>
        <v>CLR31-99-042</v>
      </c>
      <c r="P151" t="str">
        <f>DO_DB[[#This Row],[SiteID]]&amp;"_"&amp;DO_DB[[#This Row],[Material Name]]</f>
        <v>CLR31-99-042_ADSS 48C</v>
      </c>
      <c r="Q151" t="str">
        <f>DO_DB[[#This Row],[DO Number]]</f>
        <v>DOEID231120CN</v>
      </c>
      <c r="R151" t="str">
        <f>DO_DB[[#This Row],[DN Number]]</f>
        <v>DNWID0342023112108</v>
      </c>
    </row>
    <row r="152" spans="1:18">
      <c r="A152" t="s">
        <v>602</v>
      </c>
      <c r="B152" t="s">
        <v>603</v>
      </c>
      <c r="C152" s="172" t="s">
        <v>4482</v>
      </c>
      <c r="D152" t="s">
        <v>71</v>
      </c>
      <c r="E152" t="s">
        <v>26</v>
      </c>
      <c r="F152" t="s">
        <v>3148</v>
      </c>
      <c r="G152" t="s">
        <v>604</v>
      </c>
      <c r="H152" t="s">
        <v>605</v>
      </c>
      <c r="I152" s="130">
        <v>45253</v>
      </c>
      <c r="J152" t="s">
        <v>3075</v>
      </c>
      <c r="K152">
        <v>3000</v>
      </c>
      <c r="M1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48C-20231123-01</v>
      </c>
      <c r="N152" t="str">
        <f>DO_DB[[#This Row],[Material Pick-update]]&amp;"_"&amp;DO_DB[[#This Row],[Material Name]]</f>
        <v>45253_ADSS 48C</v>
      </c>
      <c r="O152" t="str">
        <f>DO_DB[[#This Row],[SiteID]]</f>
        <v>CLR31-99-043</v>
      </c>
      <c r="P152" t="str">
        <f>DO_DB[[#This Row],[SiteID]]&amp;"_"&amp;DO_DB[[#This Row],[Material Name]]</f>
        <v>CLR31-99-043_ADSS 48C</v>
      </c>
      <c r="Q152" t="str">
        <f>DO_DB[[#This Row],[DO Number]]</f>
        <v>DOEID231120CP</v>
      </c>
      <c r="R152" t="str">
        <f>DO_DB[[#This Row],[DN Number]]</f>
        <v>DNWID0342023112109</v>
      </c>
    </row>
    <row r="153" spans="1:18">
      <c r="A153" t="s">
        <v>586</v>
      </c>
      <c r="B153" t="s">
        <v>587</v>
      </c>
      <c r="C153" s="172" t="s">
        <v>4482</v>
      </c>
      <c r="D153" t="s">
        <v>71</v>
      </c>
      <c r="E153" t="s">
        <v>26</v>
      </c>
      <c r="F153" t="s">
        <v>3148</v>
      </c>
      <c r="G153" t="s">
        <v>606</v>
      </c>
      <c r="H153" t="s">
        <v>607</v>
      </c>
      <c r="I153" s="130">
        <v>45253</v>
      </c>
      <c r="J153" t="s">
        <v>3069</v>
      </c>
      <c r="K153">
        <v>15</v>
      </c>
      <c r="M1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3" t="str">
        <f>DO_DB[[#This Row],[Material Pick-update]]&amp;"_"&amp;DO_DB[[#This Row],[Material Name]]</f>
        <v>45253_Pole 7M 4"</v>
      </c>
      <c r="O153" t="str">
        <f>DO_DB[[#This Row],[SiteID]]</f>
        <v>CLR31-04-044</v>
      </c>
      <c r="P153" t="str">
        <f>DO_DB[[#This Row],[SiteID]]&amp;"_"&amp;DO_DB[[#This Row],[Material Name]]</f>
        <v>CLR31-04-044_Pole 7M 4"</v>
      </c>
      <c r="Q153" t="str">
        <f>DO_DB[[#This Row],[DO Number]]</f>
        <v>DOEID231120CG</v>
      </c>
      <c r="R153" t="str">
        <f>DO_DB[[#This Row],[DN Number]]</f>
        <v>DNWID0362023112106</v>
      </c>
    </row>
    <row r="154" spans="1:18">
      <c r="A154" t="s">
        <v>586</v>
      </c>
      <c r="B154" t="s">
        <v>587</v>
      </c>
      <c r="C154" s="172" t="s">
        <v>4482</v>
      </c>
      <c r="D154" t="s">
        <v>71</v>
      </c>
      <c r="E154" t="s">
        <v>26</v>
      </c>
      <c r="F154" t="s">
        <v>3148</v>
      </c>
      <c r="G154" t="s">
        <v>606</v>
      </c>
      <c r="H154" t="s">
        <v>607</v>
      </c>
      <c r="I154" s="130">
        <v>45253</v>
      </c>
      <c r="J154" t="s">
        <v>3070</v>
      </c>
      <c r="K154">
        <v>3</v>
      </c>
      <c r="M1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4" t="str">
        <f>DO_DB[[#This Row],[Material Pick-update]]&amp;"_"&amp;DO_DB[[#This Row],[Material Name]]</f>
        <v>45253_Pole 7M 3"</v>
      </c>
      <c r="O154" t="str">
        <f>DO_DB[[#This Row],[SiteID]]</f>
        <v>CLR31-04-044</v>
      </c>
      <c r="P154" t="str">
        <f>DO_DB[[#This Row],[SiteID]]&amp;"_"&amp;DO_DB[[#This Row],[Material Name]]</f>
        <v>CLR31-04-044_Pole 7M 3"</v>
      </c>
      <c r="Q154" t="str">
        <f>DO_DB[[#This Row],[DO Number]]</f>
        <v>DOEID231120CG</v>
      </c>
      <c r="R154" t="str">
        <f>DO_DB[[#This Row],[DN Number]]</f>
        <v>DNWID0362023112106</v>
      </c>
    </row>
    <row r="155" spans="1:18">
      <c r="A155" t="s">
        <v>586</v>
      </c>
      <c r="B155" t="s">
        <v>587</v>
      </c>
      <c r="C155" s="172" t="s">
        <v>4482</v>
      </c>
      <c r="D155" t="s">
        <v>71</v>
      </c>
      <c r="E155" t="s">
        <v>26</v>
      </c>
      <c r="F155" t="s">
        <v>3148</v>
      </c>
      <c r="G155" t="s">
        <v>588</v>
      </c>
      <c r="H155" t="s">
        <v>589</v>
      </c>
      <c r="I155" s="130">
        <v>45253</v>
      </c>
      <c r="J155" t="s">
        <v>14</v>
      </c>
      <c r="K155">
        <v>1</v>
      </c>
      <c r="M1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5" t="str">
        <f>DO_DB[[#This Row],[Material Pick-update]]&amp;"_"&amp;DO_DB[[#This Row],[Material Name]]</f>
        <v>45253_FDT-48</v>
      </c>
      <c r="O155" t="str">
        <f>DO_DB[[#This Row],[SiteID]]</f>
        <v>CLR31-04-044</v>
      </c>
      <c r="P155" t="str">
        <f>DO_DB[[#This Row],[SiteID]]&amp;"_"&amp;DO_DB[[#This Row],[Material Name]]</f>
        <v>CLR31-04-044_FDT-48</v>
      </c>
      <c r="Q155" t="str">
        <f>DO_DB[[#This Row],[DO Number]]</f>
        <v>DOEID231120CH</v>
      </c>
      <c r="R155" t="str">
        <f>DO_DB[[#This Row],[DN Number]]</f>
        <v>DNWID0342023112105</v>
      </c>
    </row>
    <row r="156" spans="1:18">
      <c r="A156" t="s">
        <v>590</v>
      </c>
      <c r="B156" t="s">
        <v>591</v>
      </c>
      <c r="C156" s="172" t="s">
        <v>4482</v>
      </c>
      <c r="D156" t="s">
        <v>71</v>
      </c>
      <c r="E156" t="s">
        <v>26</v>
      </c>
      <c r="F156" t="s">
        <v>3148</v>
      </c>
      <c r="G156" t="s">
        <v>608</v>
      </c>
      <c r="H156" t="s">
        <v>609</v>
      </c>
      <c r="I156" s="130">
        <v>45253</v>
      </c>
      <c r="J156" t="s">
        <v>3069</v>
      </c>
      <c r="K156">
        <v>74</v>
      </c>
      <c r="M1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6" t="str">
        <f>DO_DB[[#This Row],[Material Pick-update]]&amp;"_"&amp;DO_DB[[#This Row],[Material Name]]</f>
        <v>45253_Pole 7M 4"</v>
      </c>
      <c r="O156" t="str">
        <f>DO_DB[[#This Row],[SiteID]]</f>
        <v>CLR31-04-028</v>
      </c>
      <c r="P156" t="str">
        <f>DO_DB[[#This Row],[SiteID]]&amp;"_"&amp;DO_DB[[#This Row],[Material Name]]</f>
        <v>CLR31-04-028_Pole 7M 4"</v>
      </c>
      <c r="Q156" t="str">
        <f>DO_DB[[#This Row],[DO Number]]</f>
        <v>DOEID231120CI</v>
      </c>
      <c r="R156" t="str">
        <f>DO_DB[[#This Row],[DN Number]]</f>
        <v>DNWID0362023112120</v>
      </c>
    </row>
    <row r="157" spans="1:18">
      <c r="A157" t="s">
        <v>590</v>
      </c>
      <c r="B157" t="s">
        <v>591</v>
      </c>
      <c r="C157" s="172" t="s">
        <v>4482</v>
      </c>
      <c r="D157" t="s">
        <v>71</v>
      </c>
      <c r="E157" t="s">
        <v>26</v>
      </c>
      <c r="F157" t="s">
        <v>3148</v>
      </c>
      <c r="G157" t="s">
        <v>608</v>
      </c>
      <c r="H157" t="s">
        <v>609</v>
      </c>
      <c r="I157" s="130">
        <v>45253</v>
      </c>
      <c r="J157" t="s">
        <v>3071</v>
      </c>
      <c r="K157">
        <v>6</v>
      </c>
      <c r="M1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7" t="str">
        <f>DO_DB[[#This Row],[Material Pick-update]]&amp;"_"&amp;DO_DB[[#This Row],[Material Name]]</f>
        <v>45253_Pole 9M</v>
      </c>
      <c r="O157" t="str">
        <f>DO_DB[[#This Row],[SiteID]]</f>
        <v>CLR31-04-028</v>
      </c>
      <c r="P157" t="str">
        <f>DO_DB[[#This Row],[SiteID]]&amp;"_"&amp;DO_DB[[#This Row],[Material Name]]</f>
        <v>CLR31-04-028_Pole 9M</v>
      </c>
      <c r="Q157" t="str">
        <f>DO_DB[[#This Row],[DO Number]]</f>
        <v>DOEID231120CI</v>
      </c>
      <c r="R157" t="str">
        <f>DO_DB[[#This Row],[DN Number]]</f>
        <v>DNWID0362023112120</v>
      </c>
    </row>
    <row r="158" spans="1:18">
      <c r="A158" t="s">
        <v>590</v>
      </c>
      <c r="B158" t="s">
        <v>591</v>
      </c>
      <c r="C158" s="172" t="s">
        <v>4482</v>
      </c>
      <c r="D158" t="s">
        <v>71</v>
      </c>
      <c r="E158" t="s">
        <v>26</v>
      </c>
      <c r="F158" t="s">
        <v>3148</v>
      </c>
      <c r="G158" t="s">
        <v>592</v>
      </c>
      <c r="H158" t="s">
        <v>593</v>
      </c>
      <c r="I158" s="130">
        <v>45253</v>
      </c>
      <c r="J158" t="s">
        <v>15</v>
      </c>
      <c r="K158">
        <v>1</v>
      </c>
      <c r="M1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8" t="str">
        <f>DO_DB[[#This Row],[Material Pick-update]]&amp;"_"&amp;DO_DB[[#This Row],[Material Name]]</f>
        <v>45253_FDT-72</v>
      </c>
      <c r="O158" t="str">
        <f>DO_DB[[#This Row],[SiteID]]</f>
        <v>CLR31-04-028</v>
      </c>
      <c r="P158" t="str">
        <f>DO_DB[[#This Row],[SiteID]]&amp;"_"&amp;DO_DB[[#This Row],[Material Name]]</f>
        <v>CLR31-04-028_FDT-72</v>
      </c>
      <c r="Q158" t="str">
        <f>DO_DB[[#This Row],[DO Number]]</f>
        <v>DOEID231120CJ</v>
      </c>
      <c r="R158" t="str">
        <f>DO_DB[[#This Row],[DN Number]]</f>
        <v>DNWID0342023112106</v>
      </c>
    </row>
    <row r="159" spans="1:18">
      <c r="A159" t="s">
        <v>594</v>
      </c>
      <c r="B159" t="s">
        <v>595</v>
      </c>
      <c r="C159" s="172" t="s">
        <v>4482</v>
      </c>
      <c r="D159" t="s">
        <v>71</v>
      </c>
      <c r="E159" t="s">
        <v>26</v>
      </c>
      <c r="F159" t="s">
        <v>3148</v>
      </c>
      <c r="G159" t="s">
        <v>610</v>
      </c>
      <c r="H159" t="s">
        <v>611</v>
      </c>
      <c r="I159" s="130">
        <v>45253</v>
      </c>
      <c r="J159" t="s">
        <v>3069</v>
      </c>
      <c r="K159">
        <v>34</v>
      </c>
      <c r="M1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9" t="str">
        <f>DO_DB[[#This Row],[Material Pick-update]]&amp;"_"&amp;DO_DB[[#This Row],[Material Name]]</f>
        <v>45253_Pole 7M 4"</v>
      </c>
      <c r="O159" t="str">
        <f>DO_DB[[#This Row],[SiteID]]</f>
        <v>CLR31-04-041</v>
      </c>
      <c r="P159" t="str">
        <f>DO_DB[[#This Row],[SiteID]]&amp;"_"&amp;DO_DB[[#This Row],[Material Name]]</f>
        <v>CLR31-04-041_Pole 7M 4"</v>
      </c>
      <c r="Q159" t="str">
        <f>DO_DB[[#This Row],[DO Number]]</f>
        <v>DOEID231120CK</v>
      </c>
      <c r="R159" t="str">
        <f>DO_DB[[#This Row],[DN Number]]</f>
        <v>DNWID0362023112121</v>
      </c>
    </row>
    <row r="160" spans="1:18">
      <c r="A160" t="s">
        <v>594</v>
      </c>
      <c r="B160" t="s">
        <v>595</v>
      </c>
      <c r="C160" s="172" t="s">
        <v>4482</v>
      </c>
      <c r="D160" t="s">
        <v>71</v>
      </c>
      <c r="E160" t="s">
        <v>26</v>
      </c>
      <c r="F160" t="s">
        <v>3148</v>
      </c>
      <c r="G160" t="s">
        <v>596</v>
      </c>
      <c r="H160" t="s">
        <v>597</v>
      </c>
      <c r="I160" s="130">
        <v>45253</v>
      </c>
      <c r="J160" t="s">
        <v>14</v>
      </c>
      <c r="K160">
        <v>1</v>
      </c>
      <c r="M1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0" t="str">
        <f>DO_DB[[#This Row],[Material Pick-update]]&amp;"_"&amp;DO_DB[[#This Row],[Material Name]]</f>
        <v>45253_FDT-48</v>
      </c>
      <c r="O160" t="str">
        <f>DO_DB[[#This Row],[SiteID]]</f>
        <v>CLR31-04-041</v>
      </c>
      <c r="P160" t="str">
        <f>DO_DB[[#This Row],[SiteID]]&amp;"_"&amp;DO_DB[[#This Row],[Material Name]]</f>
        <v>CLR31-04-041_FDT-48</v>
      </c>
      <c r="Q160" t="str">
        <f>DO_DB[[#This Row],[DO Number]]</f>
        <v>DOEID231120CL</v>
      </c>
      <c r="R160" t="str">
        <f>DO_DB[[#This Row],[DN Number]]</f>
        <v>DNWID0342023112107</v>
      </c>
    </row>
    <row r="161" spans="1:18">
      <c r="A161" t="s">
        <v>598</v>
      </c>
      <c r="B161" t="s">
        <v>599</v>
      </c>
      <c r="C161" s="172" t="s">
        <v>4482</v>
      </c>
      <c r="D161" t="s">
        <v>71</v>
      </c>
      <c r="E161" t="s">
        <v>26</v>
      </c>
      <c r="F161" t="s">
        <v>3148</v>
      </c>
      <c r="G161" t="s">
        <v>612</v>
      </c>
      <c r="H161" t="s">
        <v>613</v>
      </c>
      <c r="I161" s="130">
        <v>45253</v>
      </c>
      <c r="J161" t="s">
        <v>3069</v>
      </c>
      <c r="K161">
        <v>37</v>
      </c>
      <c r="M1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1" t="str">
        <f>DO_DB[[#This Row],[Material Pick-update]]&amp;"_"&amp;DO_DB[[#This Row],[Material Name]]</f>
        <v>45253_Pole 7M 4"</v>
      </c>
      <c r="O161" t="str">
        <f>DO_DB[[#This Row],[SiteID]]</f>
        <v>CLR31-99-042</v>
      </c>
      <c r="P161" t="str">
        <f>DO_DB[[#This Row],[SiteID]]&amp;"_"&amp;DO_DB[[#This Row],[Material Name]]</f>
        <v>CLR31-99-042_Pole 7M 4"</v>
      </c>
      <c r="Q161" t="str">
        <f>DO_DB[[#This Row],[DO Number]]</f>
        <v>DOEID231120CM</v>
      </c>
      <c r="R161" t="str">
        <f>DO_DB[[#This Row],[DN Number]]</f>
        <v>DNWID0362023112122</v>
      </c>
    </row>
    <row r="162" spans="1:18">
      <c r="A162" t="s">
        <v>598</v>
      </c>
      <c r="B162" t="s">
        <v>599</v>
      </c>
      <c r="C162" s="172" t="s">
        <v>4482</v>
      </c>
      <c r="D162" t="s">
        <v>71</v>
      </c>
      <c r="E162" t="s">
        <v>26</v>
      </c>
      <c r="F162" t="s">
        <v>3148</v>
      </c>
      <c r="G162" t="s">
        <v>612</v>
      </c>
      <c r="H162" t="s">
        <v>613</v>
      </c>
      <c r="I162" s="130">
        <v>45253</v>
      </c>
      <c r="J162" t="s">
        <v>3071</v>
      </c>
      <c r="K162">
        <v>6</v>
      </c>
      <c r="M1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2" t="str">
        <f>DO_DB[[#This Row],[Material Pick-update]]&amp;"_"&amp;DO_DB[[#This Row],[Material Name]]</f>
        <v>45253_Pole 9M</v>
      </c>
      <c r="O162" t="str">
        <f>DO_DB[[#This Row],[SiteID]]</f>
        <v>CLR31-99-042</v>
      </c>
      <c r="P162" t="str">
        <f>DO_DB[[#This Row],[SiteID]]&amp;"_"&amp;DO_DB[[#This Row],[Material Name]]</f>
        <v>CLR31-99-042_Pole 9M</v>
      </c>
      <c r="Q162" t="str">
        <f>DO_DB[[#This Row],[DO Number]]</f>
        <v>DOEID231120CM</v>
      </c>
      <c r="R162" t="str">
        <f>DO_DB[[#This Row],[DN Number]]</f>
        <v>DNWID0362023112122</v>
      </c>
    </row>
    <row r="163" spans="1:18">
      <c r="A163" t="s">
        <v>598</v>
      </c>
      <c r="B163" t="s">
        <v>599</v>
      </c>
      <c r="C163" s="172" t="s">
        <v>4482</v>
      </c>
      <c r="D163" t="s">
        <v>71</v>
      </c>
      <c r="E163" t="s">
        <v>26</v>
      </c>
      <c r="F163" t="s">
        <v>3148</v>
      </c>
      <c r="G163" t="s">
        <v>600</v>
      </c>
      <c r="H163" t="s">
        <v>601</v>
      </c>
      <c r="I163" s="130">
        <v>45253</v>
      </c>
      <c r="J163" t="s">
        <v>14</v>
      </c>
      <c r="K163">
        <v>1</v>
      </c>
      <c r="M1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3" t="str">
        <f>DO_DB[[#This Row],[Material Pick-update]]&amp;"_"&amp;DO_DB[[#This Row],[Material Name]]</f>
        <v>45253_FDT-48</v>
      </c>
      <c r="O163" t="str">
        <f>DO_DB[[#This Row],[SiteID]]</f>
        <v>CLR31-99-042</v>
      </c>
      <c r="P163" t="str">
        <f>DO_DB[[#This Row],[SiteID]]&amp;"_"&amp;DO_DB[[#This Row],[Material Name]]</f>
        <v>CLR31-99-042_FDT-48</v>
      </c>
      <c r="Q163" t="str">
        <f>DO_DB[[#This Row],[DO Number]]</f>
        <v>DOEID231120CN</v>
      </c>
      <c r="R163" t="str">
        <f>DO_DB[[#This Row],[DN Number]]</f>
        <v>DNWID0342023112108</v>
      </c>
    </row>
    <row r="164" spans="1:18">
      <c r="A164" t="s">
        <v>602</v>
      </c>
      <c r="B164" t="s">
        <v>603</v>
      </c>
      <c r="C164" s="172" t="s">
        <v>4482</v>
      </c>
      <c r="D164" t="s">
        <v>71</v>
      </c>
      <c r="E164" t="s">
        <v>26</v>
      </c>
      <c r="F164" t="s">
        <v>3148</v>
      </c>
      <c r="G164" t="s">
        <v>614</v>
      </c>
      <c r="H164" t="s">
        <v>615</v>
      </c>
      <c r="I164" s="130">
        <v>45253</v>
      </c>
      <c r="J164" t="s">
        <v>3069</v>
      </c>
      <c r="K164">
        <v>66</v>
      </c>
      <c r="M1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4" t="str">
        <f>DO_DB[[#This Row],[Material Pick-update]]&amp;"_"&amp;DO_DB[[#This Row],[Material Name]]</f>
        <v>45253_Pole 7M 4"</v>
      </c>
      <c r="O164" t="str">
        <f>DO_DB[[#This Row],[SiteID]]</f>
        <v>CLR31-99-043</v>
      </c>
      <c r="P164" t="str">
        <f>DO_DB[[#This Row],[SiteID]]&amp;"_"&amp;DO_DB[[#This Row],[Material Name]]</f>
        <v>CLR31-99-043_Pole 7M 4"</v>
      </c>
      <c r="Q164" t="str">
        <f>DO_DB[[#This Row],[DO Number]]</f>
        <v>DOEID231120CO</v>
      </c>
      <c r="R164" t="str">
        <f>DO_DB[[#This Row],[DN Number]]</f>
        <v>DNWID0362023112214</v>
      </c>
    </row>
    <row r="165" spans="1:18">
      <c r="A165" t="s">
        <v>602</v>
      </c>
      <c r="B165" t="s">
        <v>603</v>
      </c>
      <c r="C165" s="172" t="s">
        <v>4482</v>
      </c>
      <c r="D165" t="s">
        <v>71</v>
      </c>
      <c r="E165" t="s">
        <v>26</v>
      </c>
      <c r="F165" t="s">
        <v>3148</v>
      </c>
      <c r="G165" t="s">
        <v>614</v>
      </c>
      <c r="H165" t="s">
        <v>615</v>
      </c>
      <c r="I165" s="130">
        <v>45253</v>
      </c>
      <c r="J165" t="s">
        <v>3070</v>
      </c>
      <c r="K165">
        <v>24</v>
      </c>
      <c r="M1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5" t="str">
        <f>DO_DB[[#This Row],[Material Pick-update]]&amp;"_"&amp;DO_DB[[#This Row],[Material Name]]</f>
        <v>45253_Pole 7M 3"</v>
      </c>
      <c r="O165" t="str">
        <f>DO_DB[[#This Row],[SiteID]]</f>
        <v>CLR31-99-043</v>
      </c>
      <c r="P165" t="str">
        <f>DO_DB[[#This Row],[SiteID]]&amp;"_"&amp;DO_DB[[#This Row],[Material Name]]</f>
        <v>CLR31-99-043_Pole 7M 3"</v>
      </c>
      <c r="Q165" t="str">
        <f>DO_DB[[#This Row],[DO Number]]</f>
        <v>DOEID231120CO</v>
      </c>
      <c r="R165" t="str">
        <f>DO_DB[[#This Row],[DN Number]]</f>
        <v>DNWID0362023112214</v>
      </c>
    </row>
    <row r="166" spans="1:18">
      <c r="A166" t="s">
        <v>602</v>
      </c>
      <c r="B166" t="s">
        <v>603</v>
      </c>
      <c r="C166" s="172" t="s">
        <v>4482</v>
      </c>
      <c r="D166" t="s">
        <v>71</v>
      </c>
      <c r="E166" t="s">
        <v>26</v>
      </c>
      <c r="F166" t="s">
        <v>3148</v>
      </c>
      <c r="G166" t="s">
        <v>614</v>
      </c>
      <c r="H166" t="s">
        <v>615</v>
      </c>
      <c r="I166" s="130">
        <v>45253</v>
      </c>
      <c r="J166" t="s">
        <v>3071</v>
      </c>
      <c r="K166">
        <v>6</v>
      </c>
      <c r="M1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6" t="str">
        <f>DO_DB[[#This Row],[Material Pick-update]]&amp;"_"&amp;DO_DB[[#This Row],[Material Name]]</f>
        <v>45253_Pole 9M</v>
      </c>
      <c r="O166" t="str">
        <f>DO_DB[[#This Row],[SiteID]]</f>
        <v>CLR31-99-043</v>
      </c>
      <c r="P166" t="str">
        <f>DO_DB[[#This Row],[SiteID]]&amp;"_"&amp;DO_DB[[#This Row],[Material Name]]</f>
        <v>CLR31-99-043_Pole 9M</v>
      </c>
      <c r="Q166" t="str">
        <f>DO_DB[[#This Row],[DO Number]]</f>
        <v>DOEID231120CO</v>
      </c>
      <c r="R166" t="str">
        <f>DO_DB[[#This Row],[DN Number]]</f>
        <v>DNWID0362023112214</v>
      </c>
    </row>
    <row r="167" spans="1:18">
      <c r="A167" t="s">
        <v>602</v>
      </c>
      <c r="B167" t="s">
        <v>603</v>
      </c>
      <c r="C167" s="172" t="s">
        <v>4482</v>
      </c>
      <c r="D167" t="s">
        <v>71</v>
      </c>
      <c r="E167" t="s">
        <v>26</v>
      </c>
      <c r="F167" t="s">
        <v>3148</v>
      </c>
      <c r="G167" t="s">
        <v>604</v>
      </c>
      <c r="H167" t="s">
        <v>605</v>
      </c>
      <c r="I167" s="130">
        <v>45253</v>
      </c>
      <c r="J167" t="s">
        <v>15</v>
      </c>
      <c r="K167">
        <v>1</v>
      </c>
      <c r="M1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7" t="str">
        <f>DO_DB[[#This Row],[Material Pick-update]]&amp;"_"&amp;DO_DB[[#This Row],[Material Name]]</f>
        <v>45253_FDT-72</v>
      </c>
      <c r="O167" t="str">
        <f>DO_DB[[#This Row],[SiteID]]</f>
        <v>CLR31-99-043</v>
      </c>
      <c r="P167" t="str">
        <f>DO_DB[[#This Row],[SiteID]]&amp;"_"&amp;DO_DB[[#This Row],[Material Name]]</f>
        <v>CLR31-99-043_FDT-72</v>
      </c>
      <c r="Q167" t="str">
        <f>DO_DB[[#This Row],[DO Number]]</f>
        <v>DOEID231120CP</v>
      </c>
      <c r="R167" t="str">
        <f>DO_DB[[#This Row],[DN Number]]</f>
        <v>DNWID0342023112109</v>
      </c>
    </row>
    <row r="168" spans="1:18">
      <c r="A168" t="s">
        <v>602</v>
      </c>
      <c r="B168" t="s">
        <v>603</v>
      </c>
      <c r="C168" s="172" t="s">
        <v>4482</v>
      </c>
      <c r="D168" t="s">
        <v>71</v>
      </c>
      <c r="E168" t="s">
        <v>26</v>
      </c>
      <c r="F168" t="s">
        <v>3148</v>
      </c>
      <c r="G168" t="s">
        <v>618</v>
      </c>
      <c r="H168" t="s">
        <v>619</v>
      </c>
      <c r="I168" s="130">
        <v>45259</v>
      </c>
      <c r="J168" t="s">
        <v>3080</v>
      </c>
      <c r="K168">
        <v>4</v>
      </c>
      <c r="M1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8" t="str">
        <f>DO_DB[[#This Row],[Material Pick-update]]&amp;"_"&amp;DO_DB[[#This Row],[Material Name]]</f>
        <v>45259_1:8 SPL for FDT-AE &amp; UG</v>
      </c>
      <c r="O168" t="str">
        <f>DO_DB[[#This Row],[SiteID]]</f>
        <v>CLR31-99-043</v>
      </c>
      <c r="P168" t="str">
        <f>DO_DB[[#This Row],[SiteID]]&amp;"_"&amp;DO_DB[[#This Row],[Material Name]]</f>
        <v>CLR31-99-043_1:8 SPL for FDT-AE &amp; UG</v>
      </c>
      <c r="Q168" t="str">
        <f>DO_DB[[#This Row],[DO Number]]</f>
        <v>DOEID23112363</v>
      </c>
      <c r="R168" t="str">
        <f>DO_DB[[#This Row],[DN Number]]</f>
        <v>DNWID0342023112308</v>
      </c>
    </row>
    <row r="169" spans="1:18">
      <c r="A169" t="s">
        <v>590</v>
      </c>
      <c r="B169" t="s">
        <v>591</v>
      </c>
      <c r="C169" s="172" t="s">
        <v>4482</v>
      </c>
      <c r="D169" t="s">
        <v>71</v>
      </c>
      <c r="E169" t="s">
        <v>26</v>
      </c>
      <c r="F169" t="s">
        <v>3148</v>
      </c>
      <c r="G169" t="s">
        <v>616</v>
      </c>
      <c r="H169" t="s">
        <v>617</v>
      </c>
      <c r="I169" s="130">
        <v>45259</v>
      </c>
      <c r="J169" t="s">
        <v>3080</v>
      </c>
      <c r="K169">
        <v>4</v>
      </c>
      <c r="M1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9" t="str">
        <f>DO_DB[[#This Row],[Material Pick-update]]&amp;"_"&amp;DO_DB[[#This Row],[Material Name]]</f>
        <v>45259_1:8 SPL for FDT-AE &amp; UG</v>
      </c>
      <c r="O169" t="str">
        <f>DO_DB[[#This Row],[SiteID]]</f>
        <v>CLR31-04-028</v>
      </c>
      <c r="P169" t="str">
        <f>DO_DB[[#This Row],[SiteID]]&amp;"_"&amp;DO_DB[[#This Row],[Material Name]]</f>
        <v>CLR31-04-028_1:8 SPL for FDT-AE &amp; UG</v>
      </c>
      <c r="Q169" t="str">
        <f>DO_DB[[#This Row],[DO Number]]</f>
        <v>DOEID23112364</v>
      </c>
      <c r="R169" t="str">
        <f>DO_DB[[#This Row],[DN Number]]</f>
        <v>DNWID0342023112307</v>
      </c>
    </row>
    <row r="170" spans="1:18">
      <c r="A170" t="s">
        <v>590</v>
      </c>
      <c r="B170" t="s">
        <v>591</v>
      </c>
      <c r="C170" s="172" t="s">
        <v>4482</v>
      </c>
      <c r="D170" t="s">
        <v>71</v>
      </c>
      <c r="E170" t="s">
        <v>26</v>
      </c>
      <c r="F170" t="s">
        <v>3148</v>
      </c>
      <c r="G170" t="s">
        <v>622</v>
      </c>
      <c r="H170" t="s">
        <v>623</v>
      </c>
      <c r="I170" s="130">
        <v>45264</v>
      </c>
      <c r="J170" t="s">
        <v>13</v>
      </c>
      <c r="K170">
        <v>36</v>
      </c>
      <c r="M1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0" t="str">
        <f>DO_DB[[#This Row],[Material Pick-update]]&amp;"_"&amp;DO_DB[[#This Row],[Material Name]]</f>
        <v>45264_FAT-16</v>
      </c>
      <c r="O170" t="str">
        <f>DO_DB[[#This Row],[SiteID]]</f>
        <v>CLR31-04-028</v>
      </c>
      <c r="P170" t="str">
        <f>DO_DB[[#This Row],[SiteID]]&amp;"_"&amp;DO_DB[[#This Row],[Material Name]]</f>
        <v>CLR31-04-028_FAT-16</v>
      </c>
      <c r="Q170" t="str">
        <f>DO_DB[[#This Row],[DO Number]]</f>
        <v>DOEID23120190</v>
      </c>
      <c r="R170" t="str">
        <f>DO_DB[[#This Row],[DN Number]]</f>
        <v>DNWID0342023120123</v>
      </c>
    </row>
    <row r="171" spans="1:18">
      <c r="A171" t="s">
        <v>598</v>
      </c>
      <c r="B171" t="s">
        <v>599</v>
      </c>
      <c r="C171" s="172" t="s">
        <v>4482</v>
      </c>
      <c r="D171" t="s">
        <v>71</v>
      </c>
      <c r="E171" t="s">
        <v>26</v>
      </c>
      <c r="F171" t="s">
        <v>3148</v>
      </c>
      <c r="G171" t="s">
        <v>620</v>
      </c>
      <c r="H171" t="s">
        <v>621</v>
      </c>
      <c r="I171" s="130">
        <v>45264</v>
      </c>
      <c r="J171" t="s">
        <v>13</v>
      </c>
      <c r="K171">
        <v>21</v>
      </c>
      <c r="M1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1" t="str">
        <f>DO_DB[[#This Row],[Material Pick-update]]&amp;"_"&amp;DO_DB[[#This Row],[Material Name]]</f>
        <v>45264_FAT-16</v>
      </c>
      <c r="O171" t="str">
        <f>DO_DB[[#This Row],[SiteID]]</f>
        <v>CLR31-99-042</v>
      </c>
      <c r="P171" t="str">
        <f>DO_DB[[#This Row],[SiteID]]&amp;"_"&amp;DO_DB[[#This Row],[Material Name]]</f>
        <v>CLR31-99-042_FAT-16</v>
      </c>
      <c r="Q171" t="str">
        <f>DO_DB[[#This Row],[DO Number]]</f>
        <v>DOEID23120191</v>
      </c>
      <c r="R171" t="str">
        <f>DO_DB[[#This Row],[DN Number]]</f>
        <v>DNWID0342023120121</v>
      </c>
    </row>
    <row r="172" spans="1:18">
      <c r="A172" t="s">
        <v>586</v>
      </c>
      <c r="B172" t="s">
        <v>587</v>
      </c>
      <c r="C172" s="172" t="s">
        <v>4482</v>
      </c>
      <c r="D172" t="s">
        <v>71</v>
      </c>
      <c r="E172" t="s">
        <v>26</v>
      </c>
      <c r="F172" t="s">
        <v>3148</v>
      </c>
      <c r="G172" t="s">
        <v>624</v>
      </c>
      <c r="H172" t="s">
        <v>625</v>
      </c>
      <c r="I172" s="130">
        <v>45264</v>
      </c>
      <c r="J172" t="s">
        <v>13</v>
      </c>
      <c r="K172">
        <v>15</v>
      </c>
      <c r="M1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2" t="str">
        <f>DO_DB[[#This Row],[Material Pick-update]]&amp;"_"&amp;DO_DB[[#This Row],[Material Name]]</f>
        <v>45264_FAT-16</v>
      </c>
      <c r="O172" t="str">
        <f>DO_DB[[#This Row],[SiteID]]</f>
        <v>CLR31-04-044</v>
      </c>
      <c r="P172" t="str">
        <f>DO_DB[[#This Row],[SiteID]]&amp;"_"&amp;DO_DB[[#This Row],[Material Name]]</f>
        <v>CLR31-04-044_FAT-16</v>
      </c>
      <c r="Q172" t="str">
        <f>DO_DB[[#This Row],[DO Number]]</f>
        <v>DOEID231201AN</v>
      </c>
      <c r="R172" t="str">
        <f>DO_DB[[#This Row],[DN Number]]</f>
        <v>DNWID0342023120127</v>
      </c>
    </row>
    <row r="173" spans="1:18">
      <c r="A173" t="s">
        <v>558</v>
      </c>
      <c r="B173" t="s">
        <v>559</v>
      </c>
      <c r="C173" s="172" t="s">
        <v>4482</v>
      </c>
      <c r="D173" t="s">
        <v>71</v>
      </c>
      <c r="E173" t="s">
        <v>26</v>
      </c>
      <c r="F173" t="s">
        <v>3148</v>
      </c>
      <c r="G173" t="s">
        <v>640</v>
      </c>
      <c r="H173" t="s">
        <v>641</v>
      </c>
      <c r="I173" s="130">
        <v>45271</v>
      </c>
      <c r="J173" t="s">
        <v>13</v>
      </c>
      <c r="K173">
        <v>8</v>
      </c>
      <c r="M1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3" t="str">
        <f>DO_DB[[#This Row],[Material Pick-update]]&amp;"_"&amp;DO_DB[[#This Row],[Material Name]]</f>
        <v>45271_FAT-16</v>
      </c>
      <c r="O173" t="str">
        <f>DO_DB[[#This Row],[SiteID]]</f>
        <v>CLR31-99-053</v>
      </c>
      <c r="P173" t="str">
        <f>DO_DB[[#This Row],[SiteID]]&amp;"_"&amp;DO_DB[[#This Row],[Material Name]]</f>
        <v>CLR31-99-053_FAT-16</v>
      </c>
      <c r="Q173" t="str">
        <f>DO_DB[[#This Row],[DO Number]]</f>
        <v>DOEID23120865</v>
      </c>
      <c r="R173" t="str">
        <f>DO_DB[[#This Row],[DN Number]]</f>
        <v>DNWID0342023120810</v>
      </c>
    </row>
    <row r="174" spans="1:18">
      <c r="A174" t="s">
        <v>562</v>
      </c>
      <c r="B174" t="s">
        <v>563</v>
      </c>
      <c r="C174" s="172" t="s">
        <v>4482</v>
      </c>
      <c r="D174" t="s">
        <v>71</v>
      </c>
      <c r="E174" t="s">
        <v>26</v>
      </c>
      <c r="F174" t="s">
        <v>3148</v>
      </c>
      <c r="G174" t="s">
        <v>638</v>
      </c>
      <c r="H174" t="s">
        <v>639</v>
      </c>
      <c r="I174" s="130">
        <v>45271</v>
      </c>
      <c r="J174" t="s">
        <v>13</v>
      </c>
      <c r="K174">
        <v>12</v>
      </c>
      <c r="M1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4" t="str">
        <f>DO_DB[[#This Row],[Material Pick-update]]&amp;"_"&amp;DO_DB[[#This Row],[Material Name]]</f>
        <v>45271_FAT-16</v>
      </c>
      <c r="O174" t="str">
        <f>DO_DB[[#This Row],[SiteID]]</f>
        <v>CLR31-99-054</v>
      </c>
      <c r="P174" t="str">
        <f>DO_DB[[#This Row],[SiteID]]&amp;"_"&amp;DO_DB[[#This Row],[Material Name]]</f>
        <v>CLR31-99-054_FAT-16</v>
      </c>
      <c r="Q174" t="str">
        <f>DO_DB[[#This Row],[DO Number]]</f>
        <v>DOEID23120866</v>
      </c>
      <c r="R174" t="str">
        <f>DO_DB[[#This Row],[DN Number]]</f>
        <v>DNWID0342023120811</v>
      </c>
    </row>
    <row r="175" spans="1:18">
      <c r="A175" t="s">
        <v>574</v>
      </c>
      <c r="B175" t="s">
        <v>575</v>
      </c>
      <c r="C175" s="172" t="s">
        <v>4482</v>
      </c>
      <c r="D175" t="s">
        <v>71</v>
      </c>
      <c r="E175" t="s">
        <v>26</v>
      </c>
      <c r="F175" t="s">
        <v>3148</v>
      </c>
      <c r="G175" t="s">
        <v>632</v>
      </c>
      <c r="H175" t="s">
        <v>633</v>
      </c>
      <c r="I175" s="130">
        <v>45271</v>
      </c>
      <c r="J175" t="s">
        <v>13</v>
      </c>
      <c r="K175">
        <v>12</v>
      </c>
      <c r="M1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5" t="str">
        <f>DO_DB[[#This Row],[Material Pick-update]]&amp;"_"&amp;DO_DB[[#This Row],[Material Name]]</f>
        <v>45271_FAT-16</v>
      </c>
      <c r="O175" t="str">
        <f>DO_DB[[#This Row],[SiteID]]</f>
        <v>CLR31-99-055</v>
      </c>
      <c r="P175" t="str">
        <f>DO_DB[[#This Row],[SiteID]]&amp;"_"&amp;DO_DB[[#This Row],[Material Name]]</f>
        <v>CLR31-99-055_FAT-16</v>
      </c>
      <c r="Q175" t="str">
        <f>DO_DB[[#This Row],[DO Number]]</f>
        <v>DOEID23120877</v>
      </c>
      <c r="R175" t="str">
        <f>DO_DB[[#This Row],[DN Number]]</f>
        <v>DNWID0342023120807</v>
      </c>
    </row>
    <row r="176" spans="1:18">
      <c r="A176" t="s">
        <v>570</v>
      </c>
      <c r="B176" t="s">
        <v>571</v>
      </c>
      <c r="C176" s="172" t="s">
        <v>4482</v>
      </c>
      <c r="D176" t="s">
        <v>71</v>
      </c>
      <c r="E176" t="s">
        <v>26</v>
      </c>
      <c r="F176" t="s">
        <v>3148</v>
      </c>
      <c r="G176" t="s">
        <v>634</v>
      </c>
      <c r="H176" t="s">
        <v>635</v>
      </c>
      <c r="I176" s="130">
        <v>45271</v>
      </c>
      <c r="J176" t="s">
        <v>13</v>
      </c>
      <c r="K176">
        <v>22</v>
      </c>
      <c r="M1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6" t="str">
        <f>DO_DB[[#This Row],[Material Pick-update]]&amp;"_"&amp;DO_DB[[#This Row],[Material Name]]</f>
        <v>45271_FAT-16</v>
      </c>
      <c r="O176" t="str">
        <f>DO_DB[[#This Row],[SiteID]]</f>
        <v>CLR31-99-056</v>
      </c>
      <c r="P176" t="str">
        <f>DO_DB[[#This Row],[SiteID]]&amp;"_"&amp;DO_DB[[#This Row],[Material Name]]</f>
        <v>CLR31-99-056_FAT-16</v>
      </c>
      <c r="Q176" t="str">
        <f>DO_DB[[#This Row],[DO Number]]</f>
        <v>DOEID23120878</v>
      </c>
      <c r="R176" t="str">
        <f>DO_DB[[#This Row],[DN Number]]</f>
        <v>DNWID0342023120808</v>
      </c>
    </row>
    <row r="177" spans="1:18">
      <c r="A177" t="s">
        <v>566</v>
      </c>
      <c r="B177" t="s">
        <v>567</v>
      </c>
      <c r="C177" s="172" t="s">
        <v>4482</v>
      </c>
      <c r="D177" t="s">
        <v>71</v>
      </c>
      <c r="E177" t="s">
        <v>26</v>
      </c>
      <c r="F177" t="s">
        <v>3148</v>
      </c>
      <c r="G177" t="s">
        <v>636</v>
      </c>
      <c r="H177" t="s">
        <v>637</v>
      </c>
      <c r="I177" s="130">
        <v>45271</v>
      </c>
      <c r="J177" t="s">
        <v>13</v>
      </c>
      <c r="K177">
        <v>16</v>
      </c>
      <c r="M1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7" t="str">
        <f>DO_DB[[#This Row],[Material Pick-update]]&amp;"_"&amp;DO_DB[[#This Row],[Material Name]]</f>
        <v>45271_FAT-16</v>
      </c>
      <c r="O177" t="str">
        <f>DO_DB[[#This Row],[SiteID]]</f>
        <v>CLR31-99-057</v>
      </c>
      <c r="P177" t="str">
        <f>DO_DB[[#This Row],[SiteID]]&amp;"_"&amp;DO_DB[[#This Row],[Material Name]]</f>
        <v>CLR31-99-057_FAT-16</v>
      </c>
      <c r="Q177" t="str">
        <f>DO_DB[[#This Row],[DO Number]]</f>
        <v>DOEID23120879</v>
      </c>
      <c r="R177" t="str">
        <f>DO_DB[[#This Row],[DN Number]]</f>
        <v>DNWID0342023120809</v>
      </c>
    </row>
    <row r="178" spans="1:18">
      <c r="A178" t="s">
        <v>594</v>
      </c>
      <c r="B178" t="s">
        <v>595</v>
      </c>
      <c r="C178" s="172" t="s">
        <v>4482</v>
      </c>
      <c r="D178" t="s">
        <v>71</v>
      </c>
      <c r="E178" t="s">
        <v>26</v>
      </c>
      <c r="F178" t="s">
        <v>3148</v>
      </c>
      <c r="G178" t="s">
        <v>663</v>
      </c>
      <c r="H178" t="s">
        <v>664</v>
      </c>
      <c r="I178" s="130">
        <v>45274</v>
      </c>
      <c r="J178" t="s">
        <v>13</v>
      </c>
      <c r="K178">
        <v>14</v>
      </c>
      <c r="M1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8" t="str">
        <f>DO_DB[[#This Row],[Material Pick-update]]&amp;"_"&amp;DO_DB[[#This Row],[Material Name]]</f>
        <v>45274_FAT-16</v>
      </c>
      <c r="O178" t="str">
        <f>DO_DB[[#This Row],[SiteID]]</f>
        <v>CLR31-04-041</v>
      </c>
      <c r="P178" t="str">
        <f>DO_DB[[#This Row],[SiteID]]&amp;"_"&amp;DO_DB[[#This Row],[Material Name]]</f>
        <v>CLR31-04-041_FAT-16</v>
      </c>
      <c r="Q178" t="str">
        <f>DO_DB[[#This Row],[DO Number]]</f>
        <v>DOEID23121352</v>
      </c>
      <c r="R178" t="str">
        <f>DO_DB[[#This Row],[DN Number]]</f>
        <v>DNWID0342023121306</v>
      </c>
    </row>
    <row r="179" spans="1:18">
      <c r="A179" t="s">
        <v>602</v>
      </c>
      <c r="B179" t="s">
        <v>603</v>
      </c>
      <c r="C179" s="172" t="s">
        <v>4482</v>
      </c>
      <c r="D179" t="s">
        <v>71</v>
      </c>
      <c r="E179" t="s">
        <v>26</v>
      </c>
      <c r="F179" t="s">
        <v>3148</v>
      </c>
      <c r="G179" t="s">
        <v>661</v>
      </c>
      <c r="H179" t="s">
        <v>662</v>
      </c>
      <c r="I179" s="130">
        <v>45274</v>
      </c>
      <c r="J179" t="s">
        <v>13</v>
      </c>
      <c r="K179">
        <v>27</v>
      </c>
      <c r="M1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9" t="str">
        <f>DO_DB[[#This Row],[Material Pick-update]]&amp;"_"&amp;DO_DB[[#This Row],[Material Name]]</f>
        <v>45274_FAT-16</v>
      </c>
      <c r="O179" t="str">
        <f>DO_DB[[#This Row],[SiteID]]</f>
        <v>CLR31-99-043</v>
      </c>
      <c r="P179" t="str">
        <f>DO_DB[[#This Row],[SiteID]]&amp;"_"&amp;DO_DB[[#This Row],[Material Name]]</f>
        <v>CLR31-99-043_FAT-16</v>
      </c>
      <c r="Q179" t="str">
        <f>DO_DB[[#This Row],[DO Number]]</f>
        <v>DOEID23121353</v>
      </c>
      <c r="R179" t="str">
        <f>DO_DB[[#This Row],[DN Number]]</f>
        <v>DNWID0342023121305</v>
      </c>
    </row>
    <row r="180" spans="1:18">
      <c r="A180" t="s">
        <v>570</v>
      </c>
      <c r="B180" t="s">
        <v>571</v>
      </c>
      <c r="C180" s="172" t="s">
        <v>4482</v>
      </c>
      <c r="D180" t="s">
        <v>71</v>
      </c>
      <c r="E180" t="s">
        <v>26</v>
      </c>
      <c r="F180" t="s">
        <v>3148</v>
      </c>
      <c r="G180" t="s">
        <v>826</v>
      </c>
      <c r="H180" t="s">
        <v>827</v>
      </c>
      <c r="I180" s="130">
        <v>45307</v>
      </c>
      <c r="J180" t="s">
        <v>14</v>
      </c>
      <c r="K180">
        <v>1</v>
      </c>
      <c r="M1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0" t="str">
        <f>DO_DB[[#This Row],[Material Pick-update]]&amp;"_"&amp;DO_DB[[#This Row],[Material Name]]</f>
        <v>45307_FDT-48</v>
      </c>
      <c r="O180" t="str">
        <f>DO_DB[[#This Row],[SiteID]]</f>
        <v>CLR31-99-056</v>
      </c>
      <c r="P180" t="str">
        <f>DO_DB[[#This Row],[SiteID]]&amp;"_"&amp;DO_DB[[#This Row],[Material Name]]</f>
        <v>CLR31-99-056_FDT-48</v>
      </c>
      <c r="Q180" t="str">
        <f>DO_DB[[#This Row],[DO Number]]</f>
        <v>DOEID24011631</v>
      </c>
      <c r="R180" t="str">
        <f>DO_DB[[#This Row],[DN Number]]</f>
        <v>DNWID0342024011601</v>
      </c>
    </row>
    <row r="181" spans="1:18">
      <c r="A181" t="s">
        <v>858</v>
      </c>
      <c r="B181" t="s">
        <v>859</v>
      </c>
      <c r="C181" s="172" t="s">
        <v>4482</v>
      </c>
      <c r="D181" t="s">
        <v>71</v>
      </c>
      <c r="E181" t="s">
        <v>26</v>
      </c>
      <c r="F181" t="s">
        <v>3148</v>
      </c>
      <c r="G181" t="s">
        <v>860</v>
      </c>
      <c r="H181" t="s">
        <v>861</v>
      </c>
      <c r="I181" s="130">
        <v>45316</v>
      </c>
      <c r="J181" t="s">
        <v>3073</v>
      </c>
      <c r="K181">
        <v>3000</v>
      </c>
      <c r="M1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24C-2024125-01</v>
      </c>
      <c r="N181" t="str">
        <f>DO_DB[[#This Row],[Material Pick-update]]&amp;"_"&amp;DO_DB[[#This Row],[Material Name]]</f>
        <v>45316_ADSS 24C</v>
      </c>
      <c r="O181" t="str">
        <f>DO_DB[[#This Row],[SiteID]]</f>
        <v>CLR31-04-030</v>
      </c>
      <c r="P181" t="str">
        <f>DO_DB[[#This Row],[SiteID]]&amp;"_"&amp;DO_DB[[#This Row],[Material Name]]</f>
        <v>CLR31-04-030_ADSS 24C</v>
      </c>
      <c r="Q181" t="str">
        <f>DO_DB[[#This Row],[DO Number]]</f>
        <v>DOEID24011951</v>
      </c>
      <c r="R181" t="str">
        <f>DO_DB[[#This Row],[DN Number]]</f>
        <v>DNWID0342024011902</v>
      </c>
    </row>
    <row r="182" spans="1:18">
      <c r="A182" t="s">
        <v>858</v>
      </c>
      <c r="B182" t="s">
        <v>859</v>
      </c>
      <c r="C182" s="172" t="s">
        <v>4482</v>
      </c>
      <c r="D182" t="s">
        <v>71</v>
      </c>
      <c r="E182" t="s">
        <v>26</v>
      </c>
      <c r="F182" t="s">
        <v>3148</v>
      </c>
      <c r="G182" t="s">
        <v>860</v>
      </c>
      <c r="H182" t="s">
        <v>861</v>
      </c>
      <c r="I182" s="130">
        <v>45316</v>
      </c>
      <c r="J182" t="s">
        <v>3075</v>
      </c>
      <c r="K182">
        <v>3000</v>
      </c>
      <c r="M1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48C-2024125-01</v>
      </c>
      <c r="N182" t="str">
        <f>DO_DB[[#This Row],[Material Pick-update]]&amp;"_"&amp;DO_DB[[#This Row],[Material Name]]</f>
        <v>45316_ADSS 48C</v>
      </c>
      <c r="O182" t="str">
        <f>DO_DB[[#This Row],[SiteID]]</f>
        <v>CLR31-04-030</v>
      </c>
      <c r="P182" t="str">
        <f>DO_DB[[#This Row],[SiteID]]&amp;"_"&amp;DO_DB[[#This Row],[Material Name]]</f>
        <v>CLR31-04-030_ADSS 48C</v>
      </c>
      <c r="Q182" t="str">
        <f>DO_DB[[#This Row],[DO Number]]</f>
        <v>DOEID24011951</v>
      </c>
      <c r="R182" t="str">
        <f>DO_DB[[#This Row],[DN Number]]</f>
        <v>DNWID0342024011902</v>
      </c>
    </row>
    <row r="183" spans="1:18">
      <c r="A183" t="s">
        <v>854</v>
      </c>
      <c r="B183" t="s">
        <v>855</v>
      </c>
      <c r="C183" s="172" t="s">
        <v>4482</v>
      </c>
      <c r="D183" t="s">
        <v>71</v>
      </c>
      <c r="E183" t="s">
        <v>26</v>
      </c>
      <c r="F183" t="s">
        <v>3148</v>
      </c>
      <c r="G183" t="s">
        <v>856</v>
      </c>
      <c r="H183" t="s">
        <v>857</v>
      </c>
      <c r="I183" s="130">
        <v>45316</v>
      </c>
      <c r="J183" t="s">
        <v>3075</v>
      </c>
      <c r="K183">
        <v>3000</v>
      </c>
      <c r="M1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48C-2024125-01</v>
      </c>
      <c r="N183" t="str">
        <f>DO_DB[[#This Row],[Material Pick-update]]&amp;"_"&amp;DO_DB[[#This Row],[Material Name]]</f>
        <v>45316_ADSS 48C</v>
      </c>
      <c r="O183" t="str">
        <f>DO_DB[[#This Row],[SiteID]]</f>
        <v>CLR31-99-020</v>
      </c>
      <c r="P183" t="str">
        <f>DO_DB[[#This Row],[SiteID]]&amp;"_"&amp;DO_DB[[#This Row],[Material Name]]</f>
        <v>CLR31-99-020_ADSS 48C</v>
      </c>
      <c r="Q183" t="str">
        <f>DO_DB[[#This Row],[DO Number]]</f>
        <v>DOEID24011953</v>
      </c>
      <c r="R183" t="str">
        <f>DO_DB[[#This Row],[DN Number]]</f>
        <v>DNWID0342024011903</v>
      </c>
    </row>
    <row r="184" spans="1:18">
      <c r="A184" t="s">
        <v>858</v>
      </c>
      <c r="B184" t="s">
        <v>859</v>
      </c>
      <c r="C184" s="172" t="s">
        <v>4482</v>
      </c>
      <c r="D184" t="s">
        <v>71</v>
      </c>
      <c r="E184" t="s">
        <v>26</v>
      </c>
      <c r="F184" t="s">
        <v>3148</v>
      </c>
      <c r="G184" t="s">
        <v>862</v>
      </c>
      <c r="H184" t="s">
        <v>863</v>
      </c>
      <c r="I184" s="130">
        <v>45316</v>
      </c>
      <c r="J184" t="s">
        <v>3069</v>
      </c>
      <c r="K184">
        <v>61</v>
      </c>
      <c r="M1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4" t="str">
        <f>DO_DB[[#This Row],[Material Pick-update]]&amp;"_"&amp;DO_DB[[#This Row],[Material Name]]</f>
        <v>45316_Pole 7M 4"</v>
      </c>
      <c r="O184" t="str">
        <f>DO_DB[[#This Row],[SiteID]]</f>
        <v>CLR31-04-030</v>
      </c>
      <c r="P184" t="str">
        <f>DO_DB[[#This Row],[SiteID]]&amp;"_"&amp;DO_DB[[#This Row],[Material Name]]</f>
        <v>CLR31-04-030_Pole 7M 4"</v>
      </c>
      <c r="Q184" t="str">
        <f>DO_DB[[#This Row],[DO Number]]</f>
        <v>DOEID24011950</v>
      </c>
      <c r="R184" t="str">
        <f>DO_DB[[#This Row],[DN Number]]</f>
        <v>DNWID0362024011904</v>
      </c>
    </row>
    <row r="185" spans="1:18">
      <c r="A185" t="s">
        <v>858</v>
      </c>
      <c r="B185" t="s">
        <v>859</v>
      </c>
      <c r="C185" s="172" t="s">
        <v>4482</v>
      </c>
      <c r="D185" t="s">
        <v>71</v>
      </c>
      <c r="E185" t="s">
        <v>26</v>
      </c>
      <c r="F185" t="s">
        <v>3148</v>
      </c>
      <c r="G185" t="s">
        <v>862</v>
      </c>
      <c r="H185" t="s">
        <v>863</v>
      </c>
      <c r="I185" s="130">
        <v>45316</v>
      </c>
      <c r="J185" t="s">
        <v>3070</v>
      </c>
      <c r="K185">
        <v>14</v>
      </c>
      <c r="M1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5" t="str">
        <f>DO_DB[[#This Row],[Material Pick-update]]&amp;"_"&amp;DO_DB[[#This Row],[Material Name]]</f>
        <v>45316_Pole 7M 3"</v>
      </c>
      <c r="O185" t="str">
        <f>DO_DB[[#This Row],[SiteID]]</f>
        <v>CLR31-04-030</v>
      </c>
      <c r="P185" t="str">
        <f>DO_DB[[#This Row],[SiteID]]&amp;"_"&amp;DO_DB[[#This Row],[Material Name]]</f>
        <v>CLR31-04-030_Pole 7M 3"</v>
      </c>
      <c r="Q185" t="str">
        <f>DO_DB[[#This Row],[DO Number]]</f>
        <v>DOEID24011950</v>
      </c>
      <c r="R185" t="str">
        <f>DO_DB[[#This Row],[DN Number]]</f>
        <v>DNWID0362024011904</v>
      </c>
    </row>
    <row r="186" spans="1:18">
      <c r="A186" t="s">
        <v>858</v>
      </c>
      <c r="B186" t="s">
        <v>859</v>
      </c>
      <c r="C186" s="172" t="s">
        <v>4482</v>
      </c>
      <c r="D186" t="s">
        <v>71</v>
      </c>
      <c r="E186" t="s">
        <v>26</v>
      </c>
      <c r="F186" t="s">
        <v>3148</v>
      </c>
      <c r="G186" t="s">
        <v>860</v>
      </c>
      <c r="H186" t="s">
        <v>861</v>
      </c>
      <c r="I186" s="130">
        <v>45316</v>
      </c>
      <c r="J186" t="s">
        <v>15</v>
      </c>
      <c r="K186">
        <v>1</v>
      </c>
      <c r="M1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6" t="str">
        <f>DO_DB[[#This Row],[Material Pick-update]]&amp;"_"&amp;DO_DB[[#This Row],[Material Name]]</f>
        <v>45316_FDT-72</v>
      </c>
      <c r="O186" t="str">
        <f>DO_DB[[#This Row],[SiteID]]</f>
        <v>CLR31-04-030</v>
      </c>
      <c r="P186" t="str">
        <f>DO_DB[[#This Row],[SiteID]]&amp;"_"&amp;DO_DB[[#This Row],[Material Name]]</f>
        <v>CLR31-04-030_FDT-72</v>
      </c>
      <c r="Q186" t="str">
        <f>DO_DB[[#This Row],[DO Number]]</f>
        <v>DOEID24011951</v>
      </c>
      <c r="R186" t="str">
        <f>DO_DB[[#This Row],[DN Number]]</f>
        <v>DNWID0342024011902</v>
      </c>
    </row>
    <row r="187" spans="1:18">
      <c r="A187" t="s">
        <v>858</v>
      </c>
      <c r="B187" t="s">
        <v>859</v>
      </c>
      <c r="C187" s="172" t="s">
        <v>4482</v>
      </c>
      <c r="D187" t="s">
        <v>71</v>
      </c>
      <c r="E187" t="s">
        <v>26</v>
      </c>
      <c r="F187" t="s">
        <v>3148</v>
      </c>
      <c r="G187" t="s">
        <v>860</v>
      </c>
      <c r="H187" t="s">
        <v>861</v>
      </c>
      <c r="I187" s="130">
        <v>45316</v>
      </c>
      <c r="J187" t="s">
        <v>13</v>
      </c>
      <c r="K187">
        <v>31</v>
      </c>
      <c r="M1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7" t="str">
        <f>DO_DB[[#This Row],[Material Pick-update]]&amp;"_"&amp;DO_DB[[#This Row],[Material Name]]</f>
        <v>45316_FAT-16</v>
      </c>
      <c r="O187" t="str">
        <f>DO_DB[[#This Row],[SiteID]]</f>
        <v>CLR31-04-030</v>
      </c>
      <c r="P187" t="str">
        <f>DO_DB[[#This Row],[SiteID]]&amp;"_"&amp;DO_DB[[#This Row],[Material Name]]</f>
        <v>CLR31-04-030_FAT-16</v>
      </c>
      <c r="Q187" t="str">
        <f>DO_DB[[#This Row],[DO Number]]</f>
        <v>DOEID24011951</v>
      </c>
      <c r="R187" t="str">
        <f>DO_DB[[#This Row],[DN Number]]</f>
        <v>DNWID0342024011902</v>
      </c>
    </row>
    <row r="188" spans="1:18">
      <c r="A188" t="s">
        <v>858</v>
      </c>
      <c r="B188" t="s">
        <v>859</v>
      </c>
      <c r="C188" s="172" t="s">
        <v>4482</v>
      </c>
      <c r="D188" t="s">
        <v>71</v>
      </c>
      <c r="E188" t="s">
        <v>26</v>
      </c>
      <c r="F188" t="s">
        <v>3148</v>
      </c>
      <c r="G188" t="s">
        <v>860</v>
      </c>
      <c r="H188" t="s">
        <v>861</v>
      </c>
      <c r="I188" s="130">
        <v>45316</v>
      </c>
      <c r="J188" t="s">
        <v>3080</v>
      </c>
      <c r="K188">
        <v>4</v>
      </c>
      <c r="M1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8" t="str">
        <f>DO_DB[[#This Row],[Material Pick-update]]&amp;"_"&amp;DO_DB[[#This Row],[Material Name]]</f>
        <v>45316_1:8 SPL for FDT-AE &amp; UG</v>
      </c>
      <c r="O188" t="str">
        <f>DO_DB[[#This Row],[SiteID]]</f>
        <v>CLR31-04-030</v>
      </c>
      <c r="P188" t="str">
        <f>DO_DB[[#This Row],[SiteID]]&amp;"_"&amp;DO_DB[[#This Row],[Material Name]]</f>
        <v>CLR31-04-030_1:8 SPL for FDT-AE &amp; UG</v>
      </c>
      <c r="Q188" t="str">
        <f>DO_DB[[#This Row],[DO Number]]</f>
        <v>DOEID24011951</v>
      </c>
      <c r="R188" t="str">
        <f>DO_DB[[#This Row],[DN Number]]</f>
        <v>DNWID0342024011902</v>
      </c>
    </row>
    <row r="189" spans="1:18">
      <c r="A189" t="s">
        <v>854</v>
      </c>
      <c r="B189" t="s">
        <v>855</v>
      </c>
      <c r="C189" s="172" t="s">
        <v>4482</v>
      </c>
      <c r="D189" t="s">
        <v>71</v>
      </c>
      <c r="E189" t="s">
        <v>26</v>
      </c>
      <c r="F189" t="s">
        <v>3148</v>
      </c>
      <c r="G189" t="s">
        <v>864</v>
      </c>
      <c r="H189" t="s">
        <v>865</v>
      </c>
      <c r="I189" s="130">
        <v>45316</v>
      </c>
      <c r="J189" t="s">
        <v>3069</v>
      </c>
      <c r="K189">
        <v>40</v>
      </c>
      <c r="M1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9" t="str">
        <f>DO_DB[[#This Row],[Material Pick-update]]&amp;"_"&amp;DO_DB[[#This Row],[Material Name]]</f>
        <v>45316_Pole 7M 4"</v>
      </c>
      <c r="O189" t="str">
        <f>DO_DB[[#This Row],[SiteID]]</f>
        <v>CLR31-99-020</v>
      </c>
      <c r="P189" t="str">
        <f>DO_DB[[#This Row],[SiteID]]&amp;"_"&amp;DO_DB[[#This Row],[Material Name]]</f>
        <v>CLR31-99-020_Pole 7M 4"</v>
      </c>
      <c r="Q189" t="str">
        <f>DO_DB[[#This Row],[DO Number]]</f>
        <v>DOEID24011952</v>
      </c>
      <c r="R189" t="str">
        <f>DO_DB[[#This Row],[DN Number]]</f>
        <v>DNWID0362024011905</v>
      </c>
    </row>
    <row r="190" spans="1:18">
      <c r="A190" t="s">
        <v>854</v>
      </c>
      <c r="B190" t="s">
        <v>855</v>
      </c>
      <c r="C190" s="172" t="s">
        <v>4482</v>
      </c>
      <c r="D190" t="s">
        <v>71</v>
      </c>
      <c r="E190" t="s">
        <v>26</v>
      </c>
      <c r="F190" t="s">
        <v>3148</v>
      </c>
      <c r="G190" t="s">
        <v>864</v>
      </c>
      <c r="H190" t="s">
        <v>865</v>
      </c>
      <c r="I190" s="130">
        <v>45316</v>
      </c>
      <c r="J190" t="s">
        <v>3070</v>
      </c>
      <c r="K190">
        <v>17</v>
      </c>
      <c r="M1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0" t="str">
        <f>DO_DB[[#This Row],[Material Pick-update]]&amp;"_"&amp;DO_DB[[#This Row],[Material Name]]</f>
        <v>45316_Pole 7M 3"</v>
      </c>
      <c r="O190" t="str">
        <f>DO_DB[[#This Row],[SiteID]]</f>
        <v>CLR31-99-020</v>
      </c>
      <c r="P190" t="str">
        <f>DO_DB[[#This Row],[SiteID]]&amp;"_"&amp;DO_DB[[#This Row],[Material Name]]</f>
        <v>CLR31-99-020_Pole 7M 3"</v>
      </c>
      <c r="Q190" t="str">
        <f>DO_DB[[#This Row],[DO Number]]</f>
        <v>DOEID24011952</v>
      </c>
      <c r="R190" t="str">
        <f>DO_DB[[#This Row],[DN Number]]</f>
        <v>DNWID0362024011905</v>
      </c>
    </row>
    <row r="191" spans="1:18">
      <c r="A191" t="s">
        <v>854</v>
      </c>
      <c r="B191" t="s">
        <v>855</v>
      </c>
      <c r="C191" s="172" t="s">
        <v>4482</v>
      </c>
      <c r="D191" t="s">
        <v>71</v>
      </c>
      <c r="E191" t="s">
        <v>26</v>
      </c>
      <c r="F191" t="s">
        <v>3148</v>
      </c>
      <c r="G191" t="s">
        <v>856</v>
      </c>
      <c r="H191" t="s">
        <v>857</v>
      </c>
      <c r="I191" s="130">
        <v>45316</v>
      </c>
      <c r="J191" t="s">
        <v>13</v>
      </c>
      <c r="K191">
        <v>33</v>
      </c>
      <c r="M1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1" t="str">
        <f>DO_DB[[#This Row],[Material Pick-update]]&amp;"_"&amp;DO_DB[[#This Row],[Material Name]]</f>
        <v>45316_FAT-16</v>
      </c>
      <c r="O191" t="str">
        <f>DO_DB[[#This Row],[SiteID]]</f>
        <v>CLR31-99-020</v>
      </c>
      <c r="P191" t="str">
        <f>DO_DB[[#This Row],[SiteID]]&amp;"_"&amp;DO_DB[[#This Row],[Material Name]]</f>
        <v>CLR31-99-020_FAT-16</v>
      </c>
      <c r="Q191" t="str">
        <f>DO_DB[[#This Row],[DO Number]]</f>
        <v>DOEID24011953</v>
      </c>
      <c r="R191" t="str">
        <f>DO_DB[[#This Row],[DN Number]]</f>
        <v>DNWID0342024011903</v>
      </c>
    </row>
    <row r="192" spans="1:18">
      <c r="A192" t="s">
        <v>868</v>
      </c>
      <c r="B192" t="s">
        <v>869</v>
      </c>
      <c r="C192" s="172" t="s">
        <v>4482</v>
      </c>
      <c r="D192" t="s">
        <v>71</v>
      </c>
      <c r="E192" t="s">
        <v>26</v>
      </c>
      <c r="F192" t="s">
        <v>3148</v>
      </c>
      <c r="G192" t="s">
        <v>872</v>
      </c>
      <c r="H192" t="s">
        <v>873</v>
      </c>
      <c r="I192" s="130">
        <v>45328</v>
      </c>
      <c r="J192" t="s">
        <v>3073</v>
      </c>
      <c r="K192">
        <v>3000</v>
      </c>
      <c r="M1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24C-202426-01</v>
      </c>
      <c r="N192" t="str">
        <f>DO_DB[[#This Row],[Material Pick-update]]&amp;"_"&amp;DO_DB[[#This Row],[Material Name]]</f>
        <v>45328_ADSS 24C</v>
      </c>
      <c r="O192" t="str">
        <f>DO_DB[[#This Row],[SiteID]]</f>
        <v>CLR31-99-066</v>
      </c>
      <c r="P192" t="str">
        <f>DO_DB[[#This Row],[SiteID]]&amp;"_"&amp;DO_DB[[#This Row],[Material Name]]</f>
        <v>CLR31-99-066_ADSS 24C</v>
      </c>
      <c r="Q192" t="str">
        <f>DO_DB[[#This Row],[DO Number]]</f>
        <v>DOEID240205C0</v>
      </c>
      <c r="R192" t="str">
        <f>DO_DB[[#This Row],[DN Number]]</f>
        <v>DNWID0342024020609</v>
      </c>
    </row>
    <row r="193" spans="1:18">
      <c r="A193" t="s">
        <v>868</v>
      </c>
      <c r="B193" t="s">
        <v>869</v>
      </c>
      <c r="C193" s="172" t="s">
        <v>4482</v>
      </c>
      <c r="D193" t="s">
        <v>71</v>
      </c>
      <c r="E193" t="s">
        <v>26</v>
      </c>
      <c r="F193" t="s">
        <v>3148</v>
      </c>
      <c r="G193" t="s">
        <v>872</v>
      </c>
      <c r="H193" t="s">
        <v>873</v>
      </c>
      <c r="I193" s="130">
        <v>45328</v>
      </c>
      <c r="J193" t="s">
        <v>3075</v>
      </c>
      <c r="K193">
        <v>3000</v>
      </c>
      <c r="M1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48C-202426-01</v>
      </c>
      <c r="N193" t="str">
        <f>DO_DB[[#This Row],[Material Pick-update]]&amp;"_"&amp;DO_DB[[#This Row],[Material Name]]</f>
        <v>45328_ADSS 48C</v>
      </c>
      <c r="O193" t="str">
        <f>DO_DB[[#This Row],[SiteID]]</f>
        <v>CLR31-99-066</v>
      </c>
      <c r="P193" t="str">
        <f>DO_DB[[#This Row],[SiteID]]&amp;"_"&amp;DO_DB[[#This Row],[Material Name]]</f>
        <v>CLR31-99-066_ADSS 48C</v>
      </c>
      <c r="Q193" t="str">
        <f>DO_DB[[#This Row],[DO Number]]</f>
        <v>DOEID240205C0</v>
      </c>
      <c r="R193" t="str">
        <f>DO_DB[[#This Row],[DN Number]]</f>
        <v>DNWID0342024020609</v>
      </c>
    </row>
    <row r="194" spans="1:18">
      <c r="A194" t="s">
        <v>868</v>
      </c>
      <c r="B194" t="s">
        <v>869</v>
      </c>
      <c r="C194" s="172" t="s">
        <v>4482</v>
      </c>
      <c r="D194" t="s">
        <v>71</v>
      </c>
      <c r="E194" t="s">
        <v>26</v>
      </c>
      <c r="F194" t="s">
        <v>3148</v>
      </c>
      <c r="G194" t="s">
        <v>870</v>
      </c>
      <c r="H194" t="s">
        <v>871</v>
      </c>
      <c r="I194" s="130">
        <v>45328</v>
      </c>
      <c r="J194" t="s">
        <v>3069</v>
      </c>
      <c r="K194">
        <v>84</v>
      </c>
      <c r="M1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4" t="str">
        <f>DO_DB[[#This Row],[Material Pick-update]]&amp;"_"&amp;DO_DB[[#This Row],[Material Name]]</f>
        <v>45328_Pole 7M 4"</v>
      </c>
      <c r="O194" t="str">
        <f>DO_DB[[#This Row],[SiteID]]</f>
        <v>CLR31-99-066</v>
      </c>
      <c r="P194" t="str">
        <f>DO_DB[[#This Row],[SiteID]]&amp;"_"&amp;DO_DB[[#This Row],[Material Name]]</f>
        <v>CLR31-99-066_Pole 7M 4"</v>
      </c>
      <c r="Q194" t="str">
        <f>DO_DB[[#This Row],[DO Number]]</f>
        <v>DOEID240205BZ</v>
      </c>
      <c r="R194" t="str">
        <f>DO_DB[[#This Row],[DN Number]]</f>
        <v>DNWID0362024020611</v>
      </c>
    </row>
    <row r="195" spans="1:18">
      <c r="A195" t="s">
        <v>868</v>
      </c>
      <c r="B195" t="s">
        <v>869</v>
      </c>
      <c r="C195" s="172" t="s">
        <v>4482</v>
      </c>
      <c r="D195" t="s">
        <v>71</v>
      </c>
      <c r="E195" t="s">
        <v>26</v>
      </c>
      <c r="F195" t="s">
        <v>3148</v>
      </c>
      <c r="G195" t="s">
        <v>870</v>
      </c>
      <c r="H195" t="s">
        <v>871</v>
      </c>
      <c r="I195" s="130">
        <v>45328</v>
      </c>
      <c r="J195" t="s">
        <v>3070</v>
      </c>
      <c r="K195">
        <v>26</v>
      </c>
      <c r="M1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5" t="str">
        <f>DO_DB[[#This Row],[Material Pick-update]]&amp;"_"&amp;DO_DB[[#This Row],[Material Name]]</f>
        <v>45328_Pole 7M 3"</v>
      </c>
      <c r="O195" t="str">
        <f>DO_DB[[#This Row],[SiteID]]</f>
        <v>CLR31-99-066</v>
      </c>
      <c r="P195" t="str">
        <f>DO_DB[[#This Row],[SiteID]]&amp;"_"&amp;DO_DB[[#This Row],[Material Name]]</f>
        <v>CLR31-99-066_Pole 7M 3"</v>
      </c>
      <c r="Q195" t="str">
        <f>DO_DB[[#This Row],[DO Number]]</f>
        <v>DOEID240205BZ</v>
      </c>
      <c r="R195" t="str">
        <f>DO_DB[[#This Row],[DN Number]]</f>
        <v>DNWID0362024020611</v>
      </c>
    </row>
    <row r="196" spans="1:18">
      <c r="A196" t="s">
        <v>868</v>
      </c>
      <c r="B196" t="s">
        <v>869</v>
      </c>
      <c r="C196" s="172" t="s">
        <v>4482</v>
      </c>
      <c r="D196" t="s">
        <v>71</v>
      </c>
      <c r="E196" t="s">
        <v>26</v>
      </c>
      <c r="F196" t="s">
        <v>3148</v>
      </c>
      <c r="G196" t="s">
        <v>870</v>
      </c>
      <c r="H196" t="s">
        <v>871</v>
      </c>
      <c r="I196" s="130">
        <v>45328</v>
      </c>
      <c r="J196" t="s">
        <v>4856</v>
      </c>
      <c r="K196">
        <v>2</v>
      </c>
      <c r="M1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6" t="str">
        <f>DO_DB[[#This Row],[Material Pick-update]]&amp;"_"&amp;DO_DB[[#This Row],[Material Name]]</f>
        <v>45328_JC 144Core</v>
      </c>
      <c r="O196" t="str">
        <f>DO_DB[[#This Row],[SiteID]]</f>
        <v>CLR31-99-066</v>
      </c>
      <c r="P196" t="str">
        <f>DO_DB[[#This Row],[SiteID]]&amp;"_"&amp;DO_DB[[#This Row],[Material Name]]</f>
        <v>CLR31-99-066_JC 144Core</v>
      </c>
      <c r="Q196" t="str">
        <f>DO_DB[[#This Row],[DO Number]]</f>
        <v>DOEID240205BZ</v>
      </c>
      <c r="R196" t="str">
        <f>DO_DB[[#This Row],[DN Number]]</f>
        <v>DNWID0362024020611</v>
      </c>
    </row>
    <row r="197" spans="1:18">
      <c r="A197" t="s">
        <v>868</v>
      </c>
      <c r="B197" t="s">
        <v>869</v>
      </c>
      <c r="C197" s="172" t="s">
        <v>4482</v>
      </c>
      <c r="D197" t="s">
        <v>71</v>
      </c>
      <c r="E197" t="s">
        <v>26</v>
      </c>
      <c r="F197" t="s">
        <v>3148</v>
      </c>
      <c r="G197" t="s">
        <v>872</v>
      </c>
      <c r="H197" t="s">
        <v>873</v>
      </c>
      <c r="I197" s="130">
        <v>45328</v>
      </c>
      <c r="J197" t="s">
        <v>13</v>
      </c>
      <c r="K197">
        <v>43</v>
      </c>
      <c r="M1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7" t="str">
        <f>DO_DB[[#This Row],[Material Pick-update]]&amp;"_"&amp;DO_DB[[#This Row],[Material Name]]</f>
        <v>45328_FAT-16</v>
      </c>
      <c r="O197" t="str">
        <f>DO_DB[[#This Row],[SiteID]]</f>
        <v>CLR31-99-066</v>
      </c>
      <c r="P197" t="str">
        <f>DO_DB[[#This Row],[SiteID]]&amp;"_"&amp;DO_DB[[#This Row],[Material Name]]</f>
        <v>CLR31-99-066_FAT-16</v>
      </c>
      <c r="Q197" t="str">
        <f>DO_DB[[#This Row],[DO Number]]</f>
        <v>DOEID240205C0</v>
      </c>
      <c r="R197" t="str">
        <f>DO_DB[[#This Row],[DN Number]]</f>
        <v>DNWID0342024020609</v>
      </c>
    </row>
    <row r="198" spans="1:18">
      <c r="A198" t="s">
        <v>868</v>
      </c>
      <c r="B198" t="s">
        <v>869</v>
      </c>
      <c r="C198" s="172" t="s">
        <v>4482</v>
      </c>
      <c r="D198" t="s">
        <v>71</v>
      </c>
      <c r="E198" t="s">
        <v>26</v>
      </c>
      <c r="F198" t="s">
        <v>3148</v>
      </c>
      <c r="G198" t="s">
        <v>887</v>
      </c>
      <c r="H198" t="s">
        <v>888</v>
      </c>
      <c r="I198" s="130">
        <v>45329</v>
      </c>
      <c r="J198" t="s">
        <v>14</v>
      </c>
      <c r="K198">
        <v>2</v>
      </c>
      <c r="M1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8" t="str">
        <f>DO_DB[[#This Row],[Material Pick-update]]&amp;"_"&amp;DO_DB[[#This Row],[Material Name]]</f>
        <v>45329_FDT-48</v>
      </c>
      <c r="O198" t="str">
        <f>DO_DB[[#This Row],[SiteID]]</f>
        <v>CLR31-99-066</v>
      </c>
      <c r="P198" t="str">
        <f>DO_DB[[#This Row],[SiteID]]&amp;"_"&amp;DO_DB[[#This Row],[Material Name]]</f>
        <v>CLR31-99-066_FDT-48</v>
      </c>
      <c r="Q198" t="str">
        <f>DO_DB[[#This Row],[DO Number]]</f>
        <v>DOEID240206BF</v>
      </c>
      <c r="R198" t="str">
        <f>DO_DB[[#This Row],[DN Number]]</f>
        <v>DNWID0342024020732</v>
      </c>
    </row>
    <row r="199" spans="1:18">
      <c r="A199" t="s">
        <v>868</v>
      </c>
      <c r="B199" t="s">
        <v>869</v>
      </c>
      <c r="C199" s="172" t="s">
        <v>4482</v>
      </c>
      <c r="D199" t="s">
        <v>71</v>
      </c>
      <c r="E199" t="s">
        <v>26</v>
      </c>
      <c r="F199" t="s">
        <v>3148</v>
      </c>
      <c r="G199" t="s">
        <v>887</v>
      </c>
      <c r="H199" t="s">
        <v>888</v>
      </c>
      <c r="I199" s="130">
        <v>45329</v>
      </c>
      <c r="J199" t="s">
        <v>3080</v>
      </c>
      <c r="K199">
        <v>8</v>
      </c>
      <c r="M1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9" t="str">
        <f>DO_DB[[#This Row],[Material Pick-update]]&amp;"_"&amp;DO_DB[[#This Row],[Material Name]]</f>
        <v>45329_1:8 SPL for FDT-AE &amp; UG</v>
      </c>
      <c r="O199" t="str">
        <f>DO_DB[[#This Row],[SiteID]]</f>
        <v>CLR31-99-066</v>
      </c>
      <c r="P199" t="str">
        <f>DO_DB[[#This Row],[SiteID]]&amp;"_"&amp;DO_DB[[#This Row],[Material Name]]</f>
        <v>CLR31-99-066_1:8 SPL for FDT-AE &amp; UG</v>
      </c>
      <c r="Q199" t="str">
        <f>DO_DB[[#This Row],[DO Number]]</f>
        <v>DOEID240206BF</v>
      </c>
      <c r="R199" t="str">
        <f>DO_DB[[#This Row],[DN Number]]</f>
        <v>DNWID0342024020732</v>
      </c>
    </row>
    <row r="200" spans="1:18">
      <c r="A200" t="s">
        <v>961</v>
      </c>
      <c r="B200" t="s">
        <v>962</v>
      </c>
      <c r="C200" s="172" t="s">
        <v>4482</v>
      </c>
      <c r="D200" t="s">
        <v>71</v>
      </c>
      <c r="E200" t="s">
        <v>26</v>
      </c>
      <c r="F200" t="s">
        <v>3148</v>
      </c>
      <c r="G200" t="s">
        <v>963</v>
      </c>
      <c r="H200" t="s">
        <v>964</v>
      </c>
      <c r="I200" s="130">
        <v>45344</v>
      </c>
      <c r="J200" t="s">
        <v>3073</v>
      </c>
      <c r="K200">
        <v>3000</v>
      </c>
      <c r="M2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24C-2024222-01</v>
      </c>
      <c r="N200" t="str">
        <f>DO_DB[[#This Row],[Material Pick-update]]&amp;"_"&amp;DO_DB[[#This Row],[Material Name]]</f>
        <v>45344_ADSS 24C</v>
      </c>
      <c r="O200" t="str">
        <f>DO_DB[[#This Row],[SiteID]]</f>
        <v>CLR31-99-044</v>
      </c>
      <c r="P200" t="str">
        <f>DO_DB[[#This Row],[SiteID]]&amp;"_"&amp;DO_DB[[#This Row],[Material Name]]</f>
        <v>CLR31-99-044_ADSS 24C</v>
      </c>
      <c r="Q200" t="str">
        <f>DO_DB[[#This Row],[DO Number]]</f>
        <v>DOEID24021525</v>
      </c>
      <c r="R200" t="str">
        <f>DO_DB[[#This Row],[DN Number]]</f>
        <v>DNWID0342024021510</v>
      </c>
    </row>
    <row r="201" spans="1:18">
      <c r="A201" t="s">
        <v>965</v>
      </c>
      <c r="B201" t="s">
        <v>966</v>
      </c>
      <c r="C201" s="172" t="s">
        <v>4482</v>
      </c>
      <c r="D201" t="s">
        <v>71</v>
      </c>
      <c r="E201" t="s">
        <v>26</v>
      </c>
      <c r="F201" t="s">
        <v>3148</v>
      </c>
      <c r="G201" t="s">
        <v>967</v>
      </c>
      <c r="H201" t="s">
        <v>968</v>
      </c>
      <c r="I201" s="130">
        <v>45344</v>
      </c>
      <c r="J201" t="s">
        <v>3075</v>
      </c>
      <c r="K201">
        <v>3000</v>
      </c>
      <c r="M2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48C-2024222-01</v>
      </c>
      <c r="N201" t="str">
        <f>DO_DB[[#This Row],[Material Pick-update]]&amp;"_"&amp;DO_DB[[#This Row],[Material Name]]</f>
        <v>45344_ADSS 48C</v>
      </c>
      <c r="O201" t="str">
        <f>DO_DB[[#This Row],[SiteID]]</f>
        <v>CLR31-99-045</v>
      </c>
      <c r="P201" t="str">
        <f>DO_DB[[#This Row],[SiteID]]&amp;"_"&amp;DO_DB[[#This Row],[Material Name]]</f>
        <v>CLR31-99-045_ADSS 48C</v>
      </c>
      <c r="Q201" t="str">
        <f>DO_DB[[#This Row],[DO Number]]</f>
        <v>DOEID24021527</v>
      </c>
      <c r="R201" t="str">
        <f>DO_DB[[#This Row],[DN Number]]</f>
        <v>DNWID0342024021511</v>
      </c>
    </row>
    <row r="202" spans="1:18">
      <c r="A202" t="s">
        <v>961</v>
      </c>
      <c r="B202" t="s">
        <v>962</v>
      </c>
      <c r="C202" s="172" t="s">
        <v>4482</v>
      </c>
      <c r="D202" t="s">
        <v>71</v>
      </c>
      <c r="E202" t="s">
        <v>26</v>
      </c>
      <c r="F202" t="s">
        <v>3148</v>
      </c>
      <c r="G202" t="s">
        <v>969</v>
      </c>
      <c r="H202" t="s">
        <v>970</v>
      </c>
      <c r="I202" s="130">
        <v>45344</v>
      </c>
      <c r="J202" t="s">
        <v>3069</v>
      </c>
      <c r="K202">
        <v>21</v>
      </c>
      <c r="M2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2" t="str">
        <f>DO_DB[[#This Row],[Material Pick-update]]&amp;"_"&amp;DO_DB[[#This Row],[Material Name]]</f>
        <v>45344_Pole 7M 4"</v>
      </c>
      <c r="O202" t="str">
        <f>DO_DB[[#This Row],[SiteID]]</f>
        <v>CLR31-99-044</v>
      </c>
      <c r="P202" t="str">
        <f>DO_DB[[#This Row],[SiteID]]&amp;"_"&amp;DO_DB[[#This Row],[Material Name]]</f>
        <v>CLR31-99-044_Pole 7M 4"</v>
      </c>
      <c r="Q202" t="str">
        <f>DO_DB[[#This Row],[DO Number]]</f>
        <v>DOEID24021524</v>
      </c>
      <c r="R202" t="str">
        <f>DO_DB[[#This Row],[DN Number]]</f>
        <v>DNWID0362024021509</v>
      </c>
    </row>
    <row r="203" spans="1:18">
      <c r="A203" t="s">
        <v>961</v>
      </c>
      <c r="B203" t="s">
        <v>962</v>
      </c>
      <c r="C203" s="172" t="s">
        <v>4482</v>
      </c>
      <c r="D203" t="s">
        <v>71</v>
      </c>
      <c r="E203" t="s">
        <v>26</v>
      </c>
      <c r="F203" t="s">
        <v>3148</v>
      </c>
      <c r="G203" t="s">
        <v>969</v>
      </c>
      <c r="H203" t="s">
        <v>970</v>
      </c>
      <c r="I203" s="130">
        <v>45344</v>
      </c>
      <c r="J203" t="s">
        <v>3070</v>
      </c>
      <c r="K203">
        <v>10</v>
      </c>
      <c r="M2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3" t="str">
        <f>DO_DB[[#This Row],[Material Pick-update]]&amp;"_"&amp;DO_DB[[#This Row],[Material Name]]</f>
        <v>45344_Pole 7M 3"</v>
      </c>
      <c r="O203" t="str">
        <f>DO_DB[[#This Row],[SiteID]]</f>
        <v>CLR31-99-044</v>
      </c>
      <c r="P203" t="str">
        <f>DO_DB[[#This Row],[SiteID]]&amp;"_"&amp;DO_DB[[#This Row],[Material Name]]</f>
        <v>CLR31-99-044_Pole 7M 3"</v>
      </c>
      <c r="Q203" t="str">
        <f>DO_DB[[#This Row],[DO Number]]</f>
        <v>DOEID24021524</v>
      </c>
      <c r="R203" t="str">
        <f>DO_DB[[#This Row],[DN Number]]</f>
        <v>DNWID0362024021509</v>
      </c>
    </row>
    <row r="204" spans="1:18">
      <c r="A204" t="s">
        <v>961</v>
      </c>
      <c r="B204" t="s">
        <v>962</v>
      </c>
      <c r="C204" s="172" t="s">
        <v>4482</v>
      </c>
      <c r="D204" t="s">
        <v>71</v>
      </c>
      <c r="E204" t="s">
        <v>26</v>
      </c>
      <c r="F204" t="s">
        <v>3148</v>
      </c>
      <c r="G204" t="s">
        <v>963</v>
      </c>
      <c r="H204" t="s">
        <v>964</v>
      </c>
      <c r="I204" s="130">
        <v>45344</v>
      </c>
      <c r="J204" t="s">
        <v>15</v>
      </c>
      <c r="K204">
        <v>1</v>
      </c>
      <c r="M2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4" t="str">
        <f>DO_DB[[#This Row],[Material Pick-update]]&amp;"_"&amp;DO_DB[[#This Row],[Material Name]]</f>
        <v>45344_FDT-72</v>
      </c>
      <c r="O204" t="str">
        <f>DO_DB[[#This Row],[SiteID]]</f>
        <v>CLR31-99-044</v>
      </c>
      <c r="P204" t="str">
        <f>DO_DB[[#This Row],[SiteID]]&amp;"_"&amp;DO_DB[[#This Row],[Material Name]]</f>
        <v>CLR31-99-044_FDT-72</v>
      </c>
      <c r="Q204" t="str">
        <f>DO_DB[[#This Row],[DO Number]]</f>
        <v>DOEID24021525</v>
      </c>
      <c r="R204" t="str">
        <f>DO_DB[[#This Row],[DN Number]]</f>
        <v>DNWID0342024021510</v>
      </c>
    </row>
    <row r="205" spans="1:18">
      <c r="A205" t="s">
        <v>961</v>
      </c>
      <c r="B205" t="s">
        <v>962</v>
      </c>
      <c r="C205" s="172" t="s">
        <v>4482</v>
      </c>
      <c r="D205" t="s">
        <v>71</v>
      </c>
      <c r="E205" t="s">
        <v>26</v>
      </c>
      <c r="F205" t="s">
        <v>3148</v>
      </c>
      <c r="G205" t="s">
        <v>963</v>
      </c>
      <c r="H205" t="s">
        <v>964</v>
      </c>
      <c r="I205" s="130">
        <v>45344</v>
      </c>
      <c r="J205" t="s">
        <v>13</v>
      </c>
      <c r="K205">
        <v>12</v>
      </c>
      <c r="M2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5" t="str">
        <f>DO_DB[[#This Row],[Material Pick-update]]&amp;"_"&amp;DO_DB[[#This Row],[Material Name]]</f>
        <v>45344_FAT-16</v>
      </c>
      <c r="O205" t="str">
        <f>DO_DB[[#This Row],[SiteID]]</f>
        <v>CLR31-99-044</v>
      </c>
      <c r="P205" t="str">
        <f>DO_DB[[#This Row],[SiteID]]&amp;"_"&amp;DO_DB[[#This Row],[Material Name]]</f>
        <v>CLR31-99-044_FAT-16</v>
      </c>
      <c r="Q205" t="str">
        <f>DO_DB[[#This Row],[DO Number]]</f>
        <v>DOEID24021525</v>
      </c>
      <c r="R205" t="str">
        <f>DO_DB[[#This Row],[DN Number]]</f>
        <v>DNWID0342024021510</v>
      </c>
    </row>
    <row r="206" spans="1:18">
      <c r="A206" t="s">
        <v>961</v>
      </c>
      <c r="B206" t="s">
        <v>962</v>
      </c>
      <c r="C206" s="172" t="s">
        <v>4482</v>
      </c>
      <c r="D206" t="s">
        <v>71</v>
      </c>
      <c r="E206" t="s">
        <v>26</v>
      </c>
      <c r="F206" t="s">
        <v>3148</v>
      </c>
      <c r="G206" t="s">
        <v>963</v>
      </c>
      <c r="H206" t="s">
        <v>964</v>
      </c>
      <c r="I206" s="130">
        <v>45344</v>
      </c>
      <c r="J206" t="s">
        <v>3080</v>
      </c>
      <c r="K206">
        <v>4</v>
      </c>
      <c r="M2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6" t="str">
        <f>DO_DB[[#This Row],[Material Pick-update]]&amp;"_"&amp;DO_DB[[#This Row],[Material Name]]</f>
        <v>45344_1:8 SPL for FDT-AE &amp; UG</v>
      </c>
      <c r="O206" t="str">
        <f>DO_DB[[#This Row],[SiteID]]</f>
        <v>CLR31-99-044</v>
      </c>
      <c r="P206" t="str">
        <f>DO_DB[[#This Row],[SiteID]]&amp;"_"&amp;DO_DB[[#This Row],[Material Name]]</f>
        <v>CLR31-99-044_1:8 SPL for FDT-AE &amp; UG</v>
      </c>
      <c r="Q206" t="str">
        <f>DO_DB[[#This Row],[DO Number]]</f>
        <v>DOEID24021525</v>
      </c>
      <c r="R206" t="str">
        <f>DO_DB[[#This Row],[DN Number]]</f>
        <v>DNWID0342024021510</v>
      </c>
    </row>
    <row r="207" spans="1:18">
      <c r="A207" t="s">
        <v>965</v>
      </c>
      <c r="B207" t="s">
        <v>966</v>
      </c>
      <c r="C207" s="172" t="s">
        <v>4482</v>
      </c>
      <c r="D207" t="s">
        <v>71</v>
      </c>
      <c r="E207" t="s">
        <v>26</v>
      </c>
      <c r="F207" t="s">
        <v>3148</v>
      </c>
      <c r="G207" t="s">
        <v>971</v>
      </c>
      <c r="H207" t="s">
        <v>972</v>
      </c>
      <c r="I207" s="130">
        <v>45344</v>
      </c>
      <c r="J207" t="s">
        <v>3069</v>
      </c>
      <c r="K207">
        <v>45</v>
      </c>
      <c r="M2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7" t="str">
        <f>DO_DB[[#This Row],[Material Pick-update]]&amp;"_"&amp;DO_DB[[#This Row],[Material Name]]</f>
        <v>45344_Pole 7M 4"</v>
      </c>
      <c r="O207" t="str">
        <f>DO_DB[[#This Row],[SiteID]]</f>
        <v>CLR31-99-045</v>
      </c>
      <c r="P207" t="str">
        <f>DO_DB[[#This Row],[SiteID]]&amp;"_"&amp;DO_DB[[#This Row],[Material Name]]</f>
        <v>CLR31-99-045_Pole 7M 4"</v>
      </c>
      <c r="Q207" t="str">
        <f>DO_DB[[#This Row],[DO Number]]</f>
        <v>DOEID24021526</v>
      </c>
      <c r="R207" t="str">
        <f>DO_DB[[#This Row],[DN Number]]</f>
        <v>DNWID0362024021510</v>
      </c>
    </row>
    <row r="208" spans="1:18">
      <c r="A208" t="s">
        <v>965</v>
      </c>
      <c r="B208" t="s">
        <v>966</v>
      </c>
      <c r="C208" s="172" t="s">
        <v>4482</v>
      </c>
      <c r="D208" t="s">
        <v>71</v>
      </c>
      <c r="E208" t="s">
        <v>26</v>
      </c>
      <c r="F208" t="s">
        <v>3148</v>
      </c>
      <c r="G208" t="s">
        <v>971</v>
      </c>
      <c r="H208" t="s">
        <v>972</v>
      </c>
      <c r="I208" s="130">
        <v>45344</v>
      </c>
      <c r="J208" t="s">
        <v>3070</v>
      </c>
      <c r="K208">
        <v>25</v>
      </c>
      <c r="M2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8" t="str">
        <f>DO_DB[[#This Row],[Material Pick-update]]&amp;"_"&amp;DO_DB[[#This Row],[Material Name]]</f>
        <v>45344_Pole 7M 3"</v>
      </c>
      <c r="O208" t="str">
        <f>DO_DB[[#This Row],[SiteID]]</f>
        <v>CLR31-99-045</v>
      </c>
      <c r="P208" t="str">
        <f>DO_DB[[#This Row],[SiteID]]&amp;"_"&amp;DO_DB[[#This Row],[Material Name]]</f>
        <v>CLR31-99-045_Pole 7M 3"</v>
      </c>
      <c r="Q208" t="str">
        <f>DO_DB[[#This Row],[DO Number]]</f>
        <v>DOEID24021526</v>
      </c>
      <c r="R208" t="str">
        <f>DO_DB[[#This Row],[DN Number]]</f>
        <v>DNWID0362024021510</v>
      </c>
    </row>
    <row r="209" spans="1:18">
      <c r="A209" t="s">
        <v>965</v>
      </c>
      <c r="B209" t="s">
        <v>966</v>
      </c>
      <c r="C209" s="172" t="s">
        <v>4482</v>
      </c>
      <c r="D209" t="s">
        <v>71</v>
      </c>
      <c r="E209" t="s">
        <v>26</v>
      </c>
      <c r="F209" t="s">
        <v>3148</v>
      </c>
      <c r="G209" t="s">
        <v>967</v>
      </c>
      <c r="H209" t="s">
        <v>968</v>
      </c>
      <c r="I209" s="130">
        <v>45344</v>
      </c>
      <c r="J209" t="s">
        <v>13</v>
      </c>
      <c r="K209">
        <v>20</v>
      </c>
      <c r="M2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9" t="str">
        <f>DO_DB[[#This Row],[Material Pick-update]]&amp;"_"&amp;DO_DB[[#This Row],[Material Name]]</f>
        <v>45344_FAT-16</v>
      </c>
      <c r="O209" t="str">
        <f>DO_DB[[#This Row],[SiteID]]</f>
        <v>CLR31-99-045</v>
      </c>
      <c r="P209" t="str">
        <f>DO_DB[[#This Row],[SiteID]]&amp;"_"&amp;DO_DB[[#This Row],[Material Name]]</f>
        <v>CLR31-99-045_FAT-16</v>
      </c>
      <c r="Q209" t="str">
        <f>DO_DB[[#This Row],[DO Number]]</f>
        <v>DOEID24021527</v>
      </c>
      <c r="R209" t="str">
        <f>DO_DB[[#This Row],[DN Number]]</f>
        <v>DNWID0342024021511</v>
      </c>
    </row>
    <row r="210" spans="1:18">
      <c r="A210" t="s">
        <v>981</v>
      </c>
      <c r="B210" t="s">
        <v>982</v>
      </c>
      <c r="C210" s="172" t="s">
        <v>4482</v>
      </c>
      <c r="D210" t="s">
        <v>71</v>
      </c>
      <c r="E210" t="s">
        <v>26</v>
      </c>
      <c r="F210" t="s">
        <v>3148</v>
      </c>
      <c r="G210" t="s">
        <v>983</v>
      </c>
      <c r="H210" t="s">
        <v>984</v>
      </c>
      <c r="I210" s="130">
        <v>45345</v>
      </c>
      <c r="J210" t="s">
        <v>3073</v>
      </c>
      <c r="K210">
        <v>3000</v>
      </c>
      <c r="M2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24C-2024223-01</v>
      </c>
      <c r="N210" t="str">
        <f>DO_DB[[#This Row],[Material Pick-update]]&amp;"_"&amp;DO_DB[[#This Row],[Material Name]]</f>
        <v>45345_ADSS 24C</v>
      </c>
      <c r="O210" t="str">
        <f>DO_DB[[#This Row],[SiteID]]</f>
        <v>CLR31-05-032</v>
      </c>
      <c r="P210" t="str">
        <f>DO_DB[[#This Row],[SiteID]]&amp;"_"&amp;DO_DB[[#This Row],[Material Name]]</f>
        <v>CLR31-05-032_ADSS 24C</v>
      </c>
      <c r="Q210" t="str">
        <f>DO_DB[[#This Row],[DO Number]]</f>
        <v>DOEID240219BF</v>
      </c>
      <c r="R210" t="str">
        <f>DO_DB[[#This Row],[DN Number]]</f>
        <v>DNWID0342024022004</v>
      </c>
    </row>
    <row r="211" spans="1:18">
      <c r="A211" t="s">
        <v>977</v>
      </c>
      <c r="B211" t="s">
        <v>978</v>
      </c>
      <c r="C211" s="172" t="s">
        <v>4482</v>
      </c>
      <c r="D211" t="s">
        <v>71</v>
      </c>
      <c r="E211" t="s">
        <v>26</v>
      </c>
      <c r="F211" t="s">
        <v>3148</v>
      </c>
      <c r="G211" t="s">
        <v>979</v>
      </c>
      <c r="H211" t="s">
        <v>980</v>
      </c>
      <c r="I211" s="130">
        <v>45345</v>
      </c>
      <c r="J211" t="s">
        <v>3073</v>
      </c>
      <c r="K211">
        <v>3000</v>
      </c>
      <c r="M2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24C-2024223-01</v>
      </c>
      <c r="N211" t="str">
        <f>DO_DB[[#This Row],[Material Pick-update]]&amp;"_"&amp;DO_DB[[#This Row],[Material Name]]</f>
        <v>45345_ADSS 24C</v>
      </c>
      <c r="O211" t="str">
        <f>DO_DB[[#This Row],[SiteID]]</f>
        <v>CLR31-99-069</v>
      </c>
      <c r="P211" t="str">
        <f>DO_DB[[#This Row],[SiteID]]&amp;"_"&amp;DO_DB[[#This Row],[Material Name]]</f>
        <v>CLR31-99-069_ADSS 24C</v>
      </c>
      <c r="Q211" t="str">
        <f>DO_DB[[#This Row],[DO Number]]</f>
        <v>DOEID240219BI</v>
      </c>
      <c r="R211" t="str">
        <f>DO_DB[[#This Row],[DN Number]]</f>
        <v>DNWID0342024022003</v>
      </c>
    </row>
    <row r="212" spans="1:18">
      <c r="A212" t="s">
        <v>977</v>
      </c>
      <c r="B212" t="s">
        <v>978</v>
      </c>
      <c r="C212" s="172" t="s">
        <v>4482</v>
      </c>
      <c r="D212" t="s">
        <v>71</v>
      </c>
      <c r="E212" t="s">
        <v>26</v>
      </c>
      <c r="F212" t="s">
        <v>3148</v>
      </c>
      <c r="G212" t="s">
        <v>979</v>
      </c>
      <c r="H212" t="s">
        <v>980</v>
      </c>
      <c r="I212" s="130">
        <v>45345</v>
      </c>
      <c r="J212" t="s">
        <v>3075</v>
      </c>
      <c r="K212">
        <v>3000</v>
      </c>
      <c r="M2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48C-2024223-01</v>
      </c>
      <c r="N212" t="str">
        <f>DO_DB[[#This Row],[Material Pick-update]]&amp;"_"&amp;DO_DB[[#This Row],[Material Name]]</f>
        <v>45345_ADSS 48C</v>
      </c>
      <c r="O212" t="str">
        <f>DO_DB[[#This Row],[SiteID]]</f>
        <v>CLR31-99-069</v>
      </c>
      <c r="P212" t="str">
        <f>DO_DB[[#This Row],[SiteID]]&amp;"_"&amp;DO_DB[[#This Row],[Material Name]]</f>
        <v>CLR31-99-069_ADSS 48C</v>
      </c>
      <c r="Q212" t="str">
        <f>DO_DB[[#This Row],[DO Number]]</f>
        <v>DOEID240219BI</v>
      </c>
      <c r="R212" t="str">
        <f>DO_DB[[#This Row],[DN Number]]</f>
        <v>DNWID0342024022003</v>
      </c>
    </row>
    <row r="213" spans="1:18">
      <c r="A213" t="s">
        <v>991</v>
      </c>
      <c r="B213" t="s">
        <v>992</v>
      </c>
      <c r="C213" s="172" t="s">
        <v>4482</v>
      </c>
      <c r="D213" t="s">
        <v>71</v>
      </c>
      <c r="E213" t="s">
        <v>26</v>
      </c>
      <c r="F213" t="s">
        <v>3148</v>
      </c>
      <c r="G213" t="s">
        <v>993</v>
      </c>
      <c r="H213" t="s">
        <v>994</v>
      </c>
      <c r="I213" s="130">
        <v>45345</v>
      </c>
      <c r="J213" t="s">
        <v>3073</v>
      </c>
      <c r="K213">
        <v>3000</v>
      </c>
      <c r="M2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24C-2024223-01</v>
      </c>
      <c r="N213" t="str">
        <f>DO_DB[[#This Row],[Material Pick-update]]&amp;"_"&amp;DO_DB[[#This Row],[Material Name]]</f>
        <v>45345_ADSS 24C</v>
      </c>
      <c r="O213" t="str">
        <f>DO_DB[[#This Row],[SiteID]]</f>
        <v>CLR31-99-071</v>
      </c>
      <c r="P213" t="str">
        <f>DO_DB[[#This Row],[SiteID]]&amp;"_"&amp;DO_DB[[#This Row],[Material Name]]</f>
        <v>CLR31-99-071_ADSS 24C</v>
      </c>
      <c r="Q213" t="str">
        <f>DO_DB[[#This Row],[DO Number]]</f>
        <v>DOEID240219BM</v>
      </c>
      <c r="R213" t="str">
        <f>DO_DB[[#This Row],[DN Number]]</f>
        <v>DNWID0342024022006</v>
      </c>
    </row>
    <row r="214" spans="1:18">
      <c r="A214" t="s">
        <v>981</v>
      </c>
      <c r="B214" t="s">
        <v>982</v>
      </c>
      <c r="C214" s="172" t="s">
        <v>4482</v>
      </c>
      <c r="D214" t="s">
        <v>71</v>
      </c>
      <c r="E214" t="s">
        <v>26</v>
      </c>
      <c r="F214" t="s">
        <v>3148</v>
      </c>
      <c r="G214" t="s">
        <v>989</v>
      </c>
      <c r="H214" t="s">
        <v>990</v>
      </c>
      <c r="I214" s="130">
        <v>45345</v>
      </c>
      <c r="J214" t="s">
        <v>3069</v>
      </c>
      <c r="K214">
        <v>14</v>
      </c>
      <c r="M2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4" t="str">
        <f>DO_DB[[#This Row],[Material Pick-update]]&amp;"_"&amp;DO_DB[[#This Row],[Material Name]]</f>
        <v>45345_Pole 7M 4"</v>
      </c>
      <c r="O214" t="str">
        <f>DO_DB[[#This Row],[SiteID]]</f>
        <v>CLR31-05-032</v>
      </c>
      <c r="P214" t="str">
        <f>DO_DB[[#This Row],[SiteID]]&amp;"_"&amp;DO_DB[[#This Row],[Material Name]]</f>
        <v>CLR31-05-032_Pole 7M 4"</v>
      </c>
      <c r="Q214" t="str">
        <f>DO_DB[[#This Row],[DO Number]]</f>
        <v>DOEID240219BE</v>
      </c>
      <c r="R214" t="str">
        <f>DO_DB[[#This Row],[DN Number]]</f>
        <v>DNWID0362024022003</v>
      </c>
    </row>
    <row r="215" spans="1:18">
      <c r="A215" t="s">
        <v>981</v>
      </c>
      <c r="B215" t="s">
        <v>982</v>
      </c>
      <c r="C215" s="172" t="s">
        <v>4482</v>
      </c>
      <c r="D215" t="s">
        <v>71</v>
      </c>
      <c r="E215" t="s">
        <v>26</v>
      </c>
      <c r="F215" t="s">
        <v>3148</v>
      </c>
      <c r="G215" t="s">
        <v>989</v>
      </c>
      <c r="H215" t="s">
        <v>990</v>
      </c>
      <c r="I215" s="130">
        <v>45345</v>
      </c>
      <c r="J215" t="s">
        <v>3070</v>
      </c>
      <c r="K215">
        <v>1</v>
      </c>
      <c r="M2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5" t="str">
        <f>DO_DB[[#This Row],[Material Pick-update]]&amp;"_"&amp;DO_DB[[#This Row],[Material Name]]</f>
        <v>45345_Pole 7M 3"</v>
      </c>
      <c r="O215" t="str">
        <f>DO_DB[[#This Row],[SiteID]]</f>
        <v>CLR31-05-032</v>
      </c>
      <c r="P215" t="str">
        <f>DO_DB[[#This Row],[SiteID]]&amp;"_"&amp;DO_DB[[#This Row],[Material Name]]</f>
        <v>CLR31-05-032_Pole 7M 3"</v>
      </c>
      <c r="Q215" t="str">
        <f>DO_DB[[#This Row],[DO Number]]</f>
        <v>DOEID240219BE</v>
      </c>
      <c r="R215" t="str">
        <f>DO_DB[[#This Row],[DN Number]]</f>
        <v>DNWID0362024022003</v>
      </c>
    </row>
    <row r="216" spans="1:18">
      <c r="A216" t="s">
        <v>995</v>
      </c>
      <c r="B216" t="s">
        <v>996</v>
      </c>
      <c r="C216" s="172" t="s">
        <v>4482</v>
      </c>
      <c r="D216" t="s">
        <v>71</v>
      </c>
      <c r="E216" t="s">
        <v>26</v>
      </c>
      <c r="F216" t="s">
        <v>3148</v>
      </c>
      <c r="G216" t="s">
        <v>997</v>
      </c>
      <c r="H216" t="s">
        <v>998</v>
      </c>
      <c r="I216" s="130">
        <v>45345</v>
      </c>
      <c r="J216" t="s">
        <v>3069</v>
      </c>
      <c r="K216">
        <v>15</v>
      </c>
      <c r="M2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6" t="str">
        <f>DO_DB[[#This Row],[Material Pick-update]]&amp;"_"&amp;DO_DB[[#This Row],[Material Name]]</f>
        <v>45345_Pole 7M 4"</v>
      </c>
      <c r="O216" t="str">
        <f>DO_DB[[#This Row],[SiteID]]</f>
        <v>CLR31-05-031</v>
      </c>
      <c r="P216" t="str">
        <f>DO_DB[[#This Row],[SiteID]]&amp;"_"&amp;DO_DB[[#This Row],[Material Name]]</f>
        <v>CLR31-05-031_Pole 7M 4"</v>
      </c>
      <c r="Q216" t="str">
        <f>DO_DB[[#This Row],[DO Number]]</f>
        <v>DOEID240219BG</v>
      </c>
      <c r="R216" t="str">
        <f>DO_DB[[#This Row],[DN Number]]</f>
        <v>DNWID0362024022004</v>
      </c>
    </row>
    <row r="217" spans="1:18">
      <c r="A217" t="s">
        <v>995</v>
      </c>
      <c r="B217" t="s">
        <v>996</v>
      </c>
      <c r="C217" s="172" t="s">
        <v>4482</v>
      </c>
      <c r="D217" t="s">
        <v>71</v>
      </c>
      <c r="E217" t="s">
        <v>26</v>
      </c>
      <c r="F217" t="s">
        <v>3148</v>
      </c>
      <c r="G217" t="s">
        <v>997</v>
      </c>
      <c r="H217" t="s">
        <v>998</v>
      </c>
      <c r="I217" s="130">
        <v>45345</v>
      </c>
      <c r="J217" t="s">
        <v>3070</v>
      </c>
      <c r="K217">
        <v>1</v>
      </c>
      <c r="M2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7" t="str">
        <f>DO_DB[[#This Row],[Material Pick-update]]&amp;"_"&amp;DO_DB[[#This Row],[Material Name]]</f>
        <v>45345_Pole 7M 3"</v>
      </c>
      <c r="O217" t="str">
        <f>DO_DB[[#This Row],[SiteID]]</f>
        <v>CLR31-05-031</v>
      </c>
      <c r="P217" t="str">
        <f>DO_DB[[#This Row],[SiteID]]&amp;"_"&amp;DO_DB[[#This Row],[Material Name]]</f>
        <v>CLR31-05-031_Pole 7M 3"</v>
      </c>
      <c r="Q217" t="str">
        <f>DO_DB[[#This Row],[DO Number]]</f>
        <v>DOEID240219BG</v>
      </c>
      <c r="R217" t="str">
        <f>DO_DB[[#This Row],[DN Number]]</f>
        <v>DNWID0362024022004</v>
      </c>
    </row>
    <row r="218" spans="1:18">
      <c r="A218" t="s">
        <v>977</v>
      </c>
      <c r="B218" t="s">
        <v>978</v>
      </c>
      <c r="C218" s="172" t="s">
        <v>4482</v>
      </c>
      <c r="D218" t="s">
        <v>71</v>
      </c>
      <c r="E218" t="s">
        <v>26</v>
      </c>
      <c r="F218" t="s">
        <v>3148</v>
      </c>
      <c r="G218" t="s">
        <v>1003</v>
      </c>
      <c r="H218" t="s">
        <v>1004</v>
      </c>
      <c r="I218" s="130">
        <v>45345</v>
      </c>
      <c r="J218" t="s">
        <v>3069</v>
      </c>
      <c r="K218">
        <v>23</v>
      </c>
      <c r="M2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8" t="str">
        <f>DO_DB[[#This Row],[Material Pick-update]]&amp;"_"&amp;DO_DB[[#This Row],[Material Name]]</f>
        <v>45345_Pole 7M 4"</v>
      </c>
      <c r="O218" t="str">
        <f>DO_DB[[#This Row],[SiteID]]</f>
        <v>CLR31-99-069</v>
      </c>
      <c r="P218" t="str">
        <f>DO_DB[[#This Row],[SiteID]]&amp;"_"&amp;DO_DB[[#This Row],[Material Name]]</f>
        <v>CLR31-99-069_Pole 7M 4"</v>
      </c>
      <c r="Q218" t="str">
        <f>DO_DB[[#This Row],[DO Number]]</f>
        <v>DOEID240219BH</v>
      </c>
      <c r="R218" t="str">
        <f>DO_DB[[#This Row],[DN Number]]</f>
        <v>DNWID0362024022005</v>
      </c>
    </row>
    <row r="219" spans="1:18">
      <c r="A219" t="s">
        <v>977</v>
      </c>
      <c r="B219" t="s">
        <v>978</v>
      </c>
      <c r="C219" s="172" t="s">
        <v>4482</v>
      </c>
      <c r="D219" t="s">
        <v>71</v>
      </c>
      <c r="E219" t="s">
        <v>26</v>
      </c>
      <c r="F219" t="s">
        <v>3148</v>
      </c>
      <c r="G219" t="s">
        <v>1003</v>
      </c>
      <c r="H219" t="s">
        <v>1004</v>
      </c>
      <c r="I219" s="130">
        <v>45345</v>
      </c>
      <c r="J219" t="s">
        <v>3070</v>
      </c>
      <c r="K219">
        <v>4</v>
      </c>
      <c r="M2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9" t="str">
        <f>DO_DB[[#This Row],[Material Pick-update]]&amp;"_"&amp;DO_DB[[#This Row],[Material Name]]</f>
        <v>45345_Pole 7M 3"</v>
      </c>
      <c r="O219" t="str">
        <f>DO_DB[[#This Row],[SiteID]]</f>
        <v>CLR31-99-069</v>
      </c>
      <c r="P219" t="str">
        <f>DO_DB[[#This Row],[SiteID]]&amp;"_"&amp;DO_DB[[#This Row],[Material Name]]</f>
        <v>CLR31-99-069_Pole 7M 3"</v>
      </c>
      <c r="Q219" t="str">
        <f>DO_DB[[#This Row],[DO Number]]</f>
        <v>DOEID240219BH</v>
      </c>
      <c r="R219" t="str">
        <f>DO_DB[[#This Row],[DN Number]]</f>
        <v>DNWID0362024022005</v>
      </c>
    </row>
    <row r="220" spans="1:18">
      <c r="A220" t="s">
        <v>977</v>
      </c>
      <c r="B220" t="s">
        <v>978</v>
      </c>
      <c r="C220" s="172" t="s">
        <v>4482</v>
      </c>
      <c r="D220" t="s">
        <v>71</v>
      </c>
      <c r="E220" t="s">
        <v>26</v>
      </c>
      <c r="F220" t="s">
        <v>3148</v>
      </c>
      <c r="G220" t="s">
        <v>1003</v>
      </c>
      <c r="H220" t="s">
        <v>1004</v>
      </c>
      <c r="I220" s="130">
        <v>45345</v>
      </c>
      <c r="J220" t="s">
        <v>4856</v>
      </c>
      <c r="K220">
        <v>1</v>
      </c>
      <c r="M2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0" t="str">
        <f>DO_DB[[#This Row],[Material Pick-update]]&amp;"_"&amp;DO_DB[[#This Row],[Material Name]]</f>
        <v>45345_JC 144Core</v>
      </c>
      <c r="O220" t="str">
        <f>DO_DB[[#This Row],[SiteID]]</f>
        <v>CLR31-99-069</v>
      </c>
      <c r="P220" t="str">
        <f>DO_DB[[#This Row],[SiteID]]&amp;"_"&amp;DO_DB[[#This Row],[Material Name]]</f>
        <v>CLR31-99-069_JC 144Core</v>
      </c>
      <c r="Q220" t="str">
        <f>DO_DB[[#This Row],[DO Number]]</f>
        <v>DOEID240219BH</v>
      </c>
      <c r="R220" t="str">
        <f>DO_DB[[#This Row],[DN Number]]</f>
        <v>DNWID0362024022005</v>
      </c>
    </row>
    <row r="221" spans="1:18">
      <c r="A221" t="s">
        <v>977</v>
      </c>
      <c r="B221" t="s">
        <v>978</v>
      </c>
      <c r="C221" s="172" t="s">
        <v>4482</v>
      </c>
      <c r="D221" t="s">
        <v>71</v>
      </c>
      <c r="E221" t="s">
        <v>26</v>
      </c>
      <c r="F221" t="s">
        <v>3148</v>
      </c>
      <c r="G221" t="s">
        <v>979</v>
      </c>
      <c r="H221" t="s">
        <v>980</v>
      </c>
      <c r="I221" s="130">
        <v>45345</v>
      </c>
      <c r="J221" t="s">
        <v>14</v>
      </c>
      <c r="K221">
        <v>1</v>
      </c>
      <c r="M2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1" t="str">
        <f>DO_DB[[#This Row],[Material Pick-update]]&amp;"_"&amp;DO_DB[[#This Row],[Material Name]]</f>
        <v>45345_FDT-48</v>
      </c>
      <c r="O221" t="str">
        <f>DO_DB[[#This Row],[SiteID]]</f>
        <v>CLR31-99-069</v>
      </c>
      <c r="P221" t="str">
        <f>DO_DB[[#This Row],[SiteID]]&amp;"_"&amp;DO_DB[[#This Row],[Material Name]]</f>
        <v>CLR31-99-069_FDT-48</v>
      </c>
      <c r="Q221" t="str">
        <f>DO_DB[[#This Row],[DO Number]]</f>
        <v>DOEID240219BI</v>
      </c>
      <c r="R221" t="str">
        <f>DO_DB[[#This Row],[DN Number]]</f>
        <v>DNWID0342024022003</v>
      </c>
    </row>
    <row r="222" spans="1:18">
      <c r="A222" t="s">
        <v>977</v>
      </c>
      <c r="B222" t="s">
        <v>978</v>
      </c>
      <c r="C222" s="172" t="s">
        <v>4482</v>
      </c>
      <c r="D222" t="s">
        <v>71</v>
      </c>
      <c r="E222" t="s">
        <v>26</v>
      </c>
      <c r="F222" t="s">
        <v>3148</v>
      </c>
      <c r="G222" t="s">
        <v>979</v>
      </c>
      <c r="H222" t="s">
        <v>980</v>
      </c>
      <c r="I222" s="130">
        <v>45345</v>
      </c>
      <c r="J222" t="s">
        <v>3080</v>
      </c>
      <c r="K222">
        <v>3</v>
      </c>
      <c r="M2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2" t="str">
        <f>DO_DB[[#This Row],[Material Pick-update]]&amp;"_"&amp;DO_DB[[#This Row],[Material Name]]</f>
        <v>45345_1:8 SPL for FDT-AE &amp; UG</v>
      </c>
      <c r="O222" t="str">
        <f>DO_DB[[#This Row],[SiteID]]</f>
        <v>CLR31-99-069</v>
      </c>
      <c r="P222" t="str">
        <f>DO_DB[[#This Row],[SiteID]]&amp;"_"&amp;DO_DB[[#This Row],[Material Name]]</f>
        <v>CLR31-99-069_1:8 SPL for FDT-AE &amp; UG</v>
      </c>
      <c r="Q222" t="str">
        <f>DO_DB[[#This Row],[DO Number]]</f>
        <v>DOEID240219BI</v>
      </c>
      <c r="R222" t="str">
        <f>DO_DB[[#This Row],[DN Number]]</f>
        <v>DNWID0342024022003</v>
      </c>
    </row>
    <row r="223" spans="1:18">
      <c r="A223" t="s">
        <v>985</v>
      </c>
      <c r="B223" t="s">
        <v>986</v>
      </c>
      <c r="C223" s="172" t="s">
        <v>4482</v>
      </c>
      <c r="D223" t="s">
        <v>71</v>
      </c>
      <c r="E223" t="s">
        <v>26</v>
      </c>
      <c r="F223" t="s">
        <v>3148</v>
      </c>
      <c r="G223" t="s">
        <v>1001</v>
      </c>
      <c r="H223" t="s">
        <v>1002</v>
      </c>
      <c r="I223" s="130">
        <v>45345</v>
      </c>
      <c r="J223" t="s">
        <v>3069</v>
      </c>
      <c r="K223">
        <v>15</v>
      </c>
      <c r="M2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3" t="str">
        <f>DO_DB[[#This Row],[Material Pick-update]]&amp;"_"&amp;DO_DB[[#This Row],[Material Name]]</f>
        <v>45345_Pole 7M 4"</v>
      </c>
      <c r="O223" t="str">
        <f>DO_DB[[#This Row],[SiteID]]</f>
        <v>CLR31-99-070</v>
      </c>
      <c r="P223" t="str">
        <f>DO_DB[[#This Row],[SiteID]]&amp;"_"&amp;DO_DB[[#This Row],[Material Name]]</f>
        <v>CLR31-99-070_Pole 7M 4"</v>
      </c>
      <c r="Q223" t="str">
        <f>DO_DB[[#This Row],[DO Number]]</f>
        <v>DOEID240219BJ</v>
      </c>
      <c r="R223" t="str">
        <f>DO_DB[[#This Row],[DN Number]]</f>
        <v>DNWID0362024022006</v>
      </c>
    </row>
    <row r="224" spans="1:18">
      <c r="A224" t="s">
        <v>985</v>
      </c>
      <c r="B224" t="s">
        <v>986</v>
      </c>
      <c r="C224" s="172" t="s">
        <v>4482</v>
      </c>
      <c r="D224" t="s">
        <v>71</v>
      </c>
      <c r="E224" t="s">
        <v>26</v>
      </c>
      <c r="F224" t="s">
        <v>3148</v>
      </c>
      <c r="G224" t="s">
        <v>1001</v>
      </c>
      <c r="H224" t="s">
        <v>1002</v>
      </c>
      <c r="I224" s="130">
        <v>45345</v>
      </c>
      <c r="J224" t="s">
        <v>3070</v>
      </c>
      <c r="K224">
        <v>2</v>
      </c>
      <c r="M2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4" t="str">
        <f>DO_DB[[#This Row],[Material Pick-update]]&amp;"_"&amp;DO_DB[[#This Row],[Material Name]]</f>
        <v>45345_Pole 7M 3"</v>
      </c>
      <c r="O224" t="str">
        <f>DO_DB[[#This Row],[SiteID]]</f>
        <v>CLR31-99-070</v>
      </c>
      <c r="P224" t="str">
        <f>DO_DB[[#This Row],[SiteID]]&amp;"_"&amp;DO_DB[[#This Row],[Material Name]]</f>
        <v>CLR31-99-070_Pole 7M 3"</v>
      </c>
      <c r="Q224" t="str">
        <f>DO_DB[[#This Row],[DO Number]]</f>
        <v>DOEID240219BJ</v>
      </c>
      <c r="R224" t="str">
        <f>DO_DB[[#This Row],[DN Number]]</f>
        <v>DNWID0362024022006</v>
      </c>
    </row>
    <row r="225" spans="1:18">
      <c r="A225" t="s">
        <v>985</v>
      </c>
      <c r="B225" t="s">
        <v>986</v>
      </c>
      <c r="C225" s="172" t="s">
        <v>4482</v>
      </c>
      <c r="D225" t="s">
        <v>71</v>
      </c>
      <c r="E225" t="s">
        <v>26</v>
      </c>
      <c r="F225" t="s">
        <v>3148</v>
      </c>
      <c r="G225" t="s">
        <v>1001</v>
      </c>
      <c r="H225" t="s">
        <v>1002</v>
      </c>
      <c r="I225" s="130">
        <v>45345</v>
      </c>
      <c r="J225" t="s">
        <v>4856</v>
      </c>
      <c r="K225">
        <v>1</v>
      </c>
      <c r="M2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5" t="str">
        <f>DO_DB[[#This Row],[Material Pick-update]]&amp;"_"&amp;DO_DB[[#This Row],[Material Name]]</f>
        <v>45345_JC 144Core</v>
      </c>
      <c r="O225" t="str">
        <f>DO_DB[[#This Row],[SiteID]]</f>
        <v>CLR31-99-070</v>
      </c>
      <c r="P225" t="str">
        <f>DO_DB[[#This Row],[SiteID]]&amp;"_"&amp;DO_DB[[#This Row],[Material Name]]</f>
        <v>CLR31-99-070_JC 144Core</v>
      </c>
      <c r="Q225" t="str">
        <f>DO_DB[[#This Row],[DO Number]]</f>
        <v>DOEID240219BJ</v>
      </c>
      <c r="R225" t="str">
        <f>DO_DB[[#This Row],[DN Number]]</f>
        <v>DNWID0362024022006</v>
      </c>
    </row>
    <row r="226" spans="1:18">
      <c r="A226" t="s">
        <v>985</v>
      </c>
      <c r="B226" t="s">
        <v>986</v>
      </c>
      <c r="C226" s="172" t="s">
        <v>4482</v>
      </c>
      <c r="D226" t="s">
        <v>71</v>
      </c>
      <c r="E226" t="s">
        <v>26</v>
      </c>
      <c r="F226" t="s">
        <v>3148</v>
      </c>
      <c r="G226" t="s">
        <v>987</v>
      </c>
      <c r="H226" t="s">
        <v>988</v>
      </c>
      <c r="I226" s="130">
        <v>45345</v>
      </c>
      <c r="J226" t="s">
        <v>14</v>
      </c>
      <c r="K226">
        <v>1</v>
      </c>
      <c r="M2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6" t="str">
        <f>DO_DB[[#This Row],[Material Pick-update]]&amp;"_"&amp;DO_DB[[#This Row],[Material Name]]</f>
        <v>45345_FDT-48</v>
      </c>
      <c r="O226" t="str">
        <f>DO_DB[[#This Row],[SiteID]]</f>
        <v>CLR31-99-070</v>
      </c>
      <c r="P226" t="str">
        <f>DO_DB[[#This Row],[SiteID]]&amp;"_"&amp;DO_DB[[#This Row],[Material Name]]</f>
        <v>CLR31-99-070_FDT-48</v>
      </c>
      <c r="Q226" t="str">
        <f>DO_DB[[#This Row],[DO Number]]</f>
        <v>DOEID240219BK</v>
      </c>
      <c r="R226" t="str">
        <f>DO_DB[[#This Row],[DN Number]]</f>
        <v>DNWID0342024022005</v>
      </c>
    </row>
    <row r="227" spans="1:18">
      <c r="A227" t="s">
        <v>985</v>
      </c>
      <c r="B227" t="s">
        <v>986</v>
      </c>
      <c r="C227" s="172" t="s">
        <v>4482</v>
      </c>
      <c r="D227" t="s">
        <v>71</v>
      </c>
      <c r="E227" t="s">
        <v>26</v>
      </c>
      <c r="F227" t="s">
        <v>3148</v>
      </c>
      <c r="G227" t="s">
        <v>987</v>
      </c>
      <c r="H227" t="s">
        <v>988</v>
      </c>
      <c r="I227" s="130">
        <v>45345</v>
      </c>
      <c r="J227" t="s">
        <v>3080</v>
      </c>
      <c r="K227">
        <v>3</v>
      </c>
      <c r="M2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7" t="str">
        <f>DO_DB[[#This Row],[Material Pick-update]]&amp;"_"&amp;DO_DB[[#This Row],[Material Name]]</f>
        <v>45345_1:8 SPL for FDT-AE &amp; UG</v>
      </c>
      <c r="O227" t="str">
        <f>DO_DB[[#This Row],[SiteID]]</f>
        <v>CLR31-99-070</v>
      </c>
      <c r="P227" t="str">
        <f>DO_DB[[#This Row],[SiteID]]&amp;"_"&amp;DO_DB[[#This Row],[Material Name]]</f>
        <v>CLR31-99-070_1:8 SPL for FDT-AE &amp; UG</v>
      </c>
      <c r="Q227" t="str">
        <f>DO_DB[[#This Row],[DO Number]]</f>
        <v>DOEID240219BK</v>
      </c>
      <c r="R227" t="str">
        <f>DO_DB[[#This Row],[DN Number]]</f>
        <v>DNWID0342024022005</v>
      </c>
    </row>
    <row r="228" spans="1:18">
      <c r="A228" t="s">
        <v>991</v>
      </c>
      <c r="B228" t="s">
        <v>992</v>
      </c>
      <c r="C228" s="172" t="s">
        <v>4482</v>
      </c>
      <c r="D228" t="s">
        <v>71</v>
      </c>
      <c r="E228" t="s">
        <v>26</v>
      </c>
      <c r="F228" t="s">
        <v>3148</v>
      </c>
      <c r="G228" t="s">
        <v>999</v>
      </c>
      <c r="H228" t="s">
        <v>1000</v>
      </c>
      <c r="I228" s="130">
        <v>45345</v>
      </c>
      <c r="J228" t="s">
        <v>3069</v>
      </c>
      <c r="K228">
        <v>23</v>
      </c>
      <c r="M2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8" t="str">
        <f>DO_DB[[#This Row],[Material Pick-update]]&amp;"_"&amp;DO_DB[[#This Row],[Material Name]]</f>
        <v>45345_Pole 7M 4"</v>
      </c>
      <c r="O228" t="str">
        <f>DO_DB[[#This Row],[SiteID]]</f>
        <v>CLR31-99-071</v>
      </c>
      <c r="P228" t="str">
        <f>DO_DB[[#This Row],[SiteID]]&amp;"_"&amp;DO_DB[[#This Row],[Material Name]]</f>
        <v>CLR31-99-071_Pole 7M 4"</v>
      </c>
      <c r="Q228" t="str">
        <f>DO_DB[[#This Row],[DO Number]]</f>
        <v>DOEID240219BL</v>
      </c>
      <c r="R228" t="str">
        <f>DO_DB[[#This Row],[DN Number]]</f>
        <v>DNWID0362024022007</v>
      </c>
    </row>
    <row r="229" spans="1:18">
      <c r="A229" t="s">
        <v>991</v>
      </c>
      <c r="B229" t="s">
        <v>992</v>
      </c>
      <c r="C229" s="172" t="s">
        <v>4482</v>
      </c>
      <c r="D229" t="s">
        <v>71</v>
      </c>
      <c r="E229" t="s">
        <v>26</v>
      </c>
      <c r="F229" t="s">
        <v>3148</v>
      </c>
      <c r="G229" t="s">
        <v>999</v>
      </c>
      <c r="H229" t="s">
        <v>1000</v>
      </c>
      <c r="I229" s="130">
        <v>45345</v>
      </c>
      <c r="J229" t="s">
        <v>3070</v>
      </c>
      <c r="K229">
        <v>2</v>
      </c>
      <c r="M2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9" t="str">
        <f>DO_DB[[#This Row],[Material Pick-update]]&amp;"_"&amp;DO_DB[[#This Row],[Material Name]]</f>
        <v>45345_Pole 7M 3"</v>
      </c>
      <c r="O229" t="str">
        <f>DO_DB[[#This Row],[SiteID]]</f>
        <v>CLR31-99-071</v>
      </c>
      <c r="P229" t="str">
        <f>DO_DB[[#This Row],[SiteID]]&amp;"_"&amp;DO_DB[[#This Row],[Material Name]]</f>
        <v>CLR31-99-071_Pole 7M 3"</v>
      </c>
      <c r="Q229" t="str">
        <f>DO_DB[[#This Row],[DO Number]]</f>
        <v>DOEID240219BL</v>
      </c>
      <c r="R229" t="str">
        <f>DO_DB[[#This Row],[DN Number]]</f>
        <v>DNWID0362024022007</v>
      </c>
    </row>
    <row r="230" spans="1:18">
      <c r="A230" t="s">
        <v>973</v>
      </c>
      <c r="B230" t="s">
        <v>974</v>
      </c>
      <c r="C230" s="172" t="s">
        <v>4482</v>
      </c>
      <c r="D230" t="s">
        <v>71</v>
      </c>
      <c r="E230" t="s">
        <v>26</v>
      </c>
      <c r="F230" t="s">
        <v>3148</v>
      </c>
      <c r="G230" t="s">
        <v>975</v>
      </c>
      <c r="H230" t="s">
        <v>976</v>
      </c>
      <c r="I230" s="130">
        <v>45345</v>
      </c>
      <c r="J230" t="s">
        <v>3069</v>
      </c>
      <c r="K230">
        <v>13</v>
      </c>
      <c r="M2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0" t="str">
        <f>DO_DB[[#This Row],[Material Pick-update]]&amp;"_"&amp;DO_DB[[#This Row],[Material Name]]</f>
        <v>45345_Pole 7M 4"</v>
      </c>
      <c r="O230" t="str">
        <f>DO_DB[[#This Row],[SiteID]]</f>
        <v>CLR31-99-072</v>
      </c>
      <c r="P230" t="str">
        <f>DO_DB[[#This Row],[SiteID]]&amp;"_"&amp;DO_DB[[#This Row],[Material Name]]</f>
        <v>CLR31-99-072_Pole 7M 4"</v>
      </c>
      <c r="Q230" t="str">
        <f>DO_DB[[#This Row],[DO Number]]</f>
        <v>DOEID240219BN</v>
      </c>
      <c r="R230" t="str">
        <f>DO_DB[[#This Row],[DN Number]]</f>
        <v>DNWID0362024022008</v>
      </c>
    </row>
    <row r="231" spans="1:18">
      <c r="A231" t="s">
        <v>973</v>
      </c>
      <c r="B231" t="s">
        <v>974</v>
      </c>
      <c r="C231" s="172" t="s">
        <v>4482</v>
      </c>
      <c r="D231" t="s">
        <v>71</v>
      </c>
      <c r="E231" t="s">
        <v>26</v>
      </c>
      <c r="F231" t="s">
        <v>3148</v>
      </c>
      <c r="G231" t="s">
        <v>975</v>
      </c>
      <c r="H231" t="s">
        <v>976</v>
      </c>
      <c r="I231" s="130">
        <v>45345</v>
      </c>
      <c r="J231" t="s">
        <v>3070</v>
      </c>
      <c r="K231">
        <v>1</v>
      </c>
      <c r="M2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1" t="str">
        <f>DO_DB[[#This Row],[Material Pick-update]]&amp;"_"&amp;DO_DB[[#This Row],[Material Name]]</f>
        <v>45345_Pole 7M 3"</v>
      </c>
      <c r="O231" t="str">
        <f>DO_DB[[#This Row],[SiteID]]</f>
        <v>CLR31-99-072</v>
      </c>
      <c r="P231" t="str">
        <f>DO_DB[[#This Row],[SiteID]]&amp;"_"&amp;DO_DB[[#This Row],[Material Name]]</f>
        <v>CLR31-99-072_Pole 7M 3"</v>
      </c>
      <c r="Q231" t="str">
        <f>DO_DB[[#This Row],[DO Number]]</f>
        <v>DOEID240219BN</v>
      </c>
      <c r="R231" t="str">
        <f>DO_DB[[#This Row],[DN Number]]</f>
        <v>DNWID0362024022008</v>
      </c>
    </row>
    <row r="232" spans="1:18">
      <c r="A232" t="s">
        <v>1005</v>
      </c>
      <c r="B232" t="s">
        <v>1006</v>
      </c>
      <c r="C232" s="172" t="s">
        <v>4482</v>
      </c>
      <c r="D232" t="s">
        <v>71</v>
      </c>
      <c r="E232" t="s">
        <v>26</v>
      </c>
      <c r="F232" t="s">
        <v>3148</v>
      </c>
      <c r="G232" t="s">
        <v>1009</v>
      </c>
      <c r="H232" t="s">
        <v>1010</v>
      </c>
      <c r="I232" s="130">
        <v>45351</v>
      </c>
      <c r="J232" t="s">
        <v>3073</v>
      </c>
      <c r="K232">
        <v>3000</v>
      </c>
      <c r="M2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24C-2024229-01</v>
      </c>
      <c r="N232" t="str">
        <f>DO_DB[[#This Row],[Material Pick-update]]&amp;"_"&amp;DO_DB[[#This Row],[Material Name]]</f>
        <v>45351_ADSS 24C</v>
      </c>
      <c r="O232" t="str">
        <f>DO_DB[[#This Row],[SiteID]]</f>
        <v>CLR31-04-056</v>
      </c>
      <c r="P232" t="str">
        <f>DO_DB[[#This Row],[SiteID]]&amp;"_"&amp;DO_DB[[#This Row],[Material Name]]</f>
        <v>CLR31-04-056_ADSS 24C</v>
      </c>
      <c r="Q232" t="str">
        <f>DO_DB[[#This Row],[DO Number]]</f>
        <v>DOEID240226CB</v>
      </c>
      <c r="R232" t="str">
        <f>DO_DB[[#This Row],[DN Number]]</f>
        <v>DNWID0342024022617</v>
      </c>
    </row>
    <row r="233" spans="1:18">
      <c r="A233" t="s">
        <v>1005</v>
      </c>
      <c r="B233" t="s">
        <v>1006</v>
      </c>
      <c r="C233" s="172" t="s">
        <v>4482</v>
      </c>
      <c r="D233" t="s">
        <v>71</v>
      </c>
      <c r="E233" t="s">
        <v>26</v>
      </c>
      <c r="F233" t="s">
        <v>3148</v>
      </c>
      <c r="G233" t="s">
        <v>1007</v>
      </c>
      <c r="H233" t="s">
        <v>1008</v>
      </c>
      <c r="I233" s="130">
        <v>45351</v>
      </c>
      <c r="J233" t="s">
        <v>3069</v>
      </c>
      <c r="K233">
        <v>125</v>
      </c>
      <c r="M2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3" t="str">
        <f>DO_DB[[#This Row],[Material Pick-update]]&amp;"_"&amp;DO_DB[[#This Row],[Material Name]]</f>
        <v>45351_Pole 7M 4"</v>
      </c>
      <c r="O233" t="str">
        <f>DO_DB[[#This Row],[SiteID]]</f>
        <v>CLR31-04-056</v>
      </c>
      <c r="P233" t="str">
        <f>DO_DB[[#This Row],[SiteID]]&amp;"_"&amp;DO_DB[[#This Row],[Material Name]]</f>
        <v>CLR31-04-056_Pole 7M 4"</v>
      </c>
      <c r="Q233" t="str">
        <f>DO_DB[[#This Row],[DO Number]]</f>
        <v>DOEID240226CA</v>
      </c>
      <c r="R233" t="str">
        <f>DO_DB[[#This Row],[DN Number]]</f>
        <v>DNWID0362024022701</v>
      </c>
    </row>
    <row r="234" spans="1:18">
      <c r="A234" t="s">
        <v>1005</v>
      </c>
      <c r="B234" t="s">
        <v>1006</v>
      </c>
      <c r="C234" s="172" t="s">
        <v>4482</v>
      </c>
      <c r="D234" t="s">
        <v>71</v>
      </c>
      <c r="E234" t="s">
        <v>26</v>
      </c>
      <c r="F234" t="s">
        <v>3148</v>
      </c>
      <c r="G234" t="s">
        <v>1007</v>
      </c>
      <c r="H234" t="s">
        <v>1008</v>
      </c>
      <c r="I234" s="130">
        <v>45351</v>
      </c>
      <c r="J234" t="s">
        <v>3070</v>
      </c>
      <c r="K234">
        <v>41</v>
      </c>
      <c r="M2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4" t="str">
        <f>DO_DB[[#This Row],[Material Pick-update]]&amp;"_"&amp;DO_DB[[#This Row],[Material Name]]</f>
        <v>45351_Pole 7M 3"</v>
      </c>
      <c r="O234" t="str">
        <f>DO_DB[[#This Row],[SiteID]]</f>
        <v>CLR31-04-056</v>
      </c>
      <c r="P234" t="str">
        <f>DO_DB[[#This Row],[SiteID]]&amp;"_"&amp;DO_DB[[#This Row],[Material Name]]</f>
        <v>CLR31-04-056_Pole 7M 3"</v>
      </c>
      <c r="Q234" t="str">
        <f>DO_DB[[#This Row],[DO Number]]</f>
        <v>DOEID240226CA</v>
      </c>
      <c r="R234" t="str">
        <f>DO_DB[[#This Row],[DN Number]]</f>
        <v>DNWID0362024022701</v>
      </c>
    </row>
    <row r="235" spans="1:18">
      <c r="A235" t="s">
        <v>1005</v>
      </c>
      <c r="B235" t="s">
        <v>1006</v>
      </c>
      <c r="C235" s="172" t="s">
        <v>4482</v>
      </c>
      <c r="D235" t="s">
        <v>71</v>
      </c>
      <c r="E235" t="s">
        <v>26</v>
      </c>
      <c r="F235" t="s">
        <v>3148</v>
      </c>
      <c r="G235" t="s">
        <v>1009</v>
      </c>
      <c r="H235" t="s">
        <v>1010</v>
      </c>
      <c r="I235" s="130">
        <v>45351</v>
      </c>
      <c r="J235" t="s">
        <v>14</v>
      </c>
      <c r="K235">
        <v>1</v>
      </c>
      <c r="M2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5" t="str">
        <f>DO_DB[[#This Row],[Material Pick-update]]&amp;"_"&amp;DO_DB[[#This Row],[Material Name]]</f>
        <v>45351_FDT-48</v>
      </c>
      <c r="O235" t="str">
        <f>DO_DB[[#This Row],[SiteID]]</f>
        <v>CLR31-04-056</v>
      </c>
      <c r="P235" t="str">
        <f>DO_DB[[#This Row],[SiteID]]&amp;"_"&amp;DO_DB[[#This Row],[Material Name]]</f>
        <v>CLR31-04-056_FDT-48</v>
      </c>
      <c r="Q235" t="str">
        <f>DO_DB[[#This Row],[DO Number]]</f>
        <v>DOEID240226CB</v>
      </c>
      <c r="R235" t="str">
        <f>DO_DB[[#This Row],[DN Number]]</f>
        <v>DNWID0342024022617</v>
      </c>
    </row>
    <row r="236" spans="1:18">
      <c r="A236" t="s">
        <v>1005</v>
      </c>
      <c r="B236" t="s">
        <v>1006</v>
      </c>
      <c r="C236" s="172" t="s">
        <v>4482</v>
      </c>
      <c r="D236" t="s">
        <v>71</v>
      </c>
      <c r="E236" t="s">
        <v>26</v>
      </c>
      <c r="F236" t="s">
        <v>3148</v>
      </c>
      <c r="G236" t="s">
        <v>1009</v>
      </c>
      <c r="H236" t="s">
        <v>1010</v>
      </c>
      <c r="I236" s="130">
        <v>45351</v>
      </c>
      <c r="J236" t="s">
        <v>15</v>
      </c>
      <c r="K236">
        <v>1</v>
      </c>
      <c r="M2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6" t="str">
        <f>DO_DB[[#This Row],[Material Pick-update]]&amp;"_"&amp;DO_DB[[#This Row],[Material Name]]</f>
        <v>45351_FDT-72</v>
      </c>
      <c r="O236" t="str">
        <f>DO_DB[[#This Row],[SiteID]]</f>
        <v>CLR31-04-056</v>
      </c>
      <c r="P236" t="str">
        <f>DO_DB[[#This Row],[SiteID]]&amp;"_"&amp;DO_DB[[#This Row],[Material Name]]</f>
        <v>CLR31-04-056_FDT-72</v>
      </c>
      <c r="Q236" t="str">
        <f>DO_DB[[#This Row],[DO Number]]</f>
        <v>DOEID240226CB</v>
      </c>
      <c r="R236" t="str">
        <f>DO_DB[[#This Row],[DN Number]]</f>
        <v>DNWID0342024022617</v>
      </c>
    </row>
    <row r="237" spans="1:18">
      <c r="A237" t="s">
        <v>1005</v>
      </c>
      <c r="B237" t="s">
        <v>1006</v>
      </c>
      <c r="C237" s="172" t="s">
        <v>4482</v>
      </c>
      <c r="D237" t="s">
        <v>71</v>
      </c>
      <c r="E237" t="s">
        <v>26</v>
      </c>
      <c r="F237" t="s">
        <v>3148</v>
      </c>
      <c r="G237" t="s">
        <v>1009</v>
      </c>
      <c r="H237" t="s">
        <v>1010</v>
      </c>
      <c r="I237" s="130">
        <v>45351</v>
      </c>
      <c r="J237" t="s">
        <v>3080</v>
      </c>
      <c r="K237">
        <v>7</v>
      </c>
      <c r="M2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7" t="str">
        <f>DO_DB[[#This Row],[Material Pick-update]]&amp;"_"&amp;DO_DB[[#This Row],[Material Name]]</f>
        <v>45351_1:8 SPL for FDT-AE &amp; UG</v>
      </c>
      <c r="O237" t="str">
        <f>DO_DB[[#This Row],[SiteID]]</f>
        <v>CLR31-04-056</v>
      </c>
      <c r="P237" t="str">
        <f>DO_DB[[#This Row],[SiteID]]&amp;"_"&amp;DO_DB[[#This Row],[Material Name]]</f>
        <v>CLR31-04-056_1:8 SPL for FDT-AE &amp; UG</v>
      </c>
      <c r="Q237" t="str">
        <f>DO_DB[[#This Row],[DO Number]]</f>
        <v>DOEID240226CB</v>
      </c>
      <c r="R237" t="str">
        <f>DO_DB[[#This Row],[DN Number]]</f>
        <v>DNWID0342024022617</v>
      </c>
    </row>
    <row r="238" spans="1:18">
      <c r="A238" t="s">
        <v>1005</v>
      </c>
      <c r="B238" t="s">
        <v>1006</v>
      </c>
      <c r="C238" s="172" t="s">
        <v>4482</v>
      </c>
      <c r="D238" t="s">
        <v>71</v>
      </c>
      <c r="E238" t="s">
        <v>26</v>
      </c>
      <c r="F238" t="s">
        <v>3148</v>
      </c>
      <c r="G238" t="s">
        <v>1009</v>
      </c>
      <c r="H238" t="s">
        <v>1010</v>
      </c>
      <c r="I238" s="130">
        <v>45351</v>
      </c>
      <c r="J238" t="s">
        <v>3075</v>
      </c>
      <c r="K238">
        <v>9000</v>
      </c>
      <c r="M2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48C-2024229-01</v>
      </c>
      <c r="N238" t="str">
        <f>DO_DB[[#This Row],[Material Pick-update]]&amp;"_"&amp;DO_DB[[#This Row],[Material Name]]</f>
        <v>45351_ADSS 48C</v>
      </c>
      <c r="O238" t="str">
        <f>DO_DB[[#This Row],[SiteID]]</f>
        <v>CLR31-04-056</v>
      </c>
      <c r="P238" t="str">
        <f>DO_DB[[#This Row],[SiteID]]&amp;"_"&amp;DO_DB[[#This Row],[Material Name]]</f>
        <v>CLR31-04-056_ADSS 48C</v>
      </c>
      <c r="Q238" t="str">
        <f>DO_DB[[#This Row],[DO Number]]</f>
        <v>DOEID240226CB</v>
      </c>
      <c r="R238" t="str">
        <f>DO_DB[[#This Row],[DN Number]]</f>
        <v>DNWID0342024022617</v>
      </c>
    </row>
    <row r="239" spans="1:18">
      <c r="A239" t="s">
        <v>1039</v>
      </c>
      <c r="B239" t="s">
        <v>1040</v>
      </c>
      <c r="C239" t="s">
        <v>4482</v>
      </c>
      <c r="D239" t="s">
        <v>71</v>
      </c>
      <c r="E239" t="s">
        <v>709</v>
      </c>
      <c r="F239" t="s">
        <v>3148</v>
      </c>
      <c r="G239" t="s">
        <v>1041</v>
      </c>
      <c r="H239" t="s">
        <v>1042</v>
      </c>
      <c r="I239" s="130">
        <v>45352</v>
      </c>
      <c r="J239" t="s">
        <v>3069</v>
      </c>
      <c r="K239">
        <v>46</v>
      </c>
      <c r="M2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9" t="str">
        <f>DO_DB[[#This Row],[Material Pick-update]]&amp;"_"&amp;DO_DB[[#This Row],[Material Name]]</f>
        <v>45352_Pole 7M 4"</v>
      </c>
      <c r="O239" t="str">
        <f>DO_DB[[#This Row],[SiteID]]</f>
        <v>CLR41-03-041</v>
      </c>
      <c r="P239" t="str">
        <f>DO_DB[[#This Row],[SiteID]]&amp;"_"&amp;DO_DB[[#This Row],[Material Name]]</f>
        <v>CLR41-03-041_Pole 7M 4"</v>
      </c>
      <c r="Q239" t="str">
        <f>DO_DB[[#This Row],[DO Number]]</f>
        <v>DOEID240229BE</v>
      </c>
      <c r="R239" t="str">
        <f>DO_DB[[#This Row],[DN Number]]</f>
        <v>DNWID0362024022921</v>
      </c>
    </row>
    <row r="240" spans="1:18">
      <c r="A240" t="s">
        <v>1039</v>
      </c>
      <c r="B240" t="s">
        <v>1040</v>
      </c>
      <c r="C240" t="s">
        <v>4482</v>
      </c>
      <c r="D240" t="s">
        <v>71</v>
      </c>
      <c r="E240" t="s">
        <v>709</v>
      </c>
      <c r="F240" t="s">
        <v>3148</v>
      </c>
      <c r="G240" t="s">
        <v>1047</v>
      </c>
      <c r="H240" t="s">
        <v>1048</v>
      </c>
      <c r="I240" s="130">
        <v>45352</v>
      </c>
      <c r="J240" t="s">
        <v>14</v>
      </c>
      <c r="K240">
        <v>1</v>
      </c>
      <c r="M2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40" t="str">
        <f>DO_DB[[#This Row],[Material Pick-update]]&amp;"_"&amp;DO_DB[[#This Row],[Material Name]]</f>
        <v>45352_FDT-48</v>
      </c>
      <c r="O240" t="str">
        <f>DO_DB[[#This Row],[SiteID]]</f>
        <v>CLR41-03-041</v>
      </c>
      <c r="P240" t="str">
        <f>DO_DB[[#This Row],[SiteID]]&amp;"_"&amp;DO_DB[[#This Row],[Material Name]]</f>
        <v>CLR41-03-041_FDT-48</v>
      </c>
      <c r="Q240" t="str">
        <f>DO_DB[[#This Row],[DO Number]]</f>
        <v>DOEID240229BF</v>
      </c>
      <c r="R240" t="str">
        <f>DO_DB[[#This Row],[DN Number]]</f>
        <v>DNWID0342024022913</v>
      </c>
    </row>
    <row r="241" spans="1:18">
      <c r="A241" t="s">
        <v>1039</v>
      </c>
      <c r="B241" t="s">
        <v>1040</v>
      </c>
      <c r="C241" t="s">
        <v>4482</v>
      </c>
      <c r="D241" t="s">
        <v>71</v>
      </c>
      <c r="E241" t="s">
        <v>709</v>
      </c>
      <c r="F241" t="s">
        <v>3148</v>
      </c>
      <c r="G241" t="s">
        <v>1047</v>
      </c>
      <c r="H241" t="s">
        <v>1048</v>
      </c>
      <c r="I241" s="130">
        <v>45352</v>
      </c>
      <c r="J241" t="s">
        <v>3080</v>
      </c>
      <c r="K241">
        <v>3</v>
      </c>
      <c r="M2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41" t="str">
        <f>DO_DB[[#This Row],[Material Pick-update]]&amp;"_"&amp;DO_DB[[#This Row],[Material Name]]</f>
        <v>45352_1:8 SPL for FDT-AE &amp; UG</v>
      </c>
      <c r="O241" t="str">
        <f>DO_DB[[#This Row],[SiteID]]</f>
        <v>CLR41-03-041</v>
      </c>
      <c r="P241" t="str">
        <f>DO_DB[[#This Row],[SiteID]]&amp;"_"&amp;DO_DB[[#This Row],[Material Name]]</f>
        <v>CLR41-03-041_1:8 SPL for FDT-AE &amp; UG</v>
      </c>
      <c r="Q241" t="str">
        <f>DO_DB[[#This Row],[DO Number]]</f>
        <v>DOEID240229BF</v>
      </c>
      <c r="R241" t="str">
        <f>DO_DB[[#This Row],[DN Number]]</f>
        <v>DNWID0342024022913</v>
      </c>
    </row>
    <row r="242" spans="1:18">
      <c r="A242" t="s">
        <v>1035</v>
      </c>
      <c r="B242" t="s">
        <v>1036</v>
      </c>
      <c r="C242" s="172" t="s">
        <v>4482</v>
      </c>
      <c r="D242" t="s">
        <v>71</v>
      </c>
      <c r="E242" t="s">
        <v>26</v>
      </c>
      <c r="F242" t="s">
        <v>3148</v>
      </c>
      <c r="G242" t="s">
        <v>1049</v>
      </c>
      <c r="H242" t="s">
        <v>1050</v>
      </c>
      <c r="I242" s="130">
        <v>45352</v>
      </c>
      <c r="J242" t="s">
        <v>3073</v>
      </c>
      <c r="K242">
        <v>3000</v>
      </c>
      <c r="M2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24C-202431-01</v>
      </c>
      <c r="N242" t="str">
        <f>DO_DB[[#This Row],[Material Pick-update]]&amp;"_"&amp;DO_DB[[#This Row],[Material Name]]</f>
        <v>45352_ADSS 24C</v>
      </c>
      <c r="O242" t="str">
        <f>DO_DB[[#This Row],[SiteID]]</f>
        <v>CLR31-05-023</v>
      </c>
      <c r="P242" t="str">
        <f>DO_DB[[#This Row],[SiteID]]&amp;"_"&amp;DO_DB[[#This Row],[Material Name]]</f>
        <v>CLR31-05-023_ADSS 24C</v>
      </c>
      <c r="Q242" t="str">
        <f>DO_DB[[#This Row],[DO Number]]</f>
        <v>DOEID240229BH</v>
      </c>
      <c r="R242" t="str">
        <f>DO_DB[[#This Row],[DN Number]]</f>
        <v>DNWID0342024022914</v>
      </c>
    </row>
    <row r="243" spans="1:18">
      <c r="A243" t="s">
        <v>1035</v>
      </c>
      <c r="B243" t="s">
        <v>1036</v>
      </c>
      <c r="C243" s="172" t="s">
        <v>4482</v>
      </c>
      <c r="D243" t="s">
        <v>71</v>
      </c>
      <c r="E243" t="s">
        <v>26</v>
      </c>
      <c r="F243" t="s">
        <v>3148</v>
      </c>
      <c r="G243" t="s">
        <v>1049</v>
      </c>
      <c r="H243" t="s">
        <v>1050</v>
      </c>
      <c r="I243" s="130">
        <v>45352</v>
      </c>
      <c r="J243" t="s">
        <v>3075</v>
      </c>
      <c r="K243">
        <v>3000</v>
      </c>
      <c r="M2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48C-202431-01</v>
      </c>
      <c r="N243" t="str">
        <f>DO_DB[[#This Row],[Material Pick-update]]&amp;"_"&amp;DO_DB[[#This Row],[Material Name]]</f>
        <v>45352_ADSS 48C</v>
      </c>
      <c r="O243" t="str">
        <f>DO_DB[[#This Row],[SiteID]]</f>
        <v>CLR31-05-023</v>
      </c>
      <c r="P243" t="str">
        <f>DO_DB[[#This Row],[SiteID]]&amp;"_"&amp;DO_DB[[#This Row],[Material Name]]</f>
        <v>CLR31-05-023_ADSS 48C</v>
      </c>
      <c r="Q243" t="str">
        <f>DO_DB[[#This Row],[DO Number]]</f>
        <v>DOEID240229BH</v>
      </c>
      <c r="R243" t="str">
        <f>DO_DB[[#This Row],[DN Number]]</f>
        <v>DNWID0342024022914</v>
      </c>
    </row>
    <row r="244" spans="1:18">
      <c r="A244" t="s">
        <v>1043</v>
      </c>
      <c r="B244" t="s">
        <v>1044</v>
      </c>
      <c r="C244" s="172" t="s">
        <v>4482</v>
      </c>
      <c r="D244" t="s">
        <v>71</v>
      </c>
      <c r="E244" t="s">
        <v>26</v>
      </c>
      <c r="F244" t="s">
        <v>3148</v>
      </c>
      <c r="G244" t="s">
        <v>1045</v>
      </c>
      <c r="H244" t="s">
        <v>1046</v>
      </c>
      <c r="I244" s="130">
        <v>45352</v>
      </c>
      <c r="J244" t="s">
        <v>3073</v>
      </c>
      <c r="K244">
        <v>3000</v>
      </c>
      <c r="M2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24C-202431-01</v>
      </c>
      <c r="N244" t="str">
        <f>DO_DB[[#This Row],[Material Pick-update]]&amp;"_"&amp;DO_DB[[#This Row],[Material Name]]</f>
        <v>45352_ADSS 24C</v>
      </c>
      <c r="O244" t="str">
        <f>DO_DB[[#This Row],[SiteID]]</f>
        <v>CLR31-05-024</v>
      </c>
      <c r="P244" t="str">
        <f>DO_DB[[#This Row],[SiteID]]&amp;"_"&amp;DO_DB[[#This Row],[Material Name]]</f>
        <v>CLR31-05-024_ADSS 24C</v>
      </c>
      <c r="Q244" t="str">
        <f>DO_DB[[#This Row],[DO Number]]</f>
        <v>DOEID240229BJ</v>
      </c>
      <c r="R244" t="str">
        <f>DO_DB[[#This Row],[DN Number]]</f>
        <v>DNWID0342024022915</v>
      </c>
    </row>
    <row r="245" spans="1:18">
      <c r="A245" t="s">
        <v>1043</v>
      </c>
      <c r="B245" t="s">
        <v>1044</v>
      </c>
      <c r="C245" s="172" t="s">
        <v>4482</v>
      </c>
      <c r="D245" t="s">
        <v>71</v>
      </c>
      <c r="E245" t="s">
        <v>26</v>
      </c>
      <c r="F245" t="s">
        <v>3148</v>
      </c>
      <c r="G245" t="s">
        <v>1045</v>
      </c>
      <c r="H245" t="s">
        <v>1046</v>
      </c>
      <c r="I245" s="130">
        <v>45352</v>
      </c>
      <c r="J245" t="s">
        <v>3075</v>
      </c>
      <c r="K245">
        <v>6000</v>
      </c>
      <c r="M2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48C-202431-01</v>
      </c>
      <c r="N245" t="str">
        <f>DO_DB[[#This Row],[Material Pick-update]]&amp;"_"&amp;DO_DB[[#This Row],[Material Name]]</f>
        <v>45352_ADSS 48C</v>
      </c>
      <c r="O245" t="str">
        <f>DO_DB[[#This Row],[SiteID]]</f>
        <v>CLR31-05-024</v>
      </c>
      <c r="P245" t="str">
        <f>DO_DB[[#This Row],[SiteID]]&amp;"_"&amp;DO_DB[[#This Row],[Material Name]]</f>
        <v>CLR31-05-024_ADSS 48C</v>
      </c>
      <c r="Q245" t="str">
        <f>DO_DB[[#This Row],[DO Number]]</f>
        <v>DOEID240229BJ</v>
      </c>
      <c r="R245" t="str">
        <f>DO_DB[[#This Row],[DN Number]]</f>
        <v>DNWID0342024022915</v>
      </c>
    </row>
    <row r="246" spans="1:18">
      <c r="A246" t="s">
        <v>1035</v>
      </c>
      <c r="B246" t="s">
        <v>1036</v>
      </c>
      <c r="C246" s="172" t="s">
        <v>4482</v>
      </c>
      <c r="D246" t="s">
        <v>71</v>
      </c>
      <c r="E246" t="s">
        <v>26</v>
      </c>
      <c r="F246" t="s">
        <v>3148</v>
      </c>
      <c r="G246" t="s">
        <v>1037</v>
      </c>
      <c r="H246" t="s">
        <v>1038</v>
      </c>
      <c r="I246" s="130">
        <v>45352</v>
      </c>
      <c r="J246" t="s">
        <v>3069</v>
      </c>
      <c r="K246">
        <v>61</v>
      </c>
      <c r="M2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46" t="str">
        <f>DO_DB[[#This Row],[Material Pick-update]]&amp;"_"&amp;DO_DB[[#This Row],[Material Name]]</f>
        <v>45352_Pole 7M 4"</v>
      </c>
      <c r="O246" t="str">
        <f>DO_DB[[#This Row],[SiteID]]</f>
        <v>CLR31-05-023</v>
      </c>
      <c r="P246" t="str">
        <f>DO_DB[[#This Row],[SiteID]]&amp;"_"&amp;DO_DB[[#This Row],[Material Name]]</f>
        <v>CLR31-05-023_Pole 7M 4"</v>
      </c>
      <c r="Q246" t="str">
        <f>DO_DB[[#This Row],[DO Number]]</f>
        <v>DOEID240229BG</v>
      </c>
      <c r="R246" t="str">
        <f>DO_DB[[#This Row],[DN Number]]</f>
        <v>DNWID0362024022922</v>
      </c>
    </row>
    <row r="247" spans="1:18">
      <c r="A247" t="s">
        <v>1035</v>
      </c>
      <c r="B247" t="s">
        <v>1036</v>
      </c>
      <c r="C247" s="172" t="s">
        <v>4482</v>
      </c>
      <c r="D247" t="s">
        <v>71</v>
      </c>
      <c r="E247" t="s">
        <v>26</v>
      </c>
      <c r="F247" t="s">
        <v>3148</v>
      </c>
      <c r="G247" t="s">
        <v>1037</v>
      </c>
      <c r="H247" t="s">
        <v>1038</v>
      </c>
      <c r="I247" s="130">
        <v>45352</v>
      </c>
      <c r="J247" t="s">
        <v>3070</v>
      </c>
      <c r="K247">
        <v>9</v>
      </c>
      <c r="M2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47" t="str">
        <f>DO_DB[[#This Row],[Material Pick-update]]&amp;"_"&amp;DO_DB[[#This Row],[Material Name]]</f>
        <v>45352_Pole 7M 3"</v>
      </c>
      <c r="O247" t="str">
        <f>DO_DB[[#This Row],[SiteID]]</f>
        <v>CLR31-05-023</v>
      </c>
      <c r="P247" t="str">
        <f>DO_DB[[#This Row],[SiteID]]&amp;"_"&amp;DO_DB[[#This Row],[Material Name]]</f>
        <v>CLR31-05-023_Pole 7M 3"</v>
      </c>
      <c r="Q247" t="str">
        <f>DO_DB[[#This Row],[DO Number]]</f>
        <v>DOEID240229BG</v>
      </c>
      <c r="R247" t="str">
        <f>DO_DB[[#This Row],[DN Number]]</f>
        <v>DNWID0362024022922</v>
      </c>
    </row>
    <row r="248" spans="1:18">
      <c r="A248" t="s">
        <v>1035</v>
      </c>
      <c r="B248" t="s">
        <v>1036</v>
      </c>
      <c r="C248" s="172" t="s">
        <v>4482</v>
      </c>
      <c r="D248" t="s">
        <v>71</v>
      </c>
      <c r="E248" t="s">
        <v>26</v>
      </c>
      <c r="F248" t="s">
        <v>3148</v>
      </c>
      <c r="G248" t="s">
        <v>1037</v>
      </c>
      <c r="H248" t="s">
        <v>1038</v>
      </c>
      <c r="I248" s="130">
        <v>45352</v>
      </c>
      <c r="J248" t="s">
        <v>3071</v>
      </c>
      <c r="K248">
        <v>1</v>
      </c>
      <c r="M2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48" t="str">
        <f>DO_DB[[#This Row],[Material Pick-update]]&amp;"_"&amp;DO_DB[[#This Row],[Material Name]]</f>
        <v>45352_Pole 9M</v>
      </c>
      <c r="O248" t="str">
        <f>DO_DB[[#This Row],[SiteID]]</f>
        <v>CLR31-05-023</v>
      </c>
      <c r="P248" t="str">
        <f>DO_DB[[#This Row],[SiteID]]&amp;"_"&amp;DO_DB[[#This Row],[Material Name]]</f>
        <v>CLR31-05-023_Pole 9M</v>
      </c>
      <c r="Q248" t="str">
        <f>DO_DB[[#This Row],[DO Number]]</f>
        <v>DOEID240229BG</v>
      </c>
      <c r="R248" t="str">
        <f>DO_DB[[#This Row],[DN Number]]</f>
        <v>DNWID0362024022922</v>
      </c>
    </row>
    <row r="249" spans="1:18">
      <c r="A249" t="s">
        <v>1035</v>
      </c>
      <c r="B249" t="s">
        <v>1036</v>
      </c>
      <c r="C249" s="172" t="s">
        <v>4482</v>
      </c>
      <c r="D249" t="s">
        <v>71</v>
      </c>
      <c r="E249" t="s">
        <v>26</v>
      </c>
      <c r="F249" t="s">
        <v>3148</v>
      </c>
      <c r="G249" t="s">
        <v>1049</v>
      </c>
      <c r="H249" t="s">
        <v>1050</v>
      </c>
      <c r="I249" s="130">
        <v>45352</v>
      </c>
      <c r="J249" t="s">
        <v>15</v>
      </c>
      <c r="K249">
        <v>1</v>
      </c>
      <c r="M2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49" t="str">
        <f>DO_DB[[#This Row],[Material Pick-update]]&amp;"_"&amp;DO_DB[[#This Row],[Material Name]]</f>
        <v>45352_FDT-72</v>
      </c>
      <c r="O249" t="str">
        <f>DO_DB[[#This Row],[SiteID]]</f>
        <v>CLR31-05-023</v>
      </c>
      <c r="P249" t="str">
        <f>DO_DB[[#This Row],[SiteID]]&amp;"_"&amp;DO_DB[[#This Row],[Material Name]]</f>
        <v>CLR31-05-023_FDT-72</v>
      </c>
      <c r="Q249" t="str">
        <f>DO_DB[[#This Row],[DO Number]]</f>
        <v>DOEID240229BH</v>
      </c>
      <c r="R249" t="str">
        <f>DO_DB[[#This Row],[DN Number]]</f>
        <v>DNWID0342024022914</v>
      </c>
    </row>
    <row r="250" spans="1:18">
      <c r="A250" t="s">
        <v>1035</v>
      </c>
      <c r="B250" t="s">
        <v>1036</v>
      </c>
      <c r="C250" s="172" t="s">
        <v>4482</v>
      </c>
      <c r="D250" t="s">
        <v>71</v>
      </c>
      <c r="E250" t="s">
        <v>26</v>
      </c>
      <c r="F250" t="s">
        <v>3148</v>
      </c>
      <c r="G250" t="s">
        <v>1049</v>
      </c>
      <c r="H250" t="s">
        <v>1050</v>
      </c>
      <c r="I250" s="130">
        <v>45352</v>
      </c>
      <c r="J250" t="s">
        <v>3080</v>
      </c>
      <c r="K250">
        <v>3</v>
      </c>
      <c r="M2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50" t="str">
        <f>DO_DB[[#This Row],[Material Pick-update]]&amp;"_"&amp;DO_DB[[#This Row],[Material Name]]</f>
        <v>45352_1:8 SPL for FDT-AE &amp; UG</v>
      </c>
      <c r="O250" t="str">
        <f>DO_DB[[#This Row],[SiteID]]</f>
        <v>CLR31-05-023</v>
      </c>
      <c r="P250" t="str">
        <f>DO_DB[[#This Row],[SiteID]]&amp;"_"&amp;DO_DB[[#This Row],[Material Name]]</f>
        <v>CLR31-05-023_1:8 SPL for FDT-AE &amp; UG</v>
      </c>
      <c r="Q250" t="str">
        <f>DO_DB[[#This Row],[DO Number]]</f>
        <v>DOEID240229BH</v>
      </c>
      <c r="R250" t="str">
        <f>DO_DB[[#This Row],[DN Number]]</f>
        <v>DNWID0342024022914</v>
      </c>
    </row>
    <row r="251" spans="1:18">
      <c r="A251" t="s">
        <v>1043</v>
      </c>
      <c r="B251" t="s">
        <v>1044</v>
      </c>
      <c r="C251" s="172" t="s">
        <v>4482</v>
      </c>
      <c r="D251" t="s">
        <v>71</v>
      </c>
      <c r="E251" t="s">
        <v>26</v>
      </c>
      <c r="F251" t="s">
        <v>3148</v>
      </c>
      <c r="G251" t="s">
        <v>1051</v>
      </c>
      <c r="H251" t="s">
        <v>1052</v>
      </c>
      <c r="I251" s="130">
        <v>45352</v>
      </c>
      <c r="J251" t="s">
        <v>3069</v>
      </c>
      <c r="K251">
        <v>97</v>
      </c>
      <c r="M2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51" t="str">
        <f>DO_DB[[#This Row],[Material Pick-update]]&amp;"_"&amp;DO_DB[[#This Row],[Material Name]]</f>
        <v>45352_Pole 7M 4"</v>
      </c>
      <c r="O251" t="str">
        <f>DO_DB[[#This Row],[SiteID]]</f>
        <v>CLR31-05-024</v>
      </c>
      <c r="P251" t="str">
        <f>DO_DB[[#This Row],[SiteID]]&amp;"_"&amp;DO_DB[[#This Row],[Material Name]]</f>
        <v>CLR31-05-024_Pole 7M 4"</v>
      </c>
      <c r="Q251" t="str">
        <f>DO_DB[[#This Row],[DO Number]]</f>
        <v>DOEID240229BI</v>
      </c>
      <c r="R251" t="str">
        <f>DO_DB[[#This Row],[DN Number]]</f>
        <v>DNWID0362024022923</v>
      </c>
    </row>
    <row r="252" spans="1:18">
      <c r="A252" t="s">
        <v>1043</v>
      </c>
      <c r="B252" t="s">
        <v>1044</v>
      </c>
      <c r="C252" s="172" t="s">
        <v>4482</v>
      </c>
      <c r="D252" t="s">
        <v>71</v>
      </c>
      <c r="E252" t="s">
        <v>26</v>
      </c>
      <c r="F252" t="s">
        <v>3148</v>
      </c>
      <c r="G252" t="s">
        <v>1051</v>
      </c>
      <c r="H252" t="s">
        <v>1052</v>
      </c>
      <c r="I252" s="130">
        <v>45352</v>
      </c>
      <c r="J252" t="s">
        <v>3070</v>
      </c>
      <c r="K252">
        <v>19</v>
      </c>
      <c r="M2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52" t="str">
        <f>DO_DB[[#This Row],[Material Pick-update]]&amp;"_"&amp;DO_DB[[#This Row],[Material Name]]</f>
        <v>45352_Pole 7M 3"</v>
      </c>
      <c r="O252" t="str">
        <f>DO_DB[[#This Row],[SiteID]]</f>
        <v>CLR31-05-024</v>
      </c>
      <c r="P252" t="str">
        <f>DO_DB[[#This Row],[SiteID]]&amp;"_"&amp;DO_DB[[#This Row],[Material Name]]</f>
        <v>CLR31-05-024_Pole 7M 3"</v>
      </c>
      <c r="Q252" t="str">
        <f>DO_DB[[#This Row],[DO Number]]</f>
        <v>DOEID240229BI</v>
      </c>
      <c r="R252" t="str">
        <f>DO_DB[[#This Row],[DN Number]]</f>
        <v>DNWID0362024022923</v>
      </c>
    </row>
    <row r="253" spans="1:18">
      <c r="A253" t="s">
        <v>1043</v>
      </c>
      <c r="B253" t="s">
        <v>1044</v>
      </c>
      <c r="C253" s="172" t="s">
        <v>4482</v>
      </c>
      <c r="D253" t="s">
        <v>71</v>
      </c>
      <c r="E253" t="s">
        <v>26</v>
      </c>
      <c r="F253" t="s">
        <v>3148</v>
      </c>
      <c r="G253" t="s">
        <v>1051</v>
      </c>
      <c r="H253" t="s">
        <v>1052</v>
      </c>
      <c r="I253" s="130">
        <v>45352</v>
      </c>
      <c r="J253" t="s">
        <v>3071</v>
      </c>
      <c r="K253">
        <v>7</v>
      </c>
      <c r="M2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53" t="str">
        <f>DO_DB[[#This Row],[Material Pick-update]]&amp;"_"&amp;DO_DB[[#This Row],[Material Name]]</f>
        <v>45352_Pole 9M</v>
      </c>
      <c r="O253" t="str">
        <f>DO_DB[[#This Row],[SiteID]]</f>
        <v>CLR31-05-024</v>
      </c>
      <c r="P253" t="str">
        <f>DO_DB[[#This Row],[SiteID]]&amp;"_"&amp;DO_DB[[#This Row],[Material Name]]</f>
        <v>CLR31-05-024_Pole 9M</v>
      </c>
      <c r="Q253" t="str">
        <f>DO_DB[[#This Row],[DO Number]]</f>
        <v>DOEID240229BI</v>
      </c>
      <c r="R253" t="str">
        <f>DO_DB[[#This Row],[DN Number]]</f>
        <v>DNWID0362024022923</v>
      </c>
    </row>
    <row r="254" spans="1:18">
      <c r="A254" t="s">
        <v>1043</v>
      </c>
      <c r="B254" t="s">
        <v>1044</v>
      </c>
      <c r="C254" s="172" t="s">
        <v>4482</v>
      </c>
      <c r="D254" t="s">
        <v>71</v>
      </c>
      <c r="E254" t="s">
        <v>26</v>
      </c>
      <c r="F254" t="s">
        <v>3148</v>
      </c>
      <c r="G254" t="s">
        <v>1045</v>
      </c>
      <c r="H254" t="s">
        <v>1046</v>
      </c>
      <c r="I254" s="130">
        <v>45352</v>
      </c>
      <c r="J254" t="s">
        <v>15</v>
      </c>
      <c r="K254">
        <v>2</v>
      </c>
      <c r="M2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54" t="str">
        <f>DO_DB[[#This Row],[Material Pick-update]]&amp;"_"&amp;DO_DB[[#This Row],[Material Name]]</f>
        <v>45352_FDT-72</v>
      </c>
      <c r="O254" t="str">
        <f>DO_DB[[#This Row],[SiteID]]</f>
        <v>CLR31-05-024</v>
      </c>
      <c r="P254" t="str">
        <f>DO_DB[[#This Row],[SiteID]]&amp;"_"&amp;DO_DB[[#This Row],[Material Name]]</f>
        <v>CLR31-05-024_FDT-72</v>
      </c>
      <c r="Q254" t="str">
        <f>DO_DB[[#This Row],[DO Number]]</f>
        <v>DOEID240229BJ</v>
      </c>
      <c r="R254" t="str">
        <f>DO_DB[[#This Row],[DN Number]]</f>
        <v>DNWID0342024022915</v>
      </c>
    </row>
    <row r="255" spans="1:18">
      <c r="A255" t="s">
        <v>1043</v>
      </c>
      <c r="B255" t="s">
        <v>1044</v>
      </c>
      <c r="C255" s="172" t="s">
        <v>4482</v>
      </c>
      <c r="D255" t="s">
        <v>71</v>
      </c>
      <c r="E255" t="s">
        <v>26</v>
      </c>
      <c r="F255" t="s">
        <v>3148</v>
      </c>
      <c r="G255" t="s">
        <v>1045</v>
      </c>
      <c r="H255" t="s">
        <v>1046</v>
      </c>
      <c r="I255" s="130">
        <v>45352</v>
      </c>
      <c r="J255" t="s">
        <v>3080</v>
      </c>
      <c r="K255">
        <v>8</v>
      </c>
      <c r="M2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55" t="str">
        <f>DO_DB[[#This Row],[Material Pick-update]]&amp;"_"&amp;DO_DB[[#This Row],[Material Name]]</f>
        <v>45352_1:8 SPL for FDT-AE &amp; UG</v>
      </c>
      <c r="O255" t="str">
        <f>DO_DB[[#This Row],[SiteID]]</f>
        <v>CLR31-05-024</v>
      </c>
      <c r="P255" t="str">
        <f>DO_DB[[#This Row],[SiteID]]&amp;"_"&amp;DO_DB[[#This Row],[Material Name]]</f>
        <v>CLR31-05-024_1:8 SPL for FDT-AE &amp; UG</v>
      </c>
      <c r="Q255" t="str">
        <f>DO_DB[[#This Row],[DO Number]]</f>
        <v>DOEID240229BJ</v>
      </c>
      <c r="R255" t="str">
        <f>DO_DB[[#This Row],[DN Number]]</f>
        <v>DNWID0342024022915</v>
      </c>
    </row>
    <row r="256" spans="1:18">
      <c r="A256" t="s">
        <v>1005</v>
      </c>
      <c r="B256" t="s">
        <v>1006</v>
      </c>
      <c r="C256" s="172" t="s">
        <v>4482</v>
      </c>
      <c r="D256" t="s">
        <v>71</v>
      </c>
      <c r="E256" t="s">
        <v>26</v>
      </c>
      <c r="F256" t="s">
        <v>3148</v>
      </c>
      <c r="G256" t="s">
        <v>1053</v>
      </c>
      <c r="H256" t="s">
        <v>1054</v>
      </c>
      <c r="I256" s="130">
        <v>45358</v>
      </c>
      <c r="J256" t="s">
        <v>13</v>
      </c>
      <c r="K256">
        <v>49</v>
      </c>
      <c r="M2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56" t="str">
        <f>DO_DB[[#This Row],[Material Pick-update]]&amp;"_"&amp;DO_DB[[#This Row],[Material Name]]</f>
        <v>45358_FAT-16</v>
      </c>
      <c r="O256" t="str">
        <f>DO_DB[[#This Row],[SiteID]]</f>
        <v>CLR31-04-056</v>
      </c>
      <c r="P256" t="str">
        <f>DO_DB[[#This Row],[SiteID]]&amp;"_"&amp;DO_DB[[#This Row],[Material Name]]</f>
        <v>CLR31-04-056_FAT-16</v>
      </c>
      <c r="Q256" t="str">
        <f>DO_DB[[#This Row],[DO Number]]</f>
        <v>DOEID240304BK</v>
      </c>
      <c r="R256" t="str">
        <f>DO_DB[[#This Row],[DN Number]]</f>
        <v>DNWID0342024030504</v>
      </c>
    </row>
    <row r="257" spans="1:18">
      <c r="A257" t="s">
        <v>973</v>
      </c>
      <c r="B257" t="s">
        <v>974</v>
      </c>
      <c r="C257" s="172" t="s">
        <v>4482</v>
      </c>
      <c r="D257" t="s">
        <v>71</v>
      </c>
      <c r="E257" t="s">
        <v>26</v>
      </c>
      <c r="F257" t="s">
        <v>3148</v>
      </c>
      <c r="G257" t="s">
        <v>1055</v>
      </c>
      <c r="H257" t="s">
        <v>1056</v>
      </c>
      <c r="I257" s="130">
        <v>45358</v>
      </c>
      <c r="J257" t="s">
        <v>13</v>
      </c>
      <c r="K257">
        <v>8</v>
      </c>
      <c r="M2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57" t="str">
        <f>DO_DB[[#This Row],[Material Pick-update]]&amp;"_"&amp;DO_DB[[#This Row],[Material Name]]</f>
        <v>45358_FAT-16</v>
      </c>
      <c r="O257" t="str">
        <f>DO_DB[[#This Row],[SiteID]]</f>
        <v>CLR31-99-072</v>
      </c>
      <c r="P257" t="str">
        <f>DO_DB[[#This Row],[SiteID]]&amp;"_"&amp;DO_DB[[#This Row],[Material Name]]</f>
        <v>CLR31-99-072_FAT-16</v>
      </c>
      <c r="Q257" t="str">
        <f>DO_DB[[#This Row],[DO Number]]</f>
        <v>DOEID240304BQ</v>
      </c>
      <c r="R257" t="str">
        <f>DO_DB[[#This Row],[DN Number]]</f>
        <v>DNWID0342024030503</v>
      </c>
    </row>
    <row r="258" spans="1:18">
      <c r="A258" t="s">
        <v>991</v>
      </c>
      <c r="B258" t="s">
        <v>992</v>
      </c>
      <c r="C258" s="172" t="s">
        <v>4482</v>
      </c>
      <c r="D258" t="s">
        <v>71</v>
      </c>
      <c r="E258" t="s">
        <v>26</v>
      </c>
      <c r="F258" t="s">
        <v>3148</v>
      </c>
      <c r="G258" t="s">
        <v>1057</v>
      </c>
      <c r="H258" t="s">
        <v>1058</v>
      </c>
      <c r="I258" s="130">
        <v>45358</v>
      </c>
      <c r="J258" t="s">
        <v>13</v>
      </c>
      <c r="K258">
        <v>8</v>
      </c>
      <c r="M2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58" t="str">
        <f>DO_DB[[#This Row],[Material Pick-update]]&amp;"_"&amp;DO_DB[[#This Row],[Material Name]]</f>
        <v>45358_FAT-16</v>
      </c>
      <c r="O258" t="str">
        <f>DO_DB[[#This Row],[SiteID]]</f>
        <v>CLR31-99-071</v>
      </c>
      <c r="P258" t="str">
        <f>DO_DB[[#This Row],[SiteID]]&amp;"_"&amp;DO_DB[[#This Row],[Material Name]]</f>
        <v>CLR31-99-071_FAT-16</v>
      </c>
      <c r="Q258" t="str">
        <f>DO_DB[[#This Row],[DO Number]]</f>
        <v>DOEID240304BS</v>
      </c>
      <c r="R258" t="str">
        <f>DO_DB[[#This Row],[DN Number]]</f>
        <v>DNWID0342024030509</v>
      </c>
    </row>
    <row r="259" spans="1:18">
      <c r="A259" t="s">
        <v>985</v>
      </c>
      <c r="B259" t="s">
        <v>986</v>
      </c>
      <c r="C259" s="172" t="s">
        <v>4482</v>
      </c>
      <c r="D259" t="s">
        <v>71</v>
      </c>
      <c r="E259" t="s">
        <v>26</v>
      </c>
      <c r="F259" t="s">
        <v>3148</v>
      </c>
      <c r="G259" t="s">
        <v>1059</v>
      </c>
      <c r="H259" t="s">
        <v>1060</v>
      </c>
      <c r="I259" s="130">
        <v>45358</v>
      </c>
      <c r="J259" t="s">
        <v>13</v>
      </c>
      <c r="K259">
        <v>7</v>
      </c>
      <c r="M2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59" t="str">
        <f>DO_DB[[#This Row],[Material Pick-update]]&amp;"_"&amp;DO_DB[[#This Row],[Material Name]]</f>
        <v>45358_FAT-16</v>
      </c>
      <c r="O259" t="str">
        <f>DO_DB[[#This Row],[SiteID]]</f>
        <v>CLR31-99-070</v>
      </c>
      <c r="P259" t="str">
        <f>DO_DB[[#This Row],[SiteID]]&amp;"_"&amp;DO_DB[[#This Row],[Material Name]]</f>
        <v>CLR31-99-070_FAT-16</v>
      </c>
      <c r="Q259" t="str">
        <f>DO_DB[[#This Row],[DO Number]]</f>
        <v>DOEID240304BV</v>
      </c>
      <c r="R259" t="str">
        <f>DO_DB[[#This Row],[DN Number]]</f>
        <v>DNWID0342024030506</v>
      </c>
    </row>
    <row r="260" spans="1:18">
      <c r="A260" t="s">
        <v>977</v>
      </c>
      <c r="B260" t="s">
        <v>978</v>
      </c>
      <c r="C260" s="172" t="s">
        <v>4482</v>
      </c>
      <c r="D260" t="s">
        <v>71</v>
      </c>
      <c r="E260" t="s">
        <v>26</v>
      </c>
      <c r="F260" t="s">
        <v>3148</v>
      </c>
      <c r="G260" t="s">
        <v>1061</v>
      </c>
      <c r="H260" t="s">
        <v>1062</v>
      </c>
      <c r="I260" s="130">
        <v>45358</v>
      </c>
      <c r="J260" t="s">
        <v>13</v>
      </c>
      <c r="K260">
        <v>9</v>
      </c>
      <c r="M2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60" t="str">
        <f>DO_DB[[#This Row],[Material Pick-update]]&amp;"_"&amp;DO_DB[[#This Row],[Material Name]]</f>
        <v>45358_FAT-16</v>
      </c>
      <c r="O260" t="str">
        <f>DO_DB[[#This Row],[SiteID]]</f>
        <v>CLR31-99-069</v>
      </c>
      <c r="P260" t="str">
        <f>DO_DB[[#This Row],[SiteID]]&amp;"_"&amp;DO_DB[[#This Row],[Material Name]]</f>
        <v>CLR31-99-069_FAT-16</v>
      </c>
      <c r="Q260" t="str">
        <f>DO_DB[[#This Row],[DO Number]]</f>
        <v>DOEID240304BW</v>
      </c>
      <c r="R260" t="str">
        <f>DO_DB[[#This Row],[DN Number]]</f>
        <v>DNWID0342024030501</v>
      </c>
    </row>
    <row r="261" spans="1:18">
      <c r="A261" t="s">
        <v>981</v>
      </c>
      <c r="B261" t="s">
        <v>982</v>
      </c>
      <c r="C261" s="172" t="s">
        <v>4482</v>
      </c>
      <c r="D261" t="s">
        <v>71</v>
      </c>
      <c r="E261" t="s">
        <v>26</v>
      </c>
      <c r="F261" t="s">
        <v>3148</v>
      </c>
      <c r="G261" t="s">
        <v>1063</v>
      </c>
      <c r="H261" t="s">
        <v>1064</v>
      </c>
      <c r="I261" s="130">
        <v>45358</v>
      </c>
      <c r="J261" t="s">
        <v>13</v>
      </c>
      <c r="K261">
        <v>8</v>
      </c>
      <c r="M2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61" t="str">
        <f>DO_DB[[#This Row],[Material Pick-update]]&amp;"_"&amp;DO_DB[[#This Row],[Material Name]]</f>
        <v>45358_FAT-16</v>
      </c>
      <c r="O261" t="str">
        <f>DO_DB[[#This Row],[SiteID]]</f>
        <v>CLR31-05-032</v>
      </c>
      <c r="P261" t="str">
        <f>DO_DB[[#This Row],[SiteID]]&amp;"_"&amp;DO_DB[[#This Row],[Material Name]]</f>
        <v>CLR31-05-032_FAT-16</v>
      </c>
      <c r="Q261" t="str">
        <f>DO_DB[[#This Row],[DO Number]]</f>
        <v>DOEID240304BY</v>
      </c>
      <c r="R261" t="str">
        <f>DO_DB[[#This Row],[DN Number]]</f>
        <v>DNWID0342024030502</v>
      </c>
    </row>
    <row r="262" spans="1:18">
      <c r="A262" t="s">
        <v>947</v>
      </c>
      <c r="B262" t="s">
        <v>948</v>
      </c>
      <c r="C262" t="s">
        <v>4482</v>
      </c>
      <c r="D262" t="s">
        <v>71</v>
      </c>
      <c r="E262" t="s">
        <v>876</v>
      </c>
      <c r="F262" t="s">
        <v>3148</v>
      </c>
      <c r="G262" t="s">
        <v>1073</v>
      </c>
      <c r="H262" t="s">
        <v>1074</v>
      </c>
      <c r="I262" s="130">
        <v>45359</v>
      </c>
      <c r="J262" t="s">
        <v>13</v>
      </c>
      <c r="K262">
        <v>23</v>
      </c>
      <c r="M2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62" t="str">
        <f>DO_DB[[#This Row],[Material Pick-update]]&amp;"_"&amp;DO_DB[[#This Row],[Material Name]]</f>
        <v>45359_FAT-16</v>
      </c>
      <c r="O262" t="str">
        <f>DO_DB[[#This Row],[SiteID]]</f>
        <v>CLR37-01-009</v>
      </c>
      <c r="P262" t="str">
        <f>DO_DB[[#This Row],[SiteID]]&amp;"_"&amp;DO_DB[[#This Row],[Material Name]]</f>
        <v>CLR37-01-009_FAT-16</v>
      </c>
      <c r="Q262" t="str">
        <f>DO_DB[[#This Row],[DO Number]]</f>
        <v>DOEID240304BM</v>
      </c>
      <c r="R262" t="str">
        <f>DO_DB[[#This Row],[DN Number]]</f>
        <v>DNWID0342024030510</v>
      </c>
    </row>
    <row r="263" spans="1:18">
      <c r="A263" t="s">
        <v>1087</v>
      </c>
      <c r="B263" t="s">
        <v>1088</v>
      </c>
      <c r="C263" t="s">
        <v>4482</v>
      </c>
      <c r="D263" t="s">
        <v>71</v>
      </c>
      <c r="E263" t="s">
        <v>24</v>
      </c>
      <c r="F263" t="s">
        <v>3148</v>
      </c>
      <c r="G263" t="s">
        <v>1091</v>
      </c>
      <c r="H263" t="s">
        <v>1092</v>
      </c>
      <c r="I263" s="130">
        <v>45366</v>
      </c>
      <c r="J263" t="s">
        <v>3073</v>
      </c>
      <c r="K263">
        <v>3000</v>
      </c>
      <c r="M2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24C-2024315-01</v>
      </c>
      <c r="N263" t="str">
        <f>DO_DB[[#This Row],[Material Pick-update]]&amp;"_"&amp;DO_DB[[#This Row],[Material Name]]</f>
        <v>45366_ADSS 24C</v>
      </c>
      <c r="O263" t="str">
        <f>DO_DB[[#This Row],[SiteID]]</f>
        <v>CLR51-99-073</v>
      </c>
      <c r="P263" t="str">
        <f>DO_DB[[#This Row],[SiteID]]&amp;"_"&amp;DO_DB[[#This Row],[Material Name]]</f>
        <v>CLR51-99-073_ADSS 24C</v>
      </c>
      <c r="Q263" t="str">
        <f>DO_DB[[#This Row],[DO Number]]</f>
        <v>DOEID240314CW</v>
      </c>
      <c r="R263" t="str">
        <f>DO_DB[[#This Row],[DN Number]]</f>
        <v>DNWID0342024031512</v>
      </c>
    </row>
    <row r="264" spans="1:18">
      <c r="A264" t="s">
        <v>1081</v>
      </c>
      <c r="B264" t="s">
        <v>1082</v>
      </c>
      <c r="C264" t="s">
        <v>4482</v>
      </c>
      <c r="D264" t="s">
        <v>71</v>
      </c>
      <c r="E264" t="s">
        <v>24</v>
      </c>
      <c r="F264" t="s">
        <v>3148</v>
      </c>
      <c r="G264" t="s">
        <v>1083</v>
      </c>
      <c r="H264" t="s">
        <v>1084</v>
      </c>
      <c r="I264" s="130">
        <v>45366</v>
      </c>
      <c r="J264" t="s">
        <v>3069</v>
      </c>
      <c r="K264">
        <v>38</v>
      </c>
      <c r="M2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64" t="str">
        <f>DO_DB[[#This Row],[Material Pick-update]]&amp;"_"&amp;DO_DB[[#This Row],[Material Name]]</f>
        <v>45366_Pole 7M 4"</v>
      </c>
      <c r="O264" t="str">
        <f>DO_DB[[#This Row],[SiteID]]</f>
        <v>CLR51-99-010</v>
      </c>
      <c r="P264" t="str">
        <f>DO_DB[[#This Row],[SiteID]]&amp;"_"&amp;DO_DB[[#This Row],[Material Name]]</f>
        <v>CLR51-99-010_Pole 7M 4"</v>
      </c>
      <c r="Q264" t="str">
        <f>DO_DB[[#This Row],[DO Number]]</f>
        <v>DOEID240314CT</v>
      </c>
      <c r="R264" t="str">
        <f>DO_DB[[#This Row],[DN Number]]</f>
        <v>DNWID0362024031503</v>
      </c>
    </row>
    <row r="265" spans="1:18">
      <c r="A265" t="s">
        <v>1081</v>
      </c>
      <c r="B265" t="s">
        <v>1082</v>
      </c>
      <c r="C265" t="s">
        <v>4482</v>
      </c>
      <c r="D265" t="s">
        <v>71</v>
      </c>
      <c r="E265" t="s">
        <v>24</v>
      </c>
      <c r="F265" t="s">
        <v>3148</v>
      </c>
      <c r="G265" t="s">
        <v>1083</v>
      </c>
      <c r="H265" t="s">
        <v>1084</v>
      </c>
      <c r="I265" s="130">
        <v>45366</v>
      </c>
      <c r="J265" t="s">
        <v>3070</v>
      </c>
      <c r="K265">
        <v>7</v>
      </c>
      <c r="M2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65" t="str">
        <f>DO_DB[[#This Row],[Material Pick-update]]&amp;"_"&amp;DO_DB[[#This Row],[Material Name]]</f>
        <v>45366_Pole 7M 3"</v>
      </c>
      <c r="O265" t="str">
        <f>DO_DB[[#This Row],[SiteID]]</f>
        <v>CLR51-99-010</v>
      </c>
      <c r="P265" t="str">
        <f>DO_DB[[#This Row],[SiteID]]&amp;"_"&amp;DO_DB[[#This Row],[Material Name]]</f>
        <v>CLR51-99-010_Pole 7M 3"</v>
      </c>
      <c r="Q265" t="str">
        <f>DO_DB[[#This Row],[DO Number]]</f>
        <v>DOEID240314CT</v>
      </c>
      <c r="R265" t="str">
        <f>DO_DB[[#This Row],[DN Number]]</f>
        <v>DNWID0362024031503</v>
      </c>
    </row>
    <row r="266" spans="1:18">
      <c r="A266" t="s">
        <v>1081</v>
      </c>
      <c r="B266" t="s">
        <v>1082</v>
      </c>
      <c r="C266" t="s">
        <v>4482</v>
      </c>
      <c r="D266" t="s">
        <v>71</v>
      </c>
      <c r="E266" t="s">
        <v>24</v>
      </c>
      <c r="F266" t="s">
        <v>3148</v>
      </c>
      <c r="G266" t="s">
        <v>1085</v>
      </c>
      <c r="H266" t="s">
        <v>1086</v>
      </c>
      <c r="I266" s="130">
        <v>45366</v>
      </c>
      <c r="J266" t="s">
        <v>14</v>
      </c>
      <c r="K266">
        <v>1</v>
      </c>
      <c r="M2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66" t="str">
        <f>DO_DB[[#This Row],[Material Pick-update]]&amp;"_"&amp;DO_DB[[#This Row],[Material Name]]</f>
        <v>45366_FDT-48</v>
      </c>
      <c r="O266" t="str">
        <f>DO_DB[[#This Row],[SiteID]]</f>
        <v>CLR51-99-010</v>
      </c>
      <c r="P266" t="str">
        <f>DO_DB[[#This Row],[SiteID]]&amp;"_"&amp;DO_DB[[#This Row],[Material Name]]</f>
        <v>CLR51-99-010_FDT-48</v>
      </c>
      <c r="Q266" t="str">
        <f>DO_DB[[#This Row],[DO Number]]</f>
        <v>DOEID240314CU</v>
      </c>
      <c r="R266" t="str">
        <f>DO_DB[[#This Row],[DN Number]]</f>
        <v>DNWID0342024031511</v>
      </c>
    </row>
    <row r="267" spans="1:18">
      <c r="A267" t="s">
        <v>1081</v>
      </c>
      <c r="B267" t="s">
        <v>1082</v>
      </c>
      <c r="C267" t="s">
        <v>4482</v>
      </c>
      <c r="D267" t="s">
        <v>71</v>
      </c>
      <c r="E267" t="s">
        <v>24</v>
      </c>
      <c r="F267" t="s">
        <v>3148</v>
      </c>
      <c r="G267" t="s">
        <v>1085</v>
      </c>
      <c r="H267" t="s">
        <v>1086</v>
      </c>
      <c r="I267" s="130">
        <v>45366</v>
      </c>
      <c r="J267" t="s">
        <v>13</v>
      </c>
      <c r="K267">
        <v>15</v>
      </c>
      <c r="M2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67" t="str">
        <f>DO_DB[[#This Row],[Material Pick-update]]&amp;"_"&amp;DO_DB[[#This Row],[Material Name]]</f>
        <v>45366_FAT-16</v>
      </c>
      <c r="O267" t="str">
        <f>DO_DB[[#This Row],[SiteID]]</f>
        <v>CLR51-99-010</v>
      </c>
      <c r="P267" t="str">
        <f>DO_DB[[#This Row],[SiteID]]&amp;"_"&amp;DO_DB[[#This Row],[Material Name]]</f>
        <v>CLR51-99-010_FAT-16</v>
      </c>
      <c r="Q267" t="str">
        <f>DO_DB[[#This Row],[DO Number]]</f>
        <v>DOEID240314CU</v>
      </c>
      <c r="R267" t="str">
        <f>DO_DB[[#This Row],[DN Number]]</f>
        <v>DNWID0342024031511</v>
      </c>
    </row>
    <row r="268" spans="1:18">
      <c r="A268" t="s">
        <v>1081</v>
      </c>
      <c r="B268" t="s">
        <v>1082</v>
      </c>
      <c r="C268" t="s">
        <v>4482</v>
      </c>
      <c r="D268" t="s">
        <v>71</v>
      </c>
      <c r="E268" t="s">
        <v>24</v>
      </c>
      <c r="F268" t="s">
        <v>3148</v>
      </c>
      <c r="G268" t="s">
        <v>1085</v>
      </c>
      <c r="H268" t="s">
        <v>1086</v>
      </c>
      <c r="I268" s="130">
        <v>45366</v>
      </c>
      <c r="J268" t="s">
        <v>3080</v>
      </c>
      <c r="K268">
        <v>3</v>
      </c>
      <c r="M2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68" t="str">
        <f>DO_DB[[#This Row],[Material Pick-update]]&amp;"_"&amp;DO_DB[[#This Row],[Material Name]]</f>
        <v>45366_1:8 SPL for FDT-AE &amp; UG</v>
      </c>
      <c r="O268" t="str">
        <f>DO_DB[[#This Row],[SiteID]]</f>
        <v>CLR51-99-010</v>
      </c>
      <c r="P268" t="str">
        <f>DO_DB[[#This Row],[SiteID]]&amp;"_"&amp;DO_DB[[#This Row],[Material Name]]</f>
        <v>CLR51-99-010_1:8 SPL for FDT-AE &amp; UG</v>
      </c>
      <c r="Q268" t="str">
        <f>DO_DB[[#This Row],[DO Number]]</f>
        <v>DOEID240314CU</v>
      </c>
      <c r="R268" t="str">
        <f>DO_DB[[#This Row],[DN Number]]</f>
        <v>DNWID0342024031511</v>
      </c>
    </row>
    <row r="269" spans="1:18">
      <c r="A269" t="s">
        <v>1087</v>
      </c>
      <c r="B269" t="s">
        <v>1088</v>
      </c>
      <c r="C269" t="s">
        <v>4482</v>
      </c>
      <c r="D269" t="s">
        <v>71</v>
      </c>
      <c r="E269" t="s">
        <v>24</v>
      </c>
      <c r="F269" t="s">
        <v>3148</v>
      </c>
      <c r="G269" t="s">
        <v>1089</v>
      </c>
      <c r="H269" t="s">
        <v>1090</v>
      </c>
      <c r="I269" s="130">
        <v>45366</v>
      </c>
      <c r="J269" t="s">
        <v>3069</v>
      </c>
      <c r="K269">
        <v>23</v>
      </c>
      <c r="M2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69" t="str">
        <f>DO_DB[[#This Row],[Material Pick-update]]&amp;"_"&amp;DO_DB[[#This Row],[Material Name]]</f>
        <v>45366_Pole 7M 4"</v>
      </c>
      <c r="O269" t="str">
        <f>DO_DB[[#This Row],[SiteID]]</f>
        <v>CLR51-99-073</v>
      </c>
      <c r="P269" t="str">
        <f>DO_DB[[#This Row],[SiteID]]&amp;"_"&amp;DO_DB[[#This Row],[Material Name]]</f>
        <v>CLR51-99-073_Pole 7M 4"</v>
      </c>
      <c r="Q269" t="str">
        <f>DO_DB[[#This Row],[DO Number]]</f>
        <v>DOEID240314CV</v>
      </c>
      <c r="R269" t="str">
        <f>DO_DB[[#This Row],[DN Number]]</f>
        <v>DNWID0362024031504</v>
      </c>
    </row>
    <row r="270" spans="1:18">
      <c r="A270" t="s">
        <v>1087</v>
      </c>
      <c r="B270" t="s">
        <v>1088</v>
      </c>
      <c r="C270" t="s">
        <v>4482</v>
      </c>
      <c r="D270" t="s">
        <v>71</v>
      </c>
      <c r="E270" t="s">
        <v>24</v>
      </c>
      <c r="F270" t="s">
        <v>3148</v>
      </c>
      <c r="G270" t="s">
        <v>1091</v>
      </c>
      <c r="H270" t="s">
        <v>1092</v>
      </c>
      <c r="I270" s="130">
        <v>45366</v>
      </c>
      <c r="J270" t="s">
        <v>14</v>
      </c>
      <c r="K270">
        <v>1</v>
      </c>
      <c r="M2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70" t="str">
        <f>DO_DB[[#This Row],[Material Pick-update]]&amp;"_"&amp;DO_DB[[#This Row],[Material Name]]</f>
        <v>45366_FDT-48</v>
      </c>
      <c r="O270" t="str">
        <f>DO_DB[[#This Row],[SiteID]]</f>
        <v>CLR51-99-073</v>
      </c>
      <c r="P270" t="str">
        <f>DO_DB[[#This Row],[SiteID]]&amp;"_"&amp;DO_DB[[#This Row],[Material Name]]</f>
        <v>CLR51-99-073_FDT-48</v>
      </c>
      <c r="Q270" t="str">
        <f>DO_DB[[#This Row],[DO Number]]</f>
        <v>DOEID240314CW</v>
      </c>
      <c r="R270" t="str">
        <f>DO_DB[[#This Row],[DN Number]]</f>
        <v>DNWID0342024031512</v>
      </c>
    </row>
    <row r="271" spans="1:18">
      <c r="A271" t="s">
        <v>1087</v>
      </c>
      <c r="B271" t="s">
        <v>1088</v>
      </c>
      <c r="C271" t="s">
        <v>4482</v>
      </c>
      <c r="D271" t="s">
        <v>71</v>
      </c>
      <c r="E271" t="s">
        <v>24</v>
      </c>
      <c r="F271" t="s">
        <v>3148</v>
      </c>
      <c r="G271" t="s">
        <v>1091</v>
      </c>
      <c r="H271" t="s">
        <v>1092</v>
      </c>
      <c r="I271" s="130">
        <v>45366</v>
      </c>
      <c r="J271" t="s">
        <v>13</v>
      </c>
      <c r="K271">
        <v>9</v>
      </c>
      <c r="M2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71" t="str">
        <f>DO_DB[[#This Row],[Material Pick-update]]&amp;"_"&amp;DO_DB[[#This Row],[Material Name]]</f>
        <v>45366_FAT-16</v>
      </c>
      <c r="O271" t="str">
        <f>DO_DB[[#This Row],[SiteID]]</f>
        <v>CLR51-99-073</v>
      </c>
      <c r="P271" t="str">
        <f>DO_DB[[#This Row],[SiteID]]&amp;"_"&amp;DO_DB[[#This Row],[Material Name]]</f>
        <v>CLR51-99-073_FAT-16</v>
      </c>
      <c r="Q271" t="str">
        <f>DO_DB[[#This Row],[DO Number]]</f>
        <v>DOEID240314CW</v>
      </c>
      <c r="R271" t="str">
        <f>DO_DB[[#This Row],[DN Number]]</f>
        <v>DNWID0342024031512</v>
      </c>
    </row>
    <row r="272" spans="1:18">
      <c r="A272" t="s">
        <v>1087</v>
      </c>
      <c r="B272" t="s">
        <v>1088</v>
      </c>
      <c r="C272" t="s">
        <v>4482</v>
      </c>
      <c r="D272" t="s">
        <v>71</v>
      </c>
      <c r="E272" t="s">
        <v>24</v>
      </c>
      <c r="F272" t="s">
        <v>3148</v>
      </c>
      <c r="G272" t="s">
        <v>1091</v>
      </c>
      <c r="H272" t="s">
        <v>1092</v>
      </c>
      <c r="I272" s="130">
        <v>45366</v>
      </c>
      <c r="J272" t="s">
        <v>3080</v>
      </c>
      <c r="K272">
        <v>3</v>
      </c>
      <c r="M2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72" t="str">
        <f>DO_DB[[#This Row],[Material Pick-update]]&amp;"_"&amp;DO_DB[[#This Row],[Material Name]]</f>
        <v>45366_1:8 SPL for FDT-AE &amp; UG</v>
      </c>
      <c r="O272" t="str">
        <f>DO_DB[[#This Row],[SiteID]]</f>
        <v>CLR51-99-073</v>
      </c>
      <c r="P272" t="str">
        <f>DO_DB[[#This Row],[SiteID]]&amp;"_"&amp;DO_DB[[#This Row],[Material Name]]</f>
        <v>CLR51-99-073_1:8 SPL for FDT-AE &amp; UG</v>
      </c>
      <c r="Q272" t="str">
        <f>DO_DB[[#This Row],[DO Number]]</f>
        <v>DOEID240314CW</v>
      </c>
      <c r="R272" t="str">
        <f>DO_DB[[#This Row],[DN Number]]</f>
        <v>DNWID0342024031512</v>
      </c>
    </row>
    <row r="273" spans="1:18">
      <c r="A273" t="s">
        <v>1093</v>
      </c>
      <c r="B273" t="s">
        <v>1094</v>
      </c>
      <c r="C273" t="s">
        <v>4482</v>
      </c>
      <c r="D273" t="s">
        <v>71</v>
      </c>
      <c r="E273" t="s">
        <v>24</v>
      </c>
      <c r="F273" t="s">
        <v>3148</v>
      </c>
      <c r="G273" t="s">
        <v>1095</v>
      </c>
      <c r="H273" t="s">
        <v>1096</v>
      </c>
      <c r="I273" s="130">
        <v>45366</v>
      </c>
      <c r="J273" t="s">
        <v>3069</v>
      </c>
      <c r="K273">
        <v>38</v>
      </c>
      <c r="M2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73" t="str">
        <f>DO_DB[[#This Row],[Material Pick-update]]&amp;"_"&amp;DO_DB[[#This Row],[Material Name]]</f>
        <v>45366_Pole 7M 4"</v>
      </c>
      <c r="O273" t="str">
        <f>DO_DB[[#This Row],[SiteID]]</f>
        <v>CLR51-99-074</v>
      </c>
      <c r="P273" t="str">
        <f>DO_DB[[#This Row],[SiteID]]&amp;"_"&amp;DO_DB[[#This Row],[Material Name]]</f>
        <v>CLR51-99-074_Pole 7M 4"</v>
      </c>
      <c r="Q273" t="str">
        <f>DO_DB[[#This Row],[DO Number]]</f>
        <v>DOEID240314CX</v>
      </c>
      <c r="R273" t="str">
        <f>DO_DB[[#This Row],[DN Number]]</f>
        <v>DNWID0362024031505</v>
      </c>
    </row>
    <row r="274" spans="1:18">
      <c r="A274" t="s">
        <v>1093</v>
      </c>
      <c r="B274" t="s">
        <v>1094</v>
      </c>
      <c r="C274" t="s">
        <v>4482</v>
      </c>
      <c r="D274" t="s">
        <v>71</v>
      </c>
      <c r="E274" t="s">
        <v>24</v>
      </c>
      <c r="F274" t="s">
        <v>3148</v>
      </c>
      <c r="G274" t="s">
        <v>1097</v>
      </c>
      <c r="H274" t="s">
        <v>1098</v>
      </c>
      <c r="I274" s="130">
        <v>45366</v>
      </c>
      <c r="J274" t="s">
        <v>14</v>
      </c>
      <c r="K274">
        <v>1</v>
      </c>
      <c r="M2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74" t="str">
        <f>DO_DB[[#This Row],[Material Pick-update]]&amp;"_"&amp;DO_DB[[#This Row],[Material Name]]</f>
        <v>45366_FDT-48</v>
      </c>
      <c r="O274" t="str">
        <f>DO_DB[[#This Row],[SiteID]]</f>
        <v>CLR51-99-074</v>
      </c>
      <c r="P274" t="str">
        <f>DO_DB[[#This Row],[SiteID]]&amp;"_"&amp;DO_DB[[#This Row],[Material Name]]</f>
        <v>CLR51-99-074_FDT-48</v>
      </c>
      <c r="Q274" t="str">
        <f>DO_DB[[#This Row],[DO Number]]</f>
        <v>DOEID240314CY</v>
      </c>
      <c r="R274" t="str">
        <f>DO_DB[[#This Row],[DN Number]]</f>
        <v>DNWID0342024031513</v>
      </c>
    </row>
    <row r="275" spans="1:18">
      <c r="A275" t="s">
        <v>1093</v>
      </c>
      <c r="B275" t="s">
        <v>1094</v>
      </c>
      <c r="C275" t="s">
        <v>4482</v>
      </c>
      <c r="D275" t="s">
        <v>71</v>
      </c>
      <c r="E275" t="s">
        <v>24</v>
      </c>
      <c r="F275" t="s">
        <v>3148</v>
      </c>
      <c r="G275" t="s">
        <v>1097</v>
      </c>
      <c r="H275" t="s">
        <v>1098</v>
      </c>
      <c r="I275" s="130">
        <v>45366</v>
      </c>
      <c r="J275" t="s">
        <v>13</v>
      </c>
      <c r="K275">
        <v>8</v>
      </c>
      <c r="M2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75" t="str">
        <f>DO_DB[[#This Row],[Material Pick-update]]&amp;"_"&amp;DO_DB[[#This Row],[Material Name]]</f>
        <v>45366_FAT-16</v>
      </c>
      <c r="O275" t="str">
        <f>DO_DB[[#This Row],[SiteID]]</f>
        <v>CLR51-99-074</v>
      </c>
      <c r="P275" t="str">
        <f>DO_DB[[#This Row],[SiteID]]&amp;"_"&amp;DO_DB[[#This Row],[Material Name]]</f>
        <v>CLR51-99-074_FAT-16</v>
      </c>
      <c r="Q275" t="str">
        <f>DO_DB[[#This Row],[DO Number]]</f>
        <v>DOEID240314CY</v>
      </c>
      <c r="R275" t="str">
        <f>DO_DB[[#This Row],[DN Number]]</f>
        <v>DNWID0342024031513</v>
      </c>
    </row>
    <row r="276" spans="1:18">
      <c r="A276" t="s">
        <v>1093</v>
      </c>
      <c r="B276" t="s">
        <v>1094</v>
      </c>
      <c r="C276" t="s">
        <v>4482</v>
      </c>
      <c r="D276" t="s">
        <v>71</v>
      </c>
      <c r="E276" t="s">
        <v>24</v>
      </c>
      <c r="F276" t="s">
        <v>3148</v>
      </c>
      <c r="G276" t="s">
        <v>1097</v>
      </c>
      <c r="H276" t="s">
        <v>1098</v>
      </c>
      <c r="I276" s="130">
        <v>45366</v>
      </c>
      <c r="J276" t="s">
        <v>3080</v>
      </c>
      <c r="K276">
        <v>3</v>
      </c>
      <c r="M2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76" t="str">
        <f>DO_DB[[#This Row],[Material Pick-update]]&amp;"_"&amp;DO_DB[[#This Row],[Material Name]]</f>
        <v>45366_1:8 SPL for FDT-AE &amp; UG</v>
      </c>
      <c r="O276" t="str">
        <f>DO_DB[[#This Row],[SiteID]]</f>
        <v>CLR51-99-074</v>
      </c>
      <c r="P276" t="str">
        <f>DO_DB[[#This Row],[SiteID]]&amp;"_"&amp;DO_DB[[#This Row],[Material Name]]</f>
        <v>CLR51-99-074_1:8 SPL for FDT-AE &amp; UG</v>
      </c>
      <c r="Q276" t="str">
        <f>DO_DB[[#This Row],[DO Number]]</f>
        <v>DOEID240314CY</v>
      </c>
      <c r="R276" t="str">
        <f>DO_DB[[#This Row],[DN Number]]</f>
        <v>DNWID0342024031513</v>
      </c>
    </row>
    <row r="277" spans="1:18">
      <c r="A277" t="s">
        <v>1099</v>
      </c>
      <c r="B277" t="s">
        <v>1100</v>
      </c>
      <c r="C277" t="s">
        <v>4482</v>
      </c>
      <c r="D277" t="s">
        <v>71</v>
      </c>
      <c r="E277" t="s">
        <v>24</v>
      </c>
      <c r="F277" t="s">
        <v>3148</v>
      </c>
      <c r="G277" t="s">
        <v>1101</v>
      </c>
      <c r="H277" t="s">
        <v>1102</v>
      </c>
      <c r="I277" s="130">
        <v>45366</v>
      </c>
      <c r="J277" t="s">
        <v>3069</v>
      </c>
      <c r="K277">
        <v>27</v>
      </c>
      <c r="M2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77" t="str">
        <f>DO_DB[[#This Row],[Material Pick-update]]&amp;"_"&amp;DO_DB[[#This Row],[Material Name]]</f>
        <v>45366_Pole 7M 4"</v>
      </c>
      <c r="O277" t="str">
        <f>DO_DB[[#This Row],[SiteID]]</f>
        <v>CLR51-99-075</v>
      </c>
      <c r="P277" t="str">
        <f>DO_DB[[#This Row],[SiteID]]&amp;"_"&amp;DO_DB[[#This Row],[Material Name]]</f>
        <v>CLR51-99-075_Pole 7M 4"</v>
      </c>
      <c r="Q277" t="str">
        <f>DO_DB[[#This Row],[DO Number]]</f>
        <v>DOEID240314CZ</v>
      </c>
      <c r="R277" t="str">
        <f>DO_DB[[#This Row],[DN Number]]</f>
        <v>DNWID0362024031506</v>
      </c>
    </row>
    <row r="278" spans="1:18">
      <c r="A278" t="s">
        <v>1099</v>
      </c>
      <c r="B278" t="s">
        <v>1100</v>
      </c>
      <c r="C278" t="s">
        <v>4482</v>
      </c>
      <c r="D278" t="s">
        <v>71</v>
      </c>
      <c r="E278" t="s">
        <v>24</v>
      </c>
      <c r="F278" t="s">
        <v>3148</v>
      </c>
      <c r="G278" t="s">
        <v>1101</v>
      </c>
      <c r="H278" t="s">
        <v>1102</v>
      </c>
      <c r="I278" s="130">
        <v>45366</v>
      </c>
      <c r="J278" t="s">
        <v>3070</v>
      </c>
      <c r="K278">
        <v>2</v>
      </c>
      <c r="M2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78" t="str">
        <f>DO_DB[[#This Row],[Material Pick-update]]&amp;"_"&amp;DO_DB[[#This Row],[Material Name]]</f>
        <v>45366_Pole 7M 3"</v>
      </c>
      <c r="O278" t="str">
        <f>DO_DB[[#This Row],[SiteID]]</f>
        <v>CLR51-99-075</v>
      </c>
      <c r="P278" t="str">
        <f>DO_DB[[#This Row],[SiteID]]&amp;"_"&amp;DO_DB[[#This Row],[Material Name]]</f>
        <v>CLR51-99-075_Pole 7M 3"</v>
      </c>
      <c r="Q278" t="str">
        <f>DO_DB[[#This Row],[DO Number]]</f>
        <v>DOEID240314CZ</v>
      </c>
      <c r="R278" t="str">
        <f>DO_DB[[#This Row],[DN Number]]</f>
        <v>DNWID0362024031506</v>
      </c>
    </row>
    <row r="279" spans="1:18">
      <c r="A279" t="s">
        <v>1099</v>
      </c>
      <c r="B279" t="s">
        <v>1100</v>
      </c>
      <c r="C279" t="s">
        <v>4482</v>
      </c>
      <c r="D279" t="s">
        <v>71</v>
      </c>
      <c r="E279" t="s">
        <v>24</v>
      </c>
      <c r="F279" t="s">
        <v>3148</v>
      </c>
      <c r="G279" t="s">
        <v>1137</v>
      </c>
      <c r="H279" t="s">
        <v>1138</v>
      </c>
      <c r="I279" s="130">
        <v>45366</v>
      </c>
      <c r="J279" t="s">
        <v>13</v>
      </c>
      <c r="K279">
        <v>10</v>
      </c>
      <c r="M2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79" t="str">
        <f>DO_DB[[#This Row],[Material Pick-update]]&amp;"_"&amp;DO_DB[[#This Row],[Material Name]]</f>
        <v>45366_FAT-16</v>
      </c>
      <c r="O279" t="str">
        <f>DO_DB[[#This Row],[SiteID]]</f>
        <v>CLR51-99-075</v>
      </c>
      <c r="P279" t="str">
        <f>DO_DB[[#This Row],[SiteID]]&amp;"_"&amp;DO_DB[[#This Row],[Material Name]]</f>
        <v>CLR51-99-075_FAT-16</v>
      </c>
      <c r="Q279" t="str">
        <f>DO_DB[[#This Row],[DO Number]]</f>
        <v>DOEID240314D0</v>
      </c>
      <c r="R279" t="str">
        <f>DO_DB[[#This Row],[DN Number]]</f>
        <v>DNWID0342024031505</v>
      </c>
    </row>
    <row r="280" spans="1:18">
      <c r="A280" t="s">
        <v>1103</v>
      </c>
      <c r="B280" t="s">
        <v>1104</v>
      </c>
      <c r="C280" t="s">
        <v>4482</v>
      </c>
      <c r="D280" t="s">
        <v>71</v>
      </c>
      <c r="E280" t="s">
        <v>24</v>
      </c>
      <c r="F280" t="s">
        <v>3148</v>
      </c>
      <c r="G280" t="s">
        <v>1105</v>
      </c>
      <c r="H280" t="s">
        <v>1106</v>
      </c>
      <c r="I280" s="130">
        <v>45366</v>
      </c>
      <c r="J280" t="s">
        <v>3069</v>
      </c>
      <c r="K280">
        <v>19</v>
      </c>
      <c r="M2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80" t="str">
        <f>DO_DB[[#This Row],[Material Pick-update]]&amp;"_"&amp;DO_DB[[#This Row],[Material Name]]</f>
        <v>45366_Pole 7M 4"</v>
      </c>
      <c r="O280" t="str">
        <f>DO_DB[[#This Row],[SiteID]]</f>
        <v>CLR51-99-076</v>
      </c>
      <c r="P280" t="str">
        <f>DO_DB[[#This Row],[SiteID]]&amp;"_"&amp;DO_DB[[#This Row],[Material Name]]</f>
        <v>CLR51-99-076_Pole 7M 4"</v>
      </c>
      <c r="Q280" t="str">
        <f>DO_DB[[#This Row],[DO Number]]</f>
        <v>DOEID240314D1</v>
      </c>
      <c r="R280" t="str">
        <f>DO_DB[[#This Row],[DN Number]]</f>
        <v>DNWID0362024031507</v>
      </c>
    </row>
    <row r="281" spans="1:18">
      <c r="A281" t="s">
        <v>1103</v>
      </c>
      <c r="B281" t="s">
        <v>1104</v>
      </c>
      <c r="C281" t="s">
        <v>4482</v>
      </c>
      <c r="D281" t="s">
        <v>71</v>
      </c>
      <c r="E281" t="s">
        <v>24</v>
      </c>
      <c r="F281" t="s">
        <v>3148</v>
      </c>
      <c r="G281" t="s">
        <v>1105</v>
      </c>
      <c r="H281" t="s">
        <v>1106</v>
      </c>
      <c r="I281" s="130">
        <v>45366</v>
      </c>
      <c r="J281" t="s">
        <v>3070</v>
      </c>
      <c r="K281">
        <v>3</v>
      </c>
      <c r="M2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81" t="str">
        <f>DO_DB[[#This Row],[Material Pick-update]]&amp;"_"&amp;DO_DB[[#This Row],[Material Name]]</f>
        <v>45366_Pole 7M 3"</v>
      </c>
      <c r="O281" t="str">
        <f>DO_DB[[#This Row],[SiteID]]</f>
        <v>CLR51-99-076</v>
      </c>
      <c r="P281" t="str">
        <f>DO_DB[[#This Row],[SiteID]]&amp;"_"&amp;DO_DB[[#This Row],[Material Name]]</f>
        <v>CLR51-99-076_Pole 7M 3"</v>
      </c>
      <c r="Q281" t="str">
        <f>DO_DB[[#This Row],[DO Number]]</f>
        <v>DOEID240314D1</v>
      </c>
      <c r="R281" t="str">
        <f>DO_DB[[#This Row],[DN Number]]</f>
        <v>DNWID0362024031507</v>
      </c>
    </row>
    <row r="282" spans="1:18">
      <c r="A282" t="s">
        <v>1103</v>
      </c>
      <c r="B282" t="s">
        <v>1104</v>
      </c>
      <c r="C282" t="s">
        <v>4482</v>
      </c>
      <c r="D282" t="s">
        <v>71</v>
      </c>
      <c r="E282" t="s">
        <v>24</v>
      </c>
      <c r="F282" t="s">
        <v>3148</v>
      </c>
      <c r="G282" t="s">
        <v>1107</v>
      </c>
      <c r="H282" t="s">
        <v>1108</v>
      </c>
      <c r="I282" s="130">
        <v>45366</v>
      </c>
      <c r="J282" t="s">
        <v>14</v>
      </c>
      <c r="K282">
        <v>1</v>
      </c>
      <c r="M2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82" t="str">
        <f>DO_DB[[#This Row],[Material Pick-update]]&amp;"_"&amp;DO_DB[[#This Row],[Material Name]]</f>
        <v>45366_FDT-48</v>
      </c>
      <c r="O282" t="str">
        <f>DO_DB[[#This Row],[SiteID]]</f>
        <v>CLR51-99-076</v>
      </c>
      <c r="P282" t="str">
        <f>DO_DB[[#This Row],[SiteID]]&amp;"_"&amp;DO_DB[[#This Row],[Material Name]]</f>
        <v>CLR51-99-076_FDT-48</v>
      </c>
      <c r="Q282" t="str">
        <f>DO_DB[[#This Row],[DO Number]]</f>
        <v>DOEID240314D2</v>
      </c>
      <c r="R282" t="str">
        <f>DO_DB[[#This Row],[DN Number]]</f>
        <v>DNWID0342024031514</v>
      </c>
    </row>
    <row r="283" spans="1:18">
      <c r="A283" t="s">
        <v>1103</v>
      </c>
      <c r="B283" t="s">
        <v>1104</v>
      </c>
      <c r="C283" t="s">
        <v>4482</v>
      </c>
      <c r="D283" t="s">
        <v>71</v>
      </c>
      <c r="E283" t="s">
        <v>24</v>
      </c>
      <c r="F283" t="s">
        <v>3148</v>
      </c>
      <c r="G283" t="s">
        <v>1107</v>
      </c>
      <c r="H283" t="s">
        <v>1108</v>
      </c>
      <c r="I283" s="130">
        <v>45366</v>
      </c>
      <c r="J283" t="s">
        <v>13</v>
      </c>
      <c r="K283">
        <v>6</v>
      </c>
      <c r="M2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83" t="str">
        <f>DO_DB[[#This Row],[Material Pick-update]]&amp;"_"&amp;DO_DB[[#This Row],[Material Name]]</f>
        <v>45366_FAT-16</v>
      </c>
      <c r="O283" t="str">
        <f>DO_DB[[#This Row],[SiteID]]</f>
        <v>CLR51-99-076</v>
      </c>
      <c r="P283" t="str">
        <f>DO_DB[[#This Row],[SiteID]]&amp;"_"&amp;DO_DB[[#This Row],[Material Name]]</f>
        <v>CLR51-99-076_FAT-16</v>
      </c>
      <c r="Q283" t="str">
        <f>DO_DB[[#This Row],[DO Number]]</f>
        <v>DOEID240314D2</v>
      </c>
      <c r="R283" t="str">
        <f>DO_DB[[#This Row],[DN Number]]</f>
        <v>DNWID0342024031514</v>
      </c>
    </row>
    <row r="284" spans="1:18">
      <c r="A284" t="s">
        <v>1103</v>
      </c>
      <c r="B284" t="s">
        <v>1104</v>
      </c>
      <c r="C284" t="s">
        <v>4482</v>
      </c>
      <c r="D284" t="s">
        <v>71</v>
      </c>
      <c r="E284" t="s">
        <v>24</v>
      </c>
      <c r="F284" t="s">
        <v>3148</v>
      </c>
      <c r="G284" t="s">
        <v>1107</v>
      </c>
      <c r="H284" t="s">
        <v>1108</v>
      </c>
      <c r="I284" s="130">
        <v>45366</v>
      </c>
      <c r="J284" t="s">
        <v>3080</v>
      </c>
      <c r="K284">
        <v>3</v>
      </c>
      <c r="M2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84" t="str">
        <f>DO_DB[[#This Row],[Material Pick-update]]&amp;"_"&amp;DO_DB[[#This Row],[Material Name]]</f>
        <v>45366_1:8 SPL for FDT-AE &amp; UG</v>
      </c>
      <c r="O284" t="str">
        <f>DO_DB[[#This Row],[SiteID]]</f>
        <v>CLR51-99-076</v>
      </c>
      <c r="P284" t="str">
        <f>DO_DB[[#This Row],[SiteID]]&amp;"_"&amp;DO_DB[[#This Row],[Material Name]]</f>
        <v>CLR51-99-076_1:8 SPL for FDT-AE &amp; UG</v>
      </c>
      <c r="Q284" t="str">
        <f>DO_DB[[#This Row],[DO Number]]</f>
        <v>DOEID240314D2</v>
      </c>
      <c r="R284" t="str">
        <f>DO_DB[[#This Row],[DN Number]]</f>
        <v>DNWID0342024031514</v>
      </c>
    </row>
    <row r="285" spans="1:18">
      <c r="A285" t="s">
        <v>1109</v>
      </c>
      <c r="B285" t="s">
        <v>1110</v>
      </c>
      <c r="C285" t="s">
        <v>4482</v>
      </c>
      <c r="D285" t="s">
        <v>71</v>
      </c>
      <c r="E285" t="s">
        <v>24</v>
      </c>
      <c r="F285" t="s">
        <v>3148</v>
      </c>
      <c r="G285" t="s">
        <v>1111</v>
      </c>
      <c r="H285" t="s">
        <v>1112</v>
      </c>
      <c r="I285" s="130">
        <v>45366</v>
      </c>
      <c r="J285" t="s">
        <v>3069</v>
      </c>
      <c r="K285">
        <v>20</v>
      </c>
      <c r="M2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85" t="str">
        <f>DO_DB[[#This Row],[Material Pick-update]]&amp;"_"&amp;DO_DB[[#This Row],[Material Name]]</f>
        <v>45366_Pole 7M 4"</v>
      </c>
      <c r="O285" t="str">
        <f>DO_DB[[#This Row],[SiteID]]</f>
        <v>CLR51-99-077</v>
      </c>
      <c r="P285" t="str">
        <f>DO_DB[[#This Row],[SiteID]]&amp;"_"&amp;DO_DB[[#This Row],[Material Name]]</f>
        <v>CLR51-99-077_Pole 7M 4"</v>
      </c>
      <c r="Q285" t="str">
        <f>DO_DB[[#This Row],[DO Number]]</f>
        <v>DOEID240314D3</v>
      </c>
      <c r="R285" t="str">
        <f>DO_DB[[#This Row],[DN Number]]</f>
        <v>DNWID0362024031508</v>
      </c>
    </row>
    <row r="286" spans="1:18">
      <c r="A286" t="s">
        <v>1109</v>
      </c>
      <c r="B286" t="s">
        <v>1110</v>
      </c>
      <c r="C286" t="s">
        <v>4482</v>
      </c>
      <c r="D286" t="s">
        <v>71</v>
      </c>
      <c r="E286" t="s">
        <v>24</v>
      </c>
      <c r="F286" t="s">
        <v>3148</v>
      </c>
      <c r="G286" t="s">
        <v>1111</v>
      </c>
      <c r="H286" t="s">
        <v>1112</v>
      </c>
      <c r="I286" s="130">
        <v>45366</v>
      </c>
      <c r="J286" t="s">
        <v>3070</v>
      </c>
      <c r="K286">
        <v>4</v>
      </c>
      <c r="M2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86" t="str">
        <f>DO_DB[[#This Row],[Material Pick-update]]&amp;"_"&amp;DO_DB[[#This Row],[Material Name]]</f>
        <v>45366_Pole 7M 3"</v>
      </c>
      <c r="O286" t="str">
        <f>DO_DB[[#This Row],[SiteID]]</f>
        <v>CLR51-99-077</v>
      </c>
      <c r="P286" t="str">
        <f>DO_DB[[#This Row],[SiteID]]&amp;"_"&amp;DO_DB[[#This Row],[Material Name]]</f>
        <v>CLR51-99-077_Pole 7M 3"</v>
      </c>
      <c r="Q286" t="str">
        <f>DO_DB[[#This Row],[DO Number]]</f>
        <v>DOEID240314D3</v>
      </c>
      <c r="R286" t="str">
        <f>DO_DB[[#This Row],[DN Number]]</f>
        <v>DNWID0362024031508</v>
      </c>
    </row>
    <row r="287" spans="1:18">
      <c r="A287" t="s">
        <v>1109</v>
      </c>
      <c r="B287" t="s">
        <v>1110</v>
      </c>
      <c r="C287" t="s">
        <v>4482</v>
      </c>
      <c r="D287" t="s">
        <v>71</v>
      </c>
      <c r="E287" t="s">
        <v>24</v>
      </c>
      <c r="F287" t="s">
        <v>3148</v>
      </c>
      <c r="G287" t="s">
        <v>1113</v>
      </c>
      <c r="H287" t="s">
        <v>1114</v>
      </c>
      <c r="I287" s="130">
        <v>45366</v>
      </c>
      <c r="J287" t="s">
        <v>13</v>
      </c>
      <c r="K287">
        <v>6</v>
      </c>
      <c r="M2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87" t="str">
        <f>DO_DB[[#This Row],[Material Pick-update]]&amp;"_"&amp;DO_DB[[#This Row],[Material Name]]</f>
        <v>45366_FAT-16</v>
      </c>
      <c r="O287" t="str">
        <f>DO_DB[[#This Row],[SiteID]]</f>
        <v>CLR51-99-077</v>
      </c>
      <c r="P287" t="str">
        <f>DO_DB[[#This Row],[SiteID]]&amp;"_"&amp;DO_DB[[#This Row],[Material Name]]</f>
        <v>CLR51-99-077_FAT-16</v>
      </c>
      <c r="Q287" t="str">
        <f>DO_DB[[#This Row],[DO Number]]</f>
        <v>DOEID240314D4</v>
      </c>
      <c r="R287" t="str">
        <f>DO_DB[[#This Row],[DN Number]]</f>
        <v>DNWID0342024031506</v>
      </c>
    </row>
    <row r="288" spans="1:18">
      <c r="A288" t="s">
        <v>1115</v>
      </c>
      <c r="B288" t="s">
        <v>1116</v>
      </c>
      <c r="C288" s="172" t="s">
        <v>4482</v>
      </c>
      <c r="D288" t="s">
        <v>71</v>
      </c>
      <c r="E288" t="s">
        <v>26</v>
      </c>
      <c r="F288" t="s">
        <v>3148</v>
      </c>
      <c r="G288" t="s">
        <v>1117</v>
      </c>
      <c r="H288" t="s">
        <v>1118</v>
      </c>
      <c r="I288" s="130">
        <v>45366</v>
      </c>
      <c r="J288" t="s">
        <v>3069</v>
      </c>
      <c r="K288">
        <v>24</v>
      </c>
      <c r="M2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88" t="str">
        <f>DO_DB[[#This Row],[Material Pick-update]]&amp;"_"&amp;DO_DB[[#This Row],[Material Name]]</f>
        <v>45366_Pole 7M 4"</v>
      </c>
      <c r="O288" t="str">
        <f>DO_DB[[#This Row],[SiteID]]</f>
        <v>CLR31-99-073</v>
      </c>
      <c r="P288" t="str">
        <f>DO_DB[[#This Row],[SiteID]]&amp;"_"&amp;DO_DB[[#This Row],[Material Name]]</f>
        <v>CLR31-99-073_Pole 7M 4"</v>
      </c>
      <c r="Q288" t="str">
        <f>DO_DB[[#This Row],[DO Number]]</f>
        <v>DOEID240314D5</v>
      </c>
      <c r="R288" t="str">
        <f>DO_DB[[#This Row],[DN Number]]</f>
        <v>DNWID0362024031509</v>
      </c>
    </row>
    <row r="289" spans="1:18">
      <c r="A289" t="s">
        <v>1115</v>
      </c>
      <c r="B289" t="s">
        <v>1116</v>
      </c>
      <c r="C289" s="172" t="s">
        <v>4482</v>
      </c>
      <c r="D289" t="s">
        <v>71</v>
      </c>
      <c r="E289" t="s">
        <v>26</v>
      </c>
      <c r="F289" t="s">
        <v>3148</v>
      </c>
      <c r="G289" t="s">
        <v>1117</v>
      </c>
      <c r="H289" t="s">
        <v>1118</v>
      </c>
      <c r="I289" s="130">
        <v>45366</v>
      </c>
      <c r="J289" t="s">
        <v>3070</v>
      </c>
      <c r="K289">
        <v>1</v>
      </c>
      <c r="M2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89" t="str">
        <f>DO_DB[[#This Row],[Material Pick-update]]&amp;"_"&amp;DO_DB[[#This Row],[Material Name]]</f>
        <v>45366_Pole 7M 3"</v>
      </c>
      <c r="O289" t="str">
        <f>DO_DB[[#This Row],[SiteID]]</f>
        <v>CLR31-99-073</v>
      </c>
      <c r="P289" t="str">
        <f>DO_DB[[#This Row],[SiteID]]&amp;"_"&amp;DO_DB[[#This Row],[Material Name]]</f>
        <v>CLR31-99-073_Pole 7M 3"</v>
      </c>
      <c r="Q289" t="str">
        <f>DO_DB[[#This Row],[DO Number]]</f>
        <v>DOEID240314D5</v>
      </c>
      <c r="R289" t="str">
        <f>DO_DB[[#This Row],[DN Number]]</f>
        <v>DNWID0362024031509</v>
      </c>
    </row>
    <row r="290" spans="1:18">
      <c r="A290" t="s">
        <v>1115</v>
      </c>
      <c r="B290" t="s">
        <v>1116</v>
      </c>
      <c r="C290" s="172" t="s">
        <v>4482</v>
      </c>
      <c r="D290" t="s">
        <v>71</v>
      </c>
      <c r="E290" t="s">
        <v>26</v>
      </c>
      <c r="F290" t="s">
        <v>3148</v>
      </c>
      <c r="G290" t="s">
        <v>1119</v>
      </c>
      <c r="H290" t="s">
        <v>1120</v>
      </c>
      <c r="I290" s="130">
        <v>45366</v>
      </c>
      <c r="J290" t="s">
        <v>4856</v>
      </c>
      <c r="K290">
        <v>1</v>
      </c>
      <c r="M2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90" t="str">
        <f>DO_DB[[#This Row],[Material Pick-update]]&amp;"_"&amp;DO_DB[[#This Row],[Material Name]]</f>
        <v>45366_JC 144Core</v>
      </c>
      <c r="O290" t="str">
        <f>DO_DB[[#This Row],[SiteID]]</f>
        <v>CLR31-99-073</v>
      </c>
      <c r="P290" t="str">
        <f>DO_DB[[#This Row],[SiteID]]&amp;"_"&amp;DO_DB[[#This Row],[Material Name]]</f>
        <v>CLR31-99-073_JC 144Core</v>
      </c>
      <c r="Q290" t="str">
        <f>DO_DB[[#This Row],[DO Number]]</f>
        <v>DOEID240314D6</v>
      </c>
      <c r="R290" t="str">
        <f>DO_DB[[#This Row],[DN Number]]</f>
        <v>DNWID0762024031501</v>
      </c>
    </row>
    <row r="291" spans="1:18">
      <c r="A291" t="s">
        <v>1115</v>
      </c>
      <c r="B291" t="s">
        <v>1116</v>
      </c>
      <c r="C291" s="172" t="s">
        <v>4482</v>
      </c>
      <c r="D291" t="s">
        <v>71</v>
      </c>
      <c r="E291" t="s">
        <v>26</v>
      </c>
      <c r="F291" t="s">
        <v>3148</v>
      </c>
      <c r="G291" t="s">
        <v>1121</v>
      </c>
      <c r="H291" t="s">
        <v>1122</v>
      </c>
      <c r="I291" s="130">
        <v>45366</v>
      </c>
      <c r="J291" t="s">
        <v>14</v>
      </c>
      <c r="K291">
        <v>1</v>
      </c>
      <c r="M2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91" t="str">
        <f>DO_DB[[#This Row],[Material Pick-update]]&amp;"_"&amp;DO_DB[[#This Row],[Material Name]]</f>
        <v>45366_FDT-48</v>
      </c>
      <c r="O291" t="str">
        <f>DO_DB[[#This Row],[SiteID]]</f>
        <v>CLR31-99-073</v>
      </c>
      <c r="P291" t="str">
        <f>DO_DB[[#This Row],[SiteID]]&amp;"_"&amp;DO_DB[[#This Row],[Material Name]]</f>
        <v>CLR31-99-073_FDT-48</v>
      </c>
      <c r="Q291" t="str">
        <f>DO_DB[[#This Row],[DO Number]]</f>
        <v>DOEID240314D7</v>
      </c>
      <c r="R291" t="str">
        <f>DO_DB[[#This Row],[DN Number]]</f>
        <v>DNWID0342024031515</v>
      </c>
    </row>
    <row r="292" spans="1:18">
      <c r="A292" t="s">
        <v>1115</v>
      </c>
      <c r="B292" t="s">
        <v>1116</v>
      </c>
      <c r="C292" s="172" t="s">
        <v>4482</v>
      </c>
      <c r="D292" t="s">
        <v>71</v>
      </c>
      <c r="E292" t="s">
        <v>26</v>
      </c>
      <c r="F292" t="s">
        <v>3148</v>
      </c>
      <c r="G292" t="s">
        <v>1121</v>
      </c>
      <c r="H292" t="s">
        <v>1122</v>
      </c>
      <c r="I292" s="130">
        <v>45366</v>
      </c>
      <c r="J292" t="s">
        <v>13</v>
      </c>
      <c r="K292">
        <v>16</v>
      </c>
      <c r="M2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92" t="str">
        <f>DO_DB[[#This Row],[Material Pick-update]]&amp;"_"&amp;DO_DB[[#This Row],[Material Name]]</f>
        <v>45366_FAT-16</v>
      </c>
      <c r="O292" t="str">
        <f>DO_DB[[#This Row],[SiteID]]</f>
        <v>CLR31-99-073</v>
      </c>
      <c r="P292" t="str">
        <f>DO_DB[[#This Row],[SiteID]]&amp;"_"&amp;DO_DB[[#This Row],[Material Name]]</f>
        <v>CLR31-99-073_FAT-16</v>
      </c>
      <c r="Q292" t="str">
        <f>DO_DB[[#This Row],[DO Number]]</f>
        <v>DOEID240314D7</v>
      </c>
      <c r="R292" t="str">
        <f>DO_DB[[#This Row],[DN Number]]</f>
        <v>DNWID0342024031515</v>
      </c>
    </row>
    <row r="293" spans="1:18">
      <c r="A293" t="s">
        <v>1115</v>
      </c>
      <c r="B293" t="s">
        <v>1116</v>
      </c>
      <c r="C293" s="172" t="s">
        <v>4482</v>
      </c>
      <c r="D293" t="s">
        <v>71</v>
      </c>
      <c r="E293" t="s">
        <v>26</v>
      </c>
      <c r="F293" t="s">
        <v>3148</v>
      </c>
      <c r="G293" t="s">
        <v>1121</v>
      </c>
      <c r="H293" t="s">
        <v>1122</v>
      </c>
      <c r="I293" s="130">
        <v>45366</v>
      </c>
      <c r="J293" t="s">
        <v>3080</v>
      </c>
      <c r="K293">
        <v>3</v>
      </c>
      <c r="M2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93" t="str">
        <f>DO_DB[[#This Row],[Material Pick-update]]&amp;"_"&amp;DO_DB[[#This Row],[Material Name]]</f>
        <v>45366_1:8 SPL for FDT-AE &amp; UG</v>
      </c>
      <c r="O293" t="str">
        <f>DO_DB[[#This Row],[SiteID]]</f>
        <v>CLR31-99-073</v>
      </c>
      <c r="P293" t="str">
        <f>DO_DB[[#This Row],[SiteID]]&amp;"_"&amp;DO_DB[[#This Row],[Material Name]]</f>
        <v>CLR31-99-073_1:8 SPL for FDT-AE &amp; UG</v>
      </c>
      <c r="Q293" t="str">
        <f>DO_DB[[#This Row],[DO Number]]</f>
        <v>DOEID240314D7</v>
      </c>
      <c r="R293" t="str">
        <f>DO_DB[[#This Row],[DN Number]]</f>
        <v>DNWID0342024031515</v>
      </c>
    </row>
    <row r="294" spans="1:18">
      <c r="A294" t="s">
        <v>1123</v>
      </c>
      <c r="B294" t="s">
        <v>1124</v>
      </c>
      <c r="C294" s="172" t="s">
        <v>4482</v>
      </c>
      <c r="D294" t="s">
        <v>71</v>
      </c>
      <c r="E294" t="s">
        <v>26</v>
      </c>
      <c r="F294" t="s">
        <v>3148</v>
      </c>
      <c r="G294" t="s">
        <v>1125</v>
      </c>
      <c r="H294" t="s">
        <v>1126</v>
      </c>
      <c r="I294" s="130">
        <v>45366</v>
      </c>
      <c r="J294" t="s">
        <v>3069</v>
      </c>
      <c r="K294">
        <v>14</v>
      </c>
      <c r="M2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94" t="str">
        <f>DO_DB[[#This Row],[Material Pick-update]]&amp;"_"&amp;DO_DB[[#This Row],[Material Name]]</f>
        <v>45366_Pole 7M 4"</v>
      </c>
      <c r="O294" t="str">
        <f>DO_DB[[#This Row],[SiteID]]</f>
        <v>CLR31-99-074</v>
      </c>
      <c r="P294" t="str">
        <f>DO_DB[[#This Row],[SiteID]]&amp;"_"&amp;DO_DB[[#This Row],[Material Name]]</f>
        <v>CLR31-99-074_Pole 7M 4"</v>
      </c>
      <c r="Q294" t="str">
        <f>DO_DB[[#This Row],[DO Number]]</f>
        <v>DOEID240314D8</v>
      </c>
      <c r="R294" t="str">
        <f>DO_DB[[#This Row],[DN Number]]</f>
        <v>DNWID0362024031510</v>
      </c>
    </row>
    <row r="295" spans="1:18">
      <c r="A295" t="s">
        <v>1123</v>
      </c>
      <c r="B295" t="s">
        <v>1124</v>
      </c>
      <c r="C295" s="172" t="s">
        <v>4482</v>
      </c>
      <c r="D295" t="s">
        <v>71</v>
      </c>
      <c r="E295" t="s">
        <v>26</v>
      </c>
      <c r="F295" t="s">
        <v>3148</v>
      </c>
      <c r="G295" t="s">
        <v>1125</v>
      </c>
      <c r="H295" t="s">
        <v>1126</v>
      </c>
      <c r="I295" s="130">
        <v>45366</v>
      </c>
      <c r="J295" t="s">
        <v>3070</v>
      </c>
      <c r="K295">
        <v>1</v>
      </c>
      <c r="M2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95" t="str">
        <f>DO_DB[[#This Row],[Material Pick-update]]&amp;"_"&amp;DO_DB[[#This Row],[Material Name]]</f>
        <v>45366_Pole 7M 3"</v>
      </c>
      <c r="O295" t="str">
        <f>DO_DB[[#This Row],[SiteID]]</f>
        <v>CLR31-99-074</v>
      </c>
      <c r="P295" t="str">
        <f>DO_DB[[#This Row],[SiteID]]&amp;"_"&amp;DO_DB[[#This Row],[Material Name]]</f>
        <v>CLR31-99-074_Pole 7M 3"</v>
      </c>
      <c r="Q295" t="str">
        <f>DO_DB[[#This Row],[DO Number]]</f>
        <v>DOEID240314D8</v>
      </c>
      <c r="R295" t="str">
        <f>DO_DB[[#This Row],[DN Number]]</f>
        <v>DNWID0362024031510</v>
      </c>
    </row>
    <row r="296" spans="1:18">
      <c r="A296" t="s">
        <v>1123</v>
      </c>
      <c r="B296" t="s">
        <v>1124</v>
      </c>
      <c r="C296" s="172" t="s">
        <v>4482</v>
      </c>
      <c r="D296" t="s">
        <v>71</v>
      </c>
      <c r="E296" t="s">
        <v>26</v>
      </c>
      <c r="F296" t="s">
        <v>3148</v>
      </c>
      <c r="G296" t="s">
        <v>1127</v>
      </c>
      <c r="H296" t="s">
        <v>1128</v>
      </c>
      <c r="I296" s="130">
        <v>45366</v>
      </c>
      <c r="J296" t="s">
        <v>4856</v>
      </c>
      <c r="K296">
        <v>1</v>
      </c>
      <c r="M2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96" t="str">
        <f>DO_DB[[#This Row],[Material Pick-update]]&amp;"_"&amp;DO_DB[[#This Row],[Material Name]]</f>
        <v>45366_JC 144Core</v>
      </c>
      <c r="O296" t="str">
        <f>DO_DB[[#This Row],[SiteID]]</f>
        <v>CLR31-99-074</v>
      </c>
      <c r="P296" t="str">
        <f>DO_DB[[#This Row],[SiteID]]&amp;"_"&amp;DO_DB[[#This Row],[Material Name]]</f>
        <v>CLR31-99-074_JC 144Core</v>
      </c>
      <c r="Q296" t="str">
        <f>DO_DB[[#This Row],[DO Number]]</f>
        <v>DOEID240314D9</v>
      </c>
      <c r="R296" t="str">
        <f>DO_DB[[#This Row],[DN Number]]</f>
        <v>DNWID0762024031502</v>
      </c>
    </row>
    <row r="297" spans="1:18">
      <c r="A297" t="s">
        <v>1123</v>
      </c>
      <c r="B297" t="s">
        <v>1124</v>
      </c>
      <c r="C297" s="172" t="s">
        <v>4482</v>
      </c>
      <c r="D297" t="s">
        <v>71</v>
      </c>
      <c r="E297" t="s">
        <v>26</v>
      </c>
      <c r="F297" t="s">
        <v>3148</v>
      </c>
      <c r="G297" t="s">
        <v>1129</v>
      </c>
      <c r="H297" t="s">
        <v>1130</v>
      </c>
      <c r="I297" s="130">
        <v>45366</v>
      </c>
      <c r="J297" t="s">
        <v>14</v>
      </c>
      <c r="K297">
        <v>1</v>
      </c>
      <c r="M2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97" t="str">
        <f>DO_DB[[#This Row],[Material Pick-update]]&amp;"_"&amp;DO_DB[[#This Row],[Material Name]]</f>
        <v>45366_FDT-48</v>
      </c>
      <c r="O297" t="str">
        <f>DO_DB[[#This Row],[SiteID]]</f>
        <v>CLR31-99-074</v>
      </c>
      <c r="P297" t="str">
        <f>DO_DB[[#This Row],[SiteID]]&amp;"_"&amp;DO_DB[[#This Row],[Material Name]]</f>
        <v>CLR31-99-074_FDT-48</v>
      </c>
      <c r="Q297" t="str">
        <f>DO_DB[[#This Row],[DO Number]]</f>
        <v>DOEID240314DA</v>
      </c>
      <c r="R297" t="str">
        <f>DO_DB[[#This Row],[DN Number]]</f>
        <v>DNWID0342024031516</v>
      </c>
    </row>
    <row r="298" spans="1:18">
      <c r="A298" t="s">
        <v>1123</v>
      </c>
      <c r="B298" t="s">
        <v>1124</v>
      </c>
      <c r="C298" s="172" t="s">
        <v>4482</v>
      </c>
      <c r="D298" t="s">
        <v>71</v>
      </c>
      <c r="E298" t="s">
        <v>26</v>
      </c>
      <c r="F298" t="s">
        <v>3148</v>
      </c>
      <c r="G298" t="s">
        <v>1129</v>
      </c>
      <c r="H298" t="s">
        <v>1130</v>
      </c>
      <c r="I298" s="130">
        <v>45366</v>
      </c>
      <c r="J298" t="s">
        <v>13</v>
      </c>
      <c r="K298">
        <v>8</v>
      </c>
      <c r="M2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98" t="str">
        <f>DO_DB[[#This Row],[Material Pick-update]]&amp;"_"&amp;DO_DB[[#This Row],[Material Name]]</f>
        <v>45366_FAT-16</v>
      </c>
      <c r="O298" t="str">
        <f>DO_DB[[#This Row],[SiteID]]</f>
        <v>CLR31-99-074</v>
      </c>
      <c r="P298" t="str">
        <f>DO_DB[[#This Row],[SiteID]]&amp;"_"&amp;DO_DB[[#This Row],[Material Name]]</f>
        <v>CLR31-99-074_FAT-16</v>
      </c>
      <c r="Q298" t="str">
        <f>DO_DB[[#This Row],[DO Number]]</f>
        <v>DOEID240314DA</v>
      </c>
      <c r="R298" t="str">
        <f>DO_DB[[#This Row],[DN Number]]</f>
        <v>DNWID0342024031516</v>
      </c>
    </row>
    <row r="299" spans="1:18">
      <c r="A299" t="s">
        <v>1123</v>
      </c>
      <c r="B299" t="s">
        <v>1124</v>
      </c>
      <c r="C299" s="172" t="s">
        <v>4482</v>
      </c>
      <c r="D299" t="s">
        <v>71</v>
      </c>
      <c r="E299" t="s">
        <v>26</v>
      </c>
      <c r="F299" t="s">
        <v>3148</v>
      </c>
      <c r="G299" t="s">
        <v>1129</v>
      </c>
      <c r="H299" t="s">
        <v>1130</v>
      </c>
      <c r="I299" s="130">
        <v>45366</v>
      </c>
      <c r="J299" t="s">
        <v>3080</v>
      </c>
      <c r="K299">
        <v>3</v>
      </c>
      <c r="M2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99" t="str">
        <f>DO_DB[[#This Row],[Material Pick-update]]&amp;"_"&amp;DO_DB[[#This Row],[Material Name]]</f>
        <v>45366_1:8 SPL for FDT-AE &amp; UG</v>
      </c>
      <c r="O299" t="str">
        <f>DO_DB[[#This Row],[SiteID]]</f>
        <v>CLR31-99-074</v>
      </c>
      <c r="P299" t="str">
        <f>DO_DB[[#This Row],[SiteID]]&amp;"_"&amp;DO_DB[[#This Row],[Material Name]]</f>
        <v>CLR31-99-074_1:8 SPL for FDT-AE &amp; UG</v>
      </c>
      <c r="Q299" t="str">
        <f>DO_DB[[#This Row],[DO Number]]</f>
        <v>DOEID240314DA</v>
      </c>
      <c r="R299" t="str">
        <f>DO_DB[[#This Row],[DN Number]]</f>
        <v>DNWID0342024031516</v>
      </c>
    </row>
    <row r="300" spans="1:18">
      <c r="A300" t="s">
        <v>854</v>
      </c>
      <c r="B300" t="s">
        <v>855</v>
      </c>
      <c r="C300" s="172" t="s">
        <v>4482</v>
      </c>
      <c r="D300" t="s">
        <v>71</v>
      </c>
      <c r="E300" t="s">
        <v>26</v>
      </c>
      <c r="F300" t="s">
        <v>3148</v>
      </c>
      <c r="G300" t="s">
        <v>1131</v>
      </c>
      <c r="H300" t="s">
        <v>1132</v>
      </c>
      <c r="I300" s="130">
        <v>45366</v>
      </c>
      <c r="J300" t="s">
        <v>14</v>
      </c>
      <c r="K300">
        <v>2</v>
      </c>
      <c r="M3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00" t="str">
        <f>DO_DB[[#This Row],[Material Pick-update]]&amp;"_"&amp;DO_DB[[#This Row],[Material Name]]</f>
        <v>45366_FDT-48</v>
      </c>
      <c r="O300" t="str">
        <f>DO_DB[[#This Row],[SiteID]]</f>
        <v>CLR31-99-020</v>
      </c>
      <c r="P300" t="str">
        <f>DO_DB[[#This Row],[SiteID]]&amp;"_"&amp;DO_DB[[#This Row],[Material Name]]</f>
        <v>CLR31-99-020_FDT-48</v>
      </c>
      <c r="Q300" t="str">
        <f>DO_DB[[#This Row],[DO Number]]</f>
        <v>DOEID240314DU</v>
      </c>
      <c r="R300" t="str">
        <f>DO_DB[[#This Row],[DN Number]]</f>
        <v>DNWID0342024031502</v>
      </c>
    </row>
    <row r="301" spans="1:18">
      <c r="A301" t="s">
        <v>854</v>
      </c>
      <c r="B301" t="s">
        <v>855</v>
      </c>
      <c r="C301" s="172" t="s">
        <v>4482</v>
      </c>
      <c r="D301" t="s">
        <v>71</v>
      </c>
      <c r="E301" t="s">
        <v>26</v>
      </c>
      <c r="F301" t="s">
        <v>3148</v>
      </c>
      <c r="G301" t="s">
        <v>1131</v>
      </c>
      <c r="H301" t="s">
        <v>1132</v>
      </c>
      <c r="I301" s="130">
        <v>45366</v>
      </c>
      <c r="J301" t="s">
        <v>3080</v>
      </c>
      <c r="K301">
        <v>6</v>
      </c>
      <c r="M3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01" t="str">
        <f>DO_DB[[#This Row],[Material Pick-update]]&amp;"_"&amp;DO_DB[[#This Row],[Material Name]]</f>
        <v>45366_1:8 SPL for FDT-AE &amp; UG</v>
      </c>
      <c r="O301" t="str">
        <f>DO_DB[[#This Row],[SiteID]]</f>
        <v>CLR31-99-020</v>
      </c>
      <c r="P301" t="str">
        <f>DO_DB[[#This Row],[SiteID]]&amp;"_"&amp;DO_DB[[#This Row],[Material Name]]</f>
        <v>CLR31-99-020_1:8 SPL for FDT-AE &amp; UG</v>
      </c>
      <c r="Q301" t="str">
        <f>DO_DB[[#This Row],[DO Number]]</f>
        <v>DOEID240314DU</v>
      </c>
      <c r="R301" t="str">
        <f>DO_DB[[#This Row],[DN Number]]</f>
        <v>DNWID0342024031502</v>
      </c>
    </row>
    <row r="302" spans="1:18">
      <c r="A302" t="s">
        <v>1035</v>
      </c>
      <c r="B302" t="s">
        <v>1036</v>
      </c>
      <c r="C302" s="172" t="s">
        <v>4482</v>
      </c>
      <c r="D302" t="s">
        <v>71</v>
      </c>
      <c r="E302" t="s">
        <v>26</v>
      </c>
      <c r="F302" t="s">
        <v>3148</v>
      </c>
      <c r="G302" t="s">
        <v>1133</v>
      </c>
      <c r="H302" t="s">
        <v>1134</v>
      </c>
      <c r="I302" s="130">
        <v>45366</v>
      </c>
      <c r="J302" t="s">
        <v>13</v>
      </c>
      <c r="K302">
        <v>36</v>
      </c>
      <c r="M3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02" t="str">
        <f>DO_DB[[#This Row],[Material Pick-update]]&amp;"_"&amp;DO_DB[[#This Row],[Material Name]]</f>
        <v>45366_FAT-16</v>
      </c>
      <c r="O302" t="str">
        <f>DO_DB[[#This Row],[SiteID]]</f>
        <v>CLR31-05-023</v>
      </c>
      <c r="P302" t="str">
        <f>DO_DB[[#This Row],[SiteID]]&amp;"_"&amp;DO_DB[[#This Row],[Material Name]]</f>
        <v>CLR31-05-023_FAT-16</v>
      </c>
      <c r="Q302" t="str">
        <f>DO_DB[[#This Row],[DO Number]]</f>
        <v>DOEID240314DZ</v>
      </c>
      <c r="R302" t="str">
        <f>DO_DB[[#This Row],[DN Number]]</f>
        <v>DNWID0342024031510</v>
      </c>
    </row>
    <row r="303" spans="1:18">
      <c r="A303" t="s">
        <v>1043</v>
      </c>
      <c r="B303" t="s">
        <v>1044</v>
      </c>
      <c r="C303" s="172" t="s">
        <v>4482</v>
      </c>
      <c r="D303" t="s">
        <v>71</v>
      </c>
      <c r="E303" t="s">
        <v>26</v>
      </c>
      <c r="F303" t="s">
        <v>3148</v>
      </c>
      <c r="G303" t="s">
        <v>1135</v>
      </c>
      <c r="H303" t="s">
        <v>1136</v>
      </c>
      <c r="I303" s="130">
        <v>45366</v>
      </c>
      <c r="J303" t="s">
        <v>13</v>
      </c>
      <c r="K303">
        <v>55</v>
      </c>
      <c r="M3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03" t="str">
        <f>DO_DB[[#This Row],[Material Pick-update]]&amp;"_"&amp;DO_DB[[#This Row],[Material Name]]</f>
        <v>45366_FAT-16</v>
      </c>
      <c r="O303" t="str">
        <f>DO_DB[[#This Row],[SiteID]]</f>
        <v>CLR31-05-024</v>
      </c>
      <c r="P303" t="str">
        <f>DO_DB[[#This Row],[SiteID]]&amp;"_"&amp;DO_DB[[#This Row],[Material Name]]</f>
        <v>CLR31-05-024_FAT-16</v>
      </c>
      <c r="Q303" t="str">
        <f>DO_DB[[#This Row],[DO Number]]</f>
        <v>DOEID240314E0</v>
      </c>
      <c r="R303" t="str">
        <f>DO_DB[[#This Row],[DN Number]]</f>
        <v>DNWID0342024031508</v>
      </c>
    </row>
    <row r="304" spans="1:18">
      <c r="A304" t="s">
        <v>1093</v>
      </c>
      <c r="B304" t="s">
        <v>1094</v>
      </c>
      <c r="C304" t="s">
        <v>4482</v>
      </c>
      <c r="D304" t="s">
        <v>71</v>
      </c>
      <c r="E304" t="s">
        <v>24</v>
      </c>
      <c r="F304" t="s">
        <v>3148</v>
      </c>
      <c r="G304" t="s">
        <v>1215</v>
      </c>
      <c r="H304" t="s">
        <v>1216</v>
      </c>
      <c r="I304" s="130">
        <v>45378</v>
      </c>
      <c r="J304" t="s">
        <v>3073</v>
      </c>
      <c r="K304">
        <v>3000</v>
      </c>
      <c r="M3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24C-2024327-01</v>
      </c>
      <c r="N304" t="str">
        <f>DO_DB[[#This Row],[Material Pick-update]]&amp;"_"&amp;DO_DB[[#This Row],[Material Name]]</f>
        <v>45378_ADSS 24C</v>
      </c>
      <c r="O304" t="str">
        <f>DO_DB[[#This Row],[SiteID]]</f>
        <v>CLR51-99-074</v>
      </c>
      <c r="P304" t="str">
        <f>DO_DB[[#This Row],[SiteID]]&amp;"_"&amp;DO_DB[[#This Row],[Material Name]]</f>
        <v>CLR51-99-074_ADSS 24C</v>
      </c>
      <c r="Q304" t="str">
        <f>DO_DB[[#This Row],[DO Number]]</f>
        <v>DOEID24032779</v>
      </c>
      <c r="R304" t="str">
        <f>DO_DB[[#This Row],[DN Number]]</f>
        <v>DNWID0342024032707</v>
      </c>
    </row>
    <row r="305" spans="1:18">
      <c r="A305" t="s">
        <v>1093</v>
      </c>
      <c r="B305" t="s">
        <v>1094</v>
      </c>
      <c r="C305" t="s">
        <v>4482</v>
      </c>
      <c r="D305" t="s">
        <v>71</v>
      </c>
      <c r="E305" t="s">
        <v>24</v>
      </c>
      <c r="F305" t="s">
        <v>3148</v>
      </c>
      <c r="G305" t="s">
        <v>1215</v>
      </c>
      <c r="H305" t="s">
        <v>1216</v>
      </c>
      <c r="I305" s="130">
        <v>45378</v>
      </c>
      <c r="J305" t="s">
        <v>3075</v>
      </c>
      <c r="K305">
        <v>3000</v>
      </c>
      <c r="M3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48C-2024327-01</v>
      </c>
      <c r="N305" t="str">
        <f>DO_DB[[#This Row],[Material Pick-update]]&amp;"_"&amp;DO_DB[[#This Row],[Material Name]]</f>
        <v>45378_ADSS 48C</v>
      </c>
      <c r="O305" t="str">
        <f>DO_DB[[#This Row],[SiteID]]</f>
        <v>CLR51-99-074</v>
      </c>
      <c r="P305" t="str">
        <f>DO_DB[[#This Row],[SiteID]]&amp;"_"&amp;DO_DB[[#This Row],[Material Name]]</f>
        <v>CLR51-99-074_ADSS 48C</v>
      </c>
      <c r="Q305" t="str">
        <f>DO_DB[[#This Row],[DO Number]]</f>
        <v>DOEID24032779</v>
      </c>
      <c r="R305" t="str">
        <f>DO_DB[[#This Row],[DN Number]]</f>
        <v>DNWID0342024032707</v>
      </c>
    </row>
    <row r="306" spans="1:18">
      <c r="A306" t="s">
        <v>1081</v>
      </c>
      <c r="B306" t="s">
        <v>1082</v>
      </c>
      <c r="C306" t="s">
        <v>4482</v>
      </c>
      <c r="D306" t="s">
        <v>71</v>
      </c>
      <c r="E306" t="s">
        <v>24</v>
      </c>
      <c r="F306" t="s">
        <v>3148</v>
      </c>
      <c r="G306" t="s">
        <v>1213</v>
      </c>
      <c r="H306" t="s">
        <v>1214</v>
      </c>
      <c r="I306" s="130">
        <v>45378</v>
      </c>
      <c r="J306" t="s">
        <v>3075</v>
      </c>
      <c r="K306">
        <v>3000</v>
      </c>
      <c r="M3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48C-2024327-01</v>
      </c>
      <c r="N306" t="str">
        <f>DO_DB[[#This Row],[Material Pick-update]]&amp;"_"&amp;DO_DB[[#This Row],[Material Name]]</f>
        <v>45378_ADSS 48C</v>
      </c>
      <c r="O306" t="str">
        <f>DO_DB[[#This Row],[SiteID]]</f>
        <v>CLR51-99-010</v>
      </c>
      <c r="P306" t="str">
        <f>DO_DB[[#This Row],[SiteID]]&amp;"_"&amp;DO_DB[[#This Row],[Material Name]]</f>
        <v>CLR51-99-010_ADSS 48C</v>
      </c>
      <c r="Q306" t="str">
        <f>DO_DB[[#This Row],[DO Number]]</f>
        <v>DOEID24032780</v>
      </c>
      <c r="R306" t="str">
        <f>DO_DB[[#This Row],[DN Number]]</f>
        <v>DNWID0342024032709</v>
      </c>
    </row>
    <row r="307" spans="1:18">
      <c r="A307" t="s">
        <v>1115</v>
      </c>
      <c r="B307" t="s">
        <v>1116</v>
      </c>
      <c r="C307" s="172" t="s">
        <v>4482</v>
      </c>
      <c r="D307" t="s">
        <v>71</v>
      </c>
      <c r="E307" t="s">
        <v>26</v>
      </c>
      <c r="F307" t="s">
        <v>3148</v>
      </c>
      <c r="G307" t="s">
        <v>1273</v>
      </c>
      <c r="H307" t="s">
        <v>1274</v>
      </c>
      <c r="I307" s="130">
        <v>45400</v>
      </c>
      <c r="J307" t="s">
        <v>3075</v>
      </c>
      <c r="K307">
        <v>3000</v>
      </c>
      <c r="M3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48C-2024418-01</v>
      </c>
      <c r="N307" t="str">
        <f>DO_DB[[#This Row],[Material Pick-update]]&amp;"_"&amp;DO_DB[[#This Row],[Material Name]]</f>
        <v>45400_ADSS 48C</v>
      </c>
      <c r="O307" t="str">
        <f>DO_DB[[#This Row],[SiteID]]</f>
        <v>CLR31-99-073</v>
      </c>
      <c r="P307" t="str">
        <f>DO_DB[[#This Row],[SiteID]]&amp;"_"&amp;DO_DB[[#This Row],[Material Name]]</f>
        <v>CLR31-99-073_ADSS 48C</v>
      </c>
      <c r="Q307" t="str">
        <f>DO_DB[[#This Row],[DO Number]]</f>
        <v>DOEID24040110</v>
      </c>
      <c r="R307" t="str">
        <f>DO_DB[[#This Row],[DN Number]]</f>
        <v>DNWID0342024040101</v>
      </c>
    </row>
    <row r="308" spans="1:18">
      <c r="A308" t="s">
        <v>1241</v>
      </c>
      <c r="B308" t="s">
        <v>1242</v>
      </c>
      <c r="C308" s="172" t="s">
        <v>4482</v>
      </c>
      <c r="D308" t="s">
        <v>71</v>
      </c>
      <c r="E308" t="s">
        <v>26</v>
      </c>
      <c r="F308" t="s">
        <v>3148</v>
      </c>
      <c r="G308" t="s">
        <v>1243</v>
      </c>
      <c r="H308" t="s">
        <v>1244</v>
      </c>
      <c r="I308" s="130">
        <v>45400</v>
      </c>
      <c r="J308" t="s">
        <v>3069</v>
      </c>
      <c r="K308">
        <v>39</v>
      </c>
      <c r="M3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08" t="str">
        <f>DO_DB[[#This Row],[Material Pick-update]]&amp;"_"&amp;DO_DB[[#This Row],[Material Name]]</f>
        <v>45400_Pole 7M 4"</v>
      </c>
      <c r="O308" t="str">
        <f>DO_DB[[#This Row],[SiteID]]</f>
        <v>CLR31-05-042</v>
      </c>
      <c r="P308" t="str">
        <f>DO_DB[[#This Row],[SiteID]]&amp;"_"&amp;DO_DB[[#This Row],[Material Name]]</f>
        <v>CLR31-05-042_Pole 7M 4"</v>
      </c>
      <c r="Q308" t="str">
        <f>DO_DB[[#This Row],[DO Number]]</f>
        <v>DOEID240416AO</v>
      </c>
      <c r="R308" t="str">
        <f>DO_DB[[#This Row],[DN Number]]</f>
        <v>DNWID0362024041714</v>
      </c>
    </row>
    <row r="309" spans="1:18">
      <c r="A309" t="s">
        <v>1241</v>
      </c>
      <c r="B309" t="s">
        <v>1242</v>
      </c>
      <c r="C309" s="172" t="s">
        <v>4482</v>
      </c>
      <c r="D309" t="s">
        <v>71</v>
      </c>
      <c r="E309" t="s">
        <v>26</v>
      </c>
      <c r="F309" t="s">
        <v>3148</v>
      </c>
      <c r="G309" t="s">
        <v>1243</v>
      </c>
      <c r="H309" t="s">
        <v>1244</v>
      </c>
      <c r="I309" s="130">
        <v>45400</v>
      </c>
      <c r="J309" t="s">
        <v>3070</v>
      </c>
      <c r="K309">
        <v>6</v>
      </c>
      <c r="M3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09" t="str">
        <f>DO_DB[[#This Row],[Material Pick-update]]&amp;"_"&amp;DO_DB[[#This Row],[Material Name]]</f>
        <v>45400_Pole 7M 3"</v>
      </c>
      <c r="O309" t="str">
        <f>DO_DB[[#This Row],[SiteID]]</f>
        <v>CLR31-05-042</v>
      </c>
      <c r="P309" t="str">
        <f>DO_DB[[#This Row],[SiteID]]&amp;"_"&amp;DO_DB[[#This Row],[Material Name]]</f>
        <v>CLR31-05-042_Pole 7M 3"</v>
      </c>
      <c r="Q309" t="str">
        <f>DO_DB[[#This Row],[DO Number]]</f>
        <v>DOEID240416AO</v>
      </c>
      <c r="R309" t="str">
        <f>DO_DB[[#This Row],[DN Number]]</f>
        <v>DNWID0362024041714</v>
      </c>
    </row>
    <row r="310" spans="1:18">
      <c r="A310" t="s">
        <v>1241</v>
      </c>
      <c r="B310" t="s">
        <v>1242</v>
      </c>
      <c r="C310" s="172" t="s">
        <v>4482</v>
      </c>
      <c r="D310" t="s">
        <v>71</v>
      </c>
      <c r="E310" t="s">
        <v>26</v>
      </c>
      <c r="F310" t="s">
        <v>3148</v>
      </c>
      <c r="G310" t="s">
        <v>1259</v>
      </c>
      <c r="H310" t="s">
        <v>1260</v>
      </c>
      <c r="I310" s="130">
        <v>45400</v>
      </c>
      <c r="J310" t="s">
        <v>4856</v>
      </c>
      <c r="K310">
        <v>1</v>
      </c>
      <c r="M3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10" t="str">
        <f>DO_DB[[#This Row],[Material Pick-update]]&amp;"_"&amp;DO_DB[[#This Row],[Material Name]]</f>
        <v>45400_JC 144Core</v>
      </c>
      <c r="O310" t="str">
        <f>DO_DB[[#This Row],[SiteID]]</f>
        <v>CLR31-05-042</v>
      </c>
      <c r="P310" t="str">
        <f>DO_DB[[#This Row],[SiteID]]&amp;"_"&amp;DO_DB[[#This Row],[Material Name]]</f>
        <v>CLR31-05-042_JC 144Core</v>
      </c>
      <c r="Q310" t="str">
        <f>DO_DB[[#This Row],[DO Number]]</f>
        <v>DOEID240416AP</v>
      </c>
      <c r="R310" t="str">
        <f>DO_DB[[#This Row],[DN Number]]</f>
        <v>DNWID0762024041702</v>
      </c>
    </row>
    <row r="311" spans="1:18">
      <c r="A311" t="s">
        <v>1241</v>
      </c>
      <c r="B311" t="s">
        <v>1242</v>
      </c>
      <c r="C311" s="172" t="s">
        <v>4482</v>
      </c>
      <c r="D311" t="s">
        <v>71</v>
      </c>
      <c r="E311" t="s">
        <v>26</v>
      </c>
      <c r="F311" t="s">
        <v>3148</v>
      </c>
      <c r="G311" t="s">
        <v>1285</v>
      </c>
      <c r="H311" t="s">
        <v>1286</v>
      </c>
      <c r="I311" s="130">
        <v>45400</v>
      </c>
      <c r="J311" t="s">
        <v>14</v>
      </c>
      <c r="K311">
        <v>1</v>
      </c>
      <c r="M3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11" t="str">
        <f>DO_DB[[#This Row],[Material Pick-update]]&amp;"_"&amp;DO_DB[[#This Row],[Material Name]]</f>
        <v>45400_FDT-48</v>
      </c>
      <c r="O311" t="str">
        <f>DO_DB[[#This Row],[SiteID]]</f>
        <v>CLR31-05-042</v>
      </c>
      <c r="P311" t="str">
        <f>DO_DB[[#This Row],[SiteID]]&amp;"_"&amp;DO_DB[[#This Row],[Material Name]]</f>
        <v>CLR31-05-042_FDT-48</v>
      </c>
      <c r="Q311" t="str">
        <f>DO_DB[[#This Row],[DO Number]]</f>
        <v>DOEID240416AQ</v>
      </c>
      <c r="R311" t="str">
        <f>DO_DB[[#This Row],[DN Number]]</f>
        <v>DNWID0342024041720</v>
      </c>
    </row>
    <row r="312" spans="1:18">
      <c r="A312" t="s">
        <v>1241</v>
      </c>
      <c r="B312" t="s">
        <v>1242</v>
      </c>
      <c r="C312" s="172" t="s">
        <v>4482</v>
      </c>
      <c r="D312" t="s">
        <v>71</v>
      </c>
      <c r="E312" t="s">
        <v>26</v>
      </c>
      <c r="F312" t="s">
        <v>3148</v>
      </c>
      <c r="G312" t="s">
        <v>1285</v>
      </c>
      <c r="H312" t="s">
        <v>1286</v>
      </c>
      <c r="I312" s="130">
        <v>45400</v>
      </c>
      <c r="J312" t="s">
        <v>13</v>
      </c>
      <c r="K312">
        <v>16</v>
      </c>
      <c r="M3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12" t="str">
        <f>DO_DB[[#This Row],[Material Pick-update]]&amp;"_"&amp;DO_DB[[#This Row],[Material Name]]</f>
        <v>45400_FAT-16</v>
      </c>
      <c r="O312" t="str">
        <f>DO_DB[[#This Row],[SiteID]]</f>
        <v>CLR31-05-042</v>
      </c>
      <c r="P312" t="str">
        <f>DO_DB[[#This Row],[SiteID]]&amp;"_"&amp;DO_DB[[#This Row],[Material Name]]</f>
        <v>CLR31-05-042_FAT-16</v>
      </c>
      <c r="Q312" t="str">
        <f>DO_DB[[#This Row],[DO Number]]</f>
        <v>DOEID240416AQ</v>
      </c>
      <c r="R312" t="str">
        <f>DO_DB[[#This Row],[DN Number]]</f>
        <v>DNWID0342024041720</v>
      </c>
    </row>
    <row r="313" spans="1:18">
      <c r="A313" t="s">
        <v>1241</v>
      </c>
      <c r="B313" t="s">
        <v>1242</v>
      </c>
      <c r="C313" s="172" t="s">
        <v>4482</v>
      </c>
      <c r="D313" t="s">
        <v>71</v>
      </c>
      <c r="E313" t="s">
        <v>26</v>
      </c>
      <c r="F313" t="s">
        <v>3148</v>
      </c>
      <c r="G313" t="s">
        <v>1285</v>
      </c>
      <c r="H313" t="s">
        <v>1286</v>
      </c>
      <c r="I313" s="130">
        <v>45400</v>
      </c>
      <c r="J313" t="s">
        <v>3080</v>
      </c>
      <c r="K313">
        <v>3</v>
      </c>
      <c r="M3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13" t="str">
        <f>DO_DB[[#This Row],[Material Pick-update]]&amp;"_"&amp;DO_DB[[#This Row],[Material Name]]</f>
        <v>45400_1:8 SPL for FDT-AE &amp; UG</v>
      </c>
      <c r="O313" t="str">
        <f>DO_DB[[#This Row],[SiteID]]</f>
        <v>CLR31-05-042</v>
      </c>
      <c r="P313" t="str">
        <f>DO_DB[[#This Row],[SiteID]]&amp;"_"&amp;DO_DB[[#This Row],[Material Name]]</f>
        <v>CLR31-05-042_1:8 SPL for FDT-AE &amp; UG</v>
      </c>
      <c r="Q313" t="str">
        <f>DO_DB[[#This Row],[DO Number]]</f>
        <v>DOEID240416AQ</v>
      </c>
      <c r="R313" t="str">
        <f>DO_DB[[#This Row],[DN Number]]</f>
        <v>DNWID0342024041720</v>
      </c>
    </row>
    <row r="314" spans="1:18">
      <c r="A314" t="s">
        <v>1229</v>
      </c>
      <c r="B314" t="s">
        <v>1230</v>
      </c>
      <c r="C314" s="172" t="s">
        <v>4482</v>
      </c>
      <c r="D314" t="s">
        <v>71</v>
      </c>
      <c r="E314" t="s">
        <v>26</v>
      </c>
      <c r="F314" t="s">
        <v>3148</v>
      </c>
      <c r="G314" t="s">
        <v>1231</v>
      </c>
      <c r="H314" t="s">
        <v>1232</v>
      </c>
      <c r="I314" s="130">
        <v>45400</v>
      </c>
      <c r="J314" t="s">
        <v>3069</v>
      </c>
      <c r="K314">
        <v>23</v>
      </c>
      <c r="M3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14" t="str">
        <f>DO_DB[[#This Row],[Material Pick-update]]&amp;"_"&amp;DO_DB[[#This Row],[Material Name]]</f>
        <v>45400_Pole 7M 4"</v>
      </c>
      <c r="O314" t="str">
        <f>DO_DB[[#This Row],[SiteID]]</f>
        <v>CLR31-04-033</v>
      </c>
      <c r="P314" t="str">
        <f>DO_DB[[#This Row],[SiteID]]&amp;"_"&amp;DO_DB[[#This Row],[Material Name]]</f>
        <v>CLR31-04-033_Pole 7M 4"</v>
      </c>
      <c r="Q314" t="str">
        <f>DO_DB[[#This Row],[DO Number]]</f>
        <v>DOEID240416AR</v>
      </c>
      <c r="R314" t="str">
        <f>DO_DB[[#This Row],[DN Number]]</f>
        <v>DNWID0362024041710</v>
      </c>
    </row>
    <row r="315" spans="1:18">
      <c r="A315" t="s">
        <v>1229</v>
      </c>
      <c r="B315" t="s">
        <v>1230</v>
      </c>
      <c r="C315" s="172" t="s">
        <v>4482</v>
      </c>
      <c r="D315" t="s">
        <v>71</v>
      </c>
      <c r="E315" t="s">
        <v>26</v>
      </c>
      <c r="F315" t="s">
        <v>3148</v>
      </c>
      <c r="G315" t="s">
        <v>1231</v>
      </c>
      <c r="H315" t="s">
        <v>1232</v>
      </c>
      <c r="I315" s="130">
        <v>45400</v>
      </c>
      <c r="J315" t="s">
        <v>3070</v>
      </c>
      <c r="K315">
        <v>4</v>
      </c>
      <c r="M3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15" t="str">
        <f>DO_DB[[#This Row],[Material Pick-update]]&amp;"_"&amp;DO_DB[[#This Row],[Material Name]]</f>
        <v>45400_Pole 7M 3"</v>
      </c>
      <c r="O315" t="str">
        <f>DO_DB[[#This Row],[SiteID]]</f>
        <v>CLR31-04-033</v>
      </c>
      <c r="P315" t="str">
        <f>DO_DB[[#This Row],[SiteID]]&amp;"_"&amp;DO_DB[[#This Row],[Material Name]]</f>
        <v>CLR31-04-033_Pole 7M 3"</v>
      </c>
      <c r="Q315" t="str">
        <f>DO_DB[[#This Row],[DO Number]]</f>
        <v>DOEID240416AR</v>
      </c>
      <c r="R315" t="str">
        <f>DO_DB[[#This Row],[DN Number]]</f>
        <v>DNWID0362024041710</v>
      </c>
    </row>
    <row r="316" spans="1:18">
      <c r="A316" t="s">
        <v>1229</v>
      </c>
      <c r="B316" t="s">
        <v>1230</v>
      </c>
      <c r="C316" s="172" t="s">
        <v>4482</v>
      </c>
      <c r="D316" t="s">
        <v>71</v>
      </c>
      <c r="E316" t="s">
        <v>26</v>
      </c>
      <c r="F316" t="s">
        <v>3148</v>
      </c>
      <c r="G316" t="s">
        <v>1277</v>
      </c>
      <c r="H316" t="s">
        <v>1278</v>
      </c>
      <c r="I316" s="130">
        <v>45400</v>
      </c>
      <c r="J316" t="s">
        <v>13</v>
      </c>
      <c r="K316">
        <v>10</v>
      </c>
      <c r="M3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16" t="str">
        <f>DO_DB[[#This Row],[Material Pick-update]]&amp;"_"&amp;DO_DB[[#This Row],[Material Name]]</f>
        <v>45400_FAT-16</v>
      </c>
      <c r="O316" t="str">
        <f>DO_DB[[#This Row],[SiteID]]</f>
        <v>CLR31-04-033</v>
      </c>
      <c r="P316" t="str">
        <f>DO_DB[[#This Row],[SiteID]]&amp;"_"&amp;DO_DB[[#This Row],[Material Name]]</f>
        <v>CLR31-04-033_FAT-16</v>
      </c>
      <c r="Q316" t="str">
        <f>DO_DB[[#This Row],[DO Number]]</f>
        <v>DOEID240416AS</v>
      </c>
      <c r="R316" t="str">
        <f>DO_DB[[#This Row],[DN Number]]</f>
        <v>DNWID0342024041721</v>
      </c>
    </row>
    <row r="317" spans="1:18">
      <c r="A317" t="s">
        <v>1245</v>
      </c>
      <c r="B317" t="s">
        <v>1246</v>
      </c>
      <c r="C317" s="172" t="s">
        <v>4482</v>
      </c>
      <c r="D317" t="s">
        <v>71</v>
      </c>
      <c r="E317" t="s">
        <v>26</v>
      </c>
      <c r="F317" t="s">
        <v>3148</v>
      </c>
      <c r="G317" t="s">
        <v>1247</v>
      </c>
      <c r="H317" t="s">
        <v>1248</v>
      </c>
      <c r="I317" s="130">
        <v>45400</v>
      </c>
      <c r="J317" t="s">
        <v>3069</v>
      </c>
      <c r="K317">
        <v>23</v>
      </c>
      <c r="M3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17" t="str">
        <f>DO_DB[[#This Row],[Material Pick-update]]&amp;"_"&amp;DO_DB[[#This Row],[Material Name]]</f>
        <v>45400_Pole 7M 4"</v>
      </c>
      <c r="O317" t="str">
        <f>DO_DB[[#This Row],[SiteID]]</f>
        <v>CLR31-05-043</v>
      </c>
      <c r="P317" t="str">
        <f>DO_DB[[#This Row],[SiteID]]&amp;"_"&amp;DO_DB[[#This Row],[Material Name]]</f>
        <v>CLR31-05-043_Pole 7M 4"</v>
      </c>
      <c r="Q317" t="str">
        <f>DO_DB[[#This Row],[DO Number]]</f>
        <v>DOEID240416AT</v>
      </c>
      <c r="R317" t="str">
        <f>DO_DB[[#This Row],[DN Number]]</f>
        <v>DNWID0362024041715</v>
      </c>
    </row>
    <row r="318" spans="1:18">
      <c r="A318" t="s">
        <v>1245</v>
      </c>
      <c r="B318" t="s">
        <v>1246</v>
      </c>
      <c r="C318" s="172" t="s">
        <v>4482</v>
      </c>
      <c r="D318" t="s">
        <v>71</v>
      </c>
      <c r="E318" t="s">
        <v>26</v>
      </c>
      <c r="F318" t="s">
        <v>3148</v>
      </c>
      <c r="G318" t="s">
        <v>1247</v>
      </c>
      <c r="H318" t="s">
        <v>1248</v>
      </c>
      <c r="I318" s="130">
        <v>45400</v>
      </c>
      <c r="J318" t="s">
        <v>3070</v>
      </c>
      <c r="K318">
        <v>3</v>
      </c>
      <c r="M3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18" t="str">
        <f>DO_DB[[#This Row],[Material Pick-update]]&amp;"_"&amp;DO_DB[[#This Row],[Material Name]]</f>
        <v>45400_Pole 7M 3"</v>
      </c>
      <c r="O318" t="str">
        <f>DO_DB[[#This Row],[SiteID]]</f>
        <v>CLR31-05-043</v>
      </c>
      <c r="P318" t="str">
        <f>DO_DB[[#This Row],[SiteID]]&amp;"_"&amp;DO_DB[[#This Row],[Material Name]]</f>
        <v>CLR31-05-043_Pole 7M 3"</v>
      </c>
      <c r="Q318" t="str">
        <f>DO_DB[[#This Row],[DO Number]]</f>
        <v>DOEID240416AT</v>
      </c>
      <c r="R318" t="str">
        <f>DO_DB[[#This Row],[DN Number]]</f>
        <v>DNWID0362024041715</v>
      </c>
    </row>
    <row r="319" spans="1:18">
      <c r="A319" t="s">
        <v>1245</v>
      </c>
      <c r="B319" t="s">
        <v>1246</v>
      </c>
      <c r="C319" s="172" t="s">
        <v>4482</v>
      </c>
      <c r="D319" t="s">
        <v>71</v>
      </c>
      <c r="E319" t="s">
        <v>26</v>
      </c>
      <c r="F319" t="s">
        <v>3148</v>
      </c>
      <c r="G319" t="s">
        <v>1271</v>
      </c>
      <c r="H319" t="s">
        <v>1272</v>
      </c>
      <c r="I319" s="130">
        <v>45400</v>
      </c>
      <c r="J319" t="s">
        <v>14</v>
      </c>
      <c r="K319">
        <v>1</v>
      </c>
      <c r="M3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19" t="str">
        <f>DO_DB[[#This Row],[Material Pick-update]]&amp;"_"&amp;DO_DB[[#This Row],[Material Name]]</f>
        <v>45400_FDT-48</v>
      </c>
      <c r="O319" t="str">
        <f>DO_DB[[#This Row],[SiteID]]</f>
        <v>CLR31-05-043</v>
      </c>
      <c r="P319" t="str">
        <f>DO_DB[[#This Row],[SiteID]]&amp;"_"&amp;DO_DB[[#This Row],[Material Name]]</f>
        <v>CLR31-05-043_FDT-48</v>
      </c>
      <c r="Q319" t="str">
        <f>DO_DB[[#This Row],[DO Number]]</f>
        <v>DOEID240416AU</v>
      </c>
      <c r="R319" t="str">
        <f>DO_DB[[#This Row],[DN Number]]</f>
        <v>DNWID0342024041725</v>
      </c>
    </row>
    <row r="320" spans="1:18">
      <c r="A320" t="s">
        <v>1245</v>
      </c>
      <c r="B320" t="s">
        <v>1246</v>
      </c>
      <c r="C320" s="172" t="s">
        <v>4482</v>
      </c>
      <c r="D320" t="s">
        <v>71</v>
      </c>
      <c r="E320" t="s">
        <v>26</v>
      </c>
      <c r="F320" t="s">
        <v>3148</v>
      </c>
      <c r="G320" t="s">
        <v>1271</v>
      </c>
      <c r="H320" t="s">
        <v>1272</v>
      </c>
      <c r="I320" s="130">
        <v>45400</v>
      </c>
      <c r="J320" t="s">
        <v>13</v>
      </c>
      <c r="K320">
        <v>9</v>
      </c>
      <c r="M3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20" t="str">
        <f>DO_DB[[#This Row],[Material Pick-update]]&amp;"_"&amp;DO_DB[[#This Row],[Material Name]]</f>
        <v>45400_FAT-16</v>
      </c>
      <c r="O320" t="str">
        <f>DO_DB[[#This Row],[SiteID]]</f>
        <v>CLR31-05-043</v>
      </c>
      <c r="P320" t="str">
        <f>DO_DB[[#This Row],[SiteID]]&amp;"_"&amp;DO_DB[[#This Row],[Material Name]]</f>
        <v>CLR31-05-043_FAT-16</v>
      </c>
      <c r="Q320" t="str">
        <f>DO_DB[[#This Row],[DO Number]]</f>
        <v>DOEID240416AU</v>
      </c>
      <c r="R320" t="str">
        <f>DO_DB[[#This Row],[DN Number]]</f>
        <v>DNWID0342024041725</v>
      </c>
    </row>
    <row r="321" spans="1:18">
      <c r="A321" t="s">
        <v>1245</v>
      </c>
      <c r="B321" t="s">
        <v>1246</v>
      </c>
      <c r="C321" s="172" t="s">
        <v>4482</v>
      </c>
      <c r="D321" t="s">
        <v>71</v>
      </c>
      <c r="E321" t="s">
        <v>26</v>
      </c>
      <c r="F321" t="s">
        <v>3148</v>
      </c>
      <c r="G321" t="s">
        <v>1271</v>
      </c>
      <c r="H321" t="s">
        <v>1272</v>
      </c>
      <c r="I321" s="130">
        <v>45400</v>
      </c>
      <c r="J321" t="s">
        <v>3080</v>
      </c>
      <c r="K321">
        <v>3</v>
      </c>
      <c r="M3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21" t="str">
        <f>DO_DB[[#This Row],[Material Pick-update]]&amp;"_"&amp;DO_DB[[#This Row],[Material Name]]</f>
        <v>45400_1:8 SPL for FDT-AE &amp; UG</v>
      </c>
      <c r="O321" t="str">
        <f>DO_DB[[#This Row],[SiteID]]</f>
        <v>CLR31-05-043</v>
      </c>
      <c r="P321" t="str">
        <f>DO_DB[[#This Row],[SiteID]]&amp;"_"&amp;DO_DB[[#This Row],[Material Name]]</f>
        <v>CLR31-05-043_1:8 SPL for FDT-AE &amp; UG</v>
      </c>
      <c r="Q321" t="str">
        <f>DO_DB[[#This Row],[DO Number]]</f>
        <v>DOEID240416AU</v>
      </c>
      <c r="R321" t="str">
        <f>DO_DB[[#This Row],[DN Number]]</f>
        <v>DNWID0342024041725</v>
      </c>
    </row>
    <row r="322" spans="1:18">
      <c r="A322" t="s">
        <v>1221</v>
      </c>
      <c r="B322" t="s">
        <v>1222</v>
      </c>
      <c r="C322" s="172" t="s">
        <v>4482</v>
      </c>
      <c r="D322" t="s">
        <v>71</v>
      </c>
      <c r="E322" t="s">
        <v>26</v>
      </c>
      <c r="F322" t="s">
        <v>3148</v>
      </c>
      <c r="G322" t="s">
        <v>1223</v>
      </c>
      <c r="H322" t="s">
        <v>1224</v>
      </c>
      <c r="I322" s="130">
        <v>45400</v>
      </c>
      <c r="J322" t="s">
        <v>3069</v>
      </c>
      <c r="K322">
        <v>11</v>
      </c>
      <c r="M3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22" t="str">
        <f>DO_DB[[#This Row],[Material Pick-update]]&amp;"_"&amp;DO_DB[[#This Row],[Material Name]]</f>
        <v>45400_Pole 7M 4"</v>
      </c>
      <c r="O322" t="str">
        <f>DO_DB[[#This Row],[SiteID]]</f>
        <v>CLR31-05-039</v>
      </c>
      <c r="P322" t="str">
        <f>DO_DB[[#This Row],[SiteID]]&amp;"_"&amp;DO_DB[[#This Row],[Material Name]]</f>
        <v>CLR31-05-039_Pole 7M 4"</v>
      </c>
      <c r="Q322" t="str">
        <f>DO_DB[[#This Row],[DO Number]]</f>
        <v>DOEID240416AV</v>
      </c>
      <c r="R322" t="str">
        <f>DO_DB[[#This Row],[DN Number]]</f>
        <v>DNWID0362024041711</v>
      </c>
    </row>
    <row r="323" spans="1:18">
      <c r="A323" t="s">
        <v>1221</v>
      </c>
      <c r="B323" t="s">
        <v>1222</v>
      </c>
      <c r="C323" s="172" t="s">
        <v>4482</v>
      </c>
      <c r="D323" t="s">
        <v>71</v>
      </c>
      <c r="E323" t="s">
        <v>26</v>
      </c>
      <c r="F323" t="s">
        <v>3148</v>
      </c>
      <c r="G323" t="s">
        <v>1223</v>
      </c>
      <c r="H323" t="s">
        <v>1224</v>
      </c>
      <c r="I323" s="130">
        <v>45400</v>
      </c>
      <c r="J323" t="s">
        <v>3070</v>
      </c>
      <c r="K323">
        <v>1</v>
      </c>
      <c r="M3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23" t="str">
        <f>DO_DB[[#This Row],[Material Pick-update]]&amp;"_"&amp;DO_DB[[#This Row],[Material Name]]</f>
        <v>45400_Pole 7M 3"</v>
      </c>
      <c r="O323" t="str">
        <f>DO_DB[[#This Row],[SiteID]]</f>
        <v>CLR31-05-039</v>
      </c>
      <c r="P323" t="str">
        <f>DO_DB[[#This Row],[SiteID]]&amp;"_"&amp;DO_DB[[#This Row],[Material Name]]</f>
        <v>CLR31-05-039_Pole 7M 3"</v>
      </c>
      <c r="Q323" t="str">
        <f>DO_DB[[#This Row],[DO Number]]</f>
        <v>DOEID240416AV</v>
      </c>
      <c r="R323" t="str">
        <f>DO_DB[[#This Row],[DN Number]]</f>
        <v>DNWID0362024041711</v>
      </c>
    </row>
    <row r="324" spans="1:18">
      <c r="A324" t="s">
        <v>1221</v>
      </c>
      <c r="B324" t="s">
        <v>1222</v>
      </c>
      <c r="C324" s="172" t="s">
        <v>4482</v>
      </c>
      <c r="D324" t="s">
        <v>71</v>
      </c>
      <c r="E324" t="s">
        <v>26</v>
      </c>
      <c r="F324" t="s">
        <v>3148</v>
      </c>
      <c r="G324" t="s">
        <v>1261</v>
      </c>
      <c r="H324" t="s">
        <v>1262</v>
      </c>
      <c r="I324" s="130">
        <v>45400</v>
      </c>
      <c r="J324" t="s">
        <v>4856</v>
      </c>
      <c r="K324">
        <v>1</v>
      </c>
      <c r="M3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24" t="str">
        <f>DO_DB[[#This Row],[Material Pick-update]]&amp;"_"&amp;DO_DB[[#This Row],[Material Name]]</f>
        <v>45400_JC 144Core</v>
      </c>
      <c r="O324" t="str">
        <f>DO_DB[[#This Row],[SiteID]]</f>
        <v>CLR31-05-039</v>
      </c>
      <c r="P324" t="str">
        <f>DO_DB[[#This Row],[SiteID]]&amp;"_"&amp;DO_DB[[#This Row],[Material Name]]</f>
        <v>CLR31-05-039_JC 144Core</v>
      </c>
      <c r="Q324" t="str">
        <f>DO_DB[[#This Row],[DO Number]]</f>
        <v>DOEID240416AW</v>
      </c>
      <c r="R324" t="str">
        <f>DO_DB[[#This Row],[DN Number]]</f>
        <v>DNWID0762024041703</v>
      </c>
    </row>
    <row r="325" spans="1:18">
      <c r="A325" t="s">
        <v>1221</v>
      </c>
      <c r="B325" t="s">
        <v>1222</v>
      </c>
      <c r="C325" s="172" t="s">
        <v>4482</v>
      </c>
      <c r="D325" t="s">
        <v>71</v>
      </c>
      <c r="E325" t="s">
        <v>26</v>
      </c>
      <c r="F325" t="s">
        <v>3148</v>
      </c>
      <c r="G325" t="s">
        <v>1269</v>
      </c>
      <c r="H325" t="s">
        <v>1270</v>
      </c>
      <c r="I325" s="130">
        <v>45400</v>
      </c>
      <c r="J325" t="s">
        <v>14</v>
      </c>
      <c r="K325">
        <v>1</v>
      </c>
      <c r="M3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25" t="str">
        <f>DO_DB[[#This Row],[Material Pick-update]]&amp;"_"&amp;DO_DB[[#This Row],[Material Name]]</f>
        <v>45400_FDT-48</v>
      </c>
      <c r="O325" t="str">
        <f>DO_DB[[#This Row],[SiteID]]</f>
        <v>CLR31-05-039</v>
      </c>
      <c r="P325" t="str">
        <f>DO_DB[[#This Row],[SiteID]]&amp;"_"&amp;DO_DB[[#This Row],[Material Name]]</f>
        <v>CLR31-05-039_FDT-48</v>
      </c>
      <c r="Q325" t="str">
        <f>DO_DB[[#This Row],[DO Number]]</f>
        <v>DOEID240416AX</v>
      </c>
      <c r="R325" t="str">
        <f>DO_DB[[#This Row],[DN Number]]</f>
        <v>DNWID0342024041722</v>
      </c>
    </row>
    <row r="326" spans="1:18">
      <c r="A326" t="s">
        <v>1221</v>
      </c>
      <c r="B326" t="s">
        <v>1222</v>
      </c>
      <c r="C326" s="172" t="s">
        <v>4482</v>
      </c>
      <c r="D326" t="s">
        <v>71</v>
      </c>
      <c r="E326" t="s">
        <v>26</v>
      </c>
      <c r="F326" t="s">
        <v>3148</v>
      </c>
      <c r="G326" t="s">
        <v>1269</v>
      </c>
      <c r="H326" t="s">
        <v>1270</v>
      </c>
      <c r="I326" s="130">
        <v>45400</v>
      </c>
      <c r="J326" t="s">
        <v>13</v>
      </c>
      <c r="K326">
        <v>5</v>
      </c>
      <c r="M3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26" t="str">
        <f>DO_DB[[#This Row],[Material Pick-update]]&amp;"_"&amp;DO_DB[[#This Row],[Material Name]]</f>
        <v>45400_FAT-16</v>
      </c>
      <c r="O326" t="str">
        <f>DO_DB[[#This Row],[SiteID]]</f>
        <v>CLR31-05-039</v>
      </c>
      <c r="P326" t="str">
        <f>DO_DB[[#This Row],[SiteID]]&amp;"_"&amp;DO_DB[[#This Row],[Material Name]]</f>
        <v>CLR31-05-039_FAT-16</v>
      </c>
      <c r="Q326" t="str">
        <f>DO_DB[[#This Row],[DO Number]]</f>
        <v>DOEID240416AX</v>
      </c>
      <c r="R326" t="str">
        <f>DO_DB[[#This Row],[DN Number]]</f>
        <v>DNWID0342024041722</v>
      </c>
    </row>
    <row r="327" spans="1:18">
      <c r="A327" t="s">
        <v>1221</v>
      </c>
      <c r="B327" t="s">
        <v>1222</v>
      </c>
      <c r="C327" s="172" t="s">
        <v>4482</v>
      </c>
      <c r="D327" t="s">
        <v>71</v>
      </c>
      <c r="E327" t="s">
        <v>26</v>
      </c>
      <c r="F327" t="s">
        <v>3148</v>
      </c>
      <c r="G327" t="s">
        <v>1269</v>
      </c>
      <c r="H327" t="s">
        <v>1270</v>
      </c>
      <c r="I327" s="130">
        <v>45400</v>
      </c>
      <c r="J327" t="s">
        <v>3080</v>
      </c>
      <c r="K327">
        <v>3</v>
      </c>
      <c r="M3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27" t="str">
        <f>DO_DB[[#This Row],[Material Pick-update]]&amp;"_"&amp;DO_DB[[#This Row],[Material Name]]</f>
        <v>45400_1:8 SPL for FDT-AE &amp; UG</v>
      </c>
      <c r="O327" t="str">
        <f>DO_DB[[#This Row],[SiteID]]</f>
        <v>CLR31-05-039</v>
      </c>
      <c r="P327" t="str">
        <f>DO_DB[[#This Row],[SiteID]]&amp;"_"&amp;DO_DB[[#This Row],[Material Name]]</f>
        <v>CLR31-05-039_1:8 SPL for FDT-AE &amp; UG</v>
      </c>
      <c r="Q327" t="str">
        <f>DO_DB[[#This Row],[DO Number]]</f>
        <v>DOEID240416AX</v>
      </c>
      <c r="R327" t="str">
        <f>DO_DB[[#This Row],[DN Number]]</f>
        <v>DNWID0342024041722</v>
      </c>
    </row>
    <row r="328" spans="1:18">
      <c r="A328" t="s">
        <v>1217</v>
      </c>
      <c r="B328" t="s">
        <v>1218</v>
      </c>
      <c r="C328" s="172" t="s">
        <v>4482</v>
      </c>
      <c r="D328" t="s">
        <v>71</v>
      </c>
      <c r="E328" t="s">
        <v>26</v>
      </c>
      <c r="F328" t="s">
        <v>3148</v>
      </c>
      <c r="G328" t="s">
        <v>1219</v>
      </c>
      <c r="H328" t="s">
        <v>1220</v>
      </c>
      <c r="I328" s="130">
        <v>45400</v>
      </c>
      <c r="J328" t="s">
        <v>3069</v>
      </c>
      <c r="K328">
        <v>10</v>
      </c>
      <c r="M3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28" t="str">
        <f>DO_DB[[#This Row],[Material Pick-update]]&amp;"_"&amp;DO_DB[[#This Row],[Material Name]]</f>
        <v>45400_Pole 7M 4"</v>
      </c>
      <c r="O328" t="str">
        <f>DO_DB[[#This Row],[SiteID]]</f>
        <v>CLR31-05-040</v>
      </c>
      <c r="P328" t="str">
        <f>DO_DB[[#This Row],[SiteID]]&amp;"_"&amp;DO_DB[[#This Row],[Material Name]]</f>
        <v>CLR31-05-040_Pole 7M 4"</v>
      </c>
      <c r="Q328" t="str">
        <f>DO_DB[[#This Row],[DO Number]]</f>
        <v>DOEID240416AY</v>
      </c>
      <c r="R328" t="str">
        <f>DO_DB[[#This Row],[DN Number]]</f>
        <v>DNWID0362024041712</v>
      </c>
    </row>
    <row r="329" spans="1:18">
      <c r="A329" t="s">
        <v>1217</v>
      </c>
      <c r="B329" t="s">
        <v>1218</v>
      </c>
      <c r="C329" s="172" t="s">
        <v>4482</v>
      </c>
      <c r="D329" t="s">
        <v>71</v>
      </c>
      <c r="E329" t="s">
        <v>26</v>
      </c>
      <c r="F329" t="s">
        <v>3148</v>
      </c>
      <c r="G329" t="s">
        <v>1219</v>
      </c>
      <c r="H329" t="s">
        <v>1220</v>
      </c>
      <c r="I329" s="130">
        <v>45400</v>
      </c>
      <c r="J329" t="s">
        <v>3070</v>
      </c>
      <c r="K329">
        <v>3</v>
      </c>
      <c r="M3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29" t="str">
        <f>DO_DB[[#This Row],[Material Pick-update]]&amp;"_"&amp;DO_DB[[#This Row],[Material Name]]</f>
        <v>45400_Pole 7M 3"</v>
      </c>
      <c r="O329" t="str">
        <f>DO_DB[[#This Row],[SiteID]]</f>
        <v>CLR31-05-040</v>
      </c>
      <c r="P329" t="str">
        <f>DO_DB[[#This Row],[SiteID]]&amp;"_"&amp;DO_DB[[#This Row],[Material Name]]</f>
        <v>CLR31-05-040_Pole 7M 3"</v>
      </c>
      <c r="Q329" t="str">
        <f>DO_DB[[#This Row],[DO Number]]</f>
        <v>DOEID240416AY</v>
      </c>
      <c r="R329" t="str">
        <f>DO_DB[[#This Row],[DN Number]]</f>
        <v>DNWID0362024041712</v>
      </c>
    </row>
    <row r="330" spans="1:18">
      <c r="A330" t="s">
        <v>1217</v>
      </c>
      <c r="B330" t="s">
        <v>1218</v>
      </c>
      <c r="C330" s="172" t="s">
        <v>4482</v>
      </c>
      <c r="D330" t="s">
        <v>71</v>
      </c>
      <c r="E330" t="s">
        <v>26</v>
      </c>
      <c r="F330" t="s">
        <v>3148</v>
      </c>
      <c r="G330" t="s">
        <v>1265</v>
      </c>
      <c r="H330" t="s">
        <v>1266</v>
      </c>
      <c r="I330" s="130">
        <v>45400</v>
      </c>
      <c r="J330" t="s">
        <v>13</v>
      </c>
      <c r="K330">
        <v>6</v>
      </c>
      <c r="M3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30" t="str">
        <f>DO_DB[[#This Row],[Material Pick-update]]&amp;"_"&amp;DO_DB[[#This Row],[Material Name]]</f>
        <v>45400_FAT-16</v>
      </c>
      <c r="O330" t="str">
        <f>DO_DB[[#This Row],[SiteID]]</f>
        <v>CLR31-05-040</v>
      </c>
      <c r="P330" t="str">
        <f>DO_DB[[#This Row],[SiteID]]&amp;"_"&amp;DO_DB[[#This Row],[Material Name]]</f>
        <v>CLR31-05-040_FAT-16</v>
      </c>
      <c r="Q330" t="str">
        <f>DO_DB[[#This Row],[DO Number]]</f>
        <v>DOEID240416AZ</v>
      </c>
      <c r="R330" t="str">
        <f>DO_DB[[#This Row],[DN Number]]</f>
        <v>DNWID0342024041723</v>
      </c>
    </row>
    <row r="331" spans="1:18">
      <c r="A331" t="s">
        <v>1237</v>
      </c>
      <c r="B331" t="s">
        <v>1238</v>
      </c>
      <c r="C331" s="172" t="s">
        <v>4482</v>
      </c>
      <c r="D331" t="s">
        <v>71</v>
      </c>
      <c r="E331" t="s">
        <v>26</v>
      </c>
      <c r="F331" t="s">
        <v>3148</v>
      </c>
      <c r="G331" t="s">
        <v>1239</v>
      </c>
      <c r="H331" t="s">
        <v>1240</v>
      </c>
      <c r="I331" s="130">
        <v>45400</v>
      </c>
      <c r="J331" t="s">
        <v>3069</v>
      </c>
      <c r="K331">
        <v>9</v>
      </c>
      <c r="M3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31" t="str">
        <f>DO_DB[[#This Row],[Material Pick-update]]&amp;"_"&amp;DO_DB[[#This Row],[Material Name]]</f>
        <v>45400_Pole 7M 4"</v>
      </c>
      <c r="O331" t="str">
        <f>DO_DB[[#This Row],[SiteID]]</f>
        <v>CLR31-05-041</v>
      </c>
      <c r="P331" t="str">
        <f>DO_DB[[#This Row],[SiteID]]&amp;"_"&amp;DO_DB[[#This Row],[Material Name]]</f>
        <v>CLR31-05-041_Pole 7M 4"</v>
      </c>
      <c r="Q331" t="str">
        <f>DO_DB[[#This Row],[DO Number]]</f>
        <v>DOEID240416B0</v>
      </c>
      <c r="R331" t="str">
        <f>DO_DB[[#This Row],[DN Number]]</f>
        <v>DNWID0362024041713</v>
      </c>
    </row>
    <row r="332" spans="1:18">
      <c r="A332" t="s">
        <v>1237</v>
      </c>
      <c r="B332" t="s">
        <v>1238</v>
      </c>
      <c r="C332" s="172" t="s">
        <v>4482</v>
      </c>
      <c r="D332" t="s">
        <v>71</v>
      </c>
      <c r="E332" t="s">
        <v>26</v>
      </c>
      <c r="F332" t="s">
        <v>3148</v>
      </c>
      <c r="G332" t="s">
        <v>1239</v>
      </c>
      <c r="H332" t="s">
        <v>1240</v>
      </c>
      <c r="I332" s="130">
        <v>45400</v>
      </c>
      <c r="J332" t="s">
        <v>3070</v>
      </c>
      <c r="K332">
        <v>3</v>
      </c>
      <c r="M3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32" t="str">
        <f>DO_DB[[#This Row],[Material Pick-update]]&amp;"_"&amp;DO_DB[[#This Row],[Material Name]]</f>
        <v>45400_Pole 7M 3"</v>
      </c>
      <c r="O332" t="str">
        <f>DO_DB[[#This Row],[SiteID]]</f>
        <v>CLR31-05-041</v>
      </c>
      <c r="P332" t="str">
        <f>DO_DB[[#This Row],[SiteID]]&amp;"_"&amp;DO_DB[[#This Row],[Material Name]]</f>
        <v>CLR31-05-041_Pole 7M 3"</v>
      </c>
      <c r="Q332" t="str">
        <f>DO_DB[[#This Row],[DO Number]]</f>
        <v>DOEID240416B0</v>
      </c>
      <c r="R332" t="str">
        <f>DO_DB[[#This Row],[DN Number]]</f>
        <v>DNWID0362024041713</v>
      </c>
    </row>
    <row r="333" spans="1:18">
      <c r="A333" t="s">
        <v>1237</v>
      </c>
      <c r="B333" t="s">
        <v>1238</v>
      </c>
      <c r="C333" s="172" t="s">
        <v>4482</v>
      </c>
      <c r="D333" t="s">
        <v>71</v>
      </c>
      <c r="E333" t="s">
        <v>26</v>
      </c>
      <c r="F333" t="s">
        <v>3148</v>
      </c>
      <c r="G333" t="s">
        <v>1267</v>
      </c>
      <c r="H333" t="s">
        <v>1268</v>
      </c>
      <c r="I333" s="130">
        <v>45400</v>
      </c>
      <c r="J333" t="s">
        <v>13</v>
      </c>
      <c r="K333">
        <v>9</v>
      </c>
      <c r="M3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33" t="str">
        <f>DO_DB[[#This Row],[Material Pick-update]]&amp;"_"&amp;DO_DB[[#This Row],[Material Name]]</f>
        <v>45400_FAT-16</v>
      </c>
      <c r="O333" t="str">
        <f>DO_DB[[#This Row],[SiteID]]</f>
        <v>CLR31-05-041</v>
      </c>
      <c r="P333" t="str">
        <f>DO_DB[[#This Row],[SiteID]]&amp;"_"&amp;DO_DB[[#This Row],[Material Name]]</f>
        <v>CLR31-05-041_FAT-16</v>
      </c>
      <c r="Q333" t="str">
        <f>DO_DB[[#This Row],[DO Number]]</f>
        <v>DOEID240416B1</v>
      </c>
      <c r="R333" t="str">
        <f>DO_DB[[#This Row],[DN Number]]</f>
        <v>DNWID0342024041724</v>
      </c>
    </row>
    <row r="334" spans="1:18">
      <c r="A334" t="s">
        <v>1233</v>
      </c>
      <c r="B334" t="s">
        <v>1234</v>
      </c>
      <c r="C334" s="172" t="s">
        <v>4482</v>
      </c>
      <c r="D334" t="s">
        <v>71</v>
      </c>
      <c r="E334" t="s">
        <v>26</v>
      </c>
      <c r="F334" t="s">
        <v>3148</v>
      </c>
      <c r="G334" t="s">
        <v>1235</v>
      </c>
      <c r="H334" t="s">
        <v>1236</v>
      </c>
      <c r="I334" s="130">
        <v>45400</v>
      </c>
      <c r="J334" t="s">
        <v>3069</v>
      </c>
      <c r="K334">
        <v>44</v>
      </c>
      <c r="M3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34" t="str">
        <f>DO_DB[[#This Row],[Material Pick-update]]&amp;"_"&amp;DO_DB[[#This Row],[Material Name]]</f>
        <v>45400_Pole 7M 4"</v>
      </c>
      <c r="O334" t="str">
        <f>DO_DB[[#This Row],[SiteID]]</f>
        <v>CLR31-05-029</v>
      </c>
      <c r="P334" t="str">
        <f>DO_DB[[#This Row],[SiteID]]&amp;"_"&amp;DO_DB[[#This Row],[Material Name]]</f>
        <v>CLR31-05-029_Pole 7M 4"</v>
      </c>
      <c r="Q334" t="str">
        <f>DO_DB[[#This Row],[DO Number]]</f>
        <v>DOEID240416B2</v>
      </c>
      <c r="R334" t="str">
        <f>DO_DB[[#This Row],[DN Number]]</f>
        <v>DNWID0362024041708</v>
      </c>
    </row>
    <row r="335" spans="1:18">
      <c r="A335" t="s">
        <v>1233</v>
      </c>
      <c r="B335" t="s">
        <v>1234</v>
      </c>
      <c r="C335" s="172" t="s">
        <v>4482</v>
      </c>
      <c r="D335" t="s">
        <v>71</v>
      </c>
      <c r="E335" t="s">
        <v>26</v>
      </c>
      <c r="F335" t="s">
        <v>3148</v>
      </c>
      <c r="G335" t="s">
        <v>1235</v>
      </c>
      <c r="H335" t="s">
        <v>1236</v>
      </c>
      <c r="I335" s="130">
        <v>45400</v>
      </c>
      <c r="J335" t="s">
        <v>3070</v>
      </c>
      <c r="K335">
        <v>6</v>
      </c>
      <c r="M3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35" t="str">
        <f>DO_DB[[#This Row],[Material Pick-update]]&amp;"_"&amp;DO_DB[[#This Row],[Material Name]]</f>
        <v>45400_Pole 7M 3"</v>
      </c>
      <c r="O335" t="str">
        <f>DO_DB[[#This Row],[SiteID]]</f>
        <v>CLR31-05-029</v>
      </c>
      <c r="P335" t="str">
        <f>DO_DB[[#This Row],[SiteID]]&amp;"_"&amp;DO_DB[[#This Row],[Material Name]]</f>
        <v>CLR31-05-029_Pole 7M 3"</v>
      </c>
      <c r="Q335" t="str">
        <f>DO_DB[[#This Row],[DO Number]]</f>
        <v>DOEID240416B2</v>
      </c>
      <c r="R335" t="str">
        <f>DO_DB[[#This Row],[DN Number]]</f>
        <v>DNWID0362024041708</v>
      </c>
    </row>
    <row r="336" spans="1:18">
      <c r="A336" t="s">
        <v>1233</v>
      </c>
      <c r="B336" t="s">
        <v>1234</v>
      </c>
      <c r="C336" s="172" t="s">
        <v>4482</v>
      </c>
      <c r="D336" t="s">
        <v>71</v>
      </c>
      <c r="E336" t="s">
        <v>26</v>
      </c>
      <c r="F336" t="s">
        <v>3148</v>
      </c>
      <c r="G336" t="s">
        <v>1283</v>
      </c>
      <c r="H336" t="s">
        <v>1284</v>
      </c>
      <c r="I336" s="130">
        <v>45400</v>
      </c>
      <c r="J336" t="s">
        <v>14</v>
      </c>
      <c r="K336">
        <v>1</v>
      </c>
      <c r="M3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36" t="str">
        <f>DO_DB[[#This Row],[Material Pick-update]]&amp;"_"&amp;DO_DB[[#This Row],[Material Name]]</f>
        <v>45400_FDT-48</v>
      </c>
      <c r="O336" t="str">
        <f>DO_DB[[#This Row],[SiteID]]</f>
        <v>CLR31-05-029</v>
      </c>
      <c r="P336" t="str">
        <f>DO_DB[[#This Row],[SiteID]]&amp;"_"&amp;DO_DB[[#This Row],[Material Name]]</f>
        <v>CLR31-05-029_FDT-48</v>
      </c>
      <c r="Q336" t="str">
        <f>DO_DB[[#This Row],[DO Number]]</f>
        <v>DOEID240416B3</v>
      </c>
      <c r="R336" t="str">
        <f>DO_DB[[#This Row],[DN Number]]</f>
        <v>DNWID0342024041716</v>
      </c>
    </row>
    <row r="337" spans="1:18">
      <c r="A337" t="s">
        <v>1233</v>
      </c>
      <c r="B337" t="s">
        <v>1234</v>
      </c>
      <c r="C337" s="172" t="s">
        <v>4482</v>
      </c>
      <c r="D337" t="s">
        <v>71</v>
      </c>
      <c r="E337" t="s">
        <v>26</v>
      </c>
      <c r="F337" t="s">
        <v>3148</v>
      </c>
      <c r="G337" t="s">
        <v>1283</v>
      </c>
      <c r="H337" t="s">
        <v>1284</v>
      </c>
      <c r="I337" s="130">
        <v>45400</v>
      </c>
      <c r="J337" t="s">
        <v>13</v>
      </c>
      <c r="K337">
        <v>4</v>
      </c>
      <c r="M3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37" t="str">
        <f>DO_DB[[#This Row],[Material Pick-update]]&amp;"_"&amp;DO_DB[[#This Row],[Material Name]]</f>
        <v>45400_FAT-16</v>
      </c>
      <c r="O337" t="str">
        <f>DO_DB[[#This Row],[SiteID]]</f>
        <v>CLR31-05-029</v>
      </c>
      <c r="P337" t="str">
        <f>DO_DB[[#This Row],[SiteID]]&amp;"_"&amp;DO_DB[[#This Row],[Material Name]]</f>
        <v>CLR31-05-029_FAT-16</v>
      </c>
      <c r="Q337" t="str">
        <f>DO_DB[[#This Row],[DO Number]]</f>
        <v>DOEID240416B3</v>
      </c>
      <c r="R337" t="str">
        <f>DO_DB[[#This Row],[DN Number]]</f>
        <v>DNWID0342024041716</v>
      </c>
    </row>
    <row r="338" spans="1:18">
      <c r="A338" t="s">
        <v>1233</v>
      </c>
      <c r="B338" t="s">
        <v>1234</v>
      </c>
      <c r="C338" s="172" t="s">
        <v>4482</v>
      </c>
      <c r="D338" t="s">
        <v>71</v>
      </c>
      <c r="E338" t="s">
        <v>26</v>
      </c>
      <c r="F338" t="s">
        <v>3148</v>
      </c>
      <c r="G338" t="s">
        <v>1283</v>
      </c>
      <c r="H338" t="s">
        <v>1284</v>
      </c>
      <c r="I338" s="130">
        <v>45400</v>
      </c>
      <c r="J338" t="s">
        <v>3080</v>
      </c>
      <c r="K338">
        <v>3</v>
      </c>
      <c r="M3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38" t="str">
        <f>DO_DB[[#This Row],[Material Pick-update]]&amp;"_"&amp;DO_DB[[#This Row],[Material Name]]</f>
        <v>45400_1:8 SPL for FDT-AE &amp; UG</v>
      </c>
      <c r="O338" t="str">
        <f>DO_DB[[#This Row],[SiteID]]</f>
        <v>CLR31-05-029</v>
      </c>
      <c r="P338" t="str">
        <f>DO_DB[[#This Row],[SiteID]]&amp;"_"&amp;DO_DB[[#This Row],[Material Name]]</f>
        <v>CLR31-05-029_1:8 SPL for FDT-AE &amp; UG</v>
      </c>
      <c r="Q338" t="str">
        <f>DO_DB[[#This Row],[DO Number]]</f>
        <v>DOEID240416B3</v>
      </c>
      <c r="R338" t="str">
        <f>DO_DB[[#This Row],[DN Number]]</f>
        <v>DNWID0342024041716</v>
      </c>
    </row>
    <row r="339" spans="1:18">
      <c r="A339" t="s">
        <v>1225</v>
      </c>
      <c r="B339" t="s">
        <v>1226</v>
      </c>
      <c r="C339" s="172" t="s">
        <v>4482</v>
      </c>
      <c r="D339" t="s">
        <v>71</v>
      </c>
      <c r="E339" t="s">
        <v>26</v>
      </c>
      <c r="F339" t="s">
        <v>3148</v>
      </c>
      <c r="G339" t="s">
        <v>1227</v>
      </c>
      <c r="H339" t="s">
        <v>1228</v>
      </c>
      <c r="I339" s="130">
        <v>45400</v>
      </c>
      <c r="J339" t="s">
        <v>3069</v>
      </c>
      <c r="K339">
        <v>48</v>
      </c>
      <c r="M3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39" t="str">
        <f>DO_DB[[#This Row],[Material Pick-update]]&amp;"_"&amp;DO_DB[[#This Row],[Material Name]]</f>
        <v>45400_Pole 7M 4"</v>
      </c>
      <c r="O339" t="str">
        <f>DO_DB[[#This Row],[SiteID]]</f>
        <v>CLR31-05-033</v>
      </c>
      <c r="P339" t="str">
        <f>DO_DB[[#This Row],[SiteID]]&amp;"_"&amp;DO_DB[[#This Row],[Material Name]]</f>
        <v>CLR31-05-033_Pole 7M 4"</v>
      </c>
      <c r="Q339" t="str">
        <f>DO_DB[[#This Row],[DO Number]]</f>
        <v>DOEID240416B4</v>
      </c>
      <c r="R339" t="str">
        <f>DO_DB[[#This Row],[DN Number]]</f>
        <v>DNWID0362024041709</v>
      </c>
    </row>
    <row r="340" spans="1:18">
      <c r="A340" t="s">
        <v>1225</v>
      </c>
      <c r="B340" t="s">
        <v>1226</v>
      </c>
      <c r="C340" s="172" t="s">
        <v>4482</v>
      </c>
      <c r="D340" t="s">
        <v>71</v>
      </c>
      <c r="E340" t="s">
        <v>26</v>
      </c>
      <c r="F340" t="s">
        <v>3148</v>
      </c>
      <c r="G340" t="s">
        <v>1227</v>
      </c>
      <c r="H340" t="s">
        <v>1228</v>
      </c>
      <c r="I340" s="130">
        <v>45400</v>
      </c>
      <c r="J340" t="s">
        <v>3070</v>
      </c>
      <c r="K340">
        <v>2</v>
      </c>
      <c r="M3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40" t="str">
        <f>DO_DB[[#This Row],[Material Pick-update]]&amp;"_"&amp;DO_DB[[#This Row],[Material Name]]</f>
        <v>45400_Pole 7M 3"</v>
      </c>
      <c r="O340" t="str">
        <f>DO_DB[[#This Row],[SiteID]]</f>
        <v>CLR31-05-033</v>
      </c>
      <c r="P340" t="str">
        <f>DO_DB[[#This Row],[SiteID]]&amp;"_"&amp;DO_DB[[#This Row],[Material Name]]</f>
        <v>CLR31-05-033_Pole 7M 3"</v>
      </c>
      <c r="Q340" t="str">
        <f>DO_DB[[#This Row],[DO Number]]</f>
        <v>DOEID240416B4</v>
      </c>
      <c r="R340" t="str">
        <f>DO_DB[[#This Row],[DN Number]]</f>
        <v>DNWID0362024041709</v>
      </c>
    </row>
    <row r="341" spans="1:18">
      <c r="A341" t="s">
        <v>1225</v>
      </c>
      <c r="B341" t="s">
        <v>1226</v>
      </c>
      <c r="C341" s="172" t="s">
        <v>4482</v>
      </c>
      <c r="D341" t="s">
        <v>71</v>
      </c>
      <c r="E341" t="s">
        <v>26</v>
      </c>
      <c r="F341" t="s">
        <v>3148</v>
      </c>
      <c r="G341" t="s">
        <v>1257</v>
      </c>
      <c r="H341" t="s">
        <v>1258</v>
      </c>
      <c r="I341" s="130">
        <v>45400</v>
      </c>
      <c r="J341" t="s">
        <v>4856</v>
      </c>
      <c r="K341">
        <v>1</v>
      </c>
      <c r="M3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41" t="str">
        <f>DO_DB[[#This Row],[Material Pick-update]]&amp;"_"&amp;DO_DB[[#This Row],[Material Name]]</f>
        <v>45400_JC 144Core</v>
      </c>
      <c r="O341" t="str">
        <f>DO_DB[[#This Row],[SiteID]]</f>
        <v>CLR31-05-033</v>
      </c>
      <c r="P341" t="str">
        <f>DO_DB[[#This Row],[SiteID]]&amp;"_"&amp;DO_DB[[#This Row],[Material Name]]</f>
        <v>CLR31-05-033_JC 144Core</v>
      </c>
      <c r="Q341" t="str">
        <f>DO_DB[[#This Row],[DO Number]]</f>
        <v>DOEID240416B5</v>
      </c>
      <c r="R341" t="str">
        <f>DO_DB[[#This Row],[DN Number]]</f>
        <v>DNWID0762024041701</v>
      </c>
    </row>
    <row r="342" spans="1:18">
      <c r="A342" t="s">
        <v>1225</v>
      </c>
      <c r="B342" t="s">
        <v>1226</v>
      </c>
      <c r="C342" s="172" t="s">
        <v>4482</v>
      </c>
      <c r="D342" t="s">
        <v>71</v>
      </c>
      <c r="E342" t="s">
        <v>26</v>
      </c>
      <c r="F342" t="s">
        <v>3148</v>
      </c>
      <c r="G342" t="s">
        <v>1281</v>
      </c>
      <c r="H342" t="s">
        <v>1282</v>
      </c>
      <c r="I342" s="130">
        <v>45400</v>
      </c>
      <c r="J342" t="s">
        <v>14</v>
      </c>
      <c r="K342">
        <v>1</v>
      </c>
      <c r="M3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42" t="str">
        <f>DO_DB[[#This Row],[Material Pick-update]]&amp;"_"&amp;DO_DB[[#This Row],[Material Name]]</f>
        <v>45400_FDT-48</v>
      </c>
      <c r="O342" t="str">
        <f>DO_DB[[#This Row],[SiteID]]</f>
        <v>CLR31-05-033</v>
      </c>
      <c r="P342" t="str">
        <f>DO_DB[[#This Row],[SiteID]]&amp;"_"&amp;DO_DB[[#This Row],[Material Name]]</f>
        <v>CLR31-05-033_FDT-48</v>
      </c>
      <c r="Q342" t="str">
        <f>DO_DB[[#This Row],[DO Number]]</f>
        <v>DOEID240416B6</v>
      </c>
      <c r="R342" t="str">
        <f>DO_DB[[#This Row],[DN Number]]</f>
        <v>DNWID0342024041715</v>
      </c>
    </row>
    <row r="343" spans="1:18">
      <c r="A343" t="s">
        <v>1225</v>
      </c>
      <c r="B343" t="s">
        <v>1226</v>
      </c>
      <c r="C343" s="172" t="s">
        <v>4482</v>
      </c>
      <c r="D343" t="s">
        <v>71</v>
      </c>
      <c r="E343" t="s">
        <v>26</v>
      </c>
      <c r="F343" t="s">
        <v>3148</v>
      </c>
      <c r="G343" t="s">
        <v>1281</v>
      </c>
      <c r="H343" t="s">
        <v>1282</v>
      </c>
      <c r="I343" s="130">
        <v>45400</v>
      </c>
      <c r="J343" t="s">
        <v>3080</v>
      </c>
      <c r="K343">
        <v>3</v>
      </c>
      <c r="M3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43" t="str">
        <f>DO_DB[[#This Row],[Material Pick-update]]&amp;"_"&amp;DO_DB[[#This Row],[Material Name]]</f>
        <v>45400_1:8 SPL for FDT-AE &amp; UG</v>
      </c>
      <c r="O343" t="str">
        <f>DO_DB[[#This Row],[SiteID]]</f>
        <v>CLR31-05-033</v>
      </c>
      <c r="P343" t="str">
        <f>DO_DB[[#This Row],[SiteID]]&amp;"_"&amp;DO_DB[[#This Row],[Material Name]]</f>
        <v>CLR31-05-033_1:8 SPL for FDT-AE &amp; UG</v>
      </c>
      <c r="Q343" t="str">
        <f>DO_DB[[#This Row],[DO Number]]</f>
        <v>DOEID240416B6</v>
      </c>
      <c r="R343" t="str">
        <f>DO_DB[[#This Row],[DN Number]]</f>
        <v>DNWID0342024041715</v>
      </c>
    </row>
    <row r="344" spans="1:18">
      <c r="A344" t="s">
        <v>1249</v>
      </c>
      <c r="B344" t="s">
        <v>1250</v>
      </c>
      <c r="C344" s="172" t="s">
        <v>4482</v>
      </c>
      <c r="D344" t="s">
        <v>71</v>
      </c>
      <c r="E344" t="s">
        <v>26</v>
      </c>
      <c r="F344" t="s">
        <v>3148</v>
      </c>
      <c r="G344" t="s">
        <v>1251</v>
      </c>
      <c r="H344" t="s">
        <v>1252</v>
      </c>
      <c r="I344" s="130">
        <v>45400</v>
      </c>
      <c r="J344" t="s">
        <v>3069</v>
      </c>
      <c r="K344">
        <v>43</v>
      </c>
      <c r="M3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44" t="str">
        <f>DO_DB[[#This Row],[Material Pick-update]]&amp;"_"&amp;DO_DB[[#This Row],[Material Name]]</f>
        <v>45400_Pole 7M 4"</v>
      </c>
      <c r="O344" t="str">
        <f>DO_DB[[#This Row],[SiteID]]</f>
        <v>CLR31-05-021</v>
      </c>
      <c r="P344" t="str">
        <f>DO_DB[[#This Row],[SiteID]]&amp;"_"&amp;DO_DB[[#This Row],[Material Name]]</f>
        <v>CLR31-05-021_Pole 7M 4"</v>
      </c>
      <c r="Q344" t="str">
        <f>DO_DB[[#This Row],[DO Number]]</f>
        <v>DOEID240416B7</v>
      </c>
      <c r="R344" t="str">
        <f>DO_DB[[#This Row],[DN Number]]</f>
        <v>DNWID0362024041716</v>
      </c>
    </row>
    <row r="345" spans="1:18">
      <c r="A345" t="s">
        <v>1249</v>
      </c>
      <c r="B345" t="s">
        <v>1250</v>
      </c>
      <c r="C345" s="172" t="s">
        <v>4482</v>
      </c>
      <c r="D345" t="s">
        <v>71</v>
      </c>
      <c r="E345" t="s">
        <v>26</v>
      </c>
      <c r="F345" t="s">
        <v>3148</v>
      </c>
      <c r="G345" t="s">
        <v>1251</v>
      </c>
      <c r="H345" t="s">
        <v>1252</v>
      </c>
      <c r="I345" s="130">
        <v>45400</v>
      </c>
      <c r="J345" t="s">
        <v>3070</v>
      </c>
      <c r="K345">
        <v>1</v>
      </c>
      <c r="M3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45" t="str">
        <f>DO_DB[[#This Row],[Material Pick-update]]&amp;"_"&amp;DO_DB[[#This Row],[Material Name]]</f>
        <v>45400_Pole 7M 3"</v>
      </c>
      <c r="O345" t="str">
        <f>DO_DB[[#This Row],[SiteID]]</f>
        <v>CLR31-05-021</v>
      </c>
      <c r="P345" t="str">
        <f>DO_DB[[#This Row],[SiteID]]&amp;"_"&amp;DO_DB[[#This Row],[Material Name]]</f>
        <v>CLR31-05-021_Pole 7M 3"</v>
      </c>
      <c r="Q345" t="str">
        <f>DO_DB[[#This Row],[DO Number]]</f>
        <v>DOEID240416B7</v>
      </c>
      <c r="R345" t="str">
        <f>DO_DB[[#This Row],[DN Number]]</f>
        <v>DNWID0362024041716</v>
      </c>
    </row>
    <row r="346" spans="1:18">
      <c r="A346" t="s">
        <v>1249</v>
      </c>
      <c r="B346" t="s">
        <v>1250</v>
      </c>
      <c r="C346" s="172" t="s">
        <v>4482</v>
      </c>
      <c r="D346" t="s">
        <v>71</v>
      </c>
      <c r="E346" t="s">
        <v>26</v>
      </c>
      <c r="F346" t="s">
        <v>3148</v>
      </c>
      <c r="G346" t="s">
        <v>1275</v>
      </c>
      <c r="H346" t="s">
        <v>1276</v>
      </c>
      <c r="I346" s="130">
        <v>45400</v>
      </c>
      <c r="J346" t="s">
        <v>14</v>
      </c>
      <c r="K346">
        <v>1</v>
      </c>
      <c r="M3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46" t="str">
        <f>DO_DB[[#This Row],[Material Pick-update]]&amp;"_"&amp;DO_DB[[#This Row],[Material Name]]</f>
        <v>45400_FDT-48</v>
      </c>
      <c r="O346" t="str">
        <f>DO_DB[[#This Row],[SiteID]]</f>
        <v>CLR31-05-021</v>
      </c>
      <c r="P346" t="str">
        <f>DO_DB[[#This Row],[SiteID]]&amp;"_"&amp;DO_DB[[#This Row],[Material Name]]</f>
        <v>CLR31-05-021_FDT-48</v>
      </c>
      <c r="Q346" t="str">
        <f>DO_DB[[#This Row],[DO Number]]</f>
        <v>DOEID240416B8</v>
      </c>
      <c r="R346" t="str">
        <f>DO_DB[[#This Row],[DN Number]]</f>
        <v>DNWID0342024041726</v>
      </c>
    </row>
    <row r="347" spans="1:18">
      <c r="A347" t="s">
        <v>1249</v>
      </c>
      <c r="B347" t="s">
        <v>1250</v>
      </c>
      <c r="C347" s="172" t="s">
        <v>4482</v>
      </c>
      <c r="D347" t="s">
        <v>71</v>
      </c>
      <c r="E347" t="s">
        <v>26</v>
      </c>
      <c r="F347" t="s">
        <v>3148</v>
      </c>
      <c r="G347" t="s">
        <v>1275</v>
      </c>
      <c r="H347" t="s">
        <v>1276</v>
      </c>
      <c r="I347" s="130">
        <v>45400</v>
      </c>
      <c r="J347" t="s">
        <v>3080</v>
      </c>
      <c r="K347">
        <v>3</v>
      </c>
      <c r="M3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47" t="str">
        <f>DO_DB[[#This Row],[Material Pick-update]]&amp;"_"&amp;DO_DB[[#This Row],[Material Name]]</f>
        <v>45400_1:8 SPL for FDT-AE &amp; UG</v>
      </c>
      <c r="O347" t="str">
        <f>DO_DB[[#This Row],[SiteID]]</f>
        <v>CLR31-05-021</v>
      </c>
      <c r="P347" t="str">
        <f>DO_DB[[#This Row],[SiteID]]&amp;"_"&amp;DO_DB[[#This Row],[Material Name]]</f>
        <v>CLR31-05-021_1:8 SPL for FDT-AE &amp; UG</v>
      </c>
      <c r="Q347" t="str">
        <f>DO_DB[[#This Row],[DO Number]]</f>
        <v>DOEID240416B8</v>
      </c>
      <c r="R347" t="str">
        <f>DO_DB[[#This Row],[DN Number]]</f>
        <v>DNWID0342024041726</v>
      </c>
    </row>
    <row r="348" spans="1:18">
      <c r="A348" t="s">
        <v>1253</v>
      </c>
      <c r="B348" t="s">
        <v>1254</v>
      </c>
      <c r="C348" s="172" t="s">
        <v>4482</v>
      </c>
      <c r="D348" t="s">
        <v>71</v>
      </c>
      <c r="E348" t="s">
        <v>26</v>
      </c>
      <c r="F348" t="s">
        <v>3148</v>
      </c>
      <c r="G348" t="s">
        <v>1263</v>
      </c>
      <c r="H348" t="s">
        <v>1264</v>
      </c>
      <c r="I348" s="130">
        <v>45400</v>
      </c>
      <c r="J348" t="s">
        <v>3069</v>
      </c>
      <c r="K348">
        <v>25</v>
      </c>
      <c r="M3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48" t="str">
        <f>DO_DB[[#This Row],[Material Pick-update]]&amp;"_"&amp;DO_DB[[#This Row],[Material Name]]</f>
        <v>45400_Pole 7M 4"</v>
      </c>
      <c r="O348" t="str">
        <f>DO_DB[[#This Row],[SiteID]]</f>
        <v>CLR31-05-035</v>
      </c>
      <c r="P348" t="str">
        <f>DO_DB[[#This Row],[SiteID]]&amp;"_"&amp;DO_DB[[#This Row],[Material Name]]</f>
        <v>CLR31-05-035_Pole 7M 4"</v>
      </c>
      <c r="Q348" t="str">
        <f>DO_DB[[#This Row],[DO Number]]</f>
        <v>DOEID240416BA</v>
      </c>
      <c r="R348" t="str">
        <f>DO_DB[[#This Row],[DN Number]]</f>
        <v>DNWID0362024041717</v>
      </c>
    </row>
    <row r="349" spans="1:18">
      <c r="A349" t="s">
        <v>1253</v>
      </c>
      <c r="B349" t="s">
        <v>1254</v>
      </c>
      <c r="C349" s="172" t="s">
        <v>4482</v>
      </c>
      <c r="D349" t="s">
        <v>71</v>
      </c>
      <c r="E349" t="s">
        <v>26</v>
      </c>
      <c r="F349" t="s">
        <v>3148</v>
      </c>
      <c r="G349" t="s">
        <v>1263</v>
      </c>
      <c r="H349" t="s">
        <v>1264</v>
      </c>
      <c r="I349" s="130">
        <v>45400</v>
      </c>
      <c r="J349" t="s">
        <v>3070</v>
      </c>
      <c r="K349">
        <v>4</v>
      </c>
      <c r="M3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49" t="str">
        <f>DO_DB[[#This Row],[Material Pick-update]]&amp;"_"&amp;DO_DB[[#This Row],[Material Name]]</f>
        <v>45400_Pole 7M 3"</v>
      </c>
      <c r="O349" t="str">
        <f>DO_DB[[#This Row],[SiteID]]</f>
        <v>CLR31-05-035</v>
      </c>
      <c r="P349" t="str">
        <f>DO_DB[[#This Row],[SiteID]]&amp;"_"&amp;DO_DB[[#This Row],[Material Name]]</f>
        <v>CLR31-05-035_Pole 7M 3"</v>
      </c>
      <c r="Q349" t="str">
        <f>DO_DB[[#This Row],[DO Number]]</f>
        <v>DOEID240416BA</v>
      </c>
      <c r="R349" t="str">
        <f>DO_DB[[#This Row],[DN Number]]</f>
        <v>DNWID0362024041717</v>
      </c>
    </row>
    <row r="350" spans="1:18">
      <c r="A350" t="s">
        <v>1253</v>
      </c>
      <c r="B350" t="s">
        <v>1254</v>
      </c>
      <c r="C350" s="172" t="s">
        <v>4482</v>
      </c>
      <c r="D350" t="s">
        <v>71</v>
      </c>
      <c r="E350" t="s">
        <v>26</v>
      </c>
      <c r="F350" t="s">
        <v>3148</v>
      </c>
      <c r="G350" t="s">
        <v>1255</v>
      </c>
      <c r="H350" t="s">
        <v>1256</v>
      </c>
      <c r="I350" s="130">
        <v>45400</v>
      </c>
      <c r="J350" t="s">
        <v>4856</v>
      </c>
      <c r="K350">
        <v>1</v>
      </c>
      <c r="M3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50" t="str">
        <f>DO_DB[[#This Row],[Material Pick-update]]&amp;"_"&amp;DO_DB[[#This Row],[Material Name]]</f>
        <v>45400_JC 144Core</v>
      </c>
      <c r="O350" t="str">
        <f>DO_DB[[#This Row],[SiteID]]</f>
        <v>CLR31-05-035</v>
      </c>
      <c r="P350" t="str">
        <f>DO_DB[[#This Row],[SiteID]]&amp;"_"&amp;DO_DB[[#This Row],[Material Name]]</f>
        <v>CLR31-05-035_JC 144Core</v>
      </c>
      <c r="Q350" t="str">
        <f>DO_DB[[#This Row],[DO Number]]</f>
        <v>DOEID240416BB</v>
      </c>
      <c r="R350" t="str">
        <f>DO_DB[[#This Row],[DN Number]]</f>
        <v>DNWID0762024041704</v>
      </c>
    </row>
    <row r="351" spans="1:18">
      <c r="A351" t="s">
        <v>1253</v>
      </c>
      <c r="B351" t="s">
        <v>1254</v>
      </c>
      <c r="C351" s="172" t="s">
        <v>4482</v>
      </c>
      <c r="D351" t="s">
        <v>71</v>
      </c>
      <c r="E351" t="s">
        <v>26</v>
      </c>
      <c r="F351" t="s">
        <v>3148</v>
      </c>
      <c r="G351" t="s">
        <v>1279</v>
      </c>
      <c r="H351" t="s">
        <v>1280</v>
      </c>
      <c r="I351" s="130">
        <v>45400</v>
      </c>
      <c r="J351" t="s">
        <v>14</v>
      </c>
      <c r="K351">
        <v>1</v>
      </c>
      <c r="M3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51" t="str">
        <f>DO_DB[[#This Row],[Material Pick-update]]&amp;"_"&amp;DO_DB[[#This Row],[Material Name]]</f>
        <v>45400_FDT-48</v>
      </c>
      <c r="O351" t="str">
        <f>DO_DB[[#This Row],[SiteID]]</f>
        <v>CLR31-05-035</v>
      </c>
      <c r="P351" t="str">
        <f>DO_DB[[#This Row],[SiteID]]&amp;"_"&amp;DO_DB[[#This Row],[Material Name]]</f>
        <v>CLR31-05-035_FDT-48</v>
      </c>
      <c r="Q351" t="str">
        <f>DO_DB[[#This Row],[DO Number]]</f>
        <v>DOEID240416BC</v>
      </c>
      <c r="R351" t="str">
        <f>DO_DB[[#This Row],[DN Number]]</f>
        <v>DNWID0342024041727</v>
      </c>
    </row>
    <row r="352" spans="1:18">
      <c r="A352" t="s">
        <v>1253</v>
      </c>
      <c r="B352" t="s">
        <v>1254</v>
      </c>
      <c r="C352" s="172" t="s">
        <v>4482</v>
      </c>
      <c r="D352" t="s">
        <v>71</v>
      </c>
      <c r="E352" t="s">
        <v>26</v>
      </c>
      <c r="F352" t="s">
        <v>3148</v>
      </c>
      <c r="G352" t="s">
        <v>1279</v>
      </c>
      <c r="H352" t="s">
        <v>1280</v>
      </c>
      <c r="I352" s="130">
        <v>45400</v>
      </c>
      <c r="J352" t="s">
        <v>3080</v>
      </c>
      <c r="K352">
        <v>3</v>
      </c>
      <c r="M3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52" t="str">
        <f>DO_DB[[#This Row],[Material Pick-update]]&amp;"_"&amp;DO_DB[[#This Row],[Material Name]]</f>
        <v>45400_1:8 SPL for FDT-AE &amp; UG</v>
      </c>
      <c r="O352" t="str">
        <f>DO_DB[[#This Row],[SiteID]]</f>
        <v>CLR31-05-035</v>
      </c>
      <c r="P352" t="str">
        <f>DO_DB[[#This Row],[SiteID]]&amp;"_"&amp;DO_DB[[#This Row],[Material Name]]</f>
        <v>CLR31-05-035_1:8 SPL for FDT-AE &amp; UG</v>
      </c>
      <c r="Q352" t="str">
        <f>DO_DB[[#This Row],[DO Number]]</f>
        <v>DOEID240416BC</v>
      </c>
      <c r="R352" t="str">
        <f>DO_DB[[#This Row],[DN Number]]</f>
        <v>DNWID0342024041727</v>
      </c>
    </row>
    <row r="353" spans="1:18">
      <c r="A353" t="s">
        <v>1233</v>
      </c>
      <c r="B353" t="s">
        <v>1234</v>
      </c>
      <c r="C353" s="172" t="s">
        <v>4482</v>
      </c>
      <c r="D353" t="s">
        <v>71</v>
      </c>
      <c r="E353" t="s">
        <v>26</v>
      </c>
      <c r="F353" t="s">
        <v>3148</v>
      </c>
      <c r="G353" t="s">
        <v>1309</v>
      </c>
      <c r="H353" t="s">
        <v>1310</v>
      </c>
      <c r="I353" s="130">
        <v>45407</v>
      </c>
      <c r="J353" t="s">
        <v>3073</v>
      </c>
      <c r="K353">
        <v>3000</v>
      </c>
      <c r="M3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24C-2024425-01</v>
      </c>
      <c r="N353" t="str">
        <f>DO_DB[[#This Row],[Material Pick-update]]&amp;"_"&amp;DO_DB[[#This Row],[Material Name]]</f>
        <v>45407_ADSS 24C</v>
      </c>
      <c r="O353" t="str">
        <f>DO_DB[[#This Row],[SiteID]]</f>
        <v>CLR31-05-029</v>
      </c>
      <c r="P353" t="str">
        <f>DO_DB[[#This Row],[SiteID]]&amp;"_"&amp;DO_DB[[#This Row],[Material Name]]</f>
        <v>CLR31-05-029_ADSS 24C</v>
      </c>
      <c r="Q353" t="str">
        <f>DO_DB[[#This Row],[DO Number]]</f>
        <v>DOEID240422AG</v>
      </c>
      <c r="R353" t="str">
        <f>DO_DB[[#This Row],[DN Number]]</f>
        <v>DNWID0342024042216</v>
      </c>
    </row>
    <row r="354" spans="1:18">
      <c r="A354" t="s">
        <v>1233</v>
      </c>
      <c r="B354" t="s">
        <v>1234</v>
      </c>
      <c r="C354" s="172" t="s">
        <v>4482</v>
      </c>
      <c r="D354" t="s">
        <v>71</v>
      </c>
      <c r="E354" t="s">
        <v>26</v>
      </c>
      <c r="F354" t="s">
        <v>3148</v>
      </c>
      <c r="G354" t="s">
        <v>1309</v>
      </c>
      <c r="H354" t="s">
        <v>1310</v>
      </c>
      <c r="I354" s="130">
        <v>45407</v>
      </c>
      <c r="J354" t="s">
        <v>3075</v>
      </c>
      <c r="K354">
        <v>3000</v>
      </c>
      <c r="M3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48C-2024425-01</v>
      </c>
      <c r="N354" t="str">
        <f>DO_DB[[#This Row],[Material Pick-update]]&amp;"_"&amp;DO_DB[[#This Row],[Material Name]]</f>
        <v>45407_ADSS 48C</v>
      </c>
      <c r="O354" t="str">
        <f>DO_DB[[#This Row],[SiteID]]</f>
        <v>CLR31-05-029</v>
      </c>
      <c r="P354" t="str">
        <f>DO_DB[[#This Row],[SiteID]]&amp;"_"&amp;DO_DB[[#This Row],[Material Name]]</f>
        <v>CLR31-05-029_ADSS 48C</v>
      </c>
      <c r="Q354" t="str">
        <f>DO_DB[[#This Row],[DO Number]]</f>
        <v>DOEID240422AG</v>
      </c>
      <c r="R354" t="str">
        <f>DO_DB[[#This Row],[DN Number]]</f>
        <v>DNWID0342024042216</v>
      </c>
    </row>
    <row r="355" spans="1:18">
      <c r="A355" t="s">
        <v>1225</v>
      </c>
      <c r="B355" t="s">
        <v>1226</v>
      </c>
      <c r="C355" s="172" t="s">
        <v>4482</v>
      </c>
      <c r="D355" t="s">
        <v>71</v>
      </c>
      <c r="E355" t="s">
        <v>26</v>
      </c>
      <c r="F355" t="s">
        <v>3148</v>
      </c>
      <c r="G355" t="s">
        <v>1307</v>
      </c>
      <c r="H355" t="s">
        <v>1308</v>
      </c>
      <c r="I355" s="130">
        <v>45407</v>
      </c>
      <c r="J355" t="s">
        <v>3075</v>
      </c>
      <c r="K355">
        <v>3000</v>
      </c>
      <c r="M3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48C-2024425-01</v>
      </c>
      <c r="N355" t="str">
        <f>DO_DB[[#This Row],[Material Pick-update]]&amp;"_"&amp;DO_DB[[#This Row],[Material Name]]</f>
        <v>45407_ADSS 48C</v>
      </c>
      <c r="O355" t="str">
        <f>DO_DB[[#This Row],[SiteID]]</f>
        <v>CLR31-05-033</v>
      </c>
      <c r="P355" t="str">
        <f>DO_DB[[#This Row],[SiteID]]&amp;"_"&amp;DO_DB[[#This Row],[Material Name]]</f>
        <v>CLR31-05-033_ADSS 48C</v>
      </c>
      <c r="Q355" t="str">
        <f>DO_DB[[#This Row],[DO Number]]</f>
        <v>DOEID240422AI</v>
      </c>
      <c r="R355" t="str">
        <f>DO_DB[[#This Row],[DN Number]]</f>
        <v>DNWID0342024042218</v>
      </c>
    </row>
    <row r="356" spans="1:18">
      <c r="A356" t="s">
        <v>1245</v>
      </c>
      <c r="B356" t="s">
        <v>1246</v>
      </c>
      <c r="C356" s="172" t="s">
        <v>4482</v>
      </c>
      <c r="D356" t="s">
        <v>71</v>
      </c>
      <c r="E356" t="s">
        <v>26</v>
      </c>
      <c r="F356" t="s">
        <v>3148</v>
      </c>
      <c r="G356" t="s">
        <v>1299</v>
      </c>
      <c r="H356" t="s">
        <v>1300</v>
      </c>
      <c r="I356" s="130">
        <v>45407</v>
      </c>
      <c r="J356" t="s">
        <v>3073</v>
      </c>
      <c r="K356">
        <v>3000</v>
      </c>
      <c r="M3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24C-2024425-01</v>
      </c>
      <c r="N356" t="str">
        <f>DO_DB[[#This Row],[Material Pick-update]]&amp;"_"&amp;DO_DB[[#This Row],[Material Name]]</f>
        <v>45407_ADSS 24C</v>
      </c>
      <c r="O356" t="str">
        <f>DO_DB[[#This Row],[SiteID]]</f>
        <v>CLR31-05-043</v>
      </c>
      <c r="P356" t="str">
        <f>DO_DB[[#This Row],[SiteID]]&amp;"_"&amp;DO_DB[[#This Row],[Material Name]]</f>
        <v>CLR31-05-043_ADSS 24C</v>
      </c>
      <c r="Q356" t="str">
        <f>DO_DB[[#This Row],[DO Number]]</f>
        <v>DOEID240422AM</v>
      </c>
      <c r="R356" t="str">
        <f>DO_DB[[#This Row],[DN Number]]</f>
        <v>DNWID0342024042213</v>
      </c>
    </row>
    <row r="357" spans="1:18">
      <c r="A357" t="s">
        <v>1245</v>
      </c>
      <c r="B357" t="s">
        <v>1246</v>
      </c>
      <c r="C357" s="172" t="s">
        <v>4482</v>
      </c>
      <c r="D357" t="s">
        <v>71</v>
      </c>
      <c r="E357" t="s">
        <v>26</v>
      </c>
      <c r="F357" t="s">
        <v>3148</v>
      </c>
      <c r="G357" t="s">
        <v>1299</v>
      </c>
      <c r="H357" t="s">
        <v>1300</v>
      </c>
      <c r="I357" s="130">
        <v>45407</v>
      </c>
      <c r="J357" t="s">
        <v>3075</v>
      </c>
      <c r="K357">
        <v>3000</v>
      </c>
      <c r="M3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48C-2024425-01</v>
      </c>
      <c r="N357" t="str">
        <f>DO_DB[[#This Row],[Material Pick-update]]&amp;"_"&amp;DO_DB[[#This Row],[Material Name]]</f>
        <v>45407_ADSS 48C</v>
      </c>
      <c r="O357" t="str">
        <f>DO_DB[[#This Row],[SiteID]]</f>
        <v>CLR31-05-043</v>
      </c>
      <c r="P357" t="str">
        <f>DO_DB[[#This Row],[SiteID]]&amp;"_"&amp;DO_DB[[#This Row],[Material Name]]</f>
        <v>CLR31-05-043_ADSS 48C</v>
      </c>
      <c r="Q357" t="str">
        <f>DO_DB[[#This Row],[DO Number]]</f>
        <v>DOEID240422AM</v>
      </c>
      <c r="R357" t="str">
        <f>DO_DB[[#This Row],[DN Number]]</f>
        <v>DNWID0342024042213</v>
      </c>
    </row>
    <row r="358" spans="1:18">
      <c r="A358" t="s">
        <v>1303</v>
      </c>
      <c r="B358" t="s">
        <v>1304</v>
      </c>
      <c r="C358" s="172" t="s">
        <v>4482</v>
      </c>
      <c r="D358" t="s">
        <v>71</v>
      </c>
      <c r="E358" t="s">
        <v>26</v>
      </c>
      <c r="F358" t="s">
        <v>3148</v>
      </c>
      <c r="G358" t="s">
        <v>1305</v>
      </c>
      <c r="H358" t="s">
        <v>1306</v>
      </c>
      <c r="I358" s="130">
        <v>45407</v>
      </c>
      <c r="J358" t="s">
        <v>13</v>
      </c>
      <c r="K358">
        <v>6</v>
      </c>
      <c r="M3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58" t="str">
        <f>DO_DB[[#This Row],[Material Pick-update]]&amp;"_"&amp;DO_DB[[#This Row],[Material Name]]</f>
        <v>45407_FAT-16</v>
      </c>
      <c r="O358" t="str">
        <f>DO_DB[[#This Row],[SiteID]]</f>
        <v>CLR31-05-034</v>
      </c>
      <c r="P358" t="str">
        <f>DO_DB[[#This Row],[SiteID]]&amp;"_"&amp;DO_DB[[#This Row],[Material Name]]</f>
        <v>CLR31-05-034_FAT-16</v>
      </c>
      <c r="Q358" t="str">
        <f>DO_DB[[#This Row],[DO Number]]</f>
        <v>DOEID240416B9</v>
      </c>
      <c r="R358" t="str">
        <f>DO_DB[[#This Row],[DN Number]]</f>
        <v>DNWID0342024042215</v>
      </c>
    </row>
    <row r="359" spans="1:18">
      <c r="A359" t="s">
        <v>1233</v>
      </c>
      <c r="B359" t="s">
        <v>1234</v>
      </c>
      <c r="C359" s="172" t="s">
        <v>4482</v>
      </c>
      <c r="D359" t="s">
        <v>71</v>
      </c>
      <c r="E359" t="s">
        <v>26</v>
      </c>
      <c r="F359" t="s">
        <v>3148</v>
      </c>
      <c r="G359" t="s">
        <v>1309</v>
      </c>
      <c r="H359" t="s">
        <v>1310</v>
      </c>
      <c r="I359" s="130">
        <v>45407</v>
      </c>
      <c r="J359" t="s">
        <v>13</v>
      </c>
      <c r="K359">
        <v>12</v>
      </c>
      <c r="M3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59" t="str">
        <f>DO_DB[[#This Row],[Material Pick-update]]&amp;"_"&amp;DO_DB[[#This Row],[Material Name]]</f>
        <v>45407_FAT-16</v>
      </c>
      <c r="O359" t="str">
        <f>DO_DB[[#This Row],[SiteID]]</f>
        <v>CLR31-05-029</v>
      </c>
      <c r="P359" t="str">
        <f>DO_DB[[#This Row],[SiteID]]&amp;"_"&amp;DO_DB[[#This Row],[Material Name]]</f>
        <v>CLR31-05-029_FAT-16</v>
      </c>
      <c r="Q359" t="str">
        <f>DO_DB[[#This Row],[DO Number]]</f>
        <v>DOEID240422AG</v>
      </c>
      <c r="R359" t="str">
        <f>DO_DB[[#This Row],[DN Number]]</f>
        <v>DNWID0342024042216</v>
      </c>
    </row>
    <row r="360" spans="1:18">
      <c r="A360" t="s">
        <v>1225</v>
      </c>
      <c r="B360" t="s">
        <v>1226</v>
      </c>
      <c r="C360" s="172" t="s">
        <v>4482</v>
      </c>
      <c r="D360" t="s">
        <v>71</v>
      </c>
      <c r="E360" t="s">
        <v>26</v>
      </c>
      <c r="F360" t="s">
        <v>3148</v>
      </c>
      <c r="G360" t="s">
        <v>1307</v>
      </c>
      <c r="H360" t="s">
        <v>1308</v>
      </c>
      <c r="I360" s="130">
        <v>45407</v>
      </c>
      <c r="J360" t="s">
        <v>13</v>
      </c>
      <c r="K360">
        <v>24</v>
      </c>
      <c r="M3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60" t="str">
        <f>DO_DB[[#This Row],[Material Pick-update]]&amp;"_"&amp;DO_DB[[#This Row],[Material Name]]</f>
        <v>45407_FAT-16</v>
      </c>
      <c r="O360" t="str">
        <f>DO_DB[[#This Row],[SiteID]]</f>
        <v>CLR31-05-033</v>
      </c>
      <c r="P360" t="str">
        <f>DO_DB[[#This Row],[SiteID]]&amp;"_"&amp;DO_DB[[#This Row],[Material Name]]</f>
        <v>CLR31-05-033_FAT-16</v>
      </c>
      <c r="Q360" t="str">
        <f>DO_DB[[#This Row],[DO Number]]</f>
        <v>DOEID240422AI</v>
      </c>
      <c r="R360" t="str">
        <f>DO_DB[[#This Row],[DN Number]]</f>
        <v>DNWID0342024042218</v>
      </c>
    </row>
    <row r="361" spans="1:18">
      <c r="A361" t="s">
        <v>1249</v>
      </c>
      <c r="B361" t="s">
        <v>1250</v>
      </c>
      <c r="C361" s="172" t="s">
        <v>4482</v>
      </c>
      <c r="D361" t="s">
        <v>71</v>
      </c>
      <c r="E361" t="s">
        <v>26</v>
      </c>
      <c r="F361" t="s">
        <v>3148</v>
      </c>
      <c r="G361" t="s">
        <v>1311</v>
      </c>
      <c r="H361" t="s">
        <v>1312</v>
      </c>
      <c r="I361" s="130">
        <v>45407</v>
      </c>
      <c r="J361" t="s">
        <v>13</v>
      </c>
      <c r="K361">
        <v>14</v>
      </c>
      <c r="M3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61" t="str">
        <f>DO_DB[[#This Row],[Material Pick-update]]&amp;"_"&amp;DO_DB[[#This Row],[Material Name]]</f>
        <v>45407_FAT-16</v>
      </c>
      <c r="O361" t="str">
        <f>DO_DB[[#This Row],[SiteID]]</f>
        <v>CLR31-05-021</v>
      </c>
      <c r="P361" t="str">
        <f>DO_DB[[#This Row],[SiteID]]&amp;"_"&amp;DO_DB[[#This Row],[Material Name]]</f>
        <v>CLR31-05-021_FAT-16</v>
      </c>
      <c r="Q361" t="str">
        <f>DO_DB[[#This Row],[DO Number]]</f>
        <v>DOEID240422AJ</v>
      </c>
      <c r="R361" t="str">
        <f>DO_DB[[#This Row],[DN Number]]</f>
        <v>DNWID0342024042217</v>
      </c>
    </row>
    <row r="362" spans="1:18">
      <c r="A362" t="s">
        <v>1253</v>
      </c>
      <c r="B362" t="s">
        <v>1254</v>
      </c>
      <c r="C362" s="172" t="s">
        <v>4482</v>
      </c>
      <c r="D362" t="s">
        <v>71</v>
      </c>
      <c r="E362" t="s">
        <v>26</v>
      </c>
      <c r="F362" t="s">
        <v>3148</v>
      </c>
      <c r="G362" t="s">
        <v>1301</v>
      </c>
      <c r="H362" t="s">
        <v>1302</v>
      </c>
      <c r="I362" s="130">
        <v>45407</v>
      </c>
      <c r="J362" t="s">
        <v>13</v>
      </c>
      <c r="K362">
        <v>16</v>
      </c>
      <c r="M3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62" t="str">
        <f>DO_DB[[#This Row],[Material Pick-update]]&amp;"_"&amp;DO_DB[[#This Row],[Material Name]]</f>
        <v>45407_FAT-16</v>
      </c>
      <c r="O362" t="str">
        <f>DO_DB[[#This Row],[SiteID]]</f>
        <v>CLR31-05-035</v>
      </c>
      <c r="P362" t="str">
        <f>DO_DB[[#This Row],[SiteID]]&amp;"_"&amp;DO_DB[[#This Row],[Material Name]]</f>
        <v>CLR31-05-035_FAT-16</v>
      </c>
      <c r="Q362" t="str">
        <f>DO_DB[[#This Row],[DO Number]]</f>
        <v>DOEID240422AK</v>
      </c>
      <c r="R362" t="str">
        <f>DO_DB[[#This Row],[DN Number]]</f>
        <v>DNWID0342024042212</v>
      </c>
    </row>
    <row r="363" spans="1:18">
      <c r="A363" t="s">
        <v>1229</v>
      </c>
      <c r="B363" t="s">
        <v>1230</v>
      </c>
      <c r="C363" s="172" t="s">
        <v>4482</v>
      </c>
      <c r="D363" t="s">
        <v>71</v>
      </c>
      <c r="E363" t="s">
        <v>26</v>
      </c>
      <c r="F363" t="s">
        <v>3148</v>
      </c>
      <c r="G363" t="s">
        <v>1323</v>
      </c>
      <c r="H363" t="s">
        <v>1324</v>
      </c>
      <c r="I363" s="130">
        <v>45411</v>
      </c>
      <c r="J363" t="s">
        <v>3073</v>
      </c>
      <c r="K363">
        <v>3000</v>
      </c>
      <c r="M3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24C-2024429-01</v>
      </c>
      <c r="N363" t="str">
        <f>DO_DB[[#This Row],[Material Pick-update]]&amp;"_"&amp;DO_DB[[#This Row],[Material Name]]</f>
        <v>45411_ADSS 24C</v>
      </c>
      <c r="O363" t="str">
        <f>DO_DB[[#This Row],[SiteID]]</f>
        <v>CLR31-04-033</v>
      </c>
      <c r="P363" t="str">
        <f>DO_DB[[#This Row],[SiteID]]&amp;"_"&amp;DO_DB[[#This Row],[Material Name]]</f>
        <v>CLR31-04-033_ADSS 24C</v>
      </c>
      <c r="Q363" t="str">
        <f>DO_DB[[#This Row],[DO Number]]</f>
        <v>DOEID240426CV</v>
      </c>
      <c r="R363" t="str">
        <f>DO_DB[[#This Row],[DN Number]]</f>
        <v>DNWID0342024042617</v>
      </c>
    </row>
    <row r="364" spans="1:18">
      <c r="A364" t="s">
        <v>1225</v>
      </c>
      <c r="B364" t="s">
        <v>1226</v>
      </c>
      <c r="C364" s="172" t="s">
        <v>4482</v>
      </c>
      <c r="D364" t="s">
        <v>71</v>
      </c>
      <c r="E364" t="s">
        <v>26</v>
      </c>
      <c r="F364" t="s">
        <v>3148</v>
      </c>
      <c r="G364" t="s">
        <v>1325</v>
      </c>
      <c r="H364" t="s">
        <v>1326</v>
      </c>
      <c r="I364" s="130">
        <v>45411</v>
      </c>
      <c r="J364" t="s">
        <v>3073</v>
      </c>
      <c r="K364">
        <v>3000</v>
      </c>
      <c r="M3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24C-2024429-01</v>
      </c>
      <c r="N364" t="str">
        <f>DO_DB[[#This Row],[Material Pick-update]]&amp;"_"&amp;DO_DB[[#This Row],[Material Name]]</f>
        <v>45411_ADSS 24C</v>
      </c>
      <c r="O364" t="str">
        <f>DO_DB[[#This Row],[SiteID]]</f>
        <v>CLR31-05-033</v>
      </c>
      <c r="P364" t="str">
        <f>DO_DB[[#This Row],[SiteID]]&amp;"_"&amp;DO_DB[[#This Row],[Material Name]]</f>
        <v>CLR31-05-033_ADSS 24C</v>
      </c>
      <c r="Q364" t="str">
        <f>DO_DB[[#This Row],[DO Number]]</f>
        <v>DOEID240426CW</v>
      </c>
      <c r="R364" t="str">
        <f>DO_DB[[#This Row],[DN Number]]</f>
        <v>DNWID0342024042616</v>
      </c>
    </row>
    <row r="365" spans="1:18">
      <c r="A365" t="s">
        <v>1241</v>
      </c>
      <c r="B365" t="s">
        <v>1242</v>
      </c>
      <c r="C365" s="172" t="s">
        <v>4482</v>
      </c>
      <c r="D365" t="s">
        <v>71</v>
      </c>
      <c r="E365" t="s">
        <v>26</v>
      </c>
      <c r="F365" t="s">
        <v>3148</v>
      </c>
      <c r="G365" t="s">
        <v>1373</v>
      </c>
      <c r="H365" t="s">
        <v>1374</v>
      </c>
      <c r="I365" s="130">
        <v>45419</v>
      </c>
      <c r="J365" t="s">
        <v>3073</v>
      </c>
      <c r="K365">
        <v>3000</v>
      </c>
      <c r="M3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24C-202457-01</v>
      </c>
      <c r="N365" t="str">
        <f>DO_DB[[#This Row],[Material Pick-update]]&amp;"_"&amp;DO_DB[[#This Row],[Material Name]]</f>
        <v>45419_ADSS 24C</v>
      </c>
      <c r="O365" t="str">
        <f>DO_DB[[#This Row],[SiteID]]</f>
        <v>CLR31-05-042</v>
      </c>
      <c r="P365" t="str">
        <f>DO_DB[[#This Row],[SiteID]]&amp;"_"&amp;DO_DB[[#This Row],[Material Name]]</f>
        <v>CLR31-05-042_ADSS 24C</v>
      </c>
      <c r="Q365" t="str">
        <f>DO_DB[[#This Row],[DO Number]]</f>
        <v>DOEID240429A5</v>
      </c>
      <c r="R365" t="str">
        <f>DO_DB[[#This Row],[DN Number]]</f>
        <v>DNWID0342024042906</v>
      </c>
    </row>
    <row r="366" spans="1:18">
      <c r="A366" t="s">
        <v>1241</v>
      </c>
      <c r="B366" t="s">
        <v>1242</v>
      </c>
      <c r="C366" s="172" t="s">
        <v>4482</v>
      </c>
      <c r="D366" t="s">
        <v>71</v>
      </c>
      <c r="E366" t="s">
        <v>26</v>
      </c>
      <c r="F366" t="s">
        <v>3148</v>
      </c>
      <c r="G366" t="s">
        <v>1377</v>
      </c>
      <c r="H366" t="s">
        <v>1378</v>
      </c>
      <c r="I366" s="130">
        <v>45425</v>
      </c>
      <c r="J366" t="s">
        <v>3075</v>
      </c>
      <c r="K366">
        <v>3000</v>
      </c>
      <c r="M3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48C-2024513-01</v>
      </c>
      <c r="N366" t="str">
        <f>DO_DB[[#This Row],[Material Pick-update]]&amp;"_"&amp;DO_DB[[#This Row],[Material Name]]</f>
        <v>45425_ADSS 48C</v>
      </c>
      <c r="O366" t="str">
        <f>DO_DB[[#This Row],[SiteID]]</f>
        <v>CLR31-05-042</v>
      </c>
      <c r="P366" t="str">
        <f>DO_DB[[#This Row],[SiteID]]&amp;"_"&amp;DO_DB[[#This Row],[Material Name]]</f>
        <v>CLR31-05-042_ADSS 48C</v>
      </c>
      <c r="Q366" t="str">
        <f>DO_DB[[#This Row],[DO Number]]</f>
        <v>DOEID240513A3</v>
      </c>
      <c r="R366" t="str">
        <f>DO_DB[[#This Row],[DN Number]]</f>
        <v>DNWID0342024051304</v>
      </c>
    </row>
    <row r="367" spans="1:18">
      <c r="A367" t="s">
        <v>1413</v>
      </c>
      <c r="B367" t="s">
        <v>1414</v>
      </c>
      <c r="C367" s="172" t="s">
        <v>4482</v>
      </c>
      <c r="D367" t="s">
        <v>71</v>
      </c>
      <c r="E367" t="s">
        <v>26</v>
      </c>
      <c r="F367" t="s">
        <v>3148</v>
      </c>
      <c r="G367" t="s">
        <v>1415</v>
      </c>
      <c r="H367" t="s">
        <v>1416</v>
      </c>
      <c r="I367" s="130">
        <v>45439</v>
      </c>
      <c r="J367" t="s">
        <v>3073</v>
      </c>
      <c r="K367">
        <v>3000</v>
      </c>
      <c r="M3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24C-2024527-01</v>
      </c>
      <c r="N367" t="str">
        <f>DO_DB[[#This Row],[Material Pick-update]]&amp;"_"&amp;DO_DB[[#This Row],[Material Name]]</f>
        <v>45439_ADSS 24C</v>
      </c>
      <c r="O367" t="str">
        <f>DO_DB[[#This Row],[SiteID]]</f>
        <v>CLR31-99-059</v>
      </c>
      <c r="P367" t="str">
        <f>DO_DB[[#This Row],[SiteID]]&amp;"_"&amp;DO_DB[[#This Row],[Material Name]]</f>
        <v>CLR31-99-059_ADSS 24C</v>
      </c>
      <c r="Q367" t="str">
        <f>DO_DB[[#This Row],[DO Number]]</f>
        <v>DOEID24052504</v>
      </c>
      <c r="R367" t="str">
        <f>DO_DB[[#This Row],[DN Number]]</f>
        <v>DNWID0342024052504</v>
      </c>
    </row>
    <row r="368" spans="1:18">
      <c r="A368" t="s">
        <v>1427</v>
      </c>
      <c r="B368" t="s">
        <v>1428</v>
      </c>
      <c r="C368" s="172" t="s">
        <v>4482</v>
      </c>
      <c r="D368" t="s">
        <v>71</v>
      </c>
      <c r="E368" t="s">
        <v>26</v>
      </c>
      <c r="F368" t="s">
        <v>3148</v>
      </c>
      <c r="G368" t="s">
        <v>1433</v>
      </c>
      <c r="H368" t="s">
        <v>1434</v>
      </c>
      <c r="I368" s="130">
        <v>45439</v>
      </c>
      <c r="J368" t="s">
        <v>3073</v>
      </c>
      <c r="K368">
        <v>3000</v>
      </c>
      <c r="M3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24C-2024527-01</v>
      </c>
      <c r="N368" t="str">
        <f>DO_DB[[#This Row],[Material Pick-update]]&amp;"_"&amp;DO_DB[[#This Row],[Material Name]]</f>
        <v>45439_ADSS 24C</v>
      </c>
      <c r="O368" t="str">
        <f>DO_DB[[#This Row],[SiteID]]</f>
        <v>CLR31-99-060</v>
      </c>
      <c r="P368" t="str">
        <f>DO_DB[[#This Row],[SiteID]]&amp;"_"&amp;DO_DB[[#This Row],[Material Name]]</f>
        <v>CLR31-99-060_ADSS 24C</v>
      </c>
      <c r="Q368" t="str">
        <f>DO_DB[[#This Row],[DO Number]]</f>
        <v>DOEID24052509</v>
      </c>
      <c r="R368" t="str">
        <f>DO_DB[[#This Row],[DN Number]]</f>
        <v>DNWID0342024052506</v>
      </c>
    </row>
    <row r="369" spans="1:18">
      <c r="A369" t="s">
        <v>1417</v>
      </c>
      <c r="B369" t="s">
        <v>1418</v>
      </c>
      <c r="C369" s="172" t="s">
        <v>4482</v>
      </c>
      <c r="D369" t="s">
        <v>71</v>
      </c>
      <c r="E369" t="s">
        <v>26</v>
      </c>
      <c r="F369" t="s">
        <v>3148</v>
      </c>
      <c r="G369" t="s">
        <v>1441</v>
      </c>
      <c r="H369" t="s">
        <v>1442</v>
      </c>
      <c r="I369" s="130">
        <v>45439</v>
      </c>
      <c r="J369" t="s">
        <v>3075</v>
      </c>
      <c r="K369">
        <v>3000</v>
      </c>
      <c r="M3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48C-2024527-01</v>
      </c>
      <c r="N369" t="str">
        <f>DO_DB[[#This Row],[Material Pick-update]]&amp;"_"&amp;DO_DB[[#This Row],[Material Name]]</f>
        <v>45439_ADSS 48C</v>
      </c>
      <c r="O369" t="str">
        <f>DO_DB[[#This Row],[SiteID]]</f>
        <v>CLR31-99-061</v>
      </c>
      <c r="P369" t="str">
        <f>DO_DB[[#This Row],[SiteID]]&amp;"_"&amp;DO_DB[[#This Row],[Material Name]]</f>
        <v>CLR31-99-061_ADSS 48C</v>
      </c>
      <c r="Q369" t="str">
        <f>DO_DB[[#This Row],[DO Number]]</f>
        <v>DOEID24052512</v>
      </c>
      <c r="R369" t="str">
        <f>DO_DB[[#This Row],[DN Number]]</f>
        <v>DNWID0342024052502</v>
      </c>
    </row>
    <row r="370" spans="1:18">
      <c r="A370" t="s">
        <v>1435</v>
      </c>
      <c r="B370" t="s">
        <v>1436</v>
      </c>
      <c r="C370" s="172" t="s">
        <v>4482</v>
      </c>
      <c r="D370" t="s">
        <v>71</v>
      </c>
      <c r="E370" t="s">
        <v>26</v>
      </c>
      <c r="F370" t="s">
        <v>3148</v>
      </c>
      <c r="G370" t="s">
        <v>1439</v>
      </c>
      <c r="H370" t="s">
        <v>1440</v>
      </c>
      <c r="I370" s="130">
        <v>45439</v>
      </c>
      <c r="J370" t="s">
        <v>3075</v>
      </c>
      <c r="K370">
        <v>3000</v>
      </c>
      <c r="M3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48C-2024527-01</v>
      </c>
      <c r="N370" t="str">
        <f>DO_DB[[#This Row],[Material Pick-update]]&amp;"_"&amp;DO_DB[[#This Row],[Material Name]]</f>
        <v>45439_ADSS 48C</v>
      </c>
      <c r="O370" t="str">
        <f>DO_DB[[#This Row],[SiteID]]</f>
        <v>CLR31-04-039</v>
      </c>
      <c r="P370" t="str">
        <f>DO_DB[[#This Row],[SiteID]]&amp;"_"&amp;DO_DB[[#This Row],[Material Name]]</f>
        <v>CLR31-04-039_ADSS 48C</v>
      </c>
      <c r="Q370" t="str">
        <f>DO_DB[[#This Row],[DO Number]]</f>
        <v>DOEID24052515</v>
      </c>
      <c r="R370" t="str">
        <f>DO_DB[[#This Row],[DN Number]]</f>
        <v>DNWID0342024052503</v>
      </c>
    </row>
    <row r="371" spans="1:18">
      <c r="A371" t="s">
        <v>1435</v>
      </c>
      <c r="B371" t="s">
        <v>1436</v>
      </c>
      <c r="C371" s="172" t="s">
        <v>4482</v>
      </c>
      <c r="D371" t="s">
        <v>71</v>
      </c>
      <c r="E371" t="s">
        <v>26</v>
      </c>
      <c r="F371" t="s">
        <v>3148</v>
      </c>
      <c r="G371" t="s">
        <v>1439</v>
      </c>
      <c r="H371" t="s">
        <v>1440</v>
      </c>
      <c r="I371" s="130">
        <v>45439</v>
      </c>
      <c r="J371" t="s">
        <v>3073</v>
      </c>
      <c r="K371">
        <v>6000</v>
      </c>
      <c r="M3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24C-2024527-01</v>
      </c>
      <c r="N371" t="str">
        <f>DO_DB[[#This Row],[Material Pick-update]]&amp;"_"&amp;DO_DB[[#This Row],[Material Name]]</f>
        <v>45439_ADSS 24C</v>
      </c>
      <c r="O371" t="str">
        <f>DO_DB[[#This Row],[SiteID]]</f>
        <v>CLR31-04-039</v>
      </c>
      <c r="P371" t="str">
        <f>DO_DB[[#This Row],[SiteID]]&amp;"_"&amp;DO_DB[[#This Row],[Material Name]]</f>
        <v>CLR31-04-039_ADSS 24C</v>
      </c>
      <c r="Q371" t="str">
        <f>DO_DB[[#This Row],[DO Number]]</f>
        <v>DOEID24052515</v>
      </c>
      <c r="R371" t="str">
        <f>DO_DB[[#This Row],[DN Number]]</f>
        <v>DNWID0342024052503</v>
      </c>
    </row>
    <row r="372" spans="1:18">
      <c r="A372" t="s">
        <v>1413</v>
      </c>
      <c r="B372" t="s">
        <v>1414</v>
      </c>
      <c r="C372" s="172" t="s">
        <v>4482</v>
      </c>
      <c r="D372" t="s">
        <v>71</v>
      </c>
      <c r="E372" t="s">
        <v>26</v>
      </c>
      <c r="F372" t="s">
        <v>3148</v>
      </c>
      <c r="G372" t="s">
        <v>1431</v>
      </c>
      <c r="H372" t="s">
        <v>1432</v>
      </c>
      <c r="I372" s="130">
        <v>45439</v>
      </c>
      <c r="J372" t="s">
        <v>3069</v>
      </c>
      <c r="K372">
        <v>31</v>
      </c>
      <c r="M3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72" t="str">
        <f>DO_DB[[#This Row],[Material Pick-update]]&amp;"_"&amp;DO_DB[[#This Row],[Material Name]]</f>
        <v>45439_Pole 7M 4"</v>
      </c>
      <c r="O372" t="str">
        <f>DO_DB[[#This Row],[SiteID]]</f>
        <v>CLR31-99-059</v>
      </c>
      <c r="P372" t="str">
        <f>DO_DB[[#This Row],[SiteID]]&amp;"_"&amp;DO_DB[[#This Row],[Material Name]]</f>
        <v>CLR31-99-059_Pole 7M 4"</v>
      </c>
      <c r="Q372" t="str">
        <f>DO_DB[[#This Row],[DO Number]]</f>
        <v>DOEID24052503</v>
      </c>
      <c r="R372" t="str">
        <f>DO_DB[[#This Row],[DN Number]]</f>
        <v>DNWID0362024052502</v>
      </c>
    </row>
    <row r="373" spans="1:18">
      <c r="A373" t="s">
        <v>1413</v>
      </c>
      <c r="B373" t="s">
        <v>1414</v>
      </c>
      <c r="C373" s="172" t="s">
        <v>4482</v>
      </c>
      <c r="D373" t="s">
        <v>71</v>
      </c>
      <c r="E373" t="s">
        <v>26</v>
      </c>
      <c r="F373" t="s">
        <v>3148</v>
      </c>
      <c r="G373" t="s">
        <v>1431</v>
      </c>
      <c r="H373" t="s">
        <v>1432</v>
      </c>
      <c r="I373" s="130">
        <v>45439</v>
      </c>
      <c r="J373" t="s">
        <v>3070</v>
      </c>
      <c r="K373">
        <v>4</v>
      </c>
      <c r="M3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73" t="str">
        <f>DO_DB[[#This Row],[Material Pick-update]]&amp;"_"&amp;DO_DB[[#This Row],[Material Name]]</f>
        <v>45439_Pole 7M 3"</v>
      </c>
      <c r="O373" t="str">
        <f>DO_DB[[#This Row],[SiteID]]</f>
        <v>CLR31-99-059</v>
      </c>
      <c r="P373" t="str">
        <f>DO_DB[[#This Row],[SiteID]]&amp;"_"&amp;DO_DB[[#This Row],[Material Name]]</f>
        <v>CLR31-99-059_Pole 7M 3"</v>
      </c>
      <c r="Q373" t="str">
        <f>DO_DB[[#This Row],[DO Number]]</f>
        <v>DOEID24052503</v>
      </c>
      <c r="R373" t="str">
        <f>DO_DB[[#This Row],[DN Number]]</f>
        <v>DNWID0362024052502</v>
      </c>
    </row>
    <row r="374" spans="1:18">
      <c r="A374" t="s">
        <v>1413</v>
      </c>
      <c r="B374" t="s">
        <v>1414</v>
      </c>
      <c r="C374" s="172" t="s">
        <v>4482</v>
      </c>
      <c r="D374" t="s">
        <v>71</v>
      </c>
      <c r="E374" t="s">
        <v>26</v>
      </c>
      <c r="F374" t="s">
        <v>3148</v>
      </c>
      <c r="G374" t="s">
        <v>1415</v>
      </c>
      <c r="H374" t="s">
        <v>1416</v>
      </c>
      <c r="I374" s="130">
        <v>45439</v>
      </c>
      <c r="J374" t="s">
        <v>14</v>
      </c>
      <c r="K374">
        <v>1</v>
      </c>
      <c r="M3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74" t="str">
        <f>DO_DB[[#This Row],[Material Pick-update]]&amp;"_"&amp;DO_DB[[#This Row],[Material Name]]</f>
        <v>45439_FDT-48</v>
      </c>
      <c r="O374" t="str">
        <f>DO_DB[[#This Row],[SiteID]]</f>
        <v>CLR31-99-059</v>
      </c>
      <c r="P374" t="str">
        <f>DO_DB[[#This Row],[SiteID]]&amp;"_"&amp;DO_DB[[#This Row],[Material Name]]</f>
        <v>CLR31-99-059_FDT-48</v>
      </c>
      <c r="Q374" t="str">
        <f>DO_DB[[#This Row],[DO Number]]</f>
        <v>DOEID24052504</v>
      </c>
      <c r="R374" t="str">
        <f>DO_DB[[#This Row],[DN Number]]</f>
        <v>DNWID0342024052504</v>
      </c>
    </row>
    <row r="375" spans="1:18">
      <c r="A375" t="s">
        <v>1413</v>
      </c>
      <c r="B375" t="s">
        <v>1414</v>
      </c>
      <c r="C375" s="172" t="s">
        <v>4482</v>
      </c>
      <c r="D375" t="s">
        <v>71</v>
      </c>
      <c r="E375" t="s">
        <v>26</v>
      </c>
      <c r="F375" t="s">
        <v>3148</v>
      </c>
      <c r="G375" t="s">
        <v>1415</v>
      </c>
      <c r="H375" t="s">
        <v>1416</v>
      </c>
      <c r="I375" s="130">
        <v>45439</v>
      </c>
      <c r="J375" t="s">
        <v>13</v>
      </c>
      <c r="K375">
        <v>18</v>
      </c>
      <c r="M3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75" t="str">
        <f>DO_DB[[#This Row],[Material Pick-update]]&amp;"_"&amp;DO_DB[[#This Row],[Material Name]]</f>
        <v>45439_FAT-16</v>
      </c>
      <c r="O375" t="str">
        <f>DO_DB[[#This Row],[SiteID]]</f>
        <v>CLR31-99-059</v>
      </c>
      <c r="P375" t="str">
        <f>DO_DB[[#This Row],[SiteID]]&amp;"_"&amp;DO_DB[[#This Row],[Material Name]]</f>
        <v>CLR31-99-059_FAT-16</v>
      </c>
      <c r="Q375" t="str">
        <f>DO_DB[[#This Row],[DO Number]]</f>
        <v>DOEID24052504</v>
      </c>
      <c r="R375" t="str">
        <f>DO_DB[[#This Row],[DN Number]]</f>
        <v>DNWID0342024052504</v>
      </c>
    </row>
    <row r="376" spans="1:18">
      <c r="A376" t="s">
        <v>1421</v>
      </c>
      <c r="B376" t="s">
        <v>1422</v>
      </c>
      <c r="C376" s="172" t="s">
        <v>4482</v>
      </c>
      <c r="D376" t="s">
        <v>71</v>
      </c>
      <c r="E376" t="s">
        <v>26</v>
      </c>
      <c r="F376" t="s">
        <v>3148</v>
      </c>
      <c r="G376" t="s">
        <v>1445</v>
      </c>
      <c r="H376" t="s">
        <v>1446</v>
      </c>
      <c r="I376" s="130">
        <v>45439</v>
      </c>
      <c r="J376" t="s">
        <v>3069</v>
      </c>
      <c r="K376">
        <v>23</v>
      </c>
      <c r="M3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76" t="str">
        <f>DO_DB[[#This Row],[Material Pick-update]]&amp;"_"&amp;DO_DB[[#This Row],[Material Name]]</f>
        <v>45439_Pole 7M 4"</v>
      </c>
      <c r="O376" t="str">
        <f>DO_DB[[#This Row],[SiteID]]</f>
        <v>CLR31-05-012</v>
      </c>
      <c r="P376" t="str">
        <f>DO_DB[[#This Row],[SiteID]]&amp;"_"&amp;DO_DB[[#This Row],[Material Name]]</f>
        <v>CLR31-05-012_Pole 7M 4"</v>
      </c>
      <c r="Q376" t="str">
        <f>DO_DB[[#This Row],[DO Number]]</f>
        <v>DOEID24052505</v>
      </c>
      <c r="R376" t="str">
        <f>DO_DB[[#This Row],[DN Number]]</f>
        <v>DNWID0362024052503</v>
      </c>
    </row>
    <row r="377" spans="1:18">
      <c r="A377" t="s">
        <v>1421</v>
      </c>
      <c r="B377" t="s">
        <v>1422</v>
      </c>
      <c r="C377" s="172" t="s">
        <v>4482</v>
      </c>
      <c r="D377" t="s">
        <v>71</v>
      </c>
      <c r="E377" t="s">
        <v>26</v>
      </c>
      <c r="F377" t="s">
        <v>3148</v>
      </c>
      <c r="G377" t="s">
        <v>1445</v>
      </c>
      <c r="H377" t="s">
        <v>1446</v>
      </c>
      <c r="I377" s="130">
        <v>45439</v>
      </c>
      <c r="J377" t="s">
        <v>3070</v>
      </c>
      <c r="K377">
        <v>3</v>
      </c>
      <c r="M3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77" t="str">
        <f>DO_DB[[#This Row],[Material Pick-update]]&amp;"_"&amp;DO_DB[[#This Row],[Material Name]]</f>
        <v>45439_Pole 7M 3"</v>
      </c>
      <c r="O377" t="str">
        <f>DO_DB[[#This Row],[SiteID]]</f>
        <v>CLR31-05-012</v>
      </c>
      <c r="P377" t="str">
        <f>DO_DB[[#This Row],[SiteID]]&amp;"_"&amp;DO_DB[[#This Row],[Material Name]]</f>
        <v>CLR31-05-012_Pole 7M 3"</v>
      </c>
      <c r="Q377" t="str">
        <f>DO_DB[[#This Row],[DO Number]]</f>
        <v>DOEID24052505</v>
      </c>
      <c r="R377" t="str">
        <f>DO_DB[[#This Row],[DN Number]]</f>
        <v>DNWID0362024052503</v>
      </c>
    </row>
    <row r="378" spans="1:18">
      <c r="A378" t="s">
        <v>1421</v>
      </c>
      <c r="B378" t="s">
        <v>1422</v>
      </c>
      <c r="C378" s="172" t="s">
        <v>4482</v>
      </c>
      <c r="D378" t="s">
        <v>71</v>
      </c>
      <c r="E378" t="s">
        <v>26</v>
      </c>
      <c r="F378" t="s">
        <v>3148</v>
      </c>
      <c r="G378" t="s">
        <v>1423</v>
      </c>
      <c r="H378" t="s">
        <v>1424</v>
      </c>
      <c r="I378" s="130">
        <v>45439</v>
      </c>
      <c r="J378" t="s">
        <v>4856</v>
      </c>
      <c r="K378">
        <v>1</v>
      </c>
      <c r="M3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78" t="str">
        <f>DO_DB[[#This Row],[Material Pick-update]]&amp;"_"&amp;DO_DB[[#This Row],[Material Name]]</f>
        <v>45439_JC 144Core</v>
      </c>
      <c r="O378" t="str">
        <f>DO_DB[[#This Row],[SiteID]]</f>
        <v>CLR31-05-012</v>
      </c>
      <c r="P378" t="str">
        <f>DO_DB[[#This Row],[SiteID]]&amp;"_"&amp;DO_DB[[#This Row],[Material Name]]</f>
        <v>CLR31-05-012_JC 144Core</v>
      </c>
      <c r="Q378" t="str">
        <f>DO_DB[[#This Row],[DO Number]]</f>
        <v>DOEID24052506</v>
      </c>
      <c r="R378" t="str">
        <f>DO_DB[[#This Row],[DN Number]]</f>
        <v>DNWID0762024052502</v>
      </c>
    </row>
    <row r="379" spans="1:18">
      <c r="A379" t="s">
        <v>1421</v>
      </c>
      <c r="B379" t="s">
        <v>1422</v>
      </c>
      <c r="C379" s="172" t="s">
        <v>4482</v>
      </c>
      <c r="D379" t="s">
        <v>71</v>
      </c>
      <c r="E379" t="s">
        <v>26</v>
      </c>
      <c r="F379" t="s">
        <v>3148</v>
      </c>
      <c r="G379" t="s">
        <v>1447</v>
      </c>
      <c r="H379" t="s">
        <v>1448</v>
      </c>
      <c r="I379" s="130">
        <v>45439</v>
      </c>
      <c r="J379" t="s">
        <v>14</v>
      </c>
      <c r="K379">
        <v>1</v>
      </c>
      <c r="M3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79" t="str">
        <f>DO_DB[[#This Row],[Material Pick-update]]&amp;"_"&amp;DO_DB[[#This Row],[Material Name]]</f>
        <v>45439_FDT-48</v>
      </c>
      <c r="O379" t="str">
        <f>DO_DB[[#This Row],[SiteID]]</f>
        <v>CLR31-05-012</v>
      </c>
      <c r="P379" t="str">
        <f>DO_DB[[#This Row],[SiteID]]&amp;"_"&amp;DO_DB[[#This Row],[Material Name]]</f>
        <v>CLR31-05-012_FDT-48</v>
      </c>
      <c r="Q379" t="str">
        <f>DO_DB[[#This Row],[DO Number]]</f>
        <v>DOEID24052507</v>
      </c>
      <c r="R379" t="str">
        <f>DO_DB[[#This Row],[DN Number]]</f>
        <v>DNWID0342024052505</v>
      </c>
    </row>
    <row r="380" spans="1:18">
      <c r="A380" t="s">
        <v>1421</v>
      </c>
      <c r="B380" t="s">
        <v>1422</v>
      </c>
      <c r="C380" s="172" t="s">
        <v>4482</v>
      </c>
      <c r="D380" t="s">
        <v>71</v>
      </c>
      <c r="E380" t="s">
        <v>26</v>
      </c>
      <c r="F380" t="s">
        <v>3148</v>
      </c>
      <c r="G380" t="s">
        <v>1447</v>
      </c>
      <c r="H380" t="s">
        <v>1448</v>
      </c>
      <c r="I380" s="130">
        <v>45439</v>
      </c>
      <c r="J380" t="s">
        <v>13</v>
      </c>
      <c r="K380">
        <v>16</v>
      </c>
      <c r="M3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80" t="str">
        <f>DO_DB[[#This Row],[Material Pick-update]]&amp;"_"&amp;DO_DB[[#This Row],[Material Name]]</f>
        <v>45439_FAT-16</v>
      </c>
      <c r="O380" t="str">
        <f>DO_DB[[#This Row],[SiteID]]</f>
        <v>CLR31-05-012</v>
      </c>
      <c r="P380" t="str">
        <f>DO_DB[[#This Row],[SiteID]]&amp;"_"&amp;DO_DB[[#This Row],[Material Name]]</f>
        <v>CLR31-05-012_FAT-16</v>
      </c>
      <c r="Q380" t="str">
        <f>DO_DB[[#This Row],[DO Number]]</f>
        <v>DOEID24052507</v>
      </c>
      <c r="R380" t="str">
        <f>DO_DB[[#This Row],[DN Number]]</f>
        <v>DNWID0342024052505</v>
      </c>
    </row>
    <row r="381" spans="1:18">
      <c r="A381" t="s">
        <v>1427</v>
      </c>
      <c r="B381" t="s">
        <v>1428</v>
      </c>
      <c r="C381" s="172" t="s">
        <v>4482</v>
      </c>
      <c r="D381" t="s">
        <v>71</v>
      </c>
      <c r="E381" t="s">
        <v>26</v>
      </c>
      <c r="F381" t="s">
        <v>3148</v>
      </c>
      <c r="G381" t="s">
        <v>1429</v>
      </c>
      <c r="H381" t="s">
        <v>1430</v>
      </c>
      <c r="I381" s="130">
        <v>45439</v>
      </c>
      <c r="J381" t="s">
        <v>3069</v>
      </c>
      <c r="K381">
        <v>20</v>
      </c>
      <c r="M3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81" t="str">
        <f>DO_DB[[#This Row],[Material Pick-update]]&amp;"_"&amp;DO_DB[[#This Row],[Material Name]]</f>
        <v>45439_Pole 7M 4"</v>
      </c>
      <c r="O381" t="str">
        <f>DO_DB[[#This Row],[SiteID]]</f>
        <v>CLR31-99-060</v>
      </c>
      <c r="P381" t="str">
        <f>DO_DB[[#This Row],[SiteID]]&amp;"_"&amp;DO_DB[[#This Row],[Material Name]]</f>
        <v>CLR31-99-060_Pole 7M 4"</v>
      </c>
      <c r="Q381" t="str">
        <f>DO_DB[[#This Row],[DO Number]]</f>
        <v>DOEID24052508</v>
      </c>
      <c r="R381" t="str">
        <f>DO_DB[[#This Row],[DN Number]]</f>
        <v>DNWID0362024052504</v>
      </c>
    </row>
    <row r="382" spans="1:18">
      <c r="A382" t="s">
        <v>1427</v>
      </c>
      <c r="B382" t="s">
        <v>1428</v>
      </c>
      <c r="C382" s="172" t="s">
        <v>4482</v>
      </c>
      <c r="D382" t="s">
        <v>71</v>
      </c>
      <c r="E382" t="s">
        <v>26</v>
      </c>
      <c r="F382" t="s">
        <v>3148</v>
      </c>
      <c r="G382" t="s">
        <v>1429</v>
      </c>
      <c r="H382" t="s">
        <v>1430</v>
      </c>
      <c r="I382" s="130">
        <v>45439</v>
      </c>
      <c r="J382" t="s">
        <v>3070</v>
      </c>
      <c r="K382">
        <v>4</v>
      </c>
      <c r="M3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82" t="str">
        <f>DO_DB[[#This Row],[Material Pick-update]]&amp;"_"&amp;DO_DB[[#This Row],[Material Name]]</f>
        <v>45439_Pole 7M 3"</v>
      </c>
      <c r="O382" t="str">
        <f>DO_DB[[#This Row],[SiteID]]</f>
        <v>CLR31-99-060</v>
      </c>
      <c r="P382" t="str">
        <f>DO_DB[[#This Row],[SiteID]]&amp;"_"&amp;DO_DB[[#This Row],[Material Name]]</f>
        <v>CLR31-99-060_Pole 7M 3"</v>
      </c>
      <c r="Q382" t="str">
        <f>DO_DB[[#This Row],[DO Number]]</f>
        <v>DOEID24052508</v>
      </c>
      <c r="R382" t="str">
        <f>DO_DB[[#This Row],[DN Number]]</f>
        <v>DNWID0362024052504</v>
      </c>
    </row>
    <row r="383" spans="1:18">
      <c r="A383" t="s">
        <v>1427</v>
      </c>
      <c r="B383" t="s">
        <v>1428</v>
      </c>
      <c r="C383" s="172" t="s">
        <v>4482</v>
      </c>
      <c r="D383" t="s">
        <v>71</v>
      </c>
      <c r="E383" t="s">
        <v>26</v>
      </c>
      <c r="F383" t="s">
        <v>3148</v>
      </c>
      <c r="G383" t="s">
        <v>1433</v>
      </c>
      <c r="H383" t="s">
        <v>1434</v>
      </c>
      <c r="I383" s="130">
        <v>45439</v>
      </c>
      <c r="J383" t="s">
        <v>14</v>
      </c>
      <c r="K383">
        <v>1</v>
      </c>
      <c r="M3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83" t="str">
        <f>DO_DB[[#This Row],[Material Pick-update]]&amp;"_"&amp;DO_DB[[#This Row],[Material Name]]</f>
        <v>45439_FDT-48</v>
      </c>
      <c r="O383" t="str">
        <f>DO_DB[[#This Row],[SiteID]]</f>
        <v>CLR31-99-060</v>
      </c>
      <c r="P383" t="str">
        <f>DO_DB[[#This Row],[SiteID]]&amp;"_"&amp;DO_DB[[#This Row],[Material Name]]</f>
        <v>CLR31-99-060_FDT-48</v>
      </c>
      <c r="Q383" t="str">
        <f>DO_DB[[#This Row],[DO Number]]</f>
        <v>DOEID24052509</v>
      </c>
      <c r="R383" t="str">
        <f>DO_DB[[#This Row],[DN Number]]</f>
        <v>DNWID0342024052506</v>
      </c>
    </row>
    <row r="384" spans="1:18">
      <c r="A384" t="s">
        <v>1427</v>
      </c>
      <c r="B384" t="s">
        <v>1428</v>
      </c>
      <c r="C384" s="172" t="s">
        <v>4482</v>
      </c>
      <c r="D384" t="s">
        <v>71</v>
      </c>
      <c r="E384" t="s">
        <v>26</v>
      </c>
      <c r="F384" t="s">
        <v>3148</v>
      </c>
      <c r="G384" t="s">
        <v>1433</v>
      </c>
      <c r="H384" t="s">
        <v>1434</v>
      </c>
      <c r="I384" s="130">
        <v>45439</v>
      </c>
      <c r="J384" t="s">
        <v>13</v>
      </c>
      <c r="K384">
        <v>10</v>
      </c>
      <c r="M3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84" t="str">
        <f>DO_DB[[#This Row],[Material Pick-update]]&amp;"_"&amp;DO_DB[[#This Row],[Material Name]]</f>
        <v>45439_FAT-16</v>
      </c>
      <c r="O384" t="str">
        <f>DO_DB[[#This Row],[SiteID]]</f>
        <v>CLR31-99-060</v>
      </c>
      <c r="P384" t="str">
        <f>DO_DB[[#This Row],[SiteID]]&amp;"_"&amp;DO_DB[[#This Row],[Material Name]]</f>
        <v>CLR31-99-060_FAT-16</v>
      </c>
      <c r="Q384" t="str">
        <f>DO_DB[[#This Row],[DO Number]]</f>
        <v>DOEID24052509</v>
      </c>
      <c r="R384" t="str">
        <f>DO_DB[[#This Row],[DN Number]]</f>
        <v>DNWID0342024052506</v>
      </c>
    </row>
    <row r="385" spans="1:18">
      <c r="A385" t="s">
        <v>1417</v>
      </c>
      <c r="B385" t="s">
        <v>1418</v>
      </c>
      <c r="C385" s="172" t="s">
        <v>4482</v>
      </c>
      <c r="D385" t="s">
        <v>71</v>
      </c>
      <c r="E385" t="s">
        <v>26</v>
      </c>
      <c r="F385" t="s">
        <v>3148</v>
      </c>
      <c r="G385" t="s">
        <v>1425</v>
      </c>
      <c r="H385" t="s">
        <v>1426</v>
      </c>
      <c r="I385" s="130">
        <v>45439</v>
      </c>
      <c r="J385" t="s">
        <v>3069</v>
      </c>
      <c r="K385">
        <v>11</v>
      </c>
      <c r="M3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85" t="str">
        <f>DO_DB[[#This Row],[Material Pick-update]]&amp;"_"&amp;DO_DB[[#This Row],[Material Name]]</f>
        <v>45439_Pole 7M 4"</v>
      </c>
      <c r="O385" t="str">
        <f>DO_DB[[#This Row],[SiteID]]</f>
        <v>CLR31-99-061</v>
      </c>
      <c r="P385" t="str">
        <f>DO_DB[[#This Row],[SiteID]]&amp;"_"&amp;DO_DB[[#This Row],[Material Name]]</f>
        <v>CLR31-99-061_Pole 7M 4"</v>
      </c>
      <c r="Q385" t="str">
        <f>DO_DB[[#This Row],[DO Number]]</f>
        <v>DOEID24052510</v>
      </c>
      <c r="R385" t="str">
        <f>DO_DB[[#This Row],[DN Number]]</f>
        <v>DNWID0362024052505</v>
      </c>
    </row>
    <row r="386" spans="1:18">
      <c r="A386" t="s">
        <v>1417</v>
      </c>
      <c r="B386" t="s">
        <v>1418</v>
      </c>
      <c r="C386" s="172" t="s">
        <v>4482</v>
      </c>
      <c r="D386" t="s">
        <v>71</v>
      </c>
      <c r="E386" t="s">
        <v>26</v>
      </c>
      <c r="F386" t="s">
        <v>3148</v>
      </c>
      <c r="G386" t="s">
        <v>1425</v>
      </c>
      <c r="H386" t="s">
        <v>1426</v>
      </c>
      <c r="I386" s="130">
        <v>45439</v>
      </c>
      <c r="J386" t="s">
        <v>3070</v>
      </c>
      <c r="K386">
        <v>6</v>
      </c>
      <c r="M3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86" t="str">
        <f>DO_DB[[#This Row],[Material Pick-update]]&amp;"_"&amp;DO_DB[[#This Row],[Material Name]]</f>
        <v>45439_Pole 7M 3"</v>
      </c>
      <c r="O386" t="str">
        <f>DO_DB[[#This Row],[SiteID]]</f>
        <v>CLR31-99-061</v>
      </c>
      <c r="P386" t="str">
        <f>DO_DB[[#This Row],[SiteID]]&amp;"_"&amp;DO_DB[[#This Row],[Material Name]]</f>
        <v>CLR31-99-061_Pole 7M 3"</v>
      </c>
      <c r="Q386" t="str">
        <f>DO_DB[[#This Row],[DO Number]]</f>
        <v>DOEID24052510</v>
      </c>
      <c r="R386" t="str">
        <f>DO_DB[[#This Row],[DN Number]]</f>
        <v>DNWID0362024052505</v>
      </c>
    </row>
    <row r="387" spans="1:18">
      <c r="A387" t="s">
        <v>1417</v>
      </c>
      <c r="B387" t="s">
        <v>1418</v>
      </c>
      <c r="C387" s="172" t="s">
        <v>4482</v>
      </c>
      <c r="D387" t="s">
        <v>71</v>
      </c>
      <c r="E387" t="s">
        <v>26</v>
      </c>
      <c r="F387" t="s">
        <v>3148</v>
      </c>
      <c r="G387" t="s">
        <v>1419</v>
      </c>
      <c r="H387" t="s">
        <v>1420</v>
      </c>
      <c r="I387" s="130">
        <v>45439</v>
      </c>
      <c r="J387" t="s">
        <v>4856</v>
      </c>
      <c r="K387">
        <v>1</v>
      </c>
      <c r="M3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87" t="str">
        <f>DO_DB[[#This Row],[Material Pick-update]]&amp;"_"&amp;DO_DB[[#This Row],[Material Name]]</f>
        <v>45439_JC 144Core</v>
      </c>
      <c r="O387" t="str">
        <f>DO_DB[[#This Row],[SiteID]]</f>
        <v>CLR31-99-061</v>
      </c>
      <c r="P387" t="str">
        <f>DO_DB[[#This Row],[SiteID]]&amp;"_"&amp;DO_DB[[#This Row],[Material Name]]</f>
        <v>CLR31-99-061_JC 144Core</v>
      </c>
      <c r="Q387" t="str">
        <f>DO_DB[[#This Row],[DO Number]]</f>
        <v>DOEID24052511</v>
      </c>
      <c r="R387" t="str">
        <f>DO_DB[[#This Row],[DN Number]]</f>
        <v>DNWID0762024052503</v>
      </c>
    </row>
    <row r="388" spans="1:18">
      <c r="A388" t="s">
        <v>1417</v>
      </c>
      <c r="B388" t="s">
        <v>1418</v>
      </c>
      <c r="C388" s="172" t="s">
        <v>4482</v>
      </c>
      <c r="D388" t="s">
        <v>71</v>
      </c>
      <c r="E388" t="s">
        <v>26</v>
      </c>
      <c r="F388" t="s">
        <v>3148</v>
      </c>
      <c r="G388" t="s">
        <v>1441</v>
      </c>
      <c r="H388" t="s">
        <v>1442</v>
      </c>
      <c r="I388" s="130">
        <v>45439</v>
      </c>
      <c r="J388" t="s">
        <v>14</v>
      </c>
      <c r="K388">
        <v>1</v>
      </c>
      <c r="M3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88" t="str">
        <f>DO_DB[[#This Row],[Material Pick-update]]&amp;"_"&amp;DO_DB[[#This Row],[Material Name]]</f>
        <v>45439_FDT-48</v>
      </c>
      <c r="O388" t="str">
        <f>DO_DB[[#This Row],[SiteID]]</f>
        <v>CLR31-99-061</v>
      </c>
      <c r="P388" t="str">
        <f>DO_DB[[#This Row],[SiteID]]&amp;"_"&amp;DO_DB[[#This Row],[Material Name]]</f>
        <v>CLR31-99-061_FDT-48</v>
      </c>
      <c r="Q388" t="str">
        <f>DO_DB[[#This Row],[DO Number]]</f>
        <v>DOEID24052512</v>
      </c>
      <c r="R388" t="str">
        <f>DO_DB[[#This Row],[DN Number]]</f>
        <v>DNWID0342024052502</v>
      </c>
    </row>
    <row r="389" spans="1:18">
      <c r="A389" t="s">
        <v>1417</v>
      </c>
      <c r="B389" t="s">
        <v>1418</v>
      </c>
      <c r="C389" s="172" t="s">
        <v>4482</v>
      </c>
      <c r="D389" t="s">
        <v>71</v>
      </c>
      <c r="E389" t="s">
        <v>26</v>
      </c>
      <c r="F389" t="s">
        <v>3148</v>
      </c>
      <c r="G389" t="s">
        <v>1441</v>
      </c>
      <c r="H389" t="s">
        <v>1442</v>
      </c>
      <c r="I389" s="130">
        <v>45439</v>
      </c>
      <c r="J389" t="s">
        <v>13</v>
      </c>
      <c r="K389">
        <v>11</v>
      </c>
      <c r="M3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89" t="str">
        <f>DO_DB[[#This Row],[Material Pick-update]]&amp;"_"&amp;DO_DB[[#This Row],[Material Name]]</f>
        <v>45439_FAT-16</v>
      </c>
      <c r="O389" t="str">
        <f>DO_DB[[#This Row],[SiteID]]</f>
        <v>CLR31-99-061</v>
      </c>
      <c r="P389" t="str">
        <f>DO_DB[[#This Row],[SiteID]]&amp;"_"&amp;DO_DB[[#This Row],[Material Name]]</f>
        <v>CLR31-99-061_FAT-16</v>
      </c>
      <c r="Q389" t="str">
        <f>DO_DB[[#This Row],[DO Number]]</f>
        <v>DOEID24052512</v>
      </c>
      <c r="R389" t="str">
        <f>DO_DB[[#This Row],[DN Number]]</f>
        <v>DNWID0342024052502</v>
      </c>
    </row>
    <row r="390" spans="1:18">
      <c r="A390" t="s">
        <v>1435</v>
      </c>
      <c r="B390" t="s">
        <v>1436</v>
      </c>
      <c r="C390" s="172" t="s">
        <v>4482</v>
      </c>
      <c r="D390" t="s">
        <v>71</v>
      </c>
      <c r="E390" t="s">
        <v>26</v>
      </c>
      <c r="F390" t="s">
        <v>3148</v>
      </c>
      <c r="G390" t="s">
        <v>1437</v>
      </c>
      <c r="H390" t="s">
        <v>1438</v>
      </c>
      <c r="I390" s="130">
        <v>45439</v>
      </c>
      <c r="J390" t="s">
        <v>3069</v>
      </c>
      <c r="K390">
        <v>123</v>
      </c>
      <c r="M3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90" t="str">
        <f>DO_DB[[#This Row],[Material Pick-update]]&amp;"_"&amp;DO_DB[[#This Row],[Material Name]]</f>
        <v>45439_Pole 7M 4"</v>
      </c>
      <c r="O390" t="str">
        <f>DO_DB[[#This Row],[SiteID]]</f>
        <v>CLR31-04-039</v>
      </c>
      <c r="P390" t="str">
        <f>DO_DB[[#This Row],[SiteID]]&amp;"_"&amp;DO_DB[[#This Row],[Material Name]]</f>
        <v>CLR31-04-039_Pole 7M 4"</v>
      </c>
      <c r="Q390" t="str">
        <f>DO_DB[[#This Row],[DO Number]]</f>
        <v>DOEID24052513</v>
      </c>
      <c r="R390" t="str">
        <f>DO_DB[[#This Row],[DN Number]]</f>
        <v>DNWID0362024052501</v>
      </c>
    </row>
    <row r="391" spans="1:18">
      <c r="A391" t="s">
        <v>1435</v>
      </c>
      <c r="B391" t="s">
        <v>1436</v>
      </c>
      <c r="C391" s="172" t="s">
        <v>4482</v>
      </c>
      <c r="D391" t="s">
        <v>71</v>
      </c>
      <c r="E391" t="s">
        <v>26</v>
      </c>
      <c r="F391" t="s">
        <v>3148</v>
      </c>
      <c r="G391" t="s">
        <v>1437</v>
      </c>
      <c r="H391" t="s">
        <v>1438</v>
      </c>
      <c r="I391" s="130">
        <v>45439</v>
      </c>
      <c r="J391" t="s">
        <v>3070</v>
      </c>
      <c r="K391">
        <v>24</v>
      </c>
      <c r="M3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91" t="str">
        <f>DO_DB[[#This Row],[Material Pick-update]]&amp;"_"&amp;DO_DB[[#This Row],[Material Name]]</f>
        <v>45439_Pole 7M 3"</v>
      </c>
      <c r="O391" t="str">
        <f>DO_DB[[#This Row],[SiteID]]</f>
        <v>CLR31-04-039</v>
      </c>
      <c r="P391" t="str">
        <f>DO_DB[[#This Row],[SiteID]]&amp;"_"&amp;DO_DB[[#This Row],[Material Name]]</f>
        <v>CLR31-04-039_Pole 7M 3"</v>
      </c>
      <c r="Q391" t="str">
        <f>DO_DB[[#This Row],[DO Number]]</f>
        <v>DOEID24052513</v>
      </c>
      <c r="R391" t="str">
        <f>DO_DB[[#This Row],[DN Number]]</f>
        <v>DNWID0362024052501</v>
      </c>
    </row>
    <row r="392" spans="1:18">
      <c r="A392" t="s">
        <v>1435</v>
      </c>
      <c r="B392" t="s">
        <v>1436</v>
      </c>
      <c r="C392" s="172" t="s">
        <v>4482</v>
      </c>
      <c r="D392" t="s">
        <v>71</v>
      </c>
      <c r="E392" t="s">
        <v>26</v>
      </c>
      <c r="F392" t="s">
        <v>3148</v>
      </c>
      <c r="G392" t="s">
        <v>1443</v>
      </c>
      <c r="H392" t="s">
        <v>1444</v>
      </c>
      <c r="I392" s="130">
        <v>45439</v>
      </c>
      <c r="J392" t="s">
        <v>4856</v>
      </c>
      <c r="K392">
        <v>1</v>
      </c>
      <c r="M3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92" t="str">
        <f>DO_DB[[#This Row],[Material Pick-update]]&amp;"_"&amp;DO_DB[[#This Row],[Material Name]]</f>
        <v>45439_JC 144Core</v>
      </c>
      <c r="O392" t="str">
        <f>DO_DB[[#This Row],[SiteID]]</f>
        <v>CLR31-04-039</v>
      </c>
      <c r="P392" t="str">
        <f>DO_DB[[#This Row],[SiteID]]&amp;"_"&amp;DO_DB[[#This Row],[Material Name]]</f>
        <v>CLR31-04-039_JC 144Core</v>
      </c>
      <c r="Q392" t="str">
        <f>DO_DB[[#This Row],[DO Number]]</f>
        <v>DOEID24052514</v>
      </c>
      <c r="R392" t="str">
        <f>DO_DB[[#This Row],[DN Number]]</f>
        <v>DNWID0762024052501</v>
      </c>
    </row>
    <row r="393" spans="1:18">
      <c r="A393" t="s">
        <v>1435</v>
      </c>
      <c r="B393" t="s">
        <v>1436</v>
      </c>
      <c r="C393" s="172" t="s">
        <v>4482</v>
      </c>
      <c r="D393" t="s">
        <v>71</v>
      </c>
      <c r="E393" t="s">
        <v>26</v>
      </c>
      <c r="F393" t="s">
        <v>3148</v>
      </c>
      <c r="G393" t="s">
        <v>1439</v>
      </c>
      <c r="H393" t="s">
        <v>1440</v>
      </c>
      <c r="I393" s="130">
        <v>45439</v>
      </c>
      <c r="J393" t="s">
        <v>14</v>
      </c>
      <c r="K393">
        <v>3</v>
      </c>
      <c r="M3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93" t="str">
        <f>DO_DB[[#This Row],[Material Pick-update]]&amp;"_"&amp;DO_DB[[#This Row],[Material Name]]</f>
        <v>45439_FDT-48</v>
      </c>
      <c r="O393" t="str">
        <f>DO_DB[[#This Row],[SiteID]]</f>
        <v>CLR31-04-039</v>
      </c>
      <c r="P393" t="str">
        <f>DO_DB[[#This Row],[SiteID]]&amp;"_"&amp;DO_DB[[#This Row],[Material Name]]</f>
        <v>CLR31-04-039_FDT-48</v>
      </c>
      <c r="Q393" t="str">
        <f>DO_DB[[#This Row],[DO Number]]</f>
        <v>DOEID24052515</v>
      </c>
      <c r="R393" t="str">
        <f>DO_DB[[#This Row],[DN Number]]</f>
        <v>DNWID0342024052503</v>
      </c>
    </row>
    <row r="394" spans="1:18">
      <c r="A394" t="s">
        <v>1435</v>
      </c>
      <c r="B394" t="s">
        <v>1436</v>
      </c>
      <c r="C394" s="172" t="s">
        <v>4482</v>
      </c>
      <c r="D394" t="s">
        <v>71</v>
      </c>
      <c r="E394" t="s">
        <v>26</v>
      </c>
      <c r="F394" t="s">
        <v>3148</v>
      </c>
      <c r="G394" t="s">
        <v>1439</v>
      </c>
      <c r="H394" t="s">
        <v>1440</v>
      </c>
      <c r="I394" s="130">
        <v>45439</v>
      </c>
      <c r="J394" t="s">
        <v>13</v>
      </c>
      <c r="K394">
        <v>53</v>
      </c>
      <c r="M3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94" t="str">
        <f>DO_DB[[#This Row],[Material Pick-update]]&amp;"_"&amp;DO_DB[[#This Row],[Material Name]]</f>
        <v>45439_FAT-16</v>
      </c>
      <c r="O394" t="str">
        <f>DO_DB[[#This Row],[SiteID]]</f>
        <v>CLR31-04-039</v>
      </c>
      <c r="P394" t="str">
        <f>DO_DB[[#This Row],[SiteID]]&amp;"_"&amp;DO_DB[[#This Row],[Material Name]]</f>
        <v>CLR31-04-039_FAT-16</v>
      </c>
      <c r="Q394" t="str">
        <f>DO_DB[[#This Row],[DO Number]]</f>
        <v>DOEID24052515</v>
      </c>
      <c r="R394" t="str">
        <f>DO_DB[[#This Row],[DN Number]]</f>
        <v>DNWID0342024052503</v>
      </c>
    </row>
    <row r="395" spans="1:18">
      <c r="A395" t="s">
        <v>1513</v>
      </c>
      <c r="B395" t="s">
        <v>1514</v>
      </c>
      <c r="C395" s="172" t="s">
        <v>4482</v>
      </c>
      <c r="D395" t="s">
        <v>71</v>
      </c>
      <c r="E395" t="s">
        <v>26</v>
      </c>
      <c r="F395" t="s">
        <v>3148</v>
      </c>
      <c r="G395" t="s">
        <v>1515</v>
      </c>
      <c r="H395" t="s">
        <v>1516</v>
      </c>
      <c r="I395" s="130">
        <v>45449</v>
      </c>
      <c r="J395" t="s">
        <v>3069</v>
      </c>
      <c r="K395">
        <v>289</v>
      </c>
      <c r="M3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95" t="str">
        <f>DO_DB[[#This Row],[Material Pick-update]]&amp;"_"&amp;DO_DB[[#This Row],[Material Name]]</f>
        <v>45449_Pole 7M 4"</v>
      </c>
      <c r="O395" t="str">
        <f>DO_DB[[#This Row],[SiteID]]</f>
        <v>MF31-02</v>
      </c>
      <c r="P395" t="str">
        <f>DO_DB[[#This Row],[SiteID]]&amp;"_"&amp;DO_DB[[#This Row],[Material Name]]</f>
        <v>MF31-02_Pole 7M 4"</v>
      </c>
      <c r="Q395" t="str">
        <f>DO_DB[[#This Row],[DO Number]]</f>
        <v>DOEID240605GF</v>
      </c>
      <c r="R395" t="str">
        <f>DO_DB[[#This Row],[DN Number]]</f>
        <v>DNWID0362024060513</v>
      </c>
    </row>
    <row r="396" spans="1:18">
      <c r="A396" t="s">
        <v>1513</v>
      </c>
      <c r="B396" t="s">
        <v>1514</v>
      </c>
      <c r="C396" s="172" t="s">
        <v>4482</v>
      </c>
      <c r="D396" t="s">
        <v>71</v>
      </c>
      <c r="E396" t="s">
        <v>26</v>
      </c>
      <c r="F396" t="s">
        <v>3148</v>
      </c>
      <c r="G396" t="s">
        <v>1515</v>
      </c>
      <c r="H396" t="s">
        <v>1516</v>
      </c>
      <c r="I396" s="130">
        <v>45449</v>
      </c>
      <c r="J396" t="s">
        <v>3071</v>
      </c>
      <c r="K396">
        <v>11</v>
      </c>
      <c r="M3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396" t="str">
        <f>DO_DB[[#This Row],[Material Pick-update]]&amp;"_"&amp;DO_DB[[#This Row],[Material Name]]</f>
        <v>45449_Pole 9M</v>
      </c>
      <c r="O396" t="str">
        <f>DO_DB[[#This Row],[SiteID]]</f>
        <v>MF31-02</v>
      </c>
      <c r="P396" t="str">
        <f>DO_DB[[#This Row],[SiteID]]&amp;"_"&amp;DO_DB[[#This Row],[Material Name]]</f>
        <v>MF31-02_Pole 9M</v>
      </c>
      <c r="Q396" t="str">
        <f>DO_DB[[#This Row],[DO Number]]</f>
        <v>DOEID240605GF</v>
      </c>
      <c r="R396" t="str">
        <f>DO_DB[[#This Row],[DN Number]]</f>
        <v>DNWID0362024060513</v>
      </c>
    </row>
    <row r="397" spans="1:18">
      <c r="A397" t="s">
        <v>1519</v>
      </c>
      <c r="B397" t="s">
        <v>1520</v>
      </c>
      <c r="C397" s="172" t="s">
        <v>4482</v>
      </c>
      <c r="D397" t="s">
        <v>71</v>
      </c>
      <c r="E397" t="s">
        <v>26</v>
      </c>
      <c r="F397" t="s">
        <v>3148</v>
      </c>
      <c r="G397" t="s">
        <v>1521</v>
      </c>
      <c r="H397" t="s">
        <v>1522</v>
      </c>
      <c r="I397" s="130">
        <v>45455</v>
      </c>
      <c r="J397" t="s">
        <v>3077</v>
      </c>
      <c r="K397">
        <v>3000</v>
      </c>
      <c r="M3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144C-2024612-01</v>
      </c>
      <c r="N397" t="str">
        <f>DO_DB[[#This Row],[Material Pick-update]]&amp;"_"&amp;DO_DB[[#This Row],[Material Name]]</f>
        <v>45455_ADSS 144C</v>
      </c>
      <c r="O397" t="str">
        <f>DO_DB[[#This Row],[SiteID]]</f>
        <v>MF31-04</v>
      </c>
      <c r="P397" t="str">
        <f>DO_DB[[#This Row],[SiteID]]&amp;"_"&amp;DO_DB[[#This Row],[Material Name]]</f>
        <v>MF31-04_ADSS 144C</v>
      </c>
      <c r="Q397" t="str">
        <f>DO_DB[[#This Row],[DO Number]]</f>
        <v>DOEID240610J5</v>
      </c>
      <c r="R397" t="str">
        <f>DO_DB[[#This Row],[DN Number]]</f>
        <v>DNWID0342024061005</v>
      </c>
    </row>
    <row r="398" spans="1:18">
      <c r="A398" t="s">
        <v>1529</v>
      </c>
      <c r="B398" t="s">
        <v>1530</v>
      </c>
      <c r="C398" s="172" t="s">
        <v>4482</v>
      </c>
      <c r="D398" t="s">
        <v>71</v>
      </c>
      <c r="E398" t="s">
        <v>26</v>
      </c>
      <c r="F398" t="s">
        <v>3148</v>
      </c>
      <c r="G398" t="s">
        <v>1533</v>
      </c>
      <c r="H398" t="s">
        <v>1534</v>
      </c>
      <c r="I398" s="130">
        <v>45455</v>
      </c>
      <c r="J398" t="s">
        <v>3077</v>
      </c>
      <c r="K398">
        <v>6000</v>
      </c>
      <c r="M3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144C-2024612-01</v>
      </c>
      <c r="N398" t="str">
        <f>DO_DB[[#This Row],[Material Pick-update]]&amp;"_"&amp;DO_DB[[#This Row],[Material Name]]</f>
        <v>45455_ADSS 144C</v>
      </c>
      <c r="O398" t="str">
        <f>DO_DB[[#This Row],[SiteID]]</f>
        <v>MF31-01</v>
      </c>
      <c r="P398" t="str">
        <f>DO_DB[[#This Row],[SiteID]]&amp;"_"&amp;DO_DB[[#This Row],[Material Name]]</f>
        <v>MF31-01_ADSS 144C</v>
      </c>
      <c r="Q398" t="str">
        <f>DO_DB[[#This Row],[DO Number]]</f>
        <v>DOEID240610J2</v>
      </c>
      <c r="R398" t="str">
        <f>DO_DB[[#This Row],[DN Number]]</f>
        <v>DNWID0342024061004</v>
      </c>
    </row>
    <row r="399" spans="1:18">
      <c r="A399" t="s">
        <v>1513</v>
      </c>
      <c r="B399" t="s">
        <v>1514</v>
      </c>
      <c r="C399" s="172" t="s">
        <v>4482</v>
      </c>
      <c r="D399" t="s">
        <v>71</v>
      </c>
      <c r="E399" t="s">
        <v>26</v>
      </c>
      <c r="F399" t="s">
        <v>3148</v>
      </c>
      <c r="G399" t="s">
        <v>1523</v>
      </c>
      <c r="H399" t="s">
        <v>1524</v>
      </c>
      <c r="I399" s="130">
        <v>45455</v>
      </c>
      <c r="J399" t="s">
        <v>3077</v>
      </c>
      <c r="K399">
        <v>15000</v>
      </c>
      <c r="M3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144C-2024612-01</v>
      </c>
      <c r="N399" t="str">
        <f>DO_DB[[#This Row],[Material Pick-update]]&amp;"_"&amp;DO_DB[[#This Row],[Material Name]]</f>
        <v>45455_ADSS 144C</v>
      </c>
      <c r="O399" t="str">
        <f>DO_DB[[#This Row],[SiteID]]</f>
        <v>MF31-02</v>
      </c>
      <c r="P399" t="str">
        <f>DO_DB[[#This Row],[SiteID]]&amp;"_"&amp;DO_DB[[#This Row],[Material Name]]</f>
        <v>MF31-02_ADSS 144C</v>
      </c>
      <c r="Q399" t="str">
        <f>DO_DB[[#This Row],[DO Number]]</f>
        <v>DOEID240610J7</v>
      </c>
      <c r="R399" t="str">
        <f>DO_DB[[#This Row],[DN Number]]</f>
        <v>DNWID0342024061003</v>
      </c>
    </row>
    <row r="400" spans="1:18">
      <c r="A400" t="s">
        <v>1529</v>
      </c>
      <c r="B400" t="s">
        <v>1530</v>
      </c>
      <c r="C400" s="172" t="s">
        <v>4482</v>
      </c>
      <c r="D400" t="s">
        <v>71</v>
      </c>
      <c r="E400" t="s">
        <v>26</v>
      </c>
      <c r="F400" t="s">
        <v>3148</v>
      </c>
      <c r="G400" t="s">
        <v>1531</v>
      </c>
      <c r="H400" t="s">
        <v>1532</v>
      </c>
      <c r="I400" s="130">
        <v>45455</v>
      </c>
      <c r="J400" t="s">
        <v>4856</v>
      </c>
      <c r="K400">
        <v>2</v>
      </c>
      <c r="M4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00" t="str">
        <f>DO_DB[[#This Row],[Material Pick-update]]&amp;"_"&amp;DO_DB[[#This Row],[Material Name]]</f>
        <v>45455_JC 144Core</v>
      </c>
      <c r="O400" t="str">
        <f>DO_DB[[#This Row],[SiteID]]</f>
        <v>MF31-01</v>
      </c>
      <c r="P400" t="str">
        <f>DO_DB[[#This Row],[SiteID]]&amp;"_"&amp;DO_DB[[#This Row],[Material Name]]</f>
        <v>MF31-01_JC 144Core</v>
      </c>
      <c r="Q400" t="str">
        <f>DO_DB[[#This Row],[DO Number]]</f>
        <v>DOEID240610J1</v>
      </c>
      <c r="R400" t="str">
        <f>DO_DB[[#This Row],[DN Number]]</f>
        <v>DNWID0762024061001</v>
      </c>
    </row>
    <row r="401" spans="1:18">
      <c r="A401" t="s">
        <v>1519</v>
      </c>
      <c r="B401" t="s">
        <v>1520</v>
      </c>
      <c r="C401" s="172" t="s">
        <v>4482</v>
      </c>
      <c r="D401" t="s">
        <v>71</v>
      </c>
      <c r="E401" t="s">
        <v>26</v>
      </c>
      <c r="F401" t="s">
        <v>3148</v>
      </c>
      <c r="G401" t="s">
        <v>1525</v>
      </c>
      <c r="H401" t="s">
        <v>1526</v>
      </c>
      <c r="I401" s="130">
        <v>45455</v>
      </c>
      <c r="J401" t="s">
        <v>4856</v>
      </c>
      <c r="K401">
        <v>3</v>
      </c>
      <c r="M4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01" t="str">
        <f>DO_DB[[#This Row],[Material Pick-update]]&amp;"_"&amp;DO_DB[[#This Row],[Material Name]]</f>
        <v>45455_JC 144Core</v>
      </c>
      <c r="O401" t="str">
        <f>DO_DB[[#This Row],[SiteID]]</f>
        <v>MF31-04</v>
      </c>
      <c r="P401" t="str">
        <f>DO_DB[[#This Row],[SiteID]]&amp;"_"&amp;DO_DB[[#This Row],[Material Name]]</f>
        <v>MF31-04_JC 144Core</v>
      </c>
      <c r="Q401" t="str">
        <f>DO_DB[[#This Row],[DO Number]]</f>
        <v>DOEID240610J4</v>
      </c>
      <c r="R401" t="str">
        <f>DO_DB[[#This Row],[DN Number]]</f>
        <v>DNWID0762024061003</v>
      </c>
    </row>
    <row r="402" spans="1:18">
      <c r="A402" t="s">
        <v>1513</v>
      </c>
      <c r="B402" t="s">
        <v>1514</v>
      </c>
      <c r="C402" s="172" t="s">
        <v>4482</v>
      </c>
      <c r="D402" t="s">
        <v>71</v>
      </c>
      <c r="E402" t="s">
        <v>26</v>
      </c>
      <c r="F402" t="s">
        <v>3148</v>
      </c>
      <c r="G402" t="s">
        <v>1527</v>
      </c>
      <c r="H402" t="s">
        <v>1528</v>
      </c>
      <c r="I402" s="130">
        <v>45455</v>
      </c>
      <c r="J402" t="s">
        <v>4856</v>
      </c>
      <c r="K402">
        <v>5</v>
      </c>
      <c r="M4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02" t="str">
        <f>DO_DB[[#This Row],[Material Pick-update]]&amp;"_"&amp;DO_DB[[#This Row],[Material Name]]</f>
        <v>45455_JC 144Core</v>
      </c>
      <c r="O402" t="str">
        <f>DO_DB[[#This Row],[SiteID]]</f>
        <v>MF31-02</v>
      </c>
      <c r="P402" t="str">
        <f>DO_DB[[#This Row],[SiteID]]&amp;"_"&amp;DO_DB[[#This Row],[Material Name]]</f>
        <v>MF31-02_JC 144Core</v>
      </c>
      <c r="Q402" t="str">
        <f>DO_DB[[#This Row],[DO Number]]</f>
        <v>DOEID240610J8</v>
      </c>
      <c r="R402" t="str">
        <f>DO_DB[[#This Row],[DN Number]]</f>
        <v>DNWID0762024061002</v>
      </c>
    </row>
    <row r="403" spans="1:18">
      <c r="A403" t="s">
        <v>1529</v>
      </c>
      <c r="B403" t="s">
        <v>1530</v>
      </c>
      <c r="C403" s="172" t="s">
        <v>4482</v>
      </c>
      <c r="D403" t="s">
        <v>71</v>
      </c>
      <c r="E403" t="s">
        <v>26</v>
      </c>
      <c r="F403" t="s">
        <v>3148</v>
      </c>
      <c r="G403" t="s">
        <v>1555</v>
      </c>
      <c r="H403" t="s">
        <v>1556</v>
      </c>
      <c r="I403" s="130">
        <v>45457</v>
      </c>
      <c r="J403" t="s">
        <v>3069</v>
      </c>
      <c r="K403">
        <v>41</v>
      </c>
      <c r="M4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03" t="str">
        <f>DO_DB[[#This Row],[Material Pick-update]]&amp;"_"&amp;DO_DB[[#This Row],[Material Name]]</f>
        <v>45457_Pole 7M 4"</v>
      </c>
      <c r="O403" t="str">
        <f>DO_DB[[#This Row],[SiteID]]</f>
        <v>MF31-01</v>
      </c>
      <c r="P403" t="str">
        <f>DO_DB[[#This Row],[SiteID]]&amp;"_"&amp;DO_DB[[#This Row],[Material Name]]</f>
        <v>MF31-01_Pole 7M 4"</v>
      </c>
      <c r="Q403" t="str">
        <f>DO_DB[[#This Row],[DO Number]]</f>
        <v>DOEID240610J0</v>
      </c>
      <c r="R403" t="str">
        <f>DO_DB[[#This Row],[DN Number]]</f>
        <v>DNWID0362024061003</v>
      </c>
    </row>
    <row r="404" spans="1:18">
      <c r="A404" t="s">
        <v>1529</v>
      </c>
      <c r="B404" t="s">
        <v>1530</v>
      </c>
      <c r="C404" s="172" t="s">
        <v>4482</v>
      </c>
      <c r="D404" t="s">
        <v>71</v>
      </c>
      <c r="E404" t="s">
        <v>26</v>
      </c>
      <c r="F404" t="s">
        <v>3148</v>
      </c>
      <c r="G404" t="s">
        <v>1555</v>
      </c>
      <c r="H404" t="s">
        <v>1556</v>
      </c>
      <c r="I404" s="130">
        <v>45457</v>
      </c>
      <c r="J404" t="s">
        <v>3071</v>
      </c>
      <c r="K404">
        <v>3</v>
      </c>
      <c r="M4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04" t="str">
        <f>DO_DB[[#This Row],[Material Pick-update]]&amp;"_"&amp;DO_DB[[#This Row],[Material Name]]</f>
        <v>45457_Pole 9M</v>
      </c>
      <c r="O404" t="str">
        <f>DO_DB[[#This Row],[SiteID]]</f>
        <v>MF31-01</v>
      </c>
      <c r="P404" t="str">
        <f>DO_DB[[#This Row],[SiteID]]&amp;"_"&amp;DO_DB[[#This Row],[Material Name]]</f>
        <v>MF31-01_Pole 9M</v>
      </c>
      <c r="Q404" t="str">
        <f>DO_DB[[#This Row],[DO Number]]</f>
        <v>DOEID240610J0</v>
      </c>
      <c r="R404" t="str">
        <f>DO_DB[[#This Row],[DN Number]]</f>
        <v>DNWID0362024061003</v>
      </c>
    </row>
    <row r="405" spans="1:18">
      <c r="A405" t="s">
        <v>1519</v>
      </c>
      <c r="B405" t="s">
        <v>1520</v>
      </c>
      <c r="C405" s="172" t="s">
        <v>4482</v>
      </c>
      <c r="D405" t="s">
        <v>71</v>
      </c>
      <c r="E405" t="s">
        <v>26</v>
      </c>
      <c r="F405" t="s">
        <v>3148</v>
      </c>
      <c r="G405" t="s">
        <v>1557</v>
      </c>
      <c r="H405" t="s">
        <v>1558</v>
      </c>
      <c r="I405" s="130">
        <v>45457</v>
      </c>
      <c r="J405" t="s">
        <v>3069</v>
      </c>
      <c r="K405">
        <v>183</v>
      </c>
      <c r="M4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05" t="str">
        <f>DO_DB[[#This Row],[Material Pick-update]]&amp;"_"&amp;DO_DB[[#This Row],[Material Name]]</f>
        <v>45457_Pole 7M 4"</v>
      </c>
      <c r="O405" t="str">
        <f>DO_DB[[#This Row],[SiteID]]</f>
        <v>MF31-04</v>
      </c>
      <c r="P405" t="str">
        <f>DO_DB[[#This Row],[SiteID]]&amp;"_"&amp;DO_DB[[#This Row],[Material Name]]</f>
        <v>MF31-04_Pole 7M 4"</v>
      </c>
      <c r="Q405" t="str">
        <f>DO_DB[[#This Row],[DO Number]]</f>
        <v>DOEID240610J3</v>
      </c>
      <c r="R405" t="str">
        <f>DO_DB[[#This Row],[DN Number]]</f>
        <v>DNWID0362024061004</v>
      </c>
    </row>
    <row r="406" spans="1:18">
      <c r="A406" t="s">
        <v>1519</v>
      </c>
      <c r="B406" t="s">
        <v>1520</v>
      </c>
      <c r="C406" s="172" t="s">
        <v>4482</v>
      </c>
      <c r="D406" t="s">
        <v>71</v>
      </c>
      <c r="E406" t="s">
        <v>26</v>
      </c>
      <c r="F406" t="s">
        <v>3148</v>
      </c>
      <c r="G406" t="s">
        <v>1557</v>
      </c>
      <c r="H406" t="s">
        <v>1558</v>
      </c>
      <c r="I406" s="130">
        <v>45457</v>
      </c>
      <c r="J406" t="s">
        <v>3071</v>
      </c>
      <c r="K406">
        <v>4</v>
      </c>
      <c r="M4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06" t="str">
        <f>DO_DB[[#This Row],[Material Pick-update]]&amp;"_"&amp;DO_DB[[#This Row],[Material Name]]</f>
        <v>45457_Pole 9M</v>
      </c>
      <c r="O406" t="str">
        <f>DO_DB[[#This Row],[SiteID]]</f>
        <v>MF31-04</v>
      </c>
      <c r="P406" t="str">
        <f>DO_DB[[#This Row],[SiteID]]&amp;"_"&amp;DO_DB[[#This Row],[Material Name]]</f>
        <v>MF31-04_Pole 9M</v>
      </c>
      <c r="Q406" t="str">
        <f>DO_DB[[#This Row],[DO Number]]</f>
        <v>DOEID240610J3</v>
      </c>
      <c r="R406" t="str">
        <f>DO_DB[[#This Row],[DN Number]]</f>
        <v>DNWID0362024061004</v>
      </c>
    </row>
    <row r="407" spans="1:18">
      <c r="A407" t="s">
        <v>1513</v>
      </c>
      <c r="B407" t="s">
        <v>1514</v>
      </c>
      <c r="C407" s="172" t="s">
        <v>4482</v>
      </c>
      <c r="D407" t="s">
        <v>71</v>
      </c>
      <c r="E407" t="s">
        <v>26</v>
      </c>
      <c r="F407" t="s">
        <v>3148</v>
      </c>
      <c r="G407" t="s">
        <v>1553</v>
      </c>
      <c r="H407" t="s">
        <v>1554</v>
      </c>
      <c r="I407" s="130">
        <v>45457</v>
      </c>
      <c r="J407" t="s">
        <v>3071</v>
      </c>
      <c r="K407">
        <v>12</v>
      </c>
      <c r="M4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07" t="str">
        <f>DO_DB[[#This Row],[Material Pick-update]]&amp;"_"&amp;DO_DB[[#This Row],[Material Name]]</f>
        <v>45457_Pole 9M</v>
      </c>
      <c r="O407" t="str">
        <f>DO_DB[[#This Row],[SiteID]]</f>
        <v>MF31-02</v>
      </c>
      <c r="P407" t="str">
        <f>DO_DB[[#This Row],[SiteID]]&amp;"_"&amp;DO_DB[[#This Row],[Material Name]]</f>
        <v>MF31-02_Pole 9M</v>
      </c>
      <c r="Q407" t="str">
        <f>DO_DB[[#This Row],[DO Number]]</f>
        <v>DOEID240610J6</v>
      </c>
      <c r="R407" t="str">
        <f>DO_DB[[#This Row],[DN Number]]</f>
        <v>DNWID0362024061002</v>
      </c>
    </row>
    <row r="408" spans="1:18">
      <c r="A408" t="s">
        <v>1601</v>
      </c>
      <c r="B408" t="s">
        <v>1602</v>
      </c>
      <c r="C408" t="s">
        <v>4482</v>
      </c>
      <c r="D408" t="s">
        <v>71</v>
      </c>
      <c r="E408" t="s">
        <v>644</v>
      </c>
      <c r="F408" t="s">
        <v>3148</v>
      </c>
      <c r="G408" t="s">
        <v>1603</v>
      </c>
      <c r="H408" t="s">
        <v>1604</v>
      </c>
      <c r="I408" s="130">
        <v>45463</v>
      </c>
      <c r="J408" t="s">
        <v>3075</v>
      </c>
      <c r="K408">
        <v>3000</v>
      </c>
      <c r="M4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48C-2024620-01</v>
      </c>
      <c r="N408" t="str">
        <f>DO_DB[[#This Row],[Material Pick-update]]&amp;"_"&amp;DO_DB[[#This Row],[Material Name]]</f>
        <v>45463_ADSS 48C</v>
      </c>
      <c r="O408" t="str">
        <f>DO_DB[[#This Row],[SiteID]]</f>
        <v>CLR30-99-058</v>
      </c>
      <c r="P408" t="str">
        <f>DO_DB[[#This Row],[SiteID]]&amp;"_"&amp;DO_DB[[#This Row],[Material Name]]</f>
        <v>CLR30-99-058_ADSS 48C</v>
      </c>
      <c r="Q408" t="str">
        <f>DO_DB[[#This Row],[DO Number]]</f>
        <v>DOEID240613I6</v>
      </c>
      <c r="R408" t="str">
        <f>DO_DB[[#This Row],[DN Number]]</f>
        <v>DNWID0342024061412</v>
      </c>
    </row>
    <row r="409" spans="1:18">
      <c r="A409" t="s">
        <v>1601</v>
      </c>
      <c r="B409" t="s">
        <v>1602</v>
      </c>
      <c r="C409" t="s">
        <v>4482</v>
      </c>
      <c r="D409" t="s">
        <v>71</v>
      </c>
      <c r="E409" t="s">
        <v>644</v>
      </c>
      <c r="F409" t="s">
        <v>3148</v>
      </c>
      <c r="G409" t="s">
        <v>1603</v>
      </c>
      <c r="H409" t="s">
        <v>1604</v>
      </c>
      <c r="I409" s="130">
        <v>45463</v>
      </c>
      <c r="J409" t="s">
        <v>14</v>
      </c>
      <c r="K409">
        <v>1</v>
      </c>
      <c r="M4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09" t="str">
        <f>DO_DB[[#This Row],[Material Pick-update]]&amp;"_"&amp;DO_DB[[#This Row],[Material Name]]</f>
        <v>45463_FDT-48</v>
      </c>
      <c r="O409" t="str">
        <f>DO_DB[[#This Row],[SiteID]]</f>
        <v>CLR30-99-058</v>
      </c>
      <c r="P409" t="str">
        <f>DO_DB[[#This Row],[SiteID]]&amp;"_"&amp;DO_DB[[#This Row],[Material Name]]</f>
        <v>CLR30-99-058_FDT-48</v>
      </c>
      <c r="Q409" t="str">
        <f>DO_DB[[#This Row],[DO Number]]</f>
        <v>DOEID240613I6</v>
      </c>
      <c r="R409" t="str">
        <f>DO_DB[[#This Row],[DN Number]]</f>
        <v>DNWID0342024061412</v>
      </c>
    </row>
    <row r="410" spans="1:18">
      <c r="A410" t="s">
        <v>1601</v>
      </c>
      <c r="B410" t="s">
        <v>1602</v>
      </c>
      <c r="C410" t="s">
        <v>4482</v>
      </c>
      <c r="D410" t="s">
        <v>71</v>
      </c>
      <c r="E410" t="s">
        <v>644</v>
      </c>
      <c r="F410" t="s">
        <v>3148</v>
      </c>
      <c r="G410" t="s">
        <v>1603</v>
      </c>
      <c r="H410" t="s">
        <v>1604</v>
      </c>
      <c r="I410" s="130">
        <v>45463</v>
      </c>
      <c r="J410" t="s">
        <v>13</v>
      </c>
      <c r="K410">
        <v>15</v>
      </c>
      <c r="M4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10" t="str">
        <f>DO_DB[[#This Row],[Material Pick-update]]&amp;"_"&amp;DO_DB[[#This Row],[Material Name]]</f>
        <v>45463_FAT-16</v>
      </c>
      <c r="O410" t="str">
        <f>DO_DB[[#This Row],[SiteID]]</f>
        <v>CLR30-99-058</v>
      </c>
      <c r="P410" t="str">
        <f>DO_DB[[#This Row],[SiteID]]&amp;"_"&amp;DO_DB[[#This Row],[Material Name]]</f>
        <v>CLR30-99-058_FAT-16</v>
      </c>
      <c r="Q410" t="str">
        <f>DO_DB[[#This Row],[DO Number]]</f>
        <v>DOEID240613I6</v>
      </c>
      <c r="R410" t="str">
        <f>DO_DB[[#This Row],[DN Number]]</f>
        <v>DNWID0342024061412</v>
      </c>
    </row>
    <row r="411" spans="1:18">
      <c r="A411" t="s">
        <v>1601</v>
      </c>
      <c r="B411" t="s">
        <v>1602</v>
      </c>
      <c r="C411" t="s">
        <v>4482</v>
      </c>
      <c r="D411" t="s">
        <v>71</v>
      </c>
      <c r="E411" t="s">
        <v>644</v>
      </c>
      <c r="F411" t="s">
        <v>3148</v>
      </c>
      <c r="G411" t="s">
        <v>1603</v>
      </c>
      <c r="H411" t="s">
        <v>1604</v>
      </c>
      <c r="I411" s="130">
        <v>45463</v>
      </c>
      <c r="J411" t="s">
        <v>3080</v>
      </c>
      <c r="K411">
        <v>3</v>
      </c>
      <c r="M4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11" t="str">
        <f>DO_DB[[#This Row],[Material Pick-update]]&amp;"_"&amp;DO_DB[[#This Row],[Material Name]]</f>
        <v>45463_1:8 SPL for FDT-AE &amp; UG</v>
      </c>
      <c r="O411" t="str">
        <f>DO_DB[[#This Row],[SiteID]]</f>
        <v>CLR30-99-058</v>
      </c>
      <c r="P411" t="str">
        <f>DO_DB[[#This Row],[SiteID]]&amp;"_"&amp;DO_DB[[#This Row],[Material Name]]</f>
        <v>CLR30-99-058_1:8 SPL for FDT-AE &amp; UG</v>
      </c>
      <c r="Q411" t="str">
        <f>DO_DB[[#This Row],[DO Number]]</f>
        <v>DOEID240613I6</v>
      </c>
      <c r="R411" t="str">
        <f>DO_DB[[#This Row],[DN Number]]</f>
        <v>DNWID0342024061412</v>
      </c>
    </row>
    <row r="412" spans="1:18">
      <c r="A412" t="s">
        <v>1621</v>
      </c>
      <c r="B412" t="s">
        <v>1622</v>
      </c>
      <c r="C412" t="s">
        <v>4482</v>
      </c>
      <c r="D412" t="s">
        <v>71</v>
      </c>
      <c r="E412" t="s">
        <v>644</v>
      </c>
      <c r="F412" t="s">
        <v>3148</v>
      </c>
      <c r="G412" t="s">
        <v>1623</v>
      </c>
      <c r="H412" t="s">
        <v>1624</v>
      </c>
      <c r="I412" s="130">
        <v>45463</v>
      </c>
      <c r="J412" t="s">
        <v>14</v>
      </c>
      <c r="K412">
        <v>1</v>
      </c>
      <c r="M4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12" t="str">
        <f>DO_DB[[#This Row],[Material Pick-update]]&amp;"_"&amp;DO_DB[[#This Row],[Material Name]]</f>
        <v>45463_FDT-48</v>
      </c>
      <c r="O412" t="str">
        <f>DO_DB[[#This Row],[SiteID]]</f>
        <v>CLR30-01-014</v>
      </c>
      <c r="P412" t="str">
        <f>DO_DB[[#This Row],[SiteID]]&amp;"_"&amp;DO_DB[[#This Row],[Material Name]]</f>
        <v>CLR30-01-014_FDT-48</v>
      </c>
      <c r="Q412" t="str">
        <f>DO_DB[[#This Row],[DO Number]]</f>
        <v>DOEID240613IE</v>
      </c>
      <c r="R412" t="str">
        <f>DO_DB[[#This Row],[DN Number]]</f>
        <v>DNWID0342024061406</v>
      </c>
    </row>
    <row r="413" spans="1:18">
      <c r="A413" t="s">
        <v>1621</v>
      </c>
      <c r="B413" t="s">
        <v>1622</v>
      </c>
      <c r="C413" t="s">
        <v>4482</v>
      </c>
      <c r="D413" t="s">
        <v>71</v>
      </c>
      <c r="E413" t="s">
        <v>644</v>
      </c>
      <c r="F413" t="s">
        <v>3148</v>
      </c>
      <c r="G413" t="s">
        <v>1623</v>
      </c>
      <c r="H413" t="s">
        <v>1624</v>
      </c>
      <c r="I413" s="130">
        <v>45463</v>
      </c>
      <c r="J413" t="s">
        <v>13</v>
      </c>
      <c r="K413">
        <v>21</v>
      </c>
      <c r="M4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13" t="str">
        <f>DO_DB[[#This Row],[Material Pick-update]]&amp;"_"&amp;DO_DB[[#This Row],[Material Name]]</f>
        <v>45463_FAT-16</v>
      </c>
      <c r="O413" t="str">
        <f>DO_DB[[#This Row],[SiteID]]</f>
        <v>CLR30-01-014</v>
      </c>
      <c r="P413" t="str">
        <f>DO_DB[[#This Row],[SiteID]]&amp;"_"&amp;DO_DB[[#This Row],[Material Name]]</f>
        <v>CLR30-01-014_FAT-16</v>
      </c>
      <c r="Q413" t="str">
        <f>DO_DB[[#This Row],[DO Number]]</f>
        <v>DOEID240613IE</v>
      </c>
      <c r="R413" t="str">
        <f>DO_DB[[#This Row],[DN Number]]</f>
        <v>DNWID0342024061406</v>
      </c>
    </row>
    <row r="414" spans="1:18">
      <c r="A414" t="s">
        <v>1621</v>
      </c>
      <c r="B414" t="s">
        <v>1622</v>
      </c>
      <c r="C414" t="s">
        <v>4482</v>
      </c>
      <c r="D414" t="s">
        <v>71</v>
      </c>
      <c r="E414" t="s">
        <v>644</v>
      </c>
      <c r="F414" t="s">
        <v>3148</v>
      </c>
      <c r="G414" t="s">
        <v>1623</v>
      </c>
      <c r="H414" t="s">
        <v>1624</v>
      </c>
      <c r="I414" s="130">
        <v>45463</v>
      </c>
      <c r="J414" t="s">
        <v>3080</v>
      </c>
      <c r="K414">
        <v>3</v>
      </c>
      <c r="M4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14" t="str">
        <f>DO_DB[[#This Row],[Material Pick-update]]&amp;"_"&amp;DO_DB[[#This Row],[Material Name]]</f>
        <v>45463_1:8 SPL for FDT-AE &amp; UG</v>
      </c>
      <c r="O414" t="str">
        <f>DO_DB[[#This Row],[SiteID]]</f>
        <v>CLR30-01-014</v>
      </c>
      <c r="P414" t="str">
        <f>DO_DB[[#This Row],[SiteID]]&amp;"_"&amp;DO_DB[[#This Row],[Material Name]]</f>
        <v>CLR30-01-014_1:8 SPL for FDT-AE &amp; UG</v>
      </c>
      <c r="Q414" t="str">
        <f>DO_DB[[#This Row],[DO Number]]</f>
        <v>DOEID240613IE</v>
      </c>
      <c r="R414" t="str">
        <f>DO_DB[[#This Row],[DN Number]]</f>
        <v>DNWID0342024061406</v>
      </c>
    </row>
    <row r="415" spans="1:18">
      <c r="A415" t="s">
        <v>1597</v>
      </c>
      <c r="B415" t="s">
        <v>1598</v>
      </c>
      <c r="C415" t="s">
        <v>4482</v>
      </c>
      <c r="D415" t="s">
        <v>71</v>
      </c>
      <c r="E415" t="s">
        <v>709</v>
      </c>
      <c r="F415" t="s">
        <v>3148</v>
      </c>
      <c r="G415" t="s">
        <v>1599</v>
      </c>
      <c r="H415" t="s">
        <v>1600</v>
      </c>
      <c r="I415" s="130">
        <v>45463</v>
      </c>
      <c r="J415" t="s">
        <v>3075</v>
      </c>
      <c r="K415">
        <v>3000</v>
      </c>
      <c r="M4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48C-2024620-01</v>
      </c>
      <c r="N415" t="str">
        <f>DO_DB[[#This Row],[Material Pick-update]]&amp;"_"&amp;DO_DB[[#This Row],[Material Name]]</f>
        <v>45463_ADSS 48C</v>
      </c>
      <c r="O415" t="str">
        <f>DO_DB[[#This Row],[SiteID]]</f>
        <v>CLR41-99-057</v>
      </c>
      <c r="P415" t="str">
        <f>DO_DB[[#This Row],[SiteID]]&amp;"_"&amp;DO_DB[[#This Row],[Material Name]]</f>
        <v>CLR41-99-057_ADSS 48C</v>
      </c>
      <c r="Q415" t="str">
        <f>DO_DB[[#This Row],[DO Number]]</f>
        <v>DOEID240613GN</v>
      </c>
      <c r="R415" t="str">
        <f>DO_DB[[#This Row],[DN Number]]</f>
        <v>DNWID0342024061410</v>
      </c>
    </row>
    <row r="416" spans="1:18">
      <c r="A416" t="s">
        <v>1593</v>
      </c>
      <c r="B416" t="s">
        <v>1594</v>
      </c>
      <c r="C416" t="s">
        <v>4482</v>
      </c>
      <c r="D416" t="s">
        <v>71</v>
      </c>
      <c r="E416" t="s">
        <v>709</v>
      </c>
      <c r="F416" t="s">
        <v>3148</v>
      </c>
      <c r="G416" t="s">
        <v>1625</v>
      </c>
      <c r="H416" t="s">
        <v>1626</v>
      </c>
      <c r="I416" s="130">
        <v>45463</v>
      </c>
      <c r="J416" t="s">
        <v>3073</v>
      </c>
      <c r="K416">
        <v>3000</v>
      </c>
      <c r="M4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24C-2024620-01</v>
      </c>
      <c r="N416" t="str">
        <f>DO_DB[[#This Row],[Material Pick-update]]&amp;"_"&amp;DO_DB[[#This Row],[Material Name]]</f>
        <v>45463_ADSS 24C</v>
      </c>
      <c r="O416" t="str">
        <f>DO_DB[[#This Row],[SiteID]]</f>
        <v>CLR41-99-059</v>
      </c>
      <c r="P416" t="str">
        <f>DO_DB[[#This Row],[SiteID]]&amp;"_"&amp;DO_DB[[#This Row],[Material Name]]</f>
        <v>CLR41-99-059_ADSS 24C</v>
      </c>
      <c r="Q416" t="str">
        <f>DO_DB[[#This Row],[DO Number]]</f>
        <v>DOEID240613GS</v>
      </c>
      <c r="R416" t="str">
        <f>DO_DB[[#This Row],[DN Number]]</f>
        <v>DNWID0342024061407</v>
      </c>
    </row>
    <row r="417" spans="1:18">
      <c r="A417" t="s">
        <v>1609</v>
      </c>
      <c r="B417" t="s">
        <v>1610</v>
      </c>
      <c r="C417" t="s">
        <v>4482</v>
      </c>
      <c r="D417" t="s">
        <v>71</v>
      </c>
      <c r="E417" t="s">
        <v>709</v>
      </c>
      <c r="F417" t="s">
        <v>3148</v>
      </c>
      <c r="G417" t="s">
        <v>1619</v>
      </c>
      <c r="H417" t="s">
        <v>1620</v>
      </c>
      <c r="I417" s="130">
        <v>45463</v>
      </c>
      <c r="J417" t="s">
        <v>4856</v>
      </c>
      <c r="K417">
        <v>1</v>
      </c>
      <c r="M4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17" t="str">
        <f>DO_DB[[#This Row],[Material Pick-update]]&amp;"_"&amp;DO_DB[[#This Row],[Material Name]]</f>
        <v>45463_JC 144Core</v>
      </c>
      <c r="O417" t="str">
        <f>DO_DB[[#This Row],[SiteID]]</f>
        <v>CLR41-99-056</v>
      </c>
      <c r="P417" t="str">
        <f>DO_DB[[#This Row],[SiteID]]&amp;"_"&amp;DO_DB[[#This Row],[Material Name]]</f>
        <v>CLR41-99-056_JC 144Core</v>
      </c>
      <c r="Q417" t="str">
        <f>DO_DB[[#This Row],[DO Number]]</f>
        <v>DOEID240613GJ</v>
      </c>
      <c r="R417" t="str">
        <f>DO_DB[[#This Row],[DN Number]]</f>
        <v>DNWID0762024061406</v>
      </c>
    </row>
    <row r="418" spans="1:18">
      <c r="A418" t="s">
        <v>1609</v>
      </c>
      <c r="B418" t="s">
        <v>1610</v>
      </c>
      <c r="C418" t="s">
        <v>4482</v>
      </c>
      <c r="D418" t="s">
        <v>71</v>
      </c>
      <c r="E418" t="s">
        <v>709</v>
      </c>
      <c r="F418" t="s">
        <v>3148</v>
      </c>
      <c r="G418" t="s">
        <v>1611</v>
      </c>
      <c r="H418" t="s">
        <v>1612</v>
      </c>
      <c r="I418" s="130">
        <v>45463</v>
      </c>
      <c r="J418" t="s">
        <v>14</v>
      </c>
      <c r="K418">
        <v>1</v>
      </c>
      <c r="M4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18" t="str">
        <f>DO_DB[[#This Row],[Material Pick-update]]&amp;"_"&amp;DO_DB[[#This Row],[Material Name]]</f>
        <v>45463_FDT-48</v>
      </c>
      <c r="O418" t="str">
        <f>DO_DB[[#This Row],[SiteID]]</f>
        <v>CLR41-99-056</v>
      </c>
      <c r="P418" t="str">
        <f>DO_DB[[#This Row],[SiteID]]&amp;"_"&amp;DO_DB[[#This Row],[Material Name]]</f>
        <v>CLR41-99-056_FDT-48</v>
      </c>
      <c r="Q418" t="str">
        <f>DO_DB[[#This Row],[DO Number]]</f>
        <v>DOEID240613GK</v>
      </c>
      <c r="R418" t="str">
        <f>DO_DB[[#This Row],[DN Number]]</f>
        <v>DNWID0342024061409</v>
      </c>
    </row>
    <row r="419" spans="1:18">
      <c r="A419" t="s">
        <v>1609</v>
      </c>
      <c r="B419" t="s">
        <v>1610</v>
      </c>
      <c r="C419" t="s">
        <v>4482</v>
      </c>
      <c r="D419" t="s">
        <v>71</v>
      </c>
      <c r="E419" t="s">
        <v>709</v>
      </c>
      <c r="F419" t="s">
        <v>3148</v>
      </c>
      <c r="G419" t="s">
        <v>1611</v>
      </c>
      <c r="H419" t="s">
        <v>1612</v>
      </c>
      <c r="I419" s="130">
        <v>45463</v>
      </c>
      <c r="J419" t="s">
        <v>13</v>
      </c>
      <c r="K419">
        <v>14</v>
      </c>
      <c r="M4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19" t="str">
        <f>DO_DB[[#This Row],[Material Pick-update]]&amp;"_"&amp;DO_DB[[#This Row],[Material Name]]</f>
        <v>45463_FAT-16</v>
      </c>
      <c r="O419" t="str">
        <f>DO_DB[[#This Row],[SiteID]]</f>
        <v>CLR41-99-056</v>
      </c>
      <c r="P419" t="str">
        <f>DO_DB[[#This Row],[SiteID]]&amp;"_"&amp;DO_DB[[#This Row],[Material Name]]</f>
        <v>CLR41-99-056_FAT-16</v>
      </c>
      <c r="Q419" t="str">
        <f>DO_DB[[#This Row],[DO Number]]</f>
        <v>DOEID240613GK</v>
      </c>
      <c r="R419" t="str">
        <f>DO_DB[[#This Row],[DN Number]]</f>
        <v>DNWID0342024061409</v>
      </c>
    </row>
    <row r="420" spans="1:18">
      <c r="A420" t="s">
        <v>1609</v>
      </c>
      <c r="B420" t="s">
        <v>1610</v>
      </c>
      <c r="C420" t="s">
        <v>4482</v>
      </c>
      <c r="D420" t="s">
        <v>71</v>
      </c>
      <c r="E420" t="s">
        <v>709</v>
      </c>
      <c r="F420" t="s">
        <v>3148</v>
      </c>
      <c r="G420" t="s">
        <v>1611</v>
      </c>
      <c r="H420" t="s">
        <v>1612</v>
      </c>
      <c r="I420" s="130">
        <v>45463</v>
      </c>
      <c r="J420" t="s">
        <v>3080</v>
      </c>
      <c r="K420">
        <v>3</v>
      </c>
      <c r="M4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20" t="str">
        <f>DO_DB[[#This Row],[Material Pick-update]]&amp;"_"&amp;DO_DB[[#This Row],[Material Name]]</f>
        <v>45463_1:8 SPL for FDT-AE &amp; UG</v>
      </c>
      <c r="O420" t="str">
        <f>DO_DB[[#This Row],[SiteID]]</f>
        <v>CLR41-99-056</v>
      </c>
      <c r="P420" t="str">
        <f>DO_DB[[#This Row],[SiteID]]&amp;"_"&amp;DO_DB[[#This Row],[Material Name]]</f>
        <v>CLR41-99-056_1:8 SPL for FDT-AE &amp; UG</v>
      </c>
      <c r="Q420" t="str">
        <f>DO_DB[[#This Row],[DO Number]]</f>
        <v>DOEID240613GK</v>
      </c>
      <c r="R420" t="str">
        <f>DO_DB[[#This Row],[DN Number]]</f>
        <v>DNWID0342024061409</v>
      </c>
    </row>
    <row r="421" spans="1:18">
      <c r="A421" t="s">
        <v>1597</v>
      </c>
      <c r="B421" t="s">
        <v>1598</v>
      </c>
      <c r="C421" t="s">
        <v>4482</v>
      </c>
      <c r="D421" t="s">
        <v>71</v>
      </c>
      <c r="E421" t="s">
        <v>709</v>
      </c>
      <c r="F421" t="s">
        <v>3148</v>
      </c>
      <c r="G421" t="s">
        <v>1613</v>
      </c>
      <c r="H421" t="s">
        <v>1614</v>
      </c>
      <c r="I421" s="130">
        <v>45463</v>
      </c>
      <c r="J421" t="s">
        <v>4856</v>
      </c>
      <c r="K421">
        <v>1</v>
      </c>
      <c r="M4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21" t="str">
        <f>DO_DB[[#This Row],[Material Pick-update]]&amp;"_"&amp;DO_DB[[#This Row],[Material Name]]</f>
        <v>45463_JC 144Core</v>
      </c>
      <c r="O421" t="str">
        <f>DO_DB[[#This Row],[SiteID]]</f>
        <v>CLR41-99-057</v>
      </c>
      <c r="P421" t="str">
        <f>DO_DB[[#This Row],[SiteID]]&amp;"_"&amp;DO_DB[[#This Row],[Material Name]]</f>
        <v>CLR41-99-057_JC 144Core</v>
      </c>
      <c r="Q421" t="str">
        <f>DO_DB[[#This Row],[DO Number]]</f>
        <v>DOEID240613GM</v>
      </c>
      <c r="R421" t="str">
        <f>DO_DB[[#This Row],[DN Number]]</f>
        <v>DNWID0762024061407</v>
      </c>
    </row>
    <row r="422" spans="1:18">
      <c r="A422" t="s">
        <v>1597</v>
      </c>
      <c r="B422" t="s">
        <v>1598</v>
      </c>
      <c r="C422" t="s">
        <v>4482</v>
      </c>
      <c r="D422" t="s">
        <v>71</v>
      </c>
      <c r="E422" t="s">
        <v>709</v>
      </c>
      <c r="F422" t="s">
        <v>3148</v>
      </c>
      <c r="G422" t="s">
        <v>1599</v>
      </c>
      <c r="H422" t="s">
        <v>1600</v>
      </c>
      <c r="I422" s="130">
        <v>45463</v>
      </c>
      <c r="J422" t="s">
        <v>14</v>
      </c>
      <c r="K422">
        <v>1</v>
      </c>
      <c r="M4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22" t="str">
        <f>DO_DB[[#This Row],[Material Pick-update]]&amp;"_"&amp;DO_DB[[#This Row],[Material Name]]</f>
        <v>45463_FDT-48</v>
      </c>
      <c r="O422" t="str">
        <f>DO_DB[[#This Row],[SiteID]]</f>
        <v>CLR41-99-057</v>
      </c>
      <c r="P422" t="str">
        <f>DO_DB[[#This Row],[SiteID]]&amp;"_"&amp;DO_DB[[#This Row],[Material Name]]</f>
        <v>CLR41-99-057_FDT-48</v>
      </c>
      <c r="Q422" t="str">
        <f>DO_DB[[#This Row],[DO Number]]</f>
        <v>DOEID240613GN</v>
      </c>
      <c r="R422" t="str">
        <f>DO_DB[[#This Row],[DN Number]]</f>
        <v>DNWID0342024061410</v>
      </c>
    </row>
    <row r="423" spans="1:18">
      <c r="A423" t="s">
        <v>1597</v>
      </c>
      <c r="B423" t="s">
        <v>1598</v>
      </c>
      <c r="C423" t="s">
        <v>4482</v>
      </c>
      <c r="D423" t="s">
        <v>71</v>
      </c>
      <c r="E423" t="s">
        <v>709</v>
      </c>
      <c r="F423" t="s">
        <v>3148</v>
      </c>
      <c r="G423" t="s">
        <v>1599</v>
      </c>
      <c r="H423" t="s">
        <v>1600</v>
      </c>
      <c r="I423" s="130">
        <v>45463</v>
      </c>
      <c r="J423" t="s">
        <v>13</v>
      </c>
      <c r="K423">
        <v>16</v>
      </c>
      <c r="M4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23" t="str">
        <f>DO_DB[[#This Row],[Material Pick-update]]&amp;"_"&amp;DO_DB[[#This Row],[Material Name]]</f>
        <v>45463_FAT-16</v>
      </c>
      <c r="O423" t="str">
        <f>DO_DB[[#This Row],[SiteID]]</f>
        <v>CLR41-99-057</v>
      </c>
      <c r="P423" t="str">
        <f>DO_DB[[#This Row],[SiteID]]&amp;"_"&amp;DO_DB[[#This Row],[Material Name]]</f>
        <v>CLR41-99-057_FAT-16</v>
      </c>
      <c r="Q423" t="str">
        <f>DO_DB[[#This Row],[DO Number]]</f>
        <v>DOEID240613GN</v>
      </c>
      <c r="R423" t="str">
        <f>DO_DB[[#This Row],[DN Number]]</f>
        <v>DNWID0342024061410</v>
      </c>
    </row>
    <row r="424" spans="1:18">
      <c r="A424" t="s">
        <v>1597</v>
      </c>
      <c r="B424" t="s">
        <v>1598</v>
      </c>
      <c r="C424" t="s">
        <v>4482</v>
      </c>
      <c r="D424" t="s">
        <v>71</v>
      </c>
      <c r="E424" t="s">
        <v>709</v>
      </c>
      <c r="F424" t="s">
        <v>3148</v>
      </c>
      <c r="G424" t="s">
        <v>1599</v>
      </c>
      <c r="H424" t="s">
        <v>1600</v>
      </c>
      <c r="I424" s="130">
        <v>45463</v>
      </c>
      <c r="J424" t="s">
        <v>3080</v>
      </c>
      <c r="K424">
        <v>3</v>
      </c>
      <c r="M4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24" t="str">
        <f>DO_DB[[#This Row],[Material Pick-update]]&amp;"_"&amp;DO_DB[[#This Row],[Material Name]]</f>
        <v>45463_1:8 SPL for FDT-AE &amp; UG</v>
      </c>
      <c r="O424" t="str">
        <f>DO_DB[[#This Row],[SiteID]]</f>
        <v>CLR41-99-057</v>
      </c>
      <c r="P424" t="str">
        <f>DO_DB[[#This Row],[SiteID]]&amp;"_"&amp;DO_DB[[#This Row],[Material Name]]</f>
        <v>CLR41-99-057_1:8 SPL for FDT-AE &amp; UG</v>
      </c>
      <c r="Q424" t="str">
        <f>DO_DB[[#This Row],[DO Number]]</f>
        <v>DOEID240613GN</v>
      </c>
      <c r="R424" t="str">
        <f>DO_DB[[#This Row],[DN Number]]</f>
        <v>DNWID0342024061410</v>
      </c>
    </row>
    <row r="425" spans="1:18">
      <c r="A425" t="s">
        <v>1605</v>
      </c>
      <c r="B425" t="s">
        <v>1606</v>
      </c>
      <c r="C425" t="s">
        <v>4482</v>
      </c>
      <c r="D425" t="s">
        <v>71</v>
      </c>
      <c r="E425" t="s">
        <v>709</v>
      </c>
      <c r="F425" t="s">
        <v>3148</v>
      </c>
      <c r="G425" t="s">
        <v>1615</v>
      </c>
      <c r="H425" t="s">
        <v>1616</v>
      </c>
      <c r="I425" s="130">
        <v>45463</v>
      </c>
      <c r="J425" t="s">
        <v>3069</v>
      </c>
      <c r="K425">
        <v>28</v>
      </c>
      <c r="M4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25" t="str">
        <f>DO_DB[[#This Row],[Material Pick-update]]&amp;"_"&amp;DO_DB[[#This Row],[Material Name]]</f>
        <v>45463_Pole 7M 4"</v>
      </c>
      <c r="O425" t="str">
        <f>DO_DB[[#This Row],[SiteID]]</f>
        <v>CLR41-99-058</v>
      </c>
      <c r="P425" t="str">
        <f>DO_DB[[#This Row],[SiteID]]&amp;"_"&amp;DO_DB[[#This Row],[Material Name]]</f>
        <v>CLR41-99-058_Pole 7M 4"</v>
      </c>
      <c r="Q425" t="str">
        <f>DO_DB[[#This Row],[DO Number]]</f>
        <v>DOEID240613GO</v>
      </c>
      <c r="R425" t="str">
        <f>DO_DB[[#This Row],[DN Number]]</f>
        <v>DNWID0362024061408</v>
      </c>
    </row>
    <row r="426" spans="1:18">
      <c r="A426" t="s">
        <v>1605</v>
      </c>
      <c r="B426" t="s">
        <v>1606</v>
      </c>
      <c r="C426" t="s">
        <v>4482</v>
      </c>
      <c r="D426" t="s">
        <v>71</v>
      </c>
      <c r="E426" t="s">
        <v>709</v>
      </c>
      <c r="F426" t="s">
        <v>3148</v>
      </c>
      <c r="G426" t="s">
        <v>1615</v>
      </c>
      <c r="H426" t="s">
        <v>1616</v>
      </c>
      <c r="I426" s="130">
        <v>45463</v>
      </c>
      <c r="J426" t="s">
        <v>3070</v>
      </c>
      <c r="K426">
        <v>5</v>
      </c>
      <c r="M4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26" t="str">
        <f>DO_DB[[#This Row],[Material Pick-update]]&amp;"_"&amp;DO_DB[[#This Row],[Material Name]]</f>
        <v>45463_Pole 7M 3"</v>
      </c>
      <c r="O426" t="str">
        <f>DO_DB[[#This Row],[SiteID]]</f>
        <v>CLR41-99-058</v>
      </c>
      <c r="P426" t="str">
        <f>DO_DB[[#This Row],[SiteID]]&amp;"_"&amp;DO_DB[[#This Row],[Material Name]]</f>
        <v>CLR41-99-058_Pole 7M 3"</v>
      </c>
      <c r="Q426" t="str">
        <f>DO_DB[[#This Row],[DO Number]]</f>
        <v>DOEID240613GO</v>
      </c>
      <c r="R426" t="str">
        <f>DO_DB[[#This Row],[DN Number]]</f>
        <v>DNWID0362024061408</v>
      </c>
    </row>
    <row r="427" spans="1:18">
      <c r="A427" t="s">
        <v>1605</v>
      </c>
      <c r="B427" t="s">
        <v>1606</v>
      </c>
      <c r="C427" t="s">
        <v>4482</v>
      </c>
      <c r="D427" t="s">
        <v>71</v>
      </c>
      <c r="E427" t="s">
        <v>709</v>
      </c>
      <c r="F427" t="s">
        <v>3148</v>
      </c>
      <c r="G427" t="s">
        <v>1607</v>
      </c>
      <c r="H427" t="s">
        <v>1608</v>
      </c>
      <c r="I427" s="130">
        <v>45463</v>
      </c>
      <c r="J427" t="s">
        <v>14</v>
      </c>
      <c r="K427">
        <v>1</v>
      </c>
      <c r="M4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27" t="str">
        <f>DO_DB[[#This Row],[Material Pick-update]]&amp;"_"&amp;DO_DB[[#This Row],[Material Name]]</f>
        <v>45463_FDT-48</v>
      </c>
      <c r="O427" t="str">
        <f>DO_DB[[#This Row],[SiteID]]</f>
        <v>CLR41-99-058</v>
      </c>
      <c r="P427" t="str">
        <f>DO_DB[[#This Row],[SiteID]]&amp;"_"&amp;DO_DB[[#This Row],[Material Name]]</f>
        <v>CLR41-99-058_FDT-48</v>
      </c>
      <c r="Q427" t="str">
        <f>DO_DB[[#This Row],[DO Number]]</f>
        <v>DOEID240613GP</v>
      </c>
      <c r="R427" t="str">
        <f>DO_DB[[#This Row],[DN Number]]</f>
        <v>DNWID0342024061408</v>
      </c>
    </row>
    <row r="428" spans="1:18">
      <c r="A428" t="s">
        <v>1605</v>
      </c>
      <c r="B428" t="s">
        <v>1606</v>
      </c>
      <c r="C428" t="s">
        <v>4482</v>
      </c>
      <c r="D428" t="s">
        <v>71</v>
      </c>
      <c r="E428" t="s">
        <v>709</v>
      </c>
      <c r="F428" t="s">
        <v>3148</v>
      </c>
      <c r="G428" t="s">
        <v>1607</v>
      </c>
      <c r="H428" t="s">
        <v>1608</v>
      </c>
      <c r="I428" s="130">
        <v>45463</v>
      </c>
      <c r="J428" t="s">
        <v>13</v>
      </c>
      <c r="K428">
        <v>16</v>
      </c>
      <c r="M4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28" t="str">
        <f>DO_DB[[#This Row],[Material Pick-update]]&amp;"_"&amp;DO_DB[[#This Row],[Material Name]]</f>
        <v>45463_FAT-16</v>
      </c>
      <c r="O428" t="str">
        <f>DO_DB[[#This Row],[SiteID]]</f>
        <v>CLR41-99-058</v>
      </c>
      <c r="P428" t="str">
        <f>DO_DB[[#This Row],[SiteID]]&amp;"_"&amp;DO_DB[[#This Row],[Material Name]]</f>
        <v>CLR41-99-058_FAT-16</v>
      </c>
      <c r="Q428" t="str">
        <f>DO_DB[[#This Row],[DO Number]]</f>
        <v>DOEID240613GP</v>
      </c>
      <c r="R428" t="str">
        <f>DO_DB[[#This Row],[DN Number]]</f>
        <v>DNWID0342024061408</v>
      </c>
    </row>
    <row r="429" spans="1:18">
      <c r="A429" t="s">
        <v>1605</v>
      </c>
      <c r="B429" t="s">
        <v>1606</v>
      </c>
      <c r="C429" t="s">
        <v>4482</v>
      </c>
      <c r="D429" t="s">
        <v>71</v>
      </c>
      <c r="E429" t="s">
        <v>709</v>
      </c>
      <c r="F429" t="s">
        <v>3148</v>
      </c>
      <c r="G429" t="s">
        <v>1607</v>
      </c>
      <c r="H429" t="s">
        <v>1608</v>
      </c>
      <c r="I429" s="130">
        <v>45463</v>
      </c>
      <c r="J429" t="s">
        <v>3080</v>
      </c>
      <c r="K429">
        <v>3</v>
      </c>
      <c r="M4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29" t="str">
        <f>DO_DB[[#This Row],[Material Pick-update]]&amp;"_"&amp;DO_DB[[#This Row],[Material Name]]</f>
        <v>45463_1:8 SPL for FDT-AE &amp; UG</v>
      </c>
      <c r="O429" t="str">
        <f>DO_DB[[#This Row],[SiteID]]</f>
        <v>CLR41-99-058</v>
      </c>
      <c r="P429" t="str">
        <f>DO_DB[[#This Row],[SiteID]]&amp;"_"&amp;DO_DB[[#This Row],[Material Name]]</f>
        <v>CLR41-99-058_1:8 SPL for FDT-AE &amp; UG</v>
      </c>
      <c r="Q429" t="str">
        <f>DO_DB[[#This Row],[DO Number]]</f>
        <v>DOEID240613GP</v>
      </c>
      <c r="R429" t="str">
        <f>DO_DB[[#This Row],[DN Number]]</f>
        <v>DNWID0342024061408</v>
      </c>
    </row>
    <row r="430" spans="1:18">
      <c r="A430" t="s">
        <v>1593</v>
      </c>
      <c r="B430" t="s">
        <v>1594</v>
      </c>
      <c r="C430" t="s">
        <v>4482</v>
      </c>
      <c r="D430" t="s">
        <v>71</v>
      </c>
      <c r="E430" t="s">
        <v>709</v>
      </c>
      <c r="F430" t="s">
        <v>3148</v>
      </c>
      <c r="G430" t="s">
        <v>1595</v>
      </c>
      <c r="H430" t="s">
        <v>1596</v>
      </c>
      <c r="I430" s="130">
        <v>45463</v>
      </c>
      <c r="J430" t="s">
        <v>4856</v>
      </c>
      <c r="K430">
        <v>1</v>
      </c>
      <c r="M4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30" t="str">
        <f>DO_DB[[#This Row],[Material Pick-update]]&amp;"_"&amp;DO_DB[[#This Row],[Material Name]]</f>
        <v>45463_JC 144Core</v>
      </c>
      <c r="O430" t="str">
        <f>DO_DB[[#This Row],[SiteID]]</f>
        <v>CLR41-99-059</v>
      </c>
      <c r="P430" t="str">
        <f>DO_DB[[#This Row],[SiteID]]&amp;"_"&amp;DO_DB[[#This Row],[Material Name]]</f>
        <v>CLR41-99-059_JC 144Core</v>
      </c>
      <c r="Q430" t="str">
        <f>DO_DB[[#This Row],[DO Number]]</f>
        <v>DOEID240613GR</v>
      </c>
      <c r="R430" t="str">
        <f>DO_DB[[#This Row],[DN Number]]</f>
        <v>DNWID0762024061405</v>
      </c>
    </row>
    <row r="431" spans="1:18">
      <c r="A431" t="s">
        <v>1593</v>
      </c>
      <c r="B431" t="s">
        <v>1594</v>
      </c>
      <c r="C431" t="s">
        <v>4482</v>
      </c>
      <c r="D431" t="s">
        <v>71</v>
      </c>
      <c r="E431" t="s">
        <v>709</v>
      </c>
      <c r="F431" t="s">
        <v>3148</v>
      </c>
      <c r="G431" t="s">
        <v>1625</v>
      </c>
      <c r="H431" t="s">
        <v>1626</v>
      </c>
      <c r="I431" s="130">
        <v>45463</v>
      </c>
      <c r="J431" t="s">
        <v>14</v>
      </c>
      <c r="K431">
        <v>1</v>
      </c>
      <c r="M4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31" t="str">
        <f>DO_DB[[#This Row],[Material Pick-update]]&amp;"_"&amp;DO_DB[[#This Row],[Material Name]]</f>
        <v>45463_FDT-48</v>
      </c>
      <c r="O431" t="str">
        <f>DO_DB[[#This Row],[SiteID]]</f>
        <v>CLR41-99-059</v>
      </c>
      <c r="P431" t="str">
        <f>DO_DB[[#This Row],[SiteID]]&amp;"_"&amp;DO_DB[[#This Row],[Material Name]]</f>
        <v>CLR41-99-059_FDT-48</v>
      </c>
      <c r="Q431" t="str">
        <f>DO_DB[[#This Row],[DO Number]]</f>
        <v>DOEID240613GS</v>
      </c>
      <c r="R431" t="str">
        <f>DO_DB[[#This Row],[DN Number]]</f>
        <v>DNWID0342024061407</v>
      </c>
    </row>
    <row r="432" spans="1:18">
      <c r="A432" t="s">
        <v>1593</v>
      </c>
      <c r="B432" t="s">
        <v>1594</v>
      </c>
      <c r="C432" t="s">
        <v>4482</v>
      </c>
      <c r="D432" t="s">
        <v>71</v>
      </c>
      <c r="E432" t="s">
        <v>709</v>
      </c>
      <c r="F432" t="s">
        <v>3148</v>
      </c>
      <c r="G432" t="s">
        <v>1625</v>
      </c>
      <c r="H432" t="s">
        <v>1626</v>
      </c>
      <c r="I432" s="130">
        <v>45463</v>
      </c>
      <c r="J432" t="s">
        <v>13</v>
      </c>
      <c r="K432">
        <v>16</v>
      </c>
      <c r="M4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32" t="str">
        <f>DO_DB[[#This Row],[Material Pick-update]]&amp;"_"&amp;DO_DB[[#This Row],[Material Name]]</f>
        <v>45463_FAT-16</v>
      </c>
      <c r="O432" t="str">
        <f>DO_DB[[#This Row],[SiteID]]</f>
        <v>CLR41-99-059</v>
      </c>
      <c r="P432" t="str">
        <f>DO_DB[[#This Row],[SiteID]]&amp;"_"&amp;DO_DB[[#This Row],[Material Name]]</f>
        <v>CLR41-99-059_FAT-16</v>
      </c>
      <c r="Q432" t="str">
        <f>DO_DB[[#This Row],[DO Number]]</f>
        <v>DOEID240613GS</v>
      </c>
      <c r="R432" t="str">
        <f>DO_DB[[#This Row],[DN Number]]</f>
        <v>DNWID0342024061407</v>
      </c>
    </row>
    <row r="433" spans="1:18">
      <c r="A433" t="s">
        <v>1593</v>
      </c>
      <c r="B433" t="s">
        <v>1594</v>
      </c>
      <c r="C433" t="s">
        <v>4482</v>
      </c>
      <c r="D433" t="s">
        <v>71</v>
      </c>
      <c r="E433" t="s">
        <v>709</v>
      </c>
      <c r="F433" t="s">
        <v>3148</v>
      </c>
      <c r="G433" t="s">
        <v>1625</v>
      </c>
      <c r="H433" t="s">
        <v>1626</v>
      </c>
      <c r="I433" s="130">
        <v>45463</v>
      </c>
      <c r="J433" t="s">
        <v>3080</v>
      </c>
      <c r="K433">
        <v>3</v>
      </c>
      <c r="M4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33" t="str">
        <f>DO_DB[[#This Row],[Material Pick-update]]&amp;"_"&amp;DO_DB[[#This Row],[Material Name]]</f>
        <v>45463_1:8 SPL for FDT-AE &amp; UG</v>
      </c>
      <c r="O433" t="str">
        <f>DO_DB[[#This Row],[SiteID]]</f>
        <v>CLR41-99-059</v>
      </c>
      <c r="P433" t="str">
        <f>DO_DB[[#This Row],[SiteID]]&amp;"_"&amp;DO_DB[[#This Row],[Material Name]]</f>
        <v>CLR41-99-059_1:8 SPL for FDT-AE &amp; UG</v>
      </c>
      <c r="Q433" t="str">
        <f>DO_DB[[#This Row],[DO Number]]</f>
        <v>DOEID240613GS</v>
      </c>
      <c r="R433" t="str">
        <f>DO_DB[[#This Row],[DN Number]]</f>
        <v>DNWID0342024061407</v>
      </c>
    </row>
    <row r="434" spans="1:18">
      <c r="A434" t="s">
        <v>1589</v>
      </c>
      <c r="B434" t="s">
        <v>1590</v>
      </c>
      <c r="C434" s="172" t="s">
        <v>4482</v>
      </c>
      <c r="D434" t="s">
        <v>71</v>
      </c>
      <c r="E434" t="s">
        <v>26</v>
      </c>
      <c r="F434" t="s">
        <v>3148</v>
      </c>
      <c r="G434" t="s">
        <v>1591</v>
      </c>
      <c r="H434" t="s">
        <v>1592</v>
      </c>
      <c r="I434" s="130">
        <v>45463</v>
      </c>
      <c r="J434" t="s">
        <v>3075</v>
      </c>
      <c r="K434">
        <v>3000</v>
      </c>
      <c r="M4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48C-2024620-01</v>
      </c>
      <c r="N434" t="str">
        <f>DO_DB[[#This Row],[Material Pick-update]]&amp;"_"&amp;DO_DB[[#This Row],[Material Name]]</f>
        <v>45463_ADSS 48C</v>
      </c>
      <c r="O434" t="str">
        <f>DO_DB[[#This Row],[SiteID]]</f>
        <v>CLR31-04-002</v>
      </c>
      <c r="P434" t="str">
        <f>DO_DB[[#This Row],[SiteID]]&amp;"_"&amp;DO_DB[[#This Row],[Material Name]]</f>
        <v>CLR31-04-002_ADSS 48C</v>
      </c>
      <c r="Q434" t="str">
        <f>DO_DB[[#This Row],[DO Number]]</f>
        <v>DOEID240613I9</v>
      </c>
      <c r="R434" t="str">
        <f>DO_DB[[#This Row],[DN Number]]</f>
        <v>DNWID0342024061413</v>
      </c>
    </row>
    <row r="435" spans="1:18">
      <c r="A435" t="s">
        <v>1589</v>
      </c>
      <c r="B435" t="s">
        <v>1590</v>
      </c>
      <c r="C435" s="172" t="s">
        <v>4482</v>
      </c>
      <c r="D435" t="s">
        <v>71</v>
      </c>
      <c r="E435" t="s">
        <v>26</v>
      </c>
      <c r="F435" t="s">
        <v>3148</v>
      </c>
      <c r="G435" t="s">
        <v>1617</v>
      </c>
      <c r="H435" t="s">
        <v>1618</v>
      </c>
      <c r="I435" s="130">
        <v>45463</v>
      </c>
      <c r="J435" t="s">
        <v>3069</v>
      </c>
      <c r="K435">
        <v>88</v>
      </c>
      <c r="M4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35" t="str">
        <f>DO_DB[[#This Row],[Material Pick-update]]&amp;"_"&amp;DO_DB[[#This Row],[Material Name]]</f>
        <v>45463_Pole 7M 4"</v>
      </c>
      <c r="O435" t="str">
        <f>DO_DB[[#This Row],[SiteID]]</f>
        <v>CLR31-04-002</v>
      </c>
      <c r="P435" t="str">
        <f>DO_DB[[#This Row],[SiteID]]&amp;"_"&amp;DO_DB[[#This Row],[Material Name]]</f>
        <v>CLR31-04-002_Pole 7M 4"</v>
      </c>
      <c r="Q435" t="str">
        <f>DO_DB[[#This Row],[DO Number]]</f>
        <v>DOEID240613I7</v>
      </c>
      <c r="R435" t="str">
        <f>DO_DB[[#This Row],[DN Number]]</f>
        <v>DNWID0362024061410</v>
      </c>
    </row>
    <row r="436" spans="1:18">
      <c r="A436" t="s">
        <v>1589</v>
      </c>
      <c r="B436" t="s">
        <v>1590</v>
      </c>
      <c r="C436" s="172" t="s">
        <v>4482</v>
      </c>
      <c r="D436" t="s">
        <v>71</v>
      </c>
      <c r="E436" t="s">
        <v>26</v>
      </c>
      <c r="F436" t="s">
        <v>3148</v>
      </c>
      <c r="G436" t="s">
        <v>1617</v>
      </c>
      <c r="H436" t="s">
        <v>1618</v>
      </c>
      <c r="I436" s="130">
        <v>45463</v>
      </c>
      <c r="J436" t="s">
        <v>3070</v>
      </c>
      <c r="K436">
        <v>24</v>
      </c>
      <c r="M4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36" t="str">
        <f>DO_DB[[#This Row],[Material Pick-update]]&amp;"_"&amp;DO_DB[[#This Row],[Material Name]]</f>
        <v>45463_Pole 7M 3"</v>
      </c>
      <c r="O436" t="str">
        <f>DO_DB[[#This Row],[SiteID]]</f>
        <v>CLR31-04-002</v>
      </c>
      <c r="P436" t="str">
        <f>DO_DB[[#This Row],[SiteID]]&amp;"_"&amp;DO_DB[[#This Row],[Material Name]]</f>
        <v>CLR31-04-002_Pole 7M 3"</v>
      </c>
      <c r="Q436" t="str">
        <f>DO_DB[[#This Row],[DO Number]]</f>
        <v>DOEID240613I7</v>
      </c>
      <c r="R436" t="str">
        <f>DO_DB[[#This Row],[DN Number]]</f>
        <v>DNWID0362024061410</v>
      </c>
    </row>
    <row r="437" spans="1:18">
      <c r="A437" t="s">
        <v>1589</v>
      </c>
      <c r="B437" t="s">
        <v>1590</v>
      </c>
      <c r="C437" s="172" t="s">
        <v>4482</v>
      </c>
      <c r="D437" t="s">
        <v>71</v>
      </c>
      <c r="E437" t="s">
        <v>26</v>
      </c>
      <c r="F437" t="s">
        <v>3148</v>
      </c>
      <c r="G437" t="s">
        <v>1617</v>
      </c>
      <c r="H437" t="s">
        <v>1618</v>
      </c>
      <c r="I437" s="130">
        <v>45463</v>
      </c>
      <c r="J437" t="s">
        <v>3071</v>
      </c>
      <c r="K437">
        <v>2</v>
      </c>
      <c r="M4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37" t="str">
        <f>DO_DB[[#This Row],[Material Pick-update]]&amp;"_"&amp;DO_DB[[#This Row],[Material Name]]</f>
        <v>45463_Pole 9M</v>
      </c>
      <c r="O437" t="str">
        <f>DO_DB[[#This Row],[SiteID]]</f>
        <v>CLR31-04-002</v>
      </c>
      <c r="P437" t="str">
        <f>DO_DB[[#This Row],[SiteID]]&amp;"_"&amp;DO_DB[[#This Row],[Material Name]]</f>
        <v>CLR31-04-002_Pole 9M</v>
      </c>
      <c r="Q437" t="str">
        <f>DO_DB[[#This Row],[DO Number]]</f>
        <v>DOEID240613I7</v>
      </c>
      <c r="R437" t="str">
        <f>DO_DB[[#This Row],[DN Number]]</f>
        <v>DNWID0362024061410</v>
      </c>
    </row>
    <row r="438" spans="1:18">
      <c r="A438" t="s">
        <v>1589</v>
      </c>
      <c r="B438" t="s">
        <v>1590</v>
      </c>
      <c r="C438" s="172" t="s">
        <v>4482</v>
      </c>
      <c r="D438" t="s">
        <v>71</v>
      </c>
      <c r="E438" t="s">
        <v>26</v>
      </c>
      <c r="F438" t="s">
        <v>3148</v>
      </c>
      <c r="G438" t="s">
        <v>1591</v>
      </c>
      <c r="H438" t="s">
        <v>1592</v>
      </c>
      <c r="I438" s="130">
        <v>45463</v>
      </c>
      <c r="J438" t="s">
        <v>14</v>
      </c>
      <c r="K438">
        <v>3</v>
      </c>
      <c r="M4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38" t="str">
        <f>DO_DB[[#This Row],[Material Pick-update]]&amp;"_"&amp;DO_DB[[#This Row],[Material Name]]</f>
        <v>45463_FDT-48</v>
      </c>
      <c r="O438" t="str">
        <f>DO_DB[[#This Row],[SiteID]]</f>
        <v>CLR31-04-002</v>
      </c>
      <c r="P438" t="str">
        <f>DO_DB[[#This Row],[SiteID]]&amp;"_"&amp;DO_DB[[#This Row],[Material Name]]</f>
        <v>CLR31-04-002_FDT-48</v>
      </c>
      <c r="Q438" t="str">
        <f>DO_DB[[#This Row],[DO Number]]</f>
        <v>DOEID240613I9</v>
      </c>
      <c r="R438" t="str">
        <f>DO_DB[[#This Row],[DN Number]]</f>
        <v>DNWID0342024061413</v>
      </c>
    </row>
    <row r="439" spans="1:18">
      <c r="A439" t="s">
        <v>1589</v>
      </c>
      <c r="B439" t="s">
        <v>1590</v>
      </c>
      <c r="C439" s="172" t="s">
        <v>4482</v>
      </c>
      <c r="D439" t="s">
        <v>71</v>
      </c>
      <c r="E439" t="s">
        <v>26</v>
      </c>
      <c r="F439" t="s">
        <v>3148</v>
      </c>
      <c r="G439" t="s">
        <v>1591</v>
      </c>
      <c r="H439" t="s">
        <v>1592</v>
      </c>
      <c r="I439" s="130">
        <v>45463</v>
      </c>
      <c r="J439" t="s">
        <v>13</v>
      </c>
      <c r="K439">
        <v>30</v>
      </c>
      <c r="M4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39" t="str">
        <f>DO_DB[[#This Row],[Material Pick-update]]&amp;"_"&amp;DO_DB[[#This Row],[Material Name]]</f>
        <v>45463_FAT-16</v>
      </c>
      <c r="O439" t="str">
        <f>DO_DB[[#This Row],[SiteID]]</f>
        <v>CLR31-04-002</v>
      </c>
      <c r="P439" t="str">
        <f>DO_DB[[#This Row],[SiteID]]&amp;"_"&amp;DO_DB[[#This Row],[Material Name]]</f>
        <v>CLR31-04-002_FAT-16</v>
      </c>
      <c r="Q439" t="str">
        <f>DO_DB[[#This Row],[DO Number]]</f>
        <v>DOEID240613I9</v>
      </c>
      <c r="R439" t="str">
        <f>DO_DB[[#This Row],[DN Number]]</f>
        <v>DNWID0342024061413</v>
      </c>
    </row>
    <row r="440" spans="1:18">
      <c r="A440" t="s">
        <v>1589</v>
      </c>
      <c r="B440" t="s">
        <v>1590</v>
      </c>
      <c r="C440" s="172" t="s">
        <v>4482</v>
      </c>
      <c r="D440" t="s">
        <v>71</v>
      </c>
      <c r="E440" t="s">
        <v>26</v>
      </c>
      <c r="F440" t="s">
        <v>3148</v>
      </c>
      <c r="G440" t="s">
        <v>1591</v>
      </c>
      <c r="H440" t="s">
        <v>1592</v>
      </c>
      <c r="I440" s="130">
        <v>45463</v>
      </c>
      <c r="J440" t="s">
        <v>3080</v>
      </c>
      <c r="K440">
        <v>9</v>
      </c>
      <c r="M4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40" t="str">
        <f>DO_DB[[#This Row],[Material Pick-update]]&amp;"_"&amp;DO_DB[[#This Row],[Material Name]]</f>
        <v>45463_1:8 SPL for FDT-AE &amp; UG</v>
      </c>
      <c r="O440" t="str">
        <f>DO_DB[[#This Row],[SiteID]]</f>
        <v>CLR31-04-002</v>
      </c>
      <c r="P440" t="str">
        <f>DO_DB[[#This Row],[SiteID]]&amp;"_"&amp;DO_DB[[#This Row],[Material Name]]</f>
        <v>CLR31-04-002_1:8 SPL for FDT-AE &amp; UG</v>
      </c>
      <c r="Q440" t="str">
        <f>DO_DB[[#This Row],[DO Number]]</f>
        <v>DOEID240613I9</v>
      </c>
      <c r="R440" t="str">
        <f>DO_DB[[#This Row],[DN Number]]</f>
        <v>DNWID0342024061413</v>
      </c>
    </row>
    <row r="441" spans="1:18">
      <c r="A441" t="s">
        <v>1655</v>
      </c>
      <c r="B441" t="s">
        <v>1656</v>
      </c>
      <c r="C441" s="172" t="s">
        <v>4482</v>
      </c>
      <c r="D441" t="s">
        <v>71</v>
      </c>
      <c r="E441" t="s">
        <v>26</v>
      </c>
      <c r="F441" t="s">
        <v>3148</v>
      </c>
      <c r="G441" t="s">
        <v>1695</v>
      </c>
      <c r="H441" t="s">
        <v>1696</v>
      </c>
      <c r="I441" s="130">
        <v>45467</v>
      </c>
      <c r="J441" t="s">
        <v>3077</v>
      </c>
      <c r="K441">
        <v>9000</v>
      </c>
      <c r="M4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144C-2024624-01</v>
      </c>
      <c r="N441" t="str">
        <f>DO_DB[[#This Row],[Material Pick-update]]&amp;"_"&amp;DO_DB[[#This Row],[Material Name]]</f>
        <v>45467_ADSS 144C</v>
      </c>
      <c r="O441" t="str">
        <f>DO_DB[[#This Row],[SiteID]]</f>
        <v>MF31-05</v>
      </c>
      <c r="P441" t="str">
        <f>DO_DB[[#This Row],[SiteID]]&amp;"_"&amp;DO_DB[[#This Row],[Material Name]]</f>
        <v>MF31-05_ADSS 144C</v>
      </c>
      <c r="Q441" t="str">
        <f>DO_DB[[#This Row],[DO Number]]</f>
        <v>DOEID240620DY</v>
      </c>
      <c r="R441" t="str">
        <f>DO_DB[[#This Row],[DN Number]]</f>
        <v>DNWID0342024062011</v>
      </c>
    </row>
    <row r="442" spans="1:18">
      <c r="A442" t="s">
        <v>1621</v>
      </c>
      <c r="B442" t="s">
        <v>1622</v>
      </c>
      <c r="C442" t="s">
        <v>4482</v>
      </c>
      <c r="D442" t="s">
        <v>71</v>
      </c>
      <c r="E442" t="s">
        <v>644</v>
      </c>
      <c r="F442" t="s">
        <v>3148</v>
      </c>
      <c r="G442" t="s">
        <v>1677</v>
      </c>
      <c r="H442" t="s">
        <v>1678</v>
      </c>
      <c r="I442" s="130">
        <v>45468</v>
      </c>
      <c r="J442" t="s">
        <v>3073</v>
      </c>
      <c r="K442">
        <v>3000</v>
      </c>
      <c r="M4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24C-2024625-01</v>
      </c>
      <c r="N442" t="str">
        <f>DO_DB[[#This Row],[Material Pick-update]]&amp;"_"&amp;DO_DB[[#This Row],[Material Name]]</f>
        <v>45468_ADSS 24C</v>
      </c>
      <c r="O442" t="str">
        <f>DO_DB[[#This Row],[SiteID]]</f>
        <v>CLR30-01-014</v>
      </c>
      <c r="P442" t="str">
        <f>DO_DB[[#This Row],[SiteID]]&amp;"_"&amp;DO_DB[[#This Row],[Material Name]]</f>
        <v>CLR30-01-014_ADSS 24C</v>
      </c>
      <c r="Q442" t="str">
        <f>DO_DB[[#This Row],[DO Number]]</f>
        <v>DOEID240624NZ</v>
      </c>
      <c r="R442" t="str">
        <f>DO_DB[[#This Row],[DN Number]]</f>
        <v>DNWID0342024062501</v>
      </c>
    </row>
    <row r="443" spans="1:18">
      <c r="A443" t="s">
        <v>1643</v>
      </c>
      <c r="B443" t="s">
        <v>1644</v>
      </c>
      <c r="C443" t="s">
        <v>4482</v>
      </c>
      <c r="D443" t="s">
        <v>71</v>
      </c>
      <c r="E443" t="s">
        <v>876</v>
      </c>
      <c r="F443" t="s">
        <v>3148</v>
      </c>
      <c r="G443" t="s">
        <v>1675</v>
      </c>
      <c r="H443" t="s">
        <v>1676</v>
      </c>
      <c r="I443" s="130">
        <v>45468</v>
      </c>
      <c r="J443" t="s">
        <v>3073</v>
      </c>
      <c r="K443">
        <v>3000</v>
      </c>
      <c r="M4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24C-2024625-01</v>
      </c>
      <c r="N443" t="str">
        <f>DO_DB[[#This Row],[Material Pick-update]]&amp;"_"&amp;DO_DB[[#This Row],[Material Name]]</f>
        <v>45468_ADSS 24C</v>
      </c>
      <c r="O443" t="str">
        <f>DO_DB[[#This Row],[SiteID]]</f>
        <v>CLR37-01-023</v>
      </c>
      <c r="P443" t="str">
        <f>DO_DB[[#This Row],[SiteID]]&amp;"_"&amp;DO_DB[[#This Row],[Material Name]]</f>
        <v>CLR37-01-023_ADSS 24C</v>
      </c>
      <c r="Q443" t="str">
        <f>DO_DB[[#This Row],[DO Number]]</f>
        <v>DOEID240624NV</v>
      </c>
      <c r="R443" t="str">
        <f>DO_DB[[#This Row],[DN Number]]</f>
        <v>DNWID0342024062506</v>
      </c>
    </row>
    <row r="444" spans="1:18">
      <c r="A444" t="s">
        <v>1597</v>
      </c>
      <c r="B444" t="s">
        <v>1598</v>
      </c>
      <c r="C444" t="s">
        <v>4482</v>
      </c>
      <c r="D444" t="s">
        <v>71</v>
      </c>
      <c r="E444" t="s">
        <v>709</v>
      </c>
      <c r="F444" t="s">
        <v>3148</v>
      </c>
      <c r="G444" t="s">
        <v>1669</v>
      </c>
      <c r="H444" t="s">
        <v>1670</v>
      </c>
      <c r="I444" s="130">
        <v>45468</v>
      </c>
      <c r="J444" t="s">
        <v>3073</v>
      </c>
      <c r="K444">
        <v>3000</v>
      </c>
      <c r="M4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24C-2024625-01</v>
      </c>
      <c r="N444" t="str">
        <f>DO_DB[[#This Row],[Material Pick-update]]&amp;"_"&amp;DO_DB[[#This Row],[Material Name]]</f>
        <v>45468_ADSS 24C</v>
      </c>
      <c r="O444" t="str">
        <f>DO_DB[[#This Row],[SiteID]]</f>
        <v>CLR41-99-057</v>
      </c>
      <c r="P444" t="str">
        <f>DO_DB[[#This Row],[SiteID]]&amp;"_"&amp;DO_DB[[#This Row],[Material Name]]</f>
        <v>CLR41-99-057_ADSS 24C</v>
      </c>
      <c r="Q444" t="str">
        <f>DO_DB[[#This Row],[DO Number]]</f>
        <v>DOEID240624NY</v>
      </c>
      <c r="R444" t="str">
        <f>DO_DB[[#This Row],[DN Number]]</f>
        <v>DNWID0342024062508</v>
      </c>
    </row>
    <row r="445" spans="1:18">
      <c r="A445" t="s">
        <v>1679</v>
      </c>
      <c r="B445" t="s">
        <v>1680</v>
      </c>
      <c r="C445" t="s">
        <v>4482</v>
      </c>
      <c r="D445" t="s">
        <v>71</v>
      </c>
      <c r="E445" t="s">
        <v>709</v>
      </c>
      <c r="F445" t="s">
        <v>3148</v>
      </c>
      <c r="G445" t="s">
        <v>1681</v>
      </c>
      <c r="H445" t="s">
        <v>1682</v>
      </c>
      <c r="I445" s="130">
        <v>45468</v>
      </c>
      <c r="J445" t="s">
        <v>3075</v>
      </c>
      <c r="K445">
        <v>9000</v>
      </c>
      <c r="M4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48C-2024625-01</v>
      </c>
      <c r="N445" t="str">
        <f>DO_DB[[#This Row],[Material Pick-update]]&amp;"_"&amp;DO_DB[[#This Row],[Material Name]]</f>
        <v>45468_ADSS 48C</v>
      </c>
      <c r="O445" t="str">
        <f>DO_DB[[#This Row],[SiteID]]</f>
        <v>CLR41-03-021</v>
      </c>
      <c r="P445" t="str">
        <f>DO_DB[[#This Row],[SiteID]]&amp;"_"&amp;DO_DB[[#This Row],[Material Name]]</f>
        <v>CLR41-03-021_ADSS 48C</v>
      </c>
      <c r="Q445" t="str">
        <f>DO_DB[[#This Row],[DO Number]]</f>
        <v>DOEID240613I5</v>
      </c>
      <c r="R445" t="str">
        <f>DO_DB[[#This Row],[DN Number]]</f>
        <v>DNWID0342024062510</v>
      </c>
    </row>
    <row r="446" spans="1:18">
      <c r="A446" t="s">
        <v>1679</v>
      </c>
      <c r="B446" t="s">
        <v>1680</v>
      </c>
      <c r="C446" t="s">
        <v>4482</v>
      </c>
      <c r="D446" t="s">
        <v>71</v>
      </c>
      <c r="E446" t="s">
        <v>709</v>
      </c>
      <c r="F446" t="s">
        <v>3148</v>
      </c>
      <c r="G446" t="s">
        <v>1681</v>
      </c>
      <c r="H446" t="s">
        <v>1682</v>
      </c>
      <c r="I446" s="130">
        <v>45468</v>
      </c>
      <c r="J446" t="s">
        <v>13</v>
      </c>
      <c r="K446">
        <v>68</v>
      </c>
      <c r="M4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46" t="str">
        <f>DO_DB[[#This Row],[Material Pick-update]]&amp;"_"&amp;DO_DB[[#This Row],[Material Name]]</f>
        <v>45468_FAT-16</v>
      </c>
      <c r="O446" t="str">
        <f>DO_DB[[#This Row],[SiteID]]</f>
        <v>CLR41-03-021</v>
      </c>
      <c r="P446" t="str">
        <f>DO_DB[[#This Row],[SiteID]]&amp;"_"&amp;DO_DB[[#This Row],[Material Name]]</f>
        <v>CLR41-03-021_FAT-16</v>
      </c>
      <c r="Q446" t="str">
        <f>DO_DB[[#This Row],[DO Number]]</f>
        <v>DOEID240613I5</v>
      </c>
      <c r="R446" t="str">
        <f>DO_DB[[#This Row],[DN Number]]</f>
        <v>DNWID0342024062510</v>
      </c>
    </row>
    <row r="447" spans="1:18">
      <c r="A447" t="s">
        <v>1679</v>
      </c>
      <c r="B447" t="s">
        <v>1680</v>
      </c>
      <c r="C447" t="s">
        <v>4482</v>
      </c>
      <c r="D447" t="s">
        <v>71</v>
      </c>
      <c r="E447" t="s">
        <v>709</v>
      </c>
      <c r="F447" t="s">
        <v>3148</v>
      </c>
      <c r="G447" t="s">
        <v>1681</v>
      </c>
      <c r="H447" t="s">
        <v>1682</v>
      </c>
      <c r="I447" s="130">
        <v>45468</v>
      </c>
      <c r="J447" t="s">
        <v>3080</v>
      </c>
      <c r="K447">
        <v>9</v>
      </c>
      <c r="M4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47" t="str">
        <f>DO_DB[[#This Row],[Material Pick-update]]&amp;"_"&amp;DO_DB[[#This Row],[Material Name]]</f>
        <v>45468_1:8 SPL for FDT-AE &amp; UG</v>
      </c>
      <c r="O447" t="str">
        <f>DO_DB[[#This Row],[SiteID]]</f>
        <v>CLR41-03-021</v>
      </c>
      <c r="P447" t="str">
        <f>DO_DB[[#This Row],[SiteID]]&amp;"_"&amp;DO_DB[[#This Row],[Material Name]]</f>
        <v>CLR41-03-021_1:8 SPL for FDT-AE &amp; UG</v>
      </c>
      <c r="Q447" t="str">
        <f>DO_DB[[#This Row],[DO Number]]</f>
        <v>DOEID240613I5</v>
      </c>
      <c r="R447" t="str">
        <f>DO_DB[[#This Row],[DN Number]]</f>
        <v>DNWID0342024062510</v>
      </c>
    </row>
    <row r="448" spans="1:18">
      <c r="A448" t="s">
        <v>1589</v>
      </c>
      <c r="B448" t="s">
        <v>1590</v>
      </c>
      <c r="C448" s="172" t="s">
        <v>4482</v>
      </c>
      <c r="D448" t="s">
        <v>71</v>
      </c>
      <c r="E448" t="s">
        <v>26</v>
      </c>
      <c r="F448" t="s">
        <v>3148</v>
      </c>
      <c r="G448" t="s">
        <v>1673</v>
      </c>
      <c r="H448" t="s">
        <v>1674</v>
      </c>
      <c r="I448" s="130">
        <v>45468</v>
      </c>
      <c r="J448" t="s">
        <v>3073</v>
      </c>
      <c r="K448">
        <v>3000</v>
      </c>
      <c r="M4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24C-2024625-01</v>
      </c>
      <c r="N448" t="str">
        <f>DO_DB[[#This Row],[Material Pick-update]]&amp;"_"&amp;DO_DB[[#This Row],[Material Name]]</f>
        <v>45468_ADSS 24C</v>
      </c>
      <c r="O448" t="str">
        <f>DO_DB[[#This Row],[SiteID]]</f>
        <v>CLR31-04-002</v>
      </c>
      <c r="P448" t="str">
        <f>DO_DB[[#This Row],[SiteID]]&amp;"_"&amp;DO_DB[[#This Row],[Material Name]]</f>
        <v>CLR31-04-002_ADSS 24C</v>
      </c>
      <c r="Q448" t="str">
        <f>DO_DB[[#This Row],[DO Number]]</f>
        <v>DOEID240624O0</v>
      </c>
      <c r="R448" t="str">
        <f>DO_DB[[#This Row],[DN Number]]</f>
        <v>DNWID0342024062502</v>
      </c>
    </row>
    <row r="449" spans="1:18">
      <c r="A449" t="s">
        <v>1559</v>
      </c>
      <c r="B449" t="s">
        <v>1560</v>
      </c>
      <c r="C449" t="s">
        <v>4482</v>
      </c>
      <c r="D449" t="s">
        <v>71</v>
      </c>
      <c r="E449" t="s">
        <v>25</v>
      </c>
      <c r="F449" t="s">
        <v>3148</v>
      </c>
      <c r="G449" t="s">
        <v>1697</v>
      </c>
      <c r="H449" t="s">
        <v>1698</v>
      </c>
      <c r="I449" s="130">
        <v>45481</v>
      </c>
      <c r="J449" t="s">
        <v>3070</v>
      </c>
      <c r="K449">
        <v>7</v>
      </c>
      <c r="M4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49" t="str">
        <f>DO_DB[[#This Row],[Material Pick-update]]&amp;"_"&amp;DO_DB[[#This Row],[Material Name]]</f>
        <v>45481_Pole 7M 3"</v>
      </c>
      <c r="O449" t="str">
        <f>DO_DB[[#This Row],[SiteID]]</f>
        <v>CLR64-01-013</v>
      </c>
      <c r="P449" t="str">
        <f>DO_DB[[#This Row],[SiteID]]&amp;"_"&amp;DO_DB[[#This Row],[Material Name]]</f>
        <v>CLR64-01-013_Pole 7M 3"</v>
      </c>
      <c r="Q449" t="str">
        <f>DO_DB[[#This Row],[DO Number]]</f>
        <v>DOEID24070706</v>
      </c>
      <c r="R449" t="str">
        <f>DO_DB[[#This Row],[DN Number]]</f>
        <v>DNWID0362024070709</v>
      </c>
    </row>
    <row r="450" spans="1:18">
      <c r="A450" t="s">
        <v>1559</v>
      </c>
      <c r="B450" t="s">
        <v>1560</v>
      </c>
      <c r="C450" t="s">
        <v>4482</v>
      </c>
      <c r="D450" t="s">
        <v>71</v>
      </c>
      <c r="E450" t="s">
        <v>25</v>
      </c>
      <c r="F450" t="s">
        <v>3148</v>
      </c>
      <c r="G450" t="s">
        <v>1697</v>
      </c>
      <c r="H450" t="s">
        <v>1698</v>
      </c>
      <c r="I450" s="130">
        <v>45481</v>
      </c>
      <c r="J450" t="s">
        <v>4856</v>
      </c>
      <c r="K450">
        <v>1</v>
      </c>
      <c r="M4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50" t="str">
        <f>DO_DB[[#This Row],[Material Pick-update]]&amp;"_"&amp;DO_DB[[#This Row],[Material Name]]</f>
        <v>45481_JC 144Core</v>
      </c>
      <c r="O450" t="str">
        <f>DO_DB[[#This Row],[SiteID]]</f>
        <v>CLR64-01-013</v>
      </c>
      <c r="P450" t="str">
        <f>DO_DB[[#This Row],[SiteID]]&amp;"_"&amp;DO_DB[[#This Row],[Material Name]]</f>
        <v>CLR64-01-013_JC 144Core</v>
      </c>
      <c r="Q450" t="str">
        <f>DO_DB[[#This Row],[DO Number]]</f>
        <v>DOEID24070706</v>
      </c>
      <c r="R450" t="str">
        <f>DO_DB[[#This Row],[DN Number]]</f>
        <v>DNWID0362024070709</v>
      </c>
    </row>
    <row r="451" spans="1:18">
      <c r="A451" t="s">
        <v>1721</v>
      </c>
      <c r="B451" t="s">
        <v>1722</v>
      </c>
      <c r="C451" t="s">
        <v>4482</v>
      </c>
      <c r="D451" t="s">
        <v>71</v>
      </c>
      <c r="E451" t="s">
        <v>24</v>
      </c>
      <c r="F451" t="s">
        <v>3148</v>
      </c>
      <c r="G451" t="s">
        <v>1723</v>
      </c>
      <c r="H451" t="s">
        <v>1724</v>
      </c>
      <c r="I451" s="130">
        <v>45481</v>
      </c>
      <c r="J451" t="s">
        <v>3075</v>
      </c>
      <c r="K451">
        <v>3000</v>
      </c>
      <c r="M4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48C-202478-01</v>
      </c>
      <c r="N451" t="str">
        <f>DO_DB[[#This Row],[Material Pick-update]]&amp;"_"&amp;DO_DB[[#This Row],[Material Name]]</f>
        <v>45481_ADSS 48C</v>
      </c>
      <c r="O451" t="str">
        <f>DO_DB[[#This Row],[SiteID]]</f>
        <v>CLR51-99-061</v>
      </c>
      <c r="P451" t="str">
        <f>DO_DB[[#This Row],[SiteID]]&amp;"_"&amp;DO_DB[[#This Row],[Material Name]]</f>
        <v>CLR51-99-061_ADSS 48C</v>
      </c>
      <c r="Q451" t="str">
        <f>DO_DB[[#This Row],[DO Number]]</f>
        <v>DOEID24070180</v>
      </c>
      <c r="R451" t="str">
        <f>DO_DB[[#This Row],[DN Number]]</f>
        <v>DNWID0342024070104</v>
      </c>
    </row>
    <row r="452" spans="1:18">
      <c r="A452" t="s">
        <v>1689</v>
      </c>
      <c r="B452" t="s">
        <v>1690</v>
      </c>
      <c r="C452" t="s">
        <v>4482</v>
      </c>
      <c r="D452" t="s">
        <v>71</v>
      </c>
      <c r="E452" t="s">
        <v>24</v>
      </c>
      <c r="F452" t="s">
        <v>3148</v>
      </c>
      <c r="G452" t="s">
        <v>1725</v>
      </c>
      <c r="H452" t="s">
        <v>1726</v>
      </c>
      <c r="I452" s="130">
        <v>45481</v>
      </c>
      <c r="J452" t="s">
        <v>14</v>
      </c>
      <c r="K452">
        <v>1</v>
      </c>
      <c r="M4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52" t="str">
        <f>DO_DB[[#This Row],[Material Pick-update]]&amp;"_"&amp;DO_DB[[#This Row],[Material Name]]</f>
        <v>45481_FDT-48</v>
      </c>
      <c r="O452" t="str">
        <f>DO_DB[[#This Row],[SiteID]]</f>
        <v>CLR51-99-044</v>
      </c>
      <c r="P452" t="str">
        <f>DO_DB[[#This Row],[SiteID]]&amp;"_"&amp;DO_DB[[#This Row],[Material Name]]</f>
        <v>CLR51-99-044_FDT-48</v>
      </c>
      <c r="Q452" t="str">
        <f>DO_DB[[#This Row],[DO Number]]</f>
        <v>DOEID240627KK</v>
      </c>
      <c r="R452" t="str">
        <f>DO_DB[[#This Row],[DN Number]]</f>
        <v>DNWID0342024062802</v>
      </c>
    </row>
    <row r="453" spans="1:18">
      <c r="A453" t="s">
        <v>1721</v>
      </c>
      <c r="B453" t="s">
        <v>1722</v>
      </c>
      <c r="C453" t="s">
        <v>4482</v>
      </c>
      <c r="D453" t="s">
        <v>71</v>
      </c>
      <c r="E453" t="s">
        <v>24</v>
      </c>
      <c r="F453" t="s">
        <v>3148</v>
      </c>
      <c r="G453" t="s">
        <v>1747</v>
      </c>
      <c r="H453" t="s">
        <v>1748</v>
      </c>
      <c r="I453" s="130">
        <v>45481</v>
      </c>
      <c r="J453" t="s">
        <v>3069</v>
      </c>
      <c r="K453">
        <v>61</v>
      </c>
      <c r="M4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53" t="str">
        <f>DO_DB[[#This Row],[Material Pick-update]]&amp;"_"&amp;DO_DB[[#This Row],[Material Name]]</f>
        <v>45481_Pole 7M 4"</v>
      </c>
      <c r="O453" t="str">
        <f>DO_DB[[#This Row],[SiteID]]</f>
        <v>CLR51-99-061</v>
      </c>
      <c r="P453" t="str">
        <f>DO_DB[[#This Row],[SiteID]]&amp;"_"&amp;DO_DB[[#This Row],[Material Name]]</f>
        <v>CLR51-99-061_Pole 7M 4"</v>
      </c>
      <c r="Q453" t="str">
        <f>DO_DB[[#This Row],[DO Number]]</f>
        <v>DOEID24070179</v>
      </c>
      <c r="R453" t="str">
        <f>DO_DB[[#This Row],[DN Number]]</f>
        <v>DNWID0362024070103</v>
      </c>
    </row>
    <row r="454" spans="1:18">
      <c r="A454" t="s">
        <v>1721</v>
      </c>
      <c r="B454" t="s">
        <v>1722</v>
      </c>
      <c r="C454" t="s">
        <v>4482</v>
      </c>
      <c r="D454" t="s">
        <v>71</v>
      </c>
      <c r="E454" t="s">
        <v>24</v>
      </c>
      <c r="F454" t="s">
        <v>3148</v>
      </c>
      <c r="G454" t="s">
        <v>1747</v>
      </c>
      <c r="H454" t="s">
        <v>1748</v>
      </c>
      <c r="I454" s="130">
        <v>45481</v>
      </c>
      <c r="J454" t="s">
        <v>3070</v>
      </c>
      <c r="K454">
        <v>3</v>
      </c>
      <c r="M4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54" t="str">
        <f>DO_DB[[#This Row],[Material Pick-update]]&amp;"_"&amp;DO_DB[[#This Row],[Material Name]]</f>
        <v>45481_Pole 7M 3"</v>
      </c>
      <c r="O454" t="str">
        <f>DO_DB[[#This Row],[SiteID]]</f>
        <v>CLR51-99-061</v>
      </c>
      <c r="P454" t="str">
        <f>DO_DB[[#This Row],[SiteID]]&amp;"_"&amp;DO_DB[[#This Row],[Material Name]]</f>
        <v>CLR51-99-061_Pole 7M 3"</v>
      </c>
      <c r="Q454" t="str">
        <f>DO_DB[[#This Row],[DO Number]]</f>
        <v>DOEID24070179</v>
      </c>
      <c r="R454" t="str">
        <f>DO_DB[[#This Row],[DN Number]]</f>
        <v>DNWID0362024070103</v>
      </c>
    </row>
    <row r="455" spans="1:18">
      <c r="A455" t="s">
        <v>1721</v>
      </c>
      <c r="B455" t="s">
        <v>1722</v>
      </c>
      <c r="C455" t="s">
        <v>4482</v>
      </c>
      <c r="D455" t="s">
        <v>71</v>
      </c>
      <c r="E455" t="s">
        <v>24</v>
      </c>
      <c r="F455" t="s">
        <v>3148</v>
      </c>
      <c r="G455" t="s">
        <v>1723</v>
      </c>
      <c r="H455" t="s">
        <v>1724</v>
      </c>
      <c r="I455" s="130">
        <v>45481</v>
      </c>
      <c r="J455" t="s">
        <v>14</v>
      </c>
      <c r="K455">
        <v>2</v>
      </c>
      <c r="M4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55" t="str">
        <f>DO_DB[[#This Row],[Material Pick-update]]&amp;"_"&amp;DO_DB[[#This Row],[Material Name]]</f>
        <v>45481_FDT-48</v>
      </c>
      <c r="O455" t="str">
        <f>DO_DB[[#This Row],[SiteID]]</f>
        <v>CLR51-99-061</v>
      </c>
      <c r="P455" t="str">
        <f>DO_DB[[#This Row],[SiteID]]&amp;"_"&amp;DO_DB[[#This Row],[Material Name]]</f>
        <v>CLR51-99-061_FDT-48</v>
      </c>
      <c r="Q455" t="str">
        <f>DO_DB[[#This Row],[DO Number]]</f>
        <v>DOEID24070180</v>
      </c>
      <c r="R455" t="str">
        <f>DO_DB[[#This Row],[DN Number]]</f>
        <v>DNWID0342024070104</v>
      </c>
    </row>
    <row r="456" spans="1:18">
      <c r="A456" t="s">
        <v>1721</v>
      </c>
      <c r="B456" t="s">
        <v>1722</v>
      </c>
      <c r="C456" t="s">
        <v>4482</v>
      </c>
      <c r="D456" t="s">
        <v>71</v>
      </c>
      <c r="E456" t="s">
        <v>24</v>
      </c>
      <c r="F456" t="s">
        <v>3148</v>
      </c>
      <c r="G456" t="s">
        <v>1723</v>
      </c>
      <c r="H456" t="s">
        <v>1724</v>
      </c>
      <c r="I456" s="130">
        <v>45481</v>
      </c>
      <c r="J456" t="s">
        <v>13</v>
      </c>
      <c r="K456">
        <v>29</v>
      </c>
      <c r="M4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56" t="str">
        <f>DO_DB[[#This Row],[Material Pick-update]]&amp;"_"&amp;DO_DB[[#This Row],[Material Name]]</f>
        <v>45481_FAT-16</v>
      </c>
      <c r="O456" t="str">
        <f>DO_DB[[#This Row],[SiteID]]</f>
        <v>CLR51-99-061</v>
      </c>
      <c r="P456" t="str">
        <f>DO_DB[[#This Row],[SiteID]]&amp;"_"&amp;DO_DB[[#This Row],[Material Name]]</f>
        <v>CLR51-99-061_FAT-16</v>
      </c>
      <c r="Q456" t="str">
        <f>DO_DB[[#This Row],[DO Number]]</f>
        <v>DOEID24070180</v>
      </c>
      <c r="R456" t="str">
        <f>DO_DB[[#This Row],[DN Number]]</f>
        <v>DNWID0342024070104</v>
      </c>
    </row>
    <row r="457" spans="1:18">
      <c r="A457" t="s">
        <v>1705</v>
      </c>
      <c r="B457" t="s">
        <v>1706</v>
      </c>
      <c r="C457" t="s">
        <v>4482</v>
      </c>
      <c r="D457" t="s">
        <v>71</v>
      </c>
      <c r="E457" t="s">
        <v>24</v>
      </c>
      <c r="F457" t="s">
        <v>3148</v>
      </c>
      <c r="G457" t="s">
        <v>1707</v>
      </c>
      <c r="H457" t="s">
        <v>1708</v>
      </c>
      <c r="I457" s="130">
        <v>45481</v>
      </c>
      <c r="J457" t="s">
        <v>3069</v>
      </c>
      <c r="K457">
        <v>65</v>
      </c>
      <c r="M4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57" t="str">
        <f>DO_DB[[#This Row],[Material Pick-update]]&amp;"_"&amp;DO_DB[[#This Row],[Material Name]]</f>
        <v>45481_Pole 7M 4"</v>
      </c>
      <c r="O457" t="str">
        <f>DO_DB[[#This Row],[SiteID]]</f>
        <v>CLR51-99-063</v>
      </c>
      <c r="P457" t="str">
        <f>DO_DB[[#This Row],[SiteID]]&amp;"_"&amp;DO_DB[[#This Row],[Material Name]]</f>
        <v>CLR51-99-063_Pole 7M 4"</v>
      </c>
      <c r="Q457" t="str">
        <f>DO_DB[[#This Row],[DO Number]]</f>
        <v>DOEID24070181</v>
      </c>
      <c r="R457" t="str">
        <f>DO_DB[[#This Row],[DN Number]]</f>
        <v>DNWID0362024070102</v>
      </c>
    </row>
    <row r="458" spans="1:18">
      <c r="A458" t="s">
        <v>1705</v>
      </c>
      <c r="B458" t="s">
        <v>1706</v>
      </c>
      <c r="C458" t="s">
        <v>4482</v>
      </c>
      <c r="D458" t="s">
        <v>71</v>
      </c>
      <c r="E458" t="s">
        <v>24</v>
      </c>
      <c r="F458" t="s">
        <v>3148</v>
      </c>
      <c r="G458" t="s">
        <v>1707</v>
      </c>
      <c r="H458" t="s">
        <v>1708</v>
      </c>
      <c r="I458" s="130">
        <v>45481</v>
      </c>
      <c r="J458" t="s">
        <v>3070</v>
      </c>
      <c r="K458">
        <v>4</v>
      </c>
      <c r="M4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58" t="str">
        <f>DO_DB[[#This Row],[Material Pick-update]]&amp;"_"&amp;DO_DB[[#This Row],[Material Name]]</f>
        <v>45481_Pole 7M 3"</v>
      </c>
      <c r="O458" t="str">
        <f>DO_DB[[#This Row],[SiteID]]</f>
        <v>CLR51-99-063</v>
      </c>
      <c r="P458" t="str">
        <f>DO_DB[[#This Row],[SiteID]]&amp;"_"&amp;DO_DB[[#This Row],[Material Name]]</f>
        <v>CLR51-99-063_Pole 7M 3"</v>
      </c>
      <c r="Q458" t="str">
        <f>DO_DB[[#This Row],[DO Number]]</f>
        <v>DOEID24070181</v>
      </c>
      <c r="R458" t="str">
        <f>DO_DB[[#This Row],[DN Number]]</f>
        <v>DNWID0362024070102</v>
      </c>
    </row>
    <row r="459" spans="1:18">
      <c r="A459" t="s">
        <v>1679</v>
      </c>
      <c r="B459" t="s">
        <v>1680</v>
      </c>
      <c r="C459" t="s">
        <v>4482</v>
      </c>
      <c r="D459" t="s">
        <v>71</v>
      </c>
      <c r="E459" t="s">
        <v>709</v>
      </c>
      <c r="F459" t="s">
        <v>3148</v>
      </c>
      <c r="G459" t="s">
        <v>1709</v>
      </c>
      <c r="H459" t="s">
        <v>1710</v>
      </c>
      <c r="I459" s="130">
        <v>45481</v>
      </c>
      <c r="J459" t="s">
        <v>3073</v>
      </c>
      <c r="K459">
        <v>3000</v>
      </c>
      <c r="M4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24C-202478-01</v>
      </c>
      <c r="N459" t="str">
        <f>DO_DB[[#This Row],[Material Pick-update]]&amp;"_"&amp;DO_DB[[#This Row],[Material Name]]</f>
        <v>45481_ADSS 24C</v>
      </c>
      <c r="O459" t="str">
        <f>DO_DB[[#This Row],[SiteID]]</f>
        <v>CLR41-03-021</v>
      </c>
      <c r="P459" t="str">
        <f>DO_DB[[#This Row],[SiteID]]&amp;"_"&amp;DO_DB[[#This Row],[Material Name]]</f>
        <v>CLR41-03-021_ADSS 24C</v>
      </c>
      <c r="Q459" t="str">
        <f>DO_DB[[#This Row],[DO Number]]</f>
        <v>DOEID24070704</v>
      </c>
      <c r="R459" t="str">
        <f>DO_DB[[#This Row],[DN Number]]</f>
        <v>DNWID0342024070704</v>
      </c>
    </row>
    <row r="460" spans="1:18">
      <c r="A460" t="s">
        <v>1679</v>
      </c>
      <c r="B460" t="s">
        <v>1680</v>
      </c>
      <c r="C460" t="s">
        <v>4482</v>
      </c>
      <c r="D460" t="s">
        <v>71</v>
      </c>
      <c r="E460" t="s">
        <v>709</v>
      </c>
      <c r="F460" t="s">
        <v>3148</v>
      </c>
      <c r="G460" t="s">
        <v>1709</v>
      </c>
      <c r="H460" t="s">
        <v>1710</v>
      </c>
      <c r="I460" s="130">
        <v>45481</v>
      </c>
      <c r="J460" t="s">
        <v>14</v>
      </c>
      <c r="K460">
        <v>3</v>
      </c>
      <c r="M4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60" t="str">
        <f>DO_DB[[#This Row],[Material Pick-update]]&amp;"_"&amp;DO_DB[[#This Row],[Material Name]]</f>
        <v>45481_FDT-48</v>
      </c>
      <c r="O460" t="str">
        <f>DO_DB[[#This Row],[SiteID]]</f>
        <v>CLR41-03-021</v>
      </c>
      <c r="P460" t="str">
        <f>DO_DB[[#This Row],[SiteID]]&amp;"_"&amp;DO_DB[[#This Row],[Material Name]]</f>
        <v>CLR41-03-021_FDT-48</v>
      </c>
      <c r="Q460" t="str">
        <f>DO_DB[[#This Row],[DO Number]]</f>
        <v>DOEID24070704</v>
      </c>
      <c r="R460" t="str">
        <f>DO_DB[[#This Row],[DN Number]]</f>
        <v>DNWID0342024070704</v>
      </c>
    </row>
    <row r="461" spans="1:18">
      <c r="A461" t="s">
        <v>1679</v>
      </c>
      <c r="B461" t="s">
        <v>1680</v>
      </c>
      <c r="C461" t="s">
        <v>4482</v>
      </c>
      <c r="D461" t="s">
        <v>71</v>
      </c>
      <c r="E461" t="s">
        <v>709</v>
      </c>
      <c r="F461" t="s">
        <v>3148</v>
      </c>
      <c r="G461" t="s">
        <v>1713</v>
      </c>
      <c r="H461" t="s">
        <v>1714</v>
      </c>
      <c r="I461" s="130">
        <v>45481</v>
      </c>
      <c r="J461" t="s">
        <v>4856</v>
      </c>
      <c r="K461">
        <v>1</v>
      </c>
      <c r="M4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61" t="str">
        <f>DO_DB[[#This Row],[Material Pick-update]]&amp;"_"&amp;DO_DB[[#This Row],[Material Name]]</f>
        <v>45481_JC 144Core</v>
      </c>
      <c r="O461" t="str">
        <f>DO_DB[[#This Row],[SiteID]]</f>
        <v>CLR41-03-021</v>
      </c>
      <c r="P461" t="str">
        <f>DO_DB[[#This Row],[SiteID]]&amp;"_"&amp;DO_DB[[#This Row],[Material Name]]</f>
        <v>CLR41-03-021_JC 144Core</v>
      </c>
      <c r="Q461" t="str">
        <f>DO_DB[[#This Row],[DO Number]]</f>
        <v>DOEID24070705</v>
      </c>
      <c r="R461" t="str">
        <f>DO_DB[[#This Row],[DN Number]]</f>
        <v>DNWID0362024070705</v>
      </c>
    </row>
    <row r="462" spans="1:18">
      <c r="A462" t="s">
        <v>1701</v>
      </c>
      <c r="B462" t="s">
        <v>1702</v>
      </c>
      <c r="C462" s="172" t="s">
        <v>4482</v>
      </c>
      <c r="D462" t="s">
        <v>71</v>
      </c>
      <c r="E462" t="s">
        <v>26</v>
      </c>
      <c r="F462" t="s">
        <v>3148</v>
      </c>
      <c r="G462" t="s">
        <v>1703</v>
      </c>
      <c r="H462" t="s">
        <v>1704</v>
      </c>
      <c r="I462" s="130">
        <v>45481</v>
      </c>
      <c r="J462" t="s">
        <v>3073</v>
      </c>
      <c r="K462">
        <v>3000</v>
      </c>
      <c r="M4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24C-202478-01</v>
      </c>
      <c r="N462" t="str">
        <f>DO_DB[[#This Row],[Material Pick-update]]&amp;"_"&amp;DO_DB[[#This Row],[Material Name]]</f>
        <v>45481_ADSS 24C</v>
      </c>
      <c r="O462" t="str">
        <f>DO_DB[[#This Row],[SiteID]]</f>
        <v>CLR31-99-031</v>
      </c>
      <c r="P462" t="str">
        <f>DO_DB[[#This Row],[SiteID]]&amp;"_"&amp;DO_DB[[#This Row],[Material Name]]</f>
        <v>CLR31-99-031_ADSS 24C</v>
      </c>
      <c r="Q462" t="str">
        <f>DO_DB[[#This Row],[DO Number]]</f>
        <v>DOEID24070635</v>
      </c>
      <c r="R462" t="str">
        <f>DO_DB[[#This Row],[DN Number]]</f>
        <v>DNWID0342024070702</v>
      </c>
    </row>
    <row r="463" spans="1:18">
      <c r="A463" t="s">
        <v>1701</v>
      </c>
      <c r="B463" t="s">
        <v>1702</v>
      </c>
      <c r="C463" s="172" t="s">
        <v>4482</v>
      </c>
      <c r="D463" t="s">
        <v>71</v>
      </c>
      <c r="E463" t="s">
        <v>26</v>
      </c>
      <c r="F463" t="s">
        <v>3148</v>
      </c>
      <c r="G463" t="s">
        <v>1703</v>
      </c>
      <c r="H463" t="s">
        <v>1704</v>
      </c>
      <c r="I463" s="130">
        <v>45481</v>
      </c>
      <c r="J463" t="s">
        <v>3075</v>
      </c>
      <c r="K463">
        <v>9000</v>
      </c>
      <c r="M4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48C-202478-01</v>
      </c>
      <c r="N463" t="str">
        <f>DO_DB[[#This Row],[Material Pick-update]]&amp;"_"&amp;DO_DB[[#This Row],[Material Name]]</f>
        <v>45481_ADSS 48C</v>
      </c>
      <c r="O463" t="str">
        <f>DO_DB[[#This Row],[SiteID]]</f>
        <v>CLR31-99-031</v>
      </c>
      <c r="P463" t="str">
        <f>DO_DB[[#This Row],[SiteID]]&amp;"_"&amp;DO_DB[[#This Row],[Material Name]]</f>
        <v>CLR31-99-031_ADSS 48C</v>
      </c>
      <c r="Q463" t="str">
        <f>DO_DB[[#This Row],[DO Number]]</f>
        <v>DOEID24070635</v>
      </c>
      <c r="R463" t="str">
        <f>DO_DB[[#This Row],[DN Number]]</f>
        <v>DNWID0342024070702</v>
      </c>
    </row>
    <row r="464" spans="1:18">
      <c r="A464" t="s">
        <v>1701</v>
      </c>
      <c r="B464" t="s">
        <v>1702</v>
      </c>
      <c r="C464" s="172" t="s">
        <v>4482</v>
      </c>
      <c r="D464" t="s">
        <v>71</v>
      </c>
      <c r="E464" t="s">
        <v>26</v>
      </c>
      <c r="F464" t="s">
        <v>3148</v>
      </c>
      <c r="G464" t="s">
        <v>1711</v>
      </c>
      <c r="H464" t="s">
        <v>1712</v>
      </c>
      <c r="I464" s="130">
        <v>45481</v>
      </c>
      <c r="J464" t="s">
        <v>3069</v>
      </c>
      <c r="K464">
        <v>208</v>
      </c>
      <c r="M4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64" t="str">
        <f>DO_DB[[#This Row],[Material Pick-update]]&amp;"_"&amp;DO_DB[[#This Row],[Material Name]]</f>
        <v>45481_Pole 7M 4"</v>
      </c>
      <c r="O464" t="str">
        <f>DO_DB[[#This Row],[SiteID]]</f>
        <v>CLR31-99-031</v>
      </c>
      <c r="P464" t="str">
        <f>DO_DB[[#This Row],[SiteID]]&amp;"_"&amp;DO_DB[[#This Row],[Material Name]]</f>
        <v>CLR31-99-031_Pole 7M 4"</v>
      </c>
      <c r="Q464" t="str">
        <f>DO_DB[[#This Row],[DO Number]]</f>
        <v>DOEID24070634</v>
      </c>
      <c r="R464" t="str">
        <f>DO_DB[[#This Row],[DN Number]]</f>
        <v>DNWID0362024070704</v>
      </c>
    </row>
    <row r="465" spans="1:18">
      <c r="A465" t="s">
        <v>1701</v>
      </c>
      <c r="B465" t="s">
        <v>1702</v>
      </c>
      <c r="C465" s="172" t="s">
        <v>4482</v>
      </c>
      <c r="D465" t="s">
        <v>71</v>
      </c>
      <c r="E465" t="s">
        <v>26</v>
      </c>
      <c r="F465" t="s">
        <v>3148</v>
      </c>
      <c r="G465" t="s">
        <v>1711</v>
      </c>
      <c r="H465" t="s">
        <v>1712</v>
      </c>
      <c r="I465" s="130">
        <v>45481</v>
      </c>
      <c r="J465" t="s">
        <v>3070</v>
      </c>
      <c r="K465">
        <v>7</v>
      </c>
      <c r="M4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65" t="str">
        <f>DO_DB[[#This Row],[Material Pick-update]]&amp;"_"&amp;DO_DB[[#This Row],[Material Name]]</f>
        <v>45481_Pole 7M 3"</v>
      </c>
      <c r="O465" t="str">
        <f>DO_DB[[#This Row],[SiteID]]</f>
        <v>CLR31-99-031</v>
      </c>
      <c r="P465" t="str">
        <f>DO_DB[[#This Row],[SiteID]]&amp;"_"&amp;DO_DB[[#This Row],[Material Name]]</f>
        <v>CLR31-99-031_Pole 7M 3"</v>
      </c>
      <c r="Q465" t="str">
        <f>DO_DB[[#This Row],[DO Number]]</f>
        <v>DOEID24070634</v>
      </c>
      <c r="R465" t="str">
        <f>DO_DB[[#This Row],[DN Number]]</f>
        <v>DNWID0362024070704</v>
      </c>
    </row>
    <row r="466" spans="1:18">
      <c r="A466" t="s">
        <v>1701</v>
      </c>
      <c r="B466" t="s">
        <v>1702</v>
      </c>
      <c r="C466" s="172" t="s">
        <v>4482</v>
      </c>
      <c r="D466" t="s">
        <v>71</v>
      </c>
      <c r="E466" t="s">
        <v>26</v>
      </c>
      <c r="F466" t="s">
        <v>3148</v>
      </c>
      <c r="G466" t="s">
        <v>1711</v>
      </c>
      <c r="H466" t="s">
        <v>1712</v>
      </c>
      <c r="I466" s="130">
        <v>45481</v>
      </c>
      <c r="J466" t="s">
        <v>4856</v>
      </c>
      <c r="K466">
        <v>3</v>
      </c>
      <c r="M4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66" t="str">
        <f>DO_DB[[#This Row],[Material Pick-update]]&amp;"_"&amp;DO_DB[[#This Row],[Material Name]]</f>
        <v>45481_JC 144Core</v>
      </c>
      <c r="O466" t="str">
        <f>DO_DB[[#This Row],[SiteID]]</f>
        <v>CLR31-99-031</v>
      </c>
      <c r="P466" t="str">
        <f>DO_DB[[#This Row],[SiteID]]&amp;"_"&amp;DO_DB[[#This Row],[Material Name]]</f>
        <v>CLR31-99-031_JC 144Core</v>
      </c>
      <c r="Q466" t="str">
        <f>DO_DB[[#This Row],[DO Number]]</f>
        <v>DOEID24070634</v>
      </c>
      <c r="R466" t="str">
        <f>DO_DB[[#This Row],[DN Number]]</f>
        <v>DNWID0362024070704</v>
      </c>
    </row>
    <row r="467" spans="1:18">
      <c r="A467" t="s">
        <v>1701</v>
      </c>
      <c r="B467" t="s">
        <v>1702</v>
      </c>
      <c r="C467" s="172" t="s">
        <v>4482</v>
      </c>
      <c r="D467" t="s">
        <v>71</v>
      </c>
      <c r="E467" t="s">
        <v>26</v>
      </c>
      <c r="F467" t="s">
        <v>3148</v>
      </c>
      <c r="G467" t="s">
        <v>1703</v>
      </c>
      <c r="H467" t="s">
        <v>1704</v>
      </c>
      <c r="I467" s="130">
        <v>45481</v>
      </c>
      <c r="J467" t="s">
        <v>14</v>
      </c>
      <c r="K467">
        <v>4</v>
      </c>
      <c r="M4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67" t="str">
        <f>DO_DB[[#This Row],[Material Pick-update]]&amp;"_"&amp;DO_DB[[#This Row],[Material Name]]</f>
        <v>45481_FDT-48</v>
      </c>
      <c r="O467" t="str">
        <f>DO_DB[[#This Row],[SiteID]]</f>
        <v>CLR31-99-031</v>
      </c>
      <c r="P467" t="str">
        <f>DO_DB[[#This Row],[SiteID]]&amp;"_"&amp;DO_DB[[#This Row],[Material Name]]</f>
        <v>CLR31-99-031_FDT-48</v>
      </c>
      <c r="Q467" t="str">
        <f>DO_DB[[#This Row],[DO Number]]</f>
        <v>DOEID24070635</v>
      </c>
      <c r="R467" t="str">
        <f>DO_DB[[#This Row],[DN Number]]</f>
        <v>DNWID0342024070702</v>
      </c>
    </row>
    <row r="468" spans="1:18">
      <c r="A468" t="s">
        <v>1701</v>
      </c>
      <c r="B468" t="s">
        <v>1702</v>
      </c>
      <c r="C468" s="172" t="s">
        <v>4482</v>
      </c>
      <c r="D468" t="s">
        <v>71</v>
      </c>
      <c r="E468" t="s">
        <v>26</v>
      </c>
      <c r="F468" t="s">
        <v>3148</v>
      </c>
      <c r="G468" t="s">
        <v>1703</v>
      </c>
      <c r="H468" t="s">
        <v>1704</v>
      </c>
      <c r="I468" s="130">
        <v>45481</v>
      </c>
      <c r="J468" t="s">
        <v>13</v>
      </c>
      <c r="K468">
        <v>68</v>
      </c>
      <c r="M4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68" t="str">
        <f>DO_DB[[#This Row],[Material Pick-update]]&amp;"_"&amp;DO_DB[[#This Row],[Material Name]]</f>
        <v>45481_FAT-16</v>
      </c>
      <c r="O468" t="str">
        <f>DO_DB[[#This Row],[SiteID]]</f>
        <v>CLR31-99-031</v>
      </c>
      <c r="P468" t="str">
        <f>DO_DB[[#This Row],[SiteID]]&amp;"_"&amp;DO_DB[[#This Row],[Material Name]]</f>
        <v>CLR31-99-031_FAT-16</v>
      </c>
      <c r="Q468" t="str">
        <f>DO_DB[[#This Row],[DO Number]]</f>
        <v>DOEID24070635</v>
      </c>
      <c r="R468" t="str">
        <f>DO_DB[[#This Row],[DN Number]]</f>
        <v>DNWID0342024070702</v>
      </c>
    </row>
    <row r="469" spans="1:18">
      <c r="A469" t="s">
        <v>1589</v>
      </c>
      <c r="B469" t="s">
        <v>1590</v>
      </c>
      <c r="C469" s="172" t="s">
        <v>4482</v>
      </c>
      <c r="D469" t="s">
        <v>71</v>
      </c>
      <c r="E469" t="s">
        <v>26</v>
      </c>
      <c r="F469" t="s">
        <v>3148</v>
      </c>
      <c r="G469" t="s">
        <v>1699</v>
      </c>
      <c r="H469" t="s">
        <v>1700</v>
      </c>
      <c r="I469" s="130">
        <v>45481</v>
      </c>
      <c r="J469" t="s">
        <v>4856</v>
      </c>
      <c r="K469">
        <v>1</v>
      </c>
      <c r="M4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69" t="str">
        <f>DO_DB[[#This Row],[Material Pick-update]]&amp;"_"&amp;DO_DB[[#This Row],[Material Name]]</f>
        <v>45481_JC 144Core</v>
      </c>
      <c r="O469" t="str">
        <f>DO_DB[[#This Row],[SiteID]]</f>
        <v>CLR31-04-002</v>
      </c>
      <c r="P469" t="str">
        <f>DO_DB[[#This Row],[SiteID]]&amp;"_"&amp;DO_DB[[#This Row],[Material Name]]</f>
        <v>CLR31-04-002_JC 144Core</v>
      </c>
      <c r="Q469" t="str">
        <f>DO_DB[[#This Row],[DO Number]]</f>
        <v>DOEID24070702</v>
      </c>
      <c r="R469" t="str">
        <f>DO_DB[[#This Row],[DN Number]]</f>
        <v>DNWID0362024070707</v>
      </c>
    </row>
    <row r="470" spans="1:18">
      <c r="A470" t="s">
        <v>1857</v>
      </c>
      <c r="B470" t="s">
        <v>1858</v>
      </c>
      <c r="C470" t="s">
        <v>4482</v>
      </c>
      <c r="D470" t="s">
        <v>71</v>
      </c>
      <c r="E470" t="s">
        <v>709</v>
      </c>
      <c r="F470" t="s">
        <v>3148</v>
      </c>
      <c r="G470" t="s">
        <v>1861</v>
      </c>
      <c r="H470" t="s">
        <v>1862</v>
      </c>
      <c r="I470" s="130">
        <v>45526</v>
      </c>
      <c r="J470" t="s">
        <v>3073</v>
      </c>
      <c r="K470">
        <v>3000</v>
      </c>
      <c r="M4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24C-2024822-01</v>
      </c>
      <c r="N470" t="str">
        <f>DO_DB[[#This Row],[Material Pick-update]]&amp;"_"&amp;DO_DB[[#This Row],[Material Name]]</f>
        <v>45526_ADSS 24C</v>
      </c>
      <c r="O470" t="str">
        <f>DO_DB[[#This Row],[SiteID]]</f>
        <v>CLR41-99-063</v>
      </c>
      <c r="P470" t="str">
        <f>DO_DB[[#This Row],[SiteID]]&amp;"_"&amp;DO_DB[[#This Row],[Material Name]]</f>
        <v>CLR41-99-063_ADSS 24C</v>
      </c>
      <c r="Q470" t="str">
        <f>DO_DB[[#This Row],[DO Number]]</f>
        <v>DOEID24081426</v>
      </c>
      <c r="R470" t="str">
        <f>DO_DB[[#This Row],[DN Number]]</f>
        <v>DNWID0342024081513</v>
      </c>
    </row>
    <row r="471" spans="1:18">
      <c r="A471" t="s">
        <v>1857</v>
      </c>
      <c r="B471" t="s">
        <v>1858</v>
      </c>
      <c r="C471" t="s">
        <v>4482</v>
      </c>
      <c r="D471" t="s">
        <v>71</v>
      </c>
      <c r="E471" t="s">
        <v>709</v>
      </c>
      <c r="F471" t="s">
        <v>3148</v>
      </c>
      <c r="G471" t="s">
        <v>1859</v>
      </c>
      <c r="H471" t="s">
        <v>1860</v>
      </c>
      <c r="I471" s="130">
        <v>45526</v>
      </c>
      <c r="J471" t="s">
        <v>3069</v>
      </c>
      <c r="K471">
        <v>32</v>
      </c>
      <c r="M4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71" t="str">
        <f>DO_DB[[#This Row],[Material Pick-update]]&amp;"_"&amp;DO_DB[[#This Row],[Material Name]]</f>
        <v>45526_Pole 7M 4"</v>
      </c>
      <c r="O471" t="str">
        <f>DO_DB[[#This Row],[SiteID]]</f>
        <v>CLR41-99-063</v>
      </c>
      <c r="P471" t="str">
        <f>DO_DB[[#This Row],[SiteID]]&amp;"_"&amp;DO_DB[[#This Row],[Material Name]]</f>
        <v>CLR41-99-063_Pole 7M 4"</v>
      </c>
      <c r="Q471" t="str">
        <f>DO_DB[[#This Row],[DO Number]]</f>
        <v>DOEID24081425</v>
      </c>
      <c r="R471" t="str">
        <f>DO_DB[[#This Row],[DN Number]]</f>
        <v>DNWID0362024081404</v>
      </c>
    </row>
    <row r="472" spans="1:18">
      <c r="A472" t="s">
        <v>1857</v>
      </c>
      <c r="B472" t="s">
        <v>1858</v>
      </c>
      <c r="C472" t="s">
        <v>4482</v>
      </c>
      <c r="D472" t="s">
        <v>71</v>
      </c>
      <c r="E472" t="s">
        <v>709</v>
      </c>
      <c r="F472" t="s">
        <v>3148</v>
      </c>
      <c r="G472" t="s">
        <v>1859</v>
      </c>
      <c r="H472" t="s">
        <v>1860</v>
      </c>
      <c r="I472" s="130">
        <v>45526</v>
      </c>
      <c r="J472" t="s">
        <v>3070</v>
      </c>
      <c r="K472">
        <v>4</v>
      </c>
      <c r="M4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72" t="str">
        <f>DO_DB[[#This Row],[Material Pick-update]]&amp;"_"&amp;DO_DB[[#This Row],[Material Name]]</f>
        <v>45526_Pole 7M 3"</v>
      </c>
      <c r="O472" t="str">
        <f>DO_DB[[#This Row],[SiteID]]</f>
        <v>CLR41-99-063</v>
      </c>
      <c r="P472" t="str">
        <f>DO_DB[[#This Row],[SiteID]]&amp;"_"&amp;DO_DB[[#This Row],[Material Name]]</f>
        <v>CLR41-99-063_Pole 7M 3"</v>
      </c>
      <c r="Q472" t="str">
        <f>DO_DB[[#This Row],[DO Number]]</f>
        <v>DOEID24081425</v>
      </c>
      <c r="R472" t="str">
        <f>DO_DB[[#This Row],[DN Number]]</f>
        <v>DNWID0362024081404</v>
      </c>
    </row>
    <row r="473" spans="1:18">
      <c r="A473" t="s">
        <v>1857</v>
      </c>
      <c r="B473" t="s">
        <v>1858</v>
      </c>
      <c r="C473" t="s">
        <v>4482</v>
      </c>
      <c r="D473" t="s">
        <v>71</v>
      </c>
      <c r="E473" t="s">
        <v>709</v>
      </c>
      <c r="F473" t="s">
        <v>3148</v>
      </c>
      <c r="G473" t="s">
        <v>1861</v>
      </c>
      <c r="H473" t="s">
        <v>1862</v>
      </c>
      <c r="I473" s="130">
        <v>45526</v>
      </c>
      <c r="J473" t="s">
        <v>14</v>
      </c>
      <c r="K473">
        <v>1</v>
      </c>
      <c r="M4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73" t="str">
        <f>DO_DB[[#This Row],[Material Pick-update]]&amp;"_"&amp;DO_DB[[#This Row],[Material Name]]</f>
        <v>45526_FDT-48</v>
      </c>
      <c r="O473" t="str">
        <f>DO_DB[[#This Row],[SiteID]]</f>
        <v>CLR41-99-063</v>
      </c>
      <c r="P473" t="str">
        <f>DO_DB[[#This Row],[SiteID]]&amp;"_"&amp;DO_DB[[#This Row],[Material Name]]</f>
        <v>CLR41-99-063_FDT-48</v>
      </c>
      <c r="Q473" t="str">
        <f>DO_DB[[#This Row],[DO Number]]</f>
        <v>DOEID24081426</v>
      </c>
      <c r="R473" t="str">
        <f>DO_DB[[#This Row],[DN Number]]</f>
        <v>DNWID0342024081513</v>
      </c>
    </row>
    <row r="474" spans="1:18">
      <c r="A474" t="s">
        <v>1857</v>
      </c>
      <c r="B474" t="s">
        <v>1858</v>
      </c>
      <c r="C474" t="s">
        <v>4482</v>
      </c>
      <c r="D474" t="s">
        <v>71</v>
      </c>
      <c r="E474" t="s">
        <v>709</v>
      </c>
      <c r="F474" t="s">
        <v>3148</v>
      </c>
      <c r="G474" t="s">
        <v>1861</v>
      </c>
      <c r="H474" t="s">
        <v>1862</v>
      </c>
      <c r="I474" s="130">
        <v>45526</v>
      </c>
      <c r="J474" t="s">
        <v>13</v>
      </c>
      <c r="K474">
        <v>18</v>
      </c>
      <c r="M4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74" t="str">
        <f>DO_DB[[#This Row],[Material Pick-update]]&amp;"_"&amp;DO_DB[[#This Row],[Material Name]]</f>
        <v>45526_FAT-16</v>
      </c>
      <c r="O474" t="str">
        <f>DO_DB[[#This Row],[SiteID]]</f>
        <v>CLR41-99-063</v>
      </c>
      <c r="P474" t="str">
        <f>DO_DB[[#This Row],[SiteID]]&amp;"_"&amp;DO_DB[[#This Row],[Material Name]]</f>
        <v>CLR41-99-063_FAT-16</v>
      </c>
      <c r="Q474" t="str">
        <f>DO_DB[[#This Row],[DO Number]]</f>
        <v>DOEID24081426</v>
      </c>
      <c r="R474" t="str">
        <f>DO_DB[[#This Row],[DN Number]]</f>
        <v>DNWID0342024081513</v>
      </c>
    </row>
    <row r="475" spans="1:18">
      <c r="A475" t="s">
        <v>1857</v>
      </c>
      <c r="B475" t="s">
        <v>1858</v>
      </c>
      <c r="C475" t="s">
        <v>4482</v>
      </c>
      <c r="D475" t="s">
        <v>71</v>
      </c>
      <c r="E475" t="s">
        <v>709</v>
      </c>
      <c r="F475" t="s">
        <v>3148</v>
      </c>
      <c r="G475" t="s">
        <v>1861</v>
      </c>
      <c r="H475" t="s">
        <v>1862</v>
      </c>
      <c r="I475" s="130">
        <v>45526</v>
      </c>
      <c r="J475" t="s">
        <v>3080</v>
      </c>
      <c r="K475">
        <v>3</v>
      </c>
      <c r="M4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75" t="str">
        <f>DO_DB[[#This Row],[Material Pick-update]]&amp;"_"&amp;DO_DB[[#This Row],[Material Name]]</f>
        <v>45526_1:8 SPL for FDT-AE &amp; UG</v>
      </c>
      <c r="O475" t="str">
        <f>DO_DB[[#This Row],[SiteID]]</f>
        <v>CLR41-99-063</v>
      </c>
      <c r="P475" t="str">
        <f>DO_DB[[#This Row],[SiteID]]&amp;"_"&amp;DO_DB[[#This Row],[Material Name]]</f>
        <v>CLR41-99-063_1:8 SPL for FDT-AE &amp; UG</v>
      </c>
      <c r="Q475" t="str">
        <f>DO_DB[[#This Row],[DO Number]]</f>
        <v>DOEID24081426</v>
      </c>
      <c r="R475" t="str">
        <f>DO_DB[[#This Row],[DN Number]]</f>
        <v>DNWID0342024081513</v>
      </c>
    </row>
    <row r="476" spans="1:18">
      <c r="A476" t="s">
        <v>1845</v>
      </c>
      <c r="B476" t="s">
        <v>1846</v>
      </c>
      <c r="C476" s="172" t="s">
        <v>4482</v>
      </c>
      <c r="D476" t="s">
        <v>71</v>
      </c>
      <c r="E476" t="s">
        <v>26</v>
      </c>
      <c r="F476" t="s">
        <v>3148</v>
      </c>
      <c r="G476" t="s">
        <v>1849</v>
      </c>
      <c r="H476" t="s">
        <v>1850</v>
      </c>
      <c r="I476" s="130">
        <v>45526</v>
      </c>
      <c r="J476" t="s">
        <v>3073</v>
      </c>
      <c r="K476">
        <v>3000</v>
      </c>
      <c r="M4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24C-2024822-01</v>
      </c>
      <c r="N476" t="str">
        <f>DO_DB[[#This Row],[Material Pick-update]]&amp;"_"&amp;DO_DB[[#This Row],[Material Name]]</f>
        <v>45526_ADSS 24C</v>
      </c>
      <c r="O476" t="str">
        <f>DO_DB[[#This Row],[SiteID]]</f>
        <v>CLR31-05-006</v>
      </c>
      <c r="P476" t="str">
        <f>DO_DB[[#This Row],[SiteID]]&amp;"_"&amp;DO_DB[[#This Row],[Material Name]]</f>
        <v>CLR31-05-006_ADSS 24C</v>
      </c>
      <c r="Q476" t="str">
        <f>DO_DB[[#This Row],[DO Number]]</f>
        <v>DOEID24081424</v>
      </c>
      <c r="R476" t="str">
        <f>DO_DB[[#This Row],[DN Number]]</f>
        <v>DNWID0342024081508</v>
      </c>
    </row>
    <row r="477" spans="1:18">
      <c r="A477" t="s">
        <v>1845</v>
      </c>
      <c r="B477" t="s">
        <v>1846</v>
      </c>
      <c r="C477" s="172" t="s">
        <v>4482</v>
      </c>
      <c r="D477" t="s">
        <v>71</v>
      </c>
      <c r="E477" t="s">
        <v>26</v>
      </c>
      <c r="F477" t="s">
        <v>3148</v>
      </c>
      <c r="G477" t="s">
        <v>1849</v>
      </c>
      <c r="H477" t="s">
        <v>1850</v>
      </c>
      <c r="I477" s="130">
        <v>45526</v>
      </c>
      <c r="J477" t="s">
        <v>3075</v>
      </c>
      <c r="K477">
        <v>3000</v>
      </c>
      <c r="M4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48C-2024822-01</v>
      </c>
      <c r="N477" t="str">
        <f>DO_DB[[#This Row],[Material Pick-update]]&amp;"_"&amp;DO_DB[[#This Row],[Material Name]]</f>
        <v>45526_ADSS 48C</v>
      </c>
      <c r="O477" t="str">
        <f>DO_DB[[#This Row],[SiteID]]</f>
        <v>CLR31-05-006</v>
      </c>
      <c r="P477" t="str">
        <f>DO_DB[[#This Row],[SiteID]]&amp;"_"&amp;DO_DB[[#This Row],[Material Name]]</f>
        <v>CLR31-05-006_ADSS 48C</v>
      </c>
      <c r="Q477" t="str">
        <f>DO_DB[[#This Row],[DO Number]]</f>
        <v>DOEID24081424</v>
      </c>
      <c r="R477" t="str">
        <f>DO_DB[[#This Row],[DN Number]]</f>
        <v>DNWID0342024081508</v>
      </c>
    </row>
    <row r="478" spans="1:18">
      <c r="A478" t="s">
        <v>1851</v>
      </c>
      <c r="B478" t="s">
        <v>1852</v>
      </c>
      <c r="C478" s="172" t="s">
        <v>4482</v>
      </c>
      <c r="D478" t="s">
        <v>71</v>
      </c>
      <c r="E478" t="s">
        <v>26</v>
      </c>
      <c r="F478" t="s">
        <v>3148</v>
      </c>
      <c r="G478" t="s">
        <v>1853</v>
      </c>
      <c r="H478" t="s">
        <v>1854</v>
      </c>
      <c r="I478" s="130">
        <v>45526</v>
      </c>
      <c r="J478" t="s">
        <v>3069</v>
      </c>
      <c r="K478">
        <v>35</v>
      </c>
      <c r="M4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78" t="str">
        <f>DO_DB[[#This Row],[Material Pick-update]]&amp;"_"&amp;DO_DB[[#This Row],[Material Name]]</f>
        <v>45526_Pole 7M 4"</v>
      </c>
      <c r="O478" t="str">
        <f>DO_DB[[#This Row],[SiteID]]</f>
        <v>CLR31-99-077</v>
      </c>
      <c r="P478" t="str">
        <f>DO_DB[[#This Row],[SiteID]]&amp;"_"&amp;DO_DB[[#This Row],[Material Name]]</f>
        <v>CLR31-99-077_Pole 7M 4"</v>
      </c>
      <c r="Q478" t="str">
        <f>DO_DB[[#This Row],[DO Number]]</f>
        <v>DOEID24081421</v>
      </c>
      <c r="R478" t="str">
        <f>DO_DB[[#This Row],[DN Number]]</f>
        <v>DNWID0362024081418</v>
      </c>
    </row>
    <row r="479" spans="1:18">
      <c r="A479" t="s">
        <v>1851</v>
      </c>
      <c r="B479" t="s">
        <v>1852</v>
      </c>
      <c r="C479" s="172" t="s">
        <v>4482</v>
      </c>
      <c r="D479" t="s">
        <v>71</v>
      </c>
      <c r="E479" t="s">
        <v>26</v>
      </c>
      <c r="F479" t="s">
        <v>3148</v>
      </c>
      <c r="G479" t="s">
        <v>1853</v>
      </c>
      <c r="H479" t="s">
        <v>1854</v>
      </c>
      <c r="I479" s="130">
        <v>45526</v>
      </c>
      <c r="J479" t="s">
        <v>3070</v>
      </c>
      <c r="K479">
        <v>7</v>
      </c>
      <c r="M4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79" t="str">
        <f>DO_DB[[#This Row],[Material Pick-update]]&amp;"_"&amp;DO_DB[[#This Row],[Material Name]]</f>
        <v>45526_Pole 7M 3"</v>
      </c>
      <c r="O479" t="str">
        <f>DO_DB[[#This Row],[SiteID]]</f>
        <v>CLR31-99-077</v>
      </c>
      <c r="P479" t="str">
        <f>DO_DB[[#This Row],[SiteID]]&amp;"_"&amp;DO_DB[[#This Row],[Material Name]]</f>
        <v>CLR31-99-077_Pole 7M 3"</v>
      </c>
      <c r="Q479" t="str">
        <f>DO_DB[[#This Row],[DO Number]]</f>
        <v>DOEID24081421</v>
      </c>
      <c r="R479" t="str">
        <f>DO_DB[[#This Row],[DN Number]]</f>
        <v>DNWID0362024081418</v>
      </c>
    </row>
    <row r="480" spans="1:18">
      <c r="A480" t="s">
        <v>1851</v>
      </c>
      <c r="B480" t="s">
        <v>1852</v>
      </c>
      <c r="C480" s="172" t="s">
        <v>4482</v>
      </c>
      <c r="D480" t="s">
        <v>71</v>
      </c>
      <c r="E480" t="s">
        <v>26</v>
      </c>
      <c r="F480" t="s">
        <v>3148</v>
      </c>
      <c r="G480" t="s">
        <v>1853</v>
      </c>
      <c r="H480" t="s">
        <v>1854</v>
      </c>
      <c r="I480" s="130">
        <v>45526</v>
      </c>
      <c r="J480" t="s">
        <v>4856</v>
      </c>
      <c r="K480">
        <v>1</v>
      </c>
      <c r="M4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80" t="str">
        <f>DO_DB[[#This Row],[Material Pick-update]]&amp;"_"&amp;DO_DB[[#This Row],[Material Name]]</f>
        <v>45526_JC 144Core</v>
      </c>
      <c r="O480" t="str">
        <f>DO_DB[[#This Row],[SiteID]]</f>
        <v>CLR31-99-077</v>
      </c>
      <c r="P480" t="str">
        <f>DO_DB[[#This Row],[SiteID]]&amp;"_"&amp;DO_DB[[#This Row],[Material Name]]</f>
        <v>CLR31-99-077_JC 144Core</v>
      </c>
      <c r="Q480" t="str">
        <f>DO_DB[[#This Row],[DO Number]]</f>
        <v>DOEID24081421</v>
      </c>
      <c r="R480" t="str">
        <f>DO_DB[[#This Row],[DN Number]]</f>
        <v>DNWID0362024081418</v>
      </c>
    </row>
    <row r="481" spans="1:18">
      <c r="A481" t="s">
        <v>1851</v>
      </c>
      <c r="B481" t="s">
        <v>1852</v>
      </c>
      <c r="C481" s="172" t="s">
        <v>4482</v>
      </c>
      <c r="D481" t="s">
        <v>71</v>
      </c>
      <c r="E481" t="s">
        <v>26</v>
      </c>
      <c r="F481" t="s">
        <v>3148</v>
      </c>
      <c r="G481" t="s">
        <v>1855</v>
      </c>
      <c r="H481" t="s">
        <v>1856</v>
      </c>
      <c r="I481" s="130">
        <v>45526</v>
      </c>
      <c r="J481" t="s">
        <v>14</v>
      </c>
      <c r="K481">
        <v>1</v>
      </c>
      <c r="M4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81" t="str">
        <f>DO_DB[[#This Row],[Material Pick-update]]&amp;"_"&amp;DO_DB[[#This Row],[Material Name]]</f>
        <v>45526_FDT-48</v>
      </c>
      <c r="O481" t="str">
        <f>DO_DB[[#This Row],[SiteID]]</f>
        <v>CLR31-99-077</v>
      </c>
      <c r="P481" t="str">
        <f>DO_DB[[#This Row],[SiteID]]&amp;"_"&amp;DO_DB[[#This Row],[Material Name]]</f>
        <v>CLR31-99-077_FDT-48</v>
      </c>
      <c r="Q481" t="str">
        <f>DO_DB[[#This Row],[DO Number]]</f>
        <v>DOEID24081422</v>
      </c>
      <c r="R481" t="str">
        <f>DO_DB[[#This Row],[DN Number]]</f>
        <v>DNWID0342024081509</v>
      </c>
    </row>
    <row r="482" spans="1:18">
      <c r="A482" t="s">
        <v>1851</v>
      </c>
      <c r="B482" t="s">
        <v>1852</v>
      </c>
      <c r="C482" s="172" t="s">
        <v>4482</v>
      </c>
      <c r="D482" t="s">
        <v>71</v>
      </c>
      <c r="E482" t="s">
        <v>26</v>
      </c>
      <c r="F482" t="s">
        <v>3148</v>
      </c>
      <c r="G482" t="s">
        <v>1855</v>
      </c>
      <c r="H482" t="s">
        <v>1856</v>
      </c>
      <c r="I482" s="130">
        <v>45526</v>
      </c>
      <c r="J482" t="s">
        <v>13</v>
      </c>
      <c r="K482">
        <v>18</v>
      </c>
      <c r="M4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82" t="str">
        <f>DO_DB[[#This Row],[Material Pick-update]]&amp;"_"&amp;DO_DB[[#This Row],[Material Name]]</f>
        <v>45526_FAT-16</v>
      </c>
      <c r="O482" t="str">
        <f>DO_DB[[#This Row],[SiteID]]</f>
        <v>CLR31-99-077</v>
      </c>
      <c r="P482" t="str">
        <f>DO_DB[[#This Row],[SiteID]]&amp;"_"&amp;DO_DB[[#This Row],[Material Name]]</f>
        <v>CLR31-99-077_FAT-16</v>
      </c>
      <c r="Q482" t="str">
        <f>DO_DB[[#This Row],[DO Number]]</f>
        <v>DOEID24081422</v>
      </c>
      <c r="R482" t="str">
        <f>DO_DB[[#This Row],[DN Number]]</f>
        <v>DNWID0342024081509</v>
      </c>
    </row>
    <row r="483" spans="1:18">
      <c r="A483" t="s">
        <v>1851</v>
      </c>
      <c r="B483" t="s">
        <v>1852</v>
      </c>
      <c r="C483" s="172" t="s">
        <v>4482</v>
      </c>
      <c r="D483" t="s">
        <v>71</v>
      </c>
      <c r="E483" t="s">
        <v>26</v>
      </c>
      <c r="F483" t="s">
        <v>3148</v>
      </c>
      <c r="G483" t="s">
        <v>1855</v>
      </c>
      <c r="H483" t="s">
        <v>1856</v>
      </c>
      <c r="I483" s="130">
        <v>45526</v>
      </c>
      <c r="J483" t="s">
        <v>3080</v>
      </c>
      <c r="K483">
        <v>3</v>
      </c>
      <c r="M4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83" t="str">
        <f>DO_DB[[#This Row],[Material Pick-update]]&amp;"_"&amp;DO_DB[[#This Row],[Material Name]]</f>
        <v>45526_1:8 SPL for FDT-AE &amp; UG</v>
      </c>
      <c r="O483" t="str">
        <f>DO_DB[[#This Row],[SiteID]]</f>
        <v>CLR31-99-077</v>
      </c>
      <c r="P483" t="str">
        <f>DO_DB[[#This Row],[SiteID]]&amp;"_"&amp;DO_DB[[#This Row],[Material Name]]</f>
        <v>CLR31-99-077_1:8 SPL for FDT-AE &amp; UG</v>
      </c>
      <c r="Q483" t="str">
        <f>DO_DB[[#This Row],[DO Number]]</f>
        <v>DOEID24081422</v>
      </c>
      <c r="R483" t="str">
        <f>DO_DB[[#This Row],[DN Number]]</f>
        <v>DNWID0342024081509</v>
      </c>
    </row>
    <row r="484" spans="1:18">
      <c r="A484" t="s">
        <v>1845</v>
      </c>
      <c r="B484" t="s">
        <v>1846</v>
      </c>
      <c r="C484" s="172" t="s">
        <v>4482</v>
      </c>
      <c r="D484" t="s">
        <v>71</v>
      </c>
      <c r="E484" t="s">
        <v>26</v>
      </c>
      <c r="F484" t="s">
        <v>3148</v>
      </c>
      <c r="G484" t="s">
        <v>1847</v>
      </c>
      <c r="H484" t="s">
        <v>1848</v>
      </c>
      <c r="I484" s="130">
        <v>45526</v>
      </c>
      <c r="J484" t="s">
        <v>3069</v>
      </c>
      <c r="K484">
        <v>69</v>
      </c>
      <c r="M4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84" t="str">
        <f>DO_DB[[#This Row],[Material Pick-update]]&amp;"_"&amp;DO_DB[[#This Row],[Material Name]]</f>
        <v>45526_Pole 7M 4"</v>
      </c>
      <c r="O484" t="str">
        <f>DO_DB[[#This Row],[SiteID]]</f>
        <v>CLR31-05-006</v>
      </c>
      <c r="P484" t="str">
        <f>DO_DB[[#This Row],[SiteID]]&amp;"_"&amp;DO_DB[[#This Row],[Material Name]]</f>
        <v>CLR31-05-006_Pole 7M 4"</v>
      </c>
      <c r="Q484" t="str">
        <f>DO_DB[[#This Row],[DO Number]]</f>
        <v>DOEID24081423</v>
      </c>
      <c r="R484" t="str">
        <f>DO_DB[[#This Row],[DN Number]]</f>
        <v>DNWID0362024081416</v>
      </c>
    </row>
    <row r="485" spans="1:18">
      <c r="A485" t="s">
        <v>1845</v>
      </c>
      <c r="B485" t="s">
        <v>1846</v>
      </c>
      <c r="C485" s="172" t="s">
        <v>4482</v>
      </c>
      <c r="D485" t="s">
        <v>71</v>
      </c>
      <c r="E485" t="s">
        <v>26</v>
      </c>
      <c r="F485" t="s">
        <v>3148</v>
      </c>
      <c r="G485" t="s">
        <v>1847</v>
      </c>
      <c r="H485" t="s">
        <v>1848</v>
      </c>
      <c r="I485" s="130">
        <v>45526</v>
      </c>
      <c r="J485" t="s">
        <v>3070</v>
      </c>
      <c r="K485">
        <v>8</v>
      </c>
      <c r="M4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85" t="str">
        <f>DO_DB[[#This Row],[Material Pick-update]]&amp;"_"&amp;DO_DB[[#This Row],[Material Name]]</f>
        <v>45526_Pole 7M 3"</v>
      </c>
      <c r="O485" t="str">
        <f>DO_DB[[#This Row],[SiteID]]</f>
        <v>CLR31-05-006</v>
      </c>
      <c r="P485" t="str">
        <f>DO_DB[[#This Row],[SiteID]]&amp;"_"&amp;DO_DB[[#This Row],[Material Name]]</f>
        <v>CLR31-05-006_Pole 7M 3"</v>
      </c>
      <c r="Q485" t="str">
        <f>DO_DB[[#This Row],[DO Number]]</f>
        <v>DOEID24081423</v>
      </c>
      <c r="R485" t="str">
        <f>DO_DB[[#This Row],[DN Number]]</f>
        <v>DNWID0362024081416</v>
      </c>
    </row>
    <row r="486" spans="1:18">
      <c r="A486" t="s">
        <v>1845</v>
      </c>
      <c r="B486" t="s">
        <v>1846</v>
      </c>
      <c r="C486" s="172" t="s">
        <v>4482</v>
      </c>
      <c r="D486" t="s">
        <v>71</v>
      </c>
      <c r="E486" t="s">
        <v>26</v>
      </c>
      <c r="F486" t="s">
        <v>3148</v>
      </c>
      <c r="G486" t="s">
        <v>1847</v>
      </c>
      <c r="H486" t="s">
        <v>1848</v>
      </c>
      <c r="I486" s="130">
        <v>45526</v>
      </c>
      <c r="J486" t="s">
        <v>3071</v>
      </c>
      <c r="K486">
        <v>3</v>
      </c>
      <c r="M4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86" t="str">
        <f>DO_DB[[#This Row],[Material Pick-update]]&amp;"_"&amp;DO_DB[[#This Row],[Material Name]]</f>
        <v>45526_Pole 9M</v>
      </c>
      <c r="O486" t="str">
        <f>DO_DB[[#This Row],[SiteID]]</f>
        <v>CLR31-05-006</v>
      </c>
      <c r="P486" t="str">
        <f>DO_DB[[#This Row],[SiteID]]&amp;"_"&amp;DO_DB[[#This Row],[Material Name]]</f>
        <v>CLR31-05-006_Pole 9M</v>
      </c>
      <c r="Q486" t="str">
        <f>DO_DB[[#This Row],[DO Number]]</f>
        <v>DOEID24081423</v>
      </c>
      <c r="R486" t="str">
        <f>DO_DB[[#This Row],[DN Number]]</f>
        <v>DNWID0362024081416</v>
      </c>
    </row>
    <row r="487" spans="1:18">
      <c r="A487" t="s">
        <v>1845</v>
      </c>
      <c r="B487" t="s">
        <v>1846</v>
      </c>
      <c r="C487" s="172" t="s">
        <v>4482</v>
      </c>
      <c r="D487" t="s">
        <v>71</v>
      </c>
      <c r="E487" t="s">
        <v>26</v>
      </c>
      <c r="F487" t="s">
        <v>3148</v>
      </c>
      <c r="G487" t="s">
        <v>1847</v>
      </c>
      <c r="H487" t="s">
        <v>1848</v>
      </c>
      <c r="I487" s="130">
        <v>45526</v>
      </c>
      <c r="J487" t="s">
        <v>4856</v>
      </c>
      <c r="K487">
        <v>1</v>
      </c>
      <c r="M4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87" t="str">
        <f>DO_DB[[#This Row],[Material Pick-update]]&amp;"_"&amp;DO_DB[[#This Row],[Material Name]]</f>
        <v>45526_JC 144Core</v>
      </c>
      <c r="O487" t="str">
        <f>DO_DB[[#This Row],[SiteID]]</f>
        <v>CLR31-05-006</v>
      </c>
      <c r="P487" t="str">
        <f>DO_DB[[#This Row],[SiteID]]&amp;"_"&amp;DO_DB[[#This Row],[Material Name]]</f>
        <v>CLR31-05-006_JC 144Core</v>
      </c>
      <c r="Q487" t="str">
        <f>DO_DB[[#This Row],[DO Number]]</f>
        <v>DOEID24081423</v>
      </c>
      <c r="R487" t="str">
        <f>DO_DB[[#This Row],[DN Number]]</f>
        <v>DNWID0362024081416</v>
      </c>
    </row>
    <row r="488" spans="1:18">
      <c r="A488" t="s">
        <v>1845</v>
      </c>
      <c r="B488" t="s">
        <v>1846</v>
      </c>
      <c r="C488" s="172" t="s">
        <v>4482</v>
      </c>
      <c r="D488" t="s">
        <v>71</v>
      </c>
      <c r="E488" t="s">
        <v>26</v>
      </c>
      <c r="F488" t="s">
        <v>3148</v>
      </c>
      <c r="G488" t="s">
        <v>1849</v>
      </c>
      <c r="H488" t="s">
        <v>1850</v>
      </c>
      <c r="I488" s="130">
        <v>45526</v>
      </c>
      <c r="J488" t="s">
        <v>14</v>
      </c>
      <c r="K488">
        <v>1</v>
      </c>
      <c r="M4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88" t="str">
        <f>DO_DB[[#This Row],[Material Pick-update]]&amp;"_"&amp;DO_DB[[#This Row],[Material Name]]</f>
        <v>45526_FDT-48</v>
      </c>
      <c r="O488" t="str">
        <f>DO_DB[[#This Row],[SiteID]]</f>
        <v>CLR31-05-006</v>
      </c>
      <c r="P488" t="str">
        <f>DO_DB[[#This Row],[SiteID]]&amp;"_"&amp;DO_DB[[#This Row],[Material Name]]</f>
        <v>CLR31-05-006_FDT-48</v>
      </c>
      <c r="Q488" t="str">
        <f>DO_DB[[#This Row],[DO Number]]</f>
        <v>DOEID24081424</v>
      </c>
      <c r="R488" t="str">
        <f>DO_DB[[#This Row],[DN Number]]</f>
        <v>DNWID0342024081508</v>
      </c>
    </row>
    <row r="489" spans="1:18">
      <c r="A489" t="s">
        <v>1845</v>
      </c>
      <c r="B489" t="s">
        <v>1846</v>
      </c>
      <c r="C489" s="172" t="s">
        <v>4482</v>
      </c>
      <c r="D489" t="s">
        <v>71</v>
      </c>
      <c r="E489" t="s">
        <v>26</v>
      </c>
      <c r="F489" t="s">
        <v>3148</v>
      </c>
      <c r="G489" t="s">
        <v>1849</v>
      </c>
      <c r="H489" t="s">
        <v>1850</v>
      </c>
      <c r="I489" s="130">
        <v>45526</v>
      </c>
      <c r="J489" t="s">
        <v>13</v>
      </c>
      <c r="K489">
        <v>15</v>
      </c>
      <c r="M4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89" t="str">
        <f>DO_DB[[#This Row],[Material Pick-update]]&amp;"_"&amp;DO_DB[[#This Row],[Material Name]]</f>
        <v>45526_FAT-16</v>
      </c>
      <c r="O489" t="str">
        <f>DO_DB[[#This Row],[SiteID]]</f>
        <v>CLR31-05-006</v>
      </c>
      <c r="P489" t="str">
        <f>DO_DB[[#This Row],[SiteID]]&amp;"_"&amp;DO_DB[[#This Row],[Material Name]]</f>
        <v>CLR31-05-006_FAT-16</v>
      </c>
      <c r="Q489" t="str">
        <f>DO_DB[[#This Row],[DO Number]]</f>
        <v>DOEID24081424</v>
      </c>
      <c r="R489" t="str">
        <f>DO_DB[[#This Row],[DN Number]]</f>
        <v>DNWID0342024081508</v>
      </c>
    </row>
    <row r="490" spans="1:18">
      <c r="A490" t="s">
        <v>1845</v>
      </c>
      <c r="B490" t="s">
        <v>1846</v>
      </c>
      <c r="C490" s="172" t="s">
        <v>4482</v>
      </c>
      <c r="D490" t="s">
        <v>71</v>
      </c>
      <c r="E490" t="s">
        <v>26</v>
      </c>
      <c r="F490" t="s">
        <v>3148</v>
      </c>
      <c r="G490" t="s">
        <v>1849</v>
      </c>
      <c r="H490" t="s">
        <v>1850</v>
      </c>
      <c r="I490" s="130">
        <v>45526</v>
      </c>
      <c r="J490" t="s">
        <v>3080</v>
      </c>
      <c r="K490">
        <v>3</v>
      </c>
      <c r="M4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90" t="str">
        <f>DO_DB[[#This Row],[Material Pick-update]]&amp;"_"&amp;DO_DB[[#This Row],[Material Name]]</f>
        <v>45526_1:8 SPL for FDT-AE &amp; UG</v>
      </c>
      <c r="O490" t="str">
        <f>DO_DB[[#This Row],[SiteID]]</f>
        <v>CLR31-05-006</v>
      </c>
      <c r="P490" t="str">
        <f>DO_DB[[#This Row],[SiteID]]&amp;"_"&amp;DO_DB[[#This Row],[Material Name]]</f>
        <v>CLR31-05-006_1:8 SPL for FDT-AE &amp; UG</v>
      </c>
      <c r="Q490" t="str">
        <f>DO_DB[[#This Row],[DO Number]]</f>
        <v>DOEID24081424</v>
      </c>
      <c r="R490" t="str">
        <f>DO_DB[[#This Row],[DN Number]]</f>
        <v>DNWID0342024081508</v>
      </c>
    </row>
    <row r="491" spans="1:18">
      <c r="A491" t="s">
        <v>2216</v>
      </c>
      <c r="B491" t="s">
        <v>2217</v>
      </c>
      <c r="C491" t="s">
        <v>4482</v>
      </c>
      <c r="D491" t="s">
        <v>71</v>
      </c>
      <c r="E491" t="s">
        <v>709</v>
      </c>
      <c r="F491" t="s">
        <v>3148</v>
      </c>
      <c r="G491" t="s">
        <v>2220</v>
      </c>
      <c r="H491" t="s">
        <v>2221</v>
      </c>
      <c r="I491" s="130">
        <v>45567</v>
      </c>
      <c r="J491" t="s">
        <v>3073</v>
      </c>
      <c r="K491">
        <v>3000</v>
      </c>
      <c r="M4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24C-2024102-01</v>
      </c>
      <c r="N491" t="str">
        <f>DO_DB[[#This Row],[Material Pick-update]]&amp;"_"&amp;DO_DB[[#This Row],[Material Name]]</f>
        <v>45567_ADSS 24C</v>
      </c>
      <c r="O491" t="str">
        <f>DO_DB[[#This Row],[SiteID]]</f>
        <v>CLR41-12-001</v>
      </c>
      <c r="P491" t="str">
        <f>DO_DB[[#This Row],[SiteID]]&amp;"_"&amp;DO_DB[[#This Row],[Material Name]]</f>
        <v>CLR41-12-001_ADSS 24C</v>
      </c>
      <c r="Q491" t="str">
        <f>DO_DB[[#This Row],[DO Number]]</f>
        <v>DOEID240926BV</v>
      </c>
      <c r="R491" t="str">
        <f>DO_DB[[#This Row],[DN Number]]</f>
        <v>DNWID0342024092704</v>
      </c>
    </row>
    <row r="492" spans="1:18">
      <c r="A492" t="s">
        <v>2210</v>
      </c>
      <c r="B492" t="s">
        <v>2211</v>
      </c>
      <c r="C492" t="s">
        <v>4482</v>
      </c>
      <c r="D492" t="s">
        <v>71</v>
      </c>
      <c r="E492" t="s">
        <v>709</v>
      </c>
      <c r="F492" t="s">
        <v>3148</v>
      </c>
      <c r="G492" t="s">
        <v>2214</v>
      </c>
      <c r="H492" t="s">
        <v>2215</v>
      </c>
      <c r="I492" s="130">
        <v>45567</v>
      </c>
      <c r="J492" t="s">
        <v>3073</v>
      </c>
      <c r="K492">
        <v>3000</v>
      </c>
      <c r="M4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24C-2024102-01</v>
      </c>
      <c r="N492" t="str">
        <f>DO_DB[[#This Row],[Material Pick-update]]&amp;"_"&amp;DO_DB[[#This Row],[Material Name]]</f>
        <v>45567_ADSS 24C</v>
      </c>
      <c r="O492" t="str">
        <f>DO_DB[[#This Row],[SiteID]]</f>
        <v>CLR41-03-047</v>
      </c>
      <c r="P492" t="str">
        <f>DO_DB[[#This Row],[SiteID]]&amp;"_"&amp;DO_DB[[#This Row],[Material Name]]</f>
        <v>CLR41-03-047_ADSS 24C</v>
      </c>
      <c r="Q492" t="str">
        <f>DO_DB[[#This Row],[DO Number]]</f>
        <v>DOEID240926C1</v>
      </c>
      <c r="R492" t="str">
        <f>DO_DB[[#This Row],[DN Number]]</f>
        <v>DNWID0342024092703</v>
      </c>
    </row>
    <row r="493" spans="1:18">
      <c r="A493" t="s">
        <v>2216</v>
      </c>
      <c r="B493" t="s">
        <v>2217</v>
      </c>
      <c r="C493" t="s">
        <v>4482</v>
      </c>
      <c r="D493" t="s">
        <v>71</v>
      </c>
      <c r="E493" t="s">
        <v>709</v>
      </c>
      <c r="F493" t="s">
        <v>3148</v>
      </c>
      <c r="G493" t="s">
        <v>2218</v>
      </c>
      <c r="H493" t="s">
        <v>2219</v>
      </c>
      <c r="I493" s="130">
        <v>45567</v>
      </c>
      <c r="J493" t="s">
        <v>3069</v>
      </c>
      <c r="K493">
        <v>23</v>
      </c>
      <c r="M4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93" t="str">
        <f>DO_DB[[#This Row],[Material Pick-update]]&amp;"_"&amp;DO_DB[[#This Row],[Material Name]]</f>
        <v>45567_Pole 7M 4"</v>
      </c>
      <c r="O493" t="str">
        <f>DO_DB[[#This Row],[SiteID]]</f>
        <v>CLR41-12-001</v>
      </c>
      <c r="P493" t="str">
        <f>DO_DB[[#This Row],[SiteID]]&amp;"_"&amp;DO_DB[[#This Row],[Material Name]]</f>
        <v>CLR41-12-001_Pole 7M 4"</v>
      </c>
      <c r="Q493" t="str">
        <f>DO_DB[[#This Row],[DO Number]]</f>
        <v>DOEID240926BU</v>
      </c>
      <c r="R493" t="str">
        <f>DO_DB[[#This Row],[DN Number]]</f>
        <v>DNWID0362024092706</v>
      </c>
    </row>
    <row r="494" spans="1:18">
      <c r="A494" t="s">
        <v>2216</v>
      </c>
      <c r="B494" t="s">
        <v>2217</v>
      </c>
      <c r="C494" t="s">
        <v>4482</v>
      </c>
      <c r="D494" t="s">
        <v>71</v>
      </c>
      <c r="E494" t="s">
        <v>709</v>
      </c>
      <c r="F494" t="s">
        <v>3148</v>
      </c>
      <c r="G494" t="s">
        <v>2218</v>
      </c>
      <c r="H494" t="s">
        <v>2219</v>
      </c>
      <c r="I494" s="130">
        <v>45567</v>
      </c>
      <c r="J494" t="s">
        <v>3070</v>
      </c>
      <c r="K494">
        <v>1</v>
      </c>
      <c r="M4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94" t="str">
        <f>DO_DB[[#This Row],[Material Pick-update]]&amp;"_"&amp;DO_DB[[#This Row],[Material Name]]</f>
        <v>45567_Pole 7M 3"</v>
      </c>
      <c r="O494" t="str">
        <f>DO_DB[[#This Row],[SiteID]]</f>
        <v>CLR41-12-001</v>
      </c>
      <c r="P494" t="str">
        <f>DO_DB[[#This Row],[SiteID]]&amp;"_"&amp;DO_DB[[#This Row],[Material Name]]</f>
        <v>CLR41-12-001_Pole 7M 3"</v>
      </c>
      <c r="Q494" t="str">
        <f>DO_DB[[#This Row],[DO Number]]</f>
        <v>DOEID240926BU</v>
      </c>
      <c r="R494" t="str">
        <f>DO_DB[[#This Row],[DN Number]]</f>
        <v>DNWID0362024092706</v>
      </c>
    </row>
    <row r="495" spans="1:18">
      <c r="A495" t="s">
        <v>2216</v>
      </c>
      <c r="B495" t="s">
        <v>2217</v>
      </c>
      <c r="C495" t="s">
        <v>4482</v>
      </c>
      <c r="D495" t="s">
        <v>71</v>
      </c>
      <c r="E495" t="s">
        <v>709</v>
      </c>
      <c r="F495" t="s">
        <v>3148</v>
      </c>
      <c r="G495" t="s">
        <v>2220</v>
      </c>
      <c r="H495" t="s">
        <v>2221</v>
      </c>
      <c r="I495" s="130">
        <v>45567</v>
      </c>
      <c r="J495" t="s">
        <v>15</v>
      </c>
      <c r="K495">
        <v>1</v>
      </c>
      <c r="M4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95" t="str">
        <f>DO_DB[[#This Row],[Material Pick-update]]&amp;"_"&amp;DO_DB[[#This Row],[Material Name]]</f>
        <v>45567_FDT-72</v>
      </c>
      <c r="O495" t="str">
        <f>DO_DB[[#This Row],[SiteID]]</f>
        <v>CLR41-12-001</v>
      </c>
      <c r="P495" t="str">
        <f>DO_DB[[#This Row],[SiteID]]&amp;"_"&amp;DO_DB[[#This Row],[Material Name]]</f>
        <v>CLR41-12-001_FDT-72</v>
      </c>
      <c r="Q495" t="str">
        <f>DO_DB[[#This Row],[DO Number]]</f>
        <v>DOEID240926BV</v>
      </c>
      <c r="R495" t="str">
        <f>DO_DB[[#This Row],[DN Number]]</f>
        <v>DNWID0342024092704</v>
      </c>
    </row>
    <row r="496" spans="1:18">
      <c r="A496" t="s">
        <v>2216</v>
      </c>
      <c r="B496" t="s">
        <v>2217</v>
      </c>
      <c r="C496" t="s">
        <v>4482</v>
      </c>
      <c r="D496" t="s">
        <v>71</v>
      </c>
      <c r="E496" t="s">
        <v>709</v>
      </c>
      <c r="F496" t="s">
        <v>3148</v>
      </c>
      <c r="G496" t="s">
        <v>2220</v>
      </c>
      <c r="H496" t="s">
        <v>2221</v>
      </c>
      <c r="I496" s="130">
        <v>45567</v>
      </c>
      <c r="J496" t="s">
        <v>13</v>
      </c>
      <c r="K496">
        <v>10</v>
      </c>
      <c r="M4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96" t="str">
        <f>DO_DB[[#This Row],[Material Pick-update]]&amp;"_"&amp;DO_DB[[#This Row],[Material Name]]</f>
        <v>45567_FAT-16</v>
      </c>
      <c r="O496" t="str">
        <f>DO_DB[[#This Row],[SiteID]]</f>
        <v>CLR41-12-001</v>
      </c>
      <c r="P496" t="str">
        <f>DO_DB[[#This Row],[SiteID]]&amp;"_"&amp;DO_DB[[#This Row],[Material Name]]</f>
        <v>CLR41-12-001_FAT-16</v>
      </c>
      <c r="Q496" t="str">
        <f>DO_DB[[#This Row],[DO Number]]</f>
        <v>DOEID240926BV</v>
      </c>
      <c r="R496" t="str">
        <f>DO_DB[[#This Row],[DN Number]]</f>
        <v>DNWID0342024092704</v>
      </c>
    </row>
    <row r="497" spans="1:18">
      <c r="A497" t="s">
        <v>2222</v>
      </c>
      <c r="B497" t="s">
        <v>2223</v>
      </c>
      <c r="C497" t="s">
        <v>4482</v>
      </c>
      <c r="D497" t="s">
        <v>71</v>
      </c>
      <c r="E497" t="s">
        <v>709</v>
      </c>
      <c r="F497" t="s">
        <v>3148</v>
      </c>
      <c r="G497" t="s">
        <v>2224</v>
      </c>
      <c r="H497" t="s">
        <v>2225</v>
      </c>
      <c r="I497" s="130">
        <v>45567</v>
      </c>
      <c r="J497" t="s">
        <v>3069</v>
      </c>
      <c r="K497">
        <v>19</v>
      </c>
      <c r="M4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97" t="str">
        <f>DO_DB[[#This Row],[Material Pick-update]]&amp;"_"&amp;DO_DB[[#This Row],[Material Name]]</f>
        <v>45567_Pole 7M 4"</v>
      </c>
      <c r="O497" t="str">
        <f>DO_DB[[#This Row],[SiteID]]</f>
        <v>CLR41-12-002</v>
      </c>
      <c r="P497" t="str">
        <f>DO_DB[[#This Row],[SiteID]]&amp;"_"&amp;DO_DB[[#This Row],[Material Name]]</f>
        <v>CLR41-12-002_Pole 7M 4"</v>
      </c>
      <c r="Q497" t="str">
        <f>DO_DB[[#This Row],[DO Number]]</f>
        <v>DOEID240926BW</v>
      </c>
      <c r="R497" t="str">
        <f>DO_DB[[#This Row],[DN Number]]</f>
        <v>DNWID0362024092703</v>
      </c>
    </row>
    <row r="498" spans="1:18">
      <c r="A498" t="s">
        <v>2222</v>
      </c>
      <c r="B498" t="s">
        <v>2223</v>
      </c>
      <c r="C498" t="s">
        <v>4482</v>
      </c>
      <c r="D498" t="s">
        <v>71</v>
      </c>
      <c r="E498" t="s">
        <v>709</v>
      </c>
      <c r="F498" t="s">
        <v>3148</v>
      </c>
      <c r="G498" t="s">
        <v>2224</v>
      </c>
      <c r="H498" t="s">
        <v>2225</v>
      </c>
      <c r="I498" s="130">
        <v>45567</v>
      </c>
      <c r="J498" t="s">
        <v>3070</v>
      </c>
      <c r="K498">
        <v>3</v>
      </c>
      <c r="M4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98" t="str">
        <f>DO_DB[[#This Row],[Material Pick-update]]&amp;"_"&amp;DO_DB[[#This Row],[Material Name]]</f>
        <v>45567_Pole 7M 3"</v>
      </c>
      <c r="O498" t="str">
        <f>DO_DB[[#This Row],[SiteID]]</f>
        <v>CLR41-12-002</v>
      </c>
      <c r="P498" t="str">
        <f>DO_DB[[#This Row],[SiteID]]&amp;"_"&amp;DO_DB[[#This Row],[Material Name]]</f>
        <v>CLR41-12-002_Pole 7M 3"</v>
      </c>
      <c r="Q498" t="str">
        <f>DO_DB[[#This Row],[DO Number]]</f>
        <v>DOEID240926BW</v>
      </c>
      <c r="R498" t="str">
        <f>DO_DB[[#This Row],[DN Number]]</f>
        <v>DNWID0362024092703</v>
      </c>
    </row>
    <row r="499" spans="1:18">
      <c r="A499" t="s">
        <v>2222</v>
      </c>
      <c r="B499" t="s">
        <v>2223</v>
      </c>
      <c r="C499" t="s">
        <v>4482</v>
      </c>
      <c r="D499" t="s">
        <v>71</v>
      </c>
      <c r="E499" t="s">
        <v>709</v>
      </c>
      <c r="F499" t="s">
        <v>3148</v>
      </c>
      <c r="G499" t="s">
        <v>2226</v>
      </c>
      <c r="H499" t="s">
        <v>2227</v>
      </c>
      <c r="I499" s="130">
        <v>45567</v>
      </c>
      <c r="J499" t="s">
        <v>13</v>
      </c>
      <c r="K499">
        <v>7</v>
      </c>
      <c r="M4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499" t="str">
        <f>DO_DB[[#This Row],[Material Pick-update]]&amp;"_"&amp;DO_DB[[#This Row],[Material Name]]</f>
        <v>45567_FAT-16</v>
      </c>
      <c r="O499" t="str">
        <f>DO_DB[[#This Row],[SiteID]]</f>
        <v>CLR41-12-002</v>
      </c>
      <c r="P499" t="str">
        <f>DO_DB[[#This Row],[SiteID]]&amp;"_"&amp;DO_DB[[#This Row],[Material Name]]</f>
        <v>CLR41-12-002_FAT-16</v>
      </c>
      <c r="Q499" t="str">
        <f>DO_DB[[#This Row],[DO Number]]</f>
        <v>DOEID240926BX</v>
      </c>
      <c r="R499" t="str">
        <f>DO_DB[[#This Row],[DN Number]]</f>
        <v>DNWID0342024092706</v>
      </c>
    </row>
    <row r="500" spans="1:18">
      <c r="A500" t="s">
        <v>2228</v>
      </c>
      <c r="B500" t="s">
        <v>2229</v>
      </c>
      <c r="C500" t="s">
        <v>4482</v>
      </c>
      <c r="D500" t="s">
        <v>71</v>
      </c>
      <c r="E500" t="s">
        <v>709</v>
      </c>
      <c r="F500" t="s">
        <v>3148</v>
      </c>
      <c r="G500" t="s">
        <v>2230</v>
      </c>
      <c r="H500" t="s">
        <v>2231</v>
      </c>
      <c r="I500" s="130">
        <v>45567</v>
      </c>
      <c r="J500" t="s">
        <v>3069</v>
      </c>
      <c r="K500">
        <v>22</v>
      </c>
      <c r="M5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00" t="str">
        <f>DO_DB[[#This Row],[Material Pick-update]]&amp;"_"&amp;DO_DB[[#This Row],[Material Name]]</f>
        <v>45567_Pole 7M 4"</v>
      </c>
      <c r="O500" t="str">
        <f>DO_DB[[#This Row],[SiteID]]</f>
        <v>CLR41-12-003</v>
      </c>
      <c r="P500" t="str">
        <f>DO_DB[[#This Row],[SiteID]]&amp;"_"&amp;DO_DB[[#This Row],[Material Name]]</f>
        <v>CLR41-12-003_Pole 7M 4"</v>
      </c>
      <c r="Q500" t="str">
        <f>DO_DB[[#This Row],[DO Number]]</f>
        <v>DOEID240926BY</v>
      </c>
      <c r="R500" t="str">
        <f>DO_DB[[#This Row],[DN Number]]</f>
        <v>DNWID0362024092701</v>
      </c>
    </row>
    <row r="501" spans="1:18">
      <c r="A501" t="s">
        <v>2228</v>
      </c>
      <c r="B501" t="s">
        <v>2229</v>
      </c>
      <c r="C501" t="s">
        <v>4482</v>
      </c>
      <c r="D501" t="s">
        <v>71</v>
      </c>
      <c r="E501" t="s">
        <v>709</v>
      </c>
      <c r="F501" t="s">
        <v>3148</v>
      </c>
      <c r="G501" t="s">
        <v>2230</v>
      </c>
      <c r="H501" t="s">
        <v>2231</v>
      </c>
      <c r="I501" s="130">
        <v>45567</v>
      </c>
      <c r="J501" t="s">
        <v>3070</v>
      </c>
      <c r="K501">
        <v>2</v>
      </c>
      <c r="M5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01" t="str">
        <f>DO_DB[[#This Row],[Material Pick-update]]&amp;"_"&amp;DO_DB[[#This Row],[Material Name]]</f>
        <v>45567_Pole 7M 3"</v>
      </c>
      <c r="O501" t="str">
        <f>DO_DB[[#This Row],[SiteID]]</f>
        <v>CLR41-12-003</v>
      </c>
      <c r="P501" t="str">
        <f>DO_DB[[#This Row],[SiteID]]&amp;"_"&amp;DO_DB[[#This Row],[Material Name]]</f>
        <v>CLR41-12-003_Pole 7M 3"</v>
      </c>
      <c r="Q501" t="str">
        <f>DO_DB[[#This Row],[DO Number]]</f>
        <v>DOEID240926BY</v>
      </c>
      <c r="R501" t="str">
        <f>DO_DB[[#This Row],[DN Number]]</f>
        <v>DNWID0362024092701</v>
      </c>
    </row>
    <row r="502" spans="1:18">
      <c r="A502" t="s">
        <v>2228</v>
      </c>
      <c r="B502" t="s">
        <v>2229</v>
      </c>
      <c r="C502" t="s">
        <v>4482</v>
      </c>
      <c r="D502" t="s">
        <v>71</v>
      </c>
      <c r="E502" t="s">
        <v>709</v>
      </c>
      <c r="F502" t="s">
        <v>3148</v>
      </c>
      <c r="G502" t="s">
        <v>2232</v>
      </c>
      <c r="H502" t="s">
        <v>2233</v>
      </c>
      <c r="I502" s="130">
        <v>45567</v>
      </c>
      <c r="J502" t="s">
        <v>13</v>
      </c>
      <c r="K502">
        <v>6</v>
      </c>
      <c r="M5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02" t="str">
        <f>DO_DB[[#This Row],[Material Pick-update]]&amp;"_"&amp;DO_DB[[#This Row],[Material Name]]</f>
        <v>45567_FAT-16</v>
      </c>
      <c r="O502" t="str">
        <f>DO_DB[[#This Row],[SiteID]]</f>
        <v>CLR41-12-003</v>
      </c>
      <c r="P502" t="str">
        <f>DO_DB[[#This Row],[SiteID]]&amp;"_"&amp;DO_DB[[#This Row],[Material Name]]</f>
        <v>CLR41-12-003_FAT-16</v>
      </c>
      <c r="Q502" t="str">
        <f>DO_DB[[#This Row],[DO Number]]</f>
        <v>DOEID240926BZ</v>
      </c>
      <c r="R502" t="str">
        <f>DO_DB[[#This Row],[DN Number]]</f>
        <v>DNWID0342024092705</v>
      </c>
    </row>
    <row r="503" spans="1:18">
      <c r="A503" t="s">
        <v>2210</v>
      </c>
      <c r="B503" t="s">
        <v>2211</v>
      </c>
      <c r="C503" t="s">
        <v>4482</v>
      </c>
      <c r="D503" t="s">
        <v>71</v>
      </c>
      <c r="E503" t="s">
        <v>709</v>
      </c>
      <c r="F503" t="s">
        <v>3148</v>
      </c>
      <c r="G503" t="s">
        <v>2212</v>
      </c>
      <c r="H503" t="s">
        <v>2213</v>
      </c>
      <c r="I503" s="130">
        <v>45567</v>
      </c>
      <c r="J503" t="s">
        <v>3069</v>
      </c>
      <c r="K503">
        <v>42</v>
      </c>
      <c r="M5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03" t="str">
        <f>DO_DB[[#This Row],[Material Pick-update]]&amp;"_"&amp;DO_DB[[#This Row],[Material Name]]</f>
        <v>45567_Pole 7M 4"</v>
      </c>
      <c r="O503" t="str">
        <f>DO_DB[[#This Row],[SiteID]]</f>
        <v>CLR41-03-047</v>
      </c>
      <c r="P503" t="str">
        <f>DO_DB[[#This Row],[SiteID]]&amp;"_"&amp;DO_DB[[#This Row],[Material Name]]</f>
        <v>CLR41-03-047_Pole 7M 4"</v>
      </c>
      <c r="Q503" t="str">
        <f>DO_DB[[#This Row],[DO Number]]</f>
        <v>DOEID240926C0</v>
      </c>
      <c r="R503" t="str">
        <f>DO_DB[[#This Row],[DN Number]]</f>
        <v>DNWID0362024092702</v>
      </c>
    </row>
    <row r="504" spans="1:18">
      <c r="A504" t="s">
        <v>2210</v>
      </c>
      <c r="B504" t="s">
        <v>2211</v>
      </c>
      <c r="C504" t="s">
        <v>4482</v>
      </c>
      <c r="D504" t="s">
        <v>71</v>
      </c>
      <c r="E504" t="s">
        <v>709</v>
      </c>
      <c r="F504" t="s">
        <v>3148</v>
      </c>
      <c r="G504" t="s">
        <v>2212</v>
      </c>
      <c r="H504" t="s">
        <v>2213</v>
      </c>
      <c r="I504" s="130">
        <v>45567</v>
      </c>
      <c r="J504" t="s">
        <v>3070</v>
      </c>
      <c r="K504">
        <v>1</v>
      </c>
      <c r="M5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04" t="str">
        <f>DO_DB[[#This Row],[Material Pick-update]]&amp;"_"&amp;DO_DB[[#This Row],[Material Name]]</f>
        <v>45567_Pole 7M 3"</v>
      </c>
      <c r="O504" t="str">
        <f>DO_DB[[#This Row],[SiteID]]</f>
        <v>CLR41-03-047</v>
      </c>
      <c r="P504" t="str">
        <f>DO_DB[[#This Row],[SiteID]]&amp;"_"&amp;DO_DB[[#This Row],[Material Name]]</f>
        <v>CLR41-03-047_Pole 7M 3"</v>
      </c>
      <c r="Q504" t="str">
        <f>DO_DB[[#This Row],[DO Number]]</f>
        <v>DOEID240926C0</v>
      </c>
      <c r="R504" t="str">
        <f>DO_DB[[#This Row],[DN Number]]</f>
        <v>DNWID0362024092702</v>
      </c>
    </row>
    <row r="505" spans="1:18">
      <c r="A505" t="s">
        <v>2210</v>
      </c>
      <c r="B505" t="s">
        <v>2211</v>
      </c>
      <c r="C505" t="s">
        <v>4482</v>
      </c>
      <c r="D505" t="s">
        <v>71</v>
      </c>
      <c r="E505" t="s">
        <v>709</v>
      </c>
      <c r="F505" t="s">
        <v>3148</v>
      </c>
      <c r="G505" t="s">
        <v>2214</v>
      </c>
      <c r="H505" t="s">
        <v>2215</v>
      </c>
      <c r="I505" s="130">
        <v>45567</v>
      </c>
      <c r="J505" t="s">
        <v>15</v>
      </c>
      <c r="K505">
        <v>1</v>
      </c>
      <c r="M5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05" t="str">
        <f>DO_DB[[#This Row],[Material Pick-update]]&amp;"_"&amp;DO_DB[[#This Row],[Material Name]]</f>
        <v>45567_FDT-72</v>
      </c>
      <c r="O505" t="str">
        <f>DO_DB[[#This Row],[SiteID]]</f>
        <v>CLR41-03-047</v>
      </c>
      <c r="P505" t="str">
        <f>DO_DB[[#This Row],[SiteID]]&amp;"_"&amp;DO_DB[[#This Row],[Material Name]]</f>
        <v>CLR41-03-047_FDT-72</v>
      </c>
      <c r="Q505" t="str">
        <f>DO_DB[[#This Row],[DO Number]]</f>
        <v>DOEID240926C1</v>
      </c>
      <c r="R505" t="str">
        <f>DO_DB[[#This Row],[DN Number]]</f>
        <v>DNWID0342024092703</v>
      </c>
    </row>
    <row r="506" spans="1:18">
      <c r="A506" t="s">
        <v>2210</v>
      </c>
      <c r="B506" t="s">
        <v>2211</v>
      </c>
      <c r="C506" t="s">
        <v>4482</v>
      </c>
      <c r="D506" t="s">
        <v>71</v>
      </c>
      <c r="E506" t="s">
        <v>709</v>
      </c>
      <c r="F506" t="s">
        <v>3148</v>
      </c>
      <c r="G506" t="s">
        <v>2214</v>
      </c>
      <c r="H506" t="s">
        <v>2215</v>
      </c>
      <c r="I506" s="130">
        <v>45567</v>
      </c>
      <c r="J506" t="s">
        <v>13</v>
      </c>
      <c r="K506">
        <v>18</v>
      </c>
      <c r="M5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06" t="str">
        <f>DO_DB[[#This Row],[Material Pick-update]]&amp;"_"&amp;DO_DB[[#This Row],[Material Name]]</f>
        <v>45567_FAT-16</v>
      </c>
      <c r="O506" t="str">
        <f>DO_DB[[#This Row],[SiteID]]</f>
        <v>CLR41-03-047</v>
      </c>
      <c r="P506" t="str">
        <f>DO_DB[[#This Row],[SiteID]]&amp;"_"&amp;DO_DB[[#This Row],[Material Name]]</f>
        <v>CLR41-03-047_FAT-16</v>
      </c>
      <c r="Q506" t="str">
        <f>DO_DB[[#This Row],[DO Number]]</f>
        <v>DOEID240926C1</v>
      </c>
      <c r="R506" t="str">
        <f>DO_DB[[#This Row],[DN Number]]</f>
        <v>DNWID0342024092703</v>
      </c>
    </row>
    <row r="507" spans="1:18">
      <c r="A507" t="s">
        <v>2198</v>
      </c>
      <c r="B507" t="s">
        <v>2199</v>
      </c>
      <c r="C507" s="172" t="s">
        <v>4482</v>
      </c>
      <c r="D507" t="s">
        <v>71</v>
      </c>
      <c r="E507" t="s">
        <v>26</v>
      </c>
      <c r="F507" t="s">
        <v>3148</v>
      </c>
      <c r="G507" t="s">
        <v>2202</v>
      </c>
      <c r="H507" t="s">
        <v>2203</v>
      </c>
      <c r="I507" s="130">
        <v>45567</v>
      </c>
      <c r="J507" t="s">
        <v>3073</v>
      </c>
      <c r="K507">
        <v>3000</v>
      </c>
      <c r="M5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24C-2024102-01</v>
      </c>
      <c r="N507" t="str">
        <f>DO_DB[[#This Row],[Material Pick-update]]&amp;"_"&amp;DO_DB[[#This Row],[Material Name]]</f>
        <v>45567_ADSS 24C</v>
      </c>
      <c r="O507" t="str">
        <f>DO_DB[[#This Row],[SiteID]]</f>
        <v>CLR31-04-060</v>
      </c>
      <c r="P507" t="str">
        <f>DO_DB[[#This Row],[SiteID]]&amp;"_"&amp;DO_DB[[#This Row],[Material Name]]</f>
        <v>CLR31-04-060_ADSS 24C</v>
      </c>
      <c r="Q507" t="str">
        <f>DO_DB[[#This Row],[DO Number]]</f>
        <v>DOEID240926C3</v>
      </c>
      <c r="R507" t="str">
        <f>DO_DB[[#This Row],[DN Number]]</f>
        <v>DNWID0342024092702</v>
      </c>
    </row>
    <row r="508" spans="1:18">
      <c r="A508" t="s">
        <v>2198</v>
      </c>
      <c r="B508" t="s">
        <v>2199</v>
      </c>
      <c r="C508" s="172" t="s">
        <v>4482</v>
      </c>
      <c r="D508" t="s">
        <v>71</v>
      </c>
      <c r="E508" t="s">
        <v>26</v>
      </c>
      <c r="F508" t="s">
        <v>3148</v>
      </c>
      <c r="G508" t="s">
        <v>2202</v>
      </c>
      <c r="H508" t="s">
        <v>2203</v>
      </c>
      <c r="I508" s="130">
        <v>45567</v>
      </c>
      <c r="J508" t="s">
        <v>3075</v>
      </c>
      <c r="K508">
        <v>3000</v>
      </c>
      <c r="M5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48C-2024102-01</v>
      </c>
      <c r="N508" t="str">
        <f>DO_DB[[#This Row],[Material Pick-update]]&amp;"_"&amp;DO_DB[[#This Row],[Material Name]]</f>
        <v>45567_ADSS 48C</v>
      </c>
      <c r="O508" t="str">
        <f>DO_DB[[#This Row],[SiteID]]</f>
        <v>CLR31-04-060</v>
      </c>
      <c r="P508" t="str">
        <f>DO_DB[[#This Row],[SiteID]]&amp;"_"&amp;DO_DB[[#This Row],[Material Name]]</f>
        <v>CLR31-04-060_ADSS 48C</v>
      </c>
      <c r="Q508" t="str">
        <f>DO_DB[[#This Row],[DO Number]]</f>
        <v>DOEID240926C3</v>
      </c>
      <c r="R508" t="str">
        <f>DO_DB[[#This Row],[DN Number]]</f>
        <v>DNWID0342024092702</v>
      </c>
    </row>
    <row r="509" spans="1:18">
      <c r="A509" t="s">
        <v>2204</v>
      </c>
      <c r="B509" t="s">
        <v>2205</v>
      </c>
      <c r="C509" s="172" t="s">
        <v>4482</v>
      </c>
      <c r="D509" t="s">
        <v>71</v>
      </c>
      <c r="E509" t="s">
        <v>26</v>
      </c>
      <c r="F509" t="s">
        <v>3148</v>
      </c>
      <c r="G509" t="s">
        <v>2208</v>
      </c>
      <c r="H509" t="s">
        <v>2209</v>
      </c>
      <c r="I509" s="130">
        <v>45567</v>
      </c>
      <c r="J509" t="s">
        <v>3073</v>
      </c>
      <c r="K509">
        <v>3000</v>
      </c>
      <c r="M5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24C-2024102-01</v>
      </c>
      <c r="N509" t="str">
        <f>DO_DB[[#This Row],[Material Pick-update]]&amp;"_"&amp;DO_DB[[#This Row],[Material Name]]</f>
        <v>45567_ADSS 24C</v>
      </c>
      <c r="O509" t="str">
        <f>DO_DB[[#This Row],[SiteID]]</f>
        <v>CLR31-99-081</v>
      </c>
      <c r="P509" t="str">
        <f>DO_DB[[#This Row],[SiteID]]&amp;"_"&amp;DO_DB[[#This Row],[Material Name]]</f>
        <v>CLR31-99-081_ADSS 24C</v>
      </c>
      <c r="Q509" t="str">
        <f>DO_DB[[#This Row],[DO Number]]</f>
        <v>DOEID240926C5</v>
      </c>
      <c r="R509" t="str">
        <f>DO_DB[[#This Row],[DN Number]]</f>
        <v>DNWID0342024092701</v>
      </c>
    </row>
    <row r="510" spans="1:18">
      <c r="A510" t="s">
        <v>2198</v>
      </c>
      <c r="B510" t="s">
        <v>2199</v>
      </c>
      <c r="C510" s="172" t="s">
        <v>4482</v>
      </c>
      <c r="D510" t="s">
        <v>71</v>
      </c>
      <c r="E510" t="s">
        <v>26</v>
      </c>
      <c r="F510" t="s">
        <v>3148</v>
      </c>
      <c r="G510" t="s">
        <v>2200</v>
      </c>
      <c r="H510" t="s">
        <v>2201</v>
      </c>
      <c r="I510" s="130">
        <v>45567</v>
      </c>
      <c r="J510" t="s">
        <v>3069</v>
      </c>
      <c r="K510">
        <v>48</v>
      </c>
      <c r="M5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10" t="str">
        <f>DO_DB[[#This Row],[Material Pick-update]]&amp;"_"&amp;DO_DB[[#This Row],[Material Name]]</f>
        <v>45567_Pole 7M 4"</v>
      </c>
      <c r="O510" t="str">
        <f>DO_DB[[#This Row],[SiteID]]</f>
        <v>CLR31-04-060</v>
      </c>
      <c r="P510" t="str">
        <f>DO_DB[[#This Row],[SiteID]]&amp;"_"&amp;DO_DB[[#This Row],[Material Name]]</f>
        <v>CLR31-04-060_Pole 7M 4"</v>
      </c>
      <c r="Q510" t="str">
        <f>DO_DB[[#This Row],[DO Number]]</f>
        <v>DOEID240926C2</v>
      </c>
      <c r="R510" t="str">
        <f>DO_DB[[#This Row],[DN Number]]</f>
        <v>DNWID0362024092704</v>
      </c>
    </row>
    <row r="511" spans="1:18">
      <c r="A511" t="s">
        <v>2198</v>
      </c>
      <c r="B511" t="s">
        <v>2199</v>
      </c>
      <c r="C511" s="172" t="s">
        <v>4482</v>
      </c>
      <c r="D511" t="s">
        <v>71</v>
      </c>
      <c r="E511" t="s">
        <v>26</v>
      </c>
      <c r="F511" t="s">
        <v>3148</v>
      </c>
      <c r="G511" t="s">
        <v>2200</v>
      </c>
      <c r="H511" t="s">
        <v>2201</v>
      </c>
      <c r="I511" s="130">
        <v>45567</v>
      </c>
      <c r="J511" t="s">
        <v>3070</v>
      </c>
      <c r="K511">
        <v>14</v>
      </c>
      <c r="M5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11" t="str">
        <f>DO_DB[[#This Row],[Material Pick-update]]&amp;"_"&amp;DO_DB[[#This Row],[Material Name]]</f>
        <v>45567_Pole 7M 3"</v>
      </c>
      <c r="O511" t="str">
        <f>DO_DB[[#This Row],[SiteID]]</f>
        <v>CLR31-04-060</v>
      </c>
      <c r="P511" t="str">
        <f>DO_DB[[#This Row],[SiteID]]&amp;"_"&amp;DO_DB[[#This Row],[Material Name]]</f>
        <v>CLR31-04-060_Pole 7M 3"</v>
      </c>
      <c r="Q511" t="str">
        <f>DO_DB[[#This Row],[DO Number]]</f>
        <v>DOEID240926C2</v>
      </c>
      <c r="R511" t="str">
        <f>DO_DB[[#This Row],[DN Number]]</f>
        <v>DNWID0362024092704</v>
      </c>
    </row>
    <row r="512" spans="1:18">
      <c r="A512" t="s">
        <v>2198</v>
      </c>
      <c r="B512" t="s">
        <v>2199</v>
      </c>
      <c r="C512" s="172" t="s">
        <v>4482</v>
      </c>
      <c r="D512" t="s">
        <v>71</v>
      </c>
      <c r="E512" t="s">
        <v>26</v>
      </c>
      <c r="F512" t="s">
        <v>3148</v>
      </c>
      <c r="G512" t="s">
        <v>2202</v>
      </c>
      <c r="H512" t="s">
        <v>2203</v>
      </c>
      <c r="I512" s="130">
        <v>45567</v>
      </c>
      <c r="J512" t="s">
        <v>15</v>
      </c>
      <c r="K512">
        <v>1</v>
      </c>
      <c r="M5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12" t="str">
        <f>DO_DB[[#This Row],[Material Pick-update]]&amp;"_"&amp;DO_DB[[#This Row],[Material Name]]</f>
        <v>45567_FDT-72</v>
      </c>
      <c r="O512" t="str">
        <f>DO_DB[[#This Row],[SiteID]]</f>
        <v>CLR31-04-060</v>
      </c>
      <c r="P512" t="str">
        <f>DO_DB[[#This Row],[SiteID]]&amp;"_"&amp;DO_DB[[#This Row],[Material Name]]</f>
        <v>CLR31-04-060_FDT-72</v>
      </c>
      <c r="Q512" t="str">
        <f>DO_DB[[#This Row],[DO Number]]</f>
        <v>DOEID240926C3</v>
      </c>
      <c r="R512" t="str">
        <f>DO_DB[[#This Row],[DN Number]]</f>
        <v>DNWID0342024092702</v>
      </c>
    </row>
    <row r="513" spans="1:18">
      <c r="A513" t="s">
        <v>2198</v>
      </c>
      <c r="B513" t="s">
        <v>2199</v>
      </c>
      <c r="C513" s="172" t="s">
        <v>4482</v>
      </c>
      <c r="D513" t="s">
        <v>71</v>
      </c>
      <c r="E513" t="s">
        <v>26</v>
      </c>
      <c r="F513" t="s">
        <v>3148</v>
      </c>
      <c r="G513" t="s">
        <v>2202</v>
      </c>
      <c r="H513" t="s">
        <v>2203</v>
      </c>
      <c r="I513" s="130">
        <v>45567</v>
      </c>
      <c r="J513" t="s">
        <v>13</v>
      </c>
      <c r="K513">
        <v>24</v>
      </c>
      <c r="M5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13" t="str">
        <f>DO_DB[[#This Row],[Material Pick-update]]&amp;"_"&amp;DO_DB[[#This Row],[Material Name]]</f>
        <v>45567_FAT-16</v>
      </c>
      <c r="O513" t="str">
        <f>DO_DB[[#This Row],[SiteID]]</f>
        <v>CLR31-04-060</v>
      </c>
      <c r="P513" t="str">
        <f>DO_DB[[#This Row],[SiteID]]&amp;"_"&amp;DO_DB[[#This Row],[Material Name]]</f>
        <v>CLR31-04-060_FAT-16</v>
      </c>
      <c r="Q513" t="str">
        <f>DO_DB[[#This Row],[DO Number]]</f>
        <v>DOEID240926C3</v>
      </c>
      <c r="R513" t="str">
        <f>DO_DB[[#This Row],[DN Number]]</f>
        <v>DNWID0342024092702</v>
      </c>
    </row>
    <row r="514" spans="1:18">
      <c r="A514" t="s">
        <v>2204</v>
      </c>
      <c r="B514" t="s">
        <v>2205</v>
      </c>
      <c r="C514" s="172" t="s">
        <v>4482</v>
      </c>
      <c r="D514" t="s">
        <v>71</v>
      </c>
      <c r="E514" t="s">
        <v>26</v>
      </c>
      <c r="F514" t="s">
        <v>3148</v>
      </c>
      <c r="G514" t="s">
        <v>2206</v>
      </c>
      <c r="H514" t="s">
        <v>2207</v>
      </c>
      <c r="I514" s="130">
        <v>45567</v>
      </c>
      <c r="J514" t="s">
        <v>3069</v>
      </c>
      <c r="K514">
        <v>20</v>
      </c>
      <c r="M5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14" t="str">
        <f>DO_DB[[#This Row],[Material Pick-update]]&amp;"_"&amp;DO_DB[[#This Row],[Material Name]]</f>
        <v>45567_Pole 7M 4"</v>
      </c>
      <c r="O514" t="str">
        <f>DO_DB[[#This Row],[SiteID]]</f>
        <v>CLR31-99-081</v>
      </c>
      <c r="P514" t="str">
        <f>DO_DB[[#This Row],[SiteID]]&amp;"_"&amp;DO_DB[[#This Row],[Material Name]]</f>
        <v>CLR31-99-081_Pole 7M 4"</v>
      </c>
      <c r="Q514" t="str">
        <f>DO_DB[[#This Row],[DO Number]]</f>
        <v>DOEID240926C4</v>
      </c>
      <c r="R514" t="str">
        <f>DO_DB[[#This Row],[DN Number]]</f>
        <v>DNWID0362024092705</v>
      </c>
    </row>
    <row r="515" spans="1:18">
      <c r="A515" t="s">
        <v>2204</v>
      </c>
      <c r="B515" t="s">
        <v>2205</v>
      </c>
      <c r="C515" s="172" t="s">
        <v>4482</v>
      </c>
      <c r="D515" t="s">
        <v>71</v>
      </c>
      <c r="E515" t="s">
        <v>26</v>
      </c>
      <c r="F515" t="s">
        <v>3148</v>
      </c>
      <c r="G515" t="s">
        <v>2206</v>
      </c>
      <c r="H515" t="s">
        <v>2207</v>
      </c>
      <c r="I515" s="130">
        <v>45567</v>
      </c>
      <c r="J515" t="s">
        <v>3070</v>
      </c>
      <c r="K515">
        <v>5</v>
      </c>
      <c r="M5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15" t="str">
        <f>DO_DB[[#This Row],[Material Pick-update]]&amp;"_"&amp;DO_DB[[#This Row],[Material Name]]</f>
        <v>45567_Pole 7M 3"</v>
      </c>
      <c r="O515" t="str">
        <f>DO_DB[[#This Row],[SiteID]]</f>
        <v>CLR31-99-081</v>
      </c>
      <c r="P515" t="str">
        <f>DO_DB[[#This Row],[SiteID]]&amp;"_"&amp;DO_DB[[#This Row],[Material Name]]</f>
        <v>CLR31-99-081_Pole 7M 3"</v>
      </c>
      <c r="Q515" t="str">
        <f>DO_DB[[#This Row],[DO Number]]</f>
        <v>DOEID240926C4</v>
      </c>
      <c r="R515" t="str">
        <f>DO_DB[[#This Row],[DN Number]]</f>
        <v>DNWID0362024092705</v>
      </c>
    </row>
    <row r="516" spans="1:18">
      <c r="A516" t="s">
        <v>2204</v>
      </c>
      <c r="B516" t="s">
        <v>2205</v>
      </c>
      <c r="C516" s="172" t="s">
        <v>4482</v>
      </c>
      <c r="D516" t="s">
        <v>71</v>
      </c>
      <c r="E516" t="s">
        <v>26</v>
      </c>
      <c r="F516" t="s">
        <v>3148</v>
      </c>
      <c r="G516" t="s">
        <v>2206</v>
      </c>
      <c r="H516" t="s">
        <v>2207</v>
      </c>
      <c r="I516" s="130">
        <v>45567</v>
      </c>
      <c r="J516" t="s">
        <v>3071</v>
      </c>
      <c r="K516">
        <v>2</v>
      </c>
      <c r="M5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16" t="str">
        <f>DO_DB[[#This Row],[Material Pick-update]]&amp;"_"&amp;DO_DB[[#This Row],[Material Name]]</f>
        <v>45567_Pole 9M</v>
      </c>
      <c r="O516" t="str">
        <f>DO_DB[[#This Row],[SiteID]]</f>
        <v>CLR31-99-081</v>
      </c>
      <c r="P516" t="str">
        <f>DO_DB[[#This Row],[SiteID]]&amp;"_"&amp;DO_DB[[#This Row],[Material Name]]</f>
        <v>CLR31-99-081_Pole 9M</v>
      </c>
      <c r="Q516" t="str">
        <f>DO_DB[[#This Row],[DO Number]]</f>
        <v>DOEID240926C4</v>
      </c>
      <c r="R516" t="str">
        <f>DO_DB[[#This Row],[DN Number]]</f>
        <v>DNWID0362024092705</v>
      </c>
    </row>
    <row r="517" spans="1:18">
      <c r="A517" t="s">
        <v>2204</v>
      </c>
      <c r="B517" t="s">
        <v>2205</v>
      </c>
      <c r="C517" s="172" t="s">
        <v>4482</v>
      </c>
      <c r="D517" t="s">
        <v>71</v>
      </c>
      <c r="E517" t="s">
        <v>26</v>
      </c>
      <c r="F517" t="s">
        <v>3148</v>
      </c>
      <c r="G517" t="s">
        <v>2206</v>
      </c>
      <c r="H517" t="s">
        <v>2207</v>
      </c>
      <c r="I517" s="130">
        <v>45567</v>
      </c>
      <c r="J517" t="s">
        <v>4856</v>
      </c>
      <c r="K517">
        <v>2</v>
      </c>
      <c r="M5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17" t="str">
        <f>DO_DB[[#This Row],[Material Pick-update]]&amp;"_"&amp;DO_DB[[#This Row],[Material Name]]</f>
        <v>45567_JC 144Core</v>
      </c>
      <c r="O517" t="str">
        <f>DO_DB[[#This Row],[SiteID]]</f>
        <v>CLR31-99-081</v>
      </c>
      <c r="P517" t="str">
        <f>DO_DB[[#This Row],[SiteID]]&amp;"_"&amp;DO_DB[[#This Row],[Material Name]]</f>
        <v>CLR31-99-081_JC 144Core</v>
      </c>
      <c r="Q517" t="str">
        <f>DO_DB[[#This Row],[DO Number]]</f>
        <v>DOEID240926C4</v>
      </c>
      <c r="R517" t="str">
        <f>DO_DB[[#This Row],[DN Number]]</f>
        <v>DNWID0362024092705</v>
      </c>
    </row>
    <row r="518" spans="1:18">
      <c r="A518" t="s">
        <v>2204</v>
      </c>
      <c r="B518" t="s">
        <v>2205</v>
      </c>
      <c r="C518" s="172" t="s">
        <v>4482</v>
      </c>
      <c r="D518" t="s">
        <v>71</v>
      </c>
      <c r="E518" t="s">
        <v>26</v>
      </c>
      <c r="F518" t="s">
        <v>3148</v>
      </c>
      <c r="G518" t="s">
        <v>2208</v>
      </c>
      <c r="H518" t="s">
        <v>2209</v>
      </c>
      <c r="I518" s="130">
        <v>45567</v>
      </c>
      <c r="J518" t="s">
        <v>15</v>
      </c>
      <c r="K518">
        <v>2</v>
      </c>
      <c r="M5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18" t="str">
        <f>DO_DB[[#This Row],[Material Pick-update]]&amp;"_"&amp;DO_DB[[#This Row],[Material Name]]</f>
        <v>45567_FDT-72</v>
      </c>
      <c r="O518" t="str">
        <f>DO_DB[[#This Row],[SiteID]]</f>
        <v>CLR31-99-081</v>
      </c>
      <c r="P518" t="str">
        <f>DO_DB[[#This Row],[SiteID]]&amp;"_"&amp;DO_DB[[#This Row],[Material Name]]</f>
        <v>CLR31-99-081_FDT-72</v>
      </c>
      <c r="Q518" t="str">
        <f>DO_DB[[#This Row],[DO Number]]</f>
        <v>DOEID240926C5</v>
      </c>
      <c r="R518" t="str">
        <f>DO_DB[[#This Row],[DN Number]]</f>
        <v>DNWID0342024092701</v>
      </c>
    </row>
    <row r="519" spans="1:18">
      <c r="A519" t="s">
        <v>2204</v>
      </c>
      <c r="B519" t="s">
        <v>2205</v>
      </c>
      <c r="C519" s="172" t="s">
        <v>4482</v>
      </c>
      <c r="D519" t="s">
        <v>71</v>
      </c>
      <c r="E519" t="s">
        <v>26</v>
      </c>
      <c r="F519" t="s">
        <v>3148</v>
      </c>
      <c r="G519" t="s">
        <v>2208</v>
      </c>
      <c r="H519" t="s">
        <v>2209</v>
      </c>
      <c r="I519" s="130">
        <v>45567</v>
      </c>
      <c r="J519" t="s">
        <v>13</v>
      </c>
      <c r="K519">
        <v>25</v>
      </c>
      <c r="M5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19" t="str">
        <f>DO_DB[[#This Row],[Material Pick-update]]&amp;"_"&amp;DO_DB[[#This Row],[Material Name]]</f>
        <v>45567_FAT-16</v>
      </c>
      <c r="O519" t="str">
        <f>DO_DB[[#This Row],[SiteID]]</f>
        <v>CLR31-99-081</v>
      </c>
      <c r="P519" t="str">
        <f>DO_DB[[#This Row],[SiteID]]&amp;"_"&amp;DO_DB[[#This Row],[Material Name]]</f>
        <v>CLR31-99-081_FAT-16</v>
      </c>
      <c r="Q519" t="str">
        <f>DO_DB[[#This Row],[DO Number]]</f>
        <v>DOEID240926C5</v>
      </c>
      <c r="R519" t="str">
        <f>DO_DB[[#This Row],[DN Number]]</f>
        <v>DNWID0342024092701</v>
      </c>
    </row>
    <row r="520" spans="1:18">
      <c r="A520" t="s">
        <v>1519</v>
      </c>
      <c r="B520" t="s">
        <v>1520</v>
      </c>
      <c r="C520" s="172" t="s">
        <v>4482</v>
      </c>
      <c r="D520" t="s">
        <v>71</v>
      </c>
      <c r="E520" t="s">
        <v>26</v>
      </c>
      <c r="F520" t="s">
        <v>3148</v>
      </c>
      <c r="G520" t="s">
        <v>2250</v>
      </c>
      <c r="H520" t="s">
        <v>2251</v>
      </c>
      <c r="I520" s="130">
        <v>45575</v>
      </c>
      <c r="J520" t="s">
        <v>4856</v>
      </c>
      <c r="K520">
        <v>1</v>
      </c>
      <c r="M5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20" t="str">
        <f>DO_DB[[#This Row],[Material Pick-update]]&amp;"_"&amp;DO_DB[[#This Row],[Material Name]]</f>
        <v>45575_JC 144Core</v>
      </c>
      <c r="O520" t="str">
        <f>DO_DB[[#This Row],[SiteID]]</f>
        <v>MF31-04</v>
      </c>
      <c r="P520" t="str">
        <f>DO_DB[[#This Row],[SiteID]]&amp;"_"&amp;DO_DB[[#This Row],[Material Name]]</f>
        <v>MF31-04_JC 144Core</v>
      </c>
      <c r="Q520" t="str">
        <f>DO_DB[[#This Row],[DO Number]]</f>
        <v>DOEID24101008</v>
      </c>
      <c r="R520" t="str">
        <f>DO_DB[[#This Row],[DN Number]]</f>
        <v>DNWID0362024101006</v>
      </c>
    </row>
    <row r="521" spans="1:18">
      <c r="A521" t="s">
        <v>1529</v>
      </c>
      <c r="B521" t="s">
        <v>1530</v>
      </c>
      <c r="C521" s="172" t="s">
        <v>4482</v>
      </c>
      <c r="D521" t="s">
        <v>71</v>
      </c>
      <c r="E521" t="s">
        <v>26</v>
      </c>
      <c r="F521" t="s">
        <v>3148</v>
      </c>
      <c r="G521" t="s">
        <v>2254</v>
      </c>
      <c r="H521" t="s">
        <v>2255</v>
      </c>
      <c r="I521" s="130">
        <v>45575</v>
      </c>
      <c r="J521" t="s">
        <v>4856</v>
      </c>
      <c r="K521">
        <v>1</v>
      </c>
      <c r="M5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21" t="str">
        <f>DO_DB[[#This Row],[Material Pick-update]]&amp;"_"&amp;DO_DB[[#This Row],[Material Name]]</f>
        <v>45575_JC 144Core</v>
      </c>
      <c r="O521" t="str">
        <f>DO_DB[[#This Row],[SiteID]]</f>
        <v>MF31-01</v>
      </c>
      <c r="P521" t="str">
        <f>DO_DB[[#This Row],[SiteID]]&amp;"_"&amp;DO_DB[[#This Row],[Material Name]]</f>
        <v>MF31-01_JC 144Core</v>
      </c>
      <c r="Q521" t="str">
        <f>DO_DB[[#This Row],[DO Number]]</f>
        <v>DOEID24101009</v>
      </c>
      <c r="R521" t="str">
        <f>DO_DB[[#This Row],[DN Number]]</f>
        <v>DNWID0362024101007</v>
      </c>
    </row>
    <row r="522" spans="1:18">
      <c r="A522" t="s">
        <v>1513</v>
      </c>
      <c r="B522" t="s">
        <v>1514</v>
      </c>
      <c r="C522" s="172" t="s">
        <v>4482</v>
      </c>
      <c r="D522" t="s">
        <v>71</v>
      </c>
      <c r="E522" t="s">
        <v>26</v>
      </c>
      <c r="F522" t="s">
        <v>3148</v>
      </c>
      <c r="G522" t="s">
        <v>2248</v>
      </c>
      <c r="H522" t="s">
        <v>2249</v>
      </c>
      <c r="I522" s="130">
        <v>45575</v>
      </c>
      <c r="J522" t="s">
        <v>4856</v>
      </c>
      <c r="K522">
        <v>5</v>
      </c>
      <c r="M5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22" t="str">
        <f>DO_DB[[#This Row],[Material Pick-update]]&amp;"_"&amp;DO_DB[[#This Row],[Material Name]]</f>
        <v>45575_JC 144Core</v>
      </c>
      <c r="O522" t="str">
        <f>DO_DB[[#This Row],[SiteID]]</f>
        <v>MF31-02</v>
      </c>
      <c r="P522" t="str">
        <f>DO_DB[[#This Row],[SiteID]]&amp;"_"&amp;DO_DB[[#This Row],[Material Name]]</f>
        <v>MF31-02_JC 144Core</v>
      </c>
      <c r="Q522" t="str">
        <f>DO_DB[[#This Row],[DO Number]]</f>
        <v>DOEID24101010</v>
      </c>
      <c r="R522" t="str">
        <f>DO_DB[[#This Row],[DN Number]]</f>
        <v>DNWID0362024101008</v>
      </c>
    </row>
    <row r="523" spans="1:18">
      <c r="A523" t="s">
        <v>1655</v>
      </c>
      <c r="B523" t="s">
        <v>1656</v>
      </c>
      <c r="C523" s="172" t="s">
        <v>4482</v>
      </c>
      <c r="D523" t="s">
        <v>71</v>
      </c>
      <c r="E523" t="s">
        <v>26</v>
      </c>
      <c r="F523" t="s">
        <v>3148</v>
      </c>
      <c r="G523" t="s">
        <v>2252</v>
      </c>
      <c r="H523" t="s">
        <v>2253</v>
      </c>
      <c r="I523" s="130">
        <v>45575</v>
      </c>
      <c r="J523" t="s">
        <v>4856</v>
      </c>
      <c r="K523">
        <v>1</v>
      </c>
      <c r="M5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23" t="str">
        <f>DO_DB[[#This Row],[Material Pick-update]]&amp;"_"&amp;DO_DB[[#This Row],[Material Name]]</f>
        <v>45575_JC 144Core</v>
      </c>
      <c r="O523" t="str">
        <f>DO_DB[[#This Row],[SiteID]]</f>
        <v>MF31-05</v>
      </c>
      <c r="P523" t="str">
        <f>DO_DB[[#This Row],[SiteID]]&amp;"_"&amp;DO_DB[[#This Row],[Material Name]]</f>
        <v>MF31-05_JC 144Core</v>
      </c>
      <c r="Q523" t="str">
        <f>DO_DB[[#This Row],[DO Number]]</f>
        <v>DOEID24101012</v>
      </c>
      <c r="R523" t="str">
        <f>DO_DB[[#This Row],[DN Number]]</f>
        <v>DNWID0362024101009</v>
      </c>
    </row>
    <row r="524" spans="1:18">
      <c r="A524" t="s">
        <v>2244</v>
      </c>
      <c r="B524" t="s">
        <v>2245</v>
      </c>
      <c r="C524" s="172" t="s">
        <v>4482</v>
      </c>
      <c r="D524" t="s">
        <v>71</v>
      </c>
      <c r="E524" t="s">
        <v>26</v>
      </c>
      <c r="F524" t="s">
        <v>3148</v>
      </c>
      <c r="G524" t="s">
        <v>2246</v>
      </c>
      <c r="H524" t="s">
        <v>2247</v>
      </c>
      <c r="I524" s="130">
        <v>45575</v>
      </c>
      <c r="J524" t="s">
        <v>3073</v>
      </c>
      <c r="K524">
        <v>3000</v>
      </c>
      <c r="M5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24C-20241010-01</v>
      </c>
      <c r="N524" t="str">
        <f>DO_DB[[#This Row],[Material Pick-update]]&amp;"_"&amp;DO_DB[[#This Row],[Material Name]]</f>
        <v>45575_ADSS 24C</v>
      </c>
      <c r="O524" t="str">
        <f>DO_DB[[#This Row],[SiteID]]</f>
        <v>CLR31-09-001</v>
      </c>
      <c r="P524" t="str">
        <f>DO_DB[[#This Row],[SiteID]]&amp;"_"&amp;DO_DB[[#This Row],[Material Name]]</f>
        <v>CLR31-09-001_ADSS 24C</v>
      </c>
      <c r="Q524" t="str">
        <f>DO_DB[[#This Row],[DO Number]]</f>
        <v>DOEID24100907</v>
      </c>
      <c r="R524" t="str">
        <f>DO_DB[[#This Row],[DN Number]]</f>
        <v>DNWID0342024101001</v>
      </c>
    </row>
    <row r="525" spans="1:18">
      <c r="A525" t="s">
        <v>2256</v>
      </c>
      <c r="B525" t="s">
        <v>2257</v>
      </c>
      <c r="C525" s="172" t="s">
        <v>4482</v>
      </c>
      <c r="D525" t="s">
        <v>71</v>
      </c>
      <c r="E525" t="s">
        <v>26</v>
      </c>
      <c r="F525" t="s">
        <v>3148</v>
      </c>
      <c r="G525" t="s">
        <v>2258</v>
      </c>
      <c r="H525" t="s">
        <v>2259</v>
      </c>
      <c r="I525" s="130">
        <v>45575</v>
      </c>
      <c r="J525" t="s">
        <v>3073</v>
      </c>
      <c r="K525">
        <v>3000</v>
      </c>
      <c r="M5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24C-20241010-01</v>
      </c>
      <c r="N525" t="str">
        <f>DO_DB[[#This Row],[Material Pick-update]]&amp;"_"&amp;DO_DB[[#This Row],[Material Name]]</f>
        <v>45575_ADSS 24C</v>
      </c>
      <c r="O525" t="str">
        <f>DO_DB[[#This Row],[SiteID]]</f>
        <v>CLR31-09-002</v>
      </c>
      <c r="P525" t="str">
        <f>DO_DB[[#This Row],[SiteID]]&amp;"_"&amp;DO_DB[[#This Row],[Material Name]]</f>
        <v>CLR31-09-002_ADSS 24C</v>
      </c>
      <c r="Q525" t="str">
        <f>DO_DB[[#This Row],[DO Number]]</f>
        <v>DOEID24100909</v>
      </c>
      <c r="R525" t="str">
        <f>DO_DB[[#This Row],[DN Number]]</f>
        <v>DNWID0342024101003</v>
      </c>
    </row>
    <row r="526" spans="1:18">
      <c r="A526" t="s">
        <v>2240</v>
      </c>
      <c r="B526" t="s">
        <v>2241</v>
      </c>
      <c r="C526" s="172" t="s">
        <v>4482</v>
      </c>
      <c r="D526" t="s">
        <v>71</v>
      </c>
      <c r="E526" t="s">
        <v>26</v>
      </c>
      <c r="F526" t="s">
        <v>3148</v>
      </c>
      <c r="G526" t="s">
        <v>2260</v>
      </c>
      <c r="H526" t="s">
        <v>2261</v>
      </c>
      <c r="I526" s="130">
        <v>45575</v>
      </c>
      <c r="J526" t="s">
        <v>3073</v>
      </c>
      <c r="K526">
        <v>3000</v>
      </c>
      <c r="M5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24C-20241010-01</v>
      </c>
      <c r="N526" t="str">
        <f>DO_DB[[#This Row],[Material Pick-update]]&amp;"_"&amp;DO_DB[[#This Row],[Material Name]]</f>
        <v>45575_ADSS 24C</v>
      </c>
      <c r="O526" t="str">
        <f>DO_DB[[#This Row],[SiteID]]</f>
        <v>CLR31-09-003</v>
      </c>
      <c r="P526" t="str">
        <f>DO_DB[[#This Row],[SiteID]]&amp;"_"&amp;DO_DB[[#This Row],[Material Name]]</f>
        <v>CLR31-09-003_ADSS 24C</v>
      </c>
      <c r="Q526" t="str">
        <f>DO_DB[[#This Row],[DO Number]]</f>
        <v>DOEID24100911</v>
      </c>
      <c r="R526" t="str">
        <f>DO_DB[[#This Row],[DN Number]]</f>
        <v>DNWID0342024101002</v>
      </c>
    </row>
    <row r="527" spans="1:18">
      <c r="A527" t="s">
        <v>2240</v>
      </c>
      <c r="B527" t="s">
        <v>2241</v>
      </c>
      <c r="C527" s="172" t="s">
        <v>4482</v>
      </c>
      <c r="D527" t="s">
        <v>71</v>
      </c>
      <c r="E527" t="s">
        <v>26</v>
      </c>
      <c r="F527" t="s">
        <v>3148</v>
      </c>
      <c r="G527" t="s">
        <v>2260</v>
      </c>
      <c r="H527" t="s">
        <v>2261</v>
      </c>
      <c r="I527" s="130">
        <v>45575</v>
      </c>
      <c r="J527" t="s">
        <v>3075</v>
      </c>
      <c r="K527">
        <v>3000</v>
      </c>
      <c r="M5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48C-20241010-01</v>
      </c>
      <c r="N527" t="str">
        <f>DO_DB[[#This Row],[Material Pick-update]]&amp;"_"&amp;DO_DB[[#This Row],[Material Name]]</f>
        <v>45575_ADSS 48C</v>
      </c>
      <c r="O527" t="str">
        <f>DO_DB[[#This Row],[SiteID]]</f>
        <v>CLR31-09-003</v>
      </c>
      <c r="P527" t="str">
        <f>DO_DB[[#This Row],[SiteID]]&amp;"_"&amp;DO_DB[[#This Row],[Material Name]]</f>
        <v>CLR31-09-003_ADSS 48C</v>
      </c>
      <c r="Q527" t="str">
        <f>DO_DB[[#This Row],[DO Number]]</f>
        <v>DOEID24100911</v>
      </c>
      <c r="R527" t="str">
        <f>DO_DB[[#This Row],[DN Number]]</f>
        <v>DNWID0342024101002</v>
      </c>
    </row>
    <row r="528" spans="1:18">
      <c r="A528" t="s">
        <v>2262</v>
      </c>
      <c r="B528" t="s">
        <v>2263</v>
      </c>
      <c r="C528" s="172" t="s">
        <v>4482</v>
      </c>
      <c r="D528" t="s">
        <v>71</v>
      </c>
      <c r="E528" t="s">
        <v>26</v>
      </c>
      <c r="F528" t="s">
        <v>3148</v>
      </c>
      <c r="G528" t="s">
        <v>2264</v>
      </c>
      <c r="H528" t="s">
        <v>2265</v>
      </c>
      <c r="I528" s="130">
        <v>45575</v>
      </c>
      <c r="J528" t="s">
        <v>3075</v>
      </c>
      <c r="K528">
        <v>6000</v>
      </c>
      <c r="M5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48C-20241010-01</v>
      </c>
      <c r="N528" t="str">
        <f>DO_DB[[#This Row],[Material Pick-update]]&amp;"_"&amp;DO_DB[[#This Row],[Material Name]]</f>
        <v>45575_ADSS 48C</v>
      </c>
      <c r="O528" t="str">
        <f>DO_DB[[#This Row],[SiteID]]</f>
        <v>CLR31-06-010</v>
      </c>
      <c r="P528" t="str">
        <f>DO_DB[[#This Row],[SiteID]]&amp;"_"&amp;DO_DB[[#This Row],[Material Name]]</f>
        <v>CLR31-06-010_ADSS 48C</v>
      </c>
      <c r="Q528" t="str">
        <f>DO_DB[[#This Row],[DO Number]]</f>
        <v>DOEID24100913</v>
      </c>
      <c r="R528" t="str">
        <f>DO_DB[[#This Row],[DN Number]]</f>
        <v>DNWID0342024101005</v>
      </c>
    </row>
    <row r="529" spans="1:18">
      <c r="A529" t="s">
        <v>2270</v>
      </c>
      <c r="B529" t="s">
        <v>2271</v>
      </c>
      <c r="C529" s="172" t="s">
        <v>4482</v>
      </c>
      <c r="D529" t="s">
        <v>71</v>
      </c>
      <c r="E529" t="s">
        <v>26</v>
      </c>
      <c r="F529" t="s">
        <v>3148</v>
      </c>
      <c r="G529" t="s">
        <v>2276</v>
      </c>
      <c r="H529" t="s">
        <v>2277</v>
      </c>
      <c r="I529" s="130">
        <v>45575</v>
      </c>
      <c r="J529" t="s">
        <v>3075</v>
      </c>
      <c r="K529">
        <v>6000</v>
      </c>
      <c r="M5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48C-20241010-01</v>
      </c>
      <c r="N529" t="str">
        <f>DO_DB[[#This Row],[Material Pick-update]]&amp;"_"&amp;DO_DB[[#This Row],[Material Name]]</f>
        <v>45575_ADSS 48C</v>
      </c>
      <c r="O529" t="str">
        <f>DO_DB[[#This Row],[SiteID]]</f>
        <v>CLR31-04-059</v>
      </c>
      <c r="P529" t="str">
        <f>DO_DB[[#This Row],[SiteID]]&amp;"_"&amp;DO_DB[[#This Row],[Material Name]]</f>
        <v>CLR31-04-059_ADSS 48C</v>
      </c>
      <c r="Q529" t="str">
        <f>DO_DB[[#This Row],[DO Number]]</f>
        <v>DOEID24100915</v>
      </c>
      <c r="R529" t="str">
        <f>DO_DB[[#This Row],[DN Number]]</f>
        <v>DNWID0342024101004</v>
      </c>
    </row>
    <row r="530" spans="1:18">
      <c r="A530" t="s">
        <v>2244</v>
      </c>
      <c r="B530" t="s">
        <v>2245</v>
      </c>
      <c r="C530" s="172" t="s">
        <v>4482</v>
      </c>
      <c r="D530" t="s">
        <v>71</v>
      </c>
      <c r="E530" t="s">
        <v>26</v>
      </c>
      <c r="F530" t="s">
        <v>3148</v>
      </c>
      <c r="G530" t="s">
        <v>2274</v>
      </c>
      <c r="H530" t="s">
        <v>2275</v>
      </c>
      <c r="I530" s="130">
        <v>45575</v>
      </c>
      <c r="J530" t="s">
        <v>3069</v>
      </c>
      <c r="K530">
        <v>25</v>
      </c>
      <c r="M5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30" t="str">
        <f>DO_DB[[#This Row],[Material Pick-update]]&amp;"_"&amp;DO_DB[[#This Row],[Material Name]]</f>
        <v>45575_Pole 7M 4"</v>
      </c>
      <c r="O530" t="str">
        <f>DO_DB[[#This Row],[SiteID]]</f>
        <v>CLR31-09-001</v>
      </c>
      <c r="P530" t="str">
        <f>DO_DB[[#This Row],[SiteID]]&amp;"_"&amp;DO_DB[[#This Row],[Material Name]]</f>
        <v>CLR31-09-001_Pole 7M 4"</v>
      </c>
      <c r="Q530" t="str">
        <f>DO_DB[[#This Row],[DO Number]]</f>
        <v>DOEID24100906</v>
      </c>
      <c r="R530" t="str">
        <f>DO_DB[[#This Row],[DN Number]]</f>
        <v>DNWID0362024101001</v>
      </c>
    </row>
    <row r="531" spans="1:18">
      <c r="A531" t="s">
        <v>2244</v>
      </c>
      <c r="B531" t="s">
        <v>2245</v>
      </c>
      <c r="C531" s="172" t="s">
        <v>4482</v>
      </c>
      <c r="D531" t="s">
        <v>71</v>
      </c>
      <c r="E531" t="s">
        <v>26</v>
      </c>
      <c r="F531" t="s">
        <v>3148</v>
      </c>
      <c r="G531" t="s">
        <v>2274</v>
      </c>
      <c r="H531" t="s">
        <v>2275</v>
      </c>
      <c r="I531" s="130">
        <v>45575</v>
      </c>
      <c r="J531" t="s">
        <v>4856</v>
      </c>
      <c r="K531">
        <v>1</v>
      </c>
      <c r="M5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31" t="str">
        <f>DO_DB[[#This Row],[Material Pick-update]]&amp;"_"&amp;DO_DB[[#This Row],[Material Name]]</f>
        <v>45575_JC 144Core</v>
      </c>
      <c r="O531" t="str">
        <f>DO_DB[[#This Row],[SiteID]]</f>
        <v>CLR31-09-001</v>
      </c>
      <c r="P531" t="str">
        <f>DO_DB[[#This Row],[SiteID]]&amp;"_"&amp;DO_DB[[#This Row],[Material Name]]</f>
        <v>CLR31-09-001_JC 144Core</v>
      </c>
      <c r="Q531" t="str">
        <f>DO_DB[[#This Row],[DO Number]]</f>
        <v>DOEID24100906</v>
      </c>
      <c r="R531" t="str">
        <f>DO_DB[[#This Row],[DN Number]]</f>
        <v>DNWID0362024101001</v>
      </c>
    </row>
    <row r="532" spans="1:18">
      <c r="A532" t="s">
        <v>2244</v>
      </c>
      <c r="B532" t="s">
        <v>2245</v>
      </c>
      <c r="C532" s="172" t="s">
        <v>4482</v>
      </c>
      <c r="D532" t="s">
        <v>71</v>
      </c>
      <c r="E532" t="s">
        <v>26</v>
      </c>
      <c r="F532" t="s">
        <v>3148</v>
      </c>
      <c r="G532" t="s">
        <v>2246</v>
      </c>
      <c r="H532" t="s">
        <v>2247</v>
      </c>
      <c r="I532" s="130">
        <v>45575</v>
      </c>
      <c r="J532" t="s">
        <v>15</v>
      </c>
      <c r="K532">
        <v>1</v>
      </c>
      <c r="M5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32" t="str">
        <f>DO_DB[[#This Row],[Material Pick-update]]&amp;"_"&amp;DO_DB[[#This Row],[Material Name]]</f>
        <v>45575_FDT-72</v>
      </c>
      <c r="O532" t="str">
        <f>DO_DB[[#This Row],[SiteID]]</f>
        <v>CLR31-09-001</v>
      </c>
      <c r="P532" t="str">
        <f>DO_DB[[#This Row],[SiteID]]&amp;"_"&amp;DO_DB[[#This Row],[Material Name]]</f>
        <v>CLR31-09-001_FDT-72</v>
      </c>
      <c r="Q532" t="str">
        <f>DO_DB[[#This Row],[DO Number]]</f>
        <v>DOEID24100907</v>
      </c>
      <c r="R532" t="str">
        <f>DO_DB[[#This Row],[DN Number]]</f>
        <v>DNWID0342024101001</v>
      </c>
    </row>
    <row r="533" spans="1:18">
      <c r="A533" t="s">
        <v>2244</v>
      </c>
      <c r="B533" t="s">
        <v>2245</v>
      </c>
      <c r="C533" s="172" t="s">
        <v>4482</v>
      </c>
      <c r="D533" t="s">
        <v>71</v>
      </c>
      <c r="E533" t="s">
        <v>26</v>
      </c>
      <c r="F533" t="s">
        <v>3148</v>
      </c>
      <c r="G533" t="s">
        <v>2246</v>
      </c>
      <c r="H533" t="s">
        <v>2247</v>
      </c>
      <c r="I533" s="130">
        <v>45575</v>
      </c>
      <c r="J533" t="s">
        <v>13</v>
      </c>
      <c r="K533">
        <v>14</v>
      </c>
      <c r="M5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33" t="str">
        <f>DO_DB[[#This Row],[Material Pick-update]]&amp;"_"&amp;DO_DB[[#This Row],[Material Name]]</f>
        <v>45575_FAT-16</v>
      </c>
      <c r="O533" t="str">
        <f>DO_DB[[#This Row],[SiteID]]</f>
        <v>CLR31-09-001</v>
      </c>
      <c r="P533" t="str">
        <f>DO_DB[[#This Row],[SiteID]]&amp;"_"&amp;DO_DB[[#This Row],[Material Name]]</f>
        <v>CLR31-09-001_FAT-16</v>
      </c>
      <c r="Q533" t="str">
        <f>DO_DB[[#This Row],[DO Number]]</f>
        <v>DOEID24100907</v>
      </c>
      <c r="R533" t="str">
        <f>DO_DB[[#This Row],[DN Number]]</f>
        <v>DNWID0342024101001</v>
      </c>
    </row>
    <row r="534" spans="1:18">
      <c r="A534" t="s">
        <v>2256</v>
      </c>
      <c r="B534" t="s">
        <v>2257</v>
      </c>
      <c r="C534" s="172" t="s">
        <v>4482</v>
      </c>
      <c r="D534" t="s">
        <v>71</v>
      </c>
      <c r="E534" t="s">
        <v>26</v>
      </c>
      <c r="F534" t="s">
        <v>3148</v>
      </c>
      <c r="G534" t="s">
        <v>2266</v>
      </c>
      <c r="H534" t="s">
        <v>2267</v>
      </c>
      <c r="I534" s="130">
        <v>45575</v>
      </c>
      <c r="J534" t="s">
        <v>3069</v>
      </c>
      <c r="K534">
        <v>54</v>
      </c>
      <c r="M5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34" t="str">
        <f>DO_DB[[#This Row],[Material Pick-update]]&amp;"_"&amp;DO_DB[[#This Row],[Material Name]]</f>
        <v>45575_Pole 7M 4"</v>
      </c>
      <c r="O534" t="str">
        <f>DO_DB[[#This Row],[SiteID]]</f>
        <v>CLR31-09-002</v>
      </c>
      <c r="P534" t="str">
        <f>DO_DB[[#This Row],[SiteID]]&amp;"_"&amp;DO_DB[[#This Row],[Material Name]]</f>
        <v>CLR31-09-002_Pole 7M 4"</v>
      </c>
      <c r="Q534" t="str">
        <f>DO_DB[[#This Row],[DO Number]]</f>
        <v>DOEID24100908</v>
      </c>
      <c r="R534" t="str">
        <f>DO_DB[[#This Row],[DN Number]]</f>
        <v>DNWID0362024101002</v>
      </c>
    </row>
    <row r="535" spans="1:18">
      <c r="A535" t="s">
        <v>2256</v>
      </c>
      <c r="B535" t="s">
        <v>2257</v>
      </c>
      <c r="C535" s="172" t="s">
        <v>4482</v>
      </c>
      <c r="D535" t="s">
        <v>71</v>
      </c>
      <c r="E535" t="s">
        <v>26</v>
      </c>
      <c r="F535" t="s">
        <v>3148</v>
      </c>
      <c r="G535" t="s">
        <v>2266</v>
      </c>
      <c r="H535" t="s">
        <v>2267</v>
      </c>
      <c r="I535" s="130">
        <v>45575</v>
      </c>
      <c r="J535" t="s">
        <v>4856</v>
      </c>
      <c r="K535">
        <v>1</v>
      </c>
      <c r="M5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35" t="str">
        <f>DO_DB[[#This Row],[Material Pick-update]]&amp;"_"&amp;DO_DB[[#This Row],[Material Name]]</f>
        <v>45575_JC 144Core</v>
      </c>
      <c r="O535" t="str">
        <f>DO_DB[[#This Row],[SiteID]]</f>
        <v>CLR31-09-002</v>
      </c>
      <c r="P535" t="str">
        <f>DO_DB[[#This Row],[SiteID]]&amp;"_"&amp;DO_DB[[#This Row],[Material Name]]</f>
        <v>CLR31-09-002_JC 144Core</v>
      </c>
      <c r="Q535" t="str">
        <f>DO_DB[[#This Row],[DO Number]]</f>
        <v>DOEID24100908</v>
      </c>
      <c r="R535" t="str">
        <f>DO_DB[[#This Row],[DN Number]]</f>
        <v>DNWID0362024101002</v>
      </c>
    </row>
    <row r="536" spans="1:18">
      <c r="A536" t="s">
        <v>2256</v>
      </c>
      <c r="B536" t="s">
        <v>2257</v>
      </c>
      <c r="C536" s="172" t="s">
        <v>4482</v>
      </c>
      <c r="D536" t="s">
        <v>71</v>
      </c>
      <c r="E536" t="s">
        <v>26</v>
      </c>
      <c r="F536" t="s">
        <v>3148</v>
      </c>
      <c r="G536" t="s">
        <v>2258</v>
      </c>
      <c r="H536" t="s">
        <v>2259</v>
      </c>
      <c r="I536" s="130">
        <v>45575</v>
      </c>
      <c r="J536" t="s">
        <v>13</v>
      </c>
      <c r="K536">
        <v>22</v>
      </c>
      <c r="M5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36" t="str">
        <f>DO_DB[[#This Row],[Material Pick-update]]&amp;"_"&amp;DO_DB[[#This Row],[Material Name]]</f>
        <v>45575_FAT-16</v>
      </c>
      <c r="O536" t="str">
        <f>DO_DB[[#This Row],[SiteID]]</f>
        <v>CLR31-09-002</v>
      </c>
      <c r="P536" t="str">
        <f>DO_DB[[#This Row],[SiteID]]&amp;"_"&amp;DO_DB[[#This Row],[Material Name]]</f>
        <v>CLR31-09-002_FAT-16</v>
      </c>
      <c r="Q536" t="str">
        <f>DO_DB[[#This Row],[DO Number]]</f>
        <v>DOEID24100909</v>
      </c>
      <c r="R536" t="str">
        <f>DO_DB[[#This Row],[DN Number]]</f>
        <v>DNWID0342024101003</v>
      </c>
    </row>
    <row r="537" spans="1:18">
      <c r="A537" t="s">
        <v>2240</v>
      </c>
      <c r="B537" t="s">
        <v>2241</v>
      </c>
      <c r="C537" s="172" t="s">
        <v>4482</v>
      </c>
      <c r="D537" t="s">
        <v>71</v>
      </c>
      <c r="E537" t="s">
        <v>26</v>
      </c>
      <c r="F537" t="s">
        <v>3148</v>
      </c>
      <c r="G537" t="s">
        <v>2242</v>
      </c>
      <c r="H537" t="s">
        <v>2243</v>
      </c>
      <c r="I537" s="130">
        <v>45575</v>
      </c>
      <c r="J537" t="s">
        <v>3069</v>
      </c>
      <c r="K537">
        <v>53</v>
      </c>
      <c r="M5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37" t="str">
        <f>DO_DB[[#This Row],[Material Pick-update]]&amp;"_"&amp;DO_DB[[#This Row],[Material Name]]</f>
        <v>45575_Pole 7M 4"</v>
      </c>
      <c r="O537" t="str">
        <f>DO_DB[[#This Row],[SiteID]]</f>
        <v>CLR31-09-003</v>
      </c>
      <c r="P537" t="str">
        <f>DO_DB[[#This Row],[SiteID]]&amp;"_"&amp;DO_DB[[#This Row],[Material Name]]</f>
        <v>CLR31-09-003_Pole 7M 4"</v>
      </c>
      <c r="Q537" t="str">
        <f>DO_DB[[#This Row],[DO Number]]</f>
        <v>DOEID24100910</v>
      </c>
      <c r="R537" t="str">
        <f>DO_DB[[#This Row],[DN Number]]</f>
        <v>DNWID0362024101005</v>
      </c>
    </row>
    <row r="538" spans="1:18">
      <c r="A538" t="s">
        <v>2240</v>
      </c>
      <c r="B538" t="s">
        <v>2241</v>
      </c>
      <c r="C538" s="172" t="s">
        <v>4482</v>
      </c>
      <c r="D538" t="s">
        <v>71</v>
      </c>
      <c r="E538" t="s">
        <v>26</v>
      </c>
      <c r="F538" t="s">
        <v>3148</v>
      </c>
      <c r="G538" t="s">
        <v>2260</v>
      </c>
      <c r="H538" t="s">
        <v>2261</v>
      </c>
      <c r="I538" s="130">
        <v>45575</v>
      </c>
      <c r="J538" t="s">
        <v>13</v>
      </c>
      <c r="K538">
        <v>23</v>
      </c>
      <c r="M5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38" t="str">
        <f>DO_DB[[#This Row],[Material Pick-update]]&amp;"_"&amp;DO_DB[[#This Row],[Material Name]]</f>
        <v>45575_FAT-16</v>
      </c>
      <c r="O538" t="str">
        <f>DO_DB[[#This Row],[SiteID]]</f>
        <v>CLR31-09-003</v>
      </c>
      <c r="P538" t="str">
        <f>DO_DB[[#This Row],[SiteID]]&amp;"_"&amp;DO_DB[[#This Row],[Material Name]]</f>
        <v>CLR31-09-003_FAT-16</v>
      </c>
      <c r="Q538" t="str">
        <f>DO_DB[[#This Row],[DO Number]]</f>
        <v>DOEID24100911</v>
      </c>
      <c r="R538" t="str">
        <f>DO_DB[[#This Row],[DN Number]]</f>
        <v>DNWID0342024101002</v>
      </c>
    </row>
    <row r="539" spans="1:18">
      <c r="A539" t="s">
        <v>2262</v>
      </c>
      <c r="B539" t="s">
        <v>2263</v>
      </c>
      <c r="C539" s="172" t="s">
        <v>4482</v>
      </c>
      <c r="D539" t="s">
        <v>71</v>
      </c>
      <c r="E539" t="s">
        <v>26</v>
      </c>
      <c r="F539" t="s">
        <v>3148</v>
      </c>
      <c r="G539" t="s">
        <v>2268</v>
      </c>
      <c r="H539" t="s">
        <v>2269</v>
      </c>
      <c r="I539" s="130">
        <v>45575</v>
      </c>
      <c r="J539" t="s">
        <v>3069</v>
      </c>
      <c r="K539">
        <v>90</v>
      </c>
      <c r="M5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39" t="str">
        <f>DO_DB[[#This Row],[Material Pick-update]]&amp;"_"&amp;DO_DB[[#This Row],[Material Name]]</f>
        <v>45575_Pole 7M 4"</v>
      </c>
      <c r="O539" t="str">
        <f>DO_DB[[#This Row],[SiteID]]</f>
        <v>CLR31-06-010</v>
      </c>
      <c r="P539" t="str">
        <f>DO_DB[[#This Row],[SiteID]]&amp;"_"&amp;DO_DB[[#This Row],[Material Name]]</f>
        <v>CLR31-06-010_Pole 7M 4"</v>
      </c>
      <c r="Q539" t="str">
        <f>DO_DB[[#This Row],[DO Number]]</f>
        <v>DOEID24100912</v>
      </c>
      <c r="R539" t="str">
        <f>DO_DB[[#This Row],[DN Number]]</f>
        <v>DNWID0362024101004</v>
      </c>
    </row>
    <row r="540" spans="1:18">
      <c r="A540" t="s">
        <v>2262</v>
      </c>
      <c r="B540" t="s">
        <v>2263</v>
      </c>
      <c r="C540" s="172" t="s">
        <v>4482</v>
      </c>
      <c r="D540" t="s">
        <v>71</v>
      </c>
      <c r="E540" t="s">
        <v>26</v>
      </c>
      <c r="F540" t="s">
        <v>3148</v>
      </c>
      <c r="G540" t="s">
        <v>2268</v>
      </c>
      <c r="H540" t="s">
        <v>2269</v>
      </c>
      <c r="I540" s="130">
        <v>45575</v>
      </c>
      <c r="J540" t="s">
        <v>4856</v>
      </c>
      <c r="K540">
        <v>1</v>
      </c>
      <c r="M5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40" t="str">
        <f>DO_DB[[#This Row],[Material Pick-update]]&amp;"_"&amp;DO_DB[[#This Row],[Material Name]]</f>
        <v>45575_JC 144Core</v>
      </c>
      <c r="O540" t="str">
        <f>DO_DB[[#This Row],[SiteID]]</f>
        <v>CLR31-06-010</v>
      </c>
      <c r="P540" t="str">
        <f>DO_DB[[#This Row],[SiteID]]&amp;"_"&amp;DO_DB[[#This Row],[Material Name]]</f>
        <v>CLR31-06-010_JC 144Core</v>
      </c>
      <c r="Q540" t="str">
        <f>DO_DB[[#This Row],[DO Number]]</f>
        <v>DOEID24100912</v>
      </c>
      <c r="R540" t="str">
        <f>DO_DB[[#This Row],[DN Number]]</f>
        <v>DNWID0362024101004</v>
      </c>
    </row>
    <row r="541" spans="1:18">
      <c r="A541" t="s">
        <v>2262</v>
      </c>
      <c r="B541" t="s">
        <v>2263</v>
      </c>
      <c r="C541" s="172" t="s">
        <v>4482</v>
      </c>
      <c r="D541" t="s">
        <v>71</v>
      </c>
      <c r="E541" t="s">
        <v>26</v>
      </c>
      <c r="F541" t="s">
        <v>3148</v>
      </c>
      <c r="G541" t="s">
        <v>2264</v>
      </c>
      <c r="H541" t="s">
        <v>2265</v>
      </c>
      <c r="I541" s="130">
        <v>45575</v>
      </c>
      <c r="J541" t="s">
        <v>15</v>
      </c>
      <c r="K541">
        <v>1</v>
      </c>
      <c r="M5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41" t="str">
        <f>DO_DB[[#This Row],[Material Pick-update]]&amp;"_"&amp;DO_DB[[#This Row],[Material Name]]</f>
        <v>45575_FDT-72</v>
      </c>
      <c r="O541" t="str">
        <f>DO_DB[[#This Row],[SiteID]]</f>
        <v>CLR31-06-010</v>
      </c>
      <c r="P541" t="str">
        <f>DO_DB[[#This Row],[SiteID]]&amp;"_"&amp;DO_DB[[#This Row],[Material Name]]</f>
        <v>CLR31-06-010_FDT-72</v>
      </c>
      <c r="Q541" t="str">
        <f>DO_DB[[#This Row],[DO Number]]</f>
        <v>DOEID24100913</v>
      </c>
      <c r="R541" t="str">
        <f>DO_DB[[#This Row],[DN Number]]</f>
        <v>DNWID0342024101005</v>
      </c>
    </row>
    <row r="542" spans="1:18">
      <c r="A542" t="s">
        <v>2262</v>
      </c>
      <c r="B542" t="s">
        <v>2263</v>
      </c>
      <c r="C542" s="172" t="s">
        <v>4482</v>
      </c>
      <c r="D542" t="s">
        <v>71</v>
      </c>
      <c r="E542" t="s">
        <v>26</v>
      </c>
      <c r="F542" t="s">
        <v>3148</v>
      </c>
      <c r="G542" t="s">
        <v>2264</v>
      </c>
      <c r="H542" t="s">
        <v>2265</v>
      </c>
      <c r="I542" s="130">
        <v>45575</v>
      </c>
      <c r="J542" t="s">
        <v>13</v>
      </c>
      <c r="K542">
        <v>32</v>
      </c>
      <c r="M5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42" t="str">
        <f>DO_DB[[#This Row],[Material Pick-update]]&amp;"_"&amp;DO_DB[[#This Row],[Material Name]]</f>
        <v>45575_FAT-16</v>
      </c>
      <c r="O542" t="str">
        <f>DO_DB[[#This Row],[SiteID]]</f>
        <v>CLR31-06-010</v>
      </c>
      <c r="P542" t="str">
        <f>DO_DB[[#This Row],[SiteID]]&amp;"_"&amp;DO_DB[[#This Row],[Material Name]]</f>
        <v>CLR31-06-010_FAT-16</v>
      </c>
      <c r="Q542" t="str">
        <f>DO_DB[[#This Row],[DO Number]]</f>
        <v>DOEID24100913</v>
      </c>
      <c r="R542" t="str">
        <f>DO_DB[[#This Row],[DN Number]]</f>
        <v>DNWID0342024101005</v>
      </c>
    </row>
    <row r="543" spans="1:18">
      <c r="A543" t="s">
        <v>2270</v>
      </c>
      <c r="B543" t="s">
        <v>2271</v>
      </c>
      <c r="C543" s="172" t="s">
        <v>4482</v>
      </c>
      <c r="D543" t="s">
        <v>71</v>
      </c>
      <c r="E543" t="s">
        <v>26</v>
      </c>
      <c r="F543" t="s">
        <v>3148</v>
      </c>
      <c r="G543" t="s">
        <v>2272</v>
      </c>
      <c r="H543" t="s">
        <v>2273</v>
      </c>
      <c r="I543" s="130">
        <v>45575</v>
      </c>
      <c r="J543" t="s">
        <v>3069</v>
      </c>
      <c r="K543">
        <v>42</v>
      </c>
      <c r="M5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43" t="str">
        <f>DO_DB[[#This Row],[Material Pick-update]]&amp;"_"&amp;DO_DB[[#This Row],[Material Name]]</f>
        <v>45575_Pole 7M 4"</v>
      </c>
      <c r="O543" t="str">
        <f>DO_DB[[#This Row],[SiteID]]</f>
        <v>CLR31-04-059</v>
      </c>
      <c r="P543" t="str">
        <f>DO_DB[[#This Row],[SiteID]]&amp;"_"&amp;DO_DB[[#This Row],[Material Name]]</f>
        <v>CLR31-04-059_Pole 7M 4"</v>
      </c>
      <c r="Q543" t="str">
        <f>DO_DB[[#This Row],[DO Number]]</f>
        <v>DOEID24100914</v>
      </c>
      <c r="R543" t="str">
        <f>DO_DB[[#This Row],[DN Number]]</f>
        <v>DNWID0362024101003</v>
      </c>
    </row>
    <row r="544" spans="1:18">
      <c r="A544" t="s">
        <v>2270</v>
      </c>
      <c r="B544" t="s">
        <v>2271</v>
      </c>
      <c r="C544" s="172" t="s">
        <v>4482</v>
      </c>
      <c r="D544" t="s">
        <v>71</v>
      </c>
      <c r="E544" t="s">
        <v>26</v>
      </c>
      <c r="F544" t="s">
        <v>3148</v>
      </c>
      <c r="G544" t="s">
        <v>2272</v>
      </c>
      <c r="H544" t="s">
        <v>2273</v>
      </c>
      <c r="I544" s="130">
        <v>45575</v>
      </c>
      <c r="J544" t="s">
        <v>3071</v>
      </c>
      <c r="K544">
        <v>2</v>
      </c>
      <c r="M5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44" t="str">
        <f>DO_DB[[#This Row],[Material Pick-update]]&amp;"_"&amp;DO_DB[[#This Row],[Material Name]]</f>
        <v>45575_Pole 9M</v>
      </c>
      <c r="O544" t="str">
        <f>DO_DB[[#This Row],[SiteID]]</f>
        <v>CLR31-04-059</v>
      </c>
      <c r="P544" t="str">
        <f>DO_DB[[#This Row],[SiteID]]&amp;"_"&amp;DO_DB[[#This Row],[Material Name]]</f>
        <v>CLR31-04-059_Pole 9M</v>
      </c>
      <c r="Q544" t="str">
        <f>DO_DB[[#This Row],[DO Number]]</f>
        <v>DOEID24100914</v>
      </c>
      <c r="R544" t="str">
        <f>DO_DB[[#This Row],[DN Number]]</f>
        <v>DNWID0362024101003</v>
      </c>
    </row>
    <row r="545" spans="1:18">
      <c r="A545" t="s">
        <v>2270</v>
      </c>
      <c r="B545" t="s">
        <v>2271</v>
      </c>
      <c r="C545" s="172" t="s">
        <v>4482</v>
      </c>
      <c r="D545" t="s">
        <v>71</v>
      </c>
      <c r="E545" t="s">
        <v>26</v>
      </c>
      <c r="F545" t="s">
        <v>3148</v>
      </c>
      <c r="G545" t="s">
        <v>2272</v>
      </c>
      <c r="H545" t="s">
        <v>2273</v>
      </c>
      <c r="I545" s="130">
        <v>45575</v>
      </c>
      <c r="J545" t="s">
        <v>4856</v>
      </c>
      <c r="K545">
        <v>1</v>
      </c>
      <c r="M5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45" t="str">
        <f>DO_DB[[#This Row],[Material Pick-update]]&amp;"_"&amp;DO_DB[[#This Row],[Material Name]]</f>
        <v>45575_JC 144Core</v>
      </c>
      <c r="O545" t="str">
        <f>DO_DB[[#This Row],[SiteID]]</f>
        <v>CLR31-04-059</v>
      </c>
      <c r="P545" t="str">
        <f>DO_DB[[#This Row],[SiteID]]&amp;"_"&amp;DO_DB[[#This Row],[Material Name]]</f>
        <v>CLR31-04-059_JC 144Core</v>
      </c>
      <c r="Q545" t="str">
        <f>DO_DB[[#This Row],[DO Number]]</f>
        <v>DOEID24100914</v>
      </c>
      <c r="R545" t="str">
        <f>DO_DB[[#This Row],[DN Number]]</f>
        <v>DNWID0362024101003</v>
      </c>
    </row>
    <row r="546" spans="1:18">
      <c r="A546" t="s">
        <v>2270</v>
      </c>
      <c r="B546" t="s">
        <v>2271</v>
      </c>
      <c r="C546" s="172" t="s">
        <v>4482</v>
      </c>
      <c r="D546" t="s">
        <v>71</v>
      </c>
      <c r="E546" t="s">
        <v>26</v>
      </c>
      <c r="F546" t="s">
        <v>3148</v>
      </c>
      <c r="G546" t="s">
        <v>2276</v>
      </c>
      <c r="H546" t="s">
        <v>2277</v>
      </c>
      <c r="I546" s="130">
        <v>45575</v>
      </c>
      <c r="J546" t="s">
        <v>13</v>
      </c>
      <c r="K546">
        <v>24</v>
      </c>
      <c r="M5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46" t="str">
        <f>DO_DB[[#This Row],[Material Pick-update]]&amp;"_"&amp;DO_DB[[#This Row],[Material Name]]</f>
        <v>45575_FAT-16</v>
      </c>
      <c r="O546" t="str">
        <f>DO_DB[[#This Row],[SiteID]]</f>
        <v>CLR31-04-059</v>
      </c>
      <c r="P546" t="str">
        <f>DO_DB[[#This Row],[SiteID]]&amp;"_"&amp;DO_DB[[#This Row],[Material Name]]</f>
        <v>CLR31-04-059_FAT-16</v>
      </c>
      <c r="Q546" t="str">
        <f>DO_DB[[#This Row],[DO Number]]</f>
        <v>DOEID24100915</v>
      </c>
      <c r="R546" t="str">
        <f>DO_DB[[#This Row],[DN Number]]</f>
        <v>DNWID0342024101004</v>
      </c>
    </row>
    <row r="547" spans="1:18">
      <c r="A547" t="s">
        <v>2326</v>
      </c>
      <c r="B547" t="s">
        <v>2327</v>
      </c>
      <c r="C547" t="s">
        <v>4482</v>
      </c>
      <c r="D547" t="s">
        <v>71</v>
      </c>
      <c r="E547" t="s">
        <v>709</v>
      </c>
      <c r="F547" t="s">
        <v>3148</v>
      </c>
      <c r="G547" t="s">
        <v>2328</v>
      </c>
      <c r="H547" t="s">
        <v>2329</v>
      </c>
      <c r="I547" s="130">
        <v>45588</v>
      </c>
      <c r="J547" t="s">
        <v>3073</v>
      </c>
      <c r="K547">
        <v>3000</v>
      </c>
      <c r="M5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24C-20241023-01</v>
      </c>
      <c r="N547" t="str">
        <f>DO_DB[[#This Row],[Material Pick-update]]&amp;"_"&amp;DO_DB[[#This Row],[Material Name]]</f>
        <v>45588_ADSS 24C</v>
      </c>
      <c r="O547" t="str">
        <f>DO_DB[[#This Row],[SiteID]]</f>
        <v>CLR41-03-059</v>
      </c>
      <c r="P547" t="str">
        <f>DO_DB[[#This Row],[SiteID]]&amp;"_"&amp;DO_DB[[#This Row],[Material Name]]</f>
        <v>CLR41-03-059_ADSS 24C</v>
      </c>
      <c r="Q547" t="str">
        <f>DO_DB[[#This Row],[DO Number]]</f>
        <v>DOEID24102249</v>
      </c>
      <c r="R547" t="str">
        <f>DO_DB[[#This Row],[DN Number]]</f>
        <v>DNWID0342024102214</v>
      </c>
    </row>
    <row r="548" spans="1:18">
      <c r="A548" t="s">
        <v>2326</v>
      </c>
      <c r="B548" t="s">
        <v>2327</v>
      </c>
      <c r="C548" t="s">
        <v>4482</v>
      </c>
      <c r="D548" t="s">
        <v>71</v>
      </c>
      <c r="E548" t="s">
        <v>709</v>
      </c>
      <c r="F548" t="s">
        <v>3148</v>
      </c>
      <c r="G548" t="s">
        <v>2328</v>
      </c>
      <c r="H548" t="s">
        <v>2329</v>
      </c>
      <c r="I548" s="130">
        <v>45588</v>
      </c>
      <c r="J548" t="s">
        <v>3075</v>
      </c>
      <c r="K548">
        <v>3000</v>
      </c>
      <c r="M5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48C-20241023-01</v>
      </c>
      <c r="N548" t="str">
        <f>DO_DB[[#This Row],[Material Pick-update]]&amp;"_"&amp;DO_DB[[#This Row],[Material Name]]</f>
        <v>45588_ADSS 48C</v>
      </c>
      <c r="O548" t="str">
        <f>DO_DB[[#This Row],[SiteID]]</f>
        <v>CLR41-03-059</v>
      </c>
      <c r="P548" t="str">
        <f>DO_DB[[#This Row],[SiteID]]&amp;"_"&amp;DO_DB[[#This Row],[Material Name]]</f>
        <v>CLR41-03-059_ADSS 48C</v>
      </c>
      <c r="Q548" t="str">
        <f>DO_DB[[#This Row],[DO Number]]</f>
        <v>DOEID24102249</v>
      </c>
      <c r="R548" t="str">
        <f>DO_DB[[#This Row],[DN Number]]</f>
        <v>DNWID0342024102214</v>
      </c>
    </row>
    <row r="549" spans="1:18">
      <c r="A549" t="s">
        <v>2326</v>
      </c>
      <c r="B549" t="s">
        <v>2327</v>
      </c>
      <c r="C549" t="s">
        <v>4482</v>
      </c>
      <c r="D549" t="s">
        <v>71</v>
      </c>
      <c r="E549" t="s">
        <v>709</v>
      </c>
      <c r="F549" t="s">
        <v>3148</v>
      </c>
      <c r="G549" t="s">
        <v>2330</v>
      </c>
      <c r="H549" t="s">
        <v>2331</v>
      </c>
      <c r="I549" s="130">
        <v>45588</v>
      </c>
      <c r="J549" t="s">
        <v>3069</v>
      </c>
      <c r="K549">
        <v>51</v>
      </c>
      <c r="M5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49" t="str">
        <f>DO_DB[[#This Row],[Material Pick-update]]&amp;"_"&amp;DO_DB[[#This Row],[Material Name]]</f>
        <v>45588_Pole 7M 4"</v>
      </c>
      <c r="O549" t="str">
        <f>DO_DB[[#This Row],[SiteID]]</f>
        <v>CLR41-03-059</v>
      </c>
      <c r="P549" t="str">
        <f>DO_DB[[#This Row],[SiteID]]&amp;"_"&amp;DO_DB[[#This Row],[Material Name]]</f>
        <v>CLR41-03-059_Pole 7M 4"</v>
      </c>
      <c r="Q549" t="str">
        <f>DO_DB[[#This Row],[DO Number]]</f>
        <v>DOEID24102248</v>
      </c>
      <c r="R549" t="str">
        <f>DO_DB[[#This Row],[DN Number]]</f>
        <v>DNWID0362024102212</v>
      </c>
    </row>
    <row r="550" spans="1:18">
      <c r="A550" t="s">
        <v>2326</v>
      </c>
      <c r="B550" t="s">
        <v>2327</v>
      </c>
      <c r="C550" t="s">
        <v>4482</v>
      </c>
      <c r="D550" t="s">
        <v>71</v>
      </c>
      <c r="E550" t="s">
        <v>709</v>
      </c>
      <c r="F550" t="s">
        <v>3148</v>
      </c>
      <c r="G550" t="s">
        <v>2328</v>
      </c>
      <c r="H550" t="s">
        <v>2329</v>
      </c>
      <c r="I550" s="130">
        <v>45588</v>
      </c>
      <c r="J550" t="s">
        <v>15</v>
      </c>
      <c r="K550">
        <v>1</v>
      </c>
      <c r="M5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50" t="str">
        <f>DO_DB[[#This Row],[Material Pick-update]]&amp;"_"&amp;DO_DB[[#This Row],[Material Name]]</f>
        <v>45588_FDT-72</v>
      </c>
      <c r="O550" t="str">
        <f>DO_DB[[#This Row],[SiteID]]</f>
        <v>CLR41-03-059</v>
      </c>
      <c r="P550" t="str">
        <f>DO_DB[[#This Row],[SiteID]]&amp;"_"&amp;DO_DB[[#This Row],[Material Name]]</f>
        <v>CLR41-03-059_FDT-72</v>
      </c>
      <c r="Q550" t="str">
        <f>DO_DB[[#This Row],[DO Number]]</f>
        <v>DOEID24102249</v>
      </c>
      <c r="R550" t="str">
        <f>DO_DB[[#This Row],[DN Number]]</f>
        <v>DNWID0342024102214</v>
      </c>
    </row>
    <row r="551" spans="1:18">
      <c r="A551" t="s">
        <v>2326</v>
      </c>
      <c r="B551" t="s">
        <v>2327</v>
      </c>
      <c r="C551" t="s">
        <v>4482</v>
      </c>
      <c r="D551" t="s">
        <v>71</v>
      </c>
      <c r="E551" t="s">
        <v>709</v>
      </c>
      <c r="F551" t="s">
        <v>3148</v>
      </c>
      <c r="G551" t="s">
        <v>2328</v>
      </c>
      <c r="H551" t="s">
        <v>2329</v>
      </c>
      <c r="I551" s="130">
        <v>45588</v>
      </c>
      <c r="J551" t="s">
        <v>13</v>
      </c>
      <c r="K551">
        <v>22</v>
      </c>
      <c r="M5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51" t="str">
        <f>DO_DB[[#This Row],[Material Pick-update]]&amp;"_"&amp;DO_DB[[#This Row],[Material Name]]</f>
        <v>45588_FAT-16</v>
      </c>
      <c r="O551" t="str">
        <f>DO_DB[[#This Row],[SiteID]]</f>
        <v>CLR41-03-059</v>
      </c>
      <c r="P551" t="str">
        <f>DO_DB[[#This Row],[SiteID]]&amp;"_"&amp;DO_DB[[#This Row],[Material Name]]</f>
        <v>CLR41-03-059_FAT-16</v>
      </c>
      <c r="Q551" t="str">
        <f>DO_DB[[#This Row],[DO Number]]</f>
        <v>DOEID24102249</v>
      </c>
      <c r="R551" t="str">
        <f>DO_DB[[#This Row],[DN Number]]</f>
        <v>DNWID0342024102214</v>
      </c>
    </row>
    <row r="552" spans="1:18">
      <c r="A552" t="s">
        <v>2304</v>
      </c>
      <c r="B552" t="s">
        <v>2305</v>
      </c>
      <c r="C552" t="s">
        <v>4482</v>
      </c>
      <c r="D552" t="s">
        <v>71</v>
      </c>
      <c r="E552" t="s">
        <v>709</v>
      </c>
      <c r="F552" t="s">
        <v>3148</v>
      </c>
      <c r="G552" t="s">
        <v>2346</v>
      </c>
      <c r="H552" t="s">
        <v>2347</v>
      </c>
      <c r="I552" s="130">
        <v>45588</v>
      </c>
      <c r="J552" t="s">
        <v>3069</v>
      </c>
      <c r="K552">
        <v>16</v>
      </c>
      <c r="M5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52" t="str">
        <f>DO_DB[[#This Row],[Material Pick-update]]&amp;"_"&amp;DO_DB[[#This Row],[Material Name]]</f>
        <v>45588_Pole 7M 4"</v>
      </c>
      <c r="O552" t="str">
        <f>DO_DB[[#This Row],[SiteID]]</f>
        <v>CLR41-03-060</v>
      </c>
      <c r="P552" t="str">
        <f>DO_DB[[#This Row],[SiteID]]&amp;"_"&amp;DO_DB[[#This Row],[Material Name]]</f>
        <v>CLR41-03-060_Pole 7M 4"</v>
      </c>
      <c r="Q552" t="str">
        <f>DO_DB[[#This Row],[DO Number]]</f>
        <v>DOEID24102250</v>
      </c>
      <c r="R552" t="str">
        <f>DO_DB[[#This Row],[DN Number]]</f>
        <v>DNWID0362024102204</v>
      </c>
    </row>
    <row r="553" spans="1:18">
      <c r="A553" t="s">
        <v>2304</v>
      </c>
      <c r="B553" t="s">
        <v>2305</v>
      </c>
      <c r="C553" t="s">
        <v>4482</v>
      </c>
      <c r="D553" t="s">
        <v>71</v>
      </c>
      <c r="E553" t="s">
        <v>709</v>
      </c>
      <c r="F553" t="s">
        <v>3148</v>
      </c>
      <c r="G553" t="s">
        <v>2306</v>
      </c>
      <c r="H553" t="s">
        <v>2307</v>
      </c>
      <c r="I553" s="130">
        <v>45588</v>
      </c>
      <c r="J553" t="s">
        <v>13</v>
      </c>
      <c r="K553">
        <v>9</v>
      </c>
      <c r="M5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53" t="str">
        <f>DO_DB[[#This Row],[Material Pick-update]]&amp;"_"&amp;DO_DB[[#This Row],[Material Name]]</f>
        <v>45588_FAT-16</v>
      </c>
      <c r="O553" t="str">
        <f>DO_DB[[#This Row],[SiteID]]</f>
        <v>CLR41-03-060</v>
      </c>
      <c r="P553" t="str">
        <f>DO_DB[[#This Row],[SiteID]]&amp;"_"&amp;DO_DB[[#This Row],[Material Name]]</f>
        <v>CLR41-03-060_FAT-16</v>
      </c>
      <c r="Q553" t="str">
        <f>DO_DB[[#This Row],[DO Number]]</f>
        <v>DOEID24102251</v>
      </c>
      <c r="R553" t="str">
        <f>DO_DB[[#This Row],[DN Number]]</f>
        <v>DNWID0342024102209</v>
      </c>
    </row>
    <row r="554" spans="1:18">
      <c r="A554" t="s">
        <v>2316</v>
      </c>
      <c r="B554" t="s">
        <v>2317</v>
      </c>
      <c r="C554" s="172" t="s">
        <v>4482</v>
      </c>
      <c r="D554" t="s">
        <v>71</v>
      </c>
      <c r="E554" t="s">
        <v>26</v>
      </c>
      <c r="F554" t="s">
        <v>3148</v>
      </c>
      <c r="G554" t="s">
        <v>2318</v>
      </c>
      <c r="H554" t="s">
        <v>2319</v>
      </c>
      <c r="I554" s="130">
        <v>45588</v>
      </c>
      <c r="J554" t="s">
        <v>3073</v>
      </c>
      <c r="K554">
        <v>3000</v>
      </c>
      <c r="M5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24C-20241023-01</v>
      </c>
      <c r="N554" t="str">
        <f>DO_DB[[#This Row],[Material Pick-update]]&amp;"_"&amp;DO_DB[[#This Row],[Material Name]]</f>
        <v>45588_ADSS 24C</v>
      </c>
      <c r="O554" t="str">
        <f>DO_DB[[#This Row],[SiteID]]</f>
        <v>CLR31-04-052</v>
      </c>
      <c r="P554" t="str">
        <f>DO_DB[[#This Row],[SiteID]]&amp;"_"&amp;DO_DB[[#This Row],[Material Name]]</f>
        <v>CLR31-04-052_ADSS 24C</v>
      </c>
      <c r="Q554" t="str">
        <f>DO_DB[[#This Row],[DO Number]]</f>
        <v>DOEID24102245</v>
      </c>
      <c r="R554" t="str">
        <f>DO_DB[[#This Row],[DN Number]]</f>
        <v>DNWID0342024102206</v>
      </c>
    </row>
    <row r="555" spans="1:18">
      <c r="A555" t="s">
        <v>2316</v>
      </c>
      <c r="B555" t="s">
        <v>2317</v>
      </c>
      <c r="C555" s="172" t="s">
        <v>4482</v>
      </c>
      <c r="D555" t="s">
        <v>71</v>
      </c>
      <c r="E555" t="s">
        <v>26</v>
      </c>
      <c r="F555" t="s">
        <v>3148</v>
      </c>
      <c r="G555" t="s">
        <v>2318</v>
      </c>
      <c r="H555" t="s">
        <v>2319</v>
      </c>
      <c r="I555" s="130">
        <v>45588</v>
      </c>
      <c r="J555" t="s">
        <v>3075</v>
      </c>
      <c r="K555">
        <v>3000</v>
      </c>
      <c r="M5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48C-20241023-01</v>
      </c>
      <c r="N555" t="str">
        <f>DO_DB[[#This Row],[Material Pick-update]]&amp;"_"&amp;DO_DB[[#This Row],[Material Name]]</f>
        <v>45588_ADSS 48C</v>
      </c>
      <c r="O555" t="str">
        <f>DO_DB[[#This Row],[SiteID]]</f>
        <v>CLR31-04-052</v>
      </c>
      <c r="P555" t="str">
        <f>DO_DB[[#This Row],[SiteID]]&amp;"_"&amp;DO_DB[[#This Row],[Material Name]]</f>
        <v>CLR31-04-052_ADSS 48C</v>
      </c>
      <c r="Q555" t="str">
        <f>DO_DB[[#This Row],[DO Number]]</f>
        <v>DOEID24102245</v>
      </c>
      <c r="R555" t="str">
        <f>DO_DB[[#This Row],[DN Number]]</f>
        <v>DNWID0342024102206</v>
      </c>
    </row>
    <row r="556" spans="1:18">
      <c r="A556" t="s">
        <v>2308</v>
      </c>
      <c r="B556" t="s">
        <v>2309</v>
      </c>
      <c r="C556" s="172" t="s">
        <v>4482</v>
      </c>
      <c r="D556" t="s">
        <v>71</v>
      </c>
      <c r="E556" t="s">
        <v>26</v>
      </c>
      <c r="F556" t="s">
        <v>3148</v>
      </c>
      <c r="G556" t="s">
        <v>2310</v>
      </c>
      <c r="H556" t="s">
        <v>2311</v>
      </c>
      <c r="I556" s="130">
        <v>45588</v>
      </c>
      <c r="J556" t="s">
        <v>3075</v>
      </c>
      <c r="K556">
        <v>3000</v>
      </c>
      <c r="M5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48C-20241023-01</v>
      </c>
      <c r="N556" t="str">
        <f>DO_DB[[#This Row],[Material Pick-update]]&amp;"_"&amp;DO_DB[[#This Row],[Material Name]]</f>
        <v>45588_ADSS 48C</v>
      </c>
      <c r="O556" t="str">
        <f>DO_DB[[#This Row],[SiteID]]</f>
        <v>CLR31-99-083</v>
      </c>
      <c r="P556" t="str">
        <f>DO_DB[[#This Row],[SiteID]]&amp;"_"&amp;DO_DB[[#This Row],[Material Name]]</f>
        <v>CLR31-99-083_ADSS 48C</v>
      </c>
      <c r="Q556" t="str">
        <f>DO_DB[[#This Row],[DO Number]]</f>
        <v>DOEID24102247</v>
      </c>
      <c r="R556" t="str">
        <f>DO_DB[[#This Row],[DN Number]]</f>
        <v>DNWID0342024102208</v>
      </c>
    </row>
    <row r="557" spans="1:18">
      <c r="A557" t="s">
        <v>2316</v>
      </c>
      <c r="B557" t="s">
        <v>2317</v>
      </c>
      <c r="C557" s="172" t="s">
        <v>4482</v>
      </c>
      <c r="D557" t="s">
        <v>71</v>
      </c>
      <c r="E557" t="s">
        <v>26</v>
      </c>
      <c r="F557" t="s">
        <v>3148</v>
      </c>
      <c r="G557" t="s">
        <v>2336</v>
      </c>
      <c r="H557" t="s">
        <v>2337</v>
      </c>
      <c r="I557" s="130">
        <v>45588</v>
      </c>
      <c r="J557" t="s">
        <v>3069</v>
      </c>
      <c r="K557">
        <v>21</v>
      </c>
      <c r="M5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57" t="str">
        <f>DO_DB[[#This Row],[Material Pick-update]]&amp;"_"&amp;DO_DB[[#This Row],[Material Name]]</f>
        <v>45588_Pole 7M 4"</v>
      </c>
      <c r="O557" t="str">
        <f>DO_DB[[#This Row],[SiteID]]</f>
        <v>CLR31-04-052</v>
      </c>
      <c r="P557" t="str">
        <f>DO_DB[[#This Row],[SiteID]]&amp;"_"&amp;DO_DB[[#This Row],[Material Name]]</f>
        <v>CLR31-04-052_Pole 7M 4"</v>
      </c>
      <c r="Q557" t="str">
        <f>DO_DB[[#This Row],[DO Number]]</f>
        <v>DOEID24102244</v>
      </c>
      <c r="R557" t="str">
        <f>DO_DB[[#This Row],[DN Number]]</f>
        <v>DNWID0362024102208</v>
      </c>
    </row>
    <row r="558" spans="1:18">
      <c r="A558" t="s">
        <v>2316</v>
      </c>
      <c r="B558" t="s">
        <v>2317</v>
      </c>
      <c r="C558" s="172" t="s">
        <v>4482</v>
      </c>
      <c r="D558" t="s">
        <v>71</v>
      </c>
      <c r="E558" t="s">
        <v>26</v>
      </c>
      <c r="F558" t="s">
        <v>3148</v>
      </c>
      <c r="G558" t="s">
        <v>2336</v>
      </c>
      <c r="H558" t="s">
        <v>2337</v>
      </c>
      <c r="I558" s="130">
        <v>45588</v>
      </c>
      <c r="J558" t="s">
        <v>4856</v>
      </c>
      <c r="K558">
        <v>1</v>
      </c>
      <c r="M5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58" t="str">
        <f>DO_DB[[#This Row],[Material Pick-update]]&amp;"_"&amp;DO_DB[[#This Row],[Material Name]]</f>
        <v>45588_JC 144Core</v>
      </c>
      <c r="O558" t="str">
        <f>DO_DB[[#This Row],[SiteID]]</f>
        <v>CLR31-04-052</v>
      </c>
      <c r="P558" t="str">
        <f>DO_DB[[#This Row],[SiteID]]&amp;"_"&amp;DO_DB[[#This Row],[Material Name]]</f>
        <v>CLR31-04-052_JC 144Core</v>
      </c>
      <c r="Q558" t="str">
        <f>DO_DB[[#This Row],[DO Number]]</f>
        <v>DOEID24102244</v>
      </c>
      <c r="R558" t="str">
        <f>DO_DB[[#This Row],[DN Number]]</f>
        <v>DNWID0362024102208</v>
      </c>
    </row>
    <row r="559" spans="1:18">
      <c r="A559" t="s">
        <v>2316</v>
      </c>
      <c r="B559" t="s">
        <v>2317</v>
      </c>
      <c r="C559" s="172" t="s">
        <v>4482</v>
      </c>
      <c r="D559" t="s">
        <v>71</v>
      </c>
      <c r="E559" t="s">
        <v>26</v>
      </c>
      <c r="F559" t="s">
        <v>3148</v>
      </c>
      <c r="G559" t="s">
        <v>2318</v>
      </c>
      <c r="H559" t="s">
        <v>2319</v>
      </c>
      <c r="I559" s="130">
        <v>45588</v>
      </c>
      <c r="J559" t="s">
        <v>15</v>
      </c>
      <c r="K559">
        <v>1</v>
      </c>
      <c r="M5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59" t="str">
        <f>DO_DB[[#This Row],[Material Pick-update]]&amp;"_"&amp;DO_DB[[#This Row],[Material Name]]</f>
        <v>45588_FDT-72</v>
      </c>
      <c r="O559" t="str">
        <f>DO_DB[[#This Row],[SiteID]]</f>
        <v>CLR31-04-052</v>
      </c>
      <c r="P559" t="str">
        <f>DO_DB[[#This Row],[SiteID]]&amp;"_"&amp;DO_DB[[#This Row],[Material Name]]</f>
        <v>CLR31-04-052_FDT-72</v>
      </c>
      <c r="Q559" t="str">
        <f>DO_DB[[#This Row],[DO Number]]</f>
        <v>DOEID24102245</v>
      </c>
      <c r="R559" t="str">
        <f>DO_DB[[#This Row],[DN Number]]</f>
        <v>DNWID0342024102206</v>
      </c>
    </row>
    <row r="560" spans="1:18">
      <c r="A560" t="s">
        <v>2316</v>
      </c>
      <c r="B560" t="s">
        <v>2317</v>
      </c>
      <c r="C560" s="172" t="s">
        <v>4482</v>
      </c>
      <c r="D560" t="s">
        <v>71</v>
      </c>
      <c r="E560" t="s">
        <v>26</v>
      </c>
      <c r="F560" t="s">
        <v>3148</v>
      </c>
      <c r="G560" t="s">
        <v>2318</v>
      </c>
      <c r="H560" t="s">
        <v>2319</v>
      </c>
      <c r="I560" s="130">
        <v>45588</v>
      </c>
      <c r="J560" t="s">
        <v>13</v>
      </c>
      <c r="K560">
        <v>36</v>
      </c>
      <c r="M5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60" t="str">
        <f>DO_DB[[#This Row],[Material Pick-update]]&amp;"_"&amp;DO_DB[[#This Row],[Material Name]]</f>
        <v>45588_FAT-16</v>
      </c>
      <c r="O560" t="str">
        <f>DO_DB[[#This Row],[SiteID]]</f>
        <v>CLR31-04-052</v>
      </c>
      <c r="P560" t="str">
        <f>DO_DB[[#This Row],[SiteID]]&amp;"_"&amp;DO_DB[[#This Row],[Material Name]]</f>
        <v>CLR31-04-052_FAT-16</v>
      </c>
      <c r="Q560" t="str">
        <f>DO_DB[[#This Row],[DO Number]]</f>
        <v>DOEID24102245</v>
      </c>
      <c r="R560" t="str">
        <f>DO_DB[[#This Row],[DN Number]]</f>
        <v>DNWID0342024102206</v>
      </c>
    </row>
    <row r="561" spans="1:18">
      <c r="A561" t="s">
        <v>2308</v>
      </c>
      <c r="B561" t="s">
        <v>2309</v>
      </c>
      <c r="C561" s="172" t="s">
        <v>4482</v>
      </c>
      <c r="D561" t="s">
        <v>71</v>
      </c>
      <c r="E561" t="s">
        <v>26</v>
      </c>
      <c r="F561" t="s">
        <v>3148</v>
      </c>
      <c r="G561" t="s">
        <v>2334</v>
      </c>
      <c r="H561" t="s">
        <v>2335</v>
      </c>
      <c r="I561" s="130">
        <v>45588</v>
      </c>
      <c r="J561" t="s">
        <v>3069</v>
      </c>
      <c r="K561">
        <v>67</v>
      </c>
      <c r="M5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61" t="str">
        <f>DO_DB[[#This Row],[Material Pick-update]]&amp;"_"&amp;DO_DB[[#This Row],[Material Name]]</f>
        <v>45588_Pole 7M 4"</v>
      </c>
      <c r="O561" t="str">
        <f>DO_DB[[#This Row],[SiteID]]</f>
        <v>CLR31-99-083</v>
      </c>
      <c r="P561" t="str">
        <f>DO_DB[[#This Row],[SiteID]]&amp;"_"&amp;DO_DB[[#This Row],[Material Name]]</f>
        <v>CLR31-99-083_Pole 7M 4"</v>
      </c>
      <c r="Q561" t="str">
        <f>DO_DB[[#This Row],[DO Number]]</f>
        <v>DOEID24102246</v>
      </c>
      <c r="R561" t="str">
        <f>DO_DB[[#This Row],[DN Number]]</f>
        <v>DNWID0362024102209</v>
      </c>
    </row>
    <row r="562" spans="1:18">
      <c r="A562" t="s">
        <v>2308</v>
      </c>
      <c r="B562" t="s">
        <v>2309</v>
      </c>
      <c r="C562" s="172" t="s">
        <v>4482</v>
      </c>
      <c r="D562" t="s">
        <v>71</v>
      </c>
      <c r="E562" t="s">
        <v>26</v>
      </c>
      <c r="F562" t="s">
        <v>3148</v>
      </c>
      <c r="G562" t="s">
        <v>2334</v>
      </c>
      <c r="H562" t="s">
        <v>2335</v>
      </c>
      <c r="I562" s="130">
        <v>45588</v>
      </c>
      <c r="J562" t="s">
        <v>4856</v>
      </c>
      <c r="K562">
        <v>1</v>
      </c>
      <c r="M5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62" t="str">
        <f>DO_DB[[#This Row],[Material Pick-update]]&amp;"_"&amp;DO_DB[[#This Row],[Material Name]]</f>
        <v>45588_JC 144Core</v>
      </c>
      <c r="O562" t="str">
        <f>DO_DB[[#This Row],[SiteID]]</f>
        <v>CLR31-99-083</v>
      </c>
      <c r="P562" t="str">
        <f>DO_DB[[#This Row],[SiteID]]&amp;"_"&amp;DO_DB[[#This Row],[Material Name]]</f>
        <v>CLR31-99-083_JC 144Core</v>
      </c>
      <c r="Q562" t="str">
        <f>DO_DB[[#This Row],[DO Number]]</f>
        <v>DOEID24102246</v>
      </c>
      <c r="R562" t="str">
        <f>DO_DB[[#This Row],[DN Number]]</f>
        <v>DNWID0362024102209</v>
      </c>
    </row>
    <row r="563" spans="1:18">
      <c r="A563" t="s">
        <v>2308</v>
      </c>
      <c r="B563" t="s">
        <v>2309</v>
      </c>
      <c r="C563" s="172" t="s">
        <v>4482</v>
      </c>
      <c r="D563" t="s">
        <v>71</v>
      </c>
      <c r="E563" t="s">
        <v>26</v>
      </c>
      <c r="F563" t="s">
        <v>3148</v>
      </c>
      <c r="G563" t="s">
        <v>2310</v>
      </c>
      <c r="H563" t="s">
        <v>2311</v>
      </c>
      <c r="I563" s="130">
        <v>45588</v>
      </c>
      <c r="J563" t="s">
        <v>15</v>
      </c>
      <c r="K563">
        <v>1</v>
      </c>
      <c r="M5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63" t="str">
        <f>DO_DB[[#This Row],[Material Pick-update]]&amp;"_"&amp;DO_DB[[#This Row],[Material Name]]</f>
        <v>45588_FDT-72</v>
      </c>
      <c r="O563" t="str">
        <f>DO_DB[[#This Row],[SiteID]]</f>
        <v>CLR31-99-083</v>
      </c>
      <c r="P563" t="str">
        <f>DO_DB[[#This Row],[SiteID]]&amp;"_"&amp;DO_DB[[#This Row],[Material Name]]</f>
        <v>CLR31-99-083_FDT-72</v>
      </c>
      <c r="Q563" t="str">
        <f>DO_DB[[#This Row],[DO Number]]</f>
        <v>DOEID24102247</v>
      </c>
      <c r="R563" t="str">
        <f>DO_DB[[#This Row],[DN Number]]</f>
        <v>DNWID0342024102208</v>
      </c>
    </row>
    <row r="564" spans="1:18">
      <c r="A564" t="s">
        <v>2308</v>
      </c>
      <c r="B564" t="s">
        <v>2309</v>
      </c>
      <c r="C564" s="172" t="s">
        <v>4482</v>
      </c>
      <c r="D564" t="s">
        <v>71</v>
      </c>
      <c r="E564" t="s">
        <v>26</v>
      </c>
      <c r="F564" t="s">
        <v>3148</v>
      </c>
      <c r="G564" t="s">
        <v>2310</v>
      </c>
      <c r="H564" t="s">
        <v>2311</v>
      </c>
      <c r="I564" s="130">
        <v>45588</v>
      </c>
      <c r="J564" t="s">
        <v>13</v>
      </c>
      <c r="K564">
        <v>26</v>
      </c>
      <c r="M5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64" t="str">
        <f>DO_DB[[#This Row],[Material Pick-update]]&amp;"_"&amp;DO_DB[[#This Row],[Material Name]]</f>
        <v>45588_FAT-16</v>
      </c>
      <c r="O564" t="str">
        <f>DO_DB[[#This Row],[SiteID]]</f>
        <v>CLR31-99-083</v>
      </c>
      <c r="P564" t="str">
        <f>DO_DB[[#This Row],[SiteID]]&amp;"_"&amp;DO_DB[[#This Row],[Material Name]]</f>
        <v>CLR31-99-083_FAT-16</v>
      </c>
      <c r="Q564" t="str">
        <f>DO_DB[[#This Row],[DO Number]]</f>
        <v>DOEID24102247</v>
      </c>
      <c r="R564" t="str">
        <f>DO_DB[[#This Row],[DN Number]]</f>
        <v>DNWID0342024102208</v>
      </c>
    </row>
    <row r="565" spans="1:18">
      <c r="A565" t="s">
        <v>2256</v>
      </c>
      <c r="B565" t="s">
        <v>2257</v>
      </c>
      <c r="C565" s="172" t="s">
        <v>4482</v>
      </c>
      <c r="D565" t="s">
        <v>71</v>
      </c>
      <c r="E565" t="s">
        <v>26</v>
      </c>
      <c r="F565" t="s">
        <v>3148</v>
      </c>
      <c r="G565" t="s">
        <v>2402</v>
      </c>
      <c r="H565" t="s">
        <v>2403</v>
      </c>
      <c r="I565" s="130">
        <v>45602</v>
      </c>
      <c r="J565" t="s">
        <v>14</v>
      </c>
      <c r="K565">
        <v>1</v>
      </c>
      <c r="M5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65" t="str">
        <f>DO_DB[[#This Row],[Material Pick-update]]&amp;"_"&amp;DO_DB[[#This Row],[Material Name]]</f>
        <v>45602_FDT-48</v>
      </c>
      <c r="O565" t="str">
        <f>DO_DB[[#This Row],[SiteID]]</f>
        <v>CLR31-09-002</v>
      </c>
      <c r="P565" t="str">
        <f>DO_DB[[#This Row],[SiteID]]&amp;"_"&amp;DO_DB[[#This Row],[Material Name]]</f>
        <v>CLR31-09-002_FDT-48</v>
      </c>
      <c r="Q565" t="str">
        <f>DO_DB[[#This Row],[DO Number]]</f>
        <v>DOEID24103166</v>
      </c>
      <c r="R565" t="str">
        <f>DO_DB[[#This Row],[DN Number]]</f>
        <v>DNWID0342024103103</v>
      </c>
    </row>
    <row r="566" spans="1:18">
      <c r="A566" t="s">
        <v>2270</v>
      </c>
      <c r="B566" t="s">
        <v>2271</v>
      </c>
      <c r="C566" s="172" t="s">
        <v>4482</v>
      </c>
      <c r="D566" t="s">
        <v>71</v>
      </c>
      <c r="E566" t="s">
        <v>26</v>
      </c>
      <c r="F566" t="s">
        <v>3148</v>
      </c>
      <c r="G566" t="s">
        <v>2404</v>
      </c>
      <c r="H566" t="s">
        <v>2405</v>
      </c>
      <c r="I566" s="130">
        <v>45602</v>
      </c>
      <c r="J566" t="s">
        <v>14</v>
      </c>
      <c r="K566">
        <v>1</v>
      </c>
      <c r="M5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66" t="str">
        <f>DO_DB[[#This Row],[Material Pick-update]]&amp;"_"&amp;DO_DB[[#This Row],[Material Name]]</f>
        <v>45602_FDT-48</v>
      </c>
      <c r="O566" t="str">
        <f>DO_DB[[#This Row],[SiteID]]</f>
        <v>CLR31-04-059</v>
      </c>
      <c r="P566" t="str">
        <f>DO_DB[[#This Row],[SiteID]]&amp;"_"&amp;DO_DB[[#This Row],[Material Name]]</f>
        <v>CLR31-04-059_FDT-48</v>
      </c>
      <c r="Q566" t="str">
        <f>DO_DB[[#This Row],[DO Number]]</f>
        <v>DOEID24103173</v>
      </c>
      <c r="R566" t="str">
        <f>DO_DB[[#This Row],[DN Number]]</f>
        <v>DNWID0342024103102</v>
      </c>
    </row>
    <row r="567" spans="1:18">
      <c r="A567" t="s">
        <v>2478</v>
      </c>
      <c r="B567" t="s">
        <v>2479</v>
      </c>
      <c r="C567" t="s">
        <v>4482</v>
      </c>
      <c r="D567" t="s">
        <v>71</v>
      </c>
      <c r="E567" t="s">
        <v>709</v>
      </c>
      <c r="F567" t="s">
        <v>3148</v>
      </c>
      <c r="G567" t="s">
        <v>2482</v>
      </c>
      <c r="H567" t="s">
        <v>2483</v>
      </c>
      <c r="I567" s="130">
        <v>45622</v>
      </c>
      <c r="J567" t="s">
        <v>3075</v>
      </c>
      <c r="K567">
        <v>3000</v>
      </c>
      <c r="M5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48C-20241126-01</v>
      </c>
      <c r="N567" t="str">
        <f>DO_DB[[#This Row],[Material Pick-update]]&amp;"_"&amp;DO_DB[[#This Row],[Material Name]]</f>
        <v>45622_ADSS 48C</v>
      </c>
      <c r="O567" t="str">
        <f>DO_DB[[#This Row],[SiteID]]</f>
        <v>CLR41-99-071</v>
      </c>
      <c r="P567" t="str">
        <f>DO_DB[[#This Row],[SiteID]]&amp;"_"&amp;DO_DB[[#This Row],[Material Name]]</f>
        <v>CLR41-99-071_ADSS 48C</v>
      </c>
      <c r="Q567" t="str">
        <f>DO_DB[[#This Row],[DO Number]]</f>
        <v>DOEID24112576</v>
      </c>
      <c r="R567" t="str">
        <f>DO_DB[[#This Row],[DN Number]]</f>
        <v>DNWID0342024112508</v>
      </c>
    </row>
    <row r="568" spans="1:18">
      <c r="A568" t="s">
        <v>2484</v>
      </c>
      <c r="B568" t="s">
        <v>2485</v>
      </c>
      <c r="C568" t="s">
        <v>4482</v>
      </c>
      <c r="D568" t="s">
        <v>71</v>
      </c>
      <c r="E568" t="s">
        <v>709</v>
      </c>
      <c r="F568" t="s">
        <v>3148</v>
      </c>
      <c r="G568" t="s">
        <v>2488</v>
      </c>
      <c r="H568" t="s">
        <v>2489</v>
      </c>
      <c r="I568" s="130">
        <v>45622</v>
      </c>
      <c r="J568" t="s">
        <v>3073</v>
      </c>
      <c r="K568">
        <v>3000</v>
      </c>
      <c r="M5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24C-20241126-01</v>
      </c>
      <c r="N568" t="str">
        <f>DO_DB[[#This Row],[Material Pick-update]]&amp;"_"&amp;DO_DB[[#This Row],[Material Name]]</f>
        <v>45622_ADSS 24C</v>
      </c>
      <c r="O568" t="str">
        <f>DO_DB[[#This Row],[SiteID]]</f>
        <v>CLR41-99-072</v>
      </c>
      <c r="P568" t="str">
        <f>DO_DB[[#This Row],[SiteID]]&amp;"_"&amp;DO_DB[[#This Row],[Material Name]]</f>
        <v>CLR41-99-072_ADSS 24C</v>
      </c>
      <c r="Q568" t="str">
        <f>DO_DB[[#This Row],[DO Number]]</f>
        <v>DOEID24112578</v>
      </c>
      <c r="R568" t="str">
        <f>DO_DB[[#This Row],[DN Number]]</f>
        <v>DNWID0342024112510</v>
      </c>
    </row>
    <row r="569" spans="1:18">
      <c r="A569" t="s">
        <v>2484</v>
      </c>
      <c r="B569" t="s">
        <v>2485</v>
      </c>
      <c r="C569" t="s">
        <v>4482</v>
      </c>
      <c r="D569" t="s">
        <v>71</v>
      </c>
      <c r="E569" t="s">
        <v>709</v>
      </c>
      <c r="F569" t="s">
        <v>3148</v>
      </c>
      <c r="G569" t="s">
        <v>2488</v>
      </c>
      <c r="H569" t="s">
        <v>2489</v>
      </c>
      <c r="I569" s="130">
        <v>45622</v>
      </c>
      <c r="J569" t="s">
        <v>3075</v>
      </c>
      <c r="K569">
        <v>3000</v>
      </c>
      <c r="M5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48C-20241126-01</v>
      </c>
      <c r="N569" t="str">
        <f>DO_DB[[#This Row],[Material Pick-update]]&amp;"_"&amp;DO_DB[[#This Row],[Material Name]]</f>
        <v>45622_ADSS 48C</v>
      </c>
      <c r="O569" t="str">
        <f>DO_DB[[#This Row],[SiteID]]</f>
        <v>CLR41-99-072</v>
      </c>
      <c r="P569" t="str">
        <f>DO_DB[[#This Row],[SiteID]]&amp;"_"&amp;DO_DB[[#This Row],[Material Name]]</f>
        <v>CLR41-99-072_ADSS 48C</v>
      </c>
      <c r="Q569" t="str">
        <f>DO_DB[[#This Row],[DO Number]]</f>
        <v>DOEID24112578</v>
      </c>
      <c r="R569" t="str">
        <f>DO_DB[[#This Row],[DN Number]]</f>
        <v>DNWID0342024112510</v>
      </c>
    </row>
    <row r="570" spans="1:18">
      <c r="A570" t="s">
        <v>2490</v>
      </c>
      <c r="B570" t="s">
        <v>2491</v>
      </c>
      <c r="C570" t="s">
        <v>4482</v>
      </c>
      <c r="D570" t="s">
        <v>71</v>
      </c>
      <c r="E570" t="s">
        <v>709</v>
      </c>
      <c r="F570" t="s">
        <v>3148</v>
      </c>
      <c r="G570" t="s">
        <v>2494</v>
      </c>
      <c r="H570" t="s">
        <v>2495</v>
      </c>
      <c r="I570" s="130">
        <v>45622</v>
      </c>
      <c r="J570" t="s">
        <v>3073</v>
      </c>
      <c r="K570">
        <v>3000</v>
      </c>
      <c r="M5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24C-20241126-01</v>
      </c>
      <c r="N570" t="str">
        <f>DO_DB[[#This Row],[Material Pick-update]]&amp;"_"&amp;DO_DB[[#This Row],[Material Name]]</f>
        <v>45622_ADSS 24C</v>
      </c>
      <c r="O570" t="str">
        <f>DO_DB[[#This Row],[SiteID]]</f>
        <v>CLR41-99-073</v>
      </c>
      <c r="P570" t="str">
        <f>DO_DB[[#This Row],[SiteID]]&amp;"_"&amp;DO_DB[[#This Row],[Material Name]]</f>
        <v>CLR41-99-073_ADSS 24C</v>
      </c>
      <c r="Q570" t="str">
        <f>DO_DB[[#This Row],[DO Number]]</f>
        <v>DOEID24112580</v>
      </c>
      <c r="R570" t="str">
        <f>DO_DB[[#This Row],[DN Number]]</f>
        <v>DNWID0342024112512</v>
      </c>
    </row>
    <row r="571" spans="1:18">
      <c r="A571" t="s">
        <v>2478</v>
      </c>
      <c r="B571" t="s">
        <v>2479</v>
      </c>
      <c r="C571" t="s">
        <v>4482</v>
      </c>
      <c r="D571" t="s">
        <v>71</v>
      </c>
      <c r="E571" t="s">
        <v>709</v>
      </c>
      <c r="F571" t="s">
        <v>3148</v>
      </c>
      <c r="G571" t="s">
        <v>2480</v>
      </c>
      <c r="H571" t="s">
        <v>2481</v>
      </c>
      <c r="I571" s="130">
        <v>45622</v>
      </c>
      <c r="J571" t="s">
        <v>3069</v>
      </c>
      <c r="K571">
        <v>56</v>
      </c>
      <c r="M5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71" t="str">
        <f>DO_DB[[#This Row],[Material Pick-update]]&amp;"_"&amp;DO_DB[[#This Row],[Material Name]]</f>
        <v>45622_Pole 7M 4"</v>
      </c>
      <c r="O571" t="str">
        <f>DO_DB[[#This Row],[SiteID]]</f>
        <v>CLR41-99-071</v>
      </c>
      <c r="P571" t="str">
        <f>DO_DB[[#This Row],[SiteID]]&amp;"_"&amp;DO_DB[[#This Row],[Material Name]]</f>
        <v>CLR41-99-071_Pole 7M 4"</v>
      </c>
      <c r="Q571" t="str">
        <f>DO_DB[[#This Row],[DO Number]]</f>
        <v>DOEID24112575</v>
      </c>
      <c r="R571" t="str">
        <f>DO_DB[[#This Row],[DN Number]]</f>
        <v>DNWID0362024112513</v>
      </c>
    </row>
    <row r="572" spans="1:18">
      <c r="A572" t="s">
        <v>2478</v>
      </c>
      <c r="B572" t="s">
        <v>2479</v>
      </c>
      <c r="C572" t="s">
        <v>4482</v>
      </c>
      <c r="D572" t="s">
        <v>71</v>
      </c>
      <c r="E572" t="s">
        <v>709</v>
      </c>
      <c r="F572" t="s">
        <v>3148</v>
      </c>
      <c r="G572" t="s">
        <v>2480</v>
      </c>
      <c r="H572" t="s">
        <v>2481</v>
      </c>
      <c r="I572" s="130">
        <v>45622</v>
      </c>
      <c r="J572" t="s">
        <v>3070</v>
      </c>
      <c r="K572">
        <v>3</v>
      </c>
      <c r="M5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72" t="str">
        <f>DO_DB[[#This Row],[Material Pick-update]]&amp;"_"&amp;DO_DB[[#This Row],[Material Name]]</f>
        <v>45622_Pole 7M 3"</v>
      </c>
      <c r="O572" t="str">
        <f>DO_DB[[#This Row],[SiteID]]</f>
        <v>CLR41-99-071</v>
      </c>
      <c r="P572" t="str">
        <f>DO_DB[[#This Row],[SiteID]]&amp;"_"&amp;DO_DB[[#This Row],[Material Name]]</f>
        <v>CLR41-99-071_Pole 7M 3"</v>
      </c>
      <c r="Q572" t="str">
        <f>DO_DB[[#This Row],[DO Number]]</f>
        <v>DOEID24112575</v>
      </c>
      <c r="R572" t="str">
        <f>DO_DB[[#This Row],[DN Number]]</f>
        <v>DNWID0362024112513</v>
      </c>
    </row>
    <row r="573" spans="1:18">
      <c r="A573" t="s">
        <v>2478</v>
      </c>
      <c r="B573" t="s">
        <v>2479</v>
      </c>
      <c r="C573" t="s">
        <v>4482</v>
      </c>
      <c r="D573" t="s">
        <v>71</v>
      </c>
      <c r="E573" t="s">
        <v>709</v>
      </c>
      <c r="F573" t="s">
        <v>3148</v>
      </c>
      <c r="G573" t="s">
        <v>2480</v>
      </c>
      <c r="H573" t="s">
        <v>2481</v>
      </c>
      <c r="I573" s="130">
        <v>45622</v>
      </c>
      <c r="J573" t="s">
        <v>3071</v>
      </c>
      <c r="K573">
        <v>1</v>
      </c>
      <c r="M5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73" t="str">
        <f>DO_DB[[#This Row],[Material Pick-update]]&amp;"_"&amp;DO_DB[[#This Row],[Material Name]]</f>
        <v>45622_Pole 9M</v>
      </c>
      <c r="O573" t="str">
        <f>DO_DB[[#This Row],[SiteID]]</f>
        <v>CLR41-99-071</v>
      </c>
      <c r="P573" t="str">
        <f>DO_DB[[#This Row],[SiteID]]&amp;"_"&amp;DO_DB[[#This Row],[Material Name]]</f>
        <v>CLR41-99-071_Pole 9M</v>
      </c>
      <c r="Q573" t="str">
        <f>DO_DB[[#This Row],[DO Number]]</f>
        <v>DOEID24112575</v>
      </c>
      <c r="R573" t="str">
        <f>DO_DB[[#This Row],[DN Number]]</f>
        <v>DNWID0362024112513</v>
      </c>
    </row>
    <row r="574" spans="1:18">
      <c r="A574" t="s">
        <v>2478</v>
      </c>
      <c r="B574" t="s">
        <v>2479</v>
      </c>
      <c r="C574" t="s">
        <v>4482</v>
      </c>
      <c r="D574" t="s">
        <v>71</v>
      </c>
      <c r="E574" t="s">
        <v>709</v>
      </c>
      <c r="F574" t="s">
        <v>3148</v>
      </c>
      <c r="G574" t="s">
        <v>2480</v>
      </c>
      <c r="H574" t="s">
        <v>2481</v>
      </c>
      <c r="I574" s="130">
        <v>45622</v>
      </c>
      <c r="J574" t="s">
        <v>4856</v>
      </c>
      <c r="K574">
        <v>1</v>
      </c>
      <c r="M5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74" t="str">
        <f>DO_DB[[#This Row],[Material Pick-update]]&amp;"_"&amp;DO_DB[[#This Row],[Material Name]]</f>
        <v>45622_JC 144Core</v>
      </c>
      <c r="O574" t="str">
        <f>DO_DB[[#This Row],[SiteID]]</f>
        <v>CLR41-99-071</v>
      </c>
      <c r="P574" t="str">
        <f>DO_DB[[#This Row],[SiteID]]&amp;"_"&amp;DO_DB[[#This Row],[Material Name]]</f>
        <v>CLR41-99-071_JC 144Core</v>
      </c>
      <c r="Q574" t="str">
        <f>DO_DB[[#This Row],[DO Number]]</f>
        <v>DOEID24112575</v>
      </c>
      <c r="R574" t="str">
        <f>DO_DB[[#This Row],[DN Number]]</f>
        <v>DNWID0362024112513</v>
      </c>
    </row>
    <row r="575" spans="1:18">
      <c r="A575" t="s">
        <v>2478</v>
      </c>
      <c r="B575" t="s">
        <v>2479</v>
      </c>
      <c r="C575" t="s">
        <v>4482</v>
      </c>
      <c r="D575" t="s">
        <v>71</v>
      </c>
      <c r="E575" t="s">
        <v>709</v>
      </c>
      <c r="F575" t="s">
        <v>3148</v>
      </c>
      <c r="G575" t="s">
        <v>2482</v>
      </c>
      <c r="H575" t="s">
        <v>2483</v>
      </c>
      <c r="I575" s="130">
        <v>45622</v>
      </c>
      <c r="J575" t="s">
        <v>15</v>
      </c>
      <c r="K575">
        <v>1</v>
      </c>
      <c r="M5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75" t="str">
        <f>DO_DB[[#This Row],[Material Pick-update]]&amp;"_"&amp;DO_DB[[#This Row],[Material Name]]</f>
        <v>45622_FDT-72</v>
      </c>
      <c r="O575" t="str">
        <f>DO_DB[[#This Row],[SiteID]]</f>
        <v>CLR41-99-071</v>
      </c>
      <c r="P575" t="str">
        <f>DO_DB[[#This Row],[SiteID]]&amp;"_"&amp;DO_DB[[#This Row],[Material Name]]</f>
        <v>CLR41-99-071_FDT-72</v>
      </c>
      <c r="Q575" t="str">
        <f>DO_DB[[#This Row],[DO Number]]</f>
        <v>DOEID24112576</v>
      </c>
      <c r="R575" t="str">
        <f>DO_DB[[#This Row],[DN Number]]</f>
        <v>DNWID0342024112508</v>
      </c>
    </row>
    <row r="576" spans="1:18">
      <c r="A576" t="s">
        <v>2478</v>
      </c>
      <c r="B576" t="s">
        <v>2479</v>
      </c>
      <c r="C576" t="s">
        <v>4482</v>
      </c>
      <c r="D576" t="s">
        <v>71</v>
      </c>
      <c r="E576" t="s">
        <v>709</v>
      </c>
      <c r="F576" t="s">
        <v>3148</v>
      </c>
      <c r="G576" t="s">
        <v>2482</v>
      </c>
      <c r="H576" t="s">
        <v>2483</v>
      </c>
      <c r="I576" s="130">
        <v>45622</v>
      </c>
      <c r="J576" t="s">
        <v>13</v>
      </c>
      <c r="K576">
        <v>18</v>
      </c>
      <c r="M5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76" t="str">
        <f>DO_DB[[#This Row],[Material Pick-update]]&amp;"_"&amp;DO_DB[[#This Row],[Material Name]]</f>
        <v>45622_FAT-16</v>
      </c>
      <c r="O576" t="str">
        <f>DO_DB[[#This Row],[SiteID]]</f>
        <v>CLR41-99-071</v>
      </c>
      <c r="P576" t="str">
        <f>DO_DB[[#This Row],[SiteID]]&amp;"_"&amp;DO_DB[[#This Row],[Material Name]]</f>
        <v>CLR41-99-071_FAT-16</v>
      </c>
      <c r="Q576" t="str">
        <f>DO_DB[[#This Row],[DO Number]]</f>
        <v>DOEID24112576</v>
      </c>
      <c r="R576" t="str">
        <f>DO_DB[[#This Row],[DN Number]]</f>
        <v>DNWID0342024112508</v>
      </c>
    </row>
    <row r="577" spans="1:18">
      <c r="A577" t="s">
        <v>2484</v>
      </c>
      <c r="B577" t="s">
        <v>2485</v>
      </c>
      <c r="C577" t="s">
        <v>4482</v>
      </c>
      <c r="D577" t="s">
        <v>71</v>
      </c>
      <c r="E577" t="s">
        <v>709</v>
      </c>
      <c r="F577" t="s">
        <v>3148</v>
      </c>
      <c r="G577" t="s">
        <v>2486</v>
      </c>
      <c r="H577" t="s">
        <v>2487</v>
      </c>
      <c r="I577" s="130">
        <v>45622</v>
      </c>
      <c r="J577" t="s">
        <v>3069</v>
      </c>
      <c r="K577">
        <v>35</v>
      </c>
      <c r="M5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77" t="str">
        <f>DO_DB[[#This Row],[Material Pick-update]]&amp;"_"&amp;DO_DB[[#This Row],[Material Name]]</f>
        <v>45622_Pole 7M 4"</v>
      </c>
      <c r="O577" t="str">
        <f>DO_DB[[#This Row],[SiteID]]</f>
        <v>CLR41-99-072</v>
      </c>
      <c r="P577" t="str">
        <f>DO_DB[[#This Row],[SiteID]]&amp;"_"&amp;DO_DB[[#This Row],[Material Name]]</f>
        <v>CLR41-99-072_Pole 7M 4"</v>
      </c>
      <c r="Q577" t="str">
        <f>DO_DB[[#This Row],[DO Number]]</f>
        <v>DOEID24112577</v>
      </c>
      <c r="R577" t="str">
        <f>DO_DB[[#This Row],[DN Number]]</f>
        <v>DNWID0362024112512</v>
      </c>
    </row>
    <row r="578" spans="1:18">
      <c r="A578" t="s">
        <v>2484</v>
      </c>
      <c r="B578" t="s">
        <v>2485</v>
      </c>
      <c r="C578" t="s">
        <v>4482</v>
      </c>
      <c r="D578" t="s">
        <v>71</v>
      </c>
      <c r="E578" t="s">
        <v>709</v>
      </c>
      <c r="F578" t="s">
        <v>3148</v>
      </c>
      <c r="G578" t="s">
        <v>2486</v>
      </c>
      <c r="H578" t="s">
        <v>2487</v>
      </c>
      <c r="I578" s="130">
        <v>45622</v>
      </c>
      <c r="J578" t="s">
        <v>3070</v>
      </c>
      <c r="K578">
        <v>5</v>
      </c>
      <c r="M5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78" t="str">
        <f>DO_DB[[#This Row],[Material Pick-update]]&amp;"_"&amp;DO_DB[[#This Row],[Material Name]]</f>
        <v>45622_Pole 7M 3"</v>
      </c>
      <c r="O578" t="str">
        <f>DO_DB[[#This Row],[SiteID]]</f>
        <v>CLR41-99-072</v>
      </c>
      <c r="P578" t="str">
        <f>DO_DB[[#This Row],[SiteID]]&amp;"_"&amp;DO_DB[[#This Row],[Material Name]]</f>
        <v>CLR41-99-072_Pole 7M 3"</v>
      </c>
      <c r="Q578" t="str">
        <f>DO_DB[[#This Row],[DO Number]]</f>
        <v>DOEID24112577</v>
      </c>
      <c r="R578" t="str">
        <f>DO_DB[[#This Row],[DN Number]]</f>
        <v>DNWID0362024112512</v>
      </c>
    </row>
    <row r="579" spans="1:18">
      <c r="A579" t="s">
        <v>2484</v>
      </c>
      <c r="B579" t="s">
        <v>2485</v>
      </c>
      <c r="C579" t="s">
        <v>4482</v>
      </c>
      <c r="D579" t="s">
        <v>71</v>
      </c>
      <c r="E579" t="s">
        <v>709</v>
      </c>
      <c r="F579" t="s">
        <v>3148</v>
      </c>
      <c r="G579" t="s">
        <v>2486</v>
      </c>
      <c r="H579" t="s">
        <v>2487</v>
      </c>
      <c r="I579" s="130">
        <v>45622</v>
      </c>
      <c r="J579" t="s">
        <v>4856</v>
      </c>
      <c r="K579">
        <v>1</v>
      </c>
      <c r="M5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79" t="str">
        <f>DO_DB[[#This Row],[Material Pick-update]]&amp;"_"&amp;DO_DB[[#This Row],[Material Name]]</f>
        <v>45622_JC 144Core</v>
      </c>
      <c r="O579" t="str">
        <f>DO_DB[[#This Row],[SiteID]]</f>
        <v>CLR41-99-072</v>
      </c>
      <c r="P579" t="str">
        <f>DO_DB[[#This Row],[SiteID]]&amp;"_"&amp;DO_DB[[#This Row],[Material Name]]</f>
        <v>CLR41-99-072_JC 144Core</v>
      </c>
      <c r="Q579" t="str">
        <f>DO_DB[[#This Row],[DO Number]]</f>
        <v>DOEID24112577</v>
      </c>
      <c r="R579" t="str">
        <f>DO_DB[[#This Row],[DN Number]]</f>
        <v>DNWID0362024112512</v>
      </c>
    </row>
    <row r="580" spans="1:18">
      <c r="A580" t="s">
        <v>2484</v>
      </c>
      <c r="B580" t="s">
        <v>2485</v>
      </c>
      <c r="C580" t="s">
        <v>4482</v>
      </c>
      <c r="D580" t="s">
        <v>71</v>
      </c>
      <c r="E580" t="s">
        <v>709</v>
      </c>
      <c r="F580" t="s">
        <v>3148</v>
      </c>
      <c r="G580" t="s">
        <v>2488</v>
      </c>
      <c r="H580" t="s">
        <v>2489</v>
      </c>
      <c r="I580" s="130">
        <v>45622</v>
      </c>
      <c r="J580" t="s">
        <v>15</v>
      </c>
      <c r="K580">
        <v>1</v>
      </c>
      <c r="M5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80" t="str">
        <f>DO_DB[[#This Row],[Material Pick-update]]&amp;"_"&amp;DO_DB[[#This Row],[Material Name]]</f>
        <v>45622_FDT-72</v>
      </c>
      <c r="O580" t="str">
        <f>DO_DB[[#This Row],[SiteID]]</f>
        <v>CLR41-99-072</v>
      </c>
      <c r="P580" t="str">
        <f>DO_DB[[#This Row],[SiteID]]&amp;"_"&amp;DO_DB[[#This Row],[Material Name]]</f>
        <v>CLR41-99-072_FDT-72</v>
      </c>
      <c r="Q580" t="str">
        <f>DO_DB[[#This Row],[DO Number]]</f>
        <v>DOEID24112578</v>
      </c>
      <c r="R580" t="str">
        <f>DO_DB[[#This Row],[DN Number]]</f>
        <v>DNWID0342024112510</v>
      </c>
    </row>
    <row r="581" spans="1:18">
      <c r="A581" t="s">
        <v>2484</v>
      </c>
      <c r="B581" t="s">
        <v>2485</v>
      </c>
      <c r="C581" t="s">
        <v>4482</v>
      </c>
      <c r="D581" t="s">
        <v>71</v>
      </c>
      <c r="E581" t="s">
        <v>709</v>
      </c>
      <c r="F581" t="s">
        <v>3148</v>
      </c>
      <c r="G581" t="s">
        <v>2488</v>
      </c>
      <c r="H581" t="s">
        <v>2489</v>
      </c>
      <c r="I581" s="130">
        <v>45622</v>
      </c>
      <c r="J581" t="s">
        <v>13</v>
      </c>
      <c r="K581">
        <v>15</v>
      </c>
      <c r="M5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81" t="str">
        <f>DO_DB[[#This Row],[Material Pick-update]]&amp;"_"&amp;DO_DB[[#This Row],[Material Name]]</f>
        <v>45622_FAT-16</v>
      </c>
      <c r="O581" t="str">
        <f>DO_DB[[#This Row],[SiteID]]</f>
        <v>CLR41-99-072</v>
      </c>
      <c r="P581" t="str">
        <f>DO_DB[[#This Row],[SiteID]]&amp;"_"&amp;DO_DB[[#This Row],[Material Name]]</f>
        <v>CLR41-99-072_FAT-16</v>
      </c>
      <c r="Q581" t="str">
        <f>DO_DB[[#This Row],[DO Number]]</f>
        <v>DOEID24112578</v>
      </c>
      <c r="R581" t="str">
        <f>DO_DB[[#This Row],[DN Number]]</f>
        <v>DNWID0342024112510</v>
      </c>
    </row>
    <row r="582" spans="1:18">
      <c r="A582" t="s">
        <v>2490</v>
      </c>
      <c r="B582" t="s">
        <v>2491</v>
      </c>
      <c r="C582" t="s">
        <v>4482</v>
      </c>
      <c r="D582" t="s">
        <v>71</v>
      </c>
      <c r="E582" t="s">
        <v>709</v>
      </c>
      <c r="F582" t="s">
        <v>3148</v>
      </c>
      <c r="G582" t="s">
        <v>2492</v>
      </c>
      <c r="H582" t="s">
        <v>2493</v>
      </c>
      <c r="I582" s="130">
        <v>45622</v>
      </c>
      <c r="J582" t="s">
        <v>3069</v>
      </c>
      <c r="K582">
        <v>29</v>
      </c>
      <c r="M5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82" t="str">
        <f>DO_DB[[#This Row],[Material Pick-update]]&amp;"_"&amp;DO_DB[[#This Row],[Material Name]]</f>
        <v>45622_Pole 7M 4"</v>
      </c>
      <c r="O582" t="str">
        <f>DO_DB[[#This Row],[SiteID]]</f>
        <v>CLR41-99-073</v>
      </c>
      <c r="P582" t="str">
        <f>DO_DB[[#This Row],[SiteID]]&amp;"_"&amp;DO_DB[[#This Row],[Material Name]]</f>
        <v>CLR41-99-073_Pole 7M 4"</v>
      </c>
      <c r="Q582" t="str">
        <f>DO_DB[[#This Row],[DO Number]]</f>
        <v>DOEID24112579</v>
      </c>
      <c r="R582" t="str">
        <f>DO_DB[[#This Row],[DN Number]]</f>
        <v>DNWID0362024112511</v>
      </c>
    </row>
    <row r="583" spans="1:18">
      <c r="A583" t="s">
        <v>2490</v>
      </c>
      <c r="B583" t="s">
        <v>2491</v>
      </c>
      <c r="C583" t="s">
        <v>4482</v>
      </c>
      <c r="D583" t="s">
        <v>71</v>
      </c>
      <c r="E583" t="s">
        <v>709</v>
      </c>
      <c r="F583" t="s">
        <v>3148</v>
      </c>
      <c r="G583" t="s">
        <v>2492</v>
      </c>
      <c r="H583" t="s">
        <v>2493</v>
      </c>
      <c r="I583" s="130">
        <v>45622</v>
      </c>
      <c r="J583" s="172" t="s">
        <v>3070</v>
      </c>
      <c r="K583">
        <v>7</v>
      </c>
      <c r="M5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83" t="str">
        <f>DO_DB[[#This Row],[Material Pick-update]]&amp;"_"&amp;DO_DB[[#This Row],[Material Name]]</f>
        <v>45622_Pole 7M 3"</v>
      </c>
      <c r="O583" t="str">
        <f>DO_DB[[#This Row],[SiteID]]</f>
        <v>CLR41-99-073</v>
      </c>
      <c r="P583" t="str">
        <f>DO_DB[[#This Row],[SiteID]]&amp;"_"&amp;DO_DB[[#This Row],[Material Name]]</f>
        <v>CLR41-99-073_Pole 7M 3"</v>
      </c>
      <c r="Q583" t="str">
        <f>DO_DB[[#This Row],[DO Number]]</f>
        <v>DOEID24112579</v>
      </c>
      <c r="R583" t="str">
        <f>DO_DB[[#This Row],[DN Number]]</f>
        <v>DNWID0362024112511</v>
      </c>
    </row>
    <row r="584" spans="1:18">
      <c r="A584" t="s">
        <v>2490</v>
      </c>
      <c r="B584" t="s">
        <v>2491</v>
      </c>
      <c r="C584" t="s">
        <v>4482</v>
      </c>
      <c r="D584" t="s">
        <v>71</v>
      </c>
      <c r="E584" t="s">
        <v>709</v>
      </c>
      <c r="F584" t="s">
        <v>3148</v>
      </c>
      <c r="G584" t="s">
        <v>2494</v>
      </c>
      <c r="H584" t="s">
        <v>2495</v>
      </c>
      <c r="I584" s="130">
        <v>45622</v>
      </c>
      <c r="J584" s="172" t="s">
        <v>13</v>
      </c>
      <c r="K584">
        <v>10</v>
      </c>
      <c r="M5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84" t="str">
        <f>DO_DB[[#This Row],[Material Pick-update]]&amp;"_"&amp;DO_DB[[#This Row],[Material Name]]</f>
        <v>45622_FAT-16</v>
      </c>
      <c r="O584" t="str">
        <f>DO_DB[[#This Row],[SiteID]]</f>
        <v>CLR41-99-073</v>
      </c>
      <c r="P584" t="str">
        <f>DO_DB[[#This Row],[SiteID]]&amp;"_"&amp;DO_DB[[#This Row],[Material Name]]</f>
        <v>CLR41-99-073_FAT-16</v>
      </c>
      <c r="Q584" t="str">
        <f>DO_DB[[#This Row],[DO Number]]</f>
        <v>DOEID24112580</v>
      </c>
      <c r="R584" t="str">
        <f>DO_DB[[#This Row],[DN Number]]</f>
        <v>DNWID0342024112512</v>
      </c>
    </row>
    <row r="585" spans="1:18">
      <c r="A585" t="s">
        <v>2472</v>
      </c>
      <c r="B585" t="s">
        <v>2473</v>
      </c>
      <c r="C585" s="172" t="s">
        <v>4482</v>
      </c>
      <c r="D585" t="s">
        <v>71</v>
      </c>
      <c r="E585" t="s">
        <v>26</v>
      </c>
      <c r="F585" t="s">
        <v>3148</v>
      </c>
      <c r="G585" t="s">
        <v>2476</v>
      </c>
      <c r="H585" t="s">
        <v>2477</v>
      </c>
      <c r="I585" s="130">
        <v>45622</v>
      </c>
      <c r="J585" t="s">
        <v>3073</v>
      </c>
      <c r="K585">
        <v>3000</v>
      </c>
      <c r="M5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24C-20241126-01</v>
      </c>
      <c r="N585" t="str">
        <f>DO_DB[[#This Row],[Material Pick-update]]&amp;"_"&amp;DO_DB[[#This Row],[Material Name]]</f>
        <v>45622_ADSS 24C</v>
      </c>
      <c r="O585" t="str">
        <f>DO_DB[[#This Row],[SiteID]]</f>
        <v>CLR31-04-012</v>
      </c>
      <c r="P585" t="str">
        <f>DO_DB[[#This Row],[SiteID]]&amp;"_"&amp;DO_DB[[#This Row],[Material Name]]</f>
        <v>CLR31-04-012_ADSS 24C</v>
      </c>
      <c r="Q585" t="str">
        <f>DO_DB[[#This Row],[DO Number]]</f>
        <v>DOEID24112569</v>
      </c>
      <c r="R585" t="str">
        <f>DO_DB[[#This Row],[DN Number]]</f>
        <v>DNWID0342024112511</v>
      </c>
    </row>
    <row r="586" spans="1:18">
      <c r="A586" t="s">
        <v>2472</v>
      </c>
      <c r="B586" t="s">
        <v>2473</v>
      </c>
      <c r="C586" s="172" t="s">
        <v>4482</v>
      </c>
      <c r="D586" t="s">
        <v>71</v>
      </c>
      <c r="E586" t="s">
        <v>26</v>
      </c>
      <c r="F586" t="s">
        <v>3148</v>
      </c>
      <c r="G586" t="s">
        <v>2476</v>
      </c>
      <c r="H586" t="s">
        <v>2477</v>
      </c>
      <c r="I586" s="130">
        <v>45622</v>
      </c>
      <c r="J586" t="s">
        <v>3075</v>
      </c>
      <c r="K586">
        <v>3000</v>
      </c>
      <c r="M5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48C-20241126-01</v>
      </c>
      <c r="N586" t="str">
        <f>DO_DB[[#This Row],[Material Pick-update]]&amp;"_"&amp;DO_DB[[#This Row],[Material Name]]</f>
        <v>45622_ADSS 48C</v>
      </c>
      <c r="O586" t="str">
        <f>DO_DB[[#This Row],[SiteID]]</f>
        <v>CLR31-04-012</v>
      </c>
      <c r="P586" t="str">
        <f>DO_DB[[#This Row],[SiteID]]&amp;"_"&amp;DO_DB[[#This Row],[Material Name]]</f>
        <v>CLR31-04-012_ADSS 48C</v>
      </c>
      <c r="Q586" t="str">
        <f>DO_DB[[#This Row],[DO Number]]</f>
        <v>DOEID24112569</v>
      </c>
      <c r="R586" t="str">
        <f>DO_DB[[#This Row],[DN Number]]</f>
        <v>DNWID0342024112511</v>
      </c>
    </row>
    <row r="587" spans="1:18">
      <c r="A587" t="s">
        <v>2496</v>
      </c>
      <c r="B587" t="s">
        <v>2497</v>
      </c>
      <c r="C587" s="172" t="s">
        <v>4482</v>
      </c>
      <c r="D587" t="s">
        <v>71</v>
      </c>
      <c r="E587" t="s">
        <v>26</v>
      </c>
      <c r="F587" t="s">
        <v>3148</v>
      </c>
      <c r="G587" t="s">
        <v>2500</v>
      </c>
      <c r="H587" t="s">
        <v>2501</v>
      </c>
      <c r="I587" s="130">
        <v>45622</v>
      </c>
      <c r="J587" t="s">
        <v>3073</v>
      </c>
      <c r="K587">
        <v>3000</v>
      </c>
      <c r="M5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24C-20241126-01</v>
      </c>
      <c r="N587" t="str">
        <f>DO_DB[[#This Row],[Material Pick-update]]&amp;"_"&amp;DO_DB[[#This Row],[Material Name]]</f>
        <v>45622_ADSS 24C</v>
      </c>
      <c r="O587" t="str">
        <f>DO_DB[[#This Row],[SiteID]]</f>
        <v>CLR31-99-107</v>
      </c>
      <c r="P587" t="str">
        <f>DO_DB[[#This Row],[SiteID]]&amp;"_"&amp;DO_DB[[#This Row],[Material Name]]</f>
        <v>CLR31-99-107_ADSS 24C</v>
      </c>
      <c r="Q587" t="str">
        <f>DO_DB[[#This Row],[DO Number]]</f>
        <v>DOEID24112582</v>
      </c>
      <c r="R587" t="str">
        <f>DO_DB[[#This Row],[DN Number]]</f>
        <v>DNWID0342024112509</v>
      </c>
    </row>
    <row r="588" spans="1:18">
      <c r="A588" t="s">
        <v>2472</v>
      </c>
      <c r="B588" t="s">
        <v>2473</v>
      </c>
      <c r="C588" s="172" t="s">
        <v>4482</v>
      </c>
      <c r="D588" t="s">
        <v>71</v>
      </c>
      <c r="E588" t="s">
        <v>26</v>
      </c>
      <c r="F588" t="s">
        <v>3148</v>
      </c>
      <c r="G588" t="s">
        <v>2474</v>
      </c>
      <c r="H588" t="s">
        <v>2475</v>
      </c>
      <c r="I588" s="130">
        <v>45622</v>
      </c>
      <c r="J588" t="s">
        <v>3069</v>
      </c>
      <c r="K588">
        <v>60</v>
      </c>
      <c r="M5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88" t="str">
        <f>DO_DB[[#This Row],[Material Pick-update]]&amp;"_"&amp;DO_DB[[#This Row],[Material Name]]</f>
        <v>45622_Pole 7M 4"</v>
      </c>
      <c r="O588" t="str">
        <f>DO_DB[[#This Row],[SiteID]]</f>
        <v>CLR31-04-012</v>
      </c>
      <c r="P588" t="str">
        <f>DO_DB[[#This Row],[SiteID]]&amp;"_"&amp;DO_DB[[#This Row],[Material Name]]</f>
        <v>CLR31-04-012_Pole 7M 4"</v>
      </c>
      <c r="Q588" t="str">
        <f>DO_DB[[#This Row],[DO Number]]</f>
        <v>DOEID24112568</v>
      </c>
      <c r="R588" t="str">
        <f>DO_DB[[#This Row],[DN Number]]</f>
        <v>DNWID0362024112514</v>
      </c>
    </row>
    <row r="589" spans="1:18">
      <c r="A589" t="s">
        <v>2472</v>
      </c>
      <c r="B589" t="s">
        <v>2473</v>
      </c>
      <c r="C589" s="172" t="s">
        <v>4482</v>
      </c>
      <c r="D589" t="s">
        <v>71</v>
      </c>
      <c r="E589" t="s">
        <v>26</v>
      </c>
      <c r="F589" t="s">
        <v>3148</v>
      </c>
      <c r="G589" t="s">
        <v>2474</v>
      </c>
      <c r="H589" t="s">
        <v>2475</v>
      </c>
      <c r="I589" s="130">
        <v>45622</v>
      </c>
      <c r="J589" t="s">
        <v>3070</v>
      </c>
      <c r="K589">
        <v>14</v>
      </c>
      <c r="M5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89" t="str">
        <f>DO_DB[[#This Row],[Material Pick-update]]&amp;"_"&amp;DO_DB[[#This Row],[Material Name]]</f>
        <v>45622_Pole 7M 3"</v>
      </c>
      <c r="O589" t="str">
        <f>DO_DB[[#This Row],[SiteID]]</f>
        <v>CLR31-04-012</v>
      </c>
      <c r="P589" t="str">
        <f>DO_DB[[#This Row],[SiteID]]&amp;"_"&amp;DO_DB[[#This Row],[Material Name]]</f>
        <v>CLR31-04-012_Pole 7M 3"</v>
      </c>
      <c r="Q589" t="str">
        <f>DO_DB[[#This Row],[DO Number]]</f>
        <v>DOEID24112568</v>
      </c>
      <c r="R589" t="str">
        <f>DO_DB[[#This Row],[DN Number]]</f>
        <v>DNWID0362024112514</v>
      </c>
    </row>
    <row r="590" spans="1:18">
      <c r="A590" t="s">
        <v>2472</v>
      </c>
      <c r="B590" t="s">
        <v>2473</v>
      </c>
      <c r="C590" s="172" t="s">
        <v>4482</v>
      </c>
      <c r="D590" t="s">
        <v>71</v>
      </c>
      <c r="E590" t="s">
        <v>26</v>
      </c>
      <c r="F590" t="s">
        <v>3148</v>
      </c>
      <c r="G590" t="s">
        <v>2474</v>
      </c>
      <c r="H590" t="s">
        <v>2475</v>
      </c>
      <c r="I590" s="130">
        <v>45622</v>
      </c>
      <c r="J590" t="s">
        <v>4856</v>
      </c>
      <c r="K590">
        <v>1</v>
      </c>
      <c r="M5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90" t="str">
        <f>DO_DB[[#This Row],[Material Pick-update]]&amp;"_"&amp;DO_DB[[#This Row],[Material Name]]</f>
        <v>45622_JC 144Core</v>
      </c>
      <c r="O590" t="str">
        <f>DO_DB[[#This Row],[SiteID]]</f>
        <v>CLR31-04-012</v>
      </c>
      <c r="P590" t="str">
        <f>DO_DB[[#This Row],[SiteID]]&amp;"_"&amp;DO_DB[[#This Row],[Material Name]]</f>
        <v>CLR31-04-012_JC 144Core</v>
      </c>
      <c r="Q590" t="str">
        <f>DO_DB[[#This Row],[DO Number]]</f>
        <v>DOEID24112568</v>
      </c>
      <c r="R590" t="str">
        <f>DO_DB[[#This Row],[DN Number]]</f>
        <v>DNWID0362024112514</v>
      </c>
    </row>
    <row r="591" spans="1:18">
      <c r="A591" t="s">
        <v>2472</v>
      </c>
      <c r="B591" t="s">
        <v>2473</v>
      </c>
      <c r="C591" s="172" t="s">
        <v>4482</v>
      </c>
      <c r="D591" t="s">
        <v>71</v>
      </c>
      <c r="E591" t="s">
        <v>26</v>
      </c>
      <c r="F591" t="s">
        <v>3148</v>
      </c>
      <c r="G591" t="s">
        <v>2476</v>
      </c>
      <c r="H591" t="s">
        <v>2477</v>
      </c>
      <c r="I591" s="130">
        <v>45622</v>
      </c>
      <c r="J591" t="s">
        <v>15</v>
      </c>
      <c r="K591">
        <v>1</v>
      </c>
      <c r="M5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91" t="str">
        <f>DO_DB[[#This Row],[Material Pick-update]]&amp;"_"&amp;DO_DB[[#This Row],[Material Name]]</f>
        <v>45622_FDT-72</v>
      </c>
      <c r="O591" t="str">
        <f>DO_DB[[#This Row],[SiteID]]</f>
        <v>CLR31-04-012</v>
      </c>
      <c r="P591" t="str">
        <f>DO_DB[[#This Row],[SiteID]]&amp;"_"&amp;DO_DB[[#This Row],[Material Name]]</f>
        <v>CLR31-04-012_FDT-72</v>
      </c>
      <c r="Q591" t="str">
        <f>DO_DB[[#This Row],[DO Number]]</f>
        <v>DOEID24112569</v>
      </c>
      <c r="R591" t="str">
        <f>DO_DB[[#This Row],[DN Number]]</f>
        <v>DNWID0342024112511</v>
      </c>
    </row>
    <row r="592" spans="1:18">
      <c r="A592" t="s">
        <v>2472</v>
      </c>
      <c r="B592" t="s">
        <v>2473</v>
      </c>
      <c r="C592" s="172" t="s">
        <v>4482</v>
      </c>
      <c r="D592" t="s">
        <v>71</v>
      </c>
      <c r="E592" t="s">
        <v>26</v>
      </c>
      <c r="F592" t="s">
        <v>3148</v>
      </c>
      <c r="G592" t="s">
        <v>2476</v>
      </c>
      <c r="H592" t="s">
        <v>2477</v>
      </c>
      <c r="I592" s="130">
        <v>45622</v>
      </c>
      <c r="J592" t="s">
        <v>13</v>
      </c>
      <c r="K592">
        <v>36</v>
      </c>
      <c r="M5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92" t="str">
        <f>DO_DB[[#This Row],[Material Pick-update]]&amp;"_"&amp;DO_DB[[#This Row],[Material Name]]</f>
        <v>45622_FAT-16</v>
      </c>
      <c r="O592" t="str">
        <f>DO_DB[[#This Row],[SiteID]]</f>
        <v>CLR31-04-012</v>
      </c>
      <c r="P592" t="str">
        <f>DO_DB[[#This Row],[SiteID]]&amp;"_"&amp;DO_DB[[#This Row],[Material Name]]</f>
        <v>CLR31-04-012_FAT-16</v>
      </c>
      <c r="Q592" t="str">
        <f>DO_DB[[#This Row],[DO Number]]</f>
        <v>DOEID24112569</v>
      </c>
      <c r="R592" t="str">
        <f>DO_DB[[#This Row],[DN Number]]</f>
        <v>DNWID0342024112511</v>
      </c>
    </row>
    <row r="593" spans="1:18">
      <c r="A593" t="s">
        <v>2496</v>
      </c>
      <c r="B593" t="s">
        <v>2497</v>
      </c>
      <c r="C593" s="172" t="s">
        <v>4482</v>
      </c>
      <c r="D593" t="s">
        <v>71</v>
      </c>
      <c r="E593" t="s">
        <v>26</v>
      </c>
      <c r="F593" t="s">
        <v>3148</v>
      </c>
      <c r="G593" t="s">
        <v>2498</v>
      </c>
      <c r="H593" t="s">
        <v>2499</v>
      </c>
      <c r="I593" s="130">
        <v>45622</v>
      </c>
      <c r="J593" t="s">
        <v>3069</v>
      </c>
      <c r="K593">
        <v>33</v>
      </c>
      <c r="M5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93" t="str">
        <f>DO_DB[[#This Row],[Material Pick-update]]&amp;"_"&amp;DO_DB[[#This Row],[Material Name]]</f>
        <v>45622_Pole 7M 4"</v>
      </c>
      <c r="O593" t="str">
        <f>DO_DB[[#This Row],[SiteID]]</f>
        <v>CLR31-99-107</v>
      </c>
      <c r="P593" t="str">
        <f>DO_DB[[#This Row],[SiteID]]&amp;"_"&amp;DO_DB[[#This Row],[Material Name]]</f>
        <v>CLR31-99-107_Pole 7M 4"</v>
      </c>
      <c r="Q593" t="str">
        <f>DO_DB[[#This Row],[DO Number]]</f>
        <v>DOEID24112581</v>
      </c>
      <c r="R593" t="str">
        <f>DO_DB[[#This Row],[DN Number]]</f>
        <v>DNWID0362024112510</v>
      </c>
    </row>
    <row r="594" spans="1:18">
      <c r="A594" t="s">
        <v>2496</v>
      </c>
      <c r="B594" t="s">
        <v>2497</v>
      </c>
      <c r="C594" s="172" t="s">
        <v>4482</v>
      </c>
      <c r="D594" t="s">
        <v>71</v>
      </c>
      <c r="E594" t="s">
        <v>26</v>
      </c>
      <c r="F594" t="s">
        <v>3148</v>
      </c>
      <c r="G594" t="s">
        <v>2498</v>
      </c>
      <c r="H594" t="s">
        <v>2499</v>
      </c>
      <c r="I594" s="130">
        <v>45622</v>
      </c>
      <c r="J594" t="s">
        <v>3070</v>
      </c>
      <c r="K594">
        <v>18</v>
      </c>
      <c r="M5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94" t="str">
        <f>DO_DB[[#This Row],[Material Pick-update]]&amp;"_"&amp;DO_DB[[#This Row],[Material Name]]</f>
        <v>45622_Pole 7M 3"</v>
      </c>
      <c r="O594" t="str">
        <f>DO_DB[[#This Row],[SiteID]]</f>
        <v>CLR31-99-107</v>
      </c>
      <c r="P594" t="str">
        <f>DO_DB[[#This Row],[SiteID]]&amp;"_"&amp;DO_DB[[#This Row],[Material Name]]</f>
        <v>CLR31-99-107_Pole 7M 3"</v>
      </c>
      <c r="Q594" t="str">
        <f>DO_DB[[#This Row],[DO Number]]</f>
        <v>DOEID24112581</v>
      </c>
      <c r="R594" t="str">
        <f>DO_DB[[#This Row],[DN Number]]</f>
        <v>DNWID0362024112510</v>
      </c>
    </row>
    <row r="595" spans="1:18">
      <c r="A595" t="s">
        <v>2496</v>
      </c>
      <c r="B595" t="s">
        <v>2497</v>
      </c>
      <c r="C595" s="172" t="s">
        <v>4482</v>
      </c>
      <c r="D595" t="s">
        <v>71</v>
      </c>
      <c r="E595" t="s">
        <v>26</v>
      </c>
      <c r="F595" t="s">
        <v>3148</v>
      </c>
      <c r="G595" t="s">
        <v>2498</v>
      </c>
      <c r="H595" t="s">
        <v>2499</v>
      </c>
      <c r="I595" s="130">
        <v>45622</v>
      </c>
      <c r="J595" t="s">
        <v>4856</v>
      </c>
      <c r="K595">
        <v>1</v>
      </c>
      <c r="M5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95" t="str">
        <f>DO_DB[[#This Row],[Material Pick-update]]&amp;"_"&amp;DO_DB[[#This Row],[Material Name]]</f>
        <v>45622_JC 144Core</v>
      </c>
      <c r="O595" t="str">
        <f>DO_DB[[#This Row],[SiteID]]</f>
        <v>CLR31-99-107</v>
      </c>
      <c r="P595" t="str">
        <f>DO_DB[[#This Row],[SiteID]]&amp;"_"&amp;DO_DB[[#This Row],[Material Name]]</f>
        <v>CLR31-99-107_JC 144Core</v>
      </c>
      <c r="Q595" t="str">
        <f>DO_DB[[#This Row],[DO Number]]</f>
        <v>DOEID24112581</v>
      </c>
      <c r="R595" t="str">
        <f>DO_DB[[#This Row],[DN Number]]</f>
        <v>DNWID0362024112510</v>
      </c>
    </row>
    <row r="596" spans="1:18">
      <c r="A596" t="s">
        <v>2496</v>
      </c>
      <c r="B596" t="s">
        <v>2497</v>
      </c>
      <c r="C596" s="172" t="s">
        <v>4482</v>
      </c>
      <c r="D596" t="s">
        <v>71</v>
      </c>
      <c r="E596" t="s">
        <v>26</v>
      </c>
      <c r="F596" t="s">
        <v>3148</v>
      </c>
      <c r="G596" t="s">
        <v>2500</v>
      </c>
      <c r="H596" t="s">
        <v>2501</v>
      </c>
      <c r="I596" s="130">
        <v>45622</v>
      </c>
      <c r="J596" t="s">
        <v>14</v>
      </c>
      <c r="K596">
        <v>1</v>
      </c>
      <c r="M5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96" t="str">
        <f>DO_DB[[#This Row],[Material Pick-update]]&amp;"_"&amp;DO_DB[[#This Row],[Material Name]]</f>
        <v>45622_FDT-48</v>
      </c>
      <c r="O596" t="str">
        <f>DO_DB[[#This Row],[SiteID]]</f>
        <v>CLR31-99-107</v>
      </c>
      <c r="P596" t="str">
        <f>DO_DB[[#This Row],[SiteID]]&amp;"_"&amp;DO_DB[[#This Row],[Material Name]]</f>
        <v>CLR31-99-107_FDT-48</v>
      </c>
      <c r="Q596" t="str">
        <f>DO_DB[[#This Row],[DO Number]]</f>
        <v>DOEID24112582</v>
      </c>
      <c r="R596" t="str">
        <f>DO_DB[[#This Row],[DN Number]]</f>
        <v>DNWID0342024112509</v>
      </c>
    </row>
    <row r="597" spans="1:18">
      <c r="A597" t="s">
        <v>2496</v>
      </c>
      <c r="B597" t="s">
        <v>2497</v>
      </c>
      <c r="C597" s="172" t="s">
        <v>4482</v>
      </c>
      <c r="D597" t="s">
        <v>71</v>
      </c>
      <c r="E597" t="s">
        <v>26</v>
      </c>
      <c r="F597" t="s">
        <v>3148</v>
      </c>
      <c r="G597" t="s">
        <v>2500</v>
      </c>
      <c r="H597" t="s">
        <v>2501</v>
      </c>
      <c r="I597" s="130">
        <v>45622</v>
      </c>
      <c r="J597" t="s">
        <v>13</v>
      </c>
      <c r="K597">
        <v>12</v>
      </c>
      <c r="M5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597" t="str">
        <f>DO_DB[[#This Row],[Material Pick-update]]&amp;"_"&amp;DO_DB[[#This Row],[Material Name]]</f>
        <v>45622_FAT-16</v>
      </c>
      <c r="O597" t="str">
        <f>DO_DB[[#This Row],[SiteID]]</f>
        <v>CLR31-99-107</v>
      </c>
      <c r="P597" t="str">
        <f>DO_DB[[#This Row],[SiteID]]&amp;"_"&amp;DO_DB[[#This Row],[Material Name]]</f>
        <v>CLR31-99-107_FAT-16</v>
      </c>
      <c r="Q597" t="str">
        <f>DO_DB[[#This Row],[DO Number]]</f>
        <v>DOEID24112582</v>
      </c>
      <c r="R597" t="str">
        <f>DO_DB[[#This Row],[DN Number]]</f>
        <v>DNWID0342024112509</v>
      </c>
    </row>
    <row r="598" spans="1:18">
      <c r="A598" t="s">
        <v>2585</v>
      </c>
      <c r="B598" t="s">
        <v>2586</v>
      </c>
      <c r="C598" t="s">
        <v>4482</v>
      </c>
      <c r="D598" t="s">
        <v>71</v>
      </c>
      <c r="E598" t="s">
        <v>709</v>
      </c>
      <c r="F598" t="s">
        <v>3148</v>
      </c>
      <c r="G598" t="s">
        <v>2587</v>
      </c>
      <c r="H598" t="s">
        <v>2588</v>
      </c>
      <c r="I598" s="130">
        <v>45673</v>
      </c>
      <c r="J598" t="s">
        <v>3073</v>
      </c>
      <c r="K598">
        <v>3000</v>
      </c>
      <c r="M5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24C-2025116-01</v>
      </c>
      <c r="N598" t="str">
        <f>DO_DB[[#This Row],[Material Pick-update]]&amp;"_"&amp;DO_DB[[#This Row],[Material Name]]</f>
        <v>45673_ADSS 24C</v>
      </c>
      <c r="O598" t="str">
        <f>DO_DB[[#This Row],[SiteID]]</f>
        <v>CLR41-99-078</v>
      </c>
      <c r="P598" t="str">
        <f>DO_DB[[#This Row],[SiteID]]&amp;"_"&amp;DO_DB[[#This Row],[Material Name]]</f>
        <v>CLR41-99-078_ADSS 24C</v>
      </c>
      <c r="Q598" t="str">
        <f>DO_DB[[#This Row],[DO Number]]</f>
        <v>DOEID25011578</v>
      </c>
      <c r="R598" t="str">
        <f>DO_DB[[#This Row],[DN Number]]</f>
        <v>DNWID0342025011501</v>
      </c>
    </row>
    <row r="599" spans="1:18">
      <c r="A599" t="s">
        <v>2589</v>
      </c>
      <c r="B599" t="s">
        <v>2590</v>
      </c>
      <c r="C599" t="s">
        <v>4482</v>
      </c>
      <c r="D599" t="s">
        <v>71</v>
      </c>
      <c r="E599" t="s">
        <v>709</v>
      </c>
      <c r="F599" t="s">
        <v>3148</v>
      </c>
      <c r="G599" t="s">
        <v>2591</v>
      </c>
      <c r="H599" t="s">
        <v>2592</v>
      </c>
      <c r="I599" s="130">
        <v>45673</v>
      </c>
      <c r="J599" t="s">
        <v>3075</v>
      </c>
      <c r="K599">
        <v>3000</v>
      </c>
      <c r="M5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48C-2025116-01</v>
      </c>
      <c r="N599" t="str">
        <f>DO_DB[[#This Row],[Material Pick-update]]&amp;"_"&amp;DO_DB[[#This Row],[Material Name]]</f>
        <v>45673_ADSS 48C</v>
      </c>
      <c r="O599" t="str">
        <f>DO_DB[[#This Row],[SiteID]]</f>
        <v>CLR41-99-079</v>
      </c>
      <c r="P599" t="str">
        <f>DO_DB[[#This Row],[SiteID]]&amp;"_"&amp;DO_DB[[#This Row],[Material Name]]</f>
        <v>CLR41-99-079_ADSS 48C</v>
      </c>
      <c r="Q599" t="str">
        <f>DO_DB[[#This Row],[DO Number]]</f>
        <v>DOEID25011579</v>
      </c>
      <c r="R599" t="str">
        <f>DO_DB[[#This Row],[DN Number]]</f>
        <v>DNWID0342025011504</v>
      </c>
    </row>
    <row r="600" spans="1:18">
      <c r="A600" t="s">
        <v>2593</v>
      </c>
      <c r="B600" t="s">
        <v>2594</v>
      </c>
      <c r="C600" t="s">
        <v>4482</v>
      </c>
      <c r="D600" t="s">
        <v>71</v>
      </c>
      <c r="E600" t="s">
        <v>709</v>
      </c>
      <c r="F600" t="s">
        <v>3148</v>
      </c>
      <c r="G600" t="s">
        <v>2595</v>
      </c>
      <c r="H600" t="s">
        <v>2596</v>
      </c>
      <c r="I600" s="130">
        <v>45673</v>
      </c>
      <c r="J600" t="s">
        <v>3073</v>
      </c>
      <c r="K600">
        <v>3000</v>
      </c>
      <c r="M6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24C-2025116-01</v>
      </c>
      <c r="N600" t="str">
        <f>DO_DB[[#This Row],[Material Pick-update]]&amp;"_"&amp;DO_DB[[#This Row],[Material Name]]</f>
        <v>45673_ADSS 24C</v>
      </c>
      <c r="O600" t="str">
        <f>DO_DB[[#This Row],[SiteID]]</f>
        <v>CLR41-99-080</v>
      </c>
      <c r="P600" t="str">
        <f>DO_DB[[#This Row],[SiteID]]&amp;"_"&amp;DO_DB[[#This Row],[Material Name]]</f>
        <v>CLR41-99-080_ADSS 24C</v>
      </c>
      <c r="Q600" t="str">
        <f>DO_DB[[#This Row],[DO Number]]</f>
        <v>DOEID25011580</v>
      </c>
      <c r="R600" t="str">
        <f>DO_DB[[#This Row],[DN Number]]</f>
        <v>DNWID0342025011503</v>
      </c>
    </row>
    <row r="601" spans="1:18">
      <c r="A601" t="s">
        <v>2581</v>
      </c>
      <c r="B601" t="s">
        <v>2582</v>
      </c>
      <c r="C601" t="s">
        <v>4482</v>
      </c>
      <c r="D601" t="s">
        <v>71</v>
      </c>
      <c r="E601" t="s">
        <v>709</v>
      </c>
      <c r="F601" t="s">
        <v>3148</v>
      </c>
      <c r="G601" t="s">
        <v>2583</v>
      </c>
      <c r="H601" t="s">
        <v>2584</v>
      </c>
      <c r="I601" s="130">
        <v>45673</v>
      </c>
      <c r="J601" s="172" t="s">
        <v>14</v>
      </c>
      <c r="K601">
        <v>1</v>
      </c>
      <c r="M6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01" t="str">
        <f>DO_DB[[#This Row],[Material Pick-update]]&amp;"_"&amp;DO_DB[[#This Row],[Material Name]]</f>
        <v>45673_FDT-48</v>
      </c>
      <c r="O601" t="str">
        <f>DO_DB[[#This Row],[SiteID]]</f>
        <v>CLR41-99-077</v>
      </c>
      <c r="P601" t="str">
        <f>DO_DB[[#This Row],[SiteID]]&amp;"_"&amp;DO_DB[[#This Row],[Material Name]]</f>
        <v>CLR41-99-077_FDT-48</v>
      </c>
      <c r="Q601" t="str">
        <f>DO_DB[[#This Row],[DO Number]]</f>
        <v>DOEID25011577</v>
      </c>
      <c r="R601" t="str">
        <f>DO_DB[[#This Row],[DN Number]]</f>
        <v>DNWID0342025011502</v>
      </c>
    </row>
    <row r="602" spans="1:18">
      <c r="A602" t="s">
        <v>2585</v>
      </c>
      <c r="B602" t="s">
        <v>2586</v>
      </c>
      <c r="C602" t="s">
        <v>4482</v>
      </c>
      <c r="D602" t="s">
        <v>71</v>
      </c>
      <c r="E602" t="s">
        <v>709</v>
      </c>
      <c r="F602" t="s">
        <v>3148</v>
      </c>
      <c r="G602" t="s">
        <v>2587</v>
      </c>
      <c r="H602" t="s">
        <v>2588</v>
      </c>
      <c r="I602" s="130">
        <v>45673</v>
      </c>
      <c r="J602" s="172" t="s">
        <v>14</v>
      </c>
      <c r="K602">
        <v>1</v>
      </c>
      <c r="M6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02" t="str">
        <f>DO_DB[[#This Row],[Material Pick-update]]&amp;"_"&amp;DO_DB[[#This Row],[Material Name]]</f>
        <v>45673_FDT-48</v>
      </c>
      <c r="O602" t="str">
        <f>DO_DB[[#This Row],[SiteID]]</f>
        <v>CLR41-99-078</v>
      </c>
      <c r="P602" t="str">
        <f>DO_DB[[#This Row],[SiteID]]&amp;"_"&amp;DO_DB[[#This Row],[Material Name]]</f>
        <v>CLR41-99-078_FDT-48</v>
      </c>
      <c r="Q602" t="str">
        <f>DO_DB[[#This Row],[DO Number]]</f>
        <v>DOEID25011578</v>
      </c>
      <c r="R602" t="str">
        <f>DO_DB[[#This Row],[DN Number]]</f>
        <v>DNWID0342025011501</v>
      </c>
    </row>
    <row r="603" spans="1:18">
      <c r="A603" t="s">
        <v>2589</v>
      </c>
      <c r="B603" t="s">
        <v>2590</v>
      </c>
      <c r="C603" t="s">
        <v>4482</v>
      </c>
      <c r="D603" t="s">
        <v>71</v>
      </c>
      <c r="E603" t="s">
        <v>709</v>
      </c>
      <c r="F603" t="s">
        <v>3148</v>
      </c>
      <c r="G603" t="s">
        <v>2591</v>
      </c>
      <c r="H603" t="s">
        <v>2592</v>
      </c>
      <c r="I603" s="130">
        <v>45673</v>
      </c>
      <c r="J603" s="172" t="s">
        <v>14</v>
      </c>
      <c r="K603">
        <v>1</v>
      </c>
      <c r="M6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03" t="str">
        <f>DO_DB[[#This Row],[Material Pick-update]]&amp;"_"&amp;DO_DB[[#This Row],[Material Name]]</f>
        <v>45673_FDT-48</v>
      </c>
      <c r="O603" t="str">
        <f>DO_DB[[#This Row],[SiteID]]</f>
        <v>CLR41-99-079</v>
      </c>
      <c r="P603" t="str">
        <f>DO_DB[[#This Row],[SiteID]]&amp;"_"&amp;DO_DB[[#This Row],[Material Name]]</f>
        <v>CLR41-99-079_FDT-48</v>
      </c>
      <c r="Q603" t="str">
        <f>DO_DB[[#This Row],[DO Number]]</f>
        <v>DOEID25011579</v>
      </c>
      <c r="R603" t="str">
        <f>DO_DB[[#This Row],[DN Number]]</f>
        <v>DNWID0342025011504</v>
      </c>
    </row>
    <row r="604" spans="1:18">
      <c r="A604" t="s">
        <v>2593</v>
      </c>
      <c r="B604" t="s">
        <v>2594</v>
      </c>
      <c r="C604" t="s">
        <v>4482</v>
      </c>
      <c r="D604" t="s">
        <v>71</v>
      </c>
      <c r="E604" t="s">
        <v>709</v>
      </c>
      <c r="F604" t="s">
        <v>3148</v>
      </c>
      <c r="G604" t="s">
        <v>2595</v>
      </c>
      <c r="H604" t="s">
        <v>2596</v>
      </c>
      <c r="I604" s="130">
        <v>45673</v>
      </c>
      <c r="J604" t="s">
        <v>15</v>
      </c>
      <c r="K604">
        <v>1</v>
      </c>
      <c r="M6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04" t="str">
        <f>DO_DB[[#This Row],[Material Pick-update]]&amp;"_"&amp;DO_DB[[#This Row],[Material Name]]</f>
        <v>45673_FDT-72</v>
      </c>
      <c r="O604" t="str">
        <f>DO_DB[[#This Row],[SiteID]]</f>
        <v>CLR41-99-080</v>
      </c>
      <c r="P604" t="str">
        <f>DO_DB[[#This Row],[SiteID]]&amp;"_"&amp;DO_DB[[#This Row],[Material Name]]</f>
        <v>CLR41-99-080_FDT-72</v>
      </c>
      <c r="Q604" t="str">
        <f>DO_DB[[#This Row],[DO Number]]</f>
        <v>DOEID25011580</v>
      </c>
      <c r="R604" t="str">
        <f>DO_DB[[#This Row],[DN Number]]</f>
        <v>DNWID0342025011503</v>
      </c>
    </row>
    <row r="605" spans="1:18">
      <c r="A605" t="s">
        <v>2637</v>
      </c>
      <c r="B605" t="s">
        <v>2638</v>
      </c>
      <c r="C605" t="s">
        <v>4482</v>
      </c>
      <c r="D605" t="s">
        <v>71</v>
      </c>
      <c r="E605" t="s">
        <v>709</v>
      </c>
      <c r="F605" t="s">
        <v>3148</v>
      </c>
      <c r="G605" t="s">
        <v>2641</v>
      </c>
      <c r="H605" t="s">
        <v>2642</v>
      </c>
      <c r="I605" s="130">
        <v>45699</v>
      </c>
      <c r="J605" t="s">
        <v>3073</v>
      </c>
      <c r="K605">
        <v>3000</v>
      </c>
      <c r="M6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24C-2025211-01</v>
      </c>
      <c r="N605" t="str">
        <f>DO_DB[[#This Row],[Material Pick-update]]&amp;"_"&amp;DO_DB[[#This Row],[Material Name]]</f>
        <v>45699_ADSS 24C</v>
      </c>
      <c r="O605" t="str">
        <f>DO_DB[[#This Row],[SiteID]]</f>
        <v>CLR41-02-028</v>
      </c>
      <c r="P605" t="str">
        <f>DO_DB[[#This Row],[SiteID]]&amp;"_"&amp;DO_DB[[#This Row],[Material Name]]</f>
        <v>CLR41-02-028_ADSS 24C</v>
      </c>
      <c r="Q605" t="str">
        <f>DO_DB[[#This Row],[DO Number]]</f>
        <v>DOEID25021043</v>
      </c>
      <c r="R605" t="str">
        <f>DO_DB[[#This Row],[DN Number]]</f>
        <v>DNWID0342025021003</v>
      </c>
    </row>
    <row r="606" spans="1:18">
      <c r="A606" t="s">
        <v>2637</v>
      </c>
      <c r="B606" t="s">
        <v>2638</v>
      </c>
      <c r="C606" t="s">
        <v>4482</v>
      </c>
      <c r="D606" t="s">
        <v>71</v>
      </c>
      <c r="E606" t="s">
        <v>709</v>
      </c>
      <c r="F606" t="s">
        <v>3148</v>
      </c>
      <c r="G606" t="s">
        <v>2641</v>
      </c>
      <c r="H606" t="s">
        <v>2642</v>
      </c>
      <c r="I606" s="130">
        <v>45699</v>
      </c>
      <c r="J606" t="s">
        <v>3075</v>
      </c>
      <c r="K606">
        <v>6000</v>
      </c>
      <c r="M6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48C-2025211-01</v>
      </c>
      <c r="N606" t="str">
        <f>DO_DB[[#This Row],[Material Pick-update]]&amp;"_"&amp;DO_DB[[#This Row],[Material Name]]</f>
        <v>45699_ADSS 48C</v>
      </c>
      <c r="O606" t="str">
        <f>DO_DB[[#This Row],[SiteID]]</f>
        <v>CLR41-02-028</v>
      </c>
      <c r="P606" t="str">
        <f>DO_DB[[#This Row],[SiteID]]&amp;"_"&amp;DO_DB[[#This Row],[Material Name]]</f>
        <v>CLR41-02-028_ADSS 48C</v>
      </c>
      <c r="Q606" t="str">
        <f>DO_DB[[#This Row],[DO Number]]</f>
        <v>DOEID25021043</v>
      </c>
      <c r="R606" t="str">
        <f>DO_DB[[#This Row],[DN Number]]</f>
        <v>DNWID0342025021003</v>
      </c>
    </row>
    <row r="607" spans="1:18">
      <c r="A607" t="s">
        <v>2637</v>
      </c>
      <c r="B607" t="s">
        <v>2638</v>
      </c>
      <c r="C607" t="s">
        <v>4482</v>
      </c>
      <c r="D607" t="s">
        <v>71</v>
      </c>
      <c r="E607" t="s">
        <v>709</v>
      </c>
      <c r="F607" t="s">
        <v>3148</v>
      </c>
      <c r="G607" t="s">
        <v>2639</v>
      </c>
      <c r="H607" t="s">
        <v>2640</v>
      </c>
      <c r="I607" s="130">
        <v>45699</v>
      </c>
      <c r="J607" t="s">
        <v>3069</v>
      </c>
      <c r="K607">
        <v>4</v>
      </c>
      <c r="M6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07" t="str">
        <f>DO_DB[[#This Row],[Material Pick-update]]&amp;"_"&amp;DO_DB[[#This Row],[Material Name]]</f>
        <v>45699_Pole 7M 4"</v>
      </c>
      <c r="O607" t="str">
        <f>DO_DB[[#This Row],[SiteID]]</f>
        <v>CLR41-02-028</v>
      </c>
      <c r="P607" t="str">
        <f>DO_DB[[#This Row],[SiteID]]&amp;"_"&amp;DO_DB[[#This Row],[Material Name]]</f>
        <v>CLR41-02-028_Pole 7M 4"</v>
      </c>
      <c r="Q607" t="str">
        <f>DO_DB[[#This Row],[DO Number]]</f>
        <v>DOEID25021042</v>
      </c>
      <c r="R607" t="str">
        <f>DO_DB[[#This Row],[DN Number]]</f>
        <v>DNWID0362025021004</v>
      </c>
    </row>
    <row r="608" spans="1:18">
      <c r="A608" t="s">
        <v>2637</v>
      </c>
      <c r="B608" t="s">
        <v>2638</v>
      </c>
      <c r="C608" t="s">
        <v>4482</v>
      </c>
      <c r="D608" t="s">
        <v>71</v>
      </c>
      <c r="E608" t="s">
        <v>709</v>
      </c>
      <c r="F608" t="s">
        <v>3148</v>
      </c>
      <c r="G608" t="s">
        <v>2639</v>
      </c>
      <c r="H608" t="s">
        <v>2640</v>
      </c>
      <c r="I608" s="130">
        <v>45699</v>
      </c>
      <c r="J608" t="s">
        <v>3070</v>
      </c>
      <c r="K608">
        <v>91</v>
      </c>
      <c r="M6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08" t="str">
        <f>DO_DB[[#This Row],[Material Pick-update]]&amp;"_"&amp;DO_DB[[#This Row],[Material Name]]</f>
        <v>45699_Pole 7M 3"</v>
      </c>
      <c r="O608" t="str">
        <f>DO_DB[[#This Row],[SiteID]]</f>
        <v>CLR41-02-028</v>
      </c>
      <c r="P608" t="str">
        <f>DO_DB[[#This Row],[SiteID]]&amp;"_"&amp;DO_DB[[#This Row],[Material Name]]</f>
        <v>CLR41-02-028_Pole 7M 3"</v>
      </c>
      <c r="Q608" t="str">
        <f>DO_DB[[#This Row],[DO Number]]</f>
        <v>DOEID25021042</v>
      </c>
      <c r="R608" t="str">
        <f>DO_DB[[#This Row],[DN Number]]</f>
        <v>DNWID0362025021004</v>
      </c>
    </row>
    <row r="609" spans="1:18">
      <c r="A609" t="s">
        <v>2637</v>
      </c>
      <c r="B609" t="s">
        <v>2638</v>
      </c>
      <c r="C609" t="s">
        <v>4482</v>
      </c>
      <c r="D609" t="s">
        <v>71</v>
      </c>
      <c r="E609" t="s">
        <v>709</v>
      </c>
      <c r="F609" t="s">
        <v>3148</v>
      </c>
      <c r="G609" t="s">
        <v>2641</v>
      </c>
      <c r="H609" t="s">
        <v>2642</v>
      </c>
      <c r="I609" s="130">
        <v>45699</v>
      </c>
      <c r="J609" t="s">
        <v>14</v>
      </c>
      <c r="K609">
        <v>1</v>
      </c>
      <c r="M6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09" t="str">
        <f>DO_DB[[#This Row],[Material Pick-update]]&amp;"_"&amp;DO_DB[[#This Row],[Material Name]]</f>
        <v>45699_FDT-48</v>
      </c>
      <c r="O609" t="str">
        <f>DO_DB[[#This Row],[SiteID]]</f>
        <v>CLR41-02-028</v>
      </c>
      <c r="P609" t="str">
        <f>DO_DB[[#This Row],[SiteID]]&amp;"_"&amp;DO_DB[[#This Row],[Material Name]]</f>
        <v>CLR41-02-028_FDT-48</v>
      </c>
      <c r="Q609" t="str">
        <f>DO_DB[[#This Row],[DO Number]]</f>
        <v>DOEID25021043</v>
      </c>
      <c r="R609" t="str">
        <f>DO_DB[[#This Row],[DN Number]]</f>
        <v>DNWID0342025021003</v>
      </c>
    </row>
    <row r="610" spans="1:18">
      <c r="A610" t="s">
        <v>2637</v>
      </c>
      <c r="B610" t="s">
        <v>2638</v>
      </c>
      <c r="C610" t="s">
        <v>4482</v>
      </c>
      <c r="D610" t="s">
        <v>71</v>
      </c>
      <c r="E610" t="s">
        <v>709</v>
      </c>
      <c r="F610" t="s">
        <v>3148</v>
      </c>
      <c r="G610" t="s">
        <v>2641</v>
      </c>
      <c r="H610" t="s">
        <v>2642</v>
      </c>
      <c r="I610" s="130">
        <v>45699</v>
      </c>
      <c r="J610" t="s">
        <v>15</v>
      </c>
      <c r="K610">
        <v>1</v>
      </c>
      <c r="M6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10" t="str">
        <f>DO_DB[[#This Row],[Material Pick-update]]&amp;"_"&amp;DO_DB[[#This Row],[Material Name]]</f>
        <v>45699_FDT-72</v>
      </c>
      <c r="O610" t="str">
        <f>DO_DB[[#This Row],[SiteID]]</f>
        <v>CLR41-02-028</v>
      </c>
      <c r="P610" t="str">
        <f>DO_DB[[#This Row],[SiteID]]&amp;"_"&amp;DO_DB[[#This Row],[Material Name]]</f>
        <v>CLR41-02-028_FDT-72</v>
      </c>
      <c r="Q610" t="str">
        <f>DO_DB[[#This Row],[DO Number]]</f>
        <v>DOEID25021043</v>
      </c>
      <c r="R610" t="str">
        <f>DO_DB[[#This Row],[DN Number]]</f>
        <v>DNWID0342025021003</v>
      </c>
    </row>
    <row r="611" spans="1:18">
      <c r="A611" t="s">
        <v>2637</v>
      </c>
      <c r="B611" t="s">
        <v>2638</v>
      </c>
      <c r="C611" t="s">
        <v>4482</v>
      </c>
      <c r="D611" t="s">
        <v>71</v>
      </c>
      <c r="E611" t="s">
        <v>709</v>
      </c>
      <c r="F611" t="s">
        <v>3148</v>
      </c>
      <c r="G611" t="s">
        <v>2641</v>
      </c>
      <c r="H611" t="s">
        <v>2642</v>
      </c>
      <c r="I611" s="130">
        <v>45699</v>
      </c>
      <c r="J611" t="s">
        <v>13</v>
      </c>
      <c r="K611">
        <v>54</v>
      </c>
      <c r="M6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11" t="str">
        <f>DO_DB[[#This Row],[Material Pick-update]]&amp;"_"&amp;DO_DB[[#This Row],[Material Name]]</f>
        <v>45699_FAT-16</v>
      </c>
      <c r="O611" t="str">
        <f>DO_DB[[#This Row],[SiteID]]</f>
        <v>CLR41-02-028</v>
      </c>
      <c r="P611" t="str">
        <f>DO_DB[[#This Row],[SiteID]]&amp;"_"&amp;DO_DB[[#This Row],[Material Name]]</f>
        <v>CLR41-02-028_FAT-16</v>
      </c>
      <c r="Q611" t="str">
        <f>DO_DB[[#This Row],[DO Number]]</f>
        <v>DOEID25021043</v>
      </c>
      <c r="R611" t="str">
        <f>DO_DB[[#This Row],[DN Number]]</f>
        <v>DNWID0342025021003</v>
      </c>
    </row>
    <row r="612" spans="1:18">
      <c r="A612" t="s">
        <v>2496</v>
      </c>
      <c r="B612" t="s">
        <v>2643</v>
      </c>
      <c r="C612" s="172" t="s">
        <v>4482</v>
      </c>
      <c r="D612" t="s">
        <v>71</v>
      </c>
      <c r="E612" t="s">
        <v>26</v>
      </c>
      <c r="F612" t="s">
        <v>3148</v>
      </c>
      <c r="G612" t="s">
        <v>2644</v>
      </c>
      <c r="H612" t="s">
        <v>2645</v>
      </c>
      <c r="I612" s="130">
        <v>45706</v>
      </c>
      <c r="J612" t="s">
        <v>3070</v>
      </c>
      <c r="K612">
        <v>150</v>
      </c>
      <c r="M6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12" t="str">
        <f>DO_DB[[#This Row],[Material Pick-update]]&amp;"_"&amp;DO_DB[[#This Row],[Material Name]]</f>
        <v>45706_Pole 7M 3"</v>
      </c>
      <c r="O612" t="str">
        <f>DO_DB[[#This Row],[SiteID]]</f>
        <v>CLR31-99-107</v>
      </c>
      <c r="P612" t="str">
        <f>DO_DB[[#This Row],[SiteID]]&amp;"_"&amp;DO_DB[[#This Row],[Material Name]]</f>
        <v>CLR31-99-107_Pole 7M 3"</v>
      </c>
      <c r="Q612" t="str">
        <f>DO_DB[[#This Row],[DO Number]]</f>
        <v>DOEID25021719</v>
      </c>
      <c r="R612" t="str">
        <f>DO_DB[[#This Row],[DN Number]]</f>
        <v>DNWID0362025021701</v>
      </c>
    </row>
    <row r="613" spans="1:18">
      <c r="A613" t="s">
        <v>2654</v>
      </c>
      <c r="B613" t="s">
        <v>2655</v>
      </c>
      <c r="C613" s="172" t="s">
        <v>4482</v>
      </c>
      <c r="D613" t="s">
        <v>71</v>
      </c>
      <c r="E613" t="s">
        <v>26</v>
      </c>
      <c r="F613" t="s">
        <v>3148</v>
      </c>
      <c r="G613" t="s">
        <v>2656</v>
      </c>
      <c r="H613" t="s">
        <v>2657</v>
      </c>
      <c r="I613" s="130">
        <v>45712</v>
      </c>
      <c r="J613" t="s">
        <v>16</v>
      </c>
      <c r="K613">
        <v>170</v>
      </c>
      <c r="M6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13" t="str">
        <f>DO_DB[[#This Row],[Material Pick-update]]&amp;"_"&amp;DO_DB[[#This Row],[Material Name]]</f>
        <v>45712_HDPE40/34mm</v>
      </c>
      <c r="O613" t="str">
        <f>DO_DB[[#This Row],[SiteID]]</f>
        <v>CLR31-99-116</v>
      </c>
      <c r="P613" t="str">
        <f>DO_DB[[#This Row],[SiteID]]&amp;"_"&amp;DO_DB[[#This Row],[Material Name]]</f>
        <v>CLR31-99-116_HDPE40/34mm</v>
      </c>
      <c r="Q613" t="str">
        <f>DO_DB[[#This Row],[DO Number]]</f>
        <v>DOEID250224B2</v>
      </c>
      <c r="R613" t="str">
        <f>DO_DB[[#This Row],[DN Number]]</f>
        <v>DNWID0342025022402</v>
      </c>
    </row>
    <row r="614" spans="1:18">
      <c r="A614" t="s">
        <v>2672</v>
      </c>
      <c r="B614" t="s">
        <v>2673</v>
      </c>
      <c r="C614" t="s">
        <v>4482</v>
      </c>
      <c r="D614" t="s">
        <v>71</v>
      </c>
      <c r="E614" t="s">
        <v>709</v>
      </c>
      <c r="F614" t="s">
        <v>3148</v>
      </c>
      <c r="G614" t="s">
        <v>2674</v>
      </c>
      <c r="H614" t="s">
        <v>2675</v>
      </c>
      <c r="I614" s="130">
        <v>45735</v>
      </c>
      <c r="J614" t="s">
        <v>15</v>
      </c>
      <c r="K614">
        <v>1</v>
      </c>
      <c r="M6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14" t="str">
        <f>DO_DB[[#This Row],[Material Pick-update]]&amp;"_"&amp;DO_DB[[#This Row],[Material Name]]</f>
        <v>45735_FDT-72</v>
      </c>
      <c r="O614" t="str">
        <f>DO_DB[[#This Row],[SiteID]]</f>
        <v>CLR41-11-019</v>
      </c>
      <c r="P614" t="str">
        <f>DO_DB[[#This Row],[SiteID]]&amp;"_"&amp;DO_DB[[#This Row],[Material Name]]</f>
        <v>CLR41-11-019_FDT-72</v>
      </c>
      <c r="Q614" t="str">
        <f>DO_DB[[#This Row],[DO Number]]</f>
        <v>DOEID250318A0</v>
      </c>
      <c r="R614" t="str">
        <f>DO_DB[[#This Row],[DN Number]]</f>
        <v>DNWID0342025031810</v>
      </c>
    </row>
    <row r="615" spans="1:18">
      <c r="A615" t="s">
        <v>2676</v>
      </c>
      <c r="B615" t="s">
        <v>2677</v>
      </c>
      <c r="C615" t="s">
        <v>4482</v>
      </c>
      <c r="D615" t="s">
        <v>71</v>
      </c>
      <c r="E615" t="s">
        <v>709</v>
      </c>
      <c r="F615" t="s">
        <v>3148</v>
      </c>
      <c r="G615" t="s">
        <v>2678</v>
      </c>
      <c r="H615" t="s">
        <v>2679</v>
      </c>
      <c r="I615" s="130">
        <v>45735</v>
      </c>
      <c r="J615" t="s">
        <v>14</v>
      </c>
      <c r="K615">
        <v>1</v>
      </c>
      <c r="M6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15" t="str">
        <f>DO_DB[[#This Row],[Material Pick-update]]&amp;"_"&amp;DO_DB[[#This Row],[Material Name]]</f>
        <v>45735_FDT-48</v>
      </c>
      <c r="O615" t="str">
        <f>DO_DB[[#This Row],[SiteID]]</f>
        <v>CLR41-11-020</v>
      </c>
      <c r="P615" t="str">
        <f>DO_DB[[#This Row],[SiteID]]&amp;"_"&amp;DO_DB[[#This Row],[Material Name]]</f>
        <v>CLR41-11-020_FDT-48</v>
      </c>
      <c r="Q615" t="str">
        <f>DO_DB[[#This Row],[DO Number]]</f>
        <v>DOEID250318A1</v>
      </c>
      <c r="R615" t="str">
        <f>DO_DB[[#This Row],[DN Number]]</f>
        <v>DNWID0342025031807</v>
      </c>
    </row>
    <row r="616" spans="1:18">
      <c r="A616" t="s">
        <v>1639</v>
      </c>
      <c r="B616" t="s">
        <v>1640</v>
      </c>
      <c r="C616" t="s">
        <v>4482</v>
      </c>
      <c r="D616" t="s">
        <v>71</v>
      </c>
      <c r="E616" t="s">
        <v>644</v>
      </c>
      <c r="F616" t="s">
        <v>3148</v>
      </c>
      <c r="G616" t="s">
        <v>2718</v>
      </c>
      <c r="H616" t="s">
        <v>2719</v>
      </c>
      <c r="I616" s="130">
        <v>45776</v>
      </c>
      <c r="J616" t="s">
        <v>4856</v>
      </c>
      <c r="K616">
        <v>2</v>
      </c>
      <c r="M6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16" t="str">
        <f>DO_DB[[#This Row],[Material Pick-update]]&amp;"_"&amp;DO_DB[[#This Row],[Material Name]]</f>
        <v>45776_JC 144Core</v>
      </c>
      <c r="O616" t="str">
        <f>DO_DB[[#This Row],[SiteID]]</f>
        <v>CLR30-02-036</v>
      </c>
      <c r="P616" t="str">
        <f>DO_DB[[#This Row],[SiteID]]&amp;"_"&amp;DO_DB[[#This Row],[Material Name]]</f>
        <v>CLR30-02-036_JC 144Core</v>
      </c>
      <c r="Q616" t="str">
        <f>DO_DB[[#This Row],[DO Number]]</f>
        <v>DOEID250428AF</v>
      </c>
      <c r="R616" t="str">
        <f>DO_DB[[#This Row],[DN Number]]</f>
        <v>DNWID0362025042808</v>
      </c>
    </row>
    <row r="617" spans="1:18">
      <c r="A617" t="s">
        <v>2714</v>
      </c>
      <c r="B617" t="s">
        <v>2715</v>
      </c>
      <c r="C617" s="172" t="s">
        <v>4482</v>
      </c>
      <c r="D617" t="s">
        <v>71</v>
      </c>
      <c r="E617" t="s">
        <v>26</v>
      </c>
      <c r="F617" t="s">
        <v>3148</v>
      </c>
      <c r="G617" t="s">
        <v>2716</v>
      </c>
      <c r="H617" t="s">
        <v>2717</v>
      </c>
      <c r="I617" s="130">
        <v>45776</v>
      </c>
      <c r="J617" t="s">
        <v>3069</v>
      </c>
      <c r="K617">
        <v>117</v>
      </c>
      <c r="M6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17" t="str">
        <f>DO_DB[[#This Row],[Material Pick-update]]&amp;"_"&amp;DO_DB[[#This Row],[Material Name]]</f>
        <v>45776_Pole 7M 4"</v>
      </c>
      <c r="O617" t="str">
        <f>DO_DB[[#This Row],[SiteID]]</f>
        <v>CLR31-99-082</v>
      </c>
      <c r="P617" t="str">
        <f>DO_DB[[#This Row],[SiteID]]&amp;"_"&amp;DO_DB[[#This Row],[Material Name]]</f>
        <v>CLR31-99-082_Pole 7M 4"</v>
      </c>
      <c r="Q617" t="str">
        <f>DO_DB[[#This Row],[DO Number]]</f>
        <v>DOEID25042887</v>
      </c>
      <c r="R617" t="str">
        <f>DO_DB[[#This Row],[DN Number]]</f>
        <v>DNWID0362025042809</v>
      </c>
    </row>
    <row r="618" spans="1:18">
      <c r="A618" t="s">
        <v>2714</v>
      </c>
      <c r="B618" t="s">
        <v>2715</v>
      </c>
      <c r="C618" s="172" t="s">
        <v>4482</v>
      </c>
      <c r="D618" t="s">
        <v>71</v>
      </c>
      <c r="E618" t="s">
        <v>26</v>
      </c>
      <c r="F618" t="s">
        <v>3148</v>
      </c>
      <c r="G618" t="s">
        <v>2716</v>
      </c>
      <c r="H618" t="s">
        <v>2717</v>
      </c>
      <c r="I618" s="130">
        <v>45776</v>
      </c>
      <c r="J618" t="s">
        <v>15</v>
      </c>
      <c r="K618">
        <v>3</v>
      </c>
      <c r="M6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18" t="str">
        <f>DO_DB[[#This Row],[Material Pick-update]]&amp;"_"&amp;DO_DB[[#This Row],[Material Name]]</f>
        <v>45776_FDT-72</v>
      </c>
      <c r="O618" t="str">
        <f>DO_DB[[#This Row],[SiteID]]</f>
        <v>CLR31-99-082</v>
      </c>
      <c r="P618" t="str">
        <f>DO_DB[[#This Row],[SiteID]]&amp;"_"&amp;DO_DB[[#This Row],[Material Name]]</f>
        <v>CLR31-99-082_FDT-72</v>
      </c>
      <c r="Q618" t="str">
        <f>DO_DB[[#This Row],[DO Number]]</f>
        <v>DOEID25042887</v>
      </c>
      <c r="R618" t="str">
        <f>DO_DB[[#This Row],[DN Number]]</f>
        <v>DNWID0362025042809</v>
      </c>
    </row>
    <row r="619" spans="1:18">
      <c r="A619" t="s">
        <v>2714</v>
      </c>
      <c r="B619" t="s">
        <v>2715</v>
      </c>
      <c r="C619" s="172" t="s">
        <v>4482</v>
      </c>
      <c r="D619" t="s">
        <v>71</v>
      </c>
      <c r="E619" t="s">
        <v>26</v>
      </c>
      <c r="F619" t="s">
        <v>3148</v>
      </c>
      <c r="G619" t="s">
        <v>2716</v>
      </c>
      <c r="H619" t="s">
        <v>2717</v>
      </c>
      <c r="I619" s="130">
        <v>45776</v>
      </c>
      <c r="J619" t="s">
        <v>13</v>
      </c>
      <c r="K619">
        <v>67</v>
      </c>
      <c r="M6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19" t="str">
        <f>DO_DB[[#This Row],[Material Pick-update]]&amp;"_"&amp;DO_DB[[#This Row],[Material Name]]</f>
        <v>45776_FAT-16</v>
      </c>
      <c r="O619" t="str">
        <f>DO_DB[[#This Row],[SiteID]]</f>
        <v>CLR31-99-082</v>
      </c>
      <c r="P619" t="str">
        <f>DO_DB[[#This Row],[SiteID]]&amp;"_"&amp;DO_DB[[#This Row],[Material Name]]</f>
        <v>CLR31-99-082_FAT-16</v>
      </c>
      <c r="Q619" t="str">
        <f>DO_DB[[#This Row],[DO Number]]</f>
        <v>DOEID25042887</v>
      </c>
      <c r="R619" t="str">
        <f>DO_DB[[#This Row],[DN Number]]</f>
        <v>DNWID0362025042809</v>
      </c>
    </row>
    <row r="620" spans="1:18">
      <c r="A620" t="s">
        <v>2710</v>
      </c>
      <c r="B620" t="s">
        <v>2711</v>
      </c>
      <c r="C620" s="172" t="s">
        <v>4482</v>
      </c>
      <c r="D620" t="s">
        <v>71</v>
      </c>
      <c r="E620" t="s">
        <v>26</v>
      </c>
      <c r="F620" t="s">
        <v>3148</v>
      </c>
      <c r="G620" t="s">
        <v>2712</v>
      </c>
      <c r="H620" t="s">
        <v>2713</v>
      </c>
      <c r="I620" s="130">
        <v>45776</v>
      </c>
      <c r="J620" t="s">
        <v>14</v>
      </c>
      <c r="K620">
        <v>1</v>
      </c>
      <c r="M6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20" t="str">
        <f>DO_DB[[#This Row],[Material Pick-update]]&amp;"_"&amp;DO_DB[[#This Row],[Material Name]]</f>
        <v>45776_FDT-48</v>
      </c>
      <c r="O620" t="str">
        <f>DO_DB[[#This Row],[SiteID]]</f>
        <v>CLR31-99-115</v>
      </c>
      <c r="P620" t="str">
        <f>DO_DB[[#This Row],[SiteID]]&amp;"_"&amp;DO_DB[[#This Row],[Material Name]]</f>
        <v>CLR31-99-115_FDT-48</v>
      </c>
      <c r="Q620" t="str">
        <f>DO_DB[[#This Row],[DO Number]]</f>
        <v>DOEID25042888</v>
      </c>
      <c r="R620" t="str">
        <f>DO_DB[[#This Row],[DN Number]]</f>
        <v>DNWID0362025042810</v>
      </c>
    </row>
    <row r="621" spans="1:18">
      <c r="A621" t="s">
        <v>2710</v>
      </c>
      <c r="B621" t="s">
        <v>2711</v>
      </c>
      <c r="C621" s="172" t="s">
        <v>4482</v>
      </c>
      <c r="D621" t="s">
        <v>71</v>
      </c>
      <c r="E621" t="s">
        <v>26</v>
      </c>
      <c r="F621" t="s">
        <v>3148</v>
      </c>
      <c r="G621" t="s">
        <v>2712</v>
      </c>
      <c r="H621" t="s">
        <v>2713</v>
      </c>
      <c r="I621" s="130">
        <v>45776</v>
      </c>
      <c r="J621" t="s">
        <v>13</v>
      </c>
      <c r="K621">
        <v>11</v>
      </c>
      <c r="M6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21" t="str">
        <f>DO_DB[[#This Row],[Material Pick-update]]&amp;"_"&amp;DO_DB[[#This Row],[Material Name]]</f>
        <v>45776_FAT-16</v>
      </c>
      <c r="O621" t="str">
        <f>DO_DB[[#This Row],[SiteID]]</f>
        <v>CLR31-99-115</v>
      </c>
      <c r="P621" t="str">
        <f>DO_DB[[#This Row],[SiteID]]&amp;"_"&amp;DO_DB[[#This Row],[Material Name]]</f>
        <v>CLR31-99-115_FAT-16</v>
      </c>
      <c r="Q621" t="str">
        <f>DO_DB[[#This Row],[DO Number]]</f>
        <v>DOEID25042888</v>
      </c>
      <c r="R621" t="str">
        <f>DO_DB[[#This Row],[DN Number]]</f>
        <v>DNWID0362025042810</v>
      </c>
    </row>
    <row r="622" spans="1:18">
      <c r="A622" t="s">
        <v>2710</v>
      </c>
      <c r="B622" t="s">
        <v>2711</v>
      </c>
      <c r="C622" s="172" t="s">
        <v>4482</v>
      </c>
      <c r="D622" t="s">
        <v>71</v>
      </c>
      <c r="E622" t="s">
        <v>26</v>
      </c>
      <c r="F622" t="s">
        <v>3148</v>
      </c>
      <c r="G622" t="s">
        <v>2720</v>
      </c>
      <c r="H622" t="s">
        <v>2721</v>
      </c>
      <c r="I622" s="130">
        <v>45783</v>
      </c>
      <c r="J622" t="s">
        <v>4856</v>
      </c>
      <c r="K622">
        <v>1</v>
      </c>
      <c r="M6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22" t="str">
        <f>DO_DB[[#This Row],[Material Pick-update]]&amp;"_"&amp;DO_DB[[#This Row],[Material Name]]</f>
        <v>45783_JC 144Core</v>
      </c>
      <c r="O622" t="str">
        <f>DO_DB[[#This Row],[SiteID]]</f>
        <v>CLR31-99-115</v>
      </c>
      <c r="P622" t="str">
        <f>DO_DB[[#This Row],[SiteID]]&amp;"_"&amp;DO_DB[[#This Row],[Material Name]]</f>
        <v>CLR31-99-115_JC 144Core</v>
      </c>
      <c r="Q622" t="str">
        <f>DO_DB[[#This Row],[DO Number]]</f>
        <v>DOEID25050205</v>
      </c>
      <c r="R622" t="str">
        <f>DO_DB[[#This Row],[DN Number]]</f>
        <v>DNWID0362025050201</v>
      </c>
    </row>
    <row r="623" spans="1:18">
      <c r="A623" t="s">
        <v>2726</v>
      </c>
      <c r="B623" t="s">
        <v>2727</v>
      </c>
      <c r="C623" t="s">
        <v>4482</v>
      </c>
      <c r="D623" t="s">
        <v>71</v>
      </c>
      <c r="E623" t="s">
        <v>709</v>
      </c>
      <c r="F623" t="s">
        <v>3148</v>
      </c>
      <c r="G623" t="s">
        <v>2728</v>
      </c>
      <c r="H623" t="s">
        <v>2729</v>
      </c>
      <c r="I623" s="130">
        <v>45785</v>
      </c>
      <c r="J623" t="s">
        <v>3070</v>
      </c>
      <c r="K623">
        <v>38</v>
      </c>
      <c r="M6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23" t="str">
        <f>DO_DB[[#This Row],[Material Pick-update]]&amp;"_"&amp;DO_DB[[#This Row],[Material Name]]</f>
        <v>45785_Pole 7M 3"</v>
      </c>
      <c r="O623" t="str">
        <f>DO_DB[[#This Row],[SiteID]]</f>
        <v>CLR41-11-018</v>
      </c>
      <c r="P623" t="str">
        <f>DO_DB[[#This Row],[SiteID]]&amp;"_"&amp;DO_DB[[#This Row],[Material Name]]</f>
        <v>CLR41-11-018_Pole 7M 3"</v>
      </c>
      <c r="Q623" t="str">
        <f>DO_DB[[#This Row],[DO Number]]</f>
        <v>DOEID25050720</v>
      </c>
      <c r="R623" t="str">
        <f>DO_DB[[#This Row],[DN Number]]</f>
        <v>DNWID0362025050715</v>
      </c>
    </row>
    <row r="624" spans="1:18">
      <c r="A624" t="s">
        <v>2726</v>
      </c>
      <c r="B624" t="s">
        <v>2727</v>
      </c>
      <c r="C624" t="s">
        <v>4482</v>
      </c>
      <c r="D624" t="s">
        <v>71</v>
      </c>
      <c r="E624" t="s">
        <v>709</v>
      </c>
      <c r="F624" t="s">
        <v>3148</v>
      </c>
      <c r="G624" t="s">
        <v>2728</v>
      </c>
      <c r="H624" t="s">
        <v>2729</v>
      </c>
      <c r="I624" s="130">
        <v>45785</v>
      </c>
      <c r="J624" t="s">
        <v>13</v>
      </c>
      <c r="K624">
        <v>16</v>
      </c>
      <c r="M6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24" t="str">
        <f>DO_DB[[#This Row],[Material Pick-update]]&amp;"_"&amp;DO_DB[[#This Row],[Material Name]]</f>
        <v>45785_FAT-16</v>
      </c>
      <c r="O624" t="str">
        <f>DO_DB[[#This Row],[SiteID]]</f>
        <v>CLR41-11-018</v>
      </c>
      <c r="P624" t="str">
        <f>DO_DB[[#This Row],[SiteID]]&amp;"_"&amp;DO_DB[[#This Row],[Material Name]]</f>
        <v>CLR41-11-018_FAT-16</v>
      </c>
      <c r="Q624" t="str">
        <f>DO_DB[[#This Row],[DO Number]]</f>
        <v>DOEID25050720</v>
      </c>
      <c r="R624" t="str">
        <f>DO_DB[[#This Row],[DN Number]]</f>
        <v>DNWID0362025050715</v>
      </c>
    </row>
    <row r="625" spans="1:18">
      <c r="A625" t="s">
        <v>2722</v>
      </c>
      <c r="B625" t="s">
        <v>2723</v>
      </c>
      <c r="C625" s="172" t="s">
        <v>4482</v>
      </c>
      <c r="D625" t="s">
        <v>71</v>
      </c>
      <c r="E625" t="s">
        <v>26</v>
      </c>
      <c r="F625" t="s">
        <v>3148</v>
      </c>
      <c r="G625" t="s">
        <v>2724</v>
      </c>
      <c r="H625" t="s">
        <v>2725</v>
      </c>
      <c r="I625" s="130">
        <v>45785</v>
      </c>
      <c r="J625" t="s">
        <v>3070</v>
      </c>
      <c r="K625">
        <v>71</v>
      </c>
      <c r="M6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25" t="str">
        <f>DO_DB[[#This Row],[Material Pick-update]]&amp;"_"&amp;DO_DB[[#This Row],[Material Name]]</f>
        <v>45785_Pole 7M 3"</v>
      </c>
      <c r="O625" t="str">
        <f>DO_DB[[#This Row],[SiteID]]</f>
        <v>CLR31-99-086</v>
      </c>
      <c r="P625" t="str">
        <f>DO_DB[[#This Row],[SiteID]]&amp;"_"&amp;DO_DB[[#This Row],[Material Name]]</f>
        <v>CLR31-99-086_Pole 7M 3"</v>
      </c>
      <c r="Q625" t="str">
        <f>DO_DB[[#This Row],[DO Number]]</f>
        <v>DOEID25050719</v>
      </c>
      <c r="R625" t="str">
        <f>DO_DB[[#This Row],[DN Number]]</f>
        <v>DNWID0362025050714</v>
      </c>
    </row>
    <row r="626" spans="1:18">
      <c r="A626" t="s">
        <v>2722</v>
      </c>
      <c r="B626" t="s">
        <v>2723</v>
      </c>
      <c r="C626" s="172" t="s">
        <v>4482</v>
      </c>
      <c r="D626" t="s">
        <v>71</v>
      </c>
      <c r="E626" t="s">
        <v>26</v>
      </c>
      <c r="F626" t="s">
        <v>3148</v>
      </c>
      <c r="G626" t="s">
        <v>2724</v>
      </c>
      <c r="H626" t="s">
        <v>2725</v>
      </c>
      <c r="I626" s="130">
        <v>45785</v>
      </c>
      <c r="J626" t="s">
        <v>14</v>
      </c>
      <c r="K626">
        <v>1</v>
      </c>
      <c r="M6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26" t="str">
        <f>DO_DB[[#This Row],[Material Pick-update]]&amp;"_"&amp;DO_DB[[#This Row],[Material Name]]</f>
        <v>45785_FDT-48</v>
      </c>
      <c r="O626" t="str">
        <f>DO_DB[[#This Row],[SiteID]]</f>
        <v>CLR31-99-086</v>
      </c>
      <c r="P626" t="str">
        <f>DO_DB[[#This Row],[SiteID]]&amp;"_"&amp;DO_DB[[#This Row],[Material Name]]</f>
        <v>CLR31-99-086_FDT-48</v>
      </c>
      <c r="Q626" t="str">
        <f>DO_DB[[#This Row],[DO Number]]</f>
        <v>DOEID25050719</v>
      </c>
      <c r="R626" t="str">
        <f>DO_DB[[#This Row],[DN Number]]</f>
        <v>DNWID0362025050714</v>
      </c>
    </row>
    <row r="627" spans="1:18">
      <c r="A627" t="s">
        <v>2722</v>
      </c>
      <c r="B627" t="s">
        <v>2723</v>
      </c>
      <c r="C627" s="172" t="s">
        <v>4482</v>
      </c>
      <c r="D627" t="s">
        <v>71</v>
      </c>
      <c r="E627" t="s">
        <v>26</v>
      </c>
      <c r="F627" t="s">
        <v>3148</v>
      </c>
      <c r="G627" t="s">
        <v>2724</v>
      </c>
      <c r="H627" t="s">
        <v>2725</v>
      </c>
      <c r="I627" s="130">
        <v>45785</v>
      </c>
      <c r="J627" t="s">
        <v>13</v>
      </c>
      <c r="K627">
        <v>24</v>
      </c>
      <c r="M6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27" t="str">
        <f>DO_DB[[#This Row],[Material Pick-update]]&amp;"_"&amp;DO_DB[[#This Row],[Material Name]]</f>
        <v>45785_FAT-16</v>
      </c>
      <c r="O627" t="str">
        <f>DO_DB[[#This Row],[SiteID]]</f>
        <v>CLR31-99-086</v>
      </c>
      <c r="P627" t="str">
        <f>DO_DB[[#This Row],[SiteID]]&amp;"_"&amp;DO_DB[[#This Row],[Material Name]]</f>
        <v>CLR31-99-086_FAT-16</v>
      </c>
      <c r="Q627" t="str">
        <f>DO_DB[[#This Row],[DO Number]]</f>
        <v>DOEID25050719</v>
      </c>
      <c r="R627" t="str">
        <f>DO_DB[[#This Row],[DN Number]]</f>
        <v>DNWID0362025050714</v>
      </c>
    </row>
    <row r="628" spans="1:18">
      <c r="A628" t="s">
        <v>2752</v>
      </c>
      <c r="B628" t="s">
        <v>2753</v>
      </c>
      <c r="C628" s="172" t="s">
        <v>4482</v>
      </c>
      <c r="D628" t="s">
        <v>71</v>
      </c>
      <c r="E628" t="s">
        <v>26</v>
      </c>
      <c r="F628" t="s">
        <v>3148</v>
      </c>
      <c r="G628" t="s">
        <v>2760</v>
      </c>
      <c r="H628" t="s">
        <v>2761</v>
      </c>
      <c r="I628" s="130">
        <v>45796</v>
      </c>
      <c r="J628" t="s">
        <v>3075</v>
      </c>
      <c r="K628">
        <v>3000</v>
      </c>
      <c r="M6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48C-2025519-01</v>
      </c>
      <c r="N628" t="str">
        <f>DO_DB[[#This Row],[Material Pick-update]]&amp;"_"&amp;DO_DB[[#This Row],[Material Name]]</f>
        <v>45796_ADSS 48C</v>
      </c>
      <c r="O628" t="str">
        <f>DO_DB[[#This Row],[SiteID]]</f>
        <v>CLR31-99-108</v>
      </c>
      <c r="P628" t="str">
        <f>DO_DB[[#This Row],[SiteID]]&amp;"_"&amp;DO_DB[[#This Row],[Material Name]]</f>
        <v>CLR31-99-108_ADSS 48C</v>
      </c>
      <c r="Q628" t="str">
        <f>DO_DB[[#This Row],[DO Number]]</f>
        <v>DOEID25051774</v>
      </c>
      <c r="R628" t="str">
        <f>DO_DB[[#This Row],[DN Number]]</f>
        <v>DNWID1372025051806</v>
      </c>
    </row>
    <row r="629" spans="1:18">
      <c r="A629" t="s">
        <v>2676</v>
      </c>
      <c r="B629" t="s">
        <v>2677</v>
      </c>
      <c r="C629" s="172" t="s">
        <v>4482</v>
      </c>
      <c r="D629" t="s">
        <v>71</v>
      </c>
      <c r="E629" t="s">
        <v>26</v>
      </c>
      <c r="F629" t="s">
        <v>3148</v>
      </c>
      <c r="G629" t="s">
        <v>2742</v>
      </c>
      <c r="H629" t="s">
        <v>2743</v>
      </c>
      <c r="I629" s="130">
        <v>45796</v>
      </c>
      <c r="J629" t="s">
        <v>3075</v>
      </c>
      <c r="K629">
        <v>3000</v>
      </c>
      <c r="M6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48C-2025519-01</v>
      </c>
      <c r="N629" t="str">
        <f>DO_DB[[#This Row],[Material Pick-update]]&amp;"_"&amp;DO_DB[[#This Row],[Material Name]]</f>
        <v>45796_ADSS 48C</v>
      </c>
      <c r="O629" t="str">
        <f>DO_DB[[#This Row],[SiteID]]</f>
        <v>CLR41-11-020</v>
      </c>
      <c r="P629" t="str">
        <f>DO_DB[[#This Row],[SiteID]]&amp;"_"&amp;DO_DB[[#This Row],[Material Name]]</f>
        <v>CLR41-11-020_ADSS 48C</v>
      </c>
      <c r="Q629" t="str">
        <f>DO_DB[[#This Row],[DO Number]]</f>
        <v>DOEID25051775</v>
      </c>
      <c r="R629" t="str">
        <f>DO_DB[[#This Row],[DN Number]]</f>
        <v>DNWID1372025051802</v>
      </c>
    </row>
    <row r="630" spans="1:18">
      <c r="A630" t="s">
        <v>2672</v>
      </c>
      <c r="B630" t="s">
        <v>2673</v>
      </c>
      <c r="C630" s="172" t="s">
        <v>4482</v>
      </c>
      <c r="D630" t="s">
        <v>71</v>
      </c>
      <c r="E630" t="s">
        <v>26</v>
      </c>
      <c r="F630" t="s">
        <v>3148</v>
      </c>
      <c r="G630" t="s">
        <v>2746</v>
      </c>
      <c r="H630" t="s">
        <v>2747</v>
      </c>
      <c r="I630" s="130">
        <v>45796</v>
      </c>
      <c r="J630" t="s">
        <v>3075</v>
      </c>
      <c r="K630">
        <v>3000</v>
      </c>
      <c r="M6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48C-2025519-01</v>
      </c>
      <c r="N630" t="str">
        <f>DO_DB[[#This Row],[Material Pick-update]]&amp;"_"&amp;DO_DB[[#This Row],[Material Name]]</f>
        <v>45796_ADSS 48C</v>
      </c>
      <c r="O630" t="str">
        <f>DO_DB[[#This Row],[SiteID]]</f>
        <v>CLR41-11-019</v>
      </c>
      <c r="P630" t="str">
        <f>DO_DB[[#This Row],[SiteID]]&amp;"_"&amp;DO_DB[[#This Row],[Material Name]]</f>
        <v>CLR41-11-019_ADSS 48C</v>
      </c>
      <c r="Q630" t="str">
        <f>DO_DB[[#This Row],[DO Number]]</f>
        <v>DOEID25051777</v>
      </c>
      <c r="R630" t="str">
        <f>DO_DB[[#This Row],[DN Number]]</f>
        <v>DNWID1372025051803</v>
      </c>
    </row>
    <row r="631" spans="1:18">
      <c r="A631" t="s">
        <v>2710</v>
      </c>
      <c r="B631" t="s">
        <v>2711</v>
      </c>
      <c r="C631" s="172" t="s">
        <v>4482</v>
      </c>
      <c r="D631" t="s">
        <v>71</v>
      </c>
      <c r="E631" t="s">
        <v>26</v>
      </c>
      <c r="F631" t="s">
        <v>3148</v>
      </c>
      <c r="G631" t="s">
        <v>2758</v>
      </c>
      <c r="H631" t="s">
        <v>2759</v>
      </c>
      <c r="I631" s="130">
        <v>45796</v>
      </c>
      <c r="J631" t="s">
        <v>3075</v>
      </c>
      <c r="K631">
        <v>3000</v>
      </c>
      <c r="M6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48C-2025519-01</v>
      </c>
      <c r="N631" t="str">
        <f>DO_DB[[#This Row],[Material Pick-update]]&amp;"_"&amp;DO_DB[[#This Row],[Material Name]]</f>
        <v>45796_ADSS 48C</v>
      </c>
      <c r="O631" t="str">
        <f>DO_DB[[#This Row],[SiteID]]</f>
        <v>CLR31-99-115</v>
      </c>
      <c r="P631" t="str">
        <f>DO_DB[[#This Row],[SiteID]]&amp;"_"&amp;DO_DB[[#This Row],[Material Name]]</f>
        <v>CLR31-99-115_ADSS 48C</v>
      </c>
      <c r="Q631" t="str">
        <f>DO_DB[[#This Row],[DO Number]]</f>
        <v>DOEID25051781</v>
      </c>
      <c r="R631" t="str">
        <f>DO_DB[[#This Row],[DN Number]]</f>
        <v>DNWID1372025051801</v>
      </c>
    </row>
    <row r="632" spans="1:18">
      <c r="A632" t="s">
        <v>2722</v>
      </c>
      <c r="B632" t="s">
        <v>2723</v>
      </c>
      <c r="C632" s="172" t="s">
        <v>4482</v>
      </c>
      <c r="D632" t="s">
        <v>71</v>
      </c>
      <c r="E632" t="s">
        <v>26</v>
      </c>
      <c r="F632" t="s">
        <v>3148</v>
      </c>
      <c r="G632" t="s">
        <v>2748</v>
      </c>
      <c r="H632" t="s">
        <v>2749</v>
      </c>
      <c r="I632" s="130">
        <v>45796</v>
      </c>
      <c r="J632" t="s">
        <v>3075</v>
      </c>
      <c r="K632">
        <v>3000</v>
      </c>
      <c r="M6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48C-2025519-01</v>
      </c>
      <c r="N632" t="str">
        <f>DO_DB[[#This Row],[Material Pick-update]]&amp;"_"&amp;DO_DB[[#This Row],[Material Name]]</f>
        <v>45796_ADSS 48C</v>
      </c>
      <c r="O632" t="str">
        <f>DO_DB[[#This Row],[SiteID]]</f>
        <v>CLR31-99-086</v>
      </c>
      <c r="P632" t="str">
        <f>DO_DB[[#This Row],[SiteID]]&amp;"_"&amp;DO_DB[[#This Row],[Material Name]]</f>
        <v>CLR31-99-086_ADSS 48C</v>
      </c>
      <c r="Q632" t="str">
        <f>DO_DB[[#This Row],[DO Number]]</f>
        <v>DOEID25051782</v>
      </c>
      <c r="R632" t="str">
        <f>DO_DB[[#This Row],[DN Number]]</f>
        <v>DNWID1372025051804</v>
      </c>
    </row>
    <row r="633" spans="1:18">
      <c r="A633" t="s">
        <v>2714</v>
      </c>
      <c r="B633" t="s">
        <v>2715</v>
      </c>
      <c r="C633" s="172" t="s">
        <v>4482</v>
      </c>
      <c r="D633" t="s">
        <v>71</v>
      </c>
      <c r="E633" t="s">
        <v>26</v>
      </c>
      <c r="F633" t="s">
        <v>3148</v>
      </c>
      <c r="G633" t="s">
        <v>2750</v>
      </c>
      <c r="H633" t="s">
        <v>2751</v>
      </c>
      <c r="I633" s="130">
        <v>45796</v>
      </c>
      <c r="J633" t="s">
        <v>3075</v>
      </c>
      <c r="K633">
        <v>6000</v>
      </c>
      <c r="M6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48C-2025519-01</v>
      </c>
      <c r="N633" t="str">
        <f>DO_DB[[#This Row],[Material Pick-update]]&amp;"_"&amp;DO_DB[[#This Row],[Material Name]]</f>
        <v>45796_ADSS 48C</v>
      </c>
      <c r="O633" t="str">
        <f>DO_DB[[#This Row],[SiteID]]</f>
        <v>CLR31-99-082</v>
      </c>
      <c r="P633" t="str">
        <f>DO_DB[[#This Row],[SiteID]]&amp;"_"&amp;DO_DB[[#This Row],[Material Name]]</f>
        <v>CLR31-99-082_ADSS 48C</v>
      </c>
      <c r="Q633" t="str">
        <f>DO_DB[[#This Row],[DO Number]]</f>
        <v>DOEID25051783</v>
      </c>
      <c r="R633" t="str">
        <f>DO_DB[[#This Row],[DN Number]]</f>
        <v>DNWID1372025051805</v>
      </c>
    </row>
    <row r="634" spans="1:18">
      <c r="A634" t="s">
        <v>2752</v>
      </c>
      <c r="B634" t="s">
        <v>2753</v>
      </c>
      <c r="C634" s="172" t="s">
        <v>4482</v>
      </c>
      <c r="D634" t="s">
        <v>71</v>
      </c>
      <c r="E634" t="s">
        <v>26</v>
      </c>
      <c r="F634" t="s">
        <v>3148</v>
      </c>
      <c r="G634" t="s">
        <v>2754</v>
      </c>
      <c r="H634" t="s">
        <v>2755</v>
      </c>
      <c r="I634" s="130">
        <v>45796</v>
      </c>
      <c r="J634" t="s">
        <v>3070</v>
      </c>
      <c r="K634">
        <v>67</v>
      </c>
      <c r="M6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34" t="str">
        <f>DO_DB[[#This Row],[Material Pick-update]]&amp;"_"&amp;DO_DB[[#This Row],[Material Name]]</f>
        <v>45796_Pole 7M 3"</v>
      </c>
      <c r="O634" t="str">
        <f>DO_DB[[#This Row],[SiteID]]</f>
        <v>CLR31-99-108</v>
      </c>
      <c r="P634" t="str">
        <f>DO_DB[[#This Row],[SiteID]]&amp;"_"&amp;DO_DB[[#This Row],[Material Name]]</f>
        <v>CLR31-99-108_Pole 7M 3"</v>
      </c>
      <c r="Q634" t="str">
        <f>DO_DB[[#This Row],[DO Number]]</f>
        <v>DOEID25051773</v>
      </c>
      <c r="R634" t="str">
        <f>DO_DB[[#This Row],[DN Number]]</f>
        <v>DNWID1382025051802</v>
      </c>
    </row>
    <row r="635" spans="1:18">
      <c r="A635" t="s">
        <v>2752</v>
      </c>
      <c r="B635" t="s">
        <v>2753</v>
      </c>
      <c r="C635" s="172" t="s">
        <v>4482</v>
      </c>
      <c r="D635" t="s">
        <v>71</v>
      </c>
      <c r="E635" t="s">
        <v>26</v>
      </c>
      <c r="F635" t="s">
        <v>3148</v>
      </c>
      <c r="G635" t="s">
        <v>2754</v>
      </c>
      <c r="H635" t="s">
        <v>2755</v>
      </c>
      <c r="I635" s="130">
        <v>45796</v>
      </c>
      <c r="J635" t="s">
        <v>15</v>
      </c>
      <c r="K635">
        <v>1</v>
      </c>
      <c r="M6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35" t="str">
        <f>DO_DB[[#This Row],[Material Pick-update]]&amp;"_"&amp;DO_DB[[#This Row],[Material Name]]</f>
        <v>45796_FDT-72</v>
      </c>
      <c r="O635" t="str">
        <f>DO_DB[[#This Row],[SiteID]]</f>
        <v>CLR31-99-108</v>
      </c>
      <c r="P635" t="str">
        <f>DO_DB[[#This Row],[SiteID]]&amp;"_"&amp;DO_DB[[#This Row],[Material Name]]</f>
        <v>CLR31-99-108_FDT-72</v>
      </c>
      <c r="Q635" t="str">
        <f>DO_DB[[#This Row],[DO Number]]</f>
        <v>DOEID25051773</v>
      </c>
      <c r="R635" t="str">
        <f>DO_DB[[#This Row],[DN Number]]</f>
        <v>DNWID1382025051802</v>
      </c>
    </row>
    <row r="636" spans="1:18">
      <c r="A636" t="s">
        <v>2752</v>
      </c>
      <c r="B636" t="s">
        <v>2753</v>
      </c>
      <c r="C636" s="172" t="s">
        <v>4482</v>
      </c>
      <c r="D636" t="s">
        <v>71</v>
      </c>
      <c r="E636" t="s">
        <v>26</v>
      </c>
      <c r="F636" t="s">
        <v>3148</v>
      </c>
      <c r="G636" t="s">
        <v>2754</v>
      </c>
      <c r="H636" t="s">
        <v>2755</v>
      </c>
      <c r="I636" s="130">
        <v>45796</v>
      </c>
      <c r="J636" t="s">
        <v>13</v>
      </c>
      <c r="K636">
        <v>29</v>
      </c>
      <c r="M6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36" t="str">
        <f>DO_DB[[#This Row],[Material Pick-update]]&amp;"_"&amp;DO_DB[[#This Row],[Material Name]]</f>
        <v>45796_FAT-16</v>
      </c>
      <c r="O636" t="str">
        <f>DO_DB[[#This Row],[SiteID]]</f>
        <v>CLR31-99-108</v>
      </c>
      <c r="P636" t="str">
        <f>DO_DB[[#This Row],[SiteID]]&amp;"_"&amp;DO_DB[[#This Row],[Material Name]]</f>
        <v>CLR31-99-108_FAT-16</v>
      </c>
      <c r="Q636" t="str">
        <f>DO_DB[[#This Row],[DO Number]]</f>
        <v>DOEID25051773</v>
      </c>
      <c r="R636" t="str">
        <f>DO_DB[[#This Row],[DN Number]]</f>
        <v>DNWID1382025051802</v>
      </c>
    </row>
    <row r="637" spans="1:18">
      <c r="A637" t="s">
        <v>2676</v>
      </c>
      <c r="B637" t="s">
        <v>2677</v>
      </c>
      <c r="C637" s="172" t="s">
        <v>4482</v>
      </c>
      <c r="D637" t="s">
        <v>71</v>
      </c>
      <c r="E637" t="s">
        <v>26</v>
      </c>
      <c r="F637" t="s">
        <v>3148</v>
      </c>
      <c r="G637" t="s">
        <v>2762</v>
      </c>
      <c r="H637" t="s">
        <v>2763</v>
      </c>
      <c r="I637" s="130">
        <v>45796</v>
      </c>
      <c r="J637" t="s">
        <v>3070</v>
      </c>
      <c r="K637">
        <v>36</v>
      </c>
      <c r="M6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37" t="str">
        <f>DO_DB[[#This Row],[Material Pick-update]]&amp;"_"&amp;DO_DB[[#This Row],[Material Name]]</f>
        <v>45796_Pole 7M 3"</v>
      </c>
      <c r="O637" t="str">
        <f>DO_DB[[#This Row],[SiteID]]</f>
        <v>CLR41-11-020</v>
      </c>
      <c r="P637" t="str">
        <f>DO_DB[[#This Row],[SiteID]]&amp;"_"&amp;DO_DB[[#This Row],[Material Name]]</f>
        <v>CLR41-11-020_Pole 7M 3"</v>
      </c>
      <c r="Q637" t="str">
        <f>DO_DB[[#This Row],[DO Number]]</f>
        <v>DOEID25051776</v>
      </c>
      <c r="R637" t="str">
        <f>DO_DB[[#This Row],[DN Number]]</f>
        <v>DNWID1382025051804</v>
      </c>
    </row>
    <row r="638" spans="1:18">
      <c r="A638" t="s">
        <v>2672</v>
      </c>
      <c r="B638" t="s">
        <v>2673</v>
      </c>
      <c r="C638" s="172" t="s">
        <v>4482</v>
      </c>
      <c r="D638" t="s">
        <v>71</v>
      </c>
      <c r="E638" t="s">
        <v>26</v>
      </c>
      <c r="F638" t="s">
        <v>3148</v>
      </c>
      <c r="G638" t="s">
        <v>2744</v>
      </c>
      <c r="H638" t="s">
        <v>2745</v>
      </c>
      <c r="I638" s="130">
        <v>45796</v>
      </c>
      <c r="J638" t="s">
        <v>3070</v>
      </c>
      <c r="K638">
        <v>30</v>
      </c>
      <c r="M6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38" t="str">
        <f>DO_DB[[#This Row],[Material Pick-update]]&amp;"_"&amp;DO_DB[[#This Row],[Material Name]]</f>
        <v>45796_Pole 7M 3"</v>
      </c>
      <c r="O638" t="str">
        <f>DO_DB[[#This Row],[SiteID]]</f>
        <v>CLR41-11-019</v>
      </c>
      <c r="P638" t="str">
        <f>DO_DB[[#This Row],[SiteID]]&amp;"_"&amp;DO_DB[[#This Row],[Material Name]]</f>
        <v>CLR41-11-019_Pole 7M 3"</v>
      </c>
      <c r="Q638" t="str">
        <f>DO_DB[[#This Row],[DO Number]]</f>
        <v>DOEID25051778</v>
      </c>
      <c r="R638" t="str">
        <f>DO_DB[[#This Row],[DN Number]]</f>
        <v>DNWID1382025051803</v>
      </c>
    </row>
    <row r="639" spans="1:18">
      <c r="A639" t="s">
        <v>2710</v>
      </c>
      <c r="B639" t="s">
        <v>2711</v>
      </c>
      <c r="C639" s="172" t="s">
        <v>4482</v>
      </c>
      <c r="D639" t="s">
        <v>71</v>
      </c>
      <c r="E639" t="s">
        <v>26</v>
      </c>
      <c r="F639" t="s">
        <v>3148</v>
      </c>
      <c r="G639" t="s">
        <v>2756</v>
      </c>
      <c r="H639" t="s">
        <v>2757</v>
      </c>
      <c r="I639" s="130">
        <v>45796</v>
      </c>
      <c r="J639" t="s">
        <v>3070</v>
      </c>
      <c r="K639">
        <v>16</v>
      </c>
      <c r="M6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39" t="str">
        <f>DO_DB[[#This Row],[Material Pick-update]]&amp;"_"&amp;DO_DB[[#This Row],[Material Name]]</f>
        <v>45796_Pole 7M 3"</v>
      </c>
      <c r="O639" t="str">
        <f>DO_DB[[#This Row],[SiteID]]</f>
        <v>CLR31-99-115</v>
      </c>
      <c r="P639" t="str">
        <f>DO_DB[[#This Row],[SiteID]]&amp;"_"&amp;DO_DB[[#This Row],[Material Name]]</f>
        <v>CLR31-99-115_Pole 7M 3"</v>
      </c>
      <c r="Q639" t="str">
        <f>DO_DB[[#This Row],[DO Number]]</f>
        <v>DOEID25051779</v>
      </c>
      <c r="R639" t="str">
        <f>DO_DB[[#This Row],[DN Number]]</f>
        <v>DNWID1382025051801</v>
      </c>
    </row>
    <row r="640" spans="1:18">
      <c r="A640" t="s">
        <v>2722</v>
      </c>
      <c r="B640" t="s">
        <v>2723</v>
      </c>
      <c r="C640" s="172" t="s">
        <v>4482</v>
      </c>
      <c r="D640" t="s">
        <v>71</v>
      </c>
      <c r="E640" t="s">
        <v>26</v>
      </c>
      <c r="F640" t="s">
        <v>3148</v>
      </c>
      <c r="G640" t="s">
        <v>2800</v>
      </c>
      <c r="H640" t="s">
        <v>2801</v>
      </c>
      <c r="I640" s="130">
        <v>45804</v>
      </c>
      <c r="J640" t="s">
        <v>4856</v>
      </c>
      <c r="K640">
        <v>1</v>
      </c>
      <c r="M6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40" t="str">
        <f>DO_DB[[#This Row],[Material Pick-update]]&amp;"_"&amp;DO_DB[[#This Row],[Material Name]]</f>
        <v>45804_JC 144Core</v>
      </c>
      <c r="O640" t="str">
        <f>DO_DB[[#This Row],[SiteID]]</f>
        <v>CLR31-99-086</v>
      </c>
      <c r="P640" t="str">
        <f>DO_DB[[#This Row],[SiteID]]&amp;"_"&amp;DO_DB[[#This Row],[Material Name]]</f>
        <v>CLR31-99-086_JC 144Core</v>
      </c>
      <c r="Q640" t="str">
        <f>DO_DB[[#This Row],[DO Number]]</f>
        <v>DOEID25052710</v>
      </c>
      <c r="R640" t="str">
        <f>DO_DB[[#This Row],[DN Number]]</f>
        <v>DNWID1382025052707</v>
      </c>
    </row>
    <row r="641" spans="1:18">
      <c r="A641" t="s">
        <v>2752</v>
      </c>
      <c r="B641" t="s">
        <v>2753</v>
      </c>
      <c r="C641" s="172" t="s">
        <v>4482</v>
      </c>
      <c r="D641" t="s">
        <v>71</v>
      </c>
      <c r="E641" t="s">
        <v>26</v>
      </c>
      <c r="F641" t="s">
        <v>3148</v>
      </c>
      <c r="G641" t="s">
        <v>2798</v>
      </c>
      <c r="H641" t="s">
        <v>2799</v>
      </c>
      <c r="I641" s="130">
        <v>45804</v>
      </c>
      <c r="J641" t="s">
        <v>4856</v>
      </c>
      <c r="K641">
        <v>1</v>
      </c>
      <c r="M6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41" t="str">
        <f>DO_DB[[#This Row],[Material Pick-update]]&amp;"_"&amp;DO_DB[[#This Row],[Material Name]]</f>
        <v>45804_JC 144Core</v>
      </c>
      <c r="O641" t="str">
        <f>DO_DB[[#This Row],[SiteID]]</f>
        <v>CLR31-99-108</v>
      </c>
      <c r="P641" t="str">
        <f>DO_DB[[#This Row],[SiteID]]&amp;"_"&amp;DO_DB[[#This Row],[Material Name]]</f>
        <v>CLR31-99-108_JC 144Core</v>
      </c>
      <c r="Q641" t="str">
        <f>DO_DB[[#This Row],[DO Number]]</f>
        <v>DOEID25052713</v>
      </c>
      <c r="R641" t="str">
        <f>DO_DB[[#This Row],[DN Number]]</f>
        <v>DNWID1382025052708</v>
      </c>
    </row>
    <row r="642" spans="1:18">
      <c r="A642" t="s">
        <v>2456</v>
      </c>
      <c r="B642" t="s">
        <v>2457</v>
      </c>
      <c r="C642" s="172" t="s">
        <v>4482</v>
      </c>
      <c r="D642" t="s">
        <v>71</v>
      </c>
      <c r="E642" t="s">
        <v>26</v>
      </c>
      <c r="F642" t="s">
        <v>3148</v>
      </c>
      <c r="G642" t="s">
        <v>2796</v>
      </c>
      <c r="H642" t="s">
        <v>2797</v>
      </c>
      <c r="I642" s="130">
        <v>45804</v>
      </c>
      <c r="J642" t="s">
        <v>4856</v>
      </c>
      <c r="K642">
        <v>2</v>
      </c>
      <c r="M6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42" t="str">
        <f>DO_DB[[#This Row],[Material Pick-update]]&amp;"_"&amp;DO_DB[[#This Row],[Material Name]]</f>
        <v>45804_JC 144Core</v>
      </c>
      <c r="O642" t="str">
        <f>DO_DB[[#This Row],[SiteID]]</f>
        <v>CLR99-99-133</v>
      </c>
      <c r="P642" t="str">
        <f>DO_DB[[#This Row],[SiteID]]&amp;"_"&amp;DO_DB[[#This Row],[Material Name]]</f>
        <v>CLR99-99-133_JC 144Core</v>
      </c>
      <c r="Q642" t="str">
        <f>DO_DB[[#This Row],[DO Number]]</f>
        <v>DOEID25052714</v>
      </c>
      <c r="R642" t="str">
        <f>DO_DB[[#This Row],[DN Number]]</f>
        <v>DNWID1382025052709</v>
      </c>
    </row>
    <row r="643" spans="1:18">
      <c r="A643" t="s">
        <v>2484</v>
      </c>
      <c r="B643" t="s">
        <v>2485</v>
      </c>
      <c r="C643" s="172" t="s">
        <v>4482</v>
      </c>
      <c r="D643" t="s">
        <v>71</v>
      </c>
      <c r="E643" t="s">
        <v>26</v>
      </c>
      <c r="F643" t="s">
        <v>3148</v>
      </c>
      <c r="G643" t="s">
        <v>2794</v>
      </c>
      <c r="H643" t="s">
        <v>2795</v>
      </c>
      <c r="I643" s="130">
        <v>45804</v>
      </c>
      <c r="J643" t="s">
        <v>4856</v>
      </c>
      <c r="K643">
        <v>1</v>
      </c>
      <c r="M6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43" t="str">
        <f>DO_DB[[#This Row],[Material Pick-update]]&amp;"_"&amp;DO_DB[[#This Row],[Material Name]]</f>
        <v>45804_JC 144Core</v>
      </c>
      <c r="O643" t="str">
        <f>DO_DB[[#This Row],[SiteID]]</f>
        <v>CLR41-99-072</v>
      </c>
      <c r="P643" t="str">
        <f>DO_DB[[#This Row],[SiteID]]&amp;"_"&amp;DO_DB[[#This Row],[Material Name]]</f>
        <v>CLR41-99-072_JC 144Core</v>
      </c>
      <c r="Q643" t="str">
        <f>DO_DB[[#This Row],[DO Number]]</f>
        <v>DOEID25052759</v>
      </c>
      <c r="R643" t="str">
        <f>DO_DB[[#This Row],[DN Number]]</f>
        <v>DNWID1382025052711</v>
      </c>
    </row>
    <row r="644" spans="1:18">
      <c r="A644" t="s">
        <v>1519</v>
      </c>
      <c r="B644" t="s">
        <v>2802</v>
      </c>
      <c r="C644" s="172" t="s">
        <v>4482</v>
      </c>
      <c r="D644" t="s">
        <v>71</v>
      </c>
      <c r="E644" t="s">
        <v>26</v>
      </c>
      <c r="F644" t="s">
        <v>3148</v>
      </c>
      <c r="G644" t="s">
        <v>2803</v>
      </c>
      <c r="H644" t="s">
        <v>2804</v>
      </c>
      <c r="I644" s="130">
        <v>45811</v>
      </c>
      <c r="J644" t="s">
        <v>4856</v>
      </c>
      <c r="K644">
        <v>1</v>
      </c>
      <c r="M6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44" t="str">
        <f>DO_DB[[#This Row],[Material Pick-update]]&amp;"_"&amp;DO_DB[[#This Row],[Material Name]]</f>
        <v>45811_JC 144Core</v>
      </c>
      <c r="O644" t="str">
        <f>DO_DB[[#This Row],[SiteID]]</f>
        <v>MF31-04</v>
      </c>
      <c r="P644" t="str">
        <f>DO_DB[[#This Row],[SiteID]]&amp;"_"&amp;DO_DB[[#This Row],[Material Name]]</f>
        <v>MF31-04_JC 144Core</v>
      </c>
      <c r="Q644" t="str">
        <f>DO_DB[[#This Row],[DO Number]]</f>
        <v>DOEID25053129</v>
      </c>
      <c r="R644" t="str">
        <f>DO_DB[[#This Row],[DN Number]]</f>
        <v>DNWID1382025053106</v>
      </c>
    </row>
    <row r="645" spans="1:18">
      <c r="A645" t="s">
        <v>1869</v>
      </c>
      <c r="B645" t="s">
        <v>1870</v>
      </c>
      <c r="C645" s="172" t="s">
        <v>4482</v>
      </c>
      <c r="D645" t="s">
        <v>71</v>
      </c>
      <c r="E645" t="s">
        <v>26</v>
      </c>
      <c r="F645" t="s">
        <v>3148</v>
      </c>
      <c r="G645" t="s">
        <v>2805</v>
      </c>
      <c r="H645" t="s">
        <v>2806</v>
      </c>
      <c r="I645" s="130">
        <v>45811</v>
      </c>
      <c r="J645" t="s">
        <v>4856</v>
      </c>
      <c r="K645">
        <v>1</v>
      </c>
      <c r="M6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45" t="str">
        <f>DO_DB[[#This Row],[Material Pick-update]]&amp;"_"&amp;DO_DB[[#This Row],[Material Name]]</f>
        <v>45811_JC 144Core</v>
      </c>
      <c r="O645" t="str">
        <f>DO_DB[[#This Row],[SiteID]]</f>
        <v>CLR99-99-135</v>
      </c>
      <c r="P645" t="str">
        <f>DO_DB[[#This Row],[SiteID]]&amp;"_"&amp;DO_DB[[#This Row],[Material Name]]</f>
        <v>CLR99-99-135_JC 144Core</v>
      </c>
      <c r="Q645" t="str">
        <f>DO_DB[[#This Row],[DO Number]]</f>
        <v>DOEID25053137</v>
      </c>
      <c r="R645" t="str">
        <f>DO_DB[[#This Row],[DN Number]]</f>
        <v>DNWID1382025053105</v>
      </c>
    </row>
    <row r="646" spans="1:18">
      <c r="A646" t="s">
        <v>2589</v>
      </c>
      <c r="B646" t="s">
        <v>2590</v>
      </c>
      <c r="C646" s="172" t="s">
        <v>4482</v>
      </c>
      <c r="D646" t="s">
        <v>71</v>
      </c>
      <c r="E646" t="s">
        <v>26</v>
      </c>
      <c r="F646" t="s">
        <v>3148</v>
      </c>
      <c r="G646" t="s">
        <v>2807</v>
      </c>
      <c r="H646" t="s">
        <v>2808</v>
      </c>
      <c r="I646" s="130">
        <v>45811</v>
      </c>
      <c r="J646" t="s">
        <v>4856</v>
      </c>
      <c r="K646">
        <v>1</v>
      </c>
      <c r="M6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46" t="str">
        <f>DO_DB[[#This Row],[Material Pick-update]]&amp;"_"&amp;DO_DB[[#This Row],[Material Name]]</f>
        <v>45811_JC 144Core</v>
      </c>
      <c r="O646" t="str">
        <f>DO_DB[[#This Row],[SiteID]]</f>
        <v>CLR41-99-079</v>
      </c>
      <c r="P646" t="str">
        <f>DO_DB[[#This Row],[SiteID]]&amp;"_"&amp;DO_DB[[#This Row],[Material Name]]</f>
        <v>CLR41-99-079_JC 144Core</v>
      </c>
      <c r="Q646" t="str">
        <f>DO_DB[[#This Row],[DO Number]]</f>
        <v>DOEID25053140</v>
      </c>
      <c r="R646" t="str">
        <f>DO_DB[[#This Row],[DN Number]]</f>
        <v>DNWID1382025053107</v>
      </c>
    </row>
    <row r="647" spans="1:18">
      <c r="A647" t="s">
        <v>2873</v>
      </c>
      <c r="B647" t="s">
        <v>2874</v>
      </c>
      <c r="C647" t="s">
        <v>4482</v>
      </c>
      <c r="D647" t="s">
        <v>71</v>
      </c>
      <c r="E647" t="s">
        <v>709</v>
      </c>
      <c r="F647" t="s">
        <v>3148</v>
      </c>
      <c r="G647" t="s">
        <v>2875</v>
      </c>
      <c r="H647" t="s">
        <v>2876</v>
      </c>
      <c r="I647" s="130">
        <v>45841</v>
      </c>
      <c r="J647" t="s">
        <v>14</v>
      </c>
      <c r="K647">
        <v>1</v>
      </c>
      <c r="M6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47" t="str">
        <f>DO_DB[[#This Row],[Material Pick-update]]&amp;"_"&amp;DO_DB[[#This Row],[Material Name]]</f>
        <v>45841_FDT-48</v>
      </c>
      <c r="O647" t="str">
        <f>DO_DB[[#This Row],[SiteID]]</f>
        <v>CLR41-99-076</v>
      </c>
      <c r="P647" t="str">
        <f>DO_DB[[#This Row],[SiteID]]&amp;"_"&amp;DO_DB[[#This Row],[Material Name]]</f>
        <v>CLR41-99-076_FDT-48</v>
      </c>
      <c r="Q647" t="str">
        <f>DO_DB[[#This Row],[DO Number]]</f>
        <v>DOEID250701CQ</v>
      </c>
      <c r="R647" t="str">
        <f>DO_DB[[#This Row],[DN Number]]</f>
        <v>DNWID1382025070104</v>
      </c>
    </row>
    <row r="648" spans="1:18">
      <c r="A648" t="s">
        <v>3000</v>
      </c>
      <c r="B648" t="s">
        <v>3001</v>
      </c>
      <c r="C648" t="s">
        <v>4482</v>
      </c>
      <c r="D648" t="s">
        <v>71</v>
      </c>
      <c r="E648" t="s">
        <v>709</v>
      </c>
      <c r="F648" t="s">
        <v>3148</v>
      </c>
      <c r="G648" t="s">
        <v>3002</v>
      </c>
      <c r="H648" t="s">
        <v>3198</v>
      </c>
      <c r="I648" s="130">
        <v>45884</v>
      </c>
      <c r="J648" t="s">
        <v>3073</v>
      </c>
      <c r="K648">
        <v>3000</v>
      </c>
      <c r="M6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24C-2025815-01</v>
      </c>
      <c r="N648" t="str">
        <f>DO_DB[[#This Row],[Material Pick-update]]&amp;"_"&amp;DO_DB[[#This Row],[Material Name]]</f>
        <v>45884_ADSS 24C</v>
      </c>
      <c r="O648" t="str">
        <f>DO_DB[[#This Row],[SiteID]]</f>
        <v>CLR76-99-013</v>
      </c>
      <c r="P648" t="str">
        <f>DO_DB[[#This Row],[SiteID]]&amp;"_"&amp;DO_DB[[#This Row],[Material Name]]</f>
        <v>CLR76-99-013_ADSS 24C</v>
      </c>
      <c r="Q648" t="str">
        <f>DO_DB[[#This Row],[DO Number]]</f>
        <v>DOEID25081465</v>
      </c>
      <c r="R648" t="str">
        <f>DO_DB[[#This Row],[DN Number]]</f>
        <v>DNWID1382025081409</v>
      </c>
    </row>
    <row r="649" spans="1:18">
      <c r="A649" t="s">
        <v>3003</v>
      </c>
      <c r="B649" t="s">
        <v>3004</v>
      </c>
      <c r="C649" t="s">
        <v>4482</v>
      </c>
      <c r="D649" t="s">
        <v>71</v>
      </c>
      <c r="E649" t="s">
        <v>709</v>
      </c>
      <c r="F649" t="s">
        <v>3148</v>
      </c>
      <c r="G649" t="s">
        <v>3005</v>
      </c>
      <c r="H649" t="s">
        <v>3006</v>
      </c>
      <c r="I649" s="130">
        <v>45884</v>
      </c>
      <c r="J649" t="s">
        <v>3073</v>
      </c>
      <c r="K649">
        <v>3000</v>
      </c>
      <c r="M6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24C-2025815-01</v>
      </c>
      <c r="N649" t="str">
        <f>DO_DB[[#This Row],[Material Pick-update]]&amp;"_"&amp;DO_DB[[#This Row],[Material Name]]</f>
        <v>45884_ADSS 24C</v>
      </c>
      <c r="O649" t="str">
        <f>DO_DB[[#This Row],[SiteID]]</f>
        <v>CLR76-99-014</v>
      </c>
      <c r="P649" t="str">
        <f>DO_DB[[#This Row],[SiteID]]&amp;"_"&amp;DO_DB[[#This Row],[Material Name]]</f>
        <v>CLR76-99-014_ADSS 24C</v>
      </c>
      <c r="Q649" t="str">
        <f>DO_DB[[#This Row],[DO Number]]</f>
        <v>DOEID25081466</v>
      </c>
      <c r="R649" t="str">
        <f>DO_DB[[#This Row],[DN Number]]</f>
        <v>DNWID1382025081410</v>
      </c>
    </row>
    <row r="650" spans="1:18">
      <c r="A650" t="s">
        <v>3007</v>
      </c>
      <c r="B650" t="s">
        <v>3008</v>
      </c>
      <c r="C650" t="s">
        <v>4482</v>
      </c>
      <c r="D650" t="s">
        <v>71</v>
      </c>
      <c r="E650" t="s">
        <v>709</v>
      </c>
      <c r="F650" t="s">
        <v>3148</v>
      </c>
      <c r="G650" t="s">
        <v>3009</v>
      </c>
      <c r="H650" t="s">
        <v>3010</v>
      </c>
      <c r="I650" s="130">
        <v>45884</v>
      </c>
      <c r="J650" t="s">
        <v>3073</v>
      </c>
      <c r="K650">
        <v>3000</v>
      </c>
      <c r="M6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24C-2025815-01</v>
      </c>
      <c r="N650" t="str">
        <f>DO_DB[[#This Row],[Material Pick-update]]&amp;"_"&amp;DO_DB[[#This Row],[Material Name]]</f>
        <v>45884_ADSS 24C</v>
      </c>
      <c r="O650" t="str">
        <f>DO_DB[[#This Row],[SiteID]]</f>
        <v>CLR76-99-015</v>
      </c>
      <c r="P650" t="str">
        <f>DO_DB[[#This Row],[SiteID]]&amp;"_"&amp;DO_DB[[#This Row],[Material Name]]</f>
        <v>CLR76-99-015_ADSS 24C</v>
      </c>
      <c r="Q650" t="str">
        <f>DO_DB[[#This Row],[DO Number]]</f>
        <v>DOEID25081467</v>
      </c>
      <c r="R650" t="str">
        <f>DO_DB[[#This Row],[DN Number]]</f>
        <v>DNWID1382025081411</v>
      </c>
    </row>
    <row r="651" spans="1:18">
      <c r="A651" t="s">
        <v>3011</v>
      </c>
      <c r="B651" t="s">
        <v>3012</v>
      </c>
      <c r="C651" t="s">
        <v>4482</v>
      </c>
      <c r="D651" t="s">
        <v>71</v>
      </c>
      <c r="E651" t="s">
        <v>709</v>
      </c>
      <c r="F651" t="s">
        <v>3148</v>
      </c>
      <c r="G651" t="s">
        <v>3013</v>
      </c>
      <c r="H651" t="s">
        <v>3199</v>
      </c>
      <c r="I651" s="130">
        <v>45884</v>
      </c>
      <c r="J651" t="s">
        <v>3075</v>
      </c>
      <c r="K651">
        <v>3000</v>
      </c>
      <c r="M6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48C-2025815-01</v>
      </c>
      <c r="N651" t="str">
        <f>DO_DB[[#This Row],[Material Pick-update]]&amp;"_"&amp;DO_DB[[#This Row],[Material Name]]</f>
        <v>45884_ADSS 48C</v>
      </c>
      <c r="O651" t="str">
        <f>DO_DB[[#This Row],[SiteID]]</f>
        <v>CLR41-03-056</v>
      </c>
      <c r="P651" t="str">
        <f>DO_DB[[#This Row],[SiteID]]&amp;"_"&amp;DO_DB[[#This Row],[Material Name]]</f>
        <v>CLR41-03-056_ADSS 48C</v>
      </c>
      <c r="Q651" t="str">
        <f>DO_DB[[#This Row],[DO Number]]</f>
        <v>DOEID25081468</v>
      </c>
      <c r="R651" t="str">
        <f>DO_DB[[#This Row],[DN Number]]</f>
        <v>DNWID1382025081407</v>
      </c>
    </row>
    <row r="652" spans="1:18">
      <c r="A652" t="s">
        <v>3014</v>
      </c>
      <c r="B652" t="s">
        <v>3015</v>
      </c>
      <c r="C652" t="s">
        <v>4482</v>
      </c>
      <c r="D652" t="s">
        <v>71</v>
      </c>
      <c r="E652" t="s">
        <v>709</v>
      </c>
      <c r="F652" t="s">
        <v>3148</v>
      </c>
      <c r="G652" t="s">
        <v>3016</v>
      </c>
      <c r="H652" t="s">
        <v>3200</v>
      </c>
      <c r="I652" s="130">
        <v>45884</v>
      </c>
      <c r="J652" t="s">
        <v>3073</v>
      </c>
      <c r="K652">
        <v>3000</v>
      </c>
      <c r="M6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24C-2025815-01</v>
      </c>
      <c r="N652" t="str">
        <f>DO_DB[[#This Row],[Material Pick-update]]&amp;"_"&amp;DO_DB[[#This Row],[Material Name]]</f>
        <v>45884_ADSS 24C</v>
      </c>
      <c r="O652" t="str">
        <f>DO_DB[[#This Row],[SiteID]]</f>
        <v>CLR41-03-081</v>
      </c>
      <c r="P652" t="str">
        <f>DO_DB[[#This Row],[SiteID]]&amp;"_"&amp;DO_DB[[#This Row],[Material Name]]</f>
        <v>CLR41-03-081_ADSS 24C</v>
      </c>
      <c r="Q652" t="str">
        <f>DO_DB[[#This Row],[DO Number]]</f>
        <v>DOEID25081469</v>
      </c>
      <c r="R652" t="str">
        <f>DO_DB[[#This Row],[DN Number]]</f>
        <v>DNWID1382025081408</v>
      </c>
    </row>
    <row r="653" spans="1:18">
      <c r="A653" t="s">
        <v>3000</v>
      </c>
      <c r="B653" t="s">
        <v>3001</v>
      </c>
      <c r="C653" t="s">
        <v>4482</v>
      </c>
      <c r="D653" t="s">
        <v>71</v>
      </c>
      <c r="E653" t="s">
        <v>709</v>
      </c>
      <c r="F653" t="s">
        <v>3148</v>
      </c>
      <c r="G653" t="s">
        <v>3002</v>
      </c>
      <c r="H653" t="s">
        <v>3198</v>
      </c>
      <c r="I653" s="130">
        <v>45884</v>
      </c>
      <c r="J653" t="s">
        <v>3070</v>
      </c>
      <c r="K653">
        <v>34</v>
      </c>
      <c r="M6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53" t="str">
        <f>DO_DB[[#This Row],[Material Pick-update]]&amp;"_"&amp;DO_DB[[#This Row],[Material Name]]</f>
        <v>45884_Pole 7M 3"</v>
      </c>
      <c r="O653" t="str">
        <f>DO_DB[[#This Row],[SiteID]]</f>
        <v>CLR76-99-013</v>
      </c>
      <c r="P653" t="str">
        <f>DO_DB[[#This Row],[SiteID]]&amp;"_"&amp;DO_DB[[#This Row],[Material Name]]</f>
        <v>CLR76-99-013_Pole 7M 3"</v>
      </c>
      <c r="Q653" t="str">
        <f>DO_DB[[#This Row],[DO Number]]</f>
        <v>DOEID25081465</v>
      </c>
      <c r="R653" t="str">
        <f>DO_DB[[#This Row],[DN Number]]</f>
        <v>DNWID1382025081409</v>
      </c>
    </row>
    <row r="654" spans="1:18">
      <c r="A654" t="s">
        <v>3000</v>
      </c>
      <c r="B654" t="s">
        <v>3001</v>
      </c>
      <c r="C654" t="s">
        <v>4482</v>
      </c>
      <c r="D654" t="s">
        <v>71</v>
      </c>
      <c r="E654" t="s">
        <v>709</v>
      </c>
      <c r="F654" t="s">
        <v>3148</v>
      </c>
      <c r="G654" t="s">
        <v>3002</v>
      </c>
      <c r="H654" t="s">
        <v>3198</v>
      </c>
      <c r="I654" s="130">
        <v>45884</v>
      </c>
      <c r="J654" t="s">
        <v>14</v>
      </c>
      <c r="K654">
        <v>1</v>
      </c>
      <c r="M6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54" t="str">
        <f>DO_DB[[#This Row],[Material Pick-update]]&amp;"_"&amp;DO_DB[[#This Row],[Material Name]]</f>
        <v>45884_FDT-48</v>
      </c>
      <c r="O654" t="str">
        <f>DO_DB[[#This Row],[SiteID]]</f>
        <v>CLR76-99-013</v>
      </c>
      <c r="P654" t="str">
        <f>DO_DB[[#This Row],[SiteID]]&amp;"_"&amp;DO_DB[[#This Row],[Material Name]]</f>
        <v>CLR76-99-013_FDT-48</v>
      </c>
      <c r="Q654" t="str">
        <f>DO_DB[[#This Row],[DO Number]]</f>
        <v>DOEID25081465</v>
      </c>
      <c r="R654" t="str">
        <f>DO_DB[[#This Row],[DN Number]]</f>
        <v>DNWID1382025081409</v>
      </c>
    </row>
    <row r="655" spans="1:18">
      <c r="A655" t="s">
        <v>3000</v>
      </c>
      <c r="B655" t="s">
        <v>3001</v>
      </c>
      <c r="C655" t="s">
        <v>4482</v>
      </c>
      <c r="D655" t="s">
        <v>71</v>
      </c>
      <c r="E655" t="s">
        <v>709</v>
      </c>
      <c r="F655" t="s">
        <v>3148</v>
      </c>
      <c r="G655" t="s">
        <v>3002</v>
      </c>
      <c r="H655" t="s">
        <v>3198</v>
      </c>
      <c r="I655" s="130">
        <v>45884</v>
      </c>
      <c r="J655" t="s">
        <v>13</v>
      </c>
      <c r="K655">
        <v>10</v>
      </c>
      <c r="M6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55" t="str">
        <f>DO_DB[[#This Row],[Material Pick-update]]&amp;"_"&amp;DO_DB[[#This Row],[Material Name]]</f>
        <v>45884_FAT-16</v>
      </c>
      <c r="O655" t="str">
        <f>DO_DB[[#This Row],[SiteID]]</f>
        <v>CLR76-99-013</v>
      </c>
      <c r="P655" t="str">
        <f>DO_DB[[#This Row],[SiteID]]&amp;"_"&amp;DO_DB[[#This Row],[Material Name]]</f>
        <v>CLR76-99-013_FAT-16</v>
      </c>
      <c r="Q655" t="str">
        <f>DO_DB[[#This Row],[DO Number]]</f>
        <v>DOEID25081465</v>
      </c>
      <c r="R655" t="str">
        <f>DO_DB[[#This Row],[DN Number]]</f>
        <v>DNWID1382025081409</v>
      </c>
    </row>
    <row r="656" spans="1:18">
      <c r="A656" t="s">
        <v>3003</v>
      </c>
      <c r="B656" t="s">
        <v>3004</v>
      </c>
      <c r="C656" t="s">
        <v>4482</v>
      </c>
      <c r="D656" t="s">
        <v>71</v>
      </c>
      <c r="E656" t="s">
        <v>709</v>
      </c>
      <c r="F656" t="s">
        <v>3148</v>
      </c>
      <c r="G656" t="s">
        <v>3005</v>
      </c>
      <c r="H656" t="s">
        <v>3006</v>
      </c>
      <c r="I656" s="130">
        <v>45884</v>
      </c>
      <c r="J656" t="s">
        <v>3070</v>
      </c>
      <c r="K656">
        <v>52</v>
      </c>
      <c r="M6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56" t="str">
        <f>DO_DB[[#This Row],[Material Pick-update]]&amp;"_"&amp;DO_DB[[#This Row],[Material Name]]</f>
        <v>45884_Pole 7M 3"</v>
      </c>
      <c r="O656" t="str">
        <f>DO_DB[[#This Row],[SiteID]]</f>
        <v>CLR76-99-014</v>
      </c>
      <c r="P656" t="str">
        <f>DO_DB[[#This Row],[SiteID]]&amp;"_"&amp;DO_DB[[#This Row],[Material Name]]</f>
        <v>CLR76-99-014_Pole 7M 3"</v>
      </c>
      <c r="Q656" t="str">
        <f>DO_DB[[#This Row],[DO Number]]</f>
        <v>DOEID25081466</v>
      </c>
      <c r="R656" t="str">
        <f>DO_DB[[#This Row],[DN Number]]</f>
        <v>DNWID1382025081410</v>
      </c>
    </row>
    <row r="657" spans="1:18">
      <c r="A657" t="s">
        <v>3003</v>
      </c>
      <c r="B657" t="s">
        <v>3004</v>
      </c>
      <c r="C657" t="s">
        <v>4482</v>
      </c>
      <c r="D657" t="s">
        <v>71</v>
      </c>
      <c r="E657" t="s">
        <v>709</v>
      </c>
      <c r="F657" t="s">
        <v>3148</v>
      </c>
      <c r="G657" t="s">
        <v>3005</v>
      </c>
      <c r="H657" t="s">
        <v>3006</v>
      </c>
      <c r="I657" s="130">
        <v>45884</v>
      </c>
      <c r="J657" t="s">
        <v>15</v>
      </c>
      <c r="K657">
        <v>1</v>
      </c>
      <c r="M6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57" t="str">
        <f>DO_DB[[#This Row],[Material Pick-update]]&amp;"_"&amp;DO_DB[[#This Row],[Material Name]]</f>
        <v>45884_FDT-72</v>
      </c>
      <c r="O657" t="str">
        <f>DO_DB[[#This Row],[SiteID]]</f>
        <v>CLR76-99-014</v>
      </c>
      <c r="P657" t="str">
        <f>DO_DB[[#This Row],[SiteID]]&amp;"_"&amp;DO_DB[[#This Row],[Material Name]]</f>
        <v>CLR76-99-014_FDT-72</v>
      </c>
      <c r="Q657" t="str">
        <f>DO_DB[[#This Row],[DO Number]]</f>
        <v>DOEID25081466</v>
      </c>
      <c r="R657" t="str">
        <f>DO_DB[[#This Row],[DN Number]]</f>
        <v>DNWID1382025081410</v>
      </c>
    </row>
    <row r="658" spans="1:18">
      <c r="A658" t="s">
        <v>3003</v>
      </c>
      <c r="B658" t="s">
        <v>3004</v>
      </c>
      <c r="C658" t="s">
        <v>4482</v>
      </c>
      <c r="D658" t="s">
        <v>71</v>
      </c>
      <c r="E658" t="s">
        <v>709</v>
      </c>
      <c r="F658" t="s">
        <v>3148</v>
      </c>
      <c r="G658" t="s">
        <v>3005</v>
      </c>
      <c r="H658" t="s">
        <v>3006</v>
      </c>
      <c r="I658" s="130">
        <v>45884</v>
      </c>
      <c r="J658" t="s">
        <v>13</v>
      </c>
      <c r="K658">
        <v>14</v>
      </c>
      <c r="M6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58" t="str">
        <f>DO_DB[[#This Row],[Material Pick-update]]&amp;"_"&amp;DO_DB[[#This Row],[Material Name]]</f>
        <v>45884_FAT-16</v>
      </c>
      <c r="O658" t="str">
        <f>DO_DB[[#This Row],[SiteID]]</f>
        <v>CLR76-99-014</v>
      </c>
      <c r="P658" t="str">
        <f>DO_DB[[#This Row],[SiteID]]&amp;"_"&amp;DO_DB[[#This Row],[Material Name]]</f>
        <v>CLR76-99-014_FAT-16</v>
      </c>
      <c r="Q658" t="str">
        <f>DO_DB[[#This Row],[DO Number]]</f>
        <v>DOEID25081466</v>
      </c>
      <c r="R658" t="str">
        <f>DO_DB[[#This Row],[DN Number]]</f>
        <v>DNWID1382025081410</v>
      </c>
    </row>
    <row r="659" spans="1:18">
      <c r="A659" t="s">
        <v>3007</v>
      </c>
      <c r="B659" t="s">
        <v>3008</v>
      </c>
      <c r="C659" t="s">
        <v>4482</v>
      </c>
      <c r="D659" t="s">
        <v>71</v>
      </c>
      <c r="E659" t="s">
        <v>709</v>
      </c>
      <c r="F659" t="s">
        <v>3148</v>
      </c>
      <c r="G659" t="s">
        <v>3009</v>
      </c>
      <c r="H659" t="s">
        <v>3010</v>
      </c>
      <c r="I659" s="130">
        <v>45884</v>
      </c>
      <c r="J659" t="s">
        <v>3070</v>
      </c>
      <c r="K659">
        <v>34</v>
      </c>
      <c r="M6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59" t="str">
        <f>DO_DB[[#This Row],[Material Pick-update]]&amp;"_"&amp;DO_DB[[#This Row],[Material Name]]</f>
        <v>45884_Pole 7M 3"</v>
      </c>
      <c r="O659" t="str">
        <f>DO_DB[[#This Row],[SiteID]]</f>
        <v>CLR76-99-015</v>
      </c>
      <c r="P659" t="str">
        <f>DO_DB[[#This Row],[SiteID]]&amp;"_"&amp;DO_DB[[#This Row],[Material Name]]</f>
        <v>CLR76-99-015_Pole 7M 3"</v>
      </c>
      <c r="Q659" t="str">
        <f>DO_DB[[#This Row],[DO Number]]</f>
        <v>DOEID25081467</v>
      </c>
      <c r="R659" t="str">
        <f>DO_DB[[#This Row],[DN Number]]</f>
        <v>DNWID1382025081411</v>
      </c>
    </row>
    <row r="660" spans="1:18">
      <c r="A660" t="s">
        <v>3007</v>
      </c>
      <c r="B660" t="s">
        <v>3008</v>
      </c>
      <c r="C660" t="s">
        <v>4482</v>
      </c>
      <c r="D660" t="s">
        <v>71</v>
      </c>
      <c r="E660" t="s">
        <v>709</v>
      </c>
      <c r="F660" t="s">
        <v>3148</v>
      </c>
      <c r="G660" t="s">
        <v>3009</v>
      </c>
      <c r="H660" t="s">
        <v>3010</v>
      </c>
      <c r="I660" s="130">
        <v>45884</v>
      </c>
      <c r="J660" t="s">
        <v>13</v>
      </c>
      <c r="K660">
        <v>10</v>
      </c>
      <c r="M6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60" t="str">
        <f>DO_DB[[#This Row],[Material Pick-update]]&amp;"_"&amp;DO_DB[[#This Row],[Material Name]]</f>
        <v>45884_FAT-16</v>
      </c>
      <c r="O660" t="str">
        <f>DO_DB[[#This Row],[SiteID]]</f>
        <v>CLR76-99-015</v>
      </c>
      <c r="P660" t="str">
        <f>DO_DB[[#This Row],[SiteID]]&amp;"_"&amp;DO_DB[[#This Row],[Material Name]]</f>
        <v>CLR76-99-015_FAT-16</v>
      </c>
      <c r="Q660" t="str">
        <f>DO_DB[[#This Row],[DO Number]]</f>
        <v>DOEID25081467</v>
      </c>
      <c r="R660" t="str">
        <f>DO_DB[[#This Row],[DN Number]]</f>
        <v>DNWID1382025081411</v>
      </c>
    </row>
    <row r="661" spans="1:18">
      <c r="A661" t="s">
        <v>3011</v>
      </c>
      <c r="B661" t="s">
        <v>3012</v>
      </c>
      <c r="C661" t="s">
        <v>4482</v>
      </c>
      <c r="D661" t="s">
        <v>71</v>
      </c>
      <c r="E661" t="s">
        <v>709</v>
      </c>
      <c r="F661" t="s">
        <v>3148</v>
      </c>
      <c r="G661" t="s">
        <v>3013</v>
      </c>
      <c r="H661" t="s">
        <v>3199</v>
      </c>
      <c r="I661" s="130">
        <v>45884</v>
      </c>
      <c r="J661" t="s">
        <v>3070</v>
      </c>
      <c r="K661">
        <v>79</v>
      </c>
      <c r="M6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61" t="str">
        <f>DO_DB[[#This Row],[Material Pick-update]]&amp;"_"&amp;DO_DB[[#This Row],[Material Name]]</f>
        <v>45884_Pole 7M 3"</v>
      </c>
      <c r="O661" t="str">
        <f>DO_DB[[#This Row],[SiteID]]</f>
        <v>CLR41-03-056</v>
      </c>
      <c r="P661" t="str">
        <f>DO_DB[[#This Row],[SiteID]]&amp;"_"&amp;DO_DB[[#This Row],[Material Name]]</f>
        <v>CLR41-03-056_Pole 7M 3"</v>
      </c>
      <c r="Q661" t="str">
        <f>DO_DB[[#This Row],[DO Number]]</f>
        <v>DOEID25081468</v>
      </c>
      <c r="R661" t="str">
        <f>DO_DB[[#This Row],[DN Number]]</f>
        <v>DNWID1382025081407</v>
      </c>
    </row>
    <row r="662" spans="1:18">
      <c r="A662" t="s">
        <v>3011</v>
      </c>
      <c r="B662" t="s">
        <v>3012</v>
      </c>
      <c r="C662" t="s">
        <v>4482</v>
      </c>
      <c r="D662" t="s">
        <v>71</v>
      </c>
      <c r="E662" t="s">
        <v>709</v>
      </c>
      <c r="F662" t="s">
        <v>3148</v>
      </c>
      <c r="G662" t="s">
        <v>3013</v>
      </c>
      <c r="H662" t="s">
        <v>3199</v>
      </c>
      <c r="I662" s="130">
        <v>45884</v>
      </c>
      <c r="J662" t="s">
        <v>15</v>
      </c>
      <c r="K662">
        <v>1</v>
      </c>
      <c r="M6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62" t="str">
        <f>DO_DB[[#This Row],[Material Pick-update]]&amp;"_"&amp;DO_DB[[#This Row],[Material Name]]</f>
        <v>45884_FDT-72</v>
      </c>
      <c r="O662" t="str">
        <f>DO_DB[[#This Row],[SiteID]]</f>
        <v>CLR41-03-056</v>
      </c>
      <c r="P662" t="str">
        <f>DO_DB[[#This Row],[SiteID]]&amp;"_"&amp;DO_DB[[#This Row],[Material Name]]</f>
        <v>CLR41-03-056_FDT-72</v>
      </c>
      <c r="Q662" t="str">
        <f>DO_DB[[#This Row],[DO Number]]</f>
        <v>DOEID25081468</v>
      </c>
      <c r="R662" t="str">
        <f>DO_DB[[#This Row],[DN Number]]</f>
        <v>DNWID1382025081407</v>
      </c>
    </row>
    <row r="663" spans="1:18">
      <c r="A663" t="s">
        <v>3011</v>
      </c>
      <c r="B663" t="s">
        <v>3012</v>
      </c>
      <c r="C663" t="s">
        <v>4482</v>
      </c>
      <c r="D663" t="s">
        <v>71</v>
      </c>
      <c r="E663" t="s">
        <v>709</v>
      </c>
      <c r="F663" t="s">
        <v>3148</v>
      </c>
      <c r="G663" t="s">
        <v>3013</v>
      </c>
      <c r="H663" t="s">
        <v>3199</v>
      </c>
      <c r="I663" s="130">
        <v>45884</v>
      </c>
      <c r="J663" t="s">
        <v>13</v>
      </c>
      <c r="K663">
        <v>29</v>
      </c>
      <c r="M6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63" t="str">
        <f>DO_DB[[#This Row],[Material Pick-update]]&amp;"_"&amp;DO_DB[[#This Row],[Material Name]]</f>
        <v>45884_FAT-16</v>
      </c>
      <c r="O663" t="str">
        <f>DO_DB[[#This Row],[SiteID]]</f>
        <v>CLR41-03-056</v>
      </c>
      <c r="P663" t="str">
        <f>DO_DB[[#This Row],[SiteID]]&amp;"_"&amp;DO_DB[[#This Row],[Material Name]]</f>
        <v>CLR41-03-056_FAT-16</v>
      </c>
      <c r="Q663" t="str">
        <f>DO_DB[[#This Row],[DO Number]]</f>
        <v>DOEID25081468</v>
      </c>
      <c r="R663" t="str">
        <f>DO_DB[[#This Row],[DN Number]]</f>
        <v>DNWID1382025081407</v>
      </c>
    </row>
    <row r="664" spans="1:18">
      <c r="A664" t="s">
        <v>3014</v>
      </c>
      <c r="B664" t="s">
        <v>3015</v>
      </c>
      <c r="C664" t="s">
        <v>4482</v>
      </c>
      <c r="D664" t="s">
        <v>71</v>
      </c>
      <c r="E664" t="s">
        <v>709</v>
      </c>
      <c r="F664" t="s">
        <v>3148</v>
      </c>
      <c r="G664" t="s">
        <v>3016</v>
      </c>
      <c r="H664" t="s">
        <v>3200</v>
      </c>
      <c r="I664" s="130">
        <v>45884</v>
      </c>
      <c r="J664" t="s">
        <v>3070</v>
      </c>
      <c r="K664">
        <v>45</v>
      </c>
      <c r="M6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64" t="str">
        <f>DO_DB[[#This Row],[Material Pick-update]]&amp;"_"&amp;DO_DB[[#This Row],[Material Name]]</f>
        <v>45884_Pole 7M 3"</v>
      </c>
      <c r="O664" t="str">
        <f>DO_DB[[#This Row],[SiteID]]</f>
        <v>CLR41-03-081</v>
      </c>
      <c r="P664" t="str">
        <f>DO_DB[[#This Row],[SiteID]]&amp;"_"&amp;DO_DB[[#This Row],[Material Name]]</f>
        <v>CLR41-03-081_Pole 7M 3"</v>
      </c>
      <c r="Q664" t="str">
        <f>DO_DB[[#This Row],[DO Number]]</f>
        <v>DOEID25081469</v>
      </c>
      <c r="R664" t="str">
        <f>DO_DB[[#This Row],[DN Number]]</f>
        <v>DNWID1382025081408</v>
      </c>
    </row>
    <row r="665" spans="1:18">
      <c r="A665" t="s">
        <v>3014</v>
      </c>
      <c r="B665" t="s">
        <v>3015</v>
      </c>
      <c r="C665" t="s">
        <v>4482</v>
      </c>
      <c r="D665" t="s">
        <v>71</v>
      </c>
      <c r="E665" t="s">
        <v>709</v>
      </c>
      <c r="F665" t="s">
        <v>3148</v>
      </c>
      <c r="G665" t="s">
        <v>3016</v>
      </c>
      <c r="H665" t="s">
        <v>3200</v>
      </c>
      <c r="I665" s="130">
        <v>45884</v>
      </c>
      <c r="J665" t="s">
        <v>15</v>
      </c>
      <c r="K665">
        <v>1</v>
      </c>
      <c r="M6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65" t="str">
        <f>DO_DB[[#This Row],[Material Pick-update]]&amp;"_"&amp;DO_DB[[#This Row],[Material Name]]</f>
        <v>45884_FDT-72</v>
      </c>
      <c r="O665" t="str">
        <f>DO_DB[[#This Row],[SiteID]]</f>
        <v>CLR41-03-081</v>
      </c>
      <c r="P665" t="str">
        <f>DO_DB[[#This Row],[SiteID]]&amp;"_"&amp;DO_DB[[#This Row],[Material Name]]</f>
        <v>CLR41-03-081_FDT-72</v>
      </c>
      <c r="Q665" t="str">
        <f>DO_DB[[#This Row],[DO Number]]</f>
        <v>DOEID25081469</v>
      </c>
      <c r="R665" t="str">
        <f>DO_DB[[#This Row],[DN Number]]</f>
        <v>DNWID1382025081408</v>
      </c>
    </row>
    <row r="666" spans="1:18">
      <c r="A666" t="s">
        <v>3014</v>
      </c>
      <c r="B666" t="s">
        <v>3015</v>
      </c>
      <c r="C666" t="s">
        <v>4482</v>
      </c>
      <c r="D666" t="s">
        <v>71</v>
      </c>
      <c r="E666" t="s">
        <v>709</v>
      </c>
      <c r="F666" t="s">
        <v>3148</v>
      </c>
      <c r="G666" t="s">
        <v>3016</v>
      </c>
      <c r="H666" t="s">
        <v>3200</v>
      </c>
      <c r="I666" s="130">
        <v>45884</v>
      </c>
      <c r="J666" t="s">
        <v>13</v>
      </c>
      <c r="K666">
        <v>23</v>
      </c>
      <c r="M6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66" t="str">
        <f>DO_DB[[#This Row],[Material Pick-update]]&amp;"_"&amp;DO_DB[[#This Row],[Material Name]]</f>
        <v>45884_FAT-16</v>
      </c>
      <c r="O666" t="str">
        <f>DO_DB[[#This Row],[SiteID]]</f>
        <v>CLR41-03-081</v>
      </c>
      <c r="P666" t="str">
        <f>DO_DB[[#This Row],[SiteID]]&amp;"_"&amp;DO_DB[[#This Row],[Material Name]]</f>
        <v>CLR41-03-081_FAT-16</v>
      </c>
      <c r="Q666" t="str">
        <f>DO_DB[[#This Row],[DO Number]]</f>
        <v>DOEID25081469</v>
      </c>
      <c r="R666" t="str">
        <f>DO_DB[[#This Row],[DN Number]]</f>
        <v>DNWID1382025081408</v>
      </c>
    </row>
    <row r="667" spans="1:18">
      <c r="A667" t="s">
        <v>3675</v>
      </c>
      <c r="B667" t="s">
        <v>3676</v>
      </c>
      <c r="C667" t="s">
        <v>4482</v>
      </c>
      <c r="D667" t="s">
        <v>71</v>
      </c>
      <c r="E667" t="s">
        <v>3674</v>
      </c>
      <c r="F667" t="s">
        <v>3148</v>
      </c>
      <c r="G667" t="s">
        <v>3677</v>
      </c>
      <c r="H667" t="s">
        <v>4474</v>
      </c>
      <c r="I667" s="130">
        <v>45904</v>
      </c>
      <c r="J667" t="s">
        <v>3073</v>
      </c>
      <c r="K667">
        <v>3000</v>
      </c>
      <c r="M6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24C-202594-01</v>
      </c>
      <c r="N667" t="str">
        <f>DO_DB[[#This Row],[Material Pick-update]]&amp;"_"&amp;DO_DB[[#This Row],[Material Name]]</f>
        <v>45904_ADSS 24C</v>
      </c>
      <c r="O667" t="str">
        <f>DO_DB[[#This Row],[SiteID]]</f>
        <v>CLR77-99-116</v>
      </c>
      <c r="P667" t="str">
        <f>DO_DB[[#This Row],[SiteID]]&amp;"_"&amp;DO_DB[[#This Row],[Material Name]]</f>
        <v>CLR77-99-116_ADSS 24C</v>
      </c>
      <c r="Q667" t="str">
        <f>DO_DB[[#This Row],[DO Number]]</f>
        <v>DOEID25082607</v>
      </c>
      <c r="R667" t="str">
        <f>DO_DB[[#This Row],[DN Number]]</f>
        <v>DNWID1382025082601</v>
      </c>
    </row>
    <row r="668" spans="1:18">
      <c r="A668" t="s">
        <v>3675</v>
      </c>
      <c r="B668" t="s">
        <v>3676</v>
      </c>
      <c r="C668" t="s">
        <v>4482</v>
      </c>
      <c r="D668" t="s">
        <v>71</v>
      </c>
      <c r="E668" t="s">
        <v>3674</v>
      </c>
      <c r="F668" t="s">
        <v>3148</v>
      </c>
      <c r="G668" t="s">
        <v>3677</v>
      </c>
      <c r="H668" t="s">
        <v>4474</v>
      </c>
      <c r="I668" s="130">
        <v>45904</v>
      </c>
      <c r="J668" t="s">
        <v>3074</v>
      </c>
      <c r="K668">
        <v>6000</v>
      </c>
      <c r="M6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36C-202594-01</v>
      </c>
      <c r="N668" t="str">
        <f>DO_DB[[#This Row],[Material Pick-update]]&amp;"_"&amp;DO_DB[[#This Row],[Material Name]]</f>
        <v>45904_ADSS 36C</v>
      </c>
      <c r="O668" t="str">
        <f>DO_DB[[#This Row],[SiteID]]</f>
        <v>CLR77-99-116</v>
      </c>
      <c r="P668" t="str">
        <f>DO_DB[[#This Row],[SiteID]]&amp;"_"&amp;DO_DB[[#This Row],[Material Name]]</f>
        <v>CLR77-99-116_ADSS 36C</v>
      </c>
      <c r="Q668" t="str">
        <f>DO_DB[[#This Row],[DO Number]]</f>
        <v>DOEID25082607</v>
      </c>
      <c r="R668" t="str">
        <f>DO_DB[[#This Row],[DN Number]]</f>
        <v>DNWID1382025082601</v>
      </c>
    </row>
    <row r="669" spans="1:18">
      <c r="A669" t="s">
        <v>3675</v>
      </c>
      <c r="B669" t="s">
        <v>3676</v>
      </c>
      <c r="C669" t="s">
        <v>4482</v>
      </c>
      <c r="D669" t="s">
        <v>71</v>
      </c>
      <c r="E669" t="s">
        <v>3674</v>
      </c>
      <c r="F669" t="s">
        <v>3148</v>
      </c>
      <c r="G669" t="s">
        <v>3677</v>
      </c>
      <c r="H669" t="s">
        <v>4474</v>
      </c>
      <c r="I669" s="130">
        <v>45904</v>
      </c>
      <c r="J669" t="s">
        <v>3069</v>
      </c>
      <c r="K669">
        <v>2</v>
      </c>
      <c r="M6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69" t="str">
        <f>DO_DB[[#This Row],[Material Pick-update]]&amp;"_"&amp;DO_DB[[#This Row],[Material Name]]</f>
        <v>45904_Pole 7M 4"</v>
      </c>
      <c r="O669" t="str">
        <f>DO_DB[[#This Row],[SiteID]]</f>
        <v>CLR77-99-116</v>
      </c>
      <c r="P669" t="str">
        <f>DO_DB[[#This Row],[SiteID]]&amp;"_"&amp;DO_DB[[#This Row],[Material Name]]</f>
        <v>CLR77-99-116_Pole 7M 4"</v>
      </c>
      <c r="Q669" t="str">
        <f>DO_DB[[#This Row],[DO Number]]</f>
        <v>DOEID25082607</v>
      </c>
      <c r="R669" t="str">
        <f>DO_DB[[#This Row],[DN Number]]</f>
        <v>DNWID1382025082601</v>
      </c>
    </row>
    <row r="670" spans="1:18">
      <c r="A670" t="s">
        <v>3675</v>
      </c>
      <c r="B670" t="s">
        <v>3676</v>
      </c>
      <c r="C670" t="s">
        <v>4482</v>
      </c>
      <c r="D670" t="s">
        <v>71</v>
      </c>
      <c r="E670" t="s">
        <v>3674</v>
      </c>
      <c r="F670" t="s">
        <v>3148</v>
      </c>
      <c r="G670" t="s">
        <v>3677</v>
      </c>
      <c r="H670" t="s">
        <v>4474</v>
      </c>
      <c r="I670" s="130">
        <v>45904</v>
      </c>
      <c r="J670" t="s">
        <v>3070</v>
      </c>
      <c r="K670">
        <v>118</v>
      </c>
      <c r="M6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70" t="str">
        <f>DO_DB[[#This Row],[Material Pick-update]]&amp;"_"&amp;DO_DB[[#This Row],[Material Name]]</f>
        <v>45904_Pole 7M 3"</v>
      </c>
      <c r="O670" t="str">
        <f>DO_DB[[#This Row],[SiteID]]</f>
        <v>CLR77-99-116</v>
      </c>
      <c r="P670" t="str">
        <f>DO_DB[[#This Row],[SiteID]]&amp;"_"&amp;DO_DB[[#This Row],[Material Name]]</f>
        <v>CLR77-99-116_Pole 7M 3"</v>
      </c>
      <c r="Q670" t="str">
        <f>DO_DB[[#This Row],[DO Number]]</f>
        <v>DOEID25082607</v>
      </c>
      <c r="R670" t="str">
        <f>DO_DB[[#This Row],[DN Number]]</f>
        <v>DNWID1382025082601</v>
      </c>
    </row>
    <row r="671" spans="1:18">
      <c r="A671" t="s">
        <v>3675</v>
      </c>
      <c r="B671" t="s">
        <v>3676</v>
      </c>
      <c r="C671" t="s">
        <v>4482</v>
      </c>
      <c r="D671" t="s">
        <v>71</v>
      </c>
      <c r="E671" t="s">
        <v>3674</v>
      </c>
      <c r="F671" t="s">
        <v>3148</v>
      </c>
      <c r="G671" t="s">
        <v>3677</v>
      </c>
      <c r="H671" t="s">
        <v>4474</v>
      </c>
      <c r="I671" s="130">
        <v>45904</v>
      </c>
      <c r="J671" t="s">
        <v>14</v>
      </c>
      <c r="K671">
        <v>1</v>
      </c>
      <c r="M6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71" t="str">
        <f>DO_DB[[#This Row],[Material Pick-update]]&amp;"_"&amp;DO_DB[[#This Row],[Material Name]]</f>
        <v>45904_FDT-48</v>
      </c>
      <c r="O671" t="str">
        <f>DO_DB[[#This Row],[SiteID]]</f>
        <v>CLR77-99-116</v>
      </c>
      <c r="P671" t="str">
        <f>DO_DB[[#This Row],[SiteID]]&amp;"_"&amp;DO_DB[[#This Row],[Material Name]]</f>
        <v>CLR77-99-116_FDT-48</v>
      </c>
      <c r="Q671" t="str">
        <f>DO_DB[[#This Row],[DO Number]]</f>
        <v>DOEID25082607</v>
      </c>
      <c r="R671" t="str">
        <f>DO_DB[[#This Row],[DN Number]]</f>
        <v>DNWID1382025082601</v>
      </c>
    </row>
    <row r="672" spans="1:18">
      <c r="A672" t="s">
        <v>3675</v>
      </c>
      <c r="B672" t="s">
        <v>3676</v>
      </c>
      <c r="C672" t="s">
        <v>4482</v>
      </c>
      <c r="D672" t="s">
        <v>71</v>
      </c>
      <c r="E672" t="s">
        <v>3674</v>
      </c>
      <c r="F672" t="s">
        <v>3148</v>
      </c>
      <c r="G672" t="s">
        <v>3677</v>
      </c>
      <c r="H672" t="s">
        <v>4474</v>
      </c>
      <c r="I672" s="130">
        <v>45904</v>
      </c>
      <c r="J672" t="s">
        <v>15</v>
      </c>
      <c r="K672">
        <v>1</v>
      </c>
      <c r="M6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72" t="str">
        <f>DO_DB[[#This Row],[Material Pick-update]]&amp;"_"&amp;DO_DB[[#This Row],[Material Name]]</f>
        <v>45904_FDT-72</v>
      </c>
      <c r="O672" t="str">
        <f>DO_DB[[#This Row],[SiteID]]</f>
        <v>CLR77-99-116</v>
      </c>
      <c r="P672" t="str">
        <f>DO_DB[[#This Row],[SiteID]]&amp;"_"&amp;DO_DB[[#This Row],[Material Name]]</f>
        <v>CLR77-99-116_FDT-72</v>
      </c>
      <c r="Q672" t="str">
        <f>DO_DB[[#This Row],[DO Number]]</f>
        <v>DOEID25082607</v>
      </c>
      <c r="R672" t="str">
        <f>DO_DB[[#This Row],[DN Number]]</f>
        <v>DNWID1382025082601</v>
      </c>
    </row>
    <row r="673" spans="1:18">
      <c r="A673" t="s">
        <v>3675</v>
      </c>
      <c r="B673" t="s">
        <v>3676</v>
      </c>
      <c r="C673" t="s">
        <v>4482</v>
      </c>
      <c r="D673" t="s">
        <v>71</v>
      </c>
      <c r="E673" t="s">
        <v>3674</v>
      </c>
      <c r="F673" t="s">
        <v>3148</v>
      </c>
      <c r="G673" t="s">
        <v>3677</v>
      </c>
      <c r="H673" t="s">
        <v>4474</v>
      </c>
      <c r="I673" s="130">
        <v>45904</v>
      </c>
      <c r="J673" t="s">
        <v>13</v>
      </c>
      <c r="K673">
        <v>39</v>
      </c>
      <c r="M6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73" t="str">
        <f>DO_DB[[#This Row],[Material Pick-update]]&amp;"_"&amp;DO_DB[[#This Row],[Material Name]]</f>
        <v>45904_FAT-16</v>
      </c>
      <c r="O673" t="str">
        <f>DO_DB[[#This Row],[SiteID]]</f>
        <v>CLR77-99-116</v>
      </c>
      <c r="P673" t="str">
        <f>DO_DB[[#This Row],[SiteID]]&amp;"_"&amp;DO_DB[[#This Row],[Material Name]]</f>
        <v>CLR77-99-116_FAT-16</v>
      </c>
      <c r="Q673" t="str">
        <f>DO_DB[[#This Row],[DO Number]]</f>
        <v>DOEID25082607</v>
      </c>
      <c r="R673" t="str">
        <f>DO_DB[[#This Row],[DN Number]]</f>
        <v>DNWID1382025082601</v>
      </c>
    </row>
    <row r="674" spans="1:18">
      <c r="A674" t="s">
        <v>2142</v>
      </c>
      <c r="B674" t="s">
        <v>4475</v>
      </c>
      <c r="C674" s="172" t="s">
        <v>4482</v>
      </c>
      <c r="D674" t="s">
        <v>71</v>
      </c>
      <c r="E674" t="s">
        <v>24</v>
      </c>
      <c r="F674" t="s">
        <v>3148</v>
      </c>
      <c r="G674" t="s">
        <v>4476</v>
      </c>
      <c r="H674" t="s">
        <v>4477</v>
      </c>
      <c r="I674" s="130">
        <v>45904</v>
      </c>
      <c r="J674" t="s">
        <v>4856</v>
      </c>
      <c r="K674">
        <v>2</v>
      </c>
      <c r="M6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74" t="str">
        <f>DO_DB[[#This Row],[Material Pick-update]]&amp;"_"&amp;DO_DB[[#This Row],[Material Name]]</f>
        <v>45904_JC 144Core</v>
      </c>
      <c r="O674" t="str">
        <f>DO_DB[[#This Row],[SiteID]]</f>
        <v>MF51-05</v>
      </c>
      <c r="P674" t="str">
        <f>DO_DB[[#This Row],[SiteID]]&amp;"_"&amp;DO_DB[[#This Row],[Material Name]]</f>
        <v>MF51-05_JC 144Core</v>
      </c>
      <c r="Q674" t="str">
        <f>DO_DB[[#This Row],[DO Number]]</f>
        <v>DOEID250903C9</v>
      </c>
      <c r="R674" t="str">
        <f>DO_DB[[#This Row],[DN Number]]</f>
        <v>DNWID1382025090303</v>
      </c>
    </row>
    <row r="675" spans="1:18">
      <c r="A675" t="s">
        <v>133</v>
      </c>
      <c r="B675" t="s">
        <v>134</v>
      </c>
      <c r="C675" s="172" t="s">
        <v>4482</v>
      </c>
      <c r="D675" t="s">
        <v>71</v>
      </c>
      <c r="E675" t="s">
        <v>135</v>
      </c>
      <c r="F675" t="s">
        <v>4498</v>
      </c>
      <c r="G675" t="s">
        <v>140</v>
      </c>
      <c r="H675" t="s">
        <v>141</v>
      </c>
      <c r="I675" s="130">
        <v>45170</v>
      </c>
      <c r="J675" t="s">
        <v>3069</v>
      </c>
      <c r="K675">
        <v>13</v>
      </c>
      <c r="M6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75" t="str">
        <f>DO_DB[[#This Row],[Material Pick-update]]&amp;"_"&amp;DO_DB[[#This Row],[Material Name]]</f>
        <v>45170_Pole 7M 4"</v>
      </c>
      <c r="O675" t="str">
        <f>DO_DB[[#This Row],[SiteID]]</f>
        <v>CLR22-99-042</v>
      </c>
      <c r="P675" t="str">
        <f>DO_DB[[#This Row],[SiteID]]&amp;"_"&amp;DO_DB[[#This Row],[Material Name]]</f>
        <v>CLR22-99-042_Pole 7M 4"</v>
      </c>
      <c r="Q675" t="str">
        <f>DO_DB[[#This Row],[DO Number]]</f>
        <v>DOEID23082910</v>
      </c>
      <c r="R675" t="str">
        <f>DO_DB[[#This Row],[DN Number]]</f>
        <v>DNWID0362023082905</v>
      </c>
    </row>
    <row r="676" spans="1:18">
      <c r="A676" t="s">
        <v>133</v>
      </c>
      <c r="B676" t="s">
        <v>134</v>
      </c>
      <c r="C676" s="172" t="s">
        <v>4482</v>
      </c>
      <c r="D676" t="s">
        <v>71</v>
      </c>
      <c r="E676" t="s">
        <v>135</v>
      </c>
      <c r="F676" t="s">
        <v>4498</v>
      </c>
      <c r="G676" t="s">
        <v>140</v>
      </c>
      <c r="H676" t="s">
        <v>141</v>
      </c>
      <c r="I676" s="130">
        <v>45170</v>
      </c>
      <c r="J676" t="s">
        <v>3070</v>
      </c>
      <c r="K676">
        <v>7</v>
      </c>
      <c r="M6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76" t="str">
        <f>DO_DB[[#This Row],[Material Pick-update]]&amp;"_"&amp;DO_DB[[#This Row],[Material Name]]</f>
        <v>45170_Pole 7M 3"</v>
      </c>
      <c r="O676" t="str">
        <f>DO_DB[[#This Row],[SiteID]]</f>
        <v>CLR22-99-042</v>
      </c>
      <c r="P676" t="str">
        <f>DO_DB[[#This Row],[SiteID]]&amp;"_"&amp;DO_DB[[#This Row],[Material Name]]</f>
        <v>CLR22-99-042_Pole 7M 3"</v>
      </c>
      <c r="Q676" t="str">
        <f>DO_DB[[#This Row],[DO Number]]</f>
        <v>DOEID23082910</v>
      </c>
      <c r="R676" t="str">
        <f>DO_DB[[#This Row],[DN Number]]</f>
        <v>DNWID0362023082905</v>
      </c>
    </row>
    <row r="677" spans="1:18">
      <c r="A677" t="s">
        <v>133</v>
      </c>
      <c r="B677" t="s">
        <v>134</v>
      </c>
      <c r="C677" s="172" t="s">
        <v>4482</v>
      </c>
      <c r="D677" t="s">
        <v>71</v>
      </c>
      <c r="E677" t="s">
        <v>135</v>
      </c>
      <c r="F677" t="s">
        <v>4498</v>
      </c>
      <c r="G677" t="s">
        <v>136</v>
      </c>
      <c r="H677" t="s">
        <v>137</v>
      </c>
      <c r="I677" s="130">
        <v>45170</v>
      </c>
      <c r="J677" t="s">
        <v>13</v>
      </c>
      <c r="K677">
        <v>9</v>
      </c>
      <c r="M6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77" t="str">
        <f>DO_DB[[#This Row],[Material Pick-update]]&amp;"_"&amp;DO_DB[[#This Row],[Material Name]]</f>
        <v>45170_FAT-16</v>
      </c>
      <c r="O677" t="str">
        <f>DO_DB[[#This Row],[SiteID]]</f>
        <v>CLR22-99-042</v>
      </c>
      <c r="P677" t="str">
        <f>DO_DB[[#This Row],[SiteID]]&amp;"_"&amp;DO_DB[[#This Row],[Material Name]]</f>
        <v>CLR22-99-042_FAT-16</v>
      </c>
      <c r="Q677" t="str">
        <f>DO_DB[[#This Row],[DO Number]]</f>
        <v>DOEID23082911</v>
      </c>
      <c r="R677" t="str">
        <f>DO_DB[[#This Row],[DN Number]]</f>
        <v>DNWID0342023082904</v>
      </c>
    </row>
    <row r="678" spans="1:18">
      <c r="A678" t="s">
        <v>133</v>
      </c>
      <c r="B678" t="s">
        <v>134</v>
      </c>
      <c r="C678" s="172" t="s">
        <v>4482</v>
      </c>
      <c r="D678" t="s">
        <v>71</v>
      </c>
      <c r="E678" t="s">
        <v>135</v>
      </c>
      <c r="F678" t="s">
        <v>4498</v>
      </c>
      <c r="G678" t="s">
        <v>138</v>
      </c>
      <c r="H678" t="s">
        <v>139</v>
      </c>
      <c r="I678" s="130">
        <v>45170</v>
      </c>
      <c r="J678" t="s">
        <v>3073</v>
      </c>
      <c r="K678">
        <v>3000</v>
      </c>
      <c r="M6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24C-202391-01</v>
      </c>
      <c r="N678" t="str">
        <f>DO_DB[[#This Row],[Material Pick-update]]&amp;"_"&amp;DO_DB[[#This Row],[Material Name]]</f>
        <v>45170_ADSS 24C</v>
      </c>
      <c r="O678" t="str">
        <f>DO_DB[[#This Row],[SiteID]]</f>
        <v>CLR22-99-042</v>
      </c>
      <c r="P678" t="str">
        <f>DO_DB[[#This Row],[SiteID]]&amp;"_"&amp;DO_DB[[#This Row],[Material Name]]</f>
        <v>CLR22-99-042_ADSS 24C</v>
      </c>
      <c r="Q678" t="str">
        <f>DO_DB[[#This Row],[DO Number]]</f>
        <v>DOEID23083119</v>
      </c>
      <c r="R678" t="str">
        <f>DO_DB[[#This Row],[DN Number]]</f>
        <v>DNWID0342023083104</v>
      </c>
    </row>
    <row r="679" spans="1:18">
      <c r="A679" t="s">
        <v>364</v>
      </c>
      <c r="B679" t="s">
        <v>365</v>
      </c>
      <c r="C679" s="172" t="s">
        <v>4482</v>
      </c>
      <c r="D679" t="s">
        <v>71</v>
      </c>
      <c r="E679" t="s">
        <v>135</v>
      </c>
      <c r="F679" t="s">
        <v>4498</v>
      </c>
      <c r="G679" t="s">
        <v>370</v>
      </c>
      <c r="H679" t="s">
        <v>371</v>
      </c>
      <c r="I679" s="130">
        <v>45219</v>
      </c>
      <c r="J679" t="s">
        <v>3069</v>
      </c>
      <c r="K679">
        <v>71</v>
      </c>
      <c r="M6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79" t="str">
        <f>DO_DB[[#This Row],[Material Pick-update]]&amp;"_"&amp;DO_DB[[#This Row],[Material Name]]</f>
        <v>45219_Pole 7M 4"</v>
      </c>
      <c r="O679" t="str">
        <f>DO_DB[[#This Row],[SiteID]]</f>
        <v>CLR22-99-014</v>
      </c>
      <c r="P679" t="str">
        <f>DO_DB[[#This Row],[SiteID]]&amp;"_"&amp;DO_DB[[#This Row],[Material Name]]</f>
        <v>CLR22-99-014_Pole 7M 4"</v>
      </c>
      <c r="Q679" t="str">
        <f>DO_DB[[#This Row],[DO Number]]</f>
        <v>DOEID23101956</v>
      </c>
      <c r="R679" t="str">
        <f>DO_DB[[#This Row],[DN Number]]</f>
        <v>DNWID0362023101905</v>
      </c>
    </row>
    <row r="680" spans="1:18">
      <c r="A680" t="s">
        <v>364</v>
      </c>
      <c r="B680" t="s">
        <v>365</v>
      </c>
      <c r="C680" s="172" t="s">
        <v>4482</v>
      </c>
      <c r="D680" t="s">
        <v>71</v>
      </c>
      <c r="E680" t="s">
        <v>135</v>
      </c>
      <c r="F680" t="s">
        <v>4498</v>
      </c>
      <c r="G680" t="s">
        <v>370</v>
      </c>
      <c r="H680" t="s">
        <v>371</v>
      </c>
      <c r="I680" s="130">
        <v>45219</v>
      </c>
      <c r="J680" t="s">
        <v>3070</v>
      </c>
      <c r="K680">
        <v>9</v>
      </c>
      <c r="M6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80" t="str">
        <f>DO_DB[[#This Row],[Material Pick-update]]&amp;"_"&amp;DO_DB[[#This Row],[Material Name]]</f>
        <v>45219_Pole 7M 3"</v>
      </c>
      <c r="O680" t="str">
        <f>DO_DB[[#This Row],[SiteID]]</f>
        <v>CLR22-99-014</v>
      </c>
      <c r="P680" t="str">
        <f>DO_DB[[#This Row],[SiteID]]&amp;"_"&amp;DO_DB[[#This Row],[Material Name]]</f>
        <v>CLR22-99-014_Pole 7M 3"</v>
      </c>
      <c r="Q680" t="str">
        <f>DO_DB[[#This Row],[DO Number]]</f>
        <v>DOEID23101956</v>
      </c>
      <c r="R680" t="str">
        <f>DO_DB[[#This Row],[DN Number]]</f>
        <v>DNWID0362023101905</v>
      </c>
    </row>
    <row r="681" spans="1:18">
      <c r="A681" t="s">
        <v>364</v>
      </c>
      <c r="B681" t="s">
        <v>365</v>
      </c>
      <c r="C681" s="172" t="s">
        <v>4482</v>
      </c>
      <c r="D681" t="s">
        <v>71</v>
      </c>
      <c r="E681" t="s">
        <v>135</v>
      </c>
      <c r="F681" t="s">
        <v>4498</v>
      </c>
      <c r="G681" t="s">
        <v>366</v>
      </c>
      <c r="H681" t="s">
        <v>367</v>
      </c>
      <c r="I681" s="130">
        <v>45219</v>
      </c>
      <c r="J681" t="s">
        <v>15</v>
      </c>
      <c r="K681">
        <v>1</v>
      </c>
      <c r="M6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81" t="str">
        <f>DO_DB[[#This Row],[Material Pick-update]]&amp;"_"&amp;DO_DB[[#This Row],[Material Name]]</f>
        <v>45219_FDT-72</v>
      </c>
      <c r="O681" t="str">
        <f>DO_DB[[#This Row],[SiteID]]</f>
        <v>CLR22-99-014</v>
      </c>
      <c r="P681" t="str">
        <f>DO_DB[[#This Row],[SiteID]]&amp;"_"&amp;DO_DB[[#This Row],[Material Name]]</f>
        <v>CLR22-99-014_FDT-72</v>
      </c>
      <c r="Q681" t="str">
        <f>DO_DB[[#This Row],[DO Number]]</f>
        <v>DOEID23101957</v>
      </c>
      <c r="R681" t="str">
        <f>DO_DB[[#This Row],[DN Number]]</f>
        <v>DNWID0342023102006</v>
      </c>
    </row>
    <row r="682" spans="1:18">
      <c r="A682" t="s">
        <v>364</v>
      </c>
      <c r="B682" t="s">
        <v>365</v>
      </c>
      <c r="C682" s="172" t="s">
        <v>4482</v>
      </c>
      <c r="D682" t="s">
        <v>71</v>
      </c>
      <c r="E682" t="s">
        <v>135</v>
      </c>
      <c r="F682" t="s">
        <v>4498</v>
      </c>
      <c r="G682" t="s">
        <v>366</v>
      </c>
      <c r="H682" t="s">
        <v>367</v>
      </c>
      <c r="I682" s="130">
        <v>45219</v>
      </c>
      <c r="J682" t="s">
        <v>13</v>
      </c>
      <c r="K682">
        <v>10</v>
      </c>
      <c r="M6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82" t="str">
        <f>DO_DB[[#This Row],[Material Pick-update]]&amp;"_"&amp;DO_DB[[#This Row],[Material Name]]</f>
        <v>45219_FAT-16</v>
      </c>
      <c r="O682" t="str">
        <f>DO_DB[[#This Row],[SiteID]]</f>
        <v>CLR22-99-014</v>
      </c>
      <c r="P682" t="str">
        <f>DO_DB[[#This Row],[SiteID]]&amp;"_"&amp;DO_DB[[#This Row],[Material Name]]</f>
        <v>CLR22-99-014_FAT-16</v>
      </c>
      <c r="Q682" t="str">
        <f>DO_DB[[#This Row],[DO Number]]</f>
        <v>DOEID23101957</v>
      </c>
      <c r="R682" t="str">
        <f>DO_DB[[#This Row],[DN Number]]</f>
        <v>DNWID0342023102006</v>
      </c>
    </row>
    <row r="683" spans="1:18">
      <c r="A683" t="s">
        <v>364</v>
      </c>
      <c r="B683" t="s">
        <v>365</v>
      </c>
      <c r="C683" s="172" t="s">
        <v>4482</v>
      </c>
      <c r="D683" t="s">
        <v>71</v>
      </c>
      <c r="E683" t="s">
        <v>135</v>
      </c>
      <c r="F683" t="s">
        <v>4498</v>
      </c>
      <c r="G683" t="s">
        <v>366</v>
      </c>
      <c r="H683" t="s">
        <v>367</v>
      </c>
      <c r="I683" s="130">
        <v>45219</v>
      </c>
      <c r="J683" t="s">
        <v>3080</v>
      </c>
      <c r="K683">
        <v>4</v>
      </c>
      <c r="M6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83" t="str">
        <f>DO_DB[[#This Row],[Material Pick-update]]&amp;"_"&amp;DO_DB[[#This Row],[Material Name]]</f>
        <v>45219_1:8 SPL for FDT-AE &amp; UG</v>
      </c>
      <c r="O683" t="str">
        <f>DO_DB[[#This Row],[SiteID]]</f>
        <v>CLR22-99-014</v>
      </c>
      <c r="P683" t="str">
        <f>DO_DB[[#This Row],[SiteID]]&amp;"_"&amp;DO_DB[[#This Row],[Material Name]]</f>
        <v>CLR22-99-014_1:8 SPL for FDT-AE &amp; UG</v>
      </c>
      <c r="Q683" t="str">
        <f>DO_DB[[#This Row],[DO Number]]</f>
        <v>DOEID23101957</v>
      </c>
      <c r="R683" t="str">
        <f>DO_DB[[#This Row],[DN Number]]</f>
        <v>DNWID0342023102006</v>
      </c>
    </row>
    <row r="684" spans="1:18">
      <c r="A684" t="s">
        <v>360</v>
      </c>
      <c r="B684" t="s">
        <v>361</v>
      </c>
      <c r="C684" s="172" t="s">
        <v>4482</v>
      </c>
      <c r="D684" t="s">
        <v>71</v>
      </c>
      <c r="E684" t="s">
        <v>135</v>
      </c>
      <c r="F684" t="s">
        <v>4498</v>
      </c>
      <c r="G684" t="s">
        <v>368</v>
      </c>
      <c r="H684" t="s">
        <v>369</v>
      </c>
      <c r="I684" s="130">
        <v>45219</v>
      </c>
      <c r="J684" t="s">
        <v>3069</v>
      </c>
      <c r="K684">
        <v>39</v>
      </c>
      <c r="M6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84" t="str">
        <f>DO_DB[[#This Row],[Material Pick-update]]&amp;"_"&amp;DO_DB[[#This Row],[Material Name]]</f>
        <v>45219_Pole 7M 4"</v>
      </c>
      <c r="O684" t="str">
        <f>DO_DB[[#This Row],[SiteID]]</f>
        <v>CLR22-99-010</v>
      </c>
      <c r="P684" t="str">
        <f>DO_DB[[#This Row],[SiteID]]&amp;"_"&amp;DO_DB[[#This Row],[Material Name]]</f>
        <v>CLR22-99-010_Pole 7M 4"</v>
      </c>
      <c r="Q684" t="str">
        <f>DO_DB[[#This Row],[DO Number]]</f>
        <v>DOEID23101961</v>
      </c>
      <c r="R684" t="str">
        <f>DO_DB[[#This Row],[DN Number]]</f>
        <v>DNWID0362023101904</v>
      </c>
    </row>
    <row r="685" spans="1:18">
      <c r="A685" t="s">
        <v>360</v>
      </c>
      <c r="B685" t="s">
        <v>361</v>
      </c>
      <c r="C685" s="172" t="s">
        <v>4482</v>
      </c>
      <c r="D685" t="s">
        <v>71</v>
      </c>
      <c r="E685" t="s">
        <v>135</v>
      </c>
      <c r="F685" t="s">
        <v>4498</v>
      </c>
      <c r="G685" t="s">
        <v>368</v>
      </c>
      <c r="H685" t="s">
        <v>369</v>
      </c>
      <c r="I685" s="130">
        <v>45219</v>
      </c>
      <c r="J685" t="s">
        <v>3070</v>
      </c>
      <c r="K685">
        <v>13</v>
      </c>
      <c r="M6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85" t="str">
        <f>DO_DB[[#This Row],[Material Pick-update]]&amp;"_"&amp;DO_DB[[#This Row],[Material Name]]</f>
        <v>45219_Pole 7M 3"</v>
      </c>
      <c r="O685" t="str">
        <f>DO_DB[[#This Row],[SiteID]]</f>
        <v>CLR22-99-010</v>
      </c>
      <c r="P685" t="str">
        <f>DO_DB[[#This Row],[SiteID]]&amp;"_"&amp;DO_DB[[#This Row],[Material Name]]</f>
        <v>CLR22-99-010_Pole 7M 3"</v>
      </c>
      <c r="Q685" t="str">
        <f>DO_DB[[#This Row],[DO Number]]</f>
        <v>DOEID23101961</v>
      </c>
      <c r="R685" t="str">
        <f>DO_DB[[#This Row],[DN Number]]</f>
        <v>DNWID0362023101904</v>
      </c>
    </row>
    <row r="686" spans="1:18">
      <c r="A686" t="s">
        <v>360</v>
      </c>
      <c r="B686" t="s">
        <v>361</v>
      </c>
      <c r="C686" s="172" t="s">
        <v>4482</v>
      </c>
      <c r="D686" t="s">
        <v>71</v>
      </c>
      <c r="E686" t="s">
        <v>135</v>
      </c>
      <c r="F686" t="s">
        <v>4498</v>
      </c>
      <c r="G686" t="s">
        <v>362</v>
      </c>
      <c r="H686" t="s">
        <v>363</v>
      </c>
      <c r="I686" s="130">
        <v>45219</v>
      </c>
      <c r="J686" t="s">
        <v>15</v>
      </c>
      <c r="K686">
        <v>1</v>
      </c>
      <c r="M6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86" t="str">
        <f>DO_DB[[#This Row],[Material Pick-update]]&amp;"_"&amp;DO_DB[[#This Row],[Material Name]]</f>
        <v>45219_FDT-72</v>
      </c>
      <c r="O686" t="str">
        <f>DO_DB[[#This Row],[SiteID]]</f>
        <v>CLR22-99-010</v>
      </c>
      <c r="P686" t="str">
        <f>DO_DB[[#This Row],[SiteID]]&amp;"_"&amp;DO_DB[[#This Row],[Material Name]]</f>
        <v>CLR22-99-010_FDT-72</v>
      </c>
      <c r="Q686" t="str">
        <f>DO_DB[[#This Row],[DO Number]]</f>
        <v>DOEID23101962</v>
      </c>
      <c r="R686" t="str">
        <f>DO_DB[[#This Row],[DN Number]]</f>
        <v>DNWID0342023102005</v>
      </c>
    </row>
    <row r="687" spans="1:18">
      <c r="A687" t="s">
        <v>360</v>
      </c>
      <c r="B687" t="s">
        <v>361</v>
      </c>
      <c r="C687" s="172" t="s">
        <v>4482</v>
      </c>
      <c r="D687" t="s">
        <v>71</v>
      </c>
      <c r="E687" t="s">
        <v>135</v>
      </c>
      <c r="F687" t="s">
        <v>4498</v>
      </c>
      <c r="G687" t="s">
        <v>362</v>
      </c>
      <c r="H687" t="s">
        <v>363</v>
      </c>
      <c r="I687" s="130">
        <v>45219</v>
      </c>
      <c r="J687" t="s">
        <v>13</v>
      </c>
      <c r="K687">
        <v>10</v>
      </c>
      <c r="M6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87" t="str">
        <f>DO_DB[[#This Row],[Material Pick-update]]&amp;"_"&amp;DO_DB[[#This Row],[Material Name]]</f>
        <v>45219_FAT-16</v>
      </c>
      <c r="O687" t="str">
        <f>DO_DB[[#This Row],[SiteID]]</f>
        <v>CLR22-99-010</v>
      </c>
      <c r="P687" t="str">
        <f>DO_DB[[#This Row],[SiteID]]&amp;"_"&amp;DO_DB[[#This Row],[Material Name]]</f>
        <v>CLR22-99-010_FAT-16</v>
      </c>
      <c r="Q687" t="str">
        <f>DO_DB[[#This Row],[DO Number]]</f>
        <v>DOEID23101962</v>
      </c>
      <c r="R687" t="str">
        <f>DO_DB[[#This Row],[DN Number]]</f>
        <v>DNWID0342023102005</v>
      </c>
    </row>
    <row r="688" spans="1:18">
      <c r="A688" t="s">
        <v>360</v>
      </c>
      <c r="B688" t="s">
        <v>361</v>
      </c>
      <c r="C688" s="172" t="s">
        <v>4482</v>
      </c>
      <c r="D688" t="s">
        <v>71</v>
      </c>
      <c r="E688" t="s">
        <v>135</v>
      </c>
      <c r="F688" t="s">
        <v>4498</v>
      </c>
      <c r="G688" t="s">
        <v>362</v>
      </c>
      <c r="H688" t="s">
        <v>363</v>
      </c>
      <c r="I688" s="130">
        <v>45219</v>
      </c>
      <c r="J688" t="s">
        <v>3080</v>
      </c>
      <c r="K688">
        <v>4</v>
      </c>
      <c r="M6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88" t="str">
        <f>DO_DB[[#This Row],[Material Pick-update]]&amp;"_"&amp;DO_DB[[#This Row],[Material Name]]</f>
        <v>45219_1:8 SPL for FDT-AE &amp; UG</v>
      </c>
      <c r="O688" t="str">
        <f>DO_DB[[#This Row],[SiteID]]</f>
        <v>CLR22-99-010</v>
      </c>
      <c r="P688" t="str">
        <f>DO_DB[[#This Row],[SiteID]]&amp;"_"&amp;DO_DB[[#This Row],[Material Name]]</f>
        <v>CLR22-99-010_1:8 SPL for FDT-AE &amp; UG</v>
      </c>
      <c r="Q688" t="str">
        <f>DO_DB[[#This Row],[DO Number]]</f>
        <v>DOEID23101962</v>
      </c>
      <c r="R688" t="str">
        <f>DO_DB[[#This Row],[DN Number]]</f>
        <v>DNWID0342023102005</v>
      </c>
    </row>
    <row r="689" spans="1:18">
      <c r="A689" t="s">
        <v>364</v>
      </c>
      <c r="B689" t="s">
        <v>365</v>
      </c>
      <c r="C689" s="172" t="s">
        <v>4482</v>
      </c>
      <c r="D689" t="s">
        <v>71</v>
      </c>
      <c r="E689" t="s">
        <v>135</v>
      </c>
      <c r="F689" t="s">
        <v>4498</v>
      </c>
      <c r="G689" t="s">
        <v>366</v>
      </c>
      <c r="H689" t="s">
        <v>367</v>
      </c>
      <c r="I689" s="130">
        <v>45219</v>
      </c>
      <c r="J689" t="s">
        <v>3075</v>
      </c>
      <c r="K689">
        <v>6000</v>
      </c>
      <c r="M6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48C-20231020-01</v>
      </c>
      <c r="N689" t="str">
        <f>DO_DB[[#This Row],[Material Pick-update]]&amp;"_"&amp;DO_DB[[#This Row],[Material Name]]</f>
        <v>45219_ADSS 48C</v>
      </c>
      <c r="O689" t="str">
        <f>DO_DB[[#This Row],[SiteID]]</f>
        <v>CLR22-99-014</v>
      </c>
      <c r="P689" t="str">
        <f>DO_DB[[#This Row],[SiteID]]&amp;"_"&amp;DO_DB[[#This Row],[Material Name]]</f>
        <v>CLR22-99-014_ADSS 48C</v>
      </c>
      <c r="Q689" t="str">
        <f>DO_DB[[#This Row],[DO Number]]</f>
        <v>DOEID23101957</v>
      </c>
      <c r="R689" t="str">
        <f>DO_DB[[#This Row],[DN Number]]</f>
        <v>DNWID0342023102006</v>
      </c>
    </row>
    <row r="690" spans="1:18">
      <c r="A690" t="s">
        <v>360</v>
      </c>
      <c r="B690" t="s">
        <v>361</v>
      </c>
      <c r="C690" s="172" t="s">
        <v>4482</v>
      </c>
      <c r="D690" t="s">
        <v>71</v>
      </c>
      <c r="E690" t="s">
        <v>135</v>
      </c>
      <c r="F690" t="s">
        <v>4498</v>
      </c>
      <c r="G690" t="s">
        <v>466</v>
      </c>
      <c r="H690" t="s">
        <v>467</v>
      </c>
      <c r="I690" s="130">
        <v>45230</v>
      </c>
      <c r="J690" t="s">
        <v>13</v>
      </c>
      <c r="K690">
        <v>15</v>
      </c>
      <c r="M6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90" t="str">
        <f>DO_DB[[#This Row],[Material Pick-update]]&amp;"_"&amp;DO_DB[[#This Row],[Material Name]]</f>
        <v>45230_FAT-16</v>
      </c>
      <c r="O690" t="str">
        <f>DO_DB[[#This Row],[SiteID]]</f>
        <v>CLR22-99-010</v>
      </c>
      <c r="P690" t="str">
        <f>DO_DB[[#This Row],[SiteID]]&amp;"_"&amp;DO_DB[[#This Row],[Material Name]]</f>
        <v>CLR22-99-010_FAT-16</v>
      </c>
      <c r="Q690" t="str">
        <f>DO_DB[[#This Row],[DO Number]]</f>
        <v>DOEID23103130</v>
      </c>
      <c r="R690" t="str">
        <f>DO_DB[[#This Row],[DN Number]]</f>
        <v>DNWID0342023103102</v>
      </c>
    </row>
    <row r="691" spans="1:18">
      <c r="A691" t="s">
        <v>364</v>
      </c>
      <c r="B691" t="s">
        <v>365</v>
      </c>
      <c r="C691" s="172" t="s">
        <v>4482</v>
      </c>
      <c r="D691" t="s">
        <v>71</v>
      </c>
      <c r="E691" t="s">
        <v>135</v>
      </c>
      <c r="F691" t="s">
        <v>4498</v>
      </c>
      <c r="G691" t="s">
        <v>464</v>
      </c>
      <c r="H691" t="s">
        <v>465</v>
      </c>
      <c r="I691" s="130">
        <v>45230</v>
      </c>
      <c r="J691" t="s">
        <v>13</v>
      </c>
      <c r="K691">
        <v>22</v>
      </c>
      <c r="M6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91" t="str">
        <f>DO_DB[[#This Row],[Material Pick-update]]&amp;"_"&amp;DO_DB[[#This Row],[Material Name]]</f>
        <v>45230_FAT-16</v>
      </c>
      <c r="O691" t="str">
        <f>DO_DB[[#This Row],[SiteID]]</f>
        <v>CLR22-99-014</v>
      </c>
      <c r="P691" t="str">
        <f>DO_DB[[#This Row],[SiteID]]&amp;"_"&amp;DO_DB[[#This Row],[Material Name]]</f>
        <v>CLR22-99-014_FAT-16</v>
      </c>
      <c r="Q691" t="str">
        <f>DO_DB[[#This Row],[DO Number]]</f>
        <v>DOEID23103131</v>
      </c>
      <c r="R691" t="str">
        <f>DO_DB[[#This Row],[DN Number]]</f>
        <v>DNWID0342023103101</v>
      </c>
    </row>
    <row r="692" spans="1:18">
      <c r="A692" t="s">
        <v>484</v>
      </c>
      <c r="B692" t="s">
        <v>485</v>
      </c>
      <c r="C692" s="172" t="s">
        <v>4482</v>
      </c>
      <c r="D692" t="s">
        <v>71</v>
      </c>
      <c r="E692" t="s">
        <v>135</v>
      </c>
      <c r="F692" t="s">
        <v>4498</v>
      </c>
      <c r="G692" t="s">
        <v>500</v>
      </c>
      <c r="H692" t="s">
        <v>501</v>
      </c>
      <c r="I692" s="130">
        <v>45238</v>
      </c>
      <c r="J692" t="s">
        <v>3069</v>
      </c>
      <c r="K692">
        <v>33</v>
      </c>
      <c r="M6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92" t="str">
        <f>DO_DB[[#This Row],[Material Pick-update]]&amp;"_"&amp;DO_DB[[#This Row],[Material Name]]</f>
        <v>45238_Pole 7M 4"</v>
      </c>
      <c r="O692" t="str">
        <f>DO_DB[[#This Row],[SiteID]]</f>
        <v>CLR22-99-067</v>
      </c>
      <c r="P692" t="str">
        <f>DO_DB[[#This Row],[SiteID]]&amp;"_"&amp;DO_DB[[#This Row],[Material Name]]</f>
        <v>CLR22-99-067_Pole 7M 4"</v>
      </c>
      <c r="Q692" t="str">
        <f>DO_DB[[#This Row],[DO Number]]</f>
        <v>DOEID231106CK</v>
      </c>
      <c r="R692" t="str">
        <f>DO_DB[[#This Row],[DN Number]]</f>
        <v>DNWID0362023110705</v>
      </c>
    </row>
    <row r="693" spans="1:18">
      <c r="A693" t="s">
        <v>484</v>
      </c>
      <c r="B693" t="s">
        <v>485</v>
      </c>
      <c r="C693" s="172" t="s">
        <v>4482</v>
      </c>
      <c r="D693" t="s">
        <v>71</v>
      </c>
      <c r="E693" t="s">
        <v>135</v>
      </c>
      <c r="F693" t="s">
        <v>4498</v>
      </c>
      <c r="G693" t="s">
        <v>500</v>
      </c>
      <c r="H693" t="s">
        <v>501</v>
      </c>
      <c r="I693" s="130">
        <v>45238</v>
      </c>
      <c r="J693" t="s">
        <v>3070</v>
      </c>
      <c r="K693">
        <v>5</v>
      </c>
      <c r="M6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93" t="str">
        <f>DO_DB[[#This Row],[Material Pick-update]]&amp;"_"&amp;DO_DB[[#This Row],[Material Name]]</f>
        <v>45238_Pole 7M 3"</v>
      </c>
      <c r="O693" t="str">
        <f>DO_DB[[#This Row],[SiteID]]</f>
        <v>CLR22-99-067</v>
      </c>
      <c r="P693" t="str">
        <f>DO_DB[[#This Row],[SiteID]]&amp;"_"&amp;DO_DB[[#This Row],[Material Name]]</f>
        <v>CLR22-99-067_Pole 7M 3"</v>
      </c>
      <c r="Q693" t="str">
        <f>DO_DB[[#This Row],[DO Number]]</f>
        <v>DOEID231106CK</v>
      </c>
      <c r="R693" t="str">
        <f>DO_DB[[#This Row],[DN Number]]</f>
        <v>DNWID0362023110705</v>
      </c>
    </row>
    <row r="694" spans="1:18">
      <c r="A694" t="s">
        <v>484</v>
      </c>
      <c r="B694" t="s">
        <v>485</v>
      </c>
      <c r="C694" s="172" t="s">
        <v>4482</v>
      </c>
      <c r="D694" t="s">
        <v>71</v>
      </c>
      <c r="E694" t="s">
        <v>135</v>
      </c>
      <c r="F694" t="s">
        <v>4498</v>
      </c>
      <c r="G694" t="s">
        <v>486</v>
      </c>
      <c r="H694" t="s">
        <v>487</v>
      </c>
      <c r="I694" s="130">
        <v>45238</v>
      </c>
      <c r="J694" t="s">
        <v>14</v>
      </c>
      <c r="K694">
        <v>1</v>
      </c>
      <c r="M6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94" t="str">
        <f>DO_DB[[#This Row],[Material Pick-update]]&amp;"_"&amp;DO_DB[[#This Row],[Material Name]]</f>
        <v>45238_FDT-48</v>
      </c>
      <c r="O694" t="str">
        <f>DO_DB[[#This Row],[SiteID]]</f>
        <v>CLR22-99-067</v>
      </c>
      <c r="P694" t="str">
        <f>DO_DB[[#This Row],[SiteID]]&amp;"_"&amp;DO_DB[[#This Row],[Material Name]]</f>
        <v>CLR22-99-067_FDT-48</v>
      </c>
      <c r="Q694" t="str">
        <f>DO_DB[[#This Row],[DO Number]]</f>
        <v>DOEID231106CL</v>
      </c>
      <c r="R694" t="str">
        <f>DO_DB[[#This Row],[DN Number]]</f>
        <v>DNWID0342023110704</v>
      </c>
    </row>
    <row r="695" spans="1:18">
      <c r="A695" t="s">
        <v>484</v>
      </c>
      <c r="B695" t="s">
        <v>485</v>
      </c>
      <c r="C695" s="172" t="s">
        <v>4482</v>
      </c>
      <c r="D695" t="s">
        <v>71</v>
      </c>
      <c r="E695" t="s">
        <v>135</v>
      </c>
      <c r="F695" t="s">
        <v>4498</v>
      </c>
      <c r="G695" t="s">
        <v>486</v>
      </c>
      <c r="H695" t="s">
        <v>487</v>
      </c>
      <c r="I695" s="130">
        <v>45238</v>
      </c>
      <c r="J695" t="s">
        <v>13</v>
      </c>
      <c r="K695">
        <v>16</v>
      </c>
      <c r="M6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95" t="str">
        <f>DO_DB[[#This Row],[Material Pick-update]]&amp;"_"&amp;DO_DB[[#This Row],[Material Name]]</f>
        <v>45238_FAT-16</v>
      </c>
      <c r="O695" t="str">
        <f>DO_DB[[#This Row],[SiteID]]</f>
        <v>CLR22-99-067</v>
      </c>
      <c r="P695" t="str">
        <f>DO_DB[[#This Row],[SiteID]]&amp;"_"&amp;DO_DB[[#This Row],[Material Name]]</f>
        <v>CLR22-99-067_FAT-16</v>
      </c>
      <c r="Q695" t="str">
        <f>DO_DB[[#This Row],[DO Number]]</f>
        <v>DOEID231106CL</v>
      </c>
      <c r="R695" t="str">
        <f>DO_DB[[#This Row],[DN Number]]</f>
        <v>DNWID0342023110704</v>
      </c>
    </row>
    <row r="696" spans="1:18">
      <c r="A696" t="s">
        <v>488</v>
      </c>
      <c r="B696" t="s">
        <v>489</v>
      </c>
      <c r="C696" s="172" t="s">
        <v>4482</v>
      </c>
      <c r="D696" t="s">
        <v>71</v>
      </c>
      <c r="E696" t="s">
        <v>135</v>
      </c>
      <c r="F696" t="s">
        <v>4498</v>
      </c>
      <c r="G696" t="s">
        <v>502</v>
      </c>
      <c r="H696" t="s">
        <v>503</v>
      </c>
      <c r="I696" s="130">
        <v>45238</v>
      </c>
      <c r="J696" t="s">
        <v>3069</v>
      </c>
      <c r="K696">
        <v>46</v>
      </c>
      <c r="M6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96" t="str">
        <f>DO_DB[[#This Row],[Material Pick-update]]&amp;"_"&amp;DO_DB[[#This Row],[Material Name]]</f>
        <v>45238_Pole 7M 4"</v>
      </c>
      <c r="O696" t="str">
        <f>DO_DB[[#This Row],[SiteID]]</f>
        <v>CLR22-99-068</v>
      </c>
      <c r="P696" t="str">
        <f>DO_DB[[#This Row],[SiteID]]&amp;"_"&amp;DO_DB[[#This Row],[Material Name]]</f>
        <v>CLR22-99-068_Pole 7M 4"</v>
      </c>
      <c r="Q696" t="str">
        <f>DO_DB[[#This Row],[DO Number]]</f>
        <v>DOEID231106CM</v>
      </c>
      <c r="R696" t="str">
        <f>DO_DB[[#This Row],[DN Number]]</f>
        <v>DNWID0362023110706</v>
      </c>
    </row>
    <row r="697" spans="1:18">
      <c r="A697" t="s">
        <v>488</v>
      </c>
      <c r="B697" t="s">
        <v>489</v>
      </c>
      <c r="C697" s="172" t="s">
        <v>4482</v>
      </c>
      <c r="D697" t="s">
        <v>71</v>
      </c>
      <c r="E697" t="s">
        <v>135</v>
      </c>
      <c r="F697" t="s">
        <v>4498</v>
      </c>
      <c r="G697" t="s">
        <v>502</v>
      </c>
      <c r="H697" t="s">
        <v>503</v>
      </c>
      <c r="I697" s="130">
        <v>45238</v>
      </c>
      <c r="J697" t="s">
        <v>3070</v>
      </c>
      <c r="K697">
        <v>8</v>
      </c>
      <c r="M6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97" t="str">
        <f>DO_DB[[#This Row],[Material Pick-update]]&amp;"_"&amp;DO_DB[[#This Row],[Material Name]]</f>
        <v>45238_Pole 7M 3"</v>
      </c>
      <c r="O697" t="str">
        <f>DO_DB[[#This Row],[SiteID]]</f>
        <v>CLR22-99-068</v>
      </c>
      <c r="P697" t="str">
        <f>DO_DB[[#This Row],[SiteID]]&amp;"_"&amp;DO_DB[[#This Row],[Material Name]]</f>
        <v>CLR22-99-068_Pole 7M 3"</v>
      </c>
      <c r="Q697" t="str">
        <f>DO_DB[[#This Row],[DO Number]]</f>
        <v>DOEID231106CM</v>
      </c>
      <c r="R697" t="str">
        <f>DO_DB[[#This Row],[DN Number]]</f>
        <v>DNWID0362023110706</v>
      </c>
    </row>
    <row r="698" spans="1:18">
      <c r="A698" t="s">
        <v>488</v>
      </c>
      <c r="B698" t="s">
        <v>489</v>
      </c>
      <c r="C698" s="172" t="s">
        <v>4482</v>
      </c>
      <c r="D698" t="s">
        <v>71</v>
      </c>
      <c r="E698" t="s">
        <v>135</v>
      </c>
      <c r="F698" t="s">
        <v>4498</v>
      </c>
      <c r="G698" t="s">
        <v>490</v>
      </c>
      <c r="H698" t="s">
        <v>491</v>
      </c>
      <c r="I698" s="130">
        <v>45238</v>
      </c>
      <c r="J698" t="s">
        <v>14</v>
      </c>
      <c r="K698">
        <v>1</v>
      </c>
      <c r="M6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98" t="str">
        <f>DO_DB[[#This Row],[Material Pick-update]]&amp;"_"&amp;DO_DB[[#This Row],[Material Name]]</f>
        <v>45238_FDT-48</v>
      </c>
      <c r="O698" t="str">
        <f>DO_DB[[#This Row],[SiteID]]</f>
        <v>CLR22-99-068</v>
      </c>
      <c r="P698" t="str">
        <f>DO_DB[[#This Row],[SiteID]]&amp;"_"&amp;DO_DB[[#This Row],[Material Name]]</f>
        <v>CLR22-99-068_FDT-48</v>
      </c>
      <c r="Q698" t="str">
        <f>DO_DB[[#This Row],[DO Number]]</f>
        <v>DOEID231106CN</v>
      </c>
      <c r="R698" t="str">
        <f>DO_DB[[#This Row],[DN Number]]</f>
        <v>DNWID0342023110705</v>
      </c>
    </row>
    <row r="699" spans="1:18">
      <c r="A699" t="s">
        <v>488</v>
      </c>
      <c r="B699" t="s">
        <v>489</v>
      </c>
      <c r="C699" s="172" t="s">
        <v>4482</v>
      </c>
      <c r="D699" t="s">
        <v>71</v>
      </c>
      <c r="E699" t="s">
        <v>135</v>
      </c>
      <c r="F699" t="s">
        <v>4498</v>
      </c>
      <c r="G699" t="s">
        <v>490</v>
      </c>
      <c r="H699" t="s">
        <v>491</v>
      </c>
      <c r="I699" s="130">
        <v>45238</v>
      </c>
      <c r="J699" t="s">
        <v>13</v>
      </c>
      <c r="K699">
        <v>24</v>
      </c>
      <c r="M6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699" t="str">
        <f>DO_DB[[#This Row],[Material Pick-update]]&amp;"_"&amp;DO_DB[[#This Row],[Material Name]]</f>
        <v>45238_FAT-16</v>
      </c>
      <c r="O699" t="str">
        <f>DO_DB[[#This Row],[SiteID]]</f>
        <v>CLR22-99-068</v>
      </c>
      <c r="P699" t="str">
        <f>DO_DB[[#This Row],[SiteID]]&amp;"_"&amp;DO_DB[[#This Row],[Material Name]]</f>
        <v>CLR22-99-068_FAT-16</v>
      </c>
      <c r="Q699" t="str">
        <f>DO_DB[[#This Row],[DO Number]]</f>
        <v>DOEID231106CN</v>
      </c>
      <c r="R699" t="str">
        <f>DO_DB[[#This Row],[DN Number]]</f>
        <v>DNWID0342023110705</v>
      </c>
    </row>
    <row r="700" spans="1:18">
      <c r="A700" t="s">
        <v>472</v>
      </c>
      <c r="B700" t="s">
        <v>473</v>
      </c>
      <c r="C700" s="172" t="s">
        <v>4482</v>
      </c>
      <c r="D700" t="s">
        <v>71</v>
      </c>
      <c r="E700" t="s">
        <v>135</v>
      </c>
      <c r="F700" t="s">
        <v>4498</v>
      </c>
      <c r="G700" t="s">
        <v>504</v>
      </c>
      <c r="H700" t="s">
        <v>505</v>
      </c>
      <c r="I700" s="130">
        <v>45238</v>
      </c>
      <c r="J700" t="s">
        <v>3069</v>
      </c>
      <c r="K700">
        <v>32</v>
      </c>
      <c r="M7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00" t="str">
        <f>DO_DB[[#This Row],[Material Pick-update]]&amp;"_"&amp;DO_DB[[#This Row],[Material Name]]</f>
        <v>45238_Pole 7M 4"</v>
      </c>
      <c r="O700" t="str">
        <f>DO_DB[[#This Row],[SiteID]]</f>
        <v>CLR22-99-069</v>
      </c>
      <c r="P700" t="str">
        <f>DO_DB[[#This Row],[SiteID]]&amp;"_"&amp;DO_DB[[#This Row],[Material Name]]</f>
        <v>CLR22-99-069_Pole 7M 4"</v>
      </c>
      <c r="Q700" t="str">
        <f>DO_DB[[#This Row],[DO Number]]</f>
        <v>DOEID231106CO</v>
      </c>
      <c r="R700" t="str">
        <f>DO_DB[[#This Row],[DN Number]]</f>
        <v>DNWID0362023110707</v>
      </c>
    </row>
    <row r="701" spans="1:18">
      <c r="A701" t="s">
        <v>472</v>
      </c>
      <c r="B701" t="s">
        <v>473</v>
      </c>
      <c r="C701" s="172" t="s">
        <v>4482</v>
      </c>
      <c r="D701" t="s">
        <v>71</v>
      </c>
      <c r="E701" t="s">
        <v>135</v>
      </c>
      <c r="F701" t="s">
        <v>4498</v>
      </c>
      <c r="G701" t="s">
        <v>504</v>
      </c>
      <c r="H701" t="s">
        <v>505</v>
      </c>
      <c r="I701" s="130">
        <v>45238</v>
      </c>
      <c r="J701" t="s">
        <v>3070</v>
      </c>
      <c r="K701">
        <v>4</v>
      </c>
      <c r="M7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01" t="str">
        <f>DO_DB[[#This Row],[Material Pick-update]]&amp;"_"&amp;DO_DB[[#This Row],[Material Name]]</f>
        <v>45238_Pole 7M 3"</v>
      </c>
      <c r="O701" t="str">
        <f>DO_DB[[#This Row],[SiteID]]</f>
        <v>CLR22-99-069</v>
      </c>
      <c r="P701" t="str">
        <f>DO_DB[[#This Row],[SiteID]]&amp;"_"&amp;DO_DB[[#This Row],[Material Name]]</f>
        <v>CLR22-99-069_Pole 7M 3"</v>
      </c>
      <c r="Q701" t="str">
        <f>DO_DB[[#This Row],[DO Number]]</f>
        <v>DOEID231106CO</v>
      </c>
      <c r="R701" t="str">
        <f>DO_DB[[#This Row],[DN Number]]</f>
        <v>DNWID0362023110707</v>
      </c>
    </row>
    <row r="702" spans="1:18">
      <c r="A702" t="s">
        <v>472</v>
      </c>
      <c r="B702" t="s">
        <v>473</v>
      </c>
      <c r="C702" s="172" t="s">
        <v>4482</v>
      </c>
      <c r="D702" t="s">
        <v>71</v>
      </c>
      <c r="E702" t="s">
        <v>135</v>
      </c>
      <c r="F702" t="s">
        <v>4498</v>
      </c>
      <c r="G702" t="s">
        <v>474</v>
      </c>
      <c r="H702" t="s">
        <v>475</v>
      </c>
      <c r="I702" s="130">
        <v>45238</v>
      </c>
      <c r="J702" t="s">
        <v>14</v>
      </c>
      <c r="K702">
        <v>1</v>
      </c>
      <c r="M7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02" t="str">
        <f>DO_DB[[#This Row],[Material Pick-update]]&amp;"_"&amp;DO_DB[[#This Row],[Material Name]]</f>
        <v>45238_FDT-48</v>
      </c>
      <c r="O702" t="str">
        <f>DO_DB[[#This Row],[SiteID]]</f>
        <v>CLR22-99-069</v>
      </c>
      <c r="P702" t="str">
        <f>DO_DB[[#This Row],[SiteID]]&amp;"_"&amp;DO_DB[[#This Row],[Material Name]]</f>
        <v>CLR22-99-069_FDT-48</v>
      </c>
      <c r="Q702" t="str">
        <f>DO_DB[[#This Row],[DO Number]]</f>
        <v>DOEID231106CP</v>
      </c>
      <c r="R702" t="str">
        <f>DO_DB[[#This Row],[DN Number]]</f>
        <v>DNWID0342023110701</v>
      </c>
    </row>
    <row r="703" spans="1:18">
      <c r="A703" t="s">
        <v>472</v>
      </c>
      <c r="B703" t="s">
        <v>473</v>
      </c>
      <c r="C703" s="172" t="s">
        <v>4482</v>
      </c>
      <c r="D703" t="s">
        <v>71</v>
      </c>
      <c r="E703" t="s">
        <v>135</v>
      </c>
      <c r="F703" t="s">
        <v>4498</v>
      </c>
      <c r="G703" t="s">
        <v>474</v>
      </c>
      <c r="H703" t="s">
        <v>475</v>
      </c>
      <c r="I703" s="130">
        <v>45238</v>
      </c>
      <c r="J703" t="s">
        <v>13</v>
      </c>
      <c r="K703">
        <v>16</v>
      </c>
      <c r="M7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03" t="str">
        <f>DO_DB[[#This Row],[Material Pick-update]]&amp;"_"&amp;DO_DB[[#This Row],[Material Name]]</f>
        <v>45238_FAT-16</v>
      </c>
      <c r="O703" t="str">
        <f>DO_DB[[#This Row],[SiteID]]</f>
        <v>CLR22-99-069</v>
      </c>
      <c r="P703" t="str">
        <f>DO_DB[[#This Row],[SiteID]]&amp;"_"&amp;DO_DB[[#This Row],[Material Name]]</f>
        <v>CLR22-99-069_FAT-16</v>
      </c>
      <c r="Q703" t="str">
        <f>DO_DB[[#This Row],[DO Number]]</f>
        <v>DOEID231106CP</v>
      </c>
      <c r="R703" t="str">
        <f>DO_DB[[#This Row],[DN Number]]</f>
        <v>DNWID0342023110701</v>
      </c>
    </row>
    <row r="704" spans="1:18">
      <c r="A704" t="s">
        <v>476</v>
      </c>
      <c r="B704" t="s">
        <v>477</v>
      </c>
      <c r="C704" s="172" t="s">
        <v>4482</v>
      </c>
      <c r="D704" t="s">
        <v>71</v>
      </c>
      <c r="E704" t="s">
        <v>135</v>
      </c>
      <c r="F704" t="s">
        <v>4498</v>
      </c>
      <c r="G704" t="s">
        <v>496</v>
      </c>
      <c r="H704" t="s">
        <v>497</v>
      </c>
      <c r="I704" s="130">
        <v>45238</v>
      </c>
      <c r="J704" t="s">
        <v>3069</v>
      </c>
      <c r="K704">
        <v>21</v>
      </c>
      <c r="M7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04" t="str">
        <f>DO_DB[[#This Row],[Material Pick-update]]&amp;"_"&amp;DO_DB[[#This Row],[Material Name]]</f>
        <v>45238_Pole 7M 4"</v>
      </c>
      <c r="O704" t="str">
        <f>DO_DB[[#This Row],[SiteID]]</f>
        <v>CLR22-99-070</v>
      </c>
      <c r="P704" t="str">
        <f>DO_DB[[#This Row],[SiteID]]&amp;"_"&amp;DO_DB[[#This Row],[Material Name]]</f>
        <v>CLR22-99-070_Pole 7M 4"</v>
      </c>
      <c r="Q704" t="str">
        <f>DO_DB[[#This Row],[DO Number]]</f>
        <v>DOEID231106CQ</v>
      </c>
      <c r="R704" t="str">
        <f>DO_DB[[#This Row],[DN Number]]</f>
        <v>DNWID0362023110702</v>
      </c>
    </row>
    <row r="705" spans="1:18">
      <c r="A705" t="s">
        <v>476</v>
      </c>
      <c r="B705" t="s">
        <v>477</v>
      </c>
      <c r="C705" s="172" t="s">
        <v>4482</v>
      </c>
      <c r="D705" t="s">
        <v>71</v>
      </c>
      <c r="E705" t="s">
        <v>135</v>
      </c>
      <c r="F705" t="s">
        <v>4498</v>
      </c>
      <c r="G705" t="s">
        <v>496</v>
      </c>
      <c r="H705" t="s">
        <v>497</v>
      </c>
      <c r="I705" s="130">
        <v>45238</v>
      </c>
      <c r="J705" t="s">
        <v>3070</v>
      </c>
      <c r="K705">
        <v>5</v>
      </c>
      <c r="M7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05" t="str">
        <f>DO_DB[[#This Row],[Material Pick-update]]&amp;"_"&amp;DO_DB[[#This Row],[Material Name]]</f>
        <v>45238_Pole 7M 3"</v>
      </c>
      <c r="O705" t="str">
        <f>DO_DB[[#This Row],[SiteID]]</f>
        <v>CLR22-99-070</v>
      </c>
      <c r="P705" t="str">
        <f>DO_DB[[#This Row],[SiteID]]&amp;"_"&amp;DO_DB[[#This Row],[Material Name]]</f>
        <v>CLR22-99-070_Pole 7M 3"</v>
      </c>
      <c r="Q705" t="str">
        <f>DO_DB[[#This Row],[DO Number]]</f>
        <v>DOEID231106CQ</v>
      </c>
      <c r="R705" t="str">
        <f>DO_DB[[#This Row],[DN Number]]</f>
        <v>DNWID0362023110702</v>
      </c>
    </row>
    <row r="706" spans="1:18">
      <c r="A706" t="s">
        <v>476</v>
      </c>
      <c r="B706" t="s">
        <v>477</v>
      </c>
      <c r="C706" s="172" t="s">
        <v>4482</v>
      </c>
      <c r="D706" t="s">
        <v>71</v>
      </c>
      <c r="E706" t="s">
        <v>135</v>
      </c>
      <c r="F706" t="s">
        <v>4498</v>
      </c>
      <c r="G706" t="s">
        <v>478</v>
      </c>
      <c r="H706" t="s">
        <v>479</v>
      </c>
      <c r="I706" s="130">
        <v>45238</v>
      </c>
      <c r="J706" t="s">
        <v>14</v>
      </c>
      <c r="K706">
        <v>1</v>
      </c>
      <c r="M7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06" t="str">
        <f>DO_DB[[#This Row],[Material Pick-update]]&amp;"_"&amp;DO_DB[[#This Row],[Material Name]]</f>
        <v>45238_FDT-48</v>
      </c>
      <c r="O706" t="str">
        <f>DO_DB[[#This Row],[SiteID]]</f>
        <v>CLR22-99-070</v>
      </c>
      <c r="P706" t="str">
        <f>DO_DB[[#This Row],[SiteID]]&amp;"_"&amp;DO_DB[[#This Row],[Material Name]]</f>
        <v>CLR22-99-070_FDT-48</v>
      </c>
      <c r="Q706" t="str">
        <f>DO_DB[[#This Row],[DO Number]]</f>
        <v>DOEID231106CR</v>
      </c>
      <c r="R706" t="str">
        <f>DO_DB[[#This Row],[DN Number]]</f>
        <v>DNWID0342023110702</v>
      </c>
    </row>
    <row r="707" spans="1:18">
      <c r="A707" t="s">
        <v>476</v>
      </c>
      <c r="B707" t="s">
        <v>477</v>
      </c>
      <c r="C707" s="172" t="s">
        <v>4482</v>
      </c>
      <c r="D707" t="s">
        <v>71</v>
      </c>
      <c r="E707" t="s">
        <v>135</v>
      </c>
      <c r="F707" t="s">
        <v>4498</v>
      </c>
      <c r="G707" t="s">
        <v>478</v>
      </c>
      <c r="H707" t="s">
        <v>479</v>
      </c>
      <c r="I707" s="130">
        <v>45238</v>
      </c>
      <c r="J707" t="s">
        <v>13</v>
      </c>
      <c r="K707">
        <v>12</v>
      </c>
      <c r="M7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07" t="str">
        <f>DO_DB[[#This Row],[Material Pick-update]]&amp;"_"&amp;DO_DB[[#This Row],[Material Name]]</f>
        <v>45238_FAT-16</v>
      </c>
      <c r="O707" t="str">
        <f>DO_DB[[#This Row],[SiteID]]</f>
        <v>CLR22-99-070</v>
      </c>
      <c r="P707" t="str">
        <f>DO_DB[[#This Row],[SiteID]]&amp;"_"&amp;DO_DB[[#This Row],[Material Name]]</f>
        <v>CLR22-99-070_FAT-16</v>
      </c>
      <c r="Q707" t="str">
        <f>DO_DB[[#This Row],[DO Number]]</f>
        <v>DOEID231106CR</v>
      </c>
      <c r="R707" t="str">
        <f>DO_DB[[#This Row],[DN Number]]</f>
        <v>DNWID0342023110702</v>
      </c>
    </row>
    <row r="708" spans="1:18">
      <c r="A708" t="s">
        <v>480</v>
      </c>
      <c r="B708" t="s">
        <v>481</v>
      </c>
      <c r="C708" s="172" t="s">
        <v>4482</v>
      </c>
      <c r="D708" t="s">
        <v>71</v>
      </c>
      <c r="E708" t="s">
        <v>135</v>
      </c>
      <c r="F708" t="s">
        <v>4498</v>
      </c>
      <c r="G708" t="s">
        <v>498</v>
      </c>
      <c r="H708" t="s">
        <v>499</v>
      </c>
      <c r="I708" s="130">
        <v>45238</v>
      </c>
      <c r="J708" t="s">
        <v>3069</v>
      </c>
      <c r="K708">
        <v>40</v>
      </c>
      <c r="M7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08" t="str">
        <f>DO_DB[[#This Row],[Material Pick-update]]&amp;"_"&amp;DO_DB[[#This Row],[Material Name]]</f>
        <v>45238_Pole 7M 4"</v>
      </c>
      <c r="O708" t="str">
        <f>DO_DB[[#This Row],[SiteID]]</f>
        <v>CLR22-99-059</v>
      </c>
      <c r="P708" t="str">
        <f>DO_DB[[#This Row],[SiteID]]&amp;"_"&amp;DO_DB[[#This Row],[Material Name]]</f>
        <v>CLR22-99-059_Pole 7M 4"</v>
      </c>
      <c r="Q708" t="str">
        <f>DO_DB[[#This Row],[DO Number]]</f>
        <v>DOEID231106CS</v>
      </c>
      <c r="R708" t="str">
        <f>DO_DB[[#This Row],[DN Number]]</f>
        <v>DNWID0362023110703</v>
      </c>
    </row>
    <row r="709" spans="1:18">
      <c r="A709" t="s">
        <v>480</v>
      </c>
      <c r="B709" t="s">
        <v>481</v>
      </c>
      <c r="C709" s="172" t="s">
        <v>4482</v>
      </c>
      <c r="D709" t="s">
        <v>71</v>
      </c>
      <c r="E709" t="s">
        <v>135</v>
      </c>
      <c r="F709" t="s">
        <v>4498</v>
      </c>
      <c r="G709" t="s">
        <v>498</v>
      </c>
      <c r="H709" t="s">
        <v>499</v>
      </c>
      <c r="I709" s="130">
        <v>45238</v>
      </c>
      <c r="J709" t="s">
        <v>3070</v>
      </c>
      <c r="K709">
        <v>4</v>
      </c>
      <c r="M7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09" t="str">
        <f>DO_DB[[#This Row],[Material Pick-update]]&amp;"_"&amp;DO_DB[[#This Row],[Material Name]]</f>
        <v>45238_Pole 7M 3"</v>
      </c>
      <c r="O709" t="str">
        <f>DO_DB[[#This Row],[SiteID]]</f>
        <v>CLR22-99-059</v>
      </c>
      <c r="P709" t="str">
        <f>DO_DB[[#This Row],[SiteID]]&amp;"_"&amp;DO_DB[[#This Row],[Material Name]]</f>
        <v>CLR22-99-059_Pole 7M 3"</v>
      </c>
      <c r="Q709" t="str">
        <f>DO_DB[[#This Row],[DO Number]]</f>
        <v>DOEID231106CS</v>
      </c>
      <c r="R709" t="str">
        <f>DO_DB[[#This Row],[DN Number]]</f>
        <v>DNWID0362023110703</v>
      </c>
    </row>
    <row r="710" spans="1:18">
      <c r="A710" t="s">
        <v>480</v>
      </c>
      <c r="B710" t="s">
        <v>481</v>
      </c>
      <c r="C710" s="172" t="s">
        <v>4482</v>
      </c>
      <c r="D710" t="s">
        <v>71</v>
      </c>
      <c r="E710" t="s">
        <v>135</v>
      </c>
      <c r="F710" t="s">
        <v>4498</v>
      </c>
      <c r="G710" t="s">
        <v>498</v>
      </c>
      <c r="H710" t="s">
        <v>499</v>
      </c>
      <c r="I710" s="130">
        <v>45238</v>
      </c>
      <c r="J710" t="s">
        <v>3071</v>
      </c>
      <c r="K710">
        <v>1</v>
      </c>
      <c r="M7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10" t="str">
        <f>DO_DB[[#This Row],[Material Pick-update]]&amp;"_"&amp;DO_DB[[#This Row],[Material Name]]</f>
        <v>45238_Pole 9M</v>
      </c>
      <c r="O710" t="str">
        <f>DO_DB[[#This Row],[SiteID]]</f>
        <v>CLR22-99-059</v>
      </c>
      <c r="P710" t="str">
        <f>DO_DB[[#This Row],[SiteID]]&amp;"_"&amp;DO_DB[[#This Row],[Material Name]]</f>
        <v>CLR22-99-059_Pole 9M</v>
      </c>
      <c r="Q710" t="str">
        <f>DO_DB[[#This Row],[DO Number]]</f>
        <v>DOEID231106CS</v>
      </c>
      <c r="R710" t="str">
        <f>DO_DB[[#This Row],[DN Number]]</f>
        <v>DNWID0362023110703</v>
      </c>
    </row>
    <row r="711" spans="1:18">
      <c r="A711" t="s">
        <v>480</v>
      </c>
      <c r="B711" t="s">
        <v>481</v>
      </c>
      <c r="C711" s="172" t="s">
        <v>4482</v>
      </c>
      <c r="D711" t="s">
        <v>71</v>
      </c>
      <c r="E711" t="s">
        <v>135</v>
      </c>
      <c r="F711" t="s">
        <v>4498</v>
      </c>
      <c r="G711" t="s">
        <v>482</v>
      </c>
      <c r="H711" t="s">
        <v>483</v>
      </c>
      <c r="I711" s="130">
        <v>45238</v>
      </c>
      <c r="J711" t="s">
        <v>14</v>
      </c>
      <c r="K711">
        <v>1</v>
      </c>
      <c r="M7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11" t="str">
        <f>DO_DB[[#This Row],[Material Pick-update]]&amp;"_"&amp;DO_DB[[#This Row],[Material Name]]</f>
        <v>45238_FDT-48</v>
      </c>
      <c r="O711" t="str">
        <f>DO_DB[[#This Row],[SiteID]]</f>
        <v>CLR22-99-059</v>
      </c>
      <c r="P711" t="str">
        <f>DO_DB[[#This Row],[SiteID]]&amp;"_"&amp;DO_DB[[#This Row],[Material Name]]</f>
        <v>CLR22-99-059_FDT-48</v>
      </c>
      <c r="Q711" t="str">
        <f>DO_DB[[#This Row],[DO Number]]</f>
        <v>DOEID231106CT</v>
      </c>
      <c r="R711" t="str">
        <f>DO_DB[[#This Row],[DN Number]]</f>
        <v>DNWID0342023110703</v>
      </c>
    </row>
    <row r="712" spans="1:18">
      <c r="A712" t="s">
        <v>480</v>
      </c>
      <c r="B712" t="s">
        <v>481</v>
      </c>
      <c r="C712" s="172" t="s">
        <v>4482</v>
      </c>
      <c r="D712" t="s">
        <v>71</v>
      </c>
      <c r="E712" t="s">
        <v>135</v>
      </c>
      <c r="F712" t="s">
        <v>4498</v>
      </c>
      <c r="G712" t="s">
        <v>482</v>
      </c>
      <c r="H712" t="s">
        <v>483</v>
      </c>
      <c r="I712" s="130">
        <v>45238</v>
      </c>
      <c r="J712" t="s">
        <v>13</v>
      </c>
      <c r="K712">
        <v>6</v>
      </c>
      <c r="M7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12" t="str">
        <f>DO_DB[[#This Row],[Material Pick-update]]&amp;"_"&amp;DO_DB[[#This Row],[Material Name]]</f>
        <v>45238_FAT-16</v>
      </c>
      <c r="O712" t="str">
        <f>DO_DB[[#This Row],[SiteID]]</f>
        <v>CLR22-99-059</v>
      </c>
      <c r="P712" t="str">
        <f>DO_DB[[#This Row],[SiteID]]&amp;"_"&amp;DO_DB[[#This Row],[Material Name]]</f>
        <v>CLR22-99-059_FAT-16</v>
      </c>
      <c r="Q712" t="str">
        <f>DO_DB[[#This Row],[DO Number]]</f>
        <v>DOEID231106CT</v>
      </c>
      <c r="R712" t="str">
        <f>DO_DB[[#This Row],[DN Number]]</f>
        <v>DNWID0342023110703</v>
      </c>
    </row>
    <row r="713" spans="1:18">
      <c r="A713" t="s">
        <v>492</v>
      </c>
      <c r="B713" t="s">
        <v>493</v>
      </c>
      <c r="C713" s="172" t="s">
        <v>4482</v>
      </c>
      <c r="D713" t="s">
        <v>71</v>
      </c>
      <c r="E713" t="s">
        <v>135</v>
      </c>
      <c r="F713" t="s">
        <v>4498</v>
      </c>
      <c r="G713" t="s">
        <v>506</v>
      </c>
      <c r="H713" t="s">
        <v>507</v>
      </c>
      <c r="I713" s="130">
        <v>45238</v>
      </c>
      <c r="J713" t="s">
        <v>3069</v>
      </c>
      <c r="K713">
        <v>15</v>
      </c>
      <c r="M7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13" t="str">
        <f>DO_DB[[#This Row],[Material Pick-update]]&amp;"_"&amp;DO_DB[[#This Row],[Material Name]]</f>
        <v>45238_Pole 7M 4"</v>
      </c>
      <c r="O713" t="str">
        <f>DO_DB[[#This Row],[SiteID]]</f>
        <v>CLR22-99-060</v>
      </c>
      <c r="P713" t="str">
        <f>DO_DB[[#This Row],[SiteID]]&amp;"_"&amp;DO_DB[[#This Row],[Material Name]]</f>
        <v>CLR22-99-060_Pole 7M 4"</v>
      </c>
      <c r="Q713" t="str">
        <f>DO_DB[[#This Row],[DO Number]]</f>
        <v>DOEID231107B8</v>
      </c>
      <c r="R713" t="str">
        <f>DO_DB[[#This Row],[DN Number]]</f>
        <v>DNWID0362023110719</v>
      </c>
    </row>
    <row r="714" spans="1:18">
      <c r="A714" t="s">
        <v>492</v>
      </c>
      <c r="B714" t="s">
        <v>493</v>
      </c>
      <c r="C714" s="172" t="s">
        <v>4482</v>
      </c>
      <c r="D714" t="s">
        <v>71</v>
      </c>
      <c r="E714" t="s">
        <v>135</v>
      </c>
      <c r="F714" t="s">
        <v>4498</v>
      </c>
      <c r="G714" t="s">
        <v>494</v>
      </c>
      <c r="H714" t="s">
        <v>495</v>
      </c>
      <c r="I714" s="130">
        <v>45238</v>
      </c>
      <c r="J714" t="s">
        <v>13</v>
      </c>
      <c r="K714">
        <v>3</v>
      </c>
      <c r="M7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14" t="str">
        <f>DO_DB[[#This Row],[Material Pick-update]]&amp;"_"&amp;DO_DB[[#This Row],[Material Name]]</f>
        <v>45238_FAT-16</v>
      </c>
      <c r="O714" t="str">
        <f>DO_DB[[#This Row],[SiteID]]</f>
        <v>CLR22-99-060</v>
      </c>
      <c r="P714" t="str">
        <f>DO_DB[[#This Row],[SiteID]]&amp;"_"&amp;DO_DB[[#This Row],[Material Name]]</f>
        <v>CLR22-99-060_FAT-16</v>
      </c>
      <c r="Q714" t="str">
        <f>DO_DB[[#This Row],[DO Number]]</f>
        <v>DOEID231107B9</v>
      </c>
      <c r="R714" t="str">
        <f>DO_DB[[#This Row],[DN Number]]</f>
        <v>DNWID0342023110706</v>
      </c>
    </row>
    <row r="715" spans="1:18">
      <c r="A715" t="s">
        <v>484</v>
      </c>
      <c r="B715" t="s">
        <v>485</v>
      </c>
      <c r="C715" s="172" t="s">
        <v>4482</v>
      </c>
      <c r="D715" t="s">
        <v>71</v>
      </c>
      <c r="E715" t="s">
        <v>135</v>
      </c>
      <c r="F715" t="s">
        <v>4498</v>
      </c>
      <c r="G715" t="s">
        <v>486</v>
      </c>
      <c r="H715" t="s">
        <v>487</v>
      </c>
      <c r="I715" s="130">
        <v>45238</v>
      </c>
      <c r="J715" t="s">
        <v>3073</v>
      </c>
      <c r="K715">
        <v>3000</v>
      </c>
      <c r="M7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24C-2023118-01</v>
      </c>
      <c r="N715" t="str">
        <f>DO_DB[[#This Row],[Material Pick-update]]&amp;"_"&amp;DO_DB[[#This Row],[Material Name]]</f>
        <v>45238_ADSS 24C</v>
      </c>
      <c r="O715" t="str">
        <f>DO_DB[[#This Row],[SiteID]]</f>
        <v>CLR22-99-067</v>
      </c>
      <c r="P715" t="str">
        <f>DO_DB[[#This Row],[SiteID]]&amp;"_"&amp;DO_DB[[#This Row],[Material Name]]</f>
        <v>CLR22-99-067_ADSS 24C</v>
      </c>
      <c r="Q715" t="str">
        <f>DO_DB[[#This Row],[DO Number]]</f>
        <v>DOEID231106CL</v>
      </c>
      <c r="R715" t="str">
        <f>DO_DB[[#This Row],[DN Number]]</f>
        <v>DNWID0342023110704</v>
      </c>
    </row>
    <row r="716" spans="1:18">
      <c r="A716" t="s">
        <v>488</v>
      </c>
      <c r="B716" t="s">
        <v>489</v>
      </c>
      <c r="C716" s="172" t="s">
        <v>4482</v>
      </c>
      <c r="D716" t="s">
        <v>71</v>
      </c>
      <c r="E716" t="s">
        <v>135</v>
      </c>
      <c r="F716" t="s">
        <v>4498</v>
      </c>
      <c r="G716" t="s">
        <v>490</v>
      </c>
      <c r="H716" t="s">
        <v>491</v>
      </c>
      <c r="I716" s="130">
        <v>45238</v>
      </c>
      <c r="J716" t="s">
        <v>3075</v>
      </c>
      <c r="K716">
        <v>3000</v>
      </c>
      <c r="M7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48C-2023118-01</v>
      </c>
      <c r="N716" t="str">
        <f>DO_DB[[#This Row],[Material Pick-update]]&amp;"_"&amp;DO_DB[[#This Row],[Material Name]]</f>
        <v>45238_ADSS 48C</v>
      </c>
      <c r="O716" t="str">
        <f>DO_DB[[#This Row],[SiteID]]</f>
        <v>CLR22-99-068</v>
      </c>
      <c r="P716" t="str">
        <f>DO_DB[[#This Row],[SiteID]]&amp;"_"&amp;DO_DB[[#This Row],[Material Name]]</f>
        <v>CLR22-99-068_ADSS 48C</v>
      </c>
      <c r="Q716" t="str">
        <f>DO_DB[[#This Row],[DO Number]]</f>
        <v>DOEID231106CN</v>
      </c>
      <c r="R716" t="str">
        <f>DO_DB[[#This Row],[DN Number]]</f>
        <v>DNWID0342023110705</v>
      </c>
    </row>
    <row r="717" spans="1:18">
      <c r="A717" t="s">
        <v>472</v>
      </c>
      <c r="B717" t="s">
        <v>473</v>
      </c>
      <c r="C717" s="172" t="s">
        <v>4482</v>
      </c>
      <c r="D717" t="s">
        <v>71</v>
      </c>
      <c r="E717" t="s">
        <v>135</v>
      </c>
      <c r="F717" t="s">
        <v>4498</v>
      </c>
      <c r="G717" t="s">
        <v>474</v>
      </c>
      <c r="H717" t="s">
        <v>475</v>
      </c>
      <c r="I717" s="130">
        <v>45238</v>
      </c>
      <c r="J717" t="s">
        <v>3073</v>
      </c>
      <c r="K717">
        <v>3000</v>
      </c>
      <c r="M7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24C-2023118-01</v>
      </c>
      <c r="N717" t="str">
        <f>DO_DB[[#This Row],[Material Pick-update]]&amp;"_"&amp;DO_DB[[#This Row],[Material Name]]</f>
        <v>45238_ADSS 24C</v>
      </c>
      <c r="O717" t="str">
        <f>DO_DB[[#This Row],[SiteID]]</f>
        <v>CLR22-99-069</v>
      </c>
      <c r="P717" t="str">
        <f>DO_DB[[#This Row],[SiteID]]&amp;"_"&amp;DO_DB[[#This Row],[Material Name]]</f>
        <v>CLR22-99-069_ADSS 24C</v>
      </c>
      <c r="Q717" t="str">
        <f>DO_DB[[#This Row],[DO Number]]</f>
        <v>DOEID231106CP</v>
      </c>
      <c r="R717" t="str">
        <f>DO_DB[[#This Row],[DN Number]]</f>
        <v>DNWID0342023110701</v>
      </c>
    </row>
    <row r="718" spans="1:18">
      <c r="A718" t="s">
        <v>480</v>
      </c>
      <c r="B718" t="s">
        <v>481</v>
      </c>
      <c r="C718" s="172" t="s">
        <v>4482</v>
      </c>
      <c r="D718" t="s">
        <v>71</v>
      </c>
      <c r="E718" t="s">
        <v>135</v>
      </c>
      <c r="F718" t="s">
        <v>4498</v>
      </c>
      <c r="G718" t="s">
        <v>482</v>
      </c>
      <c r="H718" t="s">
        <v>483</v>
      </c>
      <c r="I718" s="130">
        <v>45238</v>
      </c>
      <c r="J718" t="s">
        <v>3075</v>
      </c>
      <c r="K718">
        <v>3000</v>
      </c>
      <c r="M7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48C-2023118-01</v>
      </c>
      <c r="N718" t="str">
        <f>DO_DB[[#This Row],[Material Pick-update]]&amp;"_"&amp;DO_DB[[#This Row],[Material Name]]</f>
        <v>45238_ADSS 48C</v>
      </c>
      <c r="O718" t="str">
        <f>DO_DB[[#This Row],[SiteID]]</f>
        <v>CLR22-99-059</v>
      </c>
      <c r="P718" t="str">
        <f>DO_DB[[#This Row],[SiteID]]&amp;"_"&amp;DO_DB[[#This Row],[Material Name]]</f>
        <v>CLR22-99-059_ADSS 48C</v>
      </c>
      <c r="Q718" t="str">
        <f>DO_DB[[#This Row],[DO Number]]</f>
        <v>DOEID231106CT</v>
      </c>
      <c r="R718" t="str">
        <f>DO_DB[[#This Row],[DN Number]]</f>
        <v>DNWID0342023110703</v>
      </c>
    </row>
    <row r="719" spans="1:18">
      <c r="A719" t="s">
        <v>510</v>
      </c>
      <c r="B719" t="s">
        <v>511</v>
      </c>
      <c r="C719" s="172" t="s">
        <v>4482</v>
      </c>
      <c r="D719" t="s">
        <v>71</v>
      </c>
      <c r="E719" t="s">
        <v>135</v>
      </c>
      <c r="F719" t="s">
        <v>4498</v>
      </c>
      <c r="G719" t="s">
        <v>526</v>
      </c>
      <c r="H719" t="s">
        <v>527</v>
      </c>
      <c r="I719" s="130">
        <v>45240</v>
      </c>
      <c r="J719" t="s">
        <v>3069</v>
      </c>
      <c r="K719">
        <v>23</v>
      </c>
      <c r="M7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19" t="str">
        <f>DO_DB[[#This Row],[Material Pick-update]]&amp;"_"&amp;DO_DB[[#This Row],[Material Name]]</f>
        <v>45240_Pole 7M 4"</v>
      </c>
      <c r="O719" t="str">
        <f>DO_DB[[#This Row],[SiteID]]</f>
        <v>CLR22-99-063</v>
      </c>
      <c r="P719" t="str">
        <f>DO_DB[[#This Row],[SiteID]]&amp;"_"&amp;DO_DB[[#This Row],[Material Name]]</f>
        <v>CLR22-99-063_Pole 7M 4"</v>
      </c>
      <c r="Q719" t="str">
        <f>DO_DB[[#This Row],[DO Number]]</f>
        <v>DOEID23110962</v>
      </c>
      <c r="R719" t="str">
        <f>DO_DB[[#This Row],[DN Number]]</f>
        <v>DNWID0362023110901</v>
      </c>
    </row>
    <row r="720" spans="1:18">
      <c r="A720" t="s">
        <v>510</v>
      </c>
      <c r="B720" t="s">
        <v>511</v>
      </c>
      <c r="C720" s="172" t="s">
        <v>4482</v>
      </c>
      <c r="D720" t="s">
        <v>71</v>
      </c>
      <c r="E720" t="s">
        <v>135</v>
      </c>
      <c r="F720" t="s">
        <v>4498</v>
      </c>
      <c r="G720" t="s">
        <v>526</v>
      </c>
      <c r="H720" t="s">
        <v>527</v>
      </c>
      <c r="I720" s="130">
        <v>45240</v>
      </c>
      <c r="J720" t="s">
        <v>3070</v>
      </c>
      <c r="K720">
        <v>10</v>
      </c>
      <c r="M7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20" t="str">
        <f>DO_DB[[#This Row],[Material Pick-update]]&amp;"_"&amp;DO_DB[[#This Row],[Material Name]]</f>
        <v>45240_Pole 7M 3"</v>
      </c>
      <c r="O720" t="str">
        <f>DO_DB[[#This Row],[SiteID]]</f>
        <v>CLR22-99-063</v>
      </c>
      <c r="P720" t="str">
        <f>DO_DB[[#This Row],[SiteID]]&amp;"_"&amp;DO_DB[[#This Row],[Material Name]]</f>
        <v>CLR22-99-063_Pole 7M 3"</v>
      </c>
      <c r="Q720" t="str">
        <f>DO_DB[[#This Row],[DO Number]]</f>
        <v>DOEID23110962</v>
      </c>
      <c r="R720" t="str">
        <f>DO_DB[[#This Row],[DN Number]]</f>
        <v>DNWID0362023110901</v>
      </c>
    </row>
    <row r="721" spans="1:18">
      <c r="A721" t="s">
        <v>510</v>
      </c>
      <c r="B721" t="s">
        <v>511</v>
      </c>
      <c r="C721" s="172" t="s">
        <v>4482</v>
      </c>
      <c r="D721" t="s">
        <v>71</v>
      </c>
      <c r="E721" t="s">
        <v>135</v>
      </c>
      <c r="F721" t="s">
        <v>4498</v>
      </c>
      <c r="G721" t="s">
        <v>526</v>
      </c>
      <c r="H721" t="s">
        <v>527</v>
      </c>
      <c r="I721" s="130">
        <v>45240</v>
      </c>
      <c r="J721" t="s">
        <v>3071</v>
      </c>
      <c r="K721">
        <v>8</v>
      </c>
      <c r="M7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21" t="str">
        <f>DO_DB[[#This Row],[Material Pick-update]]&amp;"_"&amp;DO_DB[[#This Row],[Material Name]]</f>
        <v>45240_Pole 9M</v>
      </c>
      <c r="O721" t="str">
        <f>DO_DB[[#This Row],[SiteID]]</f>
        <v>CLR22-99-063</v>
      </c>
      <c r="P721" t="str">
        <f>DO_DB[[#This Row],[SiteID]]&amp;"_"&amp;DO_DB[[#This Row],[Material Name]]</f>
        <v>CLR22-99-063_Pole 9M</v>
      </c>
      <c r="Q721" t="str">
        <f>DO_DB[[#This Row],[DO Number]]</f>
        <v>DOEID23110962</v>
      </c>
      <c r="R721" t="str">
        <f>DO_DB[[#This Row],[DN Number]]</f>
        <v>DNWID0362023110901</v>
      </c>
    </row>
    <row r="722" spans="1:18">
      <c r="A722" t="s">
        <v>514</v>
      </c>
      <c r="B722" t="s">
        <v>515</v>
      </c>
      <c r="C722" s="172" t="s">
        <v>4482</v>
      </c>
      <c r="D722" t="s">
        <v>71</v>
      </c>
      <c r="E722" t="s">
        <v>135</v>
      </c>
      <c r="F722" t="s">
        <v>4498</v>
      </c>
      <c r="G722" t="s">
        <v>528</v>
      </c>
      <c r="H722" t="s">
        <v>529</v>
      </c>
      <c r="I722" s="130">
        <v>45240</v>
      </c>
      <c r="J722" t="s">
        <v>3069</v>
      </c>
      <c r="K722">
        <v>40</v>
      </c>
      <c r="M7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22" t="str">
        <f>DO_DB[[#This Row],[Material Pick-update]]&amp;"_"&amp;DO_DB[[#This Row],[Material Name]]</f>
        <v>45240_Pole 7M 4"</v>
      </c>
      <c r="O722" t="str">
        <f>DO_DB[[#This Row],[SiteID]]</f>
        <v>CLR22-99-064</v>
      </c>
      <c r="P722" t="str">
        <f>DO_DB[[#This Row],[SiteID]]&amp;"_"&amp;DO_DB[[#This Row],[Material Name]]</f>
        <v>CLR22-99-064_Pole 7M 4"</v>
      </c>
      <c r="Q722" t="str">
        <f>DO_DB[[#This Row],[DO Number]]</f>
        <v>DOEID23110964</v>
      </c>
      <c r="R722" t="str">
        <f>DO_DB[[#This Row],[DN Number]]</f>
        <v>DNWID0362023110902</v>
      </c>
    </row>
    <row r="723" spans="1:18">
      <c r="A723" t="s">
        <v>514</v>
      </c>
      <c r="B723" t="s">
        <v>515</v>
      </c>
      <c r="C723" s="172" t="s">
        <v>4482</v>
      </c>
      <c r="D723" t="s">
        <v>71</v>
      </c>
      <c r="E723" t="s">
        <v>135</v>
      </c>
      <c r="F723" t="s">
        <v>4498</v>
      </c>
      <c r="G723" t="s">
        <v>528</v>
      </c>
      <c r="H723" t="s">
        <v>529</v>
      </c>
      <c r="I723" s="130">
        <v>45240</v>
      </c>
      <c r="J723" t="s">
        <v>3070</v>
      </c>
      <c r="K723">
        <v>2</v>
      </c>
      <c r="M7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23" t="str">
        <f>DO_DB[[#This Row],[Material Pick-update]]&amp;"_"&amp;DO_DB[[#This Row],[Material Name]]</f>
        <v>45240_Pole 7M 3"</v>
      </c>
      <c r="O723" t="str">
        <f>DO_DB[[#This Row],[SiteID]]</f>
        <v>CLR22-99-064</v>
      </c>
      <c r="P723" t="str">
        <f>DO_DB[[#This Row],[SiteID]]&amp;"_"&amp;DO_DB[[#This Row],[Material Name]]</f>
        <v>CLR22-99-064_Pole 7M 3"</v>
      </c>
      <c r="Q723" t="str">
        <f>DO_DB[[#This Row],[DO Number]]</f>
        <v>DOEID23110964</v>
      </c>
      <c r="R723" t="str">
        <f>DO_DB[[#This Row],[DN Number]]</f>
        <v>DNWID0362023110902</v>
      </c>
    </row>
    <row r="724" spans="1:18">
      <c r="A724" t="s">
        <v>514</v>
      </c>
      <c r="B724" t="s">
        <v>515</v>
      </c>
      <c r="C724" s="172" t="s">
        <v>4482</v>
      </c>
      <c r="D724" t="s">
        <v>71</v>
      </c>
      <c r="E724" t="s">
        <v>135</v>
      </c>
      <c r="F724" t="s">
        <v>4498</v>
      </c>
      <c r="G724" t="s">
        <v>516</v>
      </c>
      <c r="H724" t="s">
        <v>517</v>
      </c>
      <c r="I724" s="130">
        <v>45240</v>
      </c>
      <c r="J724" t="s">
        <v>14</v>
      </c>
      <c r="K724">
        <v>1</v>
      </c>
      <c r="M7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24" t="str">
        <f>DO_DB[[#This Row],[Material Pick-update]]&amp;"_"&amp;DO_DB[[#This Row],[Material Name]]</f>
        <v>45240_FDT-48</v>
      </c>
      <c r="O724" t="str">
        <f>DO_DB[[#This Row],[SiteID]]</f>
        <v>CLR22-99-064</v>
      </c>
      <c r="P724" t="str">
        <f>DO_DB[[#This Row],[SiteID]]&amp;"_"&amp;DO_DB[[#This Row],[Material Name]]</f>
        <v>CLR22-99-064_FDT-48</v>
      </c>
      <c r="Q724" t="str">
        <f>DO_DB[[#This Row],[DO Number]]</f>
        <v>DOEID23110965</v>
      </c>
      <c r="R724" t="str">
        <f>DO_DB[[#This Row],[DN Number]]</f>
        <v>DNWID0342023110902</v>
      </c>
    </row>
    <row r="725" spans="1:18">
      <c r="A725" t="s">
        <v>518</v>
      </c>
      <c r="B725" t="s">
        <v>519</v>
      </c>
      <c r="C725" s="172" t="s">
        <v>4482</v>
      </c>
      <c r="D725" t="s">
        <v>71</v>
      </c>
      <c r="E725" t="s">
        <v>135</v>
      </c>
      <c r="F725" t="s">
        <v>4498</v>
      </c>
      <c r="G725" t="s">
        <v>530</v>
      </c>
      <c r="H725" t="s">
        <v>531</v>
      </c>
      <c r="I725" s="130">
        <v>45240</v>
      </c>
      <c r="J725" t="s">
        <v>3069</v>
      </c>
      <c r="K725">
        <v>16</v>
      </c>
      <c r="M7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25" t="str">
        <f>DO_DB[[#This Row],[Material Pick-update]]&amp;"_"&amp;DO_DB[[#This Row],[Material Name]]</f>
        <v>45240_Pole 7M 4"</v>
      </c>
      <c r="O725" t="str">
        <f>DO_DB[[#This Row],[SiteID]]</f>
        <v>CLR22-99-065</v>
      </c>
      <c r="P725" t="str">
        <f>DO_DB[[#This Row],[SiteID]]&amp;"_"&amp;DO_DB[[#This Row],[Material Name]]</f>
        <v>CLR22-99-065_Pole 7M 4"</v>
      </c>
      <c r="Q725" t="str">
        <f>DO_DB[[#This Row],[DO Number]]</f>
        <v>DOEID23110966</v>
      </c>
      <c r="R725" t="str">
        <f>DO_DB[[#This Row],[DN Number]]</f>
        <v>DNWID0362023110903</v>
      </c>
    </row>
    <row r="726" spans="1:18">
      <c r="A726" t="s">
        <v>518</v>
      </c>
      <c r="B726" t="s">
        <v>519</v>
      </c>
      <c r="C726" s="172" t="s">
        <v>4482</v>
      </c>
      <c r="D726" t="s">
        <v>71</v>
      </c>
      <c r="E726" t="s">
        <v>135</v>
      </c>
      <c r="F726" t="s">
        <v>4498</v>
      </c>
      <c r="G726" t="s">
        <v>530</v>
      </c>
      <c r="H726" t="s">
        <v>531</v>
      </c>
      <c r="I726" s="130">
        <v>45240</v>
      </c>
      <c r="J726" t="s">
        <v>3070</v>
      </c>
      <c r="K726">
        <v>3</v>
      </c>
      <c r="M7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26" t="str">
        <f>DO_DB[[#This Row],[Material Pick-update]]&amp;"_"&amp;DO_DB[[#This Row],[Material Name]]</f>
        <v>45240_Pole 7M 3"</v>
      </c>
      <c r="O726" t="str">
        <f>DO_DB[[#This Row],[SiteID]]</f>
        <v>CLR22-99-065</v>
      </c>
      <c r="P726" t="str">
        <f>DO_DB[[#This Row],[SiteID]]&amp;"_"&amp;DO_DB[[#This Row],[Material Name]]</f>
        <v>CLR22-99-065_Pole 7M 3"</v>
      </c>
      <c r="Q726" t="str">
        <f>DO_DB[[#This Row],[DO Number]]</f>
        <v>DOEID23110966</v>
      </c>
      <c r="R726" t="str">
        <f>DO_DB[[#This Row],[DN Number]]</f>
        <v>DNWID0362023110903</v>
      </c>
    </row>
    <row r="727" spans="1:18">
      <c r="A727" t="s">
        <v>518</v>
      </c>
      <c r="B727" t="s">
        <v>519</v>
      </c>
      <c r="C727" s="172" t="s">
        <v>4482</v>
      </c>
      <c r="D727" t="s">
        <v>71</v>
      </c>
      <c r="E727" t="s">
        <v>135</v>
      </c>
      <c r="F727" t="s">
        <v>4498</v>
      </c>
      <c r="G727" t="s">
        <v>520</v>
      </c>
      <c r="H727" t="s">
        <v>521</v>
      </c>
      <c r="I727" s="130">
        <v>45240</v>
      </c>
      <c r="J727" t="s">
        <v>15</v>
      </c>
      <c r="K727">
        <v>1</v>
      </c>
      <c r="M7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27" t="str">
        <f>DO_DB[[#This Row],[Material Pick-update]]&amp;"_"&amp;DO_DB[[#This Row],[Material Name]]</f>
        <v>45240_FDT-72</v>
      </c>
      <c r="O727" t="str">
        <f>DO_DB[[#This Row],[SiteID]]</f>
        <v>CLR22-99-065</v>
      </c>
      <c r="P727" t="str">
        <f>DO_DB[[#This Row],[SiteID]]&amp;"_"&amp;DO_DB[[#This Row],[Material Name]]</f>
        <v>CLR22-99-065_FDT-72</v>
      </c>
      <c r="Q727" t="str">
        <f>DO_DB[[#This Row],[DO Number]]</f>
        <v>DOEID23110967</v>
      </c>
      <c r="R727" t="str">
        <f>DO_DB[[#This Row],[DN Number]]</f>
        <v>DNWID0342023110903</v>
      </c>
    </row>
    <row r="728" spans="1:18">
      <c r="A728" t="s">
        <v>518</v>
      </c>
      <c r="B728" t="s">
        <v>519</v>
      </c>
      <c r="C728" s="172" t="s">
        <v>4482</v>
      </c>
      <c r="D728" t="s">
        <v>71</v>
      </c>
      <c r="E728" t="s">
        <v>135</v>
      </c>
      <c r="F728" t="s">
        <v>4498</v>
      </c>
      <c r="G728" t="s">
        <v>520</v>
      </c>
      <c r="H728" t="s">
        <v>521</v>
      </c>
      <c r="I728" s="130">
        <v>45240</v>
      </c>
      <c r="J728" t="s">
        <v>3080</v>
      </c>
      <c r="K728">
        <v>4</v>
      </c>
      <c r="M7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28" t="str">
        <f>DO_DB[[#This Row],[Material Pick-update]]&amp;"_"&amp;DO_DB[[#This Row],[Material Name]]</f>
        <v>45240_1:8 SPL for FDT-AE &amp; UG</v>
      </c>
      <c r="O728" t="str">
        <f>DO_DB[[#This Row],[SiteID]]</f>
        <v>CLR22-99-065</v>
      </c>
      <c r="P728" t="str">
        <f>DO_DB[[#This Row],[SiteID]]&amp;"_"&amp;DO_DB[[#This Row],[Material Name]]</f>
        <v>CLR22-99-065_1:8 SPL for FDT-AE &amp; UG</v>
      </c>
      <c r="Q728" t="str">
        <f>DO_DB[[#This Row],[DO Number]]</f>
        <v>DOEID23110967</v>
      </c>
      <c r="R728" t="str">
        <f>DO_DB[[#This Row],[DN Number]]</f>
        <v>DNWID0342023110903</v>
      </c>
    </row>
    <row r="729" spans="1:18">
      <c r="A729" t="s">
        <v>522</v>
      </c>
      <c r="B729" t="s">
        <v>523</v>
      </c>
      <c r="C729" s="172" t="s">
        <v>4482</v>
      </c>
      <c r="D729" t="s">
        <v>71</v>
      </c>
      <c r="E729" t="s">
        <v>135</v>
      </c>
      <c r="F729" t="s">
        <v>4498</v>
      </c>
      <c r="G729" t="s">
        <v>532</v>
      </c>
      <c r="H729" t="s">
        <v>533</v>
      </c>
      <c r="I729" s="130">
        <v>45240</v>
      </c>
      <c r="J729" t="s">
        <v>3069</v>
      </c>
      <c r="K729">
        <v>16</v>
      </c>
      <c r="M7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29" t="str">
        <f>DO_DB[[#This Row],[Material Pick-update]]&amp;"_"&amp;DO_DB[[#This Row],[Material Name]]</f>
        <v>45240_Pole 7M 4"</v>
      </c>
      <c r="O729" t="str">
        <f>DO_DB[[#This Row],[SiteID]]</f>
        <v>CLR22-99-066</v>
      </c>
      <c r="P729" t="str">
        <f>DO_DB[[#This Row],[SiteID]]&amp;"_"&amp;DO_DB[[#This Row],[Material Name]]</f>
        <v>CLR22-99-066_Pole 7M 4"</v>
      </c>
      <c r="Q729" t="str">
        <f>DO_DB[[#This Row],[DO Number]]</f>
        <v>DOEID23110968</v>
      </c>
      <c r="R729" t="str">
        <f>DO_DB[[#This Row],[DN Number]]</f>
        <v>DNWID0362023110904</v>
      </c>
    </row>
    <row r="730" spans="1:18">
      <c r="A730" t="s">
        <v>522</v>
      </c>
      <c r="B730" t="s">
        <v>523</v>
      </c>
      <c r="C730" s="172" t="s">
        <v>4482</v>
      </c>
      <c r="D730" t="s">
        <v>71</v>
      </c>
      <c r="E730" t="s">
        <v>135</v>
      </c>
      <c r="F730" t="s">
        <v>4498</v>
      </c>
      <c r="G730" t="s">
        <v>532</v>
      </c>
      <c r="H730" t="s">
        <v>533</v>
      </c>
      <c r="I730" s="130">
        <v>45240</v>
      </c>
      <c r="J730" t="s">
        <v>3070</v>
      </c>
      <c r="K730">
        <v>2</v>
      </c>
      <c r="M7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30" t="str">
        <f>DO_DB[[#This Row],[Material Pick-update]]&amp;"_"&amp;DO_DB[[#This Row],[Material Name]]</f>
        <v>45240_Pole 7M 3"</v>
      </c>
      <c r="O730" t="str">
        <f>DO_DB[[#This Row],[SiteID]]</f>
        <v>CLR22-99-066</v>
      </c>
      <c r="P730" t="str">
        <f>DO_DB[[#This Row],[SiteID]]&amp;"_"&amp;DO_DB[[#This Row],[Material Name]]</f>
        <v>CLR22-99-066_Pole 7M 3"</v>
      </c>
      <c r="Q730" t="str">
        <f>DO_DB[[#This Row],[DO Number]]</f>
        <v>DOEID23110968</v>
      </c>
      <c r="R730" t="str">
        <f>DO_DB[[#This Row],[DN Number]]</f>
        <v>DNWID0362023110904</v>
      </c>
    </row>
    <row r="731" spans="1:18">
      <c r="A731" t="s">
        <v>522</v>
      </c>
      <c r="B731" t="s">
        <v>523</v>
      </c>
      <c r="C731" s="172" t="s">
        <v>4482</v>
      </c>
      <c r="D731" t="s">
        <v>71</v>
      </c>
      <c r="E731" t="s">
        <v>135</v>
      </c>
      <c r="F731" t="s">
        <v>4498</v>
      </c>
      <c r="G731" t="s">
        <v>524</v>
      </c>
      <c r="H731" t="s">
        <v>525</v>
      </c>
      <c r="I731" s="130">
        <v>45240</v>
      </c>
      <c r="J731" t="s">
        <v>15</v>
      </c>
      <c r="K731">
        <v>1</v>
      </c>
      <c r="M7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31" t="str">
        <f>DO_DB[[#This Row],[Material Pick-update]]&amp;"_"&amp;DO_DB[[#This Row],[Material Name]]</f>
        <v>45240_FDT-72</v>
      </c>
      <c r="O731" t="str">
        <f>DO_DB[[#This Row],[SiteID]]</f>
        <v>CLR22-99-066</v>
      </c>
      <c r="P731" t="str">
        <f>DO_DB[[#This Row],[SiteID]]&amp;"_"&amp;DO_DB[[#This Row],[Material Name]]</f>
        <v>CLR22-99-066_FDT-72</v>
      </c>
      <c r="Q731" t="str">
        <f>DO_DB[[#This Row],[DO Number]]</f>
        <v>DOEID23110969</v>
      </c>
      <c r="R731" t="str">
        <f>DO_DB[[#This Row],[DN Number]]</f>
        <v>DNWID0342023110904</v>
      </c>
    </row>
    <row r="732" spans="1:18">
      <c r="A732" t="s">
        <v>522</v>
      </c>
      <c r="B732" t="s">
        <v>523</v>
      </c>
      <c r="C732" s="172" t="s">
        <v>4482</v>
      </c>
      <c r="D732" t="s">
        <v>71</v>
      </c>
      <c r="E732" t="s">
        <v>135</v>
      </c>
      <c r="F732" t="s">
        <v>4498</v>
      </c>
      <c r="G732" t="s">
        <v>524</v>
      </c>
      <c r="H732" t="s">
        <v>525</v>
      </c>
      <c r="I732" s="130">
        <v>45240</v>
      </c>
      <c r="J732" t="s">
        <v>3080</v>
      </c>
      <c r="K732">
        <v>4</v>
      </c>
      <c r="M7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32" t="str">
        <f>DO_DB[[#This Row],[Material Pick-update]]&amp;"_"&amp;DO_DB[[#This Row],[Material Name]]</f>
        <v>45240_1:8 SPL for FDT-AE &amp; UG</v>
      </c>
      <c r="O732" t="str">
        <f>DO_DB[[#This Row],[SiteID]]</f>
        <v>CLR22-99-066</v>
      </c>
      <c r="P732" t="str">
        <f>DO_DB[[#This Row],[SiteID]]&amp;"_"&amp;DO_DB[[#This Row],[Material Name]]</f>
        <v>CLR22-99-066_1:8 SPL for FDT-AE &amp; UG</v>
      </c>
      <c r="Q732" t="str">
        <f>DO_DB[[#This Row],[DO Number]]</f>
        <v>DOEID23110969</v>
      </c>
      <c r="R732" t="str">
        <f>DO_DB[[#This Row],[DN Number]]</f>
        <v>DNWID0342023110904</v>
      </c>
    </row>
    <row r="733" spans="1:18">
      <c r="A733" t="s">
        <v>510</v>
      </c>
      <c r="B733" t="s">
        <v>511</v>
      </c>
      <c r="C733" s="172" t="s">
        <v>4482</v>
      </c>
      <c r="D733" t="s">
        <v>71</v>
      </c>
      <c r="E733" t="s">
        <v>135</v>
      </c>
      <c r="F733" t="s">
        <v>4498</v>
      </c>
      <c r="G733" t="s">
        <v>512</v>
      </c>
      <c r="H733" t="s">
        <v>513</v>
      </c>
      <c r="I733" s="130">
        <v>45240</v>
      </c>
      <c r="J733" t="s">
        <v>3075</v>
      </c>
      <c r="K733">
        <v>3000</v>
      </c>
      <c r="M7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48C-20231110-01</v>
      </c>
      <c r="N733" t="str">
        <f>DO_DB[[#This Row],[Material Pick-update]]&amp;"_"&amp;DO_DB[[#This Row],[Material Name]]</f>
        <v>45240_ADSS 48C</v>
      </c>
      <c r="O733" t="str">
        <f>DO_DB[[#This Row],[SiteID]]</f>
        <v>CLR22-99-063</v>
      </c>
      <c r="P733" t="str">
        <f>DO_DB[[#This Row],[SiteID]]&amp;"_"&amp;DO_DB[[#This Row],[Material Name]]</f>
        <v>CLR22-99-063_ADSS 48C</v>
      </c>
      <c r="Q733" t="str">
        <f>DO_DB[[#This Row],[DO Number]]</f>
        <v>DOEID23110963</v>
      </c>
      <c r="R733" t="str">
        <f>DO_DB[[#This Row],[DN Number]]</f>
        <v>DNWID0342023110901</v>
      </c>
    </row>
    <row r="734" spans="1:18">
      <c r="A734" t="s">
        <v>514</v>
      </c>
      <c r="B734" t="s">
        <v>515</v>
      </c>
      <c r="C734" s="172" t="s">
        <v>4482</v>
      </c>
      <c r="D734" t="s">
        <v>71</v>
      </c>
      <c r="E734" t="s">
        <v>135</v>
      </c>
      <c r="F734" t="s">
        <v>4498</v>
      </c>
      <c r="G734" t="s">
        <v>516</v>
      </c>
      <c r="H734" t="s">
        <v>517</v>
      </c>
      <c r="I734" s="130">
        <v>45240</v>
      </c>
      <c r="J734" t="s">
        <v>3075</v>
      </c>
      <c r="K734">
        <v>3000</v>
      </c>
      <c r="M7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48C-20231110-01</v>
      </c>
      <c r="N734" t="str">
        <f>DO_DB[[#This Row],[Material Pick-update]]&amp;"_"&amp;DO_DB[[#This Row],[Material Name]]</f>
        <v>45240_ADSS 48C</v>
      </c>
      <c r="O734" t="str">
        <f>DO_DB[[#This Row],[SiteID]]</f>
        <v>CLR22-99-064</v>
      </c>
      <c r="P734" t="str">
        <f>DO_DB[[#This Row],[SiteID]]&amp;"_"&amp;DO_DB[[#This Row],[Material Name]]</f>
        <v>CLR22-99-064_ADSS 48C</v>
      </c>
      <c r="Q734" t="str">
        <f>DO_DB[[#This Row],[DO Number]]</f>
        <v>DOEID23110965</v>
      </c>
      <c r="R734" t="str">
        <f>DO_DB[[#This Row],[DN Number]]</f>
        <v>DNWID0342023110902</v>
      </c>
    </row>
    <row r="735" spans="1:18">
      <c r="A735" t="s">
        <v>522</v>
      </c>
      <c r="B735" t="s">
        <v>523</v>
      </c>
      <c r="C735" s="172" t="s">
        <v>4482</v>
      </c>
      <c r="D735" t="s">
        <v>71</v>
      </c>
      <c r="E735" t="s">
        <v>135</v>
      </c>
      <c r="F735" t="s">
        <v>4498</v>
      </c>
      <c r="G735" t="s">
        <v>524</v>
      </c>
      <c r="H735" t="s">
        <v>525</v>
      </c>
      <c r="I735" s="130">
        <v>45240</v>
      </c>
      <c r="J735" t="s">
        <v>3073</v>
      </c>
      <c r="K735">
        <v>3000</v>
      </c>
      <c r="M7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24C-20231110-01</v>
      </c>
      <c r="N735" t="str">
        <f>DO_DB[[#This Row],[Material Pick-update]]&amp;"_"&amp;DO_DB[[#This Row],[Material Name]]</f>
        <v>45240_ADSS 24C</v>
      </c>
      <c r="O735" t="str">
        <f>DO_DB[[#This Row],[SiteID]]</f>
        <v>CLR22-99-066</v>
      </c>
      <c r="P735" t="str">
        <f>DO_DB[[#This Row],[SiteID]]&amp;"_"&amp;DO_DB[[#This Row],[Material Name]]</f>
        <v>CLR22-99-066_ADSS 24C</v>
      </c>
      <c r="Q735" t="str">
        <f>DO_DB[[#This Row],[DO Number]]</f>
        <v>DOEID23110969</v>
      </c>
      <c r="R735" t="str">
        <f>DO_DB[[#This Row],[DN Number]]</f>
        <v>DNWID0342023110904</v>
      </c>
    </row>
    <row r="736" spans="1:18">
      <c r="A736" t="s">
        <v>626</v>
      </c>
      <c r="B736" t="s">
        <v>627</v>
      </c>
      <c r="C736" s="172" t="s">
        <v>4482</v>
      </c>
      <c r="D736" t="s">
        <v>71</v>
      </c>
      <c r="E736" t="s">
        <v>135</v>
      </c>
      <c r="F736" t="s">
        <v>4498</v>
      </c>
      <c r="G736" t="s">
        <v>630</v>
      </c>
      <c r="H736" t="s">
        <v>631</v>
      </c>
      <c r="I736" s="130">
        <v>45267</v>
      </c>
      <c r="J736" t="s">
        <v>3069</v>
      </c>
      <c r="K736">
        <v>79</v>
      </c>
      <c r="M7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36" t="str">
        <f>DO_DB[[#This Row],[Material Pick-update]]&amp;"_"&amp;DO_DB[[#This Row],[Material Name]]</f>
        <v>45267_Pole 7M 4"</v>
      </c>
      <c r="O736" t="str">
        <f>DO_DB[[#This Row],[SiteID]]</f>
        <v>MF22-05</v>
      </c>
      <c r="P736" t="str">
        <f>DO_DB[[#This Row],[SiteID]]&amp;"_"&amp;DO_DB[[#This Row],[Material Name]]</f>
        <v>MF22-05_Pole 7M 4"</v>
      </c>
      <c r="Q736" t="str">
        <f>DO_DB[[#This Row],[DO Number]]</f>
        <v>DOEID231205BY</v>
      </c>
      <c r="R736" t="str">
        <f>DO_DB[[#This Row],[DN Number]]</f>
        <v>DNWID0362023120601</v>
      </c>
    </row>
    <row r="737" spans="1:18">
      <c r="A737" t="s">
        <v>626</v>
      </c>
      <c r="B737" t="s">
        <v>627</v>
      </c>
      <c r="C737" s="172" t="s">
        <v>4482</v>
      </c>
      <c r="D737" t="s">
        <v>71</v>
      </c>
      <c r="E737" t="s">
        <v>135</v>
      </c>
      <c r="F737" t="s">
        <v>4498</v>
      </c>
      <c r="G737" t="s">
        <v>630</v>
      </c>
      <c r="H737" t="s">
        <v>631</v>
      </c>
      <c r="I737" s="130">
        <v>45267</v>
      </c>
      <c r="J737" t="s">
        <v>3071</v>
      </c>
      <c r="K737">
        <v>15</v>
      </c>
      <c r="M7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37" t="str">
        <f>DO_DB[[#This Row],[Material Pick-update]]&amp;"_"&amp;DO_DB[[#This Row],[Material Name]]</f>
        <v>45267_Pole 9M</v>
      </c>
      <c r="O737" t="str">
        <f>DO_DB[[#This Row],[SiteID]]</f>
        <v>MF22-05</v>
      </c>
      <c r="P737" t="str">
        <f>DO_DB[[#This Row],[SiteID]]&amp;"_"&amp;DO_DB[[#This Row],[Material Name]]</f>
        <v>MF22-05_Pole 9M</v>
      </c>
      <c r="Q737" t="str">
        <f>DO_DB[[#This Row],[DO Number]]</f>
        <v>DOEID231205BY</v>
      </c>
      <c r="R737" t="str">
        <f>DO_DB[[#This Row],[DN Number]]</f>
        <v>DNWID0362023120601</v>
      </c>
    </row>
    <row r="738" spans="1:18">
      <c r="A738" t="s">
        <v>626</v>
      </c>
      <c r="B738" t="s">
        <v>627</v>
      </c>
      <c r="C738" s="172" t="s">
        <v>4482</v>
      </c>
      <c r="D738" t="s">
        <v>71</v>
      </c>
      <c r="E738" t="s">
        <v>135</v>
      </c>
      <c r="F738" t="s">
        <v>4498</v>
      </c>
      <c r="G738" t="s">
        <v>628</v>
      </c>
      <c r="H738" t="s">
        <v>629</v>
      </c>
      <c r="I738" s="130">
        <v>45267</v>
      </c>
      <c r="J738" t="s">
        <v>3076</v>
      </c>
      <c r="K738">
        <v>6000</v>
      </c>
      <c r="M7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96C-2023127-01</v>
      </c>
      <c r="N738" t="str">
        <f>DO_DB[[#This Row],[Material Pick-update]]&amp;"_"&amp;DO_DB[[#This Row],[Material Name]]</f>
        <v>45267_ADSS 96C</v>
      </c>
      <c r="O738" t="str">
        <f>DO_DB[[#This Row],[SiteID]]</f>
        <v>MF22-05</v>
      </c>
      <c r="P738" t="str">
        <f>DO_DB[[#This Row],[SiteID]]&amp;"_"&amp;DO_DB[[#This Row],[Material Name]]</f>
        <v>MF22-05_ADSS 96C</v>
      </c>
      <c r="Q738" t="str">
        <f>DO_DB[[#This Row],[DO Number]]</f>
        <v>DOEID231205BZ</v>
      </c>
      <c r="R738" t="str">
        <f>DO_DB[[#This Row],[DN Number]]</f>
        <v>DNWID0342023120601</v>
      </c>
    </row>
    <row r="739" spans="1:18">
      <c r="A739" t="s">
        <v>675</v>
      </c>
      <c r="B739" t="s">
        <v>676</v>
      </c>
      <c r="C739" s="172" t="s">
        <v>4482</v>
      </c>
      <c r="D739" t="s">
        <v>71</v>
      </c>
      <c r="E739" t="s">
        <v>135</v>
      </c>
      <c r="F739" t="s">
        <v>4498</v>
      </c>
      <c r="G739" t="s">
        <v>699</v>
      </c>
      <c r="H739" t="s">
        <v>700</v>
      </c>
      <c r="I739" s="130">
        <v>45280</v>
      </c>
      <c r="J739" t="s">
        <v>3069</v>
      </c>
      <c r="K739">
        <v>14</v>
      </c>
      <c r="M7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39" t="str">
        <f>DO_DB[[#This Row],[Material Pick-update]]&amp;"_"&amp;DO_DB[[#This Row],[Material Name]]</f>
        <v>45280_Pole 7M 4"</v>
      </c>
      <c r="O739" t="str">
        <f>DO_DB[[#This Row],[SiteID]]</f>
        <v>CLR22-99-072</v>
      </c>
      <c r="P739" t="str">
        <f>DO_DB[[#This Row],[SiteID]]&amp;"_"&amp;DO_DB[[#This Row],[Material Name]]</f>
        <v>CLR22-99-072_Pole 7M 4"</v>
      </c>
      <c r="Q739" t="str">
        <f>DO_DB[[#This Row],[DO Number]]</f>
        <v>DOEID231218BJ</v>
      </c>
      <c r="R739" t="str">
        <f>DO_DB[[#This Row],[DN Number]]</f>
        <v>DNWID0362023121803</v>
      </c>
    </row>
    <row r="740" spans="1:18">
      <c r="A740" t="s">
        <v>675</v>
      </c>
      <c r="B740" t="s">
        <v>676</v>
      </c>
      <c r="C740" s="172" t="s">
        <v>4482</v>
      </c>
      <c r="D740" t="s">
        <v>71</v>
      </c>
      <c r="E740" t="s">
        <v>135</v>
      </c>
      <c r="F740" t="s">
        <v>4498</v>
      </c>
      <c r="G740" t="s">
        <v>699</v>
      </c>
      <c r="H740" t="s">
        <v>700</v>
      </c>
      <c r="I740" s="130">
        <v>45280</v>
      </c>
      <c r="J740" t="s">
        <v>3070</v>
      </c>
      <c r="K740">
        <v>3</v>
      </c>
      <c r="M7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40" t="str">
        <f>DO_DB[[#This Row],[Material Pick-update]]&amp;"_"&amp;DO_DB[[#This Row],[Material Name]]</f>
        <v>45280_Pole 7M 3"</v>
      </c>
      <c r="O740" t="str">
        <f>DO_DB[[#This Row],[SiteID]]</f>
        <v>CLR22-99-072</v>
      </c>
      <c r="P740" t="str">
        <f>DO_DB[[#This Row],[SiteID]]&amp;"_"&amp;DO_DB[[#This Row],[Material Name]]</f>
        <v>CLR22-99-072_Pole 7M 3"</v>
      </c>
      <c r="Q740" t="str">
        <f>DO_DB[[#This Row],[DO Number]]</f>
        <v>DOEID231218BJ</v>
      </c>
      <c r="R740" t="str">
        <f>DO_DB[[#This Row],[DN Number]]</f>
        <v>DNWID0362023121803</v>
      </c>
    </row>
    <row r="741" spans="1:18">
      <c r="A741" t="s">
        <v>675</v>
      </c>
      <c r="B741" t="s">
        <v>676</v>
      </c>
      <c r="C741" s="172" t="s">
        <v>4482</v>
      </c>
      <c r="D741" t="s">
        <v>71</v>
      </c>
      <c r="E741" t="s">
        <v>135</v>
      </c>
      <c r="F741" t="s">
        <v>4498</v>
      </c>
      <c r="G741" t="s">
        <v>699</v>
      </c>
      <c r="H741" t="s">
        <v>700</v>
      </c>
      <c r="I741" s="130">
        <v>45280</v>
      </c>
      <c r="J741" t="s">
        <v>4856</v>
      </c>
      <c r="K741">
        <v>1</v>
      </c>
      <c r="M7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41" t="str">
        <f>DO_DB[[#This Row],[Material Pick-update]]&amp;"_"&amp;DO_DB[[#This Row],[Material Name]]</f>
        <v>45280_JC 144Core</v>
      </c>
      <c r="O741" t="str">
        <f>DO_DB[[#This Row],[SiteID]]</f>
        <v>CLR22-99-072</v>
      </c>
      <c r="P741" t="str">
        <f>DO_DB[[#This Row],[SiteID]]&amp;"_"&amp;DO_DB[[#This Row],[Material Name]]</f>
        <v>CLR22-99-072_JC 144Core</v>
      </c>
      <c r="Q741" t="str">
        <f>DO_DB[[#This Row],[DO Number]]</f>
        <v>DOEID231218BJ</v>
      </c>
      <c r="R741" t="str">
        <f>DO_DB[[#This Row],[DN Number]]</f>
        <v>DNWID0362023121803</v>
      </c>
    </row>
    <row r="742" spans="1:18">
      <c r="A742" t="s">
        <v>675</v>
      </c>
      <c r="B742" t="s">
        <v>676</v>
      </c>
      <c r="C742" s="172" t="s">
        <v>4482</v>
      </c>
      <c r="D742" t="s">
        <v>71</v>
      </c>
      <c r="E742" t="s">
        <v>135</v>
      </c>
      <c r="F742" t="s">
        <v>4498</v>
      </c>
      <c r="G742" t="s">
        <v>687</v>
      </c>
      <c r="H742" t="s">
        <v>688</v>
      </c>
      <c r="I742" s="130">
        <v>45280</v>
      </c>
      <c r="J742" t="s">
        <v>14</v>
      </c>
      <c r="K742">
        <v>1</v>
      </c>
      <c r="M7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42" t="str">
        <f>DO_DB[[#This Row],[Material Pick-update]]&amp;"_"&amp;DO_DB[[#This Row],[Material Name]]</f>
        <v>45280_FDT-48</v>
      </c>
      <c r="O742" t="str">
        <f>DO_DB[[#This Row],[SiteID]]</f>
        <v>CLR22-99-072</v>
      </c>
      <c r="P742" t="str">
        <f>DO_DB[[#This Row],[SiteID]]&amp;"_"&amp;DO_DB[[#This Row],[Material Name]]</f>
        <v>CLR22-99-072_FDT-48</v>
      </c>
      <c r="Q742" t="str">
        <f>DO_DB[[#This Row],[DO Number]]</f>
        <v>DOEID231218BK</v>
      </c>
      <c r="R742" t="str">
        <f>DO_DB[[#This Row],[DN Number]]</f>
        <v>DNWID0342023121812</v>
      </c>
    </row>
    <row r="743" spans="1:18">
      <c r="A743" t="s">
        <v>681</v>
      </c>
      <c r="B743" t="s">
        <v>682</v>
      </c>
      <c r="C743" s="172" t="s">
        <v>4482</v>
      </c>
      <c r="D743" t="s">
        <v>71</v>
      </c>
      <c r="E743" t="s">
        <v>135</v>
      </c>
      <c r="F743" t="s">
        <v>4498</v>
      </c>
      <c r="G743" t="s">
        <v>697</v>
      </c>
      <c r="H743" t="s">
        <v>698</v>
      </c>
      <c r="I743" s="130">
        <v>45280</v>
      </c>
      <c r="J743" t="s">
        <v>3069</v>
      </c>
      <c r="K743">
        <v>13</v>
      </c>
      <c r="M7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43" t="str">
        <f>DO_DB[[#This Row],[Material Pick-update]]&amp;"_"&amp;DO_DB[[#This Row],[Material Name]]</f>
        <v>45280_Pole 7M 4"</v>
      </c>
      <c r="O743" t="str">
        <f>DO_DB[[#This Row],[SiteID]]</f>
        <v>CLR22-99-073</v>
      </c>
      <c r="P743" t="str">
        <f>DO_DB[[#This Row],[SiteID]]&amp;"_"&amp;DO_DB[[#This Row],[Material Name]]</f>
        <v>CLR22-99-073_Pole 7M 4"</v>
      </c>
      <c r="Q743" t="str">
        <f>DO_DB[[#This Row],[DO Number]]</f>
        <v>DOEID231218BL</v>
      </c>
      <c r="R743" t="str">
        <f>DO_DB[[#This Row],[DN Number]]</f>
        <v>DNWID0362023121804</v>
      </c>
    </row>
    <row r="744" spans="1:18">
      <c r="A744" t="s">
        <v>681</v>
      </c>
      <c r="B744" t="s">
        <v>682</v>
      </c>
      <c r="C744" s="172" t="s">
        <v>4482</v>
      </c>
      <c r="D744" t="s">
        <v>71</v>
      </c>
      <c r="E744" t="s">
        <v>135</v>
      </c>
      <c r="F744" t="s">
        <v>4498</v>
      </c>
      <c r="G744" t="s">
        <v>697</v>
      </c>
      <c r="H744" t="s">
        <v>698</v>
      </c>
      <c r="I744" s="130">
        <v>45280</v>
      </c>
      <c r="J744" t="s">
        <v>3070</v>
      </c>
      <c r="K744">
        <v>1</v>
      </c>
      <c r="M7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44" t="str">
        <f>DO_DB[[#This Row],[Material Pick-update]]&amp;"_"&amp;DO_DB[[#This Row],[Material Name]]</f>
        <v>45280_Pole 7M 3"</v>
      </c>
      <c r="O744" t="str">
        <f>DO_DB[[#This Row],[SiteID]]</f>
        <v>CLR22-99-073</v>
      </c>
      <c r="P744" t="str">
        <f>DO_DB[[#This Row],[SiteID]]&amp;"_"&amp;DO_DB[[#This Row],[Material Name]]</f>
        <v>CLR22-99-073_Pole 7M 3"</v>
      </c>
      <c r="Q744" t="str">
        <f>DO_DB[[#This Row],[DO Number]]</f>
        <v>DOEID231218BL</v>
      </c>
      <c r="R744" t="str">
        <f>DO_DB[[#This Row],[DN Number]]</f>
        <v>DNWID0362023121804</v>
      </c>
    </row>
    <row r="745" spans="1:18">
      <c r="A745" t="s">
        <v>691</v>
      </c>
      <c r="B745" t="s">
        <v>692</v>
      </c>
      <c r="C745" s="172" t="s">
        <v>4482</v>
      </c>
      <c r="D745" t="s">
        <v>71</v>
      </c>
      <c r="E745" t="s">
        <v>135</v>
      </c>
      <c r="F745" t="s">
        <v>4498</v>
      </c>
      <c r="G745" t="s">
        <v>693</v>
      </c>
      <c r="H745" t="s">
        <v>694</v>
      </c>
      <c r="I745" s="130">
        <v>45280</v>
      </c>
      <c r="J745" t="s">
        <v>3069</v>
      </c>
      <c r="K745">
        <v>22</v>
      </c>
      <c r="M7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45" t="str">
        <f>DO_DB[[#This Row],[Material Pick-update]]&amp;"_"&amp;DO_DB[[#This Row],[Material Name]]</f>
        <v>45280_Pole 7M 4"</v>
      </c>
      <c r="O745" t="str">
        <f>DO_DB[[#This Row],[SiteID]]</f>
        <v>CLR22-99-074</v>
      </c>
      <c r="P745" t="str">
        <f>DO_DB[[#This Row],[SiteID]]&amp;"_"&amp;DO_DB[[#This Row],[Material Name]]</f>
        <v>CLR22-99-074_Pole 7M 4"</v>
      </c>
      <c r="Q745" t="str">
        <f>DO_DB[[#This Row],[DO Number]]</f>
        <v>DOEID231218BM</v>
      </c>
      <c r="R745" t="str">
        <f>DO_DB[[#This Row],[DN Number]]</f>
        <v>DNWID0362023121805</v>
      </c>
    </row>
    <row r="746" spans="1:18">
      <c r="A746" t="s">
        <v>691</v>
      </c>
      <c r="B746" t="s">
        <v>692</v>
      </c>
      <c r="C746" s="172" t="s">
        <v>4482</v>
      </c>
      <c r="D746" t="s">
        <v>71</v>
      </c>
      <c r="E746" t="s">
        <v>135</v>
      </c>
      <c r="F746" t="s">
        <v>4498</v>
      </c>
      <c r="G746" t="s">
        <v>693</v>
      </c>
      <c r="H746" t="s">
        <v>694</v>
      </c>
      <c r="I746" s="130">
        <v>45280</v>
      </c>
      <c r="J746" t="s">
        <v>3070</v>
      </c>
      <c r="K746">
        <v>1</v>
      </c>
      <c r="M7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46" t="str">
        <f>DO_DB[[#This Row],[Material Pick-update]]&amp;"_"&amp;DO_DB[[#This Row],[Material Name]]</f>
        <v>45280_Pole 7M 3"</v>
      </c>
      <c r="O746" t="str">
        <f>DO_DB[[#This Row],[SiteID]]</f>
        <v>CLR22-99-074</v>
      </c>
      <c r="P746" t="str">
        <f>DO_DB[[#This Row],[SiteID]]&amp;"_"&amp;DO_DB[[#This Row],[Material Name]]</f>
        <v>CLR22-99-074_Pole 7M 3"</v>
      </c>
      <c r="Q746" t="str">
        <f>DO_DB[[#This Row],[DO Number]]</f>
        <v>DOEID231218BM</v>
      </c>
      <c r="R746" t="str">
        <f>DO_DB[[#This Row],[DN Number]]</f>
        <v>DNWID0362023121805</v>
      </c>
    </row>
    <row r="747" spans="1:18">
      <c r="A747" t="s">
        <v>671</v>
      </c>
      <c r="B747" t="s">
        <v>672</v>
      </c>
      <c r="C747" s="172" t="s">
        <v>4482</v>
      </c>
      <c r="D747" t="s">
        <v>71</v>
      </c>
      <c r="E747" t="s">
        <v>135</v>
      </c>
      <c r="F747" t="s">
        <v>4498</v>
      </c>
      <c r="G747" t="s">
        <v>689</v>
      </c>
      <c r="H747" t="s">
        <v>690</v>
      </c>
      <c r="I747" s="130">
        <v>45280</v>
      </c>
      <c r="J747" t="s">
        <v>3069</v>
      </c>
      <c r="K747">
        <v>47</v>
      </c>
      <c r="M7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47" t="str">
        <f>DO_DB[[#This Row],[Material Pick-update]]&amp;"_"&amp;DO_DB[[#This Row],[Material Name]]</f>
        <v>45280_Pole 7M 4"</v>
      </c>
      <c r="O747" t="str">
        <f>DO_DB[[#This Row],[SiteID]]</f>
        <v>CLR22-99-007</v>
      </c>
      <c r="P747" t="str">
        <f>DO_DB[[#This Row],[SiteID]]&amp;"_"&amp;DO_DB[[#This Row],[Material Name]]</f>
        <v>CLR22-99-007_Pole 7M 4"</v>
      </c>
      <c r="Q747" t="str">
        <f>DO_DB[[#This Row],[DO Number]]</f>
        <v>DOEID231218BN</v>
      </c>
      <c r="R747" t="str">
        <f>DO_DB[[#This Row],[DN Number]]</f>
        <v>DNWID0362023121806</v>
      </c>
    </row>
    <row r="748" spans="1:18">
      <c r="A748" t="s">
        <v>671</v>
      </c>
      <c r="B748" t="s">
        <v>672</v>
      </c>
      <c r="C748" s="172" t="s">
        <v>4482</v>
      </c>
      <c r="D748" t="s">
        <v>71</v>
      </c>
      <c r="E748" t="s">
        <v>135</v>
      </c>
      <c r="F748" t="s">
        <v>4498</v>
      </c>
      <c r="G748" t="s">
        <v>689</v>
      </c>
      <c r="H748" t="s">
        <v>690</v>
      </c>
      <c r="I748" s="130">
        <v>45280</v>
      </c>
      <c r="J748" t="s">
        <v>3070</v>
      </c>
      <c r="K748">
        <v>7</v>
      </c>
      <c r="M7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48" t="str">
        <f>DO_DB[[#This Row],[Material Pick-update]]&amp;"_"&amp;DO_DB[[#This Row],[Material Name]]</f>
        <v>45280_Pole 7M 3"</v>
      </c>
      <c r="O748" t="str">
        <f>DO_DB[[#This Row],[SiteID]]</f>
        <v>CLR22-99-007</v>
      </c>
      <c r="P748" t="str">
        <f>DO_DB[[#This Row],[SiteID]]&amp;"_"&amp;DO_DB[[#This Row],[Material Name]]</f>
        <v>CLR22-99-007_Pole 7M 3"</v>
      </c>
      <c r="Q748" t="str">
        <f>DO_DB[[#This Row],[DO Number]]</f>
        <v>DOEID231218BN</v>
      </c>
      <c r="R748" t="str">
        <f>DO_DB[[#This Row],[DN Number]]</f>
        <v>DNWID0362023121806</v>
      </c>
    </row>
    <row r="749" spans="1:18">
      <c r="A749" t="s">
        <v>671</v>
      </c>
      <c r="B749" t="s">
        <v>672</v>
      </c>
      <c r="C749" s="172" t="s">
        <v>4482</v>
      </c>
      <c r="D749" t="s">
        <v>71</v>
      </c>
      <c r="E749" t="s">
        <v>135</v>
      </c>
      <c r="F749" t="s">
        <v>4498</v>
      </c>
      <c r="G749" t="s">
        <v>689</v>
      </c>
      <c r="H749" t="s">
        <v>690</v>
      </c>
      <c r="I749" s="130">
        <v>45280</v>
      </c>
      <c r="J749" t="s">
        <v>4856</v>
      </c>
      <c r="K749">
        <v>1</v>
      </c>
      <c r="M7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49" t="str">
        <f>DO_DB[[#This Row],[Material Pick-update]]&amp;"_"&amp;DO_DB[[#This Row],[Material Name]]</f>
        <v>45280_JC 144Core</v>
      </c>
      <c r="O749" t="str">
        <f>DO_DB[[#This Row],[SiteID]]</f>
        <v>CLR22-99-007</v>
      </c>
      <c r="P749" t="str">
        <f>DO_DB[[#This Row],[SiteID]]&amp;"_"&amp;DO_DB[[#This Row],[Material Name]]</f>
        <v>CLR22-99-007_JC 144Core</v>
      </c>
      <c r="Q749" t="str">
        <f>DO_DB[[#This Row],[DO Number]]</f>
        <v>DOEID231218BN</v>
      </c>
      <c r="R749" t="str">
        <f>DO_DB[[#This Row],[DN Number]]</f>
        <v>DNWID0362023121806</v>
      </c>
    </row>
    <row r="750" spans="1:18">
      <c r="A750" t="s">
        <v>671</v>
      </c>
      <c r="B750" t="s">
        <v>672</v>
      </c>
      <c r="C750" s="172" t="s">
        <v>4482</v>
      </c>
      <c r="D750" t="s">
        <v>71</v>
      </c>
      <c r="E750" t="s">
        <v>135</v>
      </c>
      <c r="F750" t="s">
        <v>4498</v>
      </c>
      <c r="G750" t="s">
        <v>685</v>
      </c>
      <c r="H750" t="s">
        <v>686</v>
      </c>
      <c r="I750" s="130">
        <v>45280</v>
      </c>
      <c r="J750" t="s">
        <v>14</v>
      </c>
      <c r="K750">
        <v>1</v>
      </c>
      <c r="M7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50" t="str">
        <f>DO_DB[[#This Row],[Material Pick-update]]&amp;"_"&amp;DO_DB[[#This Row],[Material Name]]</f>
        <v>45280_FDT-48</v>
      </c>
      <c r="O750" t="str">
        <f>DO_DB[[#This Row],[SiteID]]</f>
        <v>CLR22-99-007</v>
      </c>
      <c r="P750" t="str">
        <f>DO_DB[[#This Row],[SiteID]]&amp;"_"&amp;DO_DB[[#This Row],[Material Name]]</f>
        <v>CLR22-99-007_FDT-48</v>
      </c>
      <c r="Q750" t="str">
        <f>DO_DB[[#This Row],[DO Number]]</f>
        <v>DOEID231218BO</v>
      </c>
      <c r="R750" t="str">
        <f>DO_DB[[#This Row],[DN Number]]</f>
        <v>DNWID0342023121813</v>
      </c>
    </row>
    <row r="751" spans="1:18">
      <c r="A751" t="s">
        <v>675</v>
      </c>
      <c r="B751" t="s">
        <v>676</v>
      </c>
      <c r="C751" s="172" t="s">
        <v>4482</v>
      </c>
      <c r="D751" t="s">
        <v>71</v>
      </c>
      <c r="E751" t="s">
        <v>135</v>
      </c>
      <c r="F751" t="s">
        <v>4498</v>
      </c>
      <c r="G751" t="s">
        <v>677</v>
      </c>
      <c r="H751" t="s">
        <v>678</v>
      </c>
      <c r="I751" s="130">
        <v>45280</v>
      </c>
      <c r="J751" t="s">
        <v>13</v>
      </c>
      <c r="K751">
        <v>12</v>
      </c>
      <c r="M7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51" t="str">
        <f>DO_DB[[#This Row],[Material Pick-update]]&amp;"_"&amp;DO_DB[[#This Row],[Material Name]]</f>
        <v>45280_FAT-16</v>
      </c>
      <c r="O751" t="str">
        <f>DO_DB[[#This Row],[SiteID]]</f>
        <v>CLR22-99-072</v>
      </c>
      <c r="P751" t="str">
        <f>DO_DB[[#This Row],[SiteID]]&amp;"_"&amp;DO_DB[[#This Row],[Material Name]]</f>
        <v>CLR22-99-072_FAT-16</v>
      </c>
      <c r="Q751" t="str">
        <f>DO_DB[[#This Row],[DO Number]]</f>
        <v>DOEID231219A0</v>
      </c>
      <c r="R751" t="str">
        <f>DO_DB[[#This Row],[DN Number]]</f>
        <v>DNWID0342023121906</v>
      </c>
    </row>
    <row r="752" spans="1:18">
      <c r="A752" t="s">
        <v>681</v>
      </c>
      <c r="B752" t="s">
        <v>682</v>
      </c>
      <c r="C752" s="172" t="s">
        <v>4482</v>
      </c>
      <c r="D752" t="s">
        <v>71</v>
      </c>
      <c r="E752" t="s">
        <v>135</v>
      </c>
      <c r="F752" t="s">
        <v>4498</v>
      </c>
      <c r="G752" t="s">
        <v>683</v>
      </c>
      <c r="H752" t="s">
        <v>684</v>
      </c>
      <c r="I752" s="130">
        <v>45280</v>
      </c>
      <c r="J752" t="s">
        <v>13</v>
      </c>
      <c r="K752">
        <v>9</v>
      </c>
      <c r="M7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52" t="str">
        <f>DO_DB[[#This Row],[Material Pick-update]]&amp;"_"&amp;DO_DB[[#This Row],[Material Name]]</f>
        <v>45280_FAT-16</v>
      </c>
      <c r="O752" t="str">
        <f>DO_DB[[#This Row],[SiteID]]</f>
        <v>CLR22-99-073</v>
      </c>
      <c r="P752" t="str">
        <f>DO_DB[[#This Row],[SiteID]]&amp;"_"&amp;DO_DB[[#This Row],[Material Name]]</f>
        <v>CLR22-99-073_FAT-16</v>
      </c>
      <c r="Q752" t="str">
        <f>DO_DB[[#This Row],[DO Number]]</f>
        <v>DOEID231219A1</v>
      </c>
      <c r="R752" t="str">
        <f>DO_DB[[#This Row],[DN Number]]</f>
        <v>DNWID0342023121908</v>
      </c>
    </row>
    <row r="753" spans="1:18">
      <c r="A753" t="s">
        <v>691</v>
      </c>
      <c r="B753" t="s">
        <v>692</v>
      </c>
      <c r="C753" s="172" t="s">
        <v>4482</v>
      </c>
      <c r="D753" t="s">
        <v>71</v>
      </c>
      <c r="E753" t="s">
        <v>135</v>
      </c>
      <c r="F753" t="s">
        <v>4498</v>
      </c>
      <c r="G753" t="s">
        <v>705</v>
      </c>
      <c r="H753" t="s">
        <v>706</v>
      </c>
      <c r="I753" s="130">
        <v>45280</v>
      </c>
      <c r="J753" t="s">
        <v>13</v>
      </c>
      <c r="K753">
        <v>10</v>
      </c>
      <c r="M7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53" t="str">
        <f>DO_DB[[#This Row],[Material Pick-update]]&amp;"_"&amp;DO_DB[[#This Row],[Material Name]]</f>
        <v>45280_FAT-16</v>
      </c>
      <c r="O753" t="str">
        <f>DO_DB[[#This Row],[SiteID]]</f>
        <v>CLR22-99-074</v>
      </c>
      <c r="P753" t="str">
        <f>DO_DB[[#This Row],[SiteID]]&amp;"_"&amp;DO_DB[[#This Row],[Material Name]]</f>
        <v>CLR22-99-074_FAT-16</v>
      </c>
      <c r="Q753" t="str">
        <f>DO_DB[[#This Row],[DO Number]]</f>
        <v>DOEiD231219A7</v>
      </c>
      <c r="R753" t="str">
        <f>DO_DB[[#This Row],[DN Number]]</f>
        <v>DNWID0342023121909</v>
      </c>
    </row>
    <row r="754" spans="1:18">
      <c r="A754" t="s">
        <v>671</v>
      </c>
      <c r="B754" t="s">
        <v>672</v>
      </c>
      <c r="C754" s="172" t="s">
        <v>4482</v>
      </c>
      <c r="D754" t="s">
        <v>71</v>
      </c>
      <c r="E754" t="s">
        <v>135</v>
      </c>
      <c r="F754" t="s">
        <v>4498</v>
      </c>
      <c r="G754" t="s">
        <v>673</v>
      </c>
      <c r="H754" t="s">
        <v>674</v>
      </c>
      <c r="I754" s="130">
        <v>45280</v>
      </c>
      <c r="J754" t="s">
        <v>13</v>
      </c>
      <c r="K754">
        <v>15</v>
      </c>
      <c r="M7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54" t="str">
        <f>DO_DB[[#This Row],[Material Pick-update]]&amp;"_"&amp;DO_DB[[#This Row],[Material Name]]</f>
        <v>45280_FAT-16</v>
      </c>
      <c r="O754" t="str">
        <f>DO_DB[[#This Row],[SiteID]]</f>
        <v>CLR22-99-007</v>
      </c>
      <c r="P754" t="str">
        <f>DO_DB[[#This Row],[SiteID]]&amp;"_"&amp;DO_DB[[#This Row],[Material Name]]</f>
        <v>CLR22-99-007_FAT-16</v>
      </c>
      <c r="Q754" t="str">
        <f>DO_DB[[#This Row],[DO Number]]</f>
        <v>DOEID231219AA</v>
      </c>
      <c r="R754" t="str">
        <f>DO_DB[[#This Row],[DN Number]]</f>
        <v>DNWID0342023121910</v>
      </c>
    </row>
    <row r="755" spans="1:18">
      <c r="A755" t="s">
        <v>510</v>
      </c>
      <c r="B755" t="s">
        <v>511</v>
      </c>
      <c r="C755" s="172" t="s">
        <v>4482</v>
      </c>
      <c r="D755" t="s">
        <v>71</v>
      </c>
      <c r="E755" t="s">
        <v>135</v>
      </c>
      <c r="F755" t="s">
        <v>4498</v>
      </c>
      <c r="G755" t="s">
        <v>679</v>
      </c>
      <c r="H755" t="s">
        <v>680</v>
      </c>
      <c r="I755" s="130">
        <v>45280</v>
      </c>
      <c r="J755" t="s">
        <v>13</v>
      </c>
      <c r="K755">
        <v>13</v>
      </c>
      <c r="M7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55" t="str">
        <f>DO_DB[[#This Row],[Material Pick-update]]&amp;"_"&amp;DO_DB[[#This Row],[Material Name]]</f>
        <v>45280_FAT-16</v>
      </c>
      <c r="O755" t="str">
        <f>DO_DB[[#This Row],[SiteID]]</f>
        <v>CLR22-99-063</v>
      </c>
      <c r="P755" t="str">
        <f>DO_DB[[#This Row],[SiteID]]&amp;"_"&amp;DO_DB[[#This Row],[Material Name]]</f>
        <v>CLR22-99-063_FAT-16</v>
      </c>
      <c r="Q755" t="str">
        <f>DO_DB[[#This Row],[DO Number]]</f>
        <v>DOEID231219AL</v>
      </c>
      <c r="R755" t="str">
        <f>DO_DB[[#This Row],[DN Number]]</f>
        <v>DNWID0342023121915</v>
      </c>
    </row>
    <row r="756" spans="1:18">
      <c r="A756" t="s">
        <v>514</v>
      </c>
      <c r="B756" t="s">
        <v>515</v>
      </c>
      <c r="C756" s="172" t="s">
        <v>4482</v>
      </c>
      <c r="D756" t="s">
        <v>71</v>
      </c>
      <c r="E756" t="s">
        <v>135</v>
      </c>
      <c r="F756" t="s">
        <v>4498</v>
      </c>
      <c r="G756" t="s">
        <v>701</v>
      </c>
      <c r="H756" t="s">
        <v>702</v>
      </c>
      <c r="I756" s="130">
        <v>45280</v>
      </c>
      <c r="J756" t="s">
        <v>13</v>
      </c>
      <c r="K756">
        <v>11</v>
      </c>
      <c r="M7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56" t="str">
        <f>DO_DB[[#This Row],[Material Pick-update]]&amp;"_"&amp;DO_DB[[#This Row],[Material Name]]</f>
        <v>45280_FAT-16</v>
      </c>
      <c r="O756" t="str">
        <f>DO_DB[[#This Row],[SiteID]]</f>
        <v>CLR22-99-064</v>
      </c>
      <c r="P756" t="str">
        <f>DO_DB[[#This Row],[SiteID]]&amp;"_"&amp;DO_DB[[#This Row],[Material Name]]</f>
        <v>CLR22-99-064_FAT-16</v>
      </c>
      <c r="Q756" t="str">
        <f>DO_DB[[#This Row],[DO Number]]</f>
        <v>DOEID231219AN</v>
      </c>
      <c r="R756" t="str">
        <f>DO_DB[[#This Row],[DN Number]]</f>
        <v>DNWID0342023121920</v>
      </c>
    </row>
    <row r="757" spans="1:18">
      <c r="A757" t="s">
        <v>518</v>
      </c>
      <c r="B757" t="s">
        <v>519</v>
      </c>
      <c r="C757" s="172" t="s">
        <v>4482</v>
      </c>
      <c r="D757" t="s">
        <v>71</v>
      </c>
      <c r="E757" t="s">
        <v>135</v>
      </c>
      <c r="F757" t="s">
        <v>4498</v>
      </c>
      <c r="G757" t="s">
        <v>703</v>
      </c>
      <c r="H757" t="s">
        <v>704</v>
      </c>
      <c r="I757" s="130">
        <v>45280</v>
      </c>
      <c r="J757" t="s">
        <v>13</v>
      </c>
      <c r="K757">
        <v>10</v>
      </c>
      <c r="M7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57" t="str">
        <f>DO_DB[[#This Row],[Material Pick-update]]&amp;"_"&amp;DO_DB[[#This Row],[Material Name]]</f>
        <v>45280_FAT-16</v>
      </c>
      <c r="O757" t="str">
        <f>DO_DB[[#This Row],[SiteID]]</f>
        <v>CLR22-99-065</v>
      </c>
      <c r="P757" t="str">
        <f>DO_DB[[#This Row],[SiteID]]&amp;"_"&amp;DO_DB[[#This Row],[Material Name]]</f>
        <v>CLR22-99-065_FAT-16</v>
      </c>
      <c r="Q757" t="str">
        <f>DO_DB[[#This Row],[DO Number]]</f>
        <v>DOEID231219AO</v>
      </c>
      <c r="R757" t="str">
        <f>DO_DB[[#This Row],[DN Number]]</f>
        <v>DNWID0342023121916</v>
      </c>
    </row>
    <row r="758" spans="1:18">
      <c r="A758" t="s">
        <v>522</v>
      </c>
      <c r="B758" t="s">
        <v>523</v>
      </c>
      <c r="C758" s="172" t="s">
        <v>4482</v>
      </c>
      <c r="D758" t="s">
        <v>71</v>
      </c>
      <c r="E758" t="s">
        <v>135</v>
      </c>
      <c r="F758" t="s">
        <v>4498</v>
      </c>
      <c r="G758" t="s">
        <v>695</v>
      </c>
      <c r="H758" t="s">
        <v>696</v>
      </c>
      <c r="I758" s="130">
        <v>45280</v>
      </c>
      <c r="J758" t="s">
        <v>13</v>
      </c>
      <c r="K758">
        <v>11</v>
      </c>
      <c r="M7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58" t="str">
        <f>DO_DB[[#This Row],[Material Pick-update]]&amp;"_"&amp;DO_DB[[#This Row],[Material Name]]</f>
        <v>45280_FAT-16</v>
      </c>
      <c r="O758" t="str">
        <f>DO_DB[[#This Row],[SiteID]]</f>
        <v>CLR22-99-066</v>
      </c>
      <c r="P758" t="str">
        <f>DO_DB[[#This Row],[SiteID]]&amp;"_"&amp;DO_DB[[#This Row],[Material Name]]</f>
        <v>CLR22-99-066_FAT-16</v>
      </c>
      <c r="Q758" t="str">
        <f>DO_DB[[#This Row],[DO Number]]</f>
        <v>DOEID231219AQ</v>
      </c>
      <c r="R758" t="str">
        <f>DO_DB[[#This Row],[DN Number]]</f>
        <v>DNWID0342023121921</v>
      </c>
    </row>
    <row r="759" spans="1:18">
      <c r="A759" t="s">
        <v>671</v>
      </c>
      <c r="B759" t="s">
        <v>672</v>
      </c>
      <c r="C759" s="172" t="s">
        <v>4482</v>
      </c>
      <c r="D759" t="s">
        <v>71</v>
      </c>
      <c r="E759" t="s">
        <v>135</v>
      </c>
      <c r="F759" t="s">
        <v>4498</v>
      </c>
      <c r="G759" t="s">
        <v>685</v>
      </c>
      <c r="H759" t="s">
        <v>686</v>
      </c>
      <c r="I759" s="130">
        <v>45280</v>
      </c>
      <c r="J759" t="s">
        <v>3075</v>
      </c>
      <c r="K759">
        <v>1150</v>
      </c>
      <c r="M7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48C-20231220-01</v>
      </c>
      <c r="N759" t="str">
        <f>DO_DB[[#This Row],[Material Pick-update]]&amp;"_"&amp;DO_DB[[#This Row],[Material Name]]</f>
        <v>45280_ADSS 48C</v>
      </c>
      <c r="O759" t="str">
        <f>DO_DB[[#This Row],[SiteID]]</f>
        <v>CLR22-99-007</v>
      </c>
      <c r="P759" t="str">
        <f>DO_DB[[#This Row],[SiteID]]&amp;"_"&amp;DO_DB[[#This Row],[Material Name]]</f>
        <v>CLR22-99-007_ADSS 48C</v>
      </c>
      <c r="Q759" t="str">
        <f>DO_DB[[#This Row],[DO Number]]</f>
        <v>DOEID231218BO</v>
      </c>
      <c r="R759" t="str">
        <f>DO_DB[[#This Row],[DN Number]]</f>
        <v>DNWID0342023121813</v>
      </c>
    </row>
    <row r="760" spans="1:18">
      <c r="A760" t="s">
        <v>671</v>
      </c>
      <c r="B760" t="s">
        <v>672</v>
      </c>
      <c r="C760" s="172" t="s">
        <v>4482</v>
      </c>
      <c r="D760" t="s">
        <v>71</v>
      </c>
      <c r="E760" t="s">
        <v>135</v>
      </c>
      <c r="F760" t="s">
        <v>4498</v>
      </c>
      <c r="G760" t="s">
        <v>726</v>
      </c>
      <c r="H760" t="s">
        <v>727</v>
      </c>
      <c r="I760" s="130">
        <v>45287</v>
      </c>
      <c r="J760" t="s">
        <v>3073</v>
      </c>
      <c r="K760">
        <v>6000</v>
      </c>
      <c r="M7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24C-20231227-01</v>
      </c>
      <c r="N760" t="str">
        <f>DO_DB[[#This Row],[Material Pick-update]]&amp;"_"&amp;DO_DB[[#This Row],[Material Name]]</f>
        <v>45287_ADSS 24C</v>
      </c>
      <c r="O760" t="str">
        <f>DO_DB[[#This Row],[SiteID]]</f>
        <v>CLR22-99-007</v>
      </c>
      <c r="P760" t="str">
        <f>DO_DB[[#This Row],[SiteID]]&amp;"_"&amp;DO_DB[[#This Row],[Material Name]]</f>
        <v>CLR22-99-007_ADSS 24C</v>
      </c>
      <c r="Q760" t="str">
        <f>DO_DB[[#This Row],[DO Number]]</f>
        <v>DOEID23122787</v>
      </c>
      <c r="R760" t="str">
        <f>DO_DB[[#This Row],[DN Number]]</f>
        <v>DNWID0342023122711</v>
      </c>
    </row>
    <row r="761" spans="1:18">
      <c r="A761" t="s">
        <v>476</v>
      </c>
      <c r="B761" t="s">
        <v>477</v>
      </c>
      <c r="C761" s="172" t="s">
        <v>4482</v>
      </c>
      <c r="D761" t="s">
        <v>71</v>
      </c>
      <c r="E761" t="s">
        <v>135</v>
      </c>
      <c r="F761" t="s">
        <v>4498</v>
      </c>
      <c r="G761" t="s">
        <v>866</v>
      </c>
      <c r="H761" t="s">
        <v>867</v>
      </c>
      <c r="I761" s="130">
        <v>45317</v>
      </c>
      <c r="J761" t="s">
        <v>3075</v>
      </c>
      <c r="K761">
        <v>3000</v>
      </c>
      <c r="M7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48C-2024126-01</v>
      </c>
      <c r="N761" t="str">
        <f>DO_DB[[#This Row],[Material Pick-update]]&amp;"_"&amp;DO_DB[[#This Row],[Material Name]]</f>
        <v>45317_ADSS 48C</v>
      </c>
      <c r="O761" t="str">
        <f>DO_DB[[#This Row],[SiteID]]</f>
        <v>CLR22-99-070</v>
      </c>
      <c r="P761" t="str">
        <f>DO_DB[[#This Row],[SiteID]]&amp;"_"&amp;DO_DB[[#This Row],[Material Name]]</f>
        <v>CLR22-99-070_ADSS 48C</v>
      </c>
      <c r="Q761" t="str">
        <f>DO_DB[[#This Row],[DO Number]]</f>
        <v>DOEID240111AT</v>
      </c>
      <c r="R761" t="str">
        <f>DO_DB[[#This Row],[DN Number]]</f>
        <v>DNWID0342024011104</v>
      </c>
    </row>
    <row r="762" spans="1:18">
      <c r="A762" t="s">
        <v>881</v>
      </c>
      <c r="B762" t="s">
        <v>882</v>
      </c>
      <c r="C762" t="s">
        <v>4482</v>
      </c>
      <c r="D762" t="s">
        <v>71</v>
      </c>
      <c r="E762" t="s">
        <v>876</v>
      </c>
      <c r="F762" t="s">
        <v>4498</v>
      </c>
      <c r="G762" t="s">
        <v>899</v>
      </c>
      <c r="H762" t="s">
        <v>900</v>
      </c>
      <c r="I762" s="130">
        <v>45329</v>
      </c>
      <c r="J762" t="s">
        <v>14</v>
      </c>
      <c r="K762">
        <v>1</v>
      </c>
      <c r="M7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62" t="str">
        <f>DO_DB[[#This Row],[Material Pick-update]]&amp;"_"&amp;DO_DB[[#This Row],[Material Name]]</f>
        <v>45329_FDT-48</v>
      </c>
      <c r="O762" t="str">
        <f>DO_DB[[#This Row],[SiteID]]</f>
        <v>CLR37-01-010</v>
      </c>
      <c r="P762" t="str">
        <f>DO_DB[[#This Row],[SiteID]]&amp;"_"&amp;DO_DB[[#This Row],[Material Name]]</f>
        <v>CLR37-01-010_FDT-48</v>
      </c>
      <c r="Q762" t="str">
        <f>DO_DB[[#This Row],[DO Number]]</f>
        <v>DOEID240206BG</v>
      </c>
      <c r="R762" t="str">
        <f>DO_DB[[#This Row],[DN Number]]</f>
        <v>DNWID0342024020727</v>
      </c>
    </row>
    <row r="763" spans="1:18">
      <c r="A763" t="s">
        <v>881</v>
      </c>
      <c r="B763" t="s">
        <v>882</v>
      </c>
      <c r="C763" t="s">
        <v>4482</v>
      </c>
      <c r="D763" t="s">
        <v>71</v>
      </c>
      <c r="E763" t="s">
        <v>876</v>
      </c>
      <c r="F763" t="s">
        <v>4498</v>
      </c>
      <c r="G763" t="s">
        <v>899</v>
      </c>
      <c r="H763" t="s">
        <v>900</v>
      </c>
      <c r="I763" s="130">
        <v>45329</v>
      </c>
      <c r="J763" t="s">
        <v>3080</v>
      </c>
      <c r="K763">
        <v>3</v>
      </c>
      <c r="M7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63" t="str">
        <f>DO_DB[[#This Row],[Material Pick-update]]&amp;"_"&amp;DO_DB[[#This Row],[Material Name]]</f>
        <v>45329_1:8 SPL for FDT-AE &amp; UG</v>
      </c>
      <c r="O763" t="str">
        <f>DO_DB[[#This Row],[SiteID]]</f>
        <v>CLR37-01-010</v>
      </c>
      <c r="P763" t="str">
        <f>DO_DB[[#This Row],[SiteID]]&amp;"_"&amp;DO_DB[[#This Row],[Material Name]]</f>
        <v>CLR37-01-010_1:8 SPL for FDT-AE &amp; UG</v>
      </c>
      <c r="Q763" t="str">
        <f>DO_DB[[#This Row],[DO Number]]</f>
        <v>DOEID240206BG</v>
      </c>
      <c r="R763" t="str">
        <f>DO_DB[[#This Row],[DN Number]]</f>
        <v>DNWID0342024020727</v>
      </c>
    </row>
    <row r="764" spans="1:18">
      <c r="A764" t="s">
        <v>874</v>
      </c>
      <c r="B764" t="s">
        <v>875</v>
      </c>
      <c r="C764" t="s">
        <v>4482</v>
      </c>
      <c r="D764" t="s">
        <v>71</v>
      </c>
      <c r="E764" t="s">
        <v>876</v>
      </c>
      <c r="F764" t="s">
        <v>4498</v>
      </c>
      <c r="G764" t="s">
        <v>905</v>
      </c>
      <c r="H764" t="s">
        <v>906</v>
      </c>
      <c r="I764" s="130">
        <v>45329</v>
      </c>
      <c r="J764" t="s">
        <v>14</v>
      </c>
      <c r="K764">
        <v>1</v>
      </c>
      <c r="M7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64" t="str">
        <f>DO_DB[[#This Row],[Material Pick-update]]&amp;"_"&amp;DO_DB[[#This Row],[Material Name]]</f>
        <v>45329_FDT-48</v>
      </c>
      <c r="O764" t="str">
        <f>DO_DB[[#This Row],[SiteID]]</f>
        <v>CLR37-01-002</v>
      </c>
      <c r="P764" t="str">
        <f>DO_DB[[#This Row],[SiteID]]&amp;"_"&amp;DO_DB[[#This Row],[Material Name]]</f>
        <v>CLR37-01-002_FDT-48</v>
      </c>
      <c r="Q764" t="str">
        <f>DO_DB[[#This Row],[DO Number]]</f>
        <v>DOEID240206BH</v>
      </c>
      <c r="R764" t="str">
        <f>DO_DB[[#This Row],[DN Number]]</f>
        <v>DNWID0342024020730</v>
      </c>
    </row>
    <row r="765" spans="1:18">
      <c r="A765" t="s">
        <v>874</v>
      </c>
      <c r="B765" t="s">
        <v>875</v>
      </c>
      <c r="C765" t="s">
        <v>4482</v>
      </c>
      <c r="D765" t="s">
        <v>71</v>
      </c>
      <c r="E765" t="s">
        <v>876</v>
      </c>
      <c r="F765" t="s">
        <v>4498</v>
      </c>
      <c r="G765" t="s">
        <v>905</v>
      </c>
      <c r="H765" t="s">
        <v>906</v>
      </c>
      <c r="I765" s="130">
        <v>45329</v>
      </c>
      <c r="J765" t="s">
        <v>3080</v>
      </c>
      <c r="K765">
        <v>3</v>
      </c>
      <c r="M7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65" t="str">
        <f>DO_DB[[#This Row],[Material Pick-update]]&amp;"_"&amp;DO_DB[[#This Row],[Material Name]]</f>
        <v>45329_1:8 SPL for FDT-AE &amp; UG</v>
      </c>
      <c r="O765" t="str">
        <f>DO_DB[[#This Row],[SiteID]]</f>
        <v>CLR37-01-002</v>
      </c>
      <c r="P765" t="str">
        <f>DO_DB[[#This Row],[SiteID]]&amp;"_"&amp;DO_DB[[#This Row],[Material Name]]</f>
        <v>CLR37-01-002_1:8 SPL for FDT-AE &amp; UG</v>
      </c>
      <c r="Q765" t="str">
        <f>DO_DB[[#This Row],[DO Number]]</f>
        <v>DOEID240206BH</v>
      </c>
      <c r="R765" t="str">
        <f>DO_DB[[#This Row],[DN Number]]</f>
        <v>DNWID0342024020730</v>
      </c>
    </row>
    <row r="766" spans="1:18">
      <c r="A766" t="s">
        <v>901</v>
      </c>
      <c r="B766" t="s">
        <v>902</v>
      </c>
      <c r="C766" s="172" t="s">
        <v>4482</v>
      </c>
      <c r="D766" t="s">
        <v>71</v>
      </c>
      <c r="E766" t="s">
        <v>135</v>
      </c>
      <c r="F766" t="s">
        <v>4498</v>
      </c>
      <c r="G766" t="s">
        <v>907</v>
      </c>
      <c r="H766" t="s">
        <v>908</v>
      </c>
      <c r="I766" s="130">
        <v>45329</v>
      </c>
      <c r="J766" t="s">
        <v>3069</v>
      </c>
      <c r="K766">
        <v>27</v>
      </c>
      <c r="M7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66" t="str">
        <f>DO_DB[[#This Row],[Material Pick-update]]&amp;"_"&amp;DO_DB[[#This Row],[Material Name]]</f>
        <v>45329_Pole 7M 4"</v>
      </c>
      <c r="O766" t="str">
        <f>DO_DB[[#This Row],[SiteID]]</f>
        <v>CLR22-99-099</v>
      </c>
      <c r="P766" t="str">
        <f>DO_DB[[#This Row],[SiteID]]&amp;"_"&amp;DO_DB[[#This Row],[Material Name]]</f>
        <v>CLR22-99-099_Pole 7M 4"</v>
      </c>
      <c r="Q766" t="str">
        <f>DO_DB[[#This Row],[DO Number]]</f>
        <v>DOEID24020735</v>
      </c>
      <c r="R766" t="str">
        <f>DO_DB[[#This Row],[DN Number]]</f>
        <v>DNWID0362024020719</v>
      </c>
    </row>
    <row r="767" spans="1:18">
      <c r="A767" t="s">
        <v>901</v>
      </c>
      <c r="B767" t="s">
        <v>902</v>
      </c>
      <c r="C767" s="172" t="s">
        <v>4482</v>
      </c>
      <c r="D767" t="s">
        <v>71</v>
      </c>
      <c r="E767" t="s">
        <v>135</v>
      </c>
      <c r="F767" t="s">
        <v>4498</v>
      </c>
      <c r="G767" t="s">
        <v>907</v>
      </c>
      <c r="H767" t="s">
        <v>908</v>
      </c>
      <c r="I767" s="130">
        <v>45329</v>
      </c>
      <c r="J767" t="s">
        <v>3070</v>
      </c>
      <c r="K767">
        <v>3</v>
      </c>
      <c r="M7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67" t="str">
        <f>DO_DB[[#This Row],[Material Pick-update]]&amp;"_"&amp;DO_DB[[#This Row],[Material Name]]</f>
        <v>45329_Pole 7M 3"</v>
      </c>
      <c r="O767" t="str">
        <f>DO_DB[[#This Row],[SiteID]]</f>
        <v>CLR22-99-099</v>
      </c>
      <c r="P767" t="str">
        <f>DO_DB[[#This Row],[SiteID]]&amp;"_"&amp;DO_DB[[#This Row],[Material Name]]</f>
        <v>CLR22-99-099_Pole 7M 3"</v>
      </c>
      <c r="Q767" t="str">
        <f>DO_DB[[#This Row],[DO Number]]</f>
        <v>DOEID24020735</v>
      </c>
      <c r="R767" t="str">
        <f>DO_DB[[#This Row],[DN Number]]</f>
        <v>DNWID0362024020719</v>
      </c>
    </row>
    <row r="768" spans="1:18">
      <c r="A768" t="s">
        <v>901</v>
      </c>
      <c r="B768" t="s">
        <v>902</v>
      </c>
      <c r="C768" s="172" t="s">
        <v>4482</v>
      </c>
      <c r="D768" t="s">
        <v>71</v>
      </c>
      <c r="E768" t="s">
        <v>135</v>
      </c>
      <c r="F768" t="s">
        <v>4498</v>
      </c>
      <c r="G768" t="s">
        <v>903</v>
      </c>
      <c r="H768" t="s">
        <v>904</v>
      </c>
      <c r="I768" s="130">
        <v>45329</v>
      </c>
      <c r="J768" t="s">
        <v>13</v>
      </c>
      <c r="K768">
        <v>16</v>
      </c>
      <c r="M7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68" t="str">
        <f>DO_DB[[#This Row],[Material Pick-update]]&amp;"_"&amp;DO_DB[[#This Row],[Material Name]]</f>
        <v>45329_FAT-16</v>
      </c>
      <c r="O768" t="str">
        <f>DO_DB[[#This Row],[SiteID]]</f>
        <v>CLR22-99-099</v>
      </c>
      <c r="P768" t="str">
        <f>DO_DB[[#This Row],[SiteID]]&amp;"_"&amp;DO_DB[[#This Row],[Material Name]]</f>
        <v>CLR22-99-099_FAT-16</v>
      </c>
      <c r="Q768" t="str">
        <f>DO_DB[[#This Row],[DO Number]]</f>
        <v>DOEID24020736</v>
      </c>
      <c r="R768" t="str">
        <f>DO_DB[[#This Row],[DN Number]]</f>
        <v>DNWID0342024020722</v>
      </c>
    </row>
    <row r="769" spans="1:18">
      <c r="A769" t="s">
        <v>895</v>
      </c>
      <c r="B769" t="s">
        <v>896</v>
      </c>
      <c r="C769" s="172" t="s">
        <v>4482</v>
      </c>
      <c r="D769" t="s">
        <v>71</v>
      </c>
      <c r="E769" t="s">
        <v>135</v>
      </c>
      <c r="F769" t="s">
        <v>4498</v>
      </c>
      <c r="G769" t="s">
        <v>909</v>
      </c>
      <c r="H769" t="s">
        <v>910</v>
      </c>
      <c r="I769" s="130">
        <v>45329</v>
      </c>
      <c r="J769" t="s">
        <v>3069</v>
      </c>
      <c r="K769">
        <v>43</v>
      </c>
      <c r="M7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69" t="str">
        <f>DO_DB[[#This Row],[Material Pick-update]]&amp;"_"&amp;DO_DB[[#This Row],[Material Name]]</f>
        <v>45329_Pole 7M 4"</v>
      </c>
      <c r="O769" t="str">
        <f>DO_DB[[#This Row],[SiteID]]</f>
        <v>CLR22-99-106</v>
      </c>
      <c r="P769" t="str">
        <f>DO_DB[[#This Row],[SiteID]]&amp;"_"&amp;DO_DB[[#This Row],[Material Name]]</f>
        <v>CLR22-99-106_Pole 7M 4"</v>
      </c>
      <c r="Q769" t="str">
        <f>DO_DB[[#This Row],[DO Number]]</f>
        <v>DOEID24020737</v>
      </c>
      <c r="R769" t="str">
        <f>DO_DB[[#This Row],[DN Number]]</f>
        <v>DNWID0362024020720</v>
      </c>
    </row>
    <row r="770" spans="1:18">
      <c r="A770" t="s">
        <v>895</v>
      </c>
      <c r="B770" t="s">
        <v>896</v>
      </c>
      <c r="C770" s="172" t="s">
        <v>4482</v>
      </c>
      <c r="D770" t="s">
        <v>71</v>
      </c>
      <c r="E770" t="s">
        <v>135</v>
      </c>
      <c r="F770" t="s">
        <v>4498</v>
      </c>
      <c r="G770" t="s">
        <v>909</v>
      </c>
      <c r="H770" t="s">
        <v>910</v>
      </c>
      <c r="I770" s="130">
        <v>45329</v>
      </c>
      <c r="J770" t="s">
        <v>3070</v>
      </c>
      <c r="K770">
        <v>9</v>
      </c>
      <c r="M7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70" t="str">
        <f>DO_DB[[#This Row],[Material Pick-update]]&amp;"_"&amp;DO_DB[[#This Row],[Material Name]]</f>
        <v>45329_Pole 7M 3"</v>
      </c>
      <c r="O770" t="str">
        <f>DO_DB[[#This Row],[SiteID]]</f>
        <v>CLR22-99-106</v>
      </c>
      <c r="P770" t="str">
        <f>DO_DB[[#This Row],[SiteID]]&amp;"_"&amp;DO_DB[[#This Row],[Material Name]]</f>
        <v>CLR22-99-106_Pole 7M 3"</v>
      </c>
      <c r="Q770" t="str">
        <f>DO_DB[[#This Row],[DO Number]]</f>
        <v>DOEID24020737</v>
      </c>
      <c r="R770" t="str">
        <f>DO_DB[[#This Row],[DN Number]]</f>
        <v>DNWID0362024020720</v>
      </c>
    </row>
    <row r="771" spans="1:18">
      <c r="A771" t="s">
        <v>895</v>
      </c>
      <c r="B771" t="s">
        <v>896</v>
      </c>
      <c r="C771" s="172" t="s">
        <v>4482</v>
      </c>
      <c r="D771" t="s">
        <v>71</v>
      </c>
      <c r="E771" t="s">
        <v>135</v>
      </c>
      <c r="F771" t="s">
        <v>4498</v>
      </c>
      <c r="G771" t="s">
        <v>909</v>
      </c>
      <c r="H771" t="s">
        <v>910</v>
      </c>
      <c r="I771" s="130">
        <v>45329</v>
      </c>
      <c r="J771" t="s">
        <v>3071</v>
      </c>
      <c r="K771">
        <v>2</v>
      </c>
      <c r="M7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71" t="str">
        <f>DO_DB[[#This Row],[Material Pick-update]]&amp;"_"&amp;DO_DB[[#This Row],[Material Name]]</f>
        <v>45329_Pole 9M</v>
      </c>
      <c r="O771" t="str">
        <f>DO_DB[[#This Row],[SiteID]]</f>
        <v>CLR22-99-106</v>
      </c>
      <c r="P771" t="str">
        <f>DO_DB[[#This Row],[SiteID]]&amp;"_"&amp;DO_DB[[#This Row],[Material Name]]</f>
        <v>CLR22-99-106_Pole 9M</v>
      </c>
      <c r="Q771" t="str">
        <f>DO_DB[[#This Row],[DO Number]]</f>
        <v>DOEID24020737</v>
      </c>
      <c r="R771" t="str">
        <f>DO_DB[[#This Row],[DN Number]]</f>
        <v>DNWID0362024020720</v>
      </c>
    </row>
    <row r="772" spans="1:18">
      <c r="A772" t="s">
        <v>895</v>
      </c>
      <c r="B772" t="s">
        <v>896</v>
      </c>
      <c r="C772" s="172" t="s">
        <v>4482</v>
      </c>
      <c r="D772" t="s">
        <v>71</v>
      </c>
      <c r="E772" t="s">
        <v>135</v>
      </c>
      <c r="F772" t="s">
        <v>4498</v>
      </c>
      <c r="G772" t="s">
        <v>909</v>
      </c>
      <c r="H772" t="s">
        <v>910</v>
      </c>
      <c r="I772" s="130">
        <v>45329</v>
      </c>
      <c r="J772" t="s">
        <v>4856</v>
      </c>
      <c r="K772">
        <v>1</v>
      </c>
      <c r="M7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72" t="str">
        <f>DO_DB[[#This Row],[Material Pick-update]]&amp;"_"&amp;DO_DB[[#This Row],[Material Name]]</f>
        <v>45329_JC 144Core</v>
      </c>
      <c r="O772" t="str">
        <f>DO_DB[[#This Row],[SiteID]]</f>
        <v>CLR22-99-106</v>
      </c>
      <c r="P772" t="str">
        <f>DO_DB[[#This Row],[SiteID]]&amp;"_"&amp;DO_DB[[#This Row],[Material Name]]</f>
        <v>CLR22-99-106_JC 144Core</v>
      </c>
      <c r="Q772" t="str">
        <f>DO_DB[[#This Row],[DO Number]]</f>
        <v>DOEID24020737</v>
      </c>
      <c r="R772" t="str">
        <f>DO_DB[[#This Row],[DN Number]]</f>
        <v>DNWID0362024020720</v>
      </c>
    </row>
    <row r="773" spans="1:18">
      <c r="A773" t="s">
        <v>895</v>
      </c>
      <c r="B773" t="s">
        <v>896</v>
      </c>
      <c r="C773" s="172" t="s">
        <v>4482</v>
      </c>
      <c r="D773" t="s">
        <v>71</v>
      </c>
      <c r="E773" t="s">
        <v>135</v>
      </c>
      <c r="F773" t="s">
        <v>4498</v>
      </c>
      <c r="G773" t="s">
        <v>897</v>
      </c>
      <c r="H773" t="s">
        <v>898</v>
      </c>
      <c r="I773" s="130">
        <v>45329</v>
      </c>
      <c r="J773" t="s">
        <v>15</v>
      </c>
      <c r="K773">
        <v>1</v>
      </c>
      <c r="M7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73" t="str">
        <f>DO_DB[[#This Row],[Material Pick-update]]&amp;"_"&amp;DO_DB[[#This Row],[Material Name]]</f>
        <v>45329_FDT-72</v>
      </c>
      <c r="O773" t="str">
        <f>DO_DB[[#This Row],[SiteID]]</f>
        <v>CLR22-99-106</v>
      </c>
      <c r="P773" t="str">
        <f>DO_DB[[#This Row],[SiteID]]&amp;"_"&amp;DO_DB[[#This Row],[Material Name]]</f>
        <v>CLR22-99-106_FDT-72</v>
      </c>
      <c r="Q773" t="str">
        <f>DO_DB[[#This Row],[DO Number]]</f>
        <v>DOEID24020738</v>
      </c>
      <c r="R773" t="str">
        <f>DO_DB[[#This Row],[DN Number]]</f>
        <v>DNWID0342024020723</v>
      </c>
    </row>
    <row r="774" spans="1:18">
      <c r="A774" t="s">
        <v>895</v>
      </c>
      <c r="B774" t="s">
        <v>896</v>
      </c>
      <c r="C774" s="172" t="s">
        <v>4482</v>
      </c>
      <c r="D774" t="s">
        <v>71</v>
      </c>
      <c r="E774" t="s">
        <v>135</v>
      </c>
      <c r="F774" t="s">
        <v>4498</v>
      </c>
      <c r="G774" t="s">
        <v>897</v>
      </c>
      <c r="H774" t="s">
        <v>898</v>
      </c>
      <c r="I774" s="130">
        <v>45329</v>
      </c>
      <c r="J774" t="s">
        <v>13</v>
      </c>
      <c r="K774">
        <v>18</v>
      </c>
      <c r="M7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74" t="str">
        <f>DO_DB[[#This Row],[Material Pick-update]]&amp;"_"&amp;DO_DB[[#This Row],[Material Name]]</f>
        <v>45329_FAT-16</v>
      </c>
      <c r="O774" t="str">
        <f>DO_DB[[#This Row],[SiteID]]</f>
        <v>CLR22-99-106</v>
      </c>
      <c r="P774" t="str">
        <f>DO_DB[[#This Row],[SiteID]]&amp;"_"&amp;DO_DB[[#This Row],[Material Name]]</f>
        <v>CLR22-99-106_FAT-16</v>
      </c>
      <c r="Q774" t="str">
        <f>DO_DB[[#This Row],[DO Number]]</f>
        <v>DOEID24020738</v>
      </c>
      <c r="R774" t="str">
        <f>DO_DB[[#This Row],[DN Number]]</f>
        <v>DNWID0342024020723</v>
      </c>
    </row>
    <row r="775" spans="1:18">
      <c r="A775" t="s">
        <v>895</v>
      </c>
      <c r="B775" t="s">
        <v>896</v>
      </c>
      <c r="C775" s="172" t="s">
        <v>4482</v>
      </c>
      <c r="D775" t="s">
        <v>71</v>
      </c>
      <c r="E775" t="s">
        <v>135</v>
      </c>
      <c r="F775" t="s">
        <v>4498</v>
      </c>
      <c r="G775" t="s">
        <v>897</v>
      </c>
      <c r="H775" t="s">
        <v>898</v>
      </c>
      <c r="I775" s="130">
        <v>45329</v>
      </c>
      <c r="J775" t="s">
        <v>3080</v>
      </c>
      <c r="K775">
        <v>4</v>
      </c>
      <c r="M7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75" t="str">
        <f>DO_DB[[#This Row],[Material Pick-update]]&amp;"_"&amp;DO_DB[[#This Row],[Material Name]]</f>
        <v>45329_1:8 SPL for FDT-AE &amp; UG</v>
      </c>
      <c r="O775" t="str">
        <f>DO_DB[[#This Row],[SiteID]]</f>
        <v>CLR22-99-106</v>
      </c>
      <c r="P775" t="str">
        <f>DO_DB[[#This Row],[SiteID]]&amp;"_"&amp;DO_DB[[#This Row],[Material Name]]</f>
        <v>CLR22-99-106_1:8 SPL for FDT-AE &amp; UG</v>
      </c>
      <c r="Q775" t="str">
        <f>DO_DB[[#This Row],[DO Number]]</f>
        <v>DOEID24020738</v>
      </c>
      <c r="R775" t="str">
        <f>DO_DB[[#This Row],[DN Number]]</f>
        <v>DNWID0342024020723</v>
      </c>
    </row>
    <row r="776" spans="1:18">
      <c r="A776" t="s">
        <v>889</v>
      </c>
      <c r="B776" t="s">
        <v>890</v>
      </c>
      <c r="C776" s="172" t="s">
        <v>4482</v>
      </c>
      <c r="D776" t="s">
        <v>71</v>
      </c>
      <c r="E776" t="s">
        <v>135</v>
      </c>
      <c r="F776" t="s">
        <v>4498</v>
      </c>
      <c r="G776" t="s">
        <v>891</v>
      </c>
      <c r="H776" t="s">
        <v>892</v>
      </c>
      <c r="I776" s="130">
        <v>45329</v>
      </c>
      <c r="J776" t="s">
        <v>3069</v>
      </c>
      <c r="K776">
        <v>19</v>
      </c>
      <c r="M7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76" t="str">
        <f>DO_DB[[#This Row],[Material Pick-update]]&amp;"_"&amp;DO_DB[[#This Row],[Material Name]]</f>
        <v>45329_Pole 7M 4"</v>
      </c>
      <c r="O776" t="str">
        <f>DO_DB[[#This Row],[SiteID]]</f>
        <v>CLR22-99-105</v>
      </c>
      <c r="P776" t="str">
        <f>DO_DB[[#This Row],[SiteID]]&amp;"_"&amp;DO_DB[[#This Row],[Material Name]]</f>
        <v>CLR22-99-105_Pole 7M 4"</v>
      </c>
      <c r="Q776" t="str">
        <f>DO_DB[[#This Row],[DO Number]]</f>
        <v>DOEID24020739</v>
      </c>
      <c r="R776" t="str">
        <f>DO_DB[[#This Row],[DN Number]]</f>
        <v>DNWID0362024020721</v>
      </c>
    </row>
    <row r="777" spans="1:18">
      <c r="A777" t="s">
        <v>889</v>
      </c>
      <c r="B777" t="s">
        <v>890</v>
      </c>
      <c r="C777" s="172" t="s">
        <v>4482</v>
      </c>
      <c r="D777" t="s">
        <v>71</v>
      </c>
      <c r="E777" t="s">
        <v>135</v>
      </c>
      <c r="F777" t="s">
        <v>4498</v>
      </c>
      <c r="G777" t="s">
        <v>891</v>
      </c>
      <c r="H777" t="s">
        <v>892</v>
      </c>
      <c r="I777" s="130">
        <v>45329</v>
      </c>
      <c r="J777" t="s">
        <v>3070</v>
      </c>
      <c r="K777">
        <v>3</v>
      </c>
      <c r="M7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77" t="str">
        <f>DO_DB[[#This Row],[Material Pick-update]]&amp;"_"&amp;DO_DB[[#This Row],[Material Name]]</f>
        <v>45329_Pole 7M 3"</v>
      </c>
      <c r="O777" t="str">
        <f>DO_DB[[#This Row],[SiteID]]</f>
        <v>CLR22-99-105</v>
      </c>
      <c r="P777" t="str">
        <f>DO_DB[[#This Row],[SiteID]]&amp;"_"&amp;DO_DB[[#This Row],[Material Name]]</f>
        <v>CLR22-99-105_Pole 7M 3"</v>
      </c>
      <c r="Q777" t="str">
        <f>DO_DB[[#This Row],[DO Number]]</f>
        <v>DOEID24020739</v>
      </c>
      <c r="R777" t="str">
        <f>DO_DB[[#This Row],[DN Number]]</f>
        <v>DNWID0362024020721</v>
      </c>
    </row>
    <row r="778" spans="1:18">
      <c r="A778" t="s">
        <v>889</v>
      </c>
      <c r="B778" t="s">
        <v>890</v>
      </c>
      <c r="C778" s="172" t="s">
        <v>4482</v>
      </c>
      <c r="D778" t="s">
        <v>71</v>
      </c>
      <c r="E778" t="s">
        <v>135</v>
      </c>
      <c r="F778" t="s">
        <v>4498</v>
      </c>
      <c r="G778" t="s">
        <v>891</v>
      </c>
      <c r="H778" t="s">
        <v>892</v>
      </c>
      <c r="I778" s="130">
        <v>45329</v>
      </c>
      <c r="J778" t="s">
        <v>3071</v>
      </c>
      <c r="K778">
        <v>1</v>
      </c>
      <c r="M7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78" t="str">
        <f>DO_DB[[#This Row],[Material Pick-update]]&amp;"_"&amp;DO_DB[[#This Row],[Material Name]]</f>
        <v>45329_Pole 9M</v>
      </c>
      <c r="O778" t="str">
        <f>DO_DB[[#This Row],[SiteID]]</f>
        <v>CLR22-99-105</v>
      </c>
      <c r="P778" t="str">
        <f>DO_DB[[#This Row],[SiteID]]&amp;"_"&amp;DO_DB[[#This Row],[Material Name]]</f>
        <v>CLR22-99-105_Pole 9M</v>
      </c>
      <c r="Q778" t="str">
        <f>DO_DB[[#This Row],[DO Number]]</f>
        <v>DOEID24020739</v>
      </c>
      <c r="R778" t="str">
        <f>DO_DB[[#This Row],[DN Number]]</f>
        <v>DNWID0362024020721</v>
      </c>
    </row>
    <row r="779" spans="1:18">
      <c r="A779" t="s">
        <v>889</v>
      </c>
      <c r="B779" t="s">
        <v>890</v>
      </c>
      <c r="C779" s="172" t="s">
        <v>4482</v>
      </c>
      <c r="D779" t="s">
        <v>71</v>
      </c>
      <c r="E779" t="s">
        <v>135</v>
      </c>
      <c r="F779" t="s">
        <v>4498</v>
      </c>
      <c r="G779" t="s">
        <v>893</v>
      </c>
      <c r="H779" t="s">
        <v>894</v>
      </c>
      <c r="I779" s="130">
        <v>45329</v>
      </c>
      <c r="J779" t="s">
        <v>13</v>
      </c>
      <c r="K779">
        <v>7</v>
      </c>
      <c r="M7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79" t="str">
        <f>DO_DB[[#This Row],[Material Pick-update]]&amp;"_"&amp;DO_DB[[#This Row],[Material Name]]</f>
        <v>45329_FAT-16</v>
      </c>
      <c r="O779" t="str">
        <f>DO_DB[[#This Row],[SiteID]]</f>
        <v>CLR22-99-105</v>
      </c>
      <c r="P779" t="str">
        <f>DO_DB[[#This Row],[SiteID]]&amp;"_"&amp;DO_DB[[#This Row],[Material Name]]</f>
        <v>CLR22-99-105_FAT-16</v>
      </c>
      <c r="Q779" t="str">
        <f>DO_DB[[#This Row],[DO Number]]</f>
        <v>DOEID24020740</v>
      </c>
      <c r="R779" t="str">
        <f>DO_DB[[#This Row],[DN Number]]</f>
        <v>DNWID0342024020724</v>
      </c>
    </row>
    <row r="780" spans="1:18">
      <c r="A780" t="s">
        <v>901</v>
      </c>
      <c r="B780" t="s">
        <v>902</v>
      </c>
      <c r="C780" s="172" t="s">
        <v>4482</v>
      </c>
      <c r="D780" t="s">
        <v>71</v>
      </c>
      <c r="E780" t="s">
        <v>135</v>
      </c>
      <c r="F780" t="s">
        <v>4498</v>
      </c>
      <c r="G780" t="s">
        <v>903</v>
      </c>
      <c r="H780" t="s">
        <v>904</v>
      </c>
      <c r="I780" s="130">
        <v>45329</v>
      </c>
      <c r="J780" t="s">
        <v>3073</v>
      </c>
      <c r="K780">
        <v>3000</v>
      </c>
      <c r="M7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24C-202427-01</v>
      </c>
      <c r="N780" t="str">
        <f>DO_DB[[#This Row],[Material Pick-update]]&amp;"_"&amp;DO_DB[[#This Row],[Material Name]]</f>
        <v>45329_ADSS 24C</v>
      </c>
      <c r="O780" t="str">
        <f>DO_DB[[#This Row],[SiteID]]</f>
        <v>CLR22-99-099</v>
      </c>
      <c r="P780" t="str">
        <f>DO_DB[[#This Row],[SiteID]]&amp;"_"&amp;DO_DB[[#This Row],[Material Name]]</f>
        <v>CLR22-99-099_ADSS 24C</v>
      </c>
      <c r="Q780" t="str">
        <f>DO_DB[[#This Row],[DO Number]]</f>
        <v>DOEID24020736</v>
      </c>
      <c r="R780" t="str">
        <f>DO_DB[[#This Row],[DN Number]]</f>
        <v>DNWID0342024020722</v>
      </c>
    </row>
    <row r="781" spans="1:18">
      <c r="A781" t="s">
        <v>935</v>
      </c>
      <c r="B781" t="s">
        <v>936</v>
      </c>
      <c r="C781" s="172" t="s">
        <v>4482</v>
      </c>
      <c r="D781" t="s">
        <v>71</v>
      </c>
      <c r="E781" t="s">
        <v>135</v>
      </c>
      <c r="F781" t="s">
        <v>4498</v>
      </c>
      <c r="G781" t="s">
        <v>943</v>
      </c>
      <c r="H781" t="s">
        <v>944</v>
      </c>
      <c r="I781" s="130">
        <v>45343</v>
      </c>
      <c r="J781" t="s">
        <v>3069</v>
      </c>
      <c r="K781">
        <v>10</v>
      </c>
      <c r="M7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81" t="str">
        <f>DO_DB[[#This Row],[Material Pick-update]]&amp;"_"&amp;DO_DB[[#This Row],[Material Name]]</f>
        <v>45343_Pole 7M 4"</v>
      </c>
      <c r="O781" t="str">
        <f>DO_DB[[#This Row],[SiteID]]</f>
        <v>CLR22-99-097</v>
      </c>
      <c r="P781" t="str">
        <f>DO_DB[[#This Row],[SiteID]]&amp;"_"&amp;DO_DB[[#This Row],[Material Name]]</f>
        <v>CLR22-99-097_Pole 7M 4"</v>
      </c>
      <c r="Q781" t="str">
        <f>DO_DB[[#This Row],[DO Number]]</f>
        <v>DOEID24022001</v>
      </c>
      <c r="R781" t="str">
        <f>DO_DB[[#This Row],[DN Number]]</f>
        <v>DNWID0362024022001</v>
      </c>
    </row>
    <row r="782" spans="1:18">
      <c r="A782" t="s">
        <v>935</v>
      </c>
      <c r="B782" t="s">
        <v>936</v>
      </c>
      <c r="C782" s="172" t="s">
        <v>4482</v>
      </c>
      <c r="D782" t="s">
        <v>71</v>
      </c>
      <c r="E782" t="s">
        <v>135</v>
      </c>
      <c r="F782" t="s">
        <v>4498</v>
      </c>
      <c r="G782" t="s">
        <v>943</v>
      </c>
      <c r="H782" t="s">
        <v>944</v>
      </c>
      <c r="I782" s="130">
        <v>45343</v>
      </c>
      <c r="J782" t="s">
        <v>3070</v>
      </c>
      <c r="K782">
        <v>4</v>
      </c>
      <c r="M7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82" t="str">
        <f>DO_DB[[#This Row],[Material Pick-update]]&amp;"_"&amp;DO_DB[[#This Row],[Material Name]]</f>
        <v>45343_Pole 7M 3"</v>
      </c>
      <c r="O782" t="str">
        <f>DO_DB[[#This Row],[SiteID]]</f>
        <v>CLR22-99-097</v>
      </c>
      <c r="P782" t="str">
        <f>DO_DB[[#This Row],[SiteID]]&amp;"_"&amp;DO_DB[[#This Row],[Material Name]]</f>
        <v>CLR22-99-097_Pole 7M 3"</v>
      </c>
      <c r="Q782" t="str">
        <f>DO_DB[[#This Row],[DO Number]]</f>
        <v>DOEID24022001</v>
      </c>
      <c r="R782" t="str">
        <f>DO_DB[[#This Row],[DN Number]]</f>
        <v>DNWID0362024022001</v>
      </c>
    </row>
    <row r="783" spans="1:18">
      <c r="A783" t="s">
        <v>935</v>
      </c>
      <c r="B783" t="s">
        <v>936</v>
      </c>
      <c r="C783" s="172" t="s">
        <v>4482</v>
      </c>
      <c r="D783" t="s">
        <v>71</v>
      </c>
      <c r="E783" t="s">
        <v>135</v>
      </c>
      <c r="F783" t="s">
        <v>4498</v>
      </c>
      <c r="G783" t="s">
        <v>943</v>
      </c>
      <c r="H783" t="s">
        <v>944</v>
      </c>
      <c r="I783" s="130">
        <v>45343</v>
      </c>
      <c r="J783" t="s">
        <v>3071</v>
      </c>
      <c r="K783">
        <v>1</v>
      </c>
      <c r="M7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83" t="str">
        <f>DO_DB[[#This Row],[Material Pick-update]]&amp;"_"&amp;DO_DB[[#This Row],[Material Name]]</f>
        <v>45343_Pole 9M</v>
      </c>
      <c r="O783" t="str">
        <f>DO_DB[[#This Row],[SiteID]]</f>
        <v>CLR22-99-097</v>
      </c>
      <c r="P783" t="str">
        <f>DO_DB[[#This Row],[SiteID]]&amp;"_"&amp;DO_DB[[#This Row],[Material Name]]</f>
        <v>CLR22-99-097_Pole 9M</v>
      </c>
      <c r="Q783" t="str">
        <f>DO_DB[[#This Row],[DO Number]]</f>
        <v>DOEID24022001</v>
      </c>
      <c r="R783" t="str">
        <f>DO_DB[[#This Row],[DN Number]]</f>
        <v>DNWID0362024022001</v>
      </c>
    </row>
    <row r="784" spans="1:18">
      <c r="A784" t="s">
        <v>935</v>
      </c>
      <c r="B784" t="s">
        <v>936</v>
      </c>
      <c r="C784" s="172" t="s">
        <v>4482</v>
      </c>
      <c r="D784" t="s">
        <v>71</v>
      </c>
      <c r="E784" t="s">
        <v>135</v>
      </c>
      <c r="F784" t="s">
        <v>4498</v>
      </c>
      <c r="G784" t="s">
        <v>943</v>
      </c>
      <c r="H784" t="s">
        <v>944</v>
      </c>
      <c r="I784" s="130">
        <v>45343</v>
      </c>
      <c r="J784" t="s">
        <v>4856</v>
      </c>
      <c r="K784">
        <v>1</v>
      </c>
      <c r="M7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84" t="str">
        <f>DO_DB[[#This Row],[Material Pick-update]]&amp;"_"&amp;DO_DB[[#This Row],[Material Name]]</f>
        <v>45343_JC 144Core</v>
      </c>
      <c r="O784" t="str">
        <f>DO_DB[[#This Row],[SiteID]]</f>
        <v>CLR22-99-097</v>
      </c>
      <c r="P784" t="str">
        <f>DO_DB[[#This Row],[SiteID]]&amp;"_"&amp;DO_DB[[#This Row],[Material Name]]</f>
        <v>CLR22-99-097_JC 144Core</v>
      </c>
      <c r="Q784" t="str">
        <f>DO_DB[[#This Row],[DO Number]]</f>
        <v>DOEID24022001</v>
      </c>
      <c r="R784" t="str">
        <f>DO_DB[[#This Row],[DN Number]]</f>
        <v>DNWID0362024022001</v>
      </c>
    </row>
    <row r="785" spans="1:18">
      <c r="A785" t="s">
        <v>935</v>
      </c>
      <c r="B785" t="s">
        <v>936</v>
      </c>
      <c r="C785" s="172" t="s">
        <v>4482</v>
      </c>
      <c r="D785" t="s">
        <v>71</v>
      </c>
      <c r="E785" t="s">
        <v>135</v>
      </c>
      <c r="F785" t="s">
        <v>4498</v>
      </c>
      <c r="G785" t="s">
        <v>937</v>
      </c>
      <c r="H785" t="s">
        <v>938</v>
      </c>
      <c r="I785" s="130">
        <v>45343</v>
      </c>
      <c r="J785" t="s">
        <v>14</v>
      </c>
      <c r="K785">
        <v>1</v>
      </c>
      <c r="M7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85" t="str">
        <f>DO_DB[[#This Row],[Material Pick-update]]&amp;"_"&amp;DO_DB[[#This Row],[Material Name]]</f>
        <v>45343_FDT-48</v>
      </c>
      <c r="O785" t="str">
        <f>DO_DB[[#This Row],[SiteID]]</f>
        <v>CLR22-99-097</v>
      </c>
      <c r="P785" t="str">
        <f>DO_DB[[#This Row],[SiteID]]&amp;"_"&amp;DO_DB[[#This Row],[Material Name]]</f>
        <v>CLR22-99-097_FDT-48</v>
      </c>
      <c r="Q785" t="str">
        <f>DO_DB[[#This Row],[DO Number]]</f>
        <v>DOEID24022002</v>
      </c>
      <c r="R785" t="str">
        <f>DO_DB[[#This Row],[DN Number]]</f>
        <v>DNWID0342024022001</v>
      </c>
    </row>
    <row r="786" spans="1:18">
      <c r="A786" t="s">
        <v>935</v>
      </c>
      <c r="B786" t="s">
        <v>936</v>
      </c>
      <c r="C786" s="172" t="s">
        <v>4482</v>
      </c>
      <c r="D786" t="s">
        <v>71</v>
      </c>
      <c r="E786" t="s">
        <v>135</v>
      </c>
      <c r="F786" t="s">
        <v>4498</v>
      </c>
      <c r="G786" t="s">
        <v>937</v>
      </c>
      <c r="H786" t="s">
        <v>938</v>
      </c>
      <c r="I786" s="130">
        <v>45343</v>
      </c>
      <c r="J786" t="s">
        <v>3080</v>
      </c>
      <c r="K786">
        <v>3</v>
      </c>
      <c r="M7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86" t="str">
        <f>DO_DB[[#This Row],[Material Pick-update]]&amp;"_"&amp;DO_DB[[#This Row],[Material Name]]</f>
        <v>45343_1:8 SPL for FDT-AE &amp; UG</v>
      </c>
      <c r="O786" t="str">
        <f>DO_DB[[#This Row],[SiteID]]</f>
        <v>CLR22-99-097</v>
      </c>
      <c r="P786" t="str">
        <f>DO_DB[[#This Row],[SiteID]]&amp;"_"&amp;DO_DB[[#This Row],[Material Name]]</f>
        <v>CLR22-99-097_1:8 SPL for FDT-AE &amp; UG</v>
      </c>
      <c r="Q786" t="str">
        <f>DO_DB[[#This Row],[DO Number]]</f>
        <v>DOEID24022002</v>
      </c>
      <c r="R786" t="str">
        <f>DO_DB[[#This Row],[DN Number]]</f>
        <v>DNWID0342024022001</v>
      </c>
    </row>
    <row r="787" spans="1:18">
      <c r="A787" t="s">
        <v>931</v>
      </c>
      <c r="B787" t="s">
        <v>932</v>
      </c>
      <c r="C787" s="172" t="s">
        <v>4482</v>
      </c>
      <c r="D787" t="s">
        <v>71</v>
      </c>
      <c r="E787" t="s">
        <v>135</v>
      </c>
      <c r="F787" t="s">
        <v>4498</v>
      </c>
      <c r="G787" t="s">
        <v>933</v>
      </c>
      <c r="H787" t="s">
        <v>934</v>
      </c>
      <c r="I787" s="130">
        <v>45343</v>
      </c>
      <c r="J787" t="s">
        <v>3069</v>
      </c>
      <c r="K787">
        <v>20</v>
      </c>
      <c r="M7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87" t="str">
        <f>DO_DB[[#This Row],[Material Pick-update]]&amp;"_"&amp;DO_DB[[#This Row],[Material Name]]</f>
        <v>45343_Pole 7M 4"</v>
      </c>
      <c r="O787" t="str">
        <f>DO_DB[[#This Row],[SiteID]]</f>
        <v>CLR22-99-098</v>
      </c>
      <c r="P787" t="str">
        <f>DO_DB[[#This Row],[SiteID]]&amp;"_"&amp;DO_DB[[#This Row],[Material Name]]</f>
        <v>CLR22-99-098_Pole 7M 4"</v>
      </c>
      <c r="Q787" t="str">
        <f>DO_DB[[#This Row],[DO Number]]</f>
        <v>DOEID24022003</v>
      </c>
      <c r="R787" t="str">
        <f>DO_DB[[#This Row],[DN Number]]</f>
        <v>DNWID0362024022002</v>
      </c>
    </row>
    <row r="788" spans="1:18">
      <c r="A788" t="s">
        <v>931</v>
      </c>
      <c r="B788" t="s">
        <v>932</v>
      </c>
      <c r="C788" s="172" t="s">
        <v>4482</v>
      </c>
      <c r="D788" t="s">
        <v>71</v>
      </c>
      <c r="E788" t="s">
        <v>135</v>
      </c>
      <c r="F788" t="s">
        <v>4498</v>
      </c>
      <c r="G788" t="s">
        <v>933</v>
      </c>
      <c r="H788" t="s">
        <v>934</v>
      </c>
      <c r="I788" s="130">
        <v>45343</v>
      </c>
      <c r="J788" t="s">
        <v>3070</v>
      </c>
      <c r="K788">
        <v>1</v>
      </c>
      <c r="M7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88" t="str">
        <f>DO_DB[[#This Row],[Material Pick-update]]&amp;"_"&amp;DO_DB[[#This Row],[Material Name]]</f>
        <v>45343_Pole 7M 3"</v>
      </c>
      <c r="O788" t="str">
        <f>DO_DB[[#This Row],[SiteID]]</f>
        <v>CLR22-99-098</v>
      </c>
      <c r="P788" t="str">
        <f>DO_DB[[#This Row],[SiteID]]&amp;"_"&amp;DO_DB[[#This Row],[Material Name]]</f>
        <v>CLR22-99-098_Pole 7M 3"</v>
      </c>
      <c r="Q788" t="str">
        <f>DO_DB[[#This Row],[DO Number]]</f>
        <v>DOEID24022003</v>
      </c>
      <c r="R788" t="str">
        <f>DO_DB[[#This Row],[DN Number]]</f>
        <v>DNWID0362024022002</v>
      </c>
    </row>
    <row r="789" spans="1:18">
      <c r="A789" t="s">
        <v>935</v>
      </c>
      <c r="B789" t="s">
        <v>936</v>
      </c>
      <c r="C789" s="172" t="s">
        <v>4482</v>
      </c>
      <c r="D789" t="s">
        <v>71</v>
      </c>
      <c r="E789" t="s">
        <v>135</v>
      </c>
      <c r="F789" t="s">
        <v>4498</v>
      </c>
      <c r="G789" t="s">
        <v>937</v>
      </c>
      <c r="H789" t="s">
        <v>938</v>
      </c>
      <c r="I789" s="130">
        <v>45343</v>
      </c>
      <c r="J789" t="s">
        <v>3075</v>
      </c>
      <c r="K789">
        <v>3000</v>
      </c>
      <c r="M7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48C-2024221-01</v>
      </c>
      <c r="N789" t="str">
        <f>DO_DB[[#This Row],[Material Pick-update]]&amp;"_"&amp;DO_DB[[#This Row],[Material Name]]</f>
        <v>45343_ADSS 48C</v>
      </c>
      <c r="O789" t="str">
        <f>DO_DB[[#This Row],[SiteID]]</f>
        <v>CLR22-99-097</v>
      </c>
      <c r="P789" t="str">
        <f>DO_DB[[#This Row],[SiteID]]&amp;"_"&amp;DO_DB[[#This Row],[Material Name]]</f>
        <v>CLR22-99-097_ADSS 48C</v>
      </c>
      <c r="Q789" t="str">
        <f>DO_DB[[#This Row],[DO Number]]</f>
        <v>DOEID24022002</v>
      </c>
      <c r="R789" t="str">
        <f>DO_DB[[#This Row],[DN Number]]</f>
        <v>DNWID0342024022001</v>
      </c>
    </row>
    <row r="790" spans="1:18">
      <c r="A790" t="s">
        <v>931</v>
      </c>
      <c r="B790" t="s">
        <v>932</v>
      </c>
      <c r="C790" s="172" t="s">
        <v>4482</v>
      </c>
      <c r="D790" t="s">
        <v>71</v>
      </c>
      <c r="E790" t="s">
        <v>135</v>
      </c>
      <c r="F790" t="s">
        <v>4498</v>
      </c>
      <c r="G790" t="s">
        <v>945</v>
      </c>
      <c r="H790" t="s">
        <v>946</v>
      </c>
      <c r="I790" s="130">
        <v>45343</v>
      </c>
      <c r="J790" t="s">
        <v>3073</v>
      </c>
      <c r="K790">
        <v>3000</v>
      </c>
      <c r="M7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24C-2024221-01</v>
      </c>
      <c r="N790" t="str">
        <f>DO_DB[[#This Row],[Material Pick-update]]&amp;"_"&amp;DO_DB[[#This Row],[Material Name]]</f>
        <v>45343_ADSS 24C</v>
      </c>
      <c r="O790" t="str">
        <f>DO_DB[[#This Row],[SiteID]]</f>
        <v>CLR22-99-098</v>
      </c>
      <c r="P790" t="str">
        <f>DO_DB[[#This Row],[SiteID]]&amp;"_"&amp;DO_DB[[#This Row],[Material Name]]</f>
        <v>CLR22-99-098_ADSS 24C</v>
      </c>
      <c r="Q790" t="str">
        <f>DO_DB[[#This Row],[DO Number]]</f>
        <v>DOEID24022004</v>
      </c>
      <c r="R790" t="str">
        <f>DO_DB[[#This Row],[DN Number]]</f>
        <v>DNWID0342024022002</v>
      </c>
    </row>
    <row r="791" spans="1:18">
      <c r="A791" t="s">
        <v>939</v>
      </c>
      <c r="B791" t="s">
        <v>940</v>
      </c>
      <c r="C791" s="172" t="s">
        <v>4482</v>
      </c>
      <c r="D791" t="s">
        <v>71</v>
      </c>
      <c r="E791" t="s">
        <v>92</v>
      </c>
      <c r="F791" t="s">
        <v>4498</v>
      </c>
      <c r="G791" t="s">
        <v>941</v>
      </c>
      <c r="H791" t="s">
        <v>942</v>
      </c>
      <c r="I791" s="130">
        <v>45343</v>
      </c>
      <c r="J791" t="s">
        <v>14</v>
      </c>
      <c r="K791">
        <v>1</v>
      </c>
      <c r="M7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91" t="str">
        <f>DO_DB[[#This Row],[Material Pick-update]]&amp;"_"&amp;DO_DB[[#This Row],[Material Name]]</f>
        <v>45343_FDT-48</v>
      </c>
      <c r="O791" t="str">
        <f>DO_DB[[#This Row],[SiteID]]</f>
        <v>CLR23-01-056</v>
      </c>
      <c r="P791" t="str">
        <f>DO_DB[[#This Row],[SiteID]]&amp;"_"&amp;DO_DB[[#This Row],[Material Name]]</f>
        <v>CLR23-01-056_FDT-48</v>
      </c>
      <c r="Q791" t="str">
        <f>DO_DB[[#This Row],[DO Number]]</f>
        <v>DOEID240219B9</v>
      </c>
      <c r="R791" t="str">
        <f>DO_DB[[#This Row],[DN Number]]</f>
        <v>DNWID0342024022007</v>
      </c>
    </row>
    <row r="792" spans="1:18">
      <c r="A792" t="s">
        <v>939</v>
      </c>
      <c r="B792" t="s">
        <v>940</v>
      </c>
      <c r="C792" s="172" t="s">
        <v>4482</v>
      </c>
      <c r="D792" t="s">
        <v>71</v>
      </c>
      <c r="E792" t="s">
        <v>92</v>
      </c>
      <c r="F792" t="s">
        <v>4498</v>
      </c>
      <c r="G792" t="s">
        <v>941</v>
      </c>
      <c r="H792" t="s">
        <v>942</v>
      </c>
      <c r="I792" s="130">
        <v>45343</v>
      </c>
      <c r="J792" t="s">
        <v>3080</v>
      </c>
      <c r="K792">
        <v>3</v>
      </c>
      <c r="M7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92" t="str">
        <f>DO_DB[[#This Row],[Material Pick-update]]&amp;"_"&amp;DO_DB[[#This Row],[Material Name]]</f>
        <v>45343_1:8 SPL for FDT-AE &amp; UG</v>
      </c>
      <c r="O792" t="str">
        <f>DO_DB[[#This Row],[SiteID]]</f>
        <v>CLR23-01-056</v>
      </c>
      <c r="P792" t="str">
        <f>DO_DB[[#This Row],[SiteID]]&amp;"_"&amp;DO_DB[[#This Row],[Material Name]]</f>
        <v>CLR23-01-056_1:8 SPL for FDT-AE &amp; UG</v>
      </c>
      <c r="Q792" t="str">
        <f>DO_DB[[#This Row],[DO Number]]</f>
        <v>DOEID240219B9</v>
      </c>
      <c r="R792" t="str">
        <f>DO_DB[[#This Row],[DN Number]]</f>
        <v>DNWID0342024022007</v>
      </c>
    </row>
    <row r="793" spans="1:18">
      <c r="A793" t="s">
        <v>939</v>
      </c>
      <c r="B793" t="s">
        <v>940</v>
      </c>
      <c r="C793" s="172" t="s">
        <v>4482</v>
      </c>
      <c r="D793" t="s">
        <v>71</v>
      </c>
      <c r="E793" t="s">
        <v>92</v>
      </c>
      <c r="F793" t="s">
        <v>4498</v>
      </c>
      <c r="G793" t="s">
        <v>941</v>
      </c>
      <c r="H793" t="s">
        <v>942</v>
      </c>
      <c r="I793" s="130">
        <v>45343</v>
      </c>
      <c r="J793" t="s">
        <v>3075</v>
      </c>
      <c r="K793">
        <v>3000</v>
      </c>
      <c r="M7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48C-2024221-01</v>
      </c>
      <c r="N793" t="str">
        <f>DO_DB[[#This Row],[Material Pick-update]]&amp;"_"&amp;DO_DB[[#This Row],[Material Name]]</f>
        <v>45343_ADSS 48C</v>
      </c>
      <c r="O793" t="str">
        <f>DO_DB[[#This Row],[SiteID]]</f>
        <v>CLR23-01-056</v>
      </c>
      <c r="P793" t="str">
        <f>DO_DB[[#This Row],[SiteID]]&amp;"_"&amp;DO_DB[[#This Row],[Material Name]]</f>
        <v>CLR23-01-056_ADSS 48C</v>
      </c>
      <c r="Q793" t="str">
        <f>DO_DB[[#This Row],[DO Number]]</f>
        <v>DOEID240219B9</v>
      </c>
      <c r="R793" t="str">
        <f>DO_DB[[#This Row],[DN Number]]</f>
        <v>DNWID0342024022007</v>
      </c>
    </row>
    <row r="794" spans="1:18">
      <c r="A794" t="s">
        <v>931</v>
      </c>
      <c r="B794" t="s">
        <v>932</v>
      </c>
      <c r="C794" s="172" t="s">
        <v>4482</v>
      </c>
      <c r="D794" t="s">
        <v>71</v>
      </c>
      <c r="E794" t="s">
        <v>135</v>
      </c>
      <c r="F794" t="s">
        <v>4498</v>
      </c>
      <c r="G794" t="s">
        <v>1065</v>
      </c>
      <c r="H794" t="s">
        <v>1066</v>
      </c>
      <c r="I794" s="130">
        <v>45358</v>
      </c>
      <c r="J794" t="s">
        <v>13</v>
      </c>
      <c r="K794">
        <v>9</v>
      </c>
      <c r="M7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94" t="str">
        <f>DO_DB[[#This Row],[Material Pick-update]]&amp;"_"&amp;DO_DB[[#This Row],[Material Name]]</f>
        <v>45358_FAT-16</v>
      </c>
      <c r="O794" t="str">
        <f>DO_DB[[#This Row],[SiteID]]</f>
        <v>CLR22-99-098</v>
      </c>
      <c r="P794" t="str">
        <f>DO_DB[[#This Row],[SiteID]]&amp;"_"&amp;DO_DB[[#This Row],[Material Name]]</f>
        <v>CLR22-99-098_FAT-16</v>
      </c>
      <c r="Q794" t="str">
        <f>DO_DB[[#This Row],[DO Number]]</f>
        <v>DOEID240304BZ</v>
      </c>
      <c r="R794" t="str">
        <f>DO_DB[[#This Row],[DN Number]]</f>
        <v>DNWID0342024030423</v>
      </c>
    </row>
    <row r="795" spans="1:18">
      <c r="A795" t="s">
        <v>935</v>
      </c>
      <c r="B795" t="s">
        <v>936</v>
      </c>
      <c r="C795" s="172" t="s">
        <v>4482</v>
      </c>
      <c r="D795" t="s">
        <v>71</v>
      </c>
      <c r="E795" t="s">
        <v>135</v>
      </c>
      <c r="F795" t="s">
        <v>4498</v>
      </c>
      <c r="G795" t="s">
        <v>1067</v>
      </c>
      <c r="H795" t="s">
        <v>1068</v>
      </c>
      <c r="I795" s="130">
        <v>45358</v>
      </c>
      <c r="J795" t="s">
        <v>13</v>
      </c>
      <c r="K795">
        <v>7</v>
      </c>
      <c r="M7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95" t="str">
        <f>DO_DB[[#This Row],[Material Pick-update]]&amp;"_"&amp;DO_DB[[#This Row],[Material Name]]</f>
        <v>45358_FAT-16</v>
      </c>
      <c r="O795" t="str">
        <f>DO_DB[[#This Row],[SiteID]]</f>
        <v>CLR22-99-097</v>
      </c>
      <c r="P795" t="str">
        <f>DO_DB[[#This Row],[SiteID]]&amp;"_"&amp;DO_DB[[#This Row],[Material Name]]</f>
        <v>CLR22-99-097_FAT-16</v>
      </c>
      <c r="Q795" t="str">
        <f>DO_DB[[#This Row],[DO Number]]</f>
        <v>DOEID240304C0</v>
      </c>
      <c r="R795" t="str">
        <f>DO_DB[[#This Row],[DN Number]]</f>
        <v>DNWID0342024030424</v>
      </c>
    </row>
    <row r="796" spans="1:18">
      <c r="A796" t="s">
        <v>1185</v>
      </c>
      <c r="B796" t="s">
        <v>1186</v>
      </c>
      <c r="C796" s="172" t="s">
        <v>4482</v>
      </c>
      <c r="D796" t="s">
        <v>71</v>
      </c>
      <c r="E796" t="s">
        <v>135</v>
      </c>
      <c r="F796" t="s">
        <v>4498</v>
      </c>
      <c r="G796" t="s">
        <v>1187</v>
      </c>
      <c r="H796" t="s">
        <v>1188</v>
      </c>
      <c r="I796" s="130">
        <v>45372</v>
      </c>
      <c r="J796" t="s">
        <v>3069</v>
      </c>
      <c r="K796">
        <v>17</v>
      </c>
      <c r="M7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96" t="str">
        <f>DO_DB[[#This Row],[Material Pick-update]]&amp;"_"&amp;DO_DB[[#This Row],[Material Name]]</f>
        <v>45372_Pole 7M 4"</v>
      </c>
      <c r="O796" t="str">
        <f>DO_DB[[#This Row],[SiteID]]</f>
        <v>CLR22-99-117</v>
      </c>
      <c r="P796" t="str">
        <f>DO_DB[[#This Row],[SiteID]]&amp;"_"&amp;DO_DB[[#This Row],[Material Name]]</f>
        <v>CLR22-99-117_Pole 7M 4"</v>
      </c>
      <c r="Q796" t="str">
        <f>DO_DB[[#This Row],[DO Number]]</f>
        <v>DOEID24031926</v>
      </c>
      <c r="R796" t="str">
        <f>DO_DB[[#This Row],[DN Number]]</f>
        <v>DNWID0362024031910</v>
      </c>
    </row>
    <row r="797" spans="1:18">
      <c r="A797" t="s">
        <v>1185</v>
      </c>
      <c r="B797" t="s">
        <v>1186</v>
      </c>
      <c r="C797" s="172" t="s">
        <v>4482</v>
      </c>
      <c r="D797" t="s">
        <v>71</v>
      </c>
      <c r="E797" t="s">
        <v>135</v>
      </c>
      <c r="F797" t="s">
        <v>4498</v>
      </c>
      <c r="G797" t="s">
        <v>1187</v>
      </c>
      <c r="H797" t="s">
        <v>1188</v>
      </c>
      <c r="I797" s="130">
        <v>45372</v>
      </c>
      <c r="J797" t="s">
        <v>3070</v>
      </c>
      <c r="K797">
        <v>2</v>
      </c>
      <c r="M7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97" t="str">
        <f>DO_DB[[#This Row],[Material Pick-update]]&amp;"_"&amp;DO_DB[[#This Row],[Material Name]]</f>
        <v>45372_Pole 7M 3"</v>
      </c>
      <c r="O797" t="str">
        <f>DO_DB[[#This Row],[SiteID]]</f>
        <v>CLR22-99-117</v>
      </c>
      <c r="P797" t="str">
        <f>DO_DB[[#This Row],[SiteID]]&amp;"_"&amp;DO_DB[[#This Row],[Material Name]]</f>
        <v>CLR22-99-117_Pole 7M 3"</v>
      </c>
      <c r="Q797" t="str">
        <f>DO_DB[[#This Row],[DO Number]]</f>
        <v>DOEID24031926</v>
      </c>
      <c r="R797" t="str">
        <f>DO_DB[[#This Row],[DN Number]]</f>
        <v>DNWID0362024031910</v>
      </c>
    </row>
    <row r="798" spans="1:18">
      <c r="A798" t="s">
        <v>1185</v>
      </c>
      <c r="B798" t="s">
        <v>1186</v>
      </c>
      <c r="C798" s="172" t="s">
        <v>4482</v>
      </c>
      <c r="D798" t="s">
        <v>71</v>
      </c>
      <c r="E798" t="s">
        <v>135</v>
      </c>
      <c r="F798" t="s">
        <v>4498</v>
      </c>
      <c r="G798" t="s">
        <v>1201</v>
      </c>
      <c r="H798" t="s">
        <v>1202</v>
      </c>
      <c r="I798" s="130">
        <v>45372</v>
      </c>
      <c r="J798" t="s">
        <v>13</v>
      </c>
      <c r="K798">
        <v>11</v>
      </c>
      <c r="M7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98" t="str">
        <f>DO_DB[[#This Row],[Material Pick-update]]&amp;"_"&amp;DO_DB[[#This Row],[Material Name]]</f>
        <v>45372_FAT-16</v>
      </c>
      <c r="O798" t="str">
        <f>DO_DB[[#This Row],[SiteID]]</f>
        <v>CLR22-99-117</v>
      </c>
      <c r="P798" t="str">
        <f>DO_DB[[#This Row],[SiteID]]&amp;"_"&amp;DO_DB[[#This Row],[Material Name]]</f>
        <v>CLR22-99-117_FAT-16</v>
      </c>
      <c r="Q798" t="str">
        <f>DO_DB[[#This Row],[DO Number]]</f>
        <v>DOEID24031927</v>
      </c>
      <c r="R798" t="str">
        <f>DO_DB[[#This Row],[DN Number]]</f>
        <v>DNWID0342024031910</v>
      </c>
    </row>
    <row r="799" spans="1:18">
      <c r="A799" t="s">
        <v>1189</v>
      </c>
      <c r="B799" t="s">
        <v>1190</v>
      </c>
      <c r="C799" s="172" t="s">
        <v>4482</v>
      </c>
      <c r="D799" t="s">
        <v>71</v>
      </c>
      <c r="E799" t="s">
        <v>135</v>
      </c>
      <c r="F799" t="s">
        <v>4498</v>
      </c>
      <c r="G799" t="s">
        <v>1191</v>
      </c>
      <c r="H799" t="s">
        <v>1192</v>
      </c>
      <c r="I799" s="130">
        <v>45372</v>
      </c>
      <c r="J799" t="s">
        <v>3069</v>
      </c>
      <c r="K799">
        <v>21</v>
      </c>
      <c r="M7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799" t="str">
        <f>DO_DB[[#This Row],[Material Pick-update]]&amp;"_"&amp;DO_DB[[#This Row],[Material Name]]</f>
        <v>45372_Pole 7M 4"</v>
      </c>
      <c r="O799" t="str">
        <f>DO_DB[[#This Row],[SiteID]]</f>
        <v>CLR22-99-119</v>
      </c>
      <c r="P799" t="str">
        <f>DO_DB[[#This Row],[SiteID]]&amp;"_"&amp;DO_DB[[#This Row],[Material Name]]</f>
        <v>CLR22-99-119_Pole 7M 4"</v>
      </c>
      <c r="Q799" t="str">
        <f>DO_DB[[#This Row],[DO Number]]</f>
        <v>DOEID24031930</v>
      </c>
      <c r="R799" t="str">
        <f>DO_DB[[#This Row],[DN Number]]</f>
        <v>DNWID0362024032018</v>
      </c>
    </row>
    <row r="800" spans="1:18">
      <c r="A800" t="s">
        <v>1189</v>
      </c>
      <c r="B800" t="s">
        <v>1190</v>
      </c>
      <c r="C800" s="172" t="s">
        <v>4482</v>
      </c>
      <c r="D800" t="s">
        <v>71</v>
      </c>
      <c r="E800" t="s">
        <v>135</v>
      </c>
      <c r="F800" t="s">
        <v>4498</v>
      </c>
      <c r="G800" t="s">
        <v>1191</v>
      </c>
      <c r="H800" t="s">
        <v>1192</v>
      </c>
      <c r="I800" s="130">
        <v>45372</v>
      </c>
      <c r="J800" t="s">
        <v>3070</v>
      </c>
      <c r="K800">
        <v>4</v>
      </c>
      <c r="M8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00" t="str">
        <f>DO_DB[[#This Row],[Material Pick-update]]&amp;"_"&amp;DO_DB[[#This Row],[Material Name]]</f>
        <v>45372_Pole 7M 3"</v>
      </c>
      <c r="O800" t="str">
        <f>DO_DB[[#This Row],[SiteID]]</f>
        <v>CLR22-99-119</v>
      </c>
      <c r="P800" t="str">
        <f>DO_DB[[#This Row],[SiteID]]&amp;"_"&amp;DO_DB[[#This Row],[Material Name]]</f>
        <v>CLR22-99-119_Pole 7M 3"</v>
      </c>
      <c r="Q800" t="str">
        <f>DO_DB[[#This Row],[DO Number]]</f>
        <v>DOEID24031930</v>
      </c>
      <c r="R800" t="str">
        <f>DO_DB[[#This Row],[DN Number]]</f>
        <v>DNWID0362024032018</v>
      </c>
    </row>
    <row r="801" spans="1:18">
      <c r="A801" t="s">
        <v>1189</v>
      </c>
      <c r="B801" t="s">
        <v>1190</v>
      </c>
      <c r="C801" s="172" t="s">
        <v>4482</v>
      </c>
      <c r="D801" t="s">
        <v>71</v>
      </c>
      <c r="E801" t="s">
        <v>135</v>
      </c>
      <c r="F801" t="s">
        <v>4498</v>
      </c>
      <c r="G801" t="s">
        <v>1193</v>
      </c>
      <c r="H801" t="s">
        <v>1194</v>
      </c>
      <c r="I801" s="130">
        <v>45372</v>
      </c>
      <c r="J801" t="s">
        <v>13</v>
      </c>
      <c r="K801">
        <v>10</v>
      </c>
      <c r="M8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01" t="str">
        <f>DO_DB[[#This Row],[Material Pick-update]]&amp;"_"&amp;DO_DB[[#This Row],[Material Name]]</f>
        <v>45372_FAT-16</v>
      </c>
      <c r="O801" t="str">
        <f>DO_DB[[#This Row],[SiteID]]</f>
        <v>CLR22-99-119</v>
      </c>
      <c r="P801" t="str">
        <f>DO_DB[[#This Row],[SiteID]]&amp;"_"&amp;DO_DB[[#This Row],[Material Name]]</f>
        <v>CLR22-99-119_FAT-16</v>
      </c>
      <c r="Q801" t="str">
        <f>DO_DB[[#This Row],[DO Number]]</f>
        <v>DOEID24031931</v>
      </c>
      <c r="R801" t="str">
        <f>DO_DB[[#This Row],[DN Number]]</f>
        <v>DNWID0342024031912</v>
      </c>
    </row>
    <row r="802" spans="1:18">
      <c r="A802" t="s">
        <v>1177</v>
      </c>
      <c r="B802" t="s">
        <v>1178</v>
      </c>
      <c r="C802" s="172" t="s">
        <v>4482</v>
      </c>
      <c r="D802" t="s">
        <v>71</v>
      </c>
      <c r="E802" t="s">
        <v>135</v>
      </c>
      <c r="F802" t="s">
        <v>4498</v>
      </c>
      <c r="G802" t="s">
        <v>1179</v>
      </c>
      <c r="H802" t="s">
        <v>1180</v>
      </c>
      <c r="I802" s="130">
        <v>45372</v>
      </c>
      <c r="J802" t="s">
        <v>3069</v>
      </c>
      <c r="K802">
        <v>21</v>
      </c>
      <c r="M8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02" t="str">
        <f>DO_DB[[#This Row],[Material Pick-update]]&amp;"_"&amp;DO_DB[[#This Row],[Material Name]]</f>
        <v>45372_Pole 7M 4"</v>
      </c>
      <c r="O802" t="str">
        <f>DO_DB[[#This Row],[SiteID]]</f>
        <v>CLR22-99-120</v>
      </c>
      <c r="P802" t="str">
        <f>DO_DB[[#This Row],[SiteID]]&amp;"_"&amp;DO_DB[[#This Row],[Material Name]]</f>
        <v>CLR22-99-120_Pole 7M 4"</v>
      </c>
      <c r="Q802" t="str">
        <f>DO_DB[[#This Row],[DO Number]]</f>
        <v>DOEID24031932</v>
      </c>
      <c r="R802" t="str">
        <f>DO_DB[[#This Row],[DN Number]]</f>
        <v>DNWID0362024032019</v>
      </c>
    </row>
    <row r="803" spans="1:18">
      <c r="A803" t="s">
        <v>1177</v>
      </c>
      <c r="B803" t="s">
        <v>1178</v>
      </c>
      <c r="C803" s="172" t="s">
        <v>4482</v>
      </c>
      <c r="D803" t="s">
        <v>71</v>
      </c>
      <c r="E803" t="s">
        <v>135</v>
      </c>
      <c r="F803" t="s">
        <v>4498</v>
      </c>
      <c r="G803" t="s">
        <v>1179</v>
      </c>
      <c r="H803" t="s">
        <v>1180</v>
      </c>
      <c r="I803" s="130">
        <v>45372</v>
      </c>
      <c r="J803" t="s">
        <v>3070</v>
      </c>
      <c r="K803">
        <v>4</v>
      </c>
      <c r="M8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03" t="str">
        <f>DO_DB[[#This Row],[Material Pick-update]]&amp;"_"&amp;DO_DB[[#This Row],[Material Name]]</f>
        <v>45372_Pole 7M 3"</v>
      </c>
      <c r="O803" t="str">
        <f>DO_DB[[#This Row],[SiteID]]</f>
        <v>CLR22-99-120</v>
      </c>
      <c r="P803" t="str">
        <f>DO_DB[[#This Row],[SiteID]]&amp;"_"&amp;DO_DB[[#This Row],[Material Name]]</f>
        <v>CLR22-99-120_Pole 7M 3"</v>
      </c>
      <c r="Q803" t="str">
        <f>DO_DB[[#This Row],[DO Number]]</f>
        <v>DOEID24031932</v>
      </c>
      <c r="R803" t="str">
        <f>DO_DB[[#This Row],[DN Number]]</f>
        <v>DNWID0362024032019</v>
      </c>
    </row>
    <row r="804" spans="1:18">
      <c r="A804" t="s">
        <v>1177</v>
      </c>
      <c r="B804" t="s">
        <v>1178</v>
      </c>
      <c r="C804" s="172" t="s">
        <v>4482</v>
      </c>
      <c r="D804" t="s">
        <v>71</v>
      </c>
      <c r="E804" t="s">
        <v>135</v>
      </c>
      <c r="F804" t="s">
        <v>4498</v>
      </c>
      <c r="G804" t="s">
        <v>1197</v>
      </c>
      <c r="H804" t="s">
        <v>1198</v>
      </c>
      <c r="I804" s="130">
        <v>45372</v>
      </c>
      <c r="J804" t="s">
        <v>13</v>
      </c>
      <c r="K804">
        <v>13</v>
      </c>
      <c r="M8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04" t="str">
        <f>DO_DB[[#This Row],[Material Pick-update]]&amp;"_"&amp;DO_DB[[#This Row],[Material Name]]</f>
        <v>45372_FAT-16</v>
      </c>
      <c r="O804" t="str">
        <f>DO_DB[[#This Row],[SiteID]]</f>
        <v>CLR22-99-120</v>
      </c>
      <c r="P804" t="str">
        <f>DO_DB[[#This Row],[SiteID]]&amp;"_"&amp;DO_DB[[#This Row],[Material Name]]</f>
        <v>CLR22-99-120_FAT-16</v>
      </c>
      <c r="Q804" t="str">
        <f>DO_DB[[#This Row],[DO Number]]</f>
        <v>DOEID24031933</v>
      </c>
      <c r="R804" t="str">
        <f>DO_DB[[#This Row],[DN Number]]</f>
        <v>DNWID0342024031913</v>
      </c>
    </row>
    <row r="805" spans="1:18">
      <c r="A805" t="s">
        <v>1181</v>
      </c>
      <c r="B805" t="s">
        <v>1182</v>
      </c>
      <c r="C805" s="172" t="s">
        <v>4482</v>
      </c>
      <c r="D805" t="s">
        <v>71</v>
      </c>
      <c r="E805" t="s">
        <v>135</v>
      </c>
      <c r="F805" t="s">
        <v>4498</v>
      </c>
      <c r="G805" t="s">
        <v>1195</v>
      </c>
      <c r="H805" t="s">
        <v>1196</v>
      </c>
      <c r="I805" s="130">
        <v>45372</v>
      </c>
      <c r="J805" t="s">
        <v>3069</v>
      </c>
      <c r="K805">
        <v>17</v>
      </c>
      <c r="M8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05" t="str">
        <f>DO_DB[[#This Row],[Material Pick-update]]&amp;"_"&amp;DO_DB[[#This Row],[Material Name]]</f>
        <v>45372_Pole 7M 4"</v>
      </c>
      <c r="O805" t="str">
        <f>DO_DB[[#This Row],[SiteID]]</f>
        <v>CLR22-99-121</v>
      </c>
      <c r="P805" t="str">
        <f>DO_DB[[#This Row],[SiteID]]&amp;"_"&amp;DO_DB[[#This Row],[Material Name]]</f>
        <v>CLR22-99-121_Pole 7M 4"</v>
      </c>
      <c r="Q805" t="str">
        <f>DO_DB[[#This Row],[DO Number]]</f>
        <v>DOEID24031934</v>
      </c>
      <c r="R805" t="str">
        <f>DO_DB[[#This Row],[DN Number]]</f>
        <v>DNWID0362024032020</v>
      </c>
    </row>
    <row r="806" spans="1:18">
      <c r="A806" t="s">
        <v>1181</v>
      </c>
      <c r="B806" t="s">
        <v>1182</v>
      </c>
      <c r="C806" s="172" t="s">
        <v>4482</v>
      </c>
      <c r="D806" t="s">
        <v>71</v>
      </c>
      <c r="E806" t="s">
        <v>135</v>
      </c>
      <c r="F806" t="s">
        <v>4498</v>
      </c>
      <c r="G806" t="s">
        <v>1195</v>
      </c>
      <c r="H806" t="s">
        <v>1196</v>
      </c>
      <c r="I806" s="130">
        <v>45372</v>
      </c>
      <c r="J806" t="s">
        <v>3070</v>
      </c>
      <c r="K806">
        <v>3</v>
      </c>
      <c r="M8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06" t="str">
        <f>DO_DB[[#This Row],[Material Pick-update]]&amp;"_"&amp;DO_DB[[#This Row],[Material Name]]</f>
        <v>45372_Pole 7M 3"</v>
      </c>
      <c r="O806" t="str">
        <f>DO_DB[[#This Row],[SiteID]]</f>
        <v>CLR22-99-121</v>
      </c>
      <c r="P806" t="str">
        <f>DO_DB[[#This Row],[SiteID]]&amp;"_"&amp;DO_DB[[#This Row],[Material Name]]</f>
        <v>CLR22-99-121_Pole 7M 3"</v>
      </c>
      <c r="Q806" t="str">
        <f>DO_DB[[#This Row],[DO Number]]</f>
        <v>DOEID24031934</v>
      </c>
      <c r="R806" t="str">
        <f>DO_DB[[#This Row],[DN Number]]</f>
        <v>DNWID0362024032020</v>
      </c>
    </row>
    <row r="807" spans="1:18">
      <c r="A807" t="s">
        <v>1181</v>
      </c>
      <c r="B807" t="s">
        <v>1182</v>
      </c>
      <c r="C807" s="172" t="s">
        <v>4482</v>
      </c>
      <c r="D807" t="s">
        <v>71</v>
      </c>
      <c r="E807" t="s">
        <v>135</v>
      </c>
      <c r="F807" t="s">
        <v>4498</v>
      </c>
      <c r="G807" t="s">
        <v>1183</v>
      </c>
      <c r="H807" t="s">
        <v>1184</v>
      </c>
      <c r="I807" s="130">
        <v>45372</v>
      </c>
      <c r="J807" t="s">
        <v>13</v>
      </c>
      <c r="K807">
        <v>11</v>
      </c>
      <c r="M8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07" t="str">
        <f>DO_DB[[#This Row],[Material Pick-update]]&amp;"_"&amp;DO_DB[[#This Row],[Material Name]]</f>
        <v>45372_FAT-16</v>
      </c>
      <c r="O807" t="str">
        <f>DO_DB[[#This Row],[SiteID]]</f>
        <v>CLR22-99-121</v>
      </c>
      <c r="P807" t="str">
        <f>DO_DB[[#This Row],[SiteID]]&amp;"_"&amp;DO_DB[[#This Row],[Material Name]]</f>
        <v>CLR22-99-121_FAT-16</v>
      </c>
      <c r="Q807" t="str">
        <f>DO_DB[[#This Row],[DO Number]]</f>
        <v>DOEID24031935</v>
      </c>
      <c r="R807" t="str">
        <f>DO_DB[[#This Row],[DN Number]]</f>
        <v>DNWID0342024031914</v>
      </c>
    </row>
    <row r="808" spans="1:18">
      <c r="A808" t="s">
        <v>1169</v>
      </c>
      <c r="B808" t="s">
        <v>1170</v>
      </c>
      <c r="C808" s="172" t="s">
        <v>4482</v>
      </c>
      <c r="D808" t="s">
        <v>71</v>
      </c>
      <c r="E808" t="s">
        <v>135</v>
      </c>
      <c r="F808" t="s">
        <v>4498</v>
      </c>
      <c r="G808" t="s">
        <v>1199</v>
      </c>
      <c r="H808" t="s">
        <v>1200</v>
      </c>
      <c r="I808" s="130">
        <v>45372</v>
      </c>
      <c r="J808" t="s">
        <v>3069</v>
      </c>
      <c r="K808">
        <v>24</v>
      </c>
      <c r="M8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08" t="str">
        <f>DO_DB[[#This Row],[Material Pick-update]]&amp;"_"&amp;DO_DB[[#This Row],[Material Name]]</f>
        <v>45372_Pole 7M 4"</v>
      </c>
      <c r="O808" t="str">
        <f>DO_DB[[#This Row],[SiteID]]</f>
        <v>CLR22-99-116</v>
      </c>
      <c r="P808" t="str">
        <f>DO_DB[[#This Row],[SiteID]]&amp;"_"&amp;DO_DB[[#This Row],[Material Name]]</f>
        <v>CLR22-99-116_Pole 7M 4"</v>
      </c>
      <c r="Q808" t="str">
        <f>DO_DB[[#This Row],[DO Number]]</f>
        <v>DOEID24032036</v>
      </c>
      <c r="R808" t="str">
        <f>DO_DB[[#This Row],[DN Number]]</f>
        <v>DNWID0362024032021</v>
      </c>
    </row>
    <row r="809" spans="1:18">
      <c r="A809" t="s">
        <v>1169</v>
      </c>
      <c r="B809" t="s">
        <v>1170</v>
      </c>
      <c r="C809" s="172" t="s">
        <v>4482</v>
      </c>
      <c r="D809" t="s">
        <v>71</v>
      </c>
      <c r="E809" t="s">
        <v>135</v>
      </c>
      <c r="F809" t="s">
        <v>4498</v>
      </c>
      <c r="G809" t="s">
        <v>1199</v>
      </c>
      <c r="H809" t="s">
        <v>1200</v>
      </c>
      <c r="I809" s="130">
        <v>45372</v>
      </c>
      <c r="J809" t="s">
        <v>3070</v>
      </c>
      <c r="K809">
        <v>8</v>
      </c>
      <c r="M8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09" t="str">
        <f>DO_DB[[#This Row],[Material Pick-update]]&amp;"_"&amp;DO_DB[[#This Row],[Material Name]]</f>
        <v>45372_Pole 7M 3"</v>
      </c>
      <c r="O809" t="str">
        <f>DO_DB[[#This Row],[SiteID]]</f>
        <v>CLR22-99-116</v>
      </c>
      <c r="P809" t="str">
        <f>DO_DB[[#This Row],[SiteID]]&amp;"_"&amp;DO_DB[[#This Row],[Material Name]]</f>
        <v>CLR22-99-116_Pole 7M 3"</v>
      </c>
      <c r="Q809" t="str">
        <f>DO_DB[[#This Row],[DO Number]]</f>
        <v>DOEID24032036</v>
      </c>
      <c r="R809" t="str">
        <f>DO_DB[[#This Row],[DN Number]]</f>
        <v>DNWID0362024032021</v>
      </c>
    </row>
    <row r="810" spans="1:18">
      <c r="A810" t="s">
        <v>1169</v>
      </c>
      <c r="B810" t="s">
        <v>1170</v>
      </c>
      <c r="C810" s="172" t="s">
        <v>4482</v>
      </c>
      <c r="D810" t="s">
        <v>71</v>
      </c>
      <c r="E810" t="s">
        <v>135</v>
      </c>
      <c r="F810" t="s">
        <v>4498</v>
      </c>
      <c r="G810" t="s">
        <v>1171</v>
      </c>
      <c r="H810" t="s">
        <v>1172</v>
      </c>
      <c r="I810" s="130">
        <v>45372</v>
      </c>
      <c r="J810" t="s">
        <v>4856</v>
      </c>
      <c r="K810">
        <v>1</v>
      </c>
      <c r="M8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10" t="str">
        <f>DO_DB[[#This Row],[Material Pick-update]]&amp;"_"&amp;DO_DB[[#This Row],[Material Name]]</f>
        <v>45372_JC 144Core</v>
      </c>
      <c r="O810" t="str">
        <f>DO_DB[[#This Row],[SiteID]]</f>
        <v>CLR22-99-116</v>
      </c>
      <c r="P810" t="str">
        <f>DO_DB[[#This Row],[SiteID]]&amp;"_"&amp;DO_DB[[#This Row],[Material Name]]</f>
        <v>CLR22-99-116_JC 144Core</v>
      </c>
      <c r="Q810" t="str">
        <f>DO_DB[[#This Row],[DO Number]]</f>
        <v>DOEID24032037</v>
      </c>
      <c r="R810" t="str">
        <f>DO_DB[[#This Row],[DN Number]]</f>
        <v>DNWID0762024032002</v>
      </c>
    </row>
    <row r="811" spans="1:18">
      <c r="A811" t="s">
        <v>1169</v>
      </c>
      <c r="B811" t="s">
        <v>1170</v>
      </c>
      <c r="C811" s="172" t="s">
        <v>4482</v>
      </c>
      <c r="D811" t="s">
        <v>71</v>
      </c>
      <c r="E811" t="s">
        <v>135</v>
      </c>
      <c r="F811" t="s">
        <v>4498</v>
      </c>
      <c r="G811" t="s">
        <v>1205</v>
      </c>
      <c r="H811" t="s">
        <v>1206</v>
      </c>
      <c r="I811" s="130">
        <v>45372</v>
      </c>
      <c r="J811" t="s">
        <v>14</v>
      </c>
      <c r="K811">
        <v>1</v>
      </c>
      <c r="M8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11" t="str">
        <f>DO_DB[[#This Row],[Material Pick-update]]&amp;"_"&amp;DO_DB[[#This Row],[Material Name]]</f>
        <v>45372_FDT-48</v>
      </c>
      <c r="O811" t="str">
        <f>DO_DB[[#This Row],[SiteID]]</f>
        <v>CLR22-99-116</v>
      </c>
      <c r="P811" t="str">
        <f>DO_DB[[#This Row],[SiteID]]&amp;"_"&amp;DO_DB[[#This Row],[Material Name]]</f>
        <v>CLR22-99-116_FDT-48</v>
      </c>
      <c r="Q811" t="str">
        <f>DO_DB[[#This Row],[DO Number]]</f>
        <v>DOEID24032038</v>
      </c>
      <c r="R811" t="str">
        <f>DO_DB[[#This Row],[DN Number]]</f>
        <v>DNWID0342024032003</v>
      </c>
    </row>
    <row r="812" spans="1:18">
      <c r="A812" t="s">
        <v>1169</v>
      </c>
      <c r="B812" t="s">
        <v>1170</v>
      </c>
      <c r="C812" s="172" t="s">
        <v>4482</v>
      </c>
      <c r="D812" t="s">
        <v>71</v>
      </c>
      <c r="E812" t="s">
        <v>135</v>
      </c>
      <c r="F812" t="s">
        <v>4498</v>
      </c>
      <c r="G812" t="s">
        <v>1205</v>
      </c>
      <c r="H812" t="s">
        <v>1206</v>
      </c>
      <c r="I812" s="130">
        <v>45372</v>
      </c>
      <c r="J812" t="s">
        <v>13</v>
      </c>
      <c r="K812">
        <v>10</v>
      </c>
      <c r="M8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12" t="str">
        <f>DO_DB[[#This Row],[Material Pick-update]]&amp;"_"&amp;DO_DB[[#This Row],[Material Name]]</f>
        <v>45372_FAT-16</v>
      </c>
      <c r="O812" t="str">
        <f>DO_DB[[#This Row],[SiteID]]</f>
        <v>CLR22-99-116</v>
      </c>
      <c r="P812" t="str">
        <f>DO_DB[[#This Row],[SiteID]]&amp;"_"&amp;DO_DB[[#This Row],[Material Name]]</f>
        <v>CLR22-99-116_FAT-16</v>
      </c>
      <c r="Q812" t="str">
        <f>DO_DB[[#This Row],[DO Number]]</f>
        <v>DOEID24032038</v>
      </c>
      <c r="R812" t="str">
        <f>DO_DB[[#This Row],[DN Number]]</f>
        <v>DNWID0342024032003</v>
      </c>
    </row>
    <row r="813" spans="1:18">
      <c r="A813" t="s">
        <v>1169</v>
      </c>
      <c r="B813" t="s">
        <v>1170</v>
      </c>
      <c r="C813" s="172" t="s">
        <v>4482</v>
      </c>
      <c r="D813" t="s">
        <v>71</v>
      </c>
      <c r="E813" t="s">
        <v>135</v>
      </c>
      <c r="F813" t="s">
        <v>4498</v>
      </c>
      <c r="G813" t="s">
        <v>1205</v>
      </c>
      <c r="H813" t="s">
        <v>1206</v>
      </c>
      <c r="I813" s="130">
        <v>45372</v>
      </c>
      <c r="J813" t="s">
        <v>3080</v>
      </c>
      <c r="K813">
        <v>3</v>
      </c>
      <c r="M8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13" t="str">
        <f>DO_DB[[#This Row],[Material Pick-update]]&amp;"_"&amp;DO_DB[[#This Row],[Material Name]]</f>
        <v>45372_1:8 SPL for FDT-AE &amp; UG</v>
      </c>
      <c r="O813" t="str">
        <f>DO_DB[[#This Row],[SiteID]]</f>
        <v>CLR22-99-116</v>
      </c>
      <c r="P813" t="str">
        <f>DO_DB[[#This Row],[SiteID]]&amp;"_"&amp;DO_DB[[#This Row],[Material Name]]</f>
        <v>CLR22-99-116_1:8 SPL for FDT-AE &amp; UG</v>
      </c>
      <c r="Q813" t="str">
        <f>DO_DB[[#This Row],[DO Number]]</f>
        <v>DOEID24032038</v>
      </c>
      <c r="R813" t="str">
        <f>DO_DB[[#This Row],[DN Number]]</f>
        <v>DNWID0342024032003</v>
      </c>
    </row>
    <row r="814" spans="1:18">
      <c r="A814" t="s">
        <v>1173</v>
      </c>
      <c r="B814" t="s">
        <v>1174</v>
      </c>
      <c r="C814" s="172" t="s">
        <v>4482</v>
      </c>
      <c r="D814" t="s">
        <v>71</v>
      </c>
      <c r="E814" t="s">
        <v>135</v>
      </c>
      <c r="F814" t="s">
        <v>4498</v>
      </c>
      <c r="G814" t="s">
        <v>1203</v>
      </c>
      <c r="H814" t="s">
        <v>1204</v>
      </c>
      <c r="I814" s="130">
        <v>45372</v>
      </c>
      <c r="J814" t="s">
        <v>3069</v>
      </c>
      <c r="K814">
        <v>32</v>
      </c>
      <c r="M8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14" t="str">
        <f>DO_DB[[#This Row],[Material Pick-update]]&amp;"_"&amp;DO_DB[[#This Row],[Material Name]]</f>
        <v>45372_Pole 7M 4"</v>
      </c>
      <c r="O814" t="str">
        <f>DO_DB[[#This Row],[SiteID]]</f>
        <v>CLR22-99-118</v>
      </c>
      <c r="P814" t="str">
        <f>DO_DB[[#This Row],[SiteID]]&amp;"_"&amp;DO_DB[[#This Row],[Material Name]]</f>
        <v>CLR22-99-118_Pole 7M 4"</v>
      </c>
      <c r="Q814" t="str">
        <f>DO_DB[[#This Row],[DO Number]]</f>
        <v>DOEID24032040</v>
      </c>
      <c r="R814" t="str">
        <f>DO_DB[[#This Row],[DN Number]]</f>
        <v>DNWID0362024032016</v>
      </c>
    </row>
    <row r="815" spans="1:18">
      <c r="A815" t="s">
        <v>1173</v>
      </c>
      <c r="B815" t="s">
        <v>1174</v>
      </c>
      <c r="C815" s="172" t="s">
        <v>4482</v>
      </c>
      <c r="D815" t="s">
        <v>71</v>
      </c>
      <c r="E815" t="s">
        <v>135</v>
      </c>
      <c r="F815" t="s">
        <v>4498</v>
      </c>
      <c r="G815" t="s">
        <v>1203</v>
      </c>
      <c r="H815" t="s">
        <v>1204</v>
      </c>
      <c r="I815" s="130">
        <v>45372</v>
      </c>
      <c r="J815" t="s">
        <v>3070</v>
      </c>
      <c r="K815">
        <v>3</v>
      </c>
      <c r="M8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15" t="str">
        <f>DO_DB[[#This Row],[Material Pick-update]]&amp;"_"&amp;DO_DB[[#This Row],[Material Name]]</f>
        <v>45372_Pole 7M 3"</v>
      </c>
      <c r="O815" t="str">
        <f>DO_DB[[#This Row],[SiteID]]</f>
        <v>CLR22-99-118</v>
      </c>
      <c r="P815" t="str">
        <f>DO_DB[[#This Row],[SiteID]]&amp;"_"&amp;DO_DB[[#This Row],[Material Name]]</f>
        <v>CLR22-99-118_Pole 7M 3"</v>
      </c>
      <c r="Q815" t="str">
        <f>DO_DB[[#This Row],[DO Number]]</f>
        <v>DOEID24032040</v>
      </c>
      <c r="R815" t="str">
        <f>DO_DB[[#This Row],[DN Number]]</f>
        <v>DNWID0362024032016</v>
      </c>
    </row>
    <row r="816" spans="1:18">
      <c r="A816" t="s">
        <v>1173</v>
      </c>
      <c r="B816" t="s">
        <v>1174</v>
      </c>
      <c r="C816" s="172" t="s">
        <v>4482</v>
      </c>
      <c r="D816" t="s">
        <v>71</v>
      </c>
      <c r="E816" t="s">
        <v>135</v>
      </c>
      <c r="F816" t="s">
        <v>4498</v>
      </c>
      <c r="G816" t="s">
        <v>1175</v>
      </c>
      <c r="H816" t="s">
        <v>1176</v>
      </c>
      <c r="I816" s="130">
        <v>45372</v>
      </c>
      <c r="J816" t="s">
        <v>4856</v>
      </c>
      <c r="K816">
        <v>1</v>
      </c>
      <c r="M8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16" t="str">
        <f>DO_DB[[#This Row],[Material Pick-update]]&amp;"_"&amp;DO_DB[[#This Row],[Material Name]]</f>
        <v>45372_JC 144Core</v>
      </c>
      <c r="O816" t="str">
        <f>DO_DB[[#This Row],[SiteID]]</f>
        <v>CLR22-99-118</v>
      </c>
      <c r="P816" t="str">
        <f>DO_DB[[#This Row],[SiteID]]&amp;"_"&amp;DO_DB[[#This Row],[Material Name]]</f>
        <v>CLR22-99-118_JC 144Core</v>
      </c>
      <c r="Q816" t="str">
        <f>DO_DB[[#This Row],[DO Number]]</f>
        <v>DOEID24032041</v>
      </c>
      <c r="R816" t="str">
        <f>DO_DB[[#This Row],[DN Number]]</f>
        <v>DNWID0762024032001</v>
      </c>
    </row>
    <row r="817" spans="1:18">
      <c r="A817" t="s">
        <v>1173</v>
      </c>
      <c r="B817" t="s">
        <v>1174</v>
      </c>
      <c r="C817" s="172" t="s">
        <v>4482</v>
      </c>
      <c r="D817" t="s">
        <v>71</v>
      </c>
      <c r="E817" t="s">
        <v>135</v>
      </c>
      <c r="F817" t="s">
        <v>4498</v>
      </c>
      <c r="G817" t="s">
        <v>1207</v>
      </c>
      <c r="H817" t="s">
        <v>1208</v>
      </c>
      <c r="I817" s="130">
        <v>45372</v>
      </c>
      <c r="J817" t="s">
        <v>14</v>
      </c>
      <c r="K817">
        <v>1</v>
      </c>
      <c r="M8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17" t="str">
        <f>DO_DB[[#This Row],[Material Pick-update]]&amp;"_"&amp;DO_DB[[#This Row],[Material Name]]</f>
        <v>45372_FDT-48</v>
      </c>
      <c r="O817" t="str">
        <f>DO_DB[[#This Row],[SiteID]]</f>
        <v>CLR22-99-118</v>
      </c>
      <c r="P817" t="str">
        <f>DO_DB[[#This Row],[SiteID]]&amp;"_"&amp;DO_DB[[#This Row],[Material Name]]</f>
        <v>CLR22-99-118_FDT-48</v>
      </c>
      <c r="Q817" t="str">
        <f>DO_DB[[#This Row],[DO Number]]</f>
        <v>DOEID24032042</v>
      </c>
      <c r="R817" t="str">
        <f>DO_DB[[#This Row],[DN Number]]</f>
        <v>DNWID0342024032001</v>
      </c>
    </row>
    <row r="818" spans="1:18">
      <c r="A818" t="s">
        <v>1173</v>
      </c>
      <c r="B818" t="s">
        <v>1174</v>
      </c>
      <c r="C818" s="172" t="s">
        <v>4482</v>
      </c>
      <c r="D818" t="s">
        <v>71</v>
      </c>
      <c r="E818" t="s">
        <v>135</v>
      </c>
      <c r="F818" t="s">
        <v>4498</v>
      </c>
      <c r="G818" t="s">
        <v>1207</v>
      </c>
      <c r="H818" t="s">
        <v>1208</v>
      </c>
      <c r="I818" s="130">
        <v>45372</v>
      </c>
      <c r="J818" t="s">
        <v>13</v>
      </c>
      <c r="K818">
        <v>11</v>
      </c>
      <c r="M8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18" t="str">
        <f>DO_DB[[#This Row],[Material Pick-update]]&amp;"_"&amp;DO_DB[[#This Row],[Material Name]]</f>
        <v>45372_FAT-16</v>
      </c>
      <c r="O818" t="str">
        <f>DO_DB[[#This Row],[SiteID]]</f>
        <v>CLR22-99-118</v>
      </c>
      <c r="P818" t="str">
        <f>DO_DB[[#This Row],[SiteID]]&amp;"_"&amp;DO_DB[[#This Row],[Material Name]]</f>
        <v>CLR22-99-118_FAT-16</v>
      </c>
      <c r="Q818" t="str">
        <f>DO_DB[[#This Row],[DO Number]]</f>
        <v>DOEID24032042</v>
      </c>
      <c r="R818" t="str">
        <f>DO_DB[[#This Row],[DN Number]]</f>
        <v>DNWID0342024032001</v>
      </c>
    </row>
    <row r="819" spans="1:18">
      <c r="A819" t="s">
        <v>1173</v>
      </c>
      <c r="B819" t="s">
        <v>1174</v>
      </c>
      <c r="C819" s="172" t="s">
        <v>4482</v>
      </c>
      <c r="D819" t="s">
        <v>71</v>
      </c>
      <c r="E819" t="s">
        <v>135</v>
      </c>
      <c r="F819" t="s">
        <v>4498</v>
      </c>
      <c r="G819" t="s">
        <v>1207</v>
      </c>
      <c r="H819" t="s">
        <v>1208</v>
      </c>
      <c r="I819" s="130">
        <v>45372</v>
      </c>
      <c r="J819" t="s">
        <v>3080</v>
      </c>
      <c r="K819">
        <v>3</v>
      </c>
      <c r="M8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19" t="str">
        <f>DO_DB[[#This Row],[Material Pick-update]]&amp;"_"&amp;DO_DB[[#This Row],[Material Name]]</f>
        <v>45372_1:8 SPL for FDT-AE &amp; UG</v>
      </c>
      <c r="O819" t="str">
        <f>DO_DB[[#This Row],[SiteID]]</f>
        <v>CLR22-99-118</v>
      </c>
      <c r="P819" t="str">
        <f>DO_DB[[#This Row],[SiteID]]&amp;"_"&amp;DO_DB[[#This Row],[Material Name]]</f>
        <v>CLR22-99-118_1:8 SPL for FDT-AE &amp; UG</v>
      </c>
      <c r="Q819" t="str">
        <f>DO_DB[[#This Row],[DO Number]]</f>
        <v>DOEID24032042</v>
      </c>
      <c r="R819" t="str">
        <f>DO_DB[[#This Row],[DN Number]]</f>
        <v>DNWID0342024032001</v>
      </c>
    </row>
    <row r="820" spans="1:18">
      <c r="A820" t="s">
        <v>1177</v>
      </c>
      <c r="B820" t="s">
        <v>1178</v>
      </c>
      <c r="C820" s="172" t="s">
        <v>4482</v>
      </c>
      <c r="D820" t="s">
        <v>71</v>
      </c>
      <c r="E820" t="s">
        <v>135</v>
      </c>
      <c r="F820" t="s">
        <v>4498</v>
      </c>
      <c r="G820" t="s">
        <v>1197</v>
      </c>
      <c r="H820" t="s">
        <v>1198</v>
      </c>
      <c r="I820" s="130">
        <v>45372</v>
      </c>
      <c r="J820" t="s">
        <v>3073</v>
      </c>
      <c r="K820">
        <v>3000</v>
      </c>
      <c r="M8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24C-2024321-01</v>
      </c>
      <c r="N820" t="str">
        <f>DO_DB[[#This Row],[Material Pick-update]]&amp;"_"&amp;DO_DB[[#This Row],[Material Name]]</f>
        <v>45372_ADSS 24C</v>
      </c>
      <c r="O820" t="str">
        <f>DO_DB[[#This Row],[SiteID]]</f>
        <v>CLR22-99-120</v>
      </c>
      <c r="P820" t="str">
        <f>DO_DB[[#This Row],[SiteID]]&amp;"_"&amp;DO_DB[[#This Row],[Material Name]]</f>
        <v>CLR22-99-120_ADSS 24C</v>
      </c>
      <c r="Q820" t="str">
        <f>DO_DB[[#This Row],[DO Number]]</f>
        <v>DOEID24031933</v>
      </c>
      <c r="R820" t="str">
        <f>DO_DB[[#This Row],[DN Number]]</f>
        <v>DNWID0342024031913</v>
      </c>
    </row>
    <row r="821" spans="1:18">
      <c r="A821" t="s">
        <v>1169</v>
      </c>
      <c r="B821" t="s">
        <v>1170</v>
      </c>
      <c r="C821" s="172" t="s">
        <v>4482</v>
      </c>
      <c r="D821" t="s">
        <v>71</v>
      </c>
      <c r="E821" t="s">
        <v>135</v>
      </c>
      <c r="F821" t="s">
        <v>4498</v>
      </c>
      <c r="G821" t="s">
        <v>1205</v>
      </c>
      <c r="H821" t="s">
        <v>1206</v>
      </c>
      <c r="I821" s="130">
        <v>45372</v>
      </c>
      <c r="J821" t="s">
        <v>3073</v>
      </c>
      <c r="K821">
        <v>3000</v>
      </c>
      <c r="M8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24C-2024321-01</v>
      </c>
      <c r="N821" t="str">
        <f>DO_DB[[#This Row],[Material Pick-update]]&amp;"_"&amp;DO_DB[[#This Row],[Material Name]]</f>
        <v>45372_ADSS 24C</v>
      </c>
      <c r="O821" t="str">
        <f>DO_DB[[#This Row],[SiteID]]</f>
        <v>CLR22-99-116</v>
      </c>
      <c r="P821" t="str">
        <f>DO_DB[[#This Row],[SiteID]]&amp;"_"&amp;DO_DB[[#This Row],[Material Name]]</f>
        <v>CLR22-99-116_ADSS 24C</v>
      </c>
      <c r="Q821" t="str">
        <f>DO_DB[[#This Row],[DO Number]]</f>
        <v>DOEID24032038</v>
      </c>
      <c r="R821" t="str">
        <f>DO_DB[[#This Row],[DN Number]]</f>
        <v>DNWID0342024032003</v>
      </c>
    </row>
    <row r="822" spans="1:18">
      <c r="A822" t="s">
        <v>1173</v>
      </c>
      <c r="B822" t="s">
        <v>1174</v>
      </c>
      <c r="C822" s="172" t="s">
        <v>4482</v>
      </c>
      <c r="D822" t="s">
        <v>71</v>
      </c>
      <c r="E822" t="s">
        <v>135</v>
      </c>
      <c r="F822" t="s">
        <v>4498</v>
      </c>
      <c r="G822" t="s">
        <v>1207</v>
      </c>
      <c r="H822" t="s">
        <v>1208</v>
      </c>
      <c r="I822" s="130">
        <v>45372</v>
      </c>
      <c r="J822" t="s">
        <v>3073</v>
      </c>
      <c r="K822">
        <v>3000</v>
      </c>
      <c r="M8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24C-2024321-01</v>
      </c>
      <c r="N822" t="str">
        <f>DO_DB[[#This Row],[Material Pick-update]]&amp;"_"&amp;DO_DB[[#This Row],[Material Name]]</f>
        <v>45372_ADSS 24C</v>
      </c>
      <c r="O822" t="str">
        <f>DO_DB[[#This Row],[SiteID]]</f>
        <v>CLR22-99-118</v>
      </c>
      <c r="P822" t="str">
        <f>DO_DB[[#This Row],[SiteID]]&amp;"_"&amp;DO_DB[[#This Row],[Material Name]]</f>
        <v>CLR22-99-118_ADSS 24C</v>
      </c>
      <c r="Q822" t="str">
        <f>DO_DB[[#This Row],[DO Number]]</f>
        <v>DOEID24032042</v>
      </c>
      <c r="R822" t="str">
        <f>DO_DB[[#This Row],[DN Number]]</f>
        <v>DNWID0342024032001</v>
      </c>
    </row>
    <row r="823" spans="1:18">
      <c r="A823" t="s">
        <v>895</v>
      </c>
      <c r="B823" t="s">
        <v>896</v>
      </c>
      <c r="C823" s="172" t="s">
        <v>4482</v>
      </c>
      <c r="D823" t="s">
        <v>71</v>
      </c>
      <c r="E823" t="s">
        <v>135</v>
      </c>
      <c r="F823" t="s">
        <v>4498</v>
      </c>
      <c r="G823" t="s">
        <v>1315</v>
      </c>
      <c r="H823" t="s">
        <v>1316</v>
      </c>
      <c r="I823" s="130">
        <v>45407</v>
      </c>
      <c r="J823" t="s">
        <v>14</v>
      </c>
      <c r="K823">
        <v>1</v>
      </c>
      <c r="M8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23" t="str">
        <f>DO_DB[[#This Row],[Material Pick-update]]&amp;"_"&amp;DO_DB[[#This Row],[Material Name]]</f>
        <v>45407_FDT-48</v>
      </c>
      <c r="O823" t="str">
        <f>DO_DB[[#This Row],[SiteID]]</f>
        <v>CLR22-99-106</v>
      </c>
      <c r="P823" t="str">
        <f>DO_DB[[#This Row],[SiteID]]&amp;"_"&amp;DO_DB[[#This Row],[Material Name]]</f>
        <v>CLR22-99-106_FDT-48</v>
      </c>
      <c r="Q823" t="str">
        <f>DO_DB[[#This Row],[DO Number]]</f>
        <v>DOEID240422AN</v>
      </c>
      <c r="R823" t="str">
        <f>DO_DB[[#This Row],[DN Number]]</f>
        <v>DNWID0342024042211</v>
      </c>
    </row>
    <row r="824" spans="1:18">
      <c r="A824" t="s">
        <v>895</v>
      </c>
      <c r="B824" t="s">
        <v>896</v>
      </c>
      <c r="C824" s="172" t="s">
        <v>4482</v>
      </c>
      <c r="D824" t="s">
        <v>71</v>
      </c>
      <c r="E824" t="s">
        <v>135</v>
      </c>
      <c r="F824" t="s">
        <v>4498</v>
      </c>
      <c r="G824" t="s">
        <v>1313</v>
      </c>
      <c r="H824" t="s">
        <v>1314</v>
      </c>
      <c r="I824" s="130">
        <v>45407</v>
      </c>
      <c r="J824" t="s">
        <v>3080</v>
      </c>
      <c r="K824">
        <v>3</v>
      </c>
      <c r="M8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24" t="str">
        <f>DO_DB[[#This Row],[Material Pick-update]]&amp;"_"&amp;DO_DB[[#This Row],[Material Name]]</f>
        <v>45407_1:8 SPL for FDT-AE &amp; UG</v>
      </c>
      <c r="O824" t="str">
        <f>DO_DB[[#This Row],[SiteID]]</f>
        <v>CLR22-99-106</v>
      </c>
      <c r="P824" t="str">
        <f>DO_DB[[#This Row],[SiteID]]&amp;"_"&amp;DO_DB[[#This Row],[Material Name]]</f>
        <v>CLR22-99-106_1:8 SPL for FDT-AE &amp; UG</v>
      </c>
      <c r="Q824" t="str">
        <f>DO_DB[[#This Row],[DO Number]]</f>
        <v>DOEID24042540</v>
      </c>
      <c r="R824" t="str">
        <f>DO_DB[[#This Row],[DN Number]]</f>
        <v>DNWID0342024042505</v>
      </c>
    </row>
    <row r="825" spans="1:18">
      <c r="A825" t="s">
        <v>1453</v>
      </c>
      <c r="B825" t="s">
        <v>1454</v>
      </c>
      <c r="C825" t="s">
        <v>4482</v>
      </c>
      <c r="D825" t="s">
        <v>71</v>
      </c>
      <c r="E825" t="e">
        <v>#N/A</v>
      </c>
      <c r="F825" t="s">
        <v>4498</v>
      </c>
      <c r="G825" t="s">
        <v>1459</v>
      </c>
      <c r="H825" t="s">
        <v>1460</v>
      </c>
      <c r="I825" s="130">
        <v>45441</v>
      </c>
      <c r="J825" t="s">
        <v>3075</v>
      </c>
      <c r="K825">
        <v>6000</v>
      </c>
      <c r="M8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48C-2024529-01</v>
      </c>
      <c r="N825" t="str">
        <f>DO_DB[[#This Row],[Material Pick-update]]&amp;"_"&amp;DO_DB[[#This Row],[Material Name]]</f>
        <v>45441_ADSS 48C</v>
      </c>
      <c r="O825" t="str">
        <f>DO_DB[[#This Row],[SiteID]]</f>
        <v>CLR22-03-003</v>
      </c>
      <c r="P825" t="str">
        <f>DO_DB[[#This Row],[SiteID]]&amp;"_"&amp;DO_DB[[#This Row],[Material Name]]</f>
        <v>CLR22-03-003_ADSS 48C</v>
      </c>
      <c r="Q825" t="str">
        <f>DO_DB[[#This Row],[DO Number]]</f>
        <v>DOEID24052816</v>
      </c>
      <c r="R825" t="str">
        <f>DO_DB[[#This Row],[DN Number]]</f>
        <v>DNWID0342024052813</v>
      </c>
    </row>
    <row r="826" spans="1:18">
      <c r="A826" t="s">
        <v>1453</v>
      </c>
      <c r="B826" t="s">
        <v>1454</v>
      </c>
      <c r="C826" t="s">
        <v>4482</v>
      </c>
      <c r="D826" t="s">
        <v>71</v>
      </c>
      <c r="E826" t="e">
        <v>#N/A</v>
      </c>
      <c r="F826" t="s">
        <v>4498</v>
      </c>
      <c r="G826" t="s">
        <v>1463</v>
      </c>
      <c r="H826" t="s">
        <v>1464</v>
      </c>
      <c r="I826" s="130">
        <v>45441</v>
      </c>
      <c r="J826" t="s">
        <v>3069</v>
      </c>
      <c r="K826">
        <v>163</v>
      </c>
      <c r="M8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26" t="str">
        <f>DO_DB[[#This Row],[Material Pick-update]]&amp;"_"&amp;DO_DB[[#This Row],[Material Name]]</f>
        <v>45441_Pole 7M 4"</v>
      </c>
      <c r="O826" t="str">
        <f>DO_DB[[#This Row],[SiteID]]</f>
        <v>CLR22-03-003</v>
      </c>
      <c r="P826" t="str">
        <f>DO_DB[[#This Row],[SiteID]]&amp;"_"&amp;DO_DB[[#This Row],[Material Name]]</f>
        <v>CLR22-03-003_Pole 7M 4"</v>
      </c>
      <c r="Q826" t="str">
        <f>DO_DB[[#This Row],[DO Number]]</f>
        <v>DOEID24052814</v>
      </c>
      <c r="R826" t="str">
        <f>DO_DB[[#This Row],[DN Number]]</f>
        <v>DNWID0362024052804</v>
      </c>
    </row>
    <row r="827" spans="1:18">
      <c r="A827" t="s">
        <v>1453</v>
      </c>
      <c r="B827" t="s">
        <v>1454</v>
      </c>
      <c r="C827" t="s">
        <v>4482</v>
      </c>
      <c r="D827" t="s">
        <v>71</v>
      </c>
      <c r="E827" t="e">
        <v>#N/A</v>
      </c>
      <c r="F827" t="s">
        <v>4498</v>
      </c>
      <c r="G827" t="s">
        <v>1463</v>
      </c>
      <c r="H827" t="s">
        <v>1464</v>
      </c>
      <c r="I827" s="130">
        <v>45441</v>
      </c>
      <c r="J827" t="s">
        <v>3070</v>
      </c>
      <c r="K827">
        <v>19</v>
      </c>
      <c r="M8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27" t="str">
        <f>DO_DB[[#This Row],[Material Pick-update]]&amp;"_"&amp;DO_DB[[#This Row],[Material Name]]</f>
        <v>45441_Pole 7M 3"</v>
      </c>
      <c r="O827" t="str">
        <f>DO_DB[[#This Row],[SiteID]]</f>
        <v>CLR22-03-003</v>
      </c>
      <c r="P827" t="str">
        <f>DO_DB[[#This Row],[SiteID]]&amp;"_"&amp;DO_DB[[#This Row],[Material Name]]</f>
        <v>CLR22-03-003_Pole 7M 3"</v>
      </c>
      <c r="Q827" t="str">
        <f>DO_DB[[#This Row],[DO Number]]</f>
        <v>DOEID24052814</v>
      </c>
      <c r="R827" t="str">
        <f>DO_DB[[#This Row],[DN Number]]</f>
        <v>DNWID0362024052804</v>
      </c>
    </row>
    <row r="828" spans="1:18">
      <c r="A828" t="s">
        <v>1453</v>
      </c>
      <c r="B828" t="s">
        <v>1454</v>
      </c>
      <c r="C828" t="s">
        <v>4482</v>
      </c>
      <c r="D828" t="s">
        <v>71</v>
      </c>
      <c r="E828" t="e">
        <v>#N/A</v>
      </c>
      <c r="F828" t="s">
        <v>4498</v>
      </c>
      <c r="G828" t="s">
        <v>1455</v>
      </c>
      <c r="H828" t="s">
        <v>1456</v>
      </c>
      <c r="I828" s="130">
        <v>45441</v>
      </c>
      <c r="J828" t="s">
        <v>4856</v>
      </c>
      <c r="K828">
        <v>3</v>
      </c>
      <c r="M8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28" t="str">
        <f>DO_DB[[#This Row],[Material Pick-update]]&amp;"_"&amp;DO_DB[[#This Row],[Material Name]]</f>
        <v>45441_JC 144Core</v>
      </c>
      <c r="O828" t="str">
        <f>DO_DB[[#This Row],[SiteID]]</f>
        <v>CLR22-03-003</v>
      </c>
      <c r="P828" t="str">
        <f>DO_DB[[#This Row],[SiteID]]&amp;"_"&amp;DO_DB[[#This Row],[Material Name]]</f>
        <v>CLR22-03-003_JC 144Core</v>
      </c>
      <c r="Q828" t="str">
        <f>DO_DB[[#This Row],[DO Number]]</f>
        <v>DOEID24052815</v>
      </c>
      <c r="R828" t="str">
        <f>DO_DB[[#This Row],[DN Number]]</f>
        <v>DNWID0762024052802</v>
      </c>
    </row>
    <row r="829" spans="1:18">
      <c r="A829" t="s">
        <v>1449</v>
      </c>
      <c r="B829" t="s">
        <v>1450</v>
      </c>
      <c r="C829" s="172" t="s">
        <v>4482</v>
      </c>
      <c r="D829" t="s">
        <v>71</v>
      </c>
      <c r="E829" t="s">
        <v>135</v>
      </c>
      <c r="F829" t="s">
        <v>4498</v>
      </c>
      <c r="G829" t="s">
        <v>1457</v>
      </c>
      <c r="H829" t="s">
        <v>1458</v>
      </c>
      <c r="I829" s="130">
        <v>45441</v>
      </c>
      <c r="J829" t="s">
        <v>3075</v>
      </c>
      <c r="K829">
        <v>3000</v>
      </c>
      <c r="M8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48C-2024529-01</v>
      </c>
      <c r="N829" t="str">
        <f>DO_DB[[#This Row],[Material Pick-update]]&amp;"_"&amp;DO_DB[[#This Row],[Material Name]]</f>
        <v>45441_ADSS 48C</v>
      </c>
      <c r="O829" t="str">
        <f>DO_DB[[#This Row],[SiteID]]</f>
        <v>CLR22-03-002</v>
      </c>
      <c r="P829" t="str">
        <f>DO_DB[[#This Row],[SiteID]]&amp;"_"&amp;DO_DB[[#This Row],[Material Name]]</f>
        <v>CLR22-03-002_ADSS 48C</v>
      </c>
      <c r="Q829" t="str">
        <f>DO_DB[[#This Row],[DO Number]]</f>
        <v>DOEID24052813</v>
      </c>
      <c r="R829" t="str">
        <f>DO_DB[[#This Row],[DN Number]]</f>
        <v>DNWID0342024052812</v>
      </c>
    </row>
    <row r="830" spans="1:18">
      <c r="A830" t="s">
        <v>1449</v>
      </c>
      <c r="B830" t="s">
        <v>1450</v>
      </c>
      <c r="C830" s="172" t="s">
        <v>4482</v>
      </c>
      <c r="D830" t="s">
        <v>71</v>
      </c>
      <c r="E830" t="s">
        <v>135</v>
      </c>
      <c r="F830" t="s">
        <v>4498</v>
      </c>
      <c r="G830" t="s">
        <v>1461</v>
      </c>
      <c r="H830" t="s">
        <v>1462</v>
      </c>
      <c r="I830" s="130">
        <v>45441</v>
      </c>
      <c r="J830" t="s">
        <v>3069</v>
      </c>
      <c r="K830">
        <v>116</v>
      </c>
      <c r="M8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30" t="str">
        <f>DO_DB[[#This Row],[Material Pick-update]]&amp;"_"&amp;DO_DB[[#This Row],[Material Name]]</f>
        <v>45441_Pole 7M 4"</v>
      </c>
      <c r="O830" t="str">
        <f>DO_DB[[#This Row],[SiteID]]</f>
        <v>CLR22-03-002</v>
      </c>
      <c r="P830" t="str">
        <f>DO_DB[[#This Row],[SiteID]]&amp;"_"&amp;DO_DB[[#This Row],[Material Name]]</f>
        <v>CLR22-03-002_Pole 7M 4"</v>
      </c>
      <c r="Q830" t="str">
        <f>DO_DB[[#This Row],[DO Number]]</f>
        <v>DOEID24052811</v>
      </c>
      <c r="R830" t="str">
        <f>DO_DB[[#This Row],[DN Number]]</f>
        <v>DNWID0362024052803</v>
      </c>
    </row>
    <row r="831" spans="1:18">
      <c r="A831" t="s">
        <v>1449</v>
      </c>
      <c r="B831" t="s">
        <v>1450</v>
      </c>
      <c r="C831" s="172" t="s">
        <v>4482</v>
      </c>
      <c r="D831" t="s">
        <v>71</v>
      </c>
      <c r="E831" t="s">
        <v>135</v>
      </c>
      <c r="F831" t="s">
        <v>4498</v>
      </c>
      <c r="G831" t="s">
        <v>1461</v>
      </c>
      <c r="H831" t="s">
        <v>1462</v>
      </c>
      <c r="I831" s="130">
        <v>45441</v>
      </c>
      <c r="J831" t="s">
        <v>3070</v>
      </c>
      <c r="K831">
        <v>13</v>
      </c>
      <c r="M8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31" t="str">
        <f>DO_DB[[#This Row],[Material Pick-update]]&amp;"_"&amp;DO_DB[[#This Row],[Material Name]]</f>
        <v>45441_Pole 7M 3"</v>
      </c>
      <c r="O831" t="str">
        <f>DO_DB[[#This Row],[SiteID]]</f>
        <v>CLR22-03-002</v>
      </c>
      <c r="P831" t="str">
        <f>DO_DB[[#This Row],[SiteID]]&amp;"_"&amp;DO_DB[[#This Row],[Material Name]]</f>
        <v>CLR22-03-002_Pole 7M 3"</v>
      </c>
      <c r="Q831" t="str">
        <f>DO_DB[[#This Row],[DO Number]]</f>
        <v>DOEID24052811</v>
      </c>
      <c r="R831" t="str">
        <f>DO_DB[[#This Row],[DN Number]]</f>
        <v>DNWID0362024052803</v>
      </c>
    </row>
    <row r="832" spans="1:18">
      <c r="A832" t="s">
        <v>1449</v>
      </c>
      <c r="B832" t="s">
        <v>1450</v>
      </c>
      <c r="C832" s="172" t="s">
        <v>4482</v>
      </c>
      <c r="D832" t="s">
        <v>71</v>
      </c>
      <c r="E832" t="s">
        <v>135</v>
      </c>
      <c r="F832" t="s">
        <v>4498</v>
      </c>
      <c r="G832" t="s">
        <v>1461</v>
      </c>
      <c r="H832" t="s">
        <v>1462</v>
      </c>
      <c r="I832" s="130">
        <v>45441</v>
      </c>
      <c r="J832" t="s">
        <v>3071</v>
      </c>
      <c r="K832">
        <v>2</v>
      </c>
      <c r="M8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32" t="str">
        <f>DO_DB[[#This Row],[Material Pick-update]]&amp;"_"&amp;DO_DB[[#This Row],[Material Name]]</f>
        <v>45441_Pole 9M</v>
      </c>
      <c r="O832" t="str">
        <f>DO_DB[[#This Row],[SiteID]]</f>
        <v>CLR22-03-002</v>
      </c>
      <c r="P832" t="str">
        <f>DO_DB[[#This Row],[SiteID]]&amp;"_"&amp;DO_DB[[#This Row],[Material Name]]</f>
        <v>CLR22-03-002_Pole 9M</v>
      </c>
      <c r="Q832" t="str">
        <f>DO_DB[[#This Row],[DO Number]]</f>
        <v>DOEID24052811</v>
      </c>
      <c r="R832" t="str">
        <f>DO_DB[[#This Row],[DN Number]]</f>
        <v>DNWID0362024052803</v>
      </c>
    </row>
    <row r="833" spans="1:18">
      <c r="A833" t="s">
        <v>1449</v>
      </c>
      <c r="B833" t="s">
        <v>1450</v>
      </c>
      <c r="C833" s="172" t="s">
        <v>4482</v>
      </c>
      <c r="D833" t="s">
        <v>71</v>
      </c>
      <c r="E833" t="s">
        <v>135</v>
      </c>
      <c r="F833" t="s">
        <v>4498</v>
      </c>
      <c r="G833" t="s">
        <v>1451</v>
      </c>
      <c r="H833" t="s">
        <v>1452</v>
      </c>
      <c r="I833" s="130">
        <v>45441</v>
      </c>
      <c r="J833" t="s">
        <v>4856</v>
      </c>
      <c r="K833">
        <v>2</v>
      </c>
      <c r="M8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33" t="str">
        <f>DO_DB[[#This Row],[Material Pick-update]]&amp;"_"&amp;DO_DB[[#This Row],[Material Name]]</f>
        <v>45441_JC 144Core</v>
      </c>
      <c r="O833" t="str">
        <f>DO_DB[[#This Row],[SiteID]]</f>
        <v>CLR22-03-002</v>
      </c>
      <c r="P833" t="str">
        <f>DO_DB[[#This Row],[SiteID]]&amp;"_"&amp;DO_DB[[#This Row],[Material Name]]</f>
        <v>CLR22-03-002_JC 144Core</v>
      </c>
      <c r="Q833" t="str">
        <f>DO_DB[[#This Row],[DO Number]]</f>
        <v>DOEID24052812</v>
      </c>
      <c r="R833" t="str">
        <f>DO_DB[[#This Row],[DN Number]]</f>
        <v>DNWID0762024052801</v>
      </c>
    </row>
    <row r="834" spans="1:18">
      <c r="A834" t="s">
        <v>1449</v>
      </c>
      <c r="B834" t="s">
        <v>1450</v>
      </c>
      <c r="C834" s="172" t="s">
        <v>4482</v>
      </c>
      <c r="D834" t="s">
        <v>71</v>
      </c>
      <c r="E834" t="s">
        <v>135</v>
      </c>
      <c r="F834" t="s">
        <v>4498</v>
      </c>
      <c r="G834" t="s">
        <v>1457</v>
      </c>
      <c r="H834" t="s">
        <v>1458</v>
      </c>
      <c r="I834" s="130">
        <v>45441</v>
      </c>
      <c r="J834" t="s">
        <v>14</v>
      </c>
      <c r="K834">
        <v>2</v>
      </c>
      <c r="M8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34" t="str">
        <f>DO_DB[[#This Row],[Material Pick-update]]&amp;"_"&amp;DO_DB[[#This Row],[Material Name]]</f>
        <v>45441_FDT-48</v>
      </c>
      <c r="O834" t="str">
        <f>DO_DB[[#This Row],[SiteID]]</f>
        <v>CLR22-03-002</v>
      </c>
      <c r="P834" t="str">
        <f>DO_DB[[#This Row],[SiteID]]&amp;"_"&amp;DO_DB[[#This Row],[Material Name]]</f>
        <v>CLR22-03-002_FDT-48</v>
      </c>
      <c r="Q834" t="str">
        <f>DO_DB[[#This Row],[DO Number]]</f>
        <v>DOEID24052813</v>
      </c>
      <c r="R834" t="str">
        <f>DO_DB[[#This Row],[DN Number]]</f>
        <v>DNWID0342024052812</v>
      </c>
    </row>
    <row r="835" spans="1:18">
      <c r="A835" t="s">
        <v>1473</v>
      </c>
      <c r="B835" t="s">
        <v>1474</v>
      </c>
      <c r="C835" t="s">
        <v>4482</v>
      </c>
      <c r="D835" t="s">
        <v>71</v>
      </c>
      <c r="E835" t="s">
        <v>24</v>
      </c>
      <c r="F835" t="s">
        <v>4498</v>
      </c>
      <c r="G835" t="s">
        <v>1541</v>
      </c>
      <c r="H835" t="s">
        <v>1542</v>
      </c>
      <c r="I835" s="130">
        <v>45456</v>
      </c>
      <c r="J835" t="s">
        <v>13</v>
      </c>
      <c r="K835">
        <v>12</v>
      </c>
      <c r="M8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35" t="str">
        <f>DO_DB[[#This Row],[Material Pick-update]]&amp;"_"&amp;DO_DB[[#This Row],[Material Name]]</f>
        <v>45456_FAT-16</v>
      </c>
      <c r="O835" t="str">
        <f>DO_DB[[#This Row],[SiteID]]</f>
        <v>CLR51-02-015</v>
      </c>
      <c r="P835" t="str">
        <f>DO_DB[[#This Row],[SiteID]]&amp;"_"&amp;DO_DB[[#This Row],[Material Name]]</f>
        <v>CLR51-02-015_FAT-16</v>
      </c>
      <c r="Q835" t="str">
        <f>DO_DB[[#This Row],[DO Number]]</f>
        <v>DOEID240612H6</v>
      </c>
      <c r="R835" t="str">
        <f>DO_DB[[#This Row],[DN Number]]</f>
        <v>DNWID0342024061205</v>
      </c>
    </row>
    <row r="836" spans="1:18">
      <c r="A836" t="s">
        <v>1473</v>
      </c>
      <c r="B836" t="s">
        <v>1474</v>
      </c>
      <c r="C836" t="s">
        <v>4482</v>
      </c>
      <c r="D836" t="s">
        <v>71</v>
      </c>
      <c r="E836" t="s">
        <v>24</v>
      </c>
      <c r="F836" t="s">
        <v>4498</v>
      </c>
      <c r="G836" t="s">
        <v>1541</v>
      </c>
      <c r="H836" t="s">
        <v>1542</v>
      </c>
      <c r="I836" s="130">
        <v>45456</v>
      </c>
      <c r="J836" t="s">
        <v>3080</v>
      </c>
      <c r="K836">
        <v>3</v>
      </c>
      <c r="M8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36" t="str">
        <f>DO_DB[[#This Row],[Material Pick-update]]&amp;"_"&amp;DO_DB[[#This Row],[Material Name]]</f>
        <v>45456_1:8 SPL for FDT-AE &amp; UG</v>
      </c>
      <c r="O836" t="str">
        <f>DO_DB[[#This Row],[SiteID]]</f>
        <v>CLR51-02-015</v>
      </c>
      <c r="P836" t="str">
        <f>DO_DB[[#This Row],[SiteID]]&amp;"_"&amp;DO_DB[[#This Row],[Material Name]]</f>
        <v>CLR51-02-015_1:8 SPL for FDT-AE &amp; UG</v>
      </c>
      <c r="Q836" t="str">
        <f>DO_DB[[#This Row],[DO Number]]</f>
        <v>DOEID240612H6</v>
      </c>
      <c r="R836" t="str">
        <f>DO_DB[[#This Row],[DN Number]]</f>
        <v>DNWID0342024061205</v>
      </c>
    </row>
    <row r="837" spans="1:18">
      <c r="A837" t="s">
        <v>1465</v>
      </c>
      <c r="B837" t="s">
        <v>1466</v>
      </c>
      <c r="C837" t="s">
        <v>4482</v>
      </c>
      <c r="D837" t="s">
        <v>71</v>
      </c>
      <c r="E837" t="s">
        <v>24</v>
      </c>
      <c r="F837" t="s">
        <v>4498</v>
      </c>
      <c r="G837" t="s">
        <v>1543</v>
      </c>
      <c r="H837" t="s">
        <v>1544</v>
      </c>
      <c r="I837" s="130">
        <v>45456</v>
      </c>
      <c r="J837" t="s">
        <v>13</v>
      </c>
      <c r="K837">
        <v>5</v>
      </c>
      <c r="M8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37" t="str">
        <f>DO_DB[[#This Row],[Material Pick-update]]&amp;"_"&amp;DO_DB[[#This Row],[Material Name]]</f>
        <v>45456_FAT-16</v>
      </c>
      <c r="O837" t="str">
        <f>DO_DB[[#This Row],[SiteID]]</f>
        <v>CLR51-02-014</v>
      </c>
      <c r="P837" t="str">
        <f>DO_DB[[#This Row],[SiteID]]&amp;"_"&amp;DO_DB[[#This Row],[Material Name]]</f>
        <v>CLR51-02-014_FAT-16</v>
      </c>
      <c r="Q837" t="str">
        <f>DO_DB[[#This Row],[DO Number]]</f>
        <v>DOEID240612HA</v>
      </c>
      <c r="R837" t="str">
        <f>DO_DB[[#This Row],[DN Number]]</f>
        <v>DNWID0342024061202</v>
      </c>
    </row>
    <row r="838" spans="1:18">
      <c r="A838" t="s">
        <v>1465</v>
      </c>
      <c r="B838" t="s">
        <v>1466</v>
      </c>
      <c r="C838" t="s">
        <v>4482</v>
      </c>
      <c r="D838" t="s">
        <v>71</v>
      </c>
      <c r="E838" t="s">
        <v>24</v>
      </c>
      <c r="F838" t="s">
        <v>4498</v>
      </c>
      <c r="G838" t="s">
        <v>1547</v>
      </c>
      <c r="H838" t="s">
        <v>1548</v>
      </c>
      <c r="I838" s="130">
        <v>45456</v>
      </c>
      <c r="J838" t="s">
        <v>13</v>
      </c>
      <c r="K838">
        <v>17</v>
      </c>
      <c r="M8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38" t="str">
        <f>DO_DB[[#This Row],[Material Pick-update]]&amp;"_"&amp;DO_DB[[#This Row],[Material Name]]</f>
        <v>45456_FAT-16</v>
      </c>
      <c r="O838" t="str">
        <f>DO_DB[[#This Row],[SiteID]]</f>
        <v>CLR51-02-014</v>
      </c>
      <c r="P838" t="str">
        <f>DO_DB[[#This Row],[SiteID]]&amp;"_"&amp;DO_DB[[#This Row],[Material Name]]</f>
        <v>CLR51-02-014_FAT-16</v>
      </c>
      <c r="Q838" t="str">
        <f>DO_DB[[#This Row],[DO Number]]</f>
        <v>DOEID240612HG</v>
      </c>
      <c r="R838" t="str">
        <f>DO_DB[[#This Row],[DN Number]]</f>
        <v>DNWID0342024061206</v>
      </c>
    </row>
    <row r="839" spans="1:18">
      <c r="A839" t="s">
        <v>1465</v>
      </c>
      <c r="B839" t="s">
        <v>1466</v>
      </c>
      <c r="C839" t="s">
        <v>4482</v>
      </c>
      <c r="D839" t="s">
        <v>71</v>
      </c>
      <c r="E839" t="s">
        <v>24</v>
      </c>
      <c r="F839" t="s">
        <v>4498</v>
      </c>
      <c r="G839" t="s">
        <v>1547</v>
      </c>
      <c r="H839" t="s">
        <v>1548</v>
      </c>
      <c r="I839" s="130">
        <v>45456</v>
      </c>
      <c r="J839" t="s">
        <v>3080</v>
      </c>
      <c r="K839">
        <v>3</v>
      </c>
      <c r="M8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39" t="str">
        <f>DO_DB[[#This Row],[Material Pick-update]]&amp;"_"&amp;DO_DB[[#This Row],[Material Name]]</f>
        <v>45456_1:8 SPL for FDT-AE &amp; UG</v>
      </c>
      <c r="O839" t="str">
        <f>DO_DB[[#This Row],[SiteID]]</f>
        <v>CLR51-02-014</v>
      </c>
      <c r="P839" t="str">
        <f>DO_DB[[#This Row],[SiteID]]&amp;"_"&amp;DO_DB[[#This Row],[Material Name]]</f>
        <v>CLR51-02-014_1:8 SPL for FDT-AE &amp; UG</v>
      </c>
      <c r="Q839" t="str">
        <f>DO_DB[[#This Row],[DO Number]]</f>
        <v>DOEID240612HG</v>
      </c>
      <c r="R839" t="str">
        <f>DO_DB[[#This Row],[DN Number]]</f>
        <v>DNWID0342024061206</v>
      </c>
    </row>
    <row r="840" spans="1:18">
      <c r="A840" t="s">
        <v>1469</v>
      </c>
      <c r="B840" t="s">
        <v>1470</v>
      </c>
      <c r="C840" t="s">
        <v>4482</v>
      </c>
      <c r="D840" t="s">
        <v>71</v>
      </c>
      <c r="E840" t="s">
        <v>24</v>
      </c>
      <c r="F840" t="s">
        <v>4498</v>
      </c>
      <c r="G840" t="s">
        <v>1539</v>
      </c>
      <c r="H840" t="s">
        <v>1540</v>
      </c>
      <c r="I840" s="130">
        <v>45456</v>
      </c>
      <c r="J840" t="s">
        <v>13</v>
      </c>
      <c r="K840">
        <v>14</v>
      </c>
      <c r="M8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40" t="str">
        <f>DO_DB[[#This Row],[Material Pick-update]]&amp;"_"&amp;DO_DB[[#This Row],[Material Name]]</f>
        <v>45456_FAT-16</v>
      </c>
      <c r="O840" t="str">
        <f>DO_DB[[#This Row],[SiteID]]</f>
        <v>CLR51-99-099</v>
      </c>
      <c r="P840" t="str">
        <f>DO_DB[[#This Row],[SiteID]]&amp;"_"&amp;DO_DB[[#This Row],[Material Name]]</f>
        <v>CLR51-99-099_FAT-16</v>
      </c>
      <c r="Q840" t="str">
        <f>DO_DB[[#This Row],[DO Number]]</f>
        <v>DOEID240612HI</v>
      </c>
      <c r="R840" t="str">
        <f>DO_DB[[#This Row],[DN Number]]</f>
        <v>DNWID0342024061207</v>
      </c>
    </row>
    <row r="841" spans="1:18">
      <c r="A841" t="s">
        <v>1469</v>
      </c>
      <c r="B841" t="s">
        <v>1470</v>
      </c>
      <c r="C841" t="s">
        <v>4482</v>
      </c>
      <c r="D841" t="s">
        <v>71</v>
      </c>
      <c r="E841" t="s">
        <v>24</v>
      </c>
      <c r="F841" t="s">
        <v>4498</v>
      </c>
      <c r="G841" t="s">
        <v>1539</v>
      </c>
      <c r="H841" t="s">
        <v>1540</v>
      </c>
      <c r="I841" s="130">
        <v>45456</v>
      </c>
      <c r="J841" t="s">
        <v>3080</v>
      </c>
      <c r="K841">
        <v>3</v>
      </c>
      <c r="M8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41" t="str">
        <f>DO_DB[[#This Row],[Material Pick-update]]&amp;"_"&amp;DO_DB[[#This Row],[Material Name]]</f>
        <v>45456_1:8 SPL for FDT-AE &amp; UG</v>
      </c>
      <c r="O841" t="str">
        <f>DO_DB[[#This Row],[SiteID]]</f>
        <v>CLR51-99-099</v>
      </c>
      <c r="P841" t="str">
        <f>DO_DB[[#This Row],[SiteID]]&amp;"_"&amp;DO_DB[[#This Row],[Material Name]]</f>
        <v>CLR51-99-099_1:8 SPL for FDT-AE &amp; UG</v>
      </c>
      <c r="Q841" t="str">
        <f>DO_DB[[#This Row],[DO Number]]</f>
        <v>DOEID240612HI</v>
      </c>
      <c r="R841" t="str">
        <f>DO_DB[[#This Row],[DN Number]]</f>
        <v>DNWID0342024061207</v>
      </c>
    </row>
    <row r="842" spans="1:18">
      <c r="A842" t="s">
        <v>1477</v>
      </c>
      <c r="B842" t="s">
        <v>1478</v>
      </c>
      <c r="C842" t="s">
        <v>4482</v>
      </c>
      <c r="D842" t="s">
        <v>71</v>
      </c>
      <c r="E842" t="s">
        <v>24</v>
      </c>
      <c r="F842" t="s">
        <v>4498</v>
      </c>
      <c r="G842" t="s">
        <v>1535</v>
      </c>
      <c r="H842" t="s">
        <v>1536</v>
      </c>
      <c r="I842" s="130">
        <v>45456</v>
      </c>
      <c r="J842" t="s">
        <v>13</v>
      </c>
      <c r="K842">
        <v>5</v>
      </c>
      <c r="M8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42" t="str">
        <f>DO_DB[[#This Row],[Material Pick-update]]&amp;"_"&amp;DO_DB[[#This Row],[Material Name]]</f>
        <v>45456_FAT-16</v>
      </c>
      <c r="O842" t="str">
        <f>DO_DB[[#This Row],[SiteID]]</f>
        <v>CLR51-99-098</v>
      </c>
      <c r="P842" t="str">
        <f>DO_DB[[#This Row],[SiteID]]&amp;"_"&amp;DO_DB[[#This Row],[Material Name]]</f>
        <v>CLR51-99-098_FAT-16</v>
      </c>
      <c r="Q842" t="str">
        <f>DO_DB[[#This Row],[DO Number]]</f>
        <v>DOEID240612HJ</v>
      </c>
      <c r="R842" t="str">
        <f>DO_DB[[#This Row],[DN Number]]</f>
        <v>DNWID0342024061208</v>
      </c>
    </row>
    <row r="843" spans="1:18">
      <c r="A843" t="s">
        <v>1477</v>
      </c>
      <c r="B843" t="s">
        <v>1478</v>
      </c>
      <c r="C843" t="s">
        <v>4482</v>
      </c>
      <c r="D843" t="s">
        <v>71</v>
      </c>
      <c r="E843" t="s">
        <v>24</v>
      </c>
      <c r="F843" t="s">
        <v>4498</v>
      </c>
      <c r="G843" t="s">
        <v>1535</v>
      </c>
      <c r="H843" t="s">
        <v>1536</v>
      </c>
      <c r="I843" s="130">
        <v>45456</v>
      </c>
      <c r="J843" t="s">
        <v>3080</v>
      </c>
      <c r="K843">
        <v>3</v>
      </c>
      <c r="M8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43" t="str">
        <f>DO_DB[[#This Row],[Material Pick-update]]&amp;"_"&amp;DO_DB[[#This Row],[Material Name]]</f>
        <v>45456_1:8 SPL for FDT-AE &amp; UG</v>
      </c>
      <c r="O843" t="str">
        <f>DO_DB[[#This Row],[SiteID]]</f>
        <v>CLR51-99-098</v>
      </c>
      <c r="P843" t="str">
        <f>DO_DB[[#This Row],[SiteID]]&amp;"_"&amp;DO_DB[[#This Row],[Material Name]]</f>
        <v>CLR51-99-098_1:8 SPL for FDT-AE &amp; UG</v>
      </c>
      <c r="Q843" t="str">
        <f>DO_DB[[#This Row],[DO Number]]</f>
        <v>DOEID240612HJ</v>
      </c>
      <c r="R843" t="str">
        <f>DO_DB[[#This Row],[DN Number]]</f>
        <v>DNWID0342024061208</v>
      </c>
    </row>
    <row r="844" spans="1:18">
      <c r="A844" t="s">
        <v>1481</v>
      </c>
      <c r="B844" t="s">
        <v>1482</v>
      </c>
      <c r="C844" t="s">
        <v>4482</v>
      </c>
      <c r="D844" t="s">
        <v>71</v>
      </c>
      <c r="E844" t="s">
        <v>24</v>
      </c>
      <c r="F844" t="s">
        <v>4498</v>
      </c>
      <c r="G844" t="s">
        <v>1549</v>
      </c>
      <c r="H844" t="s">
        <v>1550</v>
      </c>
      <c r="I844" s="130">
        <v>45456</v>
      </c>
      <c r="J844" t="s">
        <v>13</v>
      </c>
      <c r="K844">
        <v>7</v>
      </c>
      <c r="M8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44" t="str">
        <f>DO_DB[[#This Row],[Material Pick-update]]&amp;"_"&amp;DO_DB[[#This Row],[Material Name]]</f>
        <v>45456_FAT-16</v>
      </c>
      <c r="O844" t="str">
        <f>DO_DB[[#This Row],[SiteID]]</f>
        <v>CLR51-99-096</v>
      </c>
      <c r="P844" t="str">
        <f>DO_DB[[#This Row],[SiteID]]&amp;"_"&amp;DO_DB[[#This Row],[Material Name]]</f>
        <v>CLR51-99-096_FAT-16</v>
      </c>
      <c r="Q844" t="str">
        <f>DO_DB[[#This Row],[DO Number]]</f>
        <v>DOEID240612HK</v>
      </c>
      <c r="R844" t="str">
        <f>DO_DB[[#This Row],[DN Number]]</f>
        <v>DNWID0342024061204</v>
      </c>
    </row>
    <row r="845" spans="1:18">
      <c r="A845" t="s">
        <v>1493</v>
      </c>
      <c r="B845" t="s">
        <v>1494</v>
      </c>
      <c r="C845" t="s">
        <v>4482</v>
      </c>
      <c r="D845" t="s">
        <v>71</v>
      </c>
      <c r="E845" t="s">
        <v>24</v>
      </c>
      <c r="F845" t="s">
        <v>4498</v>
      </c>
      <c r="G845" t="s">
        <v>1537</v>
      </c>
      <c r="H845" t="s">
        <v>1538</v>
      </c>
      <c r="I845" s="130">
        <v>45456</v>
      </c>
      <c r="J845" t="s">
        <v>13</v>
      </c>
      <c r="K845">
        <v>15</v>
      </c>
      <c r="M8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45" t="str">
        <f>DO_DB[[#This Row],[Material Pick-update]]&amp;"_"&amp;DO_DB[[#This Row],[Material Name]]</f>
        <v>45456_FAT-16</v>
      </c>
      <c r="O845" t="str">
        <f>DO_DB[[#This Row],[SiteID]]</f>
        <v>CLR51-99-097</v>
      </c>
      <c r="P845" t="str">
        <f>DO_DB[[#This Row],[SiteID]]&amp;"_"&amp;DO_DB[[#This Row],[Material Name]]</f>
        <v>CLR51-99-097_FAT-16</v>
      </c>
      <c r="Q845" t="str">
        <f>DO_DB[[#This Row],[DO Number]]</f>
        <v>DOEID240612HM</v>
      </c>
      <c r="R845" t="str">
        <f>DO_DB[[#This Row],[DN Number]]</f>
        <v>DNWID0342024061209</v>
      </c>
    </row>
    <row r="846" spans="1:18">
      <c r="A846" t="s">
        <v>1493</v>
      </c>
      <c r="B846" t="s">
        <v>1494</v>
      </c>
      <c r="C846" t="s">
        <v>4482</v>
      </c>
      <c r="D846" t="s">
        <v>71</v>
      </c>
      <c r="E846" t="s">
        <v>24</v>
      </c>
      <c r="F846" t="s">
        <v>4498</v>
      </c>
      <c r="G846" t="s">
        <v>1537</v>
      </c>
      <c r="H846" t="s">
        <v>1538</v>
      </c>
      <c r="I846" s="130">
        <v>45456</v>
      </c>
      <c r="J846" t="s">
        <v>3080</v>
      </c>
      <c r="K846">
        <v>3</v>
      </c>
      <c r="M8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46" t="str">
        <f>DO_DB[[#This Row],[Material Pick-update]]&amp;"_"&amp;DO_DB[[#This Row],[Material Name]]</f>
        <v>45456_1:8 SPL for FDT-AE &amp; UG</v>
      </c>
      <c r="O846" t="str">
        <f>DO_DB[[#This Row],[SiteID]]</f>
        <v>CLR51-99-097</v>
      </c>
      <c r="P846" t="str">
        <f>DO_DB[[#This Row],[SiteID]]&amp;"_"&amp;DO_DB[[#This Row],[Material Name]]</f>
        <v>CLR51-99-097_1:8 SPL for FDT-AE &amp; UG</v>
      </c>
      <c r="Q846" t="str">
        <f>DO_DB[[#This Row],[DO Number]]</f>
        <v>DOEID240612HM</v>
      </c>
      <c r="R846" t="str">
        <f>DO_DB[[#This Row],[DN Number]]</f>
        <v>DNWID0342024061209</v>
      </c>
    </row>
    <row r="847" spans="1:18">
      <c r="A847" t="s">
        <v>1453</v>
      </c>
      <c r="B847" t="s">
        <v>1454</v>
      </c>
      <c r="C847" t="s">
        <v>4482</v>
      </c>
      <c r="D847" t="s">
        <v>71</v>
      </c>
      <c r="E847" t="e">
        <v>#N/A</v>
      </c>
      <c r="F847" t="s">
        <v>4498</v>
      </c>
      <c r="G847" t="s">
        <v>1545</v>
      </c>
      <c r="H847" t="s">
        <v>1546</v>
      </c>
      <c r="I847" s="130">
        <v>45456</v>
      </c>
      <c r="J847" t="s">
        <v>3073</v>
      </c>
      <c r="K847">
        <v>6000</v>
      </c>
      <c r="M8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24C-2024613-01</v>
      </c>
      <c r="N847" t="str">
        <f>DO_DB[[#This Row],[Material Pick-update]]&amp;"_"&amp;DO_DB[[#This Row],[Material Name]]</f>
        <v>45456_ADSS 24C</v>
      </c>
      <c r="O847" t="str">
        <f>DO_DB[[#This Row],[SiteID]]</f>
        <v>CLR22-03-003</v>
      </c>
      <c r="P847" t="str">
        <f>DO_DB[[#This Row],[SiteID]]&amp;"_"&amp;DO_DB[[#This Row],[Material Name]]</f>
        <v>CLR22-03-003_ADSS 24C</v>
      </c>
      <c r="Q847" t="str">
        <f>DO_DB[[#This Row],[DO Number]]</f>
        <v>DOEID240612H5</v>
      </c>
      <c r="R847" t="str">
        <f>DO_DB[[#This Row],[DN Number]]</f>
        <v>DNWID0342024061201</v>
      </c>
    </row>
    <row r="848" spans="1:18">
      <c r="A848" t="s">
        <v>1453</v>
      </c>
      <c r="B848" t="s">
        <v>1454</v>
      </c>
      <c r="C848" t="s">
        <v>4482</v>
      </c>
      <c r="D848" t="s">
        <v>71</v>
      </c>
      <c r="E848" t="e">
        <v>#N/A</v>
      </c>
      <c r="F848" t="s">
        <v>4498</v>
      </c>
      <c r="G848" t="s">
        <v>1545</v>
      </c>
      <c r="H848" t="s">
        <v>1546</v>
      </c>
      <c r="I848" s="130">
        <v>45456</v>
      </c>
      <c r="J848" t="s">
        <v>14</v>
      </c>
      <c r="K848">
        <v>3</v>
      </c>
      <c r="M8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48" t="str">
        <f>DO_DB[[#This Row],[Material Pick-update]]&amp;"_"&amp;DO_DB[[#This Row],[Material Name]]</f>
        <v>45456_FDT-48</v>
      </c>
      <c r="O848" t="str">
        <f>DO_DB[[#This Row],[SiteID]]</f>
        <v>CLR22-03-003</v>
      </c>
      <c r="P848" t="str">
        <f>DO_DB[[#This Row],[SiteID]]&amp;"_"&amp;DO_DB[[#This Row],[Material Name]]</f>
        <v>CLR22-03-003_FDT-48</v>
      </c>
      <c r="Q848" t="str">
        <f>DO_DB[[#This Row],[DO Number]]</f>
        <v>DOEID240612H5</v>
      </c>
      <c r="R848" t="str">
        <f>DO_DB[[#This Row],[DN Number]]</f>
        <v>DNWID0342024061201</v>
      </c>
    </row>
    <row r="849" spans="1:18">
      <c r="A849" t="s">
        <v>1453</v>
      </c>
      <c r="B849" t="s">
        <v>1454</v>
      </c>
      <c r="C849" t="s">
        <v>4482</v>
      </c>
      <c r="D849" t="s">
        <v>71</v>
      </c>
      <c r="E849" t="e">
        <v>#N/A</v>
      </c>
      <c r="F849" t="s">
        <v>4498</v>
      </c>
      <c r="G849" t="s">
        <v>1545</v>
      </c>
      <c r="H849" t="s">
        <v>1546</v>
      </c>
      <c r="I849" s="130">
        <v>45456</v>
      </c>
      <c r="J849" t="s">
        <v>13</v>
      </c>
      <c r="K849">
        <v>39</v>
      </c>
      <c r="M8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49" t="str">
        <f>DO_DB[[#This Row],[Material Pick-update]]&amp;"_"&amp;DO_DB[[#This Row],[Material Name]]</f>
        <v>45456_FAT-16</v>
      </c>
      <c r="O849" t="str">
        <f>DO_DB[[#This Row],[SiteID]]</f>
        <v>CLR22-03-003</v>
      </c>
      <c r="P849" t="str">
        <f>DO_DB[[#This Row],[SiteID]]&amp;"_"&amp;DO_DB[[#This Row],[Material Name]]</f>
        <v>CLR22-03-003_FAT-16</v>
      </c>
      <c r="Q849" t="str">
        <f>DO_DB[[#This Row],[DO Number]]</f>
        <v>DOEID240612H5</v>
      </c>
      <c r="R849" t="str">
        <f>DO_DB[[#This Row],[DN Number]]</f>
        <v>DNWID0342024061201</v>
      </c>
    </row>
    <row r="850" spans="1:18">
      <c r="A850" t="s">
        <v>1453</v>
      </c>
      <c r="B850" t="s">
        <v>1454</v>
      </c>
      <c r="C850" t="s">
        <v>4482</v>
      </c>
      <c r="D850" t="s">
        <v>71</v>
      </c>
      <c r="E850" t="e">
        <v>#N/A</v>
      </c>
      <c r="F850" t="s">
        <v>4498</v>
      </c>
      <c r="G850" t="s">
        <v>1545</v>
      </c>
      <c r="H850" t="s">
        <v>1546</v>
      </c>
      <c r="I850" s="130">
        <v>45456</v>
      </c>
      <c r="J850" t="s">
        <v>3080</v>
      </c>
      <c r="K850">
        <v>9</v>
      </c>
      <c r="M8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50" t="str">
        <f>DO_DB[[#This Row],[Material Pick-update]]&amp;"_"&amp;DO_DB[[#This Row],[Material Name]]</f>
        <v>45456_1:8 SPL for FDT-AE &amp; UG</v>
      </c>
      <c r="O850" t="str">
        <f>DO_DB[[#This Row],[SiteID]]</f>
        <v>CLR22-03-003</v>
      </c>
      <c r="P850" t="str">
        <f>DO_DB[[#This Row],[SiteID]]&amp;"_"&amp;DO_DB[[#This Row],[Material Name]]</f>
        <v>CLR22-03-003_1:8 SPL for FDT-AE &amp; UG</v>
      </c>
      <c r="Q850" t="str">
        <f>DO_DB[[#This Row],[DO Number]]</f>
        <v>DOEID240612H5</v>
      </c>
      <c r="R850" t="str">
        <f>DO_DB[[#This Row],[DN Number]]</f>
        <v>DNWID0342024061201</v>
      </c>
    </row>
    <row r="851" spans="1:18">
      <c r="A851" t="s">
        <v>1449</v>
      </c>
      <c r="B851" t="s">
        <v>1450</v>
      </c>
      <c r="C851" s="172" t="s">
        <v>4482</v>
      </c>
      <c r="D851" t="s">
        <v>71</v>
      </c>
      <c r="E851" t="s">
        <v>135</v>
      </c>
      <c r="F851" t="s">
        <v>4498</v>
      </c>
      <c r="G851" t="s">
        <v>1551</v>
      </c>
      <c r="H851" t="s">
        <v>1552</v>
      </c>
      <c r="I851" s="130">
        <v>45456</v>
      </c>
      <c r="J851" t="s">
        <v>3073</v>
      </c>
      <c r="K851">
        <v>6000</v>
      </c>
      <c r="M8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24C-2024613-01</v>
      </c>
      <c r="N851" t="str">
        <f>DO_DB[[#This Row],[Material Pick-update]]&amp;"_"&amp;DO_DB[[#This Row],[Material Name]]</f>
        <v>45456_ADSS 24C</v>
      </c>
      <c r="O851" t="str">
        <f>DO_DB[[#This Row],[SiteID]]</f>
        <v>CLR22-03-002</v>
      </c>
      <c r="P851" t="str">
        <f>DO_DB[[#This Row],[SiteID]]&amp;"_"&amp;DO_DB[[#This Row],[Material Name]]</f>
        <v>CLR22-03-002_ADSS 24C</v>
      </c>
      <c r="Q851" t="str">
        <f>DO_DB[[#This Row],[DO Number]]</f>
        <v>DOEID240612GX</v>
      </c>
      <c r="R851" t="str">
        <f>DO_DB[[#This Row],[DN Number]]</f>
        <v>DNWID0342024061203</v>
      </c>
    </row>
    <row r="852" spans="1:18">
      <c r="A852" t="s">
        <v>1449</v>
      </c>
      <c r="B852" t="s">
        <v>1450</v>
      </c>
      <c r="C852" s="172" t="s">
        <v>4482</v>
      </c>
      <c r="D852" t="s">
        <v>71</v>
      </c>
      <c r="E852" t="s">
        <v>135</v>
      </c>
      <c r="F852" t="s">
        <v>4498</v>
      </c>
      <c r="G852" t="s">
        <v>1551</v>
      </c>
      <c r="H852" t="s">
        <v>1552</v>
      </c>
      <c r="I852" s="130">
        <v>45456</v>
      </c>
      <c r="J852" t="s">
        <v>14</v>
      </c>
      <c r="K852">
        <v>1</v>
      </c>
      <c r="M8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52" t="str">
        <f>DO_DB[[#This Row],[Material Pick-update]]&amp;"_"&amp;DO_DB[[#This Row],[Material Name]]</f>
        <v>45456_FDT-48</v>
      </c>
      <c r="O852" t="str">
        <f>DO_DB[[#This Row],[SiteID]]</f>
        <v>CLR22-03-002</v>
      </c>
      <c r="P852" t="str">
        <f>DO_DB[[#This Row],[SiteID]]&amp;"_"&amp;DO_DB[[#This Row],[Material Name]]</f>
        <v>CLR22-03-002_FDT-48</v>
      </c>
      <c r="Q852" t="str">
        <f>DO_DB[[#This Row],[DO Number]]</f>
        <v>DOEID240612GX</v>
      </c>
      <c r="R852" t="str">
        <f>DO_DB[[#This Row],[DN Number]]</f>
        <v>DNWID0342024061203</v>
      </c>
    </row>
    <row r="853" spans="1:18">
      <c r="A853" t="s">
        <v>1449</v>
      </c>
      <c r="B853" t="s">
        <v>1450</v>
      </c>
      <c r="C853" s="172" t="s">
        <v>4482</v>
      </c>
      <c r="D853" t="s">
        <v>71</v>
      </c>
      <c r="E853" t="s">
        <v>135</v>
      </c>
      <c r="F853" t="s">
        <v>4498</v>
      </c>
      <c r="G853" t="s">
        <v>1551</v>
      </c>
      <c r="H853" t="s">
        <v>1552</v>
      </c>
      <c r="I853" s="130">
        <v>45456</v>
      </c>
      <c r="J853" t="s">
        <v>13</v>
      </c>
      <c r="K853">
        <v>34</v>
      </c>
      <c r="M8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53" t="str">
        <f>DO_DB[[#This Row],[Material Pick-update]]&amp;"_"&amp;DO_DB[[#This Row],[Material Name]]</f>
        <v>45456_FAT-16</v>
      </c>
      <c r="O853" t="str">
        <f>DO_DB[[#This Row],[SiteID]]</f>
        <v>CLR22-03-002</v>
      </c>
      <c r="P853" t="str">
        <f>DO_DB[[#This Row],[SiteID]]&amp;"_"&amp;DO_DB[[#This Row],[Material Name]]</f>
        <v>CLR22-03-002_FAT-16</v>
      </c>
      <c r="Q853" t="str">
        <f>DO_DB[[#This Row],[DO Number]]</f>
        <v>DOEID240612GX</v>
      </c>
      <c r="R853" t="str">
        <f>DO_DB[[#This Row],[DN Number]]</f>
        <v>DNWID0342024061203</v>
      </c>
    </row>
    <row r="854" spans="1:18">
      <c r="A854" t="s">
        <v>1449</v>
      </c>
      <c r="B854" t="s">
        <v>1450</v>
      </c>
      <c r="C854" s="172" t="s">
        <v>4482</v>
      </c>
      <c r="D854" t="s">
        <v>71</v>
      </c>
      <c r="E854" t="s">
        <v>135</v>
      </c>
      <c r="F854" t="s">
        <v>4498</v>
      </c>
      <c r="G854" t="s">
        <v>1551</v>
      </c>
      <c r="H854" t="s">
        <v>1552</v>
      </c>
      <c r="I854" s="130">
        <v>45456</v>
      </c>
      <c r="J854" t="s">
        <v>3080</v>
      </c>
      <c r="K854">
        <v>3</v>
      </c>
      <c r="M8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54" t="str">
        <f>DO_DB[[#This Row],[Material Pick-update]]&amp;"_"&amp;DO_DB[[#This Row],[Material Name]]</f>
        <v>45456_1:8 SPL for FDT-AE &amp; UG</v>
      </c>
      <c r="O854" t="str">
        <f>DO_DB[[#This Row],[SiteID]]</f>
        <v>CLR22-03-002</v>
      </c>
      <c r="P854" t="str">
        <f>DO_DB[[#This Row],[SiteID]]&amp;"_"&amp;DO_DB[[#This Row],[Material Name]]</f>
        <v>CLR22-03-002_1:8 SPL for FDT-AE &amp; UG</v>
      </c>
      <c r="Q854" t="str">
        <f>DO_DB[[#This Row],[DO Number]]</f>
        <v>DOEID240612GX</v>
      </c>
      <c r="R854" t="str">
        <f>DO_DB[[#This Row],[DN Number]]</f>
        <v>DNWID0342024061203</v>
      </c>
    </row>
    <row r="855" spans="1:18">
      <c r="A855" t="s">
        <v>1869</v>
      </c>
      <c r="B855" t="s">
        <v>1870</v>
      </c>
      <c r="C855" s="172" t="s">
        <v>4482</v>
      </c>
      <c r="D855" t="s">
        <v>71</v>
      </c>
      <c r="E855" t="s">
        <v>135</v>
      </c>
      <c r="F855" t="s">
        <v>4498</v>
      </c>
      <c r="G855" t="s">
        <v>1873</v>
      </c>
      <c r="H855" t="s">
        <v>1874</v>
      </c>
      <c r="I855" s="130">
        <v>45519</v>
      </c>
      <c r="J855" t="s">
        <v>3073</v>
      </c>
      <c r="K855">
        <v>3000</v>
      </c>
      <c r="M8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24C-2024815-01</v>
      </c>
      <c r="N855" t="str">
        <f>DO_DB[[#This Row],[Material Pick-update]]&amp;"_"&amp;DO_DB[[#This Row],[Material Name]]</f>
        <v>45519_ADSS 24C</v>
      </c>
      <c r="O855" t="str">
        <f>DO_DB[[#This Row],[SiteID]]</f>
        <v>CLR99-99-135</v>
      </c>
      <c r="P855" t="str">
        <f>DO_DB[[#This Row],[SiteID]]&amp;"_"&amp;DO_DB[[#This Row],[Material Name]]</f>
        <v>CLR99-99-135_ADSS 24C</v>
      </c>
      <c r="Q855" t="str">
        <f>DO_DB[[#This Row],[DO Number]]</f>
        <v>DOEID24081430</v>
      </c>
      <c r="R855" t="str">
        <f>DO_DB[[#This Row],[DN Number]]</f>
        <v>DNWID0342024081414</v>
      </c>
    </row>
    <row r="856" spans="1:18">
      <c r="A856" t="s">
        <v>1869</v>
      </c>
      <c r="B856" t="s">
        <v>1870</v>
      </c>
      <c r="C856" s="172" t="s">
        <v>4482</v>
      </c>
      <c r="D856" t="s">
        <v>71</v>
      </c>
      <c r="E856" t="s">
        <v>135</v>
      </c>
      <c r="F856" t="s">
        <v>4498</v>
      </c>
      <c r="G856" t="s">
        <v>1873</v>
      </c>
      <c r="H856" t="s">
        <v>1874</v>
      </c>
      <c r="I856" s="130">
        <v>45519</v>
      </c>
      <c r="J856" t="s">
        <v>3075</v>
      </c>
      <c r="K856">
        <v>3000</v>
      </c>
      <c r="M8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48C-2024815-01</v>
      </c>
      <c r="N856" t="str">
        <f>DO_DB[[#This Row],[Material Pick-update]]&amp;"_"&amp;DO_DB[[#This Row],[Material Name]]</f>
        <v>45519_ADSS 48C</v>
      </c>
      <c r="O856" t="str">
        <f>DO_DB[[#This Row],[SiteID]]</f>
        <v>CLR99-99-135</v>
      </c>
      <c r="P856" t="str">
        <f>DO_DB[[#This Row],[SiteID]]&amp;"_"&amp;DO_DB[[#This Row],[Material Name]]</f>
        <v>CLR99-99-135_ADSS 48C</v>
      </c>
      <c r="Q856" t="str">
        <f>DO_DB[[#This Row],[DO Number]]</f>
        <v>DOEID24081430</v>
      </c>
      <c r="R856" t="str">
        <f>DO_DB[[#This Row],[DN Number]]</f>
        <v>DNWID0342024081414</v>
      </c>
    </row>
    <row r="857" spans="1:18">
      <c r="A857" t="s">
        <v>1863</v>
      </c>
      <c r="B857" t="s">
        <v>1864</v>
      </c>
      <c r="C857" s="172" t="s">
        <v>4482</v>
      </c>
      <c r="D857" t="s">
        <v>71</v>
      </c>
      <c r="E857" t="s">
        <v>135</v>
      </c>
      <c r="F857" t="s">
        <v>4498</v>
      </c>
      <c r="G857" t="s">
        <v>1867</v>
      </c>
      <c r="H857" t="s">
        <v>1868</v>
      </c>
      <c r="I857" s="130">
        <v>45519</v>
      </c>
      <c r="J857" t="s">
        <v>3075</v>
      </c>
      <c r="K857">
        <v>6000</v>
      </c>
      <c r="M8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48C-2024815-01</v>
      </c>
      <c r="N857" t="str">
        <f>DO_DB[[#This Row],[Material Pick-update]]&amp;"_"&amp;DO_DB[[#This Row],[Material Name]]</f>
        <v>45519_ADSS 48C</v>
      </c>
      <c r="O857" t="str">
        <f>DO_DB[[#This Row],[SiteID]]</f>
        <v>CLR99-99-134</v>
      </c>
      <c r="P857" t="str">
        <f>DO_DB[[#This Row],[SiteID]]&amp;"_"&amp;DO_DB[[#This Row],[Material Name]]</f>
        <v>CLR99-99-134_ADSS 48C</v>
      </c>
      <c r="Q857" t="str">
        <f>DO_DB[[#This Row],[DO Number]]</f>
        <v>DOEID24081428</v>
      </c>
      <c r="R857" t="str">
        <f>DO_DB[[#This Row],[DN Number]]</f>
        <v>DNWID0342024081412</v>
      </c>
    </row>
    <row r="858" spans="1:18">
      <c r="A858" t="s">
        <v>1863</v>
      </c>
      <c r="B858" t="s">
        <v>1864</v>
      </c>
      <c r="C858" s="172" t="s">
        <v>4482</v>
      </c>
      <c r="D858" t="s">
        <v>71</v>
      </c>
      <c r="E858" t="s">
        <v>135</v>
      </c>
      <c r="F858" t="s">
        <v>4498</v>
      </c>
      <c r="G858" t="s">
        <v>1865</v>
      </c>
      <c r="H858" t="s">
        <v>1866</v>
      </c>
      <c r="I858" s="130">
        <v>45519</v>
      </c>
      <c r="J858" t="s">
        <v>3069</v>
      </c>
      <c r="K858">
        <v>121</v>
      </c>
      <c r="M8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58" t="str">
        <f>DO_DB[[#This Row],[Material Pick-update]]&amp;"_"&amp;DO_DB[[#This Row],[Material Name]]</f>
        <v>45519_Pole 7M 4"</v>
      </c>
      <c r="O858" t="str">
        <f>DO_DB[[#This Row],[SiteID]]</f>
        <v>CLR99-99-134</v>
      </c>
      <c r="P858" t="str">
        <f>DO_DB[[#This Row],[SiteID]]&amp;"_"&amp;DO_DB[[#This Row],[Material Name]]</f>
        <v>CLR99-99-134_Pole 7M 4"</v>
      </c>
      <c r="Q858" t="str">
        <f>DO_DB[[#This Row],[DO Number]]</f>
        <v>DOEID24081427</v>
      </c>
      <c r="R858" t="str">
        <f>DO_DB[[#This Row],[DN Number]]</f>
        <v>DNWID0362024081417</v>
      </c>
    </row>
    <row r="859" spans="1:18">
      <c r="A859" t="s">
        <v>1863</v>
      </c>
      <c r="B859" t="s">
        <v>1864</v>
      </c>
      <c r="C859" s="172" t="s">
        <v>4482</v>
      </c>
      <c r="D859" t="s">
        <v>71</v>
      </c>
      <c r="E859" t="s">
        <v>135</v>
      </c>
      <c r="F859" t="s">
        <v>4498</v>
      </c>
      <c r="G859" t="s">
        <v>1865</v>
      </c>
      <c r="H859" t="s">
        <v>1866</v>
      </c>
      <c r="I859" s="130">
        <v>45519</v>
      </c>
      <c r="J859" t="s">
        <v>3070</v>
      </c>
      <c r="K859">
        <v>34</v>
      </c>
      <c r="M8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59" t="str">
        <f>DO_DB[[#This Row],[Material Pick-update]]&amp;"_"&amp;DO_DB[[#This Row],[Material Name]]</f>
        <v>45519_Pole 7M 3"</v>
      </c>
      <c r="O859" t="str">
        <f>DO_DB[[#This Row],[SiteID]]</f>
        <v>CLR99-99-134</v>
      </c>
      <c r="P859" t="str">
        <f>DO_DB[[#This Row],[SiteID]]&amp;"_"&amp;DO_DB[[#This Row],[Material Name]]</f>
        <v>CLR99-99-134_Pole 7M 3"</v>
      </c>
      <c r="Q859" t="str">
        <f>DO_DB[[#This Row],[DO Number]]</f>
        <v>DOEID24081427</v>
      </c>
      <c r="R859" t="str">
        <f>DO_DB[[#This Row],[DN Number]]</f>
        <v>DNWID0362024081417</v>
      </c>
    </row>
    <row r="860" spans="1:18">
      <c r="A860" t="s">
        <v>1863</v>
      </c>
      <c r="B860" t="s">
        <v>1864</v>
      </c>
      <c r="C860" s="172" t="s">
        <v>4482</v>
      </c>
      <c r="D860" t="s">
        <v>71</v>
      </c>
      <c r="E860" t="s">
        <v>135</v>
      </c>
      <c r="F860" t="s">
        <v>4498</v>
      </c>
      <c r="G860" t="s">
        <v>1867</v>
      </c>
      <c r="H860" t="s">
        <v>1868</v>
      </c>
      <c r="I860" s="130">
        <v>45519</v>
      </c>
      <c r="J860" t="s">
        <v>14</v>
      </c>
      <c r="K860">
        <v>3</v>
      </c>
      <c r="M8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60" t="str">
        <f>DO_DB[[#This Row],[Material Pick-update]]&amp;"_"&amp;DO_DB[[#This Row],[Material Name]]</f>
        <v>45519_FDT-48</v>
      </c>
      <c r="O860" t="str">
        <f>DO_DB[[#This Row],[SiteID]]</f>
        <v>CLR99-99-134</v>
      </c>
      <c r="P860" t="str">
        <f>DO_DB[[#This Row],[SiteID]]&amp;"_"&amp;DO_DB[[#This Row],[Material Name]]</f>
        <v>CLR99-99-134_FDT-48</v>
      </c>
      <c r="Q860" t="str">
        <f>DO_DB[[#This Row],[DO Number]]</f>
        <v>DOEID24081428</v>
      </c>
      <c r="R860" t="str">
        <f>DO_DB[[#This Row],[DN Number]]</f>
        <v>DNWID0342024081412</v>
      </c>
    </row>
    <row r="861" spans="1:18">
      <c r="A861" t="s">
        <v>1863</v>
      </c>
      <c r="B861" t="s">
        <v>1864</v>
      </c>
      <c r="C861" s="172" t="s">
        <v>4482</v>
      </c>
      <c r="D861" t="s">
        <v>71</v>
      </c>
      <c r="E861" t="s">
        <v>135</v>
      </c>
      <c r="F861" t="s">
        <v>4498</v>
      </c>
      <c r="G861" t="s">
        <v>1867</v>
      </c>
      <c r="H861" t="s">
        <v>1868</v>
      </c>
      <c r="I861" s="130">
        <v>45519</v>
      </c>
      <c r="J861" t="s">
        <v>13</v>
      </c>
      <c r="K861">
        <v>55</v>
      </c>
      <c r="M8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61" t="str">
        <f>DO_DB[[#This Row],[Material Pick-update]]&amp;"_"&amp;DO_DB[[#This Row],[Material Name]]</f>
        <v>45519_FAT-16</v>
      </c>
      <c r="O861" t="str">
        <f>DO_DB[[#This Row],[SiteID]]</f>
        <v>CLR99-99-134</v>
      </c>
      <c r="P861" t="str">
        <f>DO_DB[[#This Row],[SiteID]]&amp;"_"&amp;DO_DB[[#This Row],[Material Name]]</f>
        <v>CLR99-99-134_FAT-16</v>
      </c>
      <c r="Q861" t="str">
        <f>DO_DB[[#This Row],[DO Number]]</f>
        <v>DOEID24081428</v>
      </c>
      <c r="R861" t="str">
        <f>DO_DB[[#This Row],[DN Number]]</f>
        <v>DNWID0342024081412</v>
      </c>
    </row>
    <row r="862" spans="1:18">
      <c r="A862" t="s">
        <v>1869</v>
      </c>
      <c r="B862" t="s">
        <v>1870</v>
      </c>
      <c r="C862" s="172" t="s">
        <v>4482</v>
      </c>
      <c r="D862" t="s">
        <v>71</v>
      </c>
      <c r="E862" t="s">
        <v>135</v>
      </c>
      <c r="F862" t="s">
        <v>4498</v>
      </c>
      <c r="G862" t="s">
        <v>1871</v>
      </c>
      <c r="H862" t="s">
        <v>1872</v>
      </c>
      <c r="I862" s="130">
        <v>45519</v>
      </c>
      <c r="J862" t="s">
        <v>3069</v>
      </c>
      <c r="K862">
        <v>53</v>
      </c>
      <c r="M8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62" t="str">
        <f>DO_DB[[#This Row],[Material Pick-update]]&amp;"_"&amp;DO_DB[[#This Row],[Material Name]]</f>
        <v>45519_Pole 7M 4"</v>
      </c>
      <c r="O862" t="str">
        <f>DO_DB[[#This Row],[SiteID]]</f>
        <v>CLR99-99-135</v>
      </c>
      <c r="P862" t="str">
        <f>DO_DB[[#This Row],[SiteID]]&amp;"_"&amp;DO_DB[[#This Row],[Material Name]]</f>
        <v>CLR99-99-135_Pole 7M 4"</v>
      </c>
      <c r="Q862" t="str">
        <f>DO_DB[[#This Row],[DO Number]]</f>
        <v>DOEID24081429</v>
      </c>
      <c r="R862" t="str">
        <f>DO_DB[[#This Row],[DN Number]]</f>
        <v>DNWID0362024081415</v>
      </c>
    </row>
    <row r="863" spans="1:18">
      <c r="A863" t="s">
        <v>1869</v>
      </c>
      <c r="B863" t="s">
        <v>1870</v>
      </c>
      <c r="C863" s="172" t="s">
        <v>4482</v>
      </c>
      <c r="D863" t="s">
        <v>71</v>
      </c>
      <c r="E863" t="s">
        <v>135</v>
      </c>
      <c r="F863" t="s">
        <v>4498</v>
      </c>
      <c r="G863" t="s">
        <v>1871</v>
      </c>
      <c r="H863" t="s">
        <v>1872</v>
      </c>
      <c r="I863" s="130">
        <v>45519</v>
      </c>
      <c r="J863" t="s">
        <v>3070</v>
      </c>
      <c r="K863">
        <v>14</v>
      </c>
      <c r="M8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63" t="str">
        <f>DO_DB[[#This Row],[Material Pick-update]]&amp;"_"&amp;DO_DB[[#This Row],[Material Name]]</f>
        <v>45519_Pole 7M 3"</v>
      </c>
      <c r="O863" t="str">
        <f>DO_DB[[#This Row],[SiteID]]</f>
        <v>CLR99-99-135</v>
      </c>
      <c r="P863" t="str">
        <f>DO_DB[[#This Row],[SiteID]]&amp;"_"&amp;DO_DB[[#This Row],[Material Name]]</f>
        <v>CLR99-99-135_Pole 7M 3"</v>
      </c>
      <c r="Q863" t="str">
        <f>DO_DB[[#This Row],[DO Number]]</f>
        <v>DOEID24081429</v>
      </c>
      <c r="R863" t="str">
        <f>DO_DB[[#This Row],[DN Number]]</f>
        <v>DNWID0362024081415</v>
      </c>
    </row>
    <row r="864" spans="1:18">
      <c r="A864" t="s">
        <v>1869</v>
      </c>
      <c r="B864" t="s">
        <v>1870</v>
      </c>
      <c r="C864" s="172" t="s">
        <v>4482</v>
      </c>
      <c r="D864" t="s">
        <v>71</v>
      </c>
      <c r="E864" t="s">
        <v>135</v>
      </c>
      <c r="F864" t="s">
        <v>4498</v>
      </c>
      <c r="G864" t="s">
        <v>1873</v>
      </c>
      <c r="H864" t="s">
        <v>1874</v>
      </c>
      <c r="I864" s="130">
        <v>45519</v>
      </c>
      <c r="J864" t="s">
        <v>14</v>
      </c>
      <c r="K864">
        <v>1</v>
      </c>
      <c r="M8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64" t="str">
        <f>DO_DB[[#This Row],[Material Pick-update]]&amp;"_"&amp;DO_DB[[#This Row],[Material Name]]</f>
        <v>45519_FDT-48</v>
      </c>
      <c r="O864" t="str">
        <f>DO_DB[[#This Row],[SiteID]]</f>
        <v>CLR99-99-135</v>
      </c>
      <c r="P864" t="str">
        <f>DO_DB[[#This Row],[SiteID]]&amp;"_"&amp;DO_DB[[#This Row],[Material Name]]</f>
        <v>CLR99-99-135_FDT-48</v>
      </c>
      <c r="Q864" t="str">
        <f>DO_DB[[#This Row],[DO Number]]</f>
        <v>DOEID24081430</v>
      </c>
      <c r="R864" t="str">
        <f>DO_DB[[#This Row],[DN Number]]</f>
        <v>DNWID0342024081414</v>
      </c>
    </row>
    <row r="865" spans="1:18">
      <c r="A865" t="s">
        <v>1869</v>
      </c>
      <c r="B865" t="s">
        <v>1870</v>
      </c>
      <c r="C865" s="172" t="s">
        <v>4482</v>
      </c>
      <c r="D865" t="s">
        <v>71</v>
      </c>
      <c r="E865" t="s">
        <v>135</v>
      </c>
      <c r="F865" t="s">
        <v>4498</v>
      </c>
      <c r="G865" t="s">
        <v>1873</v>
      </c>
      <c r="H865" t="s">
        <v>1874</v>
      </c>
      <c r="I865" s="130">
        <v>45519</v>
      </c>
      <c r="J865" t="s">
        <v>13</v>
      </c>
      <c r="K865">
        <v>19</v>
      </c>
      <c r="M8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65" t="str">
        <f>DO_DB[[#This Row],[Material Pick-update]]&amp;"_"&amp;DO_DB[[#This Row],[Material Name]]</f>
        <v>45519_FAT-16</v>
      </c>
      <c r="O865" t="str">
        <f>DO_DB[[#This Row],[SiteID]]</f>
        <v>CLR99-99-135</v>
      </c>
      <c r="P865" t="str">
        <f>DO_DB[[#This Row],[SiteID]]&amp;"_"&amp;DO_DB[[#This Row],[Material Name]]</f>
        <v>CLR99-99-135_FAT-16</v>
      </c>
      <c r="Q865" t="str">
        <f>DO_DB[[#This Row],[DO Number]]</f>
        <v>DOEID24081430</v>
      </c>
      <c r="R865" t="str">
        <f>DO_DB[[#This Row],[DN Number]]</f>
        <v>DNWID0342024081414</v>
      </c>
    </row>
    <row r="866" spans="1:18">
      <c r="A866" t="s">
        <v>1955</v>
      </c>
      <c r="B866" t="s">
        <v>1956</v>
      </c>
      <c r="C866" t="s">
        <v>4482</v>
      </c>
      <c r="D866" t="s">
        <v>67</v>
      </c>
      <c r="E866" t="s">
        <v>24</v>
      </c>
      <c r="F866" t="s">
        <v>4498</v>
      </c>
      <c r="G866" t="s">
        <v>1973</v>
      </c>
      <c r="H866" t="s">
        <v>1974</v>
      </c>
      <c r="I866" s="130">
        <v>45531</v>
      </c>
      <c r="J866" t="s">
        <v>3071</v>
      </c>
      <c r="K866">
        <v>4</v>
      </c>
      <c r="M8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66" t="str">
        <f>DO_DB[[#This Row],[Material Pick-update]]&amp;"_"&amp;DO_DB[[#This Row],[Material Name]]</f>
        <v>45531_Pole 9M</v>
      </c>
      <c r="O866" t="str">
        <f>DO_DB[[#This Row],[SiteID]]</f>
        <v>CLR51-99-116</v>
      </c>
      <c r="P866" t="str">
        <f>DO_DB[[#This Row],[SiteID]]&amp;"_"&amp;DO_DB[[#This Row],[Material Name]]</f>
        <v>CLR51-99-116_Pole 9M</v>
      </c>
      <c r="Q866" t="str">
        <f>DO_DB[[#This Row],[DO Number]]</f>
        <v>DOEID24082745</v>
      </c>
      <c r="R866" t="str">
        <f>DO_DB[[#This Row],[DN Number]]</f>
        <v>DNWID0362024082716</v>
      </c>
    </row>
    <row r="867" spans="1:18">
      <c r="A867" t="s">
        <v>1979</v>
      </c>
      <c r="B867" t="s">
        <v>1980</v>
      </c>
      <c r="C867" s="172" t="s">
        <v>4482</v>
      </c>
      <c r="D867" t="s">
        <v>67</v>
      </c>
      <c r="E867" t="s">
        <v>135</v>
      </c>
      <c r="F867" t="s">
        <v>4498</v>
      </c>
      <c r="G867" t="s">
        <v>1981</v>
      </c>
      <c r="H867" t="s">
        <v>1982</v>
      </c>
      <c r="I867" s="130">
        <v>45531</v>
      </c>
      <c r="J867" t="s">
        <v>3073</v>
      </c>
      <c r="K867">
        <v>3000</v>
      </c>
      <c r="M8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24C-2024827-01</v>
      </c>
      <c r="N867" t="str">
        <f>DO_DB[[#This Row],[Material Pick-update]]&amp;"_"&amp;DO_DB[[#This Row],[Material Name]]</f>
        <v>45531_ADSS 24C</v>
      </c>
      <c r="O867" t="str">
        <f>DO_DB[[#This Row],[SiteID]]</f>
        <v>CLR22-05-002</v>
      </c>
      <c r="P867" t="str">
        <f>DO_DB[[#This Row],[SiteID]]&amp;"_"&amp;DO_DB[[#This Row],[Material Name]]</f>
        <v>CLR22-05-002_ADSS 24C</v>
      </c>
      <c r="Q867" t="str">
        <f>DO_DB[[#This Row],[DO Number]]</f>
        <v>DOEID240826HG</v>
      </c>
      <c r="R867" t="str">
        <f>DO_DB[[#This Row],[DN Number]]</f>
        <v>DNWID0342024082703</v>
      </c>
    </row>
    <row r="868" spans="1:18">
      <c r="A868" t="s">
        <v>1979</v>
      </c>
      <c r="B868" t="s">
        <v>1980</v>
      </c>
      <c r="C868" s="172" t="s">
        <v>4482</v>
      </c>
      <c r="D868" t="s">
        <v>67</v>
      </c>
      <c r="E868" t="s">
        <v>135</v>
      </c>
      <c r="F868" t="s">
        <v>4498</v>
      </c>
      <c r="G868" t="s">
        <v>1981</v>
      </c>
      <c r="H868" t="s">
        <v>1982</v>
      </c>
      <c r="I868" s="130">
        <v>45531</v>
      </c>
      <c r="J868" t="s">
        <v>3075</v>
      </c>
      <c r="K868">
        <v>3000</v>
      </c>
      <c r="M8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48C-2024827-01</v>
      </c>
      <c r="N868" t="str">
        <f>DO_DB[[#This Row],[Material Pick-update]]&amp;"_"&amp;DO_DB[[#This Row],[Material Name]]</f>
        <v>45531_ADSS 48C</v>
      </c>
      <c r="O868" t="str">
        <f>DO_DB[[#This Row],[SiteID]]</f>
        <v>CLR22-05-002</v>
      </c>
      <c r="P868" t="str">
        <f>DO_DB[[#This Row],[SiteID]]&amp;"_"&amp;DO_DB[[#This Row],[Material Name]]</f>
        <v>CLR22-05-002_ADSS 48C</v>
      </c>
      <c r="Q868" t="str">
        <f>DO_DB[[#This Row],[DO Number]]</f>
        <v>DOEID240826HG</v>
      </c>
      <c r="R868" t="str">
        <f>DO_DB[[#This Row],[DN Number]]</f>
        <v>DNWID0342024082703</v>
      </c>
    </row>
    <row r="869" spans="1:18">
      <c r="A869" t="s">
        <v>1983</v>
      </c>
      <c r="B869" t="s">
        <v>1984</v>
      </c>
      <c r="C869" s="172" t="s">
        <v>4482</v>
      </c>
      <c r="D869" t="s">
        <v>71</v>
      </c>
      <c r="E869" t="s">
        <v>135</v>
      </c>
      <c r="F869" t="s">
        <v>4498</v>
      </c>
      <c r="G869" t="s">
        <v>1985</v>
      </c>
      <c r="H869" t="s">
        <v>1986</v>
      </c>
      <c r="I869" s="130">
        <v>45531</v>
      </c>
      <c r="J869" t="s">
        <v>3075</v>
      </c>
      <c r="K869">
        <v>3000</v>
      </c>
      <c r="M8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48C-2024827-01</v>
      </c>
      <c r="N869" t="str">
        <f>DO_DB[[#This Row],[Material Pick-update]]&amp;"_"&amp;DO_DB[[#This Row],[Material Name]]</f>
        <v>45531_ADSS 48C</v>
      </c>
      <c r="O869" t="str">
        <f>DO_DB[[#This Row],[SiteID]]</f>
        <v>CLR99-99-136</v>
      </c>
      <c r="P869" t="str">
        <f>DO_DB[[#This Row],[SiteID]]&amp;"_"&amp;DO_DB[[#This Row],[Material Name]]</f>
        <v>CLR99-99-136_ADSS 48C</v>
      </c>
      <c r="Q869" t="str">
        <f>DO_DB[[#This Row],[DO Number]]</f>
        <v>DOEID240826HI</v>
      </c>
      <c r="R869" t="str">
        <f>DO_DB[[#This Row],[DN Number]]</f>
        <v>DNWID0342024082706</v>
      </c>
    </row>
    <row r="870" spans="1:18">
      <c r="A870" t="s">
        <v>1975</v>
      </c>
      <c r="B870" t="s">
        <v>1976</v>
      </c>
      <c r="C870" s="172" t="s">
        <v>4482</v>
      </c>
      <c r="D870" t="s">
        <v>67</v>
      </c>
      <c r="E870" t="s">
        <v>135</v>
      </c>
      <c r="F870" t="s">
        <v>4498</v>
      </c>
      <c r="G870" t="s">
        <v>1977</v>
      </c>
      <c r="H870" t="s">
        <v>1978</v>
      </c>
      <c r="I870" s="130">
        <v>45531</v>
      </c>
      <c r="J870" t="s">
        <v>3073</v>
      </c>
      <c r="K870">
        <v>3000</v>
      </c>
      <c r="M8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24C-2024827-01</v>
      </c>
      <c r="N870" t="str">
        <f>DO_DB[[#This Row],[Material Pick-update]]&amp;"_"&amp;DO_DB[[#This Row],[Material Name]]</f>
        <v>45531_ADSS 24C</v>
      </c>
      <c r="O870" t="str">
        <f>DO_DB[[#This Row],[SiteID]]</f>
        <v>CLR99-99-137</v>
      </c>
      <c r="P870" t="str">
        <f>DO_DB[[#This Row],[SiteID]]&amp;"_"&amp;DO_DB[[#This Row],[Material Name]]</f>
        <v>CLR99-99-137_ADSS 24C</v>
      </c>
      <c r="Q870" t="str">
        <f>DO_DB[[#This Row],[DO Number]]</f>
        <v>DOEID240826HK</v>
      </c>
      <c r="R870" t="str">
        <f>DO_DB[[#This Row],[DN Number]]</f>
        <v>DNWID0342024082701</v>
      </c>
    </row>
    <row r="871" spans="1:18">
      <c r="A871" t="s">
        <v>1987</v>
      </c>
      <c r="B871" t="s">
        <v>1988</v>
      </c>
      <c r="C871" s="172" t="s">
        <v>4482</v>
      </c>
      <c r="D871" t="s">
        <v>71</v>
      </c>
      <c r="E871" t="s">
        <v>135</v>
      </c>
      <c r="F871" t="s">
        <v>4498</v>
      </c>
      <c r="G871" t="s">
        <v>1989</v>
      </c>
      <c r="H871" t="s">
        <v>1990</v>
      </c>
      <c r="I871" s="130">
        <v>45531</v>
      </c>
      <c r="J871" t="s">
        <v>3073</v>
      </c>
      <c r="K871">
        <v>3000</v>
      </c>
      <c r="M8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24C-2024827-01</v>
      </c>
      <c r="N871" t="str">
        <f>DO_DB[[#This Row],[Material Pick-update]]&amp;"_"&amp;DO_DB[[#This Row],[Material Name]]</f>
        <v>45531_ADSS 24C</v>
      </c>
      <c r="O871" t="str">
        <f>DO_DB[[#This Row],[SiteID]]</f>
        <v>CLR99-99-138</v>
      </c>
      <c r="P871" t="str">
        <f>DO_DB[[#This Row],[SiteID]]&amp;"_"&amp;DO_DB[[#This Row],[Material Name]]</f>
        <v>CLR99-99-138_ADSS 24C</v>
      </c>
      <c r="Q871" t="str">
        <f>DO_DB[[#This Row],[DO Number]]</f>
        <v>DOEID240826HM</v>
      </c>
      <c r="R871" t="str">
        <f>DO_DB[[#This Row],[DN Number]]</f>
        <v>DNWID0342024082712</v>
      </c>
    </row>
    <row r="872" spans="1:18">
      <c r="A872" t="s">
        <v>1979</v>
      </c>
      <c r="B872" t="s">
        <v>1980</v>
      </c>
      <c r="C872" s="172" t="s">
        <v>4482</v>
      </c>
      <c r="D872" t="s">
        <v>71</v>
      </c>
      <c r="E872" t="s">
        <v>135</v>
      </c>
      <c r="F872" t="s">
        <v>4498</v>
      </c>
      <c r="G872" t="s">
        <v>1999</v>
      </c>
      <c r="H872" t="s">
        <v>2000</v>
      </c>
      <c r="I872" s="130">
        <v>45531</v>
      </c>
      <c r="J872" t="s">
        <v>3069</v>
      </c>
      <c r="K872">
        <v>47</v>
      </c>
      <c r="M8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72" t="str">
        <f>DO_DB[[#This Row],[Material Pick-update]]&amp;"_"&amp;DO_DB[[#This Row],[Material Name]]</f>
        <v>45531_Pole 7M 4"</v>
      </c>
      <c r="O872" t="str">
        <f>DO_DB[[#This Row],[SiteID]]</f>
        <v>CLR22-05-002</v>
      </c>
      <c r="P872" t="str">
        <f>DO_DB[[#This Row],[SiteID]]&amp;"_"&amp;DO_DB[[#This Row],[Material Name]]</f>
        <v>CLR22-05-002_Pole 7M 4"</v>
      </c>
      <c r="Q872" t="str">
        <f>DO_DB[[#This Row],[DO Number]]</f>
        <v>DOEID240826HF</v>
      </c>
      <c r="R872" t="str">
        <f>DO_DB[[#This Row],[DN Number]]</f>
        <v>DNWID0362024082713</v>
      </c>
    </row>
    <row r="873" spans="1:18">
      <c r="A873" t="s">
        <v>1979</v>
      </c>
      <c r="B873" t="s">
        <v>1980</v>
      </c>
      <c r="C873" s="172" t="s">
        <v>4482</v>
      </c>
      <c r="D873" t="s">
        <v>71</v>
      </c>
      <c r="E873" t="s">
        <v>135</v>
      </c>
      <c r="F873" t="s">
        <v>4498</v>
      </c>
      <c r="G873" t="s">
        <v>1999</v>
      </c>
      <c r="H873" t="s">
        <v>2000</v>
      </c>
      <c r="I873" s="130">
        <v>45531</v>
      </c>
      <c r="J873" t="s">
        <v>3070</v>
      </c>
      <c r="K873">
        <v>6</v>
      </c>
      <c r="M8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73" t="str">
        <f>DO_DB[[#This Row],[Material Pick-update]]&amp;"_"&amp;DO_DB[[#This Row],[Material Name]]</f>
        <v>45531_Pole 7M 3"</v>
      </c>
      <c r="O873" t="str">
        <f>DO_DB[[#This Row],[SiteID]]</f>
        <v>CLR22-05-002</v>
      </c>
      <c r="P873" t="str">
        <f>DO_DB[[#This Row],[SiteID]]&amp;"_"&amp;DO_DB[[#This Row],[Material Name]]</f>
        <v>CLR22-05-002_Pole 7M 3"</v>
      </c>
      <c r="Q873" t="str">
        <f>DO_DB[[#This Row],[DO Number]]</f>
        <v>DOEID240826HF</v>
      </c>
      <c r="R873" t="str">
        <f>DO_DB[[#This Row],[DN Number]]</f>
        <v>DNWID0362024082713</v>
      </c>
    </row>
    <row r="874" spans="1:18">
      <c r="A874" t="s">
        <v>1979</v>
      </c>
      <c r="B874" t="s">
        <v>1980</v>
      </c>
      <c r="C874" s="172" t="s">
        <v>4482</v>
      </c>
      <c r="D874" t="s">
        <v>71</v>
      </c>
      <c r="E874" t="s">
        <v>135</v>
      </c>
      <c r="F874" t="s">
        <v>4498</v>
      </c>
      <c r="G874" t="s">
        <v>1999</v>
      </c>
      <c r="H874" t="s">
        <v>2000</v>
      </c>
      <c r="I874" s="130">
        <v>45531</v>
      </c>
      <c r="J874" t="s">
        <v>3071</v>
      </c>
      <c r="K874">
        <v>4</v>
      </c>
      <c r="M8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74" t="str">
        <f>DO_DB[[#This Row],[Material Pick-update]]&amp;"_"&amp;DO_DB[[#This Row],[Material Name]]</f>
        <v>45531_Pole 9M</v>
      </c>
      <c r="O874" t="str">
        <f>DO_DB[[#This Row],[SiteID]]</f>
        <v>CLR22-05-002</v>
      </c>
      <c r="P874" t="str">
        <f>DO_DB[[#This Row],[SiteID]]&amp;"_"&amp;DO_DB[[#This Row],[Material Name]]</f>
        <v>CLR22-05-002_Pole 9M</v>
      </c>
      <c r="Q874" t="str">
        <f>DO_DB[[#This Row],[DO Number]]</f>
        <v>DOEID240826HF</v>
      </c>
      <c r="R874" t="str">
        <f>DO_DB[[#This Row],[DN Number]]</f>
        <v>DNWID0362024082713</v>
      </c>
    </row>
    <row r="875" spans="1:18">
      <c r="A875" t="s">
        <v>1979</v>
      </c>
      <c r="B875" t="s">
        <v>1980</v>
      </c>
      <c r="C875" s="172" t="s">
        <v>4482</v>
      </c>
      <c r="D875" t="s">
        <v>71</v>
      </c>
      <c r="E875" t="s">
        <v>135</v>
      </c>
      <c r="F875" t="s">
        <v>4498</v>
      </c>
      <c r="G875" t="s">
        <v>1999</v>
      </c>
      <c r="H875" t="s">
        <v>2000</v>
      </c>
      <c r="I875" s="130">
        <v>45531</v>
      </c>
      <c r="J875" t="s">
        <v>4856</v>
      </c>
      <c r="K875">
        <v>1</v>
      </c>
      <c r="M8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75" t="str">
        <f>DO_DB[[#This Row],[Material Pick-update]]&amp;"_"&amp;DO_DB[[#This Row],[Material Name]]</f>
        <v>45531_JC 144Core</v>
      </c>
      <c r="O875" t="str">
        <f>DO_DB[[#This Row],[SiteID]]</f>
        <v>CLR22-05-002</v>
      </c>
      <c r="P875" t="str">
        <f>DO_DB[[#This Row],[SiteID]]&amp;"_"&amp;DO_DB[[#This Row],[Material Name]]</f>
        <v>CLR22-05-002_JC 144Core</v>
      </c>
      <c r="Q875" t="str">
        <f>DO_DB[[#This Row],[DO Number]]</f>
        <v>DOEID240826HF</v>
      </c>
      <c r="R875" t="str">
        <f>DO_DB[[#This Row],[DN Number]]</f>
        <v>DNWID0362024082713</v>
      </c>
    </row>
    <row r="876" spans="1:18">
      <c r="A876" t="s">
        <v>1979</v>
      </c>
      <c r="B876" t="s">
        <v>1980</v>
      </c>
      <c r="C876" s="172" t="s">
        <v>4482</v>
      </c>
      <c r="D876" t="s">
        <v>67</v>
      </c>
      <c r="E876" t="s">
        <v>135</v>
      </c>
      <c r="F876" t="s">
        <v>4498</v>
      </c>
      <c r="G876" t="s">
        <v>1981</v>
      </c>
      <c r="H876" t="s">
        <v>1982</v>
      </c>
      <c r="I876" s="130">
        <v>45531</v>
      </c>
      <c r="J876" t="s">
        <v>14</v>
      </c>
      <c r="K876">
        <v>1</v>
      </c>
      <c r="M8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76" t="str">
        <f>DO_DB[[#This Row],[Material Pick-update]]&amp;"_"&amp;DO_DB[[#This Row],[Material Name]]</f>
        <v>45531_FDT-48</v>
      </c>
      <c r="O876" t="str">
        <f>DO_DB[[#This Row],[SiteID]]</f>
        <v>CLR22-05-002</v>
      </c>
      <c r="P876" t="str">
        <f>DO_DB[[#This Row],[SiteID]]&amp;"_"&amp;DO_DB[[#This Row],[Material Name]]</f>
        <v>CLR22-05-002_FDT-48</v>
      </c>
      <c r="Q876" t="str">
        <f>DO_DB[[#This Row],[DO Number]]</f>
        <v>DOEID240826HG</v>
      </c>
      <c r="R876" t="str">
        <f>DO_DB[[#This Row],[DN Number]]</f>
        <v>DNWID0342024082703</v>
      </c>
    </row>
    <row r="877" spans="1:18">
      <c r="A877" t="s">
        <v>1979</v>
      </c>
      <c r="B877" t="s">
        <v>1980</v>
      </c>
      <c r="C877" s="172" t="s">
        <v>4482</v>
      </c>
      <c r="D877" t="s">
        <v>67</v>
      </c>
      <c r="E877" t="s">
        <v>135</v>
      </c>
      <c r="F877" t="s">
        <v>4498</v>
      </c>
      <c r="G877" t="s">
        <v>1981</v>
      </c>
      <c r="H877" t="s">
        <v>1982</v>
      </c>
      <c r="I877" s="130">
        <v>45531</v>
      </c>
      <c r="J877" t="s">
        <v>13</v>
      </c>
      <c r="K877">
        <v>16</v>
      </c>
      <c r="M8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77" t="str">
        <f>DO_DB[[#This Row],[Material Pick-update]]&amp;"_"&amp;DO_DB[[#This Row],[Material Name]]</f>
        <v>45531_FAT-16</v>
      </c>
      <c r="O877" t="str">
        <f>DO_DB[[#This Row],[SiteID]]</f>
        <v>CLR22-05-002</v>
      </c>
      <c r="P877" t="str">
        <f>DO_DB[[#This Row],[SiteID]]&amp;"_"&amp;DO_DB[[#This Row],[Material Name]]</f>
        <v>CLR22-05-002_FAT-16</v>
      </c>
      <c r="Q877" t="str">
        <f>DO_DB[[#This Row],[DO Number]]</f>
        <v>DOEID240826HG</v>
      </c>
      <c r="R877" t="str">
        <f>DO_DB[[#This Row],[DN Number]]</f>
        <v>DNWID0342024082703</v>
      </c>
    </row>
    <row r="878" spans="1:18">
      <c r="A878" t="s">
        <v>1979</v>
      </c>
      <c r="B878" t="s">
        <v>1980</v>
      </c>
      <c r="C878" s="172" t="s">
        <v>4482</v>
      </c>
      <c r="D878" t="s">
        <v>67</v>
      </c>
      <c r="E878" t="s">
        <v>135</v>
      </c>
      <c r="F878" t="s">
        <v>4498</v>
      </c>
      <c r="G878" t="s">
        <v>1981</v>
      </c>
      <c r="H878" t="s">
        <v>1982</v>
      </c>
      <c r="I878" s="130">
        <v>45531</v>
      </c>
      <c r="J878" t="s">
        <v>3080</v>
      </c>
      <c r="K878">
        <v>3</v>
      </c>
      <c r="M8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78" t="str">
        <f>DO_DB[[#This Row],[Material Pick-update]]&amp;"_"&amp;DO_DB[[#This Row],[Material Name]]</f>
        <v>45531_1:8 SPL for FDT-AE &amp; UG</v>
      </c>
      <c r="O878" t="str">
        <f>DO_DB[[#This Row],[SiteID]]</f>
        <v>CLR22-05-002</v>
      </c>
      <c r="P878" t="str">
        <f>DO_DB[[#This Row],[SiteID]]&amp;"_"&amp;DO_DB[[#This Row],[Material Name]]</f>
        <v>CLR22-05-002_1:8 SPL for FDT-AE &amp; UG</v>
      </c>
      <c r="Q878" t="str">
        <f>DO_DB[[#This Row],[DO Number]]</f>
        <v>DOEID240826HG</v>
      </c>
      <c r="R878" t="str">
        <f>DO_DB[[#This Row],[DN Number]]</f>
        <v>DNWID0342024082703</v>
      </c>
    </row>
    <row r="879" spans="1:18">
      <c r="A879" t="s">
        <v>1983</v>
      </c>
      <c r="B879" t="s">
        <v>1984</v>
      </c>
      <c r="C879" s="172" t="s">
        <v>4482</v>
      </c>
      <c r="D879" t="s">
        <v>71</v>
      </c>
      <c r="E879" t="s">
        <v>135</v>
      </c>
      <c r="F879" t="s">
        <v>4498</v>
      </c>
      <c r="G879" t="s">
        <v>1991</v>
      </c>
      <c r="H879" t="s">
        <v>1992</v>
      </c>
      <c r="I879" s="130">
        <v>45531</v>
      </c>
      <c r="J879" t="s">
        <v>3069</v>
      </c>
      <c r="K879">
        <v>30</v>
      </c>
      <c r="M8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79" t="str">
        <f>DO_DB[[#This Row],[Material Pick-update]]&amp;"_"&amp;DO_DB[[#This Row],[Material Name]]</f>
        <v>45531_Pole 7M 4"</v>
      </c>
      <c r="O879" t="str">
        <f>DO_DB[[#This Row],[SiteID]]</f>
        <v>CLR99-99-136</v>
      </c>
      <c r="P879" t="str">
        <f>DO_DB[[#This Row],[SiteID]]&amp;"_"&amp;DO_DB[[#This Row],[Material Name]]</f>
        <v>CLR99-99-136_Pole 7M 4"</v>
      </c>
      <c r="Q879" t="str">
        <f>DO_DB[[#This Row],[DO Number]]</f>
        <v>DOEID240826HH</v>
      </c>
      <c r="R879" t="str">
        <f>DO_DB[[#This Row],[DN Number]]</f>
        <v>DNWID0362024082703</v>
      </c>
    </row>
    <row r="880" spans="1:18">
      <c r="A880" t="s">
        <v>1983</v>
      </c>
      <c r="B880" t="s">
        <v>1984</v>
      </c>
      <c r="C880" s="172" t="s">
        <v>4482</v>
      </c>
      <c r="D880" t="s">
        <v>71</v>
      </c>
      <c r="E880" t="s">
        <v>135</v>
      </c>
      <c r="F880" t="s">
        <v>4498</v>
      </c>
      <c r="G880" t="s">
        <v>1991</v>
      </c>
      <c r="H880" t="s">
        <v>1992</v>
      </c>
      <c r="I880" s="130">
        <v>45531</v>
      </c>
      <c r="J880" t="s">
        <v>3070</v>
      </c>
      <c r="K880">
        <v>8</v>
      </c>
      <c r="M8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80" t="str">
        <f>DO_DB[[#This Row],[Material Pick-update]]&amp;"_"&amp;DO_DB[[#This Row],[Material Name]]</f>
        <v>45531_Pole 7M 3"</v>
      </c>
      <c r="O880" t="str">
        <f>DO_DB[[#This Row],[SiteID]]</f>
        <v>CLR99-99-136</v>
      </c>
      <c r="P880" t="str">
        <f>DO_DB[[#This Row],[SiteID]]&amp;"_"&amp;DO_DB[[#This Row],[Material Name]]</f>
        <v>CLR99-99-136_Pole 7M 3"</v>
      </c>
      <c r="Q880" t="str">
        <f>DO_DB[[#This Row],[DO Number]]</f>
        <v>DOEID240826HH</v>
      </c>
      <c r="R880" t="str">
        <f>DO_DB[[#This Row],[DN Number]]</f>
        <v>DNWID0362024082703</v>
      </c>
    </row>
    <row r="881" spans="1:18">
      <c r="A881" t="s">
        <v>1983</v>
      </c>
      <c r="B881" t="s">
        <v>1984</v>
      </c>
      <c r="C881" s="172" t="s">
        <v>4482</v>
      </c>
      <c r="D881" t="s">
        <v>71</v>
      </c>
      <c r="E881" t="s">
        <v>135</v>
      </c>
      <c r="F881" t="s">
        <v>4498</v>
      </c>
      <c r="G881" t="s">
        <v>1985</v>
      </c>
      <c r="H881" t="s">
        <v>1986</v>
      </c>
      <c r="I881" s="130">
        <v>45531</v>
      </c>
      <c r="J881" t="s">
        <v>13</v>
      </c>
      <c r="K881">
        <v>22</v>
      </c>
      <c r="M8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81" t="str">
        <f>DO_DB[[#This Row],[Material Pick-update]]&amp;"_"&amp;DO_DB[[#This Row],[Material Name]]</f>
        <v>45531_FAT-16</v>
      </c>
      <c r="O881" t="str">
        <f>DO_DB[[#This Row],[SiteID]]</f>
        <v>CLR99-99-136</v>
      </c>
      <c r="P881" t="str">
        <f>DO_DB[[#This Row],[SiteID]]&amp;"_"&amp;DO_DB[[#This Row],[Material Name]]</f>
        <v>CLR99-99-136_FAT-16</v>
      </c>
      <c r="Q881" t="str">
        <f>DO_DB[[#This Row],[DO Number]]</f>
        <v>DOEID240826HI</v>
      </c>
      <c r="R881" t="str">
        <f>DO_DB[[#This Row],[DN Number]]</f>
        <v>DNWID0342024082706</v>
      </c>
    </row>
    <row r="882" spans="1:18">
      <c r="A882" t="s">
        <v>1975</v>
      </c>
      <c r="B882" t="s">
        <v>1976</v>
      </c>
      <c r="C882" s="172" t="s">
        <v>4482</v>
      </c>
      <c r="D882" t="s">
        <v>67</v>
      </c>
      <c r="E882" t="s">
        <v>135</v>
      </c>
      <c r="F882" t="s">
        <v>4498</v>
      </c>
      <c r="G882" t="s">
        <v>1993</v>
      </c>
      <c r="H882" t="s">
        <v>1994</v>
      </c>
      <c r="I882" s="130">
        <v>45531</v>
      </c>
      <c r="J882" t="s">
        <v>3069</v>
      </c>
      <c r="K882">
        <v>33</v>
      </c>
      <c r="M8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82" t="str">
        <f>DO_DB[[#This Row],[Material Pick-update]]&amp;"_"&amp;DO_DB[[#This Row],[Material Name]]</f>
        <v>45531_Pole 7M 4"</v>
      </c>
      <c r="O882" t="str">
        <f>DO_DB[[#This Row],[SiteID]]</f>
        <v>CLR99-99-137</v>
      </c>
      <c r="P882" t="str">
        <f>DO_DB[[#This Row],[SiteID]]&amp;"_"&amp;DO_DB[[#This Row],[Material Name]]</f>
        <v>CLR99-99-137_Pole 7M 4"</v>
      </c>
      <c r="Q882" t="str">
        <f>DO_DB[[#This Row],[DO Number]]</f>
        <v>DOEID240826HJ</v>
      </c>
      <c r="R882" t="str">
        <f>DO_DB[[#This Row],[DN Number]]</f>
        <v>DNWID0362024082706</v>
      </c>
    </row>
    <row r="883" spans="1:18">
      <c r="A883" t="s">
        <v>1975</v>
      </c>
      <c r="B883" t="s">
        <v>1976</v>
      </c>
      <c r="C883" s="172" t="s">
        <v>4482</v>
      </c>
      <c r="D883" t="s">
        <v>67</v>
      </c>
      <c r="E883" t="s">
        <v>135</v>
      </c>
      <c r="F883" t="s">
        <v>4498</v>
      </c>
      <c r="G883" t="s">
        <v>1993</v>
      </c>
      <c r="H883" t="s">
        <v>1994</v>
      </c>
      <c r="I883" s="130">
        <v>45531</v>
      </c>
      <c r="J883" t="s">
        <v>3070</v>
      </c>
      <c r="K883">
        <v>5</v>
      </c>
      <c r="M8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83" t="str">
        <f>DO_DB[[#This Row],[Material Pick-update]]&amp;"_"&amp;DO_DB[[#This Row],[Material Name]]</f>
        <v>45531_Pole 7M 3"</v>
      </c>
      <c r="O883" t="str">
        <f>DO_DB[[#This Row],[SiteID]]</f>
        <v>CLR99-99-137</v>
      </c>
      <c r="P883" t="str">
        <f>DO_DB[[#This Row],[SiteID]]&amp;"_"&amp;DO_DB[[#This Row],[Material Name]]</f>
        <v>CLR99-99-137_Pole 7M 3"</v>
      </c>
      <c r="Q883" t="str">
        <f>DO_DB[[#This Row],[DO Number]]</f>
        <v>DOEID240826HJ</v>
      </c>
      <c r="R883" t="str">
        <f>DO_DB[[#This Row],[DN Number]]</f>
        <v>DNWID0362024082706</v>
      </c>
    </row>
    <row r="884" spans="1:18">
      <c r="A884" t="s">
        <v>1975</v>
      </c>
      <c r="B884" t="s">
        <v>1976</v>
      </c>
      <c r="C884" s="172" t="s">
        <v>4482</v>
      </c>
      <c r="D884" t="s">
        <v>67</v>
      </c>
      <c r="E884" t="s">
        <v>135</v>
      </c>
      <c r="F884" t="s">
        <v>4498</v>
      </c>
      <c r="G884" t="s">
        <v>1977</v>
      </c>
      <c r="H884" t="s">
        <v>1978</v>
      </c>
      <c r="I884" s="130">
        <v>45531</v>
      </c>
      <c r="J884" t="s">
        <v>15</v>
      </c>
      <c r="K884">
        <v>1</v>
      </c>
      <c r="M8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84" t="str">
        <f>DO_DB[[#This Row],[Material Pick-update]]&amp;"_"&amp;DO_DB[[#This Row],[Material Name]]</f>
        <v>45531_FDT-72</v>
      </c>
      <c r="O884" t="str">
        <f>DO_DB[[#This Row],[SiteID]]</f>
        <v>CLR99-99-137</v>
      </c>
      <c r="P884" t="str">
        <f>DO_DB[[#This Row],[SiteID]]&amp;"_"&amp;DO_DB[[#This Row],[Material Name]]</f>
        <v>CLR99-99-137_FDT-72</v>
      </c>
      <c r="Q884" t="str">
        <f>DO_DB[[#This Row],[DO Number]]</f>
        <v>DOEID240826HK</v>
      </c>
      <c r="R884" t="str">
        <f>DO_DB[[#This Row],[DN Number]]</f>
        <v>DNWID0342024082701</v>
      </c>
    </row>
    <row r="885" spans="1:18">
      <c r="A885" t="s">
        <v>1975</v>
      </c>
      <c r="B885" t="s">
        <v>1976</v>
      </c>
      <c r="C885" s="172" t="s">
        <v>4482</v>
      </c>
      <c r="D885" t="s">
        <v>67</v>
      </c>
      <c r="E885" t="s">
        <v>135</v>
      </c>
      <c r="F885" t="s">
        <v>4498</v>
      </c>
      <c r="G885" t="s">
        <v>1977</v>
      </c>
      <c r="H885" t="s">
        <v>1978</v>
      </c>
      <c r="I885" s="130">
        <v>45531</v>
      </c>
      <c r="J885" t="s">
        <v>13</v>
      </c>
      <c r="K885">
        <v>13</v>
      </c>
      <c r="M8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85" t="str">
        <f>DO_DB[[#This Row],[Material Pick-update]]&amp;"_"&amp;DO_DB[[#This Row],[Material Name]]</f>
        <v>45531_FAT-16</v>
      </c>
      <c r="O885" t="str">
        <f>DO_DB[[#This Row],[SiteID]]</f>
        <v>CLR99-99-137</v>
      </c>
      <c r="P885" t="str">
        <f>DO_DB[[#This Row],[SiteID]]&amp;"_"&amp;DO_DB[[#This Row],[Material Name]]</f>
        <v>CLR99-99-137_FAT-16</v>
      </c>
      <c r="Q885" t="str">
        <f>DO_DB[[#This Row],[DO Number]]</f>
        <v>DOEID240826HK</v>
      </c>
      <c r="R885" t="str">
        <f>DO_DB[[#This Row],[DN Number]]</f>
        <v>DNWID0342024082701</v>
      </c>
    </row>
    <row r="886" spans="1:18">
      <c r="A886" t="s">
        <v>1987</v>
      </c>
      <c r="B886" t="s">
        <v>1988</v>
      </c>
      <c r="C886" s="172" t="s">
        <v>4482</v>
      </c>
      <c r="D886" t="s">
        <v>71</v>
      </c>
      <c r="E886" t="s">
        <v>135</v>
      </c>
      <c r="F886" t="s">
        <v>4498</v>
      </c>
      <c r="G886" t="s">
        <v>2017</v>
      </c>
      <c r="H886" t="s">
        <v>2018</v>
      </c>
      <c r="I886" s="130">
        <v>45531</v>
      </c>
      <c r="J886" t="s">
        <v>3069</v>
      </c>
      <c r="K886">
        <v>32</v>
      </c>
      <c r="M8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86" t="str">
        <f>DO_DB[[#This Row],[Material Pick-update]]&amp;"_"&amp;DO_DB[[#This Row],[Material Name]]</f>
        <v>45531_Pole 7M 4"</v>
      </c>
      <c r="O886" t="str">
        <f>DO_DB[[#This Row],[SiteID]]</f>
        <v>CLR99-99-138</v>
      </c>
      <c r="P886" t="str">
        <f>DO_DB[[#This Row],[SiteID]]&amp;"_"&amp;DO_DB[[#This Row],[Material Name]]</f>
        <v>CLR99-99-138_Pole 7M 4"</v>
      </c>
      <c r="Q886" t="str">
        <f>DO_DB[[#This Row],[DO Number]]</f>
        <v>DOEID240826HL</v>
      </c>
      <c r="R886" t="str">
        <f>DO_DB[[#This Row],[DN Number]]</f>
        <v>DNWID0362024082702</v>
      </c>
    </row>
    <row r="887" spans="1:18">
      <c r="A887" t="s">
        <v>1987</v>
      </c>
      <c r="B887" t="s">
        <v>1988</v>
      </c>
      <c r="C887" s="172" t="s">
        <v>4482</v>
      </c>
      <c r="D887" t="s">
        <v>71</v>
      </c>
      <c r="E887" t="s">
        <v>135</v>
      </c>
      <c r="F887" t="s">
        <v>4498</v>
      </c>
      <c r="G887" t="s">
        <v>2017</v>
      </c>
      <c r="H887" t="s">
        <v>2018</v>
      </c>
      <c r="I887" s="130">
        <v>45531</v>
      </c>
      <c r="J887" t="s">
        <v>3070</v>
      </c>
      <c r="K887">
        <v>8</v>
      </c>
      <c r="M8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87" t="str">
        <f>DO_DB[[#This Row],[Material Pick-update]]&amp;"_"&amp;DO_DB[[#This Row],[Material Name]]</f>
        <v>45531_Pole 7M 3"</v>
      </c>
      <c r="O887" t="str">
        <f>DO_DB[[#This Row],[SiteID]]</f>
        <v>CLR99-99-138</v>
      </c>
      <c r="P887" t="str">
        <f>DO_DB[[#This Row],[SiteID]]&amp;"_"&amp;DO_DB[[#This Row],[Material Name]]</f>
        <v>CLR99-99-138_Pole 7M 3"</v>
      </c>
      <c r="Q887" t="str">
        <f>DO_DB[[#This Row],[DO Number]]</f>
        <v>DOEID240826HL</v>
      </c>
      <c r="R887" t="str">
        <f>DO_DB[[#This Row],[DN Number]]</f>
        <v>DNWID0362024082702</v>
      </c>
    </row>
    <row r="888" spans="1:18">
      <c r="A888" t="s">
        <v>1987</v>
      </c>
      <c r="B888" t="s">
        <v>1988</v>
      </c>
      <c r="C888" s="172" t="s">
        <v>4482</v>
      </c>
      <c r="D888" t="s">
        <v>71</v>
      </c>
      <c r="E888" t="s">
        <v>135</v>
      </c>
      <c r="F888" t="s">
        <v>4498</v>
      </c>
      <c r="G888" t="s">
        <v>2017</v>
      </c>
      <c r="H888" t="s">
        <v>2018</v>
      </c>
      <c r="I888" s="130">
        <v>45531</v>
      </c>
      <c r="J888" t="s">
        <v>4856</v>
      </c>
      <c r="K888">
        <v>1</v>
      </c>
      <c r="M8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88" t="str">
        <f>DO_DB[[#This Row],[Material Pick-update]]&amp;"_"&amp;DO_DB[[#This Row],[Material Name]]</f>
        <v>45531_JC 144Core</v>
      </c>
      <c r="O888" t="str">
        <f>DO_DB[[#This Row],[SiteID]]</f>
        <v>CLR99-99-138</v>
      </c>
      <c r="P888" t="str">
        <f>DO_DB[[#This Row],[SiteID]]&amp;"_"&amp;DO_DB[[#This Row],[Material Name]]</f>
        <v>CLR99-99-138_JC 144Core</v>
      </c>
      <c r="Q888" t="str">
        <f>DO_DB[[#This Row],[DO Number]]</f>
        <v>DOEID240826HL</v>
      </c>
      <c r="R888" t="str">
        <f>DO_DB[[#This Row],[DN Number]]</f>
        <v>DNWID0362024082702</v>
      </c>
    </row>
    <row r="889" spans="1:18">
      <c r="A889" t="s">
        <v>1987</v>
      </c>
      <c r="B889" t="s">
        <v>1988</v>
      </c>
      <c r="C889" s="172" t="s">
        <v>4482</v>
      </c>
      <c r="D889" t="s">
        <v>71</v>
      </c>
      <c r="E889" t="s">
        <v>135</v>
      </c>
      <c r="F889" t="s">
        <v>4498</v>
      </c>
      <c r="G889" t="s">
        <v>1989</v>
      </c>
      <c r="H889" t="s">
        <v>1990</v>
      </c>
      <c r="I889" s="130">
        <v>45531</v>
      </c>
      <c r="J889" t="s">
        <v>14</v>
      </c>
      <c r="K889">
        <v>1</v>
      </c>
      <c r="M8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89" t="str">
        <f>DO_DB[[#This Row],[Material Pick-update]]&amp;"_"&amp;DO_DB[[#This Row],[Material Name]]</f>
        <v>45531_FDT-48</v>
      </c>
      <c r="O889" t="str">
        <f>DO_DB[[#This Row],[SiteID]]</f>
        <v>CLR99-99-138</v>
      </c>
      <c r="P889" t="str">
        <f>DO_DB[[#This Row],[SiteID]]&amp;"_"&amp;DO_DB[[#This Row],[Material Name]]</f>
        <v>CLR99-99-138_FDT-48</v>
      </c>
      <c r="Q889" t="str">
        <f>DO_DB[[#This Row],[DO Number]]</f>
        <v>DOEID240826HM</v>
      </c>
      <c r="R889" t="str">
        <f>DO_DB[[#This Row],[DN Number]]</f>
        <v>DNWID0342024082712</v>
      </c>
    </row>
    <row r="890" spans="1:18">
      <c r="A890" t="s">
        <v>1987</v>
      </c>
      <c r="B890" t="s">
        <v>1988</v>
      </c>
      <c r="C890" s="172" t="s">
        <v>4482</v>
      </c>
      <c r="D890" t="s">
        <v>71</v>
      </c>
      <c r="E890" t="s">
        <v>135</v>
      </c>
      <c r="F890" t="s">
        <v>4498</v>
      </c>
      <c r="G890" t="s">
        <v>1989</v>
      </c>
      <c r="H890" t="s">
        <v>1990</v>
      </c>
      <c r="I890" s="130">
        <v>45531</v>
      </c>
      <c r="J890" t="s">
        <v>13</v>
      </c>
      <c r="K890">
        <v>16</v>
      </c>
      <c r="M8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90" t="str">
        <f>DO_DB[[#This Row],[Material Pick-update]]&amp;"_"&amp;DO_DB[[#This Row],[Material Name]]</f>
        <v>45531_FAT-16</v>
      </c>
      <c r="O890" t="str">
        <f>DO_DB[[#This Row],[SiteID]]</f>
        <v>CLR99-99-138</v>
      </c>
      <c r="P890" t="str">
        <f>DO_DB[[#This Row],[SiteID]]&amp;"_"&amp;DO_DB[[#This Row],[Material Name]]</f>
        <v>CLR99-99-138_FAT-16</v>
      </c>
      <c r="Q890" t="str">
        <f>DO_DB[[#This Row],[DO Number]]</f>
        <v>DOEID240826HM</v>
      </c>
      <c r="R890" t="str">
        <f>DO_DB[[#This Row],[DN Number]]</f>
        <v>DNWID0342024082712</v>
      </c>
    </row>
    <row r="891" spans="1:18">
      <c r="A891" t="s">
        <v>1975</v>
      </c>
      <c r="B891" t="s">
        <v>1976</v>
      </c>
      <c r="C891" s="172" t="s">
        <v>4482</v>
      </c>
      <c r="D891" t="s">
        <v>67</v>
      </c>
      <c r="E891" t="s">
        <v>135</v>
      </c>
      <c r="F891" t="s">
        <v>4498</v>
      </c>
      <c r="G891" t="s">
        <v>1995</v>
      </c>
      <c r="H891" t="s">
        <v>1996</v>
      </c>
      <c r="I891" s="130">
        <v>45531</v>
      </c>
      <c r="J891" t="s">
        <v>3071</v>
      </c>
      <c r="K891">
        <v>2</v>
      </c>
      <c r="M8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91" t="str">
        <f>DO_DB[[#This Row],[Material Pick-update]]&amp;"_"&amp;DO_DB[[#This Row],[Material Name]]</f>
        <v>45531_Pole 9M</v>
      </c>
      <c r="O891" t="str">
        <f>DO_DB[[#This Row],[SiteID]]</f>
        <v>CLR99-99-137</v>
      </c>
      <c r="P891" t="str">
        <f>DO_DB[[#This Row],[SiteID]]&amp;"_"&amp;DO_DB[[#This Row],[Material Name]]</f>
        <v>CLR99-99-137_Pole 9M</v>
      </c>
      <c r="Q891" t="str">
        <f>DO_DB[[#This Row],[DO Number]]</f>
        <v>DOEID24082744</v>
      </c>
      <c r="R891" t="str">
        <f>DO_DB[[#This Row],[DN Number]]</f>
        <v>DNWID0362024082714</v>
      </c>
    </row>
    <row r="892" spans="1:18">
      <c r="A892" t="s">
        <v>1987</v>
      </c>
      <c r="B892" t="s">
        <v>1988</v>
      </c>
      <c r="C892" s="172" t="s">
        <v>4482</v>
      </c>
      <c r="D892" t="s">
        <v>71</v>
      </c>
      <c r="E892" t="s">
        <v>135</v>
      </c>
      <c r="F892" t="s">
        <v>4498</v>
      </c>
      <c r="G892" t="s">
        <v>1997</v>
      </c>
      <c r="H892" t="s">
        <v>1998</v>
      </c>
      <c r="I892" s="130">
        <v>45531</v>
      </c>
      <c r="J892" t="s">
        <v>3071</v>
      </c>
      <c r="K892">
        <v>2</v>
      </c>
      <c r="M8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92" t="str">
        <f>DO_DB[[#This Row],[Material Pick-update]]&amp;"_"&amp;DO_DB[[#This Row],[Material Name]]</f>
        <v>45531_Pole 9M</v>
      </c>
      <c r="O892" t="str">
        <f>DO_DB[[#This Row],[SiteID]]</f>
        <v>CLR99-99-138</v>
      </c>
      <c r="P892" t="str">
        <f>DO_DB[[#This Row],[SiteID]]&amp;"_"&amp;DO_DB[[#This Row],[Material Name]]</f>
        <v>CLR99-99-138_Pole 9M</v>
      </c>
      <c r="Q892" t="str">
        <f>DO_DB[[#This Row],[DO Number]]</f>
        <v>DOEID24082747</v>
      </c>
      <c r="R892" t="str">
        <f>DO_DB[[#This Row],[DN Number]]</f>
        <v>DNWID0362024082715</v>
      </c>
    </row>
    <row r="893" spans="1:18">
      <c r="A893" t="s">
        <v>2119</v>
      </c>
      <c r="B893" t="s">
        <v>2120</v>
      </c>
      <c r="C893" s="172" t="s">
        <v>4482</v>
      </c>
      <c r="D893" t="s">
        <v>2121</v>
      </c>
      <c r="E893" t="s">
        <v>135</v>
      </c>
      <c r="F893" t="s">
        <v>4498</v>
      </c>
      <c r="G893" t="s">
        <v>2124</v>
      </c>
      <c r="H893" t="s">
        <v>2125</v>
      </c>
      <c r="I893" s="130">
        <v>45548</v>
      </c>
      <c r="J893" t="s">
        <v>3075</v>
      </c>
      <c r="K893">
        <v>3000</v>
      </c>
      <c r="M8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48C-2024913-01</v>
      </c>
      <c r="N893" t="str">
        <f>DO_DB[[#This Row],[Material Pick-update]]&amp;"_"&amp;DO_DB[[#This Row],[Material Name]]</f>
        <v>45548_ADSS 48C</v>
      </c>
      <c r="O893" t="str">
        <f>DO_DB[[#This Row],[SiteID]]</f>
        <v>CLR99-99-130</v>
      </c>
      <c r="P893" t="str">
        <f>DO_DB[[#This Row],[SiteID]]&amp;"_"&amp;DO_DB[[#This Row],[Material Name]]</f>
        <v>CLR99-99-130_ADSS 48C</v>
      </c>
      <c r="Q893" t="str">
        <f>DO_DB[[#This Row],[DO Number]]</f>
        <v>DOEID24091310</v>
      </c>
      <c r="R893" t="str">
        <f>DO_DB[[#This Row],[DN Number]]</f>
        <v>DNWID0342024091306</v>
      </c>
    </row>
    <row r="894" spans="1:18">
      <c r="A894" t="s">
        <v>2126</v>
      </c>
      <c r="B894" t="s">
        <v>2127</v>
      </c>
      <c r="C894" s="172" t="s">
        <v>4482</v>
      </c>
      <c r="D894" t="s">
        <v>2121</v>
      </c>
      <c r="E894" t="s">
        <v>135</v>
      </c>
      <c r="F894" t="s">
        <v>4498</v>
      </c>
      <c r="G894" t="s">
        <v>2130</v>
      </c>
      <c r="H894" t="s">
        <v>2131</v>
      </c>
      <c r="I894" s="130">
        <v>45548</v>
      </c>
      <c r="J894" t="s">
        <v>3073</v>
      </c>
      <c r="K894">
        <v>3000</v>
      </c>
      <c r="M8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24C-2024913-01</v>
      </c>
      <c r="N894" t="str">
        <f>DO_DB[[#This Row],[Material Pick-update]]&amp;"_"&amp;DO_DB[[#This Row],[Material Name]]</f>
        <v>45548_ADSS 24C</v>
      </c>
      <c r="O894" t="str">
        <f>DO_DB[[#This Row],[SiteID]]</f>
        <v>CLR22-02-005</v>
      </c>
      <c r="P894" t="str">
        <f>DO_DB[[#This Row],[SiteID]]&amp;"_"&amp;DO_DB[[#This Row],[Material Name]]</f>
        <v>CLR22-02-005_ADSS 24C</v>
      </c>
      <c r="Q894" t="str">
        <f>DO_DB[[#This Row],[DO Number]]</f>
        <v>DOEID24091313</v>
      </c>
      <c r="R894" t="str">
        <f>DO_DB[[#This Row],[DN Number]]</f>
        <v>DNWID0342024091307</v>
      </c>
    </row>
    <row r="895" spans="1:18">
      <c r="A895" t="s">
        <v>2119</v>
      </c>
      <c r="B895" t="s">
        <v>2120</v>
      </c>
      <c r="C895" s="172" t="s">
        <v>4482</v>
      </c>
      <c r="D895" t="s">
        <v>2121</v>
      </c>
      <c r="E895" t="s">
        <v>135</v>
      </c>
      <c r="F895" t="s">
        <v>4498</v>
      </c>
      <c r="G895" t="s">
        <v>2124</v>
      </c>
      <c r="H895" t="s">
        <v>2125</v>
      </c>
      <c r="I895" s="130">
        <v>45548</v>
      </c>
      <c r="J895" t="s">
        <v>3073</v>
      </c>
      <c r="K895">
        <v>6000</v>
      </c>
      <c r="M8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24C-2024913-01</v>
      </c>
      <c r="N895" t="str">
        <f>DO_DB[[#This Row],[Material Pick-update]]&amp;"_"&amp;DO_DB[[#This Row],[Material Name]]</f>
        <v>45548_ADSS 24C</v>
      </c>
      <c r="O895" t="str">
        <f>DO_DB[[#This Row],[SiteID]]</f>
        <v>CLR99-99-130</v>
      </c>
      <c r="P895" t="str">
        <f>DO_DB[[#This Row],[SiteID]]&amp;"_"&amp;DO_DB[[#This Row],[Material Name]]</f>
        <v>CLR99-99-130_ADSS 24C</v>
      </c>
      <c r="Q895" t="str">
        <f>DO_DB[[#This Row],[DO Number]]</f>
        <v>DOEID24091310</v>
      </c>
      <c r="R895" t="str">
        <f>DO_DB[[#This Row],[DN Number]]</f>
        <v>DNWID0342024091306</v>
      </c>
    </row>
    <row r="896" spans="1:18">
      <c r="A896" t="s">
        <v>2119</v>
      </c>
      <c r="B896" t="s">
        <v>2120</v>
      </c>
      <c r="C896" s="172" t="s">
        <v>4482</v>
      </c>
      <c r="D896" t="s">
        <v>2121</v>
      </c>
      <c r="E896" t="s">
        <v>135</v>
      </c>
      <c r="F896" t="s">
        <v>4498</v>
      </c>
      <c r="G896" t="s">
        <v>2122</v>
      </c>
      <c r="H896" t="s">
        <v>2123</v>
      </c>
      <c r="I896" s="130">
        <v>45548</v>
      </c>
      <c r="J896" t="s">
        <v>3069</v>
      </c>
      <c r="K896">
        <v>162</v>
      </c>
      <c r="M8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96" t="str">
        <f>DO_DB[[#This Row],[Material Pick-update]]&amp;"_"&amp;DO_DB[[#This Row],[Material Name]]</f>
        <v>45548_Pole 7M 4"</v>
      </c>
      <c r="O896" t="str">
        <f>DO_DB[[#This Row],[SiteID]]</f>
        <v>CLR99-99-130</v>
      </c>
      <c r="P896" t="str">
        <f>DO_DB[[#This Row],[SiteID]]&amp;"_"&amp;DO_DB[[#This Row],[Material Name]]</f>
        <v>CLR99-99-130_Pole 7M 4"</v>
      </c>
      <c r="Q896" t="str">
        <f>DO_DB[[#This Row],[DO Number]]</f>
        <v>DOEID24091309</v>
      </c>
      <c r="R896" t="str">
        <f>DO_DB[[#This Row],[DN Number]]</f>
        <v>DNWID0362024091304</v>
      </c>
    </row>
    <row r="897" spans="1:18">
      <c r="A897" t="s">
        <v>2119</v>
      </c>
      <c r="B897" t="s">
        <v>2120</v>
      </c>
      <c r="C897" s="172" t="s">
        <v>4482</v>
      </c>
      <c r="D897" t="s">
        <v>2121</v>
      </c>
      <c r="E897" t="s">
        <v>135</v>
      </c>
      <c r="F897" t="s">
        <v>4498</v>
      </c>
      <c r="G897" t="s">
        <v>2122</v>
      </c>
      <c r="H897" t="s">
        <v>2123</v>
      </c>
      <c r="I897" s="130">
        <v>45548</v>
      </c>
      <c r="J897" t="s">
        <v>3070</v>
      </c>
      <c r="K897">
        <v>21</v>
      </c>
      <c r="M8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97" t="str">
        <f>DO_DB[[#This Row],[Material Pick-update]]&amp;"_"&amp;DO_DB[[#This Row],[Material Name]]</f>
        <v>45548_Pole 7M 3"</v>
      </c>
      <c r="O897" t="str">
        <f>DO_DB[[#This Row],[SiteID]]</f>
        <v>CLR99-99-130</v>
      </c>
      <c r="P897" t="str">
        <f>DO_DB[[#This Row],[SiteID]]&amp;"_"&amp;DO_DB[[#This Row],[Material Name]]</f>
        <v>CLR99-99-130_Pole 7M 3"</v>
      </c>
      <c r="Q897" t="str">
        <f>DO_DB[[#This Row],[DO Number]]</f>
        <v>DOEID24091309</v>
      </c>
      <c r="R897" t="str">
        <f>DO_DB[[#This Row],[DN Number]]</f>
        <v>DNWID0362024091304</v>
      </c>
    </row>
    <row r="898" spans="1:18">
      <c r="A898" t="s">
        <v>2119</v>
      </c>
      <c r="B898" t="s">
        <v>2120</v>
      </c>
      <c r="C898" s="172" t="s">
        <v>4482</v>
      </c>
      <c r="D898" t="s">
        <v>2121</v>
      </c>
      <c r="E898" t="s">
        <v>135</v>
      </c>
      <c r="F898" t="s">
        <v>4498</v>
      </c>
      <c r="G898" t="s">
        <v>2124</v>
      </c>
      <c r="H898" t="s">
        <v>2125</v>
      </c>
      <c r="I898" s="130">
        <v>45548</v>
      </c>
      <c r="J898" t="s">
        <v>15</v>
      </c>
      <c r="K898">
        <v>3</v>
      </c>
      <c r="M8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98" t="str">
        <f>DO_DB[[#This Row],[Material Pick-update]]&amp;"_"&amp;DO_DB[[#This Row],[Material Name]]</f>
        <v>45548_FDT-72</v>
      </c>
      <c r="O898" t="str">
        <f>DO_DB[[#This Row],[SiteID]]</f>
        <v>CLR99-99-130</v>
      </c>
      <c r="P898" t="str">
        <f>DO_DB[[#This Row],[SiteID]]&amp;"_"&amp;DO_DB[[#This Row],[Material Name]]</f>
        <v>CLR99-99-130_FDT-72</v>
      </c>
      <c r="Q898" t="str">
        <f>DO_DB[[#This Row],[DO Number]]</f>
        <v>DOEID24091310</v>
      </c>
      <c r="R898" t="str">
        <f>DO_DB[[#This Row],[DN Number]]</f>
        <v>DNWID0342024091306</v>
      </c>
    </row>
    <row r="899" spans="1:18">
      <c r="A899" t="s">
        <v>2119</v>
      </c>
      <c r="B899" t="s">
        <v>2120</v>
      </c>
      <c r="C899" s="172" t="s">
        <v>4482</v>
      </c>
      <c r="D899" t="s">
        <v>2121</v>
      </c>
      <c r="E899" t="s">
        <v>135</v>
      </c>
      <c r="F899" t="s">
        <v>4498</v>
      </c>
      <c r="G899" t="s">
        <v>2124</v>
      </c>
      <c r="H899" t="s">
        <v>2125</v>
      </c>
      <c r="I899" s="130">
        <v>45548</v>
      </c>
      <c r="J899" t="s">
        <v>13</v>
      </c>
      <c r="K899">
        <v>68</v>
      </c>
      <c r="M8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899" t="str">
        <f>DO_DB[[#This Row],[Material Pick-update]]&amp;"_"&amp;DO_DB[[#This Row],[Material Name]]</f>
        <v>45548_FAT-16</v>
      </c>
      <c r="O899" t="str">
        <f>DO_DB[[#This Row],[SiteID]]</f>
        <v>CLR99-99-130</v>
      </c>
      <c r="P899" t="str">
        <f>DO_DB[[#This Row],[SiteID]]&amp;"_"&amp;DO_DB[[#This Row],[Material Name]]</f>
        <v>CLR99-99-130_FAT-16</v>
      </c>
      <c r="Q899" t="str">
        <f>DO_DB[[#This Row],[DO Number]]</f>
        <v>DOEID24091310</v>
      </c>
      <c r="R899" t="str">
        <f>DO_DB[[#This Row],[DN Number]]</f>
        <v>DNWID0342024091306</v>
      </c>
    </row>
    <row r="900" spans="1:18">
      <c r="A900" t="s">
        <v>2126</v>
      </c>
      <c r="B900" t="s">
        <v>2127</v>
      </c>
      <c r="C900" s="172" t="s">
        <v>4482</v>
      </c>
      <c r="D900" t="s">
        <v>2121</v>
      </c>
      <c r="E900" t="s">
        <v>135</v>
      </c>
      <c r="F900" t="s">
        <v>4498</v>
      </c>
      <c r="G900" t="s">
        <v>2128</v>
      </c>
      <c r="H900" t="s">
        <v>2129</v>
      </c>
      <c r="I900" s="130">
        <v>45548</v>
      </c>
      <c r="J900" t="s">
        <v>3069</v>
      </c>
      <c r="K900">
        <v>18</v>
      </c>
      <c r="M9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00" t="str">
        <f>DO_DB[[#This Row],[Material Pick-update]]&amp;"_"&amp;DO_DB[[#This Row],[Material Name]]</f>
        <v>45548_Pole 7M 4"</v>
      </c>
      <c r="O900" t="str">
        <f>DO_DB[[#This Row],[SiteID]]</f>
        <v>CLR22-02-005</v>
      </c>
      <c r="P900" t="str">
        <f>DO_DB[[#This Row],[SiteID]]&amp;"_"&amp;DO_DB[[#This Row],[Material Name]]</f>
        <v>CLR22-02-005_Pole 7M 4"</v>
      </c>
      <c r="Q900" t="str">
        <f>DO_DB[[#This Row],[DO Number]]</f>
        <v>DOEID24091312</v>
      </c>
      <c r="R900" t="str">
        <f>DO_DB[[#This Row],[DN Number]]</f>
        <v>DNWID0362024091303</v>
      </c>
    </row>
    <row r="901" spans="1:18">
      <c r="A901" t="s">
        <v>2126</v>
      </c>
      <c r="B901" t="s">
        <v>2127</v>
      </c>
      <c r="C901" s="172" t="s">
        <v>4482</v>
      </c>
      <c r="D901" t="s">
        <v>2121</v>
      </c>
      <c r="E901" t="s">
        <v>135</v>
      </c>
      <c r="F901" t="s">
        <v>4498</v>
      </c>
      <c r="G901" t="s">
        <v>2128</v>
      </c>
      <c r="H901" t="s">
        <v>2129</v>
      </c>
      <c r="I901" s="130">
        <v>45548</v>
      </c>
      <c r="J901" t="s">
        <v>3070</v>
      </c>
      <c r="K901">
        <v>1</v>
      </c>
      <c r="M9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01" t="str">
        <f>DO_DB[[#This Row],[Material Pick-update]]&amp;"_"&amp;DO_DB[[#This Row],[Material Name]]</f>
        <v>45548_Pole 7M 3"</v>
      </c>
      <c r="O901" t="str">
        <f>DO_DB[[#This Row],[SiteID]]</f>
        <v>CLR22-02-005</v>
      </c>
      <c r="P901" t="str">
        <f>DO_DB[[#This Row],[SiteID]]&amp;"_"&amp;DO_DB[[#This Row],[Material Name]]</f>
        <v>CLR22-02-005_Pole 7M 3"</v>
      </c>
      <c r="Q901" t="str">
        <f>DO_DB[[#This Row],[DO Number]]</f>
        <v>DOEID24091312</v>
      </c>
      <c r="R901" t="str">
        <f>DO_DB[[#This Row],[DN Number]]</f>
        <v>DNWID0362024091303</v>
      </c>
    </row>
    <row r="902" spans="1:18">
      <c r="A902" t="s">
        <v>2126</v>
      </c>
      <c r="B902" t="s">
        <v>2127</v>
      </c>
      <c r="C902" s="172" t="s">
        <v>4482</v>
      </c>
      <c r="D902" t="s">
        <v>2121</v>
      </c>
      <c r="E902" t="s">
        <v>135</v>
      </c>
      <c r="F902" t="s">
        <v>4498</v>
      </c>
      <c r="G902" t="s">
        <v>2130</v>
      </c>
      <c r="H902" t="s">
        <v>2131</v>
      </c>
      <c r="I902" s="130">
        <v>45548</v>
      </c>
      <c r="J902" t="s">
        <v>15</v>
      </c>
      <c r="K902">
        <v>1</v>
      </c>
      <c r="M9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02" t="str">
        <f>DO_DB[[#This Row],[Material Pick-update]]&amp;"_"&amp;DO_DB[[#This Row],[Material Name]]</f>
        <v>45548_FDT-72</v>
      </c>
      <c r="O902" t="str">
        <f>DO_DB[[#This Row],[SiteID]]</f>
        <v>CLR22-02-005</v>
      </c>
      <c r="P902" t="str">
        <f>DO_DB[[#This Row],[SiteID]]&amp;"_"&amp;DO_DB[[#This Row],[Material Name]]</f>
        <v>CLR22-02-005_FDT-72</v>
      </c>
      <c r="Q902" t="str">
        <f>DO_DB[[#This Row],[DO Number]]</f>
        <v>DOEID24091313</v>
      </c>
      <c r="R902" t="str">
        <f>DO_DB[[#This Row],[DN Number]]</f>
        <v>DNWID0342024091307</v>
      </c>
    </row>
    <row r="903" spans="1:18">
      <c r="A903" t="s">
        <v>2126</v>
      </c>
      <c r="B903" t="s">
        <v>2127</v>
      </c>
      <c r="C903" s="172" t="s">
        <v>4482</v>
      </c>
      <c r="D903" t="s">
        <v>2121</v>
      </c>
      <c r="E903" t="s">
        <v>135</v>
      </c>
      <c r="F903" t="s">
        <v>4498</v>
      </c>
      <c r="G903" t="s">
        <v>2130</v>
      </c>
      <c r="H903" t="s">
        <v>2131</v>
      </c>
      <c r="I903" s="130">
        <v>45548</v>
      </c>
      <c r="J903" t="s">
        <v>13</v>
      </c>
      <c r="K903">
        <v>8</v>
      </c>
      <c r="M9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03" t="str">
        <f>DO_DB[[#This Row],[Material Pick-update]]&amp;"_"&amp;DO_DB[[#This Row],[Material Name]]</f>
        <v>45548_FAT-16</v>
      </c>
      <c r="O903" t="str">
        <f>DO_DB[[#This Row],[SiteID]]</f>
        <v>CLR22-02-005</v>
      </c>
      <c r="P903" t="str">
        <f>DO_DB[[#This Row],[SiteID]]&amp;"_"&amp;DO_DB[[#This Row],[Material Name]]</f>
        <v>CLR22-02-005_FAT-16</v>
      </c>
      <c r="Q903" t="str">
        <f>DO_DB[[#This Row],[DO Number]]</f>
        <v>DOEID24091313</v>
      </c>
      <c r="R903" t="str">
        <f>DO_DB[[#This Row],[DN Number]]</f>
        <v>DNWID0342024091307</v>
      </c>
    </row>
    <row r="904" spans="1:18">
      <c r="A904" t="s">
        <v>2234</v>
      </c>
      <c r="B904" t="s">
        <v>2235</v>
      </c>
      <c r="C904" s="172" t="s">
        <v>4482</v>
      </c>
      <c r="D904" t="s">
        <v>71</v>
      </c>
      <c r="E904" t="s">
        <v>135</v>
      </c>
      <c r="F904" t="s">
        <v>4498</v>
      </c>
      <c r="G904" t="s">
        <v>2236</v>
      </c>
      <c r="H904" t="s">
        <v>2237</v>
      </c>
      <c r="I904" s="130">
        <v>45573</v>
      </c>
      <c r="J904" t="s">
        <v>3075</v>
      </c>
      <c r="K904">
        <v>6000</v>
      </c>
      <c r="M9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48C-2024108-01</v>
      </c>
      <c r="N904" t="str">
        <f>DO_DB[[#This Row],[Material Pick-update]]&amp;"_"&amp;DO_DB[[#This Row],[Material Name]]</f>
        <v>45573_ADSS 48C</v>
      </c>
      <c r="O904" t="str">
        <f>DO_DB[[#This Row],[SiteID]]</f>
        <v>CLR99-99-147</v>
      </c>
      <c r="P904" t="str">
        <f>DO_DB[[#This Row],[SiteID]]&amp;"_"&amp;DO_DB[[#This Row],[Material Name]]</f>
        <v>CLR99-99-147_ADSS 48C</v>
      </c>
      <c r="Q904" t="str">
        <f>DO_DB[[#This Row],[DO Number]]</f>
        <v>DOEID24100728</v>
      </c>
      <c r="R904" t="str">
        <f>DO_DB[[#This Row],[DN Number]]</f>
        <v>DNWID0342024100802</v>
      </c>
    </row>
    <row r="905" spans="1:18">
      <c r="A905" t="s">
        <v>2234</v>
      </c>
      <c r="B905" t="s">
        <v>2235</v>
      </c>
      <c r="C905" s="172" t="s">
        <v>4482</v>
      </c>
      <c r="D905" t="s">
        <v>71</v>
      </c>
      <c r="E905" t="s">
        <v>135</v>
      </c>
      <c r="F905" t="s">
        <v>4498</v>
      </c>
      <c r="G905" t="s">
        <v>2236</v>
      </c>
      <c r="H905" t="s">
        <v>2237</v>
      </c>
      <c r="I905" s="130">
        <v>45573</v>
      </c>
      <c r="J905" t="s">
        <v>3073</v>
      </c>
      <c r="K905">
        <v>9000</v>
      </c>
      <c r="M9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24C-2024108-01</v>
      </c>
      <c r="N905" t="str">
        <f>DO_DB[[#This Row],[Material Pick-update]]&amp;"_"&amp;DO_DB[[#This Row],[Material Name]]</f>
        <v>45573_ADSS 24C</v>
      </c>
      <c r="O905" t="str">
        <f>DO_DB[[#This Row],[SiteID]]</f>
        <v>CLR99-99-147</v>
      </c>
      <c r="P905" t="str">
        <f>DO_DB[[#This Row],[SiteID]]&amp;"_"&amp;DO_DB[[#This Row],[Material Name]]</f>
        <v>CLR99-99-147_ADSS 24C</v>
      </c>
      <c r="Q905" t="str">
        <f>DO_DB[[#This Row],[DO Number]]</f>
        <v>DOEID24100728</v>
      </c>
      <c r="R905" t="str">
        <f>DO_DB[[#This Row],[DN Number]]</f>
        <v>DNWID0342024100802</v>
      </c>
    </row>
    <row r="906" spans="1:18">
      <c r="A906" t="s">
        <v>2234</v>
      </c>
      <c r="B906" t="s">
        <v>2235</v>
      </c>
      <c r="C906" s="172" t="s">
        <v>4482</v>
      </c>
      <c r="D906" t="s">
        <v>71</v>
      </c>
      <c r="E906" t="s">
        <v>135</v>
      </c>
      <c r="F906" t="s">
        <v>4498</v>
      </c>
      <c r="G906" t="s">
        <v>2236</v>
      </c>
      <c r="H906" t="s">
        <v>2237</v>
      </c>
      <c r="I906" s="130">
        <v>45573</v>
      </c>
      <c r="J906" t="s">
        <v>15</v>
      </c>
      <c r="K906">
        <v>2</v>
      </c>
      <c r="M9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06" t="str">
        <f>DO_DB[[#This Row],[Material Pick-update]]&amp;"_"&amp;DO_DB[[#This Row],[Material Name]]</f>
        <v>45573_FDT-72</v>
      </c>
      <c r="O906" t="str">
        <f>DO_DB[[#This Row],[SiteID]]</f>
        <v>CLR99-99-147</v>
      </c>
      <c r="P906" t="str">
        <f>DO_DB[[#This Row],[SiteID]]&amp;"_"&amp;DO_DB[[#This Row],[Material Name]]</f>
        <v>CLR99-99-147_FDT-72</v>
      </c>
      <c r="Q906" t="str">
        <f>DO_DB[[#This Row],[DO Number]]</f>
        <v>DOEID24100728</v>
      </c>
      <c r="R906" t="str">
        <f>DO_DB[[#This Row],[DN Number]]</f>
        <v>DNWID0342024100802</v>
      </c>
    </row>
    <row r="907" spans="1:18">
      <c r="A907" t="s">
        <v>2234</v>
      </c>
      <c r="B907" t="s">
        <v>2235</v>
      </c>
      <c r="C907" s="172" t="s">
        <v>4482</v>
      </c>
      <c r="D907" t="s">
        <v>71</v>
      </c>
      <c r="E907" t="s">
        <v>135</v>
      </c>
      <c r="F907" t="s">
        <v>4498</v>
      </c>
      <c r="G907" t="s">
        <v>2236</v>
      </c>
      <c r="H907" t="s">
        <v>2237</v>
      </c>
      <c r="I907" s="130">
        <v>45573</v>
      </c>
      <c r="J907" t="s">
        <v>13</v>
      </c>
      <c r="K907">
        <v>64</v>
      </c>
      <c r="M9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07" t="str">
        <f>DO_DB[[#This Row],[Material Pick-update]]&amp;"_"&amp;DO_DB[[#This Row],[Material Name]]</f>
        <v>45573_FAT-16</v>
      </c>
      <c r="O907" t="str">
        <f>DO_DB[[#This Row],[SiteID]]</f>
        <v>CLR99-99-147</v>
      </c>
      <c r="P907" t="str">
        <f>DO_DB[[#This Row],[SiteID]]&amp;"_"&amp;DO_DB[[#This Row],[Material Name]]</f>
        <v>CLR99-99-147_FAT-16</v>
      </c>
      <c r="Q907" t="str">
        <f>DO_DB[[#This Row],[DO Number]]</f>
        <v>DOEID24100728</v>
      </c>
      <c r="R907" t="str">
        <f>DO_DB[[#This Row],[DN Number]]</f>
        <v>DNWID0342024100802</v>
      </c>
    </row>
    <row r="908" spans="1:18">
      <c r="A908" t="s">
        <v>2234</v>
      </c>
      <c r="B908" t="s">
        <v>2235</v>
      </c>
      <c r="C908" s="172" t="s">
        <v>4482</v>
      </c>
      <c r="D908" t="s">
        <v>71</v>
      </c>
      <c r="E908" t="s">
        <v>135</v>
      </c>
      <c r="F908" t="s">
        <v>4498</v>
      </c>
      <c r="G908" t="s">
        <v>2238</v>
      </c>
      <c r="H908" t="s">
        <v>2239</v>
      </c>
      <c r="I908" s="130">
        <v>45573</v>
      </c>
      <c r="J908" t="s">
        <v>3069</v>
      </c>
      <c r="K908">
        <v>131</v>
      </c>
      <c r="M9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08" t="str">
        <f>DO_DB[[#This Row],[Material Pick-update]]&amp;"_"&amp;DO_DB[[#This Row],[Material Name]]</f>
        <v>45573_Pole 7M 4"</v>
      </c>
      <c r="O908" t="str">
        <f>DO_DB[[#This Row],[SiteID]]</f>
        <v>CLR99-99-147</v>
      </c>
      <c r="P908" t="str">
        <f>DO_DB[[#This Row],[SiteID]]&amp;"_"&amp;DO_DB[[#This Row],[Material Name]]</f>
        <v>CLR99-99-147_Pole 7M 4"</v>
      </c>
      <c r="Q908" t="str">
        <f>DO_DB[[#This Row],[DO Number]]</f>
        <v>DOEID24100729</v>
      </c>
      <c r="R908" t="str">
        <f>DO_DB[[#This Row],[DN Number]]</f>
        <v>DNWID0362024100801</v>
      </c>
    </row>
    <row r="909" spans="1:18">
      <c r="A909" t="s">
        <v>2234</v>
      </c>
      <c r="B909" t="s">
        <v>2235</v>
      </c>
      <c r="C909" s="172" t="s">
        <v>4482</v>
      </c>
      <c r="D909" t="s">
        <v>71</v>
      </c>
      <c r="E909" t="s">
        <v>135</v>
      </c>
      <c r="F909" t="s">
        <v>4498</v>
      </c>
      <c r="G909" t="s">
        <v>2238</v>
      </c>
      <c r="H909" t="s">
        <v>2239</v>
      </c>
      <c r="I909" s="130">
        <v>45573</v>
      </c>
      <c r="J909" t="s">
        <v>3070</v>
      </c>
      <c r="K909">
        <v>19</v>
      </c>
      <c r="M9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09" t="str">
        <f>DO_DB[[#This Row],[Material Pick-update]]&amp;"_"&amp;DO_DB[[#This Row],[Material Name]]</f>
        <v>45573_Pole 7M 3"</v>
      </c>
      <c r="O909" t="str">
        <f>DO_DB[[#This Row],[SiteID]]</f>
        <v>CLR99-99-147</v>
      </c>
      <c r="P909" t="str">
        <f>DO_DB[[#This Row],[SiteID]]&amp;"_"&amp;DO_DB[[#This Row],[Material Name]]</f>
        <v>CLR99-99-147_Pole 7M 3"</v>
      </c>
      <c r="Q909" t="str">
        <f>DO_DB[[#This Row],[DO Number]]</f>
        <v>DOEID24100729</v>
      </c>
      <c r="R909" t="str">
        <f>DO_DB[[#This Row],[DN Number]]</f>
        <v>DNWID0362024100801</v>
      </c>
    </row>
    <row r="910" spans="1:18">
      <c r="A910" t="s">
        <v>2444</v>
      </c>
      <c r="B910" t="s">
        <v>2445</v>
      </c>
      <c r="C910" s="172" t="s">
        <v>4482</v>
      </c>
      <c r="D910" t="s">
        <v>71</v>
      </c>
      <c r="E910" t="s">
        <v>135</v>
      </c>
      <c r="F910" t="s">
        <v>4498</v>
      </c>
      <c r="G910" t="s">
        <v>2446</v>
      </c>
      <c r="H910" t="s">
        <v>2447</v>
      </c>
      <c r="I910" s="130">
        <v>45588</v>
      </c>
      <c r="J910" t="s">
        <v>3069</v>
      </c>
      <c r="K910">
        <v>2</v>
      </c>
      <c r="M9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10" t="str">
        <f>DO_DB[[#This Row],[Material Pick-update]]&amp;"_"&amp;DO_DB[[#This Row],[Material Name]]</f>
        <v>45588_Pole 7M 4"</v>
      </c>
      <c r="O910" t="str">
        <f>DO_DB[[#This Row],[SiteID]]</f>
        <v>ISP22-05</v>
      </c>
      <c r="P910" t="str">
        <f>DO_DB[[#This Row],[SiteID]]&amp;"_"&amp;DO_DB[[#This Row],[Material Name]]</f>
        <v>ISP22-05_Pole 7M 4"</v>
      </c>
      <c r="Q910" t="str">
        <f>DO_DB[[#This Row],[DO Number]]</f>
        <v>DOEID24102242</v>
      </c>
      <c r="R910" t="str">
        <f>DO_DB[[#This Row],[DN Number]]</f>
        <v>DNWID0362024102207</v>
      </c>
    </row>
    <row r="911" spans="1:18">
      <c r="A911" t="s">
        <v>2444</v>
      </c>
      <c r="B911" t="s">
        <v>2445</v>
      </c>
      <c r="C911" s="172" t="s">
        <v>4482</v>
      </c>
      <c r="D911" t="s">
        <v>71</v>
      </c>
      <c r="E911" t="s">
        <v>135</v>
      </c>
      <c r="F911" t="s">
        <v>4498</v>
      </c>
      <c r="G911" t="s">
        <v>2448</v>
      </c>
      <c r="H911" t="s">
        <v>2449</v>
      </c>
      <c r="I911" s="130">
        <v>45588</v>
      </c>
      <c r="J911" t="s">
        <v>16</v>
      </c>
      <c r="K911">
        <v>30</v>
      </c>
      <c r="M9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11" t="str">
        <f>DO_DB[[#This Row],[Material Pick-update]]&amp;"_"&amp;DO_DB[[#This Row],[Material Name]]</f>
        <v>45588_HDPE40/34mm</v>
      </c>
      <c r="O911" t="str">
        <f>DO_DB[[#This Row],[SiteID]]</f>
        <v>ISP22-05</v>
      </c>
      <c r="P911" t="str">
        <f>DO_DB[[#This Row],[SiteID]]&amp;"_"&amp;DO_DB[[#This Row],[Material Name]]</f>
        <v>ISP22-05_HDPE40/34mm</v>
      </c>
      <c r="Q911" t="str">
        <f>DO_DB[[#This Row],[DO Number]]</f>
        <v>DOEID24102243</v>
      </c>
      <c r="R911" t="str">
        <f>DO_DB[[#This Row],[DN Number]]</f>
        <v>DNWID0342024102212</v>
      </c>
    </row>
    <row r="912" spans="1:18">
      <c r="A912" t="s">
        <v>2426</v>
      </c>
      <c r="B912" t="s">
        <v>2427</v>
      </c>
      <c r="C912" s="172" t="s">
        <v>4482</v>
      </c>
      <c r="D912" t="s">
        <v>71</v>
      </c>
      <c r="E912" t="s">
        <v>135</v>
      </c>
      <c r="F912" t="s">
        <v>4498</v>
      </c>
      <c r="G912" t="s">
        <v>2428</v>
      </c>
      <c r="H912" t="s">
        <v>2429</v>
      </c>
      <c r="I912" s="130">
        <v>45602</v>
      </c>
      <c r="J912" t="s">
        <v>3075</v>
      </c>
      <c r="K912">
        <v>3000</v>
      </c>
      <c r="M9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48C-2024116-01</v>
      </c>
      <c r="N912" t="str">
        <f>DO_DB[[#This Row],[Material Pick-update]]&amp;"_"&amp;DO_DB[[#This Row],[Material Name]]</f>
        <v>45602_ADSS 48C</v>
      </c>
      <c r="O912" t="str">
        <f>DO_DB[[#This Row],[SiteID]]</f>
        <v>CLR22-03-004</v>
      </c>
      <c r="P912" t="str">
        <f>DO_DB[[#This Row],[SiteID]]&amp;"_"&amp;DO_DB[[#This Row],[Material Name]]</f>
        <v>CLR22-03-004_ADSS 48C</v>
      </c>
      <c r="Q912" t="str">
        <f>DO_DB[[#This Row],[DO Number]]</f>
        <v>DOEID24110123</v>
      </c>
      <c r="R912" t="str">
        <f>DO_DB[[#This Row],[DN Number]]</f>
        <v>DNWID0342024110104</v>
      </c>
    </row>
    <row r="913" spans="1:18">
      <c r="A913" t="s">
        <v>2430</v>
      </c>
      <c r="B913" t="s">
        <v>2431</v>
      </c>
      <c r="C913" s="172" t="s">
        <v>4482</v>
      </c>
      <c r="D913" t="s">
        <v>71</v>
      </c>
      <c r="E913" t="s">
        <v>135</v>
      </c>
      <c r="F913" t="s">
        <v>4498</v>
      </c>
      <c r="G913" t="s">
        <v>2432</v>
      </c>
      <c r="H913" t="s">
        <v>2433</v>
      </c>
      <c r="I913" s="130">
        <v>45602</v>
      </c>
      <c r="J913" t="s">
        <v>3075</v>
      </c>
      <c r="K913">
        <v>6000</v>
      </c>
      <c r="M9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48C-2024116-01</v>
      </c>
      <c r="N913" t="str">
        <f>DO_DB[[#This Row],[Material Pick-update]]&amp;"_"&amp;DO_DB[[#This Row],[Material Name]]</f>
        <v>45602_ADSS 48C</v>
      </c>
      <c r="O913" t="str">
        <f>DO_DB[[#This Row],[SiteID]]</f>
        <v>CLR22-03-005</v>
      </c>
      <c r="P913" t="str">
        <f>DO_DB[[#This Row],[SiteID]]&amp;"_"&amp;DO_DB[[#This Row],[Material Name]]</f>
        <v>CLR22-03-005_ADSS 48C</v>
      </c>
      <c r="Q913" t="str">
        <f>DO_DB[[#This Row],[DO Number]]</f>
        <v>DOEID24110125</v>
      </c>
      <c r="R913" t="str">
        <f>DO_DB[[#This Row],[DN Number]]</f>
        <v>DNWID0342024110103</v>
      </c>
    </row>
    <row r="914" spans="1:18">
      <c r="A914" t="s">
        <v>2436</v>
      </c>
      <c r="B914" t="s">
        <v>2437</v>
      </c>
      <c r="C914" s="172" t="s">
        <v>4482</v>
      </c>
      <c r="D914" t="s">
        <v>71</v>
      </c>
      <c r="E914" t="s">
        <v>135</v>
      </c>
      <c r="F914" t="s">
        <v>4498</v>
      </c>
      <c r="G914" t="s">
        <v>2438</v>
      </c>
      <c r="H914" t="s">
        <v>2439</v>
      </c>
      <c r="I914" s="130">
        <v>45602</v>
      </c>
      <c r="J914" t="s">
        <v>3075</v>
      </c>
      <c r="K914">
        <v>6000</v>
      </c>
      <c r="M9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48C-2024116-01</v>
      </c>
      <c r="N914" t="str">
        <f>DO_DB[[#This Row],[Material Pick-update]]&amp;"_"&amp;DO_DB[[#This Row],[Material Name]]</f>
        <v>45602_ADSS 48C</v>
      </c>
      <c r="O914" t="str">
        <f>DO_DB[[#This Row],[SiteID]]</f>
        <v>CLR22-03-006</v>
      </c>
      <c r="P914" t="str">
        <f>DO_DB[[#This Row],[SiteID]]&amp;"_"&amp;DO_DB[[#This Row],[Material Name]]</f>
        <v>CLR22-03-006_ADSS 48C</v>
      </c>
      <c r="Q914" t="str">
        <f>DO_DB[[#This Row],[DO Number]]</f>
        <v>DOEID24110127</v>
      </c>
      <c r="R914" t="str">
        <f>DO_DB[[#This Row],[DN Number]]</f>
        <v>DNWID0342024110105</v>
      </c>
    </row>
    <row r="915" spans="1:18">
      <c r="A915" t="s">
        <v>2426</v>
      </c>
      <c r="B915" t="s">
        <v>2427</v>
      </c>
      <c r="C915" s="172" t="s">
        <v>4482</v>
      </c>
      <c r="D915" t="s">
        <v>71</v>
      </c>
      <c r="E915" t="s">
        <v>135</v>
      </c>
      <c r="F915" t="s">
        <v>4498</v>
      </c>
      <c r="G915" t="s">
        <v>2434</v>
      </c>
      <c r="H915" t="s">
        <v>2435</v>
      </c>
      <c r="I915" s="130">
        <v>45602</v>
      </c>
      <c r="J915" t="s">
        <v>3069</v>
      </c>
      <c r="K915">
        <v>43</v>
      </c>
      <c r="M9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15" t="str">
        <f>DO_DB[[#This Row],[Material Pick-update]]&amp;"_"&amp;DO_DB[[#This Row],[Material Name]]</f>
        <v>45602_Pole 7M 4"</v>
      </c>
      <c r="O915" t="str">
        <f>DO_DB[[#This Row],[SiteID]]</f>
        <v>CLR22-03-004</v>
      </c>
      <c r="P915" t="str">
        <f>DO_DB[[#This Row],[SiteID]]&amp;"_"&amp;DO_DB[[#This Row],[Material Name]]</f>
        <v>CLR22-03-004_Pole 7M 4"</v>
      </c>
      <c r="Q915" t="str">
        <f>DO_DB[[#This Row],[DO Number]]</f>
        <v>DOEID24110122</v>
      </c>
      <c r="R915" t="str">
        <f>DO_DB[[#This Row],[DN Number]]</f>
        <v>DNWID0362024110103</v>
      </c>
    </row>
    <row r="916" spans="1:18">
      <c r="A916" t="s">
        <v>2426</v>
      </c>
      <c r="B916" t="s">
        <v>2427</v>
      </c>
      <c r="C916" s="172" t="s">
        <v>4482</v>
      </c>
      <c r="D916" t="s">
        <v>71</v>
      </c>
      <c r="E916" t="s">
        <v>135</v>
      </c>
      <c r="F916" t="s">
        <v>4498</v>
      </c>
      <c r="G916" t="s">
        <v>2434</v>
      </c>
      <c r="H916" t="s">
        <v>2435</v>
      </c>
      <c r="I916" s="130">
        <v>45602</v>
      </c>
      <c r="J916" t="s">
        <v>3070</v>
      </c>
      <c r="K916">
        <v>4</v>
      </c>
      <c r="M9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16" t="str">
        <f>DO_DB[[#This Row],[Material Pick-update]]&amp;"_"&amp;DO_DB[[#This Row],[Material Name]]</f>
        <v>45602_Pole 7M 3"</v>
      </c>
      <c r="O916" t="str">
        <f>DO_DB[[#This Row],[SiteID]]</f>
        <v>CLR22-03-004</v>
      </c>
      <c r="P916" t="str">
        <f>DO_DB[[#This Row],[SiteID]]&amp;"_"&amp;DO_DB[[#This Row],[Material Name]]</f>
        <v>CLR22-03-004_Pole 7M 3"</v>
      </c>
      <c r="Q916" t="str">
        <f>DO_DB[[#This Row],[DO Number]]</f>
        <v>DOEID24110122</v>
      </c>
      <c r="R916" t="str">
        <f>DO_DB[[#This Row],[DN Number]]</f>
        <v>DNWID0362024110103</v>
      </c>
    </row>
    <row r="917" spans="1:18">
      <c r="A917" t="s">
        <v>2426</v>
      </c>
      <c r="B917" t="s">
        <v>2427</v>
      </c>
      <c r="C917" s="172" t="s">
        <v>4482</v>
      </c>
      <c r="D917" t="s">
        <v>71</v>
      </c>
      <c r="E917" t="s">
        <v>135</v>
      </c>
      <c r="F917" t="s">
        <v>4498</v>
      </c>
      <c r="G917" t="s">
        <v>2428</v>
      </c>
      <c r="H917" t="s">
        <v>2429</v>
      </c>
      <c r="I917" s="130">
        <v>45602</v>
      </c>
      <c r="J917" t="s">
        <v>13</v>
      </c>
      <c r="K917">
        <v>14</v>
      </c>
      <c r="M9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17" t="str">
        <f>DO_DB[[#This Row],[Material Pick-update]]&amp;"_"&amp;DO_DB[[#This Row],[Material Name]]</f>
        <v>45602_FAT-16</v>
      </c>
      <c r="O917" t="str">
        <f>DO_DB[[#This Row],[SiteID]]</f>
        <v>CLR22-03-004</v>
      </c>
      <c r="P917" t="str">
        <f>DO_DB[[#This Row],[SiteID]]&amp;"_"&amp;DO_DB[[#This Row],[Material Name]]</f>
        <v>CLR22-03-004_FAT-16</v>
      </c>
      <c r="Q917" t="str">
        <f>DO_DB[[#This Row],[DO Number]]</f>
        <v>DOEID24110123</v>
      </c>
      <c r="R917" t="str">
        <f>DO_DB[[#This Row],[DN Number]]</f>
        <v>DNWID0342024110104</v>
      </c>
    </row>
    <row r="918" spans="1:18">
      <c r="A918" t="s">
        <v>2430</v>
      </c>
      <c r="B918" t="s">
        <v>2431</v>
      </c>
      <c r="C918" s="172" t="s">
        <v>4482</v>
      </c>
      <c r="D918" t="s">
        <v>71</v>
      </c>
      <c r="E918" t="s">
        <v>135</v>
      </c>
      <c r="F918" t="s">
        <v>4498</v>
      </c>
      <c r="G918" t="s">
        <v>2440</v>
      </c>
      <c r="H918" t="s">
        <v>2441</v>
      </c>
      <c r="I918" s="130">
        <v>45602</v>
      </c>
      <c r="J918" t="s">
        <v>3069</v>
      </c>
      <c r="K918">
        <v>100</v>
      </c>
      <c r="M9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18" t="str">
        <f>DO_DB[[#This Row],[Material Pick-update]]&amp;"_"&amp;DO_DB[[#This Row],[Material Name]]</f>
        <v>45602_Pole 7M 4"</v>
      </c>
      <c r="O918" t="str">
        <f>DO_DB[[#This Row],[SiteID]]</f>
        <v>CLR22-03-005</v>
      </c>
      <c r="P918" t="str">
        <f>DO_DB[[#This Row],[SiteID]]&amp;"_"&amp;DO_DB[[#This Row],[Material Name]]</f>
        <v>CLR22-03-005_Pole 7M 4"</v>
      </c>
      <c r="Q918" t="str">
        <f>DO_DB[[#This Row],[DO Number]]</f>
        <v>DOEID24110124</v>
      </c>
      <c r="R918" t="str">
        <f>DO_DB[[#This Row],[DN Number]]</f>
        <v>DNWID0362024110108</v>
      </c>
    </row>
    <row r="919" spans="1:18">
      <c r="A919" t="s">
        <v>2430</v>
      </c>
      <c r="B919" t="s">
        <v>2431</v>
      </c>
      <c r="C919" s="172" t="s">
        <v>4482</v>
      </c>
      <c r="D919" t="s">
        <v>71</v>
      </c>
      <c r="E919" t="s">
        <v>135</v>
      </c>
      <c r="F919" t="s">
        <v>4498</v>
      </c>
      <c r="G919" t="s">
        <v>2440</v>
      </c>
      <c r="H919" t="s">
        <v>2441</v>
      </c>
      <c r="I919" s="130">
        <v>45602</v>
      </c>
      <c r="J919" t="s">
        <v>3070</v>
      </c>
      <c r="K919">
        <v>11</v>
      </c>
      <c r="M9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19" t="str">
        <f>DO_DB[[#This Row],[Material Pick-update]]&amp;"_"&amp;DO_DB[[#This Row],[Material Name]]</f>
        <v>45602_Pole 7M 3"</v>
      </c>
      <c r="O919" t="str">
        <f>DO_DB[[#This Row],[SiteID]]</f>
        <v>CLR22-03-005</v>
      </c>
      <c r="P919" t="str">
        <f>DO_DB[[#This Row],[SiteID]]&amp;"_"&amp;DO_DB[[#This Row],[Material Name]]</f>
        <v>CLR22-03-005_Pole 7M 3"</v>
      </c>
      <c r="Q919" t="str">
        <f>DO_DB[[#This Row],[DO Number]]</f>
        <v>DOEID24110124</v>
      </c>
      <c r="R919" t="str">
        <f>DO_DB[[#This Row],[DN Number]]</f>
        <v>DNWID0362024110108</v>
      </c>
    </row>
    <row r="920" spans="1:18">
      <c r="A920" t="s">
        <v>2430</v>
      </c>
      <c r="B920" t="s">
        <v>2431</v>
      </c>
      <c r="C920" s="172" t="s">
        <v>4482</v>
      </c>
      <c r="D920" t="s">
        <v>71</v>
      </c>
      <c r="E920" t="s">
        <v>135</v>
      </c>
      <c r="F920" t="s">
        <v>4498</v>
      </c>
      <c r="G920" t="s">
        <v>2440</v>
      </c>
      <c r="H920" t="s">
        <v>2441</v>
      </c>
      <c r="I920" s="130">
        <v>45602</v>
      </c>
      <c r="J920" t="s">
        <v>4856</v>
      </c>
      <c r="K920">
        <v>1</v>
      </c>
      <c r="M9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20" t="str">
        <f>DO_DB[[#This Row],[Material Pick-update]]&amp;"_"&amp;DO_DB[[#This Row],[Material Name]]</f>
        <v>45602_JC 144Core</v>
      </c>
      <c r="O920" t="str">
        <f>DO_DB[[#This Row],[SiteID]]</f>
        <v>CLR22-03-005</v>
      </c>
      <c r="P920" t="str">
        <f>DO_DB[[#This Row],[SiteID]]&amp;"_"&amp;DO_DB[[#This Row],[Material Name]]</f>
        <v>CLR22-03-005_JC 144Core</v>
      </c>
      <c r="Q920" t="str">
        <f>DO_DB[[#This Row],[DO Number]]</f>
        <v>DOEID24110124</v>
      </c>
      <c r="R920" t="str">
        <f>DO_DB[[#This Row],[DN Number]]</f>
        <v>DNWID0362024110108</v>
      </c>
    </row>
    <row r="921" spans="1:18">
      <c r="A921" t="s">
        <v>2430</v>
      </c>
      <c r="B921" t="s">
        <v>2431</v>
      </c>
      <c r="C921" s="172" t="s">
        <v>4482</v>
      </c>
      <c r="D921" t="s">
        <v>71</v>
      </c>
      <c r="E921" t="s">
        <v>135</v>
      </c>
      <c r="F921" t="s">
        <v>4498</v>
      </c>
      <c r="G921" t="s">
        <v>2432</v>
      </c>
      <c r="H921" t="s">
        <v>2433</v>
      </c>
      <c r="I921" s="130">
        <v>45602</v>
      </c>
      <c r="J921" t="s">
        <v>15</v>
      </c>
      <c r="K921">
        <v>1</v>
      </c>
      <c r="M9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21" t="str">
        <f>DO_DB[[#This Row],[Material Pick-update]]&amp;"_"&amp;DO_DB[[#This Row],[Material Name]]</f>
        <v>45602_FDT-72</v>
      </c>
      <c r="O921" t="str">
        <f>DO_DB[[#This Row],[SiteID]]</f>
        <v>CLR22-03-005</v>
      </c>
      <c r="P921" t="str">
        <f>DO_DB[[#This Row],[SiteID]]&amp;"_"&amp;DO_DB[[#This Row],[Material Name]]</f>
        <v>CLR22-03-005_FDT-72</v>
      </c>
      <c r="Q921" t="str">
        <f>DO_DB[[#This Row],[DO Number]]</f>
        <v>DOEID24110125</v>
      </c>
      <c r="R921" t="str">
        <f>DO_DB[[#This Row],[DN Number]]</f>
        <v>DNWID0342024110103</v>
      </c>
    </row>
    <row r="922" spans="1:18">
      <c r="A922" t="s">
        <v>2430</v>
      </c>
      <c r="B922" t="s">
        <v>2431</v>
      </c>
      <c r="C922" s="172" t="s">
        <v>4482</v>
      </c>
      <c r="D922" t="s">
        <v>71</v>
      </c>
      <c r="E922" t="s">
        <v>135</v>
      </c>
      <c r="F922" t="s">
        <v>4498</v>
      </c>
      <c r="G922" t="s">
        <v>2432</v>
      </c>
      <c r="H922" t="s">
        <v>2433</v>
      </c>
      <c r="I922" s="130">
        <v>45602</v>
      </c>
      <c r="J922" t="s">
        <v>13</v>
      </c>
      <c r="K922">
        <v>32</v>
      </c>
      <c r="M9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22" t="str">
        <f>DO_DB[[#This Row],[Material Pick-update]]&amp;"_"&amp;DO_DB[[#This Row],[Material Name]]</f>
        <v>45602_FAT-16</v>
      </c>
      <c r="O922" t="str">
        <f>DO_DB[[#This Row],[SiteID]]</f>
        <v>CLR22-03-005</v>
      </c>
      <c r="P922" t="str">
        <f>DO_DB[[#This Row],[SiteID]]&amp;"_"&amp;DO_DB[[#This Row],[Material Name]]</f>
        <v>CLR22-03-005_FAT-16</v>
      </c>
      <c r="Q922" t="str">
        <f>DO_DB[[#This Row],[DO Number]]</f>
        <v>DOEID24110125</v>
      </c>
      <c r="R922" t="str">
        <f>DO_DB[[#This Row],[DN Number]]</f>
        <v>DNWID0342024110103</v>
      </c>
    </row>
    <row r="923" spans="1:18">
      <c r="A923" t="s">
        <v>2436</v>
      </c>
      <c r="B923" t="s">
        <v>2437</v>
      </c>
      <c r="C923" s="172" t="s">
        <v>4482</v>
      </c>
      <c r="D923" t="s">
        <v>71</v>
      </c>
      <c r="E923" t="s">
        <v>135</v>
      </c>
      <c r="F923" t="s">
        <v>4498</v>
      </c>
      <c r="G923" t="s">
        <v>2442</v>
      </c>
      <c r="H923" t="s">
        <v>2443</v>
      </c>
      <c r="I923" s="130">
        <v>45602</v>
      </c>
      <c r="J923" t="s">
        <v>3069</v>
      </c>
      <c r="K923">
        <v>67</v>
      </c>
      <c r="M9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23" t="str">
        <f>DO_DB[[#This Row],[Material Pick-update]]&amp;"_"&amp;DO_DB[[#This Row],[Material Name]]</f>
        <v>45602_Pole 7M 4"</v>
      </c>
      <c r="O923" t="str">
        <f>DO_DB[[#This Row],[SiteID]]</f>
        <v>CLR22-03-006</v>
      </c>
      <c r="P923" t="str">
        <f>DO_DB[[#This Row],[SiteID]]&amp;"_"&amp;DO_DB[[#This Row],[Material Name]]</f>
        <v>CLR22-03-006_Pole 7M 4"</v>
      </c>
      <c r="Q923" t="str">
        <f>DO_DB[[#This Row],[DO Number]]</f>
        <v>DOEID24110126</v>
      </c>
      <c r="R923" t="str">
        <f>DO_DB[[#This Row],[DN Number]]</f>
        <v>DNWID0362024110105</v>
      </c>
    </row>
    <row r="924" spans="1:18">
      <c r="A924" t="s">
        <v>2436</v>
      </c>
      <c r="B924" t="s">
        <v>2437</v>
      </c>
      <c r="C924" s="172" t="s">
        <v>4482</v>
      </c>
      <c r="D924" t="s">
        <v>71</v>
      </c>
      <c r="E924" t="s">
        <v>135</v>
      </c>
      <c r="F924" t="s">
        <v>4498</v>
      </c>
      <c r="G924" t="s">
        <v>2442</v>
      </c>
      <c r="H924" t="s">
        <v>2443</v>
      </c>
      <c r="I924" s="130">
        <v>45602</v>
      </c>
      <c r="J924" t="s">
        <v>3070</v>
      </c>
      <c r="K924">
        <v>27</v>
      </c>
      <c r="M9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24" t="str">
        <f>DO_DB[[#This Row],[Material Pick-update]]&amp;"_"&amp;DO_DB[[#This Row],[Material Name]]</f>
        <v>45602_Pole 7M 3"</v>
      </c>
      <c r="O924" t="str">
        <f>DO_DB[[#This Row],[SiteID]]</f>
        <v>CLR22-03-006</v>
      </c>
      <c r="P924" t="str">
        <f>DO_DB[[#This Row],[SiteID]]&amp;"_"&amp;DO_DB[[#This Row],[Material Name]]</f>
        <v>CLR22-03-006_Pole 7M 3"</v>
      </c>
      <c r="Q924" t="str">
        <f>DO_DB[[#This Row],[DO Number]]</f>
        <v>DOEID24110126</v>
      </c>
      <c r="R924" t="str">
        <f>DO_DB[[#This Row],[DN Number]]</f>
        <v>DNWID0362024110105</v>
      </c>
    </row>
    <row r="925" spans="1:18">
      <c r="A925" t="s">
        <v>2436</v>
      </c>
      <c r="B925" t="s">
        <v>2437</v>
      </c>
      <c r="C925" s="172" t="s">
        <v>4482</v>
      </c>
      <c r="D925" t="s">
        <v>71</v>
      </c>
      <c r="E925" t="s">
        <v>135</v>
      </c>
      <c r="F925" t="s">
        <v>4498</v>
      </c>
      <c r="G925" t="s">
        <v>2438</v>
      </c>
      <c r="H925" t="s">
        <v>2439</v>
      </c>
      <c r="I925" s="130">
        <v>45602</v>
      </c>
      <c r="J925" t="s">
        <v>15</v>
      </c>
      <c r="K925">
        <v>1</v>
      </c>
      <c r="M9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25" t="str">
        <f>DO_DB[[#This Row],[Material Pick-update]]&amp;"_"&amp;DO_DB[[#This Row],[Material Name]]</f>
        <v>45602_FDT-72</v>
      </c>
      <c r="O925" t="str">
        <f>DO_DB[[#This Row],[SiteID]]</f>
        <v>CLR22-03-006</v>
      </c>
      <c r="P925" t="str">
        <f>DO_DB[[#This Row],[SiteID]]&amp;"_"&amp;DO_DB[[#This Row],[Material Name]]</f>
        <v>CLR22-03-006_FDT-72</v>
      </c>
      <c r="Q925" t="str">
        <f>DO_DB[[#This Row],[DO Number]]</f>
        <v>DOEID24110127</v>
      </c>
      <c r="R925" t="str">
        <f>DO_DB[[#This Row],[DN Number]]</f>
        <v>DNWID0342024110105</v>
      </c>
    </row>
    <row r="926" spans="1:18">
      <c r="A926" t="s">
        <v>2436</v>
      </c>
      <c r="B926" t="s">
        <v>2437</v>
      </c>
      <c r="C926" s="172" t="s">
        <v>4482</v>
      </c>
      <c r="D926" t="s">
        <v>71</v>
      </c>
      <c r="E926" t="s">
        <v>135</v>
      </c>
      <c r="F926" t="s">
        <v>4498</v>
      </c>
      <c r="G926" t="s">
        <v>2438</v>
      </c>
      <c r="H926" t="s">
        <v>2439</v>
      </c>
      <c r="I926" s="130">
        <v>45602</v>
      </c>
      <c r="J926" t="s">
        <v>13</v>
      </c>
      <c r="K926">
        <v>22</v>
      </c>
      <c r="M9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26" t="str">
        <f>DO_DB[[#This Row],[Material Pick-update]]&amp;"_"&amp;DO_DB[[#This Row],[Material Name]]</f>
        <v>45602_FAT-16</v>
      </c>
      <c r="O926" t="str">
        <f>DO_DB[[#This Row],[SiteID]]</f>
        <v>CLR22-03-006</v>
      </c>
      <c r="P926" t="str">
        <f>DO_DB[[#This Row],[SiteID]]&amp;"_"&amp;DO_DB[[#This Row],[Material Name]]</f>
        <v>CLR22-03-006_FAT-16</v>
      </c>
      <c r="Q926" t="str">
        <f>DO_DB[[#This Row],[DO Number]]</f>
        <v>DOEID24110127</v>
      </c>
      <c r="R926" t="str">
        <f>DO_DB[[#This Row],[DN Number]]</f>
        <v>DNWID0342024110105</v>
      </c>
    </row>
    <row r="927" spans="1:18">
      <c r="A927" t="s">
        <v>2456</v>
      </c>
      <c r="B927" t="s">
        <v>2457</v>
      </c>
      <c r="C927" s="172" t="s">
        <v>4482</v>
      </c>
      <c r="D927" t="s">
        <v>2121</v>
      </c>
      <c r="E927" t="s">
        <v>135</v>
      </c>
      <c r="F927" t="s">
        <v>4498</v>
      </c>
      <c r="G927" t="s">
        <v>2458</v>
      </c>
      <c r="H927" t="s">
        <v>2459</v>
      </c>
      <c r="I927" s="130">
        <v>45622</v>
      </c>
      <c r="J927" t="s">
        <v>3075</v>
      </c>
      <c r="K927">
        <v>3000</v>
      </c>
      <c r="M9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48C-20241126-01</v>
      </c>
      <c r="N927" t="str">
        <f>DO_DB[[#This Row],[Material Pick-update]]&amp;"_"&amp;DO_DB[[#This Row],[Material Name]]</f>
        <v>45622_ADSS 48C</v>
      </c>
      <c r="O927" t="str">
        <f>DO_DB[[#This Row],[SiteID]]</f>
        <v>CLR99-99-133</v>
      </c>
      <c r="P927" t="str">
        <f>DO_DB[[#This Row],[SiteID]]&amp;"_"&amp;DO_DB[[#This Row],[Material Name]]</f>
        <v>CLR99-99-133_ADSS 48C</v>
      </c>
      <c r="Q927" t="str">
        <f>DO_DB[[#This Row],[DO Number]]</f>
        <v>DOEID24112570</v>
      </c>
      <c r="R927" t="str">
        <f>DO_DB[[#This Row],[DN Number]]</f>
        <v>DNWID0342024112507</v>
      </c>
    </row>
    <row r="928" spans="1:18">
      <c r="A928" t="s">
        <v>2460</v>
      </c>
      <c r="B928" t="s">
        <v>2461</v>
      </c>
      <c r="C928" s="172" t="s">
        <v>4482</v>
      </c>
      <c r="D928" t="s">
        <v>2121</v>
      </c>
      <c r="E928" t="s">
        <v>135</v>
      </c>
      <c r="F928" t="s">
        <v>4498</v>
      </c>
      <c r="G928" t="s">
        <v>2462</v>
      </c>
      <c r="H928" t="s">
        <v>2463</v>
      </c>
      <c r="I928" s="130">
        <v>45622</v>
      </c>
      <c r="J928" t="s">
        <v>3073</v>
      </c>
      <c r="K928">
        <v>3000</v>
      </c>
      <c r="M9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24C-20241126-01</v>
      </c>
      <c r="N928" t="str">
        <f>DO_DB[[#This Row],[Material Pick-update]]&amp;"_"&amp;DO_DB[[#This Row],[Material Name]]</f>
        <v>45622_ADSS 24C</v>
      </c>
      <c r="O928" t="str">
        <f>DO_DB[[#This Row],[SiteID]]</f>
        <v>CLR99-99-148</v>
      </c>
      <c r="P928" t="str">
        <f>DO_DB[[#This Row],[SiteID]]&amp;"_"&amp;DO_DB[[#This Row],[Material Name]]</f>
        <v>CLR99-99-148_ADSS 24C</v>
      </c>
      <c r="Q928" t="str">
        <f>DO_DB[[#This Row],[DO Number]]</f>
        <v>DOEID24112572</v>
      </c>
      <c r="R928" t="str">
        <f>DO_DB[[#This Row],[DN Number]]</f>
        <v>DNWID0342024112506</v>
      </c>
    </row>
    <row r="929" spans="1:18">
      <c r="A929" t="s">
        <v>2460</v>
      </c>
      <c r="B929" t="s">
        <v>2461</v>
      </c>
      <c r="C929" s="172" t="s">
        <v>4482</v>
      </c>
      <c r="D929" t="s">
        <v>2121</v>
      </c>
      <c r="E929" t="s">
        <v>135</v>
      </c>
      <c r="F929" t="s">
        <v>4498</v>
      </c>
      <c r="G929" t="s">
        <v>2462</v>
      </c>
      <c r="H929" t="s">
        <v>2463</v>
      </c>
      <c r="I929" s="130">
        <v>45622</v>
      </c>
      <c r="J929" t="s">
        <v>3075</v>
      </c>
      <c r="K929">
        <v>3000</v>
      </c>
      <c r="M9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48C-20241126-01</v>
      </c>
      <c r="N929" t="str">
        <f>DO_DB[[#This Row],[Material Pick-update]]&amp;"_"&amp;DO_DB[[#This Row],[Material Name]]</f>
        <v>45622_ADSS 48C</v>
      </c>
      <c r="O929" t="str">
        <f>DO_DB[[#This Row],[SiteID]]</f>
        <v>CLR99-99-148</v>
      </c>
      <c r="P929" t="str">
        <f>DO_DB[[#This Row],[SiteID]]&amp;"_"&amp;DO_DB[[#This Row],[Material Name]]</f>
        <v>CLR99-99-148_ADSS 48C</v>
      </c>
      <c r="Q929" t="str">
        <f>DO_DB[[#This Row],[DO Number]]</f>
        <v>DOEID24112572</v>
      </c>
      <c r="R929" t="str">
        <f>DO_DB[[#This Row],[DN Number]]</f>
        <v>DNWID0342024112506</v>
      </c>
    </row>
    <row r="930" spans="1:18">
      <c r="A930" t="s">
        <v>2464</v>
      </c>
      <c r="B930" t="s">
        <v>2465</v>
      </c>
      <c r="C930" s="172" t="s">
        <v>4482</v>
      </c>
      <c r="D930" t="s">
        <v>2121</v>
      </c>
      <c r="E930" t="s">
        <v>135</v>
      </c>
      <c r="F930" t="s">
        <v>4498</v>
      </c>
      <c r="G930" t="s">
        <v>2466</v>
      </c>
      <c r="H930" t="s">
        <v>2467</v>
      </c>
      <c r="I930" s="130">
        <v>45622</v>
      </c>
      <c r="J930" t="s">
        <v>3073</v>
      </c>
      <c r="K930">
        <v>3000</v>
      </c>
      <c r="M9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24C-20241126-01</v>
      </c>
      <c r="N930" t="str">
        <f>DO_DB[[#This Row],[Material Pick-update]]&amp;"_"&amp;DO_DB[[#This Row],[Material Name]]</f>
        <v>45622_ADSS 24C</v>
      </c>
      <c r="O930" t="str">
        <f>DO_DB[[#This Row],[SiteID]]</f>
        <v>CLR22-03-017</v>
      </c>
      <c r="P930" t="str">
        <f>DO_DB[[#This Row],[SiteID]]&amp;"_"&amp;DO_DB[[#This Row],[Material Name]]</f>
        <v>CLR22-03-017_ADSS 24C</v>
      </c>
      <c r="Q930" t="str">
        <f>DO_DB[[#This Row],[DO Number]]</f>
        <v>DOEID24112574</v>
      </c>
      <c r="R930" t="str">
        <f>DO_DB[[#This Row],[DN Number]]</f>
        <v>DNWID0342024112504</v>
      </c>
    </row>
    <row r="931" spans="1:18">
      <c r="A931" t="s">
        <v>2456</v>
      </c>
      <c r="B931" t="s">
        <v>2457</v>
      </c>
      <c r="C931" s="172" t="s">
        <v>4482</v>
      </c>
      <c r="D931" t="s">
        <v>2121</v>
      </c>
      <c r="E931" t="s">
        <v>135</v>
      </c>
      <c r="F931" t="s">
        <v>4498</v>
      </c>
      <c r="G931" t="s">
        <v>2458</v>
      </c>
      <c r="H931" t="s">
        <v>2459</v>
      </c>
      <c r="I931" s="130">
        <v>45622</v>
      </c>
      <c r="J931" t="s">
        <v>3073</v>
      </c>
      <c r="K931">
        <v>6000</v>
      </c>
      <c r="M9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24C-20241126-01</v>
      </c>
      <c r="N931" t="str">
        <f>DO_DB[[#This Row],[Material Pick-update]]&amp;"_"&amp;DO_DB[[#This Row],[Material Name]]</f>
        <v>45622_ADSS 24C</v>
      </c>
      <c r="O931" t="str">
        <f>DO_DB[[#This Row],[SiteID]]</f>
        <v>CLR99-99-133</v>
      </c>
      <c r="P931" t="str">
        <f>DO_DB[[#This Row],[SiteID]]&amp;"_"&amp;DO_DB[[#This Row],[Material Name]]</f>
        <v>CLR99-99-133_ADSS 24C</v>
      </c>
      <c r="Q931" t="str">
        <f>DO_DB[[#This Row],[DO Number]]</f>
        <v>DOEID24112570</v>
      </c>
      <c r="R931" t="str">
        <f>DO_DB[[#This Row],[DN Number]]</f>
        <v>DNWID0342024112507</v>
      </c>
    </row>
    <row r="932" spans="1:18">
      <c r="A932" t="s">
        <v>2456</v>
      </c>
      <c r="B932" t="s">
        <v>2457</v>
      </c>
      <c r="C932" s="172" t="s">
        <v>4482</v>
      </c>
      <c r="D932" t="s">
        <v>2121</v>
      </c>
      <c r="E932" t="s">
        <v>135</v>
      </c>
      <c r="F932" t="s">
        <v>4498</v>
      </c>
      <c r="G932" t="s">
        <v>2458</v>
      </c>
      <c r="H932" t="s">
        <v>2459</v>
      </c>
      <c r="I932" s="130">
        <v>45622</v>
      </c>
      <c r="J932" t="s">
        <v>15</v>
      </c>
      <c r="K932">
        <v>2</v>
      </c>
      <c r="M9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32" t="str">
        <f>DO_DB[[#This Row],[Material Pick-update]]&amp;"_"&amp;DO_DB[[#This Row],[Material Name]]</f>
        <v>45622_FDT-72</v>
      </c>
      <c r="O932" t="str">
        <f>DO_DB[[#This Row],[SiteID]]</f>
        <v>CLR99-99-133</v>
      </c>
      <c r="P932" t="str">
        <f>DO_DB[[#This Row],[SiteID]]&amp;"_"&amp;DO_DB[[#This Row],[Material Name]]</f>
        <v>CLR99-99-133_FDT-72</v>
      </c>
      <c r="Q932" t="str">
        <f>DO_DB[[#This Row],[DO Number]]</f>
        <v>DOEID24112570</v>
      </c>
      <c r="R932" t="str">
        <f>DO_DB[[#This Row],[DN Number]]</f>
        <v>DNWID0342024112507</v>
      </c>
    </row>
    <row r="933" spans="1:18">
      <c r="A933" t="s">
        <v>2456</v>
      </c>
      <c r="B933" t="s">
        <v>2457</v>
      </c>
      <c r="C933" s="172" t="s">
        <v>4482</v>
      </c>
      <c r="D933" t="s">
        <v>2121</v>
      </c>
      <c r="E933" t="s">
        <v>135</v>
      </c>
      <c r="F933" t="s">
        <v>4498</v>
      </c>
      <c r="G933" t="s">
        <v>2458</v>
      </c>
      <c r="H933" t="s">
        <v>2459</v>
      </c>
      <c r="I933" s="130">
        <v>45622</v>
      </c>
      <c r="J933" t="s">
        <v>13</v>
      </c>
      <c r="K933">
        <v>51</v>
      </c>
      <c r="M9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33" t="str">
        <f>DO_DB[[#This Row],[Material Pick-update]]&amp;"_"&amp;DO_DB[[#This Row],[Material Name]]</f>
        <v>45622_FAT-16</v>
      </c>
      <c r="O933" t="str">
        <f>DO_DB[[#This Row],[SiteID]]</f>
        <v>CLR99-99-133</v>
      </c>
      <c r="P933" t="str">
        <f>DO_DB[[#This Row],[SiteID]]&amp;"_"&amp;DO_DB[[#This Row],[Material Name]]</f>
        <v>CLR99-99-133_FAT-16</v>
      </c>
      <c r="Q933" t="str">
        <f>DO_DB[[#This Row],[DO Number]]</f>
        <v>DOEID24112570</v>
      </c>
      <c r="R933" t="str">
        <f>DO_DB[[#This Row],[DN Number]]</f>
        <v>DNWID0342024112507</v>
      </c>
    </row>
    <row r="934" spans="1:18">
      <c r="A934" t="s">
        <v>2460</v>
      </c>
      <c r="B934" t="s">
        <v>2461</v>
      </c>
      <c r="C934" s="172" t="s">
        <v>4482</v>
      </c>
      <c r="D934" t="s">
        <v>2121</v>
      </c>
      <c r="E934" t="s">
        <v>135</v>
      </c>
      <c r="F934" t="s">
        <v>4498</v>
      </c>
      <c r="G934" t="s">
        <v>2470</v>
      </c>
      <c r="H934" t="s">
        <v>2471</v>
      </c>
      <c r="I934" s="130">
        <v>45622</v>
      </c>
      <c r="J934" t="s">
        <v>4856</v>
      </c>
      <c r="K934">
        <v>1</v>
      </c>
      <c r="M9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34" t="str">
        <f>DO_DB[[#This Row],[Material Pick-update]]&amp;"_"&amp;DO_DB[[#This Row],[Material Name]]</f>
        <v>45622_JC 144Core</v>
      </c>
      <c r="O934" t="str">
        <f>DO_DB[[#This Row],[SiteID]]</f>
        <v>CLR99-99-148</v>
      </c>
      <c r="P934" t="str">
        <f>DO_DB[[#This Row],[SiteID]]&amp;"_"&amp;DO_DB[[#This Row],[Material Name]]</f>
        <v>CLR99-99-148_JC 144Core</v>
      </c>
      <c r="Q934" t="str">
        <f>DO_DB[[#This Row],[DO Number]]</f>
        <v>DOEID24112571</v>
      </c>
      <c r="R934" t="str">
        <f>DO_DB[[#This Row],[DN Number]]</f>
        <v>DNWID0362024112509</v>
      </c>
    </row>
    <row r="935" spans="1:18">
      <c r="A935" t="s">
        <v>2460</v>
      </c>
      <c r="B935" t="s">
        <v>2461</v>
      </c>
      <c r="C935" s="172" t="s">
        <v>4482</v>
      </c>
      <c r="D935" t="s">
        <v>2121</v>
      </c>
      <c r="E935" t="s">
        <v>135</v>
      </c>
      <c r="F935" t="s">
        <v>4498</v>
      </c>
      <c r="G935" t="s">
        <v>2462</v>
      </c>
      <c r="H935" t="s">
        <v>2463</v>
      </c>
      <c r="I935" s="130">
        <v>45622</v>
      </c>
      <c r="J935" t="s">
        <v>15</v>
      </c>
      <c r="K935">
        <v>1</v>
      </c>
      <c r="M9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35" t="str">
        <f>DO_DB[[#This Row],[Material Pick-update]]&amp;"_"&amp;DO_DB[[#This Row],[Material Name]]</f>
        <v>45622_FDT-72</v>
      </c>
      <c r="O935" t="str">
        <f>DO_DB[[#This Row],[SiteID]]</f>
        <v>CLR99-99-148</v>
      </c>
      <c r="P935" t="str">
        <f>DO_DB[[#This Row],[SiteID]]&amp;"_"&amp;DO_DB[[#This Row],[Material Name]]</f>
        <v>CLR99-99-148_FDT-72</v>
      </c>
      <c r="Q935" t="str">
        <f>DO_DB[[#This Row],[DO Number]]</f>
        <v>DOEID24112572</v>
      </c>
      <c r="R935" t="str">
        <f>DO_DB[[#This Row],[DN Number]]</f>
        <v>DNWID0342024112506</v>
      </c>
    </row>
    <row r="936" spans="1:18">
      <c r="A936" t="s">
        <v>2460</v>
      </c>
      <c r="B936" t="s">
        <v>2461</v>
      </c>
      <c r="C936" s="172" t="s">
        <v>4482</v>
      </c>
      <c r="D936" t="s">
        <v>2121</v>
      </c>
      <c r="E936" t="s">
        <v>135</v>
      </c>
      <c r="F936" t="s">
        <v>4498</v>
      </c>
      <c r="G936" t="s">
        <v>2462</v>
      </c>
      <c r="H936" t="s">
        <v>2463</v>
      </c>
      <c r="I936" s="130">
        <v>45622</v>
      </c>
      <c r="J936" t="s">
        <v>13</v>
      </c>
      <c r="K936">
        <v>30</v>
      </c>
      <c r="M9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36" t="str">
        <f>DO_DB[[#This Row],[Material Pick-update]]&amp;"_"&amp;DO_DB[[#This Row],[Material Name]]</f>
        <v>45622_FAT-16</v>
      </c>
      <c r="O936" t="str">
        <f>DO_DB[[#This Row],[SiteID]]</f>
        <v>CLR99-99-148</v>
      </c>
      <c r="P936" t="str">
        <f>DO_DB[[#This Row],[SiteID]]&amp;"_"&amp;DO_DB[[#This Row],[Material Name]]</f>
        <v>CLR99-99-148_FAT-16</v>
      </c>
      <c r="Q936" t="str">
        <f>DO_DB[[#This Row],[DO Number]]</f>
        <v>DOEID24112572</v>
      </c>
      <c r="R936" t="str">
        <f>DO_DB[[#This Row],[DN Number]]</f>
        <v>DNWID0342024112506</v>
      </c>
    </row>
    <row r="937" spans="1:18">
      <c r="A937" t="s">
        <v>2464</v>
      </c>
      <c r="B937" t="s">
        <v>2465</v>
      </c>
      <c r="C937" s="172" t="s">
        <v>4482</v>
      </c>
      <c r="D937" t="s">
        <v>2121</v>
      </c>
      <c r="E937" t="s">
        <v>135</v>
      </c>
      <c r="F937" t="s">
        <v>4498</v>
      </c>
      <c r="G937" t="s">
        <v>2468</v>
      </c>
      <c r="H937" t="s">
        <v>2469</v>
      </c>
      <c r="I937" s="130">
        <v>45622</v>
      </c>
      <c r="J937" t="s">
        <v>4856</v>
      </c>
      <c r="K937">
        <v>1</v>
      </c>
      <c r="M9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37" t="str">
        <f>DO_DB[[#This Row],[Material Pick-update]]&amp;"_"&amp;DO_DB[[#This Row],[Material Name]]</f>
        <v>45622_JC 144Core</v>
      </c>
      <c r="O937" t="str">
        <f>DO_DB[[#This Row],[SiteID]]</f>
        <v>CLR22-03-017</v>
      </c>
      <c r="P937" t="str">
        <f>DO_DB[[#This Row],[SiteID]]&amp;"_"&amp;DO_DB[[#This Row],[Material Name]]</f>
        <v>CLR22-03-017_JC 144Core</v>
      </c>
      <c r="Q937" t="str">
        <f>DO_DB[[#This Row],[DO Number]]</f>
        <v>DOEID24112573</v>
      </c>
      <c r="R937" t="str">
        <f>DO_DB[[#This Row],[DN Number]]</f>
        <v>DNWID0362024112508</v>
      </c>
    </row>
    <row r="938" spans="1:18">
      <c r="A938" t="s">
        <v>2464</v>
      </c>
      <c r="B938" t="s">
        <v>2465</v>
      </c>
      <c r="C938" s="172" t="s">
        <v>4482</v>
      </c>
      <c r="D938" t="s">
        <v>2121</v>
      </c>
      <c r="E938" t="s">
        <v>135</v>
      </c>
      <c r="F938" t="s">
        <v>4498</v>
      </c>
      <c r="G938" t="s">
        <v>2466</v>
      </c>
      <c r="H938" t="s">
        <v>2467</v>
      </c>
      <c r="I938" s="130">
        <v>45622</v>
      </c>
      <c r="J938" t="s">
        <v>15</v>
      </c>
      <c r="K938">
        <v>1</v>
      </c>
      <c r="M9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38" t="str">
        <f>DO_DB[[#This Row],[Material Pick-update]]&amp;"_"&amp;DO_DB[[#This Row],[Material Name]]</f>
        <v>45622_FDT-72</v>
      </c>
      <c r="O938" t="str">
        <f>DO_DB[[#This Row],[SiteID]]</f>
        <v>CLR22-03-017</v>
      </c>
      <c r="P938" t="str">
        <f>DO_DB[[#This Row],[SiteID]]&amp;"_"&amp;DO_DB[[#This Row],[Material Name]]</f>
        <v>CLR22-03-017_FDT-72</v>
      </c>
      <c r="Q938" t="str">
        <f>DO_DB[[#This Row],[DO Number]]</f>
        <v>DOEID24112574</v>
      </c>
      <c r="R938" t="str">
        <f>DO_DB[[#This Row],[DN Number]]</f>
        <v>DNWID0342024112504</v>
      </c>
    </row>
    <row r="939" spans="1:18">
      <c r="A939" t="s">
        <v>2464</v>
      </c>
      <c r="B939" t="s">
        <v>2465</v>
      </c>
      <c r="C939" s="172" t="s">
        <v>4482</v>
      </c>
      <c r="D939" t="s">
        <v>2121</v>
      </c>
      <c r="E939" t="s">
        <v>135</v>
      </c>
      <c r="F939" t="s">
        <v>4498</v>
      </c>
      <c r="G939" t="s">
        <v>2466</v>
      </c>
      <c r="H939" t="s">
        <v>2467</v>
      </c>
      <c r="I939" s="130">
        <v>45622</v>
      </c>
      <c r="J939" t="s">
        <v>13</v>
      </c>
      <c r="K939">
        <v>20</v>
      </c>
      <c r="M9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39" t="str">
        <f>DO_DB[[#This Row],[Material Pick-update]]&amp;"_"&amp;DO_DB[[#This Row],[Material Name]]</f>
        <v>45622_FAT-16</v>
      </c>
      <c r="O939" t="str">
        <f>DO_DB[[#This Row],[SiteID]]</f>
        <v>CLR22-03-017</v>
      </c>
      <c r="P939" t="str">
        <f>DO_DB[[#This Row],[SiteID]]&amp;"_"&amp;DO_DB[[#This Row],[Material Name]]</f>
        <v>CLR22-03-017_FAT-16</v>
      </c>
      <c r="Q939" t="str">
        <f>DO_DB[[#This Row],[DO Number]]</f>
        <v>DOEID24112574</v>
      </c>
      <c r="R939" t="str">
        <f>DO_DB[[#This Row],[DN Number]]</f>
        <v>DNWID0342024112504</v>
      </c>
    </row>
    <row r="940" spans="1:18">
      <c r="A940" t="s">
        <v>2575</v>
      </c>
      <c r="B940" t="s">
        <v>2576</v>
      </c>
      <c r="C940" t="s">
        <v>4482</v>
      </c>
      <c r="D940" t="s">
        <v>71</v>
      </c>
      <c r="E940" t="s">
        <v>92</v>
      </c>
      <c r="F940" t="s">
        <v>4498</v>
      </c>
      <c r="G940" t="s">
        <v>2577</v>
      </c>
      <c r="H940" t="s">
        <v>2578</v>
      </c>
      <c r="I940" s="130">
        <v>45646</v>
      </c>
      <c r="J940" t="s">
        <v>14</v>
      </c>
      <c r="K940">
        <v>1</v>
      </c>
      <c r="M9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40" t="str">
        <f>DO_DB[[#This Row],[Material Pick-update]]&amp;"_"&amp;DO_DB[[#This Row],[Material Name]]</f>
        <v>45646_FDT-48</v>
      </c>
      <c r="O940" t="str">
        <f>DO_DB[[#This Row],[SiteID]]</f>
        <v>CLR23-99-104</v>
      </c>
      <c r="P940" t="str">
        <f>DO_DB[[#This Row],[SiteID]]&amp;"_"&amp;DO_DB[[#This Row],[Material Name]]</f>
        <v>CLR23-99-104_FDT-48</v>
      </c>
      <c r="Q940" t="str">
        <f>DO_DB[[#This Row],[DO Number]]</f>
        <v>DOEID24121964</v>
      </c>
      <c r="R940" t="str">
        <f>DO_DB[[#This Row],[DN Number]]</f>
        <v>DNWID0342024122001</v>
      </c>
    </row>
    <row r="941" spans="1:18">
      <c r="A941" t="s">
        <v>1529</v>
      </c>
      <c r="B941" t="s">
        <v>1530</v>
      </c>
      <c r="C941" s="172" t="s">
        <v>4482</v>
      </c>
      <c r="D941" t="s">
        <v>71</v>
      </c>
      <c r="E941" t="s">
        <v>26</v>
      </c>
      <c r="F941" t="s">
        <v>4498</v>
      </c>
      <c r="G941" t="s">
        <v>2573</v>
      </c>
      <c r="H941" t="s">
        <v>2574</v>
      </c>
      <c r="I941" s="130">
        <v>45646</v>
      </c>
      <c r="J941" t="s">
        <v>3076</v>
      </c>
      <c r="K941">
        <v>6000</v>
      </c>
      <c r="M9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96C-20241220-01</v>
      </c>
      <c r="N941" t="str">
        <f>DO_DB[[#This Row],[Material Pick-update]]&amp;"_"&amp;DO_DB[[#This Row],[Material Name]]</f>
        <v>45646_ADSS 96C</v>
      </c>
      <c r="O941" t="str">
        <f>DO_DB[[#This Row],[SiteID]]</f>
        <v>MF31-01</v>
      </c>
      <c r="P941" t="str">
        <f>DO_DB[[#This Row],[SiteID]]&amp;"_"&amp;DO_DB[[#This Row],[Material Name]]</f>
        <v>MF31-01_ADSS 96C</v>
      </c>
      <c r="Q941" t="str">
        <f>DO_DB[[#This Row],[DO Number]]</f>
        <v>DOEID24121953</v>
      </c>
      <c r="R941" t="str">
        <f>DO_DB[[#This Row],[DN Number]]</f>
        <v>DNWID0342024121901</v>
      </c>
    </row>
    <row r="942" spans="1:18">
      <c r="A942" t="s">
        <v>1529</v>
      </c>
      <c r="B942" t="s">
        <v>1530</v>
      </c>
      <c r="C942" s="172" t="s">
        <v>4482</v>
      </c>
      <c r="D942" t="s">
        <v>71</v>
      </c>
      <c r="E942" t="s">
        <v>26</v>
      </c>
      <c r="F942" t="s">
        <v>4498</v>
      </c>
      <c r="G942" t="s">
        <v>2571</v>
      </c>
      <c r="H942" t="s">
        <v>2572</v>
      </c>
      <c r="I942" s="130">
        <v>45646</v>
      </c>
      <c r="J942" t="s">
        <v>3069</v>
      </c>
      <c r="K942">
        <v>69</v>
      </c>
      <c r="M9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42" t="str">
        <f>DO_DB[[#This Row],[Material Pick-update]]&amp;"_"&amp;DO_DB[[#This Row],[Material Name]]</f>
        <v>45646_Pole 7M 4"</v>
      </c>
      <c r="O942" t="str">
        <f>DO_DB[[#This Row],[SiteID]]</f>
        <v>MF31-01</v>
      </c>
      <c r="P942" t="str">
        <f>DO_DB[[#This Row],[SiteID]]&amp;"_"&amp;DO_DB[[#This Row],[Material Name]]</f>
        <v>MF31-01_Pole 7M 4"</v>
      </c>
      <c r="Q942" t="str">
        <f>DO_DB[[#This Row],[DO Number]]</f>
        <v>DOEID24121947</v>
      </c>
      <c r="R942" t="str">
        <f>DO_DB[[#This Row],[DN Number]]</f>
        <v>DNWID0362024121901</v>
      </c>
    </row>
    <row r="943" spans="1:18">
      <c r="A943" t="s">
        <v>1529</v>
      </c>
      <c r="B943" t="s">
        <v>1530</v>
      </c>
      <c r="C943" s="172" t="s">
        <v>4482</v>
      </c>
      <c r="D943" t="s">
        <v>71</v>
      </c>
      <c r="E943" t="s">
        <v>26</v>
      </c>
      <c r="F943" t="s">
        <v>4498</v>
      </c>
      <c r="G943" t="s">
        <v>2571</v>
      </c>
      <c r="H943" t="s">
        <v>2572</v>
      </c>
      <c r="I943" s="130">
        <v>45646</v>
      </c>
      <c r="J943" t="s">
        <v>3071</v>
      </c>
      <c r="K943">
        <v>47</v>
      </c>
      <c r="M9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43" t="str">
        <f>DO_DB[[#This Row],[Material Pick-update]]&amp;"_"&amp;DO_DB[[#This Row],[Material Name]]</f>
        <v>45646_Pole 9M</v>
      </c>
      <c r="O943" t="str">
        <f>DO_DB[[#This Row],[SiteID]]</f>
        <v>MF31-01</v>
      </c>
      <c r="P943" t="str">
        <f>DO_DB[[#This Row],[SiteID]]&amp;"_"&amp;DO_DB[[#This Row],[Material Name]]</f>
        <v>MF31-01_Pole 9M</v>
      </c>
      <c r="Q943" t="str">
        <f>DO_DB[[#This Row],[DO Number]]</f>
        <v>DOEID24121947</v>
      </c>
      <c r="R943" t="str">
        <f>DO_DB[[#This Row],[DN Number]]</f>
        <v>DNWID0362024121901</v>
      </c>
    </row>
    <row r="944" spans="1:18">
      <c r="A944" t="s">
        <v>1529</v>
      </c>
      <c r="B944" t="s">
        <v>1530</v>
      </c>
      <c r="C944" s="172" t="s">
        <v>4482</v>
      </c>
      <c r="D944" t="s">
        <v>71</v>
      </c>
      <c r="E944" t="s">
        <v>26</v>
      </c>
      <c r="F944" t="s">
        <v>4498</v>
      </c>
      <c r="G944" t="s">
        <v>2571</v>
      </c>
      <c r="H944" t="s">
        <v>2572</v>
      </c>
      <c r="I944" s="130">
        <v>45646</v>
      </c>
      <c r="J944" t="s">
        <v>4856</v>
      </c>
      <c r="K944">
        <v>17</v>
      </c>
      <c r="M9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44" t="str">
        <f>DO_DB[[#This Row],[Material Pick-update]]&amp;"_"&amp;DO_DB[[#This Row],[Material Name]]</f>
        <v>45646_JC 144Core</v>
      </c>
      <c r="O944" t="str">
        <f>DO_DB[[#This Row],[SiteID]]</f>
        <v>MF31-01</v>
      </c>
      <c r="P944" t="str">
        <f>DO_DB[[#This Row],[SiteID]]&amp;"_"&amp;DO_DB[[#This Row],[Material Name]]</f>
        <v>MF31-01_JC 144Core</v>
      </c>
      <c r="Q944" t="str">
        <f>DO_DB[[#This Row],[DO Number]]</f>
        <v>DOEID24121947</v>
      </c>
      <c r="R944" t="str">
        <f>DO_DB[[#This Row],[DN Number]]</f>
        <v>DNWID0362024121901</v>
      </c>
    </row>
    <row r="945" spans="1:18">
      <c r="A945" t="s">
        <v>99</v>
      </c>
      <c r="B945" t="s">
        <v>100</v>
      </c>
      <c r="C945" s="172" t="s">
        <v>4482</v>
      </c>
      <c r="D945" t="s">
        <v>71</v>
      </c>
      <c r="E945" t="s">
        <v>92</v>
      </c>
      <c r="F945" t="s">
        <v>4499</v>
      </c>
      <c r="G945" t="s">
        <v>107</v>
      </c>
      <c r="H945" t="s">
        <v>108</v>
      </c>
      <c r="I945" s="130">
        <v>45149</v>
      </c>
      <c r="J945" t="s">
        <v>3069</v>
      </c>
      <c r="K945">
        <v>55</v>
      </c>
      <c r="M9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45" t="str">
        <f>DO_DB[[#This Row],[Material Pick-update]]&amp;"_"&amp;DO_DB[[#This Row],[Material Name]]</f>
        <v>45149_Pole 7M 4"</v>
      </c>
      <c r="O945" t="str">
        <f>DO_DB[[#This Row],[SiteID]]</f>
        <v>CLR23-99-034</v>
      </c>
      <c r="P945" t="str">
        <f>DO_DB[[#This Row],[SiteID]]&amp;"_"&amp;DO_DB[[#This Row],[Material Name]]</f>
        <v>CLR23-99-034_Pole 7M 4"</v>
      </c>
      <c r="Q945" t="str">
        <f>DO_DB[[#This Row],[DO Number]]</f>
        <v>DOEID230809A4</v>
      </c>
      <c r="R945" t="str">
        <f>DO_DB[[#This Row],[DN Number]]</f>
        <v>DNWID0362023081012</v>
      </c>
    </row>
    <row r="946" spans="1:18">
      <c r="A946" t="s">
        <v>99</v>
      </c>
      <c r="B946" t="s">
        <v>100</v>
      </c>
      <c r="C946" s="172" t="s">
        <v>4482</v>
      </c>
      <c r="D946" t="s">
        <v>71</v>
      </c>
      <c r="E946" t="s">
        <v>92</v>
      </c>
      <c r="F946" t="s">
        <v>4499</v>
      </c>
      <c r="G946" t="s">
        <v>107</v>
      </c>
      <c r="H946" t="s">
        <v>108</v>
      </c>
      <c r="I946" s="130">
        <v>45149</v>
      </c>
      <c r="J946" t="s">
        <v>3070</v>
      </c>
      <c r="K946">
        <v>6</v>
      </c>
      <c r="M9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46" t="str">
        <f>DO_DB[[#This Row],[Material Pick-update]]&amp;"_"&amp;DO_DB[[#This Row],[Material Name]]</f>
        <v>45149_Pole 7M 3"</v>
      </c>
      <c r="O946" t="str">
        <f>DO_DB[[#This Row],[SiteID]]</f>
        <v>CLR23-99-034</v>
      </c>
      <c r="P946" t="str">
        <f>DO_DB[[#This Row],[SiteID]]&amp;"_"&amp;DO_DB[[#This Row],[Material Name]]</f>
        <v>CLR23-99-034_Pole 7M 3"</v>
      </c>
      <c r="Q946" t="str">
        <f>DO_DB[[#This Row],[DO Number]]</f>
        <v>DOEID230809A4</v>
      </c>
      <c r="R946" t="str">
        <f>DO_DB[[#This Row],[DN Number]]</f>
        <v>DNWID0362023081012</v>
      </c>
    </row>
    <row r="947" spans="1:18">
      <c r="A947" t="s">
        <v>99</v>
      </c>
      <c r="B947" t="s">
        <v>100</v>
      </c>
      <c r="C947" s="172" t="s">
        <v>4482</v>
      </c>
      <c r="D947" t="s">
        <v>71</v>
      </c>
      <c r="E947" t="s">
        <v>92</v>
      </c>
      <c r="F947" t="s">
        <v>4499</v>
      </c>
      <c r="G947" t="s">
        <v>107</v>
      </c>
      <c r="H947" t="s">
        <v>108</v>
      </c>
      <c r="I947" s="130">
        <v>45149</v>
      </c>
      <c r="J947" t="s">
        <v>4856</v>
      </c>
      <c r="K947">
        <v>1</v>
      </c>
      <c r="M9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47" t="str">
        <f>DO_DB[[#This Row],[Material Pick-update]]&amp;"_"&amp;DO_DB[[#This Row],[Material Name]]</f>
        <v>45149_JC 144Core</v>
      </c>
      <c r="O947" t="str">
        <f>DO_DB[[#This Row],[SiteID]]</f>
        <v>CLR23-99-034</v>
      </c>
      <c r="P947" t="str">
        <f>DO_DB[[#This Row],[SiteID]]&amp;"_"&amp;DO_DB[[#This Row],[Material Name]]</f>
        <v>CLR23-99-034_JC 144Core</v>
      </c>
      <c r="Q947" t="str">
        <f>DO_DB[[#This Row],[DO Number]]</f>
        <v>DOEID230809A4</v>
      </c>
      <c r="R947" t="str">
        <f>DO_DB[[#This Row],[DN Number]]</f>
        <v>DNWID0362023081012</v>
      </c>
    </row>
    <row r="948" spans="1:18">
      <c r="A948" t="s">
        <v>99</v>
      </c>
      <c r="B948" t="s">
        <v>100</v>
      </c>
      <c r="C948" s="172" t="s">
        <v>4482</v>
      </c>
      <c r="D948" t="s">
        <v>71</v>
      </c>
      <c r="E948" t="s">
        <v>92</v>
      </c>
      <c r="F948" t="s">
        <v>4499</v>
      </c>
      <c r="G948" t="s">
        <v>101</v>
      </c>
      <c r="H948" t="s">
        <v>102</v>
      </c>
      <c r="I948" s="130">
        <v>45149</v>
      </c>
      <c r="J948" t="s">
        <v>15</v>
      </c>
      <c r="K948">
        <v>1</v>
      </c>
      <c r="M9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48" t="str">
        <f>DO_DB[[#This Row],[Material Pick-update]]&amp;"_"&amp;DO_DB[[#This Row],[Material Name]]</f>
        <v>45149_FDT-72</v>
      </c>
      <c r="O948" t="str">
        <f>DO_DB[[#This Row],[SiteID]]</f>
        <v>CLR23-99-034</v>
      </c>
      <c r="P948" t="str">
        <f>DO_DB[[#This Row],[SiteID]]&amp;"_"&amp;DO_DB[[#This Row],[Material Name]]</f>
        <v>CLR23-99-034_FDT-72</v>
      </c>
      <c r="Q948" t="str">
        <f>DO_DB[[#This Row],[DO Number]]</f>
        <v>DOEID230809A5</v>
      </c>
      <c r="R948" t="str">
        <f>DO_DB[[#This Row],[DN Number]]</f>
        <v>DNWID0342023081005</v>
      </c>
    </row>
    <row r="949" spans="1:18">
      <c r="A949" t="s">
        <v>99</v>
      </c>
      <c r="B949" t="s">
        <v>100</v>
      </c>
      <c r="C949" s="172" t="s">
        <v>4482</v>
      </c>
      <c r="D949" t="s">
        <v>71</v>
      </c>
      <c r="E949" t="s">
        <v>92</v>
      </c>
      <c r="F949" t="s">
        <v>4499</v>
      </c>
      <c r="G949" t="s">
        <v>101</v>
      </c>
      <c r="H949" t="s">
        <v>102</v>
      </c>
      <c r="I949" s="130">
        <v>45149</v>
      </c>
      <c r="J949" t="s">
        <v>13</v>
      </c>
      <c r="K949">
        <v>6</v>
      </c>
      <c r="M9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49" t="str">
        <f>DO_DB[[#This Row],[Material Pick-update]]&amp;"_"&amp;DO_DB[[#This Row],[Material Name]]</f>
        <v>45149_FAT-16</v>
      </c>
      <c r="O949" t="str">
        <f>DO_DB[[#This Row],[SiteID]]</f>
        <v>CLR23-99-034</v>
      </c>
      <c r="P949" t="str">
        <f>DO_DB[[#This Row],[SiteID]]&amp;"_"&amp;DO_DB[[#This Row],[Material Name]]</f>
        <v>CLR23-99-034_FAT-16</v>
      </c>
      <c r="Q949" t="str">
        <f>DO_DB[[#This Row],[DO Number]]</f>
        <v>DOEID230809A5</v>
      </c>
      <c r="R949" t="str">
        <f>DO_DB[[#This Row],[DN Number]]</f>
        <v>DNWID0342023081005</v>
      </c>
    </row>
    <row r="950" spans="1:18">
      <c r="A950" t="s">
        <v>99</v>
      </c>
      <c r="B950" t="s">
        <v>100</v>
      </c>
      <c r="C950" s="172" t="s">
        <v>4482</v>
      </c>
      <c r="D950" t="s">
        <v>71</v>
      </c>
      <c r="E950" t="s">
        <v>92</v>
      </c>
      <c r="F950" t="s">
        <v>4499</v>
      </c>
      <c r="G950" t="s">
        <v>101</v>
      </c>
      <c r="H950" t="s">
        <v>102</v>
      </c>
      <c r="I950" s="130">
        <v>45149</v>
      </c>
      <c r="J950" t="s">
        <v>3080</v>
      </c>
      <c r="K950">
        <v>4</v>
      </c>
      <c r="M9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50" t="str">
        <f>DO_DB[[#This Row],[Material Pick-update]]&amp;"_"&amp;DO_DB[[#This Row],[Material Name]]</f>
        <v>45149_1:8 SPL for FDT-AE &amp; UG</v>
      </c>
      <c r="O950" t="str">
        <f>DO_DB[[#This Row],[SiteID]]</f>
        <v>CLR23-99-034</v>
      </c>
      <c r="P950" t="str">
        <f>DO_DB[[#This Row],[SiteID]]&amp;"_"&amp;DO_DB[[#This Row],[Material Name]]</f>
        <v>CLR23-99-034_1:8 SPL for FDT-AE &amp; UG</v>
      </c>
      <c r="Q950" t="str">
        <f>DO_DB[[#This Row],[DO Number]]</f>
        <v>DOEID230809A5</v>
      </c>
      <c r="R950" t="str">
        <f>DO_DB[[#This Row],[DN Number]]</f>
        <v>DNWID0342023081005</v>
      </c>
    </row>
    <row r="951" spans="1:18">
      <c r="A951" t="s">
        <v>90</v>
      </c>
      <c r="B951" t="s">
        <v>91</v>
      </c>
      <c r="C951" s="172" t="s">
        <v>4482</v>
      </c>
      <c r="D951" t="s">
        <v>71</v>
      </c>
      <c r="E951" t="s">
        <v>92</v>
      </c>
      <c r="F951" t="s">
        <v>4499</v>
      </c>
      <c r="G951" t="s">
        <v>103</v>
      </c>
      <c r="H951" t="s">
        <v>104</v>
      </c>
      <c r="I951" s="130">
        <v>45149</v>
      </c>
      <c r="J951" t="s">
        <v>3069</v>
      </c>
      <c r="K951">
        <v>50</v>
      </c>
      <c r="M9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51" t="str">
        <f>DO_DB[[#This Row],[Material Pick-update]]&amp;"_"&amp;DO_DB[[#This Row],[Material Name]]</f>
        <v>45149_Pole 7M 4"</v>
      </c>
      <c r="O951" t="str">
        <f>DO_DB[[#This Row],[SiteID]]</f>
        <v>CLR23-99-035</v>
      </c>
      <c r="P951" t="str">
        <f>DO_DB[[#This Row],[SiteID]]&amp;"_"&amp;DO_DB[[#This Row],[Material Name]]</f>
        <v>CLR23-99-035_Pole 7M 4"</v>
      </c>
      <c r="Q951" t="str">
        <f>DO_DB[[#This Row],[DO Number]]</f>
        <v>DOEID230809A6</v>
      </c>
      <c r="R951" t="str">
        <f>DO_DB[[#This Row],[DN Number]]</f>
        <v>DNWID0362023081010</v>
      </c>
    </row>
    <row r="952" spans="1:18">
      <c r="A952" t="s">
        <v>90</v>
      </c>
      <c r="B952" t="s">
        <v>91</v>
      </c>
      <c r="C952" s="172" t="s">
        <v>4482</v>
      </c>
      <c r="D952" t="s">
        <v>71</v>
      </c>
      <c r="E952" t="s">
        <v>92</v>
      </c>
      <c r="F952" t="s">
        <v>4499</v>
      </c>
      <c r="G952" t="s">
        <v>103</v>
      </c>
      <c r="H952" t="s">
        <v>104</v>
      </c>
      <c r="I952" s="130">
        <v>45149</v>
      </c>
      <c r="J952" t="s">
        <v>3070</v>
      </c>
      <c r="K952">
        <v>4</v>
      </c>
      <c r="M9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52" t="str">
        <f>DO_DB[[#This Row],[Material Pick-update]]&amp;"_"&amp;DO_DB[[#This Row],[Material Name]]</f>
        <v>45149_Pole 7M 3"</v>
      </c>
      <c r="O952" t="str">
        <f>DO_DB[[#This Row],[SiteID]]</f>
        <v>CLR23-99-035</v>
      </c>
      <c r="P952" t="str">
        <f>DO_DB[[#This Row],[SiteID]]&amp;"_"&amp;DO_DB[[#This Row],[Material Name]]</f>
        <v>CLR23-99-035_Pole 7M 3"</v>
      </c>
      <c r="Q952" t="str">
        <f>DO_DB[[#This Row],[DO Number]]</f>
        <v>DOEID230809A6</v>
      </c>
      <c r="R952" t="str">
        <f>DO_DB[[#This Row],[DN Number]]</f>
        <v>DNWID0362023081010</v>
      </c>
    </row>
    <row r="953" spans="1:18">
      <c r="A953" t="s">
        <v>90</v>
      </c>
      <c r="B953" t="s">
        <v>91</v>
      </c>
      <c r="C953" s="172" t="s">
        <v>4482</v>
      </c>
      <c r="D953" t="s">
        <v>71</v>
      </c>
      <c r="E953" t="s">
        <v>92</v>
      </c>
      <c r="F953" t="s">
        <v>4499</v>
      </c>
      <c r="G953" t="s">
        <v>93</v>
      </c>
      <c r="H953" t="s">
        <v>94</v>
      </c>
      <c r="I953" s="130">
        <v>45149</v>
      </c>
      <c r="J953" t="s">
        <v>13</v>
      </c>
      <c r="K953">
        <v>20</v>
      </c>
      <c r="M9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53" t="str">
        <f>DO_DB[[#This Row],[Material Pick-update]]&amp;"_"&amp;DO_DB[[#This Row],[Material Name]]</f>
        <v>45149_FAT-16</v>
      </c>
      <c r="O953" t="str">
        <f>DO_DB[[#This Row],[SiteID]]</f>
        <v>CLR23-99-035</v>
      </c>
      <c r="P953" t="str">
        <f>DO_DB[[#This Row],[SiteID]]&amp;"_"&amp;DO_DB[[#This Row],[Material Name]]</f>
        <v>CLR23-99-035_FAT-16</v>
      </c>
      <c r="Q953" t="str">
        <f>DO_DB[[#This Row],[DO Number]]</f>
        <v>DOEID230809A7</v>
      </c>
      <c r="R953" t="str">
        <f>DO_DB[[#This Row],[DN Number]]</f>
        <v>DNWID0342023081003</v>
      </c>
    </row>
    <row r="954" spans="1:18">
      <c r="A954" t="s">
        <v>95</v>
      </c>
      <c r="B954" t="s">
        <v>96</v>
      </c>
      <c r="C954" s="172" t="s">
        <v>4482</v>
      </c>
      <c r="D954" t="s">
        <v>71</v>
      </c>
      <c r="E954" t="s">
        <v>92</v>
      </c>
      <c r="F954" t="s">
        <v>4499</v>
      </c>
      <c r="G954" t="s">
        <v>105</v>
      </c>
      <c r="H954" t="s">
        <v>106</v>
      </c>
      <c r="I954" s="130">
        <v>45149</v>
      </c>
      <c r="J954" t="s">
        <v>3069</v>
      </c>
      <c r="K954">
        <v>22</v>
      </c>
      <c r="M9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54" t="str">
        <f>DO_DB[[#This Row],[Material Pick-update]]&amp;"_"&amp;DO_DB[[#This Row],[Material Name]]</f>
        <v>45149_Pole 7M 4"</v>
      </c>
      <c r="O954" t="str">
        <f>DO_DB[[#This Row],[SiteID]]</f>
        <v>CLR23-99-036</v>
      </c>
      <c r="P954" t="str">
        <f>DO_DB[[#This Row],[SiteID]]&amp;"_"&amp;DO_DB[[#This Row],[Material Name]]</f>
        <v>CLR23-99-036_Pole 7M 4"</v>
      </c>
      <c r="Q954" t="str">
        <f>DO_DB[[#This Row],[DO Number]]</f>
        <v>DOEID230809A8</v>
      </c>
      <c r="R954" t="str">
        <f>DO_DB[[#This Row],[DN Number]]</f>
        <v>DNWID0362023081011</v>
      </c>
    </row>
    <row r="955" spans="1:18">
      <c r="A955" t="s">
        <v>95</v>
      </c>
      <c r="B955" t="s">
        <v>96</v>
      </c>
      <c r="C955" s="172" t="s">
        <v>4482</v>
      </c>
      <c r="D955" t="s">
        <v>71</v>
      </c>
      <c r="E955" t="s">
        <v>92</v>
      </c>
      <c r="F955" t="s">
        <v>4499</v>
      </c>
      <c r="G955" t="s">
        <v>105</v>
      </c>
      <c r="H955" t="s">
        <v>106</v>
      </c>
      <c r="I955" s="130">
        <v>45149</v>
      </c>
      <c r="J955" t="s">
        <v>3070</v>
      </c>
      <c r="K955">
        <v>5</v>
      </c>
      <c r="M9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55" t="str">
        <f>DO_DB[[#This Row],[Material Pick-update]]&amp;"_"&amp;DO_DB[[#This Row],[Material Name]]</f>
        <v>45149_Pole 7M 3"</v>
      </c>
      <c r="O955" t="str">
        <f>DO_DB[[#This Row],[SiteID]]</f>
        <v>CLR23-99-036</v>
      </c>
      <c r="P955" t="str">
        <f>DO_DB[[#This Row],[SiteID]]&amp;"_"&amp;DO_DB[[#This Row],[Material Name]]</f>
        <v>CLR23-99-036_Pole 7M 3"</v>
      </c>
      <c r="Q955" t="str">
        <f>DO_DB[[#This Row],[DO Number]]</f>
        <v>DOEID230809A8</v>
      </c>
      <c r="R955" t="str">
        <f>DO_DB[[#This Row],[DN Number]]</f>
        <v>DNWID0362023081011</v>
      </c>
    </row>
    <row r="956" spans="1:18">
      <c r="A956" t="s">
        <v>95</v>
      </c>
      <c r="B956" t="s">
        <v>96</v>
      </c>
      <c r="C956" s="172" t="s">
        <v>4482</v>
      </c>
      <c r="D956" t="s">
        <v>71</v>
      </c>
      <c r="E956" t="s">
        <v>92</v>
      </c>
      <c r="F956" t="s">
        <v>4499</v>
      </c>
      <c r="G956" t="s">
        <v>97</v>
      </c>
      <c r="H956" t="s">
        <v>98</v>
      </c>
      <c r="I956" s="130">
        <v>45149</v>
      </c>
      <c r="J956" t="s">
        <v>13</v>
      </c>
      <c r="K956">
        <v>12</v>
      </c>
      <c r="M9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56" t="str">
        <f>DO_DB[[#This Row],[Material Pick-update]]&amp;"_"&amp;DO_DB[[#This Row],[Material Name]]</f>
        <v>45149_FAT-16</v>
      </c>
      <c r="O956" t="str">
        <f>DO_DB[[#This Row],[SiteID]]</f>
        <v>CLR23-99-036</v>
      </c>
      <c r="P956" t="str">
        <f>DO_DB[[#This Row],[SiteID]]&amp;"_"&amp;DO_DB[[#This Row],[Material Name]]</f>
        <v>CLR23-99-036_FAT-16</v>
      </c>
      <c r="Q956" t="str">
        <f>DO_DB[[#This Row],[DO Number]]</f>
        <v>DOEID230809A9</v>
      </c>
      <c r="R956" t="str">
        <f>DO_DB[[#This Row],[DN Number]]</f>
        <v>DNWID0342023081004</v>
      </c>
    </row>
    <row r="957" spans="1:18">
      <c r="A957" t="s">
        <v>99</v>
      </c>
      <c r="B957" t="s">
        <v>100</v>
      </c>
      <c r="C957" s="172" t="s">
        <v>4482</v>
      </c>
      <c r="D957" t="s">
        <v>71</v>
      </c>
      <c r="E957" t="s">
        <v>92</v>
      </c>
      <c r="F957" t="s">
        <v>4499</v>
      </c>
      <c r="G957" t="s">
        <v>101</v>
      </c>
      <c r="H957" t="s">
        <v>102</v>
      </c>
      <c r="I957" s="130">
        <v>45149</v>
      </c>
      <c r="J957" t="s">
        <v>3073</v>
      </c>
      <c r="K957">
        <v>3000</v>
      </c>
      <c r="M9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24C-2023811-01</v>
      </c>
      <c r="N957" t="str">
        <f>DO_DB[[#This Row],[Material Pick-update]]&amp;"_"&amp;DO_DB[[#This Row],[Material Name]]</f>
        <v>45149_ADSS 24C</v>
      </c>
      <c r="O957" t="str">
        <f>DO_DB[[#This Row],[SiteID]]</f>
        <v>CLR23-99-034</v>
      </c>
      <c r="P957" t="str">
        <f>DO_DB[[#This Row],[SiteID]]&amp;"_"&amp;DO_DB[[#This Row],[Material Name]]</f>
        <v>CLR23-99-034_ADSS 24C</v>
      </c>
      <c r="Q957" t="str">
        <f>DO_DB[[#This Row],[DO Number]]</f>
        <v>DOEID230809A5</v>
      </c>
      <c r="R957" t="str">
        <f>DO_DB[[#This Row],[DN Number]]</f>
        <v>DNWID0342023081005</v>
      </c>
    </row>
    <row r="958" spans="1:18">
      <c r="A958" t="s">
        <v>99</v>
      </c>
      <c r="B958" t="s">
        <v>100</v>
      </c>
      <c r="C958" s="172" t="s">
        <v>4482</v>
      </c>
      <c r="D958" t="s">
        <v>71</v>
      </c>
      <c r="E958" t="s">
        <v>92</v>
      </c>
      <c r="F958" t="s">
        <v>4499</v>
      </c>
      <c r="G958" t="s">
        <v>101</v>
      </c>
      <c r="H958" t="s">
        <v>102</v>
      </c>
      <c r="I958" s="130">
        <v>45149</v>
      </c>
      <c r="J958" t="s">
        <v>3075</v>
      </c>
      <c r="K958">
        <v>3000</v>
      </c>
      <c r="M9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48C-2023811-01</v>
      </c>
      <c r="N958" t="str">
        <f>DO_DB[[#This Row],[Material Pick-update]]&amp;"_"&amp;DO_DB[[#This Row],[Material Name]]</f>
        <v>45149_ADSS 48C</v>
      </c>
      <c r="O958" t="str">
        <f>DO_DB[[#This Row],[SiteID]]</f>
        <v>CLR23-99-034</v>
      </c>
      <c r="P958" t="str">
        <f>DO_DB[[#This Row],[SiteID]]&amp;"_"&amp;DO_DB[[#This Row],[Material Name]]</f>
        <v>CLR23-99-034_ADSS 48C</v>
      </c>
      <c r="Q958" t="str">
        <f>DO_DB[[#This Row],[DO Number]]</f>
        <v>DOEID230809A5</v>
      </c>
      <c r="R958" t="str">
        <f>DO_DB[[#This Row],[DN Number]]</f>
        <v>DNWID0342023081005</v>
      </c>
    </row>
    <row r="959" spans="1:18">
      <c r="A959" t="s">
        <v>90</v>
      </c>
      <c r="B959" t="s">
        <v>91</v>
      </c>
      <c r="C959" s="172" t="s">
        <v>4482</v>
      </c>
      <c r="D959" t="s">
        <v>71</v>
      </c>
      <c r="E959" t="s">
        <v>92</v>
      </c>
      <c r="F959" t="s">
        <v>4499</v>
      </c>
      <c r="G959" t="s">
        <v>93</v>
      </c>
      <c r="H959" t="s">
        <v>94</v>
      </c>
      <c r="I959" s="130">
        <v>45149</v>
      </c>
      <c r="J959" t="s">
        <v>3075</v>
      </c>
      <c r="K959">
        <v>3000</v>
      </c>
      <c r="M9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48C-2023811-01</v>
      </c>
      <c r="N959" t="str">
        <f>DO_DB[[#This Row],[Material Pick-update]]&amp;"_"&amp;DO_DB[[#This Row],[Material Name]]</f>
        <v>45149_ADSS 48C</v>
      </c>
      <c r="O959" t="str">
        <f>DO_DB[[#This Row],[SiteID]]</f>
        <v>CLR23-99-035</v>
      </c>
      <c r="P959" t="str">
        <f>DO_DB[[#This Row],[SiteID]]&amp;"_"&amp;DO_DB[[#This Row],[Material Name]]</f>
        <v>CLR23-99-035_ADSS 48C</v>
      </c>
      <c r="Q959" t="str">
        <f>DO_DB[[#This Row],[DO Number]]</f>
        <v>DOEID230809A7</v>
      </c>
      <c r="R959" t="str">
        <f>DO_DB[[#This Row],[DN Number]]</f>
        <v>DNWID0342023081003</v>
      </c>
    </row>
    <row r="960" spans="1:18">
      <c r="A960" t="s">
        <v>95</v>
      </c>
      <c r="B960" t="s">
        <v>96</v>
      </c>
      <c r="C960" s="172" t="s">
        <v>4482</v>
      </c>
      <c r="D960" t="s">
        <v>71</v>
      </c>
      <c r="E960" t="s">
        <v>92</v>
      </c>
      <c r="F960" t="s">
        <v>4499</v>
      </c>
      <c r="G960" t="s">
        <v>97</v>
      </c>
      <c r="H960" t="s">
        <v>98</v>
      </c>
      <c r="I960" s="130">
        <v>45149</v>
      </c>
      <c r="J960" t="s">
        <v>3075</v>
      </c>
      <c r="K960">
        <v>3000</v>
      </c>
      <c r="M9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48C-2023811-01</v>
      </c>
      <c r="N960" t="str">
        <f>DO_DB[[#This Row],[Material Pick-update]]&amp;"_"&amp;DO_DB[[#This Row],[Material Name]]</f>
        <v>45149_ADSS 48C</v>
      </c>
      <c r="O960" t="str">
        <f>DO_DB[[#This Row],[SiteID]]</f>
        <v>CLR23-99-036</v>
      </c>
      <c r="P960" t="str">
        <f>DO_DB[[#This Row],[SiteID]]&amp;"_"&amp;DO_DB[[#This Row],[Material Name]]</f>
        <v>CLR23-99-036_ADSS 48C</v>
      </c>
      <c r="Q960" t="str">
        <f>DO_DB[[#This Row],[DO Number]]</f>
        <v>DOEID230809A9</v>
      </c>
      <c r="R960" t="str">
        <f>DO_DB[[#This Row],[DN Number]]</f>
        <v>DNWID0342023081004</v>
      </c>
    </row>
    <row r="961" spans="1:18">
      <c r="A961" t="s">
        <v>113</v>
      </c>
      <c r="B961" t="s">
        <v>114</v>
      </c>
      <c r="C961" s="172" t="s">
        <v>4482</v>
      </c>
      <c r="D961" t="s">
        <v>71</v>
      </c>
      <c r="E961" t="s">
        <v>92</v>
      </c>
      <c r="F961" t="s">
        <v>4499</v>
      </c>
      <c r="G961" t="s">
        <v>127</v>
      </c>
      <c r="H961" t="s">
        <v>128</v>
      </c>
      <c r="I961" s="130">
        <v>45153</v>
      </c>
      <c r="J961" t="s">
        <v>3069</v>
      </c>
      <c r="K961">
        <v>24</v>
      </c>
      <c r="M9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61" t="str">
        <f>DO_DB[[#This Row],[Material Pick-update]]&amp;"_"&amp;DO_DB[[#This Row],[Material Name]]</f>
        <v>45153_Pole 7M 4"</v>
      </c>
      <c r="O961" t="str">
        <f>DO_DB[[#This Row],[SiteID]]</f>
        <v>CLR23-99-038</v>
      </c>
      <c r="P961" t="str">
        <f>DO_DB[[#This Row],[SiteID]]&amp;"_"&amp;DO_DB[[#This Row],[Material Name]]</f>
        <v>CLR23-99-038_Pole 7M 4"</v>
      </c>
      <c r="Q961" t="str">
        <f>DO_DB[[#This Row],[DO Number]]</f>
        <v>DOEID23081462</v>
      </c>
      <c r="R961" t="str">
        <f>DO_DB[[#This Row],[DN Number]]</f>
        <v>DNWID0362023081409</v>
      </c>
    </row>
    <row r="962" spans="1:18">
      <c r="A962" t="s">
        <v>113</v>
      </c>
      <c r="B962" t="s">
        <v>114</v>
      </c>
      <c r="C962" s="172" t="s">
        <v>4482</v>
      </c>
      <c r="D962" t="s">
        <v>71</v>
      </c>
      <c r="E962" t="s">
        <v>92</v>
      </c>
      <c r="F962" t="s">
        <v>4499</v>
      </c>
      <c r="G962" t="s">
        <v>127</v>
      </c>
      <c r="H962" t="s">
        <v>128</v>
      </c>
      <c r="I962" s="130">
        <v>45153</v>
      </c>
      <c r="J962" t="s">
        <v>3070</v>
      </c>
      <c r="K962">
        <v>11</v>
      </c>
      <c r="M9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62" t="str">
        <f>DO_DB[[#This Row],[Material Pick-update]]&amp;"_"&amp;DO_DB[[#This Row],[Material Name]]</f>
        <v>45153_Pole 7M 3"</v>
      </c>
      <c r="O962" t="str">
        <f>DO_DB[[#This Row],[SiteID]]</f>
        <v>CLR23-99-038</v>
      </c>
      <c r="P962" t="str">
        <f>DO_DB[[#This Row],[SiteID]]&amp;"_"&amp;DO_DB[[#This Row],[Material Name]]</f>
        <v>CLR23-99-038_Pole 7M 3"</v>
      </c>
      <c r="Q962" t="str">
        <f>DO_DB[[#This Row],[DO Number]]</f>
        <v>DOEID23081462</v>
      </c>
      <c r="R962" t="str">
        <f>DO_DB[[#This Row],[DN Number]]</f>
        <v>DNWID0362023081409</v>
      </c>
    </row>
    <row r="963" spans="1:18">
      <c r="A963" t="s">
        <v>113</v>
      </c>
      <c r="B963" t="s">
        <v>114</v>
      </c>
      <c r="C963" s="172" t="s">
        <v>4482</v>
      </c>
      <c r="D963" t="s">
        <v>71</v>
      </c>
      <c r="E963" t="s">
        <v>92</v>
      </c>
      <c r="F963" t="s">
        <v>4499</v>
      </c>
      <c r="G963" t="s">
        <v>115</v>
      </c>
      <c r="H963" t="s">
        <v>116</v>
      </c>
      <c r="I963" s="130">
        <v>45153</v>
      </c>
      <c r="J963" t="s">
        <v>14</v>
      </c>
      <c r="K963">
        <v>1</v>
      </c>
      <c r="M9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63" t="str">
        <f>DO_DB[[#This Row],[Material Pick-update]]&amp;"_"&amp;DO_DB[[#This Row],[Material Name]]</f>
        <v>45153_FDT-48</v>
      </c>
      <c r="O963" t="str">
        <f>DO_DB[[#This Row],[SiteID]]</f>
        <v>CLR23-99-038</v>
      </c>
      <c r="P963" t="str">
        <f>DO_DB[[#This Row],[SiteID]]&amp;"_"&amp;DO_DB[[#This Row],[Material Name]]</f>
        <v>CLR23-99-038_FDT-48</v>
      </c>
      <c r="Q963" t="str">
        <f>DO_DB[[#This Row],[DO Number]]</f>
        <v>DOEID23081463</v>
      </c>
      <c r="R963" t="str">
        <f>DO_DB[[#This Row],[DN Number]]</f>
        <v>DNWID0342023081405</v>
      </c>
    </row>
    <row r="964" spans="1:18">
      <c r="A964" t="s">
        <v>113</v>
      </c>
      <c r="B964" t="s">
        <v>114</v>
      </c>
      <c r="C964" s="172" t="s">
        <v>4482</v>
      </c>
      <c r="D964" t="s">
        <v>71</v>
      </c>
      <c r="E964" t="s">
        <v>92</v>
      </c>
      <c r="F964" t="s">
        <v>4499</v>
      </c>
      <c r="G964" t="s">
        <v>115</v>
      </c>
      <c r="H964" t="s">
        <v>116</v>
      </c>
      <c r="I964" s="130">
        <v>45153</v>
      </c>
      <c r="J964" t="s">
        <v>13</v>
      </c>
      <c r="K964">
        <v>6</v>
      </c>
      <c r="M9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64" t="str">
        <f>DO_DB[[#This Row],[Material Pick-update]]&amp;"_"&amp;DO_DB[[#This Row],[Material Name]]</f>
        <v>45153_FAT-16</v>
      </c>
      <c r="O964" t="str">
        <f>DO_DB[[#This Row],[SiteID]]</f>
        <v>CLR23-99-038</v>
      </c>
      <c r="P964" t="str">
        <f>DO_DB[[#This Row],[SiteID]]&amp;"_"&amp;DO_DB[[#This Row],[Material Name]]</f>
        <v>CLR23-99-038_FAT-16</v>
      </c>
      <c r="Q964" t="str">
        <f>DO_DB[[#This Row],[DO Number]]</f>
        <v>DOEID23081463</v>
      </c>
      <c r="R964" t="str">
        <f>DO_DB[[#This Row],[DN Number]]</f>
        <v>DNWID0342023081405</v>
      </c>
    </row>
    <row r="965" spans="1:18">
      <c r="A965" t="s">
        <v>113</v>
      </c>
      <c r="B965" t="s">
        <v>114</v>
      </c>
      <c r="C965" s="172" t="s">
        <v>4482</v>
      </c>
      <c r="D965" t="s">
        <v>71</v>
      </c>
      <c r="E965" t="s">
        <v>92</v>
      </c>
      <c r="F965" t="s">
        <v>4499</v>
      </c>
      <c r="G965" t="s">
        <v>115</v>
      </c>
      <c r="H965" t="s">
        <v>116</v>
      </c>
      <c r="I965" s="130">
        <v>45153</v>
      </c>
      <c r="J965" t="s">
        <v>3080</v>
      </c>
      <c r="K965">
        <v>3</v>
      </c>
      <c r="M9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65" t="str">
        <f>DO_DB[[#This Row],[Material Pick-update]]&amp;"_"&amp;DO_DB[[#This Row],[Material Name]]</f>
        <v>45153_1:8 SPL for FDT-AE &amp; UG</v>
      </c>
      <c r="O965" t="str">
        <f>DO_DB[[#This Row],[SiteID]]</f>
        <v>CLR23-99-038</v>
      </c>
      <c r="P965" t="str">
        <f>DO_DB[[#This Row],[SiteID]]&amp;"_"&amp;DO_DB[[#This Row],[Material Name]]</f>
        <v>CLR23-99-038_1:8 SPL for FDT-AE &amp; UG</v>
      </c>
      <c r="Q965" t="str">
        <f>DO_DB[[#This Row],[DO Number]]</f>
        <v>DOEID23081463</v>
      </c>
      <c r="R965" t="str">
        <f>DO_DB[[#This Row],[DN Number]]</f>
        <v>DNWID0342023081405</v>
      </c>
    </row>
    <row r="966" spans="1:18">
      <c r="A966" t="s">
        <v>117</v>
      </c>
      <c r="B966" t="s">
        <v>118</v>
      </c>
      <c r="C966" s="172" t="s">
        <v>4482</v>
      </c>
      <c r="D966" t="s">
        <v>71</v>
      </c>
      <c r="E966" t="s">
        <v>92</v>
      </c>
      <c r="F966" t="s">
        <v>4499</v>
      </c>
      <c r="G966" t="s">
        <v>129</v>
      </c>
      <c r="H966" t="s">
        <v>130</v>
      </c>
      <c r="I966" s="130">
        <v>45153</v>
      </c>
      <c r="J966" t="s">
        <v>3069</v>
      </c>
      <c r="K966">
        <v>12</v>
      </c>
      <c r="M9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66" t="str">
        <f>DO_DB[[#This Row],[Material Pick-update]]&amp;"_"&amp;DO_DB[[#This Row],[Material Name]]</f>
        <v>45153_Pole 7M 4"</v>
      </c>
      <c r="O966" t="str">
        <f>DO_DB[[#This Row],[SiteID]]</f>
        <v>CLR23-99-040</v>
      </c>
      <c r="P966" t="str">
        <f>DO_DB[[#This Row],[SiteID]]&amp;"_"&amp;DO_DB[[#This Row],[Material Name]]</f>
        <v>CLR23-99-040_Pole 7M 4"</v>
      </c>
      <c r="Q966" t="str">
        <f>DO_DB[[#This Row],[DO Number]]</f>
        <v>DOEID23081465</v>
      </c>
      <c r="R966" t="str">
        <f>DO_DB[[#This Row],[DN Number]]</f>
        <v>DNWID0362023081410</v>
      </c>
    </row>
    <row r="967" spans="1:18">
      <c r="A967" t="s">
        <v>117</v>
      </c>
      <c r="B967" t="s">
        <v>118</v>
      </c>
      <c r="C967" s="172" t="s">
        <v>4482</v>
      </c>
      <c r="D967" t="s">
        <v>71</v>
      </c>
      <c r="E967" t="s">
        <v>92</v>
      </c>
      <c r="F967" t="s">
        <v>4499</v>
      </c>
      <c r="G967" t="s">
        <v>129</v>
      </c>
      <c r="H967" t="s">
        <v>130</v>
      </c>
      <c r="I967" s="130">
        <v>45153</v>
      </c>
      <c r="J967" t="s">
        <v>3070</v>
      </c>
      <c r="K967">
        <v>6</v>
      </c>
      <c r="M9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67" t="str">
        <f>DO_DB[[#This Row],[Material Pick-update]]&amp;"_"&amp;DO_DB[[#This Row],[Material Name]]</f>
        <v>45153_Pole 7M 3"</v>
      </c>
      <c r="O967" t="str">
        <f>DO_DB[[#This Row],[SiteID]]</f>
        <v>CLR23-99-040</v>
      </c>
      <c r="P967" t="str">
        <f>DO_DB[[#This Row],[SiteID]]&amp;"_"&amp;DO_DB[[#This Row],[Material Name]]</f>
        <v>CLR23-99-040_Pole 7M 3"</v>
      </c>
      <c r="Q967" t="str">
        <f>DO_DB[[#This Row],[DO Number]]</f>
        <v>DOEID23081465</v>
      </c>
      <c r="R967" t="str">
        <f>DO_DB[[#This Row],[DN Number]]</f>
        <v>DNWID0362023081410</v>
      </c>
    </row>
    <row r="968" spans="1:18">
      <c r="A968" t="s">
        <v>117</v>
      </c>
      <c r="B968" t="s">
        <v>118</v>
      </c>
      <c r="C968" s="172" t="s">
        <v>4482</v>
      </c>
      <c r="D968" t="s">
        <v>71</v>
      </c>
      <c r="E968" t="s">
        <v>92</v>
      </c>
      <c r="F968" t="s">
        <v>4499</v>
      </c>
      <c r="G968" t="s">
        <v>119</v>
      </c>
      <c r="H968" t="s">
        <v>120</v>
      </c>
      <c r="I968" s="130">
        <v>45153</v>
      </c>
      <c r="J968" t="s">
        <v>14</v>
      </c>
      <c r="K968">
        <v>1</v>
      </c>
      <c r="M9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68" t="str">
        <f>DO_DB[[#This Row],[Material Pick-update]]&amp;"_"&amp;DO_DB[[#This Row],[Material Name]]</f>
        <v>45153_FDT-48</v>
      </c>
      <c r="O968" t="str">
        <f>DO_DB[[#This Row],[SiteID]]</f>
        <v>CLR23-99-040</v>
      </c>
      <c r="P968" t="str">
        <f>DO_DB[[#This Row],[SiteID]]&amp;"_"&amp;DO_DB[[#This Row],[Material Name]]</f>
        <v>CLR23-99-040_FDT-48</v>
      </c>
      <c r="Q968" t="str">
        <f>DO_DB[[#This Row],[DO Number]]</f>
        <v>DOEID23081466</v>
      </c>
      <c r="R968" t="str">
        <f>DO_DB[[#This Row],[DN Number]]</f>
        <v>DNWID0342023081406</v>
      </c>
    </row>
    <row r="969" spans="1:18">
      <c r="A969" t="s">
        <v>117</v>
      </c>
      <c r="B969" t="s">
        <v>118</v>
      </c>
      <c r="C969" s="172" t="s">
        <v>4482</v>
      </c>
      <c r="D969" t="s">
        <v>71</v>
      </c>
      <c r="E969" t="s">
        <v>92</v>
      </c>
      <c r="F969" t="s">
        <v>4499</v>
      </c>
      <c r="G969" t="s">
        <v>119</v>
      </c>
      <c r="H969" t="s">
        <v>120</v>
      </c>
      <c r="I969" s="130">
        <v>45153</v>
      </c>
      <c r="J969" t="s">
        <v>13</v>
      </c>
      <c r="K969">
        <v>6</v>
      </c>
      <c r="M9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69" t="str">
        <f>DO_DB[[#This Row],[Material Pick-update]]&amp;"_"&amp;DO_DB[[#This Row],[Material Name]]</f>
        <v>45153_FAT-16</v>
      </c>
      <c r="O969" t="str">
        <f>DO_DB[[#This Row],[SiteID]]</f>
        <v>CLR23-99-040</v>
      </c>
      <c r="P969" t="str">
        <f>DO_DB[[#This Row],[SiteID]]&amp;"_"&amp;DO_DB[[#This Row],[Material Name]]</f>
        <v>CLR23-99-040_FAT-16</v>
      </c>
      <c r="Q969" t="str">
        <f>DO_DB[[#This Row],[DO Number]]</f>
        <v>DOEID23081466</v>
      </c>
      <c r="R969" t="str">
        <f>DO_DB[[#This Row],[DN Number]]</f>
        <v>DNWID0342023081406</v>
      </c>
    </row>
    <row r="970" spans="1:18">
      <c r="A970" t="s">
        <v>117</v>
      </c>
      <c r="B970" t="s">
        <v>118</v>
      </c>
      <c r="C970" s="172" t="s">
        <v>4482</v>
      </c>
      <c r="D970" t="s">
        <v>71</v>
      </c>
      <c r="E970" t="s">
        <v>92</v>
      </c>
      <c r="F970" t="s">
        <v>4499</v>
      </c>
      <c r="G970" t="s">
        <v>119</v>
      </c>
      <c r="H970" t="s">
        <v>120</v>
      </c>
      <c r="I970" s="130">
        <v>45153</v>
      </c>
      <c r="J970" t="s">
        <v>3080</v>
      </c>
      <c r="K970">
        <v>3</v>
      </c>
      <c r="M9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70" t="str">
        <f>DO_DB[[#This Row],[Material Pick-update]]&amp;"_"&amp;DO_DB[[#This Row],[Material Name]]</f>
        <v>45153_1:8 SPL for FDT-AE &amp; UG</v>
      </c>
      <c r="O970" t="str">
        <f>DO_DB[[#This Row],[SiteID]]</f>
        <v>CLR23-99-040</v>
      </c>
      <c r="P970" t="str">
        <f>DO_DB[[#This Row],[SiteID]]&amp;"_"&amp;DO_DB[[#This Row],[Material Name]]</f>
        <v>CLR23-99-040_1:8 SPL for FDT-AE &amp; UG</v>
      </c>
      <c r="Q970" t="str">
        <f>DO_DB[[#This Row],[DO Number]]</f>
        <v>DOEID23081466</v>
      </c>
      <c r="R970" t="str">
        <f>DO_DB[[#This Row],[DN Number]]</f>
        <v>DNWID0342023081406</v>
      </c>
    </row>
    <row r="971" spans="1:18">
      <c r="A971" t="s">
        <v>109</v>
      </c>
      <c r="B971" t="s">
        <v>110</v>
      </c>
      <c r="C971" s="172" t="s">
        <v>4482</v>
      </c>
      <c r="D971" t="s">
        <v>71</v>
      </c>
      <c r="E971" t="s">
        <v>92</v>
      </c>
      <c r="F971" t="s">
        <v>4499</v>
      </c>
      <c r="G971" t="s">
        <v>125</v>
      </c>
      <c r="H971" t="s">
        <v>126</v>
      </c>
      <c r="I971" s="130">
        <v>45153</v>
      </c>
      <c r="J971" t="s">
        <v>3069</v>
      </c>
      <c r="K971">
        <v>51</v>
      </c>
      <c r="M9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71" t="str">
        <f>DO_DB[[#This Row],[Material Pick-update]]&amp;"_"&amp;DO_DB[[#This Row],[Material Name]]</f>
        <v>45153_Pole 7M 4"</v>
      </c>
      <c r="O971" t="str">
        <f>DO_DB[[#This Row],[SiteID]]</f>
        <v>CLR23-01-059</v>
      </c>
      <c r="P971" t="str">
        <f>DO_DB[[#This Row],[SiteID]]&amp;"_"&amp;DO_DB[[#This Row],[Material Name]]</f>
        <v>CLR23-01-059_Pole 7M 4"</v>
      </c>
      <c r="Q971" t="str">
        <f>DO_DB[[#This Row],[DO Number]]</f>
        <v>DOEID23081467</v>
      </c>
      <c r="R971" t="str">
        <f>DO_DB[[#This Row],[DN Number]]</f>
        <v>DNWID0362023081408</v>
      </c>
    </row>
    <row r="972" spans="1:18">
      <c r="A972" t="s">
        <v>109</v>
      </c>
      <c r="B972" t="s">
        <v>110</v>
      </c>
      <c r="C972" s="172" t="s">
        <v>4482</v>
      </c>
      <c r="D972" t="s">
        <v>71</v>
      </c>
      <c r="E972" t="s">
        <v>92</v>
      </c>
      <c r="F972" t="s">
        <v>4499</v>
      </c>
      <c r="G972" t="s">
        <v>125</v>
      </c>
      <c r="H972" t="s">
        <v>126</v>
      </c>
      <c r="I972" s="130">
        <v>45153</v>
      </c>
      <c r="J972" t="s">
        <v>3070</v>
      </c>
      <c r="K972">
        <v>2</v>
      </c>
      <c r="M9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72" t="str">
        <f>DO_DB[[#This Row],[Material Pick-update]]&amp;"_"&amp;DO_DB[[#This Row],[Material Name]]</f>
        <v>45153_Pole 7M 3"</v>
      </c>
      <c r="O972" t="str">
        <f>DO_DB[[#This Row],[SiteID]]</f>
        <v>CLR23-01-059</v>
      </c>
      <c r="P972" t="str">
        <f>DO_DB[[#This Row],[SiteID]]&amp;"_"&amp;DO_DB[[#This Row],[Material Name]]</f>
        <v>CLR23-01-059_Pole 7M 3"</v>
      </c>
      <c r="Q972" t="str">
        <f>DO_DB[[#This Row],[DO Number]]</f>
        <v>DOEID23081467</v>
      </c>
      <c r="R972" t="str">
        <f>DO_DB[[#This Row],[DN Number]]</f>
        <v>DNWID0362023081408</v>
      </c>
    </row>
    <row r="973" spans="1:18">
      <c r="A973" t="s">
        <v>109</v>
      </c>
      <c r="B973" t="s">
        <v>110</v>
      </c>
      <c r="C973" s="172" t="s">
        <v>4482</v>
      </c>
      <c r="D973" t="s">
        <v>71</v>
      </c>
      <c r="E973" t="s">
        <v>92</v>
      </c>
      <c r="F973" t="s">
        <v>4499</v>
      </c>
      <c r="G973" t="s">
        <v>125</v>
      </c>
      <c r="H973" t="s">
        <v>126</v>
      </c>
      <c r="I973" s="130">
        <v>45153</v>
      </c>
      <c r="J973" t="s">
        <v>4856</v>
      </c>
      <c r="K973">
        <v>1</v>
      </c>
      <c r="M9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73" t="str">
        <f>DO_DB[[#This Row],[Material Pick-update]]&amp;"_"&amp;DO_DB[[#This Row],[Material Name]]</f>
        <v>45153_JC 144Core</v>
      </c>
      <c r="O973" t="str">
        <f>DO_DB[[#This Row],[SiteID]]</f>
        <v>CLR23-01-059</v>
      </c>
      <c r="P973" t="str">
        <f>DO_DB[[#This Row],[SiteID]]&amp;"_"&amp;DO_DB[[#This Row],[Material Name]]</f>
        <v>CLR23-01-059_JC 144Core</v>
      </c>
      <c r="Q973" t="str">
        <f>DO_DB[[#This Row],[DO Number]]</f>
        <v>DOEID23081467</v>
      </c>
      <c r="R973" t="str">
        <f>DO_DB[[#This Row],[DN Number]]</f>
        <v>DNWID0362023081408</v>
      </c>
    </row>
    <row r="974" spans="1:18">
      <c r="A974" t="s">
        <v>109</v>
      </c>
      <c r="B974" t="s">
        <v>110</v>
      </c>
      <c r="C974" s="172" t="s">
        <v>4482</v>
      </c>
      <c r="D974" t="s">
        <v>71</v>
      </c>
      <c r="E974" t="s">
        <v>92</v>
      </c>
      <c r="F974" t="s">
        <v>4499</v>
      </c>
      <c r="G974" t="s">
        <v>111</v>
      </c>
      <c r="H974" t="s">
        <v>112</v>
      </c>
      <c r="I974" s="130">
        <v>45153</v>
      </c>
      <c r="J974" t="s">
        <v>14</v>
      </c>
      <c r="K974">
        <v>1</v>
      </c>
      <c r="M9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74" t="str">
        <f>DO_DB[[#This Row],[Material Pick-update]]&amp;"_"&amp;DO_DB[[#This Row],[Material Name]]</f>
        <v>45153_FDT-48</v>
      </c>
      <c r="O974" t="str">
        <f>DO_DB[[#This Row],[SiteID]]</f>
        <v>CLR23-01-059</v>
      </c>
      <c r="P974" t="str">
        <f>DO_DB[[#This Row],[SiteID]]&amp;"_"&amp;DO_DB[[#This Row],[Material Name]]</f>
        <v>CLR23-01-059_FDT-48</v>
      </c>
      <c r="Q974" t="str">
        <f>DO_DB[[#This Row],[DO Number]]</f>
        <v>DOEID23081468</v>
      </c>
      <c r="R974" t="str">
        <f>DO_DB[[#This Row],[DN Number]]</f>
        <v>DNWID0342023081404</v>
      </c>
    </row>
    <row r="975" spans="1:18">
      <c r="A975" t="s">
        <v>109</v>
      </c>
      <c r="B975" t="s">
        <v>110</v>
      </c>
      <c r="C975" s="172" t="s">
        <v>4482</v>
      </c>
      <c r="D975" t="s">
        <v>71</v>
      </c>
      <c r="E975" t="s">
        <v>92</v>
      </c>
      <c r="F975" t="s">
        <v>4499</v>
      </c>
      <c r="G975" t="s">
        <v>111</v>
      </c>
      <c r="H975" t="s">
        <v>112</v>
      </c>
      <c r="I975" s="130">
        <v>45153</v>
      </c>
      <c r="J975" t="s">
        <v>13</v>
      </c>
      <c r="K975">
        <v>10</v>
      </c>
      <c r="M9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75" t="str">
        <f>DO_DB[[#This Row],[Material Pick-update]]&amp;"_"&amp;DO_DB[[#This Row],[Material Name]]</f>
        <v>45153_FAT-16</v>
      </c>
      <c r="O975" t="str">
        <f>DO_DB[[#This Row],[SiteID]]</f>
        <v>CLR23-01-059</v>
      </c>
      <c r="P975" t="str">
        <f>DO_DB[[#This Row],[SiteID]]&amp;"_"&amp;DO_DB[[#This Row],[Material Name]]</f>
        <v>CLR23-01-059_FAT-16</v>
      </c>
      <c r="Q975" t="str">
        <f>DO_DB[[#This Row],[DO Number]]</f>
        <v>DOEID23081468</v>
      </c>
      <c r="R975" t="str">
        <f>DO_DB[[#This Row],[DN Number]]</f>
        <v>DNWID0342023081404</v>
      </c>
    </row>
    <row r="976" spans="1:18">
      <c r="A976" t="s">
        <v>109</v>
      </c>
      <c r="B976" t="s">
        <v>110</v>
      </c>
      <c r="C976" s="172" t="s">
        <v>4482</v>
      </c>
      <c r="D976" t="s">
        <v>71</v>
      </c>
      <c r="E976" t="s">
        <v>92</v>
      </c>
      <c r="F976" t="s">
        <v>4499</v>
      </c>
      <c r="G976" t="s">
        <v>111</v>
      </c>
      <c r="H976" t="s">
        <v>112</v>
      </c>
      <c r="I976" s="130">
        <v>45153</v>
      </c>
      <c r="J976" t="s">
        <v>3080</v>
      </c>
      <c r="K976">
        <v>3</v>
      </c>
      <c r="M9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76" t="str">
        <f>DO_DB[[#This Row],[Material Pick-update]]&amp;"_"&amp;DO_DB[[#This Row],[Material Name]]</f>
        <v>45153_1:8 SPL for FDT-AE &amp; UG</v>
      </c>
      <c r="O976" t="str">
        <f>DO_DB[[#This Row],[SiteID]]</f>
        <v>CLR23-01-059</v>
      </c>
      <c r="P976" t="str">
        <f>DO_DB[[#This Row],[SiteID]]&amp;"_"&amp;DO_DB[[#This Row],[Material Name]]</f>
        <v>CLR23-01-059_1:8 SPL for FDT-AE &amp; UG</v>
      </c>
      <c r="Q976" t="str">
        <f>DO_DB[[#This Row],[DO Number]]</f>
        <v>DOEID23081468</v>
      </c>
      <c r="R976" t="str">
        <f>DO_DB[[#This Row],[DN Number]]</f>
        <v>DNWID0342023081404</v>
      </c>
    </row>
    <row r="977" spans="1:18">
      <c r="A977" t="s">
        <v>121</v>
      </c>
      <c r="B977" t="s">
        <v>122</v>
      </c>
      <c r="C977" s="172" t="s">
        <v>4482</v>
      </c>
      <c r="D977" t="s">
        <v>71</v>
      </c>
      <c r="E977" t="s">
        <v>92</v>
      </c>
      <c r="F977" t="s">
        <v>4499</v>
      </c>
      <c r="G977" t="s">
        <v>131</v>
      </c>
      <c r="H977" t="s">
        <v>132</v>
      </c>
      <c r="I977" s="130">
        <v>45153</v>
      </c>
      <c r="J977" t="s">
        <v>3069</v>
      </c>
      <c r="K977">
        <v>57</v>
      </c>
      <c r="M9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77" t="str">
        <f>DO_DB[[#This Row],[Material Pick-update]]&amp;"_"&amp;DO_DB[[#This Row],[Material Name]]</f>
        <v>45153_Pole 7M 4"</v>
      </c>
      <c r="O977" t="str">
        <f>DO_DB[[#This Row],[SiteID]]</f>
        <v>CLR23-99-037</v>
      </c>
      <c r="P977" t="str">
        <f>DO_DB[[#This Row],[SiteID]]&amp;"_"&amp;DO_DB[[#This Row],[Material Name]]</f>
        <v>CLR23-99-037_Pole 7M 4"</v>
      </c>
      <c r="Q977" t="str">
        <f>DO_DB[[#This Row],[DO Number]]</f>
        <v>DOEID23081469</v>
      </c>
      <c r="R977" t="str">
        <f>DO_DB[[#This Row],[DN Number]]</f>
        <v>DNWID0362023081411</v>
      </c>
    </row>
    <row r="978" spans="1:18">
      <c r="A978" t="s">
        <v>121</v>
      </c>
      <c r="B978" t="s">
        <v>122</v>
      </c>
      <c r="C978" s="172" t="s">
        <v>4482</v>
      </c>
      <c r="D978" t="s">
        <v>71</v>
      </c>
      <c r="E978" t="s">
        <v>92</v>
      </c>
      <c r="F978" t="s">
        <v>4499</v>
      </c>
      <c r="G978" t="s">
        <v>131</v>
      </c>
      <c r="H978" t="s">
        <v>132</v>
      </c>
      <c r="I978" s="130">
        <v>45153</v>
      </c>
      <c r="J978" t="s">
        <v>3070</v>
      </c>
      <c r="K978">
        <v>2</v>
      </c>
      <c r="M9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78" t="str">
        <f>DO_DB[[#This Row],[Material Pick-update]]&amp;"_"&amp;DO_DB[[#This Row],[Material Name]]</f>
        <v>45153_Pole 7M 3"</v>
      </c>
      <c r="O978" t="str">
        <f>DO_DB[[#This Row],[SiteID]]</f>
        <v>CLR23-99-037</v>
      </c>
      <c r="P978" t="str">
        <f>DO_DB[[#This Row],[SiteID]]&amp;"_"&amp;DO_DB[[#This Row],[Material Name]]</f>
        <v>CLR23-99-037_Pole 7M 3"</v>
      </c>
      <c r="Q978" t="str">
        <f>DO_DB[[#This Row],[DO Number]]</f>
        <v>DOEID23081469</v>
      </c>
      <c r="R978" t="str">
        <f>DO_DB[[#This Row],[DN Number]]</f>
        <v>DNWID0362023081411</v>
      </c>
    </row>
    <row r="979" spans="1:18">
      <c r="A979" t="s">
        <v>121</v>
      </c>
      <c r="B979" t="s">
        <v>122</v>
      </c>
      <c r="C979" s="172" t="s">
        <v>4482</v>
      </c>
      <c r="D979" t="s">
        <v>71</v>
      </c>
      <c r="E979" t="s">
        <v>92</v>
      </c>
      <c r="F979" t="s">
        <v>4499</v>
      </c>
      <c r="G979" t="s">
        <v>131</v>
      </c>
      <c r="H979" t="s">
        <v>132</v>
      </c>
      <c r="I979" s="130">
        <v>45153</v>
      </c>
      <c r="J979" t="s">
        <v>4856</v>
      </c>
      <c r="K979">
        <v>1</v>
      </c>
      <c r="M9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79" t="str">
        <f>DO_DB[[#This Row],[Material Pick-update]]&amp;"_"&amp;DO_DB[[#This Row],[Material Name]]</f>
        <v>45153_JC 144Core</v>
      </c>
      <c r="O979" t="str">
        <f>DO_DB[[#This Row],[SiteID]]</f>
        <v>CLR23-99-037</v>
      </c>
      <c r="P979" t="str">
        <f>DO_DB[[#This Row],[SiteID]]&amp;"_"&amp;DO_DB[[#This Row],[Material Name]]</f>
        <v>CLR23-99-037_JC 144Core</v>
      </c>
      <c r="Q979" t="str">
        <f>DO_DB[[#This Row],[DO Number]]</f>
        <v>DOEID23081469</v>
      </c>
      <c r="R979" t="str">
        <f>DO_DB[[#This Row],[DN Number]]</f>
        <v>DNWID0362023081411</v>
      </c>
    </row>
    <row r="980" spans="1:18">
      <c r="A980" t="s">
        <v>121</v>
      </c>
      <c r="B980" t="s">
        <v>122</v>
      </c>
      <c r="C980" s="172" t="s">
        <v>4482</v>
      </c>
      <c r="D980" t="s">
        <v>71</v>
      </c>
      <c r="E980" t="s">
        <v>92</v>
      </c>
      <c r="F980" t="s">
        <v>4499</v>
      </c>
      <c r="G980" t="s">
        <v>123</v>
      </c>
      <c r="H980" t="s">
        <v>124</v>
      </c>
      <c r="I980" s="130">
        <v>45153</v>
      </c>
      <c r="J980" t="s">
        <v>14</v>
      </c>
      <c r="K980">
        <v>1</v>
      </c>
      <c r="M9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80" t="str">
        <f>DO_DB[[#This Row],[Material Pick-update]]&amp;"_"&amp;DO_DB[[#This Row],[Material Name]]</f>
        <v>45153_FDT-48</v>
      </c>
      <c r="O980" t="str">
        <f>DO_DB[[#This Row],[SiteID]]</f>
        <v>CLR23-99-037</v>
      </c>
      <c r="P980" t="str">
        <f>DO_DB[[#This Row],[SiteID]]&amp;"_"&amp;DO_DB[[#This Row],[Material Name]]</f>
        <v>CLR23-99-037_FDT-48</v>
      </c>
      <c r="Q980" t="str">
        <f>DO_DB[[#This Row],[DO Number]]</f>
        <v>DOEID23081470</v>
      </c>
      <c r="R980" t="str">
        <f>DO_DB[[#This Row],[DN Number]]</f>
        <v>DNWID0342023081407</v>
      </c>
    </row>
    <row r="981" spans="1:18">
      <c r="A981" t="s">
        <v>121</v>
      </c>
      <c r="B981" t="s">
        <v>122</v>
      </c>
      <c r="C981" s="172" t="s">
        <v>4482</v>
      </c>
      <c r="D981" t="s">
        <v>71</v>
      </c>
      <c r="E981" t="s">
        <v>92</v>
      </c>
      <c r="F981" t="s">
        <v>4499</v>
      </c>
      <c r="G981" t="s">
        <v>123</v>
      </c>
      <c r="H981" t="s">
        <v>124</v>
      </c>
      <c r="I981" s="130">
        <v>45153</v>
      </c>
      <c r="J981" t="s">
        <v>13</v>
      </c>
      <c r="K981">
        <v>14</v>
      </c>
      <c r="M9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81" t="str">
        <f>DO_DB[[#This Row],[Material Pick-update]]&amp;"_"&amp;DO_DB[[#This Row],[Material Name]]</f>
        <v>45153_FAT-16</v>
      </c>
      <c r="O981" t="str">
        <f>DO_DB[[#This Row],[SiteID]]</f>
        <v>CLR23-99-037</v>
      </c>
      <c r="P981" t="str">
        <f>DO_DB[[#This Row],[SiteID]]&amp;"_"&amp;DO_DB[[#This Row],[Material Name]]</f>
        <v>CLR23-99-037_FAT-16</v>
      </c>
      <c r="Q981" t="str">
        <f>DO_DB[[#This Row],[DO Number]]</f>
        <v>DOEID23081470</v>
      </c>
      <c r="R981" t="str">
        <f>DO_DB[[#This Row],[DN Number]]</f>
        <v>DNWID0342023081407</v>
      </c>
    </row>
    <row r="982" spans="1:18">
      <c r="A982" t="s">
        <v>121</v>
      </c>
      <c r="B982" t="s">
        <v>122</v>
      </c>
      <c r="C982" s="172" t="s">
        <v>4482</v>
      </c>
      <c r="D982" t="s">
        <v>71</v>
      </c>
      <c r="E982" t="s">
        <v>92</v>
      </c>
      <c r="F982" t="s">
        <v>4499</v>
      </c>
      <c r="G982" t="s">
        <v>123</v>
      </c>
      <c r="H982" t="s">
        <v>124</v>
      </c>
      <c r="I982" s="130">
        <v>45153</v>
      </c>
      <c r="J982" t="s">
        <v>3080</v>
      </c>
      <c r="K982">
        <v>3</v>
      </c>
      <c r="M9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82" t="str">
        <f>DO_DB[[#This Row],[Material Pick-update]]&amp;"_"&amp;DO_DB[[#This Row],[Material Name]]</f>
        <v>45153_1:8 SPL for FDT-AE &amp; UG</v>
      </c>
      <c r="O982" t="str">
        <f>DO_DB[[#This Row],[SiteID]]</f>
        <v>CLR23-99-037</v>
      </c>
      <c r="P982" t="str">
        <f>DO_DB[[#This Row],[SiteID]]&amp;"_"&amp;DO_DB[[#This Row],[Material Name]]</f>
        <v>CLR23-99-037_1:8 SPL for FDT-AE &amp; UG</v>
      </c>
      <c r="Q982" t="str">
        <f>DO_DB[[#This Row],[DO Number]]</f>
        <v>DOEID23081470</v>
      </c>
      <c r="R982" t="str">
        <f>DO_DB[[#This Row],[DN Number]]</f>
        <v>DNWID0342023081407</v>
      </c>
    </row>
    <row r="983" spans="1:18">
      <c r="A983" t="s">
        <v>109</v>
      </c>
      <c r="B983" t="s">
        <v>110</v>
      </c>
      <c r="C983" s="172" t="s">
        <v>4482</v>
      </c>
      <c r="D983" t="s">
        <v>71</v>
      </c>
      <c r="E983" t="s">
        <v>92</v>
      </c>
      <c r="F983" t="s">
        <v>4499</v>
      </c>
      <c r="G983" t="s">
        <v>111</v>
      </c>
      <c r="H983" t="s">
        <v>112</v>
      </c>
      <c r="I983" s="130">
        <v>45153</v>
      </c>
      <c r="J983" t="s">
        <v>3073</v>
      </c>
      <c r="K983">
        <v>3000</v>
      </c>
      <c r="M9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24C-2023815-01</v>
      </c>
      <c r="N983" t="str">
        <f>DO_DB[[#This Row],[Material Pick-update]]&amp;"_"&amp;DO_DB[[#This Row],[Material Name]]</f>
        <v>45153_ADSS 24C</v>
      </c>
      <c r="O983" t="str">
        <f>DO_DB[[#This Row],[SiteID]]</f>
        <v>CLR23-01-059</v>
      </c>
      <c r="P983" t="str">
        <f>DO_DB[[#This Row],[SiteID]]&amp;"_"&amp;DO_DB[[#This Row],[Material Name]]</f>
        <v>CLR23-01-059_ADSS 24C</v>
      </c>
      <c r="Q983" t="str">
        <f>DO_DB[[#This Row],[DO Number]]</f>
        <v>DOEID23081468</v>
      </c>
      <c r="R983" t="str">
        <f>DO_DB[[#This Row],[DN Number]]</f>
        <v>DNWID0342023081404</v>
      </c>
    </row>
    <row r="984" spans="1:18">
      <c r="A984" t="s">
        <v>109</v>
      </c>
      <c r="B984" t="s">
        <v>110</v>
      </c>
      <c r="C984" s="172" t="s">
        <v>4482</v>
      </c>
      <c r="D984" t="s">
        <v>71</v>
      </c>
      <c r="E984" t="s">
        <v>92</v>
      </c>
      <c r="F984" t="s">
        <v>4499</v>
      </c>
      <c r="G984" t="s">
        <v>111</v>
      </c>
      <c r="H984" t="s">
        <v>112</v>
      </c>
      <c r="I984" s="130">
        <v>45153</v>
      </c>
      <c r="J984" t="s">
        <v>3075</v>
      </c>
      <c r="K984">
        <v>3000</v>
      </c>
      <c r="M9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48C-2023815-01</v>
      </c>
      <c r="N984" t="str">
        <f>DO_DB[[#This Row],[Material Pick-update]]&amp;"_"&amp;DO_DB[[#This Row],[Material Name]]</f>
        <v>45153_ADSS 48C</v>
      </c>
      <c r="O984" t="str">
        <f>DO_DB[[#This Row],[SiteID]]</f>
        <v>CLR23-01-059</v>
      </c>
      <c r="P984" t="str">
        <f>DO_DB[[#This Row],[SiteID]]&amp;"_"&amp;DO_DB[[#This Row],[Material Name]]</f>
        <v>CLR23-01-059_ADSS 48C</v>
      </c>
      <c r="Q984" t="str">
        <f>DO_DB[[#This Row],[DO Number]]</f>
        <v>DOEID23081468</v>
      </c>
      <c r="R984" t="str">
        <f>DO_DB[[#This Row],[DN Number]]</f>
        <v>DNWID0342023081404</v>
      </c>
    </row>
    <row r="985" spans="1:18">
      <c r="A985" t="s">
        <v>99</v>
      </c>
      <c r="B985" t="s">
        <v>100</v>
      </c>
      <c r="C985" s="172" t="s">
        <v>4482</v>
      </c>
      <c r="D985" t="s">
        <v>71</v>
      </c>
      <c r="E985" t="s">
        <v>92</v>
      </c>
      <c r="F985" t="s">
        <v>4499</v>
      </c>
      <c r="G985" t="s">
        <v>146</v>
      </c>
      <c r="H985" t="s">
        <v>147</v>
      </c>
      <c r="I985" s="130">
        <v>45170</v>
      </c>
      <c r="J985" t="s">
        <v>3069</v>
      </c>
      <c r="K985">
        <v>10</v>
      </c>
      <c r="M9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85" t="str">
        <f>DO_DB[[#This Row],[Material Pick-update]]&amp;"_"&amp;DO_DB[[#This Row],[Material Name]]</f>
        <v>45170_Pole 7M 4"</v>
      </c>
      <c r="O985" t="str">
        <f>DO_DB[[#This Row],[SiteID]]</f>
        <v>CLR23-99-034</v>
      </c>
      <c r="P985" t="str">
        <f>DO_DB[[#This Row],[SiteID]]&amp;"_"&amp;DO_DB[[#This Row],[Material Name]]</f>
        <v>CLR23-99-034_Pole 7M 4"</v>
      </c>
      <c r="Q985" t="str">
        <f>DO_DB[[#This Row],[DO Number]]</f>
        <v>DOEID23082837</v>
      </c>
      <c r="R985" t="str">
        <f>DO_DB[[#This Row],[DN Number]]</f>
        <v>DNWID0362023082903</v>
      </c>
    </row>
    <row r="986" spans="1:18">
      <c r="A986" t="s">
        <v>109</v>
      </c>
      <c r="B986" t="s">
        <v>110</v>
      </c>
      <c r="C986" s="172" t="s">
        <v>4482</v>
      </c>
      <c r="D986" t="s">
        <v>71</v>
      </c>
      <c r="E986" t="s">
        <v>92</v>
      </c>
      <c r="F986" t="s">
        <v>4499</v>
      </c>
      <c r="G986" t="s">
        <v>148</v>
      </c>
      <c r="H986" t="s">
        <v>149</v>
      </c>
      <c r="I986" s="130">
        <v>45170</v>
      </c>
      <c r="J986" t="s">
        <v>3069</v>
      </c>
      <c r="K986">
        <v>8</v>
      </c>
      <c r="M9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86" t="str">
        <f>DO_DB[[#This Row],[Material Pick-update]]&amp;"_"&amp;DO_DB[[#This Row],[Material Name]]</f>
        <v>45170_Pole 7M 4"</v>
      </c>
      <c r="O986" t="str">
        <f>DO_DB[[#This Row],[SiteID]]</f>
        <v>CLR23-01-059</v>
      </c>
      <c r="P986" t="str">
        <f>DO_DB[[#This Row],[SiteID]]&amp;"_"&amp;DO_DB[[#This Row],[Material Name]]</f>
        <v>CLR23-01-059_Pole 7M 4"</v>
      </c>
      <c r="Q986" t="str">
        <f>DO_DB[[#This Row],[DO Number]]</f>
        <v>DOEID23082907</v>
      </c>
      <c r="R986" t="str">
        <f>DO_DB[[#This Row],[DN Number]]</f>
        <v>DNWID0362023082904</v>
      </c>
    </row>
    <row r="987" spans="1:18">
      <c r="A987" t="s">
        <v>109</v>
      </c>
      <c r="B987" t="s">
        <v>110</v>
      </c>
      <c r="C987" s="172" t="s">
        <v>4482</v>
      </c>
      <c r="D987" t="s">
        <v>71</v>
      </c>
      <c r="E987" t="s">
        <v>92</v>
      </c>
      <c r="F987" t="s">
        <v>4499</v>
      </c>
      <c r="G987" t="s">
        <v>148</v>
      </c>
      <c r="H987" t="s">
        <v>149</v>
      </c>
      <c r="I987" s="130">
        <v>45170</v>
      </c>
      <c r="J987" t="s">
        <v>3070</v>
      </c>
      <c r="K987">
        <v>9</v>
      </c>
      <c r="M9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87" t="str">
        <f>DO_DB[[#This Row],[Material Pick-update]]&amp;"_"&amp;DO_DB[[#This Row],[Material Name]]</f>
        <v>45170_Pole 7M 3"</v>
      </c>
      <c r="O987" t="str">
        <f>DO_DB[[#This Row],[SiteID]]</f>
        <v>CLR23-01-059</v>
      </c>
      <c r="P987" t="str">
        <f>DO_DB[[#This Row],[SiteID]]&amp;"_"&amp;DO_DB[[#This Row],[Material Name]]</f>
        <v>CLR23-01-059_Pole 7M 3"</v>
      </c>
      <c r="Q987" t="str">
        <f>DO_DB[[#This Row],[DO Number]]</f>
        <v>DOEID23082907</v>
      </c>
      <c r="R987" t="str">
        <f>DO_DB[[#This Row],[DN Number]]</f>
        <v>DNWID0362023082904</v>
      </c>
    </row>
    <row r="988" spans="1:18">
      <c r="A988" t="s">
        <v>109</v>
      </c>
      <c r="B988" t="s">
        <v>110</v>
      </c>
      <c r="C988" s="172" t="s">
        <v>4482</v>
      </c>
      <c r="D988" t="s">
        <v>71</v>
      </c>
      <c r="E988" t="s">
        <v>92</v>
      </c>
      <c r="F988" t="s">
        <v>4499</v>
      </c>
      <c r="G988" t="s">
        <v>142</v>
      </c>
      <c r="H988" t="s">
        <v>143</v>
      </c>
      <c r="I988" s="130">
        <v>45170</v>
      </c>
      <c r="J988" t="s">
        <v>13</v>
      </c>
      <c r="K988">
        <v>7</v>
      </c>
      <c r="M9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88" t="str">
        <f>DO_DB[[#This Row],[Material Pick-update]]&amp;"_"&amp;DO_DB[[#This Row],[Material Name]]</f>
        <v>45170_FAT-16</v>
      </c>
      <c r="O988" t="str">
        <f>DO_DB[[#This Row],[SiteID]]</f>
        <v>CLR23-01-059</v>
      </c>
      <c r="P988" t="str">
        <f>DO_DB[[#This Row],[SiteID]]&amp;"_"&amp;DO_DB[[#This Row],[Material Name]]</f>
        <v>CLR23-01-059_FAT-16</v>
      </c>
      <c r="Q988" t="str">
        <f>DO_DB[[#This Row],[DO Number]]</f>
        <v>DOEID23082909</v>
      </c>
      <c r="R988" t="str">
        <f>DO_DB[[#This Row],[DN Number]]</f>
        <v>DNWID0342023082903</v>
      </c>
    </row>
    <row r="989" spans="1:18">
      <c r="A989" t="s">
        <v>121</v>
      </c>
      <c r="B989" t="s">
        <v>122</v>
      </c>
      <c r="C989" s="172" t="s">
        <v>4482</v>
      </c>
      <c r="D989" t="s">
        <v>71</v>
      </c>
      <c r="E989" t="s">
        <v>92</v>
      </c>
      <c r="F989" t="s">
        <v>4499</v>
      </c>
      <c r="G989" t="s">
        <v>144</v>
      </c>
      <c r="H989" t="s">
        <v>145</v>
      </c>
      <c r="I989" s="130">
        <v>45170</v>
      </c>
      <c r="J989" t="s">
        <v>3075</v>
      </c>
      <c r="K989">
        <v>3000</v>
      </c>
      <c r="M9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48C-202391-01</v>
      </c>
      <c r="N989" t="str">
        <f>DO_DB[[#This Row],[Material Pick-update]]&amp;"_"&amp;DO_DB[[#This Row],[Material Name]]</f>
        <v>45170_ADSS 48C</v>
      </c>
      <c r="O989" t="str">
        <f>DO_DB[[#This Row],[SiteID]]</f>
        <v>CLR23-99-037</v>
      </c>
      <c r="P989" t="str">
        <f>DO_DB[[#This Row],[SiteID]]&amp;"_"&amp;DO_DB[[#This Row],[Material Name]]</f>
        <v>CLR23-99-037_ADSS 48C</v>
      </c>
      <c r="Q989" t="str">
        <f>DO_DB[[#This Row],[DO Number]]</f>
        <v>DOEID23083121</v>
      </c>
      <c r="R989" t="str">
        <f>DO_DB[[#This Row],[DN Number]]</f>
        <v>DNWID0342023083102</v>
      </c>
    </row>
    <row r="990" spans="1:18">
      <c r="A990" t="s">
        <v>186</v>
      </c>
      <c r="B990" t="s">
        <v>187</v>
      </c>
      <c r="C990" s="172" t="s">
        <v>4482</v>
      </c>
      <c r="D990" t="s">
        <v>71</v>
      </c>
      <c r="E990" t="s">
        <v>92</v>
      </c>
      <c r="F990" t="s">
        <v>4499</v>
      </c>
      <c r="G990" t="s">
        <v>210</v>
      </c>
      <c r="H990" t="s">
        <v>211</v>
      </c>
      <c r="I990" s="130">
        <v>45189</v>
      </c>
      <c r="J990" t="s">
        <v>3069</v>
      </c>
      <c r="K990">
        <v>23</v>
      </c>
      <c r="M9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90" t="str">
        <f>DO_DB[[#This Row],[Material Pick-update]]&amp;"_"&amp;DO_DB[[#This Row],[Material Name]]</f>
        <v>45189_Pole 7M 4"</v>
      </c>
      <c r="O990" t="str">
        <f>DO_DB[[#This Row],[SiteID]]</f>
        <v>CLR23-99-041</v>
      </c>
      <c r="P990" t="str">
        <f>DO_DB[[#This Row],[SiteID]]&amp;"_"&amp;DO_DB[[#This Row],[Material Name]]</f>
        <v>CLR23-99-041_Pole 7M 4"</v>
      </c>
      <c r="Q990" t="str">
        <f>DO_DB[[#This Row],[DO Number]]</f>
        <v>DOEID230919AE</v>
      </c>
      <c r="R990" t="str">
        <f>DO_DB[[#This Row],[DN Number]]</f>
        <v>DNWID0362023091907</v>
      </c>
    </row>
    <row r="991" spans="1:18">
      <c r="A991" t="s">
        <v>186</v>
      </c>
      <c r="B991" t="s">
        <v>187</v>
      </c>
      <c r="C991" s="172" t="s">
        <v>4482</v>
      </c>
      <c r="D991" t="s">
        <v>71</v>
      </c>
      <c r="E991" t="s">
        <v>92</v>
      </c>
      <c r="F991" t="s">
        <v>4499</v>
      </c>
      <c r="G991" t="s">
        <v>210</v>
      </c>
      <c r="H991" t="s">
        <v>211</v>
      </c>
      <c r="I991" s="130">
        <v>45189</v>
      </c>
      <c r="J991" t="s">
        <v>3070</v>
      </c>
      <c r="K991">
        <v>7</v>
      </c>
      <c r="M9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91" t="str">
        <f>DO_DB[[#This Row],[Material Pick-update]]&amp;"_"&amp;DO_DB[[#This Row],[Material Name]]</f>
        <v>45189_Pole 7M 3"</v>
      </c>
      <c r="O991" t="str">
        <f>DO_DB[[#This Row],[SiteID]]</f>
        <v>CLR23-99-041</v>
      </c>
      <c r="P991" t="str">
        <f>DO_DB[[#This Row],[SiteID]]&amp;"_"&amp;DO_DB[[#This Row],[Material Name]]</f>
        <v>CLR23-99-041_Pole 7M 3"</v>
      </c>
      <c r="Q991" t="str">
        <f>DO_DB[[#This Row],[DO Number]]</f>
        <v>DOEID230919AE</v>
      </c>
      <c r="R991" t="str">
        <f>DO_DB[[#This Row],[DN Number]]</f>
        <v>DNWID0362023091907</v>
      </c>
    </row>
    <row r="992" spans="1:18">
      <c r="A992" t="s">
        <v>186</v>
      </c>
      <c r="B992" t="s">
        <v>187</v>
      </c>
      <c r="C992" s="172" t="s">
        <v>4482</v>
      </c>
      <c r="D992" t="s">
        <v>71</v>
      </c>
      <c r="E992" t="s">
        <v>92</v>
      </c>
      <c r="F992" t="s">
        <v>4499</v>
      </c>
      <c r="G992" t="s">
        <v>210</v>
      </c>
      <c r="H992" t="s">
        <v>211</v>
      </c>
      <c r="I992" s="130">
        <v>45189</v>
      </c>
      <c r="J992" t="s">
        <v>4856</v>
      </c>
      <c r="K992">
        <v>1</v>
      </c>
      <c r="M9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92" t="str">
        <f>DO_DB[[#This Row],[Material Pick-update]]&amp;"_"&amp;DO_DB[[#This Row],[Material Name]]</f>
        <v>45189_JC 144Core</v>
      </c>
      <c r="O992" t="str">
        <f>DO_DB[[#This Row],[SiteID]]</f>
        <v>CLR23-99-041</v>
      </c>
      <c r="P992" t="str">
        <f>DO_DB[[#This Row],[SiteID]]&amp;"_"&amp;DO_DB[[#This Row],[Material Name]]</f>
        <v>CLR23-99-041_JC 144Core</v>
      </c>
      <c r="Q992" t="str">
        <f>DO_DB[[#This Row],[DO Number]]</f>
        <v>DOEID230919AE</v>
      </c>
      <c r="R992" t="str">
        <f>DO_DB[[#This Row],[DN Number]]</f>
        <v>DNWID0362023091907</v>
      </c>
    </row>
    <row r="993" spans="1:18">
      <c r="A993" t="s">
        <v>186</v>
      </c>
      <c r="B993" t="s">
        <v>187</v>
      </c>
      <c r="C993" s="172" t="s">
        <v>4482</v>
      </c>
      <c r="D993" t="s">
        <v>71</v>
      </c>
      <c r="E993" t="s">
        <v>92</v>
      </c>
      <c r="F993" t="s">
        <v>4499</v>
      </c>
      <c r="G993" t="s">
        <v>188</v>
      </c>
      <c r="H993" t="s">
        <v>189</v>
      </c>
      <c r="I993" s="130">
        <v>45189</v>
      </c>
      <c r="J993" t="s">
        <v>14</v>
      </c>
      <c r="K993">
        <v>1</v>
      </c>
      <c r="M9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93" t="str">
        <f>DO_DB[[#This Row],[Material Pick-update]]&amp;"_"&amp;DO_DB[[#This Row],[Material Name]]</f>
        <v>45189_FDT-48</v>
      </c>
      <c r="O993" t="str">
        <f>DO_DB[[#This Row],[SiteID]]</f>
        <v>CLR23-99-041</v>
      </c>
      <c r="P993" t="str">
        <f>DO_DB[[#This Row],[SiteID]]&amp;"_"&amp;DO_DB[[#This Row],[Material Name]]</f>
        <v>CLR23-99-041_FDT-48</v>
      </c>
      <c r="Q993" t="str">
        <f>DO_DB[[#This Row],[DO Number]]</f>
        <v>DOEID230919AF</v>
      </c>
      <c r="R993" t="str">
        <f>DO_DB[[#This Row],[DN Number]]</f>
        <v>DNWID0342023091907</v>
      </c>
    </row>
    <row r="994" spans="1:18">
      <c r="A994" t="s">
        <v>186</v>
      </c>
      <c r="B994" t="s">
        <v>187</v>
      </c>
      <c r="C994" s="172" t="s">
        <v>4482</v>
      </c>
      <c r="D994" t="s">
        <v>71</v>
      </c>
      <c r="E994" t="s">
        <v>92</v>
      </c>
      <c r="F994" t="s">
        <v>4499</v>
      </c>
      <c r="G994" t="s">
        <v>188</v>
      </c>
      <c r="H994" t="s">
        <v>189</v>
      </c>
      <c r="I994" s="130">
        <v>45189</v>
      </c>
      <c r="J994" t="s">
        <v>13</v>
      </c>
      <c r="K994">
        <v>6</v>
      </c>
      <c r="M9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94" t="str">
        <f>DO_DB[[#This Row],[Material Pick-update]]&amp;"_"&amp;DO_DB[[#This Row],[Material Name]]</f>
        <v>45189_FAT-16</v>
      </c>
      <c r="O994" t="str">
        <f>DO_DB[[#This Row],[SiteID]]</f>
        <v>CLR23-99-041</v>
      </c>
      <c r="P994" t="str">
        <f>DO_DB[[#This Row],[SiteID]]&amp;"_"&amp;DO_DB[[#This Row],[Material Name]]</f>
        <v>CLR23-99-041_FAT-16</v>
      </c>
      <c r="Q994" t="str">
        <f>DO_DB[[#This Row],[DO Number]]</f>
        <v>DOEID230919AF</v>
      </c>
      <c r="R994" t="str">
        <f>DO_DB[[#This Row],[DN Number]]</f>
        <v>DNWID0342023091907</v>
      </c>
    </row>
    <row r="995" spans="1:18">
      <c r="A995" t="s">
        <v>190</v>
      </c>
      <c r="B995" t="s">
        <v>191</v>
      </c>
      <c r="C995" s="172" t="s">
        <v>4482</v>
      </c>
      <c r="D995" t="s">
        <v>71</v>
      </c>
      <c r="E995" t="s">
        <v>92</v>
      </c>
      <c r="F995" t="s">
        <v>4499</v>
      </c>
      <c r="G995" t="s">
        <v>212</v>
      </c>
      <c r="H995" t="s">
        <v>213</v>
      </c>
      <c r="I995" s="130">
        <v>45189</v>
      </c>
      <c r="J995" t="s">
        <v>3069</v>
      </c>
      <c r="K995">
        <v>21</v>
      </c>
      <c r="M9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95" t="str">
        <f>DO_DB[[#This Row],[Material Pick-update]]&amp;"_"&amp;DO_DB[[#This Row],[Material Name]]</f>
        <v>45189_Pole 7M 4"</v>
      </c>
      <c r="O995" t="str">
        <f>DO_DB[[#This Row],[SiteID]]</f>
        <v>CLR23-99-042</v>
      </c>
      <c r="P995" t="str">
        <f>DO_DB[[#This Row],[SiteID]]&amp;"_"&amp;DO_DB[[#This Row],[Material Name]]</f>
        <v>CLR23-99-042_Pole 7M 4"</v>
      </c>
      <c r="Q995" t="str">
        <f>DO_DB[[#This Row],[DO Number]]</f>
        <v>DOEID230919AG</v>
      </c>
      <c r="R995" t="str">
        <f>DO_DB[[#This Row],[DN Number]]</f>
        <v>DNWID0362023091908</v>
      </c>
    </row>
    <row r="996" spans="1:18">
      <c r="A996" t="s">
        <v>190</v>
      </c>
      <c r="B996" t="s">
        <v>191</v>
      </c>
      <c r="C996" s="172" t="s">
        <v>4482</v>
      </c>
      <c r="D996" t="s">
        <v>71</v>
      </c>
      <c r="E996" t="s">
        <v>92</v>
      </c>
      <c r="F996" t="s">
        <v>4499</v>
      </c>
      <c r="G996" t="s">
        <v>212</v>
      </c>
      <c r="H996" t="s">
        <v>213</v>
      </c>
      <c r="I996" s="130">
        <v>45189</v>
      </c>
      <c r="J996" t="s">
        <v>3070</v>
      </c>
      <c r="K996">
        <v>5</v>
      </c>
      <c r="M9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96" t="str">
        <f>DO_DB[[#This Row],[Material Pick-update]]&amp;"_"&amp;DO_DB[[#This Row],[Material Name]]</f>
        <v>45189_Pole 7M 3"</v>
      </c>
      <c r="O996" t="str">
        <f>DO_DB[[#This Row],[SiteID]]</f>
        <v>CLR23-99-042</v>
      </c>
      <c r="P996" t="str">
        <f>DO_DB[[#This Row],[SiteID]]&amp;"_"&amp;DO_DB[[#This Row],[Material Name]]</f>
        <v>CLR23-99-042_Pole 7M 3"</v>
      </c>
      <c r="Q996" t="str">
        <f>DO_DB[[#This Row],[DO Number]]</f>
        <v>DOEID230919AG</v>
      </c>
      <c r="R996" t="str">
        <f>DO_DB[[#This Row],[DN Number]]</f>
        <v>DNWID0362023091908</v>
      </c>
    </row>
    <row r="997" spans="1:18">
      <c r="A997" t="s">
        <v>190</v>
      </c>
      <c r="B997" t="s">
        <v>191</v>
      </c>
      <c r="C997" s="172" t="s">
        <v>4482</v>
      </c>
      <c r="D997" t="s">
        <v>71</v>
      </c>
      <c r="E997" t="s">
        <v>92</v>
      </c>
      <c r="F997" t="s">
        <v>4499</v>
      </c>
      <c r="G997" t="s">
        <v>192</v>
      </c>
      <c r="H997" t="s">
        <v>193</v>
      </c>
      <c r="I997" s="130">
        <v>45189</v>
      </c>
      <c r="J997" t="s">
        <v>13</v>
      </c>
      <c r="K997">
        <v>11</v>
      </c>
      <c r="M9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97" t="str">
        <f>DO_DB[[#This Row],[Material Pick-update]]&amp;"_"&amp;DO_DB[[#This Row],[Material Name]]</f>
        <v>45189_FAT-16</v>
      </c>
      <c r="O997" t="str">
        <f>DO_DB[[#This Row],[SiteID]]</f>
        <v>CLR23-99-042</v>
      </c>
      <c r="P997" t="str">
        <f>DO_DB[[#This Row],[SiteID]]&amp;"_"&amp;DO_DB[[#This Row],[Material Name]]</f>
        <v>CLR23-99-042_FAT-16</v>
      </c>
      <c r="Q997" t="str">
        <f>DO_DB[[#This Row],[DO Number]]</f>
        <v>DOEID230919AH</v>
      </c>
      <c r="R997" t="str">
        <f>DO_DB[[#This Row],[DN Number]]</f>
        <v>DNWID0342023091908</v>
      </c>
    </row>
    <row r="998" spans="1:18">
      <c r="A998" t="s">
        <v>194</v>
      </c>
      <c r="B998" t="s">
        <v>195</v>
      </c>
      <c r="C998" s="172" t="s">
        <v>4482</v>
      </c>
      <c r="D998" t="s">
        <v>71</v>
      </c>
      <c r="E998" t="s">
        <v>92</v>
      </c>
      <c r="F998" t="s">
        <v>4499</v>
      </c>
      <c r="G998" t="s">
        <v>214</v>
      </c>
      <c r="H998" t="s">
        <v>215</v>
      </c>
      <c r="I998" s="130">
        <v>45189</v>
      </c>
      <c r="J998" t="s">
        <v>3069</v>
      </c>
      <c r="K998">
        <v>22</v>
      </c>
      <c r="M9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98" t="str">
        <f>DO_DB[[#This Row],[Material Pick-update]]&amp;"_"&amp;DO_DB[[#This Row],[Material Name]]</f>
        <v>45189_Pole 7M 4"</v>
      </c>
      <c r="O998" t="str">
        <f>DO_DB[[#This Row],[SiteID]]</f>
        <v>CLR23-99-039</v>
      </c>
      <c r="P998" t="str">
        <f>DO_DB[[#This Row],[SiteID]]&amp;"_"&amp;DO_DB[[#This Row],[Material Name]]</f>
        <v>CLR23-99-039_Pole 7M 4"</v>
      </c>
      <c r="Q998" t="str">
        <f>DO_DB[[#This Row],[DO Number]]</f>
        <v>DOEID230919AI</v>
      </c>
      <c r="R998" t="str">
        <f>DO_DB[[#This Row],[DN Number]]</f>
        <v>DNWID0362023091909</v>
      </c>
    </row>
    <row r="999" spans="1:18">
      <c r="A999" t="s">
        <v>194</v>
      </c>
      <c r="B999" t="s">
        <v>195</v>
      </c>
      <c r="C999" s="172" t="s">
        <v>4482</v>
      </c>
      <c r="D999" t="s">
        <v>71</v>
      </c>
      <c r="E999" t="s">
        <v>92</v>
      </c>
      <c r="F999" t="s">
        <v>4499</v>
      </c>
      <c r="G999" t="s">
        <v>214</v>
      </c>
      <c r="H999" t="s">
        <v>215</v>
      </c>
      <c r="I999" s="130">
        <v>45189</v>
      </c>
      <c r="J999" t="s">
        <v>3070</v>
      </c>
      <c r="K999">
        <v>16</v>
      </c>
      <c r="M9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999" t="str">
        <f>DO_DB[[#This Row],[Material Pick-update]]&amp;"_"&amp;DO_DB[[#This Row],[Material Name]]</f>
        <v>45189_Pole 7M 3"</v>
      </c>
      <c r="O999" t="str">
        <f>DO_DB[[#This Row],[SiteID]]</f>
        <v>CLR23-99-039</v>
      </c>
      <c r="P999" t="str">
        <f>DO_DB[[#This Row],[SiteID]]&amp;"_"&amp;DO_DB[[#This Row],[Material Name]]</f>
        <v>CLR23-99-039_Pole 7M 3"</v>
      </c>
      <c r="Q999" t="str">
        <f>DO_DB[[#This Row],[DO Number]]</f>
        <v>DOEID230919AI</v>
      </c>
      <c r="R999" t="str">
        <f>DO_DB[[#This Row],[DN Number]]</f>
        <v>DNWID0362023091909</v>
      </c>
    </row>
    <row r="1000" spans="1:18">
      <c r="A1000" t="s">
        <v>194</v>
      </c>
      <c r="B1000" t="s">
        <v>195</v>
      </c>
      <c r="C1000" s="172" t="s">
        <v>4482</v>
      </c>
      <c r="D1000" t="s">
        <v>71</v>
      </c>
      <c r="E1000" t="s">
        <v>92</v>
      </c>
      <c r="F1000" t="s">
        <v>4499</v>
      </c>
      <c r="G1000" t="s">
        <v>196</v>
      </c>
      <c r="H1000" t="s">
        <v>197</v>
      </c>
      <c r="I1000" s="130">
        <v>45189</v>
      </c>
      <c r="J1000" t="s">
        <v>13</v>
      </c>
      <c r="K1000">
        <v>14</v>
      </c>
      <c r="M10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00" t="str">
        <f>DO_DB[[#This Row],[Material Pick-update]]&amp;"_"&amp;DO_DB[[#This Row],[Material Name]]</f>
        <v>45189_FAT-16</v>
      </c>
      <c r="O1000" t="str">
        <f>DO_DB[[#This Row],[SiteID]]</f>
        <v>CLR23-99-039</v>
      </c>
      <c r="P1000" t="str">
        <f>DO_DB[[#This Row],[SiteID]]&amp;"_"&amp;DO_DB[[#This Row],[Material Name]]</f>
        <v>CLR23-99-039_FAT-16</v>
      </c>
      <c r="Q1000" t="str">
        <f>DO_DB[[#This Row],[DO Number]]</f>
        <v>DOEID230919AJ</v>
      </c>
      <c r="R1000" t="str">
        <f>DO_DB[[#This Row],[DN Number]]</f>
        <v>DNWID0342023091909</v>
      </c>
    </row>
    <row r="1001" spans="1:18">
      <c r="A1001" t="s">
        <v>198</v>
      </c>
      <c r="B1001" t="s">
        <v>199</v>
      </c>
      <c r="C1001" s="172" t="s">
        <v>4482</v>
      </c>
      <c r="D1001" t="s">
        <v>71</v>
      </c>
      <c r="E1001" t="s">
        <v>92</v>
      </c>
      <c r="F1001" t="s">
        <v>4499</v>
      </c>
      <c r="G1001" t="s">
        <v>216</v>
      </c>
      <c r="H1001" t="s">
        <v>217</v>
      </c>
      <c r="I1001" s="130">
        <v>45189</v>
      </c>
      <c r="J1001" t="s">
        <v>3069</v>
      </c>
      <c r="K1001">
        <v>61</v>
      </c>
      <c r="M10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01" t="str">
        <f>DO_DB[[#This Row],[Material Pick-update]]&amp;"_"&amp;DO_DB[[#This Row],[Material Name]]</f>
        <v>45189_Pole 7M 4"</v>
      </c>
      <c r="O1001" t="str">
        <f>DO_DB[[#This Row],[SiteID]]</f>
        <v>CLR23-01-055</v>
      </c>
      <c r="P1001" t="str">
        <f>DO_DB[[#This Row],[SiteID]]&amp;"_"&amp;DO_DB[[#This Row],[Material Name]]</f>
        <v>CLR23-01-055_Pole 7M 4"</v>
      </c>
      <c r="Q1001" t="str">
        <f>DO_DB[[#This Row],[DO Number]]</f>
        <v>DOEID230919AK</v>
      </c>
      <c r="R1001" t="str">
        <f>DO_DB[[#This Row],[DN Number]]</f>
        <v>DNWID0362023091910</v>
      </c>
    </row>
    <row r="1002" spans="1:18">
      <c r="A1002" t="s">
        <v>198</v>
      </c>
      <c r="B1002" t="s">
        <v>199</v>
      </c>
      <c r="C1002" s="172" t="s">
        <v>4482</v>
      </c>
      <c r="D1002" t="s">
        <v>71</v>
      </c>
      <c r="E1002" t="s">
        <v>92</v>
      </c>
      <c r="F1002" t="s">
        <v>4499</v>
      </c>
      <c r="G1002" t="s">
        <v>216</v>
      </c>
      <c r="H1002" t="s">
        <v>217</v>
      </c>
      <c r="I1002" s="130">
        <v>45189</v>
      </c>
      <c r="J1002" t="s">
        <v>3070</v>
      </c>
      <c r="K1002">
        <v>20</v>
      </c>
      <c r="M10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02" t="str">
        <f>DO_DB[[#This Row],[Material Pick-update]]&amp;"_"&amp;DO_DB[[#This Row],[Material Name]]</f>
        <v>45189_Pole 7M 3"</v>
      </c>
      <c r="O1002" t="str">
        <f>DO_DB[[#This Row],[SiteID]]</f>
        <v>CLR23-01-055</v>
      </c>
      <c r="P1002" t="str">
        <f>DO_DB[[#This Row],[SiteID]]&amp;"_"&amp;DO_DB[[#This Row],[Material Name]]</f>
        <v>CLR23-01-055_Pole 7M 3"</v>
      </c>
      <c r="Q1002" t="str">
        <f>DO_DB[[#This Row],[DO Number]]</f>
        <v>DOEID230919AK</v>
      </c>
      <c r="R1002" t="str">
        <f>DO_DB[[#This Row],[DN Number]]</f>
        <v>DNWID0362023091910</v>
      </c>
    </row>
    <row r="1003" spans="1:18">
      <c r="A1003" t="s">
        <v>198</v>
      </c>
      <c r="B1003" t="s">
        <v>199</v>
      </c>
      <c r="C1003" s="172" t="s">
        <v>4482</v>
      </c>
      <c r="D1003" t="s">
        <v>71</v>
      </c>
      <c r="E1003" t="s">
        <v>92</v>
      </c>
      <c r="F1003" t="s">
        <v>4499</v>
      </c>
      <c r="G1003" t="s">
        <v>200</v>
      </c>
      <c r="H1003" t="s">
        <v>201</v>
      </c>
      <c r="I1003" s="130">
        <v>45189</v>
      </c>
      <c r="J1003" t="s">
        <v>13</v>
      </c>
      <c r="K1003">
        <v>18</v>
      </c>
      <c r="M10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03" t="str">
        <f>DO_DB[[#This Row],[Material Pick-update]]&amp;"_"&amp;DO_DB[[#This Row],[Material Name]]</f>
        <v>45189_FAT-16</v>
      </c>
      <c r="O1003" t="str">
        <f>DO_DB[[#This Row],[SiteID]]</f>
        <v>CLR23-01-055</v>
      </c>
      <c r="P1003" t="str">
        <f>DO_DB[[#This Row],[SiteID]]&amp;"_"&amp;DO_DB[[#This Row],[Material Name]]</f>
        <v>CLR23-01-055_FAT-16</v>
      </c>
      <c r="Q1003" t="str">
        <f>DO_DB[[#This Row],[DO Number]]</f>
        <v>DOEID230919AL</v>
      </c>
      <c r="R1003" t="str">
        <f>DO_DB[[#This Row],[DN Number]]</f>
        <v>DNWID0342023091910</v>
      </c>
    </row>
    <row r="1004" spans="1:18">
      <c r="A1004" t="s">
        <v>202</v>
      </c>
      <c r="B1004" t="s">
        <v>203</v>
      </c>
      <c r="C1004" s="172" t="s">
        <v>4482</v>
      </c>
      <c r="D1004" t="s">
        <v>71</v>
      </c>
      <c r="E1004" t="s">
        <v>92</v>
      </c>
      <c r="F1004" t="s">
        <v>4499</v>
      </c>
      <c r="G1004" t="s">
        <v>218</v>
      </c>
      <c r="H1004" t="s">
        <v>219</v>
      </c>
      <c r="I1004" s="130">
        <v>45189</v>
      </c>
      <c r="J1004" t="s">
        <v>3069</v>
      </c>
      <c r="K1004">
        <v>15</v>
      </c>
      <c r="M10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04" t="str">
        <f>DO_DB[[#This Row],[Material Pick-update]]&amp;"_"&amp;DO_DB[[#This Row],[Material Name]]</f>
        <v>45189_Pole 7M 4"</v>
      </c>
      <c r="O1004" t="str">
        <f>DO_DB[[#This Row],[SiteID]]</f>
        <v>CLR23-99-044</v>
      </c>
      <c r="P1004" t="str">
        <f>DO_DB[[#This Row],[SiteID]]&amp;"_"&amp;DO_DB[[#This Row],[Material Name]]</f>
        <v>CLR23-99-044_Pole 7M 4"</v>
      </c>
      <c r="Q1004" t="str">
        <f>DO_DB[[#This Row],[DO Number]]</f>
        <v>DOEID230919AM</v>
      </c>
      <c r="R1004" t="str">
        <f>DO_DB[[#This Row],[DN Number]]</f>
        <v>DNWID0362023091911</v>
      </c>
    </row>
    <row r="1005" spans="1:18">
      <c r="A1005" t="s">
        <v>202</v>
      </c>
      <c r="B1005" t="s">
        <v>203</v>
      </c>
      <c r="C1005" s="172" t="s">
        <v>4482</v>
      </c>
      <c r="D1005" t="s">
        <v>71</v>
      </c>
      <c r="E1005" t="s">
        <v>92</v>
      </c>
      <c r="F1005" t="s">
        <v>4499</v>
      </c>
      <c r="G1005" t="s">
        <v>218</v>
      </c>
      <c r="H1005" t="s">
        <v>219</v>
      </c>
      <c r="I1005" s="130">
        <v>45189</v>
      </c>
      <c r="J1005" t="s">
        <v>3070</v>
      </c>
      <c r="K1005">
        <v>5</v>
      </c>
      <c r="M10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05" t="str">
        <f>DO_DB[[#This Row],[Material Pick-update]]&amp;"_"&amp;DO_DB[[#This Row],[Material Name]]</f>
        <v>45189_Pole 7M 3"</v>
      </c>
      <c r="O1005" t="str">
        <f>DO_DB[[#This Row],[SiteID]]</f>
        <v>CLR23-99-044</v>
      </c>
      <c r="P1005" t="str">
        <f>DO_DB[[#This Row],[SiteID]]&amp;"_"&amp;DO_DB[[#This Row],[Material Name]]</f>
        <v>CLR23-99-044_Pole 7M 3"</v>
      </c>
      <c r="Q1005" t="str">
        <f>DO_DB[[#This Row],[DO Number]]</f>
        <v>DOEID230919AM</v>
      </c>
      <c r="R1005" t="str">
        <f>DO_DB[[#This Row],[DN Number]]</f>
        <v>DNWID0362023091911</v>
      </c>
    </row>
    <row r="1006" spans="1:18">
      <c r="A1006" t="s">
        <v>202</v>
      </c>
      <c r="B1006" t="s">
        <v>203</v>
      </c>
      <c r="C1006" s="172" t="s">
        <v>4482</v>
      </c>
      <c r="D1006" t="s">
        <v>71</v>
      </c>
      <c r="E1006" t="s">
        <v>92</v>
      </c>
      <c r="F1006" t="s">
        <v>4499</v>
      </c>
      <c r="G1006" t="s">
        <v>204</v>
      </c>
      <c r="H1006" t="s">
        <v>205</v>
      </c>
      <c r="I1006" s="130">
        <v>45189</v>
      </c>
      <c r="J1006" t="s">
        <v>14</v>
      </c>
      <c r="K1006">
        <v>1</v>
      </c>
      <c r="M10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06" t="str">
        <f>DO_DB[[#This Row],[Material Pick-update]]&amp;"_"&amp;DO_DB[[#This Row],[Material Name]]</f>
        <v>45189_FDT-48</v>
      </c>
      <c r="O1006" t="str">
        <f>DO_DB[[#This Row],[SiteID]]</f>
        <v>CLR23-99-044</v>
      </c>
      <c r="P1006" t="str">
        <f>DO_DB[[#This Row],[SiteID]]&amp;"_"&amp;DO_DB[[#This Row],[Material Name]]</f>
        <v>CLR23-99-044_FDT-48</v>
      </c>
      <c r="Q1006" t="str">
        <f>DO_DB[[#This Row],[DO Number]]</f>
        <v>DOEID230919AN</v>
      </c>
      <c r="R1006" t="str">
        <f>DO_DB[[#This Row],[DN Number]]</f>
        <v>DNWID0342023091911</v>
      </c>
    </row>
    <row r="1007" spans="1:18">
      <c r="A1007" t="s">
        <v>202</v>
      </c>
      <c r="B1007" t="s">
        <v>203</v>
      </c>
      <c r="C1007" s="172" t="s">
        <v>4482</v>
      </c>
      <c r="D1007" t="s">
        <v>71</v>
      </c>
      <c r="E1007" t="s">
        <v>92</v>
      </c>
      <c r="F1007" t="s">
        <v>4499</v>
      </c>
      <c r="G1007" t="s">
        <v>204</v>
      </c>
      <c r="H1007" t="s">
        <v>205</v>
      </c>
      <c r="I1007" s="130">
        <v>45189</v>
      </c>
      <c r="J1007" t="s">
        <v>13</v>
      </c>
      <c r="K1007">
        <v>13</v>
      </c>
      <c r="M10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07" t="str">
        <f>DO_DB[[#This Row],[Material Pick-update]]&amp;"_"&amp;DO_DB[[#This Row],[Material Name]]</f>
        <v>45189_FAT-16</v>
      </c>
      <c r="O1007" t="str">
        <f>DO_DB[[#This Row],[SiteID]]</f>
        <v>CLR23-99-044</v>
      </c>
      <c r="P1007" t="str">
        <f>DO_DB[[#This Row],[SiteID]]&amp;"_"&amp;DO_DB[[#This Row],[Material Name]]</f>
        <v>CLR23-99-044_FAT-16</v>
      </c>
      <c r="Q1007" t="str">
        <f>DO_DB[[#This Row],[DO Number]]</f>
        <v>DOEID230919AN</v>
      </c>
      <c r="R1007" t="str">
        <f>DO_DB[[#This Row],[DN Number]]</f>
        <v>DNWID0342023091911</v>
      </c>
    </row>
    <row r="1008" spans="1:18">
      <c r="A1008" t="s">
        <v>206</v>
      </c>
      <c r="B1008" t="s">
        <v>207</v>
      </c>
      <c r="C1008" s="172" t="s">
        <v>4482</v>
      </c>
      <c r="D1008" t="s">
        <v>71</v>
      </c>
      <c r="E1008" t="s">
        <v>92</v>
      </c>
      <c r="F1008" t="s">
        <v>4499</v>
      </c>
      <c r="G1008" t="s">
        <v>220</v>
      </c>
      <c r="H1008" t="s">
        <v>221</v>
      </c>
      <c r="I1008" s="130">
        <v>45189</v>
      </c>
      <c r="J1008" t="s">
        <v>3069</v>
      </c>
      <c r="K1008">
        <v>13</v>
      </c>
      <c r="M10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08" t="str">
        <f>DO_DB[[#This Row],[Material Pick-update]]&amp;"_"&amp;DO_DB[[#This Row],[Material Name]]</f>
        <v>45189_Pole 7M 4"</v>
      </c>
      <c r="O1008" t="str">
        <f>DO_DB[[#This Row],[SiteID]]</f>
        <v>CLR23-99-043</v>
      </c>
      <c r="P1008" t="str">
        <f>DO_DB[[#This Row],[SiteID]]&amp;"_"&amp;DO_DB[[#This Row],[Material Name]]</f>
        <v>CLR23-99-043_Pole 7M 4"</v>
      </c>
      <c r="Q1008" t="str">
        <f>DO_DB[[#This Row],[DO Number]]</f>
        <v>DOEID230919AO</v>
      </c>
      <c r="R1008" t="str">
        <f>DO_DB[[#This Row],[DN Number]]</f>
        <v>DNWID0362023091912</v>
      </c>
    </row>
    <row r="1009" spans="1:18">
      <c r="A1009" t="s">
        <v>206</v>
      </c>
      <c r="B1009" t="s">
        <v>207</v>
      </c>
      <c r="C1009" s="172" t="s">
        <v>4482</v>
      </c>
      <c r="D1009" t="s">
        <v>71</v>
      </c>
      <c r="E1009" t="s">
        <v>92</v>
      </c>
      <c r="F1009" t="s">
        <v>4499</v>
      </c>
      <c r="G1009" t="s">
        <v>220</v>
      </c>
      <c r="H1009" t="s">
        <v>221</v>
      </c>
      <c r="I1009" s="130">
        <v>45189</v>
      </c>
      <c r="J1009" t="s">
        <v>3070</v>
      </c>
      <c r="K1009">
        <v>8</v>
      </c>
      <c r="M10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09" t="str">
        <f>DO_DB[[#This Row],[Material Pick-update]]&amp;"_"&amp;DO_DB[[#This Row],[Material Name]]</f>
        <v>45189_Pole 7M 3"</v>
      </c>
      <c r="O1009" t="str">
        <f>DO_DB[[#This Row],[SiteID]]</f>
        <v>CLR23-99-043</v>
      </c>
      <c r="P1009" t="str">
        <f>DO_DB[[#This Row],[SiteID]]&amp;"_"&amp;DO_DB[[#This Row],[Material Name]]</f>
        <v>CLR23-99-043_Pole 7M 3"</v>
      </c>
      <c r="Q1009" t="str">
        <f>DO_DB[[#This Row],[DO Number]]</f>
        <v>DOEID230919AO</v>
      </c>
      <c r="R1009" t="str">
        <f>DO_DB[[#This Row],[DN Number]]</f>
        <v>DNWID0362023091912</v>
      </c>
    </row>
    <row r="1010" spans="1:18">
      <c r="A1010" t="s">
        <v>206</v>
      </c>
      <c r="B1010" t="s">
        <v>207</v>
      </c>
      <c r="C1010" s="172" t="s">
        <v>4482</v>
      </c>
      <c r="D1010" t="s">
        <v>71</v>
      </c>
      <c r="E1010" t="s">
        <v>92</v>
      </c>
      <c r="F1010" t="s">
        <v>4499</v>
      </c>
      <c r="G1010" t="s">
        <v>208</v>
      </c>
      <c r="H1010" t="s">
        <v>209</v>
      </c>
      <c r="I1010" s="130">
        <v>45189</v>
      </c>
      <c r="J1010" t="s">
        <v>13</v>
      </c>
      <c r="K1010">
        <v>13</v>
      </c>
      <c r="M10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10" t="str">
        <f>DO_DB[[#This Row],[Material Pick-update]]&amp;"_"&amp;DO_DB[[#This Row],[Material Name]]</f>
        <v>45189_FAT-16</v>
      </c>
      <c r="O1010" t="str">
        <f>DO_DB[[#This Row],[SiteID]]</f>
        <v>CLR23-99-043</v>
      </c>
      <c r="P1010" t="str">
        <f>DO_DB[[#This Row],[SiteID]]&amp;"_"&amp;DO_DB[[#This Row],[Material Name]]</f>
        <v>CLR23-99-043_FAT-16</v>
      </c>
      <c r="Q1010" t="str">
        <f>DO_DB[[#This Row],[DO Number]]</f>
        <v>DOEID230919AP</v>
      </c>
      <c r="R1010" t="str">
        <f>DO_DB[[#This Row],[DN Number]]</f>
        <v>DNWID0342023091912</v>
      </c>
    </row>
    <row r="1011" spans="1:18">
      <c r="A1011" t="s">
        <v>190</v>
      </c>
      <c r="B1011" t="s">
        <v>191</v>
      </c>
      <c r="C1011" s="172" t="s">
        <v>4482</v>
      </c>
      <c r="D1011" t="s">
        <v>71</v>
      </c>
      <c r="E1011" t="s">
        <v>92</v>
      </c>
      <c r="F1011" t="s">
        <v>4499</v>
      </c>
      <c r="G1011" t="s">
        <v>192</v>
      </c>
      <c r="H1011" t="s">
        <v>193</v>
      </c>
      <c r="I1011" s="130">
        <v>45189</v>
      </c>
      <c r="J1011" t="s">
        <v>3073</v>
      </c>
      <c r="K1011">
        <v>3000</v>
      </c>
      <c r="M10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24C-2023920-01</v>
      </c>
      <c r="N1011" t="str">
        <f>DO_DB[[#This Row],[Material Pick-update]]&amp;"_"&amp;DO_DB[[#This Row],[Material Name]]</f>
        <v>45189_ADSS 24C</v>
      </c>
      <c r="O1011" t="str">
        <f>DO_DB[[#This Row],[SiteID]]</f>
        <v>CLR23-99-042</v>
      </c>
      <c r="P1011" t="str">
        <f>DO_DB[[#This Row],[SiteID]]&amp;"_"&amp;DO_DB[[#This Row],[Material Name]]</f>
        <v>CLR23-99-042_ADSS 24C</v>
      </c>
      <c r="Q1011" t="str">
        <f>DO_DB[[#This Row],[DO Number]]</f>
        <v>DOEID230919AH</v>
      </c>
      <c r="R1011" t="str">
        <f>DO_DB[[#This Row],[DN Number]]</f>
        <v>DNWID0342023091908</v>
      </c>
    </row>
    <row r="1012" spans="1:18">
      <c r="A1012" t="s">
        <v>202</v>
      </c>
      <c r="B1012" t="s">
        <v>203</v>
      </c>
      <c r="C1012" s="172" t="s">
        <v>4482</v>
      </c>
      <c r="D1012" t="s">
        <v>71</v>
      </c>
      <c r="E1012" t="s">
        <v>92</v>
      </c>
      <c r="F1012" t="s">
        <v>4499</v>
      </c>
      <c r="G1012" t="s">
        <v>204</v>
      </c>
      <c r="H1012" t="s">
        <v>205</v>
      </c>
      <c r="I1012" s="130">
        <v>45189</v>
      </c>
      <c r="J1012" t="s">
        <v>3073</v>
      </c>
      <c r="K1012">
        <v>3000</v>
      </c>
      <c r="M10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24C-2023920-01</v>
      </c>
      <c r="N1012" t="str">
        <f>DO_DB[[#This Row],[Material Pick-update]]&amp;"_"&amp;DO_DB[[#This Row],[Material Name]]</f>
        <v>45189_ADSS 24C</v>
      </c>
      <c r="O1012" t="str">
        <f>DO_DB[[#This Row],[SiteID]]</f>
        <v>CLR23-99-044</v>
      </c>
      <c r="P1012" t="str">
        <f>DO_DB[[#This Row],[SiteID]]&amp;"_"&amp;DO_DB[[#This Row],[Material Name]]</f>
        <v>CLR23-99-044_ADSS 24C</v>
      </c>
      <c r="Q1012" t="str">
        <f>DO_DB[[#This Row],[DO Number]]</f>
        <v>DOEID230919AN</v>
      </c>
      <c r="R1012" t="str">
        <f>DO_DB[[#This Row],[DN Number]]</f>
        <v>DNWID0342023091911</v>
      </c>
    </row>
    <row r="1013" spans="1:18">
      <c r="A1013" t="s">
        <v>198</v>
      </c>
      <c r="B1013" t="s">
        <v>199</v>
      </c>
      <c r="C1013" t="s">
        <v>4482</v>
      </c>
      <c r="D1013" t="s">
        <v>71</v>
      </c>
      <c r="E1013" t="s">
        <v>92</v>
      </c>
      <c r="F1013" t="s">
        <v>4499</v>
      </c>
      <c r="G1013" t="s">
        <v>234</v>
      </c>
      <c r="H1013" t="s">
        <v>235</v>
      </c>
      <c r="I1013" s="130">
        <v>45194</v>
      </c>
      <c r="J1013" t="s">
        <v>3075</v>
      </c>
      <c r="K1013">
        <v>6000</v>
      </c>
      <c r="M10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48C-2023925-01</v>
      </c>
      <c r="N1013" t="str">
        <f>DO_DB[[#This Row],[Material Pick-update]]&amp;"_"&amp;DO_DB[[#This Row],[Material Name]]</f>
        <v>45194_ADSS 48C</v>
      </c>
      <c r="O1013" t="str">
        <f>DO_DB[[#This Row],[SiteID]]</f>
        <v>CLR23-01-055</v>
      </c>
      <c r="P1013" t="str">
        <f>DO_DB[[#This Row],[SiteID]]&amp;"_"&amp;DO_DB[[#This Row],[Material Name]]</f>
        <v>CLR23-01-055_ADSS 48C</v>
      </c>
      <c r="Q1013" t="str">
        <f>DO_DB[[#This Row],[DO Number]]</f>
        <v>DOEID23092442</v>
      </c>
      <c r="R1013" t="str">
        <f>DO_DB[[#This Row],[DN Number]]</f>
        <v>DNWID0342023092503</v>
      </c>
    </row>
    <row r="1014" spans="1:18">
      <c r="A1014" t="s">
        <v>198</v>
      </c>
      <c r="B1014" t="s">
        <v>199</v>
      </c>
      <c r="C1014" s="172" t="s">
        <v>4482</v>
      </c>
      <c r="D1014" t="s">
        <v>71</v>
      </c>
      <c r="E1014" t="s">
        <v>92</v>
      </c>
      <c r="F1014" t="s">
        <v>4499</v>
      </c>
      <c r="G1014" t="s">
        <v>232</v>
      </c>
      <c r="H1014" t="s">
        <v>233</v>
      </c>
      <c r="I1014" s="130">
        <v>45194</v>
      </c>
      <c r="J1014" t="s">
        <v>15</v>
      </c>
      <c r="K1014">
        <v>1</v>
      </c>
      <c r="M10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14" t="str">
        <f>DO_DB[[#This Row],[Material Pick-update]]&amp;"_"&amp;DO_DB[[#This Row],[Material Name]]</f>
        <v>45194_FDT-72</v>
      </c>
      <c r="O1014" t="str">
        <f>DO_DB[[#This Row],[SiteID]]</f>
        <v>CLR23-01-055</v>
      </c>
      <c r="P1014" t="str">
        <f>DO_DB[[#This Row],[SiteID]]&amp;"_"&amp;DO_DB[[#This Row],[Material Name]]</f>
        <v>CLR23-01-055_FDT-72</v>
      </c>
      <c r="Q1014" t="str">
        <f>DO_DB[[#This Row],[DO Number]]</f>
        <v>DOEID23092443</v>
      </c>
      <c r="R1014" t="str">
        <f>DO_DB[[#This Row],[DN Number]]</f>
        <v>DNWID0342023092501</v>
      </c>
    </row>
    <row r="1015" spans="1:18">
      <c r="A1015" t="s">
        <v>186</v>
      </c>
      <c r="B1015" t="s">
        <v>187</v>
      </c>
      <c r="C1015" s="172" t="s">
        <v>4482</v>
      </c>
      <c r="D1015" t="s">
        <v>71</v>
      </c>
      <c r="E1015" t="s">
        <v>92</v>
      </c>
      <c r="F1015" t="s">
        <v>4499</v>
      </c>
      <c r="G1015" t="s">
        <v>230</v>
      </c>
      <c r="H1015" t="s">
        <v>231</v>
      </c>
      <c r="I1015" s="130">
        <v>45194</v>
      </c>
      <c r="J1015" t="s">
        <v>3075</v>
      </c>
      <c r="K1015">
        <v>3000</v>
      </c>
      <c r="M10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48C-2023925-01</v>
      </c>
      <c r="N1015" t="str">
        <f>DO_DB[[#This Row],[Material Pick-update]]&amp;"_"&amp;DO_DB[[#This Row],[Material Name]]</f>
        <v>45194_ADSS 48C</v>
      </c>
      <c r="O1015" t="str">
        <f>DO_DB[[#This Row],[SiteID]]</f>
        <v>CLR23-99-041</v>
      </c>
      <c r="P1015" t="str">
        <f>DO_DB[[#This Row],[SiteID]]&amp;"_"&amp;DO_DB[[#This Row],[Material Name]]</f>
        <v>CLR23-99-041_ADSS 48C</v>
      </c>
      <c r="Q1015" t="str">
        <f>DO_DB[[#This Row],[DO Number]]</f>
        <v>DOEID23092441</v>
      </c>
      <c r="R1015" t="str">
        <f>DO_DB[[#This Row],[DN Number]]</f>
        <v>DNWID0342023092502</v>
      </c>
    </row>
    <row r="1016" spans="1:18">
      <c r="A1016" t="s">
        <v>314</v>
      </c>
      <c r="B1016" t="s">
        <v>315</v>
      </c>
      <c r="C1016" t="s">
        <v>4482</v>
      </c>
      <c r="D1016" t="s">
        <v>71</v>
      </c>
      <c r="E1016" t="s">
        <v>92</v>
      </c>
      <c r="F1016" t="s">
        <v>4499</v>
      </c>
      <c r="G1016" t="s">
        <v>316</v>
      </c>
      <c r="H1016" t="s">
        <v>317</v>
      </c>
      <c r="I1016" s="130">
        <v>45212</v>
      </c>
      <c r="J1016" t="s">
        <v>3073</v>
      </c>
      <c r="K1016">
        <v>9000</v>
      </c>
      <c r="M10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24C-20231013-01</v>
      </c>
      <c r="N1016" t="str">
        <f>DO_DB[[#This Row],[Material Pick-update]]&amp;"_"&amp;DO_DB[[#This Row],[Material Name]]</f>
        <v>45212_ADSS 24C</v>
      </c>
      <c r="O1016" t="str">
        <f>DO_DB[[#This Row],[SiteID]]</f>
        <v>CLR23-99-061</v>
      </c>
      <c r="P1016" t="str">
        <f>DO_DB[[#This Row],[SiteID]]&amp;"_"&amp;DO_DB[[#This Row],[Material Name]]</f>
        <v>CLR23-99-061_ADSS 24C</v>
      </c>
      <c r="Q1016" t="str">
        <f>DO_DB[[#This Row],[DO Number]]</f>
        <v>DOEID23101353</v>
      </c>
      <c r="R1016" t="str">
        <f>DO_DB[[#This Row],[DN Number]]</f>
        <v>DNWID0342023101306</v>
      </c>
    </row>
    <row r="1017" spans="1:18">
      <c r="A1017" t="s">
        <v>314</v>
      </c>
      <c r="B1017" t="s">
        <v>315</v>
      </c>
      <c r="C1017" s="172" t="s">
        <v>4482</v>
      </c>
      <c r="D1017" t="s">
        <v>71</v>
      </c>
      <c r="E1017" t="s">
        <v>92</v>
      </c>
      <c r="F1017" t="s">
        <v>4499</v>
      </c>
      <c r="G1017" t="s">
        <v>318</v>
      </c>
      <c r="H1017" t="s">
        <v>319</v>
      </c>
      <c r="I1017" s="130">
        <v>45212</v>
      </c>
      <c r="J1017" t="s">
        <v>3069</v>
      </c>
      <c r="K1017">
        <v>137</v>
      </c>
      <c r="M10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17" t="str">
        <f>DO_DB[[#This Row],[Material Pick-update]]&amp;"_"&amp;DO_DB[[#This Row],[Material Name]]</f>
        <v>45212_Pole 7M 4"</v>
      </c>
      <c r="O1017" t="str">
        <f>DO_DB[[#This Row],[SiteID]]</f>
        <v>CLR23-99-061</v>
      </c>
      <c r="P1017" t="str">
        <f>DO_DB[[#This Row],[SiteID]]&amp;"_"&amp;DO_DB[[#This Row],[Material Name]]</f>
        <v>CLR23-99-061_Pole 7M 4"</v>
      </c>
      <c r="Q1017" t="str">
        <f>DO_DB[[#This Row],[DO Number]]</f>
        <v>DOEID23101352</v>
      </c>
      <c r="R1017" t="str">
        <f>DO_DB[[#This Row],[DN Number]]</f>
        <v>DNWID0362023101308</v>
      </c>
    </row>
    <row r="1018" spans="1:18">
      <c r="A1018" t="s">
        <v>314</v>
      </c>
      <c r="B1018" t="s">
        <v>315</v>
      </c>
      <c r="C1018" s="172" t="s">
        <v>4482</v>
      </c>
      <c r="D1018" t="s">
        <v>71</v>
      </c>
      <c r="E1018" t="s">
        <v>92</v>
      </c>
      <c r="F1018" t="s">
        <v>4499</v>
      </c>
      <c r="G1018" t="s">
        <v>318</v>
      </c>
      <c r="H1018" t="s">
        <v>319</v>
      </c>
      <c r="I1018" s="130">
        <v>45212</v>
      </c>
      <c r="J1018" t="s">
        <v>3070</v>
      </c>
      <c r="K1018">
        <v>31</v>
      </c>
      <c r="M10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18" t="str">
        <f>DO_DB[[#This Row],[Material Pick-update]]&amp;"_"&amp;DO_DB[[#This Row],[Material Name]]</f>
        <v>45212_Pole 7M 3"</v>
      </c>
      <c r="O1018" t="str">
        <f>DO_DB[[#This Row],[SiteID]]</f>
        <v>CLR23-99-061</v>
      </c>
      <c r="P1018" t="str">
        <f>DO_DB[[#This Row],[SiteID]]&amp;"_"&amp;DO_DB[[#This Row],[Material Name]]</f>
        <v>CLR23-99-061_Pole 7M 3"</v>
      </c>
      <c r="Q1018" t="str">
        <f>DO_DB[[#This Row],[DO Number]]</f>
        <v>DOEID23101352</v>
      </c>
      <c r="R1018" t="str">
        <f>DO_DB[[#This Row],[DN Number]]</f>
        <v>DNWID0362023101308</v>
      </c>
    </row>
    <row r="1019" spans="1:18">
      <c r="A1019" t="s">
        <v>314</v>
      </c>
      <c r="B1019" t="s">
        <v>315</v>
      </c>
      <c r="C1019" s="172" t="s">
        <v>4482</v>
      </c>
      <c r="D1019" t="s">
        <v>71</v>
      </c>
      <c r="E1019" t="s">
        <v>92</v>
      </c>
      <c r="F1019" t="s">
        <v>4499</v>
      </c>
      <c r="G1019" t="s">
        <v>318</v>
      </c>
      <c r="H1019" t="s">
        <v>319</v>
      </c>
      <c r="I1019" s="130">
        <v>45212</v>
      </c>
      <c r="J1019" t="s">
        <v>4856</v>
      </c>
      <c r="K1019">
        <v>2</v>
      </c>
      <c r="M10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19" t="str">
        <f>DO_DB[[#This Row],[Material Pick-update]]&amp;"_"&amp;DO_DB[[#This Row],[Material Name]]</f>
        <v>45212_JC 144Core</v>
      </c>
      <c r="O1019" t="str">
        <f>DO_DB[[#This Row],[SiteID]]</f>
        <v>CLR23-99-061</v>
      </c>
      <c r="P1019" t="str">
        <f>DO_DB[[#This Row],[SiteID]]&amp;"_"&amp;DO_DB[[#This Row],[Material Name]]</f>
        <v>CLR23-99-061_JC 144Core</v>
      </c>
      <c r="Q1019" t="str">
        <f>DO_DB[[#This Row],[DO Number]]</f>
        <v>DOEID23101352</v>
      </c>
      <c r="R1019" t="str">
        <f>DO_DB[[#This Row],[DN Number]]</f>
        <v>DNWID0362023101308</v>
      </c>
    </row>
    <row r="1020" spans="1:18">
      <c r="A1020" t="s">
        <v>314</v>
      </c>
      <c r="B1020" t="s">
        <v>315</v>
      </c>
      <c r="C1020" s="172" t="s">
        <v>4482</v>
      </c>
      <c r="D1020" t="s">
        <v>71</v>
      </c>
      <c r="E1020" t="s">
        <v>92</v>
      </c>
      <c r="F1020" t="s">
        <v>4499</v>
      </c>
      <c r="G1020" t="s">
        <v>316</v>
      </c>
      <c r="H1020" t="s">
        <v>317</v>
      </c>
      <c r="I1020" s="130">
        <v>45212</v>
      </c>
      <c r="J1020" t="s">
        <v>14</v>
      </c>
      <c r="K1020">
        <v>3</v>
      </c>
      <c r="M10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20" t="str">
        <f>DO_DB[[#This Row],[Material Pick-update]]&amp;"_"&amp;DO_DB[[#This Row],[Material Name]]</f>
        <v>45212_FDT-48</v>
      </c>
      <c r="O1020" t="str">
        <f>DO_DB[[#This Row],[SiteID]]</f>
        <v>CLR23-99-061</v>
      </c>
      <c r="P1020" t="str">
        <f>DO_DB[[#This Row],[SiteID]]&amp;"_"&amp;DO_DB[[#This Row],[Material Name]]</f>
        <v>CLR23-99-061_FDT-48</v>
      </c>
      <c r="Q1020" t="str">
        <f>DO_DB[[#This Row],[DO Number]]</f>
        <v>DOEID23101353</v>
      </c>
      <c r="R1020" t="str">
        <f>DO_DB[[#This Row],[DN Number]]</f>
        <v>DNWID0342023101306</v>
      </c>
    </row>
    <row r="1021" spans="1:18">
      <c r="A1021" t="s">
        <v>314</v>
      </c>
      <c r="B1021" t="s">
        <v>315</v>
      </c>
      <c r="C1021" s="172" t="s">
        <v>4482</v>
      </c>
      <c r="D1021" t="s">
        <v>71</v>
      </c>
      <c r="E1021" t="s">
        <v>92</v>
      </c>
      <c r="F1021" t="s">
        <v>4499</v>
      </c>
      <c r="G1021" t="s">
        <v>316</v>
      </c>
      <c r="H1021" t="s">
        <v>317</v>
      </c>
      <c r="I1021" s="130">
        <v>45212</v>
      </c>
      <c r="J1021" t="s">
        <v>13</v>
      </c>
      <c r="K1021">
        <v>44</v>
      </c>
      <c r="M10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21" t="str">
        <f>DO_DB[[#This Row],[Material Pick-update]]&amp;"_"&amp;DO_DB[[#This Row],[Material Name]]</f>
        <v>45212_FAT-16</v>
      </c>
      <c r="O1021" t="str">
        <f>DO_DB[[#This Row],[SiteID]]</f>
        <v>CLR23-99-061</v>
      </c>
      <c r="P1021" t="str">
        <f>DO_DB[[#This Row],[SiteID]]&amp;"_"&amp;DO_DB[[#This Row],[Material Name]]</f>
        <v>CLR23-99-061_FAT-16</v>
      </c>
      <c r="Q1021" t="str">
        <f>DO_DB[[#This Row],[DO Number]]</f>
        <v>DOEID23101353</v>
      </c>
      <c r="R1021" t="str">
        <f>DO_DB[[#This Row],[DN Number]]</f>
        <v>DNWID0342023101306</v>
      </c>
    </row>
    <row r="1022" spans="1:18">
      <c r="A1022" t="s">
        <v>95</v>
      </c>
      <c r="B1022" t="s">
        <v>96</v>
      </c>
      <c r="C1022" s="172" t="s">
        <v>4482</v>
      </c>
      <c r="D1022" t="s">
        <v>71</v>
      </c>
      <c r="E1022" t="s">
        <v>92</v>
      </c>
      <c r="F1022" t="s">
        <v>4499</v>
      </c>
      <c r="G1022" t="s">
        <v>320</v>
      </c>
      <c r="H1022" t="s">
        <v>321</v>
      </c>
      <c r="I1022" s="130">
        <v>45212</v>
      </c>
      <c r="J1022" t="s">
        <v>4856</v>
      </c>
      <c r="K1022">
        <v>30</v>
      </c>
      <c r="M10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22" t="str">
        <f>DO_DB[[#This Row],[Material Pick-update]]&amp;"_"&amp;DO_DB[[#This Row],[Material Name]]</f>
        <v>45212_JC 144Core</v>
      </c>
      <c r="O1022" t="str">
        <f>DO_DB[[#This Row],[SiteID]]</f>
        <v>CLR23-99-036</v>
      </c>
      <c r="P1022" t="str">
        <f>DO_DB[[#This Row],[SiteID]]&amp;"_"&amp;DO_DB[[#This Row],[Material Name]]</f>
        <v>CLR23-99-036_JC 144Core</v>
      </c>
      <c r="Q1022" t="str">
        <f>DO_DB[[#This Row],[DO Number]]</f>
        <v>DOEID23101365</v>
      </c>
      <c r="R1022" t="str">
        <f>DO_DB[[#This Row],[DN Number]]</f>
        <v>DNWID0362023101314</v>
      </c>
    </row>
    <row r="1023" spans="1:18">
      <c r="A1023" t="s">
        <v>314</v>
      </c>
      <c r="B1023" t="s">
        <v>315</v>
      </c>
      <c r="C1023" s="172" t="s">
        <v>4482</v>
      </c>
      <c r="D1023" t="s">
        <v>71</v>
      </c>
      <c r="E1023" t="s">
        <v>92</v>
      </c>
      <c r="F1023" t="s">
        <v>4499</v>
      </c>
      <c r="G1023" t="s">
        <v>316</v>
      </c>
      <c r="H1023" t="s">
        <v>317</v>
      </c>
      <c r="I1023" s="130">
        <v>45212</v>
      </c>
      <c r="J1023" t="s">
        <v>3075</v>
      </c>
      <c r="K1023">
        <v>3000</v>
      </c>
      <c r="M10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48C-20231013-01</v>
      </c>
      <c r="N1023" t="str">
        <f>DO_DB[[#This Row],[Material Pick-update]]&amp;"_"&amp;DO_DB[[#This Row],[Material Name]]</f>
        <v>45212_ADSS 48C</v>
      </c>
      <c r="O1023" t="str">
        <f>DO_DB[[#This Row],[SiteID]]</f>
        <v>CLR23-99-061</v>
      </c>
      <c r="P1023" t="str">
        <f>DO_DB[[#This Row],[SiteID]]&amp;"_"&amp;DO_DB[[#This Row],[Material Name]]</f>
        <v>CLR23-99-061_ADSS 48C</v>
      </c>
      <c r="Q1023" t="str">
        <f>DO_DB[[#This Row],[DO Number]]</f>
        <v>DOEID23101353</v>
      </c>
      <c r="R1023" t="str">
        <f>DO_DB[[#This Row],[DN Number]]</f>
        <v>DNWID0342023101306</v>
      </c>
    </row>
    <row r="1024" spans="1:18">
      <c r="A1024" t="s">
        <v>354</v>
      </c>
      <c r="B1024" t="s">
        <v>355</v>
      </c>
      <c r="C1024" s="172" t="s">
        <v>4482</v>
      </c>
      <c r="D1024" t="s">
        <v>71</v>
      </c>
      <c r="E1024" t="s">
        <v>92</v>
      </c>
      <c r="F1024" t="s">
        <v>4499</v>
      </c>
      <c r="G1024" t="s">
        <v>358</v>
      </c>
      <c r="H1024" t="s">
        <v>359</v>
      </c>
      <c r="I1024" s="130">
        <v>45216</v>
      </c>
      <c r="J1024" t="s">
        <v>3069</v>
      </c>
      <c r="K1024">
        <v>64</v>
      </c>
      <c r="M10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24" t="str">
        <f>DO_DB[[#This Row],[Material Pick-update]]&amp;"_"&amp;DO_DB[[#This Row],[Material Name]]</f>
        <v>45216_Pole 7M 4"</v>
      </c>
      <c r="O1024" t="str">
        <f>DO_DB[[#This Row],[SiteID]]</f>
        <v>MF23-01</v>
      </c>
      <c r="P1024" t="str">
        <f>DO_DB[[#This Row],[SiteID]]&amp;"_"&amp;DO_DB[[#This Row],[Material Name]]</f>
        <v>MF23-01_Pole 7M 4"</v>
      </c>
      <c r="Q1024" t="str">
        <f>DO_DB[[#This Row],[DO Number]]</f>
        <v>DOEID231014AB</v>
      </c>
      <c r="R1024" t="str">
        <f>DO_DB[[#This Row],[DN Number]]</f>
        <v>DNWID0362023101407</v>
      </c>
    </row>
    <row r="1025" spans="1:18">
      <c r="A1025" t="s">
        <v>354</v>
      </c>
      <c r="B1025" t="s">
        <v>355</v>
      </c>
      <c r="C1025" s="172" t="s">
        <v>4482</v>
      </c>
      <c r="D1025" t="s">
        <v>71</v>
      </c>
      <c r="E1025" t="s">
        <v>92</v>
      </c>
      <c r="F1025" t="s">
        <v>4499</v>
      </c>
      <c r="G1025" t="s">
        <v>358</v>
      </c>
      <c r="H1025" t="s">
        <v>359</v>
      </c>
      <c r="I1025" s="130">
        <v>45216</v>
      </c>
      <c r="J1025" t="s">
        <v>4856</v>
      </c>
      <c r="K1025">
        <v>2</v>
      </c>
      <c r="M10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25" t="str">
        <f>DO_DB[[#This Row],[Material Pick-update]]&amp;"_"&amp;DO_DB[[#This Row],[Material Name]]</f>
        <v>45216_JC 144Core</v>
      </c>
      <c r="O1025" t="str">
        <f>DO_DB[[#This Row],[SiteID]]</f>
        <v>MF23-01</v>
      </c>
      <c r="P1025" t="str">
        <f>DO_DB[[#This Row],[SiteID]]&amp;"_"&amp;DO_DB[[#This Row],[Material Name]]</f>
        <v>MF23-01_JC 144Core</v>
      </c>
      <c r="Q1025" t="str">
        <f>DO_DB[[#This Row],[DO Number]]</f>
        <v>DOEID231014AB</v>
      </c>
      <c r="R1025" t="str">
        <f>DO_DB[[#This Row],[DN Number]]</f>
        <v>DNWID0362023101407</v>
      </c>
    </row>
    <row r="1026" spans="1:18">
      <c r="A1026" t="s">
        <v>354</v>
      </c>
      <c r="B1026" t="s">
        <v>355</v>
      </c>
      <c r="C1026" s="172" t="s">
        <v>4482</v>
      </c>
      <c r="D1026" t="s">
        <v>71</v>
      </c>
      <c r="E1026" t="s">
        <v>92</v>
      </c>
      <c r="F1026" t="s">
        <v>4499</v>
      </c>
      <c r="G1026" t="s">
        <v>356</v>
      </c>
      <c r="H1026" t="s">
        <v>357</v>
      </c>
      <c r="I1026" s="130">
        <v>45216</v>
      </c>
      <c r="J1026" t="s">
        <v>14</v>
      </c>
      <c r="K1026">
        <v>1</v>
      </c>
      <c r="M10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26" t="str">
        <f>DO_DB[[#This Row],[Material Pick-update]]&amp;"_"&amp;DO_DB[[#This Row],[Material Name]]</f>
        <v>45216_FDT-48</v>
      </c>
      <c r="O1026" t="str">
        <f>DO_DB[[#This Row],[SiteID]]</f>
        <v>MF23-01</v>
      </c>
      <c r="P1026" t="str">
        <f>DO_DB[[#This Row],[SiteID]]&amp;"_"&amp;DO_DB[[#This Row],[Material Name]]</f>
        <v>MF23-01_FDT-48</v>
      </c>
      <c r="Q1026" t="str">
        <f>DO_DB[[#This Row],[DO Number]]</f>
        <v>DOEID231014AC</v>
      </c>
      <c r="R1026" t="str">
        <f>DO_DB[[#This Row],[DN Number]]</f>
        <v>DNWID0342023101413</v>
      </c>
    </row>
    <row r="1027" spans="1:18">
      <c r="A1027" t="s">
        <v>354</v>
      </c>
      <c r="B1027" t="s">
        <v>355</v>
      </c>
      <c r="C1027" s="172" t="s">
        <v>4482</v>
      </c>
      <c r="D1027" t="s">
        <v>71</v>
      </c>
      <c r="E1027" t="s">
        <v>92</v>
      </c>
      <c r="F1027" t="s">
        <v>4499</v>
      </c>
      <c r="G1027" t="s">
        <v>356</v>
      </c>
      <c r="H1027" t="s">
        <v>357</v>
      </c>
      <c r="I1027" s="130">
        <v>45216</v>
      </c>
      <c r="J1027" t="s">
        <v>3076</v>
      </c>
      <c r="K1027">
        <v>6000</v>
      </c>
      <c r="M10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96C-20231017-01</v>
      </c>
      <c r="N1027" t="str">
        <f>DO_DB[[#This Row],[Material Pick-update]]&amp;"_"&amp;DO_DB[[#This Row],[Material Name]]</f>
        <v>45216_ADSS 96C</v>
      </c>
      <c r="O1027" t="str">
        <f>DO_DB[[#This Row],[SiteID]]</f>
        <v>MF23-01</v>
      </c>
      <c r="P1027" t="str">
        <f>DO_DB[[#This Row],[SiteID]]&amp;"_"&amp;DO_DB[[#This Row],[Material Name]]</f>
        <v>MF23-01_ADSS 96C</v>
      </c>
      <c r="Q1027" t="str">
        <f>DO_DB[[#This Row],[DO Number]]</f>
        <v>DOEID231014AC</v>
      </c>
      <c r="R1027" t="str">
        <f>DO_DB[[#This Row],[DN Number]]</f>
        <v>DNWID0342023101413</v>
      </c>
    </row>
    <row r="1028" spans="1:18">
      <c r="A1028" t="s">
        <v>412</v>
      </c>
      <c r="B1028" t="s">
        <v>413</v>
      </c>
      <c r="C1028" s="172" t="s">
        <v>4482</v>
      </c>
      <c r="D1028" t="s">
        <v>71</v>
      </c>
      <c r="E1028" t="s">
        <v>92</v>
      </c>
      <c r="F1028" t="s">
        <v>4499</v>
      </c>
      <c r="G1028" t="s">
        <v>424</v>
      </c>
      <c r="H1028" t="s">
        <v>425</v>
      </c>
      <c r="I1028" s="130">
        <v>45224</v>
      </c>
      <c r="J1028" t="s">
        <v>3069</v>
      </c>
      <c r="K1028">
        <v>11</v>
      </c>
      <c r="M10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28" t="str">
        <f>DO_DB[[#This Row],[Material Pick-update]]&amp;"_"&amp;DO_DB[[#This Row],[Material Name]]</f>
        <v>45224_Pole 7M 4"</v>
      </c>
      <c r="O1028" t="str">
        <f>DO_DB[[#This Row],[SiteID]]</f>
        <v>CLR23-99-053</v>
      </c>
      <c r="P1028" t="str">
        <f>DO_DB[[#This Row],[SiteID]]&amp;"_"&amp;DO_DB[[#This Row],[Material Name]]</f>
        <v>CLR23-99-053_Pole 7M 4"</v>
      </c>
      <c r="Q1028" t="str">
        <f>DO_DB[[#This Row],[DO Number]]</f>
        <v>DOEID23102347</v>
      </c>
      <c r="R1028" t="str">
        <f>DO_DB[[#This Row],[DN Number]]</f>
        <v>DNWID0362023102313</v>
      </c>
    </row>
    <row r="1029" spans="1:18">
      <c r="A1029" t="s">
        <v>412</v>
      </c>
      <c r="B1029" t="s">
        <v>413</v>
      </c>
      <c r="C1029" s="172" t="s">
        <v>4482</v>
      </c>
      <c r="D1029" t="s">
        <v>71</v>
      </c>
      <c r="E1029" t="s">
        <v>92</v>
      </c>
      <c r="F1029" t="s">
        <v>4499</v>
      </c>
      <c r="G1029" t="s">
        <v>424</v>
      </c>
      <c r="H1029" t="s">
        <v>425</v>
      </c>
      <c r="I1029" s="130">
        <v>45224</v>
      </c>
      <c r="J1029" t="s">
        <v>3070</v>
      </c>
      <c r="K1029">
        <v>3</v>
      </c>
      <c r="M10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29" t="str">
        <f>DO_DB[[#This Row],[Material Pick-update]]&amp;"_"&amp;DO_DB[[#This Row],[Material Name]]</f>
        <v>45224_Pole 7M 3"</v>
      </c>
      <c r="O1029" t="str">
        <f>DO_DB[[#This Row],[SiteID]]</f>
        <v>CLR23-99-053</v>
      </c>
      <c r="P1029" t="str">
        <f>DO_DB[[#This Row],[SiteID]]&amp;"_"&amp;DO_DB[[#This Row],[Material Name]]</f>
        <v>CLR23-99-053_Pole 7M 3"</v>
      </c>
      <c r="Q1029" t="str">
        <f>DO_DB[[#This Row],[DO Number]]</f>
        <v>DOEID23102347</v>
      </c>
      <c r="R1029" t="str">
        <f>DO_DB[[#This Row],[DN Number]]</f>
        <v>DNWID0362023102313</v>
      </c>
    </row>
    <row r="1030" spans="1:18">
      <c r="A1030" t="s">
        <v>412</v>
      </c>
      <c r="B1030" t="s">
        <v>413</v>
      </c>
      <c r="C1030" s="172" t="s">
        <v>4482</v>
      </c>
      <c r="D1030" t="s">
        <v>71</v>
      </c>
      <c r="E1030" t="s">
        <v>92</v>
      </c>
      <c r="F1030" t="s">
        <v>4499</v>
      </c>
      <c r="G1030" t="s">
        <v>414</v>
      </c>
      <c r="H1030" t="s">
        <v>415</v>
      </c>
      <c r="I1030" s="130">
        <v>45224</v>
      </c>
      <c r="J1030" t="s">
        <v>14</v>
      </c>
      <c r="K1030">
        <v>1</v>
      </c>
      <c r="M10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30" t="str">
        <f>DO_DB[[#This Row],[Material Pick-update]]&amp;"_"&amp;DO_DB[[#This Row],[Material Name]]</f>
        <v>45224_FDT-48</v>
      </c>
      <c r="O1030" t="str">
        <f>DO_DB[[#This Row],[SiteID]]</f>
        <v>CLR23-99-053</v>
      </c>
      <c r="P1030" t="str">
        <f>DO_DB[[#This Row],[SiteID]]&amp;"_"&amp;DO_DB[[#This Row],[Material Name]]</f>
        <v>CLR23-99-053_FDT-48</v>
      </c>
      <c r="Q1030" t="str">
        <f>DO_DB[[#This Row],[DO Number]]</f>
        <v>DOEID23102348</v>
      </c>
      <c r="R1030" t="str">
        <f>DO_DB[[#This Row],[DN Number]]</f>
        <v>DNWID0342023102319</v>
      </c>
    </row>
    <row r="1031" spans="1:18">
      <c r="A1031" t="s">
        <v>416</v>
      </c>
      <c r="B1031" t="s">
        <v>417</v>
      </c>
      <c r="C1031" s="172" t="s">
        <v>4482</v>
      </c>
      <c r="D1031" t="s">
        <v>71</v>
      </c>
      <c r="E1031" t="s">
        <v>92</v>
      </c>
      <c r="F1031" t="s">
        <v>4499</v>
      </c>
      <c r="G1031" t="s">
        <v>426</v>
      </c>
      <c r="H1031" t="s">
        <v>427</v>
      </c>
      <c r="I1031" s="130">
        <v>45224</v>
      </c>
      <c r="J1031" t="s">
        <v>3069</v>
      </c>
      <c r="K1031">
        <v>19</v>
      </c>
      <c r="M10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31" t="str">
        <f>DO_DB[[#This Row],[Material Pick-update]]&amp;"_"&amp;DO_DB[[#This Row],[Material Name]]</f>
        <v>45224_Pole 7M 4"</v>
      </c>
      <c r="O1031" t="str">
        <f>DO_DB[[#This Row],[SiteID]]</f>
        <v>CLR23-99-054</v>
      </c>
      <c r="P1031" t="str">
        <f>DO_DB[[#This Row],[SiteID]]&amp;"_"&amp;DO_DB[[#This Row],[Material Name]]</f>
        <v>CLR23-99-054_Pole 7M 4"</v>
      </c>
      <c r="Q1031" t="str">
        <f>DO_DB[[#This Row],[DO Number]]</f>
        <v>DOEID23102349</v>
      </c>
      <c r="R1031" t="str">
        <f>DO_DB[[#This Row],[DN Number]]</f>
        <v>DNWID0362023102314</v>
      </c>
    </row>
    <row r="1032" spans="1:18">
      <c r="A1032" t="s">
        <v>416</v>
      </c>
      <c r="B1032" t="s">
        <v>417</v>
      </c>
      <c r="C1032" s="172" t="s">
        <v>4482</v>
      </c>
      <c r="D1032" t="s">
        <v>71</v>
      </c>
      <c r="E1032" t="s">
        <v>92</v>
      </c>
      <c r="F1032" t="s">
        <v>4499</v>
      </c>
      <c r="G1032" t="s">
        <v>426</v>
      </c>
      <c r="H1032" t="s">
        <v>427</v>
      </c>
      <c r="I1032" s="130">
        <v>45224</v>
      </c>
      <c r="J1032" t="s">
        <v>3070</v>
      </c>
      <c r="K1032">
        <v>1</v>
      </c>
      <c r="M10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32" t="str">
        <f>DO_DB[[#This Row],[Material Pick-update]]&amp;"_"&amp;DO_DB[[#This Row],[Material Name]]</f>
        <v>45224_Pole 7M 3"</v>
      </c>
      <c r="O1032" t="str">
        <f>DO_DB[[#This Row],[SiteID]]</f>
        <v>CLR23-99-054</v>
      </c>
      <c r="P1032" t="str">
        <f>DO_DB[[#This Row],[SiteID]]&amp;"_"&amp;DO_DB[[#This Row],[Material Name]]</f>
        <v>CLR23-99-054_Pole 7M 3"</v>
      </c>
      <c r="Q1032" t="str">
        <f>DO_DB[[#This Row],[DO Number]]</f>
        <v>DOEID23102349</v>
      </c>
      <c r="R1032" t="str">
        <f>DO_DB[[#This Row],[DN Number]]</f>
        <v>DNWID0362023102314</v>
      </c>
    </row>
    <row r="1033" spans="1:18">
      <c r="A1033" t="s">
        <v>428</v>
      </c>
      <c r="B1033" t="s">
        <v>429</v>
      </c>
      <c r="C1033" s="172" t="s">
        <v>4482</v>
      </c>
      <c r="D1033" t="s">
        <v>71</v>
      </c>
      <c r="E1033" t="s">
        <v>92</v>
      </c>
      <c r="F1033" t="s">
        <v>4499</v>
      </c>
      <c r="G1033" t="s">
        <v>430</v>
      </c>
      <c r="H1033" t="s">
        <v>431</v>
      </c>
      <c r="I1033" s="130">
        <v>45224</v>
      </c>
      <c r="J1033" t="s">
        <v>3069</v>
      </c>
      <c r="K1033">
        <v>8</v>
      </c>
      <c r="M10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33" t="str">
        <f>DO_DB[[#This Row],[Material Pick-update]]&amp;"_"&amp;DO_DB[[#This Row],[Material Name]]</f>
        <v>45224_Pole 7M 4"</v>
      </c>
      <c r="O1033" t="str">
        <f>DO_DB[[#This Row],[SiteID]]</f>
        <v>CLR23-99-055</v>
      </c>
      <c r="P1033" t="str">
        <f>DO_DB[[#This Row],[SiteID]]&amp;"_"&amp;DO_DB[[#This Row],[Material Name]]</f>
        <v>CLR23-99-055_Pole 7M 4"</v>
      </c>
      <c r="Q1033" t="str">
        <f>DO_DB[[#This Row],[DO Number]]</f>
        <v>DOEID23102351</v>
      </c>
      <c r="R1033" t="str">
        <f>DO_DB[[#This Row],[DN Number]]</f>
        <v>DNWID0362023102315</v>
      </c>
    </row>
    <row r="1034" spans="1:18">
      <c r="A1034" t="s">
        <v>420</v>
      </c>
      <c r="B1034" t="s">
        <v>421</v>
      </c>
      <c r="C1034" s="172" t="s">
        <v>4482</v>
      </c>
      <c r="D1034" t="s">
        <v>71</v>
      </c>
      <c r="E1034" t="s">
        <v>92</v>
      </c>
      <c r="F1034" t="s">
        <v>4499</v>
      </c>
      <c r="G1034" t="s">
        <v>432</v>
      </c>
      <c r="H1034" t="s">
        <v>433</v>
      </c>
      <c r="I1034" s="130">
        <v>45224</v>
      </c>
      <c r="J1034" t="s">
        <v>3069</v>
      </c>
      <c r="K1034">
        <v>13</v>
      </c>
      <c r="M10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34" t="str">
        <f>DO_DB[[#This Row],[Material Pick-update]]&amp;"_"&amp;DO_DB[[#This Row],[Material Name]]</f>
        <v>45224_Pole 7M 4"</v>
      </c>
      <c r="O1034" t="str">
        <f>DO_DB[[#This Row],[SiteID]]</f>
        <v>CLR23-99-056</v>
      </c>
      <c r="P1034" t="str">
        <f>DO_DB[[#This Row],[SiteID]]&amp;"_"&amp;DO_DB[[#This Row],[Material Name]]</f>
        <v>CLR23-99-056_Pole 7M 4"</v>
      </c>
      <c r="Q1034" t="str">
        <f>DO_DB[[#This Row],[DO Number]]</f>
        <v>DOEID23102352</v>
      </c>
      <c r="R1034" t="str">
        <f>DO_DB[[#This Row],[DN Number]]</f>
        <v>DNWID0362023102316</v>
      </c>
    </row>
    <row r="1035" spans="1:18">
      <c r="A1035" t="s">
        <v>420</v>
      </c>
      <c r="B1035" t="s">
        <v>421</v>
      </c>
      <c r="C1035" s="172" t="s">
        <v>4482</v>
      </c>
      <c r="D1035" t="s">
        <v>71</v>
      </c>
      <c r="E1035" t="s">
        <v>92</v>
      </c>
      <c r="F1035" t="s">
        <v>4499</v>
      </c>
      <c r="G1035" t="s">
        <v>432</v>
      </c>
      <c r="H1035" t="s">
        <v>433</v>
      </c>
      <c r="I1035" s="130">
        <v>45224</v>
      </c>
      <c r="J1035" t="s">
        <v>3070</v>
      </c>
      <c r="K1035">
        <v>5</v>
      </c>
      <c r="M10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35" t="str">
        <f>DO_DB[[#This Row],[Material Pick-update]]&amp;"_"&amp;DO_DB[[#This Row],[Material Name]]</f>
        <v>45224_Pole 7M 3"</v>
      </c>
      <c r="O1035" t="str">
        <f>DO_DB[[#This Row],[SiteID]]</f>
        <v>CLR23-99-056</v>
      </c>
      <c r="P1035" t="str">
        <f>DO_DB[[#This Row],[SiteID]]&amp;"_"&amp;DO_DB[[#This Row],[Material Name]]</f>
        <v>CLR23-99-056_Pole 7M 3"</v>
      </c>
      <c r="Q1035" t="str">
        <f>DO_DB[[#This Row],[DO Number]]</f>
        <v>DOEID23102352</v>
      </c>
      <c r="R1035" t="str">
        <f>DO_DB[[#This Row],[DN Number]]</f>
        <v>DNWID0362023102316</v>
      </c>
    </row>
    <row r="1036" spans="1:18">
      <c r="A1036" t="s">
        <v>412</v>
      </c>
      <c r="B1036" t="s">
        <v>413</v>
      </c>
      <c r="C1036" s="172" t="s">
        <v>4482</v>
      </c>
      <c r="D1036" t="s">
        <v>71</v>
      </c>
      <c r="E1036" t="s">
        <v>92</v>
      </c>
      <c r="F1036" t="s">
        <v>4499</v>
      </c>
      <c r="G1036" t="s">
        <v>414</v>
      </c>
      <c r="H1036" t="s">
        <v>415</v>
      </c>
      <c r="I1036" s="130">
        <v>45224</v>
      </c>
      <c r="J1036" t="s">
        <v>3073</v>
      </c>
      <c r="K1036">
        <v>3000</v>
      </c>
      <c r="M10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24C-20231025-01</v>
      </c>
      <c r="N1036" t="str">
        <f>DO_DB[[#This Row],[Material Pick-update]]&amp;"_"&amp;DO_DB[[#This Row],[Material Name]]</f>
        <v>45224_ADSS 24C</v>
      </c>
      <c r="O1036" t="str">
        <f>DO_DB[[#This Row],[SiteID]]</f>
        <v>CLR23-99-053</v>
      </c>
      <c r="P1036" t="str">
        <f>DO_DB[[#This Row],[SiteID]]&amp;"_"&amp;DO_DB[[#This Row],[Material Name]]</f>
        <v>CLR23-99-053_ADSS 24C</v>
      </c>
      <c r="Q1036" t="str">
        <f>DO_DB[[#This Row],[DO Number]]</f>
        <v>DOEID23102348</v>
      </c>
      <c r="R1036" t="str">
        <f>DO_DB[[#This Row],[DN Number]]</f>
        <v>DNWID0342023102319</v>
      </c>
    </row>
    <row r="1037" spans="1:18">
      <c r="A1037" t="s">
        <v>416</v>
      </c>
      <c r="B1037" t="s">
        <v>417</v>
      </c>
      <c r="C1037" s="172" t="s">
        <v>4482</v>
      </c>
      <c r="D1037" t="s">
        <v>71</v>
      </c>
      <c r="E1037" t="s">
        <v>92</v>
      </c>
      <c r="F1037" t="s">
        <v>4499</v>
      </c>
      <c r="G1037" t="s">
        <v>418</v>
      </c>
      <c r="H1037" t="s">
        <v>419</v>
      </c>
      <c r="I1037" s="130">
        <v>45224</v>
      </c>
      <c r="J1037" t="s">
        <v>3075</v>
      </c>
      <c r="K1037">
        <v>3000</v>
      </c>
      <c r="M10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48C-20231025-01</v>
      </c>
      <c r="N1037" t="str">
        <f>DO_DB[[#This Row],[Material Pick-update]]&amp;"_"&amp;DO_DB[[#This Row],[Material Name]]</f>
        <v>45224_ADSS 48C</v>
      </c>
      <c r="O1037" t="str">
        <f>DO_DB[[#This Row],[SiteID]]</f>
        <v>CLR23-99-054</v>
      </c>
      <c r="P1037" t="str">
        <f>DO_DB[[#This Row],[SiteID]]&amp;"_"&amp;DO_DB[[#This Row],[Material Name]]</f>
        <v>CLR23-99-054_ADSS 48C</v>
      </c>
      <c r="Q1037" t="str">
        <f>DO_DB[[#This Row],[DO Number]]</f>
        <v>DOEID23102350</v>
      </c>
      <c r="R1037" t="str">
        <f>DO_DB[[#This Row],[DN Number]]</f>
        <v>DNWID0342023102320</v>
      </c>
    </row>
    <row r="1038" spans="1:18">
      <c r="A1038" t="s">
        <v>420</v>
      </c>
      <c r="B1038" t="s">
        <v>421</v>
      </c>
      <c r="C1038" s="172" t="s">
        <v>4482</v>
      </c>
      <c r="D1038" t="s">
        <v>71</v>
      </c>
      <c r="E1038" t="s">
        <v>92</v>
      </c>
      <c r="F1038" t="s">
        <v>4499</v>
      </c>
      <c r="G1038" t="s">
        <v>422</v>
      </c>
      <c r="H1038" t="s">
        <v>423</v>
      </c>
      <c r="I1038" s="130">
        <v>45224</v>
      </c>
      <c r="J1038" t="s">
        <v>3073</v>
      </c>
      <c r="K1038">
        <v>3000</v>
      </c>
      <c r="M10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24C-20231025-01</v>
      </c>
      <c r="N1038" t="str">
        <f>DO_DB[[#This Row],[Material Pick-update]]&amp;"_"&amp;DO_DB[[#This Row],[Material Name]]</f>
        <v>45224_ADSS 24C</v>
      </c>
      <c r="O1038" t="str">
        <f>DO_DB[[#This Row],[SiteID]]</f>
        <v>CLR23-99-056</v>
      </c>
      <c r="P1038" t="str">
        <f>DO_DB[[#This Row],[SiteID]]&amp;"_"&amp;DO_DB[[#This Row],[Material Name]]</f>
        <v>CLR23-99-056_ADSS 24C</v>
      </c>
      <c r="Q1038" t="str">
        <f>DO_DB[[#This Row],[DO Number]]</f>
        <v>DOEID23102353</v>
      </c>
      <c r="R1038" t="str">
        <f>DO_DB[[#This Row],[DN Number]]</f>
        <v>DNWID0342023102321</v>
      </c>
    </row>
    <row r="1039" spans="1:18">
      <c r="A1039" t="s">
        <v>420</v>
      </c>
      <c r="B1039" t="s">
        <v>421</v>
      </c>
      <c r="C1039" s="172" t="s">
        <v>4482</v>
      </c>
      <c r="D1039" t="s">
        <v>71</v>
      </c>
      <c r="E1039" t="s">
        <v>92</v>
      </c>
      <c r="F1039" t="s">
        <v>4499</v>
      </c>
      <c r="G1039" t="s">
        <v>456</v>
      </c>
      <c r="H1039" t="s">
        <v>457</v>
      </c>
      <c r="I1039" s="130">
        <v>45229</v>
      </c>
      <c r="J1039" t="s">
        <v>13</v>
      </c>
      <c r="K1039">
        <v>6</v>
      </c>
      <c r="M10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39" t="str">
        <f>DO_DB[[#This Row],[Material Pick-update]]&amp;"_"&amp;DO_DB[[#This Row],[Material Name]]</f>
        <v>45229_FAT-16</v>
      </c>
      <c r="O1039" t="str">
        <f>DO_DB[[#This Row],[SiteID]]</f>
        <v>CLR23-99-056</v>
      </c>
      <c r="P1039" t="str">
        <f>DO_DB[[#This Row],[SiteID]]&amp;"_"&amp;DO_DB[[#This Row],[Material Name]]</f>
        <v>CLR23-99-056_FAT-16</v>
      </c>
      <c r="Q1039" t="str">
        <f>DO_DB[[#This Row],[DO Number]]</f>
        <v>DOEID23103185</v>
      </c>
      <c r="R1039" t="str">
        <f>DO_DB[[#This Row],[DN Number]]</f>
        <v>DNWID0342023103103</v>
      </c>
    </row>
    <row r="1040" spans="1:18">
      <c r="A1040" t="s">
        <v>428</v>
      </c>
      <c r="B1040" t="s">
        <v>429</v>
      </c>
      <c r="C1040" s="172" t="s">
        <v>4482</v>
      </c>
      <c r="D1040" t="s">
        <v>71</v>
      </c>
      <c r="E1040" t="s">
        <v>92</v>
      </c>
      <c r="F1040" t="s">
        <v>4499</v>
      </c>
      <c r="G1040" t="s">
        <v>460</v>
      </c>
      <c r="H1040" t="s">
        <v>461</v>
      </c>
      <c r="I1040" s="130">
        <v>45229</v>
      </c>
      <c r="J1040" t="s">
        <v>13</v>
      </c>
      <c r="K1040">
        <v>6</v>
      </c>
      <c r="M10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40" t="str">
        <f>DO_DB[[#This Row],[Material Pick-update]]&amp;"_"&amp;DO_DB[[#This Row],[Material Name]]</f>
        <v>45229_FAT-16</v>
      </c>
      <c r="O1040" t="str">
        <f>DO_DB[[#This Row],[SiteID]]</f>
        <v>CLR23-99-055</v>
      </c>
      <c r="P1040" t="str">
        <f>DO_DB[[#This Row],[SiteID]]&amp;"_"&amp;DO_DB[[#This Row],[Material Name]]</f>
        <v>CLR23-99-055_FAT-16</v>
      </c>
      <c r="Q1040" t="str">
        <f>DO_DB[[#This Row],[DO Number]]</f>
        <v>DOEID23103186</v>
      </c>
      <c r="R1040" t="str">
        <f>DO_DB[[#This Row],[DN Number]]</f>
        <v>DNWID0342023103105</v>
      </c>
    </row>
    <row r="1041" spans="1:18">
      <c r="A1041" t="s">
        <v>416</v>
      </c>
      <c r="B1041" t="s">
        <v>417</v>
      </c>
      <c r="C1041" s="172" t="s">
        <v>4482</v>
      </c>
      <c r="D1041" t="s">
        <v>71</v>
      </c>
      <c r="E1041" t="s">
        <v>92</v>
      </c>
      <c r="F1041" t="s">
        <v>4499</v>
      </c>
      <c r="G1041" t="s">
        <v>462</v>
      </c>
      <c r="H1041" t="s">
        <v>463</v>
      </c>
      <c r="I1041" s="130">
        <v>45229</v>
      </c>
      <c r="J1041" t="s">
        <v>13</v>
      </c>
      <c r="K1041">
        <v>4</v>
      </c>
      <c r="M10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41" t="str">
        <f>DO_DB[[#This Row],[Material Pick-update]]&amp;"_"&amp;DO_DB[[#This Row],[Material Name]]</f>
        <v>45229_FAT-16</v>
      </c>
      <c r="O1041" t="str">
        <f>DO_DB[[#This Row],[SiteID]]</f>
        <v>CLR23-99-054</v>
      </c>
      <c r="P1041" t="str">
        <f>DO_DB[[#This Row],[SiteID]]&amp;"_"&amp;DO_DB[[#This Row],[Material Name]]</f>
        <v>CLR23-99-054_FAT-16</v>
      </c>
      <c r="Q1041" t="str">
        <f>DO_DB[[#This Row],[DO Number]]</f>
        <v>DOEID23103187</v>
      </c>
      <c r="R1041" t="str">
        <f>DO_DB[[#This Row],[DN Number]]</f>
        <v>DNWID0342023103106</v>
      </c>
    </row>
    <row r="1042" spans="1:18">
      <c r="A1042" t="s">
        <v>412</v>
      </c>
      <c r="B1042" t="s">
        <v>413</v>
      </c>
      <c r="C1042" s="172" t="s">
        <v>4482</v>
      </c>
      <c r="D1042" t="s">
        <v>71</v>
      </c>
      <c r="E1042" t="s">
        <v>92</v>
      </c>
      <c r="F1042" t="s">
        <v>4499</v>
      </c>
      <c r="G1042" t="s">
        <v>458</v>
      </c>
      <c r="H1042" t="s">
        <v>459</v>
      </c>
      <c r="I1042" s="130">
        <v>45229</v>
      </c>
      <c r="J1042" t="s">
        <v>13</v>
      </c>
      <c r="K1042">
        <v>9</v>
      </c>
      <c r="M10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42" t="str">
        <f>DO_DB[[#This Row],[Material Pick-update]]&amp;"_"&amp;DO_DB[[#This Row],[Material Name]]</f>
        <v>45229_FAT-16</v>
      </c>
      <c r="O1042" t="str">
        <f>DO_DB[[#This Row],[SiteID]]</f>
        <v>CLR23-99-053</v>
      </c>
      <c r="P1042" t="str">
        <f>DO_DB[[#This Row],[SiteID]]&amp;"_"&amp;DO_DB[[#This Row],[Material Name]]</f>
        <v>CLR23-99-053_FAT-16</v>
      </c>
      <c r="Q1042" t="str">
        <f>DO_DB[[#This Row],[DO Number]]</f>
        <v>DOEID23103188</v>
      </c>
      <c r="R1042" t="str">
        <f>DO_DB[[#This Row],[DN Number]]</f>
        <v>DNWID0342023103104</v>
      </c>
    </row>
    <row r="1043" spans="1:18">
      <c r="A1043" t="s">
        <v>534</v>
      </c>
      <c r="B1043" t="s">
        <v>535</v>
      </c>
      <c r="C1043" t="s">
        <v>4482</v>
      </c>
      <c r="D1043" t="s">
        <v>71</v>
      </c>
      <c r="E1043" t="s">
        <v>92</v>
      </c>
      <c r="F1043" t="s">
        <v>4499</v>
      </c>
      <c r="G1043" t="s">
        <v>538</v>
      </c>
      <c r="H1043" t="s">
        <v>539</v>
      </c>
      <c r="I1043" s="130">
        <v>45240</v>
      </c>
      <c r="J1043" t="s">
        <v>3073</v>
      </c>
      <c r="K1043">
        <v>6000</v>
      </c>
      <c r="M10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24C-20231110-01</v>
      </c>
      <c r="N1043" t="str">
        <f>DO_DB[[#This Row],[Material Pick-update]]&amp;"_"&amp;DO_DB[[#This Row],[Material Name]]</f>
        <v>45240_ADSS 24C</v>
      </c>
      <c r="O1043" t="str">
        <f>DO_DB[[#This Row],[SiteID]]</f>
        <v>CLR23-03-014</v>
      </c>
      <c r="P1043" t="str">
        <f>DO_DB[[#This Row],[SiteID]]&amp;"_"&amp;DO_DB[[#This Row],[Material Name]]</f>
        <v>CLR23-03-014_ADSS 24C</v>
      </c>
      <c r="Q1043" t="str">
        <f>DO_DB[[#This Row],[DO Number]]</f>
        <v>DOEID23111036</v>
      </c>
      <c r="R1043" t="str">
        <f>DO_DB[[#This Row],[DN Number]]</f>
        <v>DNWID0342023111003</v>
      </c>
    </row>
    <row r="1044" spans="1:18">
      <c r="A1044" t="s">
        <v>534</v>
      </c>
      <c r="B1044" t="s">
        <v>535</v>
      </c>
      <c r="C1044" t="s">
        <v>4482</v>
      </c>
      <c r="D1044" t="s">
        <v>71</v>
      </c>
      <c r="E1044" t="s">
        <v>92</v>
      </c>
      <c r="F1044" t="s">
        <v>4499</v>
      </c>
      <c r="G1044" t="s">
        <v>538</v>
      </c>
      <c r="H1044" t="s">
        <v>539</v>
      </c>
      <c r="I1044" s="130">
        <v>45240</v>
      </c>
      <c r="J1044" t="s">
        <v>3075</v>
      </c>
      <c r="K1044">
        <v>9000</v>
      </c>
      <c r="M10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48C-20231110-01</v>
      </c>
      <c r="N1044" t="str">
        <f>DO_DB[[#This Row],[Material Pick-update]]&amp;"_"&amp;DO_DB[[#This Row],[Material Name]]</f>
        <v>45240_ADSS 48C</v>
      </c>
      <c r="O1044" t="str">
        <f>DO_DB[[#This Row],[SiteID]]</f>
        <v>CLR23-03-014</v>
      </c>
      <c r="P1044" t="str">
        <f>DO_DB[[#This Row],[SiteID]]&amp;"_"&amp;DO_DB[[#This Row],[Material Name]]</f>
        <v>CLR23-03-014_ADSS 48C</v>
      </c>
      <c r="Q1044" t="str">
        <f>DO_DB[[#This Row],[DO Number]]</f>
        <v>DOEID23111036</v>
      </c>
      <c r="R1044" t="str">
        <f>DO_DB[[#This Row],[DN Number]]</f>
        <v>DNWID0342023111003</v>
      </c>
    </row>
    <row r="1045" spans="1:18">
      <c r="A1045" t="s">
        <v>534</v>
      </c>
      <c r="B1045" t="s">
        <v>535</v>
      </c>
      <c r="C1045" s="172" t="s">
        <v>4482</v>
      </c>
      <c r="D1045" t="s">
        <v>71</v>
      </c>
      <c r="E1045" t="s">
        <v>92</v>
      </c>
      <c r="F1045" t="s">
        <v>4499</v>
      </c>
      <c r="G1045" t="s">
        <v>536</v>
      </c>
      <c r="H1045" t="s">
        <v>537</v>
      </c>
      <c r="I1045" s="130">
        <v>45240</v>
      </c>
      <c r="J1045" t="s">
        <v>3069</v>
      </c>
      <c r="K1045">
        <v>176</v>
      </c>
      <c r="M10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45" t="str">
        <f>DO_DB[[#This Row],[Material Pick-update]]&amp;"_"&amp;DO_DB[[#This Row],[Material Name]]</f>
        <v>45240_Pole 7M 4"</v>
      </c>
      <c r="O1045" t="str">
        <f>DO_DB[[#This Row],[SiteID]]</f>
        <v>CLR23-03-014</v>
      </c>
      <c r="P1045" t="str">
        <f>DO_DB[[#This Row],[SiteID]]&amp;"_"&amp;DO_DB[[#This Row],[Material Name]]</f>
        <v>CLR23-03-014_Pole 7M 4"</v>
      </c>
      <c r="Q1045" t="str">
        <f>DO_DB[[#This Row],[DO Number]]</f>
        <v>DOEID23111035</v>
      </c>
      <c r="R1045" t="str">
        <f>DO_DB[[#This Row],[DN Number]]</f>
        <v>DNWID0362023111002</v>
      </c>
    </row>
    <row r="1046" spans="1:18">
      <c r="A1046" t="s">
        <v>534</v>
      </c>
      <c r="B1046" t="s">
        <v>535</v>
      </c>
      <c r="C1046" s="172" t="s">
        <v>4482</v>
      </c>
      <c r="D1046" t="s">
        <v>71</v>
      </c>
      <c r="E1046" t="s">
        <v>92</v>
      </c>
      <c r="F1046" t="s">
        <v>4499</v>
      </c>
      <c r="G1046" t="s">
        <v>536</v>
      </c>
      <c r="H1046" t="s">
        <v>537</v>
      </c>
      <c r="I1046" s="130">
        <v>45240</v>
      </c>
      <c r="J1046" t="s">
        <v>3070</v>
      </c>
      <c r="K1046">
        <v>47</v>
      </c>
      <c r="M10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46" t="str">
        <f>DO_DB[[#This Row],[Material Pick-update]]&amp;"_"&amp;DO_DB[[#This Row],[Material Name]]</f>
        <v>45240_Pole 7M 3"</v>
      </c>
      <c r="O1046" t="str">
        <f>DO_DB[[#This Row],[SiteID]]</f>
        <v>CLR23-03-014</v>
      </c>
      <c r="P1046" t="str">
        <f>DO_DB[[#This Row],[SiteID]]&amp;"_"&amp;DO_DB[[#This Row],[Material Name]]</f>
        <v>CLR23-03-014_Pole 7M 3"</v>
      </c>
      <c r="Q1046" t="str">
        <f>DO_DB[[#This Row],[DO Number]]</f>
        <v>DOEID23111035</v>
      </c>
      <c r="R1046" t="str">
        <f>DO_DB[[#This Row],[DN Number]]</f>
        <v>DNWID0362023111002</v>
      </c>
    </row>
    <row r="1047" spans="1:18">
      <c r="A1047" t="s">
        <v>534</v>
      </c>
      <c r="B1047" t="s">
        <v>535</v>
      </c>
      <c r="C1047" s="172" t="s">
        <v>4482</v>
      </c>
      <c r="D1047" t="s">
        <v>71</v>
      </c>
      <c r="E1047" t="s">
        <v>92</v>
      </c>
      <c r="F1047" t="s">
        <v>4499</v>
      </c>
      <c r="G1047" t="s">
        <v>536</v>
      </c>
      <c r="H1047" t="s">
        <v>537</v>
      </c>
      <c r="I1047" s="130">
        <v>45240</v>
      </c>
      <c r="J1047" t="s">
        <v>3071</v>
      </c>
      <c r="K1047">
        <v>11</v>
      </c>
      <c r="M10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47" t="str">
        <f>DO_DB[[#This Row],[Material Pick-update]]&amp;"_"&amp;DO_DB[[#This Row],[Material Name]]</f>
        <v>45240_Pole 9M</v>
      </c>
      <c r="O1047" t="str">
        <f>DO_DB[[#This Row],[SiteID]]</f>
        <v>CLR23-03-014</v>
      </c>
      <c r="P1047" t="str">
        <f>DO_DB[[#This Row],[SiteID]]&amp;"_"&amp;DO_DB[[#This Row],[Material Name]]</f>
        <v>CLR23-03-014_Pole 9M</v>
      </c>
      <c r="Q1047" t="str">
        <f>DO_DB[[#This Row],[DO Number]]</f>
        <v>DOEID23111035</v>
      </c>
      <c r="R1047" t="str">
        <f>DO_DB[[#This Row],[DN Number]]</f>
        <v>DNWID0362023111002</v>
      </c>
    </row>
    <row r="1048" spans="1:18">
      <c r="A1048" t="s">
        <v>534</v>
      </c>
      <c r="B1048" t="s">
        <v>535</v>
      </c>
      <c r="C1048" s="172" t="s">
        <v>4482</v>
      </c>
      <c r="D1048" t="s">
        <v>71</v>
      </c>
      <c r="E1048" t="s">
        <v>92</v>
      </c>
      <c r="F1048" t="s">
        <v>4499</v>
      </c>
      <c r="G1048" t="s">
        <v>538</v>
      </c>
      <c r="H1048" t="s">
        <v>539</v>
      </c>
      <c r="I1048" s="130">
        <v>45240</v>
      </c>
      <c r="J1048" t="s">
        <v>14</v>
      </c>
      <c r="K1048">
        <v>3</v>
      </c>
      <c r="M10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48" t="str">
        <f>DO_DB[[#This Row],[Material Pick-update]]&amp;"_"&amp;DO_DB[[#This Row],[Material Name]]</f>
        <v>45240_FDT-48</v>
      </c>
      <c r="O1048" t="str">
        <f>DO_DB[[#This Row],[SiteID]]</f>
        <v>CLR23-03-014</v>
      </c>
      <c r="P1048" t="str">
        <f>DO_DB[[#This Row],[SiteID]]&amp;"_"&amp;DO_DB[[#This Row],[Material Name]]</f>
        <v>CLR23-03-014_FDT-48</v>
      </c>
      <c r="Q1048" t="str">
        <f>DO_DB[[#This Row],[DO Number]]</f>
        <v>DOEID23111036</v>
      </c>
      <c r="R1048" t="str">
        <f>DO_DB[[#This Row],[DN Number]]</f>
        <v>DNWID0342023111003</v>
      </c>
    </row>
    <row r="1049" spans="1:18">
      <c r="A1049" t="s">
        <v>544</v>
      </c>
      <c r="B1049" t="s">
        <v>545</v>
      </c>
      <c r="C1049" t="s">
        <v>4482</v>
      </c>
      <c r="D1049" t="s">
        <v>71</v>
      </c>
      <c r="E1049" t="s">
        <v>92</v>
      </c>
      <c r="F1049" t="s">
        <v>4499</v>
      </c>
      <c r="G1049" t="s">
        <v>546</v>
      </c>
      <c r="H1049" t="s">
        <v>547</v>
      </c>
      <c r="I1049" s="130">
        <v>45246</v>
      </c>
      <c r="J1049" t="s">
        <v>3075</v>
      </c>
      <c r="K1049">
        <v>6000</v>
      </c>
      <c r="M10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48C-20231116-01</v>
      </c>
      <c r="N1049" t="str">
        <f>DO_DB[[#This Row],[Material Pick-update]]&amp;"_"&amp;DO_DB[[#This Row],[Material Name]]</f>
        <v>45246_ADSS 48C</v>
      </c>
      <c r="O1049" t="str">
        <f>DO_DB[[#This Row],[SiteID]]</f>
        <v>CLR23-03-022</v>
      </c>
      <c r="P1049" t="str">
        <f>DO_DB[[#This Row],[SiteID]]&amp;"_"&amp;DO_DB[[#This Row],[Material Name]]</f>
        <v>CLR23-03-022_ADSS 48C</v>
      </c>
      <c r="Q1049" t="str">
        <f>DO_DB[[#This Row],[DO Number]]</f>
        <v>DOEID23111571</v>
      </c>
      <c r="R1049" t="str">
        <f>DO_DB[[#This Row],[DN Number]]</f>
        <v>DNWID0342023111502</v>
      </c>
    </row>
    <row r="1050" spans="1:18">
      <c r="A1050" t="s">
        <v>548</v>
      </c>
      <c r="B1050" t="s">
        <v>549</v>
      </c>
      <c r="C1050" t="s">
        <v>4482</v>
      </c>
      <c r="D1050" t="s">
        <v>71</v>
      </c>
      <c r="E1050" t="s">
        <v>92</v>
      </c>
      <c r="F1050" t="s">
        <v>4499</v>
      </c>
      <c r="G1050" t="s">
        <v>550</v>
      </c>
      <c r="H1050" t="s">
        <v>551</v>
      </c>
      <c r="I1050" s="130">
        <v>45246</v>
      </c>
      <c r="J1050" t="s">
        <v>3073</v>
      </c>
      <c r="K1050">
        <v>6000</v>
      </c>
      <c r="M10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24C-20231116-01</v>
      </c>
      <c r="N1050" t="str">
        <f>DO_DB[[#This Row],[Material Pick-update]]&amp;"_"&amp;DO_DB[[#This Row],[Material Name]]</f>
        <v>45246_ADSS 24C</v>
      </c>
      <c r="O1050" t="str">
        <f>DO_DB[[#This Row],[SiteID]]</f>
        <v>CLR23-03-023</v>
      </c>
      <c r="P1050" t="str">
        <f>DO_DB[[#This Row],[SiteID]]&amp;"_"&amp;DO_DB[[#This Row],[Material Name]]</f>
        <v>CLR23-03-023_ADSS 24C</v>
      </c>
      <c r="Q1050" t="str">
        <f>DO_DB[[#This Row],[DO Number]]</f>
        <v>DOEID23111573</v>
      </c>
      <c r="R1050" t="str">
        <f>DO_DB[[#This Row],[DN Number]]</f>
        <v>DNWID0342023111503</v>
      </c>
    </row>
    <row r="1051" spans="1:18">
      <c r="A1051" t="s">
        <v>548</v>
      </c>
      <c r="B1051" t="s">
        <v>549</v>
      </c>
      <c r="C1051" t="s">
        <v>4482</v>
      </c>
      <c r="D1051" t="s">
        <v>71</v>
      </c>
      <c r="E1051" t="s">
        <v>92</v>
      </c>
      <c r="F1051" t="s">
        <v>4499</v>
      </c>
      <c r="G1051" t="s">
        <v>550</v>
      </c>
      <c r="H1051" t="s">
        <v>551</v>
      </c>
      <c r="I1051" s="130">
        <v>45246</v>
      </c>
      <c r="J1051" t="s">
        <v>3075</v>
      </c>
      <c r="K1051">
        <v>9000</v>
      </c>
      <c r="M10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48C-20231116-01</v>
      </c>
      <c r="N1051" t="str">
        <f>DO_DB[[#This Row],[Material Pick-update]]&amp;"_"&amp;DO_DB[[#This Row],[Material Name]]</f>
        <v>45246_ADSS 48C</v>
      </c>
      <c r="O1051" t="str">
        <f>DO_DB[[#This Row],[SiteID]]</f>
        <v>CLR23-03-023</v>
      </c>
      <c r="P1051" t="str">
        <f>DO_DB[[#This Row],[SiteID]]&amp;"_"&amp;DO_DB[[#This Row],[Material Name]]</f>
        <v>CLR23-03-023_ADSS 48C</v>
      </c>
      <c r="Q1051" t="str">
        <f>DO_DB[[#This Row],[DO Number]]</f>
        <v>DOEID23111573</v>
      </c>
      <c r="R1051" t="str">
        <f>DO_DB[[#This Row],[DN Number]]</f>
        <v>DNWID0342023111503</v>
      </c>
    </row>
    <row r="1052" spans="1:18">
      <c r="A1052" t="s">
        <v>544</v>
      </c>
      <c r="B1052" t="s">
        <v>545</v>
      </c>
      <c r="C1052" s="172" t="s">
        <v>4482</v>
      </c>
      <c r="D1052" t="s">
        <v>71</v>
      </c>
      <c r="E1052" t="s">
        <v>92</v>
      </c>
      <c r="F1052" t="s">
        <v>4499</v>
      </c>
      <c r="G1052" t="s">
        <v>552</v>
      </c>
      <c r="H1052" t="s">
        <v>553</v>
      </c>
      <c r="I1052" s="130">
        <v>45246</v>
      </c>
      <c r="J1052" t="s">
        <v>3069</v>
      </c>
      <c r="K1052">
        <v>99</v>
      </c>
      <c r="M10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52" t="str">
        <f>DO_DB[[#This Row],[Material Pick-update]]&amp;"_"&amp;DO_DB[[#This Row],[Material Name]]</f>
        <v>45246_Pole 7M 4"</v>
      </c>
      <c r="O1052" t="str">
        <f>DO_DB[[#This Row],[SiteID]]</f>
        <v>CLR23-03-022</v>
      </c>
      <c r="P1052" t="str">
        <f>DO_DB[[#This Row],[SiteID]]&amp;"_"&amp;DO_DB[[#This Row],[Material Name]]</f>
        <v>CLR23-03-022_Pole 7M 4"</v>
      </c>
      <c r="Q1052" t="str">
        <f>DO_DB[[#This Row],[DO Number]]</f>
        <v>DOEID23111570</v>
      </c>
      <c r="R1052" t="str">
        <f>DO_DB[[#This Row],[DN Number]]</f>
        <v>DNWID0362023111517</v>
      </c>
    </row>
    <row r="1053" spans="1:18">
      <c r="A1053" t="s">
        <v>544</v>
      </c>
      <c r="B1053" t="s">
        <v>545</v>
      </c>
      <c r="C1053" s="172" t="s">
        <v>4482</v>
      </c>
      <c r="D1053" t="s">
        <v>71</v>
      </c>
      <c r="E1053" t="s">
        <v>92</v>
      </c>
      <c r="F1053" t="s">
        <v>4499</v>
      </c>
      <c r="G1053" t="s">
        <v>552</v>
      </c>
      <c r="H1053" t="s">
        <v>553</v>
      </c>
      <c r="I1053" s="130">
        <v>45246</v>
      </c>
      <c r="J1053" t="s">
        <v>3070</v>
      </c>
      <c r="K1053">
        <v>25</v>
      </c>
      <c r="M10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53" t="str">
        <f>DO_DB[[#This Row],[Material Pick-update]]&amp;"_"&amp;DO_DB[[#This Row],[Material Name]]</f>
        <v>45246_Pole 7M 3"</v>
      </c>
      <c r="O1053" t="str">
        <f>DO_DB[[#This Row],[SiteID]]</f>
        <v>CLR23-03-022</v>
      </c>
      <c r="P1053" t="str">
        <f>DO_DB[[#This Row],[SiteID]]&amp;"_"&amp;DO_DB[[#This Row],[Material Name]]</f>
        <v>CLR23-03-022_Pole 7M 3"</v>
      </c>
      <c r="Q1053" t="str">
        <f>DO_DB[[#This Row],[DO Number]]</f>
        <v>DOEID23111570</v>
      </c>
      <c r="R1053" t="str">
        <f>DO_DB[[#This Row],[DN Number]]</f>
        <v>DNWID0362023111517</v>
      </c>
    </row>
    <row r="1054" spans="1:18">
      <c r="A1054" t="s">
        <v>544</v>
      </c>
      <c r="B1054" t="s">
        <v>545</v>
      </c>
      <c r="C1054" s="172" t="s">
        <v>4482</v>
      </c>
      <c r="D1054" t="s">
        <v>71</v>
      </c>
      <c r="E1054" t="s">
        <v>92</v>
      </c>
      <c r="F1054" t="s">
        <v>4499</v>
      </c>
      <c r="G1054" t="s">
        <v>552</v>
      </c>
      <c r="H1054" t="s">
        <v>553</v>
      </c>
      <c r="I1054" s="130">
        <v>45246</v>
      </c>
      <c r="J1054" t="s">
        <v>3071</v>
      </c>
      <c r="K1054">
        <v>1</v>
      </c>
      <c r="M10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54" t="str">
        <f>DO_DB[[#This Row],[Material Pick-update]]&amp;"_"&amp;DO_DB[[#This Row],[Material Name]]</f>
        <v>45246_Pole 9M</v>
      </c>
      <c r="O1054" t="str">
        <f>DO_DB[[#This Row],[SiteID]]</f>
        <v>CLR23-03-022</v>
      </c>
      <c r="P1054" t="str">
        <f>DO_DB[[#This Row],[SiteID]]&amp;"_"&amp;DO_DB[[#This Row],[Material Name]]</f>
        <v>CLR23-03-022_Pole 9M</v>
      </c>
      <c r="Q1054" t="str">
        <f>DO_DB[[#This Row],[DO Number]]</f>
        <v>DOEID23111570</v>
      </c>
      <c r="R1054" t="str">
        <f>DO_DB[[#This Row],[DN Number]]</f>
        <v>DNWID0362023111517</v>
      </c>
    </row>
    <row r="1055" spans="1:18">
      <c r="A1055" t="s">
        <v>544</v>
      </c>
      <c r="B1055" t="s">
        <v>545</v>
      </c>
      <c r="C1055" s="172" t="s">
        <v>4482</v>
      </c>
      <c r="D1055" t="s">
        <v>71</v>
      </c>
      <c r="E1055" t="s">
        <v>92</v>
      </c>
      <c r="F1055" t="s">
        <v>4499</v>
      </c>
      <c r="G1055" t="s">
        <v>546</v>
      </c>
      <c r="H1055" t="s">
        <v>547</v>
      </c>
      <c r="I1055" s="130">
        <v>45246</v>
      </c>
      <c r="J1055" t="s">
        <v>14</v>
      </c>
      <c r="K1055">
        <v>3</v>
      </c>
      <c r="M10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55" t="str">
        <f>DO_DB[[#This Row],[Material Pick-update]]&amp;"_"&amp;DO_DB[[#This Row],[Material Name]]</f>
        <v>45246_FDT-48</v>
      </c>
      <c r="O1055" t="str">
        <f>DO_DB[[#This Row],[SiteID]]</f>
        <v>CLR23-03-022</v>
      </c>
      <c r="P1055" t="str">
        <f>DO_DB[[#This Row],[SiteID]]&amp;"_"&amp;DO_DB[[#This Row],[Material Name]]</f>
        <v>CLR23-03-022_FDT-48</v>
      </c>
      <c r="Q1055" t="str">
        <f>DO_DB[[#This Row],[DO Number]]</f>
        <v>DOEID23111571</v>
      </c>
      <c r="R1055" t="str">
        <f>DO_DB[[#This Row],[DN Number]]</f>
        <v>DNWID0342023111502</v>
      </c>
    </row>
    <row r="1056" spans="1:18">
      <c r="A1056" t="s">
        <v>548</v>
      </c>
      <c r="B1056" t="s">
        <v>549</v>
      </c>
      <c r="C1056" s="172" t="s">
        <v>4482</v>
      </c>
      <c r="D1056" t="s">
        <v>71</v>
      </c>
      <c r="E1056" t="s">
        <v>92</v>
      </c>
      <c r="F1056" t="s">
        <v>4499</v>
      </c>
      <c r="G1056" t="s">
        <v>554</v>
      </c>
      <c r="H1056" t="s">
        <v>555</v>
      </c>
      <c r="I1056" s="130">
        <v>45246</v>
      </c>
      <c r="J1056" t="s">
        <v>3069</v>
      </c>
      <c r="K1056">
        <v>57</v>
      </c>
      <c r="M10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56" t="str">
        <f>DO_DB[[#This Row],[Material Pick-update]]&amp;"_"&amp;DO_DB[[#This Row],[Material Name]]</f>
        <v>45246_Pole 7M 4"</v>
      </c>
      <c r="O1056" t="str">
        <f>DO_DB[[#This Row],[SiteID]]</f>
        <v>CLR23-03-023</v>
      </c>
      <c r="P1056" t="str">
        <f>DO_DB[[#This Row],[SiteID]]&amp;"_"&amp;DO_DB[[#This Row],[Material Name]]</f>
        <v>CLR23-03-023_Pole 7M 4"</v>
      </c>
      <c r="Q1056" t="str">
        <f>DO_DB[[#This Row],[DO Number]]</f>
        <v>DOEID23111572</v>
      </c>
      <c r="R1056" t="str">
        <f>DO_DB[[#This Row],[DN Number]]</f>
        <v>DNWID0362023111518</v>
      </c>
    </row>
    <row r="1057" spans="1:18">
      <c r="A1057" t="s">
        <v>548</v>
      </c>
      <c r="B1057" t="s">
        <v>549</v>
      </c>
      <c r="C1057" s="172" t="s">
        <v>4482</v>
      </c>
      <c r="D1057" t="s">
        <v>71</v>
      </c>
      <c r="E1057" t="s">
        <v>92</v>
      </c>
      <c r="F1057" t="s">
        <v>4499</v>
      </c>
      <c r="G1057" t="s">
        <v>554</v>
      </c>
      <c r="H1057" t="s">
        <v>555</v>
      </c>
      <c r="I1057" s="130">
        <v>45246</v>
      </c>
      <c r="J1057" t="s">
        <v>3070</v>
      </c>
      <c r="K1057">
        <v>36</v>
      </c>
      <c r="M10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57" t="str">
        <f>DO_DB[[#This Row],[Material Pick-update]]&amp;"_"&amp;DO_DB[[#This Row],[Material Name]]</f>
        <v>45246_Pole 7M 3"</v>
      </c>
      <c r="O1057" t="str">
        <f>DO_DB[[#This Row],[SiteID]]</f>
        <v>CLR23-03-023</v>
      </c>
      <c r="P1057" t="str">
        <f>DO_DB[[#This Row],[SiteID]]&amp;"_"&amp;DO_DB[[#This Row],[Material Name]]</f>
        <v>CLR23-03-023_Pole 7M 3"</v>
      </c>
      <c r="Q1057" t="str">
        <f>DO_DB[[#This Row],[DO Number]]</f>
        <v>DOEID23111572</v>
      </c>
      <c r="R1057" t="str">
        <f>DO_DB[[#This Row],[DN Number]]</f>
        <v>DNWID0362023111518</v>
      </c>
    </row>
    <row r="1058" spans="1:18">
      <c r="A1058" t="s">
        <v>548</v>
      </c>
      <c r="B1058" t="s">
        <v>549</v>
      </c>
      <c r="C1058" s="172" t="s">
        <v>4482</v>
      </c>
      <c r="D1058" t="s">
        <v>71</v>
      </c>
      <c r="E1058" t="s">
        <v>92</v>
      </c>
      <c r="F1058" t="s">
        <v>4499</v>
      </c>
      <c r="G1058" t="s">
        <v>554</v>
      </c>
      <c r="H1058" t="s">
        <v>555</v>
      </c>
      <c r="I1058" s="130">
        <v>45246</v>
      </c>
      <c r="J1058" t="s">
        <v>3071</v>
      </c>
      <c r="K1058">
        <v>2</v>
      </c>
      <c r="M10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58" t="str">
        <f>DO_DB[[#This Row],[Material Pick-update]]&amp;"_"&amp;DO_DB[[#This Row],[Material Name]]</f>
        <v>45246_Pole 9M</v>
      </c>
      <c r="O1058" t="str">
        <f>DO_DB[[#This Row],[SiteID]]</f>
        <v>CLR23-03-023</v>
      </c>
      <c r="P1058" t="str">
        <f>DO_DB[[#This Row],[SiteID]]&amp;"_"&amp;DO_DB[[#This Row],[Material Name]]</f>
        <v>CLR23-03-023_Pole 9M</v>
      </c>
      <c r="Q1058" t="str">
        <f>DO_DB[[#This Row],[DO Number]]</f>
        <v>DOEID23111572</v>
      </c>
      <c r="R1058" t="str">
        <f>DO_DB[[#This Row],[DN Number]]</f>
        <v>DNWID0362023111518</v>
      </c>
    </row>
    <row r="1059" spans="1:18">
      <c r="A1059" t="s">
        <v>548</v>
      </c>
      <c r="B1059" t="s">
        <v>549</v>
      </c>
      <c r="C1059" s="172" t="s">
        <v>4482</v>
      </c>
      <c r="D1059" t="s">
        <v>71</v>
      </c>
      <c r="E1059" t="s">
        <v>92</v>
      </c>
      <c r="F1059" t="s">
        <v>4499</v>
      </c>
      <c r="G1059" t="s">
        <v>550</v>
      </c>
      <c r="H1059" t="s">
        <v>551</v>
      </c>
      <c r="I1059" s="130">
        <v>45246</v>
      </c>
      <c r="J1059" t="s">
        <v>14</v>
      </c>
      <c r="K1059">
        <v>6</v>
      </c>
      <c r="M10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59" t="str">
        <f>DO_DB[[#This Row],[Material Pick-update]]&amp;"_"&amp;DO_DB[[#This Row],[Material Name]]</f>
        <v>45246_FDT-48</v>
      </c>
      <c r="O1059" t="str">
        <f>DO_DB[[#This Row],[SiteID]]</f>
        <v>CLR23-03-023</v>
      </c>
      <c r="P1059" t="str">
        <f>DO_DB[[#This Row],[SiteID]]&amp;"_"&amp;DO_DB[[#This Row],[Material Name]]</f>
        <v>CLR23-03-023_FDT-48</v>
      </c>
      <c r="Q1059" t="str">
        <f>DO_DB[[#This Row],[DO Number]]</f>
        <v>DOEID23111573</v>
      </c>
      <c r="R1059" t="str">
        <f>DO_DB[[#This Row],[DN Number]]</f>
        <v>DNWID0342023111503</v>
      </c>
    </row>
    <row r="1060" spans="1:18">
      <c r="A1060" t="s">
        <v>544</v>
      </c>
      <c r="B1060" t="s">
        <v>545</v>
      </c>
      <c r="C1060" s="172" t="s">
        <v>4482</v>
      </c>
      <c r="D1060" t="s">
        <v>71</v>
      </c>
      <c r="E1060" t="s">
        <v>92</v>
      </c>
      <c r="F1060" t="s">
        <v>4499</v>
      </c>
      <c r="G1060" t="s">
        <v>546</v>
      </c>
      <c r="H1060" t="s">
        <v>547</v>
      </c>
      <c r="I1060" s="130">
        <v>45246</v>
      </c>
      <c r="J1060" t="s">
        <v>3073</v>
      </c>
      <c r="K1060">
        <v>3000</v>
      </c>
      <c r="M10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24C-20231116-01</v>
      </c>
      <c r="N1060" t="str">
        <f>DO_DB[[#This Row],[Material Pick-update]]&amp;"_"&amp;DO_DB[[#This Row],[Material Name]]</f>
        <v>45246_ADSS 24C</v>
      </c>
      <c r="O1060" t="str">
        <f>DO_DB[[#This Row],[SiteID]]</f>
        <v>CLR23-03-022</v>
      </c>
      <c r="P1060" t="str">
        <f>DO_DB[[#This Row],[SiteID]]&amp;"_"&amp;DO_DB[[#This Row],[Material Name]]</f>
        <v>CLR23-03-022_ADSS 24C</v>
      </c>
      <c r="Q1060" t="str">
        <f>DO_DB[[#This Row],[DO Number]]</f>
        <v>DOEID23111571</v>
      </c>
      <c r="R1060" t="str">
        <f>DO_DB[[#This Row],[DN Number]]</f>
        <v>DNWID0342023111502</v>
      </c>
    </row>
    <row r="1061" spans="1:18">
      <c r="A1061" t="s">
        <v>548</v>
      </c>
      <c r="B1061" t="s">
        <v>549</v>
      </c>
      <c r="C1061" s="172" t="s">
        <v>4482</v>
      </c>
      <c r="D1061" t="s">
        <v>71</v>
      </c>
      <c r="E1061" t="s">
        <v>92</v>
      </c>
      <c r="F1061" t="s">
        <v>4499</v>
      </c>
      <c r="G1061" t="s">
        <v>556</v>
      </c>
      <c r="H1061" t="s">
        <v>557</v>
      </c>
      <c r="I1061" s="130">
        <v>45248</v>
      </c>
      <c r="J1061" t="s">
        <v>3069</v>
      </c>
      <c r="K1061">
        <v>129</v>
      </c>
      <c r="M10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61" t="str">
        <f>DO_DB[[#This Row],[Material Pick-update]]&amp;"_"&amp;DO_DB[[#This Row],[Material Name]]</f>
        <v>45248_Pole 7M 4"</v>
      </c>
      <c r="O1061" t="str">
        <f>DO_DB[[#This Row],[SiteID]]</f>
        <v>CLR23-03-023</v>
      </c>
      <c r="P1061" t="str">
        <f>DO_DB[[#This Row],[SiteID]]&amp;"_"&amp;DO_DB[[#This Row],[Material Name]]</f>
        <v>CLR23-03-023_Pole 7M 4"</v>
      </c>
      <c r="Q1061" t="str">
        <f>DO_DB[[#This Row],[DO Number]]</f>
        <v>DOEID231117AA</v>
      </c>
      <c r="R1061" t="str">
        <f>DO_DB[[#This Row],[DN Number]]</f>
        <v>DNWID0362023111804</v>
      </c>
    </row>
    <row r="1062" spans="1:18">
      <c r="A1062" t="s">
        <v>544</v>
      </c>
      <c r="B1062" t="s">
        <v>545</v>
      </c>
      <c r="C1062" s="172" t="s">
        <v>4482</v>
      </c>
      <c r="D1062" t="s">
        <v>71</v>
      </c>
      <c r="E1062" t="s">
        <v>92</v>
      </c>
      <c r="F1062" t="s">
        <v>4499</v>
      </c>
      <c r="G1062" t="s">
        <v>669</v>
      </c>
      <c r="H1062" t="s">
        <v>670</v>
      </c>
      <c r="I1062" s="130">
        <v>45274</v>
      </c>
      <c r="J1062" t="s">
        <v>13</v>
      </c>
      <c r="K1062">
        <v>45</v>
      </c>
      <c r="M10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62" t="str">
        <f>DO_DB[[#This Row],[Material Pick-update]]&amp;"_"&amp;DO_DB[[#This Row],[Material Name]]</f>
        <v>45274_FAT-16</v>
      </c>
      <c r="O1062" t="str">
        <f>DO_DB[[#This Row],[SiteID]]</f>
        <v>CLR23-03-022</v>
      </c>
      <c r="P1062" t="str">
        <f>DO_DB[[#This Row],[SiteID]]&amp;"_"&amp;DO_DB[[#This Row],[Material Name]]</f>
        <v>CLR23-03-022_FAT-16</v>
      </c>
      <c r="Q1062" t="str">
        <f>DO_DB[[#This Row],[DO Number]]</f>
        <v>DOEID23121351</v>
      </c>
      <c r="R1062" t="str">
        <f>DO_DB[[#This Row],[DN Number]]</f>
        <v>DNWID0342023121304</v>
      </c>
    </row>
    <row r="1063" spans="1:18">
      <c r="A1063" t="s">
        <v>548</v>
      </c>
      <c r="B1063" t="s">
        <v>549</v>
      </c>
      <c r="C1063" s="172" t="s">
        <v>4482</v>
      </c>
      <c r="D1063" t="s">
        <v>71</v>
      </c>
      <c r="E1063" t="s">
        <v>92</v>
      </c>
      <c r="F1063" t="s">
        <v>4499</v>
      </c>
      <c r="G1063" t="s">
        <v>665</v>
      </c>
      <c r="H1063" t="s">
        <v>666</v>
      </c>
      <c r="I1063" s="130">
        <v>45274</v>
      </c>
      <c r="J1063" t="s">
        <v>13</v>
      </c>
      <c r="K1063">
        <v>85</v>
      </c>
      <c r="M10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63" t="str">
        <f>DO_DB[[#This Row],[Material Pick-update]]&amp;"_"&amp;DO_DB[[#This Row],[Material Name]]</f>
        <v>45274_FAT-16</v>
      </c>
      <c r="O1063" t="str">
        <f>DO_DB[[#This Row],[SiteID]]</f>
        <v>CLR23-03-023</v>
      </c>
      <c r="P1063" t="str">
        <f>DO_DB[[#This Row],[SiteID]]&amp;"_"&amp;DO_DB[[#This Row],[Material Name]]</f>
        <v>CLR23-03-023_FAT-16</v>
      </c>
      <c r="Q1063" t="str">
        <f>DO_DB[[#This Row],[DO Number]]</f>
        <v>DOEID23121354</v>
      </c>
      <c r="R1063" t="str">
        <f>DO_DB[[#This Row],[DN Number]]</f>
        <v>DNWID0342023121303</v>
      </c>
    </row>
    <row r="1064" spans="1:18">
      <c r="A1064" t="s">
        <v>534</v>
      </c>
      <c r="B1064" t="s">
        <v>535</v>
      </c>
      <c r="C1064" s="172" t="s">
        <v>4482</v>
      </c>
      <c r="D1064" t="s">
        <v>71</v>
      </c>
      <c r="E1064" t="s">
        <v>92</v>
      </c>
      <c r="F1064" t="s">
        <v>4499</v>
      </c>
      <c r="G1064" t="s">
        <v>667</v>
      </c>
      <c r="H1064" t="s">
        <v>668</v>
      </c>
      <c r="I1064" s="130">
        <v>45274</v>
      </c>
      <c r="J1064" t="s">
        <v>13</v>
      </c>
      <c r="K1064">
        <v>59</v>
      </c>
      <c r="M10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64" t="str">
        <f>DO_DB[[#This Row],[Material Pick-update]]&amp;"_"&amp;DO_DB[[#This Row],[Material Name]]</f>
        <v>45274_FAT-16</v>
      </c>
      <c r="O1064" t="str">
        <f>DO_DB[[#This Row],[SiteID]]</f>
        <v>CLR23-03-014</v>
      </c>
      <c r="P1064" t="str">
        <f>DO_DB[[#This Row],[SiteID]]&amp;"_"&amp;DO_DB[[#This Row],[Material Name]]</f>
        <v>CLR23-03-014_FAT-16</v>
      </c>
      <c r="Q1064" t="str">
        <f>DO_DB[[#This Row],[DO Number]]</f>
        <v>DOEID23121355</v>
      </c>
      <c r="R1064" t="str">
        <f>DO_DB[[#This Row],[DN Number]]</f>
        <v>DNWID0342023121307</v>
      </c>
    </row>
    <row r="1065" spans="1:18">
      <c r="A1065" t="s">
        <v>776</v>
      </c>
      <c r="B1065" t="s">
        <v>777</v>
      </c>
      <c r="C1065" s="172" t="s">
        <v>4482</v>
      </c>
      <c r="D1065" t="s">
        <v>71</v>
      </c>
      <c r="E1065" t="s">
        <v>92</v>
      </c>
      <c r="F1065" t="s">
        <v>4499</v>
      </c>
      <c r="G1065" t="s">
        <v>788</v>
      </c>
      <c r="H1065" t="s">
        <v>789</v>
      </c>
      <c r="I1065" s="130">
        <v>45302</v>
      </c>
      <c r="J1065" t="s">
        <v>3069</v>
      </c>
      <c r="K1065">
        <v>38</v>
      </c>
      <c r="M10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65" t="str">
        <f>DO_DB[[#This Row],[Material Pick-update]]&amp;"_"&amp;DO_DB[[#This Row],[Material Name]]</f>
        <v>45302_Pole 7M 4"</v>
      </c>
      <c r="O1065" t="str">
        <f>DO_DB[[#This Row],[SiteID]]</f>
        <v>CLR23-03-007</v>
      </c>
      <c r="P1065" t="str">
        <f>DO_DB[[#This Row],[SiteID]]&amp;"_"&amp;DO_DB[[#This Row],[Material Name]]</f>
        <v>CLR23-03-007_Pole 7M 4"</v>
      </c>
      <c r="Q1065" t="str">
        <f>DO_DB[[#This Row],[DO Number]]</f>
        <v>DOEID24010975</v>
      </c>
      <c r="R1065" t="str">
        <f>DO_DB[[#This Row],[DN Number]]</f>
        <v>DNWID0362024010917</v>
      </c>
    </row>
    <row r="1066" spans="1:18">
      <c r="A1066" t="s">
        <v>776</v>
      </c>
      <c r="B1066" t="s">
        <v>777</v>
      </c>
      <c r="C1066" s="172" t="s">
        <v>4482</v>
      </c>
      <c r="D1066" t="s">
        <v>71</v>
      </c>
      <c r="E1066" t="s">
        <v>92</v>
      </c>
      <c r="F1066" t="s">
        <v>4499</v>
      </c>
      <c r="G1066" t="s">
        <v>788</v>
      </c>
      <c r="H1066" t="s">
        <v>789</v>
      </c>
      <c r="I1066" s="130">
        <v>45302</v>
      </c>
      <c r="J1066" t="s">
        <v>3070</v>
      </c>
      <c r="K1066">
        <v>7</v>
      </c>
      <c r="M10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66" t="str">
        <f>DO_DB[[#This Row],[Material Pick-update]]&amp;"_"&amp;DO_DB[[#This Row],[Material Name]]</f>
        <v>45302_Pole 7M 3"</v>
      </c>
      <c r="O1066" t="str">
        <f>DO_DB[[#This Row],[SiteID]]</f>
        <v>CLR23-03-007</v>
      </c>
      <c r="P1066" t="str">
        <f>DO_DB[[#This Row],[SiteID]]&amp;"_"&amp;DO_DB[[#This Row],[Material Name]]</f>
        <v>CLR23-03-007_Pole 7M 3"</v>
      </c>
      <c r="Q1066" t="str">
        <f>DO_DB[[#This Row],[DO Number]]</f>
        <v>DOEID24010975</v>
      </c>
      <c r="R1066" t="str">
        <f>DO_DB[[#This Row],[DN Number]]</f>
        <v>DNWID0362024010917</v>
      </c>
    </row>
    <row r="1067" spans="1:18">
      <c r="A1067" t="s">
        <v>776</v>
      </c>
      <c r="B1067" t="s">
        <v>777</v>
      </c>
      <c r="C1067" s="172" t="s">
        <v>4482</v>
      </c>
      <c r="D1067" t="s">
        <v>71</v>
      </c>
      <c r="E1067" t="s">
        <v>92</v>
      </c>
      <c r="F1067" t="s">
        <v>4499</v>
      </c>
      <c r="G1067" t="s">
        <v>788</v>
      </c>
      <c r="H1067" t="s">
        <v>789</v>
      </c>
      <c r="I1067" s="130">
        <v>45302</v>
      </c>
      <c r="J1067" t="s">
        <v>3071</v>
      </c>
      <c r="K1067">
        <v>6</v>
      </c>
      <c r="M10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67" t="str">
        <f>DO_DB[[#This Row],[Material Pick-update]]&amp;"_"&amp;DO_DB[[#This Row],[Material Name]]</f>
        <v>45302_Pole 9M</v>
      </c>
      <c r="O1067" t="str">
        <f>DO_DB[[#This Row],[SiteID]]</f>
        <v>CLR23-03-007</v>
      </c>
      <c r="P1067" t="str">
        <f>DO_DB[[#This Row],[SiteID]]&amp;"_"&amp;DO_DB[[#This Row],[Material Name]]</f>
        <v>CLR23-03-007_Pole 9M</v>
      </c>
      <c r="Q1067" t="str">
        <f>DO_DB[[#This Row],[DO Number]]</f>
        <v>DOEID24010975</v>
      </c>
      <c r="R1067" t="str">
        <f>DO_DB[[#This Row],[DN Number]]</f>
        <v>DNWID0362024010917</v>
      </c>
    </row>
    <row r="1068" spans="1:18">
      <c r="A1068" t="s">
        <v>776</v>
      </c>
      <c r="B1068" t="s">
        <v>777</v>
      </c>
      <c r="C1068" s="172" t="s">
        <v>4482</v>
      </c>
      <c r="D1068" t="s">
        <v>71</v>
      </c>
      <c r="E1068" t="s">
        <v>92</v>
      </c>
      <c r="F1068" t="s">
        <v>4499</v>
      </c>
      <c r="G1068" t="s">
        <v>788</v>
      </c>
      <c r="H1068" t="s">
        <v>789</v>
      </c>
      <c r="I1068" s="130">
        <v>45302</v>
      </c>
      <c r="J1068" t="s">
        <v>4856</v>
      </c>
      <c r="K1068">
        <v>1</v>
      </c>
      <c r="M10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68" t="str">
        <f>DO_DB[[#This Row],[Material Pick-update]]&amp;"_"&amp;DO_DB[[#This Row],[Material Name]]</f>
        <v>45302_JC 144Core</v>
      </c>
      <c r="O1068" t="str">
        <f>DO_DB[[#This Row],[SiteID]]</f>
        <v>CLR23-03-007</v>
      </c>
      <c r="P1068" t="str">
        <f>DO_DB[[#This Row],[SiteID]]&amp;"_"&amp;DO_DB[[#This Row],[Material Name]]</f>
        <v>CLR23-03-007_JC 144Core</v>
      </c>
      <c r="Q1068" t="str">
        <f>DO_DB[[#This Row],[DO Number]]</f>
        <v>DOEID24010975</v>
      </c>
      <c r="R1068" t="str">
        <f>DO_DB[[#This Row],[DN Number]]</f>
        <v>DNWID0362024010917</v>
      </c>
    </row>
    <row r="1069" spans="1:18">
      <c r="A1069" t="s">
        <v>776</v>
      </c>
      <c r="B1069" t="s">
        <v>777</v>
      </c>
      <c r="C1069" s="172" t="s">
        <v>4482</v>
      </c>
      <c r="D1069" t="s">
        <v>71</v>
      </c>
      <c r="E1069" t="s">
        <v>92</v>
      </c>
      <c r="F1069" t="s">
        <v>4499</v>
      </c>
      <c r="G1069" t="s">
        <v>778</v>
      </c>
      <c r="H1069" t="s">
        <v>779</v>
      </c>
      <c r="I1069" s="130">
        <v>45302</v>
      </c>
      <c r="J1069" t="s">
        <v>14</v>
      </c>
      <c r="K1069">
        <v>1</v>
      </c>
      <c r="M10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69" t="str">
        <f>DO_DB[[#This Row],[Material Pick-update]]&amp;"_"&amp;DO_DB[[#This Row],[Material Name]]</f>
        <v>45302_FDT-48</v>
      </c>
      <c r="O1069" t="str">
        <f>DO_DB[[#This Row],[SiteID]]</f>
        <v>CLR23-03-007</v>
      </c>
      <c r="P1069" t="str">
        <f>DO_DB[[#This Row],[SiteID]]&amp;"_"&amp;DO_DB[[#This Row],[Material Name]]</f>
        <v>CLR23-03-007_FDT-48</v>
      </c>
      <c r="Q1069" t="str">
        <f>DO_DB[[#This Row],[DO Number]]</f>
        <v>DOEID24010976</v>
      </c>
      <c r="R1069" t="str">
        <f>DO_DB[[#This Row],[DN Number]]</f>
        <v>DNWID0342024010905</v>
      </c>
    </row>
    <row r="1070" spans="1:18">
      <c r="A1070" t="s">
        <v>776</v>
      </c>
      <c r="B1070" t="s">
        <v>777</v>
      </c>
      <c r="C1070" s="172" t="s">
        <v>4482</v>
      </c>
      <c r="D1070" t="s">
        <v>71</v>
      </c>
      <c r="E1070" t="s">
        <v>92</v>
      </c>
      <c r="F1070" t="s">
        <v>4499</v>
      </c>
      <c r="G1070" t="s">
        <v>778</v>
      </c>
      <c r="H1070" t="s">
        <v>779</v>
      </c>
      <c r="I1070" s="130">
        <v>45302</v>
      </c>
      <c r="J1070" t="s">
        <v>13</v>
      </c>
      <c r="K1070">
        <v>10</v>
      </c>
      <c r="M10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70" t="str">
        <f>DO_DB[[#This Row],[Material Pick-update]]&amp;"_"&amp;DO_DB[[#This Row],[Material Name]]</f>
        <v>45302_FAT-16</v>
      </c>
      <c r="O1070" t="str">
        <f>DO_DB[[#This Row],[SiteID]]</f>
        <v>CLR23-03-007</v>
      </c>
      <c r="P1070" t="str">
        <f>DO_DB[[#This Row],[SiteID]]&amp;"_"&amp;DO_DB[[#This Row],[Material Name]]</f>
        <v>CLR23-03-007_FAT-16</v>
      </c>
      <c r="Q1070" t="str">
        <f>DO_DB[[#This Row],[DO Number]]</f>
        <v>DOEID24010976</v>
      </c>
      <c r="R1070" t="str">
        <f>DO_DB[[#This Row],[DN Number]]</f>
        <v>DNWID0342024010905</v>
      </c>
    </row>
    <row r="1071" spans="1:18">
      <c r="A1071" t="s">
        <v>772</v>
      </c>
      <c r="B1071" t="s">
        <v>773</v>
      </c>
      <c r="C1071" s="172" t="s">
        <v>4482</v>
      </c>
      <c r="D1071" t="s">
        <v>71</v>
      </c>
      <c r="E1071" t="s">
        <v>92</v>
      </c>
      <c r="F1071" t="s">
        <v>4499</v>
      </c>
      <c r="G1071" t="s">
        <v>786</v>
      </c>
      <c r="H1071" t="s">
        <v>787</v>
      </c>
      <c r="I1071" s="130">
        <v>45302</v>
      </c>
      <c r="J1071" t="s">
        <v>3069</v>
      </c>
      <c r="K1071">
        <v>12</v>
      </c>
      <c r="M10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71" t="str">
        <f>DO_DB[[#This Row],[Material Pick-update]]&amp;"_"&amp;DO_DB[[#This Row],[Material Name]]</f>
        <v>45302_Pole 7M 4"</v>
      </c>
      <c r="O1071" t="str">
        <f>DO_DB[[#This Row],[SiteID]]</f>
        <v>CLR23-03-005</v>
      </c>
      <c r="P1071" t="str">
        <f>DO_DB[[#This Row],[SiteID]]&amp;"_"&amp;DO_DB[[#This Row],[Material Name]]</f>
        <v>CLR23-03-005_Pole 7M 4"</v>
      </c>
      <c r="Q1071" t="str">
        <f>DO_DB[[#This Row],[DO Number]]</f>
        <v>DOEID24010977</v>
      </c>
      <c r="R1071" t="str">
        <f>DO_DB[[#This Row],[DN Number]]</f>
        <v>DNWID0362024010918</v>
      </c>
    </row>
    <row r="1072" spans="1:18">
      <c r="A1072" t="s">
        <v>772</v>
      </c>
      <c r="B1072" t="s">
        <v>773</v>
      </c>
      <c r="C1072" s="172" t="s">
        <v>4482</v>
      </c>
      <c r="D1072" t="s">
        <v>71</v>
      </c>
      <c r="E1072" t="s">
        <v>92</v>
      </c>
      <c r="F1072" t="s">
        <v>4499</v>
      </c>
      <c r="G1072" t="s">
        <v>786</v>
      </c>
      <c r="H1072" t="s">
        <v>787</v>
      </c>
      <c r="I1072" s="130">
        <v>45302</v>
      </c>
      <c r="J1072" t="s">
        <v>3070</v>
      </c>
      <c r="K1072">
        <v>3</v>
      </c>
      <c r="M10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72" t="str">
        <f>DO_DB[[#This Row],[Material Pick-update]]&amp;"_"&amp;DO_DB[[#This Row],[Material Name]]</f>
        <v>45302_Pole 7M 3"</v>
      </c>
      <c r="O1072" t="str">
        <f>DO_DB[[#This Row],[SiteID]]</f>
        <v>CLR23-03-005</v>
      </c>
      <c r="P1072" t="str">
        <f>DO_DB[[#This Row],[SiteID]]&amp;"_"&amp;DO_DB[[#This Row],[Material Name]]</f>
        <v>CLR23-03-005_Pole 7M 3"</v>
      </c>
      <c r="Q1072" t="str">
        <f>DO_DB[[#This Row],[DO Number]]</f>
        <v>DOEID24010977</v>
      </c>
      <c r="R1072" t="str">
        <f>DO_DB[[#This Row],[DN Number]]</f>
        <v>DNWID0362024010918</v>
      </c>
    </row>
    <row r="1073" spans="1:18">
      <c r="A1073" t="s">
        <v>772</v>
      </c>
      <c r="B1073" t="s">
        <v>773</v>
      </c>
      <c r="C1073" s="172" t="s">
        <v>4482</v>
      </c>
      <c r="D1073" t="s">
        <v>71</v>
      </c>
      <c r="E1073" t="s">
        <v>92</v>
      </c>
      <c r="F1073" t="s">
        <v>4499</v>
      </c>
      <c r="G1073" t="s">
        <v>786</v>
      </c>
      <c r="H1073" t="s">
        <v>787</v>
      </c>
      <c r="I1073" s="130">
        <v>45302</v>
      </c>
      <c r="J1073" t="s">
        <v>3071</v>
      </c>
      <c r="K1073">
        <v>2</v>
      </c>
      <c r="M10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73" t="str">
        <f>DO_DB[[#This Row],[Material Pick-update]]&amp;"_"&amp;DO_DB[[#This Row],[Material Name]]</f>
        <v>45302_Pole 9M</v>
      </c>
      <c r="O1073" t="str">
        <f>DO_DB[[#This Row],[SiteID]]</f>
        <v>CLR23-03-005</v>
      </c>
      <c r="P1073" t="str">
        <f>DO_DB[[#This Row],[SiteID]]&amp;"_"&amp;DO_DB[[#This Row],[Material Name]]</f>
        <v>CLR23-03-005_Pole 9M</v>
      </c>
      <c r="Q1073" t="str">
        <f>DO_DB[[#This Row],[DO Number]]</f>
        <v>DOEID24010977</v>
      </c>
      <c r="R1073" t="str">
        <f>DO_DB[[#This Row],[DN Number]]</f>
        <v>DNWID0362024010918</v>
      </c>
    </row>
    <row r="1074" spans="1:18">
      <c r="A1074" t="s">
        <v>772</v>
      </c>
      <c r="B1074" t="s">
        <v>773</v>
      </c>
      <c r="C1074" s="172" t="s">
        <v>4482</v>
      </c>
      <c r="D1074" t="s">
        <v>71</v>
      </c>
      <c r="E1074" t="s">
        <v>92</v>
      </c>
      <c r="F1074" t="s">
        <v>4499</v>
      </c>
      <c r="G1074" t="s">
        <v>774</v>
      </c>
      <c r="H1074" t="s">
        <v>775</v>
      </c>
      <c r="I1074" s="130">
        <v>45302</v>
      </c>
      <c r="J1074" t="s">
        <v>13</v>
      </c>
      <c r="K1074">
        <v>5</v>
      </c>
      <c r="M10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74" t="str">
        <f>DO_DB[[#This Row],[Material Pick-update]]&amp;"_"&amp;DO_DB[[#This Row],[Material Name]]</f>
        <v>45302_FAT-16</v>
      </c>
      <c r="O1074" t="str">
        <f>DO_DB[[#This Row],[SiteID]]</f>
        <v>CLR23-03-005</v>
      </c>
      <c r="P1074" t="str">
        <f>DO_DB[[#This Row],[SiteID]]&amp;"_"&amp;DO_DB[[#This Row],[Material Name]]</f>
        <v>CLR23-03-005_FAT-16</v>
      </c>
      <c r="Q1074" t="str">
        <f>DO_DB[[#This Row],[DO Number]]</f>
        <v>DOEID24010978</v>
      </c>
      <c r="R1074" t="str">
        <f>DO_DB[[#This Row],[DN Number]]</f>
        <v>DNWID0342024010906</v>
      </c>
    </row>
    <row r="1075" spans="1:18">
      <c r="A1075" t="s">
        <v>756</v>
      </c>
      <c r="B1075" t="s">
        <v>757</v>
      </c>
      <c r="C1075" s="172" t="s">
        <v>4482</v>
      </c>
      <c r="D1075" t="s">
        <v>71</v>
      </c>
      <c r="E1075" t="s">
        <v>92</v>
      </c>
      <c r="F1075" t="s">
        <v>4499</v>
      </c>
      <c r="G1075" t="s">
        <v>790</v>
      </c>
      <c r="H1075" t="s">
        <v>791</v>
      </c>
      <c r="I1075" s="130">
        <v>45302</v>
      </c>
      <c r="J1075" t="s">
        <v>3069</v>
      </c>
      <c r="K1075">
        <v>32</v>
      </c>
      <c r="M10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75" t="str">
        <f>DO_DB[[#This Row],[Material Pick-update]]&amp;"_"&amp;DO_DB[[#This Row],[Material Name]]</f>
        <v>45302_Pole 7M 4"</v>
      </c>
      <c r="O1075" t="str">
        <f>DO_DB[[#This Row],[SiteID]]</f>
        <v>CLR23-03-003</v>
      </c>
      <c r="P1075" t="str">
        <f>DO_DB[[#This Row],[SiteID]]&amp;"_"&amp;DO_DB[[#This Row],[Material Name]]</f>
        <v>CLR23-03-003_Pole 7M 4"</v>
      </c>
      <c r="Q1075" t="str">
        <f>DO_DB[[#This Row],[DO Number]]</f>
        <v>DOEID24011042</v>
      </c>
      <c r="R1075" t="str">
        <f>DO_DB[[#This Row],[DN Number]]</f>
        <v>DNWID0362024011015</v>
      </c>
    </row>
    <row r="1076" spans="1:18">
      <c r="A1076" t="s">
        <v>756</v>
      </c>
      <c r="B1076" t="s">
        <v>757</v>
      </c>
      <c r="C1076" s="172" t="s">
        <v>4482</v>
      </c>
      <c r="D1076" t="s">
        <v>71</v>
      </c>
      <c r="E1076" t="s">
        <v>92</v>
      </c>
      <c r="F1076" t="s">
        <v>4499</v>
      </c>
      <c r="G1076" t="s">
        <v>790</v>
      </c>
      <c r="H1076" t="s">
        <v>791</v>
      </c>
      <c r="I1076" s="130">
        <v>45302</v>
      </c>
      <c r="J1076" t="s">
        <v>3070</v>
      </c>
      <c r="K1076">
        <v>10</v>
      </c>
      <c r="M10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76" t="str">
        <f>DO_DB[[#This Row],[Material Pick-update]]&amp;"_"&amp;DO_DB[[#This Row],[Material Name]]</f>
        <v>45302_Pole 7M 3"</v>
      </c>
      <c r="O1076" t="str">
        <f>DO_DB[[#This Row],[SiteID]]</f>
        <v>CLR23-03-003</v>
      </c>
      <c r="P1076" t="str">
        <f>DO_DB[[#This Row],[SiteID]]&amp;"_"&amp;DO_DB[[#This Row],[Material Name]]</f>
        <v>CLR23-03-003_Pole 7M 3"</v>
      </c>
      <c r="Q1076" t="str">
        <f>DO_DB[[#This Row],[DO Number]]</f>
        <v>DOEID24011042</v>
      </c>
      <c r="R1076" t="str">
        <f>DO_DB[[#This Row],[DN Number]]</f>
        <v>DNWID0362024011015</v>
      </c>
    </row>
    <row r="1077" spans="1:18">
      <c r="A1077" t="s">
        <v>756</v>
      </c>
      <c r="B1077" t="s">
        <v>757</v>
      </c>
      <c r="C1077" s="172" t="s">
        <v>4482</v>
      </c>
      <c r="D1077" t="s">
        <v>71</v>
      </c>
      <c r="E1077" t="s">
        <v>92</v>
      </c>
      <c r="F1077" t="s">
        <v>4499</v>
      </c>
      <c r="G1077" t="s">
        <v>758</v>
      </c>
      <c r="H1077" t="s">
        <v>759</v>
      </c>
      <c r="I1077" s="130">
        <v>45302</v>
      </c>
      <c r="J1077" t="s">
        <v>14</v>
      </c>
      <c r="K1077">
        <v>1</v>
      </c>
      <c r="M10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77" t="str">
        <f>DO_DB[[#This Row],[Material Pick-update]]&amp;"_"&amp;DO_DB[[#This Row],[Material Name]]</f>
        <v>45302_FDT-48</v>
      </c>
      <c r="O1077" t="str">
        <f>DO_DB[[#This Row],[SiteID]]</f>
        <v>CLR23-03-003</v>
      </c>
      <c r="P1077" t="str">
        <f>DO_DB[[#This Row],[SiteID]]&amp;"_"&amp;DO_DB[[#This Row],[Material Name]]</f>
        <v>CLR23-03-003_FDT-48</v>
      </c>
      <c r="Q1077" t="str">
        <f>DO_DB[[#This Row],[DO Number]]</f>
        <v>DOEID24011043</v>
      </c>
      <c r="R1077" t="str">
        <f>DO_DB[[#This Row],[DN Number]]</f>
        <v>DNWID0342024011020</v>
      </c>
    </row>
    <row r="1078" spans="1:18">
      <c r="A1078" t="s">
        <v>756</v>
      </c>
      <c r="B1078" t="s">
        <v>757</v>
      </c>
      <c r="C1078" s="172" t="s">
        <v>4482</v>
      </c>
      <c r="D1078" t="s">
        <v>71</v>
      </c>
      <c r="E1078" t="s">
        <v>92</v>
      </c>
      <c r="F1078" t="s">
        <v>4499</v>
      </c>
      <c r="G1078" t="s">
        <v>758</v>
      </c>
      <c r="H1078" t="s">
        <v>759</v>
      </c>
      <c r="I1078" s="130">
        <v>45302</v>
      </c>
      <c r="J1078" t="s">
        <v>13</v>
      </c>
      <c r="K1078">
        <v>9</v>
      </c>
      <c r="M10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78" t="str">
        <f>DO_DB[[#This Row],[Material Pick-update]]&amp;"_"&amp;DO_DB[[#This Row],[Material Name]]</f>
        <v>45302_FAT-16</v>
      </c>
      <c r="O1078" t="str">
        <f>DO_DB[[#This Row],[SiteID]]</f>
        <v>CLR23-03-003</v>
      </c>
      <c r="P1078" t="str">
        <f>DO_DB[[#This Row],[SiteID]]&amp;"_"&amp;DO_DB[[#This Row],[Material Name]]</f>
        <v>CLR23-03-003_FAT-16</v>
      </c>
      <c r="Q1078" t="str">
        <f>DO_DB[[#This Row],[DO Number]]</f>
        <v>DOEID24011043</v>
      </c>
      <c r="R1078" t="str">
        <f>DO_DB[[#This Row],[DN Number]]</f>
        <v>DNWID0342024011020</v>
      </c>
    </row>
    <row r="1079" spans="1:18">
      <c r="A1079" t="s">
        <v>764</v>
      </c>
      <c r="B1079" t="s">
        <v>765</v>
      </c>
      <c r="C1079" s="172" t="s">
        <v>4482</v>
      </c>
      <c r="D1079" t="s">
        <v>71</v>
      </c>
      <c r="E1079" t="s">
        <v>92</v>
      </c>
      <c r="F1079" t="s">
        <v>4499</v>
      </c>
      <c r="G1079" t="s">
        <v>784</v>
      </c>
      <c r="H1079" t="s">
        <v>785</v>
      </c>
      <c r="I1079" s="130">
        <v>45302</v>
      </c>
      <c r="J1079" t="s">
        <v>3069</v>
      </c>
      <c r="K1079">
        <v>16</v>
      </c>
      <c r="M10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79" t="str">
        <f>DO_DB[[#This Row],[Material Pick-update]]&amp;"_"&amp;DO_DB[[#This Row],[Material Name]]</f>
        <v>45302_Pole 7M 4"</v>
      </c>
      <c r="O1079" t="str">
        <f>DO_DB[[#This Row],[SiteID]]</f>
        <v>CLR23-03-006</v>
      </c>
      <c r="P1079" t="str">
        <f>DO_DB[[#This Row],[SiteID]]&amp;"_"&amp;DO_DB[[#This Row],[Material Name]]</f>
        <v>CLR23-03-006_Pole 7M 4"</v>
      </c>
      <c r="Q1079" t="str">
        <f>DO_DB[[#This Row],[DO Number]]</f>
        <v>DOEID24011044</v>
      </c>
      <c r="R1079" t="str">
        <f>DO_DB[[#This Row],[DN Number]]</f>
        <v>DNWID0362024011016</v>
      </c>
    </row>
    <row r="1080" spans="1:18">
      <c r="A1080" t="s">
        <v>764</v>
      </c>
      <c r="B1080" t="s">
        <v>765</v>
      </c>
      <c r="C1080" s="172" t="s">
        <v>4482</v>
      </c>
      <c r="D1080" t="s">
        <v>71</v>
      </c>
      <c r="E1080" t="s">
        <v>92</v>
      </c>
      <c r="F1080" t="s">
        <v>4499</v>
      </c>
      <c r="G1080" t="s">
        <v>784</v>
      </c>
      <c r="H1080" t="s">
        <v>785</v>
      </c>
      <c r="I1080" s="130">
        <v>45302</v>
      </c>
      <c r="J1080" t="s">
        <v>3070</v>
      </c>
      <c r="K1080">
        <v>2</v>
      </c>
      <c r="M10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80" t="str">
        <f>DO_DB[[#This Row],[Material Pick-update]]&amp;"_"&amp;DO_DB[[#This Row],[Material Name]]</f>
        <v>45302_Pole 7M 3"</v>
      </c>
      <c r="O1080" t="str">
        <f>DO_DB[[#This Row],[SiteID]]</f>
        <v>CLR23-03-006</v>
      </c>
      <c r="P1080" t="str">
        <f>DO_DB[[#This Row],[SiteID]]&amp;"_"&amp;DO_DB[[#This Row],[Material Name]]</f>
        <v>CLR23-03-006_Pole 7M 3"</v>
      </c>
      <c r="Q1080" t="str">
        <f>DO_DB[[#This Row],[DO Number]]</f>
        <v>DOEID24011044</v>
      </c>
      <c r="R1080" t="str">
        <f>DO_DB[[#This Row],[DN Number]]</f>
        <v>DNWID0362024011016</v>
      </c>
    </row>
    <row r="1081" spans="1:18">
      <c r="A1081" t="s">
        <v>764</v>
      </c>
      <c r="B1081" t="s">
        <v>765</v>
      </c>
      <c r="C1081" s="172" t="s">
        <v>4482</v>
      </c>
      <c r="D1081" t="s">
        <v>71</v>
      </c>
      <c r="E1081" t="s">
        <v>92</v>
      </c>
      <c r="F1081" t="s">
        <v>4499</v>
      </c>
      <c r="G1081" t="s">
        <v>766</v>
      </c>
      <c r="H1081" t="s">
        <v>767</v>
      </c>
      <c r="I1081" s="130">
        <v>45302</v>
      </c>
      <c r="J1081" t="s">
        <v>13</v>
      </c>
      <c r="K1081">
        <v>5</v>
      </c>
      <c r="M10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81" t="str">
        <f>DO_DB[[#This Row],[Material Pick-update]]&amp;"_"&amp;DO_DB[[#This Row],[Material Name]]</f>
        <v>45302_FAT-16</v>
      </c>
      <c r="O1081" t="str">
        <f>DO_DB[[#This Row],[SiteID]]</f>
        <v>CLR23-03-006</v>
      </c>
      <c r="P1081" t="str">
        <f>DO_DB[[#This Row],[SiteID]]&amp;"_"&amp;DO_DB[[#This Row],[Material Name]]</f>
        <v>CLR23-03-006_FAT-16</v>
      </c>
      <c r="Q1081" t="str">
        <f>DO_DB[[#This Row],[DO Number]]</f>
        <v>DOEID24011045</v>
      </c>
      <c r="R1081" t="str">
        <f>DO_DB[[#This Row],[DN Number]]</f>
        <v>DNWID0342024011017</v>
      </c>
    </row>
    <row r="1082" spans="1:18">
      <c r="A1082" t="s">
        <v>768</v>
      </c>
      <c r="B1082" t="s">
        <v>769</v>
      </c>
      <c r="C1082" s="172" t="s">
        <v>4482</v>
      </c>
      <c r="D1082" t="s">
        <v>71</v>
      </c>
      <c r="E1082" t="s">
        <v>92</v>
      </c>
      <c r="F1082" t="s">
        <v>4499</v>
      </c>
      <c r="G1082" t="s">
        <v>792</v>
      </c>
      <c r="H1082" t="s">
        <v>793</v>
      </c>
      <c r="I1082" s="130">
        <v>45302</v>
      </c>
      <c r="J1082" t="s">
        <v>3069</v>
      </c>
      <c r="K1082">
        <v>56</v>
      </c>
      <c r="M10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82" t="str">
        <f>DO_DB[[#This Row],[Material Pick-update]]&amp;"_"&amp;DO_DB[[#This Row],[Material Name]]</f>
        <v>45302_Pole 7M 4"</v>
      </c>
      <c r="O1082" t="str">
        <f>DO_DB[[#This Row],[SiteID]]</f>
        <v>CLR23-03-011</v>
      </c>
      <c r="P1082" t="str">
        <f>DO_DB[[#This Row],[SiteID]]&amp;"_"&amp;DO_DB[[#This Row],[Material Name]]</f>
        <v>CLR23-03-011_Pole 7M 4"</v>
      </c>
      <c r="Q1082" t="str">
        <f>DO_DB[[#This Row],[DO Number]]</f>
        <v>DOEID24011046</v>
      </c>
      <c r="R1082" t="str">
        <f>DO_DB[[#This Row],[DN Number]]</f>
        <v>DNWID0362024011012</v>
      </c>
    </row>
    <row r="1083" spans="1:18">
      <c r="A1083" t="s">
        <v>768</v>
      </c>
      <c r="B1083" t="s">
        <v>769</v>
      </c>
      <c r="C1083" s="172" t="s">
        <v>4482</v>
      </c>
      <c r="D1083" t="s">
        <v>71</v>
      </c>
      <c r="E1083" t="s">
        <v>92</v>
      </c>
      <c r="F1083" t="s">
        <v>4499</v>
      </c>
      <c r="G1083" t="s">
        <v>792</v>
      </c>
      <c r="H1083" t="s">
        <v>793</v>
      </c>
      <c r="I1083" s="130">
        <v>45302</v>
      </c>
      <c r="J1083" t="s">
        <v>3071</v>
      </c>
      <c r="K1083">
        <v>3</v>
      </c>
      <c r="M10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83" t="str">
        <f>DO_DB[[#This Row],[Material Pick-update]]&amp;"_"&amp;DO_DB[[#This Row],[Material Name]]</f>
        <v>45302_Pole 9M</v>
      </c>
      <c r="O1083" t="str">
        <f>DO_DB[[#This Row],[SiteID]]</f>
        <v>CLR23-03-011</v>
      </c>
      <c r="P1083" t="str">
        <f>DO_DB[[#This Row],[SiteID]]&amp;"_"&amp;DO_DB[[#This Row],[Material Name]]</f>
        <v>CLR23-03-011_Pole 9M</v>
      </c>
      <c r="Q1083" t="str">
        <f>DO_DB[[#This Row],[DO Number]]</f>
        <v>DOEID24011046</v>
      </c>
      <c r="R1083" t="str">
        <f>DO_DB[[#This Row],[DN Number]]</f>
        <v>DNWID0362024011012</v>
      </c>
    </row>
    <row r="1084" spans="1:18">
      <c r="A1084" t="s">
        <v>768</v>
      </c>
      <c r="B1084" t="s">
        <v>769</v>
      </c>
      <c r="C1084" s="172" t="s">
        <v>4482</v>
      </c>
      <c r="D1084" t="s">
        <v>71</v>
      </c>
      <c r="E1084" t="s">
        <v>92</v>
      </c>
      <c r="F1084" t="s">
        <v>4499</v>
      </c>
      <c r="G1084" t="s">
        <v>770</v>
      </c>
      <c r="H1084" t="s">
        <v>771</v>
      </c>
      <c r="I1084" s="130">
        <v>45302</v>
      </c>
      <c r="J1084" t="s">
        <v>14</v>
      </c>
      <c r="K1084">
        <v>2</v>
      </c>
      <c r="M10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84" t="str">
        <f>DO_DB[[#This Row],[Material Pick-update]]&amp;"_"&amp;DO_DB[[#This Row],[Material Name]]</f>
        <v>45302_FDT-48</v>
      </c>
      <c r="O1084" t="str">
        <f>DO_DB[[#This Row],[SiteID]]</f>
        <v>CLR23-03-011</v>
      </c>
      <c r="P1084" t="str">
        <f>DO_DB[[#This Row],[SiteID]]&amp;"_"&amp;DO_DB[[#This Row],[Material Name]]</f>
        <v>CLR23-03-011_FDT-48</v>
      </c>
      <c r="Q1084" t="str">
        <f>DO_DB[[#This Row],[DO Number]]</f>
        <v>DOEID24011047</v>
      </c>
      <c r="R1084" t="str">
        <f>DO_DB[[#This Row],[DN Number]]</f>
        <v>DNWID0342024011021</v>
      </c>
    </row>
    <row r="1085" spans="1:18">
      <c r="A1085" t="s">
        <v>768</v>
      </c>
      <c r="B1085" t="s">
        <v>769</v>
      </c>
      <c r="C1085" s="172" t="s">
        <v>4482</v>
      </c>
      <c r="D1085" t="s">
        <v>71</v>
      </c>
      <c r="E1085" t="s">
        <v>92</v>
      </c>
      <c r="F1085" t="s">
        <v>4499</v>
      </c>
      <c r="G1085" t="s">
        <v>770</v>
      </c>
      <c r="H1085" t="s">
        <v>771</v>
      </c>
      <c r="I1085" s="130">
        <v>45302</v>
      </c>
      <c r="J1085" t="s">
        <v>13</v>
      </c>
      <c r="K1085">
        <v>35</v>
      </c>
      <c r="M10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85" t="str">
        <f>DO_DB[[#This Row],[Material Pick-update]]&amp;"_"&amp;DO_DB[[#This Row],[Material Name]]</f>
        <v>45302_FAT-16</v>
      </c>
      <c r="O1085" t="str">
        <f>DO_DB[[#This Row],[SiteID]]</f>
        <v>CLR23-03-011</v>
      </c>
      <c r="P1085" t="str">
        <f>DO_DB[[#This Row],[SiteID]]&amp;"_"&amp;DO_DB[[#This Row],[Material Name]]</f>
        <v>CLR23-03-011_FAT-16</v>
      </c>
      <c r="Q1085" t="str">
        <f>DO_DB[[#This Row],[DO Number]]</f>
        <v>DOEID24011047</v>
      </c>
      <c r="R1085" t="str">
        <f>DO_DB[[#This Row],[DN Number]]</f>
        <v>DNWID0342024011021</v>
      </c>
    </row>
    <row r="1086" spans="1:18">
      <c r="A1086" t="s">
        <v>760</v>
      </c>
      <c r="B1086" t="s">
        <v>761</v>
      </c>
      <c r="C1086" s="172" t="s">
        <v>4482</v>
      </c>
      <c r="D1086" t="s">
        <v>71</v>
      </c>
      <c r="E1086" t="s">
        <v>92</v>
      </c>
      <c r="F1086" t="s">
        <v>4499</v>
      </c>
      <c r="G1086" t="s">
        <v>780</v>
      </c>
      <c r="H1086" t="s">
        <v>781</v>
      </c>
      <c r="I1086" s="130">
        <v>45302</v>
      </c>
      <c r="J1086" t="s">
        <v>3069</v>
      </c>
      <c r="K1086">
        <v>53</v>
      </c>
      <c r="M10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86" t="str">
        <f>DO_DB[[#This Row],[Material Pick-update]]&amp;"_"&amp;DO_DB[[#This Row],[Material Name]]</f>
        <v>45302_Pole 7M 4"</v>
      </c>
      <c r="O1086" t="str">
        <f>DO_DB[[#This Row],[SiteID]]</f>
        <v>CLR23-03-020</v>
      </c>
      <c r="P1086" t="str">
        <f>DO_DB[[#This Row],[SiteID]]&amp;"_"&amp;DO_DB[[#This Row],[Material Name]]</f>
        <v>CLR23-03-020_Pole 7M 4"</v>
      </c>
      <c r="Q1086" t="str">
        <f>DO_DB[[#This Row],[DO Number]]</f>
        <v>DOEID24011048</v>
      </c>
      <c r="R1086" t="str">
        <f>DO_DB[[#This Row],[DN Number]]</f>
        <v>DNWID0362024011013</v>
      </c>
    </row>
    <row r="1087" spans="1:18">
      <c r="A1087" t="s">
        <v>760</v>
      </c>
      <c r="B1087" t="s">
        <v>761</v>
      </c>
      <c r="C1087" s="172" t="s">
        <v>4482</v>
      </c>
      <c r="D1087" t="s">
        <v>71</v>
      </c>
      <c r="E1087" t="s">
        <v>92</v>
      </c>
      <c r="F1087" t="s">
        <v>4499</v>
      </c>
      <c r="G1087" t="s">
        <v>780</v>
      </c>
      <c r="H1087" t="s">
        <v>781</v>
      </c>
      <c r="I1087" s="130">
        <v>45302</v>
      </c>
      <c r="J1087" t="s">
        <v>3070</v>
      </c>
      <c r="K1087">
        <v>20</v>
      </c>
      <c r="M10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87" t="str">
        <f>DO_DB[[#This Row],[Material Pick-update]]&amp;"_"&amp;DO_DB[[#This Row],[Material Name]]</f>
        <v>45302_Pole 7M 3"</v>
      </c>
      <c r="O1087" t="str">
        <f>DO_DB[[#This Row],[SiteID]]</f>
        <v>CLR23-03-020</v>
      </c>
      <c r="P1087" t="str">
        <f>DO_DB[[#This Row],[SiteID]]&amp;"_"&amp;DO_DB[[#This Row],[Material Name]]</f>
        <v>CLR23-03-020_Pole 7M 3"</v>
      </c>
      <c r="Q1087" t="str">
        <f>DO_DB[[#This Row],[DO Number]]</f>
        <v>DOEID24011048</v>
      </c>
      <c r="R1087" t="str">
        <f>DO_DB[[#This Row],[DN Number]]</f>
        <v>DNWID0362024011013</v>
      </c>
    </row>
    <row r="1088" spans="1:18">
      <c r="A1088" t="s">
        <v>760</v>
      </c>
      <c r="B1088" t="s">
        <v>761</v>
      </c>
      <c r="C1088" s="172" t="s">
        <v>4482</v>
      </c>
      <c r="D1088" t="s">
        <v>71</v>
      </c>
      <c r="E1088" t="s">
        <v>92</v>
      </c>
      <c r="F1088" t="s">
        <v>4499</v>
      </c>
      <c r="G1088" t="s">
        <v>762</v>
      </c>
      <c r="H1088" t="s">
        <v>763</v>
      </c>
      <c r="I1088" s="130">
        <v>45302</v>
      </c>
      <c r="J1088" t="s">
        <v>14</v>
      </c>
      <c r="K1088">
        <v>2</v>
      </c>
      <c r="M10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88" t="str">
        <f>DO_DB[[#This Row],[Material Pick-update]]&amp;"_"&amp;DO_DB[[#This Row],[Material Name]]</f>
        <v>45302_FDT-48</v>
      </c>
      <c r="O1088" t="str">
        <f>DO_DB[[#This Row],[SiteID]]</f>
        <v>CLR23-03-020</v>
      </c>
      <c r="P1088" t="str">
        <f>DO_DB[[#This Row],[SiteID]]&amp;"_"&amp;DO_DB[[#This Row],[Material Name]]</f>
        <v>CLR23-03-020_FDT-48</v>
      </c>
      <c r="Q1088" t="str">
        <f>DO_DB[[#This Row],[DO Number]]</f>
        <v>DOEID24011049</v>
      </c>
      <c r="R1088" t="str">
        <f>DO_DB[[#This Row],[DN Number]]</f>
        <v>DNWID0342024011018</v>
      </c>
    </row>
    <row r="1089" spans="1:18">
      <c r="A1089" t="s">
        <v>760</v>
      </c>
      <c r="B1089" t="s">
        <v>761</v>
      </c>
      <c r="C1089" s="172" t="s">
        <v>4482</v>
      </c>
      <c r="D1089" t="s">
        <v>71</v>
      </c>
      <c r="E1089" t="s">
        <v>92</v>
      </c>
      <c r="F1089" t="s">
        <v>4499</v>
      </c>
      <c r="G1089" t="s">
        <v>762</v>
      </c>
      <c r="H1089" t="s">
        <v>763</v>
      </c>
      <c r="I1089" s="130">
        <v>45302</v>
      </c>
      <c r="J1089" t="s">
        <v>13</v>
      </c>
      <c r="K1089">
        <v>26</v>
      </c>
      <c r="M10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89" t="str">
        <f>DO_DB[[#This Row],[Material Pick-update]]&amp;"_"&amp;DO_DB[[#This Row],[Material Name]]</f>
        <v>45302_FAT-16</v>
      </c>
      <c r="O1089" t="str">
        <f>DO_DB[[#This Row],[SiteID]]</f>
        <v>CLR23-03-020</v>
      </c>
      <c r="P1089" t="str">
        <f>DO_DB[[#This Row],[SiteID]]&amp;"_"&amp;DO_DB[[#This Row],[Material Name]]</f>
        <v>CLR23-03-020_FAT-16</v>
      </c>
      <c r="Q1089" t="str">
        <f>DO_DB[[#This Row],[DO Number]]</f>
        <v>DOEID24011049</v>
      </c>
      <c r="R1089" t="str">
        <f>DO_DB[[#This Row],[DN Number]]</f>
        <v>DNWID0342024011018</v>
      </c>
    </row>
    <row r="1090" spans="1:18">
      <c r="A1090" t="s">
        <v>752</v>
      </c>
      <c r="B1090" t="s">
        <v>753</v>
      </c>
      <c r="C1090" s="172" t="s">
        <v>4482</v>
      </c>
      <c r="D1090" t="s">
        <v>71</v>
      </c>
      <c r="E1090" t="s">
        <v>92</v>
      </c>
      <c r="F1090" t="s">
        <v>4499</v>
      </c>
      <c r="G1090" t="s">
        <v>782</v>
      </c>
      <c r="H1090" t="s">
        <v>783</v>
      </c>
      <c r="I1090" s="130">
        <v>45302</v>
      </c>
      <c r="J1090" t="s">
        <v>3069</v>
      </c>
      <c r="K1090">
        <v>91</v>
      </c>
      <c r="M10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90" t="str">
        <f>DO_DB[[#This Row],[Material Pick-update]]&amp;"_"&amp;DO_DB[[#This Row],[Material Name]]</f>
        <v>45302_Pole 7M 4"</v>
      </c>
      <c r="O1090" t="str">
        <f>DO_DB[[#This Row],[SiteID]]</f>
        <v>CLR23-03-021</v>
      </c>
      <c r="P1090" t="str">
        <f>DO_DB[[#This Row],[SiteID]]&amp;"_"&amp;DO_DB[[#This Row],[Material Name]]</f>
        <v>CLR23-03-021_Pole 7M 4"</v>
      </c>
      <c r="Q1090" t="str">
        <f>DO_DB[[#This Row],[DO Number]]</f>
        <v>DOEID24011050</v>
      </c>
      <c r="R1090" t="str">
        <f>DO_DB[[#This Row],[DN Number]]</f>
        <v>DNWID0362024011014</v>
      </c>
    </row>
    <row r="1091" spans="1:18">
      <c r="A1091" t="s">
        <v>752</v>
      </c>
      <c r="B1091" t="s">
        <v>753</v>
      </c>
      <c r="C1091" s="172" t="s">
        <v>4482</v>
      </c>
      <c r="D1091" t="s">
        <v>71</v>
      </c>
      <c r="E1091" t="s">
        <v>92</v>
      </c>
      <c r="F1091" t="s">
        <v>4499</v>
      </c>
      <c r="G1091" t="s">
        <v>782</v>
      </c>
      <c r="H1091" t="s">
        <v>783</v>
      </c>
      <c r="I1091" s="130">
        <v>45302</v>
      </c>
      <c r="J1091" t="s">
        <v>3071</v>
      </c>
      <c r="K1091">
        <v>4</v>
      </c>
      <c r="M10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91" t="str">
        <f>DO_DB[[#This Row],[Material Pick-update]]&amp;"_"&amp;DO_DB[[#This Row],[Material Name]]</f>
        <v>45302_Pole 9M</v>
      </c>
      <c r="O1091" t="str">
        <f>DO_DB[[#This Row],[SiteID]]</f>
        <v>CLR23-03-021</v>
      </c>
      <c r="P1091" t="str">
        <f>DO_DB[[#This Row],[SiteID]]&amp;"_"&amp;DO_DB[[#This Row],[Material Name]]</f>
        <v>CLR23-03-021_Pole 9M</v>
      </c>
      <c r="Q1091" t="str">
        <f>DO_DB[[#This Row],[DO Number]]</f>
        <v>DOEID24011050</v>
      </c>
      <c r="R1091" t="str">
        <f>DO_DB[[#This Row],[DN Number]]</f>
        <v>DNWID0362024011014</v>
      </c>
    </row>
    <row r="1092" spans="1:18">
      <c r="A1092" t="s">
        <v>752</v>
      </c>
      <c r="B1092" t="s">
        <v>753</v>
      </c>
      <c r="C1092" s="172" t="s">
        <v>4482</v>
      </c>
      <c r="D1092" t="s">
        <v>71</v>
      </c>
      <c r="E1092" t="s">
        <v>92</v>
      </c>
      <c r="F1092" t="s">
        <v>4499</v>
      </c>
      <c r="G1092" t="s">
        <v>754</v>
      </c>
      <c r="H1092" t="s">
        <v>755</v>
      </c>
      <c r="I1092" s="130">
        <v>45302</v>
      </c>
      <c r="J1092" t="s">
        <v>14</v>
      </c>
      <c r="K1092">
        <v>2</v>
      </c>
      <c r="M10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92" t="str">
        <f>DO_DB[[#This Row],[Material Pick-update]]&amp;"_"&amp;DO_DB[[#This Row],[Material Name]]</f>
        <v>45302_FDT-48</v>
      </c>
      <c r="O1092" t="str">
        <f>DO_DB[[#This Row],[SiteID]]</f>
        <v>CLR23-03-021</v>
      </c>
      <c r="P1092" t="str">
        <f>DO_DB[[#This Row],[SiteID]]&amp;"_"&amp;DO_DB[[#This Row],[Material Name]]</f>
        <v>CLR23-03-021_FDT-48</v>
      </c>
      <c r="Q1092" t="str">
        <f>DO_DB[[#This Row],[DO Number]]</f>
        <v>DOEID24011051</v>
      </c>
      <c r="R1092" t="str">
        <f>DO_DB[[#This Row],[DN Number]]</f>
        <v>DNWID0342024011019</v>
      </c>
    </row>
    <row r="1093" spans="1:18">
      <c r="A1093" t="s">
        <v>752</v>
      </c>
      <c r="B1093" t="s">
        <v>753</v>
      </c>
      <c r="C1093" s="172" t="s">
        <v>4482</v>
      </c>
      <c r="D1093" t="s">
        <v>71</v>
      </c>
      <c r="E1093" t="s">
        <v>92</v>
      </c>
      <c r="F1093" t="s">
        <v>4499</v>
      </c>
      <c r="G1093" t="s">
        <v>754</v>
      </c>
      <c r="H1093" t="s">
        <v>755</v>
      </c>
      <c r="I1093" s="130">
        <v>45302</v>
      </c>
      <c r="J1093" t="s">
        <v>13</v>
      </c>
      <c r="K1093">
        <v>33</v>
      </c>
      <c r="M10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093" t="str">
        <f>DO_DB[[#This Row],[Material Pick-update]]&amp;"_"&amp;DO_DB[[#This Row],[Material Name]]</f>
        <v>45302_FAT-16</v>
      </c>
      <c r="O1093" t="str">
        <f>DO_DB[[#This Row],[SiteID]]</f>
        <v>CLR23-03-021</v>
      </c>
      <c r="P1093" t="str">
        <f>DO_DB[[#This Row],[SiteID]]&amp;"_"&amp;DO_DB[[#This Row],[Material Name]]</f>
        <v>CLR23-03-021_FAT-16</v>
      </c>
      <c r="Q1093" t="str">
        <f>DO_DB[[#This Row],[DO Number]]</f>
        <v>DOEID24011051</v>
      </c>
      <c r="R1093" t="str">
        <f>DO_DB[[#This Row],[DN Number]]</f>
        <v>DNWID0342024011019</v>
      </c>
    </row>
    <row r="1094" spans="1:18">
      <c r="A1094" t="s">
        <v>776</v>
      </c>
      <c r="B1094" t="s">
        <v>777</v>
      </c>
      <c r="C1094" s="172" t="s">
        <v>4482</v>
      </c>
      <c r="D1094" t="s">
        <v>71</v>
      </c>
      <c r="E1094" t="s">
        <v>92</v>
      </c>
      <c r="F1094" t="s">
        <v>4499</v>
      </c>
      <c r="G1094" t="s">
        <v>778</v>
      </c>
      <c r="H1094" t="s">
        <v>779</v>
      </c>
      <c r="I1094" s="130">
        <v>45302</v>
      </c>
      <c r="J1094" t="s">
        <v>3073</v>
      </c>
      <c r="K1094">
        <v>3000</v>
      </c>
      <c r="M10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24C-2024111-01</v>
      </c>
      <c r="N1094" t="str">
        <f>DO_DB[[#This Row],[Material Pick-update]]&amp;"_"&amp;DO_DB[[#This Row],[Material Name]]</f>
        <v>45302_ADSS 24C</v>
      </c>
      <c r="O1094" t="str">
        <f>DO_DB[[#This Row],[SiteID]]</f>
        <v>CLR23-03-007</v>
      </c>
      <c r="P1094" t="str">
        <f>DO_DB[[#This Row],[SiteID]]&amp;"_"&amp;DO_DB[[#This Row],[Material Name]]</f>
        <v>CLR23-03-007_ADSS 24C</v>
      </c>
      <c r="Q1094" t="str">
        <f>DO_DB[[#This Row],[DO Number]]</f>
        <v>DOEID24010976</v>
      </c>
      <c r="R1094" t="str">
        <f>DO_DB[[#This Row],[DN Number]]</f>
        <v>DNWID0342024010905</v>
      </c>
    </row>
    <row r="1095" spans="1:18">
      <c r="A1095" t="s">
        <v>756</v>
      </c>
      <c r="B1095" t="s">
        <v>757</v>
      </c>
      <c r="C1095" s="172" t="s">
        <v>4482</v>
      </c>
      <c r="D1095" t="s">
        <v>71</v>
      </c>
      <c r="E1095" t="s">
        <v>92</v>
      </c>
      <c r="F1095" t="s">
        <v>4499</v>
      </c>
      <c r="G1095" t="s">
        <v>758</v>
      </c>
      <c r="H1095" t="s">
        <v>759</v>
      </c>
      <c r="I1095" s="130">
        <v>45302</v>
      </c>
      <c r="J1095" t="s">
        <v>3073</v>
      </c>
      <c r="K1095">
        <v>3000</v>
      </c>
      <c r="M10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24C-2024111-01</v>
      </c>
      <c r="N1095" t="str">
        <f>DO_DB[[#This Row],[Material Pick-update]]&amp;"_"&amp;DO_DB[[#This Row],[Material Name]]</f>
        <v>45302_ADSS 24C</v>
      </c>
      <c r="O1095" t="str">
        <f>DO_DB[[#This Row],[SiteID]]</f>
        <v>CLR23-03-003</v>
      </c>
      <c r="P1095" t="str">
        <f>DO_DB[[#This Row],[SiteID]]&amp;"_"&amp;DO_DB[[#This Row],[Material Name]]</f>
        <v>CLR23-03-003_ADSS 24C</v>
      </c>
      <c r="Q1095" t="str">
        <f>DO_DB[[#This Row],[DO Number]]</f>
        <v>DOEID24011043</v>
      </c>
      <c r="R1095" t="str">
        <f>DO_DB[[#This Row],[DN Number]]</f>
        <v>DNWID0342024011020</v>
      </c>
    </row>
    <row r="1096" spans="1:18">
      <c r="A1096" t="s">
        <v>768</v>
      </c>
      <c r="B1096" t="s">
        <v>769</v>
      </c>
      <c r="C1096" s="172" t="s">
        <v>4482</v>
      </c>
      <c r="D1096" t="s">
        <v>71</v>
      </c>
      <c r="E1096" t="s">
        <v>92</v>
      </c>
      <c r="F1096" t="s">
        <v>4499</v>
      </c>
      <c r="G1096" t="s">
        <v>770</v>
      </c>
      <c r="H1096" t="s">
        <v>771</v>
      </c>
      <c r="I1096" s="130">
        <v>45302</v>
      </c>
      <c r="J1096" t="s">
        <v>3073</v>
      </c>
      <c r="K1096">
        <v>3000</v>
      </c>
      <c r="M10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24C-2024111-01</v>
      </c>
      <c r="N1096" t="str">
        <f>DO_DB[[#This Row],[Material Pick-update]]&amp;"_"&amp;DO_DB[[#This Row],[Material Name]]</f>
        <v>45302_ADSS 24C</v>
      </c>
      <c r="O1096" t="str">
        <f>DO_DB[[#This Row],[SiteID]]</f>
        <v>CLR23-03-011</v>
      </c>
      <c r="P1096" t="str">
        <f>DO_DB[[#This Row],[SiteID]]&amp;"_"&amp;DO_DB[[#This Row],[Material Name]]</f>
        <v>CLR23-03-011_ADSS 24C</v>
      </c>
      <c r="Q1096" t="str">
        <f>DO_DB[[#This Row],[DO Number]]</f>
        <v>DOEID24011047</v>
      </c>
      <c r="R1096" t="str">
        <f>DO_DB[[#This Row],[DN Number]]</f>
        <v>DNWID0342024011021</v>
      </c>
    </row>
    <row r="1097" spans="1:18">
      <c r="A1097" t="s">
        <v>768</v>
      </c>
      <c r="B1097" t="s">
        <v>769</v>
      </c>
      <c r="C1097" s="172" t="s">
        <v>4482</v>
      </c>
      <c r="D1097" t="s">
        <v>71</v>
      </c>
      <c r="E1097" t="s">
        <v>92</v>
      </c>
      <c r="F1097" t="s">
        <v>4499</v>
      </c>
      <c r="G1097" t="s">
        <v>770</v>
      </c>
      <c r="H1097" t="s">
        <v>771</v>
      </c>
      <c r="I1097" s="130">
        <v>45302</v>
      </c>
      <c r="J1097" t="s">
        <v>3075</v>
      </c>
      <c r="K1097">
        <v>3000</v>
      </c>
      <c r="M10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48C-2024111-01</v>
      </c>
      <c r="N1097" t="str">
        <f>DO_DB[[#This Row],[Material Pick-update]]&amp;"_"&amp;DO_DB[[#This Row],[Material Name]]</f>
        <v>45302_ADSS 48C</v>
      </c>
      <c r="O1097" t="str">
        <f>DO_DB[[#This Row],[SiteID]]</f>
        <v>CLR23-03-011</v>
      </c>
      <c r="P1097" t="str">
        <f>DO_DB[[#This Row],[SiteID]]&amp;"_"&amp;DO_DB[[#This Row],[Material Name]]</f>
        <v>CLR23-03-011_ADSS 48C</v>
      </c>
      <c r="Q1097" t="str">
        <f>DO_DB[[#This Row],[DO Number]]</f>
        <v>DOEID24011047</v>
      </c>
      <c r="R1097" t="str">
        <f>DO_DB[[#This Row],[DN Number]]</f>
        <v>DNWID0342024011021</v>
      </c>
    </row>
    <row r="1098" spans="1:18">
      <c r="A1098" t="s">
        <v>760</v>
      </c>
      <c r="B1098" t="s">
        <v>761</v>
      </c>
      <c r="C1098" s="172" t="s">
        <v>4482</v>
      </c>
      <c r="D1098" t="s">
        <v>71</v>
      </c>
      <c r="E1098" t="s">
        <v>92</v>
      </c>
      <c r="F1098" t="s">
        <v>4499</v>
      </c>
      <c r="G1098" t="s">
        <v>762</v>
      </c>
      <c r="H1098" t="s">
        <v>763</v>
      </c>
      <c r="I1098" s="130">
        <v>45302</v>
      </c>
      <c r="J1098" t="s">
        <v>3073</v>
      </c>
      <c r="K1098">
        <v>3000</v>
      </c>
      <c r="M10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24C-2024111-01</v>
      </c>
      <c r="N1098" t="str">
        <f>DO_DB[[#This Row],[Material Pick-update]]&amp;"_"&amp;DO_DB[[#This Row],[Material Name]]</f>
        <v>45302_ADSS 24C</v>
      </c>
      <c r="O1098" t="str">
        <f>DO_DB[[#This Row],[SiteID]]</f>
        <v>CLR23-03-020</v>
      </c>
      <c r="P1098" t="str">
        <f>DO_DB[[#This Row],[SiteID]]&amp;"_"&amp;DO_DB[[#This Row],[Material Name]]</f>
        <v>CLR23-03-020_ADSS 24C</v>
      </c>
      <c r="Q1098" t="str">
        <f>DO_DB[[#This Row],[DO Number]]</f>
        <v>DOEID24011049</v>
      </c>
      <c r="R1098" t="str">
        <f>DO_DB[[#This Row],[DN Number]]</f>
        <v>DNWID0342024011018</v>
      </c>
    </row>
    <row r="1099" spans="1:18">
      <c r="A1099" t="s">
        <v>760</v>
      </c>
      <c r="B1099" t="s">
        <v>761</v>
      </c>
      <c r="C1099" s="172" t="s">
        <v>4482</v>
      </c>
      <c r="D1099" t="s">
        <v>71</v>
      </c>
      <c r="E1099" t="s">
        <v>92</v>
      </c>
      <c r="F1099" t="s">
        <v>4499</v>
      </c>
      <c r="G1099" t="s">
        <v>762</v>
      </c>
      <c r="H1099" t="s">
        <v>763</v>
      </c>
      <c r="I1099" s="130">
        <v>45302</v>
      </c>
      <c r="J1099" t="s">
        <v>3075</v>
      </c>
      <c r="K1099">
        <v>3000</v>
      </c>
      <c r="M10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48C-2024111-01</v>
      </c>
      <c r="N1099" t="str">
        <f>DO_DB[[#This Row],[Material Pick-update]]&amp;"_"&amp;DO_DB[[#This Row],[Material Name]]</f>
        <v>45302_ADSS 48C</v>
      </c>
      <c r="O1099" t="str">
        <f>DO_DB[[#This Row],[SiteID]]</f>
        <v>CLR23-03-020</v>
      </c>
      <c r="P1099" t="str">
        <f>DO_DB[[#This Row],[SiteID]]&amp;"_"&amp;DO_DB[[#This Row],[Material Name]]</f>
        <v>CLR23-03-020_ADSS 48C</v>
      </c>
      <c r="Q1099" t="str">
        <f>DO_DB[[#This Row],[DO Number]]</f>
        <v>DOEID24011049</v>
      </c>
      <c r="R1099" t="str">
        <f>DO_DB[[#This Row],[DN Number]]</f>
        <v>DNWID0342024011018</v>
      </c>
    </row>
    <row r="1100" spans="1:18">
      <c r="A1100" t="s">
        <v>752</v>
      </c>
      <c r="B1100" t="s">
        <v>753</v>
      </c>
      <c r="C1100" s="172" t="s">
        <v>4482</v>
      </c>
      <c r="D1100" t="s">
        <v>71</v>
      </c>
      <c r="E1100" t="s">
        <v>92</v>
      </c>
      <c r="F1100" t="s">
        <v>4499</v>
      </c>
      <c r="G1100" t="s">
        <v>754</v>
      </c>
      <c r="H1100" t="s">
        <v>755</v>
      </c>
      <c r="I1100" s="130">
        <v>45302</v>
      </c>
      <c r="J1100" t="s">
        <v>3073</v>
      </c>
      <c r="K1100">
        <v>3000</v>
      </c>
      <c r="M11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24C-2024111-01</v>
      </c>
      <c r="N1100" t="str">
        <f>DO_DB[[#This Row],[Material Pick-update]]&amp;"_"&amp;DO_DB[[#This Row],[Material Name]]</f>
        <v>45302_ADSS 24C</v>
      </c>
      <c r="O1100" t="str">
        <f>DO_DB[[#This Row],[SiteID]]</f>
        <v>CLR23-03-021</v>
      </c>
      <c r="P1100" t="str">
        <f>DO_DB[[#This Row],[SiteID]]&amp;"_"&amp;DO_DB[[#This Row],[Material Name]]</f>
        <v>CLR23-03-021_ADSS 24C</v>
      </c>
      <c r="Q1100" t="str">
        <f>DO_DB[[#This Row],[DO Number]]</f>
        <v>DOEID24011051</v>
      </c>
      <c r="R1100" t="str">
        <f>DO_DB[[#This Row],[DN Number]]</f>
        <v>DNWID0342024011019</v>
      </c>
    </row>
    <row r="1101" spans="1:18">
      <c r="A1101" t="s">
        <v>752</v>
      </c>
      <c r="B1101" t="s">
        <v>753</v>
      </c>
      <c r="C1101" s="172" t="s">
        <v>4482</v>
      </c>
      <c r="D1101" t="s">
        <v>71</v>
      </c>
      <c r="E1101" t="s">
        <v>92</v>
      </c>
      <c r="F1101" t="s">
        <v>4499</v>
      </c>
      <c r="G1101" t="s">
        <v>754</v>
      </c>
      <c r="H1101" t="s">
        <v>755</v>
      </c>
      <c r="I1101" s="130">
        <v>45302</v>
      </c>
      <c r="J1101" t="s">
        <v>3075</v>
      </c>
      <c r="K1101">
        <v>3000</v>
      </c>
      <c r="M11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48C-2024111-01</v>
      </c>
      <c r="N1101" t="str">
        <f>DO_DB[[#This Row],[Material Pick-update]]&amp;"_"&amp;DO_DB[[#This Row],[Material Name]]</f>
        <v>45302_ADSS 48C</v>
      </c>
      <c r="O1101" t="str">
        <f>DO_DB[[#This Row],[SiteID]]</f>
        <v>CLR23-03-021</v>
      </c>
      <c r="P1101" t="str">
        <f>DO_DB[[#This Row],[SiteID]]&amp;"_"&amp;DO_DB[[#This Row],[Material Name]]</f>
        <v>CLR23-03-021_ADSS 48C</v>
      </c>
      <c r="Q1101" t="str">
        <f>DO_DB[[#This Row],[DO Number]]</f>
        <v>DOEID24011051</v>
      </c>
      <c r="R1101" t="str">
        <f>DO_DB[[#This Row],[DN Number]]</f>
        <v>DNWID0342024011019</v>
      </c>
    </row>
    <row r="1102" spans="1:18">
      <c r="A1102" t="s">
        <v>1383</v>
      </c>
      <c r="B1102" t="s">
        <v>1384</v>
      </c>
      <c r="C1102" s="172" t="s">
        <v>4482</v>
      </c>
      <c r="D1102" t="s">
        <v>71</v>
      </c>
      <c r="E1102" t="s">
        <v>92</v>
      </c>
      <c r="F1102" t="s">
        <v>4499</v>
      </c>
      <c r="G1102" t="s">
        <v>1387</v>
      </c>
      <c r="H1102" t="s">
        <v>1388</v>
      </c>
      <c r="I1102" s="130">
        <v>45425</v>
      </c>
      <c r="J1102" t="s">
        <v>3069</v>
      </c>
      <c r="K1102">
        <v>13</v>
      </c>
      <c r="M11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02" t="str">
        <f>DO_DB[[#This Row],[Material Pick-update]]&amp;"_"&amp;DO_DB[[#This Row],[Material Name]]</f>
        <v>45425_Pole 7M 4"</v>
      </c>
      <c r="O1102" t="str">
        <f>DO_DB[[#This Row],[SiteID]]</f>
        <v>CLR23-99-102</v>
      </c>
      <c r="P1102" t="str">
        <f>DO_DB[[#This Row],[SiteID]]&amp;"_"&amp;DO_DB[[#This Row],[Material Name]]</f>
        <v>CLR23-99-102_Pole 7M 4"</v>
      </c>
      <c r="Q1102" t="str">
        <f>DO_DB[[#This Row],[DO Number]]</f>
        <v>DOEID240507AA</v>
      </c>
      <c r="R1102" t="str">
        <f>DO_DB[[#This Row],[DN Number]]</f>
        <v>DNWID0362024050711</v>
      </c>
    </row>
    <row r="1103" spans="1:18">
      <c r="A1103" t="s">
        <v>1383</v>
      </c>
      <c r="B1103" t="s">
        <v>1384</v>
      </c>
      <c r="C1103" s="172" t="s">
        <v>4482</v>
      </c>
      <c r="D1103" t="s">
        <v>71</v>
      </c>
      <c r="E1103" t="s">
        <v>92</v>
      </c>
      <c r="F1103" t="s">
        <v>4499</v>
      </c>
      <c r="G1103" t="s">
        <v>1387</v>
      </c>
      <c r="H1103" t="s">
        <v>1388</v>
      </c>
      <c r="I1103" s="130">
        <v>45425</v>
      </c>
      <c r="J1103" t="s">
        <v>3070</v>
      </c>
      <c r="K1103">
        <v>1</v>
      </c>
      <c r="M11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03" t="str">
        <f>DO_DB[[#This Row],[Material Pick-update]]&amp;"_"&amp;DO_DB[[#This Row],[Material Name]]</f>
        <v>45425_Pole 7M 3"</v>
      </c>
      <c r="O1103" t="str">
        <f>DO_DB[[#This Row],[SiteID]]</f>
        <v>CLR23-99-102</v>
      </c>
      <c r="P1103" t="str">
        <f>DO_DB[[#This Row],[SiteID]]&amp;"_"&amp;DO_DB[[#This Row],[Material Name]]</f>
        <v>CLR23-99-102_Pole 7M 3"</v>
      </c>
      <c r="Q1103" t="str">
        <f>DO_DB[[#This Row],[DO Number]]</f>
        <v>DOEID240507AA</v>
      </c>
      <c r="R1103" t="str">
        <f>DO_DB[[#This Row],[DN Number]]</f>
        <v>DNWID0362024050711</v>
      </c>
    </row>
    <row r="1104" spans="1:18">
      <c r="A1104" t="s">
        <v>1383</v>
      </c>
      <c r="B1104" t="s">
        <v>1384</v>
      </c>
      <c r="C1104" s="172" t="s">
        <v>4482</v>
      </c>
      <c r="D1104" t="s">
        <v>71</v>
      </c>
      <c r="E1104" t="s">
        <v>92</v>
      </c>
      <c r="F1104" t="s">
        <v>4499</v>
      </c>
      <c r="G1104" t="s">
        <v>1385</v>
      </c>
      <c r="H1104" t="s">
        <v>1386</v>
      </c>
      <c r="I1104" s="130">
        <v>45425</v>
      </c>
      <c r="J1104" t="s">
        <v>13</v>
      </c>
      <c r="K1104">
        <v>5</v>
      </c>
      <c r="M11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04" t="str">
        <f>DO_DB[[#This Row],[Material Pick-update]]&amp;"_"&amp;DO_DB[[#This Row],[Material Name]]</f>
        <v>45425_FAT-16</v>
      </c>
      <c r="O1104" t="str">
        <f>DO_DB[[#This Row],[SiteID]]</f>
        <v>CLR23-99-102</v>
      </c>
      <c r="P1104" t="str">
        <f>DO_DB[[#This Row],[SiteID]]&amp;"_"&amp;DO_DB[[#This Row],[Material Name]]</f>
        <v>CLR23-99-102_FAT-16</v>
      </c>
      <c r="Q1104" t="str">
        <f>DO_DB[[#This Row],[DO Number]]</f>
        <v>DOEID240507AB</v>
      </c>
      <c r="R1104" t="str">
        <f>DO_DB[[#This Row],[DN Number]]</f>
        <v>DNWID0342024050709</v>
      </c>
    </row>
    <row r="1105" spans="1:18">
      <c r="A1105" t="s">
        <v>1379</v>
      </c>
      <c r="B1105" t="s">
        <v>1380</v>
      </c>
      <c r="C1105" s="172" t="s">
        <v>4482</v>
      </c>
      <c r="D1105" t="s">
        <v>71</v>
      </c>
      <c r="E1105" t="s">
        <v>92</v>
      </c>
      <c r="F1105" t="s">
        <v>4499</v>
      </c>
      <c r="G1105" t="s">
        <v>1381</v>
      </c>
      <c r="H1105" t="s">
        <v>1382</v>
      </c>
      <c r="I1105" s="130">
        <v>45425</v>
      </c>
      <c r="J1105" t="s">
        <v>3069</v>
      </c>
      <c r="K1105">
        <v>33</v>
      </c>
      <c r="M11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05" t="str">
        <f>DO_DB[[#This Row],[Material Pick-update]]&amp;"_"&amp;DO_DB[[#This Row],[Material Name]]</f>
        <v>45425_Pole 7M 4"</v>
      </c>
      <c r="O1105" t="str">
        <f>DO_DB[[#This Row],[SiteID]]</f>
        <v>CLR23-99-103</v>
      </c>
      <c r="P1105" t="str">
        <f>DO_DB[[#This Row],[SiteID]]&amp;"_"&amp;DO_DB[[#This Row],[Material Name]]</f>
        <v>CLR23-99-103_Pole 7M 4"</v>
      </c>
      <c r="Q1105" t="str">
        <f>DO_DB[[#This Row],[DO Number]]</f>
        <v>DOEID240507AC</v>
      </c>
      <c r="R1105" t="str">
        <f>DO_DB[[#This Row],[DN Number]]</f>
        <v>DNWID0362024050712</v>
      </c>
    </row>
    <row r="1106" spans="1:18">
      <c r="A1106" t="s">
        <v>1379</v>
      </c>
      <c r="B1106" t="s">
        <v>1380</v>
      </c>
      <c r="C1106" s="172" t="s">
        <v>4482</v>
      </c>
      <c r="D1106" t="s">
        <v>71</v>
      </c>
      <c r="E1106" t="s">
        <v>92</v>
      </c>
      <c r="F1106" t="s">
        <v>4499</v>
      </c>
      <c r="G1106" t="s">
        <v>1381</v>
      </c>
      <c r="H1106" t="s">
        <v>1382</v>
      </c>
      <c r="I1106" s="130">
        <v>45425</v>
      </c>
      <c r="J1106" t="s">
        <v>3070</v>
      </c>
      <c r="K1106">
        <v>1</v>
      </c>
      <c r="M11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06" t="str">
        <f>DO_DB[[#This Row],[Material Pick-update]]&amp;"_"&amp;DO_DB[[#This Row],[Material Name]]</f>
        <v>45425_Pole 7M 3"</v>
      </c>
      <c r="O1106" t="str">
        <f>DO_DB[[#This Row],[SiteID]]</f>
        <v>CLR23-99-103</v>
      </c>
      <c r="P1106" t="str">
        <f>DO_DB[[#This Row],[SiteID]]&amp;"_"&amp;DO_DB[[#This Row],[Material Name]]</f>
        <v>CLR23-99-103_Pole 7M 3"</v>
      </c>
      <c r="Q1106" t="str">
        <f>DO_DB[[#This Row],[DO Number]]</f>
        <v>DOEID240507AC</v>
      </c>
      <c r="R1106" t="str">
        <f>DO_DB[[#This Row],[DN Number]]</f>
        <v>DNWID0362024050712</v>
      </c>
    </row>
    <row r="1107" spans="1:18">
      <c r="A1107" t="s">
        <v>1379</v>
      </c>
      <c r="B1107" t="s">
        <v>1380</v>
      </c>
      <c r="C1107" s="172" t="s">
        <v>4482</v>
      </c>
      <c r="D1107" t="s">
        <v>71</v>
      </c>
      <c r="E1107" t="s">
        <v>92</v>
      </c>
      <c r="F1107" t="s">
        <v>4499</v>
      </c>
      <c r="G1107" t="s">
        <v>1381</v>
      </c>
      <c r="H1107" t="s">
        <v>1382</v>
      </c>
      <c r="I1107" s="130">
        <v>45425</v>
      </c>
      <c r="J1107" t="s">
        <v>3071</v>
      </c>
      <c r="K1107">
        <v>3</v>
      </c>
      <c r="M11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07" t="str">
        <f>DO_DB[[#This Row],[Material Pick-update]]&amp;"_"&amp;DO_DB[[#This Row],[Material Name]]</f>
        <v>45425_Pole 9M</v>
      </c>
      <c r="O1107" t="str">
        <f>DO_DB[[#This Row],[SiteID]]</f>
        <v>CLR23-99-103</v>
      </c>
      <c r="P1107" t="str">
        <f>DO_DB[[#This Row],[SiteID]]&amp;"_"&amp;DO_DB[[#This Row],[Material Name]]</f>
        <v>CLR23-99-103_Pole 9M</v>
      </c>
      <c r="Q1107" t="str">
        <f>DO_DB[[#This Row],[DO Number]]</f>
        <v>DOEID240507AC</v>
      </c>
      <c r="R1107" t="str">
        <f>DO_DB[[#This Row],[DN Number]]</f>
        <v>DNWID0362024050712</v>
      </c>
    </row>
    <row r="1108" spans="1:18">
      <c r="A1108" t="s">
        <v>1379</v>
      </c>
      <c r="B1108" t="s">
        <v>1380</v>
      </c>
      <c r="C1108" s="172" t="s">
        <v>4482</v>
      </c>
      <c r="D1108" t="s">
        <v>71</v>
      </c>
      <c r="E1108" t="s">
        <v>92</v>
      </c>
      <c r="F1108" t="s">
        <v>4499</v>
      </c>
      <c r="G1108" t="s">
        <v>1381</v>
      </c>
      <c r="H1108" t="s">
        <v>1382</v>
      </c>
      <c r="I1108" s="130">
        <v>45425</v>
      </c>
      <c r="J1108" t="s">
        <v>4856</v>
      </c>
      <c r="K1108">
        <v>1</v>
      </c>
      <c r="M11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08" t="str">
        <f>DO_DB[[#This Row],[Material Pick-update]]&amp;"_"&amp;DO_DB[[#This Row],[Material Name]]</f>
        <v>45425_JC 144Core</v>
      </c>
      <c r="O1108" t="str">
        <f>DO_DB[[#This Row],[SiteID]]</f>
        <v>CLR23-99-103</v>
      </c>
      <c r="P1108" t="str">
        <f>DO_DB[[#This Row],[SiteID]]&amp;"_"&amp;DO_DB[[#This Row],[Material Name]]</f>
        <v>CLR23-99-103_JC 144Core</v>
      </c>
      <c r="Q1108" t="str">
        <f>DO_DB[[#This Row],[DO Number]]</f>
        <v>DOEID240507AC</v>
      </c>
      <c r="R1108" t="str">
        <f>DO_DB[[#This Row],[DN Number]]</f>
        <v>DNWID0362024050712</v>
      </c>
    </row>
    <row r="1109" spans="1:18">
      <c r="A1109" t="s">
        <v>1379</v>
      </c>
      <c r="B1109" t="s">
        <v>1380</v>
      </c>
      <c r="C1109" s="172" t="s">
        <v>4482</v>
      </c>
      <c r="D1109" t="s">
        <v>71</v>
      </c>
      <c r="E1109" t="s">
        <v>92</v>
      </c>
      <c r="F1109" t="s">
        <v>4499</v>
      </c>
      <c r="G1109" t="s">
        <v>1389</v>
      </c>
      <c r="H1109" t="s">
        <v>1390</v>
      </c>
      <c r="I1109" s="130">
        <v>45425</v>
      </c>
      <c r="J1109" t="s">
        <v>14</v>
      </c>
      <c r="K1109">
        <v>1</v>
      </c>
      <c r="M11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09" t="str">
        <f>DO_DB[[#This Row],[Material Pick-update]]&amp;"_"&amp;DO_DB[[#This Row],[Material Name]]</f>
        <v>45425_FDT-48</v>
      </c>
      <c r="O1109" t="str">
        <f>DO_DB[[#This Row],[SiteID]]</f>
        <v>CLR23-99-103</v>
      </c>
      <c r="P1109" t="str">
        <f>DO_DB[[#This Row],[SiteID]]&amp;"_"&amp;DO_DB[[#This Row],[Material Name]]</f>
        <v>CLR23-99-103_FDT-48</v>
      </c>
      <c r="Q1109" t="str">
        <f>DO_DB[[#This Row],[DO Number]]</f>
        <v>DOEID240507AD</v>
      </c>
      <c r="R1109" t="str">
        <f>DO_DB[[#This Row],[DN Number]]</f>
        <v>DNWID0342024050710</v>
      </c>
    </row>
    <row r="1110" spans="1:18">
      <c r="A1110" t="s">
        <v>1379</v>
      </c>
      <c r="B1110" t="s">
        <v>1380</v>
      </c>
      <c r="C1110" s="172" t="s">
        <v>4482</v>
      </c>
      <c r="D1110" t="s">
        <v>71</v>
      </c>
      <c r="E1110" t="s">
        <v>92</v>
      </c>
      <c r="F1110" t="s">
        <v>4499</v>
      </c>
      <c r="G1110" t="s">
        <v>1389</v>
      </c>
      <c r="H1110" t="s">
        <v>1390</v>
      </c>
      <c r="I1110" s="130">
        <v>45425</v>
      </c>
      <c r="J1110" t="s">
        <v>13</v>
      </c>
      <c r="K1110">
        <v>8</v>
      </c>
      <c r="M11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10" t="str">
        <f>DO_DB[[#This Row],[Material Pick-update]]&amp;"_"&amp;DO_DB[[#This Row],[Material Name]]</f>
        <v>45425_FAT-16</v>
      </c>
      <c r="O1110" t="str">
        <f>DO_DB[[#This Row],[SiteID]]</f>
        <v>CLR23-99-103</v>
      </c>
      <c r="P1110" t="str">
        <f>DO_DB[[#This Row],[SiteID]]&amp;"_"&amp;DO_DB[[#This Row],[Material Name]]</f>
        <v>CLR23-99-103_FAT-16</v>
      </c>
      <c r="Q1110" t="str">
        <f>DO_DB[[#This Row],[DO Number]]</f>
        <v>DOEID240507AD</v>
      </c>
      <c r="R1110" t="str">
        <f>DO_DB[[#This Row],[DN Number]]</f>
        <v>DNWID0342024050710</v>
      </c>
    </row>
    <row r="1111" spans="1:18">
      <c r="A1111" t="s">
        <v>1379</v>
      </c>
      <c r="B1111" t="s">
        <v>1380</v>
      </c>
      <c r="C1111" s="172" t="s">
        <v>4482</v>
      </c>
      <c r="D1111" t="s">
        <v>71</v>
      </c>
      <c r="E1111" t="s">
        <v>92</v>
      </c>
      <c r="F1111" t="s">
        <v>4499</v>
      </c>
      <c r="G1111" t="s">
        <v>1389</v>
      </c>
      <c r="H1111" t="s">
        <v>1390</v>
      </c>
      <c r="I1111" s="130">
        <v>45425</v>
      </c>
      <c r="J1111" t="s">
        <v>3080</v>
      </c>
      <c r="K1111">
        <v>3</v>
      </c>
      <c r="M11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11" t="str">
        <f>DO_DB[[#This Row],[Material Pick-update]]&amp;"_"&amp;DO_DB[[#This Row],[Material Name]]</f>
        <v>45425_1:8 SPL for FDT-AE &amp; UG</v>
      </c>
      <c r="O1111" t="str">
        <f>DO_DB[[#This Row],[SiteID]]</f>
        <v>CLR23-99-103</v>
      </c>
      <c r="P1111" t="str">
        <f>DO_DB[[#This Row],[SiteID]]&amp;"_"&amp;DO_DB[[#This Row],[Material Name]]</f>
        <v>CLR23-99-103_1:8 SPL for FDT-AE &amp; UG</v>
      </c>
      <c r="Q1111" t="str">
        <f>DO_DB[[#This Row],[DO Number]]</f>
        <v>DOEID240507AD</v>
      </c>
      <c r="R1111" t="str">
        <f>DO_DB[[#This Row],[DN Number]]</f>
        <v>DNWID0342024050710</v>
      </c>
    </row>
    <row r="1112" spans="1:18">
      <c r="A1112" t="s">
        <v>1379</v>
      </c>
      <c r="B1112" t="s">
        <v>1380</v>
      </c>
      <c r="C1112" s="172" t="s">
        <v>4482</v>
      </c>
      <c r="D1112" t="s">
        <v>71</v>
      </c>
      <c r="E1112" t="s">
        <v>92</v>
      </c>
      <c r="F1112" t="s">
        <v>4499</v>
      </c>
      <c r="G1112" t="s">
        <v>1389</v>
      </c>
      <c r="H1112" t="s">
        <v>1390</v>
      </c>
      <c r="I1112" s="130">
        <v>45425</v>
      </c>
      <c r="J1112" t="s">
        <v>3073</v>
      </c>
      <c r="K1112">
        <v>3000</v>
      </c>
      <c r="M11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24C-2024513-01</v>
      </c>
      <c r="N1112" t="str">
        <f>DO_DB[[#This Row],[Material Pick-update]]&amp;"_"&amp;DO_DB[[#This Row],[Material Name]]</f>
        <v>45425_ADSS 24C</v>
      </c>
      <c r="O1112" t="str">
        <f>DO_DB[[#This Row],[SiteID]]</f>
        <v>CLR23-99-103</v>
      </c>
      <c r="P1112" t="str">
        <f>DO_DB[[#This Row],[SiteID]]&amp;"_"&amp;DO_DB[[#This Row],[Material Name]]</f>
        <v>CLR23-99-103_ADSS 24C</v>
      </c>
      <c r="Q1112" t="str">
        <f>DO_DB[[#This Row],[DO Number]]</f>
        <v>DOEID240507AD</v>
      </c>
      <c r="R1112" t="str">
        <f>DO_DB[[#This Row],[DN Number]]</f>
        <v>DNWID0342024050710</v>
      </c>
    </row>
    <row r="1113" spans="1:18">
      <c r="A1113" t="s">
        <v>1817</v>
      </c>
      <c r="B1113" t="s">
        <v>1818</v>
      </c>
      <c r="C1113" t="s">
        <v>4482</v>
      </c>
      <c r="D1113" t="s">
        <v>71</v>
      </c>
      <c r="E1113" t="s">
        <v>92</v>
      </c>
      <c r="F1113" t="s">
        <v>4499</v>
      </c>
      <c r="G1113" t="s">
        <v>1821</v>
      </c>
      <c r="H1113" t="s">
        <v>1822</v>
      </c>
      <c r="I1113" s="130">
        <v>45511</v>
      </c>
      <c r="J1113" t="s">
        <v>3073</v>
      </c>
      <c r="K1113">
        <v>6000</v>
      </c>
      <c r="M11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24C-202487-01</v>
      </c>
      <c r="N1113" t="str">
        <f>DO_DB[[#This Row],[Material Pick-update]]&amp;"_"&amp;DO_DB[[#This Row],[Material Name]]</f>
        <v>45511_ADSS 24C</v>
      </c>
      <c r="O1113" t="str">
        <f>DO_DB[[#This Row],[SiteID]]</f>
        <v>CLR23-03-026</v>
      </c>
      <c r="P1113" t="str">
        <f>DO_DB[[#This Row],[SiteID]]&amp;"_"&amp;DO_DB[[#This Row],[Material Name]]</f>
        <v>CLR23-03-026_ADSS 24C</v>
      </c>
      <c r="Q1113" t="str">
        <f>DO_DB[[#This Row],[DO Number]]</f>
        <v>DOEID24080688</v>
      </c>
      <c r="R1113" t="str">
        <f>DO_DB[[#This Row],[DN Number]]</f>
        <v>DNWID0342024080608</v>
      </c>
    </row>
    <row r="1114" spans="1:18">
      <c r="A1114" t="s">
        <v>1823</v>
      </c>
      <c r="B1114" t="s">
        <v>1824</v>
      </c>
      <c r="C1114" t="s">
        <v>4482</v>
      </c>
      <c r="D1114" t="s">
        <v>71</v>
      </c>
      <c r="E1114" t="s">
        <v>92</v>
      </c>
      <c r="F1114" t="s">
        <v>4499</v>
      </c>
      <c r="G1114" t="s">
        <v>1827</v>
      </c>
      <c r="H1114" t="s">
        <v>1828</v>
      </c>
      <c r="I1114" s="130">
        <v>45511</v>
      </c>
      <c r="J1114" t="s">
        <v>3069</v>
      </c>
      <c r="K1114">
        <v>45</v>
      </c>
      <c r="M11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14" t="str">
        <f>DO_DB[[#This Row],[Material Pick-update]]&amp;"_"&amp;DO_DB[[#This Row],[Material Name]]</f>
        <v>45511_Pole 7M 4"</v>
      </c>
      <c r="O1114" t="str">
        <f>DO_DB[[#This Row],[SiteID]]</f>
        <v>CLR23-03-025</v>
      </c>
      <c r="P1114" t="str">
        <f>DO_DB[[#This Row],[SiteID]]&amp;"_"&amp;DO_DB[[#This Row],[Material Name]]</f>
        <v>CLR23-03-025_Pole 7M 4"</v>
      </c>
      <c r="Q1114" t="str">
        <f>DO_DB[[#This Row],[DO Number]]</f>
        <v>DOEID24080685</v>
      </c>
      <c r="R1114" t="str">
        <f>DO_DB[[#This Row],[DN Number]]</f>
        <v>DNWID0362024080708</v>
      </c>
    </row>
    <row r="1115" spans="1:18">
      <c r="A1115" t="s">
        <v>1823</v>
      </c>
      <c r="B1115" t="s">
        <v>1824</v>
      </c>
      <c r="C1115" t="s">
        <v>4482</v>
      </c>
      <c r="D1115" t="s">
        <v>71</v>
      </c>
      <c r="E1115" t="s">
        <v>92</v>
      </c>
      <c r="F1115" t="s">
        <v>4499</v>
      </c>
      <c r="G1115" t="s">
        <v>1827</v>
      </c>
      <c r="H1115" t="s">
        <v>1828</v>
      </c>
      <c r="I1115" s="130">
        <v>45511</v>
      </c>
      <c r="J1115" t="s">
        <v>3070</v>
      </c>
      <c r="K1115">
        <v>8</v>
      </c>
      <c r="M11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15" t="str">
        <f>DO_DB[[#This Row],[Material Pick-update]]&amp;"_"&amp;DO_DB[[#This Row],[Material Name]]</f>
        <v>45511_Pole 7M 3"</v>
      </c>
      <c r="O1115" t="str">
        <f>DO_DB[[#This Row],[SiteID]]</f>
        <v>CLR23-03-025</v>
      </c>
      <c r="P1115" t="str">
        <f>DO_DB[[#This Row],[SiteID]]&amp;"_"&amp;DO_DB[[#This Row],[Material Name]]</f>
        <v>CLR23-03-025_Pole 7M 3"</v>
      </c>
      <c r="Q1115" t="str">
        <f>DO_DB[[#This Row],[DO Number]]</f>
        <v>DOEID24080685</v>
      </c>
      <c r="R1115" t="str">
        <f>DO_DB[[#This Row],[DN Number]]</f>
        <v>DNWID0362024080708</v>
      </c>
    </row>
    <row r="1116" spans="1:18">
      <c r="A1116" t="s">
        <v>1823</v>
      </c>
      <c r="B1116" t="s">
        <v>1824</v>
      </c>
      <c r="C1116" t="s">
        <v>4482</v>
      </c>
      <c r="D1116" t="s">
        <v>71</v>
      </c>
      <c r="E1116" t="s">
        <v>92</v>
      </c>
      <c r="F1116" t="s">
        <v>4499</v>
      </c>
      <c r="G1116" t="s">
        <v>1827</v>
      </c>
      <c r="H1116" t="s">
        <v>1828</v>
      </c>
      <c r="I1116" s="130">
        <v>45511</v>
      </c>
      <c r="J1116" t="s">
        <v>3071</v>
      </c>
      <c r="K1116">
        <v>2</v>
      </c>
      <c r="M11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16" t="str">
        <f>DO_DB[[#This Row],[Material Pick-update]]&amp;"_"&amp;DO_DB[[#This Row],[Material Name]]</f>
        <v>45511_Pole 9M</v>
      </c>
      <c r="O1116" t="str">
        <f>DO_DB[[#This Row],[SiteID]]</f>
        <v>CLR23-03-025</v>
      </c>
      <c r="P1116" t="str">
        <f>DO_DB[[#This Row],[SiteID]]&amp;"_"&amp;DO_DB[[#This Row],[Material Name]]</f>
        <v>CLR23-03-025_Pole 9M</v>
      </c>
      <c r="Q1116" t="str">
        <f>DO_DB[[#This Row],[DO Number]]</f>
        <v>DOEID24080685</v>
      </c>
      <c r="R1116" t="str">
        <f>DO_DB[[#This Row],[DN Number]]</f>
        <v>DNWID0362024080708</v>
      </c>
    </row>
    <row r="1117" spans="1:18">
      <c r="A1117" t="s">
        <v>1823</v>
      </c>
      <c r="B1117" t="s">
        <v>1824</v>
      </c>
      <c r="C1117" t="s">
        <v>4482</v>
      </c>
      <c r="D1117" t="s">
        <v>71</v>
      </c>
      <c r="E1117" t="s">
        <v>92</v>
      </c>
      <c r="F1117" t="s">
        <v>4499</v>
      </c>
      <c r="G1117" t="s">
        <v>1827</v>
      </c>
      <c r="H1117" t="s">
        <v>1828</v>
      </c>
      <c r="I1117" s="130">
        <v>45511</v>
      </c>
      <c r="J1117" t="s">
        <v>4856</v>
      </c>
      <c r="K1117">
        <v>1</v>
      </c>
      <c r="M11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17" t="str">
        <f>DO_DB[[#This Row],[Material Pick-update]]&amp;"_"&amp;DO_DB[[#This Row],[Material Name]]</f>
        <v>45511_JC 144Core</v>
      </c>
      <c r="O1117" t="str">
        <f>DO_DB[[#This Row],[SiteID]]</f>
        <v>CLR23-03-025</v>
      </c>
      <c r="P1117" t="str">
        <f>DO_DB[[#This Row],[SiteID]]&amp;"_"&amp;DO_DB[[#This Row],[Material Name]]</f>
        <v>CLR23-03-025_JC 144Core</v>
      </c>
      <c r="Q1117" t="str">
        <f>DO_DB[[#This Row],[DO Number]]</f>
        <v>DOEID24080685</v>
      </c>
      <c r="R1117" t="str">
        <f>DO_DB[[#This Row],[DN Number]]</f>
        <v>DNWID0362024080708</v>
      </c>
    </row>
    <row r="1118" spans="1:18">
      <c r="A1118" t="s">
        <v>1823</v>
      </c>
      <c r="B1118" t="s">
        <v>1824</v>
      </c>
      <c r="C1118" t="s">
        <v>4482</v>
      </c>
      <c r="D1118" t="s">
        <v>71</v>
      </c>
      <c r="E1118" t="s">
        <v>92</v>
      </c>
      <c r="F1118" t="s">
        <v>4499</v>
      </c>
      <c r="G1118" t="s">
        <v>1825</v>
      </c>
      <c r="H1118" t="s">
        <v>1826</v>
      </c>
      <c r="I1118" s="130">
        <v>45511</v>
      </c>
      <c r="J1118" t="s">
        <v>14</v>
      </c>
      <c r="K1118">
        <v>1</v>
      </c>
      <c r="M11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18" t="str">
        <f>DO_DB[[#This Row],[Material Pick-update]]&amp;"_"&amp;DO_DB[[#This Row],[Material Name]]</f>
        <v>45511_FDT-48</v>
      </c>
      <c r="O1118" t="str">
        <f>DO_DB[[#This Row],[SiteID]]</f>
        <v>CLR23-03-025</v>
      </c>
      <c r="P1118" t="str">
        <f>DO_DB[[#This Row],[SiteID]]&amp;"_"&amp;DO_DB[[#This Row],[Material Name]]</f>
        <v>CLR23-03-025_FDT-48</v>
      </c>
      <c r="Q1118" t="str">
        <f>DO_DB[[#This Row],[DO Number]]</f>
        <v>DOEID24080686</v>
      </c>
      <c r="R1118" t="str">
        <f>DO_DB[[#This Row],[DN Number]]</f>
        <v>DNWID0342024080605</v>
      </c>
    </row>
    <row r="1119" spans="1:18">
      <c r="A1119" t="s">
        <v>1823</v>
      </c>
      <c r="B1119" t="s">
        <v>1824</v>
      </c>
      <c r="C1119" t="s">
        <v>4482</v>
      </c>
      <c r="D1119" t="s">
        <v>71</v>
      </c>
      <c r="E1119" t="s">
        <v>92</v>
      </c>
      <c r="F1119" t="s">
        <v>4499</v>
      </c>
      <c r="G1119" t="s">
        <v>1825</v>
      </c>
      <c r="H1119" t="s">
        <v>1826</v>
      </c>
      <c r="I1119" s="130">
        <v>45511</v>
      </c>
      <c r="J1119" t="s">
        <v>13</v>
      </c>
      <c r="K1119">
        <v>12</v>
      </c>
      <c r="M11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19" t="str">
        <f>DO_DB[[#This Row],[Material Pick-update]]&amp;"_"&amp;DO_DB[[#This Row],[Material Name]]</f>
        <v>45511_FAT-16</v>
      </c>
      <c r="O1119" t="str">
        <f>DO_DB[[#This Row],[SiteID]]</f>
        <v>CLR23-03-025</v>
      </c>
      <c r="P1119" t="str">
        <f>DO_DB[[#This Row],[SiteID]]&amp;"_"&amp;DO_DB[[#This Row],[Material Name]]</f>
        <v>CLR23-03-025_FAT-16</v>
      </c>
      <c r="Q1119" t="str">
        <f>DO_DB[[#This Row],[DO Number]]</f>
        <v>DOEID24080686</v>
      </c>
      <c r="R1119" t="str">
        <f>DO_DB[[#This Row],[DN Number]]</f>
        <v>DNWID0342024080605</v>
      </c>
    </row>
    <row r="1120" spans="1:18">
      <c r="A1120" t="s">
        <v>1817</v>
      </c>
      <c r="B1120" t="s">
        <v>1818</v>
      </c>
      <c r="C1120" t="s">
        <v>4482</v>
      </c>
      <c r="D1120" t="s">
        <v>71</v>
      </c>
      <c r="E1120" t="s">
        <v>92</v>
      </c>
      <c r="F1120" t="s">
        <v>4499</v>
      </c>
      <c r="G1120" t="s">
        <v>1819</v>
      </c>
      <c r="H1120" t="s">
        <v>1820</v>
      </c>
      <c r="I1120" s="130">
        <v>45511</v>
      </c>
      <c r="J1120" t="s">
        <v>3069</v>
      </c>
      <c r="K1120">
        <v>82</v>
      </c>
      <c r="M11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20" t="str">
        <f>DO_DB[[#This Row],[Material Pick-update]]&amp;"_"&amp;DO_DB[[#This Row],[Material Name]]</f>
        <v>45511_Pole 7M 4"</v>
      </c>
      <c r="O1120" t="str">
        <f>DO_DB[[#This Row],[SiteID]]</f>
        <v>CLR23-03-026</v>
      </c>
      <c r="P1120" t="str">
        <f>DO_DB[[#This Row],[SiteID]]&amp;"_"&amp;DO_DB[[#This Row],[Material Name]]</f>
        <v>CLR23-03-026_Pole 7M 4"</v>
      </c>
      <c r="Q1120" t="str">
        <f>DO_DB[[#This Row],[DO Number]]</f>
        <v>DOEID24080687</v>
      </c>
      <c r="R1120" t="str">
        <f>DO_DB[[#This Row],[DN Number]]</f>
        <v>DNWID0362024060607</v>
      </c>
    </row>
    <row r="1121" spans="1:18">
      <c r="A1121" t="s">
        <v>1817</v>
      </c>
      <c r="B1121" t="s">
        <v>1818</v>
      </c>
      <c r="C1121" t="s">
        <v>4482</v>
      </c>
      <c r="D1121" t="s">
        <v>71</v>
      </c>
      <c r="E1121" t="s">
        <v>92</v>
      </c>
      <c r="F1121" t="s">
        <v>4499</v>
      </c>
      <c r="G1121" t="s">
        <v>1819</v>
      </c>
      <c r="H1121" t="s">
        <v>1820</v>
      </c>
      <c r="I1121" s="130">
        <v>45511</v>
      </c>
      <c r="J1121" t="s">
        <v>3070</v>
      </c>
      <c r="K1121">
        <v>12</v>
      </c>
      <c r="M11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21" t="str">
        <f>DO_DB[[#This Row],[Material Pick-update]]&amp;"_"&amp;DO_DB[[#This Row],[Material Name]]</f>
        <v>45511_Pole 7M 3"</v>
      </c>
      <c r="O1121" t="str">
        <f>DO_DB[[#This Row],[SiteID]]</f>
        <v>CLR23-03-026</v>
      </c>
      <c r="P1121" t="str">
        <f>DO_DB[[#This Row],[SiteID]]&amp;"_"&amp;DO_DB[[#This Row],[Material Name]]</f>
        <v>CLR23-03-026_Pole 7M 3"</v>
      </c>
      <c r="Q1121" t="str">
        <f>DO_DB[[#This Row],[DO Number]]</f>
        <v>DOEID24080687</v>
      </c>
      <c r="R1121" t="str">
        <f>DO_DB[[#This Row],[DN Number]]</f>
        <v>DNWID0362024060607</v>
      </c>
    </row>
    <row r="1122" spans="1:18">
      <c r="A1122" t="s">
        <v>1817</v>
      </c>
      <c r="B1122" t="s">
        <v>1818</v>
      </c>
      <c r="C1122" t="s">
        <v>4482</v>
      </c>
      <c r="D1122" t="s">
        <v>71</v>
      </c>
      <c r="E1122" t="s">
        <v>92</v>
      </c>
      <c r="F1122" t="s">
        <v>4499</v>
      </c>
      <c r="G1122" t="s">
        <v>1819</v>
      </c>
      <c r="H1122" t="s">
        <v>1820</v>
      </c>
      <c r="I1122" s="130">
        <v>45511</v>
      </c>
      <c r="J1122" t="s">
        <v>3071</v>
      </c>
      <c r="K1122">
        <v>1</v>
      </c>
      <c r="M11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22" t="str">
        <f>DO_DB[[#This Row],[Material Pick-update]]&amp;"_"&amp;DO_DB[[#This Row],[Material Name]]</f>
        <v>45511_Pole 9M</v>
      </c>
      <c r="O1122" t="str">
        <f>DO_DB[[#This Row],[SiteID]]</f>
        <v>CLR23-03-026</v>
      </c>
      <c r="P1122" t="str">
        <f>DO_DB[[#This Row],[SiteID]]&amp;"_"&amp;DO_DB[[#This Row],[Material Name]]</f>
        <v>CLR23-03-026_Pole 9M</v>
      </c>
      <c r="Q1122" t="str">
        <f>DO_DB[[#This Row],[DO Number]]</f>
        <v>DOEID24080687</v>
      </c>
      <c r="R1122" t="str">
        <f>DO_DB[[#This Row],[DN Number]]</f>
        <v>DNWID0362024060607</v>
      </c>
    </row>
    <row r="1123" spans="1:18">
      <c r="A1123" t="s">
        <v>1817</v>
      </c>
      <c r="B1123" t="s">
        <v>1818</v>
      </c>
      <c r="C1123" t="s">
        <v>4482</v>
      </c>
      <c r="D1123" t="s">
        <v>71</v>
      </c>
      <c r="E1123" t="s">
        <v>92</v>
      </c>
      <c r="F1123" t="s">
        <v>4499</v>
      </c>
      <c r="G1123" t="s">
        <v>1819</v>
      </c>
      <c r="H1123" t="s">
        <v>1820</v>
      </c>
      <c r="I1123" s="130">
        <v>45511</v>
      </c>
      <c r="J1123" t="s">
        <v>4856</v>
      </c>
      <c r="K1123">
        <v>1</v>
      </c>
      <c r="M11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23" t="str">
        <f>DO_DB[[#This Row],[Material Pick-update]]&amp;"_"&amp;DO_DB[[#This Row],[Material Name]]</f>
        <v>45511_JC 144Core</v>
      </c>
      <c r="O1123" t="str">
        <f>DO_DB[[#This Row],[SiteID]]</f>
        <v>CLR23-03-026</v>
      </c>
      <c r="P1123" t="str">
        <f>DO_DB[[#This Row],[SiteID]]&amp;"_"&amp;DO_DB[[#This Row],[Material Name]]</f>
        <v>CLR23-03-026_JC 144Core</v>
      </c>
      <c r="Q1123" t="str">
        <f>DO_DB[[#This Row],[DO Number]]</f>
        <v>DOEID24080687</v>
      </c>
      <c r="R1123" t="str">
        <f>DO_DB[[#This Row],[DN Number]]</f>
        <v>DNWID0362024060607</v>
      </c>
    </row>
    <row r="1124" spans="1:18">
      <c r="A1124" t="s">
        <v>1817</v>
      </c>
      <c r="B1124" t="s">
        <v>1818</v>
      </c>
      <c r="C1124" t="s">
        <v>4482</v>
      </c>
      <c r="D1124" t="s">
        <v>71</v>
      </c>
      <c r="E1124" t="s">
        <v>92</v>
      </c>
      <c r="F1124" t="s">
        <v>4499</v>
      </c>
      <c r="G1124" t="s">
        <v>1821</v>
      </c>
      <c r="H1124" t="s">
        <v>1822</v>
      </c>
      <c r="I1124" s="130">
        <v>45511</v>
      </c>
      <c r="J1124" t="s">
        <v>14</v>
      </c>
      <c r="K1124">
        <v>2</v>
      </c>
      <c r="M11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24" t="str">
        <f>DO_DB[[#This Row],[Material Pick-update]]&amp;"_"&amp;DO_DB[[#This Row],[Material Name]]</f>
        <v>45511_FDT-48</v>
      </c>
      <c r="O1124" t="str">
        <f>DO_DB[[#This Row],[SiteID]]</f>
        <v>CLR23-03-026</v>
      </c>
      <c r="P1124" t="str">
        <f>DO_DB[[#This Row],[SiteID]]&amp;"_"&amp;DO_DB[[#This Row],[Material Name]]</f>
        <v>CLR23-03-026_FDT-48</v>
      </c>
      <c r="Q1124" t="str">
        <f>DO_DB[[#This Row],[DO Number]]</f>
        <v>DOEID24080688</v>
      </c>
      <c r="R1124" t="str">
        <f>DO_DB[[#This Row],[DN Number]]</f>
        <v>DNWID0342024080608</v>
      </c>
    </row>
    <row r="1125" spans="1:18">
      <c r="A1125" t="s">
        <v>1817</v>
      </c>
      <c r="B1125" t="s">
        <v>1818</v>
      </c>
      <c r="C1125" t="s">
        <v>4482</v>
      </c>
      <c r="D1125" t="s">
        <v>71</v>
      </c>
      <c r="E1125" t="s">
        <v>92</v>
      </c>
      <c r="F1125" t="s">
        <v>4499</v>
      </c>
      <c r="G1125" t="s">
        <v>1821</v>
      </c>
      <c r="H1125" t="s">
        <v>1822</v>
      </c>
      <c r="I1125" s="130">
        <v>45511</v>
      </c>
      <c r="J1125" t="s">
        <v>13</v>
      </c>
      <c r="K1125">
        <v>33</v>
      </c>
      <c r="M11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25" t="str">
        <f>DO_DB[[#This Row],[Material Pick-update]]&amp;"_"&amp;DO_DB[[#This Row],[Material Name]]</f>
        <v>45511_FAT-16</v>
      </c>
      <c r="O1125" t="str">
        <f>DO_DB[[#This Row],[SiteID]]</f>
        <v>CLR23-03-026</v>
      </c>
      <c r="P1125" t="str">
        <f>DO_DB[[#This Row],[SiteID]]&amp;"_"&amp;DO_DB[[#This Row],[Material Name]]</f>
        <v>CLR23-03-026_FAT-16</v>
      </c>
      <c r="Q1125" t="str">
        <f>DO_DB[[#This Row],[DO Number]]</f>
        <v>DOEID24080688</v>
      </c>
      <c r="R1125" t="str">
        <f>DO_DB[[#This Row],[DN Number]]</f>
        <v>DNWID0342024080608</v>
      </c>
    </row>
    <row r="1126" spans="1:18">
      <c r="A1126" t="s">
        <v>1823</v>
      </c>
      <c r="B1126" t="s">
        <v>1824</v>
      </c>
      <c r="C1126" s="172" t="s">
        <v>4482</v>
      </c>
      <c r="D1126" t="s">
        <v>71</v>
      </c>
      <c r="E1126" t="s">
        <v>92</v>
      </c>
      <c r="F1126" t="s">
        <v>4499</v>
      </c>
      <c r="G1126" t="s">
        <v>1825</v>
      </c>
      <c r="H1126" t="s">
        <v>1826</v>
      </c>
      <c r="I1126" s="130">
        <v>45511</v>
      </c>
      <c r="J1126" t="s">
        <v>3073</v>
      </c>
      <c r="K1126">
        <v>3000</v>
      </c>
      <c r="M11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24C-202487-01</v>
      </c>
      <c r="N1126" t="str">
        <f>DO_DB[[#This Row],[Material Pick-update]]&amp;"_"&amp;DO_DB[[#This Row],[Material Name]]</f>
        <v>45511_ADSS 24C</v>
      </c>
      <c r="O1126" t="str">
        <f>DO_DB[[#This Row],[SiteID]]</f>
        <v>CLR23-03-025</v>
      </c>
      <c r="P1126" t="str">
        <f>DO_DB[[#This Row],[SiteID]]&amp;"_"&amp;DO_DB[[#This Row],[Material Name]]</f>
        <v>CLR23-03-025_ADSS 24C</v>
      </c>
      <c r="Q1126" t="str">
        <f>DO_DB[[#This Row],[DO Number]]</f>
        <v>DOEID24080686</v>
      </c>
      <c r="R1126" t="str">
        <f>DO_DB[[#This Row],[DN Number]]</f>
        <v>DNWID0342024080605</v>
      </c>
    </row>
    <row r="1127" spans="1:18">
      <c r="A1127" t="s">
        <v>1823</v>
      </c>
      <c r="B1127" t="s">
        <v>1824</v>
      </c>
      <c r="C1127" s="172" t="s">
        <v>4482</v>
      </c>
      <c r="D1127" t="s">
        <v>71</v>
      </c>
      <c r="E1127" t="s">
        <v>92</v>
      </c>
      <c r="F1127" t="s">
        <v>4499</v>
      </c>
      <c r="G1127" t="s">
        <v>1825</v>
      </c>
      <c r="H1127" t="s">
        <v>1826</v>
      </c>
      <c r="I1127" s="130">
        <v>45511</v>
      </c>
      <c r="J1127" t="s">
        <v>3075</v>
      </c>
      <c r="K1127">
        <v>3000</v>
      </c>
      <c r="M11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48C-202487-01</v>
      </c>
      <c r="N1127" t="str">
        <f>DO_DB[[#This Row],[Material Pick-update]]&amp;"_"&amp;DO_DB[[#This Row],[Material Name]]</f>
        <v>45511_ADSS 48C</v>
      </c>
      <c r="O1127" t="str">
        <f>DO_DB[[#This Row],[SiteID]]</f>
        <v>CLR23-03-025</v>
      </c>
      <c r="P1127" t="str">
        <f>DO_DB[[#This Row],[SiteID]]&amp;"_"&amp;DO_DB[[#This Row],[Material Name]]</f>
        <v>CLR23-03-025_ADSS 48C</v>
      </c>
      <c r="Q1127" t="str">
        <f>DO_DB[[#This Row],[DO Number]]</f>
        <v>DOEID24080686</v>
      </c>
      <c r="R1127" t="str">
        <f>DO_DB[[#This Row],[DN Number]]</f>
        <v>DNWID0342024080605</v>
      </c>
    </row>
    <row r="1128" spans="1:18">
      <c r="A1128" t="s">
        <v>1833</v>
      </c>
      <c r="B1128" t="s">
        <v>1834</v>
      </c>
      <c r="C1128" t="s">
        <v>4482</v>
      </c>
      <c r="D1128" t="s">
        <v>71</v>
      </c>
      <c r="E1128" t="s">
        <v>92</v>
      </c>
      <c r="F1128" t="s">
        <v>4499</v>
      </c>
      <c r="G1128" t="s">
        <v>1841</v>
      </c>
      <c r="H1128" t="s">
        <v>1842</v>
      </c>
      <c r="I1128" s="130">
        <v>45514</v>
      </c>
      <c r="J1128" t="s">
        <v>3069</v>
      </c>
      <c r="K1128">
        <v>69</v>
      </c>
      <c r="M11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28" t="str">
        <f>DO_DB[[#This Row],[Material Pick-update]]&amp;"_"&amp;DO_DB[[#This Row],[Material Name]]</f>
        <v>45514_Pole 7M 4"</v>
      </c>
      <c r="O1128" t="str">
        <f>DO_DB[[#This Row],[SiteID]]</f>
        <v>CLR23-03-002</v>
      </c>
      <c r="P1128" t="str">
        <f>DO_DB[[#This Row],[SiteID]]&amp;"_"&amp;DO_DB[[#This Row],[Material Name]]</f>
        <v>CLR23-03-002_Pole 7M 4"</v>
      </c>
      <c r="Q1128" t="str">
        <f>DO_DB[[#This Row],[DO Number]]</f>
        <v>DOEID24080683</v>
      </c>
      <c r="R1128" t="str">
        <f>DO_DB[[#This Row],[DN Number]]</f>
        <v>DNWID0362024080709</v>
      </c>
    </row>
    <row r="1129" spans="1:18">
      <c r="A1129" t="s">
        <v>1833</v>
      </c>
      <c r="B1129" t="s">
        <v>1834</v>
      </c>
      <c r="C1129" t="s">
        <v>4482</v>
      </c>
      <c r="D1129" t="s">
        <v>71</v>
      </c>
      <c r="E1129" t="s">
        <v>92</v>
      </c>
      <c r="F1129" t="s">
        <v>4499</v>
      </c>
      <c r="G1129" t="s">
        <v>1841</v>
      </c>
      <c r="H1129" t="s">
        <v>1842</v>
      </c>
      <c r="I1129" s="130">
        <v>45514</v>
      </c>
      <c r="J1129" t="s">
        <v>3070</v>
      </c>
      <c r="K1129">
        <v>2</v>
      </c>
      <c r="M11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29" t="str">
        <f>DO_DB[[#This Row],[Material Pick-update]]&amp;"_"&amp;DO_DB[[#This Row],[Material Name]]</f>
        <v>45514_Pole 7M 3"</v>
      </c>
      <c r="O1129" t="str">
        <f>DO_DB[[#This Row],[SiteID]]</f>
        <v>CLR23-03-002</v>
      </c>
      <c r="P1129" t="str">
        <f>DO_DB[[#This Row],[SiteID]]&amp;"_"&amp;DO_DB[[#This Row],[Material Name]]</f>
        <v>CLR23-03-002_Pole 7M 3"</v>
      </c>
      <c r="Q1129" t="str">
        <f>DO_DB[[#This Row],[DO Number]]</f>
        <v>DOEID24080683</v>
      </c>
      <c r="R1129" t="str">
        <f>DO_DB[[#This Row],[DN Number]]</f>
        <v>DNWID0362024080709</v>
      </c>
    </row>
    <row r="1130" spans="1:18">
      <c r="A1130" t="s">
        <v>1833</v>
      </c>
      <c r="B1130" t="s">
        <v>1834</v>
      </c>
      <c r="C1130" t="s">
        <v>4482</v>
      </c>
      <c r="D1130" t="s">
        <v>71</v>
      </c>
      <c r="E1130" t="s">
        <v>92</v>
      </c>
      <c r="F1130" t="s">
        <v>4499</v>
      </c>
      <c r="G1130" t="s">
        <v>1841</v>
      </c>
      <c r="H1130" t="s">
        <v>1842</v>
      </c>
      <c r="I1130" s="130">
        <v>45514</v>
      </c>
      <c r="J1130" t="s">
        <v>3071</v>
      </c>
      <c r="K1130">
        <v>2</v>
      </c>
      <c r="M11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30" t="str">
        <f>DO_DB[[#This Row],[Material Pick-update]]&amp;"_"&amp;DO_DB[[#This Row],[Material Name]]</f>
        <v>45514_Pole 9M</v>
      </c>
      <c r="O1130" t="str">
        <f>DO_DB[[#This Row],[SiteID]]</f>
        <v>CLR23-03-002</v>
      </c>
      <c r="P1130" t="str">
        <f>DO_DB[[#This Row],[SiteID]]&amp;"_"&amp;DO_DB[[#This Row],[Material Name]]</f>
        <v>CLR23-03-002_Pole 9M</v>
      </c>
      <c r="Q1130" t="str">
        <f>DO_DB[[#This Row],[DO Number]]</f>
        <v>DOEID24080683</v>
      </c>
      <c r="R1130" t="str">
        <f>DO_DB[[#This Row],[DN Number]]</f>
        <v>DNWID0362024080709</v>
      </c>
    </row>
    <row r="1131" spans="1:18">
      <c r="A1131" t="s">
        <v>1833</v>
      </c>
      <c r="B1131" t="s">
        <v>1834</v>
      </c>
      <c r="C1131" t="s">
        <v>4482</v>
      </c>
      <c r="D1131" t="s">
        <v>71</v>
      </c>
      <c r="E1131" t="s">
        <v>92</v>
      </c>
      <c r="F1131" t="s">
        <v>4499</v>
      </c>
      <c r="G1131" t="s">
        <v>1841</v>
      </c>
      <c r="H1131" t="s">
        <v>1842</v>
      </c>
      <c r="I1131" s="130">
        <v>45514</v>
      </c>
      <c r="J1131" t="s">
        <v>4856</v>
      </c>
      <c r="K1131">
        <v>1</v>
      </c>
      <c r="M11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31" t="str">
        <f>DO_DB[[#This Row],[Material Pick-update]]&amp;"_"&amp;DO_DB[[#This Row],[Material Name]]</f>
        <v>45514_JC 144Core</v>
      </c>
      <c r="O1131" t="str">
        <f>DO_DB[[#This Row],[SiteID]]</f>
        <v>CLR23-03-002</v>
      </c>
      <c r="P1131" t="str">
        <f>DO_DB[[#This Row],[SiteID]]&amp;"_"&amp;DO_DB[[#This Row],[Material Name]]</f>
        <v>CLR23-03-002_JC 144Core</v>
      </c>
      <c r="Q1131" t="str">
        <f>DO_DB[[#This Row],[DO Number]]</f>
        <v>DOEID24080683</v>
      </c>
      <c r="R1131" t="str">
        <f>DO_DB[[#This Row],[DN Number]]</f>
        <v>DNWID0362024080709</v>
      </c>
    </row>
    <row r="1132" spans="1:18">
      <c r="A1132" t="s">
        <v>1833</v>
      </c>
      <c r="B1132" t="s">
        <v>1834</v>
      </c>
      <c r="C1132" t="s">
        <v>4482</v>
      </c>
      <c r="D1132" t="s">
        <v>71</v>
      </c>
      <c r="E1132" t="s">
        <v>92</v>
      </c>
      <c r="F1132" t="s">
        <v>4499</v>
      </c>
      <c r="G1132" t="s">
        <v>1835</v>
      </c>
      <c r="H1132" t="s">
        <v>1836</v>
      </c>
      <c r="I1132" s="130">
        <v>45514</v>
      </c>
      <c r="J1132" t="s">
        <v>14</v>
      </c>
      <c r="K1132">
        <v>1</v>
      </c>
      <c r="M11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32" t="str">
        <f>DO_DB[[#This Row],[Material Pick-update]]&amp;"_"&amp;DO_DB[[#This Row],[Material Name]]</f>
        <v>45514_FDT-48</v>
      </c>
      <c r="O1132" t="str">
        <f>DO_DB[[#This Row],[SiteID]]</f>
        <v>CLR23-03-002</v>
      </c>
      <c r="P1132" t="str">
        <f>DO_DB[[#This Row],[SiteID]]&amp;"_"&amp;DO_DB[[#This Row],[Material Name]]</f>
        <v>CLR23-03-002_FDT-48</v>
      </c>
      <c r="Q1132" t="str">
        <f>DO_DB[[#This Row],[DO Number]]</f>
        <v>DOEID24080684</v>
      </c>
      <c r="R1132" t="str">
        <f>DO_DB[[#This Row],[DN Number]]</f>
        <v>DNWID0342024080606</v>
      </c>
    </row>
    <row r="1133" spans="1:18">
      <c r="A1133" t="s">
        <v>1833</v>
      </c>
      <c r="B1133" t="s">
        <v>1834</v>
      </c>
      <c r="C1133" t="s">
        <v>4482</v>
      </c>
      <c r="D1133" t="s">
        <v>71</v>
      </c>
      <c r="E1133" t="s">
        <v>92</v>
      </c>
      <c r="F1133" t="s">
        <v>4499</v>
      </c>
      <c r="G1133" t="s">
        <v>1835</v>
      </c>
      <c r="H1133" t="s">
        <v>1836</v>
      </c>
      <c r="I1133" s="130">
        <v>45514</v>
      </c>
      <c r="J1133" t="s">
        <v>13</v>
      </c>
      <c r="K1133">
        <v>22</v>
      </c>
      <c r="M11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33" t="str">
        <f>DO_DB[[#This Row],[Material Pick-update]]&amp;"_"&amp;DO_DB[[#This Row],[Material Name]]</f>
        <v>45514_FAT-16</v>
      </c>
      <c r="O1133" t="str">
        <f>DO_DB[[#This Row],[SiteID]]</f>
        <v>CLR23-03-002</v>
      </c>
      <c r="P1133" t="str">
        <f>DO_DB[[#This Row],[SiteID]]&amp;"_"&amp;DO_DB[[#This Row],[Material Name]]</f>
        <v>CLR23-03-002_FAT-16</v>
      </c>
      <c r="Q1133" t="str">
        <f>DO_DB[[#This Row],[DO Number]]</f>
        <v>DOEID24080684</v>
      </c>
      <c r="R1133" t="str">
        <f>DO_DB[[#This Row],[DN Number]]</f>
        <v>DNWID0342024080606</v>
      </c>
    </row>
    <row r="1134" spans="1:18">
      <c r="A1134" t="s">
        <v>1837</v>
      </c>
      <c r="B1134" t="s">
        <v>1838</v>
      </c>
      <c r="C1134" t="s">
        <v>4482</v>
      </c>
      <c r="D1134" t="s">
        <v>71</v>
      </c>
      <c r="E1134" t="s">
        <v>92</v>
      </c>
      <c r="F1134" t="s">
        <v>4499</v>
      </c>
      <c r="G1134" t="s">
        <v>1839</v>
      </c>
      <c r="H1134" t="s">
        <v>1840</v>
      </c>
      <c r="I1134" s="130">
        <v>45514</v>
      </c>
      <c r="J1134" t="s">
        <v>3069</v>
      </c>
      <c r="K1134">
        <v>91</v>
      </c>
      <c r="M11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34" t="str">
        <f>DO_DB[[#This Row],[Material Pick-update]]&amp;"_"&amp;DO_DB[[#This Row],[Material Name]]</f>
        <v>45514_Pole 7M 4"</v>
      </c>
      <c r="O1134" t="str">
        <f>DO_DB[[#This Row],[SiteID]]</f>
        <v>CLR23-03-027</v>
      </c>
      <c r="P1134" t="str">
        <f>DO_DB[[#This Row],[SiteID]]&amp;"_"&amp;DO_DB[[#This Row],[Material Name]]</f>
        <v>CLR23-03-027_Pole 7M 4"</v>
      </c>
      <c r="Q1134" t="str">
        <f>DO_DB[[#This Row],[DO Number]]</f>
        <v>DOEID24080689</v>
      </c>
      <c r="R1134" t="str">
        <f>DO_DB[[#This Row],[DN Number]]</f>
        <v>DNWID0362024080707</v>
      </c>
    </row>
    <row r="1135" spans="1:18">
      <c r="A1135" t="s">
        <v>1837</v>
      </c>
      <c r="B1135" t="s">
        <v>1838</v>
      </c>
      <c r="C1135" t="s">
        <v>4482</v>
      </c>
      <c r="D1135" t="s">
        <v>71</v>
      </c>
      <c r="E1135" t="s">
        <v>92</v>
      </c>
      <c r="F1135" t="s">
        <v>4499</v>
      </c>
      <c r="G1135" t="s">
        <v>1839</v>
      </c>
      <c r="H1135" t="s">
        <v>1840</v>
      </c>
      <c r="I1135" s="130">
        <v>45514</v>
      </c>
      <c r="J1135" t="s">
        <v>3070</v>
      </c>
      <c r="K1135">
        <v>16</v>
      </c>
      <c r="M11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35" t="str">
        <f>DO_DB[[#This Row],[Material Pick-update]]&amp;"_"&amp;DO_DB[[#This Row],[Material Name]]</f>
        <v>45514_Pole 7M 3"</v>
      </c>
      <c r="O1135" t="str">
        <f>DO_DB[[#This Row],[SiteID]]</f>
        <v>CLR23-03-027</v>
      </c>
      <c r="P1135" t="str">
        <f>DO_DB[[#This Row],[SiteID]]&amp;"_"&amp;DO_DB[[#This Row],[Material Name]]</f>
        <v>CLR23-03-027_Pole 7M 3"</v>
      </c>
      <c r="Q1135" t="str">
        <f>DO_DB[[#This Row],[DO Number]]</f>
        <v>DOEID24080689</v>
      </c>
      <c r="R1135" t="str">
        <f>DO_DB[[#This Row],[DN Number]]</f>
        <v>DNWID0362024080707</v>
      </c>
    </row>
    <row r="1136" spans="1:18">
      <c r="A1136" t="s">
        <v>1837</v>
      </c>
      <c r="B1136" t="s">
        <v>1838</v>
      </c>
      <c r="C1136" t="s">
        <v>4482</v>
      </c>
      <c r="D1136" t="s">
        <v>71</v>
      </c>
      <c r="E1136" t="s">
        <v>92</v>
      </c>
      <c r="F1136" t="s">
        <v>4499</v>
      </c>
      <c r="G1136" t="s">
        <v>1839</v>
      </c>
      <c r="H1136" t="s">
        <v>1840</v>
      </c>
      <c r="I1136" s="130">
        <v>45514</v>
      </c>
      <c r="J1136" t="s">
        <v>3071</v>
      </c>
      <c r="K1136">
        <v>26</v>
      </c>
      <c r="M11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36" t="str">
        <f>DO_DB[[#This Row],[Material Pick-update]]&amp;"_"&amp;DO_DB[[#This Row],[Material Name]]</f>
        <v>45514_Pole 9M</v>
      </c>
      <c r="O1136" t="str">
        <f>DO_DB[[#This Row],[SiteID]]</f>
        <v>CLR23-03-027</v>
      </c>
      <c r="P1136" t="str">
        <f>DO_DB[[#This Row],[SiteID]]&amp;"_"&amp;DO_DB[[#This Row],[Material Name]]</f>
        <v>CLR23-03-027_Pole 9M</v>
      </c>
      <c r="Q1136" t="str">
        <f>DO_DB[[#This Row],[DO Number]]</f>
        <v>DOEID24080689</v>
      </c>
      <c r="R1136" t="str">
        <f>DO_DB[[#This Row],[DN Number]]</f>
        <v>DNWID0362024080707</v>
      </c>
    </row>
    <row r="1137" spans="1:18">
      <c r="A1137" t="s">
        <v>1837</v>
      </c>
      <c r="B1137" t="s">
        <v>1838</v>
      </c>
      <c r="C1137" t="s">
        <v>4482</v>
      </c>
      <c r="D1137" t="s">
        <v>71</v>
      </c>
      <c r="E1137" t="s">
        <v>92</v>
      </c>
      <c r="F1137" t="s">
        <v>4499</v>
      </c>
      <c r="G1137" t="s">
        <v>1839</v>
      </c>
      <c r="H1137" t="s">
        <v>1840</v>
      </c>
      <c r="I1137" s="130">
        <v>45514</v>
      </c>
      <c r="J1137" t="s">
        <v>4856</v>
      </c>
      <c r="K1137">
        <v>2</v>
      </c>
      <c r="M11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37" t="str">
        <f>DO_DB[[#This Row],[Material Pick-update]]&amp;"_"&amp;DO_DB[[#This Row],[Material Name]]</f>
        <v>45514_JC 144Core</v>
      </c>
      <c r="O1137" t="str">
        <f>DO_DB[[#This Row],[SiteID]]</f>
        <v>CLR23-03-027</v>
      </c>
      <c r="P1137" t="str">
        <f>DO_DB[[#This Row],[SiteID]]&amp;"_"&amp;DO_DB[[#This Row],[Material Name]]</f>
        <v>CLR23-03-027_JC 144Core</v>
      </c>
      <c r="Q1137" t="str">
        <f>DO_DB[[#This Row],[DO Number]]</f>
        <v>DOEID24080689</v>
      </c>
      <c r="R1137" t="str">
        <f>DO_DB[[#This Row],[DN Number]]</f>
        <v>DNWID0362024080707</v>
      </c>
    </row>
    <row r="1138" spans="1:18">
      <c r="A1138" t="s">
        <v>1837</v>
      </c>
      <c r="B1138" t="s">
        <v>1838</v>
      </c>
      <c r="C1138" t="s">
        <v>4482</v>
      </c>
      <c r="D1138" t="s">
        <v>71</v>
      </c>
      <c r="E1138" t="s">
        <v>92</v>
      </c>
      <c r="F1138" t="s">
        <v>4499</v>
      </c>
      <c r="G1138" t="s">
        <v>1843</v>
      </c>
      <c r="H1138" t="s">
        <v>1844</v>
      </c>
      <c r="I1138" s="130">
        <v>45514</v>
      </c>
      <c r="J1138" t="s">
        <v>14</v>
      </c>
      <c r="K1138">
        <v>2</v>
      </c>
      <c r="M11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38" t="str">
        <f>DO_DB[[#This Row],[Material Pick-update]]&amp;"_"&amp;DO_DB[[#This Row],[Material Name]]</f>
        <v>45514_FDT-48</v>
      </c>
      <c r="O1138" t="str">
        <f>DO_DB[[#This Row],[SiteID]]</f>
        <v>CLR23-03-027</v>
      </c>
      <c r="P1138" t="str">
        <f>DO_DB[[#This Row],[SiteID]]&amp;"_"&amp;DO_DB[[#This Row],[Material Name]]</f>
        <v>CLR23-03-027_FDT-48</v>
      </c>
      <c r="Q1138" t="str">
        <f>DO_DB[[#This Row],[DO Number]]</f>
        <v>DOEID24080690</v>
      </c>
      <c r="R1138" t="str">
        <f>DO_DB[[#This Row],[DN Number]]</f>
        <v>DNWID0342024080607</v>
      </c>
    </row>
    <row r="1139" spans="1:18">
      <c r="A1139" t="s">
        <v>1837</v>
      </c>
      <c r="B1139" t="s">
        <v>1838</v>
      </c>
      <c r="C1139" t="s">
        <v>4482</v>
      </c>
      <c r="D1139" t="s">
        <v>71</v>
      </c>
      <c r="E1139" t="s">
        <v>92</v>
      </c>
      <c r="F1139" t="s">
        <v>4499</v>
      </c>
      <c r="G1139" t="s">
        <v>1843</v>
      </c>
      <c r="H1139" t="s">
        <v>1844</v>
      </c>
      <c r="I1139" s="130">
        <v>45514</v>
      </c>
      <c r="J1139" t="s">
        <v>13</v>
      </c>
      <c r="K1139">
        <v>41</v>
      </c>
      <c r="M11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39" t="str">
        <f>DO_DB[[#This Row],[Material Pick-update]]&amp;"_"&amp;DO_DB[[#This Row],[Material Name]]</f>
        <v>45514_FAT-16</v>
      </c>
      <c r="O1139" t="str">
        <f>DO_DB[[#This Row],[SiteID]]</f>
        <v>CLR23-03-027</v>
      </c>
      <c r="P1139" t="str">
        <f>DO_DB[[#This Row],[SiteID]]&amp;"_"&amp;DO_DB[[#This Row],[Material Name]]</f>
        <v>CLR23-03-027_FAT-16</v>
      </c>
      <c r="Q1139" t="str">
        <f>DO_DB[[#This Row],[DO Number]]</f>
        <v>DOEID24080690</v>
      </c>
      <c r="R1139" t="str">
        <f>DO_DB[[#This Row],[DN Number]]</f>
        <v>DNWID0342024080607</v>
      </c>
    </row>
    <row r="1140" spans="1:18">
      <c r="A1140" t="s">
        <v>1833</v>
      </c>
      <c r="B1140" t="s">
        <v>1834</v>
      </c>
      <c r="C1140" s="172" t="s">
        <v>4482</v>
      </c>
      <c r="D1140" t="s">
        <v>71</v>
      </c>
      <c r="E1140" t="s">
        <v>92</v>
      </c>
      <c r="F1140" t="s">
        <v>4499</v>
      </c>
      <c r="G1140" t="s">
        <v>1835</v>
      </c>
      <c r="H1140" t="s">
        <v>1836</v>
      </c>
      <c r="I1140" s="130">
        <v>45514</v>
      </c>
      <c r="J1140" t="s">
        <v>3073</v>
      </c>
      <c r="K1140">
        <v>3000</v>
      </c>
      <c r="M11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24C-2024810-01</v>
      </c>
      <c r="N1140" t="str">
        <f>DO_DB[[#This Row],[Material Pick-update]]&amp;"_"&amp;DO_DB[[#This Row],[Material Name]]</f>
        <v>45514_ADSS 24C</v>
      </c>
      <c r="O1140" t="str">
        <f>DO_DB[[#This Row],[SiteID]]</f>
        <v>CLR23-03-002</v>
      </c>
      <c r="P1140" t="str">
        <f>DO_DB[[#This Row],[SiteID]]&amp;"_"&amp;DO_DB[[#This Row],[Material Name]]</f>
        <v>CLR23-03-002_ADSS 24C</v>
      </c>
      <c r="Q1140" t="str">
        <f>DO_DB[[#This Row],[DO Number]]</f>
        <v>DOEID24080684</v>
      </c>
      <c r="R1140" t="str">
        <f>DO_DB[[#This Row],[DN Number]]</f>
        <v>DNWID0342024080606</v>
      </c>
    </row>
    <row r="1141" spans="1:18">
      <c r="A1141" t="s">
        <v>1837</v>
      </c>
      <c r="B1141" t="s">
        <v>1838</v>
      </c>
      <c r="C1141" s="172" t="s">
        <v>4482</v>
      </c>
      <c r="D1141" t="s">
        <v>71</v>
      </c>
      <c r="E1141" t="s">
        <v>92</v>
      </c>
      <c r="F1141" t="s">
        <v>4499</v>
      </c>
      <c r="G1141" t="s">
        <v>1843</v>
      </c>
      <c r="H1141" t="s">
        <v>1844</v>
      </c>
      <c r="I1141" s="130">
        <v>45514</v>
      </c>
      <c r="J1141" t="s">
        <v>3073</v>
      </c>
      <c r="K1141">
        <v>3000</v>
      </c>
      <c r="M11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24C-2024810-01</v>
      </c>
      <c r="N1141" t="str">
        <f>DO_DB[[#This Row],[Material Pick-update]]&amp;"_"&amp;DO_DB[[#This Row],[Material Name]]</f>
        <v>45514_ADSS 24C</v>
      </c>
      <c r="O1141" t="str">
        <f>DO_DB[[#This Row],[SiteID]]</f>
        <v>CLR23-03-027</v>
      </c>
      <c r="P1141" t="str">
        <f>DO_DB[[#This Row],[SiteID]]&amp;"_"&amp;DO_DB[[#This Row],[Material Name]]</f>
        <v>CLR23-03-027_ADSS 24C</v>
      </c>
      <c r="Q1141" t="str">
        <f>DO_DB[[#This Row],[DO Number]]</f>
        <v>DOEID24080690</v>
      </c>
      <c r="R1141" t="str">
        <f>DO_DB[[#This Row],[DN Number]]</f>
        <v>DNWID0342024080607</v>
      </c>
    </row>
    <row r="1142" spans="1:18">
      <c r="A1142" t="s">
        <v>1837</v>
      </c>
      <c r="B1142" t="s">
        <v>1838</v>
      </c>
      <c r="C1142" s="172" t="s">
        <v>4482</v>
      </c>
      <c r="D1142" t="s">
        <v>71</v>
      </c>
      <c r="E1142" t="s">
        <v>92</v>
      </c>
      <c r="F1142" t="s">
        <v>4499</v>
      </c>
      <c r="G1142" t="s">
        <v>1843</v>
      </c>
      <c r="H1142" t="s">
        <v>1844</v>
      </c>
      <c r="I1142" s="130">
        <v>45514</v>
      </c>
      <c r="J1142" t="s">
        <v>3075</v>
      </c>
      <c r="K1142">
        <v>3000</v>
      </c>
      <c r="M11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48C-2024810-01</v>
      </c>
      <c r="N1142" t="str">
        <f>DO_DB[[#This Row],[Material Pick-update]]&amp;"_"&amp;DO_DB[[#This Row],[Material Name]]</f>
        <v>45514_ADSS 48C</v>
      </c>
      <c r="O1142" t="str">
        <f>DO_DB[[#This Row],[SiteID]]</f>
        <v>CLR23-03-027</v>
      </c>
      <c r="P1142" t="str">
        <f>DO_DB[[#This Row],[SiteID]]&amp;"_"&amp;DO_DB[[#This Row],[Material Name]]</f>
        <v>CLR23-03-027_ADSS 48C</v>
      </c>
      <c r="Q1142" t="str">
        <f>DO_DB[[#This Row],[DO Number]]</f>
        <v>DOEID24080690</v>
      </c>
      <c r="R1142" t="str">
        <f>DO_DB[[#This Row],[DN Number]]</f>
        <v>DNWID0342024080607</v>
      </c>
    </row>
    <row r="1143" spans="1:18">
      <c r="A1143" t="s">
        <v>1943</v>
      </c>
      <c r="B1143" t="s">
        <v>1944</v>
      </c>
      <c r="C1143" t="s">
        <v>4482</v>
      </c>
      <c r="D1143" t="s">
        <v>71</v>
      </c>
      <c r="E1143" t="s">
        <v>92</v>
      </c>
      <c r="F1143" t="s">
        <v>4499</v>
      </c>
      <c r="G1143" t="s">
        <v>1945</v>
      </c>
      <c r="H1143" t="s">
        <v>1946</v>
      </c>
      <c r="I1143" s="130">
        <v>45526</v>
      </c>
      <c r="J1143" t="s">
        <v>14</v>
      </c>
      <c r="K1143">
        <v>1</v>
      </c>
      <c r="M11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43" t="str">
        <f>DO_DB[[#This Row],[Material Pick-update]]&amp;"_"&amp;DO_DB[[#This Row],[Material Name]]</f>
        <v>45526_FDT-48</v>
      </c>
      <c r="O1143" t="str">
        <f>DO_DB[[#This Row],[SiteID]]</f>
        <v>CLR23-01-106</v>
      </c>
      <c r="P1143" t="str">
        <f>DO_DB[[#This Row],[SiteID]]&amp;"_"&amp;DO_DB[[#This Row],[Material Name]]</f>
        <v>CLR23-01-106_FDT-48</v>
      </c>
      <c r="Q1143" t="str">
        <f>DO_DB[[#This Row],[DO Number]]</f>
        <v>DOEID24081994</v>
      </c>
      <c r="R1143" t="str">
        <f>DO_DB[[#This Row],[DN Number]]</f>
        <v>DNWID0342024082909</v>
      </c>
    </row>
    <row r="1144" spans="1:18">
      <c r="A1144" t="s">
        <v>1943</v>
      </c>
      <c r="B1144" t="s">
        <v>1944</v>
      </c>
      <c r="C1144" t="s">
        <v>4482</v>
      </c>
      <c r="D1144" t="s">
        <v>71</v>
      </c>
      <c r="E1144" t="s">
        <v>92</v>
      </c>
      <c r="F1144" t="s">
        <v>4499</v>
      </c>
      <c r="G1144" t="s">
        <v>1945</v>
      </c>
      <c r="H1144" t="s">
        <v>1946</v>
      </c>
      <c r="I1144" s="130">
        <v>45526</v>
      </c>
      <c r="J1144" t="s">
        <v>13</v>
      </c>
      <c r="K1144">
        <v>7</v>
      </c>
      <c r="M11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44" t="str">
        <f>DO_DB[[#This Row],[Material Pick-update]]&amp;"_"&amp;DO_DB[[#This Row],[Material Name]]</f>
        <v>45526_FAT-16</v>
      </c>
      <c r="O1144" t="str">
        <f>DO_DB[[#This Row],[SiteID]]</f>
        <v>CLR23-01-106</v>
      </c>
      <c r="P1144" t="str">
        <f>DO_DB[[#This Row],[SiteID]]&amp;"_"&amp;DO_DB[[#This Row],[Material Name]]</f>
        <v>CLR23-01-106_FAT-16</v>
      </c>
      <c r="Q1144" t="str">
        <f>DO_DB[[#This Row],[DO Number]]</f>
        <v>DOEID24081994</v>
      </c>
      <c r="R1144" t="str">
        <f>DO_DB[[#This Row],[DN Number]]</f>
        <v>DNWID0342024082909</v>
      </c>
    </row>
    <row r="1145" spans="1:18">
      <c r="A1145" t="s">
        <v>1943</v>
      </c>
      <c r="B1145" t="s">
        <v>1944</v>
      </c>
      <c r="C1145" t="s">
        <v>4482</v>
      </c>
      <c r="D1145" t="s">
        <v>71</v>
      </c>
      <c r="E1145" t="s">
        <v>92</v>
      </c>
      <c r="F1145" t="s">
        <v>4499</v>
      </c>
      <c r="G1145" t="s">
        <v>1945</v>
      </c>
      <c r="H1145" t="s">
        <v>1946</v>
      </c>
      <c r="I1145" s="130">
        <v>45526</v>
      </c>
      <c r="J1145" t="s">
        <v>3080</v>
      </c>
      <c r="K1145">
        <v>3</v>
      </c>
      <c r="M11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45" t="str">
        <f>DO_DB[[#This Row],[Material Pick-update]]&amp;"_"&amp;DO_DB[[#This Row],[Material Name]]</f>
        <v>45526_1:8 SPL for FDT-AE &amp; UG</v>
      </c>
      <c r="O1145" t="str">
        <f>DO_DB[[#This Row],[SiteID]]</f>
        <v>CLR23-01-106</v>
      </c>
      <c r="P1145" t="str">
        <f>DO_DB[[#This Row],[SiteID]]&amp;"_"&amp;DO_DB[[#This Row],[Material Name]]</f>
        <v>CLR23-01-106_1:8 SPL for FDT-AE &amp; UG</v>
      </c>
      <c r="Q1145" t="str">
        <f>DO_DB[[#This Row],[DO Number]]</f>
        <v>DOEID24081994</v>
      </c>
      <c r="R1145" t="str">
        <f>DO_DB[[#This Row],[DN Number]]</f>
        <v>DNWID0342024082909</v>
      </c>
    </row>
    <row r="1146" spans="1:18">
      <c r="A1146" t="s">
        <v>1947</v>
      </c>
      <c r="B1146" t="s">
        <v>1948</v>
      </c>
      <c r="C1146" s="172" t="s">
        <v>4482</v>
      </c>
      <c r="D1146" t="s">
        <v>71</v>
      </c>
      <c r="E1146" t="s">
        <v>68</v>
      </c>
      <c r="F1146" t="s">
        <v>4499</v>
      </c>
      <c r="G1146" t="s">
        <v>1949</v>
      </c>
      <c r="H1146" t="s">
        <v>1950</v>
      </c>
      <c r="I1146" s="130">
        <v>45526</v>
      </c>
      <c r="J1146" t="s">
        <v>3073</v>
      </c>
      <c r="K1146">
        <v>3000</v>
      </c>
      <c r="M11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24C-2024822-01</v>
      </c>
      <c r="N1146" t="str">
        <f>DO_DB[[#This Row],[Material Pick-update]]&amp;"_"&amp;DO_DB[[#This Row],[Material Name]]</f>
        <v>45526_ADSS 24C</v>
      </c>
      <c r="O1146" t="str">
        <f>DO_DB[[#This Row],[SiteID]]</f>
        <v>CLR38-01-022</v>
      </c>
      <c r="P1146" t="str">
        <f>DO_DB[[#This Row],[SiteID]]&amp;"_"&amp;DO_DB[[#This Row],[Material Name]]</f>
        <v>CLR38-01-022_ADSS 24C</v>
      </c>
      <c r="Q1146" t="str">
        <f>DO_DB[[#This Row],[DO Number]]</f>
        <v>DOEID24081999</v>
      </c>
      <c r="R1146" t="str">
        <f>DO_DB[[#This Row],[DN Number]]</f>
        <v>DNWID0342024082102</v>
      </c>
    </row>
    <row r="1147" spans="1:18">
      <c r="A1147" t="s">
        <v>1939</v>
      </c>
      <c r="B1147" t="s">
        <v>1940</v>
      </c>
      <c r="C1147" s="172" t="s">
        <v>4482</v>
      </c>
      <c r="D1147" t="s">
        <v>71</v>
      </c>
      <c r="E1147" t="s">
        <v>68</v>
      </c>
      <c r="F1147" t="s">
        <v>4499</v>
      </c>
      <c r="G1147" t="s">
        <v>1941</v>
      </c>
      <c r="H1147" t="s">
        <v>1942</v>
      </c>
      <c r="I1147" s="130">
        <v>45526</v>
      </c>
      <c r="J1147" t="s">
        <v>13</v>
      </c>
      <c r="K1147">
        <v>10</v>
      </c>
      <c r="M11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47" t="str">
        <f>DO_DB[[#This Row],[Material Pick-update]]&amp;"_"&amp;DO_DB[[#This Row],[Material Name]]</f>
        <v>45526_FAT-16</v>
      </c>
      <c r="O1147" t="str">
        <f>DO_DB[[#This Row],[SiteID]]</f>
        <v>CLR38-01-021</v>
      </c>
      <c r="P1147" t="str">
        <f>DO_DB[[#This Row],[SiteID]]&amp;"_"&amp;DO_DB[[#This Row],[Material Name]]</f>
        <v>CLR38-01-021_FAT-16</v>
      </c>
      <c r="Q1147" t="str">
        <f>DO_DB[[#This Row],[DO Number]]</f>
        <v>DOEID24081997</v>
      </c>
      <c r="R1147" t="str">
        <f>DO_DB[[#This Row],[DN Number]]</f>
        <v>DNWID0342024081908</v>
      </c>
    </row>
    <row r="1148" spans="1:18">
      <c r="A1148" t="s">
        <v>1947</v>
      </c>
      <c r="B1148" t="s">
        <v>1948</v>
      </c>
      <c r="C1148" s="172" t="s">
        <v>4482</v>
      </c>
      <c r="D1148" t="s">
        <v>71</v>
      </c>
      <c r="E1148" t="s">
        <v>68</v>
      </c>
      <c r="F1148" t="s">
        <v>4499</v>
      </c>
      <c r="G1148" t="s">
        <v>1949</v>
      </c>
      <c r="H1148" t="s">
        <v>1950</v>
      </c>
      <c r="I1148" s="130">
        <v>45526</v>
      </c>
      <c r="J1148" t="s">
        <v>14</v>
      </c>
      <c r="K1148">
        <v>1</v>
      </c>
      <c r="M11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48" t="str">
        <f>DO_DB[[#This Row],[Material Pick-update]]&amp;"_"&amp;DO_DB[[#This Row],[Material Name]]</f>
        <v>45526_FDT-48</v>
      </c>
      <c r="O1148" t="str">
        <f>DO_DB[[#This Row],[SiteID]]</f>
        <v>CLR38-01-022</v>
      </c>
      <c r="P1148" t="str">
        <f>DO_DB[[#This Row],[SiteID]]&amp;"_"&amp;DO_DB[[#This Row],[Material Name]]</f>
        <v>CLR38-01-022_FDT-48</v>
      </c>
      <c r="Q1148" t="str">
        <f>DO_DB[[#This Row],[DO Number]]</f>
        <v>DOEID24081999</v>
      </c>
      <c r="R1148" t="str">
        <f>DO_DB[[#This Row],[DN Number]]</f>
        <v>DNWID0342024082102</v>
      </c>
    </row>
    <row r="1149" spans="1:18">
      <c r="A1149" t="s">
        <v>1947</v>
      </c>
      <c r="B1149" t="s">
        <v>1948</v>
      </c>
      <c r="C1149" s="172" t="s">
        <v>4482</v>
      </c>
      <c r="D1149" t="s">
        <v>71</v>
      </c>
      <c r="E1149" t="s">
        <v>68</v>
      </c>
      <c r="F1149" t="s">
        <v>4499</v>
      </c>
      <c r="G1149" t="s">
        <v>1949</v>
      </c>
      <c r="H1149" t="s">
        <v>1950</v>
      </c>
      <c r="I1149" s="130">
        <v>45526</v>
      </c>
      <c r="J1149" t="s">
        <v>13</v>
      </c>
      <c r="K1149">
        <v>12</v>
      </c>
      <c r="M11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49" t="str">
        <f>DO_DB[[#This Row],[Material Pick-update]]&amp;"_"&amp;DO_DB[[#This Row],[Material Name]]</f>
        <v>45526_FAT-16</v>
      </c>
      <c r="O1149" t="str">
        <f>DO_DB[[#This Row],[SiteID]]</f>
        <v>CLR38-01-022</v>
      </c>
      <c r="P1149" t="str">
        <f>DO_DB[[#This Row],[SiteID]]&amp;"_"&amp;DO_DB[[#This Row],[Material Name]]</f>
        <v>CLR38-01-022_FAT-16</v>
      </c>
      <c r="Q1149" t="str">
        <f>DO_DB[[#This Row],[DO Number]]</f>
        <v>DOEID24081999</v>
      </c>
      <c r="R1149" t="str">
        <f>DO_DB[[#This Row],[DN Number]]</f>
        <v>DNWID0342024082102</v>
      </c>
    </row>
    <row r="1150" spans="1:18">
      <c r="A1150" t="s">
        <v>1947</v>
      </c>
      <c r="B1150" t="s">
        <v>1948</v>
      </c>
      <c r="C1150" s="172" t="s">
        <v>4482</v>
      </c>
      <c r="D1150" t="s">
        <v>71</v>
      </c>
      <c r="E1150" t="s">
        <v>68</v>
      </c>
      <c r="F1150" t="s">
        <v>4499</v>
      </c>
      <c r="G1150" t="s">
        <v>1949</v>
      </c>
      <c r="H1150" t="s">
        <v>1950</v>
      </c>
      <c r="I1150" s="130">
        <v>45526</v>
      </c>
      <c r="J1150" t="s">
        <v>3080</v>
      </c>
      <c r="K1150">
        <v>3</v>
      </c>
      <c r="M11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50" t="str">
        <f>DO_DB[[#This Row],[Material Pick-update]]&amp;"_"&amp;DO_DB[[#This Row],[Material Name]]</f>
        <v>45526_1:8 SPL for FDT-AE &amp; UG</v>
      </c>
      <c r="O1150" t="str">
        <f>DO_DB[[#This Row],[SiteID]]</f>
        <v>CLR38-01-022</v>
      </c>
      <c r="P1150" t="str">
        <f>DO_DB[[#This Row],[SiteID]]&amp;"_"&amp;DO_DB[[#This Row],[Material Name]]</f>
        <v>CLR38-01-022_1:8 SPL for FDT-AE &amp; UG</v>
      </c>
      <c r="Q1150" t="str">
        <f>DO_DB[[#This Row],[DO Number]]</f>
        <v>DOEID24081999</v>
      </c>
      <c r="R1150" t="str">
        <f>DO_DB[[#This Row],[DN Number]]</f>
        <v>DNWID0342024082102</v>
      </c>
    </row>
    <row r="1151" spans="1:18">
      <c r="A1151" t="s">
        <v>2101</v>
      </c>
      <c r="B1151" t="s">
        <v>2102</v>
      </c>
      <c r="C1151" t="s">
        <v>4482</v>
      </c>
      <c r="D1151" t="s">
        <v>71</v>
      </c>
      <c r="E1151" t="s">
        <v>92</v>
      </c>
      <c r="F1151" t="s">
        <v>4499</v>
      </c>
      <c r="G1151" t="s">
        <v>2105</v>
      </c>
      <c r="H1151" t="s">
        <v>2106</v>
      </c>
      <c r="I1151" s="130">
        <v>45548</v>
      </c>
      <c r="J1151" t="s">
        <v>3073</v>
      </c>
      <c r="K1151">
        <v>3000</v>
      </c>
      <c r="M11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24C-2024913-01</v>
      </c>
      <c r="N1151" t="str">
        <f>DO_DB[[#This Row],[Material Pick-update]]&amp;"_"&amp;DO_DB[[#This Row],[Material Name]]</f>
        <v>45548_ADSS 24C</v>
      </c>
      <c r="O1151" t="str">
        <f>DO_DB[[#This Row],[SiteID]]</f>
        <v>CLR23-03-046</v>
      </c>
      <c r="P1151" t="str">
        <f>DO_DB[[#This Row],[SiteID]]&amp;"_"&amp;DO_DB[[#This Row],[Material Name]]</f>
        <v>CLR23-03-046_ADSS 24C</v>
      </c>
      <c r="Q1151" t="str">
        <f>DO_DB[[#This Row],[DO Number]]</f>
        <v>DOEID24091264</v>
      </c>
      <c r="R1151" t="str">
        <f>DO_DB[[#This Row],[DN Number]]</f>
        <v>DNWID0342024091304</v>
      </c>
    </row>
    <row r="1152" spans="1:18">
      <c r="A1152" t="s">
        <v>2107</v>
      </c>
      <c r="B1152" t="s">
        <v>2108</v>
      </c>
      <c r="C1152" t="s">
        <v>4482</v>
      </c>
      <c r="D1152" t="s">
        <v>71</v>
      </c>
      <c r="E1152" t="s">
        <v>92</v>
      </c>
      <c r="F1152" t="s">
        <v>4499</v>
      </c>
      <c r="G1152" t="s">
        <v>2111</v>
      </c>
      <c r="H1152" t="s">
        <v>2112</v>
      </c>
      <c r="I1152" s="130">
        <v>45548</v>
      </c>
      <c r="J1152" t="s">
        <v>3075</v>
      </c>
      <c r="K1152">
        <v>3000</v>
      </c>
      <c r="M11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48C-2024913-01</v>
      </c>
      <c r="N1152" t="str">
        <f>DO_DB[[#This Row],[Material Pick-update]]&amp;"_"&amp;DO_DB[[#This Row],[Material Name]]</f>
        <v>45548_ADSS 48C</v>
      </c>
      <c r="O1152" t="str">
        <f>DO_DB[[#This Row],[SiteID]]</f>
        <v>CLR23-03-028</v>
      </c>
      <c r="P1152" t="str">
        <f>DO_DB[[#This Row],[SiteID]]&amp;"_"&amp;DO_DB[[#This Row],[Material Name]]</f>
        <v>CLR23-03-028_ADSS 48C</v>
      </c>
      <c r="Q1152" t="str">
        <f>DO_DB[[#This Row],[DO Number]]</f>
        <v>DOEID24091285</v>
      </c>
      <c r="R1152" t="str">
        <f>DO_DB[[#This Row],[DN Number]]</f>
        <v>DNWID0342024091305</v>
      </c>
    </row>
    <row r="1153" spans="1:18">
      <c r="A1153" t="s">
        <v>2113</v>
      </c>
      <c r="B1153" t="s">
        <v>2114</v>
      </c>
      <c r="C1153" t="s">
        <v>4482</v>
      </c>
      <c r="D1153" t="s">
        <v>71</v>
      </c>
      <c r="E1153" t="s">
        <v>92</v>
      </c>
      <c r="F1153" t="s">
        <v>4499</v>
      </c>
      <c r="G1153" t="s">
        <v>2117</v>
      </c>
      <c r="H1153" t="s">
        <v>2118</v>
      </c>
      <c r="I1153" s="130">
        <v>45548</v>
      </c>
      <c r="J1153" t="s">
        <v>3075</v>
      </c>
      <c r="K1153">
        <v>3000</v>
      </c>
      <c r="M11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48C-2024913-01</v>
      </c>
      <c r="N1153" t="str">
        <f>DO_DB[[#This Row],[Material Pick-update]]&amp;"_"&amp;DO_DB[[#This Row],[Material Name]]</f>
        <v>45548_ADSS 48C</v>
      </c>
      <c r="O1153" t="str">
        <f>DO_DB[[#This Row],[SiteID]]</f>
        <v>CLR23-03-030</v>
      </c>
      <c r="P1153" t="str">
        <f>DO_DB[[#This Row],[SiteID]]&amp;"_"&amp;DO_DB[[#This Row],[Material Name]]</f>
        <v>CLR23-03-030_ADSS 48C</v>
      </c>
      <c r="Q1153" t="str">
        <f>DO_DB[[#This Row],[DO Number]]</f>
        <v>DOEID24091287</v>
      </c>
      <c r="R1153" t="str">
        <f>DO_DB[[#This Row],[DN Number]]</f>
        <v>DNWID0342024091211</v>
      </c>
    </row>
    <row r="1154" spans="1:18">
      <c r="A1154" t="s">
        <v>2083</v>
      </c>
      <c r="B1154" t="s">
        <v>2084</v>
      </c>
      <c r="C1154" t="s">
        <v>4482</v>
      </c>
      <c r="D1154" t="s">
        <v>71</v>
      </c>
      <c r="E1154" t="s">
        <v>92</v>
      </c>
      <c r="F1154" t="s">
        <v>4499</v>
      </c>
      <c r="G1154" t="s">
        <v>2087</v>
      </c>
      <c r="H1154" t="s">
        <v>2088</v>
      </c>
      <c r="I1154" s="130">
        <v>45548</v>
      </c>
      <c r="J1154" t="s">
        <v>3073</v>
      </c>
      <c r="K1154">
        <v>6000</v>
      </c>
      <c r="M11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24C-2024913-01</v>
      </c>
      <c r="N1154" t="str">
        <f>DO_DB[[#This Row],[Material Pick-update]]&amp;"_"&amp;DO_DB[[#This Row],[Material Name]]</f>
        <v>45548_ADSS 24C</v>
      </c>
      <c r="O1154" t="str">
        <f>DO_DB[[#This Row],[SiteID]]</f>
        <v>CLR23-03-032</v>
      </c>
      <c r="P1154" t="str">
        <f>DO_DB[[#This Row],[SiteID]]&amp;"_"&amp;DO_DB[[#This Row],[Material Name]]</f>
        <v>CLR23-03-032_ADSS 24C</v>
      </c>
      <c r="Q1154" t="str">
        <f>DO_DB[[#This Row],[DO Number]]</f>
        <v>DOEID24091258</v>
      </c>
      <c r="R1154" t="str">
        <f>DO_DB[[#This Row],[DN Number]]</f>
        <v>DNWID0342024091207</v>
      </c>
    </row>
    <row r="1155" spans="1:18">
      <c r="A1155" t="s">
        <v>2071</v>
      </c>
      <c r="B1155" t="s">
        <v>2072</v>
      </c>
      <c r="C1155" t="s">
        <v>4482</v>
      </c>
      <c r="D1155" t="s">
        <v>71</v>
      </c>
      <c r="E1155" t="s">
        <v>92</v>
      </c>
      <c r="F1155" t="s">
        <v>4499</v>
      </c>
      <c r="G1155" t="s">
        <v>2073</v>
      </c>
      <c r="H1155" t="s">
        <v>2074</v>
      </c>
      <c r="I1155" s="130">
        <v>45548</v>
      </c>
      <c r="J1155" t="s">
        <v>3069</v>
      </c>
      <c r="K1155">
        <v>31</v>
      </c>
      <c r="M11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55" t="str">
        <f>DO_DB[[#This Row],[Material Pick-update]]&amp;"_"&amp;DO_DB[[#This Row],[Material Name]]</f>
        <v>45548_Pole 7M 4"</v>
      </c>
      <c r="O1155" t="str">
        <f>DO_DB[[#This Row],[SiteID]]</f>
        <v>CLR23-03-029</v>
      </c>
      <c r="P1155" t="str">
        <f>DO_DB[[#This Row],[SiteID]]&amp;"_"&amp;DO_DB[[#This Row],[Material Name]]</f>
        <v>CLR23-03-029_Pole 7M 4"</v>
      </c>
      <c r="Q1155" t="str">
        <f>DO_DB[[#This Row],[DO Number]]</f>
        <v>DOEID24091253</v>
      </c>
      <c r="R1155" t="str">
        <f>DO_DB[[#This Row],[DN Number]]</f>
        <v>DNWID0362024091222</v>
      </c>
    </row>
    <row r="1156" spans="1:18">
      <c r="A1156" t="s">
        <v>2071</v>
      </c>
      <c r="B1156" t="s">
        <v>2072</v>
      </c>
      <c r="C1156" t="s">
        <v>4482</v>
      </c>
      <c r="D1156" t="s">
        <v>71</v>
      </c>
      <c r="E1156" t="s">
        <v>92</v>
      </c>
      <c r="F1156" t="s">
        <v>4499</v>
      </c>
      <c r="G1156" t="s">
        <v>2073</v>
      </c>
      <c r="H1156" t="s">
        <v>2074</v>
      </c>
      <c r="I1156" s="130">
        <v>45548</v>
      </c>
      <c r="J1156" t="s">
        <v>3070</v>
      </c>
      <c r="K1156">
        <v>1</v>
      </c>
      <c r="M11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56" t="str">
        <f>DO_DB[[#This Row],[Material Pick-update]]&amp;"_"&amp;DO_DB[[#This Row],[Material Name]]</f>
        <v>45548_Pole 7M 3"</v>
      </c>
      <c r="O1156" t="str">
        <f>DO_DB[[#This Row],[SiteID]]</f>
        <v>CLR23-03-029</v>
      </c>
      <c r="P1156" t="str">
        <f>DO_DB[[#This Row],[SiteID]]&amp;"_"&amp;DO_DB[[#This Row],[Material Name]]</f>
        <v>CLR23-03-029_Pole 7M 3"</v>
      </c>
      <c r="Q1156" t="str">
        <f>DO_DB[[#This Row],[DO Number]]</f>
        <v>DOEID24091253</v>
      </c>
      <c r="R1156" t="str">
        <f>DO_DB[[#This Row],[DN Number]]</f>
        <v>DNWID0362024091222</v>
      </c>
    </row>
    <row r="1157" spans="1:18">
      <c r="A1157" t="s">
        <v>2071</v>
      </c>
      <c r="B1157" t="s">
        <v>2072</v>
      </c>
      <c r="C1157" t="s">
        <v>4482</v>
      </c>
      <c r="D1157" t="s">
        <v>71</v>
      </c>
      <c r="E1157" t="s">
        <v>92</v>
      </c>
      <c r="F1157" t="s">
        <v>4499</v>
      </c>
      <c r="G1157" t="s">
        <v>2075</v>
      </c>
      <c r="H1157" t="s">
        <v>2076</v>
      </c>
      <c r="I1157" s="130">
        <v>45548</v>
      </c>
      <c r="J1157" t="s">
        <v>13</v>
      </c>
      <c r="K1157">
        <v>11</v>
      </c>
      <c r="M11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57" t="str">
        <f>DO_DB[[#This Row],[Material Pick-update]]&amp;"_"&amp;DO_DB[[#This Row],[Material Name]]</f>
        <v>45548_FAT-16</v>
      </c>
      <c r="O1157" t="str">
        <f>DO_DB[[#This Row],[SiteID]]</f>
        <v>CLR23-03-029</v>
      </c>
      <c r="P1157" t="str">
        <f>DO_DB[[#This Row],[SiteID]]&amp;"_"&amp;DO_DB[[#This Row],[Material Name]]</f>
        <v>CLR23-03-029_FAT-16</v>
      </c>
      <c r="Q1157" t="str">
        <f>DO_DB[[#This Row],[DO Number]]</f>
        <v>DOEID24091254</v>
      </c>
      <c r="R1157" t="str">
        <f>DO_DB[[#This Row],[DN Number]]</f>
        <v>DNWID0342024091206</v>
      </c>
    </row>
    <row r="1158" spans="1:18">
      <c r="A1158" t="s">
        <v>2077</v>
      </c>
      <c r="B1158" t="s">
        <v>2078</v>
      </c>
      <c r="C1158" t="s">
        <v>4482</v>
      </c>
      <c r="D1158" t="s">
        <v>71</v>
      </c>
      <c r="E1158" t="s">
        <v>92</v>
      </c>
      <c r="F1158" t="s">
        <v>4499</v>
      </c>
      <c r="G1158" t="s">
        <v>2079</v>
      </c>
      <c r="H1158" t="s">
        <v>2080</v>
      </c>
      <c r="I1158" s="130">
        <v>45548</v>
      </c>
      <c r="J1158" t="s">
        <v>3069</v>
      </c>
      <c r="K1158">
        <v>28</v>
      </c>
      <c r="M11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58" t="str">
        <f>DO_DB[[#This Row],[Material Pick-update]]&amp;"_"&amp;DO_DB[[#This Row],[Material Name]]</f>
        <v>45548_Pole 7M 4"</v>
      </c>
      <c r="O1158" t="str">
        <f>DO_DB[[#This Row],[SiteID]]</f>
        <v>CLR23-03-031</v>
      </c>
      <c r="P1158" t="str">
        <f>DO_DB[[#This Row],[SiteID]]&amp;"_"&amp;DO_DB[[#This Row],[Material Name]]</f>
        <v>CLR23-03-031_Pole 7M 4"</v>
      </c>
      <c r="Q1158" t="str">
        <f>DO_DB[[#This Row],[DO Number]]</f>
        <v>DOEID24091255</v>
      </c>
      <c r="R1158" t="str">
        <f>DO_DB[[#This Row],[DN Number]]</f>
        <v>DNWID0362024091224</v>
      </c>
    </row>
    <row r="1159" spans="1:18">
      <c r="A1159" t="s">
        <v>2077</v>
      </c>
      <c r="B1159" t="s">
        <v>2078</v>
      </c>
      <c r="C1159" t="s">
        <v>4482</v>
      </c>
      <c r="D1159" t="s">
        <v>71</v>
      </c>
      <c r="E1159" t="s">
        <v>92</v>
      </c>
      <c r="F1159" t="s">
        <v>4499</v>
      </c>
      <c r="G1159" t="s">
        <v>2079</v>
      </c>
      <c r="H1159" t="s">
        <v>2080</v>
      </c>
      <c r="I1159" s="130">
        <v>45548</v>
      </c>
      <c r="J1159" t="s">
        <v>3070</v>
      </c>
      <c r="K1159">
        <v>1</v>
      </c>
      <c r="M11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59" t="str">
        <f>DO_DB[[#This Row],[Material Pick-update]]&amp;"_"&amp;DO_DB[[#This Row],[Material Name]]</f>
        <v>45548_Pole 7M 3"</v>
      </c>
      <c r="O1159" t="str">
        <f>DO_DB[[#This Row],[SiteID]]</f>
        <v>CLR23-03-031</v>
      </c>
      <c r="P1159" t="str">
        <f>DO_DB[[#This Row],[SiteID]]&amp;"_"&amp;DO_DB[[#This Row],[Material Name]]</f>
        <v>CLR23-03-031_Pole 7M 3"</v>
      </c>
      <c r="Q1159" t="str">
        <f>DO_DB[[#This Row],[DO Number]]</f>
        <v>DOEID24091255</v>
      </c>
      <c r="R1159" t="str">
        <f>DO_DB[[#This Row],[DN Number]]</f>
        <v>DNWID0362024091224</v>
      </c>
    </row>
    <row r="1160" spans="1:18">
      <c r="A1160" t="s">
        <v>2077</v>
      </c>
      <c r="B1160" t="s">
        <v>2078</v>
      </c>
      <c r="C1160" t="s">
        <v>4482</v>
      </c>
      <c r="D1160" t="s">
        <v>71</v>
      </c>
      <c r="E1160" t="s">
        <v>92</v>
      </c>
      <c r="F1160" t="s">
        <v>4499</v>
      </c>
      <c r="G1160" t="s">
        <v>2079</v>
      </c>
      <c r="H1160" t="s">
        <v>2080</v>
      </c>
      <c r="I1160" s="130">
        <v>45548</v>
      </c>
      <c r="J1160" t="s">
        <v>4856</v>
      </c>
      <c r="K1160">
        <v>1</v>
      </c>
      <c r="M11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60" t="str">
        <f>DO_DB[[#This Row],[Material Pick-update]]&amp;"_"&amp;DO_DB[[#This Row],[Material Name]]</f>
        <v>45548_JC 144Core</v>
      </c>
      <c r="O1160" t="str">
        <f>DO_DB[[#This Row],[SiteID]]</f>
        <v>CLR23-03-031</v>
      </c>
      <c r="P1160" t="str">
        <f>DO_DB[[#This Row],[SiteID]]&amp;"_"&amp;DO_DB[[#This Row],[Material Name]]</f>
        <v>CLR23-03-031_JC 144Core</v>
      </c>
      <c r="Q1160" t="str">
        <f>DO_DB[[#This Row],[DO Number]]</f>
        <v>DOEID24091255</v>
      </c>
      <c r="R1160" t="str">
        <f>DO_DB[[#This Row],[DN Number]]</f>
        <v>DNWID0362024091224</v>
      </c>
    </row>
    <row r="1161" spans="1:18">
      <c r="A1161" t="s">
        <v>2077</v>
      </c>
      <c r="B1161" t="s">
        <v>2078</v>
      </c>
      <c r="C1161" t="s">
        <v>4482</v>
      </c>
      <c r="D1161" t="s">
        <v>71</v>
      </c>
      <c r="E1161" t="s">
        <v>92</v>
      </c>
      <c r="F1161" t="s">
        <v>4499</v>
      </c>
      <c r="G1161" t="s">
        <v>2081</v>
      </c>
      <c r="H1161" t="s">
        <v>2082</v>
      </c>
      <c r="I1161" s="130">
        <v>45548</v>
      </c>
      <c r="J1161" t="s">
        <v>15</v>
      </c>
      <c r="K1161">
        <v>1</v>
      </c>
      <c r="M11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61" t="str">
        <f>DO_DB[[#This Row],[Material Pick-update]]&amp;"_"&amp;DO_DB[[#This Row],[Material Name]]</f>
        <v>45548_FDT-72</v>
      </c>
      <c r="O1161" t="str">
        <f>DO_DB[[#This Row],[SiteID]]</f>
        <v>CLR23-03-031</v>
      </c>
      <c r="P1161" t="str">
        <f>DO_DB[[#This Row],[SiteID]]&amp;"_"&amp;DO_DB[[#This Row],[Material Name]]</f>
        <v>CLR23-03-031_FDT-72</v>
      </c>
      <c r="Q1161" t="str">
        <f>DO_DB[[#This Row],[DO Number]]</f>
        <v>DOEID24091256</v>
      </c>
      <c r="R1161" t="str">
        <f>DO_DB[[#This Row],[DN Number]]</f>
        <v>DNWID0342024091204</v>
      </c>
    </row>
    <row r="1162" spans="1:18">
      <c r="A1162" t="s">
        <v>2077</v>
      </c>
      <c r="B1162" t="s">
        <v>2078</v>
      </c>
      <c r="C1162" t="s">
        <v>4482</v>
      </c>
      <c r="D1162" t="s">
        <v>71</v>
      </c>
      <c r="E1162" t="s">
        <v>92</v>
      </c>
      <c r="F1162" t="s">
        <v>4499</v>
      </c>
      <c r="G1162" t="s">
        <v>2081</v>
      </c>
      <c r="H1162" t="s">
        <v>2082</v>
      </c>
      <c r="I1162" s="130">
        <v>45548</v>
      </c>
      <c r="J1162" t="s">
        <v>13</v>
      </c>
      <c r="K1162">
        <v>15</v>
      </c>
      <c r="M11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62" t="str">
        <f>DO_DB[[#This Row],[Material Pick-update]]&amp;"_"&amp;DO_DB[[#This Row],[Material Name]]</f>
        <v>45548_FAT-16</v>
      </c>
      <c r="O1162" t="str">
        <f>DO_DB[[#This Row],[SiteID]]</f>
        <v>CLR23-03-031</v>
      </c>
      <c r="P1162" t="str">
        <f>DO_DB[[#This Row],[SiteID]]&amp;"_"&amp;DO_DB[[#This Row],[Material Name]]</f>
        <v>CLR23-03-031_FAT-16</v>
      </c>
      <c r="Q1162" t="str">
        <f>DO_DB[[#This Row],[DO Number]]</f>
        <v>DOEID24091256</v>
      </c>
      <c r="R1162" t="str">
        <f>DO_DB[[#This Row],[DN Number]]</f>
        <v>DNWID0342024091204</v>
      </c>
    </row>
    <row r="1163" spans="1:18">
      <c r="A1163" t="s">
        <v>2083</v>
      </c>
      <c r="B1163" t="s">
        <v>2084</v>
      </c>
      <c r="C1163" t="s">
        <v>4482</v>
      </c>
      <c r="D1163" t="s">
        <v>71</v>
      </c>
      <c r="E1163" t="s">
        <v>92</v>
      </c>
      <c r="F1163" t="s">
        <v>4499</v>
      </c>
      <c r="G1163" t="s">
        <v>2085</v>
      </c>
      <c r="H1163" t="s">
        <v>2086</v>
      </c>
      <c r="I1163" s="130">
        <v>45548</v>
      </c>
      <c r="J1163" t="s">
        <v>3069</v>
      </c>
      <c r="K1163">
        <v>62</v>
      </c>
      <c r="M11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63" t="str">
        <f>DO_DB[[#This Row],[Material Pick-update]]&amp;"_"&amp;DO_DB[[#This Row],[Material Name]]</f>
        <v>45548_Pole 7M 4"</v>
      </c>
      <c r="O1163" t="str">
        <f>DO_DB[[#This Row],[SiteID]]</f>
        <v>CLR23-03-032</v>
      </c>
      <c r="P1163" t="str">
        <f>DO_DB[[#This Row],[SiteID]]&amp;"_"&amp;DO_DB[[#This Row],[Material Name]]</f>
        <v>CLR23-03-032_Pole 7M 4"</v>
      </c>
      <c r="Q1163" t="str">
        <f>DO_DB[[#This Row],[DO Number]]</f>
        <v>DOEID24091257</v>
      </c>
      <c r="R1163" t="str">
        <f>DO_DB[[#This Row],[DN Number]]</f>
        <v>DNWID0362024091219</v>
      </c>
    </row>
    <row r="1164" spans="1:18">
      <c r="A1164" t="s">
        <v>2083</v>
      </c>
      <c r="B1164" t="s">
        <v>2084</v>
      </c>
      <c r="C1164" t="s">
        <v>4482</v>
      </c>
      <c r="D1164" t="s">
        <v>71</v>
      </c>
      <c r="E1164" t="s">
        <v>92</v>
      </c>
      <c r="F1164" t="s">
        <v>4499</v>
      </c>
      <c r="G1164" t="s">
        <v>2085</v>
      </c>
      <c r="H1164" t="s">
        <v>2086</v>
      </c>
      <c r="I1164" s="130">
        <v>45548</v>
      </c>
      <c r="J1164" t="s">
        <v>3070</v>
      </c>
      <c r="K1164">
        <v>10</v>
      </c>
      <c r="M11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64" t="str">
        <f>DO_DB[[#This Row],[Material Pick-update]]&amp;"_"&amp;DO_DB[[#This Row],[Material Name]]</f>
        <v>45548_Pole 7M 3"</v>
      </c>
      <c r="O1164" t="str">
        <f>DO_DB[[#This Row],[SiteID]]</f>
        <v>CLR23-03-032</v>
      </c>
      <c r="P1164" t="str">
        <f>DO_DB[[#This Row],[SiteID]]&amp;"_"&amp;DO_DB[[#This Row],[Material Name]]</f>
        <v>CLR23-03-032_Pole 7M 3"</v>
      </c>
      <c r="Q1164" t="str">
        <f>DO_DB[[#This Row],[DO Number]]</f>
        <v>DOEID24091257</v>
      </c>
      <c r="R1164" t="str">
        <f>DO_DB[[#This Row],[DN Number]]</f>
        <v>DNWID0362024091219</v>
      </c>
    </row>
    <row r="1165" spans="1:18">
      <c r="A1165" t="s">
        <v>2083</v>
      </c>
      <c r="B1165" t="s">
        <v>2084</v>
      </c>
      <c r="C1165" t="s">
        <v>4482</v>
      </c>
      <c r="D1165" t="s">
        <v>71</v>
      </c>
      <c r="E1165" t="s">
        <v>92</v>
      </c>
      <c r="F1165" t="s">
        <v>4499</v>
      </c>
      <c r="G1165" t="s">
        <v>2085</v>
      </c>
      <c r="H1165" t="s">
        <v>2086</v>
      </c>
      <c r="I1165" s="130">
        <v>45548</v>
      </c>
      <c r="J1165" t="s">
        <v>4856</v>
      </c>
      <c r="K1165">
        <v>1</v>
      </c>
      <c r="M11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65" t="str">
        <f>DO_DB[[#This Row],[Material Pick-update]]&amp;"_"&amp;DO_DB[[#This Row],[Material Name]]</f>
        <v>45548_JC 144Core</v>
      </c>
      <c r="O1165" t="str">
        <f>DO_DB[[#This Row],[SiteID]]</f>
        <v>CLR23-03-032</v>
      </c>
      <c r="P1165" t="str">
        <f>DO_DB[[#This Row],[SiteID]]&amp;"_"&amp;DO_DB[[#This Row],[Material Name]]</f>
        <v>CLR23-03-032_JC 144Core</v>
      </c>
      <c r="Q1165" t="str">
        <f>DO_DB[[#This Row],[DO Number]]</f>
        <v>DOEID24091257</v>
      </c>
      <c r="R1165" t="str">
        <f>DO_DB[[#This Row],[DN Number]]</f>
        <v>DNWID0362024091219</v>
      </c>
    </row>
    <row r="1166" spans="1:18">
      <c r="A1166" t="s">
        <v>2083</v>
      </c>
      <c r="B1166" t="s">
        <v>2084</v>
      </c>
      <c r="C1166" t="s">
        <v>4482</v>
      </c>
      <c r="D1166" t="s">
        <v>71</v>
      </c>
      <c r="E1166" t="s">
        <v>92</v>
      </c>
      <c r="F1166" t="s">
        <v>4499</v>
      </c>
      <c r="G1166" t="s">
        <v>2087</v>
      </c>
      <c r="H1166" t="s">
        <v>2088</v>
      </c>
      <c r="I1166" s="130">
        <v>45548</v>
      </c>
      <c r="J1166" t="s">
        <v>15</v>
      </c>
      <c r="K1166">
        <v>1</v>
      </c>
      <c r="M11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66" t="str">
        <f>DO_DB[[#This Row],[Material Pick-update]]&amp;"_"&amp;DO_DB[[#This Row],[Material Name]]</f>
        <v>45548_FDT-72</v>
      </c>
      <c r="O1166" t="str">
        <f>DO_DB[[#This Row],[SiteID]]</f>
        <v>CLR23-03-032</v>
      </c>
      <c r="P1166" t="str">
        <f>DO_DB[[#This Row],[SiteID]]&amp;"_"&amp;DO_DB[[#This Row],[Material Name]]</f>
        <v>CLR23-03-032_FDT-72</v>
      </c>
      <c r="Q1166" t="str">
        <f>DO_DB[[#This Row],[DO Number]]</f>
        <v>DOEID24091258</v>
      </c>
      <c r="R1166" t="str">
        <f>DO_DB[[#This Row],[DN Number]]</f>
        <v>DNWID0342024091207</v>
      </c>
    </row>
    <row r="1167" spans="1:18">
      <c r="A1167" t="s">
        <v>2083</v>
      </c>
      <c r="B1167" t="s">
        <v>2084</v>
      </c>
      <c r="C1167" t="s">
        <v>4482</v>
      </c>
      <c r="D1167" t="s">
        <v>71</v>
      </c>
      <c r="E1167" t="s">
        <v>92</v>
      </c>
      <c r="F1167" t="s">
        <v>4499</v>
      </c>
      <c r="G1167" t="s">
        <v>2087</v>
      </c>
      <c r="H1167" t="s">
        <v>2088</v>
      </c>
      <c r="I1167" s="130">
        <v>45548</v>
      </c>
      <c r="J1167" t="s">
        <v>13</v>
      </c>
      <c r="K1167">
        <v>30</v>
      </c>
      <c r="M11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67" t="str">
        <f>DO_DB[[#This Row],[Material Pick-update]]&amp;"_"&amp;DO_DB[[#This Row],[Material Name]]</f>
        <v>45548_FAT-16</v>
      </c>
      <c r="O1167" t="str">
        <f>DO_DB[[#This Row],[SiteID]]</f>
        <v>CLR23-03-032</v>
      </c>
      <c r="P1167" t="str">
        <f>DO_DB[[#This Row],[SiteID]]&amp;"_"&amp;DO_DB[[#This Row],[Material Name]]</f>
        <v>CLR23-03-032_FAT-16</v>
      </c>
      <c r="Q1167" t="str">
        <f>DO_DB[[#This Row],[DO Number]]</f>
        <v>DOEID24091258</v>
      </c>
      <c r="R1167" t="str">
        <f>DO_DB[[#This Row],[DN Number]]</f>
        <v>DNWID0342024091207</v>
      </c>
    </row>
    <row r="1168" spans="1:18">
      <c r="A1168" t="s">
        <v>2089</v>
      </c>
      <c r="B1168" t="s">
        <v>2090</v>
      </c>
      <c r="C1168" t="s">
        <v>4482</v>
      </c>
      <c r="D1168" t="s">
        <v>71</v>
      </c>
      <c r="E1168" t="s">
        <v>92</v>
      </c>
      <c r="F1168" t="s">
        <v>4499</v>
      </c>
      <c r="G1168" t="s">
        <v>2091</v>
      </c>
      <c r="H1168" t="s">
        <v>2092</v>
      </c>
      <c r="I1168" s="130">
        <v>45548</v>
      </c>
      <c r="J1168" t="s">
        <v>3069</v>
      </c>
      <c r="K1168">
        <v>42</v>
      </c>
      <c r="M11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68" t="str">
        <f>DO_DB[[#This Row],[Material Pick-update]]&amp;"_"&amp;DO_DB[[#This Row],[Material Name]]</f>
        <v>45548_Pole 7M 4"</v>
      </c>
      <c r="O1168" t="str">
        <f>DO_DB[[#This Row],[SiteID]]</f>
        <v>CLR23-03-033</v>
      </c>
      <c r="P1168" t="str">
        <f>DO_DB[[#This Row],[SiteID]]&amp;"_"&amp;DO_DB[[#This Row],[Material Name]]</f>
        <v>CLR23-03-033_Pole 7M 4"</v>
      </c>
      <c r="Q1168" t="str">
        <f>DO_DB[[#This Row],[DO Number]]</f>
        <v>DOEID24091259</v>
      </c>
      <c r="R1168" t="str">
        <f>DO_DB[[#This Row],[DN Number]]</f>
        <v>DNWID0362024091223</v>
      </c>
    </row>
    <row r="1169" spans="1:18">
      <c r="A1169" t="s">
        <v>2089</v>
      </c>
      <c r="B1169" t="s">
        <v>2090</v>
      </c>
      <c r="C1169" t="s">
        <v>4482</v>
      </c>
      <c r="D1169" t="s">
        <v>71</v>
      </c>
      <c r="E1169" t="s">
        <v>92</v>
      </c>
      <c r="F1169" t="s">
        <v>4499</v>
      </c>
      <c r="G1169" t="s">
        <v>2091</v>
      </c>
      <c r="H1169" t="s">
        <v>2092</v>
      </c>
      <c r="I1169" s="130">
        <v>45548</v>
      </c>
      <c r="J1169" t="s">
        <v>3070</v>
      </c>
      <c r="K1169">
        <v>5</v>
      </c>
      <c r="M11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69" t="str">
        <f>DO_DB[[#This Row],[Material Pick-update]]&amp;"_"&amp;DO_DB[[#This Row],[Material Name]]</f>
        <v>45548_Pole 7M 3"</v>
      </c>
      <c r="O1169" t="str">
        <f>DO_DB[[#This Row],[SiteID]]</f>
        <v>CLR23-03-033</v>
      </c>
      <c r="P1169" t="str">
        <f>DO_DB[[#This Row],[SiteID]]&amp;"_"&amp;DO_DB[[#This Row],[Material Name]]</f>
        <v>CLR23-03-033_Pole 7M 3"</v>
      </c>
      <c r="Q1169" t="str">
        <f>DO_DB[[#This Row],[DO Number]]</f>
        <v>DOEID24091259</v>
      </c>
      <c r="R1169" t="str">
        <f>DO_DB[[#This Row],[DN Number]]</f>
        <v>DNWID0362024091223</v>
      </c>
    </row>
    <row r="1170" spans="1:18">
      <c r="A1170" t="s">
        <v>2089</v>
      </c>
      <c r="B1170" t="s">
        <v>2090</v>
      </c>
      <c r="C1170" t="s">
        <v>4482</v>
      </c>
      <c r="D1170" t="s">
        <v>71</v>
      </c>
      <c r="E1170" t="s">
        <v>92</v>
      </c>
      <c r="F1170" t="s">
        <v>4499</v>
      </c>
      <c r="G1170" t="s">
        <v>2093</v>
      </c>
      <c r="H1170" t="s">
        <v>2094</v>
      </c>
      <c r="I1170" s="130">
        <v>45548</v>
      </c>
      <c r="J1170" t="s">
        <v>15</v>
      </c>
      <c r="K1170">
        <v>1</v>
      </c>
      <c r="M11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70" t="str">
        <f>DO_DB[[#This Row],[Material Pick-update]]&amp;"_"&amp;DO_DB[[#This Row],[Material Name]]</f>
        <v>45548_FDT-72</v>
      </c>
      <c r="O1170" t="str">
        <f>DO_DB[[#This Row],[SiteID]]</f>
        <v>CLR23-03-033</v>
      </c>
      <c r="P1170" t="str">
        <f>DO_DB[[#This Row],[SiteID]]&amp;"_"&amp;DO_DB[[#This Row],[Material Name]]</f>
        <v>CLR23-03-033_FDT-72</v>
      </c>
      <c r="Q1170" t="str">
        <f>DO_DB[[#This Row],[DO Number]]</f>
        <v>DOEID24091260</v>
      </c>
      <c r="R1170" t="str">
        <f>DO_DB[[#This Row],[DN Number]]</f>
        <v>DNWID0342024091303</v>
      </c>
    </row>
    <row r="1171" spans="1:18">
      <c r="A1171" t="s">
        <v>2089</v>
      </c>
      <c r="B1171" t="s">
        <v>2090</v>
      </c>
      <c r="C1171" t="s">
        <v>4482</v>
      </c>
      <c r="D1171" t="s">
        <v>71</v>
      </c>
      <c r="E1171" t="s">
        <v>92</v>
      </c>
      <c r="F1171" t="s">
        <v>4499</v>
      </c>
      <c r="G1171" t="s">
        <v>2093</v>
      </c>
      <c r="H1171" t="s">
        <v>2094</v>
      </c>
      <c r="I1171" s="130">
        <v>45548</v>
      </c>
      <c r="J1171" t="s">
        <v>13</v>
      </c>
      <c r="K1171">
        <v>22</v>
      </c>
      <c r="M11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71" t="str">
        <f>DO_DB[[#This Row],[Material Pick-update]]&amp;"_"&amp;DO_DB[[#This Row],[Material Name]]</f>
        <v>45548_FAT-16</v>
      </c>
      <c r="O1171" t="str">
        <f>DO_DB[[#This Row],[SiteID]]</f>
        <v>CLR23-03-033</v>
      </c>
      <c r="P1171" t="str">
        <f>DO_DB[[#This Row],[SiteID]]&amp;"_"&amp;DO_DB[[#This Row],[Material Name]]</f>
        <v>CLR23-03-033_FAT-16</v>
      </c>
      <c r="Q1171" t="str">
        <f>DO_DB[[#This Row],[DO Number]]</f>
        <v>DOEID24091260</v>
      </c>
      <c r="R1171" t="str">
        <f>DO_DB[[#This Row],[DN Number]]</f>
        <v>DNWID0342024091303</v>
      </c>
    </row>
    <row r="1172" spans="1:18">
      <c r="A1172" t="s">
        <v>2095</v>
      </c>
      <c r="B1172" t="s">
        <v>2096</v>
      </c>
      <c r="C1172" t="s">
        <v>4482</v>
      </c>
      <c r="D1172" t="s">
        <v>71</v>
      </c>
      <c r="E1172" t="s">
        <v>92</v>
      </c>
      <c r="F1172" t="s">
        <v>4499</v>
      </c>
      <c r="G1172" t="s">
        <v>2097</v>
      </c>
      <c r="H1172" t="s">
        <v>2098</v>
      </c>
      <c r="I1172" s="130">
        <v>45548</v>
      </c>
      <c r="J1172" t="s">
        <v>3069</v>
      </c>
      <c r="K1172">
        <v>13</v>
      </c>
      <c r="M11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72" t="str">
        <f>DO_DB[[#This Row],[Material Pick-update]]&amp;"_"&amp;DO_DB[[#This Row],[Material Name]]</f>
        <v>45548_Pole 7M 4"</v>
      </c>
      <c r="O1172" t="str">
        <f>DO_DB[[#This Row],[SiteID]]</f>
        <v>CLR23-03-045</v>
      </c>
      <c r="P1172" t="str">
        <f>DO_DB[[#This Row],[SiteID]]&amp;"_"&amp;DO_DB[[#This Row],[Material Name]]</f>
        <v>CLR23-03-045_Pole 7M 4"</v>
      </c>
      <c r="Q1172" t="str">
        <f>DO_DB[[#This Row],[DO Number]]</f>
        <v>DOEID24091261</v>
      </c>
      <c r="R1172" t="str">
        <f>DO_DB[[#This Row],[DN Number]]</f>
        <v>DNWID0362024091220</v>
      </c>
    </row>
    <row r="1173" spans="1:18">
      <c r="A1173" t="s">
        <v>2095</v>
      </c>
      <c r="B1173" t="s">
        <v>2096</v>
      </c>
      <c r="C1173" t="s">
        <v>4482</v>
      </c>
      <c r="D1173" t="s">
        <v>71</v>
      </c>
      <c r="E1173" t="s">
        <v>92</v>
      </c>
      <c r="F1173" t="s">
        <v>4499</v>
      </c>
      <c r="G1173" t="s">
        <v>2097</v>
      </c>
      <c r="H1173" t="s">
        <v>2098</v>
      </c>
      <c r="I1173" s="130">
        <v>45548</v>
      </c>
      <c r="J1173" t="s">
        <v>3070</v>
      </c>
      <c r="K1173">
        <v>5</v>
      </c>
      <c r="M11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73" t="str">
        <f>DO_DB[[#This Row],[Material Pick-update]]&amp;"_"&amp;DO_DB[[#This Row],[Material Name]]</f>
        <v>45548_Pole 7M 3"</v>
      </c>
      <c r="O1173" t="str">
        <f>DO_DB[[#This Row],[SiteID]]</f>
        <v>CLR23-03-045</v>
      </c>
      <c r="P1173" t="str">
        <f>DO_DB[[#This Row],[SiteID]]&amp;"_"&amp;DO_DB[[#This Row],[Material Name]]</f>
        <v>CLR23-03-045_Pole 7M 3"</v>
      </c>
      <c r="Q1173" t="str">
        <f>DO_DB[[#This Row],[DO Number]]</f>
        <v>DOEID24091261</v>
      </c>
      <c r="R1173" t="str">
        <f>DO_DB[[#This Row],[DN Number]]</f>
        <v>DNWID0362024091220</v>
      </c>
    </row>
    <row r="1174" spans="1:18">
      <c r="A1174" t="s">
        <v>2095</v>
      </c>
      <c r="B1174" t="s">
        <v>2096</v>
      </c>
      <c r="C1174" t="s">
        <v>4482</v>
      </c>
      <c r="D1174" t="s">
        <v>71</v>
      </c>
      <c r="E1174" t="s">
        <v>92</v>
      </c>
      <c r="F1174" t="s">
        <v>4499</v>
      </c>
      <c r="G1174" t="s">
        <v>2099</v>
      </c>
      <c r="H1174" t="s">
        <v>2100</v>
      </c>
      <c r="I1174" s="130">
        <v>45548</v>
      </c>
      <c r="J1174" t="s">
        <v>15</v>
      </c>
      <c r="K1174">
        <v>1</v>
      </c>
      <c r="M11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74" t="str">
        <f>DO_DB[[#This Row],[Material Pick-update]]&amp;"_"&amp;DO_DB[[#This Row],[Material Name]]</f>
        <v>45548_FDT-72</v>
      </c>
      <c r="O1174" t="str">
        <f>DO_DB[[#This Row],[SiteID]]</f>
        <v>CLR23-03-045</v>
      </c>
      <c r="P1174" t="str">
        <f>DO_DB[[#This Row],[SiteID]]&amp;"_"&amp;DO_DB[[#This Row],[Material Name]]</f>
        <v>CLR23-03-045_FDT-72</v>
      </c>
      <c r="Q1174" t="str">
        <f>DO_DB[[#This Row],[DO Number]]</f>
        <v>DOEID24091262</v>
      </c>
      <c r="R1174" t="str">
        <f>DO_DB[[#This Row],[DN Number]]</f>
        <v>DNWID0342024091302</v>
      </c>
    </row>
    <row r="1175" spans="1:18">
      <c r="A1175" t="s">
        <v>2095</v>
      </c>
      <c r="B1175" t="s">
        <v>2096</v>
      </c>
      <c r="C1175" t="s">
        <v>4482</v>
      </c>
      <c r="D1175" t="s">
        <v>71</v>
      </c>
      <c r="E1175" t="s">
        <v>92</v>
      </c>
      <c r="F1175" t="s">
        <v>4499</v>
      </c>
      <c r="G1175" t="s">
        <v>2099</v>
      </c>
      <c r="H1175" t="s">
        <v>2100</v>
      </c>
      <c r="I1175" s="130">
        <v>45548</v>
      </c>
      <c r="J1175" t="s">
        <v>13</v>
      </c>
      <c r="K1175">
        <v>14</v>
      </c>
      <c r="M11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75" t="str">
        <f>DO_DB[[#This Row],[Material Pick-update]]&amp;"_"&amp;DO_DB[[#This Row],[Material Name]]</f>
        <v>45548_FAT-16</v>
      </c>
      <c r="O1175" t="str">
        <f>DO_DB[[#This Row],[SiteID]]</f>
        <v>CLR23-03-045</v>
      </c>
      <c r="P1175" t="str">
        <f>DO_DB[[#This Row],[SiteID]]&amp;"_"&amp;DO_DB[[#This Row],[Material Name]]</f>
        <v>CLR23-03-045_FAT-16</v>
      </c>
      <c r="Q1175" t="str">
        <f>DO_DB[[#This Row],[DO Number]]</f>
        <v>DOEID24091262</v>
      </c>
      <c r="R1175" t="str">
        <f>DO_DB[[#This Row],[DN Number]]</f>
        <v>DNWID0342024091302</v>
      </c>
    </row>
    <row r="1176" spans="1:18">
      <c r="A1176" t="s">
        <v>2101</v>
      </c>
      <c r="B1176" t="s">
        <v>2102</v>
      </c>
      <c r="C1176" t="s">
        <v>4482</v>
      </c>
      <c r="D1176" t="s">
        <v>71</v>
      </c>
      <c r="E1176" t="s">
        <v>92</v>
      </c>
      <c r="F1176" t="s">
        <v>4499</v>
      </c>
      <c r="G1176" t="s">
        <v>2103</v>
      </c>
      <c r="H1176" t="s">
        <v>2104</v>
      </c>
      <c r="I1176" s="130">
        <v>45548</v>
      </c>
      <c r="J1176" t="s">
        <v>3069</v>
      </c>
      <c r="K1176">
        <v>32</v>
      </c>
      <c r="M11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76" t="str">
        <f>DO_DB[[#This Row],[Material Pick-update]]&amp;"_"&amp;DO_DB[[#This Row],[Material Name]]</f>
        <v>45548_Pole 7M 4"</v>
      </c>
      <c r="O1176" t="str">
        <f>DO_DB[[#This Row],[SiteID]]</f>
        <v>CLR23-03-046</v>
      </c>
      <c r="P1176" t="str">
        <f>DO_DB[[#This Row],[SiteID]]&amp;"_"&amp;DO_DB[[#This Row],[Material Name]]</f>
        <v>CLR23-03-046_Pole 7M 4"</v>
      </c>
      <c r="Q1176" t="str">
        <f>DO_DB[[#This Row],[DO Number]]</f>
        <v>DOEID24091263</v>
      </c>
      <c r="R1176" t="str">
        <f>DO_DB[[#This Row],[DN Number]]</f>
        <v>DNWID0362024091221</v>
      </c>
    </row>
    <row r="1177" spans="1:18">
      <c r="A1177" t="s">
        <v>2101</v>
      </c>
      <c r="B1177" t="s">
        <v>2102</v>
      </c>
      <c r="C1177" t="s">
        <v>4482</v>
      </c>
      <c r="D1177" t="s">
        <v>71</v>
      </c>
      <c r="E1177" t="s">
        <v>92</v>
      </c>
      <c r="F1177" t="s">
        <v>4499</v>
      </c>
      <c r="G1177" t="s">
        <v>2103</v>
      </c>
      <c r="H1177" t="s">
        <v>2104</v>
      </c>
      <c r="I1177" s="130">
        <v>45548</v>
      </c>
      <c r="J1177" t="s">
        <v>3070</v>
      </c>
      <c r="K1177">
        <v>1</v>
      </c>
      <c r="M11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77" t="str">
        <f>DO_DB[[#This Row],[Material Pick-update]]&amp;"_"&amp;DO_DB[[#This Row],[Material Name]]</f>
        <v>45548_Pole 7M 3"</v>
      </c>
      <c r="O1177" t="str">
        <f>DO_DB[[#This Row],[SiteID]]</f>
        <v>CLR23-03-046</v>
      </c>
      <c r="P1177" t="str">
        <f>DO_DB[[#This Row],[SiteID]]&amp;"_"&amp;DO_DB[[#This Row],[Material Name]]</f>
        <v>CLR23-03-046_Pole 7M 3"</v>
      </c>
      <c r="Q1177" t="str">
        <f>DO_DB[[#This Row],[DO Number]]</f>
        <v>DOEID24091263</v>
      </c>
      <c r="R1177" t="str">
        <f>DO_DB[[#This Row],[DN Number]]</f>
        <v>DNWID0362024091221</v>
      </c>
    </row>
    <row r="1178" spans="1:18">
      <c r="A1178" t="s">
        <v>2101</v>
      </c>
      <c r="B1178" t="s">
        <v>2102</v>
      </c>
      <c r="C1178" t="s">
        <v>4482</v>
      </c>
      <c r="D1178" t="s">
        <v>71</v>
      </c>
      <c r="E1178" t="s">
        <v>92</v>
      </c>
      <c r="F1178" t="s">
        <v>4499</v>
      </c>
      <c r="G1178" t="s">
        <v>2103</v>
      </c>
      <c r="H1178" t="s">
        <v>2104</v>
      </c>
      <c r="I1178" s="130">
        <v>45548</v>
      </c>
      <c r="J1178" t="s">
        <v>4856</v>
      </c>
      <c r="K1178">
        <v>1</v>
      </c>
      <c r="M11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78" t="str">
        <f>DO_DB[[#This Row],[Material Pick-update]]&amp;"_"&amp;DO_DB[[#This Row],[Material Name]]</f>
        <v>45548_JC 144Core</v>
      </c>
      <c r="O1178" t="str">
        <f>DO_DB[[#This Row],[SiteID]]</f>
        <v>CLR23-03-046</v>
      </c>
      <c r="P1178" t="str">
        <f>DO_DB[[#This Row],[SiteID]]&amp;"_"&amp;DO_DB[[#This Row],[Material Name]]</f>
        <v>CLR23-03-046_JC 144Core</v>
      </c>
      <c r="Q1178" t="str">
        <f>DO_DB[[#This Row],[DO Number]]</f>
        <v>DOEID24091263</v>
      </c>
      <c r="R1178" t="str">
        <f>DO_DB[[#This Row],[DN Number]]</f>
        <v>DNWID0362024091221</v>
      </c>
    </row>
    <row r="1179" spans="1:18">
      <c r="A1179" t="s">
        <v>2101</v>
      </c>
      <c r="B1179" t="s">
        <v>2102</v>
      </c>
      <c r="C1179" t="s">
        <v>4482</v>
      </c>
      <c r="D1179" t="s">
        <v>71</v>
      </c>
      <c r="E1179" t="s">
        <v>92</v>
      </c>
      <c r="F1179" t="s">
        <v>4499</v>
      </c>
      <c r="G1179" t="s">
        <v>2105</v>
      </c>
      <c r="H1179" t="s">
        <v>2106</v>
      </c>
      <c r="I1179" s="130">
        <v>45548</v>
      </c>
      <c r="J1179" t="s">
        <v>15</v>
      </c>
      <c r="K1179">
        <v>1</v>
      </c>
      <c r="M11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79" t="str">
        <f>DO_DB[[#This Row],[Material Pick-update]]&amp;"_"&amp;DO_DB[[#This Row],[Material Name]]</f>
        <v>45548_FDT-72</v>
      </c>
      <c r="O1179" t="str">
        <f>DO_DB[[#This Row],[SiteID]]</f>
        <v>CLR23-03-046</v>
      </c>
      <c r="P1179" t="str">
        <f>DO_DB[[#This Row],[SiteID]]&amp;"_"&amp;DO_DB[[#This Row],[Material Name]]</f>
        <v>CLR23-03-046_FDT-72</v>
      </c>
      <c r="Q1179" t="str">
        <f>DO_DB[[#This Row],[DO Number]]</f>
        <v>DOEID24091264</v>
      </c>
      <c r="R1179" t="str">
        <f>DO_DB[[#This Row],[DN Number]]</f>
        <v>DNWID0342024091304</v>
      </c>
    </row>
    <row r="1180" spans="1:18">
      <c r="A1180" t="s">
        <v>2101</v>
      </c>
      <c r="B1180" t="s">
        <v>2102</v>
      </c>
      <c r="C1180" t="s">
        <v>4482</v>
      </c>
      <c r="D1180" t="s">
        <v>71</v>
      </c>
      <c r="E1180" t="s">
        <v>92</v>
      </c>
      <c r="F1180" t="s">
        <v>4499</v>
      </c>
      <c r="G1180" t="s">
        <v>2105</v>
      </c>
      <c r="H1180" t="s">
        <v>2106</v>
      </c>
      <c r="I1180" s="130">
        <v>45548</v>
      </c>
      <c r="J1180" t="s">
        <v>13</v>
      </c>
      <c r="K1180">
        <v>13</v>
      </c>
      <c r="M11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80" t="str">
        <f>DO_DB[[#This Row],[Material Pick-update]]&amp;"_"&amp;DO_DB[[#This Row],[Material Name]]</f>
        <v>45548_FAT-16</v>
      </c>
      <c r="O1180" t="str">
        <f>DO_DB[[#This Row],[SiteID]]</f>
        <v>CLR23-03-046</v>
      </c>
      <c r="P1180" t="str">
        <f>DO_DB[[#This Row],[SiteID]]&amp;"_"&amp;DO_DB[[#This Row],[Material Name]]</f>
        <v>CLR23-03-046_FAT-16</v>
      </c>
      <c r="Q1180" t="str">
        <f>DO_DB[[#This Row],[DO Number]]</f>
        <v>DOEID24091264</v>
      </c>
      <c r="R1180" t="str">
        <f>DO_DB[[#This Row],[DN Number]]</f>
        <v>DNWID0342024091304</v>
      </c>
    </row>
    <row r="1181" spans="1:18">
      <c r="A1181" t="s">
        <v>2107</v>
      </c>
      <c r="B1181" t="s">
        <v>2108</v>
      </c>
      <c r="C1181" t="s">
        <v>4482</v>
      </c>
      <c r="D1181" t="s">
        <v>71</v>
      </c>
      <c r="E1181" t="s">
        <v>92</v>
      </c>
      <c r="F1181" t="s">
        <v>4499</v>
      </c>
      <c r="G1181" t="s">
        <v>2109</v>
      </c>
      <c r="H1181" t="s">
        <v>2110</v>
      </c>
      <c r="I1181" s="130">
        <v>45548</v>
      </c>
      <c r="J1181" t="s">
        <v>3069</v>
      </c>
      <c r="K1181">
        <v>41</v>
      </c>
      <c r="M11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81" t="str">
        <f>DO_DB[[#This Row],[Material Pick-update]]&amp;"_"&amp;DO_DB[[#This Row],[Material Name]]</f>
        <v>45548_Pole 7M 4"</v>
      </c>
      <c r="O1181" t="str">
        <f>DO_DB[[#This Row],[SiteID]]</f>
        <v>CLR23-03-028</v>
      </c>
      <c r="P1181" t="str">
        <f>DO_DB[[#This Row],[SiteID]]&amp;"_"&amp;DO_DB[[#This Row],[Material Name]]</f>
        <v>CLR23-03-028_Pole 7M 4"</v>
      </c>
      <c r="Q1181" t="str">
        <f>DO_DB[[#This Row],[DO Number]]</f>
        <v>DOEID24091284</v>
      </c>
      <c r="R1181" t="str">
        <f>DO_DB[[#This Row],[DN Number]]</f>
        <v>DNWID0362024091226</v>
      </c>
    </row>
    <row r="1182" spans="1:18">
      <c r="A1182" t="s">
        <v>2107</v>
      </c>
      <c r="B1182" t="s">
        <v>2108</v>
      </c>
      <c r="C1182" t="s">
        <v>4482</v>
      </c>
      <c r="D1182" t="s">
        <v>71</v>
      </c>
      <c r="E1182" t="s">
        <v>92</v>
      </c>
      <c r="F1182" t="s">
        <v>4499</v>
      </c>
      <c r="G1182" t="s">
        <v>2109</v>
      </c>
      <c r="H1182" t="s">
        <v>2110</v>
      </c>
      <c r="I1182" s="130">
        <v>45548</v>
      </c>
      <c r="J1182" t="s">
        <v>3070</v>
      </c>
      <c r="K1182">
        <v>7</v>
      </c>
      <c r="M11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82" t="str">
        <f>DO_DB[[#This Row],[Material Pick-update]]&amp;"_"&amp;DO_DB[[#This Row],[Material Name]]</f>
        <v>45548_Pole 7M 3"</v>
      </c>
      <c r="O1182" t="str">
        <f>DO_DB[[#This Row],[SiteID]]</f>
        <v>CLR23-03-028</v>
      </c>
      <c r="P1182" t="str">
        <f>DO_DB[[#This Row],[SiteID]]&amp;"_"&amp;DO_DB[[#This Row],[Material Name]]</f>
        <v>CLR23-03-028_Pole 7M 3"</v>
      </c>
      <c r="Q1182" t="str">
        <f>DO_DB[[#This Row],[DO Number]]</f>
        <v>DOEID24091284</v>
      </c>
      <c r="R1182" t="str">
        <f>DO_DB[[#This Row],[DN Number]]</f>
        <v>DNWID0362024091226</v>
      </c>
    </row>
    <row r="1183" spans="1:18">
      <c r="A1183" t="s">
        <v>2107</v>
      </c>
      <c r="B1183" t="s">
        <v>2108</v>
      </c>
      <c r="C1183" t="s">
        <v>4482</v>
      </c>
      <c r="D1183" t="s">
        <v>71</v>
      </c>
      <c r="E1183" t="s">
        <v>92</v>
      </c>
      <c r="F1183" t="s">
        <v>4499</v>
      </c>
      <c r="G1183" t="s">
        <v>2109</v>
      </c>
      <c r="H1183" t="s">
        <v>2110</v>
      </c>
      <c r="I1183" s="130">
        <v>45548</v>
      </c>
      <c r="J1183" t="s">
        <v>4856</v>
      </c>
      <c r="K1183">
        <v>1</v>
      </c>
      <c r="M11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83" t="str">
        <f>DO_DB[[#This Row],[Material Pick-update]]&amp;"_"&amp;DO_DB[[#This Row],[Material Name]]</f>
        <v>45548_JC 144Core</v>
      </c>
      <c r="O1183" t="str">
        <f>DO_DB[[#This Row],[SiteID]]</f>
        <v>CLR23-03-028</v>
      </c>
      <c r="P1183" t="str">
        <f>DO_DB[[#This Row],[SiteID]]&amp;"_"&amp;DO_DB[[#This Row],[Material Name]]</f>
        <v>CLR23-03-028_JC 144Core</v>
      </c>
      <c r="Q1183" t="str">
        <f>DO_DB[[#This Row],[DO Number]]</f>
        <v>DOEID24091284</v>
      </c>
      <c r="R1183" t="str">
        <f>DO_DB[[#This Row],[DN Number]]</f>
        <v>DNWID0362024091226</v>
      </c>
    </row>
    <row r="1184" spans="1:18">
      <c r="A1184" t="s">
        <v>2107</v>
      </c>
      <c r="B1184" t="s">
        <v>2108</v>
      </c>
      <c r="C1184" t="s">
        <v>4482</v>
      </c>
      <c r="D1184" t="s">
        <v>71</v>
      </c>
      <c r="E1184" t="s">
        <v>92</v>
      </c>
      <c r="F1184" t="s">
        <v>4499</v>
      </c>
      <c r="G1184" t="s">
        <v>2111</v>
      </c>
      <c r="H1184" t="s">
        <v>2112</v>
      </c>
      <c r="I1184" s="130">
        <v>45548</v>
      </c>
      <c r="J1184" t="s">
        <v>15</v>
      </c>
      <c r="K1184">
        <v>1</v>
      </c>
      <c r="M11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84" t="str">
        <f>DO_DB[[#This Row],[Material Pick-update]]&amp;"_"&amp;DO_DB[[#This Row],[Material Name]]</f>
        <v>45548_FDT-72</v>
      </c>
      <c r="O1184" t="str">
        <f>DO_DB[[#This Row],[SiteID]]</f>
        <v>CLR23-03-028</v>
      </c>
      <c r="P1184" t="str">
        <f>DO_DB[[#This Row],[SiteID]]&amp;"_"&amp;DO_DB[[#This Row],[Material Name]]</f>
        <v>CLR23-03-028_FDT-72</v>
      </c>
      <c r="Q1184" t="str">
        <f>DO_DB[[#This Row],[DO Number]]</f>
        <v>DOEID24091285</v>
      </c>
      <c r="R1184" t="str">
        <f>DO_DB[[#This Row],[DN Number]]</f>
        <v>DNWID0342024091305</v>
      </c>
    </row>
    <row r="1185" spans="1:18">
      <c r="A1185" t="s">
        <v>2107</v>
      </c>
      <c r="B1185" t="s">
        <v>2108</v>
      </c>
      <c r="C1185" t="s">
        <v>4482</v>
      </c>
      <c r="D1185" t="s">
        <v>71</v>
      </c>
      <c r="E1185" t="s">
        <v>92</v>
      </c>
      <c r="F1185" t="s">
        <v>4499</v>
      </c>
      <c r="G1185" t="s">
        <v>2111</v>
      </c>
      <c r="H1185" t="s">
        <v>2112</v>
      </c>
      <c r="I1185" s="130">
        <v>45548</v>
      </c>
      <c r="J1185" t="s">
        <v>13</v>
      </c>
      <c r="K1185">
        <v>22</v>
      </c>
      <c r="M11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85" t="str">
        <f>DO_DB[[#This Row],[Material Pick-update]]&amp;"_"&amp;DO_DB[[#This Row],[Material Name]]</f>
        <v>45548_FAT-16</v>
      </c>
      <c r="O1185" t="str">
        <f>DO_DB[[#This Row],[SiteID]]</f>
        <v>CLR23-03-028</v>
      </c>
      <c r="P1185" t="str">
        <f>DO_DB[[#This Row],[SiteID]]&amp;"_"&amp;DO_DB[[#This Row],[Material Name]]</f>
        <v>CLR23-03-028_FAT-16</v>
      </c>
      <c r="Q1185" t="str">
        <f>DO_DB[[#This Row],[DO Number]]</f>
        <v>DOEID24091285</v>
      </c>
      <c r="R1185" t="str">
        <f>DO_DB[[#This Row],[DN Number]]</f>
        <v>DNWID0342024091305</v>
      </c>
    </row>
    <row r="1186" spans="1:18">
      <c r="A1186" t="s">
        <v>2113</v>
      </c>
      <c r="B1186" t="s">
        <v>2114</v>
      </c>
      <c r="C1186" t="s">
        <v>4482</v>
      </c>
      <c r="D1186" t="s">
        <v>71</v>
      </c>
      <c r="E1186" t="s">
        <v>92</v>
      </c>
      <c r="F1186" t="s">
        <v>4499</v>
      </c>
      <c r="G1186" t="s">
        <v>2115</v>
      </c>
      <c r="H1186" t="s">
        <v>2116</v>
      </c>
      <c r="I1186" s="130">
        <v>45548</v>
      </c>
      <c r="J1186" t="s">
        <v>3069</v>
      </c>
      <c r="K1186">
        <v>59</v>
      </c>
      <c r="M11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86" t="str">
        <f>DO_DB[[#This Row],[Material Pick-update]]&amp;"_"&amp;DO_DB[[#This Row],[Material Name]]</f>
        <v>45548_Pole 7M 4"</v>
      </c>
      <c r="O1186" t="str">
        <f>DO_DB[[#This Row],[SiteID]]</f>
        <v>CLR23-03-030</v>
      </c>
      <c r="P1186" t="str">
        <f>DO_DB[[#This Row],[SiteID]]&amp;"_"&amp;DO_DB[[#This Row],[Material Name]]</f>
        <v>CLR23-03-030_Pole 7M 4"</v>
      </c>
      <c r="Q1186" t="str">
        <f>DO_DB[[#This Row],[DO Number]]</f>
        <v>DOEID24091286</v>
      </c>
      <c r="R1186" t="str">
        <f>DO_DB[[#This Row],[DN Number]]</f>
        <v>DNWID0362024091225</v>
      </c>
    </row>
    <row r="1187" spans="1:18">
      <c r="A1187" t="s">
        <v>2113</v>
      </c>
      <c r="B1187" t="s">
        <v>2114</v>
      </c>
      <c r="C1187" t="s">
        <v>4482</v>
      </c>
      <c r="D1187" t="s">
        <v>71</v>
      </c>
      <c r="E1187" t="s">
        <v>92</v>
      </c>
      <c r="F1187" t="s">
        <v>4499</v>
      </c>
      <c r="G1187" t="s">
        <v>2115</v>
      </c>
      <c r="H1187" t="s">
        <v>2116</v>
      </c>
      <c r="I1187" s="130">
        <v>45548</v>
      </c>
      <c r="J1187" t="s">
        <v>3070</v>
      </c>
      <c r="K1187">
        <v>5</v>
      </c>
      <c r="M11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87" t="str">
        <f>DO_DB[[#This Row],[Material Pick-update]]&amp;"_"&amp;DO_DB[[#This Row],[Material Name]]</f>
        <v>45548_Pole 7M 3"</v>
      </c>
      <c r="O1187" t="str">
        <f>DO_DB[[#This Row],[SiteID]]</f>
        <v>CLR23-03-030</v>
      </c>
      <c r="P1187" t="str">
        <f>DO_DB[[#This Row],[SiteID]]&amp;"_"&amp;DO_DB[[#This Row],[Material Name]]</f>
        <v>CLR23-03-030_Pole 7M 3"</v>
      </c>
      <c r="Q1187" t="str">
        <f>DO_DB[[#This Row],[DO Number]]</f>
        <v>DOEID24091286</v>
      </c>
      <c r="R1187" t="str">
        <f>DO_DB[[#This Row],[DN Number]]</f>
        <v>DNWID0362024091225</v>
      </c>
    </row>
    <row r="1188" spans="1:18">
      <c r="A1188" t="s">
        <v>2113</v>
      </c>
      <c r="B1188" t="s">
        <v>2114</v>
      </c>
      <c r="C1188" t="s">
        <v>4482</v>
      </c>
      <c r="D1188" t="s">
        <v>71</v>
      </c>
      <c r="E1188" t="s">
        <v>92</v>
      </c>
      <c r="F1188" t="s">
        <v>4499</v>
      </c>
      <c r="G1188" t="s">
        <v>2117</v>
      </c>
      <c r="H1188" t="s">
        <v>2118</v>
      </c>
      <c r="I1188" s="130">
        <v>45548</v>
      </c>
      <c r="J1188" t="s">
        <v>15</v>
      </c>
      <c r="K1188">
        <v>1</v>
      </c>
      <c r="M11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88" t="str">
        <f>DO_DB[[#This Row],[Material Pick-update]]&amp;"_"&amp;DO_DB[[#This Row],[Material Name]]</f>
        <v>45548_FDT-72</v>
      </c>
      <c r="O1188" t="str">
        <f>DO_DB[[#This Row],[SiteID]]</f>
        <v>CLR23-03-030</v>
      </c>
      <c r="P1188" t="str">
        <f>DO_DB[[#This Row],[SiteID]]&amp;"_"&amp;DO_DB[[#This Row],[Material Name]]</f>
        <v>CLR23-03-030_FDT-72</v>
      </c>
      <c r="Q1188" t="str">
        <f>DO_DB[[#This Row],[DO Number]]</f>
        <v>DOEID24091287</v>
      </c>
      <c r="R1188" t="str">
        <f>DO_DB[[#This Row],[DN Number]]</f>
        <v>DNWID0342024091211</v>
      </c>
    </row>
    <row r="1189" spans="1:18">
      <c r="A1189" t="s">
        <v>2113</v>
      </c>
      <c r="B1189" t="s">
        <v>2114</v>
      </c>
      <c r="C1189" t="s">
        <v>4482</v>
      </c>
      <c r="D1189" t="s">
        <v>71</v>
      </c>
      <c r="E1189" t="s">
        <v>92</v>
      </c>
      <c r="F1189" t="s">
        <v>4499</v>
      </c>
      <c r="G1189" t="s">
        <v>2117</v>
      </c>
      <c r="H1189" t="s">
        <v>2118</v>
      </c>
      <c r="I1189" s="130">
        <v>45548</v>
      </c>
      <c r="J1189" t="s">
        <v>13</v>
      </c>
      <c r="K1189">
        <v>33</v>
      </c>
      <c r="M11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89" t="str">
        <f>DO_DB[[#This Row],[Material Pick-update]]&amp;"_"&amp;DO_DB[[#This Row],[Material Name]]</f>
        <v>45548_FAT-16</v>
      </c>
      <c r="O1189" t="str">
        <f>DO_DB[[#This Row],[SiteID]]</f>
        <v>CLR23-03-030</v>
      </c>
      <c r="P1189" t="str">
        <f>DO_DB[[#This Row],[SiteID]]&amp;"_"&amp;DO_DB[[#This Row],[Material Name]]</f>
        <v>CLR23-03-030_FAT-16</v>
      </c>
      <c r="Q1189" t="str">
        <f>DO_DB[[#This Row],[DO Number]]</f>
        <v>DOEID24091287</v>
      </c>
      <c r="R1189" t="str">
        <f>DO_DB[[#This Row],[DN Number]]</f>
        <v>DNWID0342024091211</v>
      </c>
    </row>
    <row r="1190" spans="1:18">
      <c r="A1190" t="s">
        <v>2071</v>
      </c>
      <c r="B1190" t="s">
        <v>2072</v>
      </c>
      <c r="C1190" s="172" t="s">
        <v>4482</v>
      </c>
      <c r="D1190" t="s">
        <v>71</v>
      </c>
      <c r="E1190" t="s">
        <v>92</v>
      </c>
      <c r="F1190" t="s">
        <v>4499</v>
      </c>
      <c r="G1190" t="s">
        <v>2075</v>
      </c>
      <c r="H1190" t="s">
        <v>2076</v>
      </c>
      <c r="I1190" s="130">
        <v>45548</v>
      </c>
      <c r="J1190" t="s">
        <v>3075</v>
      </c>
      <c r="K1190">
        <v>3000</v>
      </c>
      <c r="M11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48C-2024913-01</v>
      </c>
      <c r="N1190" t="str">
        <f>DO_DB[[#This Row],[Material Pick-update]]&amp;"_"&amp;DO_DB[[#This Row],[Material Name]]</f>
        <v>45548_ADSS 48C</v>
      </c>
      <c r="O1190" t="str">
        <f>DO_DB[[#This Row],[SiteID]]</f>
        <v>CLR23-03-029</v>
      </c>
      <c r="P1190" t="str">
        <f>DO_DB[[#This Row],[SiteID]]&amp;"_"&amp;DO_DB[[#This Row],[Material Name]]</f>
        <v>CLR23-03-029_ADSS 48C</v>
      </c>
      <c r="Q1190" t="str">
        <f>DO_DB[[#This Row],[DO Number]]</f>
        <v>DOEID24091254</v>
      </c>
      <c r="R1190" t="str">
        <f>DO_DB[[#This Row],[DN Number]]</f>
        <v>DNWID0342024091206</v>
      </c>
    </row>
    <row r="1191" spans="1:18">
      <c r="A1191" t="s">
        <v>2089</v>
      </c>
      <c r="B1191" t="s">
        <v>2090</v>
      </c>
      <c r="C1191" s="172" t="s">
        <v>4482</v>
      </c>
      <c r="D1191" t="s">
        <v>71</v>
      </c>
      <c r="E1191" t="s">
        <v>92</v>
      </c>
      <c r="F1191" t="s">
        <v>4499</v>
      </c>
      <c r="G1191" t="s">
        <v>2093</v>
      </c>
      <c r="H1191" t="s">
        <v>2094</v>
      </c>
      <c r="I1191" s="130">
        <v>45548</v>
      </c>
      <c r="J1191" t="s">
        <v>3073</v>
      </c>
      <c r="K1191">
        <v>3000</v>
      </c>
      <c r="M11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24C-2024913-01</v>
      </c>
      <c r="N1191" t="str">
        <f>DO_DB[[#This Row],[Material Pick-update]]&amp;"_"&amp;DO_DB[[#This Row],[Material Name]]</f>
        <v>45548_ADSS 24C</v>
      </c>
      <c r="O1191" t="str">
        <f>DO_DB[[#This Row],[SiteID]]</f>
        <v>CLR23-03-033</v>
      </c>
      <c r="P1191" t="str">
        <f>DO_DB[[#This Row],[SiteID]]&amp;"_"&amp;DO_DB[[#This Row],[Material Name]]</f>
        <v>CLR23-03-033_ADSS 24C</v>
      </c>
      <c r="Q1191" t="str">
        <f>DO_DB[[#This Row],[DO Number]]</f>
        <v>DOEID24091260</v>
      </c>
      <c r="R1191" t="str">
        <f>DO_DB[[#This Row],[DN Number]]</f>
        <v>DNWID0342024091303</v>
      </c>
    </row>
    <row r="1192" spans="1:18">
      <c r="A1192" t="s">
        <v>2089</v>
      </c>
      <c r="B1192" t="s">
        <v>2090</v>
      </c>
      <c r="C1192" s="172" t="s">
        <v>4482</v>
      </c>
      <c r="D1192" t="s">
        <v>71</v>
      </c>
      <c r="E1192" t="s">
        <v>92</v>
      </c>
      <c r="F1192" t="s">
        <v>4499</v>
      </c>
      <c r="G1192" t="s">
        <v>2093</v>
      </c>
      <c r="H1192" t="s">
        <v>2094</v>
      </c>
      <c r="I1192" s="130">
        <v>45548</v>
      </c>
      <c r="J1192" t="s">
        <v>3075</v>
      </c>
      <c r="K1192">
        <v>3000</v>
      </c>
      <c r="M11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48C-2024913-01</v>
      </c>
      <c r="N1192" t="str">
        <f>DO_DB[[#This Row],[Material Pick-update]]&amp;"_"&amp;DO_DB[[#This Row],[Material Name]]</f>
        <v>45548_ADSS 48C</v>
      </c>
      <c r="O1192" t="str">
        <f>DO_DB[[#This Row],[SiteID]]</f>
        <v>CLR23-03-033</v>
      </c>
      <c r="P1192" t="str">
        <f>DO_DB[[#This Row],[SiteID]]&amp;"_"&amp;DO_DB[[#This Row],[Material Name]]</f>
        <v>CLR23-03-033_ADSS 48C</v>
      </c>
      <c r="Q1192" t="str">
        <f>DO_DB[[#This Row],[DO Number]]</f>
        <v>DOEID24091260</v>
      </c>
      <c r="R1192" t="str">
        <f>DO_DB[[#This Row],[DN Number]]</f>
        <v>DNWID0342024091303</v>
      </c>
    </row>
    <row r="1193" spans="1:18">
      <c r="A1193" t="s">
        <v>2095</v>
      </c>
      <c r="B1193" t="s">
        <v>2096</v>
      </c>
      <c r="C1193" s="172" t="s">
        <v>4482</v>
      </c>
      <c r="D1193" t="s">
        <v>71</v>
      </c>
      <c r="E1193" t="s">
        <v>92</v>
      </c>
      <c r="F1193" t="s">
        <v>4499</v>
      </c>
      <c r="G1193" t="s">
        <v>2099</v>
      </c>
      <c r="H1193" t="s">
        <v>2100</v>
      </c>
      <c r="I1193" s="130">
        <v>45548</v>
      </c>
      <c r="J1193" t="s">
        <v>3073</v>
      </c>
      <c r="K1193">
        <v>3000</v>
      </c>
      <c r="M11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24C-2024913-01</v>
      </c>
      <c r="N1193" t="str">
        <f>DO_DB[[#This Row],[Material Pick-update]]&amp;"_"&amp;DO_DB[[#This Row],[Material Name]]</f>
        <v>45548_ADSS 24C</v>
      </c>
      <c r="O1193" t="str">
        <f>DO_DB[[#This Row],[SiteID]]</f>
        <v>CLR23-03-045</v>
      </c>
      <c r="P1193" t="str">
        <f>DO_DB[[#This Row],[SiteID]]&amp;"_"&amp;DO_DB[[#This Row],[Material Name]]</f>
        <v>CLR23-03-045_ADSS 24C</v>
      </c>
      <c r="Q1193" t="str">
        <f>DO_DB[[#This Row],[DO Number]]</f>
        <v>DOEID24091262</v>
      </c>
      <c r="R1193" t="str">
        <f>DO_DB[[#This Row],[DN Number]]</f>
        <v>DNWID0342024091302</v>
      </c>
    </row>
    <row r="1194" spans="1:18">
      <c r="A1194" t="s">
        <v>2174</v>
      </c>
      <c r="B1194" t="s">
        <v>2175</v>
      </c>
      <c r="C1194" t="s">
        <v>4482</v>
      </c>
      <c r="D1194" t="s">
        <v>71</v>
      </c>
      <c r="E1194" t="s">
        <v>92</v>
      </c>
      <c r="F1194" t="s">
        <v>4499</v>
      </c>
      <c r="G1194" t="s">
        <v>2178</v>
      </c>
      <c r="H1194" t="s">
        <v>2179</v>
      </c>
      <c r="I1194" s="130">
        <v>45562</v>
      </c>
      <c r="J1194" t="s">
        <v>3073</v>
      </c>
      <c r="K1194">
        <v>3000</v>
      </c>
      <c r="M11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24C-2024927-01</v>
      </c>
      <c r="N1194" t="str">
        <f>DO_DB[[#This Row],[Material Pick-update]]&amp;"_"&amp;DO_DB[[#This Row],[Material Name]]</f>
        <v>45562_ADSS 24C</v>
      </c>
      <c r="O1194" t="str">
        <f>DO_DB[[#This Row],[SiteID]]</f>
        <v>CLR23-03-024</v>
      </c>
      <c r="P1194" t="str">
        <f>DO_DB[[#This Row],[SiteID]]&amp;"_"&amp;DO_DB[[#This Row],[Material Name]]</f>
        <v>CLR23-03-024_ADSS 24C</v>
      </c>
      <c r="Q1194" t="str">
        <f>DO_DB[[#This Row],[DO Number]]</f>
        <v>DOEID24092434</v>
      </c>
      <c r="R1194" t="str">
        <f>DO_DB[[#This Row],[DN Number]]</f>
        <v>DNWID0342024092407</v>
      </c>
    </row>
    <row r="1195" spans="1:18">
      <c r="A1195" t="s">
        <v>2180</v>
      </c>
      <c r="B1195" t="s">
        <v>2181</v>
      </c>
      <c r="C1195" t="s">
        <v>4482</v>
      </c>
      <c r="D1195" t="s">
        <v>71</v>
      </c>
      <c r="E1195" t="s">
        <v>92</v>
      </c>
      <c r="F1195" t="s">
        <v>4499</v>
      </c>
      <c r="G1195" t="s">
        <v>2184</v>
      </c>
      <c r="H1195" t="s">
        <v>2185</v>
      </c>
      <c r="I1195" s="130">
        <v>45562</v>
      </c>
      <c r="J1195" t="s">
        <v>3073</v>
      </c>
      <c r="K1195">
        <v>3000</v>
      </c>
      <c r="M11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24C-2024927-01</v>
      </c>
      <c r="N1195" t="str">
        <f>DO_DB[[#This Row],[Material Pick-update]]&amp;"_"&amp;DO_DB[[#This Row],[Material Name]]</f>
        <v>45562_ADSS 24C</v>
      </c>
      <c r="O1195" t="str">
        <f>DO_DB[[#This Row],[SiteID]]</f>
        <v>CLR23-03-060</v>
      </c>
      <c r="P1195" t="str">
        <f>DO_DB[[#This Row],[SiteID]]&amp;"_"&amp;DO_DB[[#This Row],[Material Name]]</f>
        <v>CLR23-03-060_ADSS 24C</v>
      </c>
      <c r="Q1195" t="str">
        <f>DO_DB[[#This Row],[DO Number]]</f>
        <v>DOEID24092436</v>
      </c>
      <c r="R1195" t="str">
        <f>DO_DB[[#This Row],[DN Number]]</f>
        <v>DNWID0342024092409</v>
      </c>
    </row>
    <row r="1196" spans="1:18">
      <c r="A1196" t="s">
        <v>2180</v>
      </c>
      <c r="B1196" t="s">
        <v>2181</v>
      </c>
      <c r="C1196" t="s">
        <v>4482</v>
      </c>
      <c r="D1196" t="s">
        <v>71</v>
      </c>
      <c r="E1196" t="s">
        <v>92</v>
      </c>
      <c r="F1196" t="s">
        <v>4499</v>
      </c>
      <c r="G1196" t="s">
        <v>2184</v>
      </c>
      <c r="H1196" t="s">
        <v>2185</v>
      </c>
      <c r="I1196" s="130">
        <v>45562</v>
      </c>
      <c r="J1196" t="s">
        <v>3075</v>
      </c>
      <c r="K1196">
        <v>3000</v>
      </c>
      <c r="M11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48C-2024927-01</v>
      </c>
      <c r="N1196" t="str">
        <f>DO_DB[[#This Row],[Material Pick-update]]&amp;"_"&amp;DO_DB[[#This Row],[Material Name]]</f>
        <v>45562_ADSS 48C</v>
      </c>
      <c r="O1196" t="str">
        <f>DO_DB[[#This Row],[SiteID]]</f>
        <v>CLR23-03-060</v>
      </c>
      <c r="P1196" t="str">
        <f>DO_DB[[#This Row],[SiteID]]&amp;"_"&amp;DO_DB[[#This Row],[Material Name]]</f>
        <v>CLR23-03-060_ADSS 48C</v>
      </c>
      <c r="Q1196" t="str">
        <f>DO_DB[[#This Row],[DO Number]]</f>
        <v>DOEID24092436</v>
      </c>
      <c r="R1196" t="str">
        <f>DO_DB[[#This Row],[DN Number]]</f>
        <v>DNWID0342024092409</v>
      </c>
    </row>
    <row r="1197" spans="1:18">
      <c r="A1197" t="s">
        <v>2174</v>
      </c>
      <c r="B1197" t="s">
        <v>2175</v>
      </c>
      <c r="C1197" t="s">
        <v>4482</v>
      </c>
      <c r="D1197" t="s">
        <v>71</v>
      </c>
      <c r="E1197" t="s">
        <v>92</v>
      </c>
      <c r="F1197" t="s">
        <v>4499</v>
      </c>
      <c r="G1197" t="s">
        <v>2176</v>
      </c>
      <c r="H1197" t="s">
        <v>2177</v>
      </c>
      <c r="I1197" s="130">
        <v>45562</v>
      </c>
      <c r="J1197" t="s">
        <v>3069</v>
      </c>
      <c r="K1197">
        <v>57</v>
      </c>
      <c r="M11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97" t="str">
        <f>DO_DB[[#This Row],[Material Pick-update]]&amp;"_"&amp;DO_DB[[#This Row],[Material Name]]</f>
        <v>45562_Pole 7M 4"</v>
      </c>
      <c r="O1197" t="str">
        <f>DO_DB[[#This Row],[SiteID]]</f>
        <v>CLR23-03-024</v>
      </c>
      <c r="P1197" t="str">
        <f>DO_DB[[#This Row],[SiteID]]&amp;"_"&amp;DO_DB[[#This Row],[Material Name]]</f>
        <v>CLR23-03-024_Pole 7M 4"</v>
      </c>
      <c r="Q1197" t="str">
        <f>DO_DB[[#This Row],[DO Number]]</f>
        <v>DOEID24092433</v>
      </c>
      <c r="R1197" t="str">
        <f>DO_DB[[#This Row],[DN Number]]</f>
        <v>DNWID0362024092507</v>
      </c>
    </row>
    <row r="1198" spans="1:18">
      <c r="A1198" t="s">
        <v>2174</v>
      </c>
      <c r="B1198" t="s">
        <v>2175</v>
      </c>
      <c r="C1198" t="s">
        <v>4482</v>
      </c>
      <c r="D1198" t="s">
        <v>71</v>
      </c>
      <c r="E1198" t="s">
        <v>92</v>
      </c>
      <c r="F1198" t="s">
        <v>4499</v>
      </c>
      <c r="G1198" t="s">
        <v>2176</v>
      </c>
      <c r="H1198" t="s">
        <v>2177</v>
      </c>
      <c r="I1198" s="130">
        <v>45562</v>
      </c>
      <c r="J1198" t="s">
        <v>3070</v>
      </c>
      <c r="K1198">
        <v>5</v>
      </c>
      <c r="M11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98" t="str">
        <f>DO_DB[[#This Row],[Material Pick-update]]&amp;"_"&amp;DO_DB[[#This Row],[Material Name]]</f>
        <v>45562_Pole 7M 3"</v>
      </c>
      <c r="O1198" t="str">
        <f>DO_DB[[#This Row],[SiteID]]</f>
        <v>CLR23-03-024</v>
      </c>
      <c r="P1198" t="str">
        <f>DO_DB[[#This Row],[SiteID]]&amp;"_"&amp;DO_DB[[#This Row],[Material Name]]</f>
        <v>CLR23-03-024_Pole 7M 3"</v>
      </c>
      <c r="Q1198" t="str">
        <f>DO_DB[[#This Row],[DO Number]]</f>
        <v>DOEID24092433</v>
      </c>
      <c r="R1198" t="str">
        <f>DO_DB[[#This Row],[DN Number]]</f>
        <v>DNWID0362024092507</v>
      </c>
    </row>
    <row r="1199" spans="1:18">
      <c r="A1199" t="s">
        <v>2174</v>
      </c>
      <c r="B1199" t="s">
        <v>2175</v>
      </c>
      <c r="C1199" t="s">
        <v>4482</v>
      </c>
      <c r="D1199" t="s">
        <v>71</v>
      </c>
      <c r="E1199" t="s">
        <v>92</v>
      </c>
      <c r="F1199" t="s">
        <v>4499</v>
      </c>
      <c r="G1199" t="s">
        <v>2176</v>
      </c>
      <c r="H1199" t="s">
        <v>2177</v>
      </c>
      <c r="I1199" s="130">
        <v>45562</v>
      </c>
      <c r="J1199" t="s">
        <v>3071</v>
      </c>
      <c r="K1199">
        <v>2</v>
      </c>
      <c r="M11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199" t="str">
        <f>DO_DB[[#This Row],[Material Pick-update]]&amp;"_"&amp;DO_DB[[#This Row],[Material Name]]</f>
        <v>45562_Pole 9M</v>
      </c>
      <c r="O1199" t="str">
        <f>DO_DB[[#This Row],[SiteID]]</f>
        <v>CLR23-03-024</v>
      </c>
      <c r="P1199" t="str">
        <f>DO_DB[[#This Row],[SiteID]]&amp;"_"&amp;DO_DB[[#This Row],[Material Name]]</f>
        <v>CLR23-03-024_Pole 9M</v>
      </c>
      <c r="Q1199" t="str">
        <f>DO_DB[[#This Row],[DO Number]]</f>
        <v>DOEID24092433</v>
      </c>
      <c r="R1199" t="str">
        <f>DO_DB[[#This Row],[DN Number]]</f>
        <v>DNWID0362024092507</v>
      </c>
    </row>
    <row r="1200" spans="1:18">
      <c r="A1200" t="s">
        <v>2174</v>
      </c>
      <c r="B1200" t="s">
        <v>2175</v>
      </c>
      <c r="C1200" t="s">
        <v>4482</v>
      </c>
      <c r="D1200" t="s">
        <v>71</v>
      </c>
      <c r="E1200" t="s">
        <v>92</v>
      </c>
      <c r="F1200" t="s">
        <v>4499</v>
      </c>
      <c r="G1200" t="s">
        <v>2176</v>
      </c>
      <c r="H1200" t="s">
        <v>2177</v>
      </c>
      <c r="I1200" s="130">
        <v>45562</v>
      </c>
      <c r="J1200" t="s">
        <v>4856</v>
      </c>
      <c r="K1200">
        <v>1</v>
      </c>
      <c r="M12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00" t="str">
        <f>DO_DB[[#This Row],[Material Pick-update]]&amp;"_"&amp;DO_DB[[#This Row],[Material Name]]</f>
        <v>45562_JC 144Core</v>
      </c>
      <c r="O1200" t="str">
        <f>DO_DB[[#This Row],[SiteID]]</f>
        <v>CLR23-03-024</v>
      </c>
      <c r="P1200" t="str">
        <f>DO_DB[[#This Row],[SiteID]]&amp;"_"&amp;DO_DB[[#This Row],[Material Name]]</f>
        <v>CLR23-03-024_JC 144Core</v>
      </c>
      <c r="Q1200" t="str">
        <f>DO_DB[[#This Row],[DO Number]]</f>
        <v>DOEID24092433</v>
      </c>
      <c r="R1200" t="str">
        <f>DO_DB[[#This Row],[DN Number]]</f>
        <v>DNWID0362024092507</v>
      </c>
    </row>
    <row r="1201" spans="1:18">
      <c r="A1201" t="s">
        <v>2174</v>
      </c>
      <c r="B1201" t="s">
        <v>2175</v>
      </c>
      <c r="C1201" t="s">
        <v>4482</v>
      </c>
      <c r="D1201" t="s">
        <v>71</v>
      </c>
      <c r="E1201" t="s">
        <v>92</v>
      </c>
      <c r="F1201" t="s">
        <v>4499</v>
      </c>
      <c r="G1201" t="s">
        <v>2178</v>
      </c>
      <c r="H1201" t="s">
        <v>2179</v>
      </c>
      <c r="I1201" s="130">
        <v>45562</v>
      </c>
      <c r="J1201" t="s">
        <v>15</v>
      </c>
      <c r="K1201">
        <v>2</v>
      </c>
      <c r="M12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01" t="str">
        <f>DO_DB[[#This Row],[Material Pick-update]]&amp;"_"&amp;DO_DB[[#This Row],[Material Name]]</f>
        <v>45562_FDT-72</v>
      </c>
      <c r="O1201" t="str">
        <f>DO_DB[[#This Row],[SiteID]]</f>
        <v>CLR23-03-024</v>
      </c>
      <c r="P1201" t="str">
        <f>DO_DB[[#This Row],[SiteID]]&amp;"_"&amp;DO_DB[[#This Row],[Material Name]]</f>
        <v>CLR23-03-024_FDT-72</v>
      </c>
      <c r="Q1201" t="str">
        <f>DO_DB[[#This Row],[DO Number]]</f>
        <v>DOEID24092434</v>
      </c>
      <c r="R1201" t="str">
        <f>DO_DB[[#This Row],[DN Number]]</f>
        <v>DNWID0342024092407</v>
      </c>
    </row>
    <row r="1202" spans="1:18">
      <c r="A1202" t="s">
        <v>2174</v>
      </c>
      <c r="B1202" t="s">
        <v>2175</v>
      </c>
      <c r="C1202" t="s">
        <v>4482</v>
      </c>
      <c r="D1202" t="s">
        <v>71</v>
      </c>
      <c r="E1202" t="s">
        <v>92</v>
      </c>
      <c r="F1202" t="s">
        <v>4499</v>
      </c>
      <c r="G1202" t="s">
        <v>2178</v>
      </c>
      <c r="H1202" t="s">
        <v>2179</v>
      </c>
      <c r="I1202" s="130">
        <v>45562</v>
      </c>
      <c r="J1202" t="s">
        <v>13</v>
      </c>
      <c r="K1202">
        <v>17</v>
      </c>
      <c r="M12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02" t="str">
        <f>DO_DB[[#This Row],[Material Pick-update]]&amp;"_"&amp;DO_DB[[#This Row],[Material Name]]</f>
        <v>45562_FAT-16</v>
      </c>
      <c r="O1202" t="str">
        <f>DO_DB[[#This Row],[SiteID]]</f>
        <v>CLR23-03-024</v>
      </c>
      <c r="P1202" t="str">
        <f>DO_DB[[#This Row],[SiteID]]&amp;"_"&amp;DO_DB[[#This Row],[Material Name]]</f>
        <v>CLR23-03-024_FAT-16</v>
      </c>
      <c r="Q1202" t="str">
        <f>DO_DB[[#This Row],[DO Number]]</f>
        <v>DOEID24092434</v>
      </c>
      <c r="R1202" t="str">
        <f>DO_DB[[#This Row],[DN Number]]</f>
        <v>DNWID0342024092407</v>
      </c>
    </row>
    <row r="1203" spans="1:18">
      <c r="A1203" t="s">
        <v>2180</v>
      </c>
      <c r="B1203" t="s">
        <v>2181</v>
      </c>
      <c r="C1203" t="s">
        <v>4482</v>
      </c>
      <c r="D1203" t="s">
        <v>71</v>
      </c>
      <c r="E1203" t="s">
        <v>92</v>
      </c>
      <c r="F1203" t="s">
        <v>4499</v>
      </c>
      <c r="G1203" t="s">
        <v>2182</v>
      </c>
      <c r="H1203" t="s">
        <v>2183</v>
      </c>
      <c r="I1203" s="130">
        <v>45562</v>
      </c>
      <c r="J1203" t="s">
        <v>3069</v>
      </c>
      <c r="K1203">
        <v>33</v>
      </c>
      <c r="M12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03" t="str">
        <f>DO_DB[[#This Row],[Material Pick-update]]&amp;"_"&amp;DO_DB[[#This Row],[Material Name]]</f>
        <v>45562_Pole 7M 4"</v>
      </c>
      <c r="O1203" t="str">
        <f>DO_DB[[#This Row],[SiteID]]</f>
        <v>CLR23-03-060</v>
      </c>
      <c r="P1203" t="str">
        <f>DO_DB[[#This Row],[SiteID]]&amp;"_"&amp;DO_DB[[#This Row],[Material Name]]</f>
        <v>CLR23-03-060_Pole 7M 4"</v>
      </c>
      <c r="Q1203" t="str">
        <f>DO_DB[[#This Row],[DO Number]]</f>
        <v>DOEID24092435</v>
      </c>
      <c r="R1203" t="str">
        <f>DO_DB[[#This Row],[DN Number]]</f>
        <v>DNWID0362024092407</v>
      </c>
    </row>
    <row r="1204" spans="1:18">
      <c r="A1204" t="s">
        <v>2180</v>
      </c>
      <c r="B1204" t="s">
        <v>2181</v>
      </c>
      <c r="C1204" t="s">
        <v>4482</v>
      </c>
      <c r="D1204" t="s">
        <v>71</v>
      </c>
      <c r="E1204" t="s">
        <v>92</v>
      </c>
      <c r="F1204" t="s">
        <v>4499</v>
      </c>
      <c r="G1204" t="s">
        <v>2182</v>
      </c>
      <c r="H1204" t="s">
        <v>2183</v>
      </c>
      <c r="I1204" s="130">
        <v>45562</v>
      </c>
      <c r="J1204" t="s">
        <v>3070</v>
      </c>
      <c r="K1204">
        <v>5</v>
      </c>
      <c r="M12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04" t="str">
        <f>DO_DB[[#This Row],[Material Pick-update]]&amp;"_"&amp;DO_DB[[#This Row],[Material Name]]</f>
        <v>45562_Pole 7M 3"</v>
      </c>
      <c r="O1204" t="str">
        <f>DO_DB[[#This Row],[SiteID]]</f>
        <v>CLR23-03-060</v>
      </c>
      <c r="P1204" t="str">
        <f>DO_DB[[#This Row],[SiteID]]&amp;"_"&amp;DO_DB[[#This Row],[Material Name]]</f>
        <v>CLR23-03-060_Pole 7M 3"</v>
      </c>
      <c r="Q1204" t="str">
        <f>DO_DB[[#This Row],[DO Number]]</f>
        <v>DOEID24092435</v>
      </c>
      <c r="R1204" t="str">
        <f>DO_DB[[#This Row],[DN Number]]</f>
        <v>DNWID0362024092407</v>
      </c>
    </row>
    <row r="1205" spans="1:18">
      <c r="A1205" t="s">
        <v>2180</v>
      </c>
      <c r="B1205" t="s">
        <v>2181</v>
      </c>
      <c r="C1205" t="s">
        <v>4482</v>
      </c>
      <c r="D1205" t="s">
        <v>71</v>
      </c>
      <c r="E1205" t="s">
        <v>92</v>
      </c>
      <c r="F1205" t="s">
        <v>4499</v>
      </c>
      <c r="G1205" t="s">
        <v>2184</v>
      </c>
      <c r="H1205" t="s">
        <v>2185</v>
      </c>
      <c r="I1205" s="130">
        <v>45562</v>
      </c>
      <c r="J1205" t="s">
        <v>15</v>
      </c>
      <c r="K1205">
        <v>1</v>
      </c>
      <c r="M12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05" t="str">
        <f>DO_DB[[#This Row],[Material Pick-update]]&amp;"_"&amp;DO_DB[[#This Row],[Material Name]]</f>
        <v>45562_FDT-72</v>
      </c>
      <c r="O1205" t="str">
        <f>DO_DB[[#This Row],[SiteID]]</f>
        <v>CLR23-03-060</v>
      </c>
      <c r="P1205" t="str">
        <f>DO_DB[[#This Row],[SiteID]]&amp;"_"&amp;DO_DB[[#This Row],[Material Name]]</f>
        <v>CLR23-03-060_FDT-72</v>
      </c>
      <c r="Q1205" t="str">
        <f>DO_DB[[#This Row],[DO Number]]</f>
        <v>DOEID24092436</v>
      </c>
      <c r="R1205" t="str">
        <f>DO_DB[[#This Row],[DN Number]]</f>
        <v>DNWID0342024092409</v>
      </c>
    </row>
    <row r="1206" spans="1:18">
      <c r="A1206" t="s">
        <v>2180</v>
      </c>
      <c r="B1206" t="s">
        <v>2181</v>
      </c>
      <c r="C1206" t="s">
        <v>4482</v>
      </c>
      <c r="D1206" t="s">
        <v>71</v>
      </c>
      <c r="E1206" t="s">
        <v>92</v>
      </c>
      <c r="F1206" t="s">
        <v>4499</v>
      </c>
      <c r="G1206" t="s">
        <v>2184</v>
      </c>
      <c r="H1206" t="s">
        <v>2185</v>
      </c>
      <c r="I1206" s="130">
        <v>45562</v>
      </c>
      <c r="J1206" t="s">
        <v>13</v>
      </c>
      <c r="K1206">
        <v>15</v>
      </c>
      <c r="M12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06" t="str">
        <f>DO_DB[[#This Row],[Material Pick-update]]&amp;"_"&amp;DO_DB[[#This Row],[Material Name]]</f>
        <v>45562_FAT-16</v>
      </c>
      <c r="O1206" t="str">
        <f>DO_DB[[#This Row],[SiteID]]</f>
        <v>CLR23-03-060</v>
      </c>
      <c r="P1206" t="str">
        <f>DO_DB[[#This Row],[SiteID]]&amp;"_"&amp;DO_DB[[#This Row],[Material Name]]</f>
        <v>CLR23-03-060_FAT-16</v>
      </c>
      <c r="Q1206" t="str">
        <f>DO_DB[[#This Row],[DO Number]]</f>
        <v>DOEID24092436</v>
      </c>
      <c r="R1206" t="str">
        <f>DO_DB[[#This Row],[DN Number]]</f>
        <v>DNWID0342024092409</v>
      </c>
    </row>
    <row r="1207" spans="1:18">
      <c r="A1207" t="s">
        <v>2186</v>
      </c>
      <c r="B1207" t="s">
        <v>2187</v>
      </c>
      <c r="C1207" t="s">
        <v>4482</v>
      </c>
      <c r="D1207" t="s">
        <v>71</v>
      </c>
      <c r="E1207" t="s">
        <v>92</v>
      </c>
      <c r="F1207" t="s">
        <v>4499</v>
      </c>
      <c r="G1207" t="s">
        <v>2188</v>
      </c>
      <c r="H1207" t="s">
        <v>2189</v>
      </c>
      <c r="I1207" s="130">
        <v>45562</v>
      </c>
      <c r="J1207" t="s">
        <v>3069</v>
      </c>
      <c r="K1207">
        <v>16</v>
      </c>
      <c r="M12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07" t="str">
        <f>DO_DB[[#This Row],[Material Pick-update]]&amp;"_"&amp;DO_DB[[#This Row],[Material Name]]</f>
        <v>45562_Pole 7M 4"</v>
      </c>
      <c r="O1207" t="str">
        <f>DO_DB[[#This Row],[SiteID]]</f>
        <v>CLR23-03-061</v>
      </c>
      <c r="P1207" t="str">
        <f>DO_DB[[#This Row],[SiteID]]&amp;"_"&amp;DO_DB[[#This Row],[Material Name]]</f>
        <v>CLR23-03-061_Pole 7M 4"</v>
      </c>
      <c r="Q1207" t="str">
        <f>DO_DB[[#This Row],[DO Number]]</f>
        <v>DOEID24092437</v>
      </c>
      <c r="R1207" t="str">
        <f>DO_DB[[#This Row],[DN Number]]</f>
        <v>DNWID0362024092409</v>
      </c>
    </row>
    <row r="1208" spans="1:18">
      <c r="A1208" t="s">
        <v>2186</v>
      </c>
      <c r="B1208" t="s">
        <v>2187</v>
      </c>
      <c r="C1208" t="s">
        <v>4482</v>
      </c>
      <c r="D1208" t="s">
        <v>71</v>
      </c>
      <c r="E1208" t="s">
        <v>92</v>
      </c>
      <c r="F1208" t="s">
        <v>4499</v>
      </c>
      <c r="G1208" t="s">
        <v>2188</v>
      </c>
      <c r="H1208" t="s">
        <v>2189</v>
      </c>
      <c r="I1208" s="130">
        <v>45562</v>
      </c>
      <c r="J1208" t="s">
        <v>3070</v>
      </c>
      <c r="K1208">
        <v>5</v>
      </c>
      <c r="M12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08" t="str">
        <f>DO_DB[[#This Row],[Material Pick-update]]&amp;"_"&amp;DO_DB[[#This Row],[Material Name]]</f>
        <v>45562_Pole 7M 3"</v>
      </c>
      <c r="O1208" t="str">
        <f>DO_DB[[#This Row],[SiteID]]</f>
        <v>CLR23-03-061</v>
      </c>
      <c r="P1208" t="str">
        <f>DO_DB[[#This Row],[SiteID]]&amp;"_"&amp;DO_DB[[#This Row],[Material Name]]</f>
        <v>CLR23-03-061_Pole 7M 3"</v>
      </c>
      <c r="Q1208" t="str">
        <f>DO_DB[[#This Row],[DO Number]]</f>
        <v>DOEID24092437</v>
      </c>
      <c r="R1208" t="str">
        <f>DO_DB[[#This Row],[DN Number]]</f>
        <v>DNWID0362024092409</v>
      </c>
    </row>
    <row r="1209" spans="1:18">
      <c r="A1209" t="s">
        <v>2186</v>
      </c>
      <c r="B1209" t="s">
        <v>2187</v>
      </c>
      <c r="C1209" t="s">
        <v>4482</v>
      </c>
      <c r="D1209" t="s">
        <v>71</v>
      </c>
      <c r="E1209" t="s">
        <v>92</v>
      </c>
      <c r="F1209" t="s">
        <v>4499</v>
      </c>
      <c r="G1209" t="s">
        <v>2190</v>
      </c>
      <c r="H1209" t="s">
        <v>2191</v>
      </c>
      <c r="I1209" s="130">
        <v>45562</v>
      </c>
      <c r="J1209" t="s">
        <v>13</v>
      </c>
      <c r="K1209">
        <v>7</v>
      </c>
      <c r="M12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09" t="str">
        <f>DO_DB[[#This Row],[Material Pick-update]]&amp;"_"&amp;DO_DB[[#This Row],[Material Name]]</f>
        <v>45562_FAT-16</v>
      </c>
      <c r="O1209" t="str">
        <f>DO_DB[[#This Row],[SiteID]]</f>
        <v>CLR23-03-061</v>
      </c>
      <c r="P1209" t="str">
        <f>DO_DB[[#This Row],[SiteID]]&amp;"_"&amp;DO_DB[[#This Row],[Material Name]]</f>
        <v>CLR23-03-061_FAT-16</v>
      </c>
      <c r="Q1209" t="str">
        <f>DO_DB[[#This Row],[DO Number]]</f>
        <v>DOEID24092438</v>
      </c>
      <c r="R1209" t="str">
        <f>DO_DB[[#This Row],[DN Number]]</f>
        <v>DNWID0342024092408</v>
      </c>
    </row>
    <row r="1210" spans="1:18">
      <c r="A1210" t="s">
        <v>2035</v>
      </c>
      <c r="B1210" t="s">
        <v>2036</v>
      </c>
      <c r="C1210" t="s">
        <v>4482</v>
      </c>
      <c r="D1210" t="s">
        <v>71</v>
      </c>
      <c r="E1210" t="s">
        <v>644</v>
      </c>
      <c r="F1210" t="s">
        <v>4499</v>
      </c>
      <c r="G1210" t="s">
        <v>2196</v>
      </c>
      <c r="H1210" t="s">
        <v>2197</v>
      </c>
      <c r="I1210" s="130">
        <v>45562</v>
      </c>
      <c r="J1210" t="s">
        <v>3071</v>
      </c>
      <c r="K1210">
        <v>2</v>
      </c>
      <c r="M12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10" t="str">
        <f>DO_DB[[#This Row],[Material Pick-update]]&amp;"_"&amp;DO_DB[[#This Row],[Material Name]]</f>
        <v>45562_Pole 9M</v>
      </c>
      <c r="O1210" t="str">
        <f>DO_DB[[#This Row],[SiteID]]</f>
        <v>CLR30-99-052</v>
      </c>
      <c r="P1210" t="str">
        <f>DO_DB[[#This Row],[SiteID]]&amp;"_"&amp;DO_DB[[#This Row],[Material Name]]</f>
        <v>CLR30-99-052_Pole 9M</v>
      </c>
      <c r="Q1210" t="str">
        <f>DO_DB[[#This Row],[DO Number]]</f>
        <v>DOEID24091903</v>
      </c>
      <c r="R1210" t="str">
        <f>DO_DB[[#This Row],[DN Number]]</f>
        <v>DNWID0362024091903</v>
      </c>
    </row>
    <row r="1211" spans="1:18">
      <c r="A1211" t="s">
        <v>2041</v>
      </c>
      <c r="B1211" t="s">
        <v>2042</v>
      </c>
      <c r="C1211" t="s">
        <v>4482</v>
      </c>
      <c r="D1211" t="s">
        <v>71</v>
      </c>
      <c r="E1211" t="s">
        <v>644</v>
      </c>
      <c r="F1211" t="s">
        <v>4499</v>
      </c>
      <c r="G1211" t="s">
        <v>2194</v>
      </c>
      <c r="H1211" t="s">
        <v>2195</v>
      </c>
      <c r="I1211" s="130">
        <v>45562</v>
      </c>
      <c r="J1211" t="s">
        <v>3071</v>
      </c>
      <c r="K1211">
        <v>1</v>
      </c>
      <c r="M12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11" t="str">
        <f>DO_DB[[#This Row],[Material Pick-update]]&amp;"_"&amp;DO_DB[[#This Row],[Material Name]]</f>
        <v>45562_Pole 9M</v>
      </c>
      <c r="O1211" t="str">
        <f>DO_DB[[#This Row],[SiteID]]</f>
        <v>CLR30-99-053</v>
      </c>
      <c r="P1211" t="str">
        <f>DO_DB[[#This Row],[SiteID]]&amp;"_"&amp;DO_DB[[#This Row],[Material Name]]</f>
        <v>CLR30-99-053_Pole 9M</v>
      </c>
      <c r="Q1211" t="str">
        <f>DO_DB[[#This Row],[DO Number]]</f>
        <v>DOEID24091904</v>
      </c>
      <c r="R1211" t="str">
        <f>DO_DB[[#This Row],[DN Number]]</f>
        <v>DNWID0362024091904</v>
      </c>
    </row>
    <row r="1212" spans="1:18">
      <c r="A1212" t="s">
        <v>2065</v>
      </c>
      <c r="B1212" t="s">
        <v>2066</v>
      </c>
      <c r="C1212" t="s">
        <v>4482</v>
      </c>
      <c r="D1212" t="s">
        <v>71</v>
      </c>
      <c r="E1212" t="s">
        <v>644</v>
      </c>
      <c r="F1212" t="s">
        <v>4499</v>
      </c>
      <c r="G1212" t="s">
        <v>2192</v>
      </c>
      <c r="H1212" t="s">
        <v>2193</v>
      </c>
      <c r="I1212" s="130">
        <v>45562</v>
      </c>
      <c r="J1212" t="s">
        <v>3071</v>
      </c>
      <c r="K1212">
        <v>1</v>
      </c>
      <c r="M12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12" t="str">
        <f>DO_DB[[#This Row],[Material Pick-update]]&amp;"_"&amp;DO_DB[[#This Row],[Material Name]]</f>
        <v>45562_Pole 9M</v>
      </c>
      <c r="O1212" t="str">
        <f>DO_DB[[#This Row],[SiteID]]</f>
        <v>CLR30-99-057</v>
      </c>
      <c r="P1212" t="str">
        <f>DO_DB[[#This Row],[SiteID]]&amp;"_"&amp;DO_DB[[#This Row],[Material Name]]</f>
        <v>CLR30-99-057_Pole 9M</v>
      </c>
      <c r="Q1212" t="str">
        <f>DO_DB[[#This Row],[DO Number]]</f>
        <v>DOEID24091905</v>
      </c>
      <c r="R1212" t="str">
        <f>DO_DB[[#This Row],[DN Number]]</f>
        <v>DNWID0362024091906</v>
      </c>
    </row>
    <row r="1213" spans="1:18">
      <c r="A1213" t="s">
        <v>2372</v>
      </c>
      <c r="B1213" t="s">
        <v>2373</v>
      </c>
      <c r="C1213" t="s">
        <v>4482</v>
      </c>
      <c r="D1213" t="s">
        <v>71</v>
      </c>
      <c r="E1213" t="s">
        <v>92</v>
      </c>
      <c r="F1213" t="s">
        <v>4499</v>
      </c>
      <c r="G1213" t="s">
        <v>2374</v>
      </c>
      <c r="H1213" t="s">
        <v>2375</v>
      </c>
      <c r="I1213" s="130">
        <v>45602</v>
      </c>
      <c r="J1213" t="s">
        <v>3073</v>
      </c>
      <c r="K1213">
        <v>3000</v>
      </c>
      <c r="M12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24C-2024116-01</v>
      </c>
      <c r="N1213" t="str">
        <f>DO_DB[[#This Row],[Material Pick-update]]&amp;"_"&amp;DO_DB[[#This Row],[Material Name]]</f>
        <v>45602_ADSS 24C</v>
      </c>
      <c r="O1213" t="str">
        <f>DO_DB[[#This Row],[SiteID]]</f>
        <v>CLR23-03-010</v>
      </c>
      <c r="P1213" t="str">
        <f>DO_DB[[#This Row],[SiteID]]&amp;"_"&amp;DO_DB[[#This Row],[Material Name]]</f>
        <v>CLR23-03-010_ADSS 24C</v>
      </c>
      <c r="Q1213" t="str">
        <f>DO_DB[[#This Row],[DO Number]]</f>
        <v>DOEID24110546</v>
      </c>
      <c r="R1213" t="str">
        <f>DO_DB[[#This Row],[DN Number]]</f>
        <v>DNWID0342024110508</v>
      </c>
    </row>
    <row r="1214" spans="1:18">
      <c r="A1214" t="s">
        <v>2368</v>
      </c>
      <c r="B1214" t="s">
        <v>2369</v>
      </c>
      <c r="C1214" t="s">
        <v>4482</v>
      </c>
      <c r="D1214" t="s">
        <v>71</v>
      </c>
      <c r="E1214" t="s">
        <v>92</v>
      </c>
      <c r="F1214" t="s">
        <v>4499</v>
      </c>
      <c r="G1214" t="s">
        <v>2370</v>
      </c>
      <c r="H1214" t="s">
        <v>2371</v>
      </c>
      <c r="I1214" s="130">
        <v>45602</v>
      </c>
      <c r="J1214" t="s">
        <v>3073</v>
      </c>
      <c r="K1214">
        <v>3000</v>
      </c>
      <c r="M12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24C-2024116-01</v>
      </c>
      <c r="N1214" t="str">
        <f>DO_DB[[#This Row],[Material Pick-update]]&amp;"_"&amp;DO_DB[[#This Row],[Material Name]]</f>
        <v>45602_ADSS 24C</v>
      </c>
      <c r="O1214" t="str">
        <f>DO_DB[[#This Row],[SiteID]]</f>
        <v>CLR23-03-012</v>
      </c>
      <c r="P1214" t="str">
        <f>DO_DB[[#This Row],[SiteID]]&amp;"_"&amp;DO_DB[[#This Row],[Material Name]]</f>
        <v>CLR23-03-012_ADSS 24C</v>
      </c>
      <c r="Q1214" t="str">
        <f>DO_DB[[#This Row],[DO Number]]</f>
        <v>DOEID24110548</v>
      </c>
      <c r="R1214" t="str">
        <f>DO_DB[[#This Row],[DN Number]]</f>
        <v>DNWID0342024110506</v>
      </c>
    </row>
    <row r="1215" spans="1:18">
      <c r="A1215" t="s">
        <v>2378</v>
      </c>
      <c r="B1215" t="s">
        <v>2379</v>
      </c>
      <c r="C1215" t="s">
        <v>4482</v>
      </c>
      <c r="D1215" t="s">
        <v>71</v>
      </c>
      <c r="E1215" t="s">
        <v>92</v>
      </c>
      <c r="F1215" t="s">
        <v>4499</v>
      </c>
      <c r="G1215" t="s">
        <v>2384</v>
      </c>
      <c r="H1215" t="s">
        <v>2385</v>
      </c>
      <c r="I1215" s="130">
        <v>45602</v>
      </c>
      <c r="J1215" t="s">
        <v>3075</v>
      </c>
      <c r="K1215">
        <v>6000</v>
      </c>
      <c r="M12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48C-2024116-01</v>
      </c>
      <c r="N1215" t="str">
        <f>DO_DB[[#This Row],[Material Pick-update]]&amp;"_"&amp;DO_DB[[#This Row],[Material Name]]</f>
        <v>45602_ADSS 48C</v>
      </c>
      <c r="O1215" t="str">
        <f>DO_DB[[#This Row],[SiteID]]</f>
        <v>CLR23-03-013</v>
      </c>
      <c r="P1215" t="str">
        <f>DO_DB[[#This Row],[SiteID]]&amp;"_"&amp;DO_DB[[#This Row],[Material Name]]</f>
        <v>CLR23-03-013_ADSS 48C</v>
      </c>
      <c r="Q1215" t="str">
        <f>DO_DB[[#This Row],[DO Number]]</f>
        <v>DOEID24110544</v>
      </c>
      <c r="R1215" t="str">
        <f>DO_DB[[#This Row],[DN Number]]</f>
        <v>DNWID0342024110502</v>
      </c>
    </row>
    <row r="1216" spans="1:18">
      <c r="A1216" t="s">
        <v>2372</v>
      </c>
      <c r="B1216" t="s">
        <v>2373</v>
      </c>
      <c r="C1216" t="s">
        <v>4482</v>
      </c>
      <c r="D1216" t="s">
        <v>71</v>
      </c>
      <c r="E1216" t="s">
        <v>92</v>
      </c>
      <c r="F1216" t="s">
        <v>4499</v>
      </c>
      <c r="G1216" t="s">
        <v>2374</v>
      </c>
      <c r="H1216" t="s">
        <v>2375</v>
      </c>
      <c r="I1216" s="130">
        <v>45602</v>
      </c>
      <c r="J1216" t="s">
        <v>3075</v>
      </c>
      <c r="K1216">
        <v>6000</v>
      </c>
      <c r="M12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48C-2024116-01</v>
      </c>
      <c r="N1216" t="str">
        <f>DO_DB[[#This Row],[Material Pick-update]]&amp;"_"&amp;DO_DB[[#This Row],[Material Name]]</f>
        <v>45602_ADSS 48C</v>
      </c>
      <c r="O1216" t="str">
        <f>DO_DB[[#This Row],[SiteID]]</f>
        <v>CLR23-03-010</v>
      </c>
      <c r="P1216" t="str">
        <f>DO_DB[[#This Row],[SiteID]]&amp;"_"&amp;DO_DB[[#This Row],[Material Name]]</f>
        <v>CLR23-03-010_ADSS 48C</v>
      </c>
      <c r="Q1216" t="str">
        <f>DO_DB[[#This Row],[DO Number]]</f>
        <v>DOEID24110546</v>
      </c>
      <c r="R1216" t="str">
        <f>DO_DB[[#This Row],[DN Number]]</f>
        <v>DNWID0342024110508</v>
      </c>
    </row>
    <row r="1217" spans="1:18">
      <c r="A1217" t="s">
        <v>2378</v>
      </c>
      <c r="B1217" t="s">
        <v>2379</v>
      </c>
      <c r="C1217" t="s">
        <v>4482</v>
      </c>
      <c r="D1217" t="s">
        <v>71</v>
      </c>
      <c r="E1217" t="s">
        <v>92</v>
      </c>
      <c r="F1217" t="s">
        <v>4499</v>
      </c>
      <c r="G1217" t="s">
        <v>2380</v>
      </c>
      <c r="H1217" t="s">
        <v>2381</v>
      </c>
      <c r="I1217" s="130">
        <v>45602</v>
      </c>
      <c r="J1217" t="s">
        <v>3069</v>
      </c>
      <c r="K1217">
        <v>91</v>
      </c>
      <c r="M12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17" t="str">
        <f>DO_DB[[#This Row],[Material Pick-update]]&amp;"_"&amp;DO_DB[[#This Row],[Material Name]]</f>
        <v>45602_Pole 7M 4"</v>
      </c>
      <c r="O1217" t="str">
        <f>DO_DB[[#This Row],[SiteID]]</f>
        <v>CLR23-03-013</v>
      </c>
      <c r="P1217" t="str">
        <f>DO_DB[[#This Row],[SiteID]]&amp;"_"&amp;DO_DB[[#This Row],[Material Name]]</f>
        <v>CLR23-03-013_Pole 7M 4"</v>
      </c>
      <c r="Q1217" t="str">
        <f>DO_DB[[#This Row],[DO Number]]</f>
        <v>DOEID24110543</v>
      </c>
      <c r="R1217" t="str">
        <f>DO_DB[[#This Row],[DN Number]]</f>
        <v>DNWID0362024110508</v>
      </c>
    </row>
    <row r="1218" spans="1:18">
      <c r="A1218" t="s">
        <v>2378</v>
      </c>
      <c r="B1218" t="s">
        <v>2379</v>
      </c>
      <c r="C1218" t="s">
        <v>4482</v>
      </c>
      <c r="D1218" t="s">
        <v>71</v>
      </c>
      <c r="E1218" t="s">
        <v>92</v>
      </c>
      <c r="F1218" t="s">
        <v>4499</v>
      </c>
      <c r="G1218" t="s">
        <v>2380</v>
      </c>
      <c r="H1218" t="s">
        <v>2381</v>
      </c>
      <c r="I1218" s="130">
        <v>45602</v>
      </c>
      <c r="J1218" t="s">
        <v>3070</v>
      </c>
      <c r="K1218">
        <v>12</v>
      </c>
      <c r="M12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18" t="str">
        <f>DO_DB[[#This Row],[Material Pick-update]]&amp;"_"&amp;DO_DB[[#This Row],[Material Name]]</f>
        <v>45602_Pole 7M 3"</v>
      </c>
      <c r="O1218" t="str">
        <f>DO_DB[[#This Row],[SiteID]]</f>
        <v>CLR23-03-013</v>
      </c>
      <c r="P1218" t="str">
        <f>DO_DB[[#This Row],[SiteID]]&amp;"_"&amp;DO_DB[[#This Row],[Material Name]]</f>
        <v>CLR23-03-013_Pole 7M 3"</v>
      </c>
      <c r="Q1218" t="str">
        <f>DO_DB[[#This Row],[DO Number]]</f>
        <v>DOEID24110543</v>
      </c>
      <c r="R1218" t="str">
        <f>DO_DB[[#This Row],[DN Number]]</f>
        <v>DNWID0362024110508</v>
      </c>
    </row>
    <row r="1219" spans="1:18">
      <c r="A1219" t="s">
        <v>2378</v>
      </c>
      <c r="B1219" t="s">
        <v>2379</v>
      </c>
      <c r="C1219" t="s">
        <v>4482</v>
      </c>
      <c r="D1219" t="s">
        <v>71</v>
      </c>
      <c r="E1219" t="s">
        <v>92</v>
      </c>
      <c r="F1219" t="s">
        <v>4499</v>
      </c>
      <c r="G1219" t="s">
        <v>2384</v>
      </c>
      <c r="H1219" t="s">
        <v>2385</v>
      </c>
      <c r="I1219" s="130">
        <v>45602</v>
      </c>
      <c r="J1219" t="s">
        <v>15</v>
      </c>
      <c r="K1219">
        <v>1</v>
      </c>
      <c r="M12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19" t="str">
        <f>DO_DB[[#This Row],[Material Pick-update]]&amp;"_"&amp;DO_DB[[#This Row],[Material Name]]</f>
        <v>45602_FDT-72</v>
      </c>
      <c r="O1219" t="str">
        <f>DO_DB[[#This Row],[SiteID]]</f>
        <v>CLR23-03-013</v>
      </c>
      <c r="P1219" t="str">
        <f>DO_DB[[#This Row],[SiteID]]&amp;"_"&amp;DO_DB[[#This Row],[Material Name]]</f>
        <v>CLR23-03-013_FDT-72</v>
      </c>
      <c r="Q1219" t="str">
        <f>DO_DB[[#This Row],[DO Number]]</f>
        <v>DOEID24110544</v>
      </c>
      <c r="R1219" t="str">
        <f>DO_DB[[#This Row],[DN Number]]</f>
        <v>DNWID0342024110502</v>
      </c>
    </row>
    <row r="1220" spans="1:18">
      <c r="A1220" t="s">
        <v>2378</v>
      </c>
      <c r="B1220" t="s">
        <v>2379</v>
      </c>
      <c r="C1220" t="s">
        <v>4482</v>
      </c>
      <c r="D1220" t="s">
        <v>71</v>
      </c>
      <c r="E1220" t="s">
        <v>92</v>
      </c>
      <c r="F1220" t="s">
        <v>4499</v>
      </c>
      <c r="G1220" t="s">
        <v>2384</v>
      </c>
      <c r="H1220" t="s">
        <v>2385</v>
      </c>
      <c r="I1220" s="130">
        <v>45602</v>
      </c>
      <c r="J1220" t="s">
        <v>13</v>
      </c>
      <c r="K1220">
        <v>30</v>
      </c>
      <c r="M12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20" t="str">
        <f>DO_DB[[#This Row],[Material Pick-update]]&amp;"_"&amp;DO_DB[[#This Row],[Material Name]]</f>
        <v>45602_FAT-16</v>
      </c>
      <c r="O1220" t="str">
        <f>DO_DB[[#This Row],[SiteID]]</f>
        <v>CLR23-03-013</v>
      </c>
      <c r="P1220" t="str">
        <f>DO_DB[[#This Row],[SiteID]]&amp;"_"&amp;DO_DB[[#This Row],[Material Name]]</f>
        <v>CLR23-03-013_FAT-16</v>
      </c>
      <c r="Q1220" t="str">
        <f>DO_DB[[#This Row],[DO Number]]</f>
        <v>DOEID24110544</v>
      </c>
      <c r="R1220" t="str">
        <f>DO_DB[[#This Row],[DN Number]]</f>
        <v>DNWID0342024110502</v>
      </c>
    </row>
    <row r="1221" spans="1:18">
      <c r="A1221" t="s">
        <v>2372</v>
      </c>
      <c r="B1221" t="s">
        <v>2373</v>
      </c>
      <c r="C1221" t="s">
        <v>4482</v>
      </c>
      <c r="D1221" t="s">
        <v>71</v>
      </c>
      <c r="E1221" t="s">
        <v>92</v>
      </c>
      <c r="F1221" t="s">
        <v>4499</v>
      </c>
      <c r="G1221" t="s">
        <v>2376</v>
      </c>
      <c r="H1221" t="s">
        <v>2377</v>
      </c>
      <c r="I1221" s="130">
        <v>45602</v>
      </c>
      <c r="J1221" t="s">
        <v>3069</v>
      </c>
      <c r="K1221">
        <v>136</v>
      </c>
      <c r="M12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21" t="str">
        <f>DO_DB[[#This Row],[Material Pick-update]]&amp;"_"&amp;DO_DB[[#This Row],[Material Name]]</f>
        <v>45602_Pole 7M 4"</v>
      </c>
      <c r="O1221" t="str">
        <f>DO_DB[[#This Row],[SiteID]]</f>
        <v>CLR23-03-010</v>
      </c>
      <c r="P1221" t="str">
        <f>DO_DB[[#This Row],[SiteID]]&amp;"_"&amp;DO_DB[[#This Row],[Material Name]]</f>
        <v>CLR23-03-010_Pole 7M 4"</v>
      </c>
      <c r="Q1221" t="str">
        <f>DO_DB[[#This Row],[DO Number]]</f>
        <v>DOEID24110545</v>
      </c>
      <c r="R1221" t="str">
        <f>DO_DB[[#This Row],[DN Number]]</f>
        <v>DNWID0362024110507</v>
      </c>
    </row>
    <row r="1222" spans="1:18">
      <c r="A1222" t="s">
        <v>2372</v>
      </c>
      <c r="B1222" t="s">
        <v>2373</v>
      </c>
      <c r="C1222" t="s">
        <v>4482</v>
      </c>
      <c r="D1222" t="s">
        <v>71</v>
      </c>
      <c r="E1222" t="s">
        <v>92</v>
      </c>
      <c r="F1222" t="s">
        <v>4499</v>
      </c>
      <c r="G1222" t="s">
        <v>2376</v>
      </c>
      <c r="H1222" t="s">
        <v>2377</v>
      </c>
      <c r="I1222" s="130">
        <v>45602</v>
      </c>
      <c r="J1222" t="s">
        <v>3070</v>
      </c>
      <c r="K1222">
        <v>20</v>
      </c>
      <c r="M12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22" t="str">
        <f>DO_DB[[#This Row],[Material Pick-update]]&amp;"_"&amp;DO_DB[[#This Row],[Material Name]]</f>
        <v>45602_Pole 7M 3"</v>
      </c>
      <c r="O1222" t="str">
        <f>DO_DB[[#This Row],[SiteID]]</f>
        <v>CLR23-03-010</v>
      </c>
      <c r="P1222" t="str">
        <f>DO_DB[[#This Row],[SiteID]]&amp;"_"&amp;DO_DB[[#This Row],[Material Name]]</f>
        <v>CLR23-03-010_Pole 7M 3"</v>
      </c>
      <c r="Q1222" t="str">
        <f>DO_DB[[#This Row],[DO Number]]</f>
        <v>DOEID24110545</v>
      </c>
      <c r="R1222" t="str">
        <f>DO_DB[[#This Row],[DN Number]]</f>
        <v>DNWID0362024110507</v>
      </c>
    </row>
    <row r="1223" spans="1:18">
      <c r="A1223" t="s">
        <v>2372</v>
      </c>
      <c r="B1223" t="s">
        <v>2373</v>
      </c>
      <c r="C1223" t="s">
        <v>4482</v>
      </c>
      <c r="D1223" t="s">
        <v>71</v>
      </c>
      <c r="E1223" t="s">
        <v>92</v>
      </c>
      <c r="F1223" t="s">
        <v>4499</v>
      </c>
      <c r="G1223" t="s">
        <v>2376</v>
      </c>
      <c r="H1223" t="s">
        <v>2377</v>
      </c>
      <c r="I1223" s="130">
        <v>45602</v>
      </c>
      <c r="J1223" t="s">
        <v>4856</v>
      </c>
      <c r="K1223">
        <v>1</v>
      </c>
      <c r="M12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23" t="str">
        <f>DO_DB[[#This Row],[Material Pick-update]]&amp;"_"&amp;DO_DB[[#This Row],[Material Name]]</f>
        <v>45602_JC 144Core</v>
      </c>
      <c r="O1223" t="str">
        <f>DO_DB[[#This Row],[SiteID]]</f>
        <v>CLR23-03-010</v>
      </c>
      <c r="P1223" t="str">
        <f>DO_DB[[#This Row],[SiteID]]&amp;"_"&amp;DO_DB[[#This Row],[Material Name]]</f>
        <v>CLR23-03-010_JC 144Core</v>
      </c>
      <c r="Q1223" t="str">
        <f>DO_DB[[#This Row],[DO Number]]</f>
        <v>DOEID24110545</v>
      </c>
      <c r="R1223" t="str">
        <f>DO_DB[[#This Row],[DN Number]]</f>
        <v>DNWID0362024110507</v>
      </c>
    </row>
    <row r="1224" spans="1:18">
      <c r="A1224" t="s">
        <v>2372</v>
      </c>
      <c r="B1224" t="s">
        <v>2373</v>
      </c>
      <c r="C1224" t="s">
        <v>4482</v>
      </c>
      <c r="D1224" t="s">
        <v>71</v>
      </c>
      <c r="E1224" t="s">
        <v>92</v>
      </c>
      <c r="F1224" t="s">
        <v>4499</v>
      </c>
      <c r="G1224" t="s">
        <v>2374</v>
      </c>
      <c r="H1224" t="s">
        <v>2375</v>
      </c>
      <c r="I1224" s="130">
        <v>45602</v>
      </c>
      <c r="J1224" t="s">
        <v>15</v>
      </c>
      <c r="K1224">
        <v>1</v>
      </c>
      <c r="M12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24" t="str">
        <f>DO_DB[[#This Row],[Material Pick-update]]&amp;"_"&amp;DO_DB[[#This Row],[Material Name]]</f>
        <v>45602_FDT-72</v>
      </c>
      <c r="O1224" t="str">
        <f>DO_DB[[#This Row],[SiteID]]</f>
        <v>CLR23-03-010</v>
      </c>
      <c r="P1224" t="str">
        <f>DO_DB[[#This Row],[SiteID]]&amp;"_"&amp;DO_DB[[#This Row],[Material Name]]</f>
        <v>CLR23-03-010_FDT-72</v>
      </c>
      <c r="Q1224" t="str">
        <f>DO_DB[[#This Row],[DO Number]]</f>
        <v>DOEID24110546</v>
      </c>
      <c r="R1224" t="str">
        <f>DO_DB[[#This Row],[DN Number]]</f>
        <v>DNWID0342024110508</v>
      </c>
    </row>
    <row r="1225" spans="1:18">
      <c r="A1225" t="s">
        <v>2372</v>
      </c>
      <c r="B1225" t="s">
        <v>2373</v>
      </c>
      <c r="C1225" t="s">
        <v>4482</v>
      </c>
      <c r="D1225" t="s">
        <v>71</v>
      </c>
      <c r="E1225" t="s">
        <v>92</v>
      </c>
      <c r="F1225" t="s">
        <v>4499</v>
      </c>
      <c r="G1225" t="s">
        <v>2374</v>
      </c>
      <c r="H1225" t="s">
        <v>2375</v>
      </c>
      <c r="I1225" s="130">
        <v>45602</v>
      </c>
      <c r="J1225" t="s">
        <v>13</v>
      </c>
      <c r="K1225">
        <v>32</v>
      </c>
      <c r="M12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25" t="str">
        <f>DO_DB[[#This Row],[Material Pick-update]]&amp;"_"&amp;DO_DB[[#This Row],[Material Name]]</f>
        <v>45602_FAT-16</v>
      </c>
      <c r="O1225" t="str">
        <f>DO_DB[[#This Row],[SiteID]]</f>
        <v>CLR23-03-010</v>
      </c>
      <c r="P1225" t="str">
        <f>DO_DB[[#This Row],[SiteID]]&amp;"_"&amp;DO_DB[[#This Row],[Material Name]]</f>
        <v>CLR23-03-010_FAT-16</v>
      </c>
      <c r="Q1225" t="str">
        <f>DO_DB[[#This Row],[DO Number]]</f>
        <v>DOEID24110546</v>
      </c>
      <c r="R1225" t="str">
        <f>DO_DB[[#This Row],[DN Number]]</f>
        <v>DNWID0342024110508</v>
      </c>
    </row>
    <row r="1226" spans="1:18">
      <c r="A1226" t="s">
        <v>2368</v>
      </c>
      <c r="B1226" t="s">
        <v>2369</v>
      </c>
      <c r="C1226" t="s">
        <v>4482</v>
      </c>
      <c r="D1226" t="s">
        <v>71</v>
      </c>
      <c r="E1226" t="s">
        <v>92</v>
      </c>
      <c r="F1226" t="s">
        <v>4499</v>
      </c>
      <c r="G1226" t="s">
        <v>2382</v>
      </c>
      <c r="H1226" t="s">
        <v>2383</v>
      </c>
      <c r="I1226" s="130">
        <v>45602</v>
      </c>
      <c r="J1226" t="s">
        <v>3069</v>
      </c>
      <c r="K1226">
        <v>68</v>
      </c>
      <c r="M12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26" t="str">
        <f>DO_DB[[#This Row],[Material Pick-update]]&amp;"_"&amp;DO_DB[[#This Row],[Material Name]]</f>
        <v>45602_Pole 7M 4"</v>
      </c>
      <c r="O1226" t="str">
        <f>DO_DB[[#This Row],[SiteID]]</f>
        <v>CLR23-03-012</v>
      </c>
      <c r="P1226" t="str">
        <f>DO_DB[[#This Row],[SiteID]]&amp;"_"&amp;DO_DB[[#This Row],[Material Name]]</f>
        <v>CLR23-03-012_Pole 7M 4"</v>
      </c>
      <c r="Q1226" t="str">
        <f>DO_DB[[#This Row],[DO Number]]</f>
        <v>DOEID24110547</v>
      </c>
      <c r="R1226" t="str">
        <f>DO_DB[[#This Row],[DN Number]]</f>
        <v>DNWID0362024110509</v>
      </c>
    </row>
    <row r="1227" spans="1:18">
      <c r="A1227" t="s">
        <v>2368</v>
      </c>
      <c r="B1227" t="s">
        <v>2369</v>
      </c>
      <c r="C1227" t="s">
        <v>4482</v>
      </c>
      <c r="D1227" t="s">
        <v>71</v>
      </c>
      <c r="E1227" t="s">
        <v>92</v>
      </c>
      <c r="F1227" t="s">
        <v>4499</v>
      </c>
      <c r="G1227" t="s">
        <v>2382</v>
      </c>
      <c r="H1227" t="s">
        <v>2383</v>
      </c>
      <c r="I1227" s="130">
        <v>45602</v>
      </c>
      <c r="J1227" t="s">
        <v>3070</v>
      </c>
      <c r="K1227">
        <v>12</v>
      </c>
      <c r="M12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27" t="str">
        <f>DO_DB[[#This Row],[Material Pick-update]]&amp;"_"&amp;DO_DB[[#This Row],[Material Name]]</f>
        <v>45602_Pole 7M 3"</v>
      </c>
      <c r="O1227" t="str">
        <f>DO_DB[[#This Row],[SiteID]]</f>
        <v>CLR23-03-012</v>
      </c>
      <c r="P1227" t="str">
        <f>DO_DB[[#This Row],[SiteID]]&amp;"_"&amp;DO_DB[[#This Row],[Material Name]]</f>
        <v>CLR23-03-012_Pole 7M 3"</v>
      </c>
      <c r="Q1227" t="str">
        <f>DO_DB[[#This Row],[DO Number]]</f>
        <v>DOEID24110547</v>
      </c>
      <c r="R1227" t="str">
        <f>DO_DB[[#This Row],[DN Number]]</f>
        <v>DNWID0362024110509</v>
      </c>
    </row>
    <row r="1228" spans="1:18">
      <c r="A1228" t="s">
        <v>2368</v>
      </c>
      <c r="B1228" t="s">
        <v>2369</v>
      </c>
      <c r="C1228" t="s">
        <v>4482</v>
      </c>
      <c r="D1228" t="s">
        <v>71</v>
      </c>
      <c r="E1228" t="s">
        <v>92</v>
      </c>
      <c r="F1228" t="s">
        <v>4499</v>
      </c>
      <c r="G1228" t="s">
        <v>2382</v>
      </c>
      <c r="H1228" t="s">
        <v>2383</v>
      </c>
      <c r="I1228" s="130">
        <v>45602</v>
      </c>
      <c r="J1228" t="s">
        <v>4856</v>
      </c>
      <c r="K1228">
        <v>1</v>
      </c>
      <c r="M12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28" t="str">
        <f>DO_DB[[#This Row],[Material Pick-update]]&amp;"_"&amp;DO_DB[[#This Row],[Material Name]]</f>
        <v>45602_JC 144Core</v>
      </c>
      <c r="O1228" t="str">
        <f>DO_DB[[#This Row],[SiteID]]</f>
        <v>CLR23-03-012</v>
      </c>
      <c r="P1228" t="str">
        <f>DO_DB[[#This Row],[SiteID]]&amp;"_"&amp;DO_DB[[#This Row],[Material Name]]</f>
        <v>CLR23-03-012_JC 144Core</v>
      </c>
      <c r="Q1228" t="str">
        <f>DO_DB[[#This Row],[DO Number]]</f>
        <v>DOEID24110547</v>
      </c>
      <c r="R1228" t="str">
        <f>DO_DB[[#This Row],[DN Number]]</f>
        <v>DNWID0362024110509</v>
      </c>
    </row>
    <row r="1229" spans="1:18">
      <c r="A1229" t="s">
        <v>2368</v>
      </c>
      <c r="B1229" t="s">
        <v>2369</v>
      </c>
      <c r="C1229" t="s">
        <v>4482</v>
      </c>
      <c r="D1229" t="s">
        <v>71</v>
      </c>
      <c r="E1229" t="s">
        <v>92</v>
      </c>
      <c r="F1229" t="s">
        <v>4499</v>
      </c>
      <c r="G1229" t="s">
        <v>2370</v>
      </c>
      <c r="H1229" t="s">
        <v>2371</v>
      </c>
      <c r="I1229" s="130">
        <v>45602</v>
      </c>
      <c r="J1229" t="s">
        <v>15</v>
      </c>
      <c r="K1229">
        <v>1</v>
      </c>
      <c r="M12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29" t="str">
        <f>DO_DB[[#This Row],[Material Pick-update]]&amp;"_"&amp;DO_DB[[#This Row],[Material Name]]</f>
        <v>45602_FDT-72</v>
      </c>
      <c r="O1229" t="str">
        <f>DO_DB[[#This Row],[SiteID]]</f>
        <v>CLR23-03-012</v>
      </c>
      <c r="P1229" t="str">
        <f>DO_DB[[#This Row],[SiteID]]&amp;"_"&amp;DO_DB[[#This Row],[Material Name]]</f>
        <v>CLR23-03-012_FDT-72</v>
      </c>
      <c r="Q1229" t="str">
        <f>DO_DB[[#This Row],[DO Number]]</f>
        <v>DOEID24110548</v>
      </c>
      <c r="R1229" t="str">
        <f>DO_DB[[#This Row],[DN Number]]</f>
        <v>DNWID0342024110506</v>
      </c>
    </row>
    <row r="1230" spans="1:18">
      <c r="A1230" t="s">
        <v>2368</v>
      </c>
      <c r="B1230" t="s">
        <v>2369</v>
      </c>
      <c r="C1230" t="s">
        <v>4482</v>
      </c>
      <c r="D1230" t="s">
        <v>71</v>
      </c>
      <c r="E1230" t="s">
        <v>92</v>
      </c>
      <c r="F1230" t="s">
        <v>4499</v>
      </c>
      <c r="G1230" t="s">
        <v>2370</v>
      </c>
      <c r="H1230" t="s">
        <v>2371</v>
      </c>
      <c r="I1230" s="130">
        <v>45602</v>
      </c>
      <c r="J1230" t="s">
        <v>13</v>
      </c>
      <c r="K1230">
        <v>19</v>
      </c>
      <c r="M12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30" t="str">
        <f>DO_DB[[#This Row],[Material Pick-update]]&amp;"_"&amp;DO_DB[[#This Row],[Material Name]]</f>
        <v>45602_FAT-16</v>
      </c>
      <c r="O1230" t="str">
        <f>DO_DB[[#This Row],[SiteID]]</f>
        <v>CLR23-03-012</v>
      </c>
      <c r="P1230" t="str">
        <f>DO_DB[[#This Row],[SiteID]]&amp;"_"&amp;DO_DB[[#This Row],[Material Name]]</f>
        <v>CLR23-03-012_FAT-16</v>
      </c>
      <c r="Q1230" t="str">
        <f>DO_DB[[#This Row],[DO Number]]</f>
        <v>DOEID24110548</v>
      </c>
      <c r="R1230" t="str">
        <f>DO_DB[[#This Row],[DN Number]]</f>
        <v>DNWID0342024110506</v>
      </c>
    </row>
    <row r="1231" spans="1:18">
      <c r="A1231" t="s">
        <v>2388</v>
      </c>
      <c r="B1231" t="s">
        <v>2389</v>
      </c>
      <c r="C1231" t="s">
        <v>4482</v>
      </c>
      <c r="D1231" t="s">
        <v>71</v>
      </c>
      <c r="E1231" t="s">
        <v>25</v>
      </c>
      <c r="F1231" t="s">
        <v>4499</v>
      </c>
      <c r="G1231" t="s">
        <v>2450</v>
      </c>
      <c r="H1231" t="s">
        <v>2451</v>
      </c>
      <c r="I1231" s="130">
        <v>45609</v>
      </c>
      <c r="J1231" t="s">
        <v>3071</v>
      </c>
      <c r="K1231">
        <v>2</v>
      </c>
      <c r="M12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31" t="str">
        <f>DO_DB[[#This Row],[Material Pick-update]]&amp;"_"&amp;DO_DB[[#This Row],[Material Name]]</f>
        <v>45609_Pole 9M</v>
      </c>
      <c r="O1231" t="str">
        <f>DO_DB[[#This Row],[SiteID]]</f>
        <v>CLR64-01-039</v>
      </c>
      <c r="P1231" t="str">
        <f>DO_DB[[#This Row],[SiteID]]&amp;"_"&amp;DO_DB[[#This Row],[Material Name]]</f>
        <v>CLR64-01-039_Pole 9M</v>
      </c>
      <c r="Q1231" t="str">
        <f>DO_DB[[#This Row],[DO Number]]</f>
        <v>DOEID24111156</v>
      </c>
      <c r="R1231" t="str">
        <f>DO_DB[[#This Row],[DN Number]]</f>
        <v>DNWID0362024111104</v>
      </c>
    </row>
    <row r="1232" spans="1:18">
      <c r="A1232" t="s">
        <v>2360</v>
      </c>
      <c r="B1232" t="s">
        <v>2361</v>
      </c>
      <c r="C1232" t="s">
        <v>4482</v>
      </c>
      <c r="D1232" t="s">
        <v>71</v>
      </c>
      <c r="E1232" t="s">
        <v>24</v>
      </c>
      <c r="F1232" t="s">
        <v>4499</v>
      </c>
      <c r="G1232" t="s">
        <v>2454</v>
      </c>
      <c r="H1232" t="s">
        <v>2455</v>
      </c>
      <c r="I1232" s="130">
        <v>45609</v>
      </c>
      <c r="J1232" t="s">
        <v>3071</v>
      </c>
      <c r="K1232">
        <v>2</v>
      </c>
      <c r="M12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32" t="str">
        <f>DO_DB[[#This Row],[Material Pick-update]]&amp;"_"&amp;DO_DB[[#This Row],[Material Name]]</f>
        <v>45609_Pole 9M</v>
      </c>
      <c r="O1232" t="str">
        <f>DO_DB[[#This Row],[SiteID]]</f>
        <v>CLR51-99-123</v>
      </c>
      <c r="P1232" t="str">
        <f>DO_DB[[#This Row],[SiteID]]&amp;"_"&amp;DO_DB[[#This Row],[Material Name]]</f>
        <v>CLR51-99-123_Pole 9M</v>
      </c>
      <c r="Q1232" t="str">
        <f>DO_DB[[#This Row],[DO Number]]</f>
        <v>DOEID24111157</v>
      </c>
      <c r="R1232" t="str">
        <f>DO_DB[[#This Row],[DN Number]]</f>
        <v>DNWID0362024111102</v>
      </c>
    </row>
    <row r="1233" spans="1:18">
      <c r="A1233" t="s">
        <v>2410</v>
      </c>
      <c r="B1233" t="s">
        <v>2411</v>
      </c>
      <c r="C1233" t="s">
        <v>4482</v>
      </c>
      <c r="D1233" t="s">
        <v>71</v>
      </c>
      <c r="E1233" t="s">
        <v>876</v>
      </c>
      <c r="F1233" t="s">
        <v>4499</v>
      </c>
      <c r="G1233" t="s">
        <v>2452</v>
      </c>
      <c r="H1233" t="s">
        <v>2453</v>
      </c>
      <c r="I1233" s="130">
        <v>45609</v>
      </c>
      <c r="J1233" t="s">
        <v>3071</v>
      </c>
      <c r="K1233">
        <v>8</v>
      </c>
      <c r="M12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33" t="str">
        <f>DO_DB[[#This Row],[Material Pick-update]]&amp;"_"&amp;DO_DB[[#This Row],[Material Name]]</f>
        <v>45609_Pole 9M</v>
      </c>
      <c r="O1233" t="str">
        <f>DO_DB[[#This Row],[SiteID]]</f>
        <v>CLR37-99-034</v>
      </c>
      <c r="P1233" t="str">
        <f>DO_DB[[#This Row],[SiteID]]&amp;"_"&amp;DO_DB[[#This Row],[Material Name]]</f>
        <v>CLR37-99-034_Pole 9M</v>
      </c>
      <c r="Q1233" t="str">
        <f>DO_DB[[#This Row],[DO Number]]</f>
        <v>DOEID24111154</v>
      </c>
      <c r="R1233" t="str">
        <f>DO_DB[[#This Row],[DN Number]]</f>
        <v>DNWID0362024111101</v>
      </c>
    </row>
    <row r="1234" spans="1:18">
      <c r="A1234" t="s">
        <v>2597</v>
      </c>
      <c r="B1234" t="s">
        <v>2598</v>
      </c>
      <c r="C1234" t="s">
        <v>4482</v>
      </c>
      <c r="D1234" t="s">
        <v>71</v>
      </c>
      <c r="E1234" t="s">
        <v>92</v>
      </c>
      <c r="F1234" t="s">
        <v>4499</v>
      </c>
      <c r="G1234" t="s">
        <v>2601</v>
      </c>
      <c r="H1234" t="s">
        <v>2602</v>
      </c>
      <c r="I1234" s="130">
        <v>45677</v>
      </c>
      <c r="J1234" t="s">
        <v>3073</v>
      </c>
      <c r="K1234">
        <v>3000</v>
      </c>
      <c r="M12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24C-2025120-01</v>
      </c>
      <c r="N1234" t="str">
        <f>DO_DB[[#This Row],[Material Pick-update]]&amp;"_"&amp;DO_DB[[#This Row],[Material Name]]</f>
        <v>45677_ADSS 24C</v>
      </c>
      <c r="O1234" t="str">
        <f>DO_DB[[#This Row],[SiteID]]</f>
        <v>CLR23-02-008</v>
      </c>
      <c r="P1234" t="str">
        <f>DO_DB[[#This Row],[SiteID]]&amp;"_"&amp;DO_DB[[#This Row],[Material Name]]</f>
        <v>CLR23-02-008_ADSS 24C</v>
      </c>
      <c r="Q1234" t="str">
        <f>DO_DB[[#This Row],[DO Number]]</f>
        <v>DOEID25011818</v>
      </c>
      <c r="R1234" t="str">
        <f>DO_DB[[#This Row],[DN Number]]</f>
        <v>DNWID0342025011804</v>
      </c>
    </row>
    <row r="1235" spans="1:18">
      <c r="A1235" t="s">
        <v>2609</v>
      </c>
      <c r="B1235" t="s">
        <v>2610</v>
      </c>
      <c r="C1235" t="s">
        <v>4482</v>
      </c>
      <c r="D1235" t="s">
        <v>71</v>
      </c>
      <c r="E1235" t="s">
        <v>92</v>
      </c>
      <c r="F1235" t="s">
        <v>4499</v>
      </c>
      <c r="G1235" t="s">
        <v>2613</v>
      </c>
      <c r="H1235" t="s">
        <v>2614</v>
      </c>
      <c r="I1235" s="130">
        <v>45677</v>
      </c>
      <c r="J1235" t="s">
        <v>3073</v>
      </c>
      <c r="K1235">
        <v>3000</v>
      </c>
      <c r="M12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24C-2025120-01</v>
      </c>
      <c r="N1235" t="str">
        <f>DO_DB[[#This Row],[Material Pick-update]]&amp;"_"&amp;DO_DB[[#This Row],[Material Name]]</f>
        <v>45677_ADSS 24C</v>
      </c>
      <c r="O1235" t="str">
        <f>DO_DB[[#This Row],[SiteID]]</f>
        <v>CLR23-02-010</v>
      </c>
      <c r="P1235" t="str">
        <f>DO_DB[[#This Row],[SiteID]]&amp;"_"&amp;DO_DB[[#This Row],[Material Name]]</f>
        <v>CLR23-02-010_ADSS 24C</v>
      </c>
      <c r="Q1235" t="str">
        <f>DO_DB[[#This Row],[DO Number]]</f>
        <v>DOEID25011822</v>
      </c>
      <c r="R1235" t="str">
        <f>DO_DB[[#This Row],[DN Number]]</f>
        <v>DNWID0342025011801</v>
      </c>
    </row>
    <row r="1236" spans="1:18">
      <c r="A1236" t="s">
        <v>2615</v>
      </c>
      <c r="B1236" t="s">
        <v>2616</v>
      </c>
      <c r="C1236" t="s">
        <v>4482</v>
      </c>
      <c r="D1236" t="s">
        <v>71</v>
      </c>
      <c r="E1236" t="s">
        <v>92</v>
      </c>
      <c r="F1236" t="s">
        <v>4499</v>
      </c>
      <c r="G1236" t="s">
        <v>2619</v>
      </c>
      <c r="H1236" t="s">
        <v>2620</v>
      </c>
      <c r="I1236" s="130">
        <v>45677</v>
      </c>
      <c r="J1236" t="s">
        <v>3075</v>
      </c>
      <c r="K1236">
        <v>6000</v>
      </c>
      <c r="M12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48C-2025120-01</v>
      </c>
      <c r="N1236" t="str">
        <f>DO_DB[[#This Row],[Material Pick-update]]&amp;"_"&amp;DO_DB[[#This Row],[Material Name]]</f>
        <v>45677_ADSS 48C</v>
      </c>
      <c r="O1236" t="str">
        <f>DO_DB[[#This Row],[SiteID]]</f>
        <v>CLR23-02-013</v>
      </c>
      <c r="P1236" t="str">
        <f>DO_DB[[#This Row],[SiteID]]&amp;"_"&amp;DO_DB[[#This Row],[Material Name]]</f>
        <v>CLR23-02-013_ADSS 48C</v>
      </c>
      <c r="Q1236" t="str">
        <f>DO_DB[[#This Row],[DO Number]]</f>
        <v>DOEID25011824</v>
      </c>
      <c r="R1236" t="str">
        <f>DO_DB[[#This Row],[DN Number]]</f>
        <v>DNWID0342025011805</v>
      </c>
    </row>
    <row r="1237" spans="1:18">
      <c r="A1237" t="s">
        <v>2597</v>
      </c>
      <c r="B1237" t="s">
        <v>2598</v>
      </c>
      <c r="C1237" t="s">
        <v>4482</v>
      </c>
      <c r="D1237" t="s">
        <v>71</v>
      </c>
      <c r="E1237" t="s">
        <v>92</v>
      </c>
      <c r="F1237" t="s">
        <v>4499</v>
      </c>
      <c r="G1237" t="s">
        <v>2599</v>
      </c>
      <c r="H1237" t="s">
        <v>2600</v>
      </c>
      <c r="I1237" s="130">
        <v>45677</v>
      </c>
      <c r="J1237" t="s">
        <v>3069</v>
      </c>
      <c r="K1237">
        <v>2</v>
      </c>
      <c r="M12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37" t="str">
        <f>DO_DB[[#This Row],[Material Pick-update]]&amp;"_"&amp;DO_DB[[#This Row],[Material Name]]</f>
        <v>45677_Pole 7M 4"</v>
      </c>
      <c r="O1237" t="str">
        <f>DO_DB[[#This Row],[SiteID]]</f>
        <v>CLR23-02-008</v>
      </c>
      <c r="P1237" t="str">
        <f>DO_DB[[#This Row],[SiteID]]&amp;"_"&amp;DO_DB[[#This Row],[Material Name]]</f>
        <v>CLR23-02-008_Pole 7M 4"</v>
      </c>
      <c r="Q1237" t="str">
        <f>DO_DB[[#This Row],[DO Number]]</f>
        <v>DOEID25011817</v>
      </c>
      <c r="R1237" t="str">
        <f>DO_DB[[#This Row],[DN Number]]</f>
        <v>DNWID0362025011802</v>
      </c>
    </row>
    <row r="1238" spans="1:18">
      <c r="A1238" t="s">
        <v>2597</v>
      </c>
      <c r="B1238" t="s">
        <v>2598</v>
      </c>
      <c r="C1238" t="s">
        <v>4482</v>
      </c>
      <c r="D1238" t="s">
        <v>71</v>
      </c>
      <c r="E1238" t="s">
        <v>92</v>
      </c>
      <c r="F1238" t="s">
        <v>4499</v>
      </c>
      <c r="G1238" t="s">
        <v>2599</v>
      </c>
      <c r="H1238" t="s">
        <v>2600</v>
      </c>
      <c r="I1238" s="130">
        <v>45677</v>
      </c>
      <c r="J1238" t="s">
        <v>3070</v>
      </c>
      <c r="K1238">
        <v>39</v>
      </c>
      <c r="M12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38" t="str">
        <f>DO_DB[[#This Row],[Material Pick-update]]&amp;"_"&amp;DO_DB[[#This Row],[Material Name]]</f>
        <v>45677_Pole 7M 3"</v>
      </c>
      <c r="O1238" t="str">
        <f>DO_DB[[#This Row],[SiteID]]</f>
        <v>CLR23-02-008</v>
      </c>
      <c r="P1238" t="str">
        <f>DO_DB[[#This Row],[SiteID]]&amp;"_"&amp;DO_DB[[#This Row],[Material Name]]</f>
        <v>CLR23-02-008_Pole 7M 3"</v>
      </c>
      <c r="Q1238" t="str">
        <f>DO_DB[[#This Row],[DO Number]]</f>
        <v>DOEID25011817</v>
      </c>
      <c r="R1238" t="str">
        <f>DO_DB[[#This Row],[DN Number]]</f>
        <v>DNWID0362025011802</v>
      </c>
    </row>
    <row r="1239" spans="1:18">
      <c r="A1239" t="s">
        <v>2597</v>
      </c>
      <c r="B1239" t="s">
        <v>2598</v>
      </c>
      <c r="C1239" t="s">
        <v>4482</v>
      </c>
      <c r="D1239" t="s">
        <v>71</v>
      </c>
      <c r="E1239" t="s">
        <v>92</v>
      </c>
      <c r="F1239" t="s">
        <v>4499</v>
      </c>
      <c r="G1239" t="s">
        <v>2599</v>
      </c>
      <c r="H1239" t="s">
        <v>2600</v>
      </c>
      <c r="I1239" s="130">
        <v>45677</v>
      </c>
      <c r="J1239" t="s">
        <v>4856</v>
      </c>
      <c r="K1239">
        <v>1</v>
      </c>
      <c r="M12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39" t="str">
        <f>DO_DB[[#This Row],[Material Pick-update]]&amp;"_"&amp;DO_DB[[#This Row],[Material Name]]</f>
        <v>45677_JC 144Core</v>
      </c>
      <c r="O1239" t="str">
        <f>DO_DB[[#This Row],[SiteID]]</f>
        <v>CLR23-02-008</v>
      </c>
      <c r="P1239" t="str">
        <f>DO_DB[[#This Row],[SiteID]]&amp;"_"&amp;DO_DB[[#This Row],[Material Name]]</f>
        <v>CLR23-02-008_JC 144Core</v>
      </c>
      <c r="Q1239" t="str">
        <f>DO_DB[[#This Row],[DO Number]]</f>
        <v>DOEID25011817</v>
      </c>
      <c r="R1239" t="str">
        <f>DO_DB[[#This Row],[DN Number]]</f>
        <v>DNWID0362025011802</v>
      </c>
    </row>
    <row r="1240" spans="1:18">
      <c r="A1240" t="s">
        <v>2597</v>
      </c>
      <c r="B1240" t="s">
        <v>2598</v>
      </c>
      <c r="C1240" t="s">
        <v>4482</v>
      </c>
      <c r="D1240" t="s">
        <v>71</v>
      </c>
      <c r="E1240" t="s">
        <v>92</v>
      </c>
      <c r="F1240" t="s">
        <v>4499</v>
      </c>
      <c r="G1240" t="s">
        <v>2601</v>
      </c>
      <c r="H1240" t="s">
        <v>2602</v>
      </c>
      <c r="I1240" s="130">
        <v>45677</v>
      </c>
      <c r="J1240" t="s">
        <v>15</v>
      </c>
      <c r="K1240">
        <v>1</v>
      </c>
      <c r="M12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40" t="str">
        <f>DO_DB[[#This Row],[Material Pick-update]]&amp;"_"&amp;DO_DB[[#This Row],[Material Name]]</f>
        <v>45677_FDT-72</v>
      </c>
      <c r="O1240" t="str">
        <f>DO_DB[[#This Row],[SiteID]]</f>
        <v>CLR23-02-008</v>
      </c>
      <c r="P1240" t="str">
        <f>DO_DB[[#This Row],[SiteID]]&amp;"_"&amp;DO_DB[[#This Row],[Material Name]]</f>
        <v>CLR23-02-008_FDT-72</v>
      </c>
      <c r="Q1240" t="str">
        <f>DO_DB[[#This Row],[DO Number]]</f>
        <v>DOEID25011818</v>
      </c>
      <c r="R1240" t="str">
        <f>DO_DB[[#This Row],[DN Number]]</f>
        <v>DNWID0342025011804</v>
      </c>
    </row>
    <row r="1241" spans="1:18">
      <c r="A1241" t="s">
        <v>2597</v>
      </c>
      <c r="B1241" t="s">
        <v>2598</v>
      </c>
      <c r="C1241" t="s">
        <v>4482</v>
      </c>
      <c r="D1241" t="s">
        <v>71</v>
      </c>
      <c r="E1241" t="s">
        <v>92</v>
      </c>
      <c r="F1241" t="s">
        <v>4499</v>
      </c>
      <c r="G1241" t="s">
        <v>2601</v>
      </c>
      <c r="H1241" t="s">
        <v>2602</v>
      </c>
      <c r="I1241" s="130">
        <v>45677</v>
      </c>
      <c r="J1241" t="s">
        <v>13</v>
      </c>
      <c r="K1241">
        <v>12</v>
      </c>
      <c r="M12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41" t="str">
        <f>DO_DB[[#This Row],[Material Pick-update]]&amp;"_"&amp;DO_DB[[#This Row],[Material Name]]</f>
        <v>45677_FAT-16</v>
      </c>
      <c r="O1241" t="str">
        <f>DO_DB[[#This Row],[SiteID]]</f>
        <v>CLR23-02-008</v>
      </c>
      <c r="P1241" t="str">
        <f>DO_DB[[#This Row],[SiteID]]&amp;"_"&amp;DO_DB[[#This Row],[Material Name]]</f>
        <v>CLR23-02-008_FAT-16</v>
      </c>
      <c r="Q1241" t="str">
        <f>DO_DB[[#This Row],[DO Number]]</f>
        <v>DOEID25011818</v>
      </c>
      <c r="R1241" t="str">
        <f>DO_DB[[#This Row],[DN Number]]</f>
        <v>DNWID0342025011804</v>
      </c>
    </row>
    <row r="1242" spans="1:18">
      <c r="A1242" t="s">
        <v>2603</v>
      </c>
      <c r="B1242" t="s">
        <v>2604</v>
      </c>
      <c r="C1242" t="s">
        <v>4482</v>
      </c>
      <c r="D1242" t="s">
        <v>71</v>
      </c>
      <c r="E1242" t="s">
        <v>92</v>
      </c>
      <c r="F1242" t="s">
        <v>4499</v>
      </c>
      <c r="G1242" t="s">
        <v>2605</v>
      </c>
      <c r="H1242" t="s">
        <v>2606</v>
      </c>
      <c r="I1242" s="130">
        <v>45677</v>
      </c>
      <c r="J1242" t="s">
        <v>3069</v>
      </c>
      <c r="K1242">
        <v>6</v>
      </c>
      <c r="M12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42" t="str">
        <f>DO_DB[[#This Row],[Material Pick-update]]&amp;"_"&amp;DO_DB[[#This Row],[Material Name]]</f>
        <v>45677_Pole 7M 4"</v>
      </c>
      <c r="O1242" t="str">
        <f>DO_DB[[#This Row],[SiteID]]</f>
        <v>CLR23-02-009</v>
      </c>
      <c r="P1242" t="str">
        <f>DO_DB[[#This Row],[SiteID]]&amp;"_"&amp;DO_DB[[#This Row],[Material Name]]</f>
        <v>CLR23-02-009_Pole 7M 4"</v>
      </c>
      <c r="Q1242" t="str">
        <f>DO_DB[[#This Row],[DO Number]]</f>
        <v>DOEID25011819</v>
      </c>
      <c r="R1242" t="str">
        <f>DO_DB[[#This Row],[DN Number]]</f>
        <v>DNWID0362025011804</v>
      </c>
    </row>
    <row r="1243" spans="1:18">
      <c r="A1243" t="s">
        <v>2603</v>
      </c>
      <c r="B1243" t="s">
        <v>2604</v>
      </c>
      <c r="C1243" t="s">
        <v>4482</v>
      </c>
      <c r="D1243" t="s">
        <v>71</v>
      </c>
      <c r="E1243" t="s">
        <v>92</v>
      </c>
      <c r="F1243" t="s">
        <v>4499</v>
      </c>
      <c r="G1243" t="s">
        <v>2605</v>
      </c>
      <c r="H1243" t="s">
        <v>2606</v>
      </c>
      <c r="I1243" s="130">
        <v>45677</v>
      </c>
      <c r="J1243" t="s">
        <v>3070</v>
      </c>
      <c r="K1243">
        <v>29</v>
      </c>
      <c r="M12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43" t="str">
        <f>DO_DB[[#This Row],[Material Pick-update]]&amp;"_"&amp;DO_DB[[#This Row],[Material Name]]</f>
        <v>45677_Pole 7M 3"</v>
      </c>
      <c r="O1243" t="str">
        <f>DO_DB[[#This Row],[SiteID]]</f>
        <v>CLR23-02-009</v>
      </c>
      <c r="P1243" t="str">
        <f>DO_DB[[#This Row],[SiteID]]&amp;"_"&amp;DO_DB[[#This Row],[Material Name]]</f>
        <v>CLR23-02-009_Pole 7M 3"</v>
      </c>
      <c r="Q1243" t="str">
        <f>DO_DB[[#This Row],[DO Number]]</f>
        <v>DOEID25011819</v>
      </c>
      <c r="R1243" t="str">
        <f>DO_DB[[#This Row],[DN Number]]</f>
        <v>DNWID0362025011804</v>
      </c>
    </row>
    <row r="1244" spans="1:18">
      <c r="A1244" t="s">
        <v>2603</v>
      </c>
      <c r="B1244" t="s">
        <v>2604</v>
      </c>
      <c r="C1244" t="s">
        <v>4482</v>
      </c>
      <c r="D1244" t="s">
        <v>71</v>
      </c>
      <c r="E1244" t="s">
        <v>92</v>
      </c>
      <c r="F1244" t="s">
        <v>4499</v>
      </c>
      <c r="G1244" t="s">
        <v>2607</v>
      </c>
      <c r="H1244" t="s">
        <v>2608</v>
      </c>
      <c r="I1244" s="130">
        <v>45677</v>
      </c>
      <c r="J1244" t="s">
        <v>13</v>
      </c>
      <c r="K1244">
        <v>10</v>
      </c>
      <c r="M12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44" t="str">
        <f>DO_DB[[#This Row],[Material Pick-update]]&amp;"_"&amp;DO_DB[[#This Row],[Material Name]]</f>
        <v>45677_FAT-16</v>
      </c>
      <c r="O1244" t="str">
        <f>DO_DB[[#This Row],[SiteID]]</f>
        <v>CLR23-02-009</v>
      </c>
      <c r="P1244" t="str">
        <f>DO_DB[[#This Row],[SiteID]]&amp;"_"&amp;DO_DB[[#This Row],[Material Name]]</f>
        <v>CLR23-02-009_FAT-16</v>
      </c>
      <c r="Q1244" t="str">
        <f>DO_DB[[#This Row],[DO Number]]</f>
        <v>DOEID25011820</v>
      </c>
      <c r="R1244" t="str">
        <f>DO_DB[[#This Row],[DN Number]]</f>
        <v>DNWID0342025011802</v>
      </c>
    </row>
    <row r="1245" spans="1:18">
      <c r="A1245" t="s">
        <v>2609</v>
      </c>
      <c r="B1245" t="s">
        <v>2610</v>
      </c>
      <c r="C1245" t="s">
        <v>4482</v>
      </c>
      <c r="D1245" t="s">
        <v>71</v>
      </c>
      <c r="E1245" t="s">
        <v>92</v>
      </c>
      <c r="F1245" t="s">
        <v>4499</v>
      </c>
      <c r="G1245" t="s">
        <v>2611</v>
      </c>
      <c r="H1245" t="s">
        <v>2612</v>
      </c>
      <c r="I1245" s="130">
        <v>45677</v>
      </c>
      <c r="J1245" t="s">
        <v>3070</v>
      </c>
      <c r="K1245">
        <v>14</v>
      </c>
      <c r="M12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45" t="str">
        <f>DO_DB[[#This Row],[Material Pick-update]]&amp;"_"&amp;DO_DB[[#This Row],[Material Name]]</f>
        <v>45677_Pole 7M 3"</v>
      </c>
      <c r="O1245" t="str">
        <f>DO_DB[[#This Row],[SiteID]]</f>
        <v>CLR23-02-010</v>
      </c>
      <c r="P1245" t="str">
        <f>DO_DB[[#This Row],[SiteID]]&amp;"_"&amp;DO_DB[[#This Row],[Material Name]]</f>
        <v>CLR23-02-010_Pole 7M 3"</v>
      </c>
      <c r="Q1245" t="str">
        <f>DO_DB[[#This Row],[DO Number]]</f>
        <v>DOEID25011821</v>
      </c>
      <c r="R1245" t="str">
        <f>DO_DB[[#This Row],[DN Number]]</f>
        <v>DNWID0362025011803</v>
      </c>
    </row>
    <row r="1246" spans="1:18">
      <c r="A1246" t="s">
        <v>2609</v>
      </c>
      <c r="B1246" t="s">
        <v>2610</v>
      </c>
      <c r="C1246" t="s">
        <v>4482</v>
      </c>
      <c r="D1246" t="s">
        <v>71</v>
      </c>
      <c r="E1246" t="s">
        <v>92</v>
      </c>
      <c r="F1246" t="s">
        <v>4499</v>
      </c>
      <c r="G1246" t="s">
        <v>2613</v>
      </c>
      <c r="H1246" t="s">
        <v>2614</v>
      </c>
      <c r="I1246" s="130">
        <v>45677</v>
      </c>
      <c r="J1246" t="s">
        <v>13</v>
      </c>
      <c r="K1246">
        <v>8</v>
      </c>
      <c r="M12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46" t="str">
        <f>DO_DB[[#This Row],[Material Pick-update]]&amp;"_"&amp;DO_DB[[#This Row],[Material Name]]</f>
        <v>45677_FAT-16</v>
      </c>
      <c r="O1246" t="str">
        <f>DO_DB[[#This Row],[SiteID]]</f>
        <v>CLR23-02-010</v>
      </c>
      <c r="P1246" t="str">
        <f>DO_DB[[#This Row],[SiteID]]&amp;"_"&amp;DO_DB[[#This Row],[Material Name]]</f>
        <v>CLR23-02-010_FAT-16</v>
      </c>
      <c r="Q1246" t="str">
        <f>DO_DB[[#This Row],[DO Number]]</f>
        <v>DOEID25011822</v>
      </c>
      <c r="R1246" t="str">
        <f>DO_DB[[#This Row],[DN Number]]</f>
        <v>DNWID0342025011801</v>
      </c>
    </row>
    <row r="1247" spans="1:18">
      <c r="A1247" t="s">
        <v>2615</v>
      </c>
      <c r="B1247" t="s">
        <v>2616</v>
      </c>
      <c r="C1247" t="s">
        <v>4482</v>
      </c>
      <c r="D1247" t="s">
        <v>71</v>
      </c>
      <c r="E1247" t="s">
        <v>92</v>
      </c>
      <c r="F1247" t="s">
        <v>4499</v>
      </c>
      <c r="G1247" t="s">
        <v>2617</v>
      </c>
      <c r="H1247" t="s">
        <v>2618</v>
      </c>
      <c r="I1247" s="130">
        <v>45677</v>
      </c>
      <c r="J1247" t="s">
        <v>3070</v>
      </c>
      <c r="K1247">
        <v>35</v>
      </c>
      <c r="M12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47" t="str">
        <f>DO_DB[[#This Row],[Material Pick-update]]&amp;"_"&amp;DO_DB[[#This Row],[Material Name]]</f>
        <v>45677_Pole 7M 3"</v>
      </c>
      <c r="O1247" t="str">
        <f>DO_DB[[#This Row],[SiteID]]</f>
        <v>CLR23-02-013</v>
      </c>
      <c r="P1247" t="str">
        <f>DO_DB[[#This Row],[SiteID]]&amp;"_"&amp;DO_DB[[#This Row],[Material Name]]</f>
        <v>CLR23-02-013_Pole 7M 3"</v>
      </c>
      <c r="Q1247" t="str">
        <f>DO_DB[[#This Row],[DO Number]]</f>
        <v>DOEID25011823</v>
      </c>
      <c r="R1247" t="str">
        <f>DO_DB[[#This Row],[DN Number]]</f>
        <v>DNWID0362025011806</v>
      </c>
    </row>
    <row r="1248" spans="1:18">
      <c r="A1248" t="s">
        <v>2615</v>
      </c>
      <c r="B1248" t="s">
        <v>2616</v>
      </c>
      <c r="C1248" t="s">
        <v>4482</v>
      </c>
      <c r="D1248" t="s">
        <v>71</v>
      </c>
      <c r="E1248" t="s">
        <v>92</v>
      </c>
      <c r="F1248" t="s">
        <v>4499</v>
      </c>
      <c r="G1248" t="s">
        <v>2619</v>
      </c>
      <c r="H1248" t="s">
        <v>2620</v>
      </c>
      <c r="I1248" s="130">
        <v>45677</v>
      </c>
      <c r="J1248" t="s">
        <v>15</v>
      </c>
      <c r="K1248">
        <v>1</v>
      </c>
      <c r="M12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48" t="str">
        <f>DO_DB[[#This Row],[Material Pick-update]]&amp;"_"&amp;DO_DB[[#This Row],[Material Name]]</f>
        <v>45677_FDT-72</v>
      </c>
      <c r="O1248" t="str">
        <f>DO_DB[[#This Row],[SiteID]]</f>
        <v>CLR23-02-013</v>
      </c>
      <c r="P1248" t="str">
        <f>DO_DB[[#This Row],[SiteID]]&amp;"_"&amp;DO_DB[[#This Row],[Material Name]]</f>
        <v>CLR23-02-013_FDT-72</v>
      </c>
      <c r="Q1248" t="str">
        <f>DO_DB[[#This Row],[DO Number]]</f>
        <v>DOEID25011824</v>
      </c>
      <c r="R1248" t="str">
        <f>DO_DB[[#This Row],[DN Number]]</f>
        <v>DNWID0342025011805</v>
      </c>
    </row>
    <row r="1249" spans="1:18">
      <c r="A1249" t="s">
        <v>2615</v>
      </c>
      <c r="B1249" t="s">
        <v>2616</v>
      </c>
      <c r="C1249" t="s">
        <v>4482</v>
      </c>
      <c r="D1249" t="s">
        <v>71</v>
      </c>
      <c r="E1249" t="s">
        <v>92</v>
      </c>
      <c r="F1249" t="s">
        <v>4499</v>
      </c>
      <c r="G1249" t="s">
        <v>2619</v>
      </c>
      <c r="H1249" t="s">
        <v>2620</v>
      </c>
      <c r="I1249" s="130">
        <v>45677</v>
      </c>
      <c r="J1249" t="s">
        <v>13</v>
      </c>
      <c r="K1249">
        <v>16</v>
      </c>
      <c r="M12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49" t="str">
        <f>DO_DB[[#This Row],[Material Pick-update]]&amp;"_"&amp;DO_DB[[#This Row],[Material Name]]</f>
        <v>45677_FAT-16</v>
      </c>
      <c r="O1249" t="str">
        <f>DO_DB[[#This Row],[SiteID]]</f>
        <v>CLR23-02-013</v>
      </c>
      <c r="P1249" t="str">
        <f>DO_DB[[#This Row],[SiteID]]&amp;"_"&amp;DO_DB[[#This Row],[Material Name]]</f>
        <v>CLR23-02-013_FAT-16</v>
      </c>
      <c r="Q1249" t="str">
        <f>DO_DB[[#This Row],[DO Number]]</f>
        <v>DOEID25011824</v>
      </c>
      <c r="R1249" t="str">
        <f>DO_DB[[#This Row],[DN Number]]</f>
        <v>DNWID0342025011805</v>
      </c>
    </row>
    <row r="1250" spans="1:18">
      <c r="A1250" t="s">
        <v>1567</v>
      </c>
      <c r="B1250" t="s">
        <v>1568</v>
      </c>
      <c r="C1250" t="s">
        <v>4482</v>
      </c>
      <c r="D1250" t="s">
        <v>71</v>
      </c>
      <c r="E1250" t="s">
        <v>25</v>
      </c>
      <c r="F1250" t="s">
        <v>3297</v>
      </c>
      <c r="G1250" t="s">
        <v>1569</v>
      </c>
      <c r="H1250" t="s">
        <v>1570</v>
      </c>
      <c r="I1250" s="130">
        <v>45457</v>
      </c>
      <c r="J1250" t="s">
        <v>3069</v>
      </c>
      <c r="K1250">
        <v>60</v>
      </c>
      <c r="M12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50" t="str">
        <f>DO_DB[[#This Row],[Material Pick-update]]&amp;"_"&amp;DO_DB[[#This Row],[Material Name]]</f>
        <v>45457_Pole 7M 4"</v>
      </c>
      <c r="O1250" t="str">
        <f>DO_DB[[#This Row],[SiteID]]</f>
        <v>CLR64-01-026</v>
      </c>
      <c r="P1250" t="str">
        <f>DO_DB[[#This Row],[SiteID]]&amp;"_"&amp;DO_DB[[#This Row],[Material Name]]</f>
        <v>CLR64-01-026_Pole 7M 4"</v>
      </c>
      <c r="Q1250" t="str">
        <f>DO_DB[[#This Row],[DO Number]]</f>
        <v>DOEID240613GT</v>
      </c>
      <c r="R1250" t="str">
        <f>DO_DB[[#This Row],[DN Number]]</f>
        <v>DNWID0362024061405</v>
      </c>
    </row>
    <row r="1251" spans="1:18">
      <c r="A1251" t="s">
        <v>1567</v>
      </c>
      <c r="B1251" t="s">
        <v>1568</v>
      </c>
      <c r="C1251" t="s">
        <v>4482</v>
      </c>
      <c r="D1251" t="s">
        <v>71</v>
      </c>
      <c r="E1251" t="s">
        <v>25</v>
      </c>
      <c r="F1251" t="s">
        <v>3297</v>
      </c>
      <c r="G1251" t="s">
        <v>1569</v>
      </c>
      <c r="H1251" t="s">
        <v>1570</v>
      </c>
      <c r="I1251" s="130">
        <v>45457</v>
      </c>
      <c r="J1251" t="s">
        <v>3070</v>
      </c>
      <c r="K1251">
        <v>6</v>
      </c>
      <c r="M12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51" t="str">
        <f>DO_DB[[#This Row],[Material Pick-update]]&amp;"_"&amp;DO_DB[[#This Row],[Material Name]]</f>
        <v>45457_Pole 7M 3"</v>
      </c>
      <c r="O1251" t="str">
        <f>DO_DB[[#This Row],[SiteID]]</f>
        <v>CLR64-01-026</v>
      </c>
      <c r="P1251" t="str">
        <f>DO_DB[[#This Row],[SiteID]]&amp;"_"&amp;DO_DB[[#This Row],[Material Name]]</f>
        <v>CLR64-01-026_Pole 7M 3"</v>
      </c>
      <c r="Q1251" t="str">
        <f>DO_DB[[#This Row],[DO Number]]</f>
        <v>DOEID240613GT</v>
      </c>
      <c r="R1251" t="str">
        <f>DO_DB[[#This Row],[DN Number]]</f>
        <v>DNWID0362024061405</v>
      </c>
    </row>
    <row r="1252" spans="1:18">
      <c r="A1252" t="s">
        <v>1567</v>
      </c>
      <c r="B1252" t="s">
        <v>1568</v>
      </c>
      <c r="C1252" t="s">
        <v>4482</v>
      </c>
      <c r="D1252" t="s">
        <v>71</v>
      </c>
      <c r="E1252" t="s">
        <v>25</v>
      </c>
      <c r="F1252" t="s">
        <v>3297</v>
      </c>
      <c r="G1252" t="s">
        <v>1569</v>
      </c>
      <c r="H1252" t="s">
        <v>1570</v>
      </c>
      <c r="I1252" s="130">
        <v>45457</v>
      </c>
      <c r="J1252" t="s">
        <v>3071</v>
      </c>
      <c r="K1252">
        <v>2</v>
      </c>
      <c r="M12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52" t="str">
        <f>DO_DB[[#This Row],[Material Pick-update]]&amp;"_"&amp;DO_DB[[#This Row],[Material Name]]</f>
        <v>45457_Pole 9M</v>
      </c>
      <c r="O1252" t="str">
        <f>DO_DB[[#This Row],[SiteID]]</f>
        <v>CLR64-01-026</v>
      </c>
      <c r="P1252" t="str">
        <f>DO_DB[[#This Row],[SiteID]]&amp;"_"&amp;DO_DB[[#This Row],[Material Name]]</f>
        <v>CLR64-01-026_Pole 9M</v>
      </c>
      <c r="Q1252" t="str">
        <f>DO_DB[[#This Row],[DO Number]]</f>
        <v>DOEID240613GT</v>
      </c>
      <c r="R1252" t="str">
        <f>DO_DB[[#This Row],[DN Number]]</f>
        <v>DNWID0362024061405</v>
      </c>
    </row>
    <row r="1253" spans="1:18">
      <c r="A1253" t="s">
        <v>1567</v>
      </c>
      <c r="B1253" t="s">
        <v>1568</v>
      </c>
      <c r="C1253" t="s">
        <v>4482</v>
      </c>
      <c r="D1253" t="s">
        <v>71</v>
      </c>
      <c r="E1253" t="s">
        <v>25</v>
      </c>
      <c r="F1253" t="s">
        <v>3297</v>
      </c>
      <c r="G1253" t="s">
        <v>1581</v>
      </c>
      <c r="H1253" t="s">
        <v>1582</v>
      </c>
      <c r="I1253" s="130">
        <v>45457</v>
      </c>
      <c r="J1253" t="s">
        <v>4856</v>
      </c>
      <c r="K1253">
        <v>1</v>
      </c>
      <c r="M12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53" t="str">
        <f>DO_DB[[#This Row],[Material Pick-update]]&amp;"_"&amp;DO_DB[[#This Row],[Material Name]]</f>
        <v>45457_JC 144Core</v>
      </c>
      <c r="O1253" t="str">
        <f>DO_DB[[#This Row],[SiteID]]</f>
        <v>CLR64-01-026</v>
      </c>
      <c r="P1253" t="str">
        <f>DO_DB[[#This Row],[SiteID]]&amp;"_"&amp;DO_DB[[#This Row],[Material Name]]</f>
        <v>CLR64-01-026_JC 144Core</v>
      </c>
      <c r="Q1253" t="str">
        <f>DO_DB[[#This Row],[DO Number]]</f>
        <v>DOEID240613GU</v>
      </c>
      <c r="R1253" t="str">
        <f>DO_DB[[#This Row],[DN Number]]</f>
        <v>DNWID0762024061404</v>
      </c>
    </row>
    <row r="1254" spans="1:18">
      <c r="A1254" t="s">
        <v>1567</v>
      </c>
      <c r="B1254" t="s">
        <v>1568</v>
      </c>
      <c r="C1254" t="s">
        <v>4482</v>
      </c>
      <c r="D1254" t="s">
        <v>71</v>
      </c>
      <c r="E1254" t="s">
        <v>25</v>
      </c>
      <c r="F1254" t="s">
        <v>3297</v>
      </c>
      <c r="G1254" t="s">
        <v>1587</v>
      </c>
      <c r="H1254" t="s">
        <v>1588</v>
      </c>
      <c r="I1254" s="130">
        <v>45457</v>
      </c>
      <c r="J1254" t="s">
        <v>14</v>
      </c>
      <c r="K1254">
        <v>1</v>
      </c>
      <c r="M12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54" t="str">
        <f>DO_DB[[#This Row],[Material Pick-update]]&amp;"_"&amp;DO_DB[[#This Row],[Material Name]]</f>
        <v>45457_FDT-48</v>
      </c>
      <c r="O1254" t="str">
        <f>DO_DB[[#This Row],[SiteID]]</f>
        <v>CLR64-01-026</v>
      </c>
      <c r="P1254" t="str">
        <f>DO_DB[[#This Row],[SiteID]]&amp;"_"&amp;DO_DB[[#This Row],[Material Name]]</f>
        <v>CLR64-01-026_FDT-48</v>
      </c>
      <c r="Q1254" t="str">
        <f>DO_DB[[#This Row],[DO Number]]</f>
        <v>DOEID240613GV</v>
      </c>
      <c r="R1254" t="str">
        <f>DO_DB[[#This Row],[DN Number]]</f>
        <v>DNWID0342024061416</v>
      </c>
    </row>
    <row r="1255" spans="1:18">
      <c r="A1255" t="s">
        <v>1567</v>
      </c>
      <c r="B1255" t="s">
        <v>1568</v>
      </c>
      <c r="C1255" t="s">
        <v>4482</v>
      </c>
      <c r="D1255" t="s">
        <v>71</v>
      </c>
      <c r="E1255" t="s">
        <v>25</v>
      </c>
      <c r="F1255" t="s">
        <v>3297</v>
      </c>
      <c r="G1255" t="s">
        <v>1587</v>
      </c>
      <c r="H1255" t="s">
        <v>1588</v>
      </c>
      <c r="I1255" s="130">
        <v>45457</v>
      </c>
      <c r="J1255" t="s">
        <v>13</v>
      </c>
      <c r="K1255">
        <v>16</v>
      </c>
      <c r="M12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55" t="str">
        <f>DO_DB[[#This Row],[Material Pick-update]]&amp;"_"&amp;DO_DB[[#This Row],[Material Name]]</f>
        <v>45457_FAT-16</v>
      </c>
      <c r="O1255" t="str">
        <f>DO_DB[[#This Row],[SiteID]]</f>
        <v>CLR64-01-026</v>
      </c>
      <c r="P1255" t="str">
        <f>DO_DB[[#This Row],[SiteID]]&amp;"_"&amp;DO_DB[[#This Row],[Material Name]]</f>
        <v>CLR64-01-026_FAT-16</v>
      </c>
      <c r="Q1255" t="str">
        <f>DO_DB[[#This Row],[DO Number]]</f>
        <v>DOEID240613GV</v>
      </c>
      <c r="R1255" t="str">
        <f>DO_DB[[#This Row],[DN Number]]</f>
        <v>DNWID0342024061416</v>
      </c>
    </row>
    <row r="1256" spans="1:18">
      <c r="A1256" t="s">
        <v>1563</v>
      </c>
      <c r="B1256" t="s">
        <v>1564</v>
      </c>
      <c r="C1256" t="s">
        <v>4482</v>
      </c>
      <c r="D1256" t="s">
        <v>71</v>
      </c>
      <c r="E1256" t="s">
        <v>25</v>
      </c>
      <c r="F1256" t="s">
        <v>3297</v>
      </c>
      <c r="G1256" t="s">
        <v>1565</v>
      </c>
      <c r="H1256" t="s">
        <v>1566</v>
      </c>
      <c r="I1256" s="130">
        <v>45457</v>
      </c>
      <c r="J1256" t="s">
        <v>3069</v>
      </c>
      <c r="K1256">
        <v>71</v>
      </c>
      <c r="M12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56" t="str">
        <f>DO_DB[[#This Row],[Material Pick-update]]&amp;"_"&amp;DO_DB[[#This Row],[Material Name]]</f>
        <v>45457_Pole 7M 4"</v>
      </c>
      <c r="O1256" t="str">
        <f>DO_DB[[#This Row],[SiteID]]</f>
        <v>CLR64-01-025</v>
      </c>
      <c r="P1256" t="str">
        <f>DO_DB[[#This Row],[SiteID]]&amp;"_"&amp;DO_DB[[#This Row],[Material Name]]</f>
        <v>CLR64-01-025_Pole 7M 4"</v>
      </c>
      <c r="Q1256" t="str">
        <f>DO_DB[[#This Row],[DO Number]]</f>
        <v>DOEID240613GW</v>
      </c>
      <c r="R1256" t="str">
        <f>DO_DB[[#This Row],[DN Number]]</f>
        <v>DNWID0362024061404</v>
      </c>
    </row>
    <row r="1257" spans="1:18">
      <c r="A1257" t="s">
        <v>1563</v>
      </c>
      <c r="B1257" t="s">
        <v>1564</v>
      </c>
      <c r="C1257" t="s">
        <v>4482</v>
      </c>
      <c r="D1257" t="s">
        <v>71</v>
      </c>
      <c r="E1257" t="s">
        <v>25</v>
      </c>
      <c r="F1257" t="s">
        <v>3297</v>
      </c>
      <c r="G1257" t="s">
        <v>1565</v>
      </c>
      <c r="H1257" t="s">
        <v>1566</v>
      </c>
      <c r="I1257" s="130">
        <v>45457</v>
      </c>
      <c r="J1257" t="s">
        <v>3071</v>
      </c>
      <c r="K1257">
        <v>8</v>
      </c>
      <c r="M12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57" t="str">
        <f>DO_DB[[#This Row],[Material Pick-update]]&amp;"_"&amp;DO_DB[[#This Row],[Material Name]]</f>
        <v>45457_Pole 9M</v>
      </c>
      <c r="O1257" t="str">
        <f>DO_DB[[#This Row],[SiteID]]</f>
        <v>CLR64-01-025</v>
      </c>
      <c r="P1257" t="str">
        <f>DO_DB[[#This Row],[SiteID]]&amp;"_"&amp;DO_DB[[#This Row],[Material Name]]</f>
        <v>CLR64-01-025_Pole 9M</v>
      </c>
      <c r="Q1257" t="str">
        <f>DO_DB[[#This Row],[DO Number]]</f>
        <v>DOEID240613GW</v>
      </c>
      <c r="R1257" t="str">
        <f>DO_DB[[#This Row],[DN Number]]</f>
        <v>DNWID0362024061404</v>
      </c>
    </row>
    <row r="1258" spans="1:18">
      <c r="A1258" t="s">
        <v>1563</v>
      </c>
      <c r="B1258" t="s">
        <v>1564</v>
      </c>
      <c r="C1258" t="s">
        <v>4482</v>
      </c>
      <c r="D1258" t="s">
        <v>71</v>
      </c>
      <c r="E1258" t="s">
        <v>25</v>
      </c>
      <c r="F1258" t="s">
        <v>3297</v>
      </c>
      <c r="G1258" t="s">
        <v>1585</v>
      </c>
      <c r="H1258" t="s">
        <v>1586</v>
      </c>
      <c r="I1258" s="130">
        <v>45457</v>
      </c>
      <c r="J1258" t="s">
        <v>4856</v>
      </c>
      <c r="K1258">
        <v>1</v>
      </c>
      <c r="M12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58" t="str">
        <f>DO_DB[[#This Row],[Material Pick-update]]&amp;"_"&amp;DO_DB[[#This Row],[Material Name]]</f>
        <v>45457_JC 144Core</v>
      </c>
      <c r="O1258" t="str">
        <f>DO_DB[[#This Row],[SiteID]]</f>
        <v>CLR64-01-025</v>
      </c>
      <c r="P1258" t="str">
        <f>DO_DB[[#This Row],[SiteID]]&amp;"_"&amp;DO_DB[[#This Row],[Material Name]]</f>
        <v>CLR64-01-025_JC 144Core</v>
      </c>
      <c r="Q1258" t="str">
        <f>DO_DB[[#This Row],[DO Number]]</f>
        <v>DOEID240613GX</v>
      </c>
      <c r="R1258" t="str">
        <f>DO_DB[[#This Row],[DN Number]]</f>
        <v>DNWID0762024061402</v>
      </c>
    </row>
    <row r="1259" spans="1:18">
      <c r="A1259" t="s">
        <v>1563</v>
      </c>
      <c r="B1259" t="s">
        <v>1564</v>
      </c>
      <c r="C1259" t="s">
        <v>4482</v>
      </c>
      <c r="D1259" t="s">
        <v>71</v>
      </c>
      <c r="E1259" t="s">
        <v>25</v>
      </c>
      <c r="F1259" t="s">
        <v>3297</v>
      </c>
      <c r="G1259" t="s">
        <v>1579</v>
      </c>
      <c r="H1259" t="s">
        <v>1580</v>
      </c>
      <c r="I1259" s="130">
        <v>45457</v>
      </c>
      <c r="J1259" t="s">
        <v>14</v>
      </c>
      <c r="K1259">
        <v>2</v>
      </c>
      <c r="M12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59" t="str">
        <f>DO_DB[[#This Row],[Material Pick-update]]&amp;"_"&amp;DO_DB[[#This Row],[Material Name]]</f>
        <v>45457_FDT-48</v>
      </c>
      <c r="O1259" t="str">
        <f>DO_DB[[#This Row],[SiteID]]</f>
        <v>CLR64-01-025</v>
      </c>
      <c r="P1259" t="str">
        <f>DO_DB[[#This Row],[SiteID]]&amp;"_"&amp;DO_DB[[#This Row],[Material Name]]</f>
        <v>CLR64-01-025_FDT-48</v>
      </c>
      <c r="Q1259" t="str">
        <f>DO_DB[[#This Row],[DO Number]]</f>
        <v>DOEID240613GY</v>
      </c>
      <c r="R1259" t="str">
        <f>DO_DB[[#This Row],[DN Number]]</f>
        <v>DNWID0342024061402</v>
      </c>
    </row>
    <row r="1260" spans="1:18">
      <c r="A1260" t="s">
        <v>1563</v>
      </c>
      <c r="B1260" t="s">
        <v>1564</v>
      </c>
      <c r="C1260" t="s">
        <v>4482</v>
      </c>
      <c r="D1260" t="s">
        <v>71</v>
      </c>
      <c r="E1260" t="s">
        <v>25</v>
      </c>
      <c r="F1260" t="s">
        <v>3297</v>
      </c>
      <c r="G1260" t="s">
        <v>1579</v>
      </c>
      <c r="H1260" t="s">
        <v>1580</v>
      </c>
      <c r="I1260" s="130">
        <v>45457</v>
      </c>
      <c r="J1260" t="s">
        <v>13</v>
      </c>
      <c r="K1260">
        <v>47</v>
      </c>
      <c r="M12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60" t="str">
        <f>DO_DB[[#This Row],[Material Pick-update]]&amp;"_"&amp;DO_DB[[#This Row],[Material Name]]</f>
        <v>45457_FAT-16</v>
      </c>
      <c r="O1260" t="str">
        <f>DO_DB[[#This Row],[SiteID]]</f>
        <v>CLR64-01-025</v>
      </c>
      <c r="P1260" t="str">
        <f>DO_DB[[#This Row],[SiteID]]&amp;"_"&amp;DO_DB[[#This Row],[Material Name]]</f>
        <v>CLR64-01-025_FAT-16</v>
      </c>
      <c r="Q1260" t="str">
        <f>DO_DB[[#This Row],[DO Number]]</f>
        <v>DOEID240613GY</v>
      </c>
      <c r="R1260" t="str">
        <f>DO_DB[[#This Row],[DN Number]]</f>
        <v>DNWID0342024061402</v>
      </c>
    </row>
    <row r="1261" spans="1:18">
      <c r="A1261" t="s">
        <v>1563</v>
      </c>
      <c r="B1261" t="s">
        <v>1564</v>
      </c>
      <c r="C1261" t="s">
        <v>4482</v>
      </c>
      <c r="D1261" t="s">
        <v>71</v>
      </c>
      <c r="E1261" t="s">
        <v>25</v>
      </c>
      <c r="F1261" t="s">
        <v>3297</v>
      </c>
      <c r="G1261" t="s">
        <v>1579</v>
      </c>
      <c r="H1261" t="s">
        <v>1580</v>
      </c>
      <c r="I1261" s="130">
        <v>45457</v>
      </c>
      <c r="J1261" t="s">
        <v>3080</v>
      </c>
      <c r="K1261">
        <v>6</v>
      </c>
      <c r="M12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61" t="str">
        <f>DO_DB[[#This Row],[Material Pick-update]]&amp;"_"&amp;DO_DB[[#This Row],[Material Name]]</f>
        <v>45457_1:8 SPL for FDT-AE &amp; UG</v>
      </c>
      <c r="O1261" t="str">
        <f>DO_DB[[#This Row],[SiteID]]</f>
        <v>CLR64-01-025</v>
      </c>
      <c r="P1261" t="str">
        <f>DO_DB[[#This Row],[SiteID]]&amp;"_"&amp;DO_DB[[#This Row],[Material Name]]</f>
        <v>CLR64-01-025_1:8 SPL for FDT-AE &amp; UG</v>
      </c>
      <c r="Q1261" t="str">
        <f>DO_DB[[#This Row],[DO Number]]</f>
        <v>DOEID240613GY</v>
      </c>
      <c r="R1261" t="str">
        <f>DO_DB[[#This Row],[DN Number]]</f>
        <v>DNWID0342024061402</v>
      </c>
    </row>
    <row r="1262" spans="1:18">
      <c r="A1262" t="s">
        <v>1571</v>
      </c>
      <c r="B1262" t="s">
        <v>1572</v>
      </c>
      <c r="C1262" t="s">
        <v>4482</v>
      </c>
      <c r="D1262" t="s">
        <v>71</v>
      </c>
      <c r="E1262" t="s">
        <v>25</v>
      </c>
      <c r="F1262" t="s">
        <v>3297</v>
      </c>
      <c r="G1262" t="s">
        <v>1573</v>
      </c>
      <c r="H1262" t="s">
        <v>1574</v>
      </c>
      <c r="I1262" s="130">
        <v>45457</v>
      </c>
      <c r="J1262" t="s">
        <v>3069</v>
      </c>
      <c r="K1262">
        <v>71</v>
      </c>
      <c r="M12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62" t="str">
        <f>DO_DB[[#This Row],[Material Pick-update]]&amp;"_"&amp;DO_DB[[#This Row],[Material Name]]</f>
        <v>45457_Pole 7M 4"</v>
      </c>
      <c r="O1262" t="str">
        <f>DO_DB[[#This Row],[SiteID]]</f>
        <v>CLR64-01-028</v>
      </c>
      <c r="P1262" t="str">
        <f>DO_DB[[#This Row],[SiteID]]&amp;"_"&amp;DO_DB[[#This Row],[Material Name]]</f>
        <v>CLR64-01-028_Pole 7M 4"</v>
      </c>
      <c r="Q1262" t="str">
        <f>DO_DB[[#This Row],[DO Number]]</f>
        <v>DOEID240613GZ</v>
      </c>
      <c r="R1262" t="str">
        <f>DO_DB[[#This Row],[DN Number]]</f>
        <v>DNWID0362024061402</v>
      </c>
    </row>
    <row r="1263" spans="1:18">
      <c r="A1263" t="s">
        <v>1571</v>
      </c>
      <c r="B1263" t="s">
        <v>1572</v>
      </c>
      <c r="C1263" t="s">
        <v>4482</v>
      </c>
      <c r="D1263" t="s">
        <v>71</v>
      </c>
      <c r="E1263" t="s">
        <v>25</v>
      </c>
      <c r="F1263" t="s">
        <v>3297</v>
      </c>
      <c r="G1263" t="s">
        <v>1573</v>
      </c>
      <c r="H1263" t="s">
        <v>1574</v>
      </c>
      <c r="I1263" s="130">
        <v>45457</v>
      </c>
      <c r="J1263" t="s">
        <v>3070</v>
      </c>
      <c r="K1263">
        <v>2</v>
      </c>
      <c r="M12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63" t="str">
        <f>DO_DB[[#This Row],[Material Pick-update]]&amp;"_"&amp;DO_DB[[#This Row],[Material Name]]</f>
        <v>45457_Pole 7M 3"</v>
      </c>
      <c r="O1263" t="str">
        <f>DO_DB[[#This Row],[SiteID]]</f>
        <v>CLR64-01-028</v>
      </c>
      <c r="P1263" t="str">
        <f>DO_DB[[#This Row],[SiteID]]&amp;"_"&amp;DO_DB[[#This Row],[Material Name]]</f>
        <v>CLR64-01-028_Pole 7M 3"</v>
      </c>
      <c r="Q1263" t="str">
        <f>DO_DB[[#This Row],[DO Number]]</f>
        <v>DOEID240613GZ</v>
      </c>
      <c r="R1263" t="str">
        <f>DO_DB[[#This Row],[DN Number]]</f>
        <v>DNWID0362024061402</v>
      </c>
    </row>
    <row r="1264" spans="1:18">
      <c r="A1264" t="s">
        <v>1571</v>
      </c>
      <c r="B1264" t="s">
        <v>1572</v>
      </c>
      <c r="C1264" t="s">
        <v>4482</v>
      </c>
      <c r="D1264" t="s">
        <v>71</v>
      </c>
      <c r="E1264" t="s">
        <v>25</v>
      </c>
      <c r="F1264" t="s">
        <v>3297</v>
      </c>
      <c r="G1264" t="s">
        <v>1573</v>
      </c>
      <c r="H1264" t="s">
        <v>1574</v>
      </c>
      <c r="I1264" s="130">
        <v>45457</v>
      </c>
      <c r="J1264" t="s">
        <v>3071</v>
      </c>
      <c r="K1264">
        <v>1</v>
      </c>
      <c r="M12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64" t="str">
        <f>DO_DB[[#This Row],[Material Pick-update]]&amp;"_"&amp;DO_DB[[#This Row],[Material Name]]</f>
        <v>45457_Pole 9M</v>
      </c>
      <c r="O1264" t="str">
        <f>DO_DB[[#This Row],[SiteID]]</f>
        <v>CLR64-01-028</v>
      </c>
      <c r="P1264" t="str">
        <f>DO_DB[[#This Row],[SiteID]]&amp;"_"&amp;DO_DB[[#This Row],[Material Name]]</f>
        <v>CLR64-01-028_Pole 9M</v>
      </c>
      <c r="Q1264" t="str">
        <f>DO_DB[[#This Row],[DO Number]]</f>
        <v>DOEID240613GZ</v>
      </c>
      <c r="R1264" t="str">
        <f>DO_DB[[#This Row],[DN Number]]</f>
        <v>DNWID0362024061402</v>
      </c>
    </row>
    <row r="1265" spans="1:18">
      <c r="A1265" t="s">
        <v>1571</v>
      </c>
      <c r="B1265" t="s">
        <v>1572</v>
      </c>
      <c r="C1265" t="s">
        <v>4482</v>
      </c>
      <c r="D1265" t="s">
        <v>71</v>
      </c>
      <c r="E1265" t="s">
        <v>25</v>
      </c>
      <c r="F1265" t="s">
        <v>3297</v>
      </c>
      <c r="G1265" t="s">
        <v>1583</v>
      </c>
      <c r="H1265" t="s">
        <v>1584</v>
      </c>
      <c r="I1265" s="130">
        <v>45457</v>
      </c>
      <c r="J1265" t="s">
        <v>4856</v>
      </c>
      <c r="K1265">
        <v>1</v>
      </c>
      <c r="M12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65" t="str">
        <f>DO_DB[[#This Row],[Material Pick-update]]&amp;"_"&amp;DO_DB[[#This Row],[Material Name]]</f>
        <v>45457_JC 144Core</v>
      </c>
      <c r="O1265" t="str">
        <f>DO_DB[[#This Row],[SiteID]]</f>
        <v>CLR64-01-028</v>
      </c>
      <c r="P1265" t="str">
        <f>DO_DB[[#This Row],[SiteID]]&amp;"_"&amp;DO_DB[[#This Row],[Material Name]]</f>
        <v>CLR64-01-028_JC 144Core</v>
      </c>
      <c r="Q1265" t="str">
        <f>DO_DB[[#This Row],[DO Number]]</f>
        <v>DOEID240613H0</v>
      </c>
      <c r="R1265" t="str">
        <f>DO_DB[[#This Row],[DN Number]]</f>
        <v>DNWID0762024061403</v>
      </c>
    </row>
    <row r="1266" spans="1:18">
      <c r="A1266" t="s">
        <v>1571</v>
      </c>
      <c r="B1266" t="s">
        <v>1572</v>
      </c>
      <c r="C1266" t="s">
        <v>4482</v>
      </c>
      <c r="D1266" t="s">
        <v>71</v>
      </c>
      <c r="E1266" t="s">
        <v>25</v>
      </c>
      <c r="F1266" t="s">
        <v>3297</v>
      </c>
      <c r="G1266" t="s">
        <v>1577</v>
      </c>
      <c r="H1266" t="s">
        <v>1578</v>
      </c>
      <c r="I1266" s="130">
        <v>45457</v>
      </c>
      <c r="J1266" t="s">
        <v>14</v>
      </c>
      <c r="K1266">
        <v>1</v>
      </c>
      <c r="M12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66" t="str">
        <f>DO_DB[[#This Row],[Material Pick-update]]&amp;"_"&amp;DO_DB[[#This Row],[Material Name]]</f>
        <v>45457_FDT-48</v>
      </c>
      <c r="O1266" t="str">
        <f>DO_DB[[#This Row],[SiteID]]</f>
        <v>CLR64-01-028</v>
      </c>
      <c r="P1266" t="str">
        <f>DO_DB[[#This Row],[SiteID]]&amp;"_"&amp;DO_DB[[#This Row],[Material Name]]</f>
        <v>CLR64-01-028_FDT-48</v>
      </c>
      <c r="Q1266" t="str">
        <f>DO_DB[[#This Row],[DO Number]]</f>
        <v>DOEID240613H1</v>
      </c>
      <c r="R1266" t="str">
        <f>DO_DB[[#This Row],[DN Number]]</f>
        <v>DNWID0342024061404</v>
      </c>
    </row>
    <row r="1267" spans="1:18">
      <c r="A1267" t="s">
        <v>1571</v>
      </c>
      <c r="B1267" t="s">
        <v>1572</v>
      </c>
      <c r="C1267" t="s">
        <v>4482</v>
      </c>
      <c r="D1267" t="s">
        <v>71</v>
      </c>
      <c r="E1267" t="s">
        <v>25</v>
      </c>
      <c r="F1267" t="s">
        <v>3297</v>
      </c>
      <c r="G1267" t="s">
        <v>1577</v>
      </c>
      <c r="H1267" t="s">
        <v>1578</v>
      </c>
      <c r="I1267" s="130">
        <v>45457</v>
      </c>
      <c r="J1267" t="s">
        <v>13</v>
      </c>
      <c r="K1267">
        <v>21</v>
      </c>
      <c r="M12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67" t="str">
        <f>DO_DB[[#This Row],[Material Pick-update]]&amp;"_"&amp;DO_DB[[#This Row],[Material Name]]</f>
        <v>45457_FAT-16</v>
      </c>
      <c r="O1267" t="str">
        <f>DO_DB[[#This Row],[SiteID]]</f>
        <v>CLR64-01-028</v>
      </c>
      <c r="P1267" t="str">
        <f>DO_DB[[#This Row],[SiteID]]&amp;"_"&amp;DO_DB[[#This Row],[Material Name]]</f>
        <v>CLR64-01-028_FAT-16</v>
      </c>
      <c r="Q1267" t="str">
        <f>DO_DB[[#This Row],[DO Number]]</f>
        <v>DOEID240613H1</v>
      </c>
      <c r="R1267" t="str">
        <f>DO_DB[[#This Row],[DN Number]]</f>
        <v>DNWID0342024061404</v>
      </c>
    </row>
    <row r="1268" spans="1:18">
      <c r="A1268" t="s">
        <v>1571</v>
      </c>
      <c r="B1268" t="s">
        <v>1572</v>
      </c>
      <c r="C1268" t="s">
        <v>4482</v>
      </c>
      <c r="D1268" t="s">
        <v>71</v>
      </c>
      <c r="E1268" t="s">
        <v>25</v>
      </c>
      <c r="F1268" t="s">
        <v>3297</v>
      </c>
      <c r="G1268" t="s">
        <v>1577</v>
      </c>
      <c r="H1268" t="s">
        <v>1578</v>
      </c>
      <c r="I1268" s="130">
        <v>45457</v>
      </c>
      <c r="J1268" t="s">
        <v>3080</v>
      </c>
      <c r="K1268">
        <v>3</v>
      </c>
      <c r="M12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68" t="str">
        <f>DO_DB[[#This Row],[Material Pick-update]]&amp;"_"&amp;DO_DB[[#This Row],[Material Name]]</f>
        <v>45457_1:8 SPL for FDT-AE &amp; UG</v>
      </c>
      <c r="O1268" t="str">
        <f>DO_DB[[#This Row],[SiteID]]</f>
        <v>CLR64-01-028</v>
      </c>
      <c r="P1268" t="str">
        <f>DO_DB[[#This Row],[SiteID]]&amp;"_"&amp;DO_DB[[#This Row],[Material Name]]</f>
        <v>CLR64-01-028_1:8 SPL for FDT-AE &amp; UG</v>
      </c>
      <c r="Q1268" t="str">
        <f>DO_DB[[#This Row],[DO Number]]</f>
        <v>DOEID240613H1</v>
      </c>
      <c r="R1268" t="str">
        <f>DO_DB[[#This Row],[DN Number]]</f>
        <v>DNWID0342024061404</v>
      </c>
    </row>
    <row r="1269" spans="1:18">
      <c r="A1269" t="s">
        <v>1559</v>
      </c>
      <c r="B1269" t="s">
        <v>1560</v>
      </c>
      <c r="C1269" t="s">
        <v>4482</v>
      </c>
      <c r="D1269" t="s">
        <v>71</v>
      </c>
      <c r="E1269" t="s">
        <v>25</v>
      </c>
      <c r="F1269" t="s">
        <v>3297</v>
      </c>
      <c r="G1269" t="s">
        <v>1561</v>
      </c>
      <c r="H1269" t="s">
        <v>1562</v>
      </c>
      <c r="I1269" s="130">
        <v>45457</v>
      </c>
      <c r="J1269" t="s">
        <v>3069</v>
      </c>
      <c r="K1269">
        <v>70</v>
      </c>
      <c r="M12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69" t="str">
        <f>DO_DB[[#This Row],[Material Pick-update]]&amp;"_"&amp;DO_DB[[#This Row],[Material Name]]</f>
        <v>45457_Pole 7M 4"</v>
      </c>
      <c r="O1269" t="str">
        <f>DO_DB[[#This Row],[SiteID]]</f>
        <v>CLR64-01-013</v>
      </c>
      <c r="P1269" t="str">
        <f>DO_DB[[#This Row],[SiteID]]&amp;"_"&amp;DO_DB[[#This Row],[Material Name]]</f>
        <v>CLR64-01-013_Pole 7M 4"</v>
      </c>
      <c r="Q1269" t="str">
        <f>DO_DB[[#This Row],[DO Number]]</f>
        <v>DOEID240613IA</v>
      </c>
      <c r="R1269" t="str">
        <f>DO_DB[[#This Row],[DN Number]]</f>
        <v>DNWID0362024061403</v>
      </c>
    </row>
    <row r="1270" spans="1:18">
      <c r="A1270" t="s">
        <v>1559</v>
      </c>
      <c r="B1270" t="s">
        <v>1560</v>
      </c>
      <c r="C1270" t="s">
        <v>4482</v>
      </c>
      <c r="D1270" t="s">
        <v>71</v>
      </c>
      <c r="E1270" t="s">
        <v>25</v>
      </c>
      <c r="F1270" t="s">
        <v>3297</v>
      </c>
      <c r="G1270" t="s">
        <v>1561</v>
      </c>
      <c r="H1270" t="s">
        <v>1562</v>
      </c>
      <c r="I1270" s="130">
        <v>45457</v>
      </c>
      <c r="J1270" t="s">
        <v>3070</v>
      </c>
      <c r="K1270">
        <v>4</v>
      </c>
      <c r="M12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70" t="str">
        <f>DO_DB[[#This Row],[Material Pick-update]]&amp;"_"&amp;DO_DB[[#This Row],[Material Name]]</f>
        <v>45457_Pole 7M 3"</v>
      </c>
      <c r="O1270" t="str">
        <f>DO_DB[[#This Row],[SiteID]]</f>
        <v>CLR64-01-013</v>
      </c>
      <c r="P1270" t="str">
        <f>DO_DB[[#This Row],[SiteID]]&amp;"_"&amp;DO_DB[[#This Row],[Material Name]]</f>
        <v>CLR64-01-013_Pole 7M 3"</v>
      </c>
      <c r="Q1270" t="str">
        <f>DO_DB[[#This Row],[DO Number]]</f>
        <v>DOEID240613IA</v>
      </c>
      <c r="R1270" t="str">
        <f>DO_DB[[#This Row],[DN Number]]</f>
        <v>DNWID0362024061403</v>
      </c>
    </row>
    <row r="1271" spans="1:18">
      <c r="A1271" t="s">
        <v>1559</v>
      </c>
      <c r="B1271" t="s">
        <v>1560</v>
      </c>
      <c r="C1271" t="s">
        <v>4482</v>
      </c>
      <c r="D1271" t="s">
        <v>71</v>
      </c>
      <c r="E1271" t="s">
        <v>25</v>
      </c>
      <c r="F1271" t="s">
        <v>3297</v>
      </c>
      <c r="G1271" t="s">
        <v>1561</v>
      </c>
      <c r="H1271" t="s">
        <v>1562</v>
      </c>
      <c r="I1271" s="130">
        <v>45457</v>
      </c>
      <c r="J1271" t="s">
        <v>3071</v>
      </c>
      <c r="K1271">
        <v>9</v>
      </c>
      <c r="M12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71" t="str">
        <f>DO_DB[[#This Row],[Material Pick-update]]&amp;"_"&amp;DO_DB[[#This Row],[Material Name]]</f>
        <v>45457_Pole 9M</v>
      </c>
      <c r="O1271" t="str">
        <f>DO_DB[[#This Row],[SiteID]]</f>
        <v>CLR64-01-013</v>
      </c>
      <c r="P1271" t="str">
        <f>DO_DB[[#This Row],[SiteID]]&amp;"_"&amp;DO_DB[[#This Row],[Material Name]]</f>
        <v>CLR64-01-013_Pole 9M</v>
      </c>
      <c r="Q1271" t="str">
        <f>DO_DB[[#This Row],[DO Number]]</f>
        <v>DOEID240613IA</v>
      </c>
      <c r="R1271" t="str">
        <f>DO_DB[[#This Row],[DN Number]]</f>
        <v>DNWID0362024061403</v>
      </c>
    </row>
    <row r="1272" spans="1:18">
      <c r="A1272" t="s">
        <v>1559</v>
      </c>
      <c r="B1272" t="s">
        <v>1560</v>
      </c>
      <c r="C1272" t="s">
        <v>4482</v>
      </c>
      <c r="D1272" t="s">
        <v>71</v>
      </c>
      <c r="E1272" t="s">
        <v>25</v>
      </c>
      <c r="F1272" t="s">
        <v>3297</v>
      </c>
      <c r="G1272" t="s">
        <v>1575</v>
      </c>
      <c r="H1272" t="s">
        <v>1576</v>
      </c>
      <c r="I1272" s="130">
        <v>45457</v>
      </c>
      <c r="J1272" t="s">
        <v>14</v>
      </c>
      <c r="K1272">
        <v>1</v>
      </c>
      <c r="M12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72" t="str">
        <f>DO_DB[[#This Row],[Material Pick-update]]&amp;"_"&amp;DO_DB[[#This Row],[Material Name]]</f>
        <v>45457_FDT-48</v>
      </c>
      <c r="O1272" t="str">
        <f>DO_DB[[#This Row],[SiteID]]</f>
        <v>CLR64-01-013</v>
      </c>
      <c r="P1272" t="str">
        <f>DO_DB[[#This Row],[SiteID]]&amp;"_"&amp;DO_DB[[#This Row],[Material Name]]</f>
        <v>CLR64-01-013_FDT-48</v>
      </c>
      <c r="Q1272" t="str">
        <f>DO_DB[[#This Row],[DO Number]]</f>
        <v>DOEID240613IC</v>
      </c>
      <c r="R1272" t="str">
        <f>DO_DB[[#This Row],[DN Number]]</f>
        <v>DNWID0342024061403</v>
      </c>
    </row>
    <row r="1273" spans="1:18">
      <c r="A1273" t="s">
        <v>1559</v>
      </c>
      <c r="B1273" t="s">
        <v>1560</v>
      </c>
      <c r="C1273" t="s">
        <v>4482</v>
      </c>
      <c r="D1273" t="s">
        <v>71</v>
      </c>
      <c r="E1273" t="s">
        <v>25</v>
      </c>
      <c r="F1273" t="s">
        <v>3297</v>
      </c>
      <c r="G1273" t="s">
        <v>1575</v>
      </c>
      <c r="H1273" t="s">
        <v>1576</v>
      </c>
      <c r="I1273" s="130">
        <v>45457</v>
      </c>
      <c r="J1273" t="s">
        <v>13</v>
      </c>
      <c r="K1273">
        <v>21</v>
      </c>
      <c r="M12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73" t="str">
        <f>DO_DB[[#This Row],[Material Pick-update]]&amp;"_"&amp;DO_DB[[#This Row],[Material Name]]</f>
        <v>45457_FAT-16</v>
      </c>
      <c r="O1273" t="str">
        <f>DO_DB[[#This Row],[SiteID]]</f>
        <v>CLR64-01-013</v>
      </c>
      <c r="P1273" t="str">
        <f>DO_DB[[#This Row],[SiteID]]&amp;"_"&amp;DO_DB[[#This Row],[Material Name]]</f>
        <v>CLR64-01-013_FAT-16</v>
      </c>
      <c r="Q1273" t="str">
        <f>DO_DB[[#This Row],[DO Number]]</f>
        <v>DOEID240613IC</v>
      </c>
      <c r="R1273" t="str">
        <f>DO_DB[[#This Row],[DN Number]]</f>
        <v>DNWID0342024061403</v>
      </c>
    </row>
    <row r="1274" spans="1:18">
      <c r="A1274" t="s">
        <v>1559</v>
      </c>
      <c r="B1274" t="s">
        <v>1560</v>
      </c>
      <c r="C1274" t="s">
        <v>4482</v>
      </c>
      <c r="D1274" t="s">
        <v>71</v>
      </c>
      <c r="E1274" t="s">
        <v>25</v>
      </c>
      <c r="F1274" t="s">
        <v>3297</v>
      </c>
      <c r="G1274" t="s">
        <v>1575</v>
      </c>
      <c r="H1274" t="s">
        <v>1576</v>
      </c>
      <c r="I1274" s="130">
        <v>45457</v>
      </c>
      <c r="J1274" t="s">
        <v>3080</v>
      </c>
      <c r="K1274">
        <v>3</v>
      </c>
      <c r="M12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74" t="str">
        <f>DO_DB[[#This Row],[Material Pick-update]]&amp;"_"&amp;DO_DB[[#This Row],[Material Name]]</f>
        <v>45457_1:8 SPL for FDT-AE &amp; UG</v>
      </c>
      <c r="O1274" t="str">
        <f>DO_DB[[#This Row],[SiteID]]</f>
        <v>CLR64-01-013</v>
      </c>
      <c r="P1274" t="str">
        <f>DO_DB[[#This Row],[SiteID]]&amp;"_"&amp;DO_DB[[#This Row],[Material Name]]</f>
        <v>CLR64-01-013_1:8 SPL for FDT-AE &amp; UG</v>
      </c>
      <c r="Q1274" t="str">
        <f>DO_DB[[#This Row],[DO Number]]</f>
        <v>DOEID240613IC</v>
      </c>
      <c r="R1274" t="str">
        <f>DO_DB[[#This Row],[DN Number]]</f>
        <v>DNWID0342024061403</v>
      </c>
    </row>
    <row r="1275" spans="1:18">
      <c r="A1275" t="s">
        <v>1567</v>
      </c>
      <c r="B1275" t="s">
        <v>1568</v>
      </c>
      <c r="C1275" t="s">
        <v>4482</v>
      </c>
      <c r="D1275" t="s">
        <v>71</v>
      </c>
      <c r="E1275" t="s">
        <v>25</v>
      </c>
      <c r="F1275" t="s">
        <v>3297</v>
      </c>
      <c r="G1275" t="s">
        <v>1587</v>
      </c>
      <c r="H1275" t="s">
        <v>1588</v>
      </c>
      <c r="I1275" s="130">
        <v>45457</v>
      </c>
      <c r="J1275" t="s">
        <v>3073</v>
      </c>
      <c r="K1275">
        <v>230</v>
      </c>
      <c r="M12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24C-2024614-01</v>
      </c>
      <c r="N1275" t="str">
        <f>DO_DB[[#This Row],[Material Pick-update]]&amp;"_"&amp;DO_DB[[#This Row],[Material Name]]</f>
        <v>45457_ADSS 24C</v>
      </c>
      <c r="O1275" t="str">
        <f>DO_DB[[#This Row],[SiteID]]</f>
        <v>CLR64-01-026</v>
      </c>
      <c r="P1275" t="str">
        <f>DO_DB[[#This Row],[SiteID]]&amp;"_"&amp;DO_DB[[#This Row],[Material Name]]</f>
        <v>CLR64-01-026_ADSS 24C</v>
      </c>
      <c r="Q1275" t="str">
        <f>DO_DB[[#This Row],[DO Number]]</f>
        <v>DOEID240613GV</v>
      </c>
      <c r="R1275" t="str">
        <f>DO_DB[[#This Row],[DN Number]]</f>
        <v>DNWID0342024061416</v>
      </c>
    </row>
    <row r="1276" spans="1:18">
      <c r="A1276" t="s">
        <v>1567</v>
      </c>
      <c r="B1276" t="s">
        <v>1568</v>
      </c>
      <c r="C1276" t="s">
        <v>4482</v>
      </c>
      <c r="D1276" t="s">
        <v>71</v>
      </c>
      <c r="E1276" t="s">
        <v>25</v>
      </c>
      <c r="F1276" t="s">
        <v>3297</v>
      </c>
      <c r="G1276" t="s">
        <v>1587</v>
      </c>
      <c r="H1276" t="s">
        <v>1588</v>
      </c>
      <c r="I1276" s="130">
        <v>45457</v>
      </c>
      <c r="J1276" t="s">
        <v>3075</v>
      </c>
      <c r="K1276">
        <v>3000</v>
      </c>
      <c r="M12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48C-2024614-01</v>
      </c>
      <c r="N1276" t="str">
        <f>DO_DB[[#This Row],[Material Pick-update]]&amp;"_"&amp;DO_DB[[#This Row],[Material Name]]</f>
        <v>45457_ADSS 48C</v>
      </c>
      <c r="O1276" t="str">
        <f>DO_DB[[#This Row],[SiteID]]</f>
        <v>CLR64-01-026</v>
      </c>
      <c r="P1276" t="str">
        <f>DO_DB[[#This Row],[SiteID]]&amp;"_"&amp;DO_DB[[#This Row],[Material Name]]</f>
        <v>CLR64-01-026_ADSS 48C</v>
      </c>
      <c r="Q1276" t="str">
        <f>DO_DB[[#This Row],[DO Number]]</f>
        <v>DOEID240613GV</v>
      </c>
      <c r="R1276" t="str">
        <f>DO_DB[[#This Row],[DN Number]]</f>
        <v>DNWID0342024061416</v>
      </c>
    </row>
    <row r="1277" spans="1:18">
      <c r="A1277" t="s">
        <v>1563</v>
      </c>
      <c r="B1277" t="s">
        <v>1564</v>
      </c>
      <c r="C1277" t="s">
        <v>4482</v>
      </c>
      <c r="D1277" t="s">
        <v>71</v>
      </c>
      <c r="E1277" t="s">
        <v>25</v>
      </c>
      <c r="F1277" t="s">
        <v>3297</v>
      </c>
      <c r="G1277" t="s">
        <v>1579</v>
      </c>
      <c r="H1277" t="s">
        <v>1580</v>
      </c>
      <c r="I1277" s="130">
        <v>45457</v>
      </c>
      <c r="J1277" t="s">
        <v>3073</v>
      </c>
      <c r="K1277">
        <v>3000</v>
      </c>
      <c r="M12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24C-2024614-01</v>
      </c>
      <c r="N1277" t="str">
        <f>DO_DB[[#This Row],[Material Pick-update]]&amp;"_"&amp;DO_DB[[#This Row],[Material Name]]</f>
        <v>45457_ADSS 24C</v>
      </c>
      <c r="O1277" t="str">
        <f>DO_DB[[#This Row],[SiteID]]</f>
        <v>CLR64-01-025</v>
      </c>
      <c r="P1277" t="str">
        <f>DO_DB[[#This Row],[SiteID]]&amp;"_"&amp;DO_DB[[#This Row],[Material Name]]</f>
        <v>CLR64-01-025_ADSS 24C</v>
      </c>
      <c r="Q1277" t="str">
        <f>DO_DB[[#This Row],[DO Number]]</f>
        <v>DOEID240613GY</v>
      </c>
      <c r="R1277" t="str">
        <f>DO_DB[[#This Row],[DN Number]]</f>
        <v>DNWID0342024061402</v>
      </c>
    </row>
    <row r="1278" spans="1:18">
      <c r="A1278" t="s">
        <v>1563</v>
      </c>
      <c r="B1278" t="s">
        <v>1564</v>
      </c>
      <c r="C1278" t="s">
        <v>4482</v>
      </c>
      <c r="D1278" t="s">
        <v>71</v>
      </c>
      <c r="E1278" t="s">
        <v>25</v>
      </c>
      <c r="F1278" t="s">
        <v>3297</v>
      </c>
      <c r="G1278" t="s">
        <v>1579</v>
      </c>
      <c r="H1278" t="s">
        <v>1580</v>
      </c>
      <c r="I1278" s="130">
        <v>45457</v>
      </c>
      <c r="J1278" t="s">
        <v>3075</v>
      </c>
      <c r="K1278">
        <v>3000</v>
      </c>
      <c r="M12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48C-2024614-01</v>
      </c>
      <c r="N1278" t="str">
        <f>DO_DB[[#This Row],[Material Pick-update]]&amp;"_"&amp;DO_DB[[#This Row],[Material Name]]</f>
        <v>45457_ADSS 48C</v>
      </c>
      <c r="O1278" t="str">
        <f>DO_DB[[#This Row],[SiteID]]</f>
        <v>CLR64-01-025</v>
      </c>
      <c r="P1278" t="str">
        <f>DO_DB[[#This Row],[SiteID]]&amp;"_"&amp;DO_DB[[#This Row],[Material Name]]</f>
        <v>CLR64-01-025_ADSS 48C</v>
      </c>
      <c r="Q1278" t="str">
        <f>DO_DB[[#This Row],[DO Number]]</f>
        <v>DOEID240613GY</v>
      </c>
      <c r="R1278" t="str">
        <f>DO_DB[[#This Row],[DN Number]]</f>
        <v>DNWID0342024061402</v>
      </c>
    </row>
    <row r="1279" spans="1:18">
      <c r="A1279" t="s">
        <v>1571</v>
      </c>
      <c r="B1279" t="s">
        <v>1572</v>
      </c>
      <c r="C1279" t="s">
        <v>4482</v>
      </c>
      <c r="D1279" t="s">
        <v>71</v>
      </c>
      <c r="E1279" t="s">
        <v>25</v>
      </c>
      <c r="F1279" t="s">
        <v>3297</v>
      </c>
      <c r="G1279" t="s">
        <v>1577</v>
      </c>
      <c r="H1279" t="s">
        <v>1578</v>
      </c>
      <c r="I1279" s="130">
        <v>45457</v>
      </c>
      <c r="J1279" t="s">
        <v>3075</v>
      </c>
      <c r="K1279">
        <v>3000</v>
      </c>
      <c r="M12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48C-2024614-01</v>
      </c>
      <c r="N1279" t="str">
        <f>DO_DB[[#This Row],[Material Pick-update]]&amp;"_"&amp;DO_DB[[#This Row],[Material Name]]</f>
        <v>45457_ADSS 48C</v>
      </c>
      <c r="O1279" t="str">
        <f>DO_DB[[#This Row],[SiteID]]</f>
        <v>CLR64-01-028</v>
      </c>
      <c r="P1279" t="str">
        <f>DO_DB[[#This Row],[SiteID]]&amp;"_"&amp;DO_DB[[#This Row],[Material Name]]</f>
        <v>CLR64-01-028_ADSS 48C</v>
      </c>
      <c r="Q1279" t="str">
        <f>DO_DB[[#This Row],[DO Number]]</f>
        <v>DOEID240613H1</v>
      </c>
      <c r="R1279" t="str">
        <f>DO_DB[[#This Row],[DN Number]]</f>
        <v>DNWID0342024061404</v>
      </c>
    </row>
    <row r="1280" spans="1:18">
      <c r="A1280" t="s">
        <v>1559</v>
      </c>
      <c r="B1280" t="s">
        <v>1560</v>
      </c>
      <c r="C1280" t="s">
        <v>4482</v>
      </c>
      <c r="D1280" t="s">
        <v>71</v>
      </c>
      <c r="E1280" t="s">
        <v>25</v>
      </c>
      <c r="F1280" t="s">
        <v>3297</v>
      </c>
      <c r="G1280" t="s">
        <v>1575</v>
      </c>
      <c r="H1280" t="s">
        <v>1576</v>
      </c>
      <c r="I1280" s="130">
        <v>45457</v>
      </c>
      <c r="J1280" t="s">
        <v>3075</v>
      </c>
      <c r="K1280">
        <v>3000</v>
      </c>
      <c r="M12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48C-2024614-01</v>
      </c>
      <c r="N1280" t="str">
        <f>DO_DB[[#This Row],[Material Pick-update]]&amp;"_"&amp;DO_DB[[#This Row],[Material Name]]</f>
        <v>45457_ADSS 48C</v>
      </c>
      <c r="O1280" t="str">
        <f>DO_DB[[#This Row],[SiteID]]</f>
        <v>CLR64-01-013</v>
      </c>
      <c r="P1280" t="str">
        <f>DO_DB[[#This Row],[SiteID]]&amp;"_"&amp;DO_DB[[#This Row],[Material Name]]</f>
        <v>CLR64-01-013_ADSS 48C</v>
      </c>
      <c r="Q1280" t="str">
        <f>DO_DB[[#This Row],[DO Number]]</f>
        <v>DOEID240613IC</v>
      </c>
      <c r="R1280" t="str">
        <f>DO_DB[[#This Row],[DN Number]]</f>
        <v>DNWID0342024061403</v>
      </c>
    </row>
    <row r="1281" spans="1:18">
      <c r="A1281" t="s">
        <v>1567</v>
      </c>
      <c r="B1281" t="s">
        <v>1568</v>
      </c>
      <c r="C1281" t="s">
        <v>4482</v>
      </c>
      <c r="D1281" t="s">
        <v>71</v>
      </c>
      <c r="E1281" t="s">
        <v>25</v>
      </c>
      <c r="F1281" t="s">
        <v>3297</v>
      </c>
      <c r="G1281" t="s">
        <v>1671</v>
      </c>
      <c r="H1281" t="s">
        <v>1672</v>
      </c>
      <c r="I1281" s="130">
        <v>45468</v>
      </c>
      <c r="J1281" t="s">
        <v>3073</v>
      </c>
      <c r="K1281">
        <v>3000</v>
      </c>
      <c r="M12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24C-2024625-01</v>
      </c>
      <c r="N1281" t="str">
        <f>DO_DB[[#This Row],[Material Pick-update]]&amp;"_"&amp;DO_DB[[#This Row],[Material Name]]</f>
        <v>45468_ADSS 24C</v>
      </c>
      <c r="O1281" t="str">
        <f>DO_DB[[#This Row],[SiteID]]</f>
        <v>CLR64-01-026</v>
      </c>
      <c r="P1281" t="str">
        <f>DO_DB[[#This Row],[SiteID]]&amp;"_"&amp;DO_DB[[#This Row],[Material Name]]</f>
        <v>CLR64-01-026_ADSS 24C</v>
      </c>
      <c r="Q1281" t="str">
        <f>DO_DB[[#This Row],[DO Number]]</f>
        <v>DOEID240624NW</v>
      </c>
      <c r="R1281" t="str">
        <f>DO_DB[[#This Row],[DN Number]]</f>
        <v>DNWID0342024062507</v>
      </c>
    </row>
    <row r="1282" spans="1:18">
      <c r="A1282" t="s">
        <v>1783</v>
      </c>
      <c r="B1282" t="s">
        <v>1784</v>
      </c>
      <c r="C1282" t="s">
        <v>4482</v>
      </c>
      <c r="D1282" t="s">
        <v>71</v>
      </c>
      <c r="E1282" t="s">
        <v>25</v>
      </c>
      <c r="F1282" t="s">
        <v>3297</v>
      </c>
      <c r="G1282" t="s">
        <v>1797</v>
      </c>
      <c r="H1282" t="s">
        <v>1798</v>
      </c>
      <c r="I1282" s="130">
        <v>45496</v>
      </c>
      <c r="J1282" t="s">
        <v>3069</v>
      </c>
      <c r="K1282">
        <v>49</v>
      </c>
      <c r="M12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82" t="str">
        <f>DO_DB[[#This Row],[Material Pick-update]]&amp;"_"&amp;DO_DB[[#This Row],[Material Name]]</f>
        <v>45496_Pole 7M 4"</v>
      </c>
      <c r="O1282" t="str">
        <f>DO_DB[[#This Row],[SiteID]]</f>
        <v>CLR64-01-027</v>
      </c>
      <c r="P1282" t="str">
        <f>DO_DB[[#This Row],[SiteID]]&amp;"_"&amp;DO_DB[[#This Row],[Material Name]]</f>
        <v>CLR64-01-027_Pole 7M 4"</v>
      </c>
      <c r="Q1282" t="str">
        <f>DO_DB[[#This Row],[DO Number]]</f>
        <v>DOEID240722CJ</v>
      </c>
      <c r="R1282" t="str">
        <f>DO_DB[[#This Row],[DN Number]]</f>
        <v>DNWID0362024072307</v>
      </c>
    </row>
    <row r="1283" spans="1:18">
      <c r="A1283" t="s">
        <v>1783</v>
      </c>
      <c r="B1283" t="s">
        <v>1784</v>
      </c>
      <c r="C1283" t="s">
        <v>4482</v>
      </c>
      <c r="D1283" t="s">
        <v>71</v>
      </c>
      <c r="E1283" t="s">
        <v>25</v>
      </c>
      <c r="F1283" t="s">
        <v>3297</v>
      </c>
      <c r="G1283" t="s">
        <v>1797</v>
      </c>
      <c r="H1283" t="s">
        <v>1798</v>
      </c>
      <c r="I1283" s="130">
        <v>45496</v>
      </c>
      <c r="J1283" t="s">
        <v>3070</v>
      </c>
      <c r="K1283">
        <v>4</v>
      </c>
      <c r="M12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83" t="str">
        <f>DO_DB[[#This Row],[Material Pick-update]]&amp;"_"&amp;DO_DB[[#This Row],[Material Name]]</f>
        <v>45496_Pole 7M 3"</v>
      </c>
      <c r="O1283" t="str">
        <f>DO_DB[[#This Row],[SiteID]]</f>
        <v>CLR64-01-027</v>
      </c>
      <c r="P1283" t="str">
        <f>DO_DB[[#This Row],[SiteID]]&amp;"_"&amp;DO_DB[[#This Row],[Material Name]]</f>
        <v>CLR64-01-027_Pole 7M 3"</v>
      </c>
      <c r="Q1283" t="str">
        <f>DO_DB[[#This Row],[DO Number]]</f>
        <v>DOEID240722CJ</v>
      </c>
      <c r="R1283" t="str">
        <f>DO_DB[[#This Row],[DN Number]]</f>
        <v>DNWID0362024072307</v>
      </c>
    </row>
    <row r="1284" spans="1:18">
      <c r="A1284" t="s">
        <v>1783</v>
      </c>
      <c r="B1284" t="s">
        <v>1784</v>
      </c>
      <c r="C1284" t="s">
        <v>4482</v>
      </c>
      <c r="D1284" t="s">
        <v>71</v>
      </c>
      <c r="E1284" t="s">
        <v>25</v>
      </c>
      <c r="F1284" t="s">
        <v>3297</v>
      </c>
      <c r="G1284" t="s">
        <v>1797</v>
      </c>
      <c r="H1284" t="s">
        <v>1798</v>
      </c>
      <c r="I1284" s="130">
        <v>45496</v>
      </c>
      <c r="J1284" t="s">
        <v>4856</v>
      </c>
      <c r="K1284">
        <v>1</v>
      </c>
      <c r="M12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84" t="str">
        <f>DO_DB[[#This Row],[Material Pick-update]]&amp;"_"&amp;DO_DB[[#This Row],[Material Name]]</f>
        <v>45496_JC 144Core</v>
      </c>
      <c r="O1284" t="str">
        <f>DO_DB[[#This Row],[SiteID]]</f>
        <v>CLR64-01-027</v>
      </c>
      <c r="P1284" t="str">
        <f>DO_DB[[#This Row],[SiteID]]&amp;"_"&amp;DO_DB[[#This Row],[Material Name]]</f>
        <v>CLR64-01-027_JC 144Core</v>
      </c>
      <c r="Q1284" t="str">
        <f>DO_DB[[#This Row],[DO Number]]</f>
        <v>DOEID240722CJ</v>
      </c>
      <c r="R1284" t="str">
        <f>DO_DB[[#This Row],[DN Number]]</f>
        <v>DNWID0362024072307</v>
      </c>
    </row>
    <row r="1285" spans="1:18">
      <c r="A1285" t="s">
        <v>1783</v>
      </c>
      <c r="B1285" t="s">
        <v>1784</v>
      </c>
      <c r="C1285" t="s">
        <v>4482</v>
      </c>
      <c r="D1285" t="s">
        <v>71</v>
      </c>
      <c r="E1285" t="s">
        <v>25</v>
      </c>
      <c r="F1285" t="s">
        <v>3297</v>
      </c>
      <c r="G1285" t="s">
        <v>1785</v>
      </c>
      <c r="H1285" t="s">
        <v>1786</v>
      </c>
      <c r="I1285" s="130">
        <v>45496</v>
      </c>
      <c r="J1285" t="s">
        <v>14</v>
      </c>
      <c r="K1285">
        <v>1</v>
      </c>
      <c r="M12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85" t="str">
        <f>DO_DB[[#This Row],[Material Pick-update]]&amp;"_"&amp;DO_DB[[#This Row],[Material Name]]</f>
        <v>45496_FDT-48</v>
      </c>
      <c r="O1285" t="str">
        <f>DO_DB[[#This Row],[SiteID]]</f>
        <v>CLR64-01-027</v>
      </c>
      <c r="P1285" t="str">
        <f>DO_DB[[#This Row],[SiteID]]&amp;"_"&amp;DO_DB[[#This Row],[Material Name]]</f>
        <v>CLR64-01-027_FDT-48</v>
      </c>
      <c r="Q1285" t="str">
        <f>DO_DB[[#This Row],[DO Number]]</f>
        <v>DOEID240722CK</v>
      </c>
      <c r="R1285" t="str">
        <f>DO_DB[[#This Row],[DN Number]]</f>
        <v>DNWID0342024072309</v>
      </c>
    </row>
    <row r="1286" spans="1:18">
      <c r="A1286" t="s">
        <v>1783</v>
      </c>
      <c r="B1286" t="s">
        <v>1784</v>
      </c>
      <c r="C1286" t="s">
        <v>4482</v>
      </c>
      <c r="D1286" t="s">
        <v>71</v>
      </c>
      <c r="E1286" t="s">
        <v>25</v>
      </c>
      <c r="F1286" t="s">
        <v>3297</v>
      </c>
      <c r="G1286" t="s">
        <v>1785</v>
      </c>
      <c r="H1286" t="s">
        <v>1786</v>
      </c>
      <c r="I1286" s="130">
        <v>45496</v>
      </c>
      <c r="J1286" t="s">
        <v>13</v>
      </c>
      <c r="K1286">
        <v>24</v>
      </c>
      <c r="M12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86" t="str">
        <f>DO_DB[[#This Row],[Material Pick-update]]&amp;"_"&amp;DO_DB[[#This Row],[Material Name]]</f>
        <v>45496_FAT-16</v>
      </c>
      <c r="O1286" t="str">
        <f>DO_DB[[#This Row],[SiteID]]</f>
        <v>CLR64-01-027</v>
      </c>
      <c r="P1286" t="str">
        <f>DO_DB[[#This Row],[SiteID]]&amp;"_"&amp;DO_DB[[#This Row],[Material Name]]</f>
        <v>CLR64-01-027_FAT-16</v>
      </c>
      <c r="Q1286" t="str">
        <f>DO_DB[[#This Row],[DO Number]]</f>
        <v>DOEID240722CK</v>
      </c>
      <c r="R1286" t="str">
        <f>DO_DB[[#This Row],[DN Number]]</f>
        <v>DNWID0342024072309</v>
      </c>
    </row>
    <row r="1287" spans="1:18">
      <c r="A1287" t="s">
        <v>1787</v>
      </c>
      <c r="B1287" t="s">
        <v>1788</v>
      </c>
      <c r="C1287" t="s">
        <v>4482</v>
      </c>
      <c r="D1287" t="s">
        <v>71</v>
      </c>
      <c r="E1287" t="s">
        <v>25</v>
      </c>
      <c r="F1287" t="s">
        <v>3297</v>
      </c>
      <c r="G1287" t="s">
        <v>1789</v>
      </c>
      <c r="H1287" t="s">
        <v>1790</v>
      </c>
      <c r="I1287" s="130">
        <v>45496</v>
      </c>
      <c r="J1287" t="s">
        <v>3069</v>
      </c>
      <c r="K1287">
        <v>24</v>
      </c>
      <c r="M12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87" t="str">
        <f>DO_DB[[#This Row],[Material Pick-update]]&amp;"_"&amp;DO_DB[[#This Row],[Material Name]]</f>
        <v>45496_Pole 7M 4"</v>
      </c>
      <c r="O1287" t="str">
        <f>DO_DB[[#This Row],[SiteID]]</f>
        <v>CLR64-01-034</v>
      </c>
      <c r="P1287" t="str">
        <f>DO_DB[[#This Row],[SiteID]]&amp;"_"&amp;DO_DB[[#This Row],[Material Name]]</f>
        <v>CLR64-01-034_Pole 7M 4"</v>
      </c>
      <c r="Q1287" t="str">
        <f>DO_DB[[#This Row],[DO Number]]</f>
        <v>DOEID240722CL</v>
      </c>
      <c r="R1287" t="str">
        <f>DO_DB[[#This Row],[DN Number]]</f>
        <v>DNWID0362024072308</v>
      </c>
    </row>
    <row r="1288" spans="1:18">
      <c r="A1288" t="s">
        <v>1787</v>
      </c>
      <c r="B1288" t="s">
        <v>1788</v>
      </c>
      <c r="C1288" t="s">
        <v>4482</v>
      </c>
      <c r="D1288" t="s">
        <v>71</v>
      </c>
      <c r="E1288" t="s">
        <v>25</v>
      </c>
      <c r="F1288" t="s">
        <v>3297</v>
      </c>
      <c r="G1288" t="s">
        <v>1789</v>
      </c>
      <c r="H1288" t="s">
        <v>1790</v>
      </c>
      <c r="I1288" s="130">
        <v>45496</v>
      </c>
      <c r="J1288" t="s">
        <v>3070</v>
      </c>
      <c r="K1288">
        <v>5</v>
      </c>
      <c r="M12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88" t="str">
        <f>DO_DB[[#This Row],[Material Pick-update]]&amp;"_"&amp;DO_DB[[#This Row],[Material Name]]</f>
        <v>45496_Pole 7M 3"</v>
      </c>
      <c r="O1288" t="str">
        <f>DO_DB[[#This Row],[SiteID]]</f>
        <v>CLR64-01-034</v>
      </c>
      <c r="P1288" t="str">
        <f>DO_DB[[#This Row],[SiteID]]&amp;"_"&amp;DO_DB[[#This Row],[Material Name]]</f>
        <v>CLR64-01-034_Pole 7M 3"</v>
      </c>
      <c r="Q1288" t="str">
        <f>DO_DB[[#This Row],[DO Number]]</f>
        <v>DOEID240722CL</v>
      </c>
      <c r="R1288" t="str">
        <f>DO_DB[[#This Row],[DN Number]]</f>
        <v>DNWID0362024072308</v>
      </c>
    </row>
    <row r="1289" spans="1:18">
      <c r="A1289" t="s">
        <v>1787</v>
      </c>
      <c r="B1289" t="s">
        <v>1788</v>
      </c>
      <c r="C1289" t="s">
        <v>4482</v>
      </c>
      <c r="D1289" t="s">
        <v>71</v>
      </c>
      <c r="E1289" t="s">
        <v>25</v>
      </c>
      <c r="F1289" t="s">
        <v>3297</v>
      </c>
      <c r="G1289" t="s">
        <v>1793</v>
      </c>
      <c r="H1289" t="s">
        <v>1794</v>
      </c>
      <c r="I1289" s="130">
        <v>45496</v>
      </c>
      <c r="J1289" t="s">
        <v>14</v>
      </c>
      <c r="K1289">
        <v>1</v>
      </c>
      <c r="M12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89" t="str">
        <f>DO_DB[[#This Row],[Material Pick-update]]&amp;"_"&amp;DO_DB[[#This Row],[Material Name]]</f>
        <v>45496_FDT-48</v>
      </c>
      <c r="O1289" t="str">
        <f>DO_DB[[#This Row],[SiteID]]</f>
        <v>CLR64-01-034</v>
      </c>
      <c r="P1289" t="str">
        <f>DO_DB[[#This Row],[SiteID]]&amp;"_"&amp;DO_DB[[#This Row],[Material Name]]</f>
        <v>CLR64-01-034_FDT-48</v>
      </c>
      <c r="Q1289" t="str">
        <f>DO_DB[[#This Row],[DO Number]]</f>
        <v>DOEID240722CM</v>
      </c>
      <c r="R1289" t="str">
        <f>DO_DB[[#This Row],[DN Number]]</f>
        <v>DNWID0342024072311</v>
      </c>
    </row>
    <row r="1290" spans="1:18">
      <c r="A1290" t="s">
        <v>1787</v>
      </c>
      <c r="B1290" t="s">
        <v>1788</v>
      </c>
      <c r="C1290" t="s">
        <v>4482</v>
      </c>
      <c r="D1290" t="s">
        <v>71</v>
      </c>
      <c r="E1290" t="s">
        <v>25</v>
      </c>
      <c r="F1290" t="s">
        <v>3297</v>
      </c>
      <c r="G1290" t="s">
        <v>1793</v>
      </c>
      <c r="H1290" t="s">
        <v>1794</v>
      </c>
      <c r="I1290" s="130">
        <v>45496</v>
      </c>
      <c r="J1290" t="s">
        <v>13</v>
      </c>
      <c r="K1290">
        <v>15</v>
      </c>
      <c r="M12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90" t="str">
        <f>DO_DB[[#This Row],[Material Pick-update]]&amp;"_"&amp;DO_DB[[#This Row],[Material Name]]</f>
        <v>45496_FAT-16</v>
      </c>
      <c r="O1290" t="str">
        <f>DO_DB[[#This Row],[SiteID]]</f>
        <v>CLR64-01-034</v>
      </c>
      <c r="P1290" t="str">
        <f>DO_DB[[#This Row],[SiteID]]&amp;"_"&amp;DO_DB[[#This Row],[Material Name]]</f>
        <v>CLR64-01-034_FAT-16</v>
      </c>
      <c r="Q1290" t="str">
        <f>DO_DB[[#This Row],[DO Number]]</f>
        <v>DOEID240722CM</v>
      </c>
      <c r="R1290" t="str">
        <f>DO_DB[[#This Row],[DN Number]]</f>
        <v>DNWID0342024072311</v>
      </c>
    </row>
    <row r="1291" spans="1:18">
      <c r="A1291" t="s">
        <v>1775</v>
      </c>
      <c r="B1291" t="s">
        <v>1776</v>
      </c>
      <c r="C1291" t="s">
        <v>4482</v>
      </c>
      <c r="D1291" t="s">
        <v>71</v>
      </c>
      <c r="E1291" t="s">
        <v>25</v>
      </c>
      <c r="F1291" t="s">
        <v>3297</v>
      </c>
      <c r="G1291" t="s">
        <v>1791</v>
      </c>
      <c r="H1291" t="s">
        <v>1792</v>
      </c>
      <c r="I1291" s="130">
        <v>45496</v>
      </c>
      <c r="J1291" t="s">
        <v>3069</v>
      </c>
      <c r="K1291">
        <v>47</v>
      </c>
      <c r="M12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91" t="str">
        <f>DO_DB[[#This Row],[Material Pick-update]]&amp;"_"&amp;DO_DB[[#This Row],[Material Name]]</f>
        <v>45496_Pole 7M 4"</v>
      </c>
      <c r="O1291" t="str">
        <f>DO_DB[[#This Row],[SiteID]]</f>
        <v>CLR64-01-036</v>
      </c>
      <c r="P1291" t="str">
        <f>DO_DB[[#This Row],[SiteID]]&amp;"_"&amp;DO_DB[[#This Row],[Material Name]]</f>
        <v>CLR64-01-036_Pole 7M 4"</v>
      </c>
      <c r="Q1291" t="str">
        <f>DO_DB[[#This Row],[DO Number]]</f>
        <v>DOEID240722CN</v>
      </c>
      <c r="R1291" t="str">
        <f>DO_DB[[#This Row],[DN Number]]</f>
        <v>DNWID0362024072312</v>
      </c>
    </row>
    <row r="1292" spans="1:18">
      <c r="A1292" t="s">
        <v>1775</v>
      </c>
      <c r="B1292" t="s">
        <v>1776</v>
      </c>
      <c r="C1292" t="s">
        <v>4482</v>
      </c>
      <c r="D1292" t="s">
        <v>71</v>
      </c>
      <c r="E1292" t="s">
        <v>25</v>
      </c>
      <c r="F1292" t="s">
        <v>3297</v>
      </c>
      <c r="G1292" t="s">
        <v>1791</v>
      </c>
      <c r="H1292" t="s">
        <v>1792</v>
      </c>
      <c r="I1292" s="130">
        <v>45496</v>
      </c>
      <c r="J1292" t="s">
        <v>3070</v>
      </c>
      <c r="K1292">
        <v>3</v>
      </c>
      <c r="M12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92" t="str">
        <f>DO_DB[[#This Row],[Material Pick-update]]&amp;"_"&amp;DO_DB[[#This Row],[Material Name]]</f>
        <v>45496_Pole 7M 3"</v>
      </c>
      <c r="O1292" t="str">
        <f>DO_DB[[#This Row],[SiteID]]</f>
        <v>CLR64-01-036</v>
      </c>
      <c r="P1292" t="str">
        <f>DO_DB[[#This Row],[SiteID]]&amp;"_"&amp;DO_DB[[#This Row],[Material Name]]</f>
        <v>CLR64-01-036_Pole 7M 3"</v>
      </c>
      <c r="Q1292" t="str">
        <f>DO_DB[[#This Row],[DO Number]]</f>
        <v>DOEID240722CN</v>
      </c>
      <c r="R1292" t="str">
        <f>DO_DB[[#This Row],[DN Number]]</f>
        <v>DNWID0362024072312</v>
      </c>
    </row>
    <row r="1293" spans="1:18">
      <c r="A1293" t="s">
        <v>1775</v>
      </c>
      <c r="B1293" t="s">
        <v>1776</v>
      </c>
      <c r="C1293" t="s">
        <v>4482</v>
      </c>
      <c r="D1293" t="s">
        <v>71</v>
      </c>
      <c r="E1293" t="s">
        <v>25</v>
      </c>
      <c r="F1293" t="s">
        <v>3297</v>
      </c>
      <c r="G1293" t="s">
        <v>1777</v>
      </c>
      <c r="H1293" t="s">
        <v>1778</v>
      </c>
      <c r="I1293" s="130">
        <v>45496</v>
      </c>
      <c r="J1293" t="s">
        <v>14</v>
      </c>
      <c r="K1293">
        <v>1</v>
      </c>
      <c r="M12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93" t="str">
        <f>DO_DB[[#This Row],[Material Pick-update]]&amp;"_"&amp;DO_DB[[#This Row],[Material Name]]</f>
        <v>45496_FDT-48</v>
      </c>
      <c r="O1293" t="str">
        <f>DO_DB[[#This Row],[SiteID]]</f>
        <v>CLR64-01-036</v>
      </c>
      <c r="P1293" t="str">
        <f>DO_DB[[#This Row],[SiteID]]&amp;"_"&amp;DO_DB[[#This Row],[Material Name]]</f>
        <v>CLR64-01-036_FDT-48</v>
      </c>
      <c r="Q1293" t="str">
        <f>DO_DB[[#This Row],[DO Number]]</f>
        <v>DOEID240722CO</v>
      </c>
      <c r="R1293" t="str">
        <f>DO_DB[[#This Row],[DN Number]]</f>
        <v>DNWID0342024072310</v>
      </c>
    </row>
    <row r="1294" spans="1:18">
      <c r="A1294" t="s">
        <v>1775</v>
      </c>
      <c r="B1294" t="s">
        <v>1776</v>
      </c>
      <c r="C1294" t="s">
        <v>4482</v>
      </c>
      <c r="D1294" t="s">
        <v>71</v>
      </c>
      <c r="E1294" t="s">
        <v>25</v>
      </c>
      <c r="F1294" t="s">
        <v>3297</v>
      </c>
      <c r="G1294" t="s">
        <v>1777</v>
      </c>
      <c r="H1294" t="s">
        <v>1778</v>
      </c>
      <c r="I1294" s="130">
        <v>45496</v>
      </c>
      <c r="J1294" t="s">
        <v>13</v>
      </c>
      <c r="K1294">
        <v>16</v>
      </c>
      <c r="M12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94" t="str">
        <f>DO_DB[[#This Row],[Material Pick-update]]&amp;"_"&amp;DO_DB[[#This Row],[Material Name]]</f>
        <v>45496_FAT-16</v>
      </c>
      <c r="O1294" t="str">
        <f>DO_DB[[#This Row],[SiteID]]</f>
        <v>CLR64-01-036</v>
      </c>
      <c r="P1294" t="str">
        <f>DO_DB[[#This Row],[SiteID]]&amp;"_"&amp;DO_DB[[#This Row],[Material Name]]</f>
        <v>CLR64-01-036_FAT-16</v>
      </c>
      <c r="Q1294" t="str">
        <f>DO_DB[[#This Row],[DO Number]]</f>
        <v>DOEID240722CO</v>
      </c>
      <c r="R1294" t="str">
        <f>DO_DB[[#This Row],[DN Number]]</f>
        <v>DNWID0342024072310</v>
      </c>
    </row>
    <row r="1295" spans="1:18">
      <c r="A1295" t="s">
        <v>1779</v>
      </c>
      <c r="B1295" t="s">
        <v>1780</v>
      </c>
      <c r="C1295" t="s">
        <v>4482</v>
      </c>
      <c r="D1295" t="s">
        <v>71</v>
      </c>
      <c r="E1295" t="s">
        <v>25</v>
      </c>
      <c r="F1295" t="s">
        <v>3297</v>
      </c>
      <c r="G1295" t="s">
        <v>1795</v>
      </c>
      <c r="H1295" t="s">
        <v>1796</v>
      </c>
      <c r="I1295" s="130">
        <v>45496</v>
      </c>
      <c r="J1295" t="s">
        <v>3069</v>
      </c>
      <c r="K1295">
        <v>23</v>
      </c>
      <c r="M12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95" t="str">
        <f>DO_DB[[#This Row],[Material Pick-update]]&amp;"_"&amp;DO_DB[[#This Row],[Material Name]]</f>
        <v>45496_Pole 7M 4"</v>
      </c>
      <c r="O1295" t="str">
        <f>DO_DB[[#This Row],[SiteID]]</f>
        <v>CLR64-01-037</v>
      </c>
      <c r="P1295" t="str">
        <f>DO_DB[[#This Row],[SiteID]]&amp;"_"&amp;DO_DB[[#This Row],[Material Name]]</f>
        <v>CLR64-01-037_Pole 7M 4"</v>
      </c>
      <c r="Q1295" t="str">
        <f>DO_DB[[#This Row],[DO Number]]</f>
        <v>DOEID240722CP</v>
      </c>
      <c r="R1295" t="str">
        <f>DO_DB[[#This Row],[DN Number]]</f>
        <v>DNWID0362024072309</v>
      </c>
    </row>
    <row r="1296" spans="1:18">
      <c r="A1296" t="s">
        <v>1779</v>
      </c>
      <c r="B1296" t="s">
        <v>1780</v>
      </c>
      <c r="C1296" t="s">
        <v>4482</v>
      </c>
      <c r="D1296" t="s">
        <v>71</v>
      </c>
      <c r="E1296" t="s">
        <v>25</v>
      </c>
      <c r="F1296" t="s">
        <v>3297</v>
      </c>
      <c r="G1296" t="s">
        <v>1795</v>
      </c>
      <c r="H1296" t="s">
        <v>1796</v>
      </c>
      <c r="I1296" s="130">
        <v>45496</v>
      </c>
      <c r="J1296" t="s">
        <v>3070</v>
      </c>
      <c r="K1296">
        <v>4</v>
      </c>
      <c r="M12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96" t="str">
        <f>DO_DB[[#This Row],[Material Pick-update]]&amp;"_"&amp;DO_DB[[#This Row],[Material Name]]</f>
        <v>45496_Pole 7M 3"</v>
      </c>
      <c r="O1296" t="str">
        <f>DO_DB[[#This Row],[SiteID]]</f>
        <v>CLR64-01-037</v>
      </c>
      <c r="P1296" t="str">
        <f>DO_DB[[#This Row],[SiteID]]&amp;"_"&amp;DO_DB[[#This Row],[Material Name]]</f>
        <v>CLR64-01-037_Pole 7M 3"</v>
      </c>
      <c r="Q1296" t="str">
        <f>DO_DB[[#This Row],[DO Number]]</f>
        <v>DOEID240722CP</v>
      </c>
      <c r="R1296" t="str">
        <f>DO_DB[[#This Row],[DN Number]]</f>
        <v>DNWID0362024072309</v>
      </c>
    </row>
    <row r="1297" spans="1:18">
      <c r="A1297" t="s">
        <v>1779</v>
      </c>
      <c r="B1297" t="s">
        <v>1780</v>
      </c>
      <c r="C1297" t="s">
        <v>4482</v>
      </c>
      <c r="D1297" t="s">
        <v>71</v>
      </c>
      <c r="E1297" t="s">
        <v>25</v>
      </c>
      <c r="F1297" t="s">
        <v>3297</v>
      </c>
      <c r="G1297" t="s">
        <v>1781</v>
      </c>
      <c r="H1297" t="s">
        <v>1782</v>
      </c>
      <c r="I1297" s="130">
        <v>45496</v>
      </c>
      <c r="J1297" t="s">
        <v>14</v>
      </c>
      <c r="K1297">
        <v>1</v>
      </c>
      <c r="M12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97" t="str">
        <f>DO_DB[[#This Row],[Material Pick-update]]&amp;"_"&amp;DO_DB[[#This Row],[Material Name]]</f>
        <v>45496_FDT-48</v>
      </c>
      <c r="O1297" t="str">
        <f>DO_DB[[#This Row],[SiteID]]</f>
        <v>CLR64-01-037</v>
      </c>
      <c r="P1297" t="str">
        <f>DO_DB[[#This Row],[SiteID]]&amp;"_"&amp;DO_DB[[#This Row],[Material Name]]</f>
        <v>CLR64-01-037_FDT-48</v>
      </c>
      <c r="Q1297" t="str">
        <f>DO_DB[[#This Row],[DO Number]]</f>
        <v>DOEID240722CQ</v>
      </c>
      <c r="R1297" t="str">
        <f>DO_DB[[#This Row],[DN Number]]</f>
        <v>DNWID0342024072312</v>
      </c>
    </row>
    <row r="1298" spans="1:18">
      <c r="A1298" t="s">
        <v>1779</v>
      </c>
      <c r="B1298" t="s">
        <v>1780</v>
      </c>
      <c r="C1298" t="s">
        <v>4482</v>
      </c>
      <c r="D1298" t="s">
        <v>71</v>
      </c>
      <c r="E1298" t="s">
        <v>25</v>
      </c>
      <c r="F1298" t="s">
        <v>3297</v>
      </c>
      <c r="G1298" t="s">
        <v>1781</v>
      </c>
      <c r="H1298" t="s">
        <v>1782</v>
      </c>
      <c r="I1298" s="130">
        <v>45496</v>
      </c>
      <c r="J1298" t="s">
        <v>13</v>
      </c>
      <c r="K1298">
        <v>15</v>
      </c>
      <c r="M12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298" t="str">
        <f>DO_DB[[#This Row],[Material Pick-update]]&amp;"_"&amp;DO_DB[[#This Row],[Material Name]]</f>
        <v>45496_FAT-16</v>
      </c>
      <c r="O1298" t="str">
        <f>DO_DB[[#This Row],[SiteID]]</f>
        <v>CLR64-01-037</v>
      </c>
      <c r="P1298" t="str">
        <f>DO_DB[[#This Row],[SiteID]]&amp;"_"&amp;DO_DB[[#This Row],[Material Name]]</f>
        <v>CLR64-01-037_FAT-16</v>
      </c>
      <c r="Q1298" t="str">
        <f>DO_DB[[#This Row],[DO Number]]</f>
        <v>DOEID240722CQ</v>
      </c>
      <c r="R1298" t="str">
        <f>DO_DB[[#This Row],[DN Number]]</f>
        <v>DNWID0342024072312</v>
      </c>
    </row>
    <row r="1299" spans="1:18">
      <c r="A1299" t="s">
        <v>1783</v>
      </c>
      <c r="B1299" t="s">
        <v>1784</v>
      </c>
      <c r="C1299" t="s">
        <v>4482</v>
      </c>
      <c r="D1299" t="s">
        <v>71</v>
      </c>
      <c r="E1299" t="s">
        <v>25</v>
      </c>
      <c r="F1299" t="s">
        <v>3297</v>
      </c>
      <c r="G1299" t="s">
        <v>1785</v>
      </c>
      <c r="H1299" t="s">
        <v>1786</v>
      </c>
      <c r="I1299" s="130">
        <v>45496</v>
      </c>
      <c r="J1299" t="s">
        <v>3075</v>
      </c>
      <c r="K1299">
        <v>3000</v>
      </c>
      <c r="M12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48C-2024723-01</v>
      </c>
      <c r="N1299" t="str">
        <f>DO_DB[[#This Row],[Material Pick-update]]&amp;"_"&amp;DO_DB[[#This Row],[Material Name]]</f>
        <v>45496_ADSS 48C</v>
      </c>
      <c r="O1299" t="str">
        <f>DO_DB[[#This Row],[SiteID]]</f>
        <v>CLR64-01-027</v>
      </c>
      <c r="P1299" t="str">
        <f>DO_DB[[#This Row],[SiteID]]&amp;"_"&amp;DO_DB[[#This Row],[Material Name]]</f>
        <v>CLR64-01-027_ADSS 48C</v>
      </c>
      <c r="Q1299" t="str">
        <f>DO_DB[[#This Row],[DO Number]]</f>
        <v>DOEID240722CK</v>
      </c>
      <c r="R1299" t="str">
        <f>DO_DB[[#This Row],[DN Number]]</f>
        <v>DNWID0342024072309</v>
      </c>
    </row>
    <row r="1300" spans="1:18">
      <c r="A1300" t="s">
        <v>1787</v>
      </c>
      <c r="B1300" t="s">
        <v>1788</v>
      </c>
      <c r="C1300" t="s">
        <v>4482</v>
      </c>
      <c r="D1300" t="s">
        <v>71</v>
      </c>
      <c r="E1300" t="s">
        <v>25</v>
      </c>
      <c r="F1300" t="s">
        <v>3297</v>
      </c>
      <c r="G1300" t="s">
        <v>1793</v>
      </c>
      <c r="H1300" t="s">
        <v>1794</v>
      </c>
      <c r="I1300" s="130">
        <v>45496</v>
      </c>
      <c r="J1300" t="s">
        <v>3073</v>
      </c>
      <c r="K1300">
        <v>3000</v>
      </c>
      <c r="M13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24C-2024723-01</v>
      </c>
      <c r="N1300" t="str">
        <f>DO_DB[[#This Row],[Material Pick-update]]&amp;"_"&amp;DO_DB[[#This Row],[Material Name]]</f>
        <v>45496_ADSS 24C</v>
      </c>
      <c r="O1300" t="str">
        <f>DO_DB[[#This Row],[SiteID]]</f>
        <v>CLR64-01-034</v>
      </c>
      <c r="P1300" t="str">
        <f>DO_DB[[#This Row],[SiteID]]&amp;"_"&amp;DO_DB[[#This Row],[Material Name]]</f>
        <v>CLR64-01-034_ADSS 24C</v>
      </c>
      <c r="Q1300" t="str">
        <f>DO_DB[[#This Row],[DO Number]]</f>
        <v>DOEID240722CM</v>
      </c>
      <c r="R1300" t="str">
        <f>DO_DB[[#This Row],[DN Number]]</f>
        <v>DNWID0342024072311</v>
      </c>
    </row>
    <row r="1301" spans="1:18">
      <c r="A1301" t="s">
        <v>1775</v>
      </c>
      <c r="B1301" t="s">
        <v>1776</v>
      </c>
      <c r="C1301" t="s">
        <v>4482</v>
      </c>
      <c r="D1301" t="s">
        <v>71</v>
      </c>
      <c r="E1301" t="s">
        <v>25</v>
      </c>
      <c r="F1301" t="s">
        <v>3297</v>
      </c>
      <c r="G1301" t="s">
        <v>1777</v>
      </c>
      <c r="H1301" t="s">
        <v>1778</v>
      </c>
      <c r="I1301" s="130">
        <v>45496</v>
      </c>
      <c r="J1301" t="s">
        <v>3073</v>
      </c>
      <c r="K1301">
        <v>3000</v>
      </c>
      <c r="M13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24C-2024723-01</v>
      </c>
      <c r="N1301" t="str">
        <f>DO_DB[[#This Row],[Material Pick-update]]&amp;"_"&amp;DO_DB[[#This Row],[Material Name]]</f>
        <v>45496_ADSS 24C</v>
      </c>
      <c r="O1301" t="str">
        <f>DO_DB[[#This Row],[SiteID]]</f>
        <v>CLR64-01-036</v>
      </c>
      <c r="P1301" t="str">
        <f>DO_DB[[#This Row],[SiteID]]&amp;"_"&amp;DO_DB[[#This Row],[Material Name]]</f>
        <v>CLR64-01-036_ADSS 24C</v>
      </c>
      <c r="Q1301" t="str">
        <f>DO_DB[[#This Row],[DO Number]]</f>
        <v>DOEID240722CO</v>
      </c>
      <c r="R1301" t="str">
        <f>DO_DB[[#This Row],[DN Number]]</f>
        <v>DNWID0342024072310</v>
      </c>
    </row>
    <row r="1302" spans="1:18">
      <c r="A1302" t="s">
        <v>1955</v>
      </c>
      <c r="B1302" t="s">
        <v>1956</v>
      </c>
      <c r="C1302" t="s">
        <v>4482</v>
      </c>
      <c r="D1302" t="s">
        <v>71</v>
      </c>
      <c r="E1302" t="s">
        <v>24</v>
      </c>
      <c r="F1302" t="s">
        <v>3297</v>
      </c>
      <c r="G1302" t="s">
        <v>1963</v>
      </c>
      <c r="H1302" t="s">
        <v>1964</v>
      </c>
      <c r="I1302" s="130">
        <v>45530</v>
      </c>
      <c r="J1302" t="s">
        <v>3075</v>
      </c>
      <c r="K1302">
        <v>3000</v>
      </c>
      <c r="M13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48C-2024826-01</v>
      </c>
      <c r="N1302" t="str">
        <f>DO_DB[[#This Row],[Material Pick-update]]&amp;"_"&amp;DO_DB[[#This Row],[Material Name]]</f>
        <v>45530_ADSS 48C</v>
      </c>
      <c r="O1302" t="str">
        <f>DO_DB[[#This Row],[SiteID]]</f>
        <v>CLR51-99-116</v>
      </c>
      <c r="P1302" t="str">
        <f>DO_DB[[#This Row],[SiteID]]&amp;"_"&amp;DO_DB[[#This Row],[Material Name]]</f>
        <v>CLR51-99-116_ADSS 48C</v>
      </c>
      <c r="Q1302" t="str">
        <f>DO_DB[[#This Row],[DO Number]]</f>
        <v>DOEID240822C7</v>
      </c>
      <c r="R1302" t="str">
        <f>DO_DB[[#This Row],[DN Number]]</f>
        <v>DNWID0342024082302</v>
      </c>
    </row>
    <row r="1303" spans="1:18">
      <c r="A1303" t="s">
        <v>1959</v>
      </c>
      <c r="B1303" t="s">
        <v>1960</v>
      </c>
      <c r="C1303" t="s">
        <v>4482</v>
      </c>
      <c r="D1303" t="s">
        <v>71</v>
      </c>
      <c r="E1303" t="s">
        <v>24</v>
      </c>
      <c r="F1303" t="s">
        <v>3297</v>
      </c>
      <c r="G1303" t="s">
        <v>1961</v>
      </c>
      <c r="H1303" t="s">
        <v>1962</v>
      </c>
      <c r="I1303" s="130">
        <v>45530</v>
      </c>
      <c r="J1303" t="s">
        <v>3075</v>
      </c>
      <c r="K1303">
        <v>3000</v>
      </c>
      <c r="M13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48C-2024826-01</v>
      </c>
      <c r="N1303" t="str">
        <f>DO_DB[[#This Row],[Material Pick-update]]&amp;"_"&amp;DO_DB[[#This Row],[Material Name]]</f>
        <v>45530_ADSS 48C</v>
      </c>
      <c r="O1303" t="str">
        <f>DO_DB[[#This Row],[SiteID]]</f>
        <v>CLR51-99-117</v>
      </c>
      <c r="P1303" t="str">
        <f>DO_DB[[#This Row],[SiteID]]&amp;"_"&amp;DO_DB[[#This Row],[Material Name]]</f>
        <v>CLR51-99-117_ADSS 48C</v>
      </c>
      <c r="Q1303" t="str">
        <f>DO_DB[[#This Row],[DO Number]]</f>
        <v>DOEID240822C9</v>
      </c>
      <c r="R1303" t="str">
        <f>DO_DB[[#This Row],[DN Number]]</f>
        <v>DNWID0342024082303</v>
      </c>
    </row>
    <row r="1304" spans="1:18">
      <c r="A1304" t="s">
        <v>1951</v>
      </c>
      <c r="B1304" t="s">
        <v>1952</v>
      </c>
      <c r="C1304" t="s">
        <v>4482</v>
      </c>
      <c r="D1304" t="s">
        <v>71</v>
      </c>
      <c r="E1304" t="s">
        <v>24</v>
      </c>
      <c r="F1304" t="s">
        <v>3297</v>
      </c>
      <c r="G1304" t="s">
        <v>1953</v>
      </c>
      <c r="H1304" t="s">
        <v>1954</v>
      </c>
      <c r="I1304" s="130">
        <v>45530</v>
      </c>
      <c r="J1304" t="s">
        <v>3069</v>
      </c>
      <c r="K1304">
        <v>97</v>
      </c>
      <c r="M13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04" t="str">
        <f>DO_DB[[#This Row],[Material Pick-update]]&amp;"_"&amp;DO_DB[[#This Row],[Material Name]]</f>
        <v>45530_Pole 7M 4"</v>
      </c>
      <c r="O1304" t="str">
        <f>DO_DB[[#This Row],[SiteID]]</f>
        <v>CLR51-99-115</v>
      </c>
      <c r="P1304" t="str">
        <f>DO_DB[[#This Row],[SiteID]]&amp;"_"&amp;DO_DB[[#This Row],[Material Name]]</f>
        <v>CLR51-99-115_Pole 7M 4"</v>
      </c>
      <c r="Q1304" t="str">
        <f>DO_DB[[#This Row],[DO Number]]</f>
        <v>DOEID240822C4</v>
      </c>
      <c r="R1304" t="str">
        <f>DO_DB[[#This Row],[DN Number]]</f>
        <v>DNWID0362024082301</v>
      </c>
    </row>
    <row r="1305" spans="1:18">
      <c r="A1305" t="s">
        <v>1951</v>
      </c>
      <c r="B1305" t="s">
        <v>1952</v>
      </c>
      <c r="C1305" t="s">
        <v>4482</v>
      </c>
      <c r="D1305" t="s">
        <v>71</v>
      </c>
      <c r="E1305" t="s">
        <v>24</v>
      </c>
      <c r="F1305" t="s">
        <v>3297</v>
      </c>
      <c r="G1305" t="s">
        <v>1953</v>
      </c>
      <c r="H1305" t="s">
        <v>1954</v>
      </c>
      <c r="I1305" s="130">
        <v>45530</v>
      </c>
      <c r="J1305" t="s">
        <v>3070</v>
      </c>
      <c r="K1305">
        <v>4</v>
      </c>
      <c r="M13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05" t="str">
        <f>DO_DB[[#This Row],[Material Pick-update]]&amp;"_"&amp;DO_DB[[#This Row],[Material Name]]</f>
        <v>45530_Pole 7M 3"</v>
      </c>
      <c r="O1305" t="str">
        <f>DO_DB[[#This Row],[SiteID]]</f>
        <v>CLR51-99-115</v>
      </c>
      <c r="P1305" t="str">
        <f>DO_DB[[#This Row],[SiteID]]&amp;"_"&amp;DO_DB[[#This Row],[Material Name]]</f>
        <v>CLR51-99-115_Pole 7M 3"</v>
      </c>
      <c r="Q1305" t="str">
        <f>DO_DB[[#This Row],[DO Number]]</f>
        <v>DOEID240822C4</v>
      </c>
      <c r="R1305" t="str">
        <f>DO_DB[[#This Row],[DN Number]]</f>
        <v>DNWID0362024082301</v>
      </c>
    </row>
    <row r="1306" spans="1:18">
      <c r="A1306" t="s">
        <v>1955</v>
      </c>
      <c r="B1306" t="s">
        <v>1956</v>
      </c>
      <c r="C1306" t="s">
        <v>4482</v>
      </c>
      <c r="D1306" t="s">
        <v>71</v>
      </c>
      <c r="E1306" t="s">
        <v>24</v>
      </c>
      <c r="F1306" t="s">
        <v>3297</v>
      </c>
      <c r="G1306" t="s">
        <v>1957</v>
      </c>
      <c r="H1306" t="s">
        <v>1958</v>
      </c>
      <c r="I1306" s="130">
        <v>45530</v>
      </c>
      <c r="J1306" t="s">
        <v>3069</v>
      </c>
      <c r="K1306">
        <v>26</v>
      </c>
      <c r="M13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06" t="str">
        <f>DO_DB[[#This Row],[Material Pick-update]]&amp;"_"&amp;DO_DB[[#This Row],[Material Name]]</f>
        <v>45530_Pole 7M 4"</v>
      </c>
      <c r="O1306" t="str">
        <f>DO_DB[[#This Row],[SiteID]]</f>
        <v>CLR51-99-116</v>
      </c>
      <c r="P1306" t="str">
        <f>DO_DB[[#This Row],[SiteID]]&amp;"_"&amp;DO_DB[[#This Row],[Material Name]]</f>
        <v>CLR51-99-116_Pole 7M 4"</v>
      </c>
      <c r="Q1306" t="str">
        <f>DO_DB[[#This Row],[DO Number]]</f>
        <v>DOEID240822C6</v>
      </c>
      <c r="R1306" t="str">
        <f>DO_DB[[#This Row],[DN Number]]</f>
        <v>DNWID0362024082303</v>
      </c>
    </row>
    <row r="1307" spans="1:18">
      <c r="A1307" t="s">
        <v>1955</v>
      </c>
      <c r="B1307" t="s">
        <v>1956</v>
      </c>
      <c r="C1307" t="s">
        <v>4482</v>
      </c>
      <c r="D1307" t="s">
        <v>71</v>
      </c>
      <c r="E1307" t="s">
        <v>24</v>
      </c>
      <c r="F1307" t="s">
        <v>3297</v>
      </c>
      <c r="G1307" t="s">
        <v>1957</v>
      </c>
      <c r="H1307" t="s">
        <v>1958</v>
      </c>
      <c r="I1307" s="130">
        <v>45530</v>
      </c>
      <c r="J1307" t="s">
        <v>3070</v>
      </c>
      <c r="K1307">
        <v>2</v>
      </c>
      <c r="M13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07" t="str">
        <f>DO_DB[[#This Row],[Material Pick-update]]&amp;"_"&amp;DO_DB[[#This Row],[Material Name]]</f>
        <v>45530_Pole 7M 3"</v>
      </c>
      <c r="O1307" t="str">
        <f>DO_DB[[#This Row],[SiteID]]</f>
        <v>CLR51-99-116</v>
      </c>
      <c r="P1307" t="str">
        <f>DO_DB[[#This Row],[SiteID]]&amp;"_"&amp;DO_DB[[#This Row],[Material Name]]</f>
        <v>CLR51-99-116_Pole 7M 3"</v>
      </c>
      <c r="Q1307" t="str">
        <f>DO_DB[[#This Row],[DO Number]]</f>
        <v>DOEID240822C6</v>
      </c>
      <c r="R1307" t="str">
        <f>DO_DB[[#This Row],[DN Number]]</f>
        <v>DNWID0362024082303</v>
      </c>
    </row>
    <row r="1308" spans="1:18">
      <c r="A1308" t="s">
        <v>1955</v>
      </c>
      <c r="B1308" t="s">
        <v>1956</v>
      </c>
      <c r="C1308" t="s">
        <v>4482</v>
      </c>
      <c r="D1308" t="s">
        <v>71</v>
      </c>
      <c r="E1308" t="s">
        <v>24</v>
      </c>
      <c r="F1308" t="s">
        <v>3297</v>
      </c>
      <c r="G1308" t="s">
        <v>1957</v>
      </c>
      <c r="H1308" t="s">
        <v>1958</v>
      </c>
      <c r="I1308" s="130">
        <v>45530</v>
      </c>
      <c r="J1308" t="s">
        <v>4856</v>
      </c>
      <c r="K1308">
        <v>1</v>
      </c>
      <c r="M13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08" t="str">
        <f>DO_DB[[#This Row],[Material Pick-update]]&amp;"_"&amp;DO_DB[[#This Row],[Material Name]]</f>
        <v>45530_JC 144Core</v>
      </c>
      <c r="O1308" t="str">
        <f>DO_DB[[#This Row],[SiteID]]</f>
        <v>CLR51-99-116</v>
      </c>
      <c r="P1308" t="str">
        <f>DO_DB[[#This Row],[SiteID]]&amp;"_"&amp;DO_DB[[#This Row],[Material Name]]</f>
        <v>CLR51-99-116_JC 144Core</v>
      </c>
      <c r="Q1308" t="str">
        <f>DO_DB[[#This Row],[DO Number]]</f>
        <v>DOEID240822C6</v>
      </c>
      <c r="R1308" t="str">
        <f>DO_DB[[#This Row],[DN Number]]</f>
        <v>DNWID0362024082303</v>
      </c>
    </row>
    <row r="1309" spans="1:18">
      <c r="A1309" t="s">
        <v>1955</v>
      </c>
      <c r="B1309" t="s">
        <v>1956</v>
      </c>
      <c r="C1309" t="s">
        <v>4482</v>
      </c>
      <c r="D1309" t="s">
        <v>71</v>
      </c>
      <c r="E1309" t="s">
        <v>24</v>
      </c>
      <c r="F1309" t="s">
        <v>3297</v>
      </c>
      <c r="G1309" t="s">
        <v>1963</v>
      </c>
      <c r="H1309" t="s">
        <v>1964</v>
      </c>
      <c r="I1309" s="130">
        <v>45530</v>
      </c>
      <c r="J1309" t="s">
        <v>14</v>
      </c>
      <c r="K1309">
        <v>1</v>
      </c>
      <c r="M13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09" t="str">
        <f>DO_DB[[#This Row],[Material Pick-update]]&amp;"_"&amp;DO_DB[[#This Row],[Material Name]]</f>
        <v>45530_FDT-48</v>
      </c>
      <c r="O1309" t="str">
        <f>DO_DB[[#This Row],[SiteID]]</f>
        <v>CLR51-99-116</v>
      </c>
      <c r="P1309" t="str">
        <f>DO_DB[[#This Row],[SiteID]]&amp;"_"&amp;DO_DB[[#This Row],[Material Name]]</f>
        <v>CLR51-99-116_FDT-48</v>
      </c>
      <c r="Q1309" t="str">
        <f>DO_DB[[#This Row],[DO Number]]</f>
        <v>DOEID240822C7</v>
      </c>
      <c r="R1309" t="str">
        <f>DO_DB[[#This Row],[DN Number]]</f>
        <v>DNWID0342024082302</v>
      </c>
    </row>
    <row r="1310" spans="1:18">
      <c r="A1310" t="s">
        <v>1955</v>
      </c>
      <c r="B1310" t="s">
        <v>1956</v>
      </c>
      <c r="C1310" t="s">
        <v>4482</v>
      </c>
      <c r="D1310" t="s">
        <v>71</v>
      </c>
      <c r="E1310" t="s">
        <v>24</v>
      </c>
      <c r="F1310" t="s">
        <v>3297</v>
      </c>
      <c r="G1310" t="s">
        <v>1963</v>
      </c>
      <c r="H1310" t="s">
        <v>1964</v>
      </c>
      <c r="I1310" s="130">
        <v>45530</v>
      </c>
      <c r="J1310" t="s">
        <v>13</v>
      </c>
      <c r="K1310">
        <v>13</v>
      </c>
      <c r="M13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10" t="str">
        <f>DO_DB[[#This Row],[Material Pick-update]]&amp;"_"&amp;DO_DB[[#This Row],[Material Name]]</f>
        <v>45530_FAT-16</v>
      </c>
      <c r="O1310" t="str">
        <f>DO_DB[[#This Row],[SiteID]]</f>
        <v>CLR51-99-116</v>
      </c>
      <c r="P1310" t="str">
        <f>DO_DB[[#This Row],[SiteID]]&amp;"_"&amp;DO_DB[[#This Row],[Material Name]]</f>
        <v>CLR51-99-116_FAT-16</v>
      </c>
      <c r="Q1310" t="str">
        <f>DO_DB[[#This Row],[DO Number]]</f>
        <v>DOEID240822C7</v>
      </c>
      <c r="R1310" t="str">
        <f>DO_DB[[#This Row],[DN Number]]</f>
        <v>DNWID0342024082302</v>
      </c>
    </row>
    <row r="1311" spans="1:18">
      <c r="A1311" t="s">
        <v>1955</v>
      </c>
      <c r="B1311" t="s">
        <v>1956</v>
      </c>
      <c r="C1311" t="s">
        <v>4482</v>
      </c>
      <c r="D1311" t="s">
        <v>71</v>
      </c>
      <c r="E1311" t="s">
        <v>24</v>
      </c>
      <c r="F1311" t="s">
        <v>3297</v>
      </c>
      <c r="G1311" t="s">
        <v>1963</v>
      </c>
      <c r="H1311" t="s">
        <v>1964</v>
      </c>
      <c r="I1311" s="130">
        <v>45530</v>
      </c>
      <c r="J1311" t="s">
        <v>3080</v>
      </c>
      <c r="K1311">
        <v>3</v>
      </c>
      <c r="M13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11" t="str">
        <f>DO_DB[[#This Row],[Material Pick-update]]&amp;"_"&amp;DO_DB[[#This Row],[Material Name]]</f>
        <v>45530_1:8 SPL for FDT-AE &amp; UG</v>
      </c>
      <c r="O1311" t="str">
        <f>DO_DB[[#This Row],[SiteID]]</f>
        <v>CLR51-99-116</v>
      </c>
      <c r="P1311" t="str">
        <f>DO_DB[[#This Row],[SiteID]]&amp;"_"&amp;DO_DB[[#This Row],[Material Name]]</f>
        <v>CLR51-99-116_1:8 SPL for FDT-AE &amp; UG</v>
      </c>
      <c r="Q1311" t="str">
        <f>DO_DB[[#This Row],[DO Number]]</f>
        <v>DOEID240822C7</v>
      </c>
      <c r="R1311" t="str">
        <f>DO_DB[[#This Row],[DN Number]]</f>
        <v>DNWID0342024082302</v>
      </c>
    </row>
    <row r="1312" spans="1:18">
      <c r="A1312" t="s">
        <v>1959</v>
      </c>
      <c r="B1312" t="s">
        <v>1960</v>
      </c>
      <c r="C1312" t="s">
        <v>4482</v>
      </c>
      <c r="D1312" t="s">
        <v>71</v>
      </c>
      <c r="E1312" t="s">
        <v>24</v>
      </c>
      <c r="F1312" t="s">
        <v>3297</v>
      </c>
      <c r="G1312" t="s">
        <v>1965</v>
      </c>
      <c r="H1312" t="s">
        <v>1966</v>
      </c>
      <c r="I1312" s="130">
        <v>45530</v>
      </c>
      <c r="J1312" t="s">
        <v>3069</v>
      </c>
      <c r="K1312">
        <v>26</v>
      </c>
      <c r="M13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12" t="str">
        <f>DO_DB[[#This Row],[Material Pick-update]]&amp;"_"&amp;DO_DB[[#This Row],[Material Name]]</f>
        <v>45530_Pole 7M 4"</v>
      </c>
      <c r="O1312" t="str">
        <f>DO_DB[[#This Row],[SiteID]]</f>
        <v>CLR51-99-117</v>
      </c>
      <c r="P1312" t="str">
        <f>DO_DB[[#This Row],[SiteID]]&amp;"_"&amp;DO_DB[[#This Row],[Material Name]]</f>
        <v>CLR51-99-117_Pole 7M 4"</v>
      </c>
      <c r="Q1312" t="str">
        <f>DO_DB[[#This Row],[DO Number]]</f>
        <v>DOEID240822C8</v>
      </c>
      <c r="R1312" t="str">
        <f>DO_DB[[#This Row],[DN Number]]</f>
        <v>DNWID0362024082302</v>
      </c>
    </row>
    <row r="1313" spans="1:18">
      <c r="A1313" t="s">
        <v>1959</v>
      </c>
      <c r="B1313" t="s">
        <v>1960</v>
      </c>
      <c r="C1313" t="s">
        <v>4482</v>
      </c>
      <c r="D1313" t="s">
        <v>71</v>
      </c>
      <c r="E1313" t="s">
        <v>24</v>
      </c>
      <c r="F1313" t="s">
        <v>3297</v>
      </c>
      <c r="G1313" t="s">
        <v>1965</v>
      </c>
      <c r="H1313" t="s">
        <v>1966</v>
      </c>
      <c r="I1313" s="130">
        <v>45530</v>
      </c>
      <c r="J1313" t="s">
        <v>3070</v>
      </c>
      <c r="K1313">
        <v>3</v>
      </c>
      <c r="M13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13" t="str">
        <f>DO_DB[[#This Row],[Material Pick-update]]&amp;"_"&amp;DO_DB[[#This Row],[Material Name]]</f>
        <v>45530_Pole 7M 3"</v>
      </c>
      <c r="O1313" t="str">
        <f>DO_DB[[#This Row],[SiteID]]</f>
        <v>CLR51-99-117</v>
      </c>
      <c r="P1313" t="str">
        <f>DO_DB[[#This Row],[SiteID]]&amp;"_"&amp;DO_DB[[#This Row],[Material Name]]</f>
        <v>CLR51-99-117_Pole 7M 3"</v>
      </c>
      <c r="Q1313" t="str">
        <f>DO_DB[[#This Row],[DO Number]]</f>
        <v>DOEID240822C8</v>
      </c>
      <c r="R1313" t="str">
        <f>DO_DB[[#This Row],[DN Number]]</f>
        <v>DNWID0362024082302</v>
      </c>
    </row>
    <row r="1314" spans="1:18">
      <c r="A1314" t="s">
        <v>1959</v>
      </c>
      <c r="B1314" t="s">
        <v>1960</v>
      </c>
      <c r="C1314" t="s">
        <v>4482</v>
      </c>
      <c r="D1314" t="s">
        <v>71</v>
      </c>
      <c r="E1314" t="s">
        <v>24</v>
      </c>
      <c r="F1314" t="s">
        <v>3297</v>
      </c>
      <c r="G1314" t="s">
        <v>1961</v>
      </c>
      <c r="H1314" t="s">
        <v>1962</v>
      </c>
      <c r="I1314" s="130">
        <v>45530</v>
      </c>
      <c r="J1314" t="s">
        <v>13</v>
      </c>
      <c r="K1314">
        <v>11</v>
      </c>
      <c r="M13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14" t="str">
        <f>DO_DB[[#This Row],[Material Pick-update]]&amp;"_"&amp;DO_DB[[#This Row],[Material Name]]</f>
        <v>45530_FAT-16</v>
      </c>
      <c r="O1314" t="str">
        <f>DO_DB[[#This Row],[SiteID]]</f>
        <v>CLR51-99-117</v>
      </c>
      <c r="P1314" t="str">
        <f>DO_DB[[#This Row],[SiteID]]&amp;"_"&amp;DO_DB[[#This Row],[Material Name]]</f>
        <v>CLR51-99-117_FAT-16</v>
      </c>
      <c r="Q1314" t="str">
        <f>DO_DB[[#This Row],[DO Number]]</f>
        <v>DOEID240822C9</v>
      </c>
      <c r="R1314" t="str">
        <f>DO_DB[[#This Row],[DN Number]]</f>
        <v>DNWID0342024082303</v>
      </c>
    </row>
    <row r="1315" spans="1:18">
      <c r="A1315" t="s">
        <v>2029</v>
      </c>
      <c r="B1315" t="s">
        <v>2030</v>
      </c>
      <c r="C1315" t="s">
        <v>4482</v>
      </c>
      <c r="D1315" t="s">
        <v>71</v>
      </c>
      <c r="E1315" t="s">
        <v>25</v>
      </c>
      <c r="F1315" t="s">
        <v>3297</v>
      </c>
      <c r="G1315" t="s">
        <v>2033</v>
      </c>
      <c r="H1315" t="s">
        <v>2034</v>
      </c>
      <c r="I1315" s="130">
        <v>45538</v>
      </c>
      <c r="J1315" t="s">
        <v>3075</v>
      </c>
      <c r="K1315">
        <v>3000</v>
      </c>
      <c r="M13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48C-202493-01</v>
      </c>
      <c r="N1315" t="str">
        <f>DO_DB[[#This Row],[Material Pick-update]]&amp;"_"&amp;DO_DB[[#This Row],[Material Name]]</f>
        <v>45538_ADSS 48C</v>
      </c>
      <c r="O1315" t="str">
        <f>DO_DB[[#This Row],[SiteID]]</f>
        <v>CLR64-99-001</v>
      </c>
      <c r="P1315" t="str">
        <f>DO_DB[[#This Row],[SiteID]]&amp;"_"&amp;DO_DB[[#This Row],[Material Name]]</f>
        <v>CLR64-99-001_ADSS 48C</v>
      </c>
      <c r="Q1315" t="str">
        <f>DO_DB[[#This Row],[DO Number]]</f>
        <v>DOEID24090205</v>
      </c>
      <c r="R1315" t="str">
        <f>DO_DB[[#This Row],[DN Number]]</f>
        <v>DNWID0342024090202</v>
      </c>
    </row>
    <row r="1316" spans="1:18">
      <c r="A1316" t="s">
        <v>2029</v>
      </c>
      <c r="B1316" t="s">
        <v>2030</v>
      </c>
      <c r="C1316" t="s">
        <v>4482</v>
      </c>
      <c r="D1316" t="s">
        <v>71</v>
      </c>
      <c r="E1316" t="s">
        <v>25</v>
      </c>
      <c r="F1316" t="s">
        <v>3297</v>
      </c>
      <c r="G1316" t="s">
        <v>2031</v>
      </c>
      <c r="H1316" t="s">
        <v>2032</v>
      </c>
      <c r="I1316" s="130">
        <v>45538</v>
      </c>
      <c r="J1316" t="s">
        <v>3069</v>
      </c>
      <c r="K1316">
        <v>130</v>
      </c>
      <c r="M13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16" t="str">
        <f>DO_DB[[#This Row],[Material Pick-update]]&amp;"_"&amp;DO_DB[[#This Row],[Material Name]]</f>
        <v>45538_Pole 7M 4"</v>
      </c>
      <c r="O1316" t="str">
        <f>DO_DB[[#This Row],[SiteID]]</f>
        <v>CLR64-99-001</v>
      </c>
      <c r="P1316" t="str">
        <f>DO_DB[[#This Row],[SiteID]]&amp;"_"&amp;DO_DB[[#This Row],[Material Name]]</f>
        <v>CLR64-99-001_Pole 7M 4"</v>
      </c>
      <c r="Q1316" t="str">
        <f>DO_DB[[#This Row],[DO Number]]</f>
        <v>DOEID24090204</v>
      </c>
      <c r="R1316" t="str">
        <f>DO_DB[[#This Row],[DN Number]]</f>
        <v>DNWID0362024090201</v>
      </c>
    </row>
    <row r="1317" spans="1:18">
      <c r="A1317" t="s">
        <v>2029</v>
      </c>
      <c r="B1317" t="s">
        <v>2030</v>
      </c>
      <c r="C1317" t="s">
        <v>4482</v>
      </c>
      <c r="D1317" t="s">
        <v>71</v>
      </c>
      <c r="E1317" t="s">
        <v>25</v>
      </c>
      <c r="F1317" t="s">
        <v>3297</v>
      </c>
      <c r="G1317" t="s">
        <v>2031</v>
      </c>
      <c r="H1317" t="s">
        <v>2032</v>
      </c>
      <c r="I1317" s="130">
        <v>45538</v>
      </c>
      <c r="J1317" t="s">
        <v>3070</v>
      </c>
      <c r="K1317">
        <v>22</v>
      </c>
      <c r="M13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17" t="str">
        <f>DO_DB[[#This Row],[Material Pick-update]]&amp;"_"&amp;DO_DB[[#This Row],[Material Name]]</f>
        <v>45538_Pole 7M 3"</v>
      </c>
      <c r="O1317" t="str">
        <f>DO_DB[[#This Row],[SiteID]]</f>
        <v>CLR64-99-001</v>
      </c>
      <c r="P1317" t="str">
        <f>DO_DB[[#This Row],[SiteID]]&amp;"_"&amp;DO_DB[[#This Row],[Material Name]]</f>
        <v>CLR64-99-001_Pole 7M 3"</v>
      </c>
      <c r="Q1317" t="str">
        <f>DO_DB[[#This Row],[DO Number]]</f>
        <v>DOEID24090204</v>
      </c>
      <c r="R1317" t="str">
        <f>DO_DB[[#This Row],[DN Number]]</f>
        <v>DNWID0362024090201</v>
      </c>
    </row>
    <row r="1318" spans="1:18">
      <c r="A1318" t="s">
        <v>2029</v>
      </c>
      <c r="B1318" t="s">
        <v>2030</v>
      </c>
      <c r="C1318" t="s">
        <v>4482</v>
      </c>
      <c r="D1318" t="s">
        <v>71</v>
      </c>
      <c r="E1318" t="s">
        <v>25</v>
      </c>
      <c r="F1318" t="s">
        <v>3297</v>
      </c>
      <c r="G1318" t="s">
        <v>2033</v>
      </c>
      <c r="H1318" t="s">
        <v>2034</v>
      </c>
      <c r="I1318" s="130">
        <v>45538</v>
      </c>
      <c r="J1318" t="s">
        <v>14</v>
      </c>
      <c r="K1318">
        <v>4</v>
      </c>
      <c r="M13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18" t="str">
        <f>DO_DB[[#This Row],[Material Pick-update]]&amp;"_"&amp;DO_DB[[#This Row],[Material Name]]</f>
        <v>45538_FDT-48</v>
      </c>
      <c r="O1318" t="str">
        <f>DO_DB[[#This Row],[SiteID]]</f>
        <v>CLR64-99-001</v>
      </c>
      <c r="P1318" t="str">
        <f>DO_DB[[#This Row],[SiteID]]&amp;"_"&amp;DO_DB[[#This Row],[Material Name]]</f>
        <v>CLR64-99-001_FDT-48</v>
      </c>
      <c r="Q1318" t="str">
        <f>DO_DB[[#This Row],[DO Number]]</f>
        <v>DOEID24090205</v>
      </c>
      <c r="R1318" t="str">
        <f>DO_DB[[#This Row],[DN Number]]</f>
        <v>DNWID0342024090202</v>
      </c>
    </row>
    <row r="1319" spans="1:18">
      <c r="A1319" t="s">
        <v>2029</v>
      </c>
      <c r="B1319" t="s">
        <v>2030</v>
      </c>
      <c r="C1319" t="s">
        <v>4482</v>
      </c>
      <c r="D1319" t="s">
        <v>71</v>
      </c>
      <c r="E1319" t="s">
        <v>25</v>
      </c>
      <c r="F1319" t="s">
        <v>3297</v>
      </c>
      <c r="G1319" t="s">
        <v>2033</v>
      </c>
      <c r="H1319" t="s">
        <v>2034</v>
      </c>
      <c r="I1319" s="130">
        <v>45538</v>
      </c>
      <c r="J1319" t="s">
        <v>13</v>
      </c>
      <c r="K1319">
        <v>70</v>
      </c>
      <c r="M13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19" t="str">
        <f>DO_DB[[#This Row],[Material Pick-update]]&amp;"_"&amp;DO_DB[[#This Row],[Material Name]]</f>
        <v>45538_FAT-16</v>
      </c>
      <c r="O1319" t="str">
        <f>DO_DB[[#This Row],[SiteID]]</f>
        <v>CLR64-99-001</v>
      </c>
      <c r="P1319" t="str">
        <f>DO_DB[[#This Row],[SiteID]]&amp;"_"&amp;DO_DB[[#This Row],[Material Name]]</f>
        <v>CLR64-99-001_FAT-16</v>
      </c>
      <c r="Q1319" t="str">
        <f>DO_DB[[#This Row],[DO Number]]</f>
        <v>DOEID24090205</v>
      </c>
      <c r="R1319" t="str">
        <f>DO_DB[[#This Row],[DN Number]]</f>
        <v>DNWID0342024090202</v>
      </c>
    </row>
    <row r="1320" spans="1:18">
      <c r="A1320" t="s">
        <v>2029</v>
      </c>
      <c r="B1320" t="s">
        <v>2030</v>
      </c>
      <c r="C1320" t="s">
        <v>4482</v>
      </c>
      <c r="D1320" t="s">
        <v>71</v>
      </c>
      <c r="E1320" t="s">
        <v>25</v>
      </c>
      <c r="F1320" t="s">
        <v>3297</v>
      </c>
      <c r="G1320" t="s">
        <v>2033</v>
      </c>
      <c r="H1320" t="s">
        <v>2034</v>
      </c>
      <c r="I1320" s="130">
        <v>45538</v>
      </c>
      <c r="J1320" t="s">
        <v>3073</v>
      </c>
      <c r="K1320">
        <v>6000</v>
      </c>
      <c r="M13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24C-202493-01</v>
      </c>
      <c r="N1320" t="str">
        <f>DO_DB[[#This Row],[Material Pick-update]]&amp;"_"&amp;DO_DB[[#This Row],[Material Name]]</f>
        <v>45538_ADSS 24C</v>
      </c>
      <c r="O1320" t="str">
        <f>DO_DB[[#This Row],[SiteID]]</f>
        <v>CLR64-99-001</v>
      </c>
      <c r="P1320" t="str">
        <f>DO_DB[[#This Row],[SiteID]]&amp;"_"&amp;DO_DB[[#This Row],[Material Name]]</f>
        <v>CLR64-99-001_ADSS 24C</v>
      </c>
      <c r="Q1320" t="str">
        <f>DO_DB[[#This Row],[DO Number]]</f>
        <v>DOEID24090205</v>
      </c>
      <c r="R1320" t="str">
        <f>DO_DB[[#This Row],[DN Number]]</f>
        <v>DNWID0342024090202</v>
      </c>
    </row>
    <row r="1321" spans="1:18">
      <c r="A1321" t="s">
        <v>2132</v>
      </c>
      <c r="B1321" t="s">
        <v>2133</v>
      </c>
      <c r="C1321" t="s">
        <v>4482</v>
      </c>
      <c r="D1321" t="s">
        <v>2121</v>
      </c>
      <c r="E1321" t="s">
        <v>25</v>
      </c>
      <c r="F1321" t="s">
        <v>3297</v>
      </c>
      <c r="G1321" t="s">
        <v>2136</v>
      </c>
      <c r="H1321" t="s">
        <v>2137</v>
      </c>
      <c r="I1321" s="130">
        <v>45552</v>
      </c>
      <c r="J1321" t="s">
        <v>3069</v>
      </c>
      <c r="K1321">
        <v>148</v>
      </c>
      <c r="M13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21" t="str">
        <f>DO_DB[[#This Row],[Material Pick-update]]&amp;"_"&amp;DO_DB[[#This Row],[Material Name]]</f>
        <v>45552_Pole 7M 4"</v>
      </c>
      <c r="O1321" t="str">
        <f>DO_DB[[#This Row],[SiteID]]</f>
        <v>CLR64-99-012</v>
      </c>
      <c r="P1321" t="str">
        <f>DO_DB[[#This Row],[SiteID]]&amp;"_"&amp;DO_DB[[#This Row],[Material Name]]</f>
        <v>CLR64-99-012_Pole 7M 4"</v>
      </c>
      <c r="Q1321" t="str">
        <f>DO_DB[[#This Row],[DO Number]]</f>
        <v>DOEID24091159</v>
      </c>
      <c r="R1321" t="str">
        <f>DO_DB[[#This Row],[DN Number]]</f>
        <v>DNWID0362024091105</v>
      </c>
    </row>
    <row r="1322" spans="1:18">
      <c r="A1322" t="s">
        <v>2132</v>
      </c>
      <c r="B1322" t="s">
        <v>2133</v>
      </c>
      <c r="C1322" t="s">
        <v>4482</v>
      </c>
      <c r="D1322" t="s">
        <v>2121</v>
      </c>
      <c r="E1322" t="s">
        <v>25</v>
      </c>
      <c r="F1322" t="s">
        <v>3297</v>
      </c>
      <c r="G1322" t="s">
        <v>2136</v>
      </c>
      <c r="H1322" t="s">
        <v>2137</v>
      </c>
      <c r="I1322" s="130">
        <v>45552</v>
      </c>
      <c r="J1322" t="s">
        <v>3070</v>
      </c>
      <c r="K1322">
        <v>13</v>
      </c>
      <c r="M13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22" t="str">
        <f>DO_DB[[#This Row],[Material Pick-update]]&amp;"_"&amp;DO_DB[[#This Row],[Material Name]]</f>
        <v>45552_Pole 7M 3"</v>
      </c>
      <c r="O1322" t="str">
        <f>DO_DB[[#This Row],[SiteID]]</f>
        <v>CLR64-99-012</v>
      </c>
      <c r="P1322" t="str">
        <f>DO_DB[[#This Row],[SiteID]]&amp;"_"&amp;DO_DB[[#This Row],[Material Name]]</f>
        <v>CLR64-99-012_Pole 7M 3"</v>
      </c>
      <c r="Q1322" t="str">
        <f>DO_DB[[#This Row],[DO Number]]</f>
        <v>DOEID24091159</v>
      </c>
      <c r="R1322" t="str">
        <f>DO_DB[[#This Row],[DN Number]]</f>
        <v>DNWID0362024091105</v>
      </c>
    </row>
    <row r="1323" spans="1:18">
      <c r="A1323" t="s">
        <v>2132</v>
      </c>
      <c r="B1323" t="s">
        <v>2133</v>
      </c>
      <c r="C1323" t="s">
        <v>4482</v>
      </c>
      <c r="D1323" t="s">
        <v>2121</v>
      </c>
      <c r="E1323" t="s">
        <v>25</v>
      </c>
      <c r="F1323" t="s">
        <v>3297</v>
      </c>
      <c r="G1323" t="s">
        <v>2136</v>
      </c>
      <c r="H1323" t="s">
        <v>2137</v>
      </c>
      <c r="I1323" s="130">
        <v>45552</v>
      </c>
      <c r="J1323" t="s">
        <v>4856</v>
      </c>
      <c r="K1323">
        <v>1</v>
      </c>
      <c r="M13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23" t="str">
        <f>DO_DB[[#This Row],[Material Pick-update]]&amp;"_"&amp;DO_DB[[#This Row],[Material Name]]</f>
        <v>45552_JC 144Core</v>
      </c>
      <c r="O1323" t="str">
        <f>DO_DB[[#This Row],[SiteID]]</f>
        <v>CLR64-99-012</v>
      </c>
      <c r="P1323" t="str">
        <f>DO_DB[[#This Row],[SiteID]]&amp;"_"&amp;DO_DB[[#This Row],[Material Name]]</f>
        <v>CLR64-99-012_JC 144Core</v>
      </c>
      <c r="Q1323" t="str">
        <f>DO_DB[[#This Row],[DO Number]]</f>
        <v>DOEID24091159</v>
      </c>
      <c r="R1323" t="str">
        <f>DO_DB[[#This Row],[DN Number]]</f>
        <v>DNWID0362024091105</v>
      </c>
    </row>
    <row r="1324" spans="1:18">
      <c r="A1324" t="s">
        <v>2132</v>
      </c>
      <c r="B1324" t="s">
        <v>2133</v>
      </c>
      <c r="C1324" t="s">
        <v>4482</v>
      </c>
      <c r="D1324" t="s">
        <v>2121</v>
      </c>
      <c r="E1324" t="s">
        <v>25</v>
      </c>
      <c r="F1324" t="s">
        <v>3297</v>
      </c>
      <c r="G1324" t="s">
        <v>2138</v>
      </c>
      <c r="H1324" t="s">
        <v>2139</v>
      </c>
      <c r="I1324" s="130">
        <v>45552</v>
      </c>
      <c r="J1324" t="s">
        <v>14</v>
      </c>
      <c r="K1324">
        <v>3</v>
      </c>
      <c r="M13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24" t="str">
        <f>DO_DB[[#This Row],[Material Pick-update]]&amp;"_"&amp;DO_DB[[#This Row],[Material Name]]</f>
        <v>45552_FDT-48</v>
      </c>
      <c r="O1324" t="str">
        <f>DO_DB[[#This Row],[SiteID]]</f>
        <v>CLR64-99-012</v>
      </c>
      <c r="P1324" t="str">
        <f>DO_DB[[#This Row],[SiteID]]&amp;"_"&amp;DO_DB[[#This Row],[Material Name]]</f>
        <v>CLR64-99-012_FDT-48</v>
      </c>
      <c r="Q1324" t="str">
        <f>DO_DB[[#This Row],[DO Number]]</f>
        <v>DOEID24091160</v>
      </c>
      <c r="R1324" t="str">
        <f>DO_DB[[#This Row],[DN Number]]</f>
        <v>DNWID0342024091102</v>
      </c>
    </row>
    <row r="1325" spans="1:18">
      <c r="A1325" t="s">
        <v>2132</v>
      </c>
      <c r="B1325" t="s">
        <v>2133</v>
      </c>
      <c r="C1325" t="s">
        <v>4482</v>
      </c>
      <c r="D1325" t="s">
        <v>2121</v>
      </c>
      <c r="E1325" t="s">
        <v>25</v>
      </c>
      <c r="F1325" t="s">
        <v>3297</v>
      </c>
      <c r="G1325" t="s">
        <v>2138</v>
      </c>
      <c r="H1325" t="s">
        <v>2139</v>
      </c>
      <c r="I1325" s="130">
        <v>45552</v>
      </c>
      <c r="J1325" t="s">
        <v>13</v>
      </c>
      <c r="K1325">
        <v>49</v>
      </c>
      <c r="M13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25" t="str">
        <f>DO_DB[[#This Row],[Material Pick-update]]&amp;"_"&amp;DO_DB[[#This Row],[Material Name]]</f>
        <v>45552_FAT-16</v>
      </c>
      <c r="O1325" t="str">
        <f>DO_DB[[#This Row],[SiteID]]</f>
        <v>CLR64-99-012</v>
      </c>
      <c r="P1325" t="str">
        <f>DO_DB[[#This Row],[SiteID]]&amp;"_"&amp;DO_DB[[#This Row],[Material Name]]</f>
        <v>CLR64-99-012_FAT-16</v>
      </c>
      <c r="Q1325" t="str">
        <f>DO_DB[[#This Row],[DO Number]]</f>
        <v>DOEID24091160</v>
      </c>
      <c r="R1325" t="str">
        <f>DO_DB[[#This Row],[DN Number]]</f>
        <v>DNWID0342024091102</v>
      </c>
    </row>
    <row r="1326" spans="1:18">
      <c r="A1326" t="s">
        <v>2132</v>
      </c>
      <c r="B1326" t="s">
        <v>2133</v>
      </c>
      <c r="C1326" t="s">
        <v>4482</v>
      </c>
      <c r="D1326" t="s">
        <v>2121</v>
      </c>
      <c r="E1326" t="s">
        <v>25</v>
      </c>
      <c r="F1326" t="s">
        <v>3297</v>
      </c>
      <c r="G1326" t="s">
        <v>2134</v>
      </c>
      <c r="H1326" t="s">
        <v>2135</v>
      </c>
      <c r="I1326" s="130">
        <v>45552</v>
      </c>
      <c r="J1326" t="s">
        <v>3071</v>
      </c>
      <c r="K1326">
        <v>2</v>
      </c>
      <c r="M13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26" t="str">
        <f>DO_DB[[#This Row],[Material Pick-update]]&amp;"_"&amp;DO_DB[[#This Row],[Material Name]]</f>
        <v>45552_Pole 9M</v>
      </c>
      <c r="O1326" t="str">
        <f>DO_DB[[#This Row],[SiteID]]</f>
        <v>CLR64-99-012</v>
      </c>
      <c r="P1326" t="str">
        <f>DO_DB[[#This Row],[SiteID]]&amp;"_"&amp;DO_DB[[#This Row],[Material Name]]</f>
        <v>CLR64-99-012_Pole 9M</v>
      </c>
      <c r="Q1326" t="str">
        <f>DO_DB[[#This Row],[DO Number]]</f>
        <v>DOEID24091726</v>
      </c>
      <c r="R1326" t="str">
        <f>DO_DB[[#This Row],[DN Number]]</f>
        <v>DNWID0362024091701</v>
      </c>
    </row>
    <row r="1327" spans="1:18">
      <c r="A1327" t="s">
        <v>2132</v>
      </c>
      <c r="B1327" t="s">
        <v>2133</v>
      </c>
      <c r="C1327" t="s">
        <v>4482</v>
      </c>
      <c r="D1327" t="s">
        <v>2121</v>
      </c>
      <c r="E1327" t="s">
        <v>25</v>
      </c>
      <c r="F1327" t="s">
        <v>3297</v>
      </c>
      <c r="G1327" t="s">
        <v>2140</v>
      </c>
      <c r="H1327" t="s">
        <v>2141</v>
      </c>
      <c r="I1327" s="130">
        <v>45552</v>
      </c>
      <c r="J1327" t="s">
        <v>3080</v>
      </c>
      <c r="K1327">
        <v>5</v>
      </c>
      <c r="M13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27" t="str">
        <f>DO_DB[[#This Row],[Material Pick-update]]&amp;"_"&amp;DO_DB[[#This Row],[Material Name]]</f>
        <v>45552_1:8 SPL for FDT-AE &amp; UG</v>
      </c>
      <c r="O1327" t="str">
        <f>DO_DB[[#This Row],[SiteID]]</f>
        <v>CLR64-99-012</v>
      </c>
      <c r="P1327" t="str">
        <f>DO_DB[[#This Row],[SiteID]]&amp;"_"&amp;DO_DB[[#This Row],[Material Name]]</f>
        <v>CLR64-99-012_1:8 SPL for FDT-AE &amp; UG</v>
      </c>
      <c r="Q1327" t="str">
        <f>DO_DB[[#This Row],[DO Number]]</f>
        <v>DOEID24091759</v>
      </c>
      <c r="R1327" t="str">
        <f>DO_DB[[#This Row],[DN Number]]</f>
        <v>DNWID0342024091701</v>
      </c>
    </row>
    <row r="1328" spans="1:18">
      <c r="A1328" t="s">
        <v>2132</v>
      </c>
      <c r="B1328" t="s">
        <v>2133</v>
      </c>
      <c r="C1328" t="s">
        <v>4482</v>
      </c>
      <c r="D1328" t="s">
        <v>2121</v>
      </c>
      <c r="E1328" t="s">
        <v>25</v>
      </c>
      <c r="F1328" t="s">
        <v>3297</v>
      </c>
      <c r="G1328" t="s">
        <v>2138</v>
      </c>
      <c r="H1328" t="s">
        <v>2139</v>
      </c>
      <c r="I1328" s="130">
        <v>45552</v>
      </c>
      <c r="J1328" t="s">
        <v>3073</v>
      </c>
      <c r="K1328">
        <v>6000</v>
      </c>
      <c r="M13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24C-2024917-01</v>
      </c>
      <c r="N1328" t="str">
        <f>DO_DB[[#This Row],[Material Pick-update]]&amp;"_"&amp;DO_DB[[#This Row],[Material Name]]</f>
        <v>45552_ADSS 24C</v>
      </c>
      <c r="O1328" t="str">
        <f>DO_DB[[#This Row],[SiteID]]</f>
        <v>CLR64-99-012</v>
      </c>
      <c r="P1328" t="str">
        <f>DO_DB[[#This Row],[SiteID]]&amp;"_"&amp;DO_DB[[#This Row],[Material Name]]</f>
        <v>CLR64-99-012_ADSS 24C</v>
      </c>
      <c r="Q1328" t="str">
        <f>DO_DB[[#This Row],[DO Number]]</f>
        <v>DOEID24091160</v>
      </c>
      <c r="R1328" t="str">
        <f>DO_DB[[#This Row],[DN Number]]</f>
        <v>DNWID0342024091102</v>
      </c>
    </row>
    <row r="1329" spans="1:18">
      <c r="A1329" t="s">
        <v>2132</v>
      </c>
      <c r="B1329" t="s">
        <v>2133</v>
      </c>
      <c r="C1329" t="s">
        <v>4482</v>
      </c>
      <c r="D1329" t="s">
        <v>2121</v>
      </c>
      <c r="E1329" t="s">
        <v>25</v>
      </c>
      <c r="F1329" t="s">
        <v>3297</v>
      </c>
      <c r="G1329" t="s">
        <v>2138</v>
      </c>
      <c r="H1329" t="s">
        <v>2139</v>
      </c>
      <c r="I1329" s="130">
        <v>45552</v>
      </c>
      <c r="J1329" t="s">
        <v>3075</v>
      </c>
      <c r="K1329">
        <v>6000</v>
      </c>
      <c r="M13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48C-2024917-01</v>
      </c>
      <c r="N1329" t="str">
        <f>DO_DB[[#This Row],[Material Pick-update]]&amp;"_"&amp;DO_DB[[#This Row],[Material Name]]</f>
        <v>45552_ADSS 48C</v>
      </c>
      <c r="O1329" t="str">
        <f>DO_DB[[#This Row],[SiteID]]</f>
        <v>CLR64-99-012</v>
      </c>
      <c r="P1329" t="str">
        <f>DO_DB[[#This Row],[SiteID]]&amp;"_"&amp;DO_DB[[#This Row],[Material Name]]</f>
        <v>CLR64-99-012_ADSS 48C</v>
      </c>
      <c r="Q1329" t="str">
        <f>DO_DB[[#This Row],[DO Number]]</f>
        <v>DOEID24091160</v>
      </c>
      <c r="R1329" t="str">
        <f>DO_DB[[#This Row],[DN Number]]</f>
        <v>DNWID0342024091102</v>
      </c>
    </row>
    <row r="1330" spans="1:18">
      <c r="A1330" t="s">
        <v>2148</v>
      </c>
      <c r="B1330" t="s">
        <v>2149</v>
      </c>
      <c r="C1330" t="s">
        <v>4482</v>
      </c>
      <c r="D1330" t="s">
        <v>2121</v>
      </c>
      <c r="E1330" t="s">
        <v>25</v>
      </c>
      <c r="F1330" t="s">
        <v>3297</v>
      </c>
      <c r="G1330" t="s">
        <v>2150</v>
      </c>
      <c r="H1330" t="s">
        <v>2151</v>
      </c>
      <c r="I1330" s="130">
        <v>45555</v>
      </c>
      <c r="J1330" t="s">
        <v>3073</v>
      </c>
      <c r="K1330">
        <v>3000</v>
      </c>
      <c r="M13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24C-2024920-01</v>
      </c>
      <c r="N1330" t="str">
        <f>DO_DB[[#This Row],[Material Pick-update]]&amp;"_"&amp;DO_DB[[#This Row],[Material Name]]</f>
        <v>45555_ADSS 24C</v>
      </c>
      <c r="O1330" t="str">
        <f>DO_DB[[#This Row],[SiteID]]</f>
        <v>CLR64-99-002</v>
      </c>
      <c r="P1330" t="str">
        <f>DO_DB[[#This Row],[SiteID]]&amp;"_"&amp;DO_DB[[#This Row],[Material Name]]</f>
        <v>CLR64-99-002_ADSS 24C</v>
      </c>
      <c r="Q1330" t="str">
        <f>DO_DB[[#This Row],[DO Number]]</f>
        <v>DOEID24091950</v>
      </c>
      <c r="R1330" t="str">
        <f>DO_DB[[#This Row],[DN Number]]</f>
        <v>DNWID0342024091909</v>
      </c>
    </row>
    <row r="1331" spans="1:18">
      <c r="A1331" t="s">
        <v>2148</v>
      </c>
      <c r="B1331" t="s">
        <v>2149</v>
      </c>
      <c r="C1331" t="s">
        <v>4482</v>
      </c>
      <c r="D1331" t="s">
        <v>2121</v>
      </c>
      <c r="E1331" t="s">
        <v>25</v>
      </c>
      <c r="F1331" t="s">
        <v>3297</v>
      </c>
      <c r="G1331" t="s">
        <v>2152</v>
      </c>
      <c r="H1331" t="s">
        <v>2153</v>
      </c>
      <c r="I1331" s="130">
        <v>45555</v>
      </c>
      <c r="J1331" t="s">
        <v>3069</v>
      </c>
      <c r="K1331">
        <v>181</v>
      </c>
      <c r="M13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31" t="str">
        <f>DO_DB[[#This Row],[Material Pick-update]]&amp;"_"&amp;DO_DB[[#This Row],[Material Name]]</f>
        <v>45555_Pole 7M 4"</v>
      </c>
      <c r="O1331" t="str">
        <f>DO_DB[[#This Row],[SiteID]]</f>
        <v>CLR64-99-002</v>
      </c>
      <c r="P1331" t="str">
        <f>DO_DB[[#This Row],[SiteID]]&amp;"_"&amp;DO_DB[[#This Row],[Material Name]]</f>
        <v>CLR64-99-002_Pole 7M 4"</v>
      </c>
      <c r="Q1331" t="str">
        <f>DO_DB[[#This Row],[DO Number]]</f>
        <v>DOEID24091949</v>
      </c>
      <c r="R1331" t="str">
        <f>DO_DB[[#This Row],[DN Number]]</f>
        <v>DNWID0362024091910</v>
      </c>
    </row>
    <row r="1332" spans="1:18">
      <c r="A1332" t="s">
        <v>2148</v>
      </c>
      <c r="B1332" t="s">
        <v>2149</v>
      </c>
      <c r="C1332" t="s">
        <v>4482</v>
      </c>
      <c r="D1332" t="s">
        <v>2121</v>
      </c>
      <c r="E1332" t="s">
        <v>25</v>
      </c>
      <c r="F1332" t="s">
        <v>3297</v>
      </c>
      <c r="G1332" t="s">
        <v>2152</v>
      </c>
      <c r="H1332" t="s">
        <v>2153</v>
      </c>
      <c r="I1332" s="130">
        <v>45555</v>
      </c>
      <c r="J1332" t="s">
        <v>3070</v>
      </c>
      <c r="K1332">
        <v>21</v>
      </c>
      <c r="M13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32" t="str">
        <f>DO_DB[[#This Row],[Material Pick-update]]&amp;"_"&amp;DO_DB[[#This Row],[Material Name]]</f>
        <v>45555_Pole 7M 3"</v>
      </c>
      <c r="O1332" t="str">
        <f>DO_DB[[#This Row],[SiteID]]</f>
        <v>CLR64-99-002</v>
      </c>
      <c r="P1332" t="str">
        <f>DO_DB[[#This Row],[SiteID]]&amp;"_"&amp;DO_DB[[#This Row],[Material Name]]</f>
        <v>CLR64-99-002_Pole 7M 3"</v>
      </c>
      <c r="Q1332" t="str">
        <f>DO_DB[[#This Row],[DO Number]]</f>
        <v>DOEID24091949</v>
      </c>
      <c r="R1332" t="str">
        <f>DO_DB[[#This Row],[DN Number]]</f>
        <v>DNWID0362024091910</v>
      </c>
    </row>
    <row r="1333" spans="1:18">
      <c r="A1333" t="s">
        <v>2148</v>
      </c>
      <c r="B1333" t="s">
        <v>2149</v>
      </c>
      <c r="C1333" t="s">
        <v>4482</v>
      </c>
      <c r="D1333" t="s">
        <v>2121</v>
      </c>
      <c r="E1333" t="s">
        <v>25</v>
      </c>
      <c r="F1333" t="s">
        <v>3297</v>
      </c>
      <c r="G1333" t="s">
        <v>2150</v>
      </c>
      <c r="H1333" t="s">
        <v>2151</v>
      </c>
      <c r="I1333" s="130">
        <v>45555</v>
      </c>
      <c r="J1333" t="s">
        <v>15</v>
      </c>
      <c r="K1333">
        <v>1</v>
      </c>
      <c r="M13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33" t="str">
        <f>DO_DB[[#This Row],[Material Pick-update]]&amp;"_"&amp;DO_DB[[#This Row],[Material Name]]</f>
        <v>45555_FDT-72</v>
      </c>
      <c r="O1333" t="str">
        <f>DO_DB[[#This Row],[SiteID]]</f>
        <v>CLR64-99-002</v>
      </c>
      <c r="P1333" t="str">
        <f>DO_DB[[#This Row],[SiteID]]&amp;"_"&amp;DO_DB[[#This Row],[Material Name]]</f>
        <v>CLR64-99-002_FDT-72</v>
      </c>
      <c r="Q1333" t="str">
        <f>DO_DB[[#This Row],[DO Number]]</f>
        <v>DOEID24091950</v>
      </c>
      <c r="R1333" t="str">
        <f>DO_DB[[#This Row],[DN Number]]</f>
        <v>DNWID0342024091909</v>
      </c>
    </row>
    <row r="1334" spans="1:18">
      <c r="A1334" t="s">
        <v>2148</v>
      </c>
      <c r="B1334" t="s">
        <v>2149</v>
      </c>
      <c r="C1334" t="s">
        <v>4482</v>
      </c>
      <c r="D1334" t="s">
        <v>2121</v>
      </c>
      <c r="E1334" t="s">
        <v>25</v>
      </c>
      <c r="F1334" t="s">
        <v>3297</v>
      </c>
      <c r="G1334" t="s">
        <v>2150</v>
      </c>
      <c r="H1334" t="s">
        <v>2151</v>
      </c>
      <c r="I1334" s="130">
        <v>45555</v>
      </c>
      <c r="J1334" t="s">
        <v>13</v>
      </c>
      <c r="K1334">
        <v>63</v>
      </c>
      <c r="M13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34" t="str">
        <f>DO_DB[[#This Row],[Material Pick-update]]&amp;"_"&amp;DO_DB[[#This Row],[Material Name]]</f>
        <v>45555_FAT-16</v>
      </c>
      <c r="O1334" t="str">
        <f>DO_DB[[#This Row],[SiteID]]</f>
        <v>CLR64-99-002</v>
      </c>
      <c r="P1334" t="str">
        <f>DO_DB[[#This Row],[SiteID]]&amp;"_"&amp;DO_DB[[#This Row],[Material Name]]</f>
        <v>CLR64-99-002_FAT-16</v>
      </c>
      <c r="Q1334" t="str">
        <f>DO_DB[[#This Row],[DO Number]]</f>
        <v>DOEID24091950</v>
      </c>
      <c r="R1334" t="str">
        <f>DO_DB[[#This Row],[DN Number]]</f>
        <v>DNWID0342024091909</v>
      </c>
    </row>
    <row r="1335" spans="1:18">
      <c r="A1335" t="s">
        <v>2148</v>
      </c>
      <c r="B1335" t="s">
        <v>2149</v>
      </c>
      <c r="C1335" t="s">
        <v>4482</v>
      </c>
      <c r="D1335" t="s">
        <v>2121</v>
      </c>
      <c r="E1335" t="s">
        <v>25</v>
      </c>
      <c r="F1335" t="s">
        <v>3297</v>
      </c>
      <c r="G1335" t="s">
        <v>2150</v>
      </c>
      <c r="H1335" t="s">
        <v>2151</v>
      </c>
      <c r="I1335" s="130">
        <v>45555</v>
      </c>
      <c r="J1335" t="s">
        <v>3075</v>
      </c>
      <c r="K1335">
        <v>9000</v>
      </c>
      <c r="M13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48C-2024920-01</v>
      </c>
      <c r="N1335" t="str">
        <f>DO_DB[[#This Row],[Material Pick-update]]&amp;"_"&amp;DO_DB[[#This Row],[Material Name]]</f>
        <v>45555_ADSS 48C</v>
      </c>
      <c r="O1335" t="str">
        <f>DO_DB[[#This Row],[SiteID]]</f>
        <v>CLR64-99-002</v>
      </c>
      <c r="P1335" t="str">
        <f>DO_DB[[#This Row],[SiteID]]&amp;"_"&amp;DO_DB[[#This Row],[Material Name]]</f>
        <v>CLR64-99-002_ADSS 48C</v>
      </c>
      <c r="Q1335" t="str">
        <f>DO_DB[[#This Row],[DO Number]]</f>
        <v>DOEID24091950</v>
      </c>
      <c r="R1335" t="str">
        <f>DO_DB[[#This Row],[DN Number]]</f>
        <v>DNWID0342024091909</v>
      </c>
    </row>
    <row r="1336" spans="1:18">
      <c r="A1336" t="s">
        <v>2154</v>
      </c>
      <c r="B1336" t="s">
        <v>2155</v>
      </c>
      <c r="C1336" t="s">
        <v>4482</v>
      </c>
      <c r="D1336" t="s">
        <v>2121</v>
      </c>
      <c r="E1336" t="s">
        <v>25</v>
      </c>
      <c r="F1336" t="s">
        <v>3297</v>
      </c>
      <c r="G1336" t="s">
        <v>2156</v>
      </c>
      <c r="H1336" t="s">
        <v>2157</v>
      </c>
      <c r="I1336" s="130">
        <v>45560</v>
      </c>
      <c r="J1336" t="s">
        <v>3069</v>
      </c>
      <c r="K1336">
        <v>89</v>
      </c>
      <c r="M13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36" t="str">
        <f>DO_DB[[#This Row],[Material Pick-update]]&amp;"_"&amp;DO_DB[[#This Row],[Material Name]]</f>
        <v>45560_Pole 7M 4"</v>
      </c>
      <c r="O1336" t="str">
        <f>DO_DB[[#This Row],[SiteID]]</f>
        <v>CLR64-99-005</v>
      </c>
      <c r="P1336" t="str">
        <f>DO_DB[[#This Row],[SiteID]]&amp;"_"&amp;DO_DB[[#This Row],[Material Name]]</f>
        <v>CLR64-99-005_Pole 7M 4"</v>
      </c>
      <c r="Q1336" t="str">
        <f>DO_DB[[#This Row],[DO Number]]</f>
        <v>DOEID24091901</v>
      </c>
      <c r="R1336" t="str">
        <f>DO_DB[[#This Row],[DN Number]]</f>
        <v>DNWID0362024091905</v>
      </c>
    </row>
    <row r="1337" spans="1:18">
      <c r="A1337" t="s">
        <v>2154</v>
      </c>
      <c r="B1337" t="s">
        <v>2155</v>
      </c>
      <c r="C1337" t="s">
        <v>4482</v>
      </c>
      <c r="D1337" t="s">
        <v>2121</v>
      </c>
      <c r="E1337" t="s">
        <v>25</v>
      </c>
      <c r="F1337" t="s">
        <v>3297</v>
      </c>
      <c r="G1337" t="s">
        <v>2156</v>
      </c>
      <c r="H1337" t="s">
        <v>2157</v>
      </c>
      <c r="I1337" s="130">
        <v>45560</v>
      </c>
      <c r="J1337" t="s">
        <v>3070</v>
      </c>
      <c r="K1337">
        <v>7</v>
      </c>
      <c r="M13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37" t="str">
        <f>DO_DB[[#This Row],[Material Pick-update]]&amp;"_"&amp;DO_DB[[#This Row],[Material Name]]</f>
        <v>45560_Pole 7M 3"</v>
      </c>
      <c r="O1337" t="str">
        <f>DO_DB[[#This Row],[SiteID]]</f>
        <v>CLR64-99-005</v>
      </c>
      <c r="P1337" t="str">
        <f>DO_DB[[#This Row],[SiteID]]&amp;"_"&amp;DO_DB[[#This Row],[Material Name]]</f>
        <v>CLR64-99-005_Pole 7M 3"</v>
      </c>
      <c r="Q1337" t="str">
        <f>DO_DB[[#This Row],[DO Number]]</f>
        <v>DOEID24091901</v>
      </c>
      <c r="R1337" t="str">
        <f>DO_DB[[#This Row],[DN Number]]</f>
        <v>DNWID0362024091905</v>
      </c>
    </row>
    <row r="1338" spans="1:18">
      <c r="A1338" t="s">
        <v>2154</v>
      </c>
      <c r="B1338" t="s">
        <v>2155</v>
      </c>
      <c r="C1338" t="s">
        <v>4482</v>
      </c>
      <c r="D1338" t="s">
        <v>2121</v>
      </c>
      <c r="E1338" t="s">
        <v>25</v>
      </c>
      <c r="F1338" t="s">
        <v>3297</v>
      </c>
      <c r="G1338" t="s">
        <v>2156</v>
      </c>
      <c r="H1338" t="s">
        <v>2157</v>
      </c>
      <c r="I1338" s="130">
        <v>45560</v>
      </c>
      <c r="J1338" t="s">
        <v>4856</v>
      </c>
      <c r="K1338">
        <v>1</v>
      </c>
      <c r="M13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38" t="str">
        <f>DO_DB[[#This Row],[Material Pick-update]]&amp;"_"&amp;DO_DB[[#This Row],[Material Name]]</f>
        <v>45560_JC 144Core</v>
      </c>
      <c r="O1338" t="str">
        <f>DO_DB[[#This Row],[SiteID]]</f>
        <v>CLR64-99-005</v>
      </c>
      <c r="P1338" t="str">
        <f>DO_DB[[#This Row],[SiteID]]&amp;"_"&amp;DO_DB[[#This Row],[Material Name]]</f>
        <v>CLR64-99-005_JC 144Core</v>
      </c>
      <c r="Q1338" t="str">
        <f>DO_DB[[#This Row],[DO Number]]</f>
        <v>DOEID24091901</v>
      </c>
      <c r="R1338" t="str">
        <f>DO_DB[[#This Row],[DN Number]]</f>
        <v>DNWID0362024091905</v>
      </c>
    </row>
    <row r="1339" spans="1:18">
      <c r="A1339" t="s">
        <v>2154</v>
      </c>
      <c r="B1339" t="s">
        <v>2155</v>
      </c>
      <c r="C1339" t="s">
        <v>4482</v>
      </c>
      <c r="D1339" t="s">
        <v>2121</v>
      </c>
      <c r="E1339" t="s">
        <v>25</v>
      </c>
      <c r="F1339" t="s">
        <v>3297</v>
      </c>
      <c r="G1339" t="s">
        <v>2158</v>
      </c>
      <c r="H1339" t="s">
        <v>2159</v>
      </c>
      <c r="I1339" s="130">
        <v>45560</v>
      </c>
      <c r="J1339" t="s">
        <v>15</v>
      </c>
      <c r="K1339">
        <v>1</v>
      </c>
      <c r="M13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39" t="str">
        <f>DO_DB[[#This Row],[Material Pick-update]]&amp;"_"&amp;DO_DB[[#This Row],[Material Name]]</f>
        <v>45560_FDT-72</v>
      </c>
      <c r="O1339" t="str">
        <f>DO_DB[[#This Row],[SiteID]]</f>
        <v>CLR64-99-005</v>
      </c>
      <c r="P1339" t="str">
        <f>DO_DB[[#This Row],[SiteID]]&amp;"_"&amp;DO_DB[[#This Row],[Material Name]]</f>
        <v>CLR64-99-005_FDT-72</v>
      </c>
      <c r="Q1339" t="str">
        <f>DO_DB[[#This Row],[DO Number]]</f>
        <v>DOEID24091902</v>
      </c>
      <c r="R1339" t="str">
        <f>DO_DB[[#This Row],[DN Number]]</f>
        <v>DNWID0342024091903</v>
      </c>
    </row>
    <row r="1340" spans="1:18">
      <c r="A1340" t="s">
        <v>2154</v>
      </c>
      <c r="B1340" t="s">
        <v>2155</v>
      </c>
      <c r="C1340" t="s">
        <v>4482</v>
      </c>
      <c r="D1340" t="s">
        <v>2121</v>
      </c>
      <c r="E1340" t="s">
        <v>25</v>
      </c>
      <c r="F1340" t="s">
        <v>3297</v>
      </c>
      <c r="G1340" t="s">
        <v>2158</v>
      </c>
      <c r="H1340" t="s">
        <v>2159</v>
      </c>
      <c r="I1340" s="130">
        <v>45560</v>
      </c>
      <c r="J1340" t="s">
        <v>13</v>
      </c>
      <c r="K1340">
        <v>29</v>
      </c>
      <c r="M13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40" t="str">
        <f>DO_DB[[#This Row],[Material Pick-update]]&amp;"_"&amp;DO_DB[[#This Row],[Material Name]]</f>
        <v>45560_FAT-16</v>
      </c>
      <c r="O1340" t="str">
        <f>DO_DB[[#This Row],[SiteID]]</f>
        <v>CLR64-99-005</v>
      </c>
      <c r="P1340" t="str">
        <f>DO_DB[[#This Row],[SiteID]]&amp;"_"&amp;DO_DB[[#This Row],[Material Name]]</f>
        <v>CLR64-99-005_FAT-16</v>
      </c>
      <c r="Q1340" t="str">
        <f>DO_DB[[#This Row],[DO Number]]</f>
        <v>DOEID24091902</v>
      </c>
      <c r="R1340" t="str">
        <f>DO_DB[[#This Row],[DN Number]]</f>
        <v>DNWID0342024091903</v>
      </c>
    </row>
    <row r="1341" spans="1:18">
      <c r="A1341" t="s">
        <v>2154</v>
      </c>
      <c r="B1341" t="s">
        <v>2155</v>
      </c>
      <c r="C1341" t="s">
        <v>4482</v>
      </c>
      <c r="D1341" t="s">
        <v>2121</v>
      </c>
      <c r="E1341" t="s">
        <v>25</v>
      </c>
      <c r="F1341" t="s">
        <v>3297</v>
      </c>
      <c r="G1341" t="s">
        <v>2158</v>
      </c>
      <c r="H1341" t="s">
        <v>2159</v>
      </c>
      <c r="I1341" s="130">
        <v>45560</v>
      </c>
      <c r="J1341" t="s">
        <v>3075</v>
      </c>
      <c r="K1341">
        <v>6000</v>
      </c>
      <c r="M13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48C-2024925-01</v>
      </c>
      <c r="N1341" t="str">
        <f>DO_DB[[#This Row],[Material Pick-update]]&amp;"_"&amp;DO_DB[[#This Row],[Material Name]]</f>
        <v>45560_ADSS 48C</v>
      </c>
      <c r="O1341" t="str">
        <f>DO_DB[[#This Row],[SiteID]]</f>
        <v>CLR64-99-005</v>
      </c>
      <c r="P1341" t="str">
        <f>DO_DB[[#This Row],[SiteID]]&amp;"_"&amp;DO_DB[[#This Row],[Material Name]]</f>
        <v>CLR64-99-005_ADSS 48C</v>
      </c>
      <c r="Q1341" t="str">
        <f>DO_DB[[#This Row],[DO Number]]</f>
        <v>DOEID24091902</v>
      </c>
      <c r="R1341" t="str">
        <f>DO_DB[[#This Row],[DN Number]]</f>
        <v>DNWID0342024091903</v>
      </c>
    </row>
    <row r="1342" spans="1:18">
      <c r="A1342" t="s">
        <v>2280</v>
      </c>
      <c r="B1342" t="s">
        <v>2281</v>
      </c>
      <c r="C1342" s="172" t="s">
        <v>4482</v>
      </c>
      <c r="D1342" t="s">
        <v>71</v>
      </c>
      <c r="E1342" t="s">
        <v>25</v>
      </c>
      <c r="F1342" t="s">
        <v>3297</v>
      </c>
      <c r="G1342" t="s">
        <v>2284</v>
      </c>
      <c r="H1342" t="s">
        <v>2285</v>
      </c>
      <c r="I1342" s="130">
        <v>45583</v>
      </c>
      <c r="J1342" t="s">
        <v>3077</v>
      </c>
      <c r="K1342">
        <v>6000</v>
      </c>
      <c r="M13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144C-20241018-01</v>
      </c>
      <c r="N1342" t="str">
        <f>DO_DB[[#This Row],[Material Pick-update]]&amp;"_"&amp;DO_DB[[#This Row],[Material Name]]</f>
        <v>45583_ADSS 144C</v>
      </c>
      <c r="O1342" t="str">
        <f>DO_DB[[#This Row],[SiteID]]</f>
        <v>MF64-01</v>
      </c>
      <c r="P1342" t="str">
        <f>DO_DB[[#This Row],[SiteID]]&amp;"_"&amp;DO_DB[[#This Row],[Material Name]]</f>
        <v>MF64-01_ADSS 144C</v>
      </c>
      <c r="Q1342" t="str">
        <f>DO_DB[[#This Row],[DO Number]]</f>
        <v>DOEID24101807</v>
      </c>
      <c r="R1342" t="str">
        <f>DO_DB[[#This Row],[DN Number]]</f>
        <v>DNWID0342024101807</v>
      </c>
    </row>
    <row r="1343" spans="1:18">
      <c r="A1343" t="s">
        <v>2280</v>
      </c>
      <c r="B1343" t="s">
        <v>2281</v>
      </c>
      <c r="C1343" s="172" t="s">
        <v>4482</v>
      </c>
      <c r="D1343" t="s">
        <v>71</v>
      </c>
      <c r="E1343" t="s">
        <v>25</v>
      </c>
      <c r="F1343" t="s">
        <v>3297</v>
      </c>
      <c r="G1343" t="s">
        <v>2282</v>
      </c>
      <c r="H1343" t="s">
        <v>2283</v>
      </c>
      <c r="I1343" s="130">
        <v>45583</v>
      </c>
      <c r="J1343" t="s">
        <v>3069</v>
      </c>
      <c r="K1343">
        <v>92</v>
      </c>
      <c r="M13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43" t="str">
        <f>DO_DB[[#This Row],[Material Pick-update]]&amp;"_"&amp;DO_DB[[#This Row],[Material Name]]</f>
        <v>45583_Pole 7M 4"</v>
      </c>
      <c r="O1343" t="str">
        <f>DO_DB[[#This Row],[SiteID]]</f>
        <v>MF64-01</v>
      </c>
      <c r="P1343" t="str">
        <f>DO_DB[[#This Row],[SiteID]]&amp;"_"&amp;DO_DB[[#This Row],[Material Name]]</f>
        <v>MF64-01_Pole 7M 4"</v>
      </c>
      <c r="Q1343" t="str">
        <f>DO_DB[[#This Row],[DO Number]]</f>
        <v>DOEID24101806</v>
      </c>
      <c r="R1343" t="str">
        <f>DO_DB[[#This Row],[DN Number]]</f>
        <v>DNWID0362024101808</v>
      </c>
    </row>
    <row r="1344" spans="1:18">
      <c r="A1344" t="s">
        <v>2280</v>
      </c>
      <c r="B1344" t="s">
        <v>2281</v>
      </c>
      <c r="C1344" s="172" t="s">
        <v>4482</v>
      </c>
      <c r="D1344" t="s">
        <v>71</v>
      </c>
      <c r="E1344" t="s">
        <v>25</v>
      </c>
      <c r="F1344" t="s">
        <v>3297</v>
      </c>
      <c r="G1344" t="s">
        <v>2282</v>
      </c>
      <c r="H1344" t="s">
        <v>2283</v>
      </c>
      <c r="I1344" s="130">
        <v>45583</v>
      </c>
      <c r="J1344" t="s">
        <v>3071</v>
      </c>
      <c r="K1344">
        <v>4</v>
      </c>
      <c r="M13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44" t="str">
        <f>DO_DB[[#This Row],[Material Pick-update]]&amp;"_"&amp;DO_DB[[#This Row],[Material Name]]</f>
        <v>45583_Pole 9M</v>
      </c>
      <c r="O1344" t="str">
        <f>DO_DB[[#This Row],[SiteID]]</f>
        <v>MF64-01</v>
      </c>
      <c r="P1344" t="str">
        <f>DO_DB[[#This Row],[SiteID]]&amp;"_"&amp;DO_DB[[#This Row],[Material Name]]</f>
        <v>MF64-01_Pole 9M</v>
      </c>
      <c r="Q1344" t="str">
        <f>DO_DB[[#This Row],[DO Number]]</f>
        <v>DOEID24101806</v>
      </c>
      <c r="R1344" t="str">
        <f>DO_DB[[#This Row],[DN Number]]</f>
        <v>DNWID0362024101808</v>
      </c>
    </row>
    <row r="1345" spans="1:18">
      <c r="A1345" t="s">
        <v>2280</v>
      </c>
      <c r="B1345" t="s">
        <v>2281</v>
      </c>
      <c r="C1345" s="172" t="s">
        <v>4482</v>
      </c>
      <c r="D1345" t="s">
        <v>71</v>
      </c>
      <c r="E1345" t="s">
        <v>25</v>
      </c>
      <c r="F1345" t="s">
        <v>3297</v>
      </c>
      <c r="G1345" t="s">
        <v>2282</v>
      </c>
      <c r="H1345" t="s">
        <v>2283</v>
      </c>
      <c r="I1345" s="130">
        <v>45583</v>
      </c>
      <c r="J1345" t="s">
        <v>4856</v>
      </c>
      <c r="K1345">
        <v>2</v>
      </c>
      <c r="M13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45" t="str">
        <f>DO_DB[[#This Row],[Material Pick-update]]&amp;"_"&amp;DO_DB[[#This Row],[Material Name]]</f>
        <v>45583_JC 144Core</v>
      </c>
      <c r="O1345" t="str">
        <f>DO_DB[[#This Row],[SiteID]]</f>
        <v>MF64-01</v>
      </c>
      <c r="P1345" t="str">
        <f>DO_DB[[#This Row],[SiteID]]&amp;"_"&amp;DO_DB[[#This Row],[Material Name]]</f>
        <v>MF64-01_JC 144Core</v>
      </c>
      <c r="Q1345" t="str">
        <f>DO_DB[[#This Row],[DO Number]]</f>
        <v>DOEID24101806</v>
      </c>
      <c r="R1345" t="str">
        <f>DO_DB[[#This Row],[DN Number]]</f>
        <v>DNWID0362024101808</v>
      </c>
    </row>
    <row r="1346" spans="1:18">
      <c r="A1346" t="s">
        <v>2234</v>
      </c>
      <c r="B1346" t="s">
        <v>2235</v>
      </c>
      <c r="C1346" s="172" t="s">
        <v>4482</v>
      </c>
      <c r="D1346" t="s">
        <v>71</v>
      </c>
      <c r="E1346" t="s">
        <v>135</v>
      </c>
      <c r="F1346" t="s">
        <v>3297</v>
      </c>
      <c r="G1346" t="s">
        <v>2278</v>
      </c>
      <c r="H1346" t="s">
        <v>2279</v>
      </c>
      <c r="I1346" s="130">
        <v>45583</v>
      </c>
      <c r="J1346" t="s">
        <v>4856</v>
      </c>
      <c r="K1346">
        <v>1</v>
      </c>
      <c r="M13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46" t="str">
        <f>DO_DB[[#This Row],[Material Pick-update]]&amp;"_"&amp;DO_DB[[#This Row],[Material Name]]</f>
        <v>45583_JC 144Core</v>
      </c>
      <c r="O1346" t="str">
        <f>DO_DB[[#This Row],[SiteID]]</f>
        <v>CLR99-99-147</v>
      </c>
      <c r="P1346" t="str">
        <f>DO_DB[[#This Row],[SiteID]]&amp;"_"&amp;DO_DB[[#This Row],[Material Name]]</f>
        <v>CLR99-99-147_JC 144Core</v>
      </c>
      <c r="Q1346" t="str">
        <f>DO_DB[[#This Row],[DO Number]]</f>
        <v>DOEID24101842</v>
      </c>
      <c r="R1346" t="str">
        <f>DO_DB[[#This Row],[DN Number]]</f>
        <v>DNWID0362024101809</v>
      </c>
    </row>
    <row r="1347" spans="1:18">
      <c r="A1347" t="s">
        <v>2029</v>
      </c>
      <c r="B1347" t="s">
        <v>2030</v>
      </c>
      <c r="C1347" t="s">
        <v>4482</v>
      </c>
      <c r="D1347" t="s">
        <v>71</v>
      </c>
      <c r="E1347" t="s">
        <v>25</v>
      </c>
      <c r="F1347" t="s">
        <v>3297</v>
      </c>
      <c r="G1347" t="s">
        <v>2332</v>
      </c>
      <c r="H1347" t="s">
        <v>2333</v>
      </c>
      <c r="I1347" s="130">
        <v>45588</v>
      </c>
      <c r="J1347" t="s">
        <v>3073</v>
      </c>
      <c r="K1347">
        <v>3000</v>
      </c>
      <c r="M13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24C-20241023-01</v>
      </c>
      <c r="N1347" t="str">
        <f>DO_DB[[#This Row],[Material Pick-update]]&amp;"_"&amp;DO_DB[[#This Row],[Material Name]]</f>
        <v>45588_ADSS 24C</v>
      </c>
      <c r="O1347" t="str">
        <f>DO_DB[[#This Row],[SiteID]]</f>
        <v>CLR64-99-001</v>
      </c>
      <c r="P1347" t="str">
        <f>DO_DB[[#This Row],[SiteID]]&amp;"_"&amp;DO_DB[[#This Row],[Material Name]]</f>
        <v>CLR64-99-001_ADSS 24C</v>
      </c>
      <c r="Q1347" t="str">
        <f>DO_DB[[#This Row],[DO Number]]</f>
        <v>DOEID24102257</v>
      </c>
      <c r="R1347" t="str">
        <f>DO_DB[[#This Row],[DN Number]]</f>
        <v>DNWID0342024102303</v>
      </c>
    </row>
    <row r="1348" spans="1:18">
      <c r="A1348" t="s">
        <v>2029</v>
      </c>
      <c r="B1348" t="s">
        <v>2030</v>
      </c>
      <c r="C1348" t="s">
        <v>4482</v>
      </c>
      <c r="D1348" t="s">
        <v>71</v>
      </c>
      <c r="E1348" t="s">
        <v>25</v>
      </c>
      <c r="F1348" t="s">
        <v>3297</v>
      </c>
      <c r="G1348" t="s">
        <v>2332</v>
      </c>
      <c r="H1348" t="s">
        <v>2333</v>
      </c>
      <c r="I1348" s="130">
        <v>45588</v>
      </c>
      <c r="J1348" t="s">
        <v>3075</v>
      </c>
      <c r="K1348">
        <v>3000</v>
      </c>
      <c r="M13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48C-20241023-01</v>
      </c>
      <c r="N1348" t="str">
        <f>DO_DB[[#This Row],[Material Pick-update]]&amp;"_"&amp;DO_DB[[#This Row],[Material Name]]</f>
        <v>45588_ADSS 48C</v>
      </c>
      <c r="O1348" t="str">
        <f>DO_DB[[#This Row],[SiteID]]</f>
        <v>CLR64-99-001</v>
      </c>
      <c r="P1348" t="str">
        <f>DO_DB[[#This Row],[SiteID]]&amp;"_"&amp;DO_DB[[#This Row],[Material Name]]</f>
        <v>CLR64-99-001_ADSS 48C</v>
      </c>
      <c r="Q1348" t="str">
        <f>DO_DB[[#This Row],[DO Number]]</f>
        <v>DOEID24102257</v>
      </c>
      <c r="R1348" t="str">
        <f>DO_DB[[#This Row],[DN Number]]</f>
        <v>DNWID0342024102303</v>
      </c>
    </row>
    <row r="1349" spans="1:18">
      <c r="A1349" t="s">
        <v>2312</v>
      </c>
      <c r="B1349" t="s">
        <v>2313</v>
      </c>
      <c r="C1349" t="s">
        <v>4482</v>
      </c>
      <c r="D1349" t="s">
        <v>71</v>
      </c>
      <c r="E1349" t="s">
        <v>25</v>
      </c>
      <c r="F1349" t="s">
        <v>3297</v>
      </c>
      <c r="G1349" t="s">
        <v>2314</v>
      </c>
      <c r="H1349" t="s">
        <v>2315</v>
      </c>
      <c r="I1349" s="130">
        <v>45588</v>
      </c>
      <c r="J1349" t="s">
        <v>3075</v>
      </c>
      <c r="K1349">
        <v>6000</v>
      </c>
      <c r="M13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48C-20241023-01</v>
      </c>
      <c r="N1349" t="str">
        <f>DO_DB[[#This Row],[Material Pick-update]]&amp;"_"&amp;DO_DB[[#This Row],[Material Name]]</f>
        <v>45588_ADSS 48C</v>
      </c>
      <c r="O1349" t="str">
        <f>DO_DB[[#This Row],[SiteID]]</f>
        <v>CLR64-99-003</v>
      </c>
      <c r="P1349" t="str">
        <f>DO_DB[[#This Row],[SiteID]]&amp;"_"&amp;DO_DB[[#This Row],[Material Name]]</f>
        <v>CLR64-99-003_ADSS 48C</v>
      </c>
      <c r="Q1349" t="str">
        <f>DO_DB[[#This Row],[DO Number]]</f>
        <v>DOEID24102253</v>
      </c>
      <c r="R1349" t="str">
        <f>DO_DB[[#This Row],[DN Number]]</f>
        <v>DNWID0342024102215</v>
      </c>
    </row>
    <row r="1350" spans="1:18">
      <c r="A1350" t="s">
        <v>2148</v>
      </c>
      <c r="B1350" t="s">
        <v>2149</v>
      </c>
      <c r="C1350" t="s">
        <v>4482</v>
      </c>
      <c r="D1350" t="s">
        <v>71</v>
      </c>
      <c r="E1350" t="s">
        <v>25</v>
      </c>
      <c r="F1350" t="s">
        <v>3297</v>
      </c>
      <c r="G1350" t="s">
        <v>2342</v>
      </c>
      <c r="H1350" t="s">
        <v>2343</v>
      </c>
      <c r="I1350" s="130">
        <v>45588</v>
      </c>
      <c r="J1350" t="s">
        <v>3075</v>
      </c>
      <c r="K1350">
        <v>6000</v>
      </c>
      <c r="M13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48C-20241023-01</v>
      </c>
      <c r="N1350" t="str">
        <f>DO_DB[[#This Row],[Material Pick-update]]&amp;"_"&amp;DO_DB[[#This Row],[Material Name]]</f>
        <v>45588_ADSS 48C</v>
      </c>
      <c r="O1350" t="str">
        <f>DO_DB[[#This Row],[SiteID]]</f>
        <v>CLR64-99-002</v>
      </c>
      <c r="P1350" t="str">
        <f>DO_DB[[#This Row],[SiteID]]&amp;"_"&amp;DO_DB[[#This Row],[Material Name]]</f>
        <v>CLR64-99-002_ADSS 48C</v>
      </c>
      <c r="Q1350" t="str">
        <f>DO_DB[[#This Row],[DO Number]]</f>
        <v>DOEID24102259</v>
      </c>
      <c r="R1350" t="str">
        <f>DO_DB[[#This Row],[DN Number]]</f>
        <v>DNWID0342024102304</v>
      </c>
    </row>
    <row r="1351" spans="1:18">
      <c r="A1351" t="s">
        <v>2312</v>
      </c>
      <c r="B1351" t="s">
        <v>2313</v>
      </c>
      <c r="C1351" t="s">
        <v>4482</v>
      </c>
      <c r="D1351" t="s">
        <v>71</v>
      </c>
      <c r="E1351" t="s">
        <v>25</v>
      </c>
      <c r="F1351" t="s">
        <v>3297</v>
      </c>
      <c r="G1351" t="s">
        <v>2344</v>
      </c>
      <c r="H1351" t="s">
        <v>2345</v>
      </c>
      <c r="I1351" s="130">
        <v>45588</v>
      </c>
      <c r="J1351" t="s">
        <v>3069</v>
      </c>
      <c r="K1351">
        <v>49</v>
      </c>
      <c r="M13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51" t="str">
        <f>DO_DB[[#This Row],[Material Pick-update]]&amp;"_"&amp;DO_DB[[#This Row],[Material Name]]</f>
        <v>45588_Pole 7M 4"</v>
      </c>
      <c r="O1351" t="str">
        <f>DO_DB[[#This Row],[SiteID]]</f>
        <v>CLR64-99-003</v>
      </c>
      <c r="P1351" t="str">
        <f>DO_DB[[#This Row],[SiteID]]&amp;"_"&amp;DO_DB[[#This Row],[Material Name]]</f>
        <v>CLR64-99-003_Pole 7M 4"</v>
      </c>
      <c r="Q1351" t="str">
        <f>DO_DB[[#This Row],[DO Number]]</f>
        <v>DOEID24102252</v>
      </c>
      <c r="R1351" t="str">
        <f>DO_DB[[#This Row],[DN Number]]</f>
        <v>DNWID0362024102205</v>
      </c>
    </row>
    <row r="1352" spans="1:18">
      <c r="A1352" t="s">
        <v>2312</v>
      </c>
      <c r="B1352" t="s">
        <v>2313</v>
      </c>
      <c r="C1352" t="s">
        <v>4482</v>
      </c>
      <c r="D1352" t="s">
        <v>71</v>
      </c>
      <c r="E1352" t="s">
        <v>25</v>
      </c>
      <c r="F1352" t="s">
        <v>3297</v>
      </c>
      <c r="G1352" t="s">
        <v>2344</v>
      </c>
      <c r="H1352" t="s">
        <v>2345</v>
      </c>
      <c r="I1352" s="130">
        <v>45588</v>
      </c>
      <c r="J1352" t="s">
        <v>4856</v>
      </c>
      <c r="K1352">
        <v>4</v>
      </c>
      <c r="M13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52" t="str">
        <f>DO_DB[[#This Row],[Material Pick-update]]&amp;"_"&amp;DO_DB[[#This Row],[Material Name]]</f>
        <v>45588_JC 144Core</v>
      </c>
      <c r="O1352" t="str">
        <f>DO_DB[[#This Row],[SiteID]]</f>
        <v>CLR64-99-003</v>
      </c>
      <c r="P1352" t="str">
        <f>DO_DB[[#This Row],[SiteID]]&amp;"_"&amp;DO_DB[[#This Row],[Material Name]]</f>
        <v>CLR64-99-003_JC 144Core</v>
      </c>
      <c r="Q1352" t="str">
        <f>DO_DB[[#This Row],[DO Number]]</f>
        <v>DOEID24102252</v>
      </c>
      <c r="R1352" t="str">
        <f>DO_DB[[#This Row],[DN Number]]</f>
        <v>DNWID0362024102205</v>
      </c>
    </row>
    <row r="1353" spans="1:18">
      <c r="A1353" t="s">
        <v>2029</v>
      </c>
      <c r="B1353" t="s">
        <v>2030</v>
      </c>
      <c r="C1353" t="s">
        <v>4482</v>
      </c>
      <c r="D1353" t="s">
        <v>71</v>
      </c>
      <c r="E1353" t="s">
        <v>25</v>
      </c>
      <c r="F1353" t="s">
        <v>3297</v>
      </c>
      <c r="G1353" t="s">
        <v>2338</v>
      </c>
      <c r="H1353" t="s">
        <v>2339</v>
      </c>
      <c r="I1353" s="130">
        <v>45588</v>
      </c>
      <c r="J1353" t="s">
        <v>3069</v>
      </c>
      <c r="K1353">
        <v>39</v>
      </c>
      <c r="M13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53" t="str">
        <f>DO_DB[[#This Row],[Material Pick-update]]&amp;"_"&amp;DO_DB[[#This Row],[Material Name]]</f>
        <v>45588_Pole 7M 4"</v>
      </c>
      <c r="O1353" t="str">
        <f>DO_DB[[#This Row],[SiteID]]</f>
        <v>CLR64-99-001</v>
      </c>
      <c r="P1353" t="str">
        <f>DO_DB[[#This Row],[SiteID]]&amp;"_"&amp;DO_DB[[#This Row],[Material Name]]</f>
        <v>CLR64-99-001_Pole 7M 4"</v>
      </c>
      <c r="Q1353" t="str">
        <f>DO_DB[[#This Row],[DO Number]]</f>
        <v>DOEID24102256</v>
      </c>
      <c r="R1353" t="str">
        <f>DO_DB[[#This Row],[DN Number]]</f>
        <v>DNWID0362024102201</v>
      </c>
    </row>
    <row r="1354" spans="1:18">
      <c r="A1354" t="s">
        <v>2148</v>
      </c>
      <c r="B1354" t="s">
        <v>2149</v>
      </c>
      <c r="C1354" t="s">
        <v>4482</v>
      </c>
      <c r="D1354" t="s">
        <v>71</v>
      </c>
      <c r="E1354" t="s">
        <v>25</v>
      </c>
      <c r="F1354" t="s">
        <v>3297</v>
      </c>
      <c r="G1354" t="s">
        <v>2348</v>
      </c>
      <c r="H1354" t="s">
        <v>2349</v>
      </c>
      <c r="I1354" s="130">
        <v>45588</v>
      </c>
      <c r="J1354" t="s">
        <v>3069</v>
      </c>
      <c r="K1354">
        <v>38</v>
      </c>
      <c r="M13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54" t="str">
        <f>DO_DB[[#This Row],[Material Pick-update]]&amp;"_"&amp;DO_DB[[#This Row],[Material Name]]</f>
        <v>45588_Pole 7M 4"</v>
      </c>
      <c r="O1354" t="str">
        <f>DO_DB[[#This Row],[SiteID]]</f>
        <v>CLR64-99-002</v>
      </c>
      <c r="P1354" t="str">
        <f>DO_DB[[#This Row],[SiteID]]&amp;"_"&amp;DO_DB[[#This Row],[Material Name]]</f>
        <v>CLR64-99-002_Pole 7M 4"</v>
      </c>
      <c r="Q1354" t="str">
        <f>DO_DB[[#This Row],[DO Number]]</f>
        <v>DOEID24102258</v>
      </c>
      <c r="R1354" t="str">
        <f>DO_DB[[#This Row],[DN Number]]</f>
        <v>DNWID0362024102202</v>
      </c>
    </row>
    <row r="1355" spans="1:18">
      <c r="A1355" t="s">
        <v>2148</v>
      </c>
      <c r="B1355" t="s">
        <v>2149</v>
      </c>
      <c r="C1355" t="s">
        <v>4482</v>
      </c>
      <c r="D1355" t="s">
        <v>71</v>
      </c>
      <c r="E1355" t="s">
        <v>25</v>
      </c>
      <c r="F1355" t="s">
        <v>3297</v>
      </c>
      <c r="G1355" t="s">
        <v>2342</v>
      </c>
      <c r="H1355" t="s">
        <v>2343</v>
      </c>
      <c r="I1355" s="130">
        <v>45588</v>
      </c>
      <c r="J1355" t="s">
        <v>14</v>
      </c>
      <c r="K1355">
        <v>2</v>
      </c>
      <c r="M13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55" t="str">
        <f>DO_DB[[#This Row],[Material Pick-update]]&amp;"_"&amp;DO_DB[[#This Row],[Material Name]]</f>
        <v>45588_FDT-48</v>
      </c>
      <c r="O1355" t="str">
        <f>DO_DB[[#This Row],[SiteID]]</f>
        <v>CLR64-99-002</v>
      </c>
      <c r="P1355" t="str">
        <f>DO_DB[[#This Row],[SiteID]]&amp;"_"&amp;DO_DB[[#This Row],[Material Name]]</f>
        <v>CLR64-99-002_FDT-48</v>
      </c>
      <c r="Q1355" t="str">
        <f>DO_DB[[#This Row],[DO Number]]</f>
        <v>DOEID24102259</v>
      </c>
      <c r="R1355" t="str">
        <f>DO_DB[[#This Row],[DN Number]]</f>
        <v>DNWID0342024102304</v>
      </c>
    </row>
    <row r="1356" spans="1:18">
      <c r="A1356" t="s">
        <v>2280</v>
      </c>
      <c r="B1356" t="s">
        <v>2281</v>
      </c>
      <c r="C1356" s="172" t="s">
        <v>4482</v>
      </c>
      <c r="D1356" t="s">
        <v>71</v>
      </c>
      <c r="E1356" t="s">
        <v>25</v>
      </c>
      <c r="F1356" t="s">
        <v>3297</v>
      </c>
      <c r="G1356" t="s">
        <v>2320</v>
      </c>
      <c r="H1356" t="s">
        <v>2321</v>
      </c>
      <c r="I1356" s="130">
        <v>45588</v>
      </c>
      <c r="J1356" t="s">
        <v>3077</v>
      </c>
      <c r="K1356">
        <v>3000</v>
      </c>
      <c r="M13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144C-20241023-01</v>
      </c>
      <c r="N1356" t="str">
        <f>DO_DB[[#This Row],[Material Pick-update]]&amp;"_"&amp;DO_DB[[#This Row],[Material Name]]</f>
        <v>45588_ADSS 144C</v>
      </c>
      <c r="O1356" t="str">
        <f>DO_DB[[#This Row],[SiteID]]</f>
        <v>MF64-01</v>
      </c>
      <c r="P1356" t="str">
        <f>DO_DB[[#This Row],[SiteID]]&amp;"_"&amp;DO_DB[[#This Row],[Material Name]]</f>
        <v>MF64-01_ADSS 144C</v>
      </c>
      <c r="Q1356" t="str">
        <f>DO_DB[[#This Row],[DO Number]]</f>
        <v>DOEID24102315</v>
      </c>
      <c r="R1356" t="str">
        <f>DO_DB[[#This Row],[DN Number]]</f>
        <v>DNWID0342024102302</v>
      </c>
    </row>
    <row r="1357" spans="1:18">
      <c r="A1357" t="s">
        <v>2392</v>
      </c>
      <c r="B1357" t="s">
        <v>2393</v>
      </c>
      <c r="C1357" t="s">
        <v>4482</v>
      </c>
      <c r="D1357" t="s">
        <v>71</v>
      </c>
      <c r="E1357" t="s">
        <v>25</v>
      </c>
      <c r="F1357" t="s">
        <v>3297</v>
      </c>
      <c r="G1357" t="s">
        <v>2394</v>
      </c>
      <c r="H1357" t="s">
        <v>2395</v>
      </c>
      <c r="I1357" s="130">
        <v>45602</v>
      </c>
      <c r="J1357" t="s">
        <v>3073</v>
      </c>
      <c r="K1357">
        <v>3000</v>
      </c>
      <c r="M13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24C-2024116-01</v>
      </c>
      <c r="N1357" t="str">
        <f>DO_DB[[#This Row],[Material Pick-update]]&amp;"_"&amp;DO_DB[[#This Row],[Material Name]]</f>
        <v>45602_ADSS 24C</v>
      </c>
      <c r="O1357" t="str">
        <f>DO_DB[[#This Row],[SiteID]]</f>
        <v>CLR64-01-038</v>
      </c>
      <c r="P1357" t="str">
        <f>DO_DB[[#This Row],[SiteID]]&amp;"_"&amp;DO_DB[[#This Row],[Material Name]]</f>
        <v>CLR64-01-038_ADSS 24C</v>
      </c>
      <c r="Q1357" t="str">
        <f>DO_DB[[#This Row],[DO Number]]</f>
        <v>DOEID24110554</v>
      </c>
      <c r="R1357" t="str">
        <f>DO_DB[[#This Row],[DN Number]]</f>
        <v>DNWID0342024110503</v>
      </c>
    </row>
    <row r="1358" spans="1:18">
      <c r="A1358" t="s">
        <v>2388</v>
      </c>
      <c r="B1358" t="s">
        <v>2389</v>
      </c>
      <c r="C1358" t="s">
        <v>4482</v>
      </c>
      <c r="D1358" t="s">
        <v>71</v>
      </c>
      <c r="E1358" t="s">
        <v>25</v>
      </c>
      <c r="F1358" t="s">
        <v>3297</v>
      </c>
      <c r="G1358" t="s">
        <v>2390</v>
      </c>
      <c r="H1358" t="s">
        <v>2391</v>
      </c>
      <c r="I1358" s="130">
        <v>45602</v>
      </c>
      <c r="J1358" t="s">
        <v>3073</v>
      </c>
      <c r="K1358">
        <v>3000</v>
      </c>
      <c r="M13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24C-2024116-01</v>
      </c>
      <c r="N1358" t="str">
        <f>DO_DB[[#This Row],[Material Pick-update]]&amp;"_"&amp;DO_DB[[#This Row],[Material Name]]</f>
        <v>45602_ADSS 24C</v>
      </c>
      <c r="O1358" t="str">
        <f>DO_DB[[#This Row],[SiteID]]</f>
        <v>CLR64-01-039</v>
      </c>
      <c r="P1358" t="str">
        <f>DO_DB[[#This Row],[SiteID]]&amp;"_"&amp;DO_DB[[#This Row],[Material Name]]</f>
        <v>CLR64-01-039_ADSS 24C</v>
      </c>
      <c r="Q1358" t="str">
        <f>DO_DB[[#This Row],[DO Number]]</f>
        <v>DOEID24110556</v>
      </c>
      <c r="R1358" t="str">
        <f>DO_DB[[#This Row],[DN Number]]</f>
        <v>DNWID0342024110507</v>
      </c>
    </row>
    <row r="1359" spans="1:18">
      <c r="A1359" t="s">
        <v>2392</v>
      </c>
      <c r="B1359" t="s">
        <v>2393</v>
      </c>
      <c r="C1359" t="s">
        <v>4482</v>
      </c>
      <c r="D1359" t="s">
        <v>71</v>
      </c>
      <c r="E1359" t="s">
        <v>25</v>
      </c>
      <c r="F1359" t="s">
        <v>3297</v>
      </c>
      <c r="G1359" t="s">
        <v>2394</v>
      </c>
      <c r="H1359" t="s">
        <v>2395</v>
      </c>
      <c r="I1359" s="130">
        <v>45602</v>
      </c>
      <c r="J1359" t="s">
        <v>3075</v>
      </c>
      <c r="K1359">
        <v>6000</v>
      </c>
      <c r="M13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48C-2024116-01</v>
      </c>
      <c r="N1359" t="str">
        <f>DO_DB[[#This Row],[Material Pick-update]]&amp;"_"&amp;DO_DB[[#This Row],[Material Name]]</f>
        <v>45602_ADSS 48C</v>
      </c>
      <c r="O1359" t="str">
        <f>DO_DB[[#This Row],[SiteID]]</f>
        <v>CLR64-01-038</v>
      </c>
      <c r="P1359" t="str">
        <f>DO_DB[[#This Row],[SiteID]]&amp;"_"&amp;DO_DB[[#This Row],[Material Name]]</f>
        <v>CLR64-01-038_ADSS 48C</v>
      </c>
      <c r="Q1359" t="str">
        <f>DO_DB[[#This Row],[DO Number]]</f>
        <v>DOEID24110554</v>
      </c>
      <c r="R1359" t="str">
        <f>DO_DB[[#This Row],[DN Number]]</f>
        <v>DNWID0342024110503</v>
      </c>
    </row>
    <row r="1360" spans="1:18">
      <c r="A1360" t="s">
        <v>2148</v>
      </c>
      <c r="B1360" t="s">
        <v>2149</v>
      </c>
      <c r="C1360" t="s">
        <v>4482</v>
      </c>
      <c r="D1360" t="s">
        <v>71</v>
      </c>
      <c r="E1360" t="s">
        <v>25</v>
      </c>
      <c r="F1360" t="s">
        <v>3297</v>
      </c>
      <c r="G1360" t="s">
        <v>2400</v>
      </c>
      <c r="H1360" t="s">
        <v>2401</v>
      </c>
      <c r="I1360" s="130">
        <v>45602</v>
      </c>
      <c r="J1360" t="s">
        <v>4856</v>
      </c>
      <c r="K1360">
        <v>2</v>
      </c>
      <c r="M13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60" t="str">
        <f>DO_DB[[#This Row],[Material Pick-update]]&amp;"_"&amp;DO_DB[[#This Row],[Material Name]]</f>
        <v>45602_JC 144Core</v>
      </c>
      <c r="O1360" t="str">
        <f>DO_DB[[#This Row],[SiteID]]</f>
        <v>CLR64-99-002</v>
      </c>
      <c r="P1360" t="str">
        <f>DO_DB[[#This Row],[SiteID]]&amp;"_"&amp;DO_DB[[#This Row],[Material Name]]</f>
        <v>CLR64-99-002_JC 144Core</v>
      </c>
      <c r="Q1360" t="str">
        <f>DO_DB[[#This Row],[DO Number]]</f>
        <v>DOEID241029AR</v>
      </c>
      <c r="R1360" t="str">
        <f>DO_DB[[#This Row],[DN Number]]</f>
        <v>DNWID0362024102917</v>
      </c>
    </row>
    <row r="1361" spans="1:18">
      <c r="A1361" t="s">
        <v>2029</v>
      </c>
      <c r="B1361" t="s">
        <v>2030</v>
      </c>
      <c r="C1361" t="s">
        <v>4482</v>
      </c>
      <c r="D1361" t="s">
        <v>71</v>
      </c>
      <c r="E1361" t="s">
        <v>25</v>
      </c>
      <c r="F1361" t="s">
        <v>3297</v>
      </c>
      <c r="G1361" t="s">
        <v>2386</v>
      </c>
      <c r="H1361" t="s">
        <v>2387</v>
      </c>
      <c r="I1361" s="130">
        <v>45602</v>
      </c>
      <c r="J1361" t="s">
        <v>4856</v>
      </c>
      <c r="K1361">
        <v>4</v>
      </c>
      <c r="M13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61" t="str">
        <f>DO_DB[[#This Row],[Material Pick-update]]&amp;"_"&amp;DO_DB[[#This Row],[Material Name]]</f>
        <v>45602_JC 144Core</v>
      </c>
      <c r="O1361" t="str">
        <f>DO_DB[[#This Row],[SiteID]]</f>
        <v>CLR64-99-001</v>
      </c>
      <c r="P1361" t="str">
        <f>DO_DB[[#This Row],[SiteID]]&amp;"_"&amp;DO_DB[[#This Row],[Material Name]]</f>
        <v>CLR64-99-001_JC 144Core</v>
      </c>
      <c r="Q1361" t="str">
        <f>DO_DB[[#This Row],[DO Number]]</f>
        <v>DOEID241029AS</v>
      </c>
      <c r="R1361" t="str">
        <f>DO_DB[[#This Row],[DN Number]]</f>
        <v>DNWID0362024102916</v>
      </c>
    </row>
    <row r="1362" spans="1:18">
      <c r="A1362" t="s">
        <v>2392</v>
      </c>
      <c r="B1362" t="s">
        <v>2393</v>
      </c>
      <c r="C1362" t="s">
        <v>4482</v>
      </c>
      <c r="D1362" t="s">
        <v>71</v>
      </c>
      <c r="E1362" t="s">
        <v>25</v>
      </c>
      <c r="F1362" t="s">
        <v>3297</v>
      </c>
      <c r="G1362" t="s">
        <v>2398</v>
      </c>
      <c r="H1362" t="s">
        <v>2399</v>
      </c>
      <c r="I1362" s="130">
        <v>45602</v>
      </c>
      <c r="J1362" t="s">
        <v>3069</v>
      </c>
      <c r="K1362">
        <v>69</v>
      </c>
      <c r="M13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62" t="str">
        <f>DO_DB[[#This Row],[Material Pick-update]]&amp;"_"&amp;DO_DB[[#This Row],[Material Name]]</f>
        <v>45602_Pole 7M 4"</v>
      </c>
      <c r="O1362" t="str">
        <f>DO_DB[[#This Row],[SiteID]]</f>
        <v>CLR64-01-038</v>
      </c>
      <c r="P1362" t="str">
        <f>DO_DB[[#This Row],[SiteID]]&amp;"_"&amp;DO_DB[[#This Row],[Material Name]]</f>
        <v>CLR64-01-038_Pole 7M 4"</v>
      </c>
      <c r="Q1362" t="str">
        <f>DO_DB[[#This Row],[DO Number]]</f>
        <v>DOEID24110553</v>
      </c>
      <c r="R1362" t="str">
        <f>DO_DB[[#This Row],[DN Number]]</f>
        <v>DNWID0362024110505</v>
      </c>
    </row>
    <row r="1363" spans="1:18">
      <c r="A1363" t="s">
        <v>2392</v>
      </c>
      <c r="B1363" t="s">
        <v>2393</v>
      </c>
      <c r="C1363" t="s">
        <v>4482</v>
      </c>
      <c r="D1363" t="s">
        <v>71</v>
      </c>
      <c r="E1363" t="s">
        <v>25</v>
      </c>
      <c r="F1363" t="s">
        <v>3297</v>
      </c>
      <c r="G1363" t="s">
        <v>2398</v>
      </c>
      <c r="H1363" t="s">
        <v>2399</v>
      </c>
      <c r="I1363" s="130">
        <v>45602</v>
      </c>
      <c r="J1363" t="s">
        <v>3070</v>
      </c>
      <c r="K1363">
        <v>7</v>
      </c>
      <c r="M13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63" t="str">
        <f>DO_DB[[#This Row],[Material Pick-update]]&amp;"_"&amp;DO_DB[[#This Row],[Material Name]]</f>
        <v>45602_Pole 7M 3"</v>
      </c>
      <c r="O1363" t="str">
        <f>DO_DB[[#This Row],[SiteID]]</f>
        <v>CLR64-01-038</v>
      </c>
      <c r="P1363" t="str">
        <f>DO_DB[[#This Row],[SiteID]]&amp;"_"&amp;DO_DB[[#This Row],[Material Name]]</f>
        <v>CLR64-01-038_Pole 7M 3"</v>
      </c>
      <c r="Q1363" t="str">
        <f>DO_DB[[#This Row],[DO Number]]</f>
        <v>DOEID24110553</v>
      </c>
      <c r="R1363" t="str">
        <f>DO_DB[[#This Row],[DN Number]]</f>
        <v>DNWID0362024110505</v>
      </c>
    </row>
    <row r="1364" spans="1:18">
      <c r="A1364" t="s">
        <v>2392</v>
      </c>
      <c r="B1364" t="s">
        <v>2393</v>
      </c>
      <c r="C1364" t="s">
        <v>4482</v>
      </c>
      <c r="D1364" t="s">
        <v>71</v>
      </c>
      <c r="E1364" t="s">
        <v>25</v>
      </c>
      <c r="F1364" t="s">
        <v>3297</v>
      </c>
      <c r="G1364" t="s">
        <v>2398</v>
      </c>
      <c r="H1364" t="s">
        <v>2399</v>
      </c>
      <c r="I1364" s="130">
        <v>45602</v>
      </c>
      <c r="J1364" t="s">
        <v>4856</v>
      </c>
      <c r="K1364">
        <v>2</v>
      </c>
      <c r="M13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64" t="str">
        <f>DO_DB[[#This Row],[Material Pick-update]]&amp;"_"&amp;DO_DB[[#This Row],[Material Name]]</f>
        <v>45602_JC 144Core</v>
      </c>
      <c r="O1364" t="str">
        <f>DO_DB[[#This Row],[SiteID]]</f>
        <v>CLR64-01-038</v>
      </c>
      <c r="P1364" t="str">
        <f>DO_DB[[#This Row],[SiteID]]&amp;"_"&amp;DO_DB[[#This Row],[Material Name]]</f>
        <v>CLR64-01-038_JC 144Core</v>
      </c>
      <c r="Q1364" t="str">
        <f>DO_DB[[#This Row],[DO Number]]</f>
        <v>DOEID24110553</v>
      </c>
      <c r="R1364" t="str">
        <f>DO_DB[[#This Row],[DN Number]]</f>
        <v>DNWID0362024110505</v>
      </c>
    </row>
    <row r="1365" spans="1:18">
      <c r="A1365" t="s">
        <v>2392</v>
      </c>
      <c r="B1365" t="s">
        <v>2393</v>
      </c>
      <c r="C1365" t="s">
        <v>4482</v>
      </c>
      <c r="D1365" t="s">
        <v>71</v>
      </c>
      <c r="E1365" t="s">
        <v>25</v>
      </c>
      <c r="F1365" t="s">
        <v>3297</v>
      </c>
      <c r="G1365" t="s">
        <v>2394</v>
      </c>
      <c r="H1365" t="s">
        <v>2395</v>
      </c>
      <c r="I1365" s="130">
        <v>45602</v>
      </c>
      <c r="J1365" t="s">
        <v>14</v>
      </c>
      <c r="K1365">
        <v>2</v>
      </c>
      <c r="M13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65" t="str">
        <f>DO_DB[[#This Row],[Material Pick-update]]&amp;"_"&amp;DO_DB[[#This Row],[Material Name]]</f>
        <v>45602_FDT-48</v>
      </c>
      <c r="O1365" t="str">
        <f>DO_DB[[#This Row],[SiteID]]</f>
        <v>CLR64-01-038</v>
      </c>
      <c r="P1365" t="str">
        <f>DO_DB[[#This Row],[SiteID]]&amp;"_"&amp;DO_DB[[#This Row],[Material Name]]</f>
        <v>CLR64-01-038_FDT-48</v>
      </c>
      <c r="Q1365" t="str">
        <f>DO_DB[[#This Row],[DO Number]]</f>
        <v>DOEID24110554</v>
      </c>
      <c r="R1365" t="str">
        <f>DO_DB[[#This Row],[DN Number]]</f>
        <v>DNWID0342024110503</v>
      </c>
    </row>
    <row r="1366" spans="1:18">
      <c r="A1366" t="s">
        <v>2392</v>
      </c>
      <c r="B1366" t="s">
        <v>2393</v>
      </c>
      <c r="C1366" t="s">
        <v>4482</v>
      </c>
      <c r="D1366" t="s">
        <v>71</v>
      </c>
      <c r="E1366" t="s">
        <v>25</v>
      </c>
      <c r="F1366" t="s">
        <v>3297</v>
      </c>
      <c r="G1366" t="s">
        <v>2394</v>
      </c>
      <c r="H1366" t="s">
        <v>2395</v>
      </c>
      <c r="I1366" s="130">
        <v>45602</v>
      </c>
      <c r="J1366" t="s">
        <v>13</v>
      </c>
      <c r="K1366">
        <v>42</v>
      </c>
      <c r="M13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66" t="str">
        <f>DO_DB[[#This Row],[Material Pick-update]]&amp;"_"&amp;DO_DB[[#This Row],[Material Name]]</f>
        <v>45602_FAT-16</v>
      </c>
      <c r="O1366" t="str">
        <f>DO_DB[[#This Row],[SiteID]]</f>
        <v>CLR64-01-038</v>
      </c>
      <c r="P1366" t="str">
        <f>DO_DB[[#This Row],[SiteID]]&amp;"_"&amp;DO_DB[[#This Row],[Material Name]]</f>
        <v>CLR64-01-038_FAT-16</v>
      </c>
      <c r="Q1366" t="str">
        <f>DO_DB[[#This Row],[DO Number]]</f>
        <v>DOEID24110554</v>
      </c>
      <c r="R1366" t="str">
        <f>DO_DB[[#This Row],[DN Number]]</f>
        <v>DNWID0342024110503</v>
      </c>
    </row>
    <row r="1367" spans="1:18">
      <c r="A1367" t="s">
        <v>2388</v>
      </c>
      <c r="B1367" t="s">
        <v>2389</v>
      </c>
      <c r="C1367" t="s">
        <v>4482</v>
      </c>
      <c r="D1367" t="s">
        <v>71</v>
      </c>
      <c r="E1367" t="s">
        <v>25</v>
      </c>
      <c r="F1367" t="s">
        <v>3297</v>
      </c>
      <c r="G1367" t="s">
        <v>2396</v>
      </c>
      <c r="H1367" t="s">
        <v>2397</v>
      </c>
      <c r="I1367" s="130">
        <v>45602</v>
      </c>
      <c r="J1367" t="s">
        <v>3069</v>
      </c>
      <c r="K1367">
        <v>46</v>
      </c>
      <c r="M13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67" t="str">
        <f>DO_DB[[#This Row],[Material Pick-update]]&amp;"_"&amp;DO_DB[[#This Row],[Material Name]]</f>
        <v>45602_Pole 7M 4"</v>
      </c>
      <c r="O1367" t="str">
        <f>DO_DB[[#This Row],[SiteID]]</f>
        <v>CLR64-01-039</v>
      </c>
      <c r="P1367" t="str">
        <f>DO_DB[[#This Row],[SiteID]]&amp;"_"&amp;DO_DB[[#This Row],[Material Name]]</f>
        <v>CLR64-01-039_Pole 7M 4"</v>
      </c>
      <c r="Q1367" t="str">
        <f>DO_DB[[#This Row],[DO Number]]</f>
        <v>DOEID24110555</v>
      </c>
      <c r="R1367" t="str">
        <f>DO_DB[[#This Row],[DN Number]]</f>
        <v>DNWID0362024110506</v>
      </c>
    </row>
    <row r="1368" spans="1:18">
      <c r="A1368" t="s">
        <v>2388</v>
      </c>
      <c r="B1368" t="s">
        <v>2389</v>
      </c>
      <c r="C1368" t="s">
        <v>4482</v>
      </c>
      <c r="D1368" t="s">
        <v>71</v>
      </c>
      <c r="E1368" t="s">
        <v>25</v>
      </c>
      <c r="F1368" t="s">
        <v>3297</v>
      </c>
      <c r="G1368" t="s">
        <v>2396</v>
      </c>
      <c r="H1368" t="s">
        <v>2397</v>
      </c>
      <c r="I1368" s="130">
        <v>45602</v>
      </c>
      <c r="J1368" t="s">
        <v>3070</v>
      </c>
      <c r="K1368">
        <v>10</v>
      </c>
      <c r="M13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68" t="str">
        <f>DO_DB[[#This Row],[Material Pick-update]]&amp;"_"&amp;DO_DB[[#This Row],[Material Name]]</f>
        <v>45602_Pole 7M 3"</v>
      </c>
      <c r="O1368" t="str">
        <f>DO_DB[[#This Row],[SiteID]]</f>
        <v>CLR64-01-039</v>
      </c>
      <c r="P1368" t="str">
        <f>DO_DB[[#This Row],[SiteID]]&amp;"_"&amp;DO_DB[[#This Row],[Material Name]]</f>
        <v>CLR64-01-039_Pole 7M 3"</v>
      </c>
      <c r="Q1368" t="str">
        <f>DO_DB[[#This Row],[DO Number]]</f>
        <v>DOEID24110555</v>
      </c>
      <c r="R1368" t="str">
        <f>DO_DB[[#This Row],[DN Number]]</f>
        <v>DNWID0362024110506</v>
      </c>
    </row>
    <row r="1369" spans="1:18">
      <c r="A1369" t="s">
        <v>2388</v>
      </c>
      <c r="B1369" t="s">
        <v>2389</v>
      </c>
      <c r="C1369" t="s">
        <v>4482</v>
      </c>
      <c r="D1369" t="s">
        <v>71</v>
      </c>
      <c r="E1369" t="s">
        <v>25</v>
      </c>
      <c r="F1369" t="s">
        <v>3297</v>
      </c>
      <c r="G1369" t="s">
        <v>2396</v>
      </c>
      <c r="H1369" t="s">
        <v>2397</v>
      </c>
      <c r="I1369" s="130">
        <v>45602</v>
      </c>
      <c r="J1369" t="s">
        <v>4856</v>
      </c>
      <c r="K1369">
        <v>1</v>
      </c>
      <c r="M13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69" t="str">
        <f>DO_DB[[#This Row],[Material Pick-update]]&amp;"_"&amp;DO_DB[[#This Row],[Material Name]]</f>
        <v>45602_JC 144Core</v>
      </c>
      <c r="O1369" t="str">
        <f>DO_DB[[#This Row],[SiteID]]</f>
        <v>CLR64-01-039</v>
      </c>
      <c r="P1369" t="str">
        <f>DO_DB[[#This Row],[SiteID]]&amp;"_"&amp;DO_DB[[#This Row],[Material Name]]</f>
        <v>CLR64-01-039_JC 144Core</v>
      </c>
      <c r="Q1369" t="str">
        <f>DO_DB[[#This Row],[DO Number]]</f>
        <v>DOEID24110555</v>
      </c>
      <c r="R1369" t="str">
        <f>DO_DB[[#This Row],[DN Number]]</f>
        <v>DNWID0362024110506</v>
      </c>
    </row>
    <row r="1370" spans="1:18">
      <c r="A1370" t="s">
        <v>2388</v>
      </c>
      <c r="B1370" t="s">
        <v>2389</v>
      </c>
      <c r="C1370" t="s">
        <v>4482</v>
      </c>
      <c r="D1370" t="s">
        <v>71</v>
      </c>
      <c r="E1370" t="s">
        <v>25</v>
      </c>
      <c r="F1370" t="s">
        <v>3297</v>
      </c>
      <c r="G1370" t="s">
        <v>2390</v>
      </c>
      <c r="H1370" t="s">
        <v>2391</v>
      </c>
      <c r="I1370" s="130">
        <v>45602</v>
      </c>
      <c r="J1370" t="s">
        <v>14</v>
      </c>
      <c r="K1370">
        <v>1</v>
      </c>
      <c r="M13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70" t="str">
        <f>DO_DB[[#This Row],[Material Pick-update]]&amp;"_"&amp;DO_DB[[#This Row],[Material Name]]</f>
        <v>45602_FDT-48</v>
      </c>
      <c r="O1370" t="str">
        <f>DO_DB[[#This Row],[SiteID]]</f>
        <v>CLR64-01-039</v>
      </c>
      <c r="P1370" t="str">
        <f>DO_DB[[#This Row],[SiteID]]&amp;"_"&amp;DO_DB[[#This Row],[Material Name]]</f>
        <v>CLR64-01-039_FDT-48</v>
      </c>
      <c r="Q1370" t="str">
        <f>DO_DB[[#This Row],[DO Number]]</f>
        <v>DOEID24110556</v>
      </c>
      <c r="R1370" t="str">
        <f>DO_DB[[#This Row],[DN Number]]</f>
        <v>DNWID0342024110507</v>
      </c>
    </row>
    <row r="1371" spans="1:18">
      <c r="A1371" t="s">
        <v>2388</v>
      </c>
      <c r="B1371" t="s">
        <v>2389</v>
      </c>
      <c r="C1371" t="s">
        <v>4482</v>
      </c>
      <c r="D1371" t="s">
        <v>71</v>
      </c>
      <c r="E1371" t="s">
        <v>25</v>
      </c>
      <c r="F1371" t="s">
        <v>3297</v>
      </c>
      <c r="G1371" t="s">
        <v>2390</v>
      </c>
      <c r="H1371" t="s">
        <v>2391</v>
      </c>
      <c r="I1371" s="130">
        <v>45602</v>
      </c>
      <c r="J1371" t="s">
        <v>15</v>
      </c>
      <c r="K1371">
        <v>1</v>
      </c>
      <c r="M13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71" t="str">
        <f>DO_DB[[#This Row],[Material Pick-update]]&amp;"_"&amp;DO_DB[[#This Row],[Material Name]]</f>
        <v>45602_FDT-72</v>
      </c>
      <c r="O1371" t="str">
        <f>DO_DB[[#This Row],[SiteID]]</f>
        <v>CLR64-01-039</v>
      </c>
      <c r="P1371" t="str">
        <f>DO_DB[[#This Row],[SiteID]]&amp;"_"&amp;DO_DB[[#This Row],[Material Name]]</f>
        <v>CLR64-01-039_FDT-72</v>
      </c>
      <c r="Q1371" t="str">
        <f>DO_DB[[#This Row],[DO Number]]</f>
        <v>DOEID24110556</v>
      </c>
      <c r="R1371" t="str">
        <f>DO_DB[[#This Row],[DN Number]]</f>
        <v>DNWID0342024110507</v>
      </c>
    </row>
    <row r="1372" spans="1:18">
      <c r="A1372" t="s">
        <v>2388</v>
      </c>
      <c r="B1372" t="s">
        <v>2389</v>
      </c>
      <c r="C1372" t="s">
        <v>4482</v>
      </c>
      <c r="D1372" t="s">
        <v>71</v>
      </c>
      <c r="E1372" t="s">
        <v>25</v>
      </c>
      <c r="F1372" t="s">
        <v>3297</v>
      </c>
      <c r="G1372" t="s">
        <v>2390</v>
      </c>
      <c r="H1372" t="s">
        <v>2391</v>
      </c>
      <c r="I1372" s="130">
        <v>45602</v>
      </c>
      <c r="J1372" t="s">
        <v>13</v>
      </c>
      <c r="K1372">
        <v>24</v>
      </c>
      <c r="M13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72" t="str">
        <f>DO_DB[[#This Row],[Material Pick-update]]&amp;"_"&amp;DO_DB[[#This Row],[Material Name]]</f>
        <v>45602_FAT-16</v>
      </c>
      <c r="O1372" t="str">
        <f>DO_DB[[#This Row],[SiteID]]</f>
        <v>CLR64-01-039</v>
      </c>
      <c r="P1372" t="str">
        <f>DO_DB[[#This Row],[SiteID]]&amp;"_"&amp;DO_DB[[#This Row],[Material Name]]</f>
        <v>CLR64-01-039_FAT-16</v>
      </c>
      <c r="Q1372" t="str">
        <f>DO_DB[[#This Row],[DO Number]]</f>
        <v>DOEID24110556</v>
      </c>
      <c r="R1372" t="str">
        <f>DO_DB[[#This Row],[DN Number]]</f>
        <v>DNWID0342024110507</v>
      </c>
    </row>
    <row r="1373" spans="1:18">
      <c r="A1373" t="s">
        <v>2561</v>
      </c>
      <c r="B1373" t="s">
        <v>2562</v>
      </c>
      <c r="C1373" t="s">
        <v>4482</v>
      </c>
      <c r="D1373" t="s">
        <v>71</v>
      </c>
      <c r="E1373" t="s">
        <v>25</v>
      </c>
      <c r="F1373" t="s">
        <v>3297</v>
      </c>
      <c r="G1373" t="s">
        <v>2565</v>
      </c>
      <c r="H1373" t="s">
        <v>2566</v>
      </c>
      <c r="I1373" s="130">
        <v>45645</v>
      </c>
      <c r="J1373" t="s">
        <v>3073</v>
      </c>
      <c r="K1373">
        <v>3000</v>
      </c>
      <c r="M13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24C-20241219-01</v>
      </c>
      <c r="N1373" t="str">
        <f>DO_DB[[#This Row],[Material Pick-update]]&amp;"_"&amp;DO_DB[[#This Row],[Material Name]]</f>
        <v>45645_ADSS 24C</v>
      </c>
      <c r="O1373" t="str">
        <f>DO_DB[[#This Row],[SiteID]]</f>
        <v>CLR64-99-014</v>
      </c>
      <c r="P1373" t="str">
        <f>DO_DB[[#This Row],[SiteID]]&amp;"_"&amp;DO_DB[[#This Row],[Material Name]]</f>
        <v>CLR64-99-014_ADSS 24C</v>
      </c>
      <c r="Q1373" t="str">
        <f>DO_DB[[#This Row],[DO Number]]</f>
        <v>DOEID24121771</v>
      </c>
      <c r="R1373" t="str">
        <f>DO_DB[[#This Row],[DN Number]]</f>
        <v>DNWID0342024121704</v>
      </c>
    </row>
    <row r="1374" spans="1:18">
      <c r="A1374" t="s">
        <v>2561</v>
      </c>
      <c r="B1374" t="s">
        <v>2562</v>
      </c>
      <c r="C1374" t="s">
        <v>4482</v>
      </c>
      <c r="D1374" t="s">
        <v>71</v>
      </c>
      <c r="E1374" t="s">
        <v>25</v>
      </c>
      <c r="F1374" t="s">
        <v>3297</v>
      </c>
      <c r="G1374" t="s">
        <v>2565</v>
      </c>
      <c r="H1374" t="s">
        <v>2566</v>
      </c>
      <c r="I1374" s="130">
        <v>45645</v>
      </c>
      <c r="J1374" t="s">
        <v>3075</v>
      </c>
      <c r="K1374">
        <v>6000</v>
      </c>
      <c r="M13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48C-20241219-01</v>
      </c>
      <c r="N1374" t="str">
        <f>DO_DB[[#This Row],[Material Pick-update]]&amp;"_"&amp;DO_DB[[#This Row],[Material Name]]</f>
        <v>45645_ADSS 48C</v>
      </c>
      <c r="O1374" t="str">
        <f>DO_DB[[#This Row],[SiteID]]</f>
        <v>CLR64-99-014</v>
      </c>
      <c r="P1374" t="str">
        <f>DO_DB[[#This Row],[SiteID]]&amp;"_"&amp;DO_DB[[#This Row],[Material Name]]</f>
        <v>CLR64-99-014_ADSS 48C</v>
      </c>
      <c r="Q1374" t="str">
        <f>DO_DB[[#This Row],[DO Number]]</f>
        <v>DOEID24121771</v>
      </c>
      <c r="R1374" t="str">
        <f>DO_DB[[#This Row],[DN Number]]</f>
        <v>DNWID0342024121704</v>
      </c>
    </row>
    <row r="1375" spans="1:18">
      <c r="A1375" t="s">
        <v>2561</v>
      </c>
      <c r="B1375" t="s">
        <v>2562</v>
      </c>
      <c r="C1375" t="s">
        <v>4482</v>
      </c>
      <c r="D1375" t="s">
        <v>71</v>
      </c>
      <c r="E1375" t="s">
        <v>25</v>
      </c>
      <c r="F1375" t="s">
        <v>3297</v>
      </c>
      <c r="G1375" t="s">
        <v>2563</v>
      </c>
      <c r="H1375" t="s">
        <v>2564</v>
      </c>
      <c r="I1375" s="130">
        <v>45645</v>
      </c>
      <c r="J1375" t="s">
        <v>3069</v>
      </c>
      <c r="K1375">
        <v>180</v>
      </c>
      <c r="M13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75" t="str">
        <f>DO_DB[[#This Row],[Material Pick-update]]&amp;"_"&amp;DO_DB[[#This Row],[Material Name]]</f>
        <v>45645_Pole 7M 4"</v>
      </c>
      <c r="O1375" t="str">
        <f>DO_DB[[#This Row],[SiteID]]</f>
        <v>CLR64-99-014</v>
      </c>
      <c r="P1375" t="str">
        <f>DO_DB[[#This Row],[SiteID]]&amp;"_"&amp;DO_DB[[#This Row],[Material Name]]</f>
        <v>CLR64-99-014_Pole 7M 4"</v>
      </c>
      <c r="Q1375" t="str">
        <f>DO_DB[[#This Row],[DO Number]]</f>
        <v>DOEID24121770</v>
      </c>
      <c r="R1375" t="str">
        <f>DO_DB[[#This Row],[DN Number]]</f>
        <v>DNWID0362024121705</v>
      </c>
    </row>
    <row r="1376" spans="1:18">
      <c r="A1376" t="s">
        <v>2561</v>
      </c>
      <c r="B1376" t="s">
        <v>2562</v>
      </c>
      <c r="C1376" t="s">
        <v>4482</v>
      </c>
      <c r="D1376" t="s">
        <v>71</v>
      </c>
      <c r="E1376" t="s">
        <v>25</v>
      </c>
      <c r="F1376" t="s">
        <v>3297</v>
      </c>
      <c r="G1376" t="s">
        <v>2563</v>
      </c>
      <c r="H1376" t="s">
        <v>2564</v>
      </c>
      <c r="I1376" s="130">
        <v>45645</v>
      </c>
      <c r="J1376" t="s">
        <v>3070</v>
      </c>
      <c r="K1376">
        <v>29</v>
      </c>
      <c r="M13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76" t="str">
        <f>DO_DB[[#This Row],[Material Pick-update]]&amp;"_"&amp;DO_DB[[#This Row],[Material Name]]</f>
        <v>45645_Pole 7M 3"</v>
      </c>
      <c r="O1376" t="str">
        <f>DO_DB[[#This Row],[SiteID]]</f>
        <v>CLR64-99-014</v>
      </c>
      <c r="P1376" t="str">
        <f>DO_DB[[#This Row],[SiteID]]&amp;"_"&amp;DO_DB[[#This Row],[Material Name]]</f>
        <v>CLR64-99-014_Pole 7M 3"</v>
      </c>
      <c r="Q1376" t="str">
        <f>DO_DB[[#This Row],[DO Number]]</f>
        <v>DOEID24121770</v>
      </c>
      <c r="R1376" t="str">
        <f>DO_DB[[#This Row],[DN Number]]</f>
        <v>DNWID0362024121705</v>
      </c>
    </row>
    <row r="1377" spans="1:18">
      <c r="A1377" t="s">
        <v>2561</v>
      </c>
      <c r="B1377" t="s">
        <v>2562</v>
      </c>
      <c r="C1377" t="s">
        <v>4482</v>
      </c>
      <c r="D1377" t="s">
        <v>71</v>
      </c>
      <c r="E1377" t="s">
        <v>25</v>
      </c>
      <c r="F1377" t="s">
        <v>3297</v>
      </c>
      <c r="G1377" t="s">
        <v>2563</v>
      </c>
      <c r="H1377" t="s">
        <v>2564</v>
      </c>
      <c r="I1377" s="130">
        <v>45645</v>
      </c>
      <c r="J1377" t="s">
        <v>4856</v>
      </c>
      <c r="K1377">
        <v>2</v>
      </c>
      <c r="M13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77" t="str">
        <f>DO_DB[[#This Row],[Material Pick-update]]&amp;"_"&amp;DO_DB[[#This Row],[Material Name]]</f>
        <v>45645_JC 144Core</v>
      </c>
      <c r="O1377" t="str">
        <f>DO_DB[[#This Row],[SiteID]]</f>
        <v>CLR64-99-014</v>
      </c>
      <c r="P1377" t="str">
        <f>DO_DB[[#This Row],[SiteID]]&amp;"_"&amp;DO_DB[[#This Row],[Material Name]]</f>
        <v>CLR64-99-014_JC 144Core</v>
      </c>
      <c r="Q1377" t="str">
        <f>DO_DB[[#This Row],[DO Number]]</f>
        <v>DOEID24121770</v>
      </c>
      <c r="R1377" t="str">
        <f>DO_DB[[#This Row],[DN Number]]</f>
        <v>DNWID0362024121705</v>
      </c>
    </row>
    <row r="1378" spans="1:18">
      <c r="A1378" t="s">
        <v>2561</v>
      </c>
      <c r="B1378" t="s">
        <v>2562</v>
      </c>
      <c r="C1378" t="s">
        <v>4482</v>
      </c>
      <c r="D1378" t="s">
        <v>71</v>
      </c>
      <c r="E1378" t="s">
        <v>25</v>
      </c>
      <c r="F1378" t="s">
        <v>3297</v>
      </c>
      <c r="G1378" t="s">
        <v>2565</v>
      </c>
      <c r="H1378" t="s">
        <v>2566</v>
      </c>
      <c r="I1378" s="130">
        <v>45645</v>
      </c>
      <c r="J1378" t="s">
        <v>14</v>
      </c>
      <c r="K1378">
        <v>3</v>
      </c>
      <c r="M13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78" t="str">
        <f>DO_DB[[#This Row],[Material Pick-update]]&amp;"_"&amp;DO_DB[[#This Row],[Material Name]]</f>
        <v>45645_FDT-48</v>
      </c>
      <c r="O1378" t="str">
        <f>DO_DB[[#This Row],[SiteID]]</f>
        <v>CLR64-99-014</v>
      </c>
      <c r="P1378" t="str">
        <f>DO_DB[[#This Row],[SiteID]]&amp;"_"&amp;DO_DB[[#This Row],[Material Name]]</f>
        <v>CLR64-99-014_FDT-48</v>
      </c>
      <c r="Q1378" t="str">
        <f>DO_DB[[#This Row],[DO Number]]</f>
        <v>DOEID24121771</v>
      </c>
      <c r="R1378" t="str">
        <f>DO_DB[[#This Row],[DN Number]]</f>
        <v>DNWID0342024121704</v>
      </c>
    </row>
    <row r="1379" spans="1:18">
      <c r="A1379" t="s">
        <v>2561</v>
      </c>
      <c r="B1379" t="s">
        <v>2562</v>
      </c>
      <c r="C1379" t="s">
        <v>4482</v>
      </c>
      <c r="D1379" t="s">
        <v>71</v>
      </c>
      <c r="E1379" t="s">
        <v>25</v>
      </c>
      <c r="F1379" t="s">
        <v>3297</v>
      </c>
      <c r="G1379" t="s">
        <v>2565</v>
      </c>
      <c r="H1379" t="s">
        <v>2566</v>
      </c>
      <c r="I1379" s="130">
        <v>45645</v>
      </c>
      <c r="J1379" t="s">
        <v>13</v>
      </c>
      <c r="K1379">
        <v>64</v>
      </c>
      <c r="M13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79" t="str">
        <f>DO_DB[[#This Row],[Material Pick-update]]&amp;"_"&amp;DO_DB[[#This Row],[Material Name]]</f>
        <v>45645_FAT-16</v>
      </c>
      <c r="O1379" t="str">
        <f>DO_DB[[#This Row],[SiteID]]</f>
        <v>CLR64-99-014</v>
      </c>
      <c r="P1379" t="str">
        <f>DO_DB[[#This Row],[SiteID]]&amp;"_"&amp;DO_DB[[#This Row],[Material Name]]</f>
        <v>CLR64-99-014_FAT-16</v>
      </c>
      <c r="Q1379" t="str">
        <f>DO_DB[[#This Row],[DO Number]]</f>
        <v>DOEID24121771</v>
      </c>
      <c r="R1379" t="str">
        <f>DO_DB[[#This Row],[DN Number]]</f>
        <v>DNWID0342024121704</v>
      </c>
    </row>
    <row r="1380" spans="1:18">
      <c r="A1380" t="s">
        <v>2567</v>
      </c>
      <c r="B1380" t="s">
        <v>2568</v>
      </c>
      <c r="C1380" t="s">
        <v>4482</v>
      </c>
      <c r="D1380" t="s">
        <v>71</v>
      </c>
      <c r="E1380" t="s">
        <v>644</v>
      </c>
      <c r="F1380" t="s">
        <v>3297</v>
      </c>
      <c r="G1380" t="s">
        <v>2569</v>
      </c>
      <c r="H1380" t="s">
        <v>2570</v>
      </c>
      <c r="I1380" s="130">
        <v>45645</v>
      </c>
      <c r="J1380" t="s">
        <v>4856</v>
      </c>
      <c r="K1380">
        <v>1</v>
      </c>
      <c r="M13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80" t="str">
        <f>DO_DB[[#This Row],[Material Pick-update]]&amp;"_"&amp;DO_DB[[#This Row],[Material Name]]</f>
        <v>45645_JC 144Core</v>
      </c>
      <c r="O1380" t="str">
        <f>DO_DB[[#This Row],[SiteID]]</f>
        <v>CLR30-01-065</v>
      </c>
      <c r="P1380" t="str">
        <f>DO_DB[[#This Row],[SiteID]]&amp;"_"&amp;DO_DB[[#This Row],[Material Name]]</f>
        <v>CLR30-01-065_JC 144Core</v>
      </c>
      <c r="Q1380" t="str">
        <f>DO_DB[[#This Row],[DO Number]]</f>
        <v>DOEID24121769</v>
      </c>
      <c r="R1380" t="str">
        <f>DO_DB[[#This Row],[DN Number]]</f>
        <v>DNWID0362024121702</v>
      </c>
    </row>
    <row r="1381" spans="1:18">
      <c r="A1381" t="s">
        <v>1513</v>
      </c>
      <c r="B1381" t="s">
        <v>1514</v>
      </c>
      <c r="C1381" s="172" t="s">
        <v>4482</v>
      </c>
      <c r="D1381" t="s">
        <v>71</v>
      </c>
      <c r="E1381" t="s">
        <v>26</v>
      </c>
      <c r="F1381" t="s">
        <v>3297</v>
      </c>
      <c r="G1381" t="s">
        <v>2559</v>
      </c>
      <c r="H1381" t="s">
        <v>2560</v>
      </c>
      <c r="I1381" s="130">
        <v>45645</v>
      </c>
      <c r="J1381" t="s">
        <v>4856</v>
      </c>
      <c r="K1381">
        <v>4</v>
      </c>
      <c r="M13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81" t="str">
        <f>DO_DB[[#This Row],[Material Pick-update]]&amp;"_"&amp;DO_DB[[#This Row],[Material Name]]</f>
        <v>45645_JC 144Core</v>
      </c>
      <c r="O1381" t="str">
        <f>DO_DB[[#This Row],[SiteID]]</f>
        <v>MF31-02</v>
      </c>
      <c r="P1381" t="str">
        <f>DO_DB[[#This Row],[SiteID]]&amp;"_"&amp;DO_DB[[#This Row],[Material Name]]</f>
        <v>MF31-02_JC 144Core</v>
      </c>
      <c r="Q1381" t="str">
        <f>DO_DB[[#This Row],[DO Number]]</f>
        <v>DOEID24121786</v>
      </c>
      <c r="R1381" t="str">
        <f>DO_DB[[#This Row],[DN Number]]</f>
        <v>DNWID0362024121706</v>
      </c>
    </row>
    <row r="1382" spans="1:18">
      <c r="A1382" t="s">
        <v>2621</v>
      </c>
      <c r="B1382" t="s">
        <v>2622</v>
      </c>
      <c r="C1382" t="s">
        <v>4482</v>
      </c>
      <c r="D1382" t="s">
        <v>71</v>
      </c>
      <c r="E1382" t="s">
        <v>25</v>
      </c>
      <c r="F1382" t="s">
        <v>3297</v>
      </c>
      <c r="G1382" t="s">
        <v>2625</v>
      </c>
      <c r="H1382" t="s">
        <v>2626</v>
      </c>
      <c r="I1382" s="130">
        <v>45688</v>
      </c>
      <c r="J1382" t="s">
        <v>3073</v>
      </c>
      <c r="K1382">
        <v>3000</v>
      </c>
      <c r="M13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24C-2025131-01</v>
      </c>
      <c r="N1382" t="str">
        <f>DO_DB[[#This Row],[Material Pick-update]]&amp;"_"&amp;DO_DB[[#This Row],[Material Name]]</f>
        <v>45688_ADSS 24C</v>
      </c>
      <c r="O1382" t="str">
        <f>DO_DB[[#This Row],[SiteID]]</f>
        <v>CLR64-99-008</v>
      </c>
      <c r="P1382" t="str">
        <f>DO_DB[[#This Row],[SiteID]]&amp;"_"&amp;DO_DB[[#This Row],[Material Name]]</f>
        <v>CLR64-99-008_ADSS 24C</v>
      </c>
      <c r="Q1382" t="str">
        <f>DO_DB[[#This Row],[DO Number]]</f>
        <v>DOEID250130BL</v>
      </c>
      <c r="R1382" t="str">
        <f>DO_DB[[#This Row],[DN Number]]</f>
        <v>DNWID0342025013005</v>
      </c>
    </row>
    <row r="1383" spans="1:18">
      <c r="A1383" t="s">
        <v>2621</v>
      </c>
      <c r="B1383" t="s">
        <v>2622</v>
      </c>
      <c r="C1383" t="s">
        <v>4482</v>
      </c>
      <c r="D1383" t="s">
        <v>71</v>
      </c>
      <c r="E1383" t="s">
        <v>25</v>
      </c>
      <c r="F1383" t="s">
        <v>3297</v>
      </c>
      <c r="G1383" t="s">
        <v>2625</v>
      </c>
      <c r="H1383" t="s">
        <v>2626</v>
      </c>
      <c r="I1383" s="130">
        <v>45688</v>
      </c>
      <c r="J1383" t="s">
        <v>3075</v>
      </c>
      <c r="K1383">
        <v>3000</v>
      </c>
      <c r="M13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48C-2025131-01</v>
      </c>
      <c r="N1383" t="str">
        <f>DO_DB[[#This Row],[Material Pick-update]]&amp;"_"&amp;DO_DB[[#This Row],[Material Name]]</f>
        <v>45688_ADSS 48C</v>
      </c>
      <c r="O1383" t="str">
        <f>DO_DB[[#This Row],[SiteID]]</f>
        <v>CLR64-99-008</v>
      </c>
      <c r="P1383" t="str">
        <f>DO_DB[[#This Row],[SiteID]]&amp;"_"&amp;DO_DB[[#This Row],[Material Name]]</f>
        <v>CLR64-99-008_ADSS 48C</v>
      </c>
      <c r="Q1383" t="str">
        <f>DO_DB[[#This Row],[DO Number]]</f>
        <v>DOEID250130BL</v>
      </c>
      <c r="R1383" t="str">
        <f>DO_DB[[#This Row],[DN Number]]</f>
        <v>DNWID0342025013005</v>
      </c>
    </row>
    <row r="1384" spans="1:18">
      <c r="A1384" t="s">
        <v>2627</v>
      </c>
      <c r="B1384" t="s">
        <v>2628</v>
      </c>
      <c r="C1384" t="s">
        <v>4482</v>
      </c>
      <c r="D1384" t="s">
        <v>71</v>
      </c>
      <c r="E1384" t="s">
        <v>25</v>
      </c>
      <c r="F1384" t="s">
        <v>3297</v>
      </c>
      <c r="G1384" t="s">
        <v>2631</v>
      </c>
      <c r="H1384" t="s">
        <v>2632</v>
      </c>
      <c r="I1384" s="130">
        <v>45688</v>
      </c>
      <c r="J1384" t="s">
        <v>3073</v>
      </c>
      <c r="K1384">
        <v>6000</v>
      </c>
      <c r="M13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24C-2025131-01</v>
      </c>
      <c r="N1384" t="str">
        <f>DO_DB[[#This Row],[Material Pick-update]]&amp;"_"&amp;DO_DB[[#This Row],[Material Name]]</f>
        <v>45688_ADSS 24C</v>
      </c>
      <c r="O1384" t="str">
        <f>DO_DB[[#This Row],[SiteID]]</f>
        <v>CLR64-99-004</v>
      </c>
      <c r="P1384" t="str">
        <f>DO_DB[[#This Row],[SiteID]]&amp;"_"&amp;DO_DB[[#This Row],[Material Name]]</f>
        <v>CLR64-99-004_ADSS 24C</v>
      </c>
      <c r="Q1384" t="str">
        <f>DO_DB[[#This Row],[DO Number]]</f>
        <v>DOEID25013085</v>
      </c>
      <c r="R1384" t="str">
        <f>DO_DB[[#This Row],[DN Number]]</f>
        <v>DNWID0342025013001</v>
      </c>
    </row>
    <row r="1385" spans="1:18">
      <c r="A1385" t="s">
        <v>2627</v>
      </c>
      <c r="B1385" t="s">
        <v>2628</v>
      </c>
      <c r="C1385" t="s">
        <v>4482</v>
      </c>
      <c r="D1385" t="s">
        <v>71</v>
      </c>
      <c r="E1385" t="s">
        <v>25</v>
      </c>
      <c r="F1385" t="s">
        <v>3297</v>
      </c>
      <c r="G1385" t="s">
        <v>2631</v>
      </c>
      <c r="H1385" t="s">
        <v>2632</v>
      </c>
      <c r="I1385" s="130">
        <v>45688</v>
      </c>
      <c r="J1385" t="s">
        <v>3075</v>
      </c>
      <c r="K1385">
        <v>6000</v>
      </c>
      <c r="M13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48C-2025131-01</v>
      </c>
      <c r="N1385" t="str">
        <f>DO_DB[[#This Row],[Material Pick-update]]&amp;"_"&amp;DO_DB[[#This Row],[Material Name]]</f>
        <v>45688_ADSS 48C</v>
      </c>
      <c r="O1385" t="str">
        <f>DO_DB[[#This Row],[SiteID]]</f>
        <v>CLR64-99-004</v>
      </c>
      <c r="P1385" t="str">
        <f>DO_DB[[#This Row],[SiteID]]&amp;"_"&amp;DO_DB[[#This Row],[Material Name]]</f>
        <v>CLR64-99-004_ADSS 48C</v>
      </c>
      <c r="Q1385" t="str">
        <f>DO_DB[[#This Row],[DO Number]]</f>
        <v>DOEID25013085</v>
      </c>
      <c r="R1385" t="str">
        <f>DO_DB[[#This Row],[DN Number]]</f>
        <v>DNWID0342025013001</v>
      </c>
    </row>
    <row r="1386" spans="1:18">
      <c r="A1386" t="s">
        <v>2627</v>
      </c>
      <c r="B1386" t="s">
        <v>2628</v>
      </c>
      <c r="C1386" t="s">
        <v>4482</v>
      </c>
      <c r="D1386" t="s">
        <v>71</v>
      </c>
      <c r="E1386" t="s">
        <v>25</v>
      </c>
      <c r="F1386" t="s">
        <v>3297</v>
      </c>
      <c r="G1386" t="s">
        <v>2629</v>
      </c>
      <c r="H1386" t="s">
        <v>2630</v>
      </c>
      <c r="I1386" s="130">
        <v>45688</v>
      </c>
      <c r="J1386" t="s">
        <v>3070</v>
      </c>
      <c r="K1386">
        <v>136</v>
      </c>
      <c r="M13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86" t="str">
        <f>DO_DB[[#This Row],[Material Pick-update]]&amp;"_"&amp;DO_DB[[#This Row],[Material Name]]</f>
        <v>45688_Pole 7M 3"</v>
      </c>
      <c r="O1386" t="str">
        <f>DO_DB[[#This Row],[SiteID]]</f>
        <v>CLR64-99-004</v>
      </c>
      <c r="P1386" t="str">
        <f>DO_DB[[#This Row],[SiteID]]&amp;"_"&amp;DO_DB[[#This Row],[Material Name]]</f>
        <v>CLR64-99-004_Pole 7M 3"</v>
      </c>
      <c r="Q1386" t="str">
        <f>DO_DB[[#This Row],[DO Number]]</f>
        <v>DOEID25013084</v>
      </c>
      <c r="R1386" t="str">
        <f>DO_DB[[#This Row],[DN Number]]</f>
        <v>DNWID0362025013003</v>
      </c>
    </row>
    <row r="1387" spans="1:18">
      <c r="A1387" t="s">
        <v>2627</v>
      </c>
      <c r="B1387" t="s">
        <v>2628</v>
      </c>
      <c r="C1387" t="s">
        <v>4482</v>
      </c>
      <c r="D1387" t="s">
        <v>71</v>
      </c>
      <c r="E1387" t="s">
        <v>25</v>
      </c>
      <c r="F1387" t="s">
        <v>3297</v>
      </c>
      <c r="G1387" t="s">
        <v>2629</v>
      </c>
      <c r="H1387" t="s">
        <v>2630</v>
      </c>
      <c r="I1387" s="130">
        <v>45688</v>
      </c>
      <c r="J1387" t="s">
        <v>4856</v>
      </c>
      <c r="K1387">
        <v>1</v>
      </c>
      <c r="M13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87" t="str">
        <f>DO_DB[[#This Row],[Material Pick-update]]&amp;"_"&amp;DO_DB[[#This Row],[Material Name]]</f>
        <v>45688_JC 144Core</v>
      </c>
      <c r="O1387" t="str">
        <f>DO_DB[[#This Row],[SiteID]]</f>
        <v>CLR64-99-004</v>
      </c>
      <c r="P1387" t="str">
        <f>DO_DB[[#This Row],[SiteID]]&amp;"_"&amp;DO_DB[[#This Row],[Material Name]]</f>
        <v>CLR64-99-004_JC 144Core</v>
      </c>
      <c r="Q1387" t="str">
        <f>DO_DB[[#This Row],[DO Number]]</f>
        <v>DOEID25013084</v>
      </c>
      <c r="R1387" t="str">
        <f>DO_DB[[#This Row],[DN Number]]</f>
        <v>DNWID0362025013003</v>
      </c>
    </row>
    <row r="1388" spans="1:18">
      <c r="A1388" t="s">
        <v>2627</v>
      </c>
      <c r="B1388" t="s">
        <v>2628</v>
      </c>
      <c r="C1388" t="s">
        <v>4482</v>
      </c>
      <c r="D1388" t="s">
        <v>71</v>
      </c>
      <c r="E1388" t="s">
        <v>25</v>
      </c>
      <c r="F1388" t="s">
        <v>3297</v>
      </c>
      <c r="G1388" t="s">
        <v>2631</v>
      </c>
      <c r="H1388" t="s">
        <v>2632</v>
      </c>
      <c r="I1388" s="130">
        <v>45688</v>
      </c>
      <c r="J1388" t="s">
        <v>14</v>
      </c>
      <c r="K1388">
        <v>2</v>
      </c>
      <c r="M13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88" t="str">
        <f>DO_DB[[#This Row],[Material Pick-update]]&amp;"_"&amp;DO_DB[[#This Row],[Material Name]]</f>
        <v>45688_FDT-48</v>
      </c>
      <c r="O1388" t="str">
        <f>DO_DB[[#This Row],[SiteID]]</f>
        <v>CLR64-99-004</v>
      </c>
      <c r="P1388" t="str">
        <f>DO_DB[[#This Row],[SiteID]]&amp;"_"&amp;DO_DB[[#This Row],[Material Name]]</f>
        <v>CLR64-99-004_FDT-48</v>
      </c>
      <c r="Q1388" t="str">
        <f>DO_DB[[#This Row],[DO Number]]</f>
        <v>DOEID25013085</v>
      </c>
      <c r="R1388" t="str">
        <f>DO_DB[[#This Row],[DN Number]]</f>
        <v>DNWID0342025013001</v>
      </c>
    </row>
    <row r="1389" spans="1:18">
      <c r="A1389" t="s">
        <v>2627</v>
      </c>
      <c r="B1389" t="s">
        <v>2628</v>
      </c>
      <c r="C1389" t="s">
        <v>4482</v>
      </c>
      <c r="D1389" t="s">
        <v>71</v>
      </c>
      <c r="E1389" t="s">
        <v>25</v>
      </c>
      <c r="F1389" t="s">
        <v>3297</v>
      </c>
      <c r="G1389" t="s">
        <v>2631</v>
      </c>
      <c r="H1389" t="s">
        <v>2632</v>
      </c>
      <c r="I1389" s="130">
        <v>45688</v>
      </c>
      <c r="J1389" t="s">
        <v>13</v>
      </c>
      <c r="K1389">
        <v>42</v>
      </c>
      <c r="M13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89" t="str">
        <f>DO_DB[[#This Row],[Material Pick-update]]&amp;"_"&amp;DO_DB[[#This Row],[Material Name]]</f>
        <v>45688_FAT-16</v>
      </c>
      <c r="O1389" t="str">
        <f>DO_DB[[#This Row],[SiteID]]</f>
        <v>CLR64-99-004</v>
      </c>
      <c r="P1389" t="str">
        <f>DO_DB[[#This Row],[SiteID]]&amp;"_"&amp;DO_DB[[#This Row],[Material Name]]</f>
        <v>CLR64-99-004_FAT-16</v>
      </c>
      <c r="Q1389" t="str">
        <f>DO_DB[[#This Row],[DO Number]]</f>
        <v>DOEID25013085</v>
      </c>
      <c r="R1389" t="str">
        <f>DO_DB[[#This Row],[DN Number]]</f>
        <v>DNWID0342025013001</v>
      </c>
    </row>
    <row r="1390" spans="1:18">
      <c r="A1390" t="s">
        <v>2621</v>
      </c>
      <c r="B1390" t="s">
        <v>2622</v>
      </c>
      <c r="C1390" t="s">
        <v>4482</v>
      </c>
      <c r="D1390" t="s">
        <v>71</v>
      </c>
      <c r="E1390" t="s">
        <v>25</v>
      </c>
      <c r="F1390" t="s">
        <v>3297</v>
      </c>
      <c r="G1390" t="s">
        <v>2623</v>
      </c>
      <c r="H1390" t="s">
        <v>2624</v>
      </c>
      <c r="I1390" s="130">
        <v>45688</v>
      </c>
      <c r="J1390" t="s">
        <v>3070</v>
      </c>
      <c r="K1390">
        <v>65</v>
      </c>
      <c r="M13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90" t="str">
        <f>DO_DB[[#This Row],[Material Pick-update]]&amp;"_"&amp;DO_DB[[#This Row],[Material Name]]</f>
        <v>45688_Pole 7M 3"</v>
      </c>
      <c r="O1390" t="str">
        <f>DO_DB[[#This Row],[SiteID]]</f>
        <v>CLR64-99-008</v>
      </c>
      <c r="P1390" t="str">
        <f>DO_DB[[#This Row],[SiteID]]&amp;"_"&amp;DO_DB[[#This Row],[Material Name]]</f>
        <v>CLR64-99-008_Pole 7M 3"</v>
      </c>
      <c r="Q1390" t="str">
        <f>DO_DB[[#This Row],[DO Number]]</f>
        <v>DOEID250130BK</v>
      </c>
      <c r="R1390" t="str">
        <f>DO_DB[[#This Row],[DN Number]]</f>
        <v>DNWID0362025013002</v>
      </c>
    </row>
    <row r="1391" spans="1:18">
      <c r="A1391" t="s">
        <v>2621</v>
      </c>
      <c r="B1391" t="s">
        <v>2622</v>
      </c>
      <c r="C1391" t="s">
        <v>4482</v>
      </c>
      <c r="D1391" t="s">
        <v>71</v>
      </c>
      <c r="E1391" t="s">
        <v>25</v>
      </c>
      <c r="F1391" t="s">
        <v>3297</v>
      </c>
      <c r="G1391" t="s">
        <v>2623</v>
      </c>
      <c r="H1391" t="s">
        <v>2624</v>
      </c>
      <c r="I1391" s="130">
        <v>45688</v>
      </c>
      <c r="J1391" t="s">
        <v>4856</v>
      </c>
      <c r="K1391">
        <v>1</v>
      </c>
      <c r="M13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91" t="str">
        <f>DO_DB[[#This Row],[Material Pick-update]]&amp;"_"&amp;DO_DB[[#This Row],[Material Name]]</f>
        <v>45688_JC 144Core</v>
      </c>
      <c r="O1391" t="str">
        <f>DO_DB[[#This Row],[SiteID]]</f>
        <v>CLR64-99-008</v>
      </c>
      <c r="P1391" t="str">
        <f>DO_DB[[#This Row],[SiteID]]&amp;"_"&amp;DO_DB[[#This Row],[Material Name]]</f>
        <v>CLR64-99-008_JC 144Core</v>
      </c>
      <c r="Q1391" t="str">
        <f>DO_DB[[#This Row],[DO Number]]</f>
        <v>DOEID250130BK</v>
      </c>
      <c r="R1391" t="str">
        <f>DO_DB[[#This Row],[DN Number]]</f>
        <v>DNWID0362025013002</v>
      </c>
    </row>
    <row r="1392" spans="1:18">
      <c r="A1392" t="s">
        <v>2621</v>
      </c>
      <c r="B1392" t="s">
        <v>2622</v>
      </c>
      <c r="C1392" t="s">
        <v>4482</v>
      </c>
      <c r="D1392" t="s">
        <v>71</v>
      </c>
      <c r="E1392" t="s">
        <v>25</v>
      </c>
      <c r="F1392" t="s">
        <v>3297</v>
      </c>
      <c r="G1392" t="s">
        <v>2625</v>
      </c>
      <c r="H1392" t="s">
        <v>2626</v>
      </c>
      <c r="I1392" s="130">
        <v>45688</v>
      </c>
      <c r="J1392" t="s">
        <v>14</v>
      </c>
      <c r="K1392">
        <v>1</v>
      </c>
      <c r="M13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92" t="str">
        <f>DO_DB[[#This Row],[Material Pick-update]]&amp;"_"&amp;DO_DB[[#This Row],[Material Name]]</f>
        <v>45688_FDT-48</v>
      </c>
      <c r="O1392" t="str">
        <f>DO_DB[[#This Row],[SiteID]]</f>
        <v>CLR64-99-008</v>
      </c>
      <c r="P1392" t="str">
        <f>DO_DB[[#This Row],[SiteID]]&amp;"_"&amp;DO_DB[[#This Row],[Material Name]]</f>
        <v>CLR64-99-008_FDT-48</v>
      </c>
      <c r="Q1392" t="str">
        <f>DO_DB[[#This Row],[DO Number]]</f>
        <v>DOEID250130BL</v>
      </c>
      <c r="R1392" t="str">
        <f>DO_DB[[#This Row],[DN Number]]</f>
        <v>DNWID0342025013005</v>
      </c>
    </row>
    <row r="1393" spans="1:18">
      <c r="A1393" t="s">
        <v>2621</v>
      </c>
      <c r="B1393" t="s">
        <v>2622</v>
      </c>
      <c r="C1393" t="s">
        <v>4482</v>
      </c>
      <c r="D1393" t="s">
        <v>71</v>
      </c>
      <c r="E1393" t="s">
        <v>25</v>
      </c>
      <c r="F1393" t="s">
        <v>3297</v>
      </c>
      <c r="G1393" t="s">
        <v>2625</v>
      </c>
      <c r="H1393" t="s">
        <v>2626</v>
      </c>
      <c r="I1393" s="130">
        <v>45688</v>
      </c>
      <c r="J1393" t="s">
        <v>13</v>
      </c>
      <c r="K1393">
        <v>20</v>
      </c>
      <c r="M13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93" t="str">
        <f>DO_DB[[#This Row],[Material Pick-update]]&amp;"_"&amp;DO_DB[[#This Row],[Material Name]]</f>
        <v>45688_FAT-16</v>
      </c>
      <c r="O1393" t="str">
        <f>DO_DB[[#This Row],[SiteID]]</f>
        <v>CLR64-99-008</v>
      </c>
      <c r="P1393" t="str">
        <f>DO_DB[[#This Row],[SiteID]]&amp;"_"&amp;DO_DB[[#This Row],[Material Name]]</f>
        <v>CLR64-99-008_FAT-16</v>
      </c>
      <c r="Q1393" t="str">
        <f>DO_DB[[#This Row],[DO Number]]</f>
        <v>DOEID250130BL</v>
      </c>
      <c r="R1393" t="str">
        <f>DO_DB[[#This Row],[DN Number]]</f>
        <v>DNWID0342025013005</v>
      </c>
    </row>
    <row r="1394" spans="1:18">
      <c r="A1394" t="s">
        <v>2621</v>
      </c>
      <c r="B1394" t="s">
        <v>2622</v>
      </c>
      <c r="C1394" t="s">
        <v>4482</v>
      </c>
      <c r="D1394" t="s">
        <v>71</v>
      </c>
      <c r="E1394" t="s">
        <v>25</v>
      </c>
      <c r="F1394" t="s">
        <v>3297</v>
      </c>
      <c r="G1394" t="s">
        <v>2658</v>
      </c>
      <c r="H1394" t="s">
        <v>2659</v>
      </c>
      <c r="I1394" s="130">
        <v>45715</v>
      </c>
      <c r="J1394" t="s">
        <v>3070</v>
      </c>
      <c r="K1394">
        <v>270</v>
      </c>
      <c r="M13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94" t="str">
        <f>DO_DB[[#This Row],[Material Pick-update]]&amp;"_"&amp;DO_DB[[#This Row],[Material Name]]</f>
        <v>45715_Pole 7M 3"</v>
      </c>
      <c r="O1394" t="str">
        <f>DO_DB[[#This Row],[SiteID]]</f>
        <v>CLR64-99-008</v>
      </c>
      <c r="P1394" t="str">
        <f>DO_DB[[#This Row],[SiteID]]&amp;"_"&amp;DO_DB[[#This Row],[Material Name]]</f>
        <v>CLR64-99-008_Pole 7M 3"</v>
      </c>
      <c r="Q1394" t="str">
        <f>DO_DB[[#This Row],[DO Number]]</f>
        <v>DOEID25022623</v>
      </c>
      <c r="R1394" t="str">
        <f>DO_DB[[#This Row],[DN Number]]</f>
        <v>DNWID0362025022612</v>
      </c>
    </row>
    <row r="1395" spans="1:18">
      <c r="A1395" t="s">
        <v>2621</v>
      </c>
      <c r="B1395" t="s">
        <v>2622</v>
      </c>
      <c r="C1395" t="s">
        <v>4482</v>
      </c>
      <c r="D1395" t="s">
        <v>71</v>
      </c>
      <c r="E1395" t="s">
        <v>25</v>
      </c>
      <c r="F1395" t="s">
        <v>3297</v>
      </c>
      <c r="G1395" t="s">
        <v>2658</v>
      </c>
      <c r="H1395" t="s">
        <v>2659</v>
      </c>
      <c r="I1395" s="130">
        <v>45715</v>
      </c>
      <c r="J1395" t="s">
        <v>3071</v>
      </c>
      <c r="K1395">
        <v>15</v>
      </c>
      <c r="M13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395" t="str">
        <f>DO_DB[[#This Row],[Material Pick-update]]&amp;"_"&amp;DO_DB[[#This Row],[Material Name]]</f>
        <v>45715_Pole 9M</v>
      </c>
      <c r="O1395" t="str">
        <f>DO_DB[[#This Row],[SiteID]]</f>
        <v>CLR64-99-008</v>
      </c>
      <c r="P1395" t="str">
        <f>DO_DB[[#This Row],[SiteID]]&amp;"_"&amp;DO_DB[[#This Row],[Material Name]]</f>
        <v>CLR64-99-008_Pole 9M</v>
      </c>
      <c r="Q1395" t="str">
        <f>DO_DB[[#This Row],[DO Number]]</f>
        <v>DOEID25022623</v>
      </c>
      <c r="R1395" t="str">
        <f>DO_DB[[#This Row],[DN Number]]</f>
        <v>DNWID0362025022612</v>
      </c>
    </row>
    <row r="1396" spans="1:18">
      <c r="A1396" t="s">
        <v>2680</v>
      </c>
      <c r="B1396" t="s">
        <v>2681</v>
      </c>
      <c r="C1396" t="s">
        <v>4482</v>
      </c>
      <c r="D1396" t="s">
        <v>71</v>
      </c>
      <c r="E1396" t="s">
        <v>25</v>
      </c>
      <c r="F1396" t="s">
        <v>3297</v>
      </c>
      <c r="G1396" t="s">
        <v>2682</v>
      </c>
      <c r="H1396" t="s">
        <v>2683</v>
      </c>
      <c r="I1396" s="130">
        <v>45764</v>
      </c>
      <c r="J1396" t="s">
        <v>3075</v>
      </c>
      <c r="K1396">
        <v>3000</v>
      </c>
      <c r="M13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48C-2025417-01</v>
      </c>
      <c r="N1396" t="str">
        <f>DO_DB[[#This Row],[Material Pick-update]]&amp;"_"&amp;DO_DB[[#This Row],[Material Name]]</f>
        <v>45764_ADSS 48C</v>
      </c>
      <c r="O1396" t="str">
        <f>DO_DB[[#This Row],[SiteID]]</f>
        <v>CLR64-99-015</v>
      </c>
      <c r="P1396" t="str">
        <f>DO_DB[[#This Row],[SiteID]]&amp;"_"&amp;DO_DB[[#This Row],[Material Name]]</f>
        <v>CLR64-99-015_ADSS 48C</v>
      </c>
      <c r="Q1396" t="str">
        <f>DO_DB[[#This Row],[DO Number]]</f>
        <v>DOEID25041773</v>
      </c>
      <c r="R1396" t="str">
        <f>DO_DB[[#This Row],[DN Number]]</f>
        <v>DNWID0342025041703</v>
      </c>
    </row>
    <row r="1397" spans="1:18">
      <c r="A1397" t="s">
        <v>2690</v>
      </c>
      <c r="B1397" t="s">
        <v>2691</v>
      </c>
      <c r="C1397" t="s">
        <v>4482</v>
      </c>
      <c r="D1397" t="s">
        <v>71</v>
      </c>
      <c r="E1397" t="s">
        <v>25</v>
      </c>
      <c r="F1397" t="s">
        <v>3297</v>
      </c>
      <c r="G1397" t="s">
        <v>2692</v>
      </c>
      <c r="H1397" t="s">
        <v>2693</v>
      </c>
      <c r="I1397" s="130">
        <v>45764</v>
      </c>
      <c r="J1397" t="s">
        <v>3075</v>
      </c>
      <c r="K1397">
        <v>3000</v>
      </c>
      <c r="M13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48C-2025417-01</v>
      </c>
      <c r="N1397" t="str">
        <f>DO_DB[[#This Row],[Material Pick-update]]&amp;"_"&amp;DO_DB[[#This Row],[Material Name]]</f>
        <v>45764_ADSS 48C</v>
      </c>
      <c r="O1397" t="str">
        <f>DO_DB[[#This Row],[SiteID]]</f>
        <v>CLR64-99-030</v>
      </c>
      <c r="P1397" t="str">
        <f>DO_DB[[#This Row],[SiteID]]&amp;"_"&amp;DO_DB[[#This Row],[Material Name]]</f>
        <v>CLR64-99-030_ADSS 48C</v>
      </c>
      <c r="Q1397" t="str">
        <f>DO_DB[[#This Row],[DO Number]]</f>
        <v>DOEID25041775</v>
      </c>
      <c r="R1397" t="str">
        <f>DO_DB[[#This Row],[DN Number]]</f>
        <v>DNWID0342025041702</v>
      </c>
    </row>
    <row r="1398" spans="1:18">
      <c r="A1398" t="s">
        <v>2704</v>
      </c>
      <c r="B1398" t="s">
        <v>2705</v>
      </c>
      <c r="C1398" t="s">
        <v>4482</v>
      </c>
      <c r="D1398" t="s">
        <v>71</v>
      </c>
      <c r="E1398" t="s">
        <v>25</v>
      </c>
      <c r="F1398" t="s">
        <v>3297</v>
      </c>
      <c r="G1398" t="s">
        <v>2706</v>
      </c>
      <c r="H1398" t="s">
        <v>2707</v>
      </c>
      <c r="I1398" s="130">
        <v>45764</v>
      </c>
      <c r="J1398" t="s">
        <v>3073</v>
      </c>
      <c r="K1398">
        <v>3000</v>
      </c>
      <c r="M13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24C-2025417-01</v>
      </c>
      <c r="N1398" t="str">
        <f>DO_DB[[#This Row],[Material Pick-update]]&amp;"_"&amp;DO_DB[[#This Row],[Material Name]]</f>
        <v>45764_ADSS 24C</v>
      </c>
      <c r="O1398" t="str">
        <f>DO_DB[[#This Row],[SiteID]]</f>
        <v>CLR64-99-033</v>
      </c>
      <c r="P1398" t="str">
        <f>DO_DB[[#This Row],[SiteID]]&amp;"_"&amp;DO_DB[[#This Row],[Material Name]]</f>
        <v>CLR64-99-033_ADSS 24C</v>
      </c>
      <c r="Q1398" t="str">
        <f>DO_DB[[#This Row],[DO Number]]</f>
        <v>DOEID25041777</v>
      </c>
      <c r="R1398" t="str">
        <f>DO_DB[[#This Row],[DN Number]]</f>
        <v>DNWID0342025041701</v>
      </c>
    </row>
    <row r="1399" spans="1:18">
      <c r="A1399" t="s">
        <v>2690</v>
      </c>
      <c r="B1399" t="s">
        <v>2691</v>
      </c>
      <c r="C1399" t="s">
        <v>4482</v>
      </c>
      <c r="D1399" t="s">
        <v>71</v>
      </c>
      <c r="E1399" t="s">
        <v>25</v>
      </c>
      <c r="F1399" t="s">
        <v>3297</v>
      </c>
      <c r="G1399" t="s">
        <v>2692</v>
      </c>
      <c r="H1399" t="s">
        <v>2693</v>
      </c>
      <c r="I1399" s="130">
        <v>45764</v>
      </c>
      <c r="J1399" t="s">
        <v>3073</v>
      </c>
      <c r="K1399">
        <v>6000</v>
      </c>
      <c r="M13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24C-2025417-01</v>
      </c>
      <c r="N1399" t="str">
        <f>DO_DB[[#This Row],[Material Pick-update]]&amp;"_"&amp;DO_DB[[#This Row],[Material Name]]</f>
        <v>45764_ADSS 24C</v>
      </c>
      <c r="O1399" t="str">
        <f>DO_DB[[#This Row],[SiteID]]</f>
        <v>CLR64-99-030</v>
      </c>
      <c r="P1399" t="str">
        <f>DO_DB[[#This Row],[SiteID]]&amp;"_"&amp;DO_DB[[#This Row],[Material Name]]</f>
        <v>CLR64-99-030_ADSS 24C</v>
      </c>
      <c r="Q1399" t="str">
        <f>DO_DB[[#This Row],[DO Number]]</f>
        <v>DOEID25041775</v>
      </c>
      <c r="R1399" t="str">
        <f>DO_DB[[#This Row],[DN Number]]</f>
        <v>DNWID0342025041702</v>
      </c>
    </row>
    <row r="1400" spans="1:18">
      <c r="A1400" t="s">
        <v>2680</v>
      </c>
      <c r="B1400" t="s">
        <v>2681</v>
      </c>
      <c r="C1400" t="s">
        <v>4482</v>
      </c>
      <c r="D1400" t="s">
        <v>71</v>
      </c>
      <c r="E1400" t="s">
        <v>25</v>
      </c>
      <c r="F1400" t="s">
        <v>3297</v>
      </c>
      <c r="G1400" t="s">
        <v>2684</v>
      </c>
      <c r="H1400" t="s">
        <v>2685</v>
      </c>
      <c r="I1400" s="130">
        <v>45764</v>
      </c>
      <c r="J1400" t="s">
        <v>15</v>
      </c>
      <c r="K1400">
        <v>1</v>
      </c>
      <c r="M14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00" t="str">
        <f>DO_DB[[#This Row],[Material Pick-update]]&amp;"_"&amp;DO_DB[[#This Row],[Material Name]]</f>
        <v>45764_FDT-72</v>
      </c>
      <c r="O1400" t="str">
        <f>DO_DB[[#This Row],[SiteID]]</f>
        <v>CLR64-99-015</v>
      </c>
      <c r="P1400" t="str">
        <f>DO_DB[[#This Row],[SiteID]]&amp;"_"&amp;DO_DB[[#This Row],[Material Name]]</f>
        <v>CLR64-99-015_FDT-72</v>
      </c>
      <c r="Q1400" t="str">
        <f>DO_DB[[#This Row],[DO Number]]</f>
        <v>DOEID25041772</v>
      </c>
      <c r="R1400" t="str">
        <f>DO_DB[[#This Row],[DN Number]]</f>
        <v>DNWID0362025041701</v>
      </c>
    </row>
    <row r="1401" spans="1:18">
      <c r="A1401" t="s">
        <v>2680</v>
      </c>
      <c r="B1401" t="s">
        <v>2681</v>
      </c>
      <c r="C1401" t="s">
        <v>4482</v>
      </c>
      <c r="D1401" t="s">
        <v>71</v>
      </c>
      <c r="E1401" t="s">
        <v>25</v>
      </c>
      <c r="F1401" t="s">
        <v>3297</v>
      </c>
      <c r="G1401" t="s">
        <v>2684</v>
      </c>
      <c r="H1401" t="s">
        <v>2685</v>
      </c>
      <c r="I1401" s="130">
        <v>45764</v>
      </c>
      <c r="J1401" t="s">
        <v>13</v>
      </c>
      <c r="K1401">
        <v>32</v>
      </c>
      <c r="M14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01" t="str">
        <f>DO_DB[[#This Row],[Material Pick-update]]&amp;"_"&amp;DO_DB[[#This Row],[Material Name]]</f>
        <v>45764_FAT-16</v>
      </c>
      <c r="O1401" t="str">
        <f>DO_DB[[#This Row],[SiteID]]</f>
        <v>CLR64-99-015</v>
      </c>
      <c r="P1401" t="str">
        <f>DO_DB[[#This Row],[SiteID]]&amp;"_"&amp;DO_DB[[#This Row],[Material Name]]</f>
        <v>CLR64-99-015_FAT-16</v>
      </c>
      <c r="Q1401" t="str">
        <f>DO_DB[[#This Row],[DO Number]]</f>
        <v>DOEID25041772</v>
      </c>
      <c r="R1401" t="str">
        <f>DO_DB[[#This Row],[DN Number]]</f>
        <v>DNWID0362025041701</v>
      </c>
    </row>
    <row r="1402" spans="1:18">
      <c r="A1402" t="s">
        <v>2690</v>
      </c>
      <c r="B1402" t="s">
        <v>2691</v>
      </c>
      <c r="C1402" t="s">
        <v>4482</v>
      </c>
      <c r="D1402" t="s">
        <v>71</v>
      </c>
      <c r="E1402" t="s">
        <v>25</v>
      </c>
      <c r="F1402" t="s">
        <v>3297</v>
      </c>
      <c r="G1402" t="s">
        <v>2694</v>
      </c>
      <c r="H1402" t="s">
        <v>2695</v>
      </c>
      <c r="I1402" s="130">
        <v>45764</v>
      </c>
      <c r="J1402" t="s">
        <v>14</v>
      </c>
      <c r="K1402">
        <v>1</v>
      </c>
      <c r="M14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02" t="str">
        <f>DO_DB[[#This Row],[Material Pick-update]]&amp;"_"&amp;DO_DB[[#This Row],[Material Name]]</f>
        <v>45764_FDT-48</v>
      </c>
      <c r="O1402" t="str">
        <f>DO_DB[[#This Row],[SiteID]]</f>
        <v>CLR64-99-030</v>
      </c>
      <c r="P1402" t="str">
        <f>DO_DB[[#This Row],[SiteID]]&amp;"_"&amp;DO_DB[[#This Row],[Material Name]]</f>
        <v>CLR64-99-030_FDT-48</v>
      </c>
      <c r="Q1402" t="str">
        <f>DO_DB[[#This Row],[DO Number]]</f>
        <v>DOEID25041774</v>
      </c>
      <c r="R1402" t="str">
        <f>DO_DB[[#This Row],[DN Number]]</f>
        <v>DNWID0362025041702</v>
      </c>
    </row>
    <row r="1403" spans="1:18">
      <c r="A1403" t="s">
        <v>2690</v>
      </c>
      <c r="B1403" t="s">
        <v>2691</v>
      </c>
      <c r="C1403" t="s">
        <v>4482</v>
      </c>
      <c r="D1403" t="s">
        <v>71</v>
      </c>
      <c r="E1403" t="s">
        <v>25</v>
      </c>
      <c r="F1403" t="s">
        <v>3297</v>
      </c>
      <c r="G1403" t="s">
        <v>2694</v>
      </c>
      <c r="H1403" t="s">
        <v>2695</v>
      </c>
      <c r="I1403" s="130">
        <v>45764</v>
      </c>
      <c r="J1403" t="s">
        <v>15</v>
      </c>
      <c r="K1403">
        <v>1</v>
      </c>
      <c r="M14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03" t="str">
        <f>DO_DB[[#This Row],[Material Pick-update]]&amp;"_"&amp;DO_DB[[#This Row],[Material Name]]</f>
        <v>45764_FDT-72</v>
      </c>
      <c r="O1403" t="str">
        <f>DO_DB[[#This Row],[SiteID]]</f>
        <v>CLR64-99-030</v>
      </c>
      <c r="P1403" t="str">
        <f>DO_DB[[#This Row],[SiteID]]&amp;"_"&amp;DO_DB[[#This Row],[Material Name]]</f>
        <v>CLR64-99-030_FDT-72</v>
      </c>
      <c r="Q1403" t="str">
        <f>DO_DB[[#This Row],[DO Number]]</f>
        <v>DOEID25041774</v>
      </c>
      <c r="R1403" t="str">
        <f>DO_DB[[#This Row],[DN Number]]</f>
        <v>DNWID0362025041702</v>
      </c>
    </row>
    <row r="1404" spans="1:18">
      <c r="A1404" t="s">
        <v>2690</v>
      </c>
      <c r="B1404" t="s">
        <v>2691</v>
      </c>
      <c r="C1404" t="s">
        <v>4482</v>
      </c>
      <c r="D1404" t="s">
        <v>71</v>
      </c>
      <c r="E1404" t="s">
        <v>25</v>
      </c>
      <c r="F1404" t="s">
        <v>3297</v>
      </c>
      <c r="G1404" t="s">
        <v>2694</v>
      </c>
      <c r="H1404" t="s">
        <v>2695</v>
      </c>
      <c r="I1404" s="130">
        <v>45764</v>
      </c>
      <c r="J1404" t="s">
        <v>13</v>
      </c>
      <c r="K1404">
        <v>44</v>
      </c>
      <c r="M14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04" t="str">
        <f>DO_DB[[#This Row],[Material Pick-update]]&amp;"_"&amp;DO_DB[[#This Row],[Material Name]]</f>
        <v>45764_FAT-16</v>
      </c>
      <c r="O1404" t="str">
        <f>DO_DB[[#This Row],[SiteID]]</f>
        <v>CLR64-99-030</v>
      </c>
      <c r="P1404" t="str">
        <f>DO_DB[[#This Row],[SiteID]]&amp;"_"&amp;DO_DB[[#This Row],[Material Name]]</f>
        <v>CLR64-99-030_FAT-16</v>
      </c>
      <c r="Q1404" t="str">
        <f>DO_DB[[#This Row],[DO Number]]</f>
        <v>DOEID25041774</v>
      </c>
      <c r="R1404" t="str">
        <f>DO_DB[[#This Row],[DN Number]]</f>
        <v>DNWID0362025041702</v>
      </c>
    </row>
    <row r="1405" spans="1:18">
      <c r="A1405" t="s">
        <v>2704</v>
      </c>
      <c r="B1405" t="s">
        <v>2705</v>
      </c>
      <c r="C1405" t="s">
        <v>4482</v>
      </c>
      <c r="D1405" t="s">
        <v>71</v>
      </c>
      <c r="E1405" t="s">
        <v>25</v>
      </c>
      <c r="F1405" t="s">
        <v>3297</v>
      </c>
      <c r="G1405" t="s">
        <v>2708</v>
      </c>
      <c r="H1405" t="s">
        <v>2709</v>
      </c>
      <c r="I1405" s="130">
        <v>45764</v>
      </c>
      <c r="J1405" t="s">
        <v>14</v>
      </c>
      <c r="K1405">
        <v>1</v>
      </c>
      <c r="M14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05" t="str">
        <f>DO_DB[[#This Row],[Material Pick-update]]&amp;"_"&amp;DO_DB[[#This Row],[Material Name]]</f>
        <v>45764_FDT-48</v>
      </c>
      <c r="O1405" t="str">
        <f>DO_DB[[#This Row],[SiteID]]</f>
        <v>CLR64-99-033</v>
      </c>
      <c r="P1405" t="str">
        <f>DO_DB[[#This Row],[SiteID]]&amp;"_"&amp;DO_DB[[#This Row],[Material Name]]</f>
        <v>CLR64-99-033_FDT-48</v>
      </c>
      <c r="Q1405" t="str">
        <f>DO_DB[[#This Row],[DO Number]]</f>
        <v>DOEID25041776</v>
      </c>
      <c r="R1405" t="str">
        <f>DO_DB[[#This Row],[DN Number]]</f>
        <v>DNWID0362025041703</v>
      </c>
    </row>
    <row r="1406" spans="1:18">
      <c r="A1406" t="s">
        <v>2704</v>
      </c>
      <c r="B1406" t="s">
        <v>2705</v>
      </c>
      <c r="C1406" t="s">
        <v>4482</v>
      </c>
      <c r="D1406" t="s">
        <v>71</v>
      </c>
      <c r="E1406" t="s">
        <v>25</v>
      </c>
      <c r="F1406" t="s">
        <v>3297</v>
      </c>
      <c r="G1406" t="s">
        <v>2708</v>
      </c>
      <c r="H1406" t="s">
        <v>2709</v>
      </c>
      <c r="I1406" s="130">
        <v>45764</v>
      </c>
      <c r="J1406" t="s">
        <v>15</v>
      </c>
      <c r="K1406">
        <v>1</v>
      </c>
      <c r="M14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06" t="str">
        <f>DO_DB[[#This Row],[Material Pick-update]]&amp;"_"&amp;DO_DB[[#This Row],[Material Name]]</f>
        <v>45764_FDT-72</v>
      </c>
      <c r="O1406" t="str">
        <f>DO_DB[[#This Row],[SiteID]]</f>
        <v>CLR64-99-033</v>
      </c>
      <c r="P1406" t="str">
        <f>DO_DB[[#This Row],[SiteID]]&amp;"_"&amp;DO_DB[[#This Row],[Material Name]]</f>
        <v>CLR64-99-033_FDT-72</v>
      </c>
      <c r="Q1406" t="str">
        <f>DO_DB[[#This Row],[DO Number]]</f>
        <v>DOEID25041776</v>
      </c>
      <c r="R1406" t="str">
        <f>DO_DB[[#This Row],[DN Number]]</f>
        <v>DNWID0362025041703</v>
      </c>
    </row>
    <row r="1407" spans="1:18">
      <c r="A1407" t="s">
        <v>2704</v>
      </c>
      <c r="B1407" t="s">
        <v>2705</v>
      </c>
      <c r="C1407" t="s">
        <v>4482</v>
      </c>
      <c r="D1407" t="s">
        <v>71</v>
      </c>
      <c r="E1407" t="s">
        <v>25</v>
      </c>
      <c r="F1407" t="s">
        <v>3297</v>
      </c>
      <c r="G1407" t="s">
        <v>2708</v>
      </c>
      <c r="H1407" t="s">
        <v>2709</v>
      </c>
      <c r="I1407" s="130">
        <v>45764</v>
      </c>
      <c r="J1407" t="s">
        <v>13</v>
      </c>
      <c r="K1407">
        <v>31</v>
      </c>
      <c r="M14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07" t="str">
        <f>DO_DB[[#This Row],[Material Pick-update]]&amp;"_"&amp;DO_DB[[#This Row],[Material Name]]</f>
        <v>45764_FAT-16</v>
      </c>
      <c r="O1407" t="str">
        <f>DO_DB[[#This Row],[SiteID]]</f>
        <v>CLR64-99-033</v>
      </c>
      <c r="P1407" t="str">
        <f>DO_DB[[#This Row],[SiteID]]&amp;"_"&amp;DO_DB[[#This Row],[Material Name]]</f>
        <v>CLR64-99-033_FAT-16</v>
      </c>
      <c r="Q1407" t="str">
        <f>DO_DB[[#This Row],[DO Number]]</f>
        <v>DOEID25041776</v>
      </c>
      <c r="R1407" t="str">
        <f>DO_DB[[#This Row],[DN Number]]</f>
        <v>DNWID0362025041703</v>
      </c>
    </row>
    <row r="1408" spans="1:18">
      <c r="A1408" t="s">
        <v>2686</v>
      </c>
      <c r="B1408" t="s">
        <v>2687</v>
      </c>
      <c r="C1408" t="s">
        <v>4482</v>
      </c>
      <c r="D1408" t="s">
        <v>71</v>
      </c>
      <c r="E1408" t="s">
        <v>25</v>
      </c>
      <c r="F1408" t="s">
        <v>3297</v>
      </c>
      <c r="G1408" t="s">
        <v>2688</v>
      </c>
      <c r="H1408" t="s">
        <v>2689</v>
      </c>
      <c r="I1408" s="130">
        <v>45764</v>
      </c>
      <c r="J1408" t="s">
        <v>3069</v>
      </c>
      <c r="K1408">
        <v>25</v>
      </c>
      <c r="M14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08" t="str">
        <f>DO_DB[[#This Row],[Material Pick-update]]&amp;"_"&amp;DO_DB[[#This Row],[Material Name]]</f>
        <v>45764_Pole 7M 4"</v>
      </c>
      <c r="O1408" t="str">
        <f>DO_DB[[#This Row],[SiteID]]</f>
        <v>CLR64-99-016</v>
      </c>
      <c r="P1408" t="str">
        <f>DO_DB[[#This Row],[SiteID]]&amp;"_"&amp;DO_DB[[#This Row],[Material Name]]</f>
        <v>CLR64-99-016_Pole 7M 4"</v>
      </c>
      <c r="Q1408" t="str">
        <f>DO_DB[[#This Row],[DO Number]]</f>
        <v>DOEID25041787</v>
      </c>
      <c r="R1408" t="str">
        <f>DO_DB[[#This Row],[DN Number]]</f>
        <v>DNWID0362025041706</v>
      </c>
    </row>
    <row r="1409" spans="1:18">
      <c r="A1409" t="s">
        <v>2686</v>
      </c>
      <c r="B1409" t="s">
        <v>2687</v>
      </c>
      <c r="C1409" t="s">
        <v>4482</v>
      </c>
      <c r="D1409" t="s">
        <v>71</v>
      </c>
      <c r="E1409" t="s">
        <v>25</v>
      </c>
      <c r="F1409" t="s">
        <v>3297</v>
      </c>
      <c r="G1409" t="s">
        <v>2688</v>
      </c>
      <c r="H1409" t="s">
        <v>2689</v>
      </c>
      <c r="I1409" s="130">
        <v>45764</v>
      </c>
      <c r="J1409" t="s">
        <v>3071</v>
      </c>
      <c r="K1409">
        <v>7</v>
      </c>
      <c r="M14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09" t="str">
        <f>DO_DB[[#This Row],[Material Pick-update]]&amp;"_"&amp;DO_DB[[#This Row],[Material Name]]</f>
        <v>45764_Pole 9M</v>
      </c>
      <c r="O1409" t="str">
        <f>DO_DB[[#This Row],[SiteID]]</f>
        <v>CLR64-99-016</v>
      </c>
      <c r="P1409" t="str">
        <f>DO_DB[[#This Row],[SiteID]]&amp;"_"&amp;DO_DB[[#This Row],[Material Name]]</f>
        <v>CLR64-99-016_Pole 9M</v>
      </c>
      <c r="Q1409" t="str">
        <f>DO_DB[[#This Row],[DO Number]]</f>
        <v>DOEID25041787</v>
      </c>
      <c r="R1409" t="str">
        <f>DO_DB[[#This Row],[DN Number]]</f>
        <v>DNWID0362025041706</v>
      </c>
    </row>
    <row r="1410" spans="1:18">
      <c r="A1410" t="s">
        <v>2696</v>
      </c>
      <c r="B1410" t="s">
        <v>2697</v>
      </c>
      <c r="C1410" t="s">
        <v>4482</v>
      </c>
      <c r="D1410" t="s">
        <v>71</v>
      </c>
      <c r="E1410" t="s">
        <v>25</v>
      </c>
      <c r="F1410" t="s">
        <v>3297</v>
      </c>
      <c r="G1410" t="s">
        <v>2698</v>
      </c>
      <c r="H1410" t="s">
        <v>2699</v>
      </c>
      <c r="I1410" s="130">
        <v>45764</v>
      </c>
      <c r="J1410" t="s">
        <v>3069</v>
      </c>
      <c r="K1410">
        <v>30</v>
      </c>
      <c r="M14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10" t="str">
        <f>DO_DB[[#This Row],[Material Pick-update]]&amp;"_"&amp;DO_DB[[#This Row],[Material Name]]</f>
        <v>45764_Pole 7M 4"</v>
      </c>
      <c r="O1410" t="str">
        <f>DO_DB[[#This Row],[SiteID]]</f>
        <v>CLR64-99-031</v>
      </c>
      <c r="P1410" t="str">
        <f>DO_DB[[#This Row],[SiteID]]&amp;"_"&amp;DO_DB[[#This Row],[Material Name]]</f>
        <v>CLR64-99-031_Pole 7M 4"</v>
      </c>
      <c r="Q1410" t="str">
        <f>DO_DB[[#This Row],[DO Number]]</f>
        <v>DOEID25041788</v>
      </c>
      <c r="R1410" t="str">
        <f>DO_DB[[#This Row],[DN Number]]</f>
        <v>DNWID0362025041705</v>
      </c>
    </row>
    <row r="1411" spans="1:18">
      <c r="A1411" t="s">
        <v>2696</v>
      </c>
      <c r="B1411" t="s">
        <v>2697</v>
      </c>
      <c r="C1411" t="s">
        <v>4482</v>
      </c>
      <c r="D1411" t="s">
        <v>71</v>
      </c>
      <c r="E1411" t="s">
        <v>25</v>
      </c>
      <c r="F1411" t="s">
        <v>3297</v>
      </c>
      <c r="G1411" t="s">
        <v>2698</v>
      </c>
      <c r="H1411" t="s">
        <v>2699</v>
      </c>
      <c r="I1411" s="130">
        <v>45764</v>
      </c>
      <c r="J1411" t="s">
        <v>3071</v>
      </c>
      <c r="K1411">
        <v>7</v>
      </c>
      <c r="M14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11" t="str">
        <f>DO_DB[[#This Row],[Material Pick-update]]&amp;"_"&amp;DO_DB[[#This Row],[Material Name]]</f>
        <v>45764_Pole 9M</v>
      </c>
      <c r="O1411" t="str">
        <f>DO_DB[[#This Row],[SiteID]]</f>
        <v>CLR64-99-031</v>
      </c>
      <c r="P1411" t="str">
        <f>DO_DB[[#This Row],[SiteID]]&amp;"_"&amp;DO_DB[[#This Row],[Material Name]]</f>
        <v>CLR64-99-031_Pole 9M</v>
      </c>
      <c r="Q1411" t="str">
        <f>DO_DB[[#This Row],[DO Number]]</f>
        <v>DOEID25041788</v>
      </c>
      <c r="R1411" t="str">
        <f>DO_DB[[#This Row],[DN Number]]</f>
        <v>DNWID0362025041705</v>
      </c>
    </row>
    <row r="1412" spans="1:18">
      <c r="A1412" t="s">
        <v>2700</v>
      </c>
      <c r="B1412" t="s">
        <v>2701</v>
      </c>
      <c r="C1412" t="s">
        <v>4482</v>
      </c>
      <c r="D1412" t="s">
        <v>71</v>
      </c>
      <c r="E1412" t="s">
        <v>25</v>
      </c>
      <c r="F1412" t="s">
        <v>3297</v>
      </c>
      <c r="G1412" t="s">
        <v>2702</v>
      </c>
      <c r="H1412" t="s">
        <v>2703</v>
      </c>
      <c r="I1412" s="130">
        <v>45764</v>
      </c>
      <c r="J1412" t="s">
        <v>3069</v>
      </c>
      <c r="K1412">
        <v>25</v>
      </c>
      <c r="M14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12" t="str">
        <f>DO_DB[[#This Row],[Material Pick-update]]&amp;"_"&amp;DO_DB[[#This Row],[Material Name]]</f>
        <v>45764_Pole 7M 4"</v>
      </c>
      <c r="O1412" t="str">
        <f>DO_DB[[#This Row],[SiteID]]</f>
        <v>CLR64-99-032</v>
      </c>
      <c r="P1412" t="str">
        <f>DO_DB[[#This Row],[SiteID]]&amp;"_"&amp;DO_DB[[#This Row],[Material Name]]</f>
        <v>CLR64-99-032_Pole 7M 4"</v>
      </c>
      <c r="Q1412" t="str">
        <f>DO_DB[[#This Row],[DO Number]]</f>
        <v>DOEID25041789</v>
      </c>
      <c r="R1412" t="str">
        <f>DO_DB[[#This Row],[DN Number]]</f>
        <v>DNWID0362025041704</v>
      </c>
    </row>
    <row r="1413" spans="1:18">
      <c r="A1413" t="s">
        <v>2700</v>
      </c>
      <c r="B1413" t="s">
        <v>2701</v>
      </c>
      <c r="C1413" t="s">
        <v>4482</v>
      </c>
      <c r="D1413" t="s">
        <v>71</v>
      </c>
      <c r="E1413" t="s">
        <v>25</v>
      </c>
      <c r="F1413" t="s">
        <v>3297</v>
      </c>
      <c r="G1413" t="s">
        <v>2702</v>
      </c>
      <c r="H1413" t="s">
        <v>2703</v>
      </c>
      <c r="I1413" s="130">
        <v>45764</v>
      </c>
      <c r="J1413" t="s">
        <v>3071</v>
      </c>
      <c r="K1413">
        <v>6</v>
      </c>
      <c r="M14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13" t="str">
        <f>DO_DB[[#This Row],[Material Pick-update]]&amp;"_"&amp;DO_DB[[#This Row],[Material Name]]</f>
        <v>45764_Pole 9M</v>
      </c>
      <c r="O1413" t="str">
        <f>DO_DB[[#This Row],[SiteID]]</f>
        <v>CLR64-99-032</v>
      </c>
      <c r="P1413" t="str">
        <f>DO_DB[[#This Row],[SiteID]]&amp;"_"&amp;DO_DB[[#This Row],[Material Name]]</f>
        <v>CLR64-99-032_Pole 9M</v>
      </c>
      <c r="Q1413" t="str">
        <f>DO_DB[[#This Row],[DO Number]]</f>
        <v>DOEID25041789</v>
      </c>
      <c r="R1413" t="str">
        <f>DO_DB[[#This Row],[DN Number]]</f>
        <v>DNWID0362025041704</v>
      </c>
    </row>
    <row r="1414" spans="1:18">
      <c r="A1414" t="s">
        <v>2732</v>
      </c>
      <c r="B1414" t="s">
        <v>2733</v>
      </c>
      <c r="C1414" t="s">
        <v>4482</v>
      </c>
      <c r="D1414" t="s">
        <v>71</v>
      </c>
      <c r="E1414" t="s">
        <v>25</v>
      </c>
      <c r="F1414" t="s">
        <v>3297</v>
      </c>
      <c r="G1414" t="s">
        <v>2734</v>
      </c>
      <c r="H1414" t="s">
        <v>2735</v>
      </c>
      <c r="I1414" s="130">
        <v>45785</v>
      </c>
      <c r="J1414" t="s">
        <v>3073</v>
      </c>
      <c r="K1414">
        <v>3000</v>
      </c>
      <c r="M14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24C-202558-01</v>
      </c>
      <c r="N1414" t="str">
        <f>DO_DB[[#This Row],[Material Pick-update]]&amp;"_"&amp;DO_DB[[#This Row],[Material Name]]</f>
        <v>45785_ADSS 24C</v>
      </c>
      <c r="O1414" t="str">
        <f>DO_DB[[#This Row],[SiteID]]</f>
        <v>CLR64-99-060</v>
      </c>
      <c r="P1414" t="str">
        <f>DO_DB[[#This Row],[SiteID]]&amp;"_"&amp;DO_DB[[#This Row],[Material Name]]</f>
        <v>CLR64-99-060_ADSS 24C</v>
      </c>
      <c r="Q1414" t="str">
        <f>DO_DB[[#This Row],[DO Number]]</f>
        <v>DOEID25050722</v>
      </c>
      <c r="R1414" t="str">
        <f>DO_DB[[#This Row],[DN Number]]</f>
        <v>DNWID0342025050705</v>
      </c>
    </row>
    <row r="1415" spans="1:18">
      <c r="A1415" t="s">
        <v>2732</v>
      </c>
      <c r="B1415" t="s">
        <v>2733</v>
      </c>
      <c r="C1415" t="s">
        <v>4482</v>
      </c>
      <c r="D1415" t="s">
        <v>71</v>
      </c>
      <c r="E1415" t="s">
        <v>25</v>
      </c>
      <c r="F1415" t="s">
        <v>3297</v>
      </c>
      <c r="G1415" t="s">
        <v>2734</v>
      </c>
      <c r="H1415" t="s">
        <v>2735</v>
      </c>
      <c r="I1415" s="130">
        <v>45785</v>
      </c>
      <c r="J1415" t="s">
        <v>3075</v>
      </c>
      <c r="K1415">
        <v>3000</v>
      </c>
      <c r="M14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48C-202558-01</v>
      </c>
      <c r="N1415" t="str">
        <f>DO_DB[[#This Row],[Material Pick-update]]&amp;"_"&amp;DO_DB[[#This Row],[Material Name]]</f>
        <v>45785_ADSS 48C</v>
      </c>
      <c r="O1415" t="str">
        <f>DO_DB[[#This Row],[SiteID]]</f>
        <v>CLR64-99-060</v>
      </c>
      <c r="P1415" t="str">
        <f>DO_DB[[#This Row],[SiteID]]&amp;"_"&amp;DO_DB[[#This Row],[Material Name]]</f>
        <v>CLR64-99-060_ADSS 48C</v>
      </c>
      <c r="Q1415" t="str">
        <f>DO_DB[[#This Row],[DO Number]]</f>
        <v>DOEID25050722</v>
      </c>
      <c r="R1415" t="str">
        <f>DO_DB[[#This Row],[DN Number]]</f>
        <v>DNWID0342025050705</v>
      </c>
    </row>
    <row r="1416" spans="1:18">
      <c r="A1416" t="s">
        <v>2732</v>
      </c>
      <c r="B1416" t="s">
        <v>2733</v>
      </c>
      <c r="C1416" t="s">
        <v>4482</v>
      </c>
      <c r="D1416" t="s">
        <v>71</v>
      </c>
      <c r="E1416" t="s">
        <v>25</v>
      </c>
      <c r="F1416" t="s">
        <v>3297</v>
      </c>
      <c r="G1416" t="s">
        <v>2740</v>
      </c>
      <c r="H1416" t="s">
        <v>2741</v>
      </c>
      <c r="I1416" s="130">
        <v>45785</v>
      </c>
      <c r="J1416" t="s">
        <v>3070</v>
      </c>
      <c r="K1416">
        <v>27</v>
      </c>
      <c r="M14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16" t="str">
        <f>DO_DB[[#This Row],[Material Pick-update]]&amp;"_"&amp;DO_DB[[#This Row],[Material Name]]</f>
        <v>45785_Pole 7M 3"</v>
      </c>
      <c r="O1416" t="str">
        <f>DO_DB[[#This Row],[SiteID]]</f>
        <v>CLR64-99-060</v>
      </c>
      <c r="P1416" t="str">
        <f>DO_DB[[#This Row],[SiteID]]&amp;"_"&amp;DO_DB[[#This Row],[Material Name]]</f>
        <v>CLR64-99-060_Pole 7M 3"</v>
      </c>
      <c r="Q1416" t="str">
        <f>DO_DB[[#This Row],[DO Number]]</f>
        <v>DOEID25050721</v>
      </c>
      <c r="R1416" t="str">
        <f>DO_DB[[#This Row],[DN Number]]</f>
        <v>DNWID0362025050717</v>
      </c>
    </row>
    <row r="1417" spans="1:18">
      <c r="A1417" t="s">
        <v>2732</v>
      </c>
      <c r="B1417" t="s">
        <v>2733</v>
      </c>
      <c r="C1417" t="s">
        <v>4482</v>
      </c>
      <c r="D1417" t="s">
        <v>71</v>
      </c>
      <c r="E1417" t="s">
        <v>25</v>
      </c>
      <c r="F1417" t="s">
        <v>3297</v>
      </c>
      <c r="G1417" t="s">
        <v>2740</v>
      </c>
      <c r="H1417" t="s">
        <v>2741</v>
      </c>
      <c r="I1417" s="130">
        <v>45785</v>
      </c>
      <c r="J1417" t="s">
        <v>3071</v>
      </c>
      <c r="K1417">
        <v>2</v>
      </c>
      <c r="M14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17" t="str">
        <f>DO_DB[[#This Row],[Material Pick-update]]&amp;"_"&amp;DO_DB[[#This Row],[Material Name]]</f>
        <v>45785_Pole 9M</v>
      </c>
      <c r="O1417" t="str">
        <f>DO_DB[[#This Row],[SiteID]]</f>
        <v>CLR64-99-060</v>
      </c>
      <c r="P1417" t="str">
        <f>DO_DB[[#This Row],[SiteID]]&amp;"_"&amp;DO_DB[[#This Row],[Material Name]]</f>
        <v>CLR64-99-060_Pole 9M</v>
      </c>
      <c r="Q1417" t="str">
        <f>DO_DB[[#This Row],[DO Number]]</f>
        <v>DOEID25050721</v>
      </c>
      <c r="R1417" t="str">
        <f>DO_DB[[#This Row],[DN Number]]</f>
        <v>DNWID0362025050717</v>
      </c>
    </row>
    <row r="1418" spans="1:18">
      <c r="A1418" t="s">
        <v>2732</v>
      </c>
      <c r="B1418" t="s">
        <v>2733</v>
      </c>
      <c r="C1418" t="s">
        <v>4482</v>
      </c>
      <c r="D1418" t="s">
        <v>71</v>
      </c>
      <c r="E1418" t="s">
        <v>25</v>
      </c>
      <c r="F1418" t="s">
        <v>3297</v>
      </c>
      <c r="G1418" t="s">
        <v>2740</v>
      </c>
      <c r="H1418" t="s">
        <v>2741</v>
      </c>
      <c r="I1418" s="130">
        <v>45785</v>
      </c>
      <c r="J1418" t="s">
        <v>14</v>
      </c>
      <c r="K1418">
        <v>1</v>
      </c>
      <c r="M14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18" t="str">
        <f>DO_DB[[#This Row],[Material Pick-update]]&amp;"_"&amp;DO_DB[[#This Row],[Material Name]]</f>
        <v>45785_FDT-48</v>
      </c>
      <c r="O1418" t="str">
        <f>DO_DB[[#This Row],[SiteID]]</f>
        <v>CLR64-99-060</v>
      </c>
      <c r="P1418" t="str">
        <f>DO_DB[[#This Row],[SiteID]]&amp;"_"&amp;DO_DB[[#This Row],[Material Name]]</f>
        <v>CLR64-99-060_FDT-48</v>
      </c>
      <c r="Q1418" t="str">
        <f>DO_DB[[#This Row],[DO Number]]</f>
        <v>DOEID25050721</v>
      </c>
      <c r="R1418" t="str">
        <f>DO_DB[[#This Row],[DN Number]]</f>
        <v>DNWID0362025050717</v>
      </c>
    </row>
    <row r="1419" spans="1:18">
      <c r="A1419" t="s">
        <v>2732</v>
      </c>
      <c r="B1419" t="s">
        <v>2733</v>
      </c>
      <c r="C1419" t="s">
        <v>4482</v>
      </c>
      <c r="D1419" t="s">
        <v>71</v>
      </c>
      <c r="E1419" t="s">
        <v>25</v>
      </c>
      <c r="F1419" t="s">
        <v>3297</v>
      </c>
      <c r="G1419" t="s">
        <v>2740</v>
      </c>
      <c r="H1419" t="s">
        <v>2741</v>
      </c>
      <c r="I1419" s="130">
        <v>45785</v>
      </c>
      <c r="J1419" t="s">
        <v>13</v>
      </c>
      <c r="K1419">
        <v>18</v>
      </c>
      <c r="M14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19" t="str">
        <f>DO_DB[[#This Row],[Material Pick-update]]&amp;"_"&amp;DO_DB[[#This Row],[Material Name]]</f>
        <v>45785_FAT-16</v>
      </c>
      <c r="O1419" t="str">
        <f>DO_DB[[#This Row],[SiteID]]</f>
        <v>CLR64-99-060</v>
      </c>
      <c r="P1419" t="str">
        <f>DO_DB[[#This Row],[SiteID]]&amp;"_"&amp;DO_DB[[#This Row],[Material Name]]</f>
        <v>CLR64-99-060_FAT-16</v>
      </c>
      <c r="Q1419" t="str">
        <f>DO_DB[[#This Row],[DO Number]]</f>
        <v>DOEID25050721</v>
      </c>
      <c r="R1419" t="str">
        <f>DO_DB[[#This Row],[DN Number]]</f>
        <v>DNWID0362025050717</v>
      </c>
    </row>
    <row r="1420" spans="1:18">
      <c r="A1420" t="s">
        <v>2690</v>
      </c>
      <c r="B1420" t="s">
        <v>2691</v>
      </c>
      <c r="C1420" t="s">
        <v>4482</v>
      </c>
      <c r="D1420" t="s">
        <v>71</v>
      </c>
      <c r="E1420" t="s">
        <v>25</v>
      </c>
      <c r="F1420" t="s">
        <v>3297</v>
      </c>
      <c r="G1420" t="s">
        <v>2736</v>
      </c>
      <c r="H1420" t="s">
        <v>2737</v>
      </c>
      <c r="I1420" s="130">
        <v>45785</v>
      </c>
      <c r="J1420" t="s">
        <v>3070</v>
      </c>
      <c r="K1420">
        <v>81</v>
      </c>
      <c r="M14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20" t="str">
        <f>DO_DB[[#This Row],[Material Pick-update]]&amp;"_"&amp;DO_DB[[#This Row],[Material Name]]</f>
        <v>45785_Pole 7M 3"</v>
      </c>
      <c r="O1420" t="str">
        <f>DO_DB[[#This Row],[SiteID]]</f>
        <v>CLR64-99-030</v>
      </c>
      <c r="P1420" t="str">
        <f>DO_DB[[#This Row],[SiteID]]&amp;"_"&amp;DO_DB[[#This Row],[Material Name]]</f>
        <v>CLR64-99-030_Pole 7M 3"</v>
      </c>
      <c r="Q1420" t="str">
        <f>DO_DB[[#This Row],[DO Number]]</f>
        <v>DOEID25050723</v>
      </c>
      <c r="R1420" t="str">
        <f>DO_DB[[#This Row],[DN Number]]</f>
        <v>DNWID0362025050713</v>
      </c>
    </row>
    <row r="1421" spans="1:18">
      <c r="A1421" t="s">
        <v>2690</v>
      </c>
      <c r="B1421" t="s">
        <v>2691</v>
      </c>
      <c r="C1421" t="s">
        <v>4482</v>
      </c>
      <c r="D1421" t="s">
        <v>71</v>
      </c>
      <c r="E1421" t="s">
        <v>25</v>
      </c>
      <c r="F1421" t="s">
        <v>3297</v>
      </c>
      <c r="G1421" t="s">
        <v>2736</v>
      </c>
      <c r="H1421" t="s">
        <v>2737</v>
      </c>
      <c r="I1421" s="130">
        <v>45785</v>
      </c>
      <c r="J1421" t="s">
        <v>3071</v>
      </c>
      <c r="K1421">
        <v>4</v>
      </c>
      <c r="M14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21" t="str">
        <f>DO_DB[[#This Row],[Material Pick-update]]&amp;"_"&amp;DO_DB[[#This Row],[Material Name]]</f>
        <v>45785_Pole 9M</v>
      </c>
      <c r="O1421" t="str">
        <f>DO_DB[[#This Row],[SiteID]]</f>
        <v>CLR64-99-030</v>
      </c>
      <c r="P1421" t="str">
        <f>DO_DB[[#This Row],[SiteID]]&amp;"_"&amp;DO_DB[[#This Row],[Material Name]]</f>
        <v>CLR64-99-030_Pole 9M</v>
      </c>
      <c r="Q1421" t="str">
        <f>DO_DB[[#This Row],[DO Number]]</f>
        <v>DOEID25050723</v>
      </c>
      <c r="R1421" t="str">
        <f>DO_DB[[#This Row],[DN Number]]</f>
        <v>DNWID0362025050713</v>
      </c>
    </row>
    <row r="1422" spans="1:18">
      <c r="A1422" t="s">
        <v>2704</v>
      </c>
      <c r="B1422" t="s">
        <v>2705</v>
      </c>
      <c r="C1422" t="s">
        <v>4482</v>
      </c>
      <c r="D1422" t="s">
        <v>71</v>
      </c>
      <c r="E1422" t="s">
        <v>25</v>
      </c>
      <c r="F1422" t="s">
        <v>3297</v>
      </c>
      <c r="G1422" t="s">
        <v>2738</v>
      </c>
      <c r="H1422" t="s">
        <v>2739</v>
      </c>
      <c r="I1422" s="130">
        <v>45785</v>
      </c>
      <c r="J1422" t="s">
        <v>3070</v>
      </c>
      <c r="K1422">
        <v>60</v>
      </c>
      <c r="M14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22" t="str">
        <f>DO_DB[[#This Row],[Material Pick-update]]&amp;"_"&amp;DO_DB[[#This Row],[Material Name]]</f>
        <v>45785_Pole 7M 3"</v>
      </c>
      <c r="O1422" t="str">
        <f>DO_DB[[#This Row],[SiteID]]</f>
        <v>CLR64-99-033</v>
      </c>
      <c r="P1422" t="str">
        <f>DO_DB[[#This Row],[SiteID]]&amp;"_"&amp;DO_DB[[#This Row],[Material Name]]</f>
        <v>CLR64-99-033_Pole 7M 3"</v>
      </c>
      <c r="Q1422" t="str">
        <f>DO_DB[[#This Row],[DO Number]]</f>
        <v>DOEID25050724</v>
      </c>
      <c r="R1422" t="str">
        <f>DO_DB[[#This Row],[DN Number]]</f>
        <v>DNWID0362025050716</v>
      </c>
    </row>
    <row r="1423" spans="1:18">
      <c r="A1423" t="s">
        <v>2704</v>
      </c>
      <c r="B1423" t="s">
        <v>2705</v>
      </c>
      <c r="C1423" t="s">
        <v>4482</v>
      </c>
      <c r="D1423" t="s">
        <v>71</v>
      </c>
      <c r="E1423" t="s">
        <v>25</v>
      </c>
      <c r="F1423" t="s">
        <v>3297</v>
      </c>
      <c r="G1423" t="s">
        <v>2738</v>
      </c>
      <c r="H1423" t="s">
        <v>2739</v>
      </c>
      <c r="I1423" s="130">
        <v>45785</v>
      </c>
      <c r="J1423" t="s">
        <v>3071</v>
      </c>
      <c r="K1423">
        <v>2</v>
      </c>
      <c r="M14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23" t="str">
        <f>DO_DB[[#This Row],[Material Pick-update]]&amp;"_"&amp;DO_DB[[#This Row],[Material Name]]</f>
        <v>45785_Pole 9M</v>
      </c>
      <c r="O1423" t="str">
        <f>DO_DB[[#This Row],[SiteID]]</f>
        <v>CLR64-99-033</v>
      </c>
      <c r="P1423" t="str">
        <f>DO_DB[[#This Row],[SiteID]]&amp;"_"&amp;DO_DB[[#This Row],[Material Name]]</f>
        <v>CLR64-99-033_Pole 9M</v>
      </c>
      <c r="Q1423" t="str">
        <f>DO_DB[[#This Row],[DO Number]]</f>
        <v>DOEID25050724</v>
      </c>
      <c r="R1423" t="str">
        <f>DO_DB[[#This Row],[DN Number]]</f>
        <v>DNWID0362025050716</v>
      </c>
    </row>
    <row r="1424" spans="1:18">
      <c r="A1424" t="s">
        <v>2680</v>
      </c>
      <c r="B1424" t="s">
        <v>2681</v>
      </c>
      <c r="C1424" t="s">
        <v>4482</v>
      </c>
      <c r="D1424" t="s">
        <v>71</v>
      </c>
      <c r="E1424" t="s">
        <v>25</v>
      </c>
      <c r="F1424" t="s">
        <v>3297</v>
      </c>
      <c r="G1424" t="s">
        <v>2730</v>
      </c>
      <c r="H1424" t="s">
        <v>2731</v>
      </c>
      <c r="I1424" s="130">
        <v>45785</v>
      </c>
      <c r="J1424" t="s">
        <v>3070</v>
      </c>
      <c r="K1424">
        <v>49</v>
      </c>
      <c r="M14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24" t="str">
        <f>DO_DB[[#This Row],[Material Pick-update]]&amp;"_"&amp;DO_DB[[#This Row],[Material Name]]</f>
        <v>45785_Pole 7M 3"</v>
      </c>
      <c r="O1424" t="str">
        <f>DO_DB[[#This Row],[SiteID]]</f>
        <v>CLR64-99-015</v>
      </c>
      <c r="P1424" t="str">
        <f>DO_DB[[#This Row],[SiteID]]&amp;"_"&amp;DO_DB[[#This Row],[Material Name]]</f>
        <v>CLR64-99-015_Pole 7M 3"</v>
      </c>
      <c r="Q1424" t="str">
        <f>DO_DB[[#This Row],[DO Number]]</f>
        <v>DOEID25050725</v>
      </c>
      <c r="R1424" t="str">
        <f>DO_DB[[#This Row],[DN Number]]</f>
        <v>DNWID0362025050718</v>
      </c>
    </row>
    <row r="1425" spans="1:18">
      <c r="A1425" t="s">
        <v>2686</v>
      </c>
      <c r="B1425" t="s">
        <v>2687</v>
      </c>
      <c r="C1425" t="s">
        <v>4482</v>
      </c>
      <c r="D1425" t="s">
        <v>71</v>
      </c>
      <c r="E1425" t="s">
        <v>25</v>
      </c>
      <c r="F1425" t="s">
        <v>3297</v>
      </c>
      <c r="G1425" t="s">
        <v>2778</v>
      </c>
      <c r="H1425" t="s">
        <v>2779</v>
      </c>
      <c r="I1425" s="130">
        <v>45799</v>
      </c>
      <c r="J1425" t="s">
        <v>3075</v>
      </c>
      <c r="K1425">
        <v>3000</v>
      </c>
      <c r="M14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48C-2025522-01</v>
      </c>
      <c r="N1425" t="str">
        <f>DO_DB[[#This Row],[Material Pick-update]]&amp;"_"&amp;DO_DB[[#This Row],[Material Name]]</f>
        <v>45799_ADSS 48C</v>
      </c>
      <c r="O1425" t="str">
        <f>DO_DB[[#This Row],[SiteID]]</f>
        <v>CLR64-99-016</v>
      </c>
      <c r="P1425" t="str">
        <f>DO_DB[[#This Row],[SiteID]]&amp;"_"&amp;DO_DB[[#This Row],[Material Name]]</f>
        <v>CLR64-99-016_ADSS 48C</v>
      </c>
      <c r="Q1425" t="str">
        <f>DO_DB[[#This Row],[DO Number]]</f>
        <v>DOEID250520A9</v>
      </c>
      <c r="R1425" t="str">
        <f>DO_DB[[#This Row],[DN Number]]</f>
        <v>DNWID1372025052102</v>
      </c>
    </row>
    <row r="1426" spans="1:18">
      <c r="A1426" t="s">
        <v>2764</v>
      </c>
      <c r="B1426" t="s">
        <v>2765</v>
      </c>
      <c r="C1426" t="s">
        <v>4482</v>
      </c>
      <c r="D1426" t="s">
        <v>71</v>
      </c>
      <c r="E1426" t="s">
        <v>25</v>
      </c>
      <c r="F1426" t="s">
        <v>3297</v>
      </c>
      <c r="G1426" t="s">
        <v>2768</v>
      </c>
      <c r="H1426" t="s">
        <v>2769</v>
      </c>
      <c r="I1426" s="130">
        <v>45799</v>
      </c>
      <c r="J1426" t="s">
        <v>3073</v>
      </c>
      <c r="K1426">
        <v>3000</v>
      </c>
      <c r="M14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24C-2025522-01</v>
      </c>
      <c r="N1426" t="str">
        <f>DO_DB[[#This Row],[Material Pick-update]]&amp;"_"&amp;DO_DB[[#This Row],[Material Name]]</f>
        <v>45799_ADSS 24C</v>
      </c>
      <c r="O1426" t="str">
        <f>DO_DB[[#This Row],[SiteID]]</f>
        <v>CLR31-08-008</v>
      </c>
      <c r="P1426" t="str">
        <f>DO_DB[[#This Row],[SiteID]]&amp;"_"&amp;DO_DB[[#This Row],[Material Name]]</f>
        <v>CLR31-08-008_ADSS 24C</v>
      </c>
      <c r="Q1426" t="str">
        <f>DO_DB[[#This Row],[DO Number]]</f>
        <v>DOEID250520AC</v>
      </c>
      <c r="R1426" t="str">
        <f>DO_DB[[#This Row],[DN Number]]</f>
        <v>DNWID1372025052101</v>
      </c>
    </row>
    <row r="1427" spans="1:18">
      <c r="A1427" t="s">
        <v>2770</v>
      </c>
      <c r="B1427" t="s">
        <v>2771</v>
      </c>
      <c r="C1427" t="s">
        <v>4482</v>
      </c>
      <c r="D1427" t="s">
        <v>71</v>
      </c>
      <c r="E1427" t="s">
        <v>25</v>
      </c>
      <c r="F1427" t="s">
        <v>3297</v>
      </c>
      <c r="G1427" t="s">
        <v>2774</v>
      </c>
      <c r="H1427" t="s">
        <v>2775</v>
      </c>
      <c r="I1427" s="130">
        <v>45799</v>
      </c>
      <c r="J1427" t="s">
        <v>3073</v>
      </c>
      <c r="K1427">
        <v>3000</v>
      </c>
      <c r="M14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24C-2025522-01</v>
      </c>
      <c r="N1427" t="str">
        <f>DO_DB[[#This Row],[Material Pick-update]]&amp;"_"&amp;DO_DB[[#This Row],[Material Name]]</f>
        <v>45799_ADSS 24C</v>
      </c>
      <c r="O1427" t="str">
        <f>DO_DB[[#This Row],[SiteID]]</f>
        <v>CLR31-99-131</v>
      </c>
      <c r="P1427" t="str">
        <f>DO_DB[[#This Row],[SiteID]]&amp;"_"&amp;DO_DB[[#This Row],[Material Name]]</f>
        <v>CLR31-99-131_ADSS 24C</v>
      </c>
      <c r="Q1427" t="str">
        <f>DO_DB[[#This Row],[DO Number]]</f>
        <v>DOEID250520AE</v>
      </c>
      <c r="R1427" t="str">
        <f>DO_DB[[#This Row],[DN Number]]</f>
        <v>DNWID1372025052103</v>
      </c>
    </row>
    <row r="1428" spans="1:18">
      <c r="A1428" t="s">
        <v>2782</v>
      </c>
      <c r="B1428" t="s">
        <v>2783</v>
      </c>
      <c r="C1428" t="s">
        <v>4482</v>
      </c>
      <c r="D1428" t="s">
        <v>71</v>
      </c>
      <c r="E1428" t="s">
        <v>25</v>
      </c>
      <c r="F1428" t="s">
        <v>3297</v>
      </c>
      <c r="G1428" t="s">
        <v>2784</v>
      </c>
      <c r="H1428" t="s">
        <v>2785</v>
      </c>
      <c r="I1428" s="130">
        <v>45799</v>
      </c>
      <c r="J1428" t="s">
        <v>3075</v>
      </c>
      <c r="K1428">
        <v>3000</v>
      </c>
      <c r="M14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48C-2025522-01</v>
      </c>
      <c r="N1428" t="str">
        <f>DO_DB[[#This Row],[Material Pick-update]]&amp;"_"&amp;DO_DB[[#This Row],[Material Name]]</f>
        <v>45799_ADSS 48C</v>
      </c>
      <c r="O1428" t="str">
        <f>DO_DB[[#This Row],[SiteID]]</f>
        <v>CLR64-99-034</v>
      </c>
      <c r="P1428" t="str">
        <f>DO_DB[[#This Row],[SiteID]]&amp;"_"&amp;DO_DB[[#This Row],[Material Name]]</f>
        <v>CLR64-99-034_ADSS 48C</v>
      </c>
      <c r="Q1428" t="str">
        <f>DO_DB[[#This Row],[DO Number]]</f>
        <v>DOEID250520AG</v>
      </c>
      <c r="R1428" t="str">
        <f>DO_DB[[#This Row],[DN Number]]</f>
        <v>DNWID1372025052105</v>
      </c>
    </row>
    <row r="1429" spans="1:18">
      <c r="A1429" t="s">
        <v>2788</v>
      </c>
      <c r="B1429" t="s">
        <v>2789</v>
      </c>
      <c r="C1429" t="s">
        <v>4482</v>
      </c>
      <c r="D1429" t="s">
        <v>71</v>
      </c>
      <c r="E1429" t="s">
        <v>25</v>
      </c>
      <c r="F1429" t="s">
        <v>3297</v>
      </c>
      <c r="G1429" t="s">
        <v>2792</v>
      </c>
      <c r="H1429" t="s">
        <v>2793</v>
      </c>
      <c r="I1429" s="130">
        <v>45799</v>
      </c>
      <c r="J1429" t="s">
        <v>3075</v>
      </c>
      <c r="K1429">
        <v>3000</v>
      </c>
      <c r="M14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48C-2025522-01</v>
      </c>
      <c r="N1429" t="str">
        <f>DO_DB[[#This Row],[Material Pick-update]]&amp;"_"&amp;DO_DB[[#This Row],[Material Name]]</f>
        <v>45799_ADSS 48C</v>
      </c>
      <c r="O1429" t="str">
        <f>DO_DB[[#This Row],[SiteID]]</f>
        <v>CLR64-99-062</v>
      </c>
      <c r="P1429" t="str">
        <f>DO_DB[[#This Row],[SiteID]]&amp;"_"&amp;DO_DB[[#This Row],[Material Name]]</f>
        <v>CLR64-99-062_ADSS 48C</v>
      </c>
      <c r="Q1429" t="str">
        <f>DO_DB[[#This Row],[DO Number]]</f>
        <v>DOEID250520AI</v>
      </c>
      <c r="R1429" t="str">
        <f>DO_DB[[#This Row],[DN Number]]</f>
        <v>DNWID1372025052104</v>
      </c>
    </row>
    <row r="1430" spans="1:18">
      <c r="A1430" t="s">
        <v>2764</v>
      </c>
      <c r="B1430" t="s">
        <v>2765</v>
      </c>
      <c r="C1430" t="s">
        <v>4482</v>
      </c>
      <c r="D1430" t="s">
        <v>71</v>
      </c>
      <c r="E1430" t="s">
        <v>25</v>
      </c>
      <c r="F1430" t="s">
        <v>3297</v>
      </c>
      <c r="G1430" t="s">
        <v>2768</v>
      </c>
      <c r="H1430" t="s">
        <v>2769</v>
      </c>
      <c r="I1430" s="130">
        <v>45799</v>
      </c>
      <c r="J1430" t="s">
        <v>3075</v>
      </c>
      <c r="K1430">
        <v>6000</v>
      </c>
      <c r="M14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48C-2025522-01</v>
      </c>
      <c r="N1430" t="str">
        <f>DO_DB[[#This Row],[Material Pick-update]]&amp;"_"&amp;DO_DB[[#This Row],[Material Name]]</f>
        <v>45799_ADSS 48C</v>
      </c>
      <c r="O1430" t="str">
        <f>DO_DB[[#This Row],[SiteID]]</f>
        <v>CLR31-08-008</v>
      </c>
      <c r="P1430" t="str">
        <f>DO_DB[[#This Row],[SiteID]]&amp;"_"&amp;DO_DB[[#This Row],[Material Name]]</f>
        <v>CLR31-08-008_ADSS 48C</v>
      </c>
      <c r="Q1430" t="str">
        <f>DO_DB[[#This Row],[DO Number]]</f>
        <v>DOEID250520AC</v>
      </c>
      <c r="R1430" t="str">
        <f>DO_DB[[#This Row],[DN Number]]</f>
        <v>DNWID1372025052101</v>
      </c>
    </row>
    <row r="1431" spans="1:18">
      <c r="A1431" t="s">
        <v>2686</v>
      </c>
      <c r="B1431" t="s">
        <v>2687</v>
      </c>
      <c r="C1431" t="s">
        <v>4482</v>
      </c>
      <c r="D1431" t="s">
        <v>71</v>
      </c>
      <c r="E1431" t="s">
        <v>25</v>
      </c>
      <c r="F1431" t="s">
        <v>3297</v>
      </c>
      <c r="G1431" t="s">
        <v>2780</v>
      </c>
      <c r="H1431" t="s">
        <v>2781</v>
      </c>
      <c r="I1431" s="130">
        <v>45799</v>
      </c>
      <c r="J1431" t="s">
        <v>14</v>
      </c>
      <c r="K1431">
        <v>2</v>
      </c>
      <c r="M14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31" t="str">
        <f>DO_DB[[#This Row],[Material Pick-update]]&amp;"_"&amp;DO_DB[[#This Row],[Material Name]]</f>
        <v>45799_FDT-48</v>
      </c>
      <c r="O1431" t="str">
        <f>DO_DB[[#This Row],[SiteID]]</f>
        <v>CLR64-99-016</v>
      </c>
      <c r="P1431" t="str">
        <f>DO_DB[[#This Row],[SiteID]]&amp;"_"&amp;DO_DB[[#This Row],[Material Name]]</f>
        <v>CLR64-99-016_FDT-48</v>
      </c>
      <c r="Q1431" t="str">
        <f>DO_DB[[#This Row],[DO Number]]</f>
        <v>DOEID250520AA</v>
      </c>
      <c r="R1431" t="str">
        <f>DO_DB[[#This Row],[DN Number]]</f>
        <v>DNWID1382025052103</v>
      </c>
    </row>
    <row r="1432" spans="1:18">
      <c r="A1432" t="s">
        <v>2686</v>
      </c>
      <c r="B1432" t="s">
        <v>2687</v>
      </c>
      <c r="C1432" t="s">
        <v>4482</v>
      </c>
      <c r="D1432" t="s">
        <v>71</v>
      </c>
      <c r="E1432" t="s">
        <v>25</v>
      </c>
      <c r="F1432" t="s">
        <v>3297</v>
      </c>
      <c r="G1432" t="s">
        <v>2780</v>
      </c>
      <c r="H1432" t="s">
        <v>2781</v>
      </c>
      <c r="I1432" s="130">
        <v>45799</v>
      </c>
      <c r="J1432" t="s">
        <v>13</v>
      </c>
      <c r="K1432">
        <v>38</v>
      </c>
      <c r="M14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32" t="str">
        <f>DO_DB[[#This Row],[Material Pick-update]]&amp;"_"&amp;DO_DB[[#This Row],[Material Name]]</f>
        <v>45799_FAT-16</v>
      </c>
      <c r="O1432" t="str">
        <f>DO_DB[[#This Row],[SiteID]]</f>
        <v>CLR64-99-016</v>
      </c>
      <c r="P1432" t="str">
        <f>DO_DB[[#This Row],[SiteID]]&amp;"_"&amp;DO_DB[[#This Row],[Material Name]]</f>
        <v>CLR64-99-016_FAT-16</v>
      </c>
      <c r="Q1432" t="str">
        <f>DO_DB[[#This Row],[DO Number]]</f>
        <v>DOEID250520AA</v>
      </c>
      <c r="R1432" t="str">
        <f>DO_DB[[#This Row],[DN Number]]</f>
        <v>DNWID1382025052103</v>
      </c>
    </row>
    <row r="1433" spans="1:18">
      <c r="A1433" t="s">
        <v>2764</v>
      </c>
      <c r="B1433" t="s">
        <v>2765</v>
      </c>
      <c r="C1433" t="s">
        <v>4482</v>
      </c>
      <c r="D1433" t="s">
        <v>71</v>
      </c>
      <c r="E1433" t="s">
        <v>25</v>
      </c>
      <c r="F1433" t="s">
        <v>3297</v>
      </c>
      <c r="G1433" t="s">
        <v>2766</v>
      </c>
      <c r="H1433" t="s">
        <v>2767</v>
      </c>
      <c r="I1433" s="130">
        <v>45799</v>
      </c>
      <c r="J1433" t="s">
        <v>3070</v>
      </c>
      <c r="K1433">
        <v>94</v>
      </c>
      <c r="M14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33" t="str">
        <f>DO_DB[[#This Row],[Material Pick-update]]&amp;"_"&amp;DO_DB[[#This Row],[Material Name]]</f>
        <v>45799_Pole 7M 3"</v>
      </c>
      <c r="O1433" t="str">
        <f>DO_DB[[#This Row],[SiteID]]</f>
        <v>CLR31-08-008</v>
      </c>
      <c r="P1433" t="str">
        <f>DO_DB[[#This Row],[SiteID]]&amp;"_"&amp;DO_DB[[#This Row],[Material Name]]</f>
        <v>CLR31-08-008_Pole 7M 3"</v>
      </c>
      <c r="Q1433" t="str">
        <f>DO_DB[[#This Row],[DO Number]]</f>
        <v>DOEID250520AB</v>
      </c>
      <c r="R1433" t="str">
        <f>DO_DB[[#This Row],[DN Number]]</f>
        <v>DNWID1382025052106</v>
      </c>
    </row>
    <row r="1434" spans="1:18">
      <c r="A1434" t="s">
        <v>2764</v>
      </c>
      <c r="B1434" t="s">
        <v>2765</v>
      </c>
      <c r="C1434" t="s">
        <v>4482</v>
      </c>
      <c r="D1434" t="s">
        <v>71</v>
      </c>
      <c r="E1434" t="s">
        <v>25</v>
      </c>
      <c r="F1434" t="s">
        <v>3297</v>
      </c>
      <c r="G1434" t="s">
        <v>2766</v>
      </c>
      <c r="H1434" t="s">
        <v>2767</v>
      </c>
      <c r="I1434" s="130">
        <v>45799</v>
      </c>
      <c r="J1434" t="s">
        <v>14</v>
      </c>
      <c r="K1434">
        <v>2</v>
      </c>
      <c r="M14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34" t="str">
        <f>DO_DB[[#This Row],[Material Pick-update]]&amp;"_"&amp;DO_DB[[#This Row],[Material Name]]</f>
        <v>45799_FDT-48</v>
      </c>
      <c r="O1434" t="str">
        <f>DO_DB[[#This Row],[SiteID]]</f>
        <v>CLR31-08-008</v>
      </c>
      <c r="P1434" t="str">
        <f>DO_DB[[#This Row],[SiteID]]&amp;"_"&amp;DO_DB[[#This Row],[Material Name]]</f>
        <v>CLR31-08-008_FDT-48</v>
      </c>
      <c r="Q1434" t="str">
        <f>DO_DB[[#This Row],[DO Number]]</f>
        <v>DOEID250520AB</v>
      </c>
      <c r="R1434" t="str">
        <f>DO_DB[[#This Row],[DN Number]]</f>
        <v>DNWID1382025052106</v>
      </c>
    </row>
    <row r="1435" spans="1:18">
      <c r="A1435" t="s">
        <v>2764</v>
      </c>
      <c r="B1435" t="s">
        <v>2765</v>
      </c>
      <c r="C1435" t="s">
        <v>4482</v>
      </c>
      <c r="D1435" t="s">
        <v>71</v>
      </c>
      <c r="E1435" t="s">
        <v>25</v>
      </c>
      <c r="F1435" t="s">
        <v>3297</v>
      </c>
      <c r="G1435" t="s">
        <v>2766</v>
      </c>
      <c r="H1435" t="s">
        <v>2767</v>
      </c>
      <c r="I1435" s="130">
        <v>45799</v>
      </c>
      <c r="J1435" t="s">
        <v>13</v>
      </c>
      <c r="K1435">
        <v>43</v>
      </c>
      <c r="M14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35" t="str">
        <f>DO_DB[[#This Row],[Material Pick-update]]&amp;"_"&amp;DO_DB[[#This Row],[Material Name]]</f>
        <v>45799_FAT-16</v>
      </c>
      <c r="O1435" t="str">
        <f>DO_DB[[#This Row],[SiteID]]</f>
        <v>CLR31-08-008</v>
      </c>
      <c r="P1435" t="str">
        <f>DO_DB[[#This Row],[SiteID]]&amp;"_"&amp;DO_DB[[#This Row],[Material Name]]</f>
        <v>CLR31-08-008_FAT-16</v>
      </c>
      <c r="Q1435" t="str">
        <f>DO_DB[[#This Row],[DO Number]]</f>
        <v>DOEID250520AB</v>
      </c>
      <c r="R1435" t="str">
        <f>DO_DB[[#This Row],[DN Number]]</f>
        <v>DNWID1382025052106</v>
      </c>
    </row>
    <row r="1436" spans="1:18">
      <c r="A1436" t="s">
        <v>2770</v>
      </c>
      <c r="B1436" t="s">
        <v>2771</v>
      </c>
      <c r="C1436" t="s">
        <v>4482</v>
      </c>
      <c r="D1436" t="s">
        <v>71</v>
      </c>
      <c r="E1436" t="s">
        <v>25</v>
      </c>
      <c r="F1436" t="s">
        <v>3297</v>
      </c>
      <c r="G1436" t="s">
        <v>2772</v>
      </c>
      <c r="H1436" t="s">
        <v>2773</v>
      </c>
      <c r="I1436" s="130">
        <v>45799</v>
      </c>
      <c r="J1436" t="s">
        <v>3070</v>
      </c>
      <c r="K1436">
        <v>68</v>
      </c>
      <c r="M14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36" t="str">
        <f>DO_DB[[#This Row],[Material Pick-update]]&amp;"_"&amp;DO_DB[[#This Row],[Material Name]]</f>
        <v>45799_Pole 7M 3"</v>
      </c>
      <c r="O1436" t="str">
        <f>DO_DB[[#This Row],[SiteID]]</f>
        <v>CLR31-99-131</v>
      </c>
      <c r="P1436" t="str">
        <f>DO_DB[[#This Row],[SiteID]]&amp;"_"&amp;DO_DB[[#This Row],[Material Name]]</f>
        <v>CLR31-99-131_Pole 7M 3"</v>
      </c>
      <c r="Q1436" t="str">
        <f>DO_DB[[#This Row],[DO Number]]</f>
        <v>DOEID250520AD</v>
      </c>
      <c r="R1436" t="str">
        <f>DO_DB[[#This Row],[DN Number]]</f>
        <v>DNWID1382025052102</v>
      </c>
    </row>
    <row r="1437" spans="1:18">
      <c r="A1437" t="s">
        <v>2770</v>
      </c>
      <c r="B1437" t="s">
        <v>2771</v>
      </c>
      <c r="C1437" t="s">
        <v>4482</v>
      </c>
      <c r="D1437" t="s">
        <v>71</v>
      </c>
      <c r="E1437" t="s">
        <v>25</v>
      </c>
      <c r="F1437" t="s">
        <v>3297</v>
      </c>
      <c r="G1437" t="s">
        <v>2772</v>
      </c>
      <c r="H1437" t="s">
        <v>2773</v>
      </c>
      <c r="I1437" s="130">
        <v>45799</v>
      </c>
      <c r="J1437" t="s">
        <v>14</v>
      </c>
      <c r="K1437">
        <v>1</v>
      </c>
      <c r="M14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37" t="str">
        <f>DO_DB[[#This Row],[Material Pick-update]]&amp;"_"&amp;DO_DB[[#This Row],[Material Name]]</f>
        <v>45799_FDT-48</v>
      </c>
      <c r="O1437" t="str">
        <f>DO_DB[[#This Row],[SiteID]]</f>
        <v>CLR31-99-131</v>
      </c>
      <c r="P1437" t="str">
        <f>DO_DB[[#This Row],[SiteID]]&amp;"_"&amp;DO_DB[[#This Row],[Material Name]]</f>
        <v>CLR31-99-131_FDT-48</v>
      </c>
      <c r="Q1437" t="str">
        <f>DO_DB[[#This Row],[DO Number]]</f>
        <v>DOEID250520AD</v>
      </c>
      <c r="R1437" t="str">
        <f>DO_DB[[#This Row],[DN Number]]</f>
        <v>DNWID1382025052102</v>
      </c>
    </row>
    <row r="1438" spans="1:18">
      <c r="A1438" t="s">
        <v>2770</v>
      </c>
      <c r="B1438" t="s">
        <v>2771</v>
      </c>
      <c r="C1438" t="s">
        <v>4482</v>
      </c>
      <c r="D1438" t="s">
        <v>71</v>
      </c>
      <c r="E1438" t="s">
        <v>25</v>
      </c>
      <c r="F1438" t="s">
        <v>3297</v>
      </c>
      <c r="G1438" t="s">
        <v>2772</v>
      </c>
      <c r="H1438" t="s">
        <v>2773</v>
      </c>
      <c r="I1438" s="130">
        <v>45799</v>
      </c>
      <c r="J1438" t="s">
        <v>13</v>
      </c>
      <c r="K1438">
        <v>23</v>
      </c>
      <c r="M14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38" t="str">
        <f>DO_DB[[#This Row],[Material Pick-update]]&amp;"_"&amp;DO_DB[[#This Row],[Material Name]]</f>
        <v>45799_FAT-16</v>
      </c>
      <c r="O1438" t="str">
        <f>DO_DB[[#This Row],[SiteID]]</f>
        <v>CLR31-99-131</v>
      </c>
      <c r="P1438" t="str">
        <f>DO_DB[[#This Row],[SiteID]]&amp;"_"&amp;DO_DB[[#This Row],[Material Name]]</f>
        <v>CLR31-99-131_FAT-16</v>
      </c>
      <c r="Q1438" t="str">
        <f>DO_DB[[#This Row],[DO Number]]</f>
        <v>DOEID250520AD</v>
      </c>
      <c r="R1438" t="str">
        <f>DO_DB[[#This Row],[DN Number]]</f>
        <v>DNWID1382025052102</v>
      </c>
    </row>
    <row r="1439" spans="1:18">
      <c r="A1439" t="s">
        <v>2782</v>
      </c>
      <c r="B1439" t="s">
        <v>2783</v>
      </c>
      <c r="C1439" t="s">
        <v>4482</v>
      </c>
      <c r="D1439" t="s">
        <v>71</v>
      </c>
      <c r="E1439" t="s">
        <v>25</v>
      </c>
      <c r="F1439" t="s">
        <v>3297</v>
      </c>
      <c r="G1439" t="s">
        <v>2786</v>
      </c>
      <c r="H1439" t="s">
        <v>2787</v>
      </c>
      <c r="I1439" s="130">
        <v>45799</v>
      </c>
      <c r="J1439" t="s">
        <v>3070</v>
      </c>
      <c r="K1439">
        <v>78</v>
      </c>
      <c r="M14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39" t="str">
        <f>DO_DB[[#This Row],[Material Pick-update]]&amp;"_"&amp;DO_DB[[#This Row],[Material Name]]</f>
        <v>45799_Pole 7M 3"</v>
      </c>
      <c r="O1439" t="str">
        <f>DO_DB[[#This Row],[SiteID]]</f>
        <v>CLR64-99-034</v>
      </c>
      <c r="P1439" t="str">
        <f>DO_DB[[#This Row],[SiteID]]&amp;"_"&amp;DO_DB[[#This Row],[Material Name]]</f>
        <v>CLR64-99-034_Pole 7M 3"</v>
      </c>
      <c r="Q1439" t="str">
        <f>DO_DB[[#This Row],[DO Number]]</f>
        <v>DOEID250520AF</v>
      </c>
      <c r="R1439" t="str">
        <f>DO_DB[[#This Row],[DN Number]]</f>
        <v>DNWID1382025052105</v>
      </c>
    </row>
    <row r="1440" spans="1:18">
      <c r="A1440" t="s">
        <v>2782</v>
      </c>
      <c r="B1440" t="s">
        <v>2783</v>
      </c>
      <c r="C1440" t="s">
        <v>4482</v>
      </c>
      <c r="D1440" t="s">
        <v>71</v>
      </c>
      <c r="E1440" t="s">
        <v>25</v>
      </c>
      <c r="F1440" t="s">
        <v>3297</v>
      </c>
      <c r="G1440" t="s">
        <v>2786</v>
      </c>
      <c r="H1440" t="s">
        <v>2787</v>
      </c>
      <c r="I1440" s="130">
        <v>45799</v>
      </c>
      <c r="J1440" t="s">
        <v>14</v>
      </c>
      <c r="K1440">
        <v>1</v>
      </c>
      <c r="M14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40" t="str">
        <f>DO_DB[[#This Row],[Material Pick-update]]&amp;"_"&amp;DO_DB[[#This Row],[Material Name]]</f>
        <v>45799_FDT-48</v>
      </c>
      <c r="O1440" t="str">
        <f>DO_DB[[#This Row],[SiteID]]</f>
        <v>CLR64-99-034</v>
      </c>
      <c r="P1440" t="str">
        <f>DO_DB[[#This Row],[SiteID]]&amp;"_"&amp;DO_DB[[#This Row],[Material Name]]</f>
        <v>CLR64-99-034_FDT-48</v>
      </c>
      <c r="Q1440" t="str">
        <f>DO_DB[[#This Row],[DO Number]]</f>
        <v>DOEID250520AF</v>
      </c>
      <c r="R1440" t="str">
        <f>DO_DB[[#This Row],[DN Number]]</f>
        <v>DNWID1382025052105</v>
      </c>
    </row>
    <row r="1441" spans="1:18">
      <c r="A1441" t="s">
        <v>2782</v>
      </c>
      <c r="B1441" t="s">
        <v>2783</v>
      </c>
      <c r="C1441" t="s">
        <v>4482</v>
      </c>
      <c r="D1441" t="s">
        <v>71</v>
      </c>
      <c r="E1441" t="s">
        <v>25</v>
      </c>
      <c r="F1441" t="s">
        <v>3297</v>
      </c>
      <c r="G1441" t="s">
        <v>2786</v>
      </c>
      <c r="H1441" t="s">
        <v>2787</v>
      </c>
      <c r="I1441" s="130">
        <v>45799</v>
      </c>
      <c r="J1441" t="s">
        <v>13</v>
      </c>
      <c r="K1441">
        <v>18</v>
      </c>
      <c r="M14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41" t="str">
        <f>DO_DB[[#This Row],[Material Pick-update]]&amp;"_"&amp;DO_DB[[#This Row],[Material Name]]</f>
        <v>45799_FAT-16</v>
      </c>
      <c r="O1441" t="str">
        <f>DO_DB[[#This Row],[SiteID]]</f>
        <v>CLR64-99-034</v>
      </c>
      <c r="P1441" t="str">
        <f>DO_DB[[#This Row],[SiteID]]&amp;"_"&amp;DO_DB[[#This Row],[Material Name]]</f>
        <v>CLR64-99-034_FAT-16</v>
      </c>
      <c r="Q1441" t="str">
        <f>DO_DB[[#This Row],[DO Number]]</f>
        <v>DOEID250520AF</v>
      </c>
      <c r="R1441" t="str">
        <f>DO_DB[[#This Row],[DN Number]]</f>
        <v>DNWID1382025052105</v>
      </c>
    </row>
    <row r="1442" spans="1:18">
      <c r="A1442" t="s">
        <v>2788</v>
      </c>
      <c r="B1442" t="s">
        <v>2789</v>
      </c>
      <c r="C1442" t="s">
        <v>4482</v>
      </c>
      <c r="D1442" t="s">
        <v>71</v>
      </c>
      <c r="E1442" t="s">
        <v>25</v>
      </c>
      <c r="F1442" t="s">
        <v>3297</v>
      </c>
      <c r="G1442" t="s">
        <v>2790</v>
      </c>
      <c r="H1442" t="s">
        <v>2791</v>
      </c>
      <c r="I1442" s="130">
        <v>45799</v>
      </c>
      <c r="J1442" t="s">
        <v>3070</v>
      </c>
      <c r="K1442">
        <v>44</v>
      </c>
      <c r="M14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42" t="str">
        <f>DO_DB[[#This Row],[Material Pick-update]]&amp;"_"&amp;DO_DB[[#This Row],[Material Name]]</f>
        <v>45799_Pole 7M 3"</v>
      </c>
      <c r="O1442" t="str">
        <f>DO_DB[[#This Row],[SiteID]]</f>
        <v>CLR64-99-062</v>
      </c>
      <c r="P1442" t="str">
        <f>DO_DB[[#This Row],[SiteID]]&amp;"_"&amp;DO_DB[[#This Row],[Material Name]]</f>
        <v>CLR64-99-062_Pole 7M 3"</v>
      </c>
      <c r="Q1442" t="str">
        <f>DO_DB[[#This Row],[DO Number]]</f>
        <v>DOEID250520AH</v>
      </c>
      <c r="R1442" t="str">
        <f>DO_DB[[#This Row],[DN Number]]</f>
        <v>DNWID1382025052107</v>
      </c>
    </row>
    <row r="1443" spans="1:18">
      <c r="A1443" t="s">
        <v>2788</v>
      </c>
      <c r="B1443" t="s">
        <v>2789</v>
      </c>
      <c r="C1443" t="s">
        <v>4482</v>
      </c>
      <c r="D1443" t="s">
        <v>71</v>
      </c>
      <c r="E1443" t="s">
        <v>25</v>
      </c>
      <c r="F1443" t="s">
        <v>3297</v>
      </c>
      <c r="G1443" t="s">
        <v>2790</v>
      </c>
      <c r="H1443" t="s">
        <v>2791</v>
      </c>
      <c r="I1443" s="130">
        <v>45799</v>
      </c>
      <c r="J1443" t="s">
        <v>14</v>
      </c>
      <c r="K1443">
        <v>1</v>
      </c>
      <c r="M14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43" t="str">
        <f>DO_DB[[#This Row],[Material Pick-update]]&amp;"_"&amp;DO_DB[[#This Row],[Material Name]]</f>
        <v>45799_FDT-48</v>
      </c>
      <c r="O1443" t="str">
        <f>DO_DB[[#This Row],[SiteID]]</f>
        <v>CLR64-99-062</v>
      </c>
      <c r="P1443" t="str">
        <f>DO_DB[[#This Row],[SiteID]]&amp;"_"&amp;DO_DB[[#This Row],[Material Name]]</f>
        <v>CLR64-99-062_FDT-48</v>
      </c>
      <c r="Q1443" t="str">
        <f>DO_DB[[#This Row],[DO Number]]</f>
        <v>DOEID250520AH</v>
      </c>
      <c r="R1443" t="str">
        <f>DO_DB[[#This Row],[DN Number]]</f>
        <v>DNWID1382025052107</v>
      </c>
    </row>
    <row r="1444" spans="1:18">
      <c r="A1444" t="s">
        <v>2788</v>
      </c>
      <c r="B1444" t="s">
        <v>2789</v>
      </c>
      <c r="C1444" t="s">
        <v>4482</v>
      </c>
      <c r="D1444" t="s">
        <v>71</v>
      </c>
      <c r="E1444" t="s">
        <v>25</v>
      </c>
      <c r="F1444" t="s">
        <v>3297</v>
      </c>
      <c r="G1444" t="s">
        <v>2790</v>
      </c>
      <c r="H1444" t="s">
        <v>2791</v>
      </c>
      <c r="I1444" s="130">
        <v>45799</v>
      </c>
      <c r="J1444" t="s">
        <v>13</v>
      </c>
      <c r="K1444">
        <v>17</v>
      </c>
      <c r="M14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44" t="str">
        <f>DO_DB[[#This Row],[Material Pick-update]]&amp;"_"&amp;DO_DB[[#This Row],[Material Name]]</f>
        <v>45799_FAT-16</v>
      </c>
      <c r="O1444" t="str">
        <f>DO_DB[[#This Row],[SiteID]]</f>
        <v>CLR64-99-062</v>
      </c>
      <c r="P1444" t="str">
        <f>DO_DB[[#This Row],[SiteID]]&amp;"_"&amp;DO_DB[[#This Row],[Material Name]]</f>
        <v>CLR64-99-062_FAT-16</v>
      </c>
      <c r="Q1444" t="str">
        <f>DO_DB[[#This Row],[DO Number]]</f>
        <v>DOEID250520AH</v>
      </c>
      <c r="R1444" t="str">
        <f>DO_DB[[#This Row],[DN Number]]</f>
        <v>DNWID1382025052107</v>
      </c>
    </row>
    <row r="1445" spans="1:18">
      <c r="A1445" t="s">
        <v>2132</v>
      </c>
      <c r="B1445" t="s">
        <v>2133</v>
      </c>
      <c r="C1445" t="s">
        <v>4482</v>
      </c>
      <c r="D1445" t="s">
        <v>71</v>
      </c>
      <c r="E1445" t="s">
        <v>25</v>
      </c>
      <c r="F1445" t="s">
        <v>3297</v>
      </c>
      <c r="G1445" t="s">
        <v>2776</v>
      </c>
      <c r="H1445" t="s">
        <v>2777</v>
      </c>
      <c r="I1445" s="130">
        <v>45799</v>
      </c>
      <c r="J1445" t="s">
        <v>4856</v>
      </c>
      <c r="K1445">
        <v>2</v>
      </c>
      <c r="M14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45" t="str">
        <f>DO_DB[[#This Row],[Material Pick-update]]&amp;"_"&amp;DO_DB[[#This Row],[Material Name]]</f>
        <v>45799_JC 144Core</v>
      </c>
      <c r="O1445" t="str">
        <f>DO_DB[[#This Row],[SiteID]]</f>
        <v>CLR64-99-012</v>
      </c>
      <c r="P1445" t="str">
        <f>DO_DB[[#This Row],[SiteID]]&amp;"_"&amp;DO_DB[[#This Row],[Material Name]]</f>
        <v>CLR64-99-012_JC 144Core</v>
      </c>
      <c r="Q1445" t="str">
        <f>DO_DB[[#This Row],[DO Number]]</f>
        <v>DOEID250520AK</v>
      </c>
      <c r="R1445" t="str">
        <f>DO_DB[[#This Row],[DN Number]]</f>
        <v>DNWID1382025052104</v>
      </c>
    </row>
    <row r="1446" spans="1:18">
      <c r="A1446" t="s">
        <v>2831</v>
      </c>
      <c r="B1446" t="s">
        <v>2832</v>
      </c>
      <c r="C1446" t="s">
        <v>4482</v>
      </c>
      <c r="D1446" t="s">
        <v>71</v>
      </c>
      <c r="E1446" t="s">
        <v>25</v>
      </c>
      <c r="F1446" t="s">
        <v>3297</v>
      </c>
      <c r="G1446" t="s">
        <v>2835</v>
      </c>
      <c r="H1446" t="s">
        <v>2836</v>
      </c>
      <c r="I1446" s="130">
        <v>45821</v>
      </c>
      <c r="J1446" t="s">
        <v>3073</v>
      </c>
      <c r="K1446">
        <v>2991</v>
      </c>
      <c r="M14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24C-2025613-01</v>
      </c>
      <c r="N1446" t="str">
        <f>DO_DB[[#This Row],[Material Pick-update]]&amp;"_"&amp;DO_DB[[#This Row],[Material Name]]</f>
        <v>45821_ADSS 24C</v>
      </c>
      <c r="O1446" t="str">
        <f>DO_DB[[#This Row],[SiteID]]</f>
        <v>CLR64-99-028</v>
      </c>
      <c r="P1446" t="str">
        <f>DO_DB[[#This Row],[SiteID]]&amp;"_"&amp;DO_DB[[#This Row],[Material Name]]</f>
        <v>CLR64-99-028_ADSS 24C</v>
      </c>
      <c r="Q1446" t="str">
        <f>DO_DB[[#This Row],[DO Number]]</f>
        <v>DOEID250611HQ</v>
      </c>
      <c r="R1446" t="str">
        <f>DO_DB[[#This Row],[DN Number]]</f>
        <v>DNWID1372025061303</v>
      </c>
    </row>
    <row r="1447" spans="1:18">
      <c r="A1447" t="s">
        <v>2837</v>
      </c>
      <c r="B1447" t="s">
        <v>2838</v>
      </c>
      <c r="C1447" t="s">
        <v>4482</v>
      </c>
      <c r="D1447" t="s">
        <v>71</v>
      </c>
      <c r="E1447" t="s">
        <v>25</v>
      </c>
      <c r="F1447" t="s">
        <v>3297</v>
      </c>
      <c r="G1447" t="s">
        <v>2841</v>
      </c>
      <c r="H1447" t="s">
        <v>2842</v>
      </c>
      <c r="I1447" s="130">
        <v>45821</v>
      </c>
      <c r="J1447" t="s">
        <v>3073</v>
      </c>
      <c r="K1447">
        <v>6000</v>
      </c>
      <c r="M14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24C-2025613-01</v>
      </c>
      <c r="N1447" t="str">
        <f>DO_DB[[#This Row],[Material Pick-update]]&amp;"_"&amp;DO_DB[[#This Row],[Material Name]]</f>
        <v>45821_ADSS 24C</v>
      </c>
      <c r="O1447" t="str">
        <f>DO_DB[[#This Row],[SiteID]]</f>
        <v>CLR64-99-071</v>
      </c>
      <c r="P1447" t="str">
        <f>DO_DB[[#This Row],[SiteID]]&amp;"_"&amp;DO_DB[[#This Row],[Material Name]]</f>
        <v>CLR64-99-071_ADSS 24C</v>
      </c>
      <c r="Q1447" t="str">
        <f>DO_DB[[#This Row],[DO Number]]</f>
        <v>DOEID250611HS</v>
      </c>
      <c r="R1447" t="str">
        <f>DO_DB[[#This Row],[DN Number]]</f>
        <v>DNWID1372025061301</v>
      </c>
    </row>
    <row r="1448" spans="1:18">
      <c r="A1448" t="s">
        <v>2831</v>
      </c>
      <c r="B1448" t="s">
        <v>2832</v>
      </c>
      <c r="C1448" t="s">
        <v>4482</v>
      </c>
      <c r="D1448" t="s">
        <v>71</v>
      </c>
      <c r="E1448" t="s">
        <v>25</v>
      </c>
      <c r="F1448" t="s">
        <v>3297</v>
      </c>
      <c r="G1448" t="s">
        <v>2835</v>
      </c>
      <c r="H1448" t="s">
        <v>2836</v>
      </c>
      <c r="I1448" s="130">
        <v>45821</v>
      </c>
      <c r="J1448" t="s">
        <v>3075</v>
      </c>
      <c r="K1448">
        <v>9000</v>
      </c>
      <c r="M14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48C-2025613-01</v>
      </c>
      <c r="N1448" t="str">
        <f>DO_DB[[#This Row],[Material Pick-update]]&amp;"_"&amp;DO_DB[[#This Row],[Material Name]]</f>
        <v>45821_ADSS 48C</v>
      </c>
      <c r="O1448" t="str">
        <f>DO_DB[[#This Row],[SiteID]]</f>
        <v>CLR64-99-028</v>
      </c>
      <c r="P1448" t="str">
        <f>DO_DB[[#This Row],[SiteID]]&amp;"_"&amp;DO_DB[[#This Row],[Material Name]]</f>
        <v>CLR64-99-028_ADSS 48C</v>
      </c>
      <c r="Q1448" t="str">
        <f>DO_DB[[#This Row],[DO Number]]</f>
        <v>DOEID250611HQ</v>
      </c>
      <c r="R1448" t="str">
        <f>DO_DB[[#This Row],[DN Number]]</f>
        <v>DNWID1372025061303</v>
      </c>
    </row>
    <row r="1449" spans="1:18">
      <c r="A1449" t="s">
        <v>2831</v>
      </c>
      <c r="B1449" t="s">
        <v>2832</v>
      </c>
      <c r="C1449" t="s">
        <v>4482</v>
      </c>
      <c r="D1449" t="s">
        <v>71</v>
      </c>
      <c r="E1449" t="s">
        <v>25</v>
      </c>
      <c r="F1449" t="s">
        <v>3297</v>
      </c>
      <c r="G1449" t="s">
        <v>2833</v>
      </c>
      <c r="H1449" t="s">
        <v>2834</v>
      </c>
      <c r="I1449" s="130">
        <v>45821</v>
      </c>
      <c r="J1449" t="s">
        <v>3070</v>
      </c>
      <c r="K1449">
        <v>216</v>
      </c>
      <c r="M14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49" t="str">
        <f>DO_DB[[#This Row],[Material Pick-update]]&amp;"_"&amp;DO_DB[[#This Row],[Material Name]]</f>
        <v>45821_Pole 7M 3"</v>
      </c>
      <c r="O1449" t="str">
        <f>DO_DB[[#This Row],[SiteID]]</f>
        <v>CLR64-99-028</v>
      </c>
      <c r="P1449" t="str">
        <f>DO_DB[[#This Row],[SiteID]]&amp;"_"&amp;DO_DB[[#This Row],[Material Name]]</f>
        <v>CLR64-99-028_Pole 7M 3"</v>
      </c>
      <c r="Q1449" t="str">
        <f>DO_DB[[#This Row],[DO Number]]</f>
        <v>DOEID250611HP</v>
      </c>
      <c r="R1449" t="str">
        <f>DO_DB[[#This Row],[DN Number]]</f>
        <v>DNWID1382025061301</v>
      </c>
    </row>
    <row r="1450" spans="1:18">
      <c r="A1450" t="s">
        <v>2831</v>
      </c>
      <c r="B1450" t="s">
        <v>2832</v>
      </c>
      <c r="C1450" t="s">
        <v>4482</v>
      </c>
      <c r="D1450" t="s">
        <v>71</v>
      </c>
      <c r="E1450" t="s">
        <v>25</v>
      </c>
      <c r="F1450" t="s">
        <v>3297</v>
      </c>
      <c r="G1450" t="s">
        <v>2833</v>
      </c>
      <c r="H1450" t="s">
        <v>2834</v>
      </c>
      <c r="I1450" s="130">
        <v>45821</v>
      </c>
      <c r="J1450" t="s">
        <v>14</v>
      </c>
      <c r="K1450">
        <v>2</v>
      </c>
      <c r="M14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50" t="str">
        <f>DO_DB[[#This Row],[Material Pick-update]]&amp;"_"&amp;DO_DB[[#This Row],[Material Name]]</f>
        <v>45821_FDT-48</v>
      </c>
      <c r="O1450" t="str">
        <f>DO_DB[[#This Row],[SiteID]]</f>
        <v>CLR64-99-028</v>
      </c>
      <c r="P1450" t="str">
        <f>DO_DB[[#This Row],[SiteID]]&amp;"_"&amp;DO_DB[[#This Row],[Material Name]]</f>
        <v>CLR64-99-028_FDT-48</v>
      </c>
      <c r="Q1450" t="str">
        <f>DO_DB[[#This Row],[DO Number]]</f>
        <v>DOEID250611HP</v>
      </c>
      <c r="R1450" t="str">
        <f>DO_DB[[#This Row],[DN Number]]</f>
        <v>DNWID1382025061301</v>
      </c>
    </row>
    <row r="1451" spans="1:18">
      <c r="A1451" t="s">
        <v>2831</v>
      </c>
      <c r="B1451" t="s">
        <v>2832</v>
      </c>
      <c r="C1451" t="s">
        <v>4482</v>
      </c>
      <c r="D1451" t="s">
        <v>71</v>
      </c>
      <c r="E1451" t="s">
        <v>25</v>
      </c>
      <c r="F1451" t="s">
        <v>3297</v>
      </c>
      <c r="G1451" t="s">
        <v>2833</v>
      </c>
      <c r="H1451" t="s">
        <v>2834</v>
      </c>
      <c r="I1451" s="130">
        <v>45821</v>
      </c>
      <c r="J1451" t="s">
        <v>15</v>
      </c>
      <c r="K1451">
        <v>2</v>
      </c>
      <c r="M14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51" t="str">
        <f>DO_DB[[#This Row],[Material Pick-update]]&amp;"_"&amp;DO_DB[[#This Row],[Material Name]]</f>
        <v>45821_FDT-72</v>
      </c>
      <c r="O1451" t="str">
        <f>DO_DB[[#This Row],[SiteID]]</f>
        <v>CLR64-99-028</v>
      </c>
      <c r="P1451" t="str">
        <f>DO_DB[[#This Row],[SiteID]]&amp;"_"&amp;DO_DB[[#This Row],[Material Name]]</f>
        <v>CLR64-99-028_FDT-72</v>
      </c>
      <c r="Q1451" t="str">
        <f>DO_DB[[#This Row],[DO Number]]</f>
        <v>DOEID250611HP</v>
      </c>
      <c r="R1451" t="str">
        <f>DO_DB[[#This Row],[DN Number]]</f>
        <v>DNWID1382025061301</v>
      </c>
    </row>
    <row r="1452" spans="1:18">
      <c r="A1452" t="s">
        <v>2831</v>
      </c>
      <c r="B1452" t="s">
        <v>2832</v>
      </c>
      <c r="C1452" t="s">
        <v>4482</v>
      </c>
      <c r="D1452" t="s">
        <v>71</v>
      </c>
      <c r="E1452" t="s">
        <v>25</v>
      </c>
      <c r="F1452" t="s">
        <v>3297</v>
      </c>
      <c r="G1452" t="s">
        <v>2833</v>
      </c>
      <c r="H1452" t="s">
        <v>2834</v>
      </c>
      <c r="I1452" s="130">
        <v>45821</v>
      </c>
      <c r="J1452" t="s">
        <v>13</v>
      </c>
      <c r="K1452">
        <v>100</v>
      </c>
      <c r="M14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52" t="str">
        <f>DO_DB[[#This Row],[Material Pick-update]]&amp;"_"&amp;DO_DB[[#This Row],[Material Name]]</f>
        <v>45821_FAT-16</v>
      </c>
      <c r="O1452" t="str">
        <f>DO_DB[[#This Row],[SiteID]]</f>
        <v>CLR64-99-028</v>
      </c>
      <c r="P1452" t="str">
        <f>DO_DB[[#This Row],[SiteID]]&amp;"_"&amp;DO_DB[[#This Row],[Material Name]]</f>
        <v>CLR64-99-028_FAT-16</v>
      </c>
      <c r="Q1452" t="str">
        <f>DO_DB[[#This Row],[DO Number]]</f>
        <v>DOEID250611HP</v>
      </c>
      <c r="R1452" t="str">
        <f>DO_DB[[#This Row],[DN Number]]</f>
        <v>DNWID1382025061301</v>
      </c>
    </row>
    <row r="1453" spans="1:18">
      <c r="A1453" t="s">
        <v>2837</v>
      </c>
      <c r="B1453" t="s">
        <v>2838</v>
      </c>
      <c r="C1453" t="s">
        <v>4482</v>
      </c>
      <c r="D1453" t="s">
        <v>71</v>
      </c>
      <c r="E1453" t="s">
        <v>25</v>
      </c>
      <c r="F1453" t="s">
        <v>3297</v>
      </c>
      <c r="G1453" t="s">
        <v>2839</v>
      </c>
      <c r="H1453" t="s">
        <v>2840</v>
      </c>
      <c r="I1453" s="130">
        <v>45821</v>
      </c>
      <c r="J1453" t="s">
        <v>3070</v>
      </c>
      <c r="K1453">
        <v>86</v>
      </c>
      <c r="M14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53" t="str">
        <f>DO_DB[[#This Row],[Material Pick-update]]&amp;"_"&amp;DO_DB[[#This Row],[Material Name]]</f>
        <v>45821_Pole 7M 3"</v>
      </c>
      <c r="O1453" t="str">
        <f>DO_DB[[#This Row],[SiteID]]</f>
        <v>CLR64-99-071</v>
      </c>
      <c r="P1453" t="str">
        <f>DO_DB[[#This Row],[SiteID]]&amp;"_"&amp;DO_DB[[#This Row],[Material Name]]</f>
        <v>CLR64-99-071_Pole 7M 3"</v>
      </c>
      <c r="Q1453" t="str">
        <f>DO_DB[[#This Row],[DO Number]]</f>
        <v>DOEID250611HR</v>
      </c>
      <c r="R1453" t="str">
        <f>DO_DB[[#This Row],[DN Number]]</f>
        <v>DNWID1382025061302</v>
      </c>
    </row>
    <row r="1454" spans="1:18">
      <c r="A1454" t="s">
        <v>2837</v>
      </c>
      <c r="B1454" t="s">
        <v>2838</v>
      </c>
      <c r="C1454" t="s">
        <v>4482</v>
      </c>
      <c r="D1454" t="s">
        <v>71</v>
      </c>
      <c r="E1454" t="s">
        <v>25</v>
      </c>
      <c r="F1454" t="s">
        <v>3297</v>
      </c>
      <c r="G1454" t="s">
        <v>2839</v>
      </c>
      <c r="H1454" t="s">
        <v>2840</v>
      </c>
      <c r="I1454" s="130">
        <v>45821</v>
      </c>
      <c r="J1454" t="s">
        <v>14</v>
      </c>
      <c r="K1454">
        <v>3</v>
      </c>
      <c r="M14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54" t="str">
        <f>DO_DB[[#This Row],[Material Pick-update]]&amp;"_"&amp;DO_DB[[#This Row],[Material Name]]</f>
        <v>45821_FDT-48</v>
      </c>
      <c r="O1454" t="str">
        <f>DO_DB[[#This Row],[SiteID]]</f>
        <v>CLR64-99-071</v>
      </c>
      <c r="P1454" t="str">
        <f>DO_DB[[#This Row],[SiteID]]&amp;"_"&amp;DO_DB[[#This Row],[Material Name]]</f>
        <v>CLR64-99-071_FDT-48</v>
      </c>
      <c r="Q1454" t="str">
        <f>DO_DB[[#This Row],[DO Number]]</f>
        <v>DOEID250611HR</v>
      </c>
      <c r="R1454" t="str">
        <f>DO_DB[[#This Row],[DN Number]]</f>
        <v>DNWID1382025061302</v>
      </c>
    </row>
    <row r="1455" spans="1:18">
      <c r="A1455" t="s">
        <v>2837</v>
      </c>
      <c r="B1455" t="s">
        <v>2838</v>
      </c>
      <c r="C1455" t="s">
        <v>4482</v>
      </c>
      <c r="D1455" t="s">
        <v>71</v>
      </c>
      <c r="E1455" t="s">
        <v>25</v>
      </c>
      <c r="F1455" t="s">
        <v>3297</v>
      </c>
      <c r="G1455" t="s">
        <v>2839</v>
      </c>
      <c r="H1455" t="s">
        <v>2840</v>
      </c>
      <c r="I1455" s="130">
        <v>45821</v>
      </c>
      <c r="J1455" t="s">
        <v>13</v>
      </c>
      <c r="K1455">
        <v>40</v>
      </c>
      <c r="M14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55" t="str">
        <f>DO_DB[[#This Row],[Material Pick-update]]&amp;"_"&amp;DO_DB[[#This Row],[Material Name]]</f>
        <v>45821_FAT-16</v>
      </c>
      <c r="O1455" t="str">
        <f>DO_DB[[#This Row],[SiteID]]</f>
        <v>CLR64-99-071</v>
      </c>
      <c r="P1455" t="str">
        <f>DO_DB[[#This Row],[SiteID]]&amp;"_"&amp;DO_DB[[#This Row],[Material Name]]</f>
        <v>CLR64-99-071_FAT-16</v>
      </c>
      <c r="Q1455" t="str">
        <f>DO_DB[[#This Row],[DO Number]]</f>
        <v>DOEID250611HR</v>
      </c>
      <c r="R1455" t="str">
        <f>DO_DB[[#This Row],[DN Number]]</f>
        <v>DNWID1382025061302</v>
      </c>
    </row>
    <row r="1456" spans="1:18">
      <c r="A1456" t="s">
        <v>2861</v>
      </c>
      <c r="B1456" t="s">
        <v>2862</v>
      </c>
      <c r="C1456" t="s">
        <v>4482</v>
      </c>
      <c r="D1456" t="s">
        <v>71</v>
      </c>
      <c r="E1456" t="s">
        <v>24</v>
      </c>
      <c r="F1456" t="s">
        <v>3297</v>
      </c>
      <c r="G1456" t="s">
        <v>2869</v>
      </c>
      <c r="H1456" t="s">
        <v>2870</v>
      </c>
      <c r="I1456" s="130">
        <v>45832</v>
      </c>
      <c r="J1456" t="s">
        <v>3073</v>
      </c>
      <c r="K1456">
        <v>3000</v>
      </c>
      <c r="M14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24C-2025624-01</v>
      </c>
      <c r="N1456" t="str">
        <f>DO_DB[[#This Row],[Material Pick-update]]&amp;"_"&amp;DO_DB[[#This Row],[Material Name]]</f>
        <v>45832_ADSS 24C</v>
      </c>
      <c r="O1456" t="str">
        <f>DO_DB[[#This Row],[SiteID]]</f>
        <v>CLR51-99-242</v>
      </c>
      <c r="P1456" t="str">
        <f>DO_DB[[#This Row],[SiteID]]&amp;"_"&amp;DO_DB[[#This Row],[Material Name]]</f>
        <v>CLR51-99-242_ADSS 24C</v>
      </c>
      <c r="Q1456" t="str">
        <f>DO_DB[[#This Row],[DO Number]]</f>
        <v>DOEID25062216</v>
      </c>
      <c r="R1456" t="str">
        <f>DO_DB[[#This Row],[DN Number]]</f>
        <v>DNWID1372025062203</v>
      </c>
    </row>
    <row r="1457" spans="1:18">
      <c r="A1457" t="s">
        <v>2851</v>
      </c>
      <c r="B1457" t="s">
        <v>2852</v>
      </c>
      <c r="C1457" t="s">
        <v>4482</v>
      </c>
      <c r="D1457" t="s">
        <v>71</v>
      </c>
      <c r="E1457" t="s">
        <v>24</v>
      </c>
      <c r="F1457" t="s">
        <v>3297</v>
      </c>
      <c r="G1457" t="s">
        <v>2867</v>
      </c>
      <c r="H1457" t="s">
        <v>2868</v>
      </c>
      <c r="I1457" s="130">
        <v>45832</v>
      </c>
      <c r="J1457" t="s">
        <v>3073</v>
      </c>
      <c r="K1457">
        <v>3000</v>
      </c>
      <c r="M14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24C-2025624-01</v>
      </c>
      <c r="N1457" t="str">
        <f>DO_DB[[#This Row],[Material Pick-update]]&amp;"_"&amp;DO_DB[[#This Row],[Material Name]]</f>
        <v>45832_ADSS 24C</v>
      </c>
      <c r="O1457" t="str">
        <f>DO_DB[[#This Row],[SiteID]]</f>
        <v>CLR51-99-244</v>
      </c>
      <c r="P1457" t="str">
        <f>DO_DB[[#This Row],[SiteID]]&amp;"_"&amp;DO_DB[[#This Row],[Material Name]]</f>
        <v>CLR51-99-244_ADSS 24C</v>
      </c>
      <c r="Q1457" t="str">
        <f>DO_DB[[#This Row],[DO Number]]</f>
        <v>DOEID25062217</v>
      </c>
      <c r="R1457" t="str">
        <f>DO_DB[[#This Row],[DN Number]]</f>
        <v>DNWID1372025062202</v>
      </c>
    </row>
    <row r="1458" spans="1:18">
      <c r="A1458" t="s">
        <v>2847</v>
      </c>
      <c r="B1458" t="s">
        <v>2848</v>
      </c>
      <c r="C1458" t="s">
        <v>4482</v>
      </c>
      <c r="D1458" t="s">
        <v>71</v>
      </c>
      <c r="E1458" t="s">
        <v>24</v>
      </c>
      <c r="F1458" t="s">
        <v>3297</v>
      </c>
      <c r="G1458" t="s">
        <v>2871</v>
      </c>
      <c r="H1458" t="s">
        <v>2872</v>
      </c>
      <c r="I1458" s="130">
        <v>45832</v>
      </c>
      <c r="J1458" t="s">
        <v>3073</v>
      </c>
      <c r="K1458">
        <v>3000</v>
      </c>
      <c r="M14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24C-2025624-01</v>
      </c>
      <c r="N1458" t="str">
        <f>DO_DB[[#This Row],[Material Pick-update]]&amp;"_"&amp;DO_DB[[#This Row],[Material Name]]</f>
        <v>45832_ADSS 24C</v>
      </c>
      <c r="O1458" t="str">
        <f>DO_DB[[#This Row],[SiteID]]</f>
        <v>CLR51-99-245</v>
      </c>
      <c r="P1458" t="str">
        <f>DO_DB[[#This Row],[SiteID]]&amp;"_"&amp;DO_DB[[#This Row],[Material Name]]</f>
        <v>CLR51-99-245_ADSS 24C</v>
      </c>
      <c r="Q1458" t="str">
        <f>DO_DB[[#This Row],[DO Number]]</f>
        <v>DOEID25062218</v>
      </c>
      <c r="R1458" t="str">
        <f>DO_DB[[#This Row],[DN Number]]</f>
        <v>DNWID1372025062201</v>
      </c>
    </row>
    <row r="1459" spans="1:18">
      <c r="A1459" t="s">
        <v>2696</v>
      </c>
      <c r="B1459" t="s">
        <v>2697</v>
      </c>
      <c r="C1459" t="s">
        <v>4482</v>
      </c>
      <c r="D1459" t="s">
        <v>71</v>
      </c>
      <c r="E1459" t="s">
        <v>24</v>
      </c>
      <c r="F1459" t="s">
        <v>3297</v>
      </c>
      <c r="G1459" t="s">
        <v>2877</v>
      </c>
      <c r="H1459" t="s">
        <v>2878</v>
      </c>
      <c r="I1459" s="130">
        <v>45841</v>
      </c>
      <c r="J1459" t="s">
        <v>3069</v>
      </c>
      <c r="K1459">
        <v>100</v>
      </c>
      <c r="M14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59" t="str">
        <f>DO_DB[[#This Row],[Material Pick-update]]&amp;"_"&amp;DO_DB[[#This Row],[Material Name]]</f>
        <v>45841_Pole 7M 4"</v>
      </c>
      <c r="O1459" t="str">
        <f>DO_DB[[#This Row],[SiteID]]</f>
        <v>CLR64-99-031</v>
      </c>
      <c r="P1459" t="str">
        <f>DO_DB[[#This Row],[SiteID]]&amp;"_"&amp;DO_DB[[#This Row],[Material Name]]</f>
        <v>CLR64-99-031_Pole 7M 4"</v>
      </c>
      <c r="Q1459" t="str">
        <f>DO_DB[[#This Row],[DO Number]]</f>
        <v>DOEID250701CC</v>
      </c>
      <c r="R1459" t="str">
        <f>DO_DB[[#This Row],[DN Number]]</f>
        <v>DNWID1382025070103</v>
      </c>
    </row>
    <row r="1460" spans="1:18">
      <c r="A1460" t="s">
        <v>2696</v>
      </c>
      <c r="B1460" t="s">
        <v>2697</v>
      </c>
      <c r="C1460" t="s">
        <v>4482</v>
      </c>
      <c r="D1460" t="s">
        <v>71</v>
      </c>
      <c r="E1460" t="s">
        <v>24</v>
      </c>
      <c r="F1460" t="s">
        <v>3297</v>
      </c>
      <c r="G1460" t="s">
        <v>2877</v>
      </c>
      <c r="H1460" t="s">
        <v>2878</v>
      </c>
      <c r="I1460" s="130">
        <v>45841</v>
      </c>
      <c r="J1460" t="s">
        <v>4856</v>
      </c>
      <c r="K1460">
        <v>10</v>
      </c>
      <c r="M14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60" t="str">
        <f>DO_DB[[#This Row],[Material Pick-update]]&amp;"_"&amp;DO_DB[[#This Row],[Material Name]]</f>
        <v>45841_JC 144Core</v>
      </c>
      <c r="O1460" t="str">
        <f>DO_DB[[#This Row],[SiteID]]</f>
        <v>CLR64-99-031</v>
      </c>
      <c r="P1460" t="str">
        <f>DO_DB[[#This Row],[SiteID]]&amp;"_"&amp;DO_DB[[#This Row],[Material Name]]</f>
        <v>CLR64-99-031_JC 144Core</v>
      </c>
      <c r="Q1460" t="str">
        <f>DO_DB[[#This Row],[DO Number]]</f>
        <v>DOEID250701CC</v>
      </c>
      <c r="R1460" t="str">
        <f>DO_DB[[#This Row],[DN Number]]</f>
        <v>DNWID1382025070103</v>
      </c>
    </row>
    <row r="1461" spans="1:18">
      <c r="A1461" t="s">
        <v>2879</v>
      </c>
      <c r="B1461" t="s">
        <v>2880</v>
      </c>
      <c r="C1461" t="s">
        <v>4482</v>
      </c>
      <c r="D1461" t="s">
        <v>71</v>
      </c>
      <c r="E1461" t="s">
        <v>25</v>
      </c>
      <c r="F1461" t="s">
        <v>3297</v>
      </c>
      <c r="G1461" t="s">
        <v>2881</v>
      </c>
      <c r="H1461" t="s">
        <v>2882</v>
      </c>
      <c r="I1461" s="130">
        <v>45846</v>
      </c>
      <c r="J1461" t="s">
        <v>3073</v>
      </c>
      <c r="K1461">
        <v>3000</v>
      </c>
      <c r="M14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24C-202578-01</v>
      </c>
      <c r="N1461" t="str">
        <f>DO_DB[[#This Row],[Material Pick-update]]&amp;"_"&amp;DO_DB[[#This Row],[Material Name]]</f>
        <v>45846_ADSS 24C</v>
      </c>
      <c r="O1461" t="str">
        <f>DO_DB[[#This Row],[SiteID]]</f>
        <v>CLR64-99-066</v>
      </c>
      <c r="P1461" t="str">
        <f>DO_DB[[#This Row],[SiteID]]&amp;"_"&amp;DO_DB[[#This Row],[Material Name]]</f>
        <v>CLR64-99-066_ADSS 24C</v>
      </c>
      <c r="Q1461" t="str">
        <f>DO_DB[[#This Row],[DO Number]]</f>
        <v>DOEID25070771</v>
      </c>
      <c r="R1461" t="str">
        <f>DO_DB[[#This Row],[DN Number]]</f>
        <v>DNWID1372025070702</v>
      </c>
    </row>
    <row r="1462" spans="1:18">
      <c r="A1462" t="s">
        <v>2887</v>
      </c>
      <c r="B1462" t="s">
        <v>2888</v>
      </c>
      <c r="C1462" t="s">
        <v>4482</v>
      </c>
      <c r="D1462" t="s">
        <v>71</v>
      </c>
      <c r="E1462" t="s">
        <v>25</v>
      </c>
      <c r="F1462" t="s">
        <v>3297</v>
      </c>
      <c r="G1462" t="s">
        <v>2889</v>
      </c>
      <c r="H1462" t="s">
        <v>2890</v>
      </c>
      <c r="I1462" s="130">
        <v>45846</v>
      </c>
      <c r="J1462" t="s">
        <v>3073</v>
      </c>
      <c r="K1462">
        <v>3000</v>
      </c>
      <c r="M14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24C-202578-01</v>
      </c>
      <c r="N1462" t="str">
        <f>DO_DB[[#This Row],[Material Pick-update]]&amp;"_"&amp;DO_DB[[#This Row],[Material Name]]</f>
        <v>45846_ADSS 24C</v>
      </c>
      <c r="O1462" t="str">
        <f>DO_DB[[#This Row],[SiteID]]</f>
        <v>CLR64-99-072</v>
      </c>
      <c r="P1462" t="str">
        <f>DO_DB[[#This Row],[SiteID]]&amp;"_"&amp;DO_DB[[#This Row],[Material Name]]</f>
        <v>CLR64-99-072_ADSS 24C</v>
      </c>
      <c r="Q1462" t="str">
        <f>DO_DB[[#This Row],[DO Number]]</f>
        <v>DOEID25070772</v>
      </c>
      <c r="R1462" t="str">
        <f>DO_DB[[#This Row],[DN Number]]</f>
        <v>DNWID1372025070707</v>
      </c>
    </row>
    <row r="1463" spans="1:18">
      <c r="A1463" t="s">
        <v>2891</v>
      </c>
      <c r="B1463" t="s">
        <v>2892</v>
      </c>
      <c r="C1463" t="s">
        <v>4482</v>
      </c>
      <c r="D1463" t="s">
        <v>71</v>
      </c>
      <c r="E1463" t="s">
        <v>25</v>
      </c>
      <c r="F1463" t="s">
        <v>3297</v>
      </c>
      <c r="G1463" t="s">
        <v>2893</v>
      </c>
      <c r="H1463" t="s">
        <v>2894</v>
      </c>
      <c r="I1463" s="130">
        <v>45846</v>
      </c>
      <c r="J1463" t="s">
        <v>3073</v>
      </c>
      <c r="K1463">
        <v>3000</v>
      </c>
      <c r="M14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24C-202578-01</v>
      </c>
      <c r="N1463" t="str">
        <f>DO_DB[[#This Row],[Material Pick-update]]&amp;"_"&amp;DO_DB[[#This Row],[Material Name]]</f>
        <v>45846_ADSS 24C</v>
      </c>
      <c r="O1463" t="str">
        <f>DO_DB[[#This Row],[SiteID]]</f>
        <v>CLR64-99-074</v>
      </c>
      <c r="P1463" t="str">
        <f>DO_DB[[#This Row],[SiteID]]&amp;"_"&amp;DO_DB[[#This Row],[Material Name]]</f>
        <v>CLR64-99-074_ADSS 24C</v>
      </c>
      <c r="Q1463" t="str">
        <f>DO_DB[[#This Row],[DO Number]]</f>
        <v>DOEID25070773</v>
      </c>
      <c r="R1463" t="str">
        <f>DO_DB[[#This Row],[DN Number]]</f>
        <v>DNWID1372025070705</v>
      </c>
    </row>
    <row r="1464" spans="1:18">
      <c r="A1464" t="s">
        <v>2883</v>
      </c>
      <c r="B1464" t="s">
        <v>2884</v>
      </c>
      <c r="C1464" t="s">
        <v>4482</v>
      </c>
      <c r="D1464" t="s">
        <v>71</v>
      </c>
      <c r="E1464" t="s">
        <v>25</v>
      </c>
      <c r="F1464" t="s">
        <v>3297</v>
      </c>
      <c r="G1464" t="s">
        <v>2885</v>
      </c>
      <c r="H1464" t="s">
        <v>2886</v>
      </c>
      <c r="I1464" s="130">
        <v>45846</v>
      </c>
      <c r="J1464" t="s">
        <v>3073</v>
      </c>
      <c r="K1464">
        <v>3000</v>
      </c>
      <c r="M14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24C-202578-01</v>
      </c>
      <c r="N1464" t="str">
        <f>DO_DB[[#This Row],[Material Pick-update]]&amp;"_"&amp;DO_DB[[#This Row],[Material Name]]</f>
        <v>45846_ADSS 24C</v>
      </c>
      <c r="O1464" t="str">
        <f>DO_DB[[#This Row],[SiteID]]</f>
        <v>CLR31-99-132</v>
      </c>
      <c r="P1464" t="str">
        <f>DO_DB[[#This Row],[SiteID]]&amp;"_"&amp;DO_DB[[#This Row],[Material Name]]</f>
        <v>CLR31-99-132_ADSS 24C</v>
      </c>
      <c r="Q1464" t="str">
        <f>DO_DB[[#This Row],[DO Number]]</f>
        <v>DOEID25070775</v>
      </c>
      <c r="R1464" t="str">
        <f>DO_DB[[#This Row],[DN Number]]</f>
        <v>DNWID1372025070708</v>
      </c>
    </row>
    <row r="1465" spans="1:18">
      <c r="A1465" t="s">
        <v>2895</v>
      </c>
      <c r="B1465" t="s">
        <v>2896</v>
      </c>
      <c r="C1465" t="s">
        <v>4482</v>
      </c>
      <c r="D1465" t="s">
        <v>71</v>
      </c>
      <c r="E1465" t="s">
        <v>25</v>
      </c>
      <c r="F1465" t="s">
        <v>3297</v>
      </c>
      <c r="G1465" t="s">
        <v>2897</v>
      </c>
      <c r="H1465" t="s">
        <v>2898</v>
      </c>
      <c r="I1465" s="130">
        <v>45846</v>
      </c>
      <c r="J1465" t="s">
        <v>3073</v>
      </c>
      <c r="K1465">
        <v>6000</v>
      </c>
      <c r="M14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24C-202578-01</v>
      </c>
      <c r="N1465" t="str">
        <f>DO_DB[[#This Row],[Material Pick-update]]&amp;"_"&amp;DO_DB[[#This Row],[Material Name]]</f>
        <v>45846_ADSS 24C</v>
      </c>
      <c r="O1465" t="str">
        <f>DO_DB[[#This Row],[SiteID]]</f>
        <v>CLR64-99-027</v>
      </c>
      <c r="P1465" t="str">
        <f>DO_DB[[#This Row],[SiteID]]&amp;"_"&amp;DO_DB[[#This Row],[Material Name]]</f>
        <v>CLR64-99-027_ADSS 24C</v>
      </c>
      <c r="Q1465" t="str">
        <f>DO_DB[[#This Row],[DO Number]]</f>
        <v>DOEID25070770</v>
      </c>
      <c r="R1465" t="str">
        <f>DO_DB[[#This Row],[DN Number]]</f>
        <v>DNWID1372025070706</v>
      </c>
    </row>
    <row r="1466" spans="1:18">
      <c r="A1466" t="s">
        <v>2895</v>
      </c>
      <c r="B1466" t="s">
        <v>2896</v>
      </c>
      <c r="C1466" t="s">
        <v>4482</v>
      </c>
      <c r="D1466" t="s">
        <v>71</v>
      </c>
      <c r="E1466" t="s">
        <v>25</v>
      </c>
      <c r="F1466" t="s">
        <v>3297</v>
      </c>
      <c r="G1466" t="s">
        <v>2901</v>
      </c>
      <c r="H1466" t="s">
        <v>2902</v>
      </c>
      <c r="I1466" s="130">
        <v>45846</v>
      </c>
      <c r="J1466" t="s">
        <v>3070</v>
      </c>
      <c r="K1466">
        <v>140</v>
      </c>
      <c r="M14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66" t="str">
        <f>DO_DB[[#This Row],[Material Pick-update]]&amp;"_"&amp;DO_DB[[#This Row],[Material Name]]</f>
        <v>45846_Pole 7M 3"</v>
      </c>
      <c r="O1466" t="str">
        <f>DO_DB[[#This Row],[SiteID]]</f>
        <v>CLR64-99-027</v>
      </c>
      <c r="P1466" t="str">
        <f>DO_DB[[#This Row],[SiteID]]&amp;"_"&amp;DO_DB[[#This Row],[Material Name]]</f>
        <v>CLR64-99-027_Pole 7M 3"</v>
      </c>
      <c r="Q1466" t="str">
        <f>DO_DB[[#This Row],[DO Number]]</f>
        <v>DOEID25070769</v>
      </c>
      <c r="R1466" t="str">
        <f>DO_DB[[#This Row],[DN Number]]</f>
        <v>DNWID1382025070718</v>
      </c>
    </row>
    <row r="1467" spans="1:18">
      <c r="A1467" t="s">
        <v>2895</v>
      </c>
      <c r="B1467" t="s">
        <v>2896</v>
      </c>
      <c r="C1467" t="s">
        <v>4482</v>
      </c>
      <c r="D1467" t="s">
        <v>71</v>
      </c>
      <c r="E1467" t="s">
        <v>25</v>
      </c>
      <c r="F1467" t="s">
        <v>3297</v>
      </c>
      <c r="G1467" t="s">
        <v>2901</v>
      </c>
      <c r="H1467" t="s">
        <v>2902</v>
      </c>
      <c r="I1467" s="130">
        <v>45846</v>
      </c>
      <c r="J1467" t="s">
        <v>14</v>
      </c>
      <c r="K1467">
        <v>2</v>
      </c>
      <c r="M14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67" t="str">
        <f>DO_DB[[#This Row],[Material Pick-update]]&amp;"_"&amp;DO_DB[[#This Row],[Material Name]]</f>
        <v>45846_FDT-48</v>
      </c>
      <c r="O1467" t="str">
        <f>DO_DB[[#This Row],[SiteID]]</f>
        <v>CLR64-99-027</v>
      </c>
      <c r="P1467" t="str">
        <f>DO_DB[[#This Row],[SiteID]]&amp;"_"&amp;DO_DB[[#This Row],[Material Name]]</f>
        <v>CLR64-99-027_FDT-48</v>
      </c>
      <c r="Q1467" t="str">
        <f>DO_DB[[#This Row],[DO Number]]</f>
        <v>DOEID25070769</v>
      </c>
      <c r="R1467" t="str">
        <f>DO_DB[[#This Row],[DN Number]]</f>
        <v>DNWID1382025070718</v>
      </c>
    </row>
    <row r="1468" spans="1:18">
      <c r="A1468" t="s">
        <v>2895</v>
      </c>
      <c r="B1468" t="s">
        <v>2896</v>
      </c>
      <c r="C1468" t="s">
        <v>4482</v>
      </c>
      <c r="D1468" t="s">
        <v>71</v>
      </c>
      <c r="E1468" t="s">
        <v>25</v>
      </c>
      <c r="F1468" t="s">
        <v>3297</v>
      </c>
      <c r="G1468" t="s">
        <v>2901</v>
      </c>
      <c r="H1468" t="s">
        <v>2902</v>
      </c>
      <c r="I1468" s="130">
        <v>45846</v>
      </c>
      <c r="J1468" t="s">
        <v>15</v>
      </c>
      <c r="K1468">
        <v>1</v>
      </c>
      <c r="M14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68" t="str">
        <f>DO_DB[[#This Row],[Material Pick-update]]&amp;"_"&amp;DO_DB[[#This Row],[Material Name]]</f>
        <v>45846_FDT-72</v>
      </c>
      <c r="O1468" t="str">
        <f>DO_DB[[#This Row],[SiteID]]</f>
        <v>CLR64-99-027</v>
      </c>
      <c r="P1468" t="str">
        <f>DO_DB[[#This Row],[SiteID]]&amp;"_"&amp;DO_DB[[#This Row],[Material Name]]</f>
        <v>CLR64-99-027_FDT-72</v>
      </c>
      <c r="Q1468" t="str">
        <f>DO_DB[[#This Row],[DO Number]]</f>
        <v>DOEID25070769</v>
      </c>
      <c r="R1468" t="str">
        <f>DO_DB[[#This Row],[DN Number]]</f>
        <v>DNWID1382025070718</v>
      </c>
    </row>
    <row r="1469" spans="1:18">
      <c r="A1469" t="s">
        <v>2895</v>
      </c>
      <c r="B1469" t="s">
        <v>2896</v>
      </c>
      <c r="C1469" t="s">
        <v>4482</v>
      </c>
      <c r="D1469" t="s">
        <v>71</v>
      </c>
      <c r="E1469" t="s">
        <v>25</v>
      </c>
      <c r="F1469" t="s">
        <v>3297</v>
      </c>
      <c r="G1469" t="s">
        <v>2901</v>
      </c>
      <c r="H1469" t="s">
        <v>2902</v>
      </c>
      <c r="I1469" s="130">
        <v>45846</v>
      </c>
      <c r="J1469" t="s">
        <v>13</v>
      </c>
      <c r="K1469">
        <v>56</v>
      </c>
      <c r="M14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69" t="str">
        <f>DO_DB[[#This Row],[Material Pick-update]]&amp;"_"&amp;DO_DB[[#This Row],[Material Name]]</f>
        <v>45846_FAT-16</v>
      </c>
      <c r="O1469" t="str">
        <f>DO_DB[[#This Row],[SiteID]]</f>
        <v>CLR64-99-027</v>
      </c>
      <c r="P1469" t="str">
        <f>DO_DB[[#This Row],[SiteID]]&amp;"_"&amp;DO_DB[[#This Row],[Material Name]]</f>
        <v>CLR64-99-027_FAT-16</v>
      </c>
      <c r="Q1469" t="str">
        <f>DO_DB[[#This Row],[DO Number]]</f>
        <v>DOEID25070769</v>
      </c>
      <c r="R1469" t="str">
        <f>DO_DB[[#This Row],[DN Number]]</f>
        <v>DNWID1382025070718</v>
      </c>
    </row>
    <row r="1470" spans="1:18">
      <c r="A1470" t="s">
        <v>2883</v>
      </c>
      <c r="B1470" t="s">
        <v>2884</v>
      </c>
      <c r="C1470" t="s">
        <v>4482</v>
      </c>
      <c r="D1470" t="s">
        <v>71</v>
      </c>
      <c r="E1470" t="s">
        <v>25</v>
      </c>
      <c r="F1470" t="s">
        <v>3297</v>
      </c>
      <c r="G1470" t="s">
        <v>2899</v>
      </c>
      <c r="H1470" t="s">
        <v>2900</v>
      </c>
      <c r="I1470" s="130">
        <v>45846</v>
      </c>
      <c r="J1470" t="s">
        <v>3070</v>
      </c>
      <c r="K1470">
        <v>104</v>
      </c>
      <c r="M14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70" t="str">
        <f>DO_DB[[#This Row],[Material Pick-update]]&amp;"_"&amp;DO_DB[[#This Row],[Material Name]]</f>
        <v>45846_Pole 7M 3"</v>
      </c>
      <c r="O1470" t="str">
        <f>DO_DB[[#This Row],[SiteID]]</f>
        <v>CLR31-99-132</v>
      </c>
      <c r="P1470" t="str">
        <f>DO_DB[[#This Row],[SiteID]]&amp;"_"&amp;DO_DB[[#This Row],[Material Name]]</f>
        <v>CLR31-99-132_Pole 7M 3"</v>
      </c>
      <c r="Q1470" t="str">
        <f>DO_DB[[#This Row],[DO Number]]</f>
        <v>DOEID25070774</v>
      </c>
      <c r="R1470" t="str">
        <f>DO_DB[[#This Row],[DN Number]]</f>
        <v>DNWID1382025070714</v>
      </c>
    </row>
    <row r="1471" spans="1:18">
      <c r="A1471" t="s">
        <v>2883</v>
      </c>
      <c r="B1471" t="s">
        <v>2884</v>
      </c>
      <c r="C1471" t="s">
        <v>4482</v>
      </c>
      <c r="D1471" t="s">
        <v>71</v>
      </c>
      <c r="E1471" t="s">
        <v>25</v>
      </c>
      <c r="F1471" t="s">
        <v>3297</v>
      </c>
      <c r="G1471" t="s">
        <v>2899</v>
      </c>
      <c r="H1471" t="s">
        <v>2900</v>
      </c>
      <c r="I1471" s="130">
        <v>45846</v>
      </c>
      <c r="J1471" t="s">
        <v>3071</v>
      </c>
      <c r="K1471">
        <v>2</v>
      </c>
      <c r="M14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71" t="str">
        <f>DO_DB[[#This Row],[Material Pick-update]]&amp;"_"&amp;DO_DB[[#This Row],[Material Name]]</f>
        <v>45846_Pole 9M</v>
      </c>
      <c r="O1471" t="str">
        <f>DO_DB[[#This Row],[SiteID]]</f>
        <v>CLR31-99-132</v>
      </c>
      <c r="P1471" t="str">
        <f>DO_DB[[#This Row],[SiteID]]&amp;"_"&amp;DO_DB[[#This Row],[Material Name]]</f>
        <v>CLR31-99-132_Pole 9M</v>
      </c>
      <c r="Q1471" t="str">
        <f>DO_DB[[#This Row],[DO Number]]</f>
        <v>DOEID25070774</v>
      </c>
      <c r="R1471" t="str">
        <f>DO_DB[[#This Row],[DN Number]]</f>
        <v>DNWID1382025070714</v>
      </c>
    </row>
    <row r="1472" spans="1:18">
      <c r="A1472" t="s">
        <v>2883</v>
      </c>
      <c r="B1472" t="s">
        <v>2884</v>
      </c>
      <c r="C1472" t="s">
        <v>4482</v>
      </c>
      <c r="D1472" t="s">
        <v>71</v>
      </c>
      <c r="E1472" t="s">
        <v>25</v>
      </c>
      <c r="F1472" t="s">
        <v>3297</v>
      </c>
      <c r="G1472" t="s">
        <v>2899</v>
      </c>
      <c r="H1472" t="s">
        <v>2900</v>
      </c>
      <c r="I1472" s="130">
        <v>45846</v>
      </c>
      <c r="J1472" t="s">
        <v>14</v>
      </c>
      <c r="K1472">
        <v>1</v>
      </c>
      <c r="M14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72" t="str">
        <f>DO_DB[[#This Row],[Material Pick-update]]&amp;"_"&amp;DO_DB[[#This Row],[Material Name]]</f>
        <v>45846_FDT-48</v>
      </c>
      <c r="O1472" t="str">
        <f>DO_DB[[#This Row],[SiteID]]</f>
        <v>CLR31-99-132</v>
      </c>
      <c r="P1472" t="str">
        <f>DO_DB[[#This Row],[SiteID]]&amp;"_"&amp;DO_DB[[#This Row],[Material Name]]</f>
        <v>CLR31-99-132_FDT-48</v>
      </c>
      <c r="Q1472" t="str">
        <f>DO_DB[[#This Row],[DO Number]]</f>
        <v>DOEID25070774</v>
      </c>
      <c r="R1472" t="str">
        <f>DO_DB[[#This Row],[DN Number]]</f>
        <v>DNWID1382025070714</v>
      </c>
    </row>
    <row r="1473" spans="1:18">
      <c r="A1473" t="s">
        <v>2883</v>
      </c>
      <c r="B1473" t="s">
        <v>2884</v>
      </c>
      <c r="C1473" t="s">
        <v>4482</v>
      </c>
      <c r="D1473" t="s">
        <v>71</v>
      </c>
      <c r="E1473" t="s">
        <v>25</v>
      </c>
      <c r="F1473" t="s">
        <v>3297</v>
      </c>
      <c r="G1473" t="s">
        <v>2899</v>
      </c>
      <c r="H1473" t="s">
        <v>2900</v>
      </c>
      <c r="I1473" s="130">
        <v>45846</v>
      </c>
      <c r="J1473" t="s">
        <v>15</v>
      </c>
      <c r="K1473">
        <v>1</v>
      </c>
      <c r="M14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73" t="str">
        <f>DO_DB[[#This Row],[Material Pick-update]]&amp;"_"&amp;DO_DB[[#This Row],[Material Name]]</f>
        <v>45846_FDT-72</v>
      </c>
      <c r="O1473" t="str">
        <f>DO_DB[[#This Row],[SiteID]]</f>
        <v>CLR31-99-132</v>
      </c>
      <c r="P1473" t="str">
        <f>DO_DB[[#This Row],[SiteID]]&amp;"_"&amp;DO_DB[[#This Row],[Material Name]]</f>
        <v>CLR31-99-132_FDT-72</v>
      </c>
      <c r="Q1473" t="str">
        <f>DO_DB[[#This Row],[DO Number]]</f>
        <v>DOEID25070774</v>
      </c>
      <c r="R1473" t="str">
        <f>DO_DB[[#This Row],[DN Number]]</f>
        <v>DNWID1382025070714</v>
      </c>
    </row>
    <row r="1474" spans="1:18">
      <c r="A1474" t="s">
        <v>2883</v>
      </c>
      <c r="B1474" t="s">
        <v>2884</v>
      </c>
      <c r="C1474" t="s">
        <v>4482</v>
      </c>
      <c r="D1474" t="s">
        <v>71</v>
      </c>
      <c r="E1474" t="s">
        <v>25</v>
      </c>
      <c r="F1474" t="s">
        <v>3297</v>
      </c>
      <c r="G1474" t="s">
        <v>2899</v>
      </c>
      <c r="H1474" t="s">
        <v>2900</v>
      </c>
      <c r="I1474" s="130">
        <v>45846</v>
      </c>
      <c r="J1474" t="s">
        <v>13</v>
      </c>
      <c r="K1474">
        <v>45</v>
      </c>
      <c r="M14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74" t="str">
        <f>DO_DB[[#This Row],[Material Pick-update]]&amp;"_"&amp;DO_DB[[#This Row],[Material Name]]</f>
        <v>45846_FAT-16</v>
      </c>
      <c r="O1474" t="str">
        <f>DO_DB[[#This Row],[SiteID]]</f>
        <v>CLR31-99-132</v>
      </c>
      <c r="P1474" t="str">
        <f>DO_DB[[#This Row],[SiteID]]&amp;"_"&amp;DO_DB[[#This Row],[Material Name]]</f>
        <v>CLR31-99-132_FAT-16</v>
      </c>
      <c r="Q1474" t="str">
        <f>DO_DB[[#This Row],[DO Number]]</f>
        <v>DOEID25070774</v>
      </c>
      <c r="R1474" t="str">
        <f>DO_DB[[#This Row],[DN Number]]</f>
        <v>DNWID1382025070714</v>
      </c>
    </row>
    <row r="1475" spans="1:18">
      <c r="A1475" t="s">
        <v>2887</v>
      </c>
      <c r="B1475" t="s">
        <v>2888</v>
      </c>
      <c r="C1475" t="s">
        <v>4482</v>
      </c>
      <c r="D1475" t="s">
        <v>71</v>
      </c>
      <c r="E1475" t="s">
        <v>25</v>
      </c>
      <c r="F1475" t="s">
        <v>3297</v>
      </c>
      <c r="G1475" t="s">
        <v>2958</v>
      </c>
      <c r="H1475" t="s">
        <v>2959</v>
      </c>
      <c r="I1475" s="130">
        <v>45854</v>
      </c>
      <c r="J1475" t="s">
        <v>3075</v>
      </c>
      <c r="K1475">
        <v>3000</v>
      </c>
      <c r="M14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48C-2025716-01</v>
      </c>
      <c r="N1475" t="str">
        <f>DO_DB[[#This Row],[Material Pick-update]]&amp;"_"&amp;DO_DB[[#This Row],[Material Name]]</f>
        <v>45854_ADSS 48C</v>
      </c>
      <c r="O1475" t="str">
        <f>DO_DB[[#This Row],[SiteID]]</f>
        <v>CLR64-99-072</v>
      </c>
      <c r="P1475" t="str">
        <f>DO_DB[[#This Row],[SiteID]]&amp;"_"&amp;DO_DB[[#This Row],[Material Name]]</f>
        <v>CLR64-99-072_ADSS 48C</v>
      </c>
      <c r="Q1475" t="str">
        <f>DO_DB[[#This Row],[DO Number]]</f>
        <v>DOEID250715KM</v>
      </c>
      <c r="R1475" t="str">
        <f>DO_DB[[#This Row],[DN Number]]</f>
        <v>DNWID1372025071502</v>
      </c>
    </row>
    <row r="1476" spans="1:18">
      <c r="A1476" t="s">
        <v>2891</v>
      </c>
      <c r="B1476" t="s">
        <v>2892</v>
      </c>
      <c r="C1476" t="s">
        <v>4482</v>
      </c>
      <c r="D1476" t="s">
        <v>71</v>
      </c>
      <c r="E1476" t="s">
        <v>25</v>
      </c>
      <c r="F1476" t="s">
        <v>3297</v>
      </c>
      <c r="G1476" t="s">
        <v>2962</v>
      </c>
      <c r="H1476" t="s">
        <v>2963</v>
      </c>
      <c r="I1476" s="130">
        <v>45854</v>
      </c>
      <c r="J1476" t="s">
        <v>3075</v>
      </c>
      <c r="K1476">
        <v>3000</v>
      </c>
      <c r="M14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48C-2025716-01</v>
      </c>
      <c r="N1476" t="str">
        <f>DO_DB[[#This Row],[Material Pick-update]]&amp;"_"&amp;DO_DB[[#This Row],[Material Name]]</f>
        <v>45854_ADSS 48C</v>
      </c>
      <c r="O1476" t="str">
        <f>DO_DB[[#This Row],[SiteID]]</f>
        <v>CLR64-99-074</v>
      </c>
      <c r="P1476" t="str">
        <f>DO_DB[[#This Row],[SiteID]]&amp;"_"&amp;DO_DB[[#This Row],[Material Name]]</f>
        <v>CLR64-99-074_ADSS 48C</v>
      </c>
      <c r="Q1476" t="str">
        <f>DO_DB[[#This Row],[DO Number]]</f>
        <v>DOEID250715KS</v>
      </c>
      <c r="R1476" t="str">
        <f>DO_DB[[#This Row],[DN Number]]</f>
        <v>DNWID1372025071503</v>
      </c>
    </row>
    <row r="1477" spans="1:18">
      <c r="A1477" t="s">
        <v>2945</v>
      </c>
      <c r="B1477" t="s">
        <v>2946</v>
      </c>
      <c r="C1477" t="s">
        <v>4482</v>
      </c>
      <c r="D1477" t="s">
        <v>71</v>
      </c>
      <c r="E1477" t="s">
        <v>25</v>
      </c>
      <c r="F1477" t="s">
        <v>3297</v>
      </c>
      <c r="G1477" t="s">
        <v>2949</v>
      </c>
      <c r="H1477" t="s">
        <v>2950</v>
      </c>
      <c r="I1477" s="130">
        <v>45854</v>
      </c>
      <c r="J1477" t="s">
        <v>3075</v>
      </c>
      <c r="K1477">
        <v>3000</v>
      </c>
      <c r="M14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48C-2025716-01</v>
      </c>
      <c r="N1477" t="str">
        <f>DO_DB[[#This Row],[Material Pick-update]]&amp;"_"&amp;DO_DB[[#This Row],[Material Name]]</f>
        <v>45854_ADSS 48C</v>
      </c>
      <c r="O1477" t="str">
        <f>DO_DB[[#This Row],[SiteID]]</f>
        <v>CLR64-99-065</v>
      </c>
      <c r="P1477" t="str">
        <f>DO_DB[[#This Row],[SiteID]]&amp;"_"&amp;DO_DB[[#This Row],[Material Name]]</f>
        <v>CLR64-99-065_ADSS 48C</v>
      </c>
      <c r="Q1477" t="str">
        <f>DO_DB[[#This Row],[DO Number]]</f>
        <v>DOEID250715KV</v>
      </c>
      <c r="R1477" t="str">
        <f>DO_DB[[#This Row],[DN Number]]</f>
        <v>DNWID1372025071603</v>
      </c>
    </row>
    <row r="1478" spans="1:18">
      <c r="A1478" t="s">
        <v>2939</v>
      </c>
      <c r="B1478" t="s">
        <v>2940</v>
      </c>
      <c r="C1478" t="s">
        <v>4482</v>
      </c>
      <c r="D1478" t="s">
        <v>71</v>
      </c>
      <c r="E1478" t="s">
        <v>25</v>
      </c>
      <c r="F1478" t="s">
        <v>3297</v>
      </c>
      <c r="G1478" t="s">
        <v>2943</v>
      </c>
      <c r="H1478" t="s">
        <v>2944</v>
      </c>
      <c r="I1478" s="130">
        <v>45854</v>
      </c>
      <c r="J1478" t="s">
        <v>3075</v>
      </c>
      <c r="K1478">
        <v>3000</v>
      </c>
      <c r="M14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48C-2025716-01</v>
      </c>
      <c r="N1478" t="str">
        <f>DO_DB[[#This Row],[Material Pick-update]]&amp;"_"&amp;DO_DB[[#This Row],[Material Name]]</f>
        <v>45854_ADSS 48C</v>
      </c>
      <c r="O1478" t="str">
        <f>DO_DB[[#This Row],[SiteID]]</f>
        <v>CLR64-99-064</v>
      </c>
      <c r="P1478" t="str">
        <f>DO_DB[[#This Row],[SiteID]]&amp;"_"&amp;DO_DB[[#This Row],[Material Name]]</f>
        <v>CLR64-99-064_ADSS 48C</v>
      </c>
      <c r="Q1478" t="str">
        <f>DO_DB[[#This Row],[DO Number]]</f>
        <v>DOEID250715LC</v>
      </c>
      <c r="R1478" t="str">
        <f>DO_DB[[#This Row],[DN Number]]</f>
        <v>DNWID1372025071602</v>
      </c>
    </row>
    <row r="1479" spans="1:18">
      <c r="A1479" t="s">
        <v>2700</v>
      </c>
      <c r="B1479" t="s">
        <v>2701</v>
      </c>
      <c r="C1479" t="s">
        <v>4482</v>
      </c>
      <c r="D1479" t="s">
        <v>71</v>
      </c>
      <c r="E1479" t="s">
        <v>25</v>
      </c>
      <c r="F1479" t="s">
        <v>3297</v>
      </c>
      <c r="G1479" t="s">
        <v>2935</v>
      </c>
      <c r="H1479" t="s">
        <v>2936</v>
      </c>
      <c r="I1479" s="130">
        <v>45854</v>
      </c>
      <c r="J1479" t="s">
        <v>3073</v>
      </c>
      <c r="K1479">
        <v>6000</v>
      </c>
      <c r="M14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24C-2025716-01</v>
      </c>
      <c r="N1479" t="str">
        <f>DO_DB[[#This Row],[Material Pick-update]]&amp;"_"&amp;DO_DB[[#This Row],[Material Name]]</f>
        <v>45854_ADSS 24C</v>
      </c>
      <c r="O1479" t="str">
        <f>DO_DB[[#This Row],[SiteID]]</f>
        <v>CLR64-99-032</v>
      </c>
      <c r="P1479" t="str">
        <f>DO_DB[[#This Row],[SiteID]]&amp;"_"&amp;DO_DB[[#This Row],[Material Name]]</f>
        <v>CLR64-99-032_ADSS 24C</v>
      </c>
      <c r="Q1479" t="str">
        <f>DO_DB[[#This Row],[DO Number]]</f>
        <v>DOEID250715MK</v>
      </c>
      <c r="R1479" t="str">
        <f>DO_DB[[#This Row],[DN Number]]</f>
        <v>DNWID1372025071601</v>
      </c>
    </row>
    <row r="1480" spans="1:18">
      <c r="A1480" t="s">
        <v>2879</v>
      </c>
      <c r="B1480" t="s">
        <v>2951</v>
      </c>
      <c r="C1480" t="s">
        <v>4482</v>
      </c>
      <c r="D1480" t="s">
        <v>71</v>
      </c>
      <c r="E1480" t="s">
        <v>25</v>
      </c>
      <c r="F1480" t="s">
        <v>3297</v>
      </c>
      <c r="G1480" t="s">
        <v>2952</v>
      </c>
      <c r="H1480" t="s">
        <v>2953</v>
      </c>
      <c r="I1480" s="130">
        <v>45854</v>
      </c>
      <c r="J1480" t="s">
        <v>3069</v>
      </c>
      <c r="K1480">
        <v>1</v>
      </c>
      <c r="M14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80" t="str">
        <f>DO_DB[[#This Row],[Material Pick-update]]&amp;"_"&amp;DO_DB[[#This Row],[Material Name]]</f>
        <v>45854_Pole 7M 4"</v>
      </c>
      <c r="O1480" t="str">
        <f>DO_DB[[#This Row],[SiteID]]</f>
        <v>CLR64-99-066</v>
      </c>
      <c r="P1480" t="str">
        <f>DO_DB[[#This Row],[SiteID]]&amp;"_"&amp;DO_DB[[#This Row],[Material Name]]</f>
        <v>CLR64-99-066_Pole 7M 4"</v>
      </c>
      <c r="Q1480" t="str">
        <f>DO_DB[[#This Row],[DO Number]]</f>
        <v>DOEID250715K7</v>
      </c>
      <c r="R1480" t="str">
        <f>DO_DB[[#This Row],[DN Number]]</f>
        <v>DNWID1382025071519</v>
      </c>
    </row>
    <row r="1481" spans="1:18">
      <c r="A1481" t="s">
        <v>2879</v>
      </c>
      <c r="B1481" t="s">
        <v>2951</v>
      </c>
      <c r="C1481" t="s">
        <v>4482</v>
      </c>
      <c r="D1481" t="s">
        <v>71</v>
      </c>
      <c r="E1481" t="s">
        <v>25</v>
      </c>
      <c r="F1481" t="s">
        <v>3297</v>
      </c>
      <c r="G1481" t="s">
        <v>2952</v>
      </c>
      <c r="H1481" t="s">
        <v>2953</v>
      </c>
      <c r="I1481" s="130">
        <v>45854</v>
      </c>
      <c r="J1481" t="s">
        <v>3070</v>
      </c>
      <c r="K1481">
        <v>67</v>
      </c>
      <c r="M14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81" t="str">
        <f>DO_DB[[#This Row],[Material Pick-update]]&amp;"_"&amp;DO_DB[[#This Row],[Material Name]]</f>
        <v>45854_Pole 7M 3"</v>
      </c>
      <c r="O1481" t="str">
        <f>DO_DB[[#This Row],[SiteID]]</f>
        <v>CLR64-99-066</v>
      </c>
      <c r="P1481" t="str">
        <f>DO_DB[[#This Row],[SiteID]]&amp;"_"&amp;DO_DB[[#This Row],[Material Name]]</f>
        <v>CLR64-99-066_Pole 7M 3"</v>
      </c>
      <c r="Q1481" t="str">
        <f>DO_DB[[#This Row],[DO Number]]</f>
        <v>DOEID250715K7</v>
      </c>
      <c r="R1481" t="str">
        <f>DO_DB[[#This Row],[DN Number]]</f>
        <v>DNWID1382025071519</v>
      </c>
    </row>
    <row r="1482" spans="1:18">
      <c r="A1482" t="s">
        <v>2879</v>
      </c>
      <c r="B1482" t="s">
        <v>2951</v>
      </c>
      <c r="C1482" t="s">
        <v>4482</v>
      </c>
      <c r="D1482" t="s">
        <v>71</v>
      </c>
      <c r="E1482" t="s">
        <v>25</v>
      </c>
      <c r="F1482" t="s">
        <v>3297</v>
      </c>
      <c r="G1482" t="s">
        <v>2952</v>
      </c>
      <c r="H1482" t="s">
        <v>2953</v>
      </c>
      <c r="I1482" s="130">
        <v>45854</v>
      </c>
      <c r="J1482" t="s">
        <v>14</v>
      </c>
      <c r="K1482">
        <v>2</v>
      </c>
      <c r="M14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82" t="str">
        <f>DO_DB[[#This Row],[Material Pick-update]]&amp;"_"&amp;DO_DB[[#This Row],[Material Name]]</f>
        <v>45854_FDT-48</v>
      </c>
      <c r="O1482" t="str">
        <f>DO_DB[[#This Row],[SiteID]]</f>
        <v>CLR64-99-066</v>
      </c>
      <c r="P1482" t="str">
        <f>DO_DB[[#This Row],[SiteID]]&amp;"_"&amp;DO_DB[[#This Row],[Material Name]]</f>
        <v>CLR64-99-066_FDT-48</v>
      </c>
      <c r="Q1482" t="str">
        <f>DO_DB[[#This Row],[DO Number]]</f>
        <v>DOEID250715K7</v>
      </c>
      <c r="R1482" t="str">
        <f>DO_DB[[#This Row],[DN Number]]</f>
        <v>DNWID1382025071519</v>
      </c>
    </row>
    <row r="1483" spans="1:18">
      <c r="A1483" t="s">
        <v>2879</v>
      </c>
      <c r="B1483" t="s">
        <v>2951</v>
      </c>
      <c r="C1483" t="s">
        <v>4482</v>
      </c>
      <c r="D1483" t="s">
        <v>71</v>
      </c>
      <c r="E1483" t="s">
        <v>25</v>
      </c>
      <c r="F1483" t="s">
        <v>3297</v>
      </c>
      <c r="G1483" t="s">
        <v>2952</v>
      </c>
      <c r="H1483" t="s">
        <v>2953</v>
      </c>
      <c r="I1483" s="130">
        <v>45854</v>
      </c>
      <c r="J1483" t="s">
        <v>13</v>
      </c>
      <c r="K1483">
        <v>37</v>
      </c>
      <c r="M14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83" t="str">
        <f>DO_DB[[#This Row],[Material Pick-update]]&amp;"_"&amp;DO_DB[[#This Row],[Material Name]]</f>
        <v>45854_FAT-16</v>
      </c>
      <c r="O1483" t="str">
        <f>DO_DB[[#This Row],[SiteID]]</f>
        <v>CLR64-99-066</v>
      </c>
      <c r="P1483" t="str">
        <f>DO_DB[[#This Row],[SiteID]]&amp;"_"&amp;DO_DB[[#This Row],[Material Name]]</f>
        <v>CLR64-99-066_FAT-16</v>
      </c>
      <c r="Q1483" t="str">
        <f>DO_DB[[#This Row],[DO Number]]</f>
        <v>DOEID250715K7</v>
      </c>
      <c r="R1483" t="str">
        <f>DO_DB[[#This Row],[DN Number]]</f>
        <v>DNWID1382025071519</v>
      </c>
    </row>
    <row r="1484" spans="1:18">
      <c r="A1484" t="s">
        <v>2887</v>
      </c>
      <c r="B1484" t="s">
        <v>2888</v>
      </c>
      <c r="C1484" t="s">
        <v>4482</v>
      </c>
      <c r="D1484" t="s">
        <v>71</v>
      </c>
      <c r="E1484" t="s">
        <v>25</v>
      </c>
      <c r="F1484" t="s">
        <v>3297</v>
      </c>
      <c r="G1484" t="s">
        <v>2960</v>
      </c>
      <c r="H1484" t="s">
        <v>2961</v>
      </c>
      <c r="I1484" s="130">
        <v>45854</v>
      </c>
      <c r="J1484" t="s">
        <v>3069</v>
      </c>
      <c r="K1484">
        <v>2</v>
      </c>
      <c r="M14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84" t="str">
        <f>DO_DB[[#This Row],[Material Pick-update]]&amp;"_"&amp;DO_DB[[#This Row],[Material Name]]</f>
        <v>45854_Pole 7M 4"</v>
      </c>
      <c r="O1484" t="str">
        <f>DO_DB[[#This Row],[SiteID]]</f>
        <v>CLR64-99-072</v>
      </c>
      <c r="P1484" t="str">
        <f>DO_DB[[#This Row],[SiteID]]&amp;"_"&amp;DO_DB[[#This Row],[Material Name]]</f>
        <v>CLR64-99-072_Pole 7M 4"</v>
      </c>
      <c r="Q1484" t="str">
        <f>DO_DB[[#This Row],[DO Number]]</f>
        <v>DOEID250715KN</v>
      </c>
      <c r="R1484" t="str">
        <f>DO_DB[[#This Row],[DN Number]]</f>
        <v>DNWID1382025071521</v>
      </c>
    </row>
    <row r="1485" spans="1:18">
      <c r="A1485" t="s">
        <v>2887</v>
      </c>
      <c r="B1485" t="s">
        <v>2888</v>
      </c>
      <c r="C1485" t="s">
        <v>4482</v>
      </c>
      <c r="D1485" t="s">
        <v>71</v>
      </c>
      <c r="E1485" t="s">
        <v>25</v>
      </c>
      <c r="F1485" t="s">
        <v>3297</v>
      </c>
      <c r="G1485" t="s">
        <v>2960</v>
      </c>
      <c r="H1485" t="s">
        <v>2961</v>
      </c>
      <c r="I1485" s="130">
        <v>45854</v>
      </c>
      <c r="J1485" t="s">
        <v>3070</v>
      </c>
      <c r="K1485">
        <v>77</v>
      </c>
      <c r="M14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85" t="str">
        <f>DO_DB[[#This Row],[Material Pick-update]]&amp;"_"&amp;DO_DB[[#This Row],[Material Name]]</f>
        <v>45854_Pole 7M 3"</v>
      </c>
      <c r="O1485" t="str">
        <f>DO_DB[[#This Row],[SiteID]]</f>
        <v>CLR64-99-072</v>
      </c>
      <c r="P1485" t="str">
        <f>DO_DB[[#This Row],[SiteID]]&amp;"_"&amp;DO_DB[[#This Row],[Material Name]]</f>
        <v>CLR64-99-072_Pole 7M 3"</v>
      </c>
      <c r="Q1485" t="str">
        <f>DO_DB[[#This Row],[DO Number]]</f>
        <v>DOEID250715KN</v>
      </c>
      <c r="R1485" t="str">
        <f>DO_DB[[#This Row],[DN Number]]</f>
        <v>DNWID1382025071521</v>
      </c>
    </row>
    <row r="1486" spans="1:18">
      <c r="A1486" t="s">
        <v>2887</v>
      </c>
      <c r="B1486" t="s">
        <v>2888</v>
      </c>
      <c r="C1486" t="s">
        <v>4482</v>
      </c>
      <c r="D1486" t="s">
        <v>71</v>
      </c>
      <c r="E1486" t="s">
        <v>25</v>
      </c>
      <c r="F1486" t="s">
        <v>3297</v>
      </c>
      <c r="G1486" t="s">
        <v>2960</v>
      </c>
      <c r="H1486" t="s">
        <v>2961</v>
      </c>
      <c r="I1486" s="130">
        <v>45854</v>
      </c>
      <c r="J1486" t="s">
        <v>14</v>
      </c>
      <c r="K1486">
        <v>2</v>
      </c>
      <c r="M14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86" t="str">
        <f>DO_DB[[#This Row],[Material Pick-update]]&amp;"_"&amp;DO_DB[[#This Row],[Material Name]]</f>
        <v>45854_FDT-48</v>
      </c>
      <c r="O1486" t="str">
        <f>DO_DB[[#This Row],[SiteID]]</f>
        <v>CLR64-99-072</v>
      </c>
      <c r="P1486" t="str">
        <f>DO_DB[[#This Row],[SiteID]]&amp;"_"&amp;DO_DB[[#This Row],[Material Name]]</f>
        <v>CLR64-99-072_FDT-48</v>
      </c>
      <c r="Q1486" t="str">
        <f>DO_DB[[#This Row],[DO Number]]</f>
        <v>DOEID250715KN</v>
      </c>
      <c r="R1486" t="str">
        <f>DO_DB[[#This Row],[DN Number]]</f>
        <v>DNWID1382025071521</v>
      </c>
    </row>
    <row r="1487" spans="1:18">
      <c r="A1487" t="s">
        <v>2887</v>
      </c>
      <c r="B1487" t="s">
        <v>2888</v>
      </c>
      <c r="C1487" t="s">
        <v>4482</v>
      </c>
      <c r="D1487" t="s">
        <v>71</v>
      </c>
      <c r="E1487" t="s">
        <v>25</v>
      </c>
      <c r="F1487" t="s">
        <v>3297</v>
      </c>
      <c r="G1487" t="s">
        <v>2960</v>
      </c>
      <c r="H1487" t="s">
        <v>2961</v>
      </c>
      <c r="I1487" s="130">
        <v>45854</v>
      </c>
      <c r="J1487" t="s">
        <v>13</v>
      </c>
      <c r="K1487">
        <v>35</v>
      </c>
      <c r="M14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87" t="str">
        <f>DO_DB[[#This Row],[Material Pick-update]]&amp;"_"&amp;DO_DB[[#This Row],[Material Name]]</f>
        <v>45854_FAT-16</v>
      </c>
      <c r="O1487" t="str">
        <f>DO_DB[[#This Row],[SiteID]]</f>
        <v>CLR64-99-072</v>
      </c>
      <c r="P1487" t="str">
        <f>DO_DB[[#This Row],[SiteID]]&amp;"_"&amp;DO_DB[[#This Row],[Material Name]]</f>
        <v>CLR64-99-072_FAT-16</v>
      </c>
      <c r="Q1487" t="str">
        <f>DO_DB[[#This Row],[DO Number]]</f>
        <v>DOEID250715KN</v>
      </c>
      <c r="R1487" t="str">
        <f>DO_DB[[#This Row],[DN Number]]</f>
        <v>DNWID1382025071521</v>
      </c>
    </row>
    <row r="1488" spans="1:18">
      <c r="A1488" t="s">
        <v>2945</v>
      </c>
      <c r="B1488" t="s">
        <v>2946</v>
      </c>
      <c r="C1488" t="s">
        <v>4482</v>
      </c>
      <c r="D1488" t="s">
        <v>71</v>
      </c>
      <c r="E1488" t="s">
        <v>25</v>
      </c>
      <c r="F1488" t="s">
        <v>3297</v>
      </c>
      <c r="G1488" t="s">
        <v>2947</v>
      </c>
      <c r="H1488" t="s">
        <v>2948</v>
      </c>
      <c r="I1488" s="130">
        <v>45854</v>
      </c>
      <c r="J1488" t="s">
        <v>3070</v>
      </c>
      <c r="K1488">
        <v>31</v>
      </c>
      <c r="M14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88" t="str">
        <f>DO_DB[[#This Row],[Material Pick-update]]&amp;"_"&amp;DO_DB[[#This Row],[Material Name]]</f>
        <v>45854_Pole 7M 3"</v>
      </c>
      <c r="O1488" t="str">
        <f>DO_DB[[#This Row],[SiteID]]</f>
        <v>CLR64-99-065</v>
      </c>
      <c r="P1488" t="str">
        <f>DO_DB[[#This Row],[SiteID]]&amp;"_"&amp;DO_DB[[#This Row],[Material Name]]</f>
        <v>CLR64-99-065_Pole 7M 3"</v>
      </c>
      <c r="Q1488" t="str">
        <f>DO_DB[[#This Row],[DO Number]]</f>
        <v>DOEID250715KU</v>
      </c>
      <c r="R1488" t="str">
        <f>DO_DB[[#This Row],[DN Number]]</f>
        <v>DNWID1382025071520</v>
      </c>
    </row>
    <row r="1489" spans="1:18">
      <c r="A1489" t="s">
        <v>2945</v>
      </c>
      <c r="B1489" t="s">
        <v>2946</v>
      </c>
      <c r="C1489" t="s">
        <v>4482</v>
      </c>
      <c r="D1489" t="s">
        <v>71</v>
      </c>
      <c r="E1489" t="s">
        <v>25</v>
      </c>
      <c r="F1489" t="s">
        <v>3297</v>
      </c>
      <c r="G1489" t="s">
        <v>2947</v>
      </c>
      <c r="H1489" t="s">
        <v>2948</v>
      </c>
      <c r="I1489" s="130">
        <v>45854</v>
      </c>
      <c r="J1489" t="s">
        <v>13</v>
      </c>
      <c r="K1489">
        <v>16</v>
      </c>
      <c r="M14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89" t="str">
        <f>DO_DB[[#This Row],[Material Pick-update]]&amp;"_"&amp;DO_DB[[#This Row],[Material Name]]</f>
        <v>45854_FAT-16</v>
      </c>
      <c r="O1489" t="str">
        <f>DO_DB[[#This Row],[SiteID]]</f>
        <v>CLR64-99-065</v>
      </c>
      <c r="P1489" t="str">
        <f>DO_DB[[#This Row],[SiteID]]&amp;"_"&amp;DO_DB[[#This Row],[Material Name]]</f>
        <v>CLR64-99-065_FAT-16</v>
      </c>
      <c r="Q1489" t="str">
        <f>DO_DB[[#This Row],[DO Number]]</f>
        <v>DOEID250715KU</v>
      </c>
      <c r="R1489" t="str">
        <f>DO_DB[[#This Row],[DN Number]]</f>
        <v>DNWID1382025071520</v>
      </c>
    </row>
    <row r="1490" spans="1:18">
      <c r="A1490" t="s">
        <v>2954</v>
      </c>
      <c r="B1490" t="s">
        <v>2955</v>
      </c>
      <c r="C1490" t="s">
        <v>4482</v>
      </c>
      <c r="D1490" t="s">
        <v>71</v>
      </c>
      <c r="E1490" t="s">
        <v>25</v>
      </c>
      <c r="F1490" t="s">
        <v>3297</v>
      </c>
      <c r="G1490" t="s">
        <v>2956</v>
      </c>
      <c r="H1490" t="s">
        <v>2957</v>
      </c>
      <c r="I1490" s="130">
        <v>45854</v>
      </c>
      <c r="J1490" t="s">
        <v>3069</v>
      </c>
      <c r="K1490">
        <v>1</v>
      </c>
      <c r="M14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90" t="str">
        <f>DO_DB[[#This Row],[Material Pick-update]]&amp;"_"&amp;DO_DB[[#This Row],[Material Name]]</f>
        <v>45854_Pole 7M 4"</v>
      </c>
      <c r="O1490" t="str">
        <f>DO_DB[[#This Row],[SiteID]]</f>
        <v>CLR64-99-067</v>
      </c>
      <c r="P1490" t="str">
        <f>DO_DB[[#This Row],[SiteID]]&amp;"_"&amp;DO_DB[[#This Row],[Material Name]]</f>
        <v>CLR64-99-067_Pole 7M 4"</v>
      </c>
      <c r="Q1490" t="str">
        <f>DO_DB[[#This Row],[DO Number]]</f>
        <v>DOEID250715KW</v>
      </c>
      <c r="R1490" t="str">
        <f>DO_DB[[#This Row],[DN Number]]</f>
        <v>DNWID1382025071518</v>
      </c>
    </row>
    <row r="1491" spans="1:18">
      <c r="A1491" t="s">
        <v>2954</v>
      </c>
      <c r="B1491" t="s">
        <v>2955</v>
      </c>
      <c r="C1491" t="s">
        <v>4482</v>
      </c>
      <c r="D1491" t="s">
        <v>71</v>
      </c>
      <c r="E1491" t="s">
        <v>25</v>
      </c>
      <c r="F1491" t="s">
        <v>3297</v>
      </c>
      <c r="G1491" t="s">
        <v>2956</v>
      </c>
      <c r="H1491" t="s">
        <v>2957</v>
      </c>
      <c r="I1491" s="130">
        <v>45854</v>
      </c>
      <c r="J1491" t="s">
        <v>3070</v>
      </c>
      <c r="K1491">
        <v>24</v>
      </c>
      <c r="M14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91" t="str">
        <f>DO_DB[[#This Row],[Material Pick-update]]&amp;"_"&amp;DO_DB[[#This Row],[Material Name]]</f>
        <v>45854_Pole 7M 3"</v>
      </c>
      <c r="O1491" t="str">
        <f>DO_DB[[#This Row],[SiteID]]</f>
        <v>CLR64-99-067</v>
      </c>
      <c r="P1491" t="str">
        <f>DO_DB[[#This Row],[SiteID]]&amp;"_"&amp;DO_DB[[#This Row],[Material Name]]</f>
        <v>CLR64-99-067_Pole 7M 3"</v>
      </c>
      <c r="Q1491" t="str">
        <f>DO_DB[[#This Row],[DO Number]]</f>
        <v>DOEID250715KW</v>
      </c>
      <c r="R1491" t="str">
        <f>DO_DB[[#This Row],[DN Number]]</f>
        <v>DNWID1382025071518</v>
      </c>
    </row>
    <row r="1492" spans="1:18">
      <c r="A1492" t="s">
        <v>2954</v>
      </c>
      <c r="B1492" t="s">
        <v>2955</v>
      </c>
      <c r="C1492" t="s">
        <v>4482</v>
      </c>
      <c r="D1492" t="s">
        <v>71</v>
      </c>
      <c r="E1492" t="s">
        <v>25</v>
      </c>
      <c r="F1492" t="s">
        <v>3297</v>
      </c>
      <c r="G1492" t="s">
        <v>2956</v>
      </c>
      <c r="H1492" t="s">
        <v>2957</v>
      </c>
      <c r="I1492" s="130">
        <v>45854</v>
      </c>
      <c r="J1492" t="s">
        <v>14</v>
      </c>
      <c r="K1492">
        <v>1</v>
      </c>
      <c r="M14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92" t="str">
        <f>DO_DB[[#This Row],[Material Pick-update]]&amp;"_"&amp;DO_DB[[#This Row],[Material Name]]</f>
        <v>45854_FDT-48</v>
      </c>
      <c r="O1492" t="str">
        <f>DO_DB[[#This Row],[SiteID]]</f>
        <v>CLR64-99-067</v>
      </c>
      <c r="P1492" t="str">
        <f>DO_DB[[#This Row],[SiteID]]&amp;"_"&amp;DO_DB[[#This Row],[Material Name]]</f>
        <v>CLR64-99-067_FDT-48</v>
      </c>
      <c r="Q1492" t="str">
        <f>DO_DB[[#This Row],[DO Number]]</f>
        <v>DOEID250715KW</v>
      </c>
      <c r="R1492" t="str">
        <f>DO_DB[[#This Row],[DN Number]]</f>
        <v>DNWID1382025071518</v>
      </c>
    </row>
    <row r="1493" spans="1:18">
      <c r="A1493" t="s">
        <v>2954</v>
      </c>
      <c r="B1493" t="s">
        <v>2955</v>
      </c>
      <c r="C1493" t="s">
        <v>4482</v>
      </c>
      <c r="D1493" t="s">
        <v>71</v>
      </c>
      <c r="E1493" t="s">
        <v>25</v>
      </c>
      <c r="F1493" t="s">
        <v>3297</v>
      </c>
      <c r="G1493" t="s">
        <v>2956</v>
      </c>
      <c r="H1493" t="s">
        <v>2957</v>
      </c>
      <c r="I1493" s="130">
        <v>45854</v>
      </c>
      <c r="J1493" t="s">
        <v>13</v>
      </c>
      <c r="K1493">
        <v>9</v>
      </c>
      <c r="M14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93" t="str">
        <f>DO_DB[[#This Row],[Material Pick-update]]&amp;"_"&amp;DO_DB[[#This Row],[Material Name]]</f>
        <v>45854_FAT-16</v>
      </c>
      <c r="O1493" t="str">
        <f>DO_DB[[#This Row],[SiteID]]</f>
        <v>CLR64-99-067</v>
      </c>
      <c r="P1493" t="str">
        <f>DO_DB[[#This Row],[SiteID]]&amp;"_"&amp;DO_DB[[#This Row],[Material Name]]</f>
        <v>CLR64-99-067_FAT-16</v>
      </c>
      <c r="Q1493" t="str">
        <f>DO_DB[[#This Row],[DO Number]]</f>
        <v>DOEID250715KW</v>
      </c>
      <c r="R1493" t="str">
        <f>DO_DB[[#This Row],[DN Number]]</f>
        <v>DNWID1382025071518</v>
      </c>
    </row>
    <row r="1494" spans="1:18">
      <c r="A1494" t="s">
        <v>2939</v>
      </c>
      <c r="B1494" t="s">
        <v>2940</v>
      </c>
      <c r="C1494" t="s">
        <v>4482</v>
      </c>
      <c r="D1494" t="s">
        <v>71</v>
      </c>
      <c r="E1494" t="s">
        <v>25</v>
      </c>
      <c r="F1494" t="s">
        <v>3297</v>
      </c>
      <c r="G1494" t="s">
        <v>2941</v>
      </c>
      <c r="H1494" t="s">
        <v>2942</v>
      </c>
      <c r="I1494" s="130">
        <v>45854</v>
      </c>
      <c r="J1494" t="s">
        <v>3069</v>
      </c>
      <c r="K1494">
        <v>1</v>
      </c>
      <c r="M14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94" t="str">
        <f>DO_DB[[#This Row],[Material Pick-update]]&amp;"_"&amp;DO_DB[[#This Row],[Material Name]]</f>
        <v>45854_Pole 7M 4"</v>
      </c>
      <c r="O1494" t="str">
        <f>DO_DB[[#This Row],[SiteID]]</f>
        <v>CLR64-99-064</v>
      </c>
      <c r="P1494" t="str">
        <f>DO_DB[[#This Row],[SiteID]]&amp;"_"&amp;DO_DB[[#This Row],[Material Name]]</f>
        <v>CLR64-99-064_Pole 7M 4"</v>
      </c>
      <c r="Q1494" t="str">
        <f>DO_DB[[#This Row],[DO Number]]</f>
        <v>DOEID250715LB</v>
      </c>
      <c r="R1494" t="str">
        <f>DO_DB[[#This Row],[DN Number]]</f>
        <v>DNWID1382025071626</v>
      </c>
    </row>
    <row r="1495" spans="1:18">
      <c r="A1495" t="s">
        <v>2939</v>
      </c>
      <c r="B1495" t="s">
        <v>2940</v>
      </c>
      <c r="C1495" t="s">
        <v>4482</v>
      </c>
      <c r="D1495" t="s">
        <v>71</v>
      </c>
      <c r="E1495" t="s">
        <v>25</v>
      </c>
      <c r="F1495" t="s">
        <v>3297</v>
      </c>
      <c r="G1495" t="s">
        <v>2941</v>
      </c>
      <c r="H1495" t="s">
        <v>2942</v>
      </c>
      <c r="I1495" s="130">
        <v>45854</v>
      </c>
      <c r="J1495" t="s">
        <v>3070</v>
      </c>
      <c r="K1495">
        <v>34</v>
      </c>
      <c r="M14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95" t="str">
        <f>DO_DB[[#This Row],[Material Pick-update]]&amp;"_"&amp;DO_DB[[#This Row],[Material Name]]</f>
        <v>45854_Pole 7M 3"</v>
      </c>
      <c r="O1495" t="str">
        <f>DO_DB[[#This Row],[SiteID]]</f>
        <v>CLR64-99-064</v>
      </c>
      <c r="P1495" t="str">
        <f>DO_DB[[#This Row],[SiteID]]&amp;"_"&amp;DO_DB[[#This Row],[Material Name]]</f>
        <v>CLR64-99-064_Pole 7M 3"</v>
      </c>
      <c r="Q1495" t="str">
        <f>DO_DB[[#This Row],[DO Number]]</f>
        <v>DOEID250715LB</v>
      </c>
      <c r="R1495" t="str">
        <f>DO_DB[[#This Row],[DN Number]]</f>
        <v>DNWID1382025071626</v>
      </c>
    </row>
    <row r="1496" spans="1:18">
      <c r="A1496" t="s">
        <v>2939</v>
      </c>
      <c r="B1496" t="s">
        <v>2940</v>
      </c>
      <c r="C1496" t="s">
        <v>4482</v>
      </c>
      <c r="D1496" t="s">
        <v>71</v>
      </c>
      <c r="E1496" t="s">
        <v>25</v>
      </c>
      <c r="F1496" t="s">
        <v>3297</v>
      </c>
      <c r="G1496" t="s">
        <v>2941</v>
      </c>
      <c r="H1496" t="s">
        <v>2942</v>
      </c>
      <c r="I1496" s="130">
        <v>45854</v>
      </c>
      <c r="J1496" t="s">
        <v>15</v>
      </c>
      <c r="K1496">
        <v>1</v>
      </c>
      <c r="M14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96" t="str">
        <f>DO_DB[[#This Row],[Material Pick-update]]&amp;"_"&amp;DO_DB[[#This Row],[Material Name]]</f>
        <v>45854_FDT-72</v>
      </c>
      <c r="O1496" t="str">
        <f>DO_DB[[#This Row],[SiteID]]</f>
        <v>CLR64-99-064</v>
      </c>
      <c r="P1496" t="str">
        <f>DO_DB[[#This Row],[SiteID]]&amp;"_"&amp;DO_DB[[#This Row],[Material Name]]</f>
        <v>CLR64-99-064_FDT-72</v>
      </c>
      <c r="Q1496" t="str">
        <f>DO_DB[[#This Row],[DO Number]]</f>
        <v>DOEID250715LB</v>
      </c>
      <c r="R1496" t="str">
        <f>DO_DB[[#This Row],[DN Number]]</f>
        <v>DNWID1382025071626</v>
      </c>
    </row>
    <row r="1497" spans="1:18">
      <c r="A1497" t="s">
        <v>2939</v>
      </c>
      <c r="B1497" t="s">
        <v>2940</v>
      </c>
      <c r="C1497" t="s">
        <v>4482</v>
      </c>
      <c r="D1497" t="s">
        <v>71</v>
      </c>
      <c r="E1497" t="s">
        <v>25</v>
      </c>
      <c r="F1497" t="s">
        <v>3297</v>
      </c>
      <c r="G1497" t="s">
        <v>2941</v>
      </c>
      <c r="H1497" t="s">
        <v>2942</v>
      </c>
      <c r="I1497" s="130">
        <v>45854</v>
      </c>
      <c r="J1497" t="s">
        <v>13</v>
      </c>
      <c r="K1497">
        <v>14</v>
      </c>
      <c r="M14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97" t="str">
        <f>DO_DB[[#This Row],[Material Pick-update]]&amp;"_"&amp;DO_DB[[#This Row],[Material Name]]</f>
        <v>45854_FAT-16</v>
      </c>
      <c r="O1497" t="str">
        <f>DO_DB[[#This Row],[SiteID]]</f>
        <v>CLR64-99-064</v>
      </c>
      <c r="P1497" t="str">
        <f>DO_DB[[#This Row],[SiteID]]&amp;"_"&amp;DO_DB[[#This Row],[Material Name]]</f>
        <v>CLR64-99-064_FAT-16</v>
      </c>
      <c r="Q1497" t="str">
        <f>DO_DB[[#This Row],[DO Number]]</f>
        <v>DOEID250715LB</v>
      </c>
      <c r="R1497" t="str">
        <f>DO_DB[[#This Row],[DN Number]]</f>
        <v>DNWID1382025071626</v>
      </c>
    </row>
    <row r="1498" spans="1:18">
      <c r="A1498" t="s">
        <v>2696</v>
      </c>
      <c r="B1498" t="s">
        <v>2697</v>
      </c>
      <c r="C1498" t="s">
        <v>4482</v>
      </c>
      <c r="D1498" t="s">
        <v>71</v>
      </c>
      <c r="E1498" t="s">
        <v>25</v>
      </c>
      <c r="F1498" t="s">
        <v>3297</v>
      </c>
      <c r="G1498" t="s">
        <v>2933</v>
      </c>
      <c r="H1498" t="s">
        <v>2934</v>
      </c>
      <c r="I1498" s="130">
        <v>45854</v>
      </c>
      <c r="J1498" t="s">
        <v>14</v>
      </c>
      <c r="K1498">
        <v>3</v>
      </c>
      <c r="M14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98" t="str">
        <f>DO_DB[[#This Row],[Material Pick-update]]&amp;"_"&amp;DO_DB[[#This Row],[Material Name]]</f>
        <v>45854_FDT-48</v>
      </c>
      <c r="O1498" t="str">
        <f>DO_DB[[#This Row],[SiteID]]</f>
        <v>CLR64-99-031</v>
      </c>
      <c r="P1498" t="str">
        <f>DO_DB[[#This Row],[SiteID]]&amp;"_"&amp;DO_DB[[#This Row],[Material Name]]</f>
        <v>CLR64-99-031_FDT-48</v>
      </c>
      <c r="Q1498" t="str">
        <f>DO_DB[[#This Row],[DO Number]]</f>
        <v>DOEID250715MJ</v>
      </c>
      <c r="R1498" t="str">
        <f>DO_DB[[#This Row],[DN Number]]</f>
        <v>DNWID1382025071627</v>
      </c>
    </row>
    <row r="1499" spans="1:18">
      <c r="A1499" t="s">
        <v>2696</v>
      </c>
      <c r="B1499" t="s">
        <v>2697</v>
      </c>
      <c r="C1499" t="s">
        <v>4482</v>
      </c>
      <c r="D1499" t="s">
        <v>71</v>
      </c>
      <c r="E1499" t="s">
        <v>25</v>
      </c>
      <c r="F1499" t="s">
        <v>3297</v>
      </c>
      <c r="G1499" t="s">
        <v>2933</v>
      </c>
      <c r="H1499" t="s">
        <v>2934</v>
      </c>
      <c r="I1499" s="130">
        <v>45854</v>
      </c>
      <c r="J1499" t="s">
        <v>13</v>
      </c>
      <c r="K1499">
        <v>40</v>
      </c>
      <c r="M14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499" t="str">
        <f>DO_DB[[#This Row],[Material Pick-update]]&amp;"_"&amp;DO_DB[[#This Row],[Material Name]]</f>
        <v>45854_FAT-16</v>
      </c>
      <c r="O1499" t="str">
        <f>DO_DB[[#This Row],[SiteID]]</f>
        <v>CLR64-99-031</v>
      </c>
      <c r="P1499" t="str">
        <f>DO_DB[[#This Row],[SiteID]]&amp;"_"&amp;DO_DB[[#This Row],[Material Name]]</f>
        <v>CLR64-99-031_FAT-16</v>
      </c>
      <c r="Q1499" t="str">
        <f>DO_DB[[#This Row],[DO Number]]</f>
        <v>DOEID250715MJ</v>
      </c>
      <c r="R1499" t="str">
        <f>DO_DB[[#This Row],[DN Number]]</f>
        <v>DNWID1382025071627</v>
      </c>
    </row>
    <row r="1500" spans="1:18">
      <c r="A1500" t="s">
        <v>2700</v>
      </c>
      <c r="B1500" t="s">
        <v>2701</v>
      </c>
      <c r="C1500" t="s">
        <v>4482</v>
      </c>
      <c r="D1500" t="s">
        <v>71</v>
      </c>
      <c r="E1500" t="s">
        <v>25</v>
      </c>
      <c r="F1500" t="s">
        <v>3297</v>
      </c>
      <c r="G1500" t="s">
        <v>2937</v>
      </c>
      <c r="H1500" t="s">
        <v>2938</v>
      </c>
      <c r="I1500" s="130">
        <v>45854</v>
      </c>
      <c r="J1500" t="s">
        <v>14</v>
      </c>
      <c r="K1500">
        <v>3</v>
      </c>
      <c r="M15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00" t="str">
        <f>DO_DB[[#This Row],[Material Pick-update]]&amp;"_"&amp;DO_DB[[#This Row],[Material Name]]</f>
        <v>45854_FDT-48</v>
      </c>
      <c r="O1500" t="str">
        <f>DO_DB[[#This Row],[SiteID]]</f>
        <v>CLR64-99-032</v>
      </c>
      <c r="P1500" t="str">
        <f>DO_DB[[#This Row],[SiteID]]&amp;"_"&amp;DO_DB[[#This Row],[Material Name]]</f>
        <v>CLR64-99-032_FDT-48</v>
      </c>
      <c r="Q1500" t="str">
        <f>DO_DB[[#This Row],[DO Number]]</f>
        <v>DOEID250715MM</v>
      </c>
      <c r="R1500" t="str">
        <f>DO_DB[[#This Row],[DN Number]]</f>
        <v>DNWID1382025071628</v>
      </c>
    </row>
    <row r="1501" spans="1:18">
      <c r="A1501" t="s">
        <v>2700</v>
      </c>
      <c r="B1501" t="s">
        <v>2701</v>
      </c>
      <c r="C1501" t="s">
        <v>4482</v>
      </c>
      <c r="D1501" t="s">
        <v>71</v>
      </c>
      <c r="E1501" t="s">
        <v>25</v>
      </c>
      <c r="F1501" t="s">
        <v>3297</v>
      </c>
      <c r="G1501" t="s">
        <v>2937</v>
      </c>
      <c r="H1501" t="s">
        <v>2938</v>
      </c>
      <c r="I1501" s="130">
        <v>45854</v>
      </c>
      <c r="J1501" t="s">
        <v>13</v>
      </c>
      <c r="K1501">
        <v>52</v>
      </c>
      <c r="M15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01" t="str">
        <f>DO_DB[[#This Row],[Material Pick-update]]&amp;"_"&amp;DO_DB[[#This Row],[Material Name]]</f>
        <v>45854_FAT-16</v>
      </c>
      <c r="O1501" t="str">
        <f>DO_DB[[#This Row],[SiteID]]</f>
        <v>CLR64-99-032</v>
      </c>
      <c r="P1501" t="str">
        <f>DO_DB[[#This Row],[SiteID]]&amp;"_"&amp;DO_DB[[#This Row],[Material Name]]</f>
        <v>CLR64-99-032_FAT-16</v>
      </c>
      <c r="Q1501" t="str">
        <f>DO_DB[[#This Row],[DO Number]]</f>
        <v>DOEID250715MM</v>
      </c>
      <c r="R1501" t="str">
        <f>DO_DB[[#This Row],[DN Number]]</f>
        <v>DNWID1382025071628</v>
      </c>
    </row>
    <row r="1502" spans="1:18">
      <c r="A1502" t="s">
        <v>2925</v>
      </c>
      <c r="B1502" t="s">
        <v>2844</v>
      </c>
      <c r="C1502" t="s">
        <v>4482</v>
      </c>
      <c r="D1502" t="s">
        <v>71</v>
      </c>
      <c r="E1502" t="s">
        <v>24</v>
      </c>
      <c r="F1502" t="s">
        <v>3297</v>
      </c>
      <c r="G1502" t="s">
        <v>2931</v>
      </c>
      <c r="H1502" t="s">
        <v>2932</v>
      </c>
      <c r="I1502" s="130">
        <v>45854</v>
      </c>
      <c r="J1502" t="s">
        <v>3073</v>
      </c>
      <c r="K1502">
        <v>3000</v>
      </c>
      <c r="M15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24C-2025716-01</v>
      </c>
      <c r="N1502" t="str">
        <f>DO_DB[[#This Row],[Material Pick-update]]&amp;"_"&amp;DO_DB[[#This Row],[Material Name]]</f>
        <v>45854_ADSS 24C</v>
      </c>
      <c r="O1502" t="str">
        <f>DO_DB[[#This Row],[SiteID]]</f>
        <v>CLR51-99-264</v>
      </c>
      <c r="P1502" t="str">
        <f>DO_DB[[#This Row],[SiteID]]&amp;"_"&amp;DO_DB[[#This Row],[Material Name]]</f>
        <v>CLR51-99-264_ADSS 24C</v>
      </c>
      <c r="Q1502" t="str">
        <f>DO_DB[[#This Row],[DO Number]]</f>
        <v>DOEID250711EL</v>
      </c>
      <c r="R1502" t="str">
        <f>DO_DB[[#This Row],[DN Number]]</f>
        <v>DNWID1372025071103</v>
      </c>
    </row>
    <row r="1503" spans="1:18">
      <c r="A1503" t="s">
        <v>2710</v>
      </c>
      <c r="B1503" t="s">
        <v>2711</v>
      </c>
      <c r="C1503" s="172" t="s">
        <v>4482</v>
      </c>
      <c r="D1503" t="s">
        <v>71</v>
      </c>
      <c r="E1503" t="s">
        <v>26</v>
      </c>
      <c r="F1503" t="s">
        <v>3297</v>
      </c>
      <c r="G1503" t="s">
        <v>2929</v>
      </c>
      <c r="H1503" t="s">
        <v>2930</v>
      </c>
      <c r="I1503" s="130">
        <v>45854</v>
      </c>
      <c r="J1503" t="s">
        <v>4856</v>
      </c>
      <c r="K1503">
        <v>2</v>
      </c>
      <c r="M15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03" t="str">
        <f>DO_DB[[#This Row],[Material Pick-update]]&amp;"_"&amp;DO_DB[[#This Row],[Material Name]]</f>
        <v>45854_JC 144Core</v>
      </c>
      <c r="O1503" t="str">
        <f>DO_DB[[#This Row],[SiteID]]</f>
        <v>CLR31-99-115</v>
      </c>
      <c r="P1503" t="str">
        <f>DO_DB[[#This Row],[SiteID]]&amp;"_"&amp;DO_DB[[#This Row],[Material Name]]</f>
        <v>CLR31-99-115_JC 144Core</v>
      </c>
      <c r="Q1503" t="str">
        <f>DO_DB[[#This Row],[DO Number]]</f>
        <v>DOEID250715CJ</v>
      </c>
      <c r="R1503" t="str">
        <f>DO_DB[[#This Row],[DN Number]]</f>
        <v>DNWID1382025071516</v>
      </c>
    </row>
    <row r="1504" spans="1:18">
      <c r="A1504" t="s">
        <v>2714</v>
      </c>
      <c r="B1504" t="s">
        <v>2715</v>
      </c>
      <c r="C1504" t="s">
        <v>4482</v>
      </c>
      <c r="D1504" t="s">
        <v>71</v>
      </c>
      <c r="E1504" t="s">
        <v>709</v>
      </c>
      <c r="F1504" t="s">
        <v>3297</v>
      </c>
      <c r="G1504" t="s">
        <v>2970</v>
      </c>
      <c r="H1504" t="s">
        <v>2971</v>
      </c>
      <c r="I1504" s="130">
        <v>45869</v>
      </c>
      <c r="J1504" t="s">
        <v>3073</v>
      </c>
      <c r="K1504">
        <v>3000</v>
      </c>
      <c r="M15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24C-2025731-01</v>
      </c>
      <c r="N1504" t="str">
        <f>DO_DB[[#This Row],[Material Pick-update]]&amp;"_"&amp;DO_DB[[#This Row],[Material Name]]</f>
        <v>45869_ADSS 24C</v>
      </c>
      <c r="O1504" t="str">
        <f>DO_DB[[#This Row],[SiteID]]</f>
        <v>CLR31-99-082</v>
      </c>
      <c r="P1504" t="str">
        <f>DO_DB[[#This Row],[SiteID]]&amp;"_"&amp;DO_DB[[#This Row],[Material Name]]</f>
        <v>CLR31-99-082_ADSS 24C</v>
      </c>
      <c r="Q1504" t="str">
        <f>DO_DB[[#This Row],[DO Number]]</f>
        <v>DOEID25072955</v>
      </c>
      <c r="R1504" t="str">
        <f>DO_DB[[#This Row],[DN Number]]</f>
        <v>DNWID1372025072902</v>
      </c>
    </row>
    <row r="1505" spans="1:18">
      <c r="A1505" t="s">
        <v>2873</v>
      </c>
      <c r="B1505" t="s">
        <v>2874</v>
      </c>
      <c r="C1505" t="s">
        <v>4482</v>
      </c>
      <c r="D1505" t="s">
        <v>71</v>
      </c>
      <c r="E1505" t="s">
        <v>709</v>
      </c>
      <c r="F1505" t="s">
        <v>3297</v>
      </c>
      <c r="G1505" t="s">
        <v>2964</v>
      </c>
      <c r="H1505" t="s">
        <v>2965</v>
      </c>
      <c r="I1505" s="130">
        <v>45869</v>
      </c>
      <c r="J1505" t="s">
        <v>3073</v>
      </c>
      <c r="K1505">
        <v>3000</v>
      </c>
      <c r="M15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24C-2025731-01</v>
      </c>
      <c r="N1505" t="str">
        <f>DO_DB[[#This Row],[Material Pick-update]]&amp;"_"&amp;DO_DB[[#This Row],[Material Name]]</f>
        <v>45869_ADSS 24C</v>
      </c>
      <c r="O1505" t="str">
        <f>DO_DB[[#This Row],[SiteID]]</f>
        <v>CLR41-99-076</v>
      </c>
      <c r="P1505" t="str">
        <f>DO_DB[[#This Row],[SiteID]]&amp;"_"&amp;DO_DB[[#This Row],[Material Name]]</f>
        <v>CLR41-99-076_ADSS 24C</v>
      </c>
      <c r="Q1505" t="str">
        <f>DO_DB[[#This Row],[DO Number]]</f>
        <v>DOEID25073037</v>
      </c>
      <c r="R1505" t="str">
        <f>DO_DB[[#This Row],[DN Number]]</f>
        <v>DNWID1372025073003</v>
      </c>
    </row>
    <row r="1506" spans="1:18">
      <c r="A1506" t="s">
        <v>2966</v>
      </c>
      <c r="B1506" t="s">
        <v>2967</v>
      </c>
      <c r="C1506" t="s">
        <v>4482</v>
      </c>
      <c r="D1506" t="s">
        <v>71</v>
      </c>
      <c r="E1506" t="s">
        <v>709</v>
      </c>
      <c r="F1506" t="s">
        <v>3297</v>
      </c>
      <c r="G1506" t="s">
        <v>2978</v>
      </c>
      <c r="H1506" t="s">
        <v>2979</v>
      </c>
      <c r="I1506" s="130">
        <v>45869</v>
      </c>
      <c r="J1506" t="s">
        <v>3073</v>
      </c>
      <c r="K1506">
        <v>3000</v>
      </c>
      <c r="M15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24C-2025731-01</v>
      </c>
      <c r="N1506" t="str">
        <f>DO_DB[[#This Row],[Material Pick-update]]&amp;"_"&amp;DO_DB[[#This Row],[Material Name]]</f>
        <v>45869_ADSS 24C</v>
      </c>
      <c r="O1506" t="str">
        <f>DO_DB[[#This Row],[SiteID]]</f>
        <v>CLR41-99-119</v>
      </c>
      <c r="P1506" t="str">
        <f>DO_DB[[#This Row],[SiteID]]&amp;"_"&amp;DO_DB[[#This Row],[Material Name]]</f>
        <v>CLR41-99-119_ADSS 24C</v>
      </c>
      <c r="Q1506" t="str">
        <f>DO_DB[[#This Row],[DO Number]]</f>
        <v>DOEID25073040</v>
      </c>
      <c r="R1506" t="str">
        <f>DO_DB[[#This Row],[DN Number]]</f>
        <v>DNWID1372025073101</v>
      </c>
    </row>
    <row r="1507" spans="1:18">
      <c r="A1507" t="s">
        <v>2972</v>
      </c>
      <c r="B1507" t="s">
        <v>2973</v>
      </c>
      <c r="C1507" t="s">
        <v>4482</v>
      </c>
      <c r="D1507" t="s">
        <v>71</v>
      </c>
      <c r="E1507" t="s">
        <v>709</v>
      </c>
      <c r="F1507" t="s">
        <v>3297</v>
      </c>
      <c r="G1507" t="s">
        <v>2976</v>
      </c>
      <c r="H1507" t="s">
        <v>2977</v>
      </c>
      <c r="I1507" s="130">
        <v>45869</v>
      </c>
      <c r="J1507" t="s">
        <v>3073</v>
      </c>
      <c r="K1507">
        <v>3000</v>
      </c>
      <c r="M15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24C-2025731-01</v>
      </c>
      <c r="N1507" t="str">
        <f>DO_DB[[#This Row],[Material Pick-update]]&amp;"_"&amp;DO_DB[[#This Row],[Material Name]]</f>
        <v>45869_ADSS 24C</v>
      </c>
      <c r="O1507" t="str">
        <f>DO_DB[[#This Row],[SiteID]]</f>
        <v>CLR41-03-072</v>
      </c>
      <c r="P1507" t="str">
        <f>DO_DB[[#This Row],[SiteID]]&amp;"_"&amp;DO_DB[[#This Row],[Material Name]]</f>
        <v>CLR41-03-072_ADSS 24C</v>
      </c>
      <c r="Q1507" t="str">
        <f>DO_DB[[#This Row],[DO Number]]</f>
        <v>DOEID25073042</v>
      </c>
      <c r="R1507" t="str">
        <f>DO_DB[[#This Row],[DN Number]]</f>
        <v>DNWID1372025073002</v>
      </c>
    </row>
    <row r="1508" spans="1:18">
      <c r="A1508" t="s">
        <v>2966</v>
      </c>
      <c r="B1508" t="s">
        <v>2967</v>
      </c>
      <c r="C1508" t="s">
        <v>4482</v>
      </c>
      <c r="D1508" t="s">
        <v>71</v>
      </c>
      <c r="E1508" t="s">
        <v>709</v>
      </c>
      <c r="F1508" t="s">
        <v>3297</v>
      </c>
      <c r="G1508" t="s">
        <v>2968</v>
      </c>
      <c r="H1508" t="s">
        <v>2969</v>
      </c>
      <c r="I1508" s="130">
        <v>45869</v>
      </c>
      <c r="J1508" t="s">
        <v>14</v>
      </c>
      <c r="K1508">
        <v>1</v>
      </c>
      <c r="M15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08" t="str">
        <f>DO_DB[[#This Row],[Material Pick-update]]&amp;"_"&amp;DO_DB[[#This Row],[Material Name]]</f>
        <v>45869_FDT-48</v>
      </c>
      <c r="O1508" t="str">
        <f>DO_DB[[#This Row],[SiteID]]</f>
        <v>CLR41-99-119</v>
      </c>
      <c r="P1508" t="str">
        <f>DO_DB[[#This Row],[SiteID]]&amp;"_"&amp;DO_DB[[#This Row],[Material Name]]</f>
        <v>CLR41-99-119_FDT-48</v>
      </c>
      <c r="Q1508" t="str">
        <f>DO_DB[[#This Row],[DO Number]]</f>
        <v>DOEID25073039</v>
      </c>
      <c r="R1508" t="str">
        <f>DO_DB[[#This Row],[DN Number]]</f>
        <v>DNWID1382025073101</v>
      </c>
    </row>
    <row r="1509" spans="1:18">
      <c r="A1509" t="s">
        <v>2966</v>
      </c>
      <c r="B1509" t="s">
        <v>2967</v>
      </c>
      <c r="C1509" t="s">
        <v>4482</v>
      </c>
      <c r="D1509" t="s">
        <v>71</v>
      </c>
      <c r="E1509" t="s">
        <v>709</v>
      </c>
      <c r="F1509" t="s">
        <v>3297</v>
      </c>
      <c r="G1509" t="s">
        <v>2968</v>
      </c>
      <c r="H1509" t="s">
        <v>2969</v>
      </c>
      <c r="I1509" s="130">
        <v>45869</v>
      </c>
      <c r="J1509" t="s">
        <v>4856</v>
      </c>
      <c r="K1509">
        <v>1</v>
      </c>
      <c r="M15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09" t="str">
        <f>DO_DB[[#This Row],[Material Pick-update]]&amp;"_"&amp;DO_DB[[#This Row],[Material Name]]</f>
        <v>45869_JC 144Core</v>
      </c>
      <c r="O1509" t="str">
        <f>DO_DB[[#This Row],[SiteID]]</f>
        <v>CLR41-99-119</v>
      </c>
      <c r="P1509" t="str">
        <f>DO_DB[[#This Row],[SiteID]]&amp;"_"&amp;DO_DB[[#This Row],[Material Name]]</f>
        <v>CLR41-99-119_JC 144Core</v>
      </c>
      <c r="Q1509" t="str">
        <f>DO_DB[[#This Row],[DO Number]]</f>
        <v>DOEID25073039</v>
      </c>
      <c r="R1509" t="str">
        <f>DO_DB[[#This Row],[DN Number]]</f>
        <v>DNWID1382025073101</v>
      </c>
    </row>
    <row r="1510" spans="1:18">
      <c r="A1510" t="s">
        <v>2972</v>
      </c>
      <c r="B1510" t="s">
        <v>2973</v>
      </c>
      <c r="C1510" t="s">
        <v>4482</v>
      </c>
      <c r="D1510" t="s">
        <v>71</v>
      </c>
      <c r="E1510" t="s">
        <v>709</v>
      </c>
      <c r="F1510" t="s">
        <v>3297</v>
      </c>
      <c r="G1510" t="s">
        <v>2974</v>
      </c>
      <c r="H1510" t="s">
        <v>2975</v>
      </c>
      <c r="I1510" s="130">
        <v>45869</v>
      </c>
      <c r="J1510" t="s">
        <v>14</v>
      </c>
      <c r="K1510">
        <v>1</v>
      </c>
      <c r="M15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10" t="str">
        <f>DO_DB[[#This Row],[Material Pick-update]]&amp;"_"&amp;DO_DB[[#This Row],[Material Name]]</f>
        <v>45869_FDT-48</v>
      </c>
      <c r="O1510" t="str">
        <f>DO_DB[[#This Row],[SiteID]]</f>
        <v>CLR41-03-072</v>
      </c>
      <c r="P1510" t="str">
        <f>DO_DB[[#This Row],[SiteID]]&amp;"_"&amp;DO_DB[[#This Row],[Material Name]]</f>
        <v>CLR41-03-072_FDT-48</v>
      </c>
      <c r="Q1510" t="str">
        <f>DO_DB[[#This Row],[DO Number]]</f>
        <v>DOEID25073041</v>
      </c>
      <c r="R1510" t="str">
        <f>DO_DB[[#This Row],[DN Number]]</f>
        <v>DNWID1382025073007</v>
      </c>
    </row>
    <row r="1511" spans="1:18">
      <c r="A1511" t="s">
        <v>2837</v>
      </c>
      <c r="B1511" t="s">
        <v>2838</v>
      </c>
      <c r="C1511" t="s">
        <v>4482</v>
      </c>
      <c r="D1511" t="s">
        <v>71</v>
      </c>
      <c r="E1511" t="s">
        <v>25</v>
      </c>
      <c r="F1511" t="s">
        <v>3297</v>
      </c>
      <c r="G1511" t="s">
        <v>2990</v>
      </c>
      <c r="H1511" t="s">
        <v>2991</v>
      </c>
      <c r="I1511" s="130">
        <v>45877</v>
      </c>
      <c r="J1511" t="s">
        <v>3069</v>
      </c>
      <c r="K1511">
        <v>70</v>
      </c>
      <c r="M15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11" t="str">
        <f>DO_DB[[#This Row],[Material Pick-update]]&amp;"_"&amp;DO_DB[[#This Row],[Material Name]]</f>
        <v>45877_Pole 7M 4"</v>
      </c>
      <c r="O1511" t="str">
        <f>DO_DB[[#This Row],[SiteID]]</f>
        <v>CLR64-99-071</v>
      </c>
      <c r="P1511" t="str">
        <f>DO_DB[[#This Row],[SiteID]]&amp;"_"&amp;DO_DB[[#This Row],[Material Name]]</f>
        <v>CLR64-99-071_Pole 7M 4"</v>
      </c>
      <c r="Q1511" t="str">
        <f>DO_DB[[#This Row],[DO Number]]</f>
        <v>DOEID250807A1</v>
      </c>
      <c r="R1511" t="str">
        <f>DO_DB[[#This Row],[DN Number]]</f>
        <v>DNWID1382025080811</v>
      </c>
    </row>
    <row r="1512" spans="1:18">
      <c r="A1512" t="s">
        <v>2837</v>
      </c>
      <c r="B1512" t="s">
        <v>2838</v>
      </c>
      <c r="C1512" t="s">
        <v>4482</v>
      </c>
      <c r="D1512" t="s">
        <v>71</v>
      </c>
      <c r="E1512" t="s">
        <v>25</v>
      </c>
      <c r="F1512" t="s">
        <v>3297</v>
      </c>
      <c r="G1512" t="s">
        <v>2990</v>
      </c>
      <c r="H1512" t="s">
        <v>2991</v>
      </c>
      <c r="I1512" s="130">
        <v>45877</v>
      </c>
      <c r="J1512" t="s">
        <v>4856</v>
      </c>
      <c r="K1512">
        <v>6</v>
      </c>
      <c r="M15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12" t="str">
        <f>DO_DB[[#This Row],[Material Pick-update]]&amp;"_"&amp;DO_DB[[#This Row],[Material Name]]</f>
        <v>45877_JC 144Core</v>
      </c>
      <c r="O1512" t="str">
        <f>DO_DB[[#This Row],[SiteID]]</f>
        <v>CLR64-99-071</v>
      </c>
      <c r="P1512" t="str">
        <f>DO_DB[[#This Row],[SiteID]]&amp;"_"&amp;DO_DB[[#This Row],[Material Name]]</f>
        <v>CLR64-99-071_JC 144Core</v>
      </c>
      <c r="Q1512" t="str">
        <f>DO_DB[[#This Row],[DO Number]]</f>
        <v>DOEID250807A1</v>
      </c>
      <c r="R1512" t="str">
        <f>DO_DB[[#This Row],[DN Number]]</f>
        <v>DNWID1382025080811</v>
      </c>
    </row>
    <row r="1513" spans="1:18">
      <c r="A1513" t="s">
        <v>2980</v>
      </c>
      <c r="B1513" t="s">
        <v>2981</v>
      </c>
      <c r="C1513" t="s">
        <v>4482</v>
      </c>
      <c r="D1513" t="s">
        <v>71</v>
      </c>
      <c r="E1513" t="s">
        <v>709</v>
      </c>
      <c r="F1513" t="s">
        <v>3297</v>
      </c>
      <c r="G1513" t="s">
        <v>2982</v>
      </c>
      <c r="H1513" t="s">
        <v>2983</v>
      </c>
      <c r="I1513" s="130">
        <v>45877</v>
      </c>
      <c r="J1513" t="s">
        <v>3070</v>
      </c>
      <c r="K1513">
        <v>16</v>
      </c>
      <c r="M15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13" t="str">
        <f>DO_DB[[#This Row],[Material Pick-update]]&amp;"_"&amp;DO_DB[[#This Row],[Material Name]]</f>
        <v>45877_Pole 7M 3"</v>
      </c>
      <c r="O1513" t="str">
        <f>DO_DB[[#This Row],[SiteID]]</f>
        <v>CLR41-03-064</v>
      </c>
      <c r="P1513" t="str">
        <f>DO_DB[[#This Row],[SiteID]]&amp;"_"&amp;DO_DB[[#This Row],[Material Name]]</f>
        <v>CLR41-03-064_Pole 7M 3"</v>
      </c>
      <c r="Q1513" t="str">
        <f>DO_DB[[#This Row],[DO Number]]</f>
        <v>DOEID25073038</v>
      </c>
      <c r="R1513" t="str">
        <f>DO_DB[[#This Row],[DN Number]]</f>
        <v>DNWID1382025080701</v>
      </c>
    </row>
    <row r="1514" spans="1:18">
      <c r="A1514" t="s">
        <v>2873</v>
      </c>
      <c r="B1514" t="s">
        <v>2874</v>
      </c>
      <c r="C1514" t="s">
        <v>4482</v>
      </c>
      <c r="D1514" t="s">
        <v>71</v>
      </c>
      <c r="E1514" t="s">
        <v>709</v>
      </c>
      <c r="F1514" t="s">
        <v>3297</v>
      </c>
      <c r="G1514" t="s">
        <v>2986</v>
      </c>
      <c r="H1514" t="s">
        <v>2987</v>
      </c>
      <c r="I1514" s="130">
        <v>45877</v>
      </c>
      <c r="J1514" t="s">
        <v>3070</v>
      </c>
      <c r="K1514">
        <v>11</v>
      </c>
      <c r="M15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14" t="str">
        <f>DO_DB[[#This Row],[Material Pick-update]]&amp;"_"&amp;DO_DB[[#This Row],[Material Name]]</f>
        <v>45877_Pole 7M 3"</v>
      </c>
      <c r="O1514" t="str">
        <f>DO_DB[[#This Row],[SiteID]]</f>
        <v>CLR41-99-076</v>
      </c>
      <c r="P1514" t="str">
        <f>DO_DB[[#This Row],[SiteID]]&amp;"_"&amp;DO_DB[[#This Row],[Material Name]]</f>
        <v>CLR41-99-076_Pole 7M 3"</v>
      </c>
      <c r="Q1514" t="str">
        <f>DO_DB[[#This Row],[DO Number]]</f>
        <v>DOEID250807A3</v>
      </c>
      <c r="R1514" t="str">
        <f>DO_DB[[#This Row],[DN Number]]</f>
        <v>DNWID1382025080705</v>
      </c>
    </row>
    <row r="1515" spans="1:18">
      <c r="A1515" t="s">
        <v>2966</v>
      </c>
      <c r="B1515" t="s">
        <v>2967</v>
      </c>
      <c r="C1515" t="s">
        <v>4482</v>
      </c>
      <c r="D1515" t="s">
        <v>71</v>
      </c>
      <c r="E1515" t="s">
        <v>709</v>
      </c>
      <c r="F1515" t="s">
        <v>3297</v>
      </c>
      <c r="G1515" t="s">
        <v>2988</v>
      </c>
      <c r="H1515" t="s">
        <v>2989</v>
      </c>
      <c r="I1515" s="130">
        <v>45877</v>
      </c>
      <c r="J1515" t="s">
        <v>3070</v>
      </c>
      <c r="K1515">
        <v>40</v>
      </c>
      <c r="M15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15" t="str">
        <f>DO_DB[[#This Row],[Material Pick-update]]&amp;"_"&amp;DO_DB[[#This Row],[Material Name]]</f>
        <v>45877_Pole 7M 3"</v>
      </c>
      <c r="O1515" t="str">
        <f>DO_DB[[#This Row],[SiteID]]</f>
        <v>CLR41-99-119</v>
      </c>
      <c r="P1515" t="str">
        <f>DO_DB[[#This Row],[SiteID]]&amp;"_"&amp;DO_DB[[#This Row],[Material Name]]</f>
        <v>CLR41-99-119_Pole 7M 3"</v>
      </c>
      <c r="Q1515" t="str">
        <f>DO_DB[[#This Row],[DO Number]]</f>
        <v>DOEID250807A5</v>
      </c>
      <c r="R1515" t="str">
        <f>DO_DB[[#This Row],[DN Number]]</f>
        <v>DNWID1382025080702</v>
      </c>
    </row>
    <row r="1516" spans="1:18">
      <c r="A1516" t="s">
        <v>2972</v>
      </c>
      <c r="B1516" t="s">
        <v>2973</v>
      </c>
      <c r="C1516" t="s">
        <v>4482</v>
      </c>
      <c r="D1516" t="s">
        <v>71</v>
      </c>
      <c r="E1516" t="s">
        <v>709</v>
      </c>
      <c r="F1516" t="s">
        <v>3297</v>
      </c>
      <c r="G1516" t="s">
        <v>2984</v>
      </c>
      <c r="H1516" t="s">
        <v>2985</v>
      </c>
      <c r="I1516" s="130">
        <v>45877</v>
      </c>
      <c r="J1516" t="s">
        <v>3070</v>
      </c>
      <c r="K1516">
        <v>26</v>
      </c>
      <c r="M15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16" t="str">
        <f>DO_DB[[#This Row],[Material Pick-update]]&amp;"_"&amp;DO_DB[[#This Row],[Material Name]]</f>
        <v>45877_Pole 7M 3"</v>
      </c>
      <c r="O1516" t="str">
        <f>DO_DB[[#This Row],[SiteID]]</f>
        <v>CLR41-03-072</v>
      </c>
      <c r="P1516" t="str">
        <f>DO_DB[[#This Row],[SiteID]]&amp;"_"&amp;DO_DB[[#This Row],[Material Name]]</f>
        <v>CLR41-03-072_Pole 7M 3"</v>
      </c>
      <c r="Q1516" t="str">
        <f>DO_DB[[#This Row],[DO Number]]</f>
        <v>DOEID250807A6</v>
      </c>
      <c r="R1516" t="str">
        <f>DO_DB[[#This Row],[DN Number]]</f>
        <v>DNWID1382025080703</v>
      </c>
    </row>
    <row r="1517" spans="1:18">
      <c r="A1517" t="s">
        <v>2837</v>
      </c>
      <c r="B1517" t="s">
        <v>2838</v>
      </c>
      <c r="C1517" t="s">
        <v>4482</v>
      </c>
      <c r="D1517" t="s">
        <v>71</v>
      </c>
      <c r="E1517" t="s">
        <v>25</v>
      </c>
      <c r="F1517" t="s">
        <v>3297</v>
      </c>
      <c r="G1517" t="s">
        <v>3656</v>
      </c>
      <c r="H1517" t="s">
        <v>3657</v>
      </c>
      <c r="I1517" s="130">
        <v>45896</v>
      </c>
      <c r="J1517" t="s">
        <v>3073</v>
      </c>
      <c r="K1517">
        <v>3000</v>
      </c>
      <c r="M15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24C-2025827-01</v>
      </c>
      <c r="N1517" t="str">
        <f>DO_DB[[#This Row],[Material Pick-update]]&amp;"_"&amp;DO_DB[[#This Row],[Material Name]]</f>
        <v>45896_ADSS 24C</v>
      </c>
      <c r="O1517" t="str">
        <f>DO_DB[[#This Row],[SiteID]]</f>
        <v>CLR64-99-071</v>
      </c>
      <c r="P1517" t="str">
        <f>DO_DB[[#This Row],[SiteID]]&amp;"_"&amp;DO_DB[[#This Row],[Material Name]]</f>
        <v>CLR64-99-071_ADSS 24C</v>
      </c>
      <c r="Q1517" t="str">
        <f>DO_DB[[#This Row],[DO Number]]</f>
        <v>DOEID25082619</v>
      </c>
      <c r="R1517" t="str">
        <f>DO_DB[[#This Row],[DN Number]]</f>
        <v>DNWID1382025082609</v>
      </c>
    </row>
    <row r="1518" spans="1:18">
      <c r="A1518" t="s">
        <v>2887</v>
      </c>
      <c r="B1518" t="s">
        <v>3651</v>
      </c>
      <c r="C1518" t="s">
        <v>4482</v>
      </c>
      <c r="D1518" t="s">
        <v>71</v>
      </c>
      <c r="E1518" t="s">
        <v>25</v>
      </c>
      <c r="F1518" t="s">
        <v>3297</v>
      </c>
      <c r="G1518" t="s">
        <v>3652</v>
      </c>
      <c r="H1518" t="s">
        <v>3653</v>
      </c>
      <c r="I1518" s="130">
        <v>45896</v>
      </c>
      <c r="J1518" t="s">
        <v>3073</v>
      </c>
      <c r="K1518">
        <v>3000</v>
      </c>
      <c r="M15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24C-2025827-01</v>
      </c>
      <c r="N1518" t="str">
        <f>DO_DB[[#This Row],[Material Pick-update]]&amp;"_"&amp;DO_DB[[#This Row],[Material Name]]</f>
        <v>45896_ADSS 24C</v>
      </c>
      <c r="O1518" t="str">
        <f>DO_DB[[#This Row],[SiteID]]</f>
        <v>CLR64-99-072</v>
      </c>
      <c r="P1518" t="str">
        <f>DO_DB[[#This Row],[SiteID]]&amp;"_"&amp;DO_DB[[#This Row],[Material Name]]</f>
        <v>CLR64-99-072_ADSS 24C</v>
      </c>
      <c r="Q1518" t="str">
        <f>DO_DB[[#This Row],[DO Number]]</f>
        <v>DOEID25082620</v>
      </c>
      <c r="R1518" t="str">
        <f>DO_DB[[#This Row],[DN Number]]</f>
        <v>DNWID1382025082603</v>
      </c>
    </row>
    <row r="1519" spans="1:18">
      <c r="A1519" t="s">
        <v>2696</v>
      </c>
      <c r="B1519" t="s">
        <v>2697</v>
      </c>
      <c r="C1519" t="s">
        <v>4482</v>
      </c>
      <c r="D1519" t="s">
        <v>71</v>
      </c>
      <c r="E1519" t="s">
        <v>25</v>
      </c>
      <c r="F1519" t="s">
        <v>3297</v>
      </c>
      <c r="G1519" t="s">
        <v>3654</v>
      </c>
      <c r="H1519" t="s">
        <v>3655</v>
      </c>
      <c r="I1519" s="130">
        <v>45896</v>
      </c>
      <c r="J1519" t="s">
        <v>3073</v>
      </c>
      <c r="K1519">
        <v>3000</v>
      </c>
      <c r="M15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24C-2025827-01</v>
      </c>
      <c r="N1519" t="str">
        <f>DO_DB[[#This Row],[Material Pick-update]]&amp;"_"&amp;DO_DB[[#This Row],[Material Name]]</f>
        <v>45896_ADSS 24C</v>
      </c>
      <c r="O1519" t="str">
        <f>DO_DB[[#This Row],[SiteID]]</f>
        <v>CLR64-99-031</v>
      </c>
      <c r="P1519" t="str">
        <f>DO_DB[[#This Row],[SiteID]]&amp;"_"&amp;DO_DB[[#This Row],[Material Name]]</f>
        <v>CLR64-99-031_ADSS 24C</v>
      </c>
      <c r="Q1519" t="str">
        <f>DO_DB[[#This Row],[DO Number]]</f>
        <v>DOEID250826EA</v>
      </c>
      <c r="R1519" t="str">
        <f>DO_DB[[#This Row],[DN Number]]</f>
        <v>DNWID1382025082610</v>
      </c>
    </row>
    <row r="1520" spans="1:18">
      <c r="A1520" t="s">
        <v>3635</v>
      </c>
      <c r="B1520" t="s">
        <v>3636</v>
      </c>
      <c r="C1520" t="s">
        <v>4482</v>
      </c>
      <c r="D1520" t="s">
        <v>71</v>
      </c>
      <c r="E1520" t="s">
        <v>25</v>
      </c>
      <c r="F1520" t="s">
        <v>3297</v>
      </c>
      <c r="G1520" t="s">
        <v>3637</v>
      </c>
      <c r="H1520" t="s">
        <v>3638</v>
      </c>
      <c r="I1520" s="130">
        <v>45896</v>
      </c>
      <c r="J1520" t="s">
        <v>13</v>
      </c>
      <c r="K1520">
        <v>9</v>
      </c>
      <c r="M15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20" t="str">
        <f>DO_DB[[#This Row],[Material Pick-update]]&amp;"_"&amp;DO_DB[[#This Row],[Material Name]]</f>
        <v>45896_FAT-16</v>
      </c>
      <c r="O1520" t="str">
        <f>DO_DB[[#This Row],[SiteID]]</f>
        <v>CLR64-99-018</v>
      </c>
      <c r="P1520" t="str">
        <f>DO_DB[[#This Row],[SiteID]]&amp;"_"&amp;DO_DB[[#This Row],[Material Name]]</f>
        <v>CLR64-99-018_FAT-16</v>
      </c>
      <c r="Q1520" t="str">
        <f>DO_DB[[#This Row],[DO Number]]</f>
        <v>DOEID25082614</v>
      </c>
      <c r="R1520" t="str">
        <f>DO_DB[[#This Row],[DN Number]]</f>
        <v>DNWID1372025082603</v>
      </c>
    </row>
    <row r="1521" spans="1:18">
      <c r="A1521" t="s">
        <v>3639</v>
      </c>
      <c r="B1521" t="s">
        <v>3640</v>
      </c>
      <c r="C1521" t="s">
        <v>4482</v>
      </c>
      <c r="D1521" t="s">
        <v>71</v>
      </c>
      <c r="E1521" t="s">
        <v>25</v>
      </c>
      <c r="F1521" t="s">
        <v>3297</v>
      </c>
      <c r="G1521" t="s">
        <v>3641</v>
      </c>
      <c r="H1521" t="s">
        <v>3642</v>
      </c>
      <c r="I1521" s="130">
        <v>45896</v>
      </c>
      <c r="J1521" t="s">
        <v>3070</v>
      </c>
      <c r="K1521">
        <v>15</v>
      </c>
      <c r="M15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21" t="str">
        <f>DO_DB[[#This Row],[Material Pick-update]]&amp;"_"&amp;DO_DB[[#This Row],[Material Name]]</f>
        <v>45896_Pole 7M 3"</v>
      </c>
      <c r="O1521" t="str">
        <f>DO_DB[[#This Row],[SiteID]]</f>
        <v>CLR64-99-019</v>
      </c>
      <c r="P1521" t="str">
        <f>DO_DB[[#This Row],[SiteID]]&amp;"_"&amp;DO_DB[[#This Row],[Material Name]]</f>
        <v>CLR64-99-019_Pole 7M 3"</v>
      </c>
      <c r="Q1521" t="str">
        <f>DO_DB[[#This Row],[DO Number]]</f>
        <v>DOEID25082615</v>
      </c>
      <c r="R1521" t="str">
        <f>DO_DB[[#This Row],[DN Number]]</f>
        <v>DNWID1382025082605</v>
      </c>
    </row>
    <row r="1522" spans="1:18">
      <c r="A1522" t="s">
        <v>3639</v>
      </c>
      <c r="B1522" t="s">
        <v>3640</v>
      </c>
      <c r="C1522" t="s">
        <v>4482</v>
      </c>
      <c r="D1522" t="s">
        <v>71</v>
      </c>
      <c r="E1522" t="s">
        <v>25</v>
      </c>
      <c r="F1522" t="s">
        <v>3297</v>
      </c>
      <c r="G1522" t="s">
        <v>3643</v>
      </c>
      <c r="H1522" t="s">
        <v>3644</v>
      </c>
      <c r="I1522" s="130">
        <v>45896</v>
      </c>
      <c r="J1522" t="s">
        <v>13</v>
      </c>
      <c r="K1522">
        <v>6</v>
      </c>
      <c r="M15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22" t="str">
        <f>DO_DB[[#This Row],[Material Pick-update]]&amp;"_"&amp;DO_DB[[#This Row],[Material Name]]</f>
        <v>45896_FAT-16</v>
      </c>
      <c r="O1522" t="str">
        <f>DO_DB[[#This Row],[SiteID]]</f>
        <v>CLR64-99-019</v>
      </c>
      <c r="P1522" t="str">
        <f>DO_DB[[#This Row],[SiteID]]&amp;"_"&amp;DO_DB[[#This Row],[Material Name]]</f>
        <v>CLR64-99-019_FAT-16</v>
      </c>
      <c r="Q1522" t="str">
        <f>DO_DB[[#This Row],[DO Number]]</f>
        <v>DOEID25082616</v>
      </c>
      <c r="R1522" t="str">
        <f>DO_DB[[#This Row],[DN Number]]</f>
        <v>DNWID1372025082601</v>
      </c>
    </row>
    <row r="1523" spans="1:18">
      <c r="A1523" t="s">
        <v>3645</v>
      </c>
      <c r="B1523" t="s">
        <v>3646</v>
      </c>
      <c r="C1523" t="s">
        <v>4482</v>
      </c>
      <c r="D1523" t="s">
        <v>71</v>
      </c>
      <c r="E1523" t="s">
        <v>25</v>
      </c>
      <c r="F1523" t="s">
        <v>3297</v>
      </c>
      <c r="G1523" t="s">
        <v>3647</v>
      </c>
      <c r="H1523" t="s">
        <v>3648</v>
      </c>
      <c r="I1523" s="130">
        <v>45896</v>
      </c>
      <c r="J1523" t="s">
        <v>3069</v>
      </c>
      <c r="K1523">
        <v>1</v>
      </c>
      <c r="M15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23" t="str">
        <f>DO_DB[[#This Row],[Material Pick-update]]&amp;"_"&amp;DO_DB[[#This Row],[Material Name]]</f>
        <v>45896_Pole 7M 4"</v>
      </c>
      <c r="O1523" t="str">
        <f>DO_DB[[#This Row],[SiteID]]</f>
        <v>CLR64-99-020</v>
      </c>
      <c r="P1523" t="str">
        <f>DO_DB[[#This Row],[SiteID]]&amp;"_"&amp;DO_DB[[#This Row],[Material Name]]</f>
        <v>CLR64-99-020_Pole 7M 4"</v>
      </c>
      <c r="Q1523" t="str">
        <f>DO_DB[[#This Row],[DO Number]]</f>
        <v>DOEID25082617</v>
      </c>
      <c r="R1523" t="str">
        <f>DO_DB[[#This Row],[DN Number]]</f>
        <v>DNWID1382025082602</v>
      </c>
    </row>
    <row r="1524" spans="1:18">
      <c r="A1524" t="s">
        <v>3645</v>
      </c>
      <c r="B1524" t="s">
        <v>3646</v>
      </c>
      <c r="C1524" t="s">
        <v>4482</v>
      </c>
      <c r="D1524" t="s">
        <v>71</v>
      </c>
      <c r="E1524" t="s">
        <v>25</v>
      </c>
      <c r="F1524" t="s">
        <v>3297</v>
      </c>
      <c r="G1524" t="s">
        <v>3647</v>
      </c>
      <c r="H1524" t="s">
        <v>3648</v>
      </c>
      <c r="I1524" s="130">
        <v>45896</v>
      </c>
      <c r="J1524" t="s">
        <v>3070</v>
      </c>
      <c r="K1524">
        <v>17</v>
      </c>
      <c r="M15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24" t="str">
        <f>DO_DB[[#This Row],[Material Pick-update]]&amp;"_"&amp;DO_DB[[#This Row],[Material Name]]</f>
        <v>45896_Pole 7M 3"</v>
      </c>
      <c r="O1524" t="str">
        <f>DO_DB[[#This Row],[SiteID]]</f>
        <v>CLR64-99-020</v>
      </c>
      <c r="P1524" t="str">
        <f>DO_DB[[#This Row],[SiteID]]&amp;"_"&amp;DO_DB[[#This Row],[Material Name]]</f>
        <v>CLR64-99-020_Pole 7M 3"</v>
      </c>
      <c r="Q1524" t="str">
        <f>DO_DB[[#This Row],[DO Number]]</f>
        <v>DOEID25082617</v>
      </c>
      <c r="R1524" t="str">
        <f>DO_DB[[#This Row],[DN Number]]</f>
        <v>DNWID1382025082602</v>
      </c>
    </row>
    <row r="1525" spans="1:18">
      <c r="A1525" t="s">
        <v>3645</v>
      </c>
      <c r="B1525" t="s">
        <v>3646</v>
      </c>
      <c r="C1525" t="s">
        <v>4482</v>
      </c>
      <c r="D1525" t="s">
        <v>71</v>
      </c>
      <c r="E1525" t="s">
        <v>25</v>
      </c>
      <c r="F1525" t="s">
        <v>3297</v>
      </c>
      <c r="G1525" t="s">
        <v>3647</v>
      </c>
      <c r="H1525" t="s">
        <v>3648</v>
      </c>
      <c r="I1525" s="130">
        <v>45896</v>
      </c>
      <c r="J1525" t="s">
        <v>14</v>
      </c>
      <c r="K1525">
        <v>1</v>
      </c>
      <c r="M15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25" t="str">
        <f>DO_DB[[#This Row],[Material Pick-update]]&amp;"_"&amp;DO_DB[[#This Row],[Material Name]]</f>
        <v>45896_FDT-48</v>
      </c>
      <c r="O1525" t="str">
        <f>DO_DB[[#This Row],[SiteID]]</f>
        <v>CLR64-99-020</v>
      </c>
      <c r="P1525" t="str">
        <f>DO_DB[[#This Row],[SiteID]]&amp;"_"&amp;DO_DB[[#This Row],[Material Name]]</f>
        <v>CLR64-99-020_FDT-48</v>
      </c>
      <c r="Q1525" t="str">
        <f>DO_DB[[#This Row],[DO Number]]</f>
        <v>DOEID25082617</v>
      </c>
      <c r="R1525" t="str">
        <f>DO_DB[[#This Row],[DN Number]]</f>
        <v>DNWID1382025082602</v>
      </c>
    </row>
    <row r="1526" spans="1:18">
      <c r="A1526" t="s">
        <v>3645</v>
      </c>
      <c r="B1526" t="s">
        <v>3646</v>
      </c>
      <c r="C1526" t="s">
        <v>4482</v>
      </c>
      <c r="D1526" t="s">
        <v>71</v>
      </c>
      <c r="E1526" t="s">
        <v>25</v>
      </c>
      <c r="F1526" t="s">
        <v>3297</v>
      </c>
      <c r="G1526" t="s">
        <v>3649</v>
      </c>
      <c r="H1526" t="s">
        <v>3650</v>
      </c>
      <c r="I1526" s="130">
        <v>45896</v>
      </c>
      <c r="J1526" t="s">
        <v>13</v>
      </c>
      <c r="K1526">
        <v>8</v>
      </c>
      <c r="M15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26" t="str">
        <f>DO_DB[[#This Row],[Material Pick-update]]&amp;"_"&amp;DO_DB[[#This Row],[Material Name]]</f>
        <v>45896_FAT-16</v>
      </c>
      <c r="O1526" t="str">
        <f>DO_DB[[#This Row],[SiteID]]</f>
        <v>CLR64-99-020</v>
      </c>
      <c r="P1526" t="str">
        <f>DO_DB[[#This Row],[SiteID]]&amp;"_"&amp;DO_DB[[#This Row],[Material Name]]</f>
        <v>CLR64-99-020_FAT-16</v>
      </c>
      <c r="Q1526" t="str">
        <f>DO_DB[[#This Row],[DO Number]]</f>
        <v>DOEID25082618</v>
      </c>
      <c r="R1526" t="str">
        <f>DO_DB[[#This Row],[DN Number]]</f>
        <v>DNWID1372025082604</v>
      </c>
    </row>
    <row r="1527" spans="1:18">
      <c r="A1527" t="s">
        <v>2887</v>
      </c>
      <c r="B1527" t="s">
        <v>3651</v>
      </c>
      <c r="C1527" t="s">
        <v>4482</v>
      </c>
      <c r="D1527" t="s">
        <v>71</v>
      </c>
      <c r="E1527" t="s">
        <v>25</v>
      </c>
      <c r="F1527" t="s">
        <v>3297</v>
      </c>
      <c r="G1527" t="s">
        <v>3652</v>
      </c>
      <c r="H1527" t="s">
        <v>3653</v>
      </c>
      <c r="I1527" s="130">
        <v>45896</v>
      </c>
      <c r="J1527" t="s">
        <v>3069</v>
      </c>
      <c r="K1527">
        <v>27</v>
      </c>
      <c r="M15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27" t="str">
        <f>DO_DB[[#This Row],[Material Pick-update]]&amp;"_"&amp;DO_DB[[#This Row],[Material Name]]</f>
        <v>45896_Pole 7M 4"</v>
      </c>
      <c r="O1527" t="str">
        <f>DO_DB[[#This Row],[SiteID]]</f>
        <v>CLR64-99-072</v>
      </c>
      <c r="P1527" t="str">
        <f>DO_DB[[#This Row],[SiteID]]&amp;"_"&amp;DO_DB[[#This Row],[Material Name]]</f>
        <v>CLR64-99-072_Pole 7M 4"</v>
      </c>
      <c r="Q1527" t="str">
        <f>DO_DB[[#This Row],[DO Number]]</f>
        <v>DOEID25082620</v>
      </c>
      <c r="R1527" t="str">
        <f>DO_DB[[#This Row],[DN Number]]</f>
        <v>DNWID1382025082603</v>
      </c>
    </row>
    <row r="1528" spans="1:18">
      <c r="A1528" t="s">
        <v>2887</v>
      </c>
      <c r="B1528" t="s">
        <v>3651</v>
      </c>
      <c r="C1528" t="s">
        <v>4482</v>
      </c>
      <c r="D1528" t="s">
        <v>71</v>
      </c>
      <c r="E1528" t="s">
        <v>25</v>
      </c>
      <c r="F1528" t="s">
        <v>3297</v>
      </c>
      <c r="G1528" t="s">
        <v>3652</v>
      </c>
      <c r="H1528" t="s">
        <v>3653</v>
      </c>
      <c r="I1528" s="130">
        <v>45896</v>
      </c>
      <c r="J1528" t="s">
        <v>4856</v>
      </c>
      <c r="K1528">
        <v>1</v>
      </c>
      <c r="M15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28" t="str">
        <f>DO_DB[[#This Row],[Material Pick-update]]&amp;"_"&amp;DO_DB[[#This Row],[Material Name]]</f>
        <v>45896_JC 144Core</v>
      </c>
      <c r="O1528" t="str">
        <f>DO_DB[[#This Row],[SiteID]]</f>
        <v>CLR64-99-072</v>
      </c>
      <c r="P1528" t="str">
        <f>DO_DB[[#This Row],[SiteID]]&amp;"_"&amp;DO_DB[[#This Row],[Material Name]]</f>
        <v>CLR64-99-072_JC 144Core</v>
      </c>
      <c r="Q1528" t="str">
        <f>DO_DB[[#This Row],[DO Number]]</f>
        <v>DOEID25082620</v>
      </c>
      <c r="R1528" t="str">
        <f>DO_DB[[#This Row],[DN Number]]</f>
        <v>DNWID1382025082603</v>
      </c>
    </row>
    <row r="1529" spans="1:18">
      <c r="A1529" t="s">
        <v>3658</v>
      </c>
      <c r="B1529" t="s">
        <v>3659</v>
      </c>
      <c r="C1529" t="s">
        <v>4482</v>
      </c>
      <c r="D1529" t="s">
        <v>71</v>
      </c>
      <c r="E1529" t="s">
        <v>25</v>
      </c>
      <c r="F1529" t="s">
        <v>3297</v>
      </c>
      <c r="G1529" t="s">
        <v>3660</v>
      </c>
      <c r="H1529" t="s">
        <v>3661</v>
      </c>
      <c r="I1529" s="130">
        <v>45896</v>
      </c>
      <c r="J1529" t="s">
        <v>3070</v>
      </c>
      <c r="K1529">
        <v>38</v>
      </c>
      <c r="M15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29" t="str">
        <f>DO_DB[[#This Row],[Material Pick-update]]&amp;"_"&amp;DO_DB[[#This Row],[Material Name]]</f>
        <v>45896_Pole 7M 3"</v>
      </c>
      <c r="O1529" t="str">
        <f>DO_DB[[#This Row],[SiteID]]</f>
        <v>CLR64-99-017</v>
      </c>
      <c r="P1529" t="str">
        <f>DO_DB[[#This Row],[SiteID]]&amp;"_"&amp;DO_DB[[#This Row],[Material Name]]</f>
        <v>CLR64-99-017_Pole 7M 3"</v>
      </c>
      <c r="Q1529" t="str">
        <f>DO_DB[[#This Row],[DO Number]]</f>
        <v>DOEID250827AV</v>
      </c>
      <c r="R1529" t="str">
        <f>DO_DB[[#This Row],[DN Number]]</f>
        <v>DNWID1382025082703</v>
      </c>
    </row>
    <row r="1530" spans="1:18">
      <c r="A1530" t="s">
        <v>3658</v>
      </c>
      <c r="B1530" t="s">
        <v>3659</v>
      </c>
      <c r="C1530" t="s">
        <v>4482</v>
      </c>
      <c r="D1530" t="s">
        <v>71</v>
      </c>
      <c r="E1530" t="s">
        <v>25</v>
      </c>
      <c r="F1530" t="s">
        <v>3297</v>
      </c>
      <c r="G1530" t="s">
        <v>3660</v>
      </c>
      <c r="H1530" t="s">
        <v>3661</v>
      </c>
      <c r="I1530" s="130">
        <v>45896</v>
      </c>
      <c r="J1530" t="s">
        <v>13</v>
      </c>
      <c r="K1530">
        <v>11</v>
      </c>
      <c r="M15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30" t="str">
        <f>DO_DB[[#This Row],[Material Pick-update]]&amp;"_"&amp;DO_DB[[#This Row],[Material Name]]</f>
        <v>45896_FAT-16</v>
      </c>
      <c r="O1530" t="str">
        <f>DO_DB[[#This Row],[SiteID]]</f>
        <v>CLR64-99-017</v>
      </c>
      <c r="P1530" t="str">
        <f>DO_DB[[#This Row],[SiteID]]&amp;"_"&amp;DO_DB[[#This Row],[Material Name]]</f>
        <v>CLR64-99-017_FAT-16</v>
      </c>
      <c r="Q1530" t="str">
        <f>DO_DB[[#This Row],[DO Number]]</f>
        <v>DOEID250827AV</v>
      </c>
      <c r="R1530" t="str">
        <f>DO_DB[[#This Row],[DN Number]]</f>
        <v>DNWID1382025082703</v>
      </c>
    </row>
    <row r="1531" spans="1:18">
      <c r="A1531" t="s">
        <v>4480</v>
      </c>
      <c r="B1531" t="s">
        <v>4481</v>
      </c>
      <c r="C1531" t="s">
        <v>4482</v>
      </c>
      <c r="D1531" t="s">
        <v>71</v>
      </c>
      <c r="E1531" t="s">
        <v>25</v>
      </c>
      <c r="F1531" t="s">
        <v>3297</v>
      </c>
      <c r="G1531" t="s">
        <v>4483</v>
      </c>
      <c r="H1531" t="s">
        <v>4484</v>
      </c>
      <c r="I1531" s="130">
        <v>45906</v>
      </c>
      <c r="J1531" t="s">
        <v>3075</v>
      </c>
      <c r="K1531">
        <v>3000</v>
      </c>
      <c r="M15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48C-202596-01</v>
      </c>
      <c r="N1531" t="str">
        <f>DO_DB[[#This Row],[Material Pick-update]]&amp;"_"&amp;DO_DB[[#This Row],[Material Name]]</f>
        <v>45906_ADSS 48C</v>
      </c>
      <c r="O1531" t="str">
        <f>DO_DB[[#This Row],[SiteID]]</f>
        <v>CLR64-99-087</v>
      </c>
      <c r="P1531" t="str">
        <f>DO_DB[[#This Row],[SiteID]]&amp;"_"&amp;DO_DB[[#This Row],[Material Name]]</f>
        <v>CLR64-99-087_ADSS 48C</v>
      </c>
      <c r="Q1531" t="str">
        <f>DO_DB[[#This Row],[DO Number]]</f>
        <v>DOEID25090654</v>
      </c>
      <c r="R1531" t="str">
        <f>DO_DB[[#This Row],[DN Number]]</f>
        <v>DNWID1382025090601</v>
      </c>
    </row>
    <row r="1532" spans="1:18">
      <c r="A1532" t="s">
        <v>4480</v>
      </c>
      <c r="B1532" t="s">
        <v>4481</v>
      </c>
      <c r="C1532" t="s">
        <v>4482</v>
      </c>
      <c r="D1532" t="s">
        <v>71</v>
      </c>
      <c r="E1532" t="s">
        <v>25</v>
      </c>
      <c r="F1532" t="s">
        <v>3297</v>
      </c>
      <c r="G1532" t="s">
        <v>4483</v>
      </c>
      <c r="H1532" t="s">
        <v>4484</v>
      </c>
      <c r="I1532" s="130">
        <v>45906</v>
      </c>
      <c r="J1532" s="172" t="s">
        <v>3073</v>
      </c>
      <c r="K1532">
        <v>9000</v>
      </c>
      <c r="M15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24C-202596-01</v>
      </c>
      <c r="N1532" t="str">
        <f>DO_DB[[#This Row],[Material Pick-update]]&amp;"_"&amp;DO_DB[[#This Row],[Material Name]]</f>
        <v>45906_ADSS 24C</v>
      </c>
      <c r="O1532" t="str">
        <f>DO_DB[[#This Row],[SiteID]]</f>
        <v>CLR64-99-087</v>
      </c>
      <c r="P1532" t="str">
        <f>DO_DB[[#This Row],[SiteID]]&amp;"_"&amp;DO_DB[[#This Row],[Material Name]]</f>
        <v>CLR64-99-087_ADSS 24C</v>
      </c>
      <c r="Q1532" t="str">
        <f>DO_DB[[#This Row],[DO Number]]</f>
        <v>DOEID25090654</v>
      </c>
      <c r="R1532" t="str">
        <f>DO_DB[[#This Row],[DN Number]]</f>
        <v>DNWID1382025090601</v>
      </c>
    </row>
    <row r="1533" spans="1:18">
      <c r="A1533" t="s">
        <v>4480</v>
      </c>
      <c r="B1533" t="s">
        <v>4481</v>
      </c>
      <c r="C1533" t="s">
        <v>4482</v>
      </c>
      <c r="D1533" t="s">
        <v>71</v>
      </c>
      <c r="E1533" t="s">
        <v>25</v>
      </c>
      <c r="F1533" t="s">
        <v>3297</v>
      </c>
      <c r="G1533" t="s">
        <v>4483</v>
      </c>
      <c r="H1533" t="s">
        <v>4484</v>
      </c>
      <c r="I1533" s="130">
        <v>45906</v>
      </c>
      <c r="J1533" t="s">
        <v>3069</v>
      </c>
      <c r="K1533">
        <v>3</v>
      </c>
      <c r="M15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33" t="str">
        <f>DO_DB[[#This Row],[Material Pick-update]]&amp;"_"&amp;DO_DB[[#This Row],[Material Name]]</f>
        <v>45906_Pole 7M 4"</v>
      </c>
      <c r="O1533" t="str">
        <f>DO_DB[[#This Row],[SiteID]]</f>
        <v>CLR64-99-087</v>
      </c>
      <c r="P1533" t="str">
        <f>DO_DB[[#This Row],[SiteID]]&amp;"_"&amp;DO_DB[[#This Row],[Material Name]]</f>
        <v>CLR64-99-087_Pole 7M 4"</v>
      </c>
      <c r="Q1533" t="str">
        <f>DO_DB[[#This Row],[DO Number]]</f>
        <v>DOEID25090654</v>
      </c>
      <c r="R1533" t="str">
        <f>DO_DB[[#This Row],[DN Number]]</f>
        <v>DNWID1382025090601</v>
      </c>
    </row>
    <row r="1534" spans="1:18">
      <c r="A1534" t="s">
        <v>4480</v>
      </c>
      <c r="B1534" t="s">
        <v>4481</v>
      </c>
      <c r="C1534" t="s">
        <v>4482</v>
      </c>
      <c r="D1534" t="s">
        <v>71</v>
      </c>
      <c r="E1534" t="s">
        <v>25</v>
      </c>
      <c r="F1534" t="s">
        <v>3297</v>
      </c>
      <c r="G1534" t="s">
        <v>4483</v>
      </c>
      <c r="H1534" t="s">
        <v>4484</v>
      </c>
      <c r="I1534" s="130">
        <v>45906</v>
      </c>
      <c r="J1534" t="s">
        <v>3070</v>
      </c>
      <c r="K1534">
        <v>178</v>
      </c>
      <c r="M15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34" t="str">
        <f>DO_DB[[#This Row],[Material Pick-update]]&amp;"_"&amp;DO_DB[[#This Row],[Material Name]]</f>
        <v>45906_Pole 7M 3"</v>
      </c>
      <c r="O1534" t="str">
        <f>DO_DB[[#This Row],[SiteID]]</f>
        <v>CLR64-99-087</v>
      </c>
      <c r="P1534" t="str">
        <f>DO_DB[[#This Row],[SiteID]]&amp;"_"&amp;DO_DB[[#This Row],[Material Name]]</f>
        <v>CLR64-99-087_Pole 7M 3"</v>
      </c>
      <c r="Q1534" t="str">
        <f>DO_DB[[#This Row],[DO Number]]</f>
        <v>DOEID25090654</v>
      </c>
      <c r="R1534" t="str">
        <f>DO_DB[[#This Row],[DN Number]]</f>
        <v>DNWID1382025090601</v>
      </c>
    </row>
    <row r="1535" spans="1:18">
      <c r="A1535" t="s">
        <v>4480</v>
      </c>
      <c r="B1535" t="s">
        <v>4481</v>
      </c>
      <c r="C1535" t="s">
        <v>4482</v>
      </c>
      <c r="D1535" t="s">
        <v>71</v>
      </c>
      <c r="E1535" t="s">
        <v>25</v>
      </c>
      <c r="F1535" t="s">
        <v>3297</v>
      </c>
      <c r="G1535" t="s">
        <v>4483</v>
      </c>
      <c r="H1535" t="s">
        <v>4484</v>
      </c>
      <c r="I1535" s="130">
        <v>45906</v>
      </c>
      <c r="J1535" t="s">
        <v>14</v>
      </c>
      <c r="K1535">
        <v>3</v>
      </c>
      <c r="M15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35" t="str">
        <f>DO_DB[[#This Row],[Material Pick-update]]&amp;"_"&amp;DO_DB[[#This Row],[Material Name]]</f>
        <v>45906_FDT-48</v>
      </c>
      <c r="O1535" t="str">
        <f>DO_DB[[#This Row],[SiteID]]</f>
        <v>CLR64-99-087</v>
      </c>
      <c r="P1535" t="str">
        <f>DO_DB[[#This Row],[SiteID]]&amp;"_"&amp;DO_DB[[#This Row],[Material Name]]</f>
        <v>CLR64-99-087_FDT-48</v>
      </c>
      <c r="Q1535" t="str">
        <f>DO_DB[[#This Row],[DO Number]]</f>
        <v>DOEID25090654</v>
      </c>
      <c r="R1535" t="str">
        <f>DO_DB[[#This Row],[DN Number]]</f>
        <v>DNWID1382025090601</v>
      </c>
    </row>
    <row r="1536" spans="1:18">
      <c r="A1536" t="s">
        <v>4480</v>
      </c>
      <c r="B1536" t="s">
        <v>4481</v>
      </c>
      <c r="C1536" t="s">
        <v>4482</v>
      </c>
      <c r="D1536" t="s">
        <v>71</v>
      </c>
      <c r="E1536" t="s">
        <v>25</v>
      </c>
      <c r="F1536" t="s">
        <v>3297</v>
      </c>
      <c r="G1536" t="s">
        <v>4483</v>
      </c>
      <c r="H1536" t="s">
        <v>4484</v>
      </c>
      <c r="I1536" s="130">
        <v>45906</v>
      </c>
      <c r="J1536" t="s">
        <v>15</v>
      </c>
      <c r="K1536">
        <v>1</v>
      </c>
      <c r="M15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36" t="str">
        <f>DO_DB[[#This Row],[Material Pick-update]]&amp;"_"&amp;DO_DB[[#This Row],[Material Name]]</f>
        <v>45906_FDT-72</v>
      </c>
      <c r="O1536" t="str">
        <f>DO_DB[[#This Row],[SiteID]]</f>
        <v>CLR64-99-087</v>
      </c>
      <c r="P1536" t="str">
        <f>DO_DB[[#This Row],[SiteID]]&amp;"_"&amp;DO_DB[[#This Row],[Material Name]]</f>
        <v>CLR64-99-087_FDT-72</v>
      </c>
      <c r="Q1536" t="str">
        <f>DO_DB[[#This Row],[DO Number]]</f>
        <v>DOEID25090654</v>
      </c>
      <c r="R1536" t="str">
        <f>DO_DB[[#This Row],[DN Number]]</f>
        <v>DNWID1382025090601</v>
      </c>
    </row>
    <row r="1537" spans="1:18">
      <c r="A1537" t="s">
        <v>4480</v>
      </c>
      <c r="B1537" t="s">
        <v>4481</v>
      </c>
      <c r="C1537" t="s">
        <v>4482</v>
      </c>
      <c r="D1537" t="s">
        <v>71</v>
      </c>
      <c r="E1537" t="s">
        <v>25</v>
      </c>
      <c r="F1537" t="s">
        <v>3297</v>
      </c>
      <c r="G1537" t="s">
        <v>4483</v>
      </c>
      <c r="H1537" t="s">
        <v>4484</v>
      </c>
      <c r="I1537" s="130">
        <v>45906</v>
      </c>
      <c r="J1537" t="s">
        <v>13</v>
      </c>
      <c r="K1537">
        <v>77</v>
      </c>
      <c r="M15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37" t="str">
        <f>DO_DB[[#This Row],[Material Pick-update]]&amp;"_"&amp;DO_DB[[#This Row],[Material Name]]</f>
        <v>45906_FAT-16</v>
      </c>
      <c r="O1537" t="str">
        <f>DO_DB[[#This Row],[SiteID]]</f>
        <v>CLR64-99-087</v>
      </c>
      <c r="P1537" t="str">
        <f>DO_DB[[#This Row],[SiteID]]&amp;"_"&amp;DO_DB[[#This Row],[Material Name]]</f>
        <v>CLR64-99-087_FAT-16</v>
      </c>
      <c r="Q1537" t="str">
        <f>DO_DB[[#This Row],[DO Number]]</f>
        <v>DOEID25090654</v>
      </c>
      <c r="R1537" t="str">
        <f>DO_DB[[#This Row],[DN Number]]</f>
        <v>DNWID1382025090601</v>
      </c>
    </row>
    <row r="1538" spans="1:18">
      <c r="A1538" s="172" t="s">
        <v>4692</v>
      </c>
      <c r="B1538" s="172" t="s">
        <v>4693</v>
      </c>
      <c r="C1538" s="172" t="s">
        <v>4482</v>
      </c>
      <c r="D1538" s="172" t="s">
        <v>71</v>
      </c>
      <c r="E1538" s="172" t="s">
        <v>24</v>
      </c>
      <c r="F1538" t="s">
        <v>3297</v>
      </c>
      <c r="G1538" s="172" t="s">
        <v>4706</v>
      </c>
      <c r="H1538" s="172" t="s">
        <v>4707</v>
      </c>
      <c r="I1538" s="173">
        <v>45974</v>
      </c>
      <c r="J1538" s="194" t="s">
        <v>13</v>
      </c>
      <c r="K1538" s="172">
        <v>21</v>
      </c>
      <c r="M15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38" t="str">
        <f>DO_DB[[#This Row],[Material Pick-update]]&amp;"_"&amp;DO_DB[[#This Row],[Material Name]]</f>
        <v>45974_FAT-16</v>
      </c>
      <c r="O1538" t="str">
        <f>DO_DB[[#This Row],[SiteID]]</f>
        <v>CLR51-99-372</v>
      </c>
      <c r="P1538" t="str">
        <f>DO_DB[[#This Row],[SiteID]]&amp;"_"&amp;DO_DB[[#This Row],[Material Name]]</f>
        <v>CLR51-99-372_FAT-16</v>
      </c>
      <c r="Q1538" t="str">
        <f>DO_DB[[#This Row],[DO Number]]</f>
        <v>DOEID251027IJ</v>
      </c>
      <c r="R1538" t="str">
        <f>DO_DB[[#This Row],[DN Number]]</f>
        <v>DNWID1382025102805</v>
      </c>
    </row>
    <row r="1539" spans="1:18">
      <c r="A1539" s="172" t="s">
        <v>4687</v>
      </c>
      <c r="B1539" s="172" t="s">
        <v>4599</v>
      </c>
      <c r="C1539" s="172" t="s">
        <v>4482</v>
      </c>
      <c r="D1539" s="172" t="s">
        <v>71</v>
      </c>
      <c r="E1539" s="172" t="s">
        <v>24</v>
      </c>
      <c r="F1539" t="s">
        <v>3297</v>
      </c>
      <c r="G1539" s="172" t="s">
        <v>4704</v>
      </c>
      <c r="H1539" s="172" t="s">
        <v>4705</v>
      </c>
      <c r="I1539" s="173">
        <v>45974</v>
      </c>
      <c r="J1539" s="194" t="s">
        <v>13</v>
      </c>
      <c r="K1539" s="172">
        <v>9</v>
      </c>
      <c r="M15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39" t="str">
        <f>DO_DB[[#This Row],[Material Pick-update]]&amp;"_"&amp;DO_DB[[#This Row],[Material Name]]</f>
        <v>45974_FAT-16</v>
      </c>
      <c r="O1539" t="str">
        <f>DO_DB[[#This Row],[SiteID]]</f>
        <v>CLR51-99-301</v>
      </c>
      <c r="P1539" t="str">
        <f>DO_DB[[#This Row],[SiteID]]&amp;"_"&amp;DO_DB[[#This Row],[Material Name]]</f>
        <v>CLR51-99-301_FAT-16</v>
      </c>
      <c r="Q1539" t="str">
        <f>DO_DB[[#This Row],[DO Number]]</f>
        <v>DOEID251027IK</v>
      </c>
      <c r="R1539" t="str">
        <f>DO_DB[[#This Row],[DN Number]]</f>
        <v>DNWID1382025102801</v>
      </c>
    </row>
    <row r="1540" spans="1:18">
      <c r="A1540" s="172" t="s">
        <v>4696</v>
      </c>
      <c r="B1540" s="172" t="s">
        <v>4697</v>
      </c>
      <c r="C1540" s="172" t="s">
        <v>4482</v>
      </c>
      <c r="D1540" s="172" t="s">
        <v>71</v>
      </c>
      <c r="E1540" s="172" t="s">
        <v>24</v>
      </c>
      <c r="F1540" t="s">
        <v>3297</v>
      </c>
      <c r="G1540" s="172" t="s">
        <v>4708</v>
      </c>
      <c r="H1540" s="172" t="s">
        <v>4709</v>
      </c>
      <c r="I1540" s="173">
        <v>45974</v>
      </c>
      <c r="J1540" s="194" t="s">
        <v>13</v>
      </c>
      <c r="K1540" s="172">
        <v>27</v>
      </c>
      <c r="M15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40" t="str">
        <f>DO_DB[[#This Row],[Material Pick-update]]&amp;"_"&amp;DO_DB[[#This Row],[Material Name]]</f>
        <v>45974_FAT-16</v>
      </c>
      <c r="O1540" t="str">
        <f>DO_DB[[#This Row],[SiteID]]</f>
        <v>CLR51-99-375</v>
      </c>
      <c r="P1540" t="str">
        <f>DO_DB[[#This Row],[SiteID]]&amp;"_"&amp;DO_DB[[#This Row],[Material Name]]</f>
        <v>CLR51-99-375_FAT-16</v>
      </c>
      <c r="Q1540" t="str">
        <f>DO_DB[[#This Row],[DO Number]]</f>
        <v>DOEID251027IL</v>
      </c>
      <c r="R1540" t="str">
        <f>DO_DB[[#This Row],[DN Number]]</f>
        <v>DNWID1382025102803</v>
      </c>
    </row>
    <row r="1541" spans="1:18">
      <c r="A1541" t="s">
        <v>647</v>
      </c>
      <c r="B1541" t="s">
        <v>648</v>
      </c>
      <c r="C1541" t="s">
        <v>4482</v>
      </c>
      <c r="D1541" t="s">
        <v>71</v>
      </c>
      <c r="E1541" t="s">
        <v>644</v>
      </c>
      <c r="F1541" t="s">
        <v>4500</v>
      </c>
      <c r="G1541" t="s">
        <v>651</v>
      </c>
      <c r="H1541" t="s">
        <v>652</v>
      </c>
      <c r="I1541" s="130">
        <v>45272</v>
      </c>
      <c r="J1541" t="s">
        <v>3069</v>
      </c>
      <c r="K1541">
        <v>25</v>
      </c>
      <c r="M15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41" t="str">
        <f>DO_DB[[#This Row],[Material Pick-update]]&amp;"_"&amp;DO_DB[[#This Row],[Material Name]]</f>
        <v>45272_Pole 7M 4"</v>
      </c>
      <c r="O1541" t="str">
        <f>DO_DB[[#This Row],[SiteID]]</f>
        <v>CLR30-99-027</v>
      </c>
      <c r="P1541" t="str">
        <f>DO_DB[[#This Row],[SiteID]]&amp;"_"&amp;DO_DB[[#This Row],[Material Name]]</f>
        <v>CLR30-99-027_Pole 7M 4"</v>
      </c>
      <c r="Q1541" t="str">
        <f>DO_DB[[#This Row],[DO Number]]</f>
        <v>DOEID23121138</v>
      </c>
      <c r="R1541" t="str">
        <f>DO_DB[[#This Row],[DN Number]]</f>
        <v>DNWID0362023121103</v>
      </c>
    </row>
    <row r="1542" spans="1:18">
      <c r="A1542" t="s">
        <v>647</v>
      </c>
      <c r="B1542" t="s">
        <v>648</v>
      </c>
      <c r="C1542" t="s">
        <v>4482</v>
      </c>
      <c r="D1542" t="s">
        <v>71</v>
      </c>
      <c r="E1542" t="s">
        <v>644</v>
      </c>
      <c r="F1542" t="s">
        <v>4500</v>
      </c>
      <c r="G1542" t="s">
        <v>651</v>
      </c>
      <c r="H1542" t="s">
        <v>652</v>
      </c>
      <c r="I1542" s="130">
        <v>45272</v>
      </c>
      <c r="J1542" t="s">
        <v>3070</v>
      </c>
      <c r="K1542">
        <v>2</v>
      </c>
      <c r="M15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42" t="str">
        <f>DO_DB[[#This Row],[Material Pick-update]]&amp;"_"&amp;DO_DB[[#This Row],[Material Name]]</f>
        <v>45272_Pole 7M 3"</v>
      </c>
      <c r="O1542" t="str">
        <f>DO_DB[[#This Row],[SiteID]]</f>
        <v>CLR30-99-027</v>
      </c>
      <c r="P1542" t="str">
        <f>DO_DB[[#This Row],[SiteID]]&amp;"_"&amp;DO_DB[[#This Row],[Material Name]]</f>
        <v>CLR30-99-027_Pole 7M 3"</v>
      </c>
      <c r="Q1542" t="str">
        <f>DO_DB[[#This Row],[DO Number]]</f>
        <v>DOEID23121138</v>
      </c>
      <c r="R1542" t="str">
        <f>DO_DB[[#This Row],[DN Number]]</f>
        <v>DNWID0362023121103</v>
      </c>
    </row>
    <row r="1543" spans="1:18">
      <c r="A1543" t="s">
        <v>647</v>
      </c>
      <c r="B1543" t="s">
        <v>648</v>
      </c>
      <c r="C1543" t="s">
        <v>4482</v>
      </c>
      <c r="D1543" t="s">
        <v>71</v>
      </c>
      <c r="E1543" t="s">
        <v>644</v>
      </c>
      <c r="F1543" t="s">
        <v>4500</v>
      </c>
      <c r="G1543" t="s">
        <v>649</v>
      </c>
      <c r="H1543" t="s">
        <v>650</v>
      </c>
      <c r="I1543" s="130">
        <v>45272</v>
      </c>
      <c r="J1543" t="s">
        <v>15</v>
      </c>
      <c r="K1543">
        <v>1</v>
      </c>
      <c r="M15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43" t="str">
        <f>DO_DB[[#This Row],[Material Pick-update]]&amp;"_"&amp;DO_DB[[#This Row],[Material Name]]</f>
        <v>45272_FDT-72</v>
      </c>
      <c r="O1543" t="str">
        <f>DO_DB[[#This Row],[SiteID]]</f>
        <v>CLR30-99-027</v>
      </c>
      <c r="P1543" t="str">
        <f>DO_DB[[#This Row],[SiteID]]&amp;"_"&amp;DO_DB[[#This Row],[Material Name]]</f>
        <v>CLR30-99-027_FDT-72</v>
      </c>
      <c r="Q1543" t="str">
        <f>DO_DB[[#This Row],[DO Number]]</f>
        <v>DOEID23121139</v>
      </c>
      <c r="R1543" t="str">
        <f>DO_DB[[#This Row],[DN Number]]</f>
        <v>DNWID0342023121101</v>
      </c>
    </row>
    <row r="1544" spans="1:18">
      <c r="A1544" t="s">
        <v>647</v>
      </c>
      <c r="B1544" t="s">
        <v>648</v>
      </c>
      <c r="C1544" t="s">
        <v>4482</v>
      </c>
      <c r="D1544" t="s">
        <v>71</v>
      </c>
      <c r="E1544" t="s">
        <v>644</v>
      </c>
      <c r="F1544" t="s">
        <v>4500</v>
      </c>
      <c r="G1544" t="s">
        <v>649</v>
      </c>
      <c r="H1544" t="s">
        <v>650</v>
      </c>
      <c r="I1544" s="130">
        <v>45272</v>
      </c>
      <c r="J1544" t="s">
        <v>13</v>
      </c>
      <c r="K1544">
        <v>12</v>
      </c>
      <c r="M15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44" t="str">
        <f>DO_DB[[#This Row],[Material Pick-update]]&amp;"_"&amp;DO_DB[[#This Row],[Material Name]]</f>
        <v>45272_FAT-16</v>
      </c>
      <c r="O1544" t="str">
        <f>DO_DB[[#This Row],[SiteID]]</f>
        <v>CLR30-99-027</v>
      </c>
      <c r="P1544" t="str">
        <f>DO_DB[[#This Row],[SiteID]]&amp;"_"&amp;DO_DB[[#This Row],[Material Name]]</f>
        <v>CLR30-99-027_FAT-16</v>
      </c>
      <c r="Q1544" t="str">
        <f>DO_DB[[#This Row],[DO Number]]</f>
        <v>DOEID23121139</v>
      </c>
      <c r="R1544" t="str">
        <f>DO_DB[[#This Row],[DN Number]]</f>
        <v>DNWID0342023121101</v>
      </c>
    </row>
    <row r="1545" spans="1:18">
      <c r="A1545" t="s">
        <v>647</v>
      </c>
      <c r="B1545" t="s">
        <v>648</v>
      </c>
      <c r="C1545" t="s">
        <v>4482</v>
      </c>
      <c r="D1545" t="s">
        <v>71</v>
      </c>
      <c r="E1545" t="s">
        <v>644</v>
      </c>
      <c r="F1545" t="s">
        <v>4500</v>
      </c>
      <c r="G1545" t="s">
        <v>649</v>
      </c>
      <c r="H1545" t="s">
        <v>650</v>
      </c>
      <c r="I1545" s="130">
        <v>45272</v>
      </c>
      <c r="J1545" t="s">
        <v>3080</v>
      </c>
      <c r="K1545">
        <v>4</v>
      </c>
      <c r="M15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45" t="str">
        <f>DO_DB[[#This Row],[Material Pick-update]]&amp;"_"&amp;DO_DB[[#This Row],[Material Name]]</f>
        <v>45272_1:8 SPL for FDT-AE &amp; UG</v>
      </c>
      <c r="O1545" t="str">
        <f>DO_DB[[#This Row],[SiteID]]</f>
        <v>CLR30-99-027</v>
      </c>
      <c r="P1545" t="str">
        <f>DO_DB[[#This Row],[SiteID]]&amp;"_"&amp;DO_DB[[#This Row],[Material Name]]</f>
        <v>CLR30-99-027_1:8 SPL for FDT-AE &amp; UG</v>
      </c>
      <c r="Q1545" t="str">
        <f>DO_DB[[#This Row],[DO Number]]</f>
        <v>DOEID23121139</v>
      </c>
      <c r="R1545" t="str">
        <f>DO_DB[[#This Row],[DN Number]]</f>
        <v>DNWID0342023121101</v>
      </c>
    </row>
    <row r="1546" spans="1:18">
      <c r="A1546" t="s">
        <v>653</v>
      </c>
      <c r="B1546" t="s">
        <v>654</v>
      </c>
      <c r="C1546" t="s">
        <v>4482</v>
      </c>
      <c r="D1546" t="s">
        <v>71</v>
      </c>
      <c r="E1546" t="s">
        <v>644</v>
      </c>
      <c r="F1546" t="s">
        <v>4500</v>
      </c>
      <c r="G1546" t="s">
        <v>659</v>
      </c>
      <c r="H1546" t="s">
        <v>660</v>
      </c>
      <c r="I1546" s="130">
        <v>45272</v>
      </c>
      <c r="J1546" t="s">
        <v>3069</v>
      </c>
      <c r="K1546">
        <v>24</v>
      </c>
      <c r="M15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46" t="str">
        <f>DO_DB[[#This Row],[Material Pick-update]]&amp;"_"&amp;DO_DB[[#This Row],[Material Name]]</f>
        <v>45272_Pole 7M 4"</v>
      </c>
      <c r="O1546" t="str">
        <f>DO_DB[[#This Row],[SiteID]]</f>
        <v>CLR30-99-026</v>
      </c>
      <c r="P1546" t="str">
        <f>DO_DB[[#This Row],[SiteID]]&amp;"_"&amp;DO_DB[[#This Row],[Material Name]]</f>
        <v>CLR30-99-026_Pole 7M 4"</v>
      </c>
      <c r="Q1546" t="str">
        <f>DO_DB[[#This Row],[DO Number]]</f>
        <v>DOEID23121140</v>
      </c>
      <c r="R1546" t="str">
        <f>DO_DB[[#This Row],[DN Number]]</f>
        <v>DNWID0362023121104</v>
      </c>
    </row>
    <row r="1547" spans="1:18">
      <c r="A1547" t="s">
        <v>653</v>
      </c>
      <c r="B1547" t="s">
        <v>654</v>
      </c>
      <c r="C1547" t="s">
        <v>4482</v>
      </c>
      <c r="D1547" t="s">
        <v>71</v>
      </c>
      <c r="E1547" t="s">
        <v>644</v>
      </c>
      <c r="F1547" t="s">
        <v>4500</v>
      </c>
      <c r="G1547" t="s">
        <v>655</v>
      </c>
      <c r="H1547" t="s">
        <v>656</v>
      </c>
      <c r="I1547" s="130">
        <v>45272</v>
      </c>
      <c r="J1547" t="s">
        <v>13</v>
      </c>
      <c r="K1547">
        <v>10</v>
      </c>
      <c r="M15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47" t="str">
        <f>DO_DB[[#This Row],[Material Pick-update]]&amp;"_"&amp;DO_DB[[#This Row],[Material Name]]</f>
        <v>45272_FAT-16</v>
      </c>
      <c r="O1547" t="str">
        <f>DO_DB[[#This Row],[SiteID]]</f>
        <v>CLR30-99-026</v>
      </c>
      <c r="P1547" t="str">
        <f>DO_DB[[#This Row],[SiteID]]&amp;"_"&amp;DO_DB[[#This Row],[Material Name]]</f>
        <v>CLR30-99-026_FAT-16</v>
      </c>
      <c r="Q1547" t="str">
        <f>DO_DB[[#This Row],[DO Number]]</f>
        <v>DOEID23121141</v>
      </c>
      <c r="R1547" t="str">
        <f>DO_DB[[#This Row],[DN Number]]</f>
        <v>DNWID0342023121102</v>
      </c>
    </row>
    <row r="1548" spans="1:18">
      <c r="A1548" t="s">
        <v>642</v>
      </c>
      <c r="B1548" t="s">
        <v>643</v>
      </c>
      <c r="C1548" t="s">
        <v>4482</v>
      </c>
      <c r="D1548" t="s">
        <v>71</v>
      </c>
      <c r="E1548" t="s">
        <v>644</v>
      </c>
      <c r="F1548" t="s">
        <v>4500</v>
      </c>
      <c r="G1548" t="s">
        <v>645</v>
      </c>
      <c r="H1548" t="s">
        <v>646</v>
      </c>
      <c r="I1548" s="130">
        <v>45272</v>
      </c>
      <c r="J1548" t="s">
        <v>3069</v>
      </c>
      <c r="K1548">
        <v>33</v>
      </c>
      <c r="M15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48" t="str">
        <f>DO_DB[[#This Row],[Material Pick-update]]&amp;"_"&amp;DO_DB[[#This Row],[Material Name]]</f>
        <v>45272_Pole 7M 4"</v>
      </c>
      <c r="O1548" t="str">
        <f>DO_DB[[#This Row],[SiteID]]</f>
        <v>CLR30-01-041</v>
      </c>
      <c r="P1548" t="str">
        <f>DO_DB[[#This Row],[SiteID]]&amp;"_"&amp;DO_DB[[#This Row],[Material Name]]</f>
        <v>CLR30-01-041_Pole 7M 4"</v>
      </c>
      <c r="Q1548" t="str">
        <f>DO_DB[[#This Row],[DO Number]]</f>
        <v>DOEID23121142</v>
      </c>
      <c r="R1548" t="str">
        <f>DO_DB[[#This Row],[DN Number]]</f>
        <v>DNWID0362023121105</v>
      </c>
    </row>
    <row r="1549" spans="1:18">
      <c r="A1549" t="s">
        <v>642</v>
      </c>
      <c r="B1549" t="s">
        <v>643</v>
      </c>
      <c r="C1549" t="s">
        <v>4482</v>
      </c>
      <c r="D1549" t="s">
        <v>71</v>
      </c>
      <c r="E1549" t="s">
        <v>644</v>
      </c>
      <c r="F1549" t="s">
        <v>4500</v>
      </c>
      <c r="G1549" t="s">
        <v>645</v>
      </c>
      <c r="H1549" t="s">
        <v>646</v>
      </c>
      <c r="I1549" s="130">
        <v>45272</v>
      </c>
      <c r="J1549" t="s">
        <v>3070</v>
      </c>
      <c r="K1549">
        <v>6</v>
      </c>
      <c r="M15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49" t="str">
        <f>DO_DB[[#This Row],[Material Pick-update]]&amp;"_"&amp;DO_DB[[#This Row],[Material Name]]</f>
        <v>45272_Pole 7M 3"</v>
      </c>
      <c r="O1549" t="str">
        <f>DO_DB[[#This Row],[SiteID]]</f>
        <v>CLR30-01-041</v>
      </c>
      <c r="P1549" t="str">
        <f>DO_DB[[#This Row],[SiteID]]&amp;"_"&amp;DO_DB[[#This Row],[Material Name]]</f>
        <v>CLR30-01-041_Pole 7M 3"</v>
      </c>
      <c r="Q1549" t="str">
        <f>DO_DB[[#This Row],[DO Number]]</f>
        <v>DOEID23121142</v>
      </c>
      <c r="R1549" t="str">
        <f>DO_DB[[#This Row],[DN Number]]</f>
        <v>DNWID0362023121105</v>
      </c>
    </row>
    <row r="1550" spans="1:18">
      <c r="A1550" t="s">
        <v>642</v>
      </c>
      <c r="B1550" t="s">
        <v>643</v>
      </c>
      <c r="C1550" t="s">
        <v>4482</v>
      </c>
      <c r="D1550" t="s">
        <v>71</v>
      </c>
      <c r="E1550" t="s">
        <v>644</v>
      </c>
      <c r="F1550" t="s">
        <v>4500</v>
      </c>
      <c r="G1550" t="s">
        <v>645</v>
      </c>
      <c r="H1550" t="s">
        <v>646</v>
      </c>
      <c r="I1550" s="130">
        <v>45272</v>
      </c>
      <c r="J1550" t="s">
        <v>4856</v>
      </c>
      <c r="K1550">
        <v>1</v>
      </c>
      <c r="M15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50" t="str">
        <f>DO_DB[[#This Row],[Material Pick-update]]&amp;"_"&amp;DO_DB[[#This Row],[Material Name]]</f>
        <v>45272_JC 144Core</v>
      </c>
      <c r="O1550" t="str">
        <f>DO_DB[[#This Row],[SiteID]]</f>
        <v>CLR30-01-041</v>
      </c>
      <c r="P1550" t="str">
        <f>DO_DB[[#This Row],[SiteID]]&amp;"_"&amp;DO_DB[[#This Row],[Material Name]]</f>
        <v>CLR30-01-041_JC 144Core</v>
      </c>
      <c r="Q1550" t="str">
        <f>DO_DB[[#This Row],[DO Number]]</f>
        <v>DOEID23121142</v>
      </c>
      <c r="R1550" t="str">
        <f>DO_DB[[#This Row],[DN Number]]</f>
        <v>DNWID0362023121105</v>
      </c>
    </row>
    <row r="1551" spans="1:18">
      <c r="A1551" t="s">
        <v>642</v>
      </c>
      <c r="B1551" t="s">
        <v>643</v>
      </c>
      <c r="C1551" t="s">
        <v>4482</v>
      </c>
      <c r="D1551" t="s">
        <v>71</v>
      </c>
      <c r="E1551" t="s">
        <v>644</v>
      </c>
      <c r="F1551" t="s">
        <v>4500</v>
      </c>
      <c r="G1551" t="s">
        <v>657</v>
      </c>
      <c r="H1551" t="s">
        <v>658</v>
      </c>
      <c r="I1551" s="130">
        <v>45272</v>
      </c>
      <c r="J1551" t="s">
        <v>13</v>
      </c>
      <c r="K1551">
        <v>13</v>
      </c>
      <c r="M15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51" t="str">
        <f>DO_DB[[#This Row],[Material Pick-update]]&amp;"_"&amp;DO_DB[[#This Row],[Material Name]]</f>
        <v>45272_FAT-16</v>
      </c>
      <c r="O1551" t="str">
        <f>DO_DB[[#This Row],[SiteID]]</f>
        <v>CLR30-01-041</v>
      </c>
      <c r="P1551" t="str">
        <f>DO_DB[[#This Row],[SiteID]]&amp;"_"&amp;DO_DB[[#This Row],[Material Name]]</f>
        <v>CLR30-01-041_FAT-16</v>
      </c>
      <c r="Q1551" t="str">
        <f>DO_DB[[#This Row],[DO Number]]</f>
        <v>DOEID23121143</v>
      </c>
      <c r="R1551" t="str">
        <f>DO_DB[[#This Row],[DN Number]]</f>
        <v>DNWID0342023121103</v>
      </c>
    </row>
    <row r="1552" spans="1:18">
      <c r="A1552" t="s">
        <v>647</v>
      </c>
      <c r="B1552" t="s">
        <v>648</v>
      </c>
      <c r="C1552" t="s">
        <v>4482</v>
      </c>
      <c r="D1552" t="s">
        <v>71</v>
      </c>
      <c r="E1552" t="s">
        <v>644</v>
      </c>
      <c r="F1552" t="s">
        <v>4500</v>
      </c>
      <c r="G1552" t="s">
        <v>649</v>
      </c>
      <c r="H1552" t="s">
        <v>650</v>
      </c>
      <c r="I1552" s="130">
        <v>45272</v>
      </c>
      <c r="J1552" t="s">
        <v>3075</v>
      </c>
      <c r="K1552">
        <v>3000</v>
      </c>
      <c r="M15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48C-20231212-01</v>
      </c>
      <c r="N1552" t="str">
        <f>DO_DB[[#This Row],[Material Pick-update]]&amp;"_"&amp;DO_DB[[#This Row],[Material Name]]</f>
        <v>45272_ADSS 48C</v>
      </c>
      <c r="O1552" t="str">
        <f>DO_DB[[#This Row],[SiteID]]</f>
        <v>CLR30-99-027</v>
      </c>
      <c r="P1552" t="str">
        <f>DO_DB[[#This Row],[SiteID]]&amp;"_"&amp;DO_DB[[#This Row],[Material Name]]</f>
        <v>CLR30-99-027_ADSS 48C</v>
      </c>
      <c r="Q1552" t="str">
        <f>DO_DB[[#This Row],[DO Number]]</f>
        <v>DOEID23121139</v>
      </c>
      <c r="R1552" t="str">
        <f>DO_DB[[#This Row],[DN Number]]</f>
        <v>DNWID0342023121101</v>
      </c>
    </row>
    <row r="1553" spans="1:18">
      <c r="A1553" t="s">
        <v>653</v>
      </c>
      <c r="B1553" t="s">
        <v>654</v>
      </c>
      <c r="C1553" t="s">
        <v>4482</v>
      </c>
      <c r="D1553" t="s">
        <v>71</v>
      </c>
      <c r="E1553" t="s">
        <v>644</v>
      </c>
      <c r="F1553" t="s">
        <v>4500</v>
      </c>
      <c r="G1553" t="s">
        <v>655</v>
      </c>
      <c r="H1553" t="s">
        <v>656</v>
      </c>
      <c r="I1553" s="130">
        <v>45272</v>
      </c>
      <c r="J1553" t="s">
        <v>3073</v>
      </c>
      <c r="K1553">
        <v>3000</v>
      </c>
      <c r="M15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24C-20231212-01</v>
      </c>
      <c r="N1553" t="str">
        <f>DO_DB[[#This Row],[Material Pick-update]]&amp;"_"&amp;DO_DB[[#This Row],[Material Name]]</f>
        <v>45272_ADSS 24C</v>
      </c>
      <c r="O1553" t="str">
        <f>DO_DB[[#This Row],[SiteID]]</f>
        <v>CLR30-99-026</v>
      </c>
      <c r="P1553" t="str">
        <f>DO_DB[[#This Row],[SiteID]]&amp;"_"&amp;DO_DB[[#This Row],[Material Name]]</f>
        <v>CLR30-99-026_ADSS 24C</v>
      </c>
      <c r="Q1553" t="str">
        <f>DO_DB[[#This Row],[DO Number]]</f>
        <v>DOEID23121141</v>
      </c>
      <c r="R1553" t="str">
        <f>DO_DB[[#This Row],[DN Number]]</f>
        <v>DNWID0342023121102</v>
      </c>
    </row>
    <row r="1554" spans="1:18">
      <c r="A1554" t="s">
        <v>642</v>
      </c>
      <c r="B1554" t="s">
        <v>643</v>
      </c>
      <c r="C1554" t="s">
        <v>4482</v>
      </c>
      <c r="D1554" t="s">
        <v>71</v>
      </c>
      <c r="E1554" t="s">
        <v>644</v>
      </c>
      <c r="F1554" t="s">
        <v>4500</v>
      </c>
      <c r="G1554" t="s">
        <v>657</v>
      </c>
      <c r="H1554" t="s">
        <v>658</v>
      </c>
      <c r="I1554" s="130">
        <v>45272</v>
      </c>
      <c r="J1554" t="s">
        <v>3075</v>
      </c>
      <c r="K1554">
        <v>3000</v>
      </c>
      <c r="M15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48C-20231212-01</v>
      </c>
      <c r="N1554" t="str">
        <f>DO_DB[[#This Row],[Material Pick-update]]&amp;"_"&amp;DO_DB[[#This Row],[Material Name]]</f>
        <v>45272_ADSS 48C</v>
      </c>
      <c r="O1554" t="str">
        <f>DO_DB[[#This Row],[SiteID]]</f>
        <v>CLR30-01-041</v>
      </c>
      <c r="P1554" t="str">
        <f>DO_DB[[#This Row],[SiteID]]&amp;"_"&amp;DO_DB[[#This Row],[Material Name]]</f>
        <v>CLR30-01-041_ADSS 48C</v>
      </c>
      <c r="Q1554" t="str">
        <f>DO_DB[[#This Row],[DO Number]]</f>
        <v>DOEID23121143</v>
      </c>
      <c r="R1554" t="str">
        <f>DO_DB[[#This Row],[DN Number]]</f>
        <v>DNWID0342023121103</v>
      </c>
    </row>
    <row r="1555" spans="1:18">
      <c r="A1555" t="s">
        <v>642</v>
      </c>
      <c r="B1555" t="s">
        <v>643</v>
      </c>
      <c r="C1555" t="s">
        <v>4482</v>
      </c>
      <c r="D1555" t="s">
        <v>71</v>
      </c>
      <c r="E1555" t="s">
        <v>644</v>
      </c>
      <c r="F1555" t="s">
        <v>4500</v>
      </c>
      <c r="G1555" t="s">
        <v>724</v>
      </c>
      <c r="H1555" t="s">
        <v>725</v>
      </c>
      <c r="I1555" s="130">
        <v>45282</v>
      </c>
      <c r="J1555" t="s">
        <v>14</v>
      </c>
      <c r="K1555">
        <v>1</v>
      </c>
      <c r="M15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55" t="str">
        <f>DO_DB[[#This Row],[Material Pick-update]]&amp;"_"&amp;DO_DB[[#This Row],[Material Name]]</f>
        <v>45282_FDT-48</v>
      </c>
      <c r="O1555" t="str">
        <f>DO_DB[[#This Row],[SiteID]]</f>
        <v>CLR30-01-041</v>
      </c>
      <c r="P1555" t="str">
        <f>DO_DB[[#This Row],[SiteID]]&amp;"_"&amp;DO_DB[[#This Row],[Material Name]]</f>
        <v>CLR30-01-041_FDT-48</v>
      </c>
      <c r="Q1555" t="str">
        <f>DO_DB[[#This Row],[DO Number]]</f>
        <v>DOEID23122157</v>
      </c>
      <c r="R1555" t="str">
        <f>DO_DB[[#This Row],[DN Number]]</f>
        <v>DNWID0342023122109</v>
      </c>
    </row>
    <row r="1556" spans="1:18">
      <c r="A1556" t="s">
        <v>647</v>
      </c>
      <c r="B1556" t="s">
        <v>648</v>
      </c>
      <c r="C1556" t="s">
        <v>4482</v>
      </c>
      <c r="D1556" t="s">
        <v>71</v>
      </c>
      <c r="E1556" t="s">
        <v>644</v>
      </c>
      <c r="F1556" t="s">
        <v>4500</v>
      </c>
      <c r="G1556" t="s">
        <v>728</v>
      </c>
      <c r="H1556" t="s">
        <v>729</v>
      </c>
      <c r="I1556" s="130">
        <v>45287</v>
      </c>
      <c r="J1556" t="s">
        <v>3069</v>
      </c>
      <c r="K1556">
        <v>23</v>
      </c>
      <c r="M15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56" t="str">
        <f>DO_DB[[#This Row],[Material Pick-update]]&amp;"_"&amp;DO_DB[[#This Row],[Material Name]]</f>
        <v>45287_Pole 7M 4"</v>
      </c>
      <c r="O1556" t="str">
        <f>DO_DB[[#This Row],[SiteID]]</f>
        <v>CLR30-99-027</v>
      </c>
      <c r="P1556" t="str">
        <f>DO_DB[[#This Row],[SiteID]]&amp;"_"&amp;DO_DB[[#This Row],[Material Name]]</f>
        <v>CLR30-99-027_Pole 7M 4"</v>
      </c>
      <c r="Q1556" t="str">
        <f>DO_DB[[#This Row],[DO Number]]</f>
        <v>DOEID231227A8</v>
      </c>
      <c r="R1556" t="str">
        <f>DO_DB[[#This Row],[DN Number]]</f>
        <v>DNWID0362023122704</v>
      </c>
    </row>
    <row r="1557" spans="1:18">
      <c r="A1557" t="s">
        <v>647</v>
      </c>
      <c r="B1557" t="s">
        <v>648</v>
      </c>
      <c r="C1557" t="s">
        <v>4482</v>
      </c>
      <c r="D1557" t="s">
        <v>71</v>
      </c>
      <c r="E1557" t="s">
        <v>644</v>
      </c>
      <c r="F1557" t="s">
        <v>4500</v>
      </c>
      <c r="G1557" t="s">
        <v>728</v>
      </c>
      <c r="H1557" t="s">
        <v>729</v>
      </c>
      <c r="I1557" s="130">
        <v>45287</v>
      </c>
      <c r="J1557" t="s">
        <v>4856</v>
      </c>
      <c r="K1557">
        <v>1</v>
      </c>
      <c r="M15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57" t="str">
        <f>DO_DB[[#This Row],[Material Pick-update]]&amp;"_"&amp;DO_DB[[#This Row],[Material Name]]</f>
        <v>45287_JC 144Core</v>
      </c>
      <c r="O1557" t="str">
        <f>DO_DB[[#This Row],[SiteID]]</f>
        <v>CLR30-99-027</v>
      </c>
      <c r="P1557" t="str">
        <f>DO_DB[[#This Row],[SiteID]]&amp;"_"&amp;DO_DB[[#This Row],[Material Name]]</f>
        <v>CLR30-99-027_JC 144Core</v>
      </c>
      <c r="Q1557" t="str">
        <f>DO_DB[[#This Row],[DO Number]]</f>
        <v>DOEID231227A8</v>
      </c>
      <c r="R1557" t="str">
        <f>DO_DB[[#This Row],[DN Number]]</f>
        <v>DNWID0362023122704</v>
      </c>
    </row>
    <row r="1558" spans="1:18">
      <c r="A1558" t="s">
        <v>647</v>
      </c>
      <c r="B1558" t="s">
        <v>648</v>
      </c>
      <c r="C1558" t="s">
        <v>4482</v>
      </c>
      <c r="D1558" t="s">
        <v>71</v>
      </c>
      <c r="E1558" t="s">
        <v>644</v>
      </c>
      <c r="F1558" t="s">
        <v>4500</v>
      </c>
      <c r="G1558" t="s">
        <v>730</v>
      </c>
      <c r="H1558" t="s">
        <v>731</v>
      </c>
      <c r="I1558" s="130">
        <v>45287</v>
      </c>
      <c r="J1558" t="s">
        <v>3075</v>
      </c>
      <c r="K1558">
        <v>3000</v>
      </c>
      <c r="M15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48C-20231227-01</v>
      </c>
      <c r="N1558" t="str">
        <f>DO_DB[[#This Row],[Material Pick-update]]&amp;"_"&amp;DO_DB[[#This Row],[Material Name]]</f>
        <v>45287_ADSS 48C</v>
      </c>
      <c r="O1558" t="str">
        <f>DO_DB[[#This Row],[SiteID]]</f>
        <v>CLR30-99-027</v>
      </c>
      <c r="P1558" t="str">
        <f>DO_DB[[#This Row],[SiteID]]&amp;"_"&amp;DO_DB[[#This Row],[Material Name]]</f>
        <v>CLR30-99-027_ADSS 48C</v>
      </c>
      <c r="Q1558" t="str">
        <f>DO_DB[[#This Row],[DO Number]]</f>
        <v>DOEID231227A7</v>
      </c>
      <c r="R1558" t="str">
        <f>DO_DB[[#This Row],[DN Number]]</f>
        <v>DNWID0342023122710</v>
      </c>
    </row>
    <row r="1559" spans="1:18">
      <c r="A1559" t="s">
        <v>732</v>
      </c>
      <c r="B1559" t="s">
        <v>733</v>
      </c>
      <c r="C1559" t="s">
        <v>4482</v>
      </c>
      <c r="D1559" t="s">
        <v>71</v>
      </c>
      <c r="E1559" t="s">
        <v>24</v>
      </c>
      <c r="F1559" t="s">
        <v>4500</v>
      </c>
      <c r="G1559" t="s">
        <v>734</v>
      </c>
      <c r="H1559" t="s">
        <v>735</v>
      </c>
      <c r="I1559" s="130">
        <v>45287</v>
      </c>
      <c r="J1559" t="s">
        <v>3069</v>
      </c>
      <c r="K1559">
        <v>30</v>
      </c>
      <c r="M15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59" t="str">
        <f>DO_DB[[#This Row],[Material Pick-update]]&amp;"_"&amp;DO_DB[[#This Row],[Material Name]]</f>
        <v>45287_Pole 7M 4"</v>
      </c>
      <c r="O1559" t="str">
        <f>DO_DB[[#This Row],[SiteID]]</f>
        <v>CLR32-99-069</v>
      </c>
      <c r="P1559" t="str">
        <f>DO_DB[[#This Row],[SiteID]]&amp;"_"&amp;DO_DB[[#This Row],[Material Name]]</f>
        <v>CLR32-99-069_Pole 7M 4"</v>
      </c>
      <c r="Q1559" t="str">
        <f>DO_DB[[#This Row],[DO Number]]</f>
        <v>DOEID231223A7</v>
      </c>
      <c r="R1559" t="str">
        <f>DO_DB[[#This Row],[DN Number]]</f>
        <v>DNWID0362023122308</v>
      </c>
    </row>
    <row r="1560" spans="1:18">
      <c r="A1560" t="s">
        <v>732</v>
      </c>
      <c r="B1560" t="s">
        <v>733</v>
      </c>
      <c r="C1560" t="s">
        <v>4482</v>
      </c>
      <c r="D1560" t="s">
        <v>71</v>
      </c>
      <c r="E1560" t="s">
        <v>24</v>
      </c>
      <c r="F1560" t="s">
        <v>4500</v>
      </c>
      <c r="G1560" t="s">
        <v>734</v>
      </c>
      <c r="H1560" t="s">
        <v>735</v>
      </c>
      <c r="I1560" s="130">
        <v>45287</v>
      </c>
      <c r="J1560" t="s">
        <v>3070</v>
      </c>
      <c r="K1560">
        <v>7</v>
      </c>
      <c r="M15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60" t="str">
        <f>DO_DB[[#This Row],[Material Pick-update]]&amp;"_"&amp;DO_DB[[#This Row],[Material Name]]</f>
        <v>45287_Pole 7M 3"</v>
      </c>
      <c r="O1560" t="str">
        <f>DO_DB[[#This Row],[SiteID]]</f>
        <v>CLR32-99-069</v>
      </c>
      <c r="P1560" t="str">
        <f>DO_DB[[#This Row],[SiteID]]&amp;"_"&amp;DO_DB[[#This Row],[Material Name]]</f>
        <v>CLR32-99-069_Pole 7M 3"</v>
      </c>
      <c r="Q1560" t="str">
        <f>DO_DB[[#This Row],[DO Number]]</f>
        <v>DOEID231223A7</v>
      </c>
      <c r="R1560" t="str">
        <f>DO_DB[[#This Row],[DN Number]]</f>
        <v>DNWID0362023122308</v>
      </c>
    </row>
    <row r="1561" spans="1:18">
      <c r="A1561" t="s">
        <v>732</v>
      </c>
      <c r="B1561" t="s">
        <v>733</v>
      </c>
      <c r="C1561" t="s">
        <v>4482</v>
      </c>
      <c r="D1561" t="s">
        <v>71</v>
      </c>
      <c r="E1561" t="s">
        <v>24</v>
      </c>
      <c r="F1561" t="s">
        <v>4500</v>
      </c>
      <c r="G1561" t="s">
        <v>734</v>
      </c>
      <c r="H1561" t="s">
        <v>735</v>
      </c>
      <c r="I1561" s="130">
        <v>45287</v>
      </c>
      <c r="J1561" t="s">
        <v>4856</v>
      </c>
      <c r="K1561">
        <v>1</v>
      </c>
      <c r="M15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61" t="str">
        <f>DO_DB[[#This Row],[Material Pick-update]]&amp;"_"&amp;DO_DB[[#This Row],[Material Name]]</f>
        <v>45287_JC 144Core</v>
      </c>
      <c r="O1561" t="str">
        <f>DO_DB[[#This Row],[SiteID]]</f>
        <v>CLR32-99-069</v>
      </c>
      <c r="P1561" t="str">
        <f>DO_DB[[#This Row],[SiteID]]&amp;"_"&amp;DO_DB[[#This Row],[Material Name]]</f>
        <v>CLR32-99-069_JC 144Core</v>
      </c>
      <c r="Q1561" t="str">
        <f>DO_DB[[#This Row],[DO Number]]</f>
        <v>DOEID231223A7</v>
      </c>
      <c r="R1561" t="str">
        <f>DO_DB[[#This Row],[DN Number]]</f>
        <v>DNWID0362023122308</v>
      </c>
    </row>
    <row r="1562" spans="1:18">
      <c r="A1562" t="s">
        <v>810</v>
      </c>
      <c r="B1562" t="s">
        <v>811</v>
      </c>
      <c r="C1562" t="s">
        <v>4482</v>
      </c>
      <c r="D1562" t="s">
        <v>71</v>
      </c>
      <c r="E1562" t="s">
        <v>644</v>
      </c>
      <c r="F1562" t="s">
        <v>4500</v>
      </c>
      <c r="G1562" t="s">
        <v>822</v>
      </c>
      <c r="H1562" t="s">
        <v>823</v>
      </c>
      <c r="I1562" s="130">
        <v>45304</v>
      </c>
      <c r="J1562" t="s">
        <v>3069</v>
      </c>
      <c r="K1562">
        <v>21</v>
      </c>
      <c r="M15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62" t="str">
        <f>DO_DB[[#This Row],[Material Pick-update]]&amp;"_"&amp;DO_DB[[#This Row],[Material Name]]</f>
        <v>45304_Pole 7M 4"</v>
      </c>
      <c r="O1562" t="str">
        <f>DO_DB[[#This Row],[SiteID]]</f>
        <v>CLR30-99-031</v>
      </c>
      <c r="P1562" t="str">
        <f>DO_DB[[#This Row],[SiteID]]&amp;"_"&amp;DO_DB[[#This Row],[Material Name]]</f>
        <v>CLR30-99-031_Pole 7M 4"</v>
      </c>
      <c r="Q1562" t="str">
        <f>DO_DB[[#This Row],[DO Number]]</f>
        <v>DOEID24011201</v>
      </c>
      <c r="R1562" t="str">
        <f>DO_DB[[#This Row],[DN Number]]</f>
        <v>DNWID0362024011204</v>
      </c>
    </row>
    <row r="1563" spans="1:18">
      <c r="A1563" t="s">
        <v>810</v>
      </c>
      <c r="B1563" t="s">
        <v>811</v>
      </c>
      <c r="C1563" t="s">
        <v>4482</v>
      </c>
      <c r="D1563" t="s">
        <v>71</v>
      </c>
      <c r="E1563" t="s">
        <v>644</v>
      </c>
      <c r="F1563" t="s">
        <v>4500</v>
      </c>
      <c r="G1563" t="s">
        <v>822</v>
      </c>
      <c r="H1563" t="s">
        <v>823</v>
      </c>
      <c r="I1563" s="130">
        <v>45304</v>
      </c>
      <c r="J1563" t="s">
        <v>3070</v>
      </c>
      <c r="K1563">
        <v>4</v>
      </c>
      <c r="M15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63" t="str">
        <f>DO_DB[[#This Row],[Material Pick-update]]&amp;"_"&amp;DO_DB[[#This Row],[Material Name]]</f>
        <v>45304_Pole 7M 3"</v>
      </c>
      <c r="O1563" t="str">
        <f>DO_DB[[#This Row],[SiteID]]</f>
        <v>CLR30-99-031</v>
      </c>
      <c r="P1563" t="str">
        <f>DO_DB[[#This Row],[SiteID]]&amp;"_"&amp;DO_DB[[#This Row],[Material Name]]</f>
        <v>CLR30-99-031_Pole 7M 3"</v>
      </c>
      <c r="Q1563" t="str">
        <f>DO_DB[[#This Row],[DO Number]]</f>
        <v>DOEID24011201</v>
      </c>
      <c r="R1563" t="str">
        <f>DO_DB[[#This Row],[DN Number]]</f>
        <v>DNWID0362024011204</v>
      </c>
    </row>
    <row r="1564" spans="1:18">
      <c r="A1564" t="s">
        <v>810</v>
      </c>
      <c r="B1564" t="s">
        <v>811</v>
      </c>
      <c r="C1564" t="s">
        <v>4482</v>
      </c>
      <c r="D1564" t="s">
        <v>71</v>
      </c>
      <c r="E1564" t="s">
        <v>644</v>
      </c>
      <c r="F1564" t="s">
        <v>4500</v>
      </c>
      <c r="G1564" t="s">
        <v>822</v>
      </c>
      <c r="H1564" t="s">
        <v>823</v>
      </c>
      <c r="I1564" s="130">
        <v>45304</v>
      </c>
      <c r="J1564" t="s">
        <v>4856</v>
      </c>
      <c r="K1564">
        <v>1</v>
      </c>
      <c r="M15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64" t="str">
        <f>DO_DB[[#This Row],[Material Pick-update]]&amp;"_"&amp;DO_DB[[#This Row],[Material Name]]</f>
        <v>45304_JC 144Core</v>
      </c>
      <c r="O1564" t="str">
        <f>DO_DB[[#This Row],[SiteID]]</f>
        <v>CLR30-99-031</v>
      </c>
      <c r="P1564" t="str">
        <f>DO_DB[[#This Row],[SiteID]]&amp;"_"&amp;DO_DB[[#This Row],[Material Name]]</f>
        <v>CLR30-99-031_JC 144Core</v>
      </c>
      <c r="Q1564" t="str">
        <f>DO_DB[[#This Row],[DO Number]]</f>
        <v>DOEID24011201</v>
      </c>
      <c r="R1564" t="str">
        <f>DO_DB[[#This Row],[DN Number]]</f>
        <v>DNWID0362024011204</v>
      </c>
    </row>
    <row r="1565" spans="1:18">
      <c r="A1565" t="s">
        <v>810</v>
      </c>
      <c r="B1565" t="s">
        <v>811</v>
      </c>
      <c r="C1565" t="s">
        <v>4482</v>
      </c>
      <c r="D1565" t="s">
        <v>71</v>
      </c>
      <c r="E1565" t="s">
        <v>644</v>
      </c>
      <c r="F1565" t="s">
        <v>4500</v>
      </c>
      <c r="G1565" t="s">
        <v>812</v>
      </c>
      <c r="H1565" t="s">
        <v>813</v>
      </c>
      <c r="I1565" s="130">
        <v>45304</v>
      </c>
      <c r="J1565" t="s">
        <v>15</v>
      </c>
      <c r="K1565">
        <v>1</v>
      </c>
      <c r="M15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65" t="str">
        <f>DO_DB[[#This Row],[Material Pick-update]]&amp;"_"&amp;DO_DB[[#This Row],[Material Name]]</f>
        <v>45304_FDT-72</v>
      </c>
      <c r="O1565" t="str">
        <f>DO_DB[[#This Row],[SiteID]]</f>
        <v>CLR30-99-031</v>
      </c>
      <c r="P1565" t="str">
        <f>DO_DB[[#This Row],[SiteID]]&amp;"_"&amp;DO_DB[[#This Row],[Material Name]]</f>
        <v>CLR30-99-031_FDT-72</v>
      </c>
      <c r="Q1565" t="str">
        <f>DO_DB[[#This Row],[DO Number]]</f>
        <v>DOEID24011202</v>
      </c>
      <c r="R1565" t="str">
        <f>DO_DB[[#This Row],[DN Number]]</f>
        <v>DNWID0342024011205</v>
      </c>
    </row>
    <row r="1566" spans="1:18">
      <c r="A1566" t="s">
        <v>810</v>
      </c>
      <c r="B1566" t="s">
        <v>811</v>
      </c>
      <c r="C1566" t="s">
        <v>4482</v>
      </c>
      <c r="D1566" t="s">
        <v>71</v>
      </c>
      <c r="E1566" t="s">
        <v>644</v>
      </c>
      <c r="F1566" t="s">
        <v>4500</v>
      </c>
      <c r="G1566" t="s">
        <v>812</v>
      </c>
      <c r="H1566" t="s">
        <v>813</v>
      </c>
      <c r="I1566" s="130">
        <v>45304</v>
      </c>
      <c r="J1566" t="s">
        <v>13</v>
      </c>
      <c r="K1566">
        <v>10</v>
      </c>
      <c r="M15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66" t="str">
        <f>DO_DB[[#This Row],[Material Pick-update]]&amp;"_"&amp;DO_DB[[#This Row],[Material Name]]</f>
        <v>45304_FAT-16</v>
      </c>
      <c r="O1566" t="str">
        <f>DO_DB[[#This Row],[SiteID]]</f>
        <v>CLR30-99-031</v>
      </c>
      <c r="P1566" t="str">
        <f>DO_DB[[#This Row],[SiteID]]&amp;"_"&amp;DO_DB[[#This Row],[Material Name]]</f>
        <v>CLR30-99-031_FAT-16</v>
      </c>
      <c r="Q1566" t="str">
        <f>DO_DB[[#This Row],[DO Number]]</f>
        <v>DOEID24011202</v>
      </c>
      <c r="R1566" t="str">
        <f>DO_DB[[#This Row],[DN Number]]</f>
        <v>DNWID0342024011205</v>
      </c>
    </row>
    <row r="1567" spans="1:18">
      <c r="A1567" t="s">
        <v>810</v>
      </c>
      <c r="B1567" t="s">
        <v>811</v>
      </c>
      <c r="C1567" t="s">
        <v>4482</v>
      </c>
      <c r="D1567" t="s">
        <v>71</v>
      </c>
      <c r="E1567" t="s">
        <v>644</v>
      </c>
      <c r="F1567" t="s">
        <v>4500</v>
      </c>
      <c r="G1567" t="s">
        <v>812</v>
      </c>
      <c r="H1567" t="s">
        <v>813</v>
      </c>
      <c r="I1567" s="130">
        <v>45304</v>
      </c>
      <c r="J1567" t="s">
        <v>3080</v>
      </c>
      <c r="K1567">
        <v>4</v>
      </c>
      <c r="M15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67" t="str">
        <f>DO_DB[[#This Row],[Material Pick-update]]&amp;"_"&amp;DO_DB[[#This Row],[Material Name]]</f>
        <v>45304_1:8 SPL for FDT-AE &amp; UG</v>
      </c>
      <c r="O1567" t="str">
        <f>DO_DB[[#This Row],[SiteID]]</f>
        <v>CLR30-99-031</v>
      </c>
      <c r="P1567" t="str">
        <f>DO_DB[[#This Row],[SiteID]]&amp;"_"&amp;DO_DB[[#This Row],[Material Name]]</f>
        <v>CLR30-99-031_1:8 SPL for FDT-AE &amp; UG</v>
      </c>
      <c r="Q1567" t="str">
        <f>DO_DB[[#This Row],[DO Number]]</f>
        <v>DOEID24011202</v>
      </c>
      <c r="R1567" t="str">
        <f>DO_DB[[#This Row],[DN Number]]</f>
        <v>DNWID0342024011205</v>
      </c>
    </row>
    <row r="1568" spans="1:18">
      <c r="A1568" t="s">
        <v>798</v>
      </c>
      <c r="B1568" t="s">
        <v>799</v>
      </c>
      <c r="C1568" t="s">
        <v>4482</v>
      </c>
      <c r="D1568" t="s">
        <v>71</v>
      </c>
      <c r="E1568" t="s">
        <v>644</v>
      </c>
      <c r="F1568" t="s">
        <v>4500</v>
      </c>
      <c r="G1568" t="s">
        <v>814</v>
      </c>
      <c r="H1568" t="s">
        <v>815</v>
      </c>
      <c r="I1568" s="130">
        <v>45304</v>
      </c>
      <c r="J1568" t="s">
        <v>3069</v>
      </c>
      <c r="K1568">
        <v>17</v>
      </c>
      <c r="M15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68" t="str">
        <f>DO_DB[[#This Row],[Material Pick-update]]&amp;"_"&amp;DO_DB[[#This Row],[Material Name]]</f>
        <v>45304_Pole 7M 4"</v>
      </c>
      <c r="O1568" t="str">
        <f>DO_DB[[#This Row],[SiteID]]</f>
        <v>CLR30-99-033</v>
      </c>
      <c r="P1568" t="str">
        <f>DO_DB[[#This Row],[SiteID]]&amp;"_"&amp;DO_DB[[#This Row],[Material Name]]</f>
        <v>CLR30-99-033_Pole 7M 4"</v>
      </c>
      <c r="Q1568" t="str">
        <f>DO_DB[[#This Row],[DO Number]]</f>
        <v>DOEID24011203</v>
      </c>
      <c r="R1568" t="str">
        <f>DO_DB[[#This Row],[DN Number]]</f>
        <v>DNWID0362024011205</v>
      </c>
    </row>
    <row r="1569" spans="1:18">
      <c r="A1569" t="s">
        <v>798</v>
      </c>
      <c r="B1569" t="s">
        <v>799</v>
      </c>
      <c r="C1569" t="s">
        <v>4482</v>
      </c>
      <c r="D1569" t="s">
        <v>71</v>
      </c>
      <c r="E1569" t="s">
        <v>644</v>
      </c>
      <c r="F1569" t="s">
        <v>4500</v>
      </c>
      <c r="G1569" t="s">
        <v>814</v>
      </c>
      <c r="H1569" t="s">
        <v>815</v>
      </c>
      <c r="I1569" s="130">
        <v>45304</v>
      </c>
      <c r="J1569" t="s">
        <v>3070</v>
      </c>
      <c r="K1569">
        <v>5</v>
      </c>
      <c r="M15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69" t="str">
        <f>DO_DB[[#This Row],[Material Pick-update]]&amp;"_"&amp;DO_DB[[#This Row],[Material Name]]</f>
        <v>45304_Pole 7M 3"</v>
      </c>
      <c r="O1569" t="str">
        <f>DO_DB[[#This Row],[SiteID]]</f>
        <v>CLR30-99-033</v>
      </c>
      <c r="P1569" t="str">
        <f>DO_DB[[#This Row],[SiteID]]&amp;"_"&amp;DO_DB[[#This Row],[Material Name]]</f>
        <v>CLR30-99-033_Pole 7M 3"</v>
      </c>
      <c r="Q1569" t="str">
        <f>DO_DB[[#This Row],[DO Number]]</f>
        <v>DOEID24011203</v>
      </c>
      <c r="R1569" t="str">
        <f>DO_DB[[#This Row],[DN Number]]</f>
        <v>DNWID0362024011205</v>
      </c>
    </row>
    <row r="1570" spans="1:18">
      <c r="A1570" t="s">
        <v>798</v>
      </c>
      <c r="B1570" t="s">
        <v>799</v>
      </c>
      <c r="C1570" t="s">
        <v>4482</v>
      </c>
      <c r="D1570" t="s">
        <v>71</v>
      </c>
      <c r="E1570" t="s">
        <v>644</v>
      </c>
      <c r="F1570" t="s">
        <v>4500</v>
      </c>
      <c r="G1570" t="s">
        <v>800</v>
      </c>
      <c r="H1570" t="s">
        <v>801</v>
      </c>
      <c r="I1570" s="130">
        <v>45304</v>
      </c>
      <c r="J1570" t="s">
        <v>13</v>
      </c>
      <c r="K1570">
        <v>10</v>
      </c>
      <c r="M15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70" t="str">
        <f>DO_DB[[#This Row],[Material Pick-update]]&amp;"_"&amp;DO_DB[[#This Row],[Material Name]]</f>
        <v>45304_FAT-16</v>
      </c>
      <c r="O1570" t="str">
        <f>DO_DB[[#This Row],[SiteID]]</f>
        <v>CLR30-99-033</v>
      </c>
      <c r="P1570" t="str">
        <f>DO_DB[[#This Row],[SiteID]]&amp;"_"&amp;DO_DB[[#This Row],[Material Name]]</f>
        <v>CLR30-99-033_FAT-16</v>
      </c>
      <c r="Q1570" t="str">
        <f>DO_DB[[#This Row],[DO Number]]</f>
        <v>DOEID24011204</v>
      </c>
      <c r="R1570" t="str">
        <f>DO_DB[[#This Row],[DN Number]]</f>
        <v>DNWID0342024011206</v>
      </c>
    </row>
    <row r="1571" spans="1:18">
      <c r="A1571" t="s">
        <v>806</v>
      </c>
      <c r="B1571" t="s">
        <v>807</v>
      </c>
      <c r="C1571" t="s">
        <v>4482</v>
      </c>
      <c r="D1571" t="s">
        <v>71</v>
      </c>
      <c r="E1571" t="s">
        <v>644</v>
      </c>
      <c r="F1571" t="s">
        <v>4500</v>
      </c>
      <c r="G1571" t="s">
        <v>824</v>
      </c>
      <c r="H1571" t="s">
        <v>825</v>
      </c>
      <c r="I1571" s="130">
        <v>45304</v>
      </c>
      <c r="J1571" t="s">
        <v>3069</v>
      </c>
      <c r="K1571">
        <v>36</v>
      </c>
      <c r="M15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71" t="str">
        <f>DO_DB[[#This Row],[Material Pick-update]]&amp;"_"&amp;DO_DB[[#This Row],[Material Name]]</f>
        <v>45304_Pole 7M 4"</v>
      </c>
      <c r="O1571" t="str">
        <f>DO_DB[[#This Row],[SiteID]]</f>
        <v>CLR30-99-034</v>
      </c>
      <c r="P1571" t="str">
        <f>DO_DB[[#This Row],[SiteID]]&amp;"_"&amp;DO_DB[[#This Row],[Material Name]]</f>
        <v>CLR30-99-034_Pole 7M 4"</v>
      </c>
      <c r="Q1571" t="str">
        <f>DO_DB[[#This Row],[DO Number]]</f>
        <v>DOEID24011205</v>
      </c>
      <c r="R1571" t="str">
        <f>DO_DB[[#This Row],[DN Number]]</f>
        <v>DNWID0362024011206</v>
      </c>
    </row>
    <row r="1572" spans="1:18">
      <c r="A1572" t="s">
        <v>806</v>
      </c>
      <c r="B1572" t="s">
        <v>807</v>
      </c>
      <c r="C1572" t="s">
        <v>4482</v>
      </c>
      <c r="D1572" t="s">
        <v>71</v>
      </c>
      <c r="E1572" t="s">
        <v>644</v>
      </c>
      <c r="F1572" t="s">
        <v>4500</v>
      </c>
      <c r="G1572" t="s">
        <v>824</v>
      </c>
      <c r="H1572" t="s">
        <v>825</v>
      </c>
      <c r="I1572" s="130">
        <v>45304</v>
      </c>
      <c r="J1572" t="s">
        <v>3070</v>
      </c>
      <c r="K1572">
        <v>5</v>
      </c>
      <c r="M15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72" t="str">
        <f>DO_DB[[#This Row],[Material Pick-update]]&amp;"_"&amp;DO_DB[[#This Row],[Material Name]]</f>
        <v>45304_Pole 7M 3"</v>
      </c>
      <c r="O1572" t="str">
        <f>DO_DB[[#This Row],[SiteID]]</f>
        <v>CLR30-99-034</v>
      </c>
      <c r="P1572" t="str">
        <f>DO_DB[[#This Row],[SiteID]]&amp;"_"&amp;DO_DB[[#This Row],[Material Name]]</f>
        <v>CLR30-99-034_Pole 7M 3"</v>
      </c>
      <c r="Q1572" t="str">
        <f>DO_DB[[#This Row],[DO Number]]</f>
        <v>DOEID24011205</v>
      </c>
      <c r="R1572" t="str">
        <f>DO_DB[[#This Row],[DN Number]]</f>
        <v>DNWID0362024011206</v>
      </c>
    </row>
    <row r="1573" spans="1:18">
      <c r="A1573" t="s">
        <v>806</v>
      </c>
      <c r="B1573" t="s">
        <v>807</v>
      </c>
      <c r="C1573" t="s">
        <v>4482</v>
      </c>
      <c r="D1573" t="s">
        <v>71</v>
      </c>
      <c r="E1573" t="s">
        <v>644</v>
      </c>
      <c r="F1573" t="s">
        <v>4500</v>
      </c>
      <c r="G1573" t="s">
        <v>808</v>
      </c>
      <c r="H1573" t="s">
        <v>809</v>
      </c>
      <c r="I1573" s="130">
        <v>45304</v>
      </c>
      <c r="J1573" t="s">
        <v>13</v>
      </c>
      <c r="K1573">
        <v>15</v>
      </c>
      <c r="M15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73" t="str">
        <f>DO_DB[[#This Row],[Material Pick-update]]&amp;"_"&amp;DO_DB[[#This Row],[Material Name]]</f>
        <v>45304_FAT-16</v>
      </c>
      <c r="O1573" t="str">
        <f>DO_DB[[#This Row],[SiteID]]</f>
        <v>CLR30-99-034</v>
      </c>
      <c r="P1573" t="str">
        <f>DO_DB[[#This Row],[SiteID]]&amp;"_"&amp;DO_DB[[#This Row],[Material Name]]</f>
        <v>CLR30-99-034_FAT-16</v>
      </c>
      <c r="Q1573" t="str">
        <f>DO_DB[[#This Row],[DO Number]]</f>
        <v>DOEID24011206</v>
      </c>
      <c r="R1573" t="str">
        <f>DO_DB[[#This Row],[DN Number]]</f>
        <v>DNWID0342024011202</v>
      </c>
    </row>
    <row r="1574" spans="1:18">
      <c r="A1574" t="s">
        <v>794</v>
      </c>
      <c r="B1574" t="s">
        <v>795</v>
      </c>
      <c r="C1574" t="s">
        <v>4482</v>
      </c>
      <c r="D1574" t="s">
        <v>71</v>
      </c>
      <c r="E1574" t="s">
        <v>644</v>
      </c>
      <c r="F1574" t="s">
        <v>4500</v>
      </c>
      <c r="G1574" t="s">
        <v>818</v>
      </c>
      <c r="H1574" t="s">
        <v>819</v>
      </c>
      <c r="I1574" s="130">
        <v>45304</v>
      </c>
      <c r="J1574" t="s">
        <v>3069</v>
      </c>
      <c r="K1574">
        <v>35</v>
      </c>
      <c r="M15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74" t="str">
        <f>DO_DB[[#This Row],[Material Pick-update]]&amp;"_"&amp;DO_DB[[#This Row],[Material Name]]</f>
        <v>45304_Pole 7M 4"</v>
      </c>
      <c r="O1574" t="str">
        <f>DO_DB[[#This Row],[SiteID]]</f>
        <v>CLR30-99-035</v>
      </c>
      <c r="P1574" t="str">
        <f>DO_DB[[#This Row],[SiteID]]&amp;"_"&amp;DO_DB[[#This Row],[Material Name]]</f>
        <v>CLR30-99-035_Pole 7M 4"</v>
      </c>
      <c r="Q1574" t="str">
        <f>DO_DB[[#This Row],[DO Number]]</f>
        <v>DOEID24011207</v>
      </c>
      <c r="R1574" t="str">
        <f>DO_DB[[#This Row],[DN Number]]</f>
        <v>DNWID0362024011202</v>
      </c>
    </row>
    <row r="1575" spans="1:18">
      <c r="A1575" t="s">
        <v>794</v>
      </c>
      <c r="B1575" t="s">
        <v>795</v>
      </c>
      <c r="C1575" t="s">
        <v>4482</v>
      </c>
      <c r="D1575" t="s">
        <v>71</v>
      </c>
      <c r="E1575" t="s">
        <v>644</v>
      </c>
      <c r="F1575" t="s">
        <v>4500</v>
      </c>
      <c r="G1575" t="s">
        <v>818</v>
      </c>
      <c r="H1575" t="s">
        <v>819</v>
      </c>
      <c r="I1575" s="130">
        <v>45304</v>
      </c>
      <c r="J1575" t="s">
        <v>3070</v>
      </c>
      <c r="K1575">
        <v>3</v>
      </c>
      <c r="M15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75" t="str">
        <f>DO_DB[[#This Row],[Material Pick-update]]&amp;"_"&amp;DO_DB[[#This Row],[Material Name]]</f>
        <v>45304_Pole 7M 3"</v>
      </c>
      <c r="O1575" t="str">
        <f>DO_DB[[#This Row],[SiteID]]</f>
        <v>CLR30-99-035</v>
      </c>
      <c r="P1575" t="str">
        <f>DO_DB[[#This Row],[SiteID]]&amp;"_"&amp;DO_DB[[#This Row],[Material Name]]</f>
        <v>CLR30-99-035_Pole 7M 3"</v>
      </c>
      <c r="Q1575" t="str">
        <f>DO_DB[[#This Row],[DO Number]]</f>
        <v>DOEID24011207</v>
      </c>
      <c r="R1575" t="str">
        <f>DO_DB[[#This Row],[DN Number]]</f>
        <v>DNWID0362024011202</v>
      </c>
    </row>
    <row r="1576" spans="1:18">
      <c r="A1576" t="s">
        <v>794</v>
      </c>
      <c r="B1576" t="s">
        <v>795</v>
      </c>
      <c r="C1576" t="s">
        <v>4482</v>
      </c>
      <c r="D1576" t="s">
        <v>71</v>
      </c>
      <c r="E1576" t="s">
        <v>644</v>
      </c>
      <c r="F1576" t="s">
        <v>4500</v>
      </c>
      <c r="G1576" t="s">
        <v>818</v>
      </c>
      <c r="H1576" t="s">
        <v>819</v>
      </c>
      <c r="I1576" s="130">
        <v>45304</v>
      </c>
      <c r="J1576" t="s">
        <v>4856</v>
      </c>
      <c r="K1576">
        <v>1</v>
      </c>
      <c r="M15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76" t="str">
        <f>DO_DB[[#This Row],[Material Pick-update]]&amp;"_"&amp;DO_DB[[#This Row],[Material Name]]</f>
        <v>45304_JC 144Core</v>
      </c>
      <c r="O1576" t="str">
        <f>DO_DB[[#This Row],[SiteID]]</f>
        <v>CLR30-99-035</v>
      </c>
      <c r="P1576" t="str">
        <f>DO_DB[[#This Row],[SiteID]]&amp;"_"&amp;DO_DB[[#This Row],[Material Name]]</f>
        <v>CLR30-99-035_JC 144Core</v>
      </c>
      <c r="Q1576" t="str">
        <f>DO_DB[[#This Row],[DO Number]]</f>
        <v>DOEID24011207</v>
      </c>
      <c r="R1576" t="str">
        <f>DO_DB[[#This Row],[DN Number]]</f>
        <v>DNWID0362024011202</v>
      </c>
    </row>
    <row r="1577" spans="1:18">
      <c r="A1577" t="s">
        <v>794</v>
      </c>
      <c r="B1577" t="s">
        <v>795</v>
      </c>
      <c r="C1577" t="s">
        <v>4482</v>
      </c>
      <c r="D1577" t="s">
        <v>71</v>
      </c>
      <c r="E1577" t="s">
        <v>644</v>
      </c>
      <c r="F1577" t="s">
        <v>4500</v>
      </c>
      <c r="G1577" t="s">
        <v>796</v>
      </c>
      <c r="H1577" t="s">
        <v>797</v>
      </c>
      <c r="I1577" s="130">
        <v>45304</v>
      </c>
      <c r="J1577" t="s">
        <v>15</v>
      </c>
      <c r="K1577">
        <v>1</v>
      </c>
      <c r="M15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77" t="str">
        <f>DO_DB[[#This Row],[Material Pick-update]]&amp;"_"&amp;DO_DB[[#This Row],[Material Name]]</f>
        <v>45304_FDT-72</v>
      </c>
      <c r="O1577" t="str">
        <f>DO_DB[[#This Row],[SiteID]]</f>
        <v>CLR30-99-035</v>
      </c>
      <c r="P1577" t="str">
        <f>DO_DB[[#This Row],[SiteID]]&amp;"_"&amp;DO_DB[[#This Row],[Material Name]]</f>
        <v>CLR30-99-035_FDT-72</v>
      </c>
      <c r="Q1577" t="str">
        <f>DO_DB[[#This Row],[DO Number]]</f>
        <v>DOEID24011208</v>
      </c>
      <c r="R1577" t="str">
        <f>DO_DB[[#This Row],[DN Number]]</f>
        <v>DNWID0342024011203</v>
      </c>
    </row>
    <row r="1578" spans="1:18">
      <c r="A1578" t="s">
        <v>794</v>
      </c>
      <c r="B1578" t="s">
        <v>795</v>
      </c>
      <c r="C1578" t="s">
        <v>4482</v>
      </c>
      <c r="D1578" t="s">
        <v>71</v>
      </c>
      <c r="E1578" t="s">
        <v>644</v>
      </c>
      <c r="F1578" t="s">
        <v>4500</v>
      </c>
      <c r="G1578" t="s">
        <v>796</v>
      </c>
      <c r="H1578" t="s">
        <v>797</v>
      </c>
      <c r="I1578" s="130">
        <v>45304</v>
      </c>
      <c r="J1578" t="s">
        <v>13</v>
      </c>
      <c r="K1578">
        <v>12</v>
      </c>
      <c r="M15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78" t="str">
        <f>DO_DB[[#This Row],[Material Pick-update]]&amp;"_"&amp;DO_DB[[#This Row],[Material Name]]</f>
        <v>45304_FAT-16</v>
      </c>
      <c r="O1578" t="str">
        <f>DO_DB[[#This Row],[SiteID]]</f>
        <v>CLR30-99-035</v>
      </c>
      <c r="P1578" t="str">
        <f>DO_DB[[#This Row],[SiteID]]&amp;"_"&amp;DO_DB[[#This Row],[Material Name]]</f>
        <v>CLR30-99-035_FAT-16</v>
      </c>
      <c r="Q1578" t="str">
        <f>DO_DB[[#This Row],[DO Number]]</f>
        <v>DOEID24011208</v>
      </c>
      <c r="R1578" t="str">
        <f>DO_DB[[#This Row],[DN Number]]</f>
        <v>DNWID0342024011203</v>
      </c>
    </row>
    <row r="1579" spans="1:18">
      <c r="A1579" t="s">
        <v>794</v>
      </c>
      <c r="B1579" t="s">
        <v>795</v>
      </c>
      <c r="C1579" t="s">
        <v>4482</v>
      </c>
      <c r="D1579" t="s">
        <v>71</v>
      </c>
      <c r="E1579" t="s">
        <v>644</v>
      </c>
      <c r="F1579" t="s">
        <v>4500</v>
      </c>
      <c r="G1579" t="s">
        <v>796</v>
      </c>
      <c r="H1579" t="s">
        <v>797</v>
      </c>
      <c r="I1579" s="130">
        <v>45304</v>
      </c>
      <c r="J1579" t="s">
        <v>3080</v>
      </c>
      <c r="K1579">
        <v>4</v>
      </c>
      <c r="M15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79" t="str">
        <f>DO_DB[[#This Row],[Material Pick-update]]&amp;"_"&amp;DO_DB[[#This Row],[Material Name]]</f>
        <v>45304_1:8 SPL for FDT-AE &amp; UG</v>
      </c>
      <c r="O1579" t="str">
        <f>DO_DB[[#This Row],[SiteID]]</f>
        <v>CLR30-99-035</v>
      </c>
      <c r="P1579" t="str">
        <f>DO_DB[[#This Row],[SiteID]]&amp;"_"&amp;DO_DB[[#This Row],[Material Name]]</f>
        <v>CLR30-99-035_1:8 SPL for FDT-AE &amp; UG</v>
      </c>
      <c r="Q1579" t="str">
        <f>DO_DB[[#This Row],[DO Number]]</f>
        <v>DOEID24011208</v>
      </c>
      <c r="R1579" t="str">
        <f>DO_DB[[#This Row],[DN Number]]</f>
        <v>DNWID0342024011203</v>
      </c>
    </row>
    <row r="1580" spans="1:18">
      <c r="A1580" t="s">
        <v>802</v>
      </c>
      <c r="B1580" t="s">
        <v>803</v>
      </c>
      <c r="C1580" t="s">
        <v>4482</v>
      </c>
      <c r="D1580" t="s">
        <v>71</v>
      </c>
      <c r="E1580" t="s">
        <v>644</v>
      </c>
      <c r="F1580" t="s">
        <v>4500</v>
      </c>
      <c r="G1580" t="s">
        <v>816</v>
      </c>
      <c r="H1580" t="s">
        <v>817</v>
      </c>
      <c r="I1580" s="130">
        <v>45304</v>
      </c>
      <c r="J1580" t="s">
        <v>3069</v>
      </c>
      <c r="K1580">
        <v>26</v>
      </c>
      <c r="M15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80" t="str">
        <f>DO_DB[[#This Row],[Material Pick-update]]&amp;"_"&amp;DO_DB[[#This Row],[Material Name]]</f>
        <v>45304_Pole 7M 4"</v>
      </c>
      <c r="O1580" t="str">
        <f>DO_DB[[#This Row],[SiteID]]</f>
        <v>CLR30-99-036</v>
      </c>
      <c r="P1580" t="str">
        <f>DO_DB[[#This Row],[SiteID]]&amp;"_"&amp;DO_DB[[#This Row],[Material Name]]</f>
        <v>CLR30-99-036_Pole 7M 4"</v>
      </c>
      <c r="Q1580" t="str">
        <f>DO_DB[[#This Row],[DO Number]]</f>
        <v>DOEID24011209</v>
      </c>
      <c r="R1580" t="str">
        <f>DO_DB[[#This Row],[DN Number]]</f>
        <v>DNWID0362024011203</v>
      </c>
    </row>
    <row r="1581" spans="1:18">
      <c r="A1581" t="s">
        <v>802</v>
      </c>
      <c r="B1581" t="s">
        <v>803</v>
      </c>
      <c r="C1581" t="s">
        <v>4482</v>
      </c>
      <c r="D1581" t="s">
        <v>71</v>
      </c>
      <c r="E1581" t="s">
        <v>644</v>
      </c>
      <c r="F1581" t="s">
        <v>4500</v>
      </c>
      <c r="G1581" t="s">
        <v>816</v>
      </c>
      <c r="H1581" t="s">
        <v>817</v>
      </c>
      <c r="I1581" s="130">
        <v>45304</v>
      </c>
      <c r="J1581" t="s">
        <v>3070</v>
      </c>
      <c r="K1581">
        <v>6</v>
      </c>
      <c r="M15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81" t="str">
        <f>DO_DB[[#This Row],[Material Pick-update]]&amp;"_"&amp;DO_DB[[#This Row],[Material Name]]</f>
        <v>45304_Pole 7M 3"</v>
      </c>
      <c r="O1581" t="str">
        <f>DO_DB[[#This Row],[SiteID]]</f>
        <v>CLR30-99-036</v>
      </c>
      <c r="P1581" t="str">
        <f>DO_DB[[#This Row],[SiteID]]&amp;"_"&amp;DO_DB[[#This Row],[Material Name]]</f>
        <v>CLR30-99-036_Pole 7M 3"</v>
      </c>
      <c r="Q1581" t="str">
        <f>DO_DB[[#This Row],[DO Number]]</f>
        <v>DOEID24011209</v>
      </c>
      <c r="R1581" t="str">
        <f>DO_DB[[#This Row],[DN Number]]</f>
        <v>DNWID0362024011203</v>
      </c>
    </row>
    <row r="1582" spans="1:18">
      <c r="A1582" t="s">
        <v>802</v>
      </c>
      <c r="B1582" t="s">
        <v>803</v>
      </c>
      <c r="C1582" t="s">
        <v>4482</v>
      </c>
      <c r="D1582" t="s">
        <v>71</v>
      </c>
      <c r="E1582" t="s">
        <v>644</v>
      </c>
      <c r="F1582" t="s">
        <v>4500</v>
      </c>
      <c r="G1582" t="s">
        <v>804</v>
      </c>
      <c r="H1582" t="s">
        <v>805</v>
      </c>
      <c r="I1582" s="130">
        <v>45304</v>
      </c>
      <c r="J1582" t="s">
        <v>13</v>
      </c>
      <c r="K1582">
        <v>9</v>
      </c>
      <c r="M15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82" t="str">
        <f>DO_DB[[#This Row],[Material Pick-update]]&amp;"_"&amp;DO_DB[[#This Row],[Material Name]]</f>
        <v>45304_FAT-16</v>
      </c>
      <c r="O1582" t="str">
        <f>DO_DB[[#This Row],[SiteID]]</f>
        <v>CLR30-99-036</v>
      </c>
      <c r="P1582" t="str">
        <f>DO_DB[[#This Row],[SiteID]]&amp;"_"&amp;DO_DB[[#This Row],[Material Name]]</f>
        <v>CLR30-99-036_FAT-16</v>
      </c>
      <c r="Q1582" t="str">
        <f>DO_DB[[#This Row],[DO Number]]</f>
        <v>DOEID24011210</v>
      </c>
      <c r="R1582" t="str">
        <f>DO_DB[[#This Row],[DN Number]]</f>
        <v>DNWID0342024011204</v>
      </c>
    </row>
    <row r="1583" spans="1:18">
      <c r="A1583" t="s">
        <v>642</v>
      </c>
      <c r="B1583" t="s">
        <v>643</v>
      </c>
      <c r="C1583" t="s">
        <v>4482</v>
      </c>
      <c r="D1583" t="s">
        <v>71</v>
      </c>
      <c r="E1583" t="s">
        <v>644</v>
      </c>
      <c r="F1583" t="s">
        <v>4500</v>
      </c>
      <c r="G1583" t="s">
        <v>820</v>
      </c>
      <c r="H1583" t="s">
        <v>821</v>
      </c>
      <c r="I1583" s="130">
        <v>45304</v>
      </c>
      <c r="J1583" t="s">
        <v>3069</v>
      </c>
      <c r="K1583">
        <v>2</v>
      </c>
      <c r="M15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83" t="str">
        <f>DO_DB[[#This Row],[Material Pick-update]]&amp;"_"&amp;DO_DB[[#This Row],[Material Name]]</f>
        <v>45304_Pole 7M 4"</v>
      </c>
      <c r="O1583" t="str">
        <f>DO_DB[[#This Row],[SiteID]]</f>
        <v>CLR30-01-041</v>
      </c>
      <c r="P1583" t="str">
        <f>DO_DB[[#This Row],[SiteID]]&amp;"_"&amp;DO_DB[[#This Row],[Material Name]]</f>
        <v>CLR30-01-041_Pole 7M 4"</v>
      </c>
      <c r="Q1583" t="str">
        <f>DO_DB[[#This Row],[DO Number]]</f>
        <v>DOEID240112BX</v>
      </c>
      <c r="R1583" t="str">
        <f>DO_DB[[#This Row],[DN Number]]</f>
        <v>DNWID0362024011307</v>
      </c>
    </row>
    <row r="1584" spans="1:18">
      <c r="A1584" t="s">
        <v>798</v>
      </c>
      <c r="B1584" t="s">
        <v>799</v>
      </c>
      <c r="C1584" t="s">
        <v>4482</v>
      </c>
      <c r="D1584" t="s">
        <v>71</v>
      </c>
      <c r="E1584" t="s">
        <v>644</v>
      </c>
      <c r="F1584" t="s">
        <v>4500</v>
      </c>
      <c r="G1584" t="s">
        <v>800</v>
      </c>
      <c r="H1584" t="s">
        <v>801</v>
      </c>
      <c r="I1584" s="130">
        <v>45304</v>
      </c>
      <c r="J1584" t="s">
        <v>3073</v>
      </c>
      <c r="K1584">
        <v>3000</v>
      </c>
      <c r="M15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24C-2024113-01</v>
      </c>
      <c r="N1584" t="str">
        <f>DO_DB[[#This Row],[Material Pick-update]]&amp;"_"&amp;DO_DB[[#This Row],[Material Name]]</f>
        <v>45304_ADSS 24C</v>
      </c>
      <c r="O1584" t="str">
        <f>DO_DB[[#This Row],[SiteID]]</f>
        <v>CLR30-99-033</v>
      </c>
      <c r="P1584" t="str">
        <f>DO_DB[[#This Row],[SiteID]]&amp;"_"&amp;DO_DB[[#This Row],[Material Name]]</f>
        <v>CLR30-99-033_ADSS 24C</v>
      </c>
      <c r="Q1584" t="str">
        <f>DO_DB[[#This Row],[DO Number]]</f>
        <v>DOEID24011204</v>
      </c>
      <c r="R1584" t="str">
        <f>DO_DB[[#This Row],[DN Number]]</f>
        <v>DNWID0342024011206</v>
      </c>
    </row>
    <row r="1585" spans="1:18">
      <c r="A1585" t="s">
        <v>806</v>
      </c>
      <c r="B1585" t="s">
        <v>807</v>
      </c>
      <c r="C1585" t="s">
        <v>4482</v>
      </c>
      <c r="D1585" t="s">
        <v>71</v>
      </c>
      <c r="E1585" t="s">
        <v>644</v>
      </c>
      <c r="F1585" t="s">
        <v>4500</v>
      </c>
      <c r="G1585" t="s">
        <v>808</v>
      </c>
      <c r="H1585" t="s">
        <v>809</v>
      </c>
      <c r="I1585" s="130">
        <v>45304</v>
      </c>
      <c r="J1585" t="s">
        <v>3075</v>
      </c>
      <c r="K1585">
        <v>3000</v>
      </c>
      <c r="M15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48C-2024113-01</v>
      </c>
      <c r="N1585" t="str">
        <f>DO_DB[[#This Row],[Material Pick-update]]&amp;"_"&amp;DO_DB[[#This Row],[Material Name]]</f>
        <v>45304_ADSS 48C</v>
      </c>
      <c r="O1585" t="str">
        <f>DO_DB[[#This Row],[SiteID]]</f>
        <v>CLR30-99-034</v>
      </c>
      <c r="P1585" t="str">
        <f>DO_DB[[#This Row],[SiteID]]&amp;"_"&amp;DO_DB[[#This Row],[Material Name]]</f>
        <v>CLR30-99-034_ADSS 48C</v>
      </c>
      <c r="Q1585" t="str">
        <f>DO_DB[[#This Row],[DO Number]]</f>
        <v>DOEID24011206</v>
      </c>
      <c r="R1585" t="str">
        <f>DO_DB[[#This Row],[DN Number]]</f>
        <v>DNWID0342024011202</v>
      </c>
    </row>
    <row r="1586" spans="1:18">
      <c r="A1586" t="s">
        <v>794</v>
      </c>
      <c r="B1586" t="s">
        <v>795</v>
      </c>
      <c r="C1586" t="s">
        <v>4482</v>
      </c>
      <c r="D1586" t="s">
        <v>71</v>
      </c>
      <c r="E1586" t="s">
        <v>644</v>
      </c>
      <c r="F1586" t="s">
        <v>4500</v>
      </c>
      <c r="G1586" t="s">
        <v>796</v>
      </c>
      <c r="H1586" t="s">
        <v>797</v>
      </c>
      <c r="I1586" s="130">
        <v>45304</v>
      </c>
      <c r="J1586" t="s">
        <v>3075</v>
      </c>
      <c r="K1586">
        <v>3000</v>
      </c>
      <c r="M15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48C-2024113-01</v>
      </c>
      <c r="N1586" t="str">
        <f>DO_DB[[#This Row],[Material Pick-update]]&amp;"_"&amp;DO_DB[[#This Row],[Material Name]]</f>
        <v>45304_ADSS 48C</v>
      </c>
      <c r="O1586" t="str">
        <f>DO_DB[[#This Row],[SiteID]]</f>
        <v>CLR30-99-035</v>
      </c>
      <c r="P1586" t="str">
        <f>DO_DB[[#This Row],[SiteID]]&amp;"_"&amp;DO_DB[[#This Row],[Material Name]]</f>
        <v>CLR30-99-035_ADSS 48C</v>
      </c>
      <c r="Q1586" t="str">
        <f>DO_DB[[#This Row],[DO Number]]</f>
        <v>DOEID24011208</v>
      </c>
      <c r="R1586" t="str">
        <f>DO_DB[[#This Row],[DN Number]]</f>
        <v>DNWID0342024011203</v>
      </c>
    </row>
    <row r="1587" spans="1:18">
      <c r="A1587" t="s">
        <v>802</v>
      </c>
      <c r="B1587" t="s">
        <v>803</v>
      </c>
      <c r="C1587" t="s">
        <v>4482</v>
      </c>
      <c r="D1587" t="s">
        <v>71</v>
      </c>
      <c r="E1587" t="s">
        <v>644</v>
      </c>
      <c r="F1587" t="s">
        <v>4500</v>
      </c>
      <c r="G1587" t="s">
        <v>804</v>
      </c>
      <c r="H1587" t="s">
        <v>805</v>
      </c>
      <c r="I1587" s="130">
        <v>45304</v>
      </c>
      <c r="J1587" t="s">
        <v>3073</v>
      </c>
      <c r="K1587">
        <v>3000</v>
      </c>
      <c r="M15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24C-2024113-01</v>
      </c>
      <c r="N1587" t="str">
        <f>DO_DB[[#This Row],[Material Pick-update]]&amp;"_"&amp;DO_DB[[#This Row],[Material Name]]</f>
        <v>45304_ADSS 24C</v>
      </c>
      <c r="O1587" t="str">
        <f>DO_DB[[#This Row],[SiteID]]</f>
        <v>CLR30-99-036</v>
      </c>
      <c r="P1587" t="str">
        <f>DO_DB[[#This Row],[SiteID]]&amp;"_"&amp;DO_DB[[#This Row],[Material Name]]</f>
        <v>CLR30-99-036_ADSS 24C</v>
      </c>
      <c r="Q1587" t="str">
        <f>DO_DB[[#This Row],[DO Number]]</f>
        <v>DOEID24011210</v>
      </c>
      <c r="R1587" t="str">
        <f>DO_DB[[#This Row],[DN Number]]</f>
        <v>DNWID0342024011204</v>
      </c>
    </row>
    <row r="1588" spans="1:18">
      <c r="A1588" t="s">
        <v>874</v>
      </c>
      <c r="B1588" t="s">
        <v>875</v>
      </c>
      <c r="C1588" t="s">
        <v>4482</v>
      </c>
      <c r="D1588" t="s">
        <v>71</v>
      </c>
      <c r="E1588" t="s">
        <v>876</v>
      </c>
      <c r="F1588" t="s">
        <v>4500</v>
      </c>
      <c r="G1588" t="s">
        <v>877</v>
      </c>
      <c r="H1588" t="s">
        <v>878</v>
      </c>
      <c r="I1588" s="130">
        <v>45328</v>
      </c>
      <c r="J1588" t="s">
        <v>3069</v>
      </c>
      <c r="K1588">
        <v>36</v>
      </c>
      <c r="M15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88" t="str">
        <f>DO_DB[[#This Row],[Material Pick-update]]&amp;"_"&amp;DO_DB[[#This Row],[Material Name]]</f>
        <v>45328_Pole 7M 4"</v>
      </c>
      <c r="O1588" t="str">
        <f>DO_DB[[#This Row],[SiteID]]</f>
        <v>CLR37-01-002</v>
      </c>
      <c r="P1588" t="str">
        <f>DO_DB[[#This Row],[SiteID]]&amp;"_"&amp;DO_DB[[#This Row],[Material Name]]</f>
        <v>CLR37-01-002_Pole 7M 4"</v>
      </c>
      <c r="Q1588" t="str">
        <f>DO_DB[[#This Row],[DO Number]]</f>
        <v>DOEID240205BV</v>
      </c>
      <c r="R1588" t="str">
        <f>DO_DB[[#This Row],[DN Number]]</f>
        <v>DNWID0362024020609</v>
      </c>
    </row>
    <row r="1589" spans="1:18">
      <c r="A1589" t="s">
        <v>874</v>
      </c>
      <c r="B1589" t="s">
        <v>875</v>
      </c>
      <c r="C1589" t="s">
        <v>4482</v>
      </c>
      <c r="D1589" t="s">
        <v>71</v>
      </c>
      <c r="E1589" t="s">
        <v>876</v>
      </c>
      <c r="F1589" t="s">
        <v>4500</v>
      </c>
      <c r="G1589" t="s">
        <v>877</v>
      </c>
      <c r="H1589" t="s">
        <v>878</v>
      </c>
      <c r="I1589" s="130">
        <v>45328</v>
      </c>
      <c r="J1589" t="s">
        <v>3070</v>
      </c>
      <c r="K1589">
        <v>15</v>
      </c>
      <c r="M15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89" t="str">
        <f>DO_DB[[#This Row],[Material Pick-update]]&amp;"_"&amp;DO_DB[[#This Row],[Material Name]]</f>
        <v>45328_Pole 7M 3"</v>
      </c>
      <c r="O1589" t="str">
        <f>DO_DB[[#This Row],[SiteID]]</f>
        <v>CLR37-01-002</v>
      </c>
      <c r="P1589" t="str">
        <f>DO_DB[[#This Row],[SiteID]]&amp;"_"&amp;DO_DB[[#This Row],[Material Name]]</f>
        <v>CLR37-01-002_Pole 7M 3"</v>
      </c>
      <c r="Q1589" t="str">
        <f>DO_DB[[#This Row],[DO Number]]</f>
        <v>DOEID240205BV</v>
      </c>
      <c r="R1589" t="str">
        <f>DO_DB[[#This Row],[DN Number]]</f>
        <v>DNWID0362024020609</v>
      </c>
    </row>
    <row r="1590" spans="1:18">
      <c r="A1590" t="s">
        <v>874</v>
      </c>
      <c r="B1590" t="s">
        <v>875</v>
      </c>
      <c r="C1590" t="s">
        <v>4482</v>
      </c>
      <c r="D1590" t="s">
        <v>71</v>
      </c>
      <c r="E1590" t="s">
        <v>876</v>
      </c>
      <c r="F1590" t="s">
        <v>4500</v>
      </c>
      <c r="G1590" t="s">
        <v>879</v>
      </c>
      <c r="H1590" t="s">
        <v>880</v>
      </c>
      <c r="I1590" s="130">
        <v>45328</v>
      </c>
      <c r="J1590" t="s">
        <v>13</v>
      </c>
      <c r="K1590">
        <v>15</v>
      </c>
      <c r="M15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90" t="str">
        <f>DO_DB[[#This Row],[Material Pick-update]]&amp;"_"&amp;DO_DB[[#This Row],[Material Name]]</f>
        <v>45328_FAT-16</v>
      </c>
      <c r="O1590" t="str">
        <f>DO_DB[[#This Row],[SiteID]]</f>
        <v>CLR37-01-002</v>
      </c>
      <c r="P1590" t="str">
        <f>DO_DB[[#This Row],[SiteID]]&amp;"_"&amp;DO_DB[[#This Row],[Material Name]]</f>
        <v>CLR37-01-002_FAT-16</v>
      </c>
      <c r="Q1590" t="str">
        <f>DO_DB[[#This Row],[DO Number]]</f>
        <v>DOEID240205BW</v>
      </c>
      <c r="R1590" t="str">
        <f>DO_DB[[#This Row],[DN Number]]</f>
        <v>DNWID0342024020607</v>
      </c>
    </row>
    <row r="1591" spans="1:18">
      <c r="A1591" t="s">
        <v>881</v>
      </c>
      <c r="B1591" t="s">
        <v>882</v>
      </c>
      <c r="C1591" t="s">
        <v>4482</v>
      </c>
      <c r="D1591" t="s">
        <v>71</v>
      </c>
      <c r="E1591" t="s">
        <v>876</v>
      </c>
      <c r="F1591" t="s">
        <v>4500</v>
      </c>
      <c r="G1591" t="s">
        <v>885</v>
      </c>
      <c r="H1591" t="s">
        <v>886</v>
      </c>
      <c r="I1591" s="130">
        <v>45328</v>
      </c>
      <c r="J1591" t="s">
        <v>3069</v>
      </c>
      <c r="K1591">
        <v>33</v>
      </c>
      <c r="M15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91" t="str">
        <f>DO_DB[[#This Row],[Material Pick-update]]&amp;"_"&amp;DO_DB[[#This Row],[Material Name]]</f>
        <v>45328_Pole 7M 4"</v>
      </c>
      <c r="O1591" t="str">
        <f>DO_DB[[#This Row],[SiteID]]</f>
        <v>CLR37-01-010</v>
      </c>
      <c r="P1591" t="str">
        <f>DO_DB[[#This Row],[SiteID]]&amp;"_"&amp;DO_DB[[#This Row],[Material Name]]</f>
        <v>CLR37-01-010_Pole 7M 4"</v>
      </c>
      <c r="Q1591" t="str">
        <f>DO_DB[[#This Row],[DO Number]]</f>
        <v>DOEID240205BX</v>
      </c>
      <c r="R1591" t="str">
        <f>DO_DB[[#This Row],[DN Number]]</f>
        <v>DNWID0362024020610</v>
      </c>
    </row>
    <row r="1592" spans="1:18">
      <c r="A1592" t="s">
        <v>881</v>
      </c>
      <c r="B1592" t="s">
        <v>882</v>
      </c>
      <c r="C1592" t="s">
        <v>4482</v>
      </c>
      <c r="D1592" t="s">
        <v>71</v>
      </c>
      <c r="E1592" t="s">
        <v>876</v>
      </c>
      <c r="F1592" t="s">
        <v>4500</v>
      </c>
      <c r="G1592" t="s">
        <v>885</v>
      </c>
      <c r="H1592" t="s">
        <v>886</v>
      </c>
      <c r="I1592" s="130">
        <v>45328</v>
      </c>
      <c r="J1592" t="s">
        <v>3070</v>
      </c>
      <c r="K1592">
        <v>3</v>
      </c>
      <c r="M15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92" t="str">
        <f>DO_DB[[#This Row],[Material Pick-update]]&amp;"_"&amp;DO_DB[[#This Row],[Material Name]]</f>
        <v>45328_Pole 7M 3"</v>
      </c>
      <c r="O1592" t="str">
        <f>DO_DB[[#This Row],[SiteID]]</f>
        <v>CLR37-01-010</v>
      </c>
      <c r="P1592" t="str">
        <f>DO_DB[[#This Row],[SiteID]]&amp;"_"&amp;DO_DB[[#This Row],[Material Name]]</f>
        <v>CLR37-01-010_Pole 7M 3"</v>
      </c>
      <c r="Q1592" t="str">
        <f>DO_DB[[#This Row],[DO Number]]</f>
        <v>DOEID240205BX</v>
      </c>
      <c r="R1592" t="str">
        <f>DO_DB[[#This Row],[DN Number]]</f>
        <v>DNWID0362024020610</v>
      </c>
    </row>
    <row r="1593" spans="1:18">
      <c r="A1593" t="s">
        <v>881</v>
      </c>
      <c r="B1593" t="s">
        <v>882</v>
      </c>
      <c r="C1593" t="s">
        <v>4482</v>
      </c>
      <c r="D1593" t="s">
        <v>71</v>
      </c>
      <c r="E1593" t="s">
        <v>876</v>
      </c>
      <c r="F1593" t="s">
        <v>4500</v>
      </c>
      <c r="G1593" t="s">
        <v>883</v>
      </c>
      <c r="H1593" t="s">
        <v>884</v>
      </c>
      <c r="I1593" s="130">
        <v>45328</v>
      </c>
      <c r="J1593" t="s">
        <v>13</v>
      </c>
      <c r="K1593">
        <v>16</v>
      </c>
      <c r="M15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93" t="str">
        <f>DO_DB[[#This Row],[Material Pick-update]]&amp;"_"&amp;DO_DB[[#This Row],[Material Name]]</f>
        <v>45328_FAT-16</v>
      </c>
      <c r="O1593" t="str">
        <f>DO_DB[[#This Row],[SiteID]]</f>
        <v>CLR37-01-010</v>
      </c>
      <c r="P1593" t="str">
        <f>DO_DB[[#This Row],[SiteID]]&amp;"_"&amp;DO_DB[[#This Row],[Material Name]]</f>
        <v>CLR37-01-010_FAT-16</v>
      </c>
      <c r="Q1593" t="str">
        <f>DO_DB[[#This Row],[DO Number]]</f>
        <v>DOEID240205BY</v>
      </c>
      <c r="R1593" t="str">
        <f>DO_DB[[#This Row],[DN Number]]</f>
        <v>DNWID0342024020608</v>
      </c>
    </row>
    <row r="1594" spans="1:18">
      <c r="A1594" t="s">
        <v>874</v>
      </c>
      <c r="B1594" t="s">
        <v>875</v>
      </c>
      <c r="C1594" t="s">
        <v>4482</v>
      </c>
      <c r="D1594" t="s">
        <v>71</v>
      </c>
      <c r="E1594" t="s">
        <v>876</v>
      </c>
      <c r="F1594" t="s">
        <v>4500</v>
      </c>
      <c r="G1594" t="s">
        <v>879</v>
      </c>
      <c r="H1594" t="s">
        <v>880</v>
      </c>
      <c r="I1594" s="130">
        <v>45328</v>
      </c>
      <c r="J1594" t="s">
        <v>3073</v>
      </c>
      <c r="K1594">
        <v>3000</v>
      </c>
      <c r="M15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24C-202426-01</v>
      </c>
      <c r="N1594" t="str">
        <f>DO_DB[[#This Row],[Material Pick-update]]&amp;"_"&amp;DO_DB[[#This Row],[Material Name]]</f>
        <v>45328_ADSS 24C</v>
      </c>
      <c r="O1594" t="str">
        <f>DO_DB[[#This Row],[SiteID]]</f>
        <v>CLR37-01-002</v>
      </c>
      <c r="P1594" t="str">
        <f>DO_DB[[#This Row],[SiteID]]&amp;"_"&amp;DO_DB[[#This Row],[Material Name]]</f>
        <v>CLR37-01-002_ADSS 24C</v>
      </c>
      <c r="Q1594" t="str">
        <f>DO_DB[[#This Row],[DO Number]]</f>
        <v>DOEID240205BW</v>
      </c>
      <c r="R1594" t="str">
        <f>DO_DB[[#This Row],[DN Number]]</f>
        <v>DNWID0342024020607</v>
      </c>
    </row>
    <row r="1595" spans="1:18">
      <c r="A1595" t="s">
        <v>953</v>
      </c>
      <c r="B1595" t="s">
        <v>954</v>
      </c>
      <c r="C1595" t="s">
        <v>4482</v>
      </c>
      <c r="D1595" t="s">
        <v>71</v>
      </c>
      <c r="E1595" t="s">
        <v>876</v>
      </c>
      <c r="F1595" t="s">
        <v>4500</v>
      </c>
      <c r="G1595" t="s">
        <v>957</v>
      </c>
      <c r="H1595" t="s">
        <v>958</v>
      </c>
      <c r="I1595" s="130">
        <v>45343</v>
      </c>
      <c r="J1595" t="s">
        <v>3069</v>
      </c>
      <c r="K1595">
        <v>19</v>
      </c>
      <c r="M15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95" t="str">
        <f>DO_DB[[#This Row],[Material Pick-update]]&amp;"_"&amp;DO_DB[[#This Row],[Material Name]]</f>
        <v>45343_Pole 7M 4"</v>
      </c>
      <c r="O1595" t="str">
        <f>DO_DB[[#This Row],[SiteID]]</f>
        <v>CLR37-01-003</v>
      </c>
      <c r="P1595" t="str">
        <f>DO_DB[[#This Row],[SiteID]]&amp;"_"&amp;DO_DB[[#This Row],[Material Name]]</f>
        <v>CLR37-01-003_Pole 7M 4"</v>
      </c>
      <c r="Q1595" t="str">
        <f>DO_DB[[#This Row],[DO Number]]</f>
        <v>DOEID240219BA</v>
      </c>
      <c r="R1595" t="str">
        <f>DO_DB[[#This Row],[DN Number]]</f>
        <v>DNWID0362024022010</v>
      </c>
    </row>
    <row r="1596" spans="1:18">
      <c r="A1596" t="s">
        <v>953</v>
      </c>
      <c r="B1596" t="s">
        <v>954</v>
      </c>
      <c r="C1596" t="s">
        <v>4482</v>
      </c>
      <c r="D1596" t="s">
        <v>71</v>
      </c>
      <c r="E1596" t="s">
        <v>876</v>
      </c>
      <c r="F1596" t="s">
        <v>4500</v>
      </c>
      <c r="G1596" t="s">
        <v>957</v>
      </c>
      <c r="H1596" t="s">
        <v>958</v>
      </c>
      <c r="I1596" s="130">
        <v>45343</v>
      </c>
      <c r="J1596" t="s">
        <v>3070</v>
      </c>
      <c r="K1596">
        <v>4</v>
      </c>
      <c r="M15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96" t="str">
        <f>DO_DB[[#This Row],[Material Pick-update]]&amp;"_"&amp;DO_DB[[#This Row],[Material Name]]</f>
        <v>45343_Pole 7M 3"</v>
      </c>
      <c r="O1596" t="str">
        <f>DO_DB[[#This Row],[SiteID]]</f>
        <v>CLR37-01-003</v>
      </c>
      <c r="P1596" t="str">
        <f>DO_DB[[#This Row],[SiteID]]&amp;"_"&amp;DO_DB[[#This Row],[Material Name]]</f>
        <v>CLR37-01-003_Pole 7M 3"</v>
      </c>
      <c r="Q1596" t="str">
        <f>DO_DB[[#This Row],[DO Number]]</f>
        <v>DOEID240219BA</v>
      </c>
      <c r="R1596" t="str">
        <f>DO_DB[[#This Row],[DN Number]]</f>
        <v>DNWID0362024022010</v>
      </c>
    </row>
    <row r="1597" spans="1:18">
      <c r="A1597" t="s">
        <v>947</v>
      </c>
      <c r="B1597" t="s">
        <v>948</v>
      </c>
      <c r="C1597" t="s">
        <v>4482</v>
      </c>
      <c r="D1597" t="s">
        <v>71</v>
      </c>
      <c r="E1597" t="s">
        <v>876</v>
      </c>
      <c r="F1597" t="s">
        <v>4500</v>
      </c>
      <c r="G1597" t="s">
        <v>951</v>
      </c>
      <c r="H1597" t="s">
        <v>952</v>
      </c>
      <c r="I1597" s="130">
        <v>45343</v>
      </c>
      <c r="J1597" t="s">
        <v>3069</v>
      </c>
      <c r="K1597">
        <v>60</v>
      </c>
      <c r="M15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97" t="str">
        <f>DO_DB[[#This Row],[Material Pick-update]]&amp;"_"&amp;DO_DB[[#This Row],[Material Name]]</f>
        <v>45343_Pole 7M 4"</v>
      </c>
      <c r="O1597" t="str">
        <f>DO_DB[[#This Row],[SiteID]]</f>
        <v>CLR37-01-009</v>
      </c>
      <c r="P1597" t="str">
        <f>DO_DB[[#This Row],[SiteID]]&amp;"_"&amp;DO_DB[[#This Row],[Material Name]]</f>
        <v>CLR37-01-009_Pole 7M 4"</v>
      </c>
      <c r="Q1597" t="str">
        <f>DO_DB[[#This Row],[DO Number]]</f>
        <v>DOEID240219BC</v>
      </c>
      <c r="R1597" t="str">
        <f>DO_DB[[#This Row],[DN Number]]</f>
        <v>DNWID0362024022011</v>
      </c>
    </row>
    <row r="1598" spans="1:18">
      <c r="A1598" t="s">
        <v>947</v>
      </c>
      <c r="B1598" t="s">
        <v>948</v>
      </c>
      <c r="C1598" t="s">
        <v>4482</v>
      </c>
      <c r="D1598" t="s">
        <v>71</v>
      </c>
      <c r="E1598" t="s">
        <v>876</v>
      </c>
      <c r="F1598" t="s">
        <v>4500</v>
      </c>
      <c r="G1598" t="s">
        <v>951</v>
      </c>
      <c r="H1598" t="s">
        <v>952</v>
      </c>
      <c r="I1598" s="130">
        <v>45343</v>
      </c>
      <c r="J1598" t="s">
        <v>3070</v>
      </c>
      <c r="K1598">
        <v>3</v>
      </c>
      <c r="M15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98" t="str">
        <f>DO_DB[[#This Row],[Material Pick-update]]&amp;"_"&amp;DO_DB[[#This Row],[Material Name]]</f>
        <v>45343_Pole 7M 3"</v>
      </c>
      <c r="O1598" t="str">
        <f>DO_DB[[#This Row],[SiteID]]</f>
        <v>CLR37-01-009</v>
      </c>
      <c r="P1598" t="str">
        <f>DO_DB[[#This Row],[SiteID]]&amp;"_"&amp;DO_DB[[#This Row],[Material Name]]</f>
        <v>CLR37-01-009_Pole 7M 3"</v>
      </c>
      <c r="Q1598" t="str">
        <f>DO_DB[[#This Row],[DO Number]]</f>
        <v>DOEID240219BC</v>
      </c>
      <c r="R1598" t="str">
        <f>DO_DB[[#This Row],[DN Number]]</f>
        <v>DNWID0362024022011</v>
      </c>
    </row>
    <row r="1599" spans="1:18">
      <c r="A1599" t="s">
        <v>947</v>
      </c>
      <c r="B1599" t="s">
        <v>948</v>
      </c>
      <c r="C1599" t="s">
        <v>4482</v>
      </c>
      <c r="D1599" t="s">
        <v>71</v>
      </c>
      <c r="E1599" t="s">
        <v>876</v>
      </c>
      <c r="F1599" t="s">
        <v>4500</v>
      </c>
      <c r="G1599" t="s">
        <v>949</v>
      </c>
      <c r="H1599" t="s">
        <v>950</v>
      </c>
      <c r="I1599" s="130">
        <v>45343</v>
      </c>
      <c r="J1599" t="s">
        <v>14</v>
      </c>
      <c r="K1599">
        <v>1</v>
      </c>
      <c r="M15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599" t="str">
        <f>DO_DB[[#This Row],[Material Pick-update]]&amp;"_"&amp;DO_DB[[#This Row],[Material Name]]</f>
        <v>45343_FDT-48</v>
      </c>
      <c r="O1599" t="str">
        <f>DO_DB[[#This Row],[SiteID]]</f>
        <v>CLR37-01-009</v>
      </c>
      <c r="P1599" t="str">
        <f>DO_DB[[#This Row],[SiteID]]&amp;"_"&amp;DO_DB[[#This Row],[Material Name]]</f>
        <v>CLR37-01-009_FDT-48</v>
      </c>
      <c r="Q1599" t="str">
        <f>DO_DB[[#This Row],[DO Number]]</f>
        <v>DOEID240219BD</v>
      </c>
      <c r="R1599" t="str">
        <f>DO_DB[[#This Row],[DN Number]]</f>
        <v>DNWID0342024022008</v>
      </c>
    </row>
    <row r="1600" spans="1:18">
      <c r="A1600" t="s">
        <v>947</v>
      </c>
      <c r="B1600" t="s">
        <v>948</v>
      </c>
      <c r="C1600" t="s">
        <v>4482</v>
      </c>
      <c r="D1600" t="s">
        <v>71</v>
      </c>
      <c r="E1600" t="s">
        <v>876</v>
      </c>
      <c r="F1600" t="s">
        <v>4500</v>
      </c>
      <c r="G1600" t="s">
        <v>949</v>
      </c>
      <c r="H1600" t="s">
        <v>950</v>
      </c>
      <c r="I1600" s="130">
        <v>45343</v>
      </c>
      <c r="J1600" t="s">
        <v>3080</v>
      </c>
      <c r="K1600">
        <v>3</v>
      </c>
      <c r="M16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00" t="str">
        <f>DO_DB[[#This Row],[Material Pick-update]]&amp;"_"&amp;DO_DB[[#This Row],[Material Name]]</f>
        <v>45343_1:8 SPL for FDT-AE &amp; UG</v>
      </c>
      <c r="O1600" t="str">
        <f>DO_DB[[#This Row],[SiteID]]</f>
        <v>CLR37-01-009</v>
      </c>
      <c r="P1600" t="str">
        <f>DO_DB[[#This Row],[SiteID]]&amp;"_"&amp;DO_DB[[#This Row],[Material Name]]</f>
        <v>CLR37-01-009_1:8 SPL for FDT-AE &amp; UG</v>
      </c>
      <c r="Q1600" t="str">
        <f>DO_DB[[#This Row],[DO Number]]</f>
        <v>DOEID240219BD</v>
      </c>
      <c r="R1600" t="str">
        <f>DO_DB[[#This Row],[DN Number]]</f>
        <v>DNWID0342024022008</v>
      </c>
    </row>
    <row r="1601" spans="1:18">
      <c r="A1601" t="s">
        <v>953</v>
      </c>
      <c r="B1601" t="s">
        <v>954</v>
      </c>
      <c r="C1601" t="s">
        <v>4482</v>
      </c>
      <c r="D1601" t="s">
        <v>71</v>
      </c>
      <c r="E1601" t="s">
        <v>876</v>
      </c>
      <c r="F1601" t="s">
        <v>4500</v>
      </c>
      <c r="G1601" t="s">
        <v>955</v>
      </c>
      <c r="H1601" t="s">
        <v>956</v>
      </c>
      <c r="I1601" s="130">
        <v>45343</v>
      </c>
      <c r="J1601" t="s">
        <v>3073</v>
      </c>
      <c r="K1601">
        <v>3000</v>
      </c>
      <c r="M16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24C-2024221-01</v>
      </c>
      <c r="N1601" t="str">
        <f>DO_DB[[#This Row],[Material Pick-update]]&amp;"_"&amp;DO_DB[[#This Row],[Material Name]]</f>
        <v>45343_ADSS 24C</v>
      </c>
      <c r="O1601" t="str">
        <f>DO_DB[[#This Row],[SiteID]]</f>
        <v>CLR37-01-003</v>
      </c>
      <c r="P1601" t="str">
        <f>DO_DB[[#This Row],[SiteID]]&amp;"_"&amp;DO_DB[[#This Row],[Material Name]]</f>
        <v>CLR37-01-003_ADSS 24C</v>
      </c>
      <c r="Q1601" t="str">
        <f>DO_DB[[#This Row],[DO Number]]</f>
        <v>DOEID240219BB</v>
      </c>
      <c r="R1601" t="str">
        <f>DO_DB[[#This Row],[DN Number]]</f>
        <v>DNWID0342024022009</v>
      </c>
    </row>
    <row r="1602" spans="1:18">
      <c r="A1602" t="s">
        <v>947</v>
      </c>
      <c r="B1602" t="s">
        <v>948</v>
      </c>
      <c r="C1602" t="s">
        <v>4482</v>
      </c>
      <c r="D1602" t="s">
        <v>71</v>
      </c>
      <c r="E1602" t="s">
        <v>876</v>
      </c>
      <c r="F1602" t="s">
        <v>4500</v>
      </c>
      <c r="G1602" t="s">
        <v>949</v>
      </c>
      <c r="H1602" t="s">
        <v>950</v>
      </c>
      <c r="I1602" s="130">
        <v>45343</v>
      </c>
      <c r="J1602" t="s">
        <v>3075</v>
      </c>
      <c r="K1602">
        <v>3000</v>
      </c>
      <c r="M16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48C-2024221-01</v>
      </c>
      <c r="N1602" t="str">
        <f>DO_DB[[#This Row],[Material Pick-update]]&amp;"_"&amp;DO_DB[[#This Row],[Material Name]]</f>
        <v>45343_ADSS 48C</v>
      </c>
      <c r="O1602" t="str">
        <f>DO_DB[[#This Row],[SiteID]]</f>
        <v>CLR37-01-009</v>
      </c>
      <c r="P1602" t="str">
        <f>DO_DB[[#This Row],[SiteID]]&amp;"_"&amp;DO_DB[[#This Row],[Material Name]]</f>
        <v>CLR37-01-009_ADSS 48C</v>
      </c>
      <c r="Q1602" t="str">
        <f>DO_DB[[#This Row],[DO Number]]</f>
        <v>DOEID240219BD</v>
      </c>
      <c r="R1602" t="str">
        <f>DO_DB[[#This Row],[DN Number]]</f>
        <v>DNWID0342024022008</v>
      </c>
    </row>
    <row r="1603" spans="1:18">
      <c r="A1603" t="s">
        <v>939</v>
      </c>
      <c r="B1603" t="s">
        <v>940</v>
      </c>
      <c r="C1603" s="172" t="s">
        <v>4482</v>
      </c>
      <c r="D1603" t="s">
        <v>71</v>
      </c>
      <c r="E1603" t="s">
        <v>92</v>
      </c>
      <c r="F1603" t="s">
        <v>4500</v>
      </c>
      <c r="G1603" t="s">
        <v>959</v>
      </c>
      <c r="H1603" t="s">
        <v>960</v>
      </c>
      <c r="I1603" s="130">
        <v>45343</v>
      </c>
      <c r="J1603" t="s">
        <v>3069</v>
      </c>
      <c r="K1603">
        <v>13</v>
      </c>
      <c r="M16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03" t="str">
        <f>DO_DB[[#This Row],[Material Pick-update]]&amp;"_"&amp;DO_DB[[#This Row],[Material Name]]</f>
        <v>45343_Pole 7M 4"</v>
      </c>
      <c r="O1603" t="str">
        <f>DO_DB[[#This Row],[SiteID]]</f>
        <v>CLR23-01-056</v>
      </c>
      <c r="P1603" t="str">
        <f>DO_DB[[#This Row],[SiteID]]&amp;"_"&amp;DO_DB[[#This Row],[Material Name]]</f>
        <v>CLR23-01-056_Pole 7M 4"</v>
      </c>
      <c r="Q1603" t="str">
        <f>DO_DB[[#This Row],[DO Number]]</f>
        <v>DOEID240219B8</v>
      </c>
      <c r="R1603" t="str">
        <f>DO_DB[[#This Row],[DN Number]]</f>
        <v>DNWID0362024022009</v>
      </c>
    </row>
    <row r="1604" spans="1:18">
      <c r="A1604" t="s">
        <v>939</v>
      </c>
      <c r="B1604" t="s">
        <v>940</v>
      </c>
      <c r="C1604" s="172" t="s">
        <v>4482</v>
      </c>
      <c r="D1604" t="s">
        <v>71</v>
      </c>
      <c r="E1604" t="s">
        <v>92</v>
      </c>
      <c r="F1604" t="s">
        <v>4500</v>
      </c>
      <c r="G1604" t="s">
        <v>959</v>
      </c>
      <c r="H1604" t="s">
        <v>960</v>
      </c>
      <c r="I1604" s="130">
        <v>45343</v>
      </c>
      <c r="J1604" t="s">
        <v>3070</v>
      </c>
      <c r="K1604">
        <v>2</v>
      </c>
      <c r="M16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04" t="str">
        <f>DO_DB[[#This Row],[Material Pick-update]]&amp;"_"&amp;DO_DB[[#This Row],[Material Name]]</f>
        <v>45343_Pole 7M 3"</v>
      </c>
      <c r="O1604" t="str">
        <f>DO_DB[[#This Row],[SiteID]]</f>
        <v>CLR23-01-056</v>
      </c>
      <c r="P1604" t="str">
        <f>DO_DB[[#This Row],[SiteID]]&amp;"_"&amp;DO_DB[[#This Row],[Material Name]]</f>
        <v>CLR23-01-056_Pole 7M 3"</v>
      </c>
      <c r="Q1604" t="str">
        <f>DO_DB[[#This Row],[DO Number]]</f>
        <v>DOEID240219B8</v>
      </c>
      <c r="R1604" t="str">
        <f>DO_DB[[#This Row],[DN Number]]</f>
        <v>DNWID0362024022009</v>
      </c>
    </row>
    <row r="1605" spans="1:18">
      <c r="A1605" t="s">
        <v>953</v>
      </c>
      <c r="B1605" t="s">
        <v>954</v>
      </c>
      <c r="C1605" t="s">
        <v>4482</v>
      </c>
      <c r="D1605" t="s">
        <v>71</v>
      </c>
      <c r="E1605" t="s">
        <v>876</v>
      </c>
      <c r="F1605" t="s">
        <v>4500</v>
      </c>
      <c r="G1605" t="s">
        <v>1071</v>
      </c>
      <c r="H1605" t="s">
        <v>1072</v>
      </c>
      <c r="I1605" s="130">
        <v>45358</v>
      </c>
      <c r="J1605" t="s">
        <v>13</v>
      </c>
      <c r="K1605">
        <v>9</v>
      </c>
      <c r="M16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05" t="str">
        <f>DO_DB[[#This Row],[Material Pick-update]]&amp;"_"&amp;DO_DB[[#This Row],[Material Name]]</f>
        <v>45358_FAT-16</v>
      </c>
      <c r="O1605" t="str">
        <f>DO_DB[[#This Row],[SiteID]]</f>
        <v>CLR37-01-003</v>
      </c>
      <c r="P1605" t="str">
        <f>DO_DB[[#This Row],[SiteID]]&amp;"_"&amp;DO_DB[[#This Row],[Material Name]]</f>
        <v>CLR37-01-003_FAT-16</v>
      </c>
      <c r="Q1605" t="str">
        <f>DO_DB[[#This Row],[DO Number]]</f>
        <v>DOEID240304BN</v>
      </c>
      <c r="R1605" t="str">
        <f>DO_DB[[#This Row],[DN Number]]</f>
        <v>DNWID0342024030505</v>
      </c>
    </row>
    <row r="1606" spans="1:18">
      <c r="A1606" t="s">
        <v>947</v>
      </c>
      <c r="B1606" t="s">
        <v>948</v>
      </c>
      <c r="C1606" t="s">
        <v>4482</v>
      </c>
      <c r="D1606" t="s">
        <v>71</v>
      </c>
      <c r="E1606" t="s">
        <v>876</v>
      </c>
      <c r="F1606" t="s">
        <v>4500</v>
      </c>
      <c r="G1606" t="s">
        <v>1139</v>
      </c>
      <c r="H1606" t="s">
        <v>1140</v>
      </c>
      <c r="I1606" s="130">
        <v>45366</v>
      </c>
      <c r="J1606" t="s">
        <v>3069</v>
      </c>
      <c r="K1606">
        <v>20</v>
      </c>
      <c r="M16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06" t="str">
        <f>DO_DB[[#This Row],[Material Pick-update]]&amp;"_"&amp;DO_DB[[#This Row],[Material Name]]</f>
        <v>45366_Pole 7M 4"</v>
      </c>
      <c r="O1606" t="str">
        <f>DO_DB[[#This Row],[SiteID]]</f>
        <v>CLR37-01-009</v>
      </c>
      <c r="P1606" t="str">
        <f>DO_DB[[#This Row],[SiteID]]&amp;"_"&amp;DO_DB[[#This Row],[Material Name]]</f>
        <v>CLR37-01-009_Pole 7M 4"</v>
      </c>
      <c r="Q1606" t="str">
        <f>DO_DB[[#This Row],[DO Number]]</f>
        <v>DOEID240314DQ</v>
      </c>
      <c r="R1606" t="str">
        <f>DO_DB[[#This Row],[DN Number]]</f>
        <v>DNWID0362024031501</v>
      </c>
    </row>
    <row r="1607" spans="1:18">
      <c r="A1607" t="s">
        <v>947</v>
      </c>
      <c r="B1607" t="s">
        <v>948</v>
      </c>
      <c r="C1607" t="s">
        <v>4482</v>
      </c>
      <c r="D1607" t="s">
        <v>71</v>
      </c>
      <c r="E1607" t="s">
        <v>876</v>
      </c>
      <c r="F1607" t="s">
        <v>4500</v>
      </c>
      <c r="G1607" t="s">
        <v>1139</v>
      </c>
      <c r="H1607" t="s">
        <v>1140</v>
      </c>
      <c r="I1607" s="130">
        <v>45366</v>
      </c>
      <c r="J1607" t="s">
        <v>3071</v>
      </c>
      <c r="K1607">
        <v>1</v>
      </c>
      <c r="M16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07" t="str">
        <f>DO_DB[[#This Row],[Material Pick-update]]&amp;"_"&amp;DO_DB[[#This Row],[Material Name]]</f>
        <v>45366_Pole 9M</v>
      </c>
      <c r="O1607" t="str">
        <f>DO_DB[[#This Row],[SiteID]]</f>
        <v>CLR37-01-009</v>
      </c>
      <c r="P1607" t="str">
        <f>DO_DB[[#This Row],[SiteID]]&amp;"_"&amp;DO_DB[[#This Row],[Material Name]]</f>
        <v>CLR37-01-009_Pole 9M</v>
      </c>
      <c r="Q1607" t="str">
        <f>DO_DB[[#This Row],[DO Number]]</f>
        <v>DOEID240314DQ</v>
      </c>
      <c r="R1607" t="str">
        <f>DO_DB[[#This Row],[DN Number]]</f>
        <v>DNWID0362024031501</v>
      </c>
    </row>
    <row r="1608" spans="1:18">
      <c r="A1608" t="s">
        <v>947</v>
      </c>
      <c r="B1608" t="s">
        <v>948</v>
      </c>
      <c r="C1608" t="s">
        <v>4482</v>
      </c>
      <c r="D1608" t="s">
        <v>71</v>
      </c>
      <c r="E1608" t="s">
        <v>876</v>
      </c>
      <c r="F1608" t="s">
        <v>4500</v>
      </c>
      <c r="G1608" t="s">
        <v>1139</v>
      </c>
      <c r="H1608" t="s">
        <v>1140</v>
      </c>
      <c r="I1608" s="130">
        <v>45366</v>
      </c>
      <c r="J1608" t="s">
        <v>4856</v>
      </c>
      <c r="K1608">
        <v>1</v>
      </c>
      <c r="M16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08" t="str">
        <f>DO_DB[[#This Row],[Material Pick-update]]&amp;"_"&amp;DO_DB[[#This Row],[Material Name]]</f>
        <v>45366_JC 144Core</v>
      </c>
      <c r="O1608" t="str">
        <f>DO_DB[[#This Row],[SiteID]]</f>
        <v>CLR37-01-009</v>
      </c>
      <c r="P1608" t="str">
        <f>DO_DB[[#This Row],[SiteID]]&amp;"_"&amp;DO_DB[[#This Row],[Material Name]]</f>
        <v>CLR37-01-009_JC 144Core</v>
      </c>
      <c r="Q1608" t="str">
        <f>DO_DB[[#This Row],[DO Number]]</f>
        <v>DOEID240314DQ</v>
      </c>
      <c r="R1608" t="str">
        <f>DO_DB[[#This Row],[DN Number]]</f>
        <v>DNWID0362024031501</v>
      </c>
    </row>
    <row r="1609" spans="1:18">
      <c r="A1609" t="s">
        <v>881</v>
      </c>
      <c r="B1609" t="s">
        <v>882</v>
      </c>
      <c r="C1609" t="s">
        <v>4482</v>
      </c>
      <c r="D1609" t="s">
        <v>71</v>
      </c>
      <c r="E1609" t="s">
        <v>876</v>
      </c>
      <c r="F1609" t="s">
        <v>4500</v>
      </c>
      <c r="G1609" t="s">
        <v>1141</v>
      </c>
      <c r="H1609" t="s">
        <v>1142</v>
      </c>
      <c r="I1609" s="130">
        <v>45366</v>
      </c>
      <c r="J1609" t="s">
        <v>3144</v>
      </c>
      <c r="K1609">
        <v>109</v>
      </c>
      <c r="M16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09" t="str">
        <f>DO_DB[[#This Row],[Material Pick-update]]&amp;"_"&amp;DO_DB[[#This Row],[Material Name]]</f>
        <v>45366_HDPE32/28mm</v>
      </c>
      <c r="O1609" t="str">
        <f>DO_DB[[#This Row],[SiteID]]</f>
        <v>CLR37-01-010</v>
      </c>
      <c r="P1609" t="str">
        <f>DO_DB[[#This Row],[SiteID]]&amp;"_"&amp;DO_DB[[#This Row],[Material Name]]</f>
        <v>CLR37-01-010_HDPE32/28mm</v>
      </c>
      <c r="Q1609" t="str">
        <f>DO_DB[[#This Row],[DO Number]]</f>
        <v>DOEID240314DR</v>
      </c>
      <c r="R1609" t="str">
        <f>DO_DB[[#This Row],[DN Number]]</f>
        <v>DNWID0342024031501</v>
      </c>
    </row>
    <row r="1610" spans="1:18">
      <c r="A1610" t="s">
        <v>881</v>
      </c>
      <c r="B1610" t="s">
        <v>882</v>
      </c>
      <c r="C1610" t="s">
        <v>4482</v>
      </c>
      <c r="D1610" t="s">
        <v>71</v>
      </c>
      <c r="E1610" t="s">
        <v>876</v>
      </c>
      <c r="F1610" t="s">
        <v>4500</v>
      </c>
      <c r="G1610" t="s">
        <v>1143</v>
      </c>
      <c r="H1610" t="s">
        <v>1144</v>
      </c>
      <c r="I1610" s="130">
        <v>45366</v>
      </c>
      <c r="J1610" t="s">
        <v>3069</v>
      </c>
      <c r="K1610">
        <v>71</v>
      </c>
      <c r="M16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10" t="str">
        <f>DO_DB[[#This Row],[Material Pick-update]]&amp;"_"&amp;DO_DB[[#This Row],[Material Name]]</f>
        <v>45366_Pole 7M 4"</v>
      </c>
      <c r="O1610" t="str">
        <f>DO_DB[[#This Row],[SiteID]]</f>
        <v>CLR37-01-010</v>
      </c>
      <c r="P1610" t="str">
        <f>DO_DB[[#This Row],[SiteID]]&amp;"_"&amp;DO_DB[[#This Row],[Material Name]]</f>
        <v>CLR37-01-010_Pole 7M 4"</v>
      </c>
      <c r="Q1610" t="str">
        <f>DO_DB[[#This Row],[DO Number]]</f>
        <v>DOEID240314DS</v>
      </c>
      <c r="R1610" t="str">
        <f>DO_DB[[#This Row],[DN Number]]</f>
        <v>DNWID0362024031502</v>
      </c>
    </row>
    <row r="1611" spans="1:18">
      <c r="A1611" t="s">
        <v>881</v>
      </c>
      <c r="B1611" t="s">
        <v>882</v>
      </c>
      <c r="C1611" t="s">
        <v>4482</v>
      </c>
      <c r="D1611" t="s">
        <v>71</v>
      </c>
      <c r="E1611" t="s">
        <v>876</v>
      </c>
      <c r="F1611" t="s">
        <v>4500</v>
      </c>
      <c r="G1611" t="s">
        <v>1143</v>
      </c>
      <c r="H1611" t="s">
        <v>1144</v>
      </c>
      <c r="I1611" s="130">
        <v>45366</v>
      </c>
      <c r="J1611" t="s">
        <v>3071</v>
      </c>
      <c r="K1611">
        <v>13</v>
      </c>
      <c r="M16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11" t="str">
        <f>DO_DB[[#This Row],[Material Pick-update]]&amp;"_"&amp;DO_DB[[#This Row],[Material Name]]</f>
        <v>45366_Pole 9M</v>
      </c>
      <c r="O1611" t="str">
        <f>DO_DB[[#This Row],[SiteID]]</f>
        <v>CLR37-01-010</v>
      </c>
      <c r="P1611" t="str">
        <f>DO_DB[[#This Row],[SiteID]]&amp;"_"&amp;DO_DB[[#This Row],[Material Name]]</f>
        <v>CLR37-01-010_Pole 9M</v>
      </c>
      <c r="Q1611" t="str">
        <f>DO_DB[[#This Row],[DO Number]]</f>
        <v>DOEID240314DS</v>
      </c>
      <c r="R1611" t="str">
        <f>DO_DB[[#This Row],[DN Number]]</f>
        <v>DNWID0362024031502</v>
      </c>
    </row>
    <row r="1612" spans="1:18">
      <c r="A1612" t="s">
        <v>881</v>
      </c>
      <c r="B1612" t="s">
        <v>882</v>
      </c>
      <c r="C1612" t="s">
        <v>4482</v>
      </c>
      <c r="D1612" t="s">
        <v>71</v>
      </c>
      <c r="E1612" t="s">
        <v>876</v>
      </c>
      <c r="F1612" t="s">
        <v>4500</v>
      </c>
      <c r="G1612" t="s">
        <v>1141</v>
      </c>
      <c r="H1612" t="s">
        <v>1142</v>
      </c>
      <c r="I1612" s="130">
        <v>45366</v>
      </c>
      <c r="J1612" t="s">
        <v>3075</v>
      </c>
      <c r="K1612">
        <v>3000</v>
      </c>
      <c r="M16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48C-2024315-01</v>
      </c>
      <c r="N1612" t="str">
        <f>DO_DB[[#This Row],[Material Pick-update]]&amp;"_"&amp;DO_DB[[#This Row],[Material Name]]</f>
        <v>45366_ADSS 48C</v>
      </c>
      <c r="O1612" t="str">
        <f>DO_DB[[#This Row],[SiteID]]</f>
        <v>CLR37-01-010</v>
      </c>
      <c r="P1612" t="str">
        <f>DO_DB[[#This Row],[SiteID]]&amp;"_"&amp;DO_DB[[#This Row],[Material Name]]</f>
        <v>CLR37-01-010_ADSS 48C</v>
      </c>
      <c r="Q1612" t="str">
        <f>DO_DB[[#This Row],[DO Number]]</f>
        <v>DOEID240314DR</v>
      </c>
      <c r="R1612" t="str">
        <f>DO_DB[[#This Row],[DN Number]]</f>
        <v>DNWID0342024031501</v>
      </c>
    </row>
    <row r="1613" spans="1:18">
      <c r="A1613" t="s">
        <v>1351</v>
      </c>
      <c r="B1613" t="s">
        <v>1352</v>
      </c>
      <c r="C1613" t="s">
        <v>4482</v>
      </c>
      <c r="D1613" t="s">
        <v>71</v>
      </c>
      <c r="E1613" t="s">
        <v>644</v>
      </c>
      <c r="F1613" t="s">
        <v>4500</v>
      </c>
      <c r="G1613" t="s">
        <v>1353</v>
      </c>
      <c r="H1613" t="s">
        <v>1354</v>
      </c>
      <c r="I1613" s="130">
        <v>45415</v>
      </c>
      <c r="J1613" t="s">
        <v>3069</v>
      </c>
      <c r="K1613">
        <v>60</v>
      </c>
      <c r="M16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13" t="str">
        <f>DO_DB[[#This Row],[Material Pick-update]]&amp;"_"&amp;DO_DB[[#This Row],[Material Name]]</f>
        <v>45415_Pole 7M 4"</v>
      </c>
      <c r="O1613" t="str">
        <f>DO_DB[[#This Row],[SiteID]]</f>
        <v>CLR30-99-066</v>
      </c>
      <c r="P1613" t="str">
        <f>DO_DB[[#This Row],[SiteID]]&amp;"_"&amp;DO_DB[[#This Row],[Material Name]]</f>
        <v>CLR30-99-066_Pole 7M 4"</v>
      </c>
      <c r="Q1613" t="str">
        <f>DO_DB[[#This Row],[DO Number]]</f>
        <v>DOEID24050278</v>
      </c>
      <c r="R1613" t="str">
        <f>DO_DB[[#This Row],[DN Number]]</f>
        <v>DNWID0362024050203</v>
      </c>
    </row>
    <row r="1614" spans="1:18">
      <c r="A1614" t="s">
        <v>1351</v>
      </c>
      <c r="B1614" t="s">
        <v>1352</v>
      </c>
      <c r="C1614" t="s">
        <v>4482</v>
      </c>
      <c r="D1614" t="s">
        <v>71</v>
      </c>
      <c r="E1614" t="s">
        <v>644</v>
      </c>
      <c r="F1614" t="s">
        <v>4500</v>
      </c>
      <c r="G1614" t="s">
        <v>1353</v>
      </c>
      <c r="H1614" t="s">
        <v>1354</v>
      </c>
      <c r="I1614" s="130">
        <v>45415</v>
      </c>
      <c r="J1614" t="s">
        <v>3070</v>
      </c>
      <c r="K1614">
        <v>5</v>
      </c>
      <c r="M16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14" t="str">
        <f>DO_DB[[#This Row],[Material Pick-update]]&amp;"_"&amp;DO_DB[[#This Row],[Material Name]]</f>
        <v>45415_Pole 7M 3"</v>
      </c>
      <c r="O1614" t="str">
        <f>DO_DB[[#This Row],[SiteID]]</f>
        <v>CLR30-99-066</v>
      </c>
      <c r="P1614" t="str">
        <f>DO_DB[[#This Row],[SiteID]]&amp;"_"&amp;DO_DB[[#This Row],[Material Name]]</f>
        <v>CLR30-99-066_Pole 7M 3"</v>
      </c>
      <c r="Q1614" t="str">
        <f>DO_DB[[#This Row],[DO Number]]</f>
        <v>DOEID24050278</v>
      </c>
      <c r="R1614" t="str">
        <f>DO_DB[[#This Row],[DN Number]]</f>
        <v>DNWID0362024050203</v>
      </c>
    </row>
    <row r="1615" spans="1:18">
      <c r="A1615" t="s">
        <v>1351</v>
      </c>
      <c r="B1615" t="s">
        <v>1352</v>
      </c>
      <c r="C1615" t="s">
        <v>4482</v>
      </c>
      <c r="D1615" t="s">
        <v>71</v>
      </c>
      <c r="E1615" t="s">
        <v>644</v>
      </c>
      <c r="F1615" t="s">
        <v>4500</v>
      </c>
      <c r="G1615" t="s">
        <v>1357</v>
      </c>
      <c r="H1615" t="s">
        <v>1358</v>
      </c>
      <c r="I1615" s="130">
        <v>45415</v>
      </c>
      <c r="J1615" t="s">
        <v>14</v>
      </c>
      <c r="K1615">
        <v>1</v>
      </c>
      <c r="M16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15" t="str">
        <f>DO_DB[[#This Row],[Material Pick-update]]&amp;"_"&amp;DO_DB[[#This Row],[Material Name]]</f>
        <v>45415_FDT-48</v>
      </c>
      <c r="O1615" t="str">
        <f>DO_DB[[#This Row],[SiteID]]</f>
        <v>CLR30-99-066</v>
      </c>
      <c r="P1615" t="str">
        <f>DO_DB[[#This Row],[SiteID]]&amp;"_"&amp;DO_DB[[#This Row],[Material Name]]</f>
        <v>CLR30-99-066_FDT-48</v>
      </c>
      <c r="Q1615" t="str">
        <f>DO_DB[[#This Row],[DO Number]]</f>
        <v>DOEID24050279</v>
      </c>
      <c r="R1615" t="str">
        <f>DO_DB[[#This Row],[DN Number]]</f>
        <v>DNWID0342024050201</v>
      </c>
    </row>
    <row r="1616" spans="1:18">
      <c r="A1616" t="s">
        <v>1351</v>
      </c>
      <c r="B1616" t="s">
        <v>1352</v>
      </c>
      <c r="C1616" t="s">
        <v>4482</v>
      </c>
      <c r="D1616" t="s">
        <v>71</v>
      </c>
      <c r="E1616" t="s">
        <v>644</v>
      </c>
      <c r="F1616" t="s">
        <v>4500</v>
      </c>
      <c r="G1616" t="s">
        <v>1357</v>
      </c>
      <c r="H1616" t="s">
        <v>1358</v>
      </c>
      <c r="I1616" s="130">
        <v>45415</v>
      </c>
      <c r="J1616" t="s">
        <v>13</v>
      </c>
      <c r="K1616">
        <v>24</v>
      </c>
      <c r="M16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16" t="str">
        <f>DO_DB[[#This Row],[Material Pick-update]]&amp;"_"&amp;DO_DB[[#This Row],[Material Name]]</f>
        <v>45415_FAT-16</v>
      </c>
      <c r="O1616" t="str">
        <f>DO_DB[[#This Row],[SiteID]]</f>
        <v>CLR30-99-066</v>
      </c>
      <c r="P1616" t="str">
        <f>DO_DB[[#This Row],[SiteID]]&amp;"_"&amp;DO_DB[[#This Row],[Material Name]]</f>
        <v>CLR30-99-066_FAT-16</v>
      </c>
      <c r="Q1616" t="str">
        <f>DO_DB[[#This Row],[DO Number]]</f>
        <v>DOEID24050279</v>
      </c>
      <c r="R1616" t="str">
        <f>DO_DB[[#This Row],[DN Number]]</f>
        <v>DNWID0342024050201</v>
      </c>
    </row>
    <row r="1617" spans="1:18">
      <c r="A1617" t="s">
        <v>1351</v>
      </c>
      <c r="B1617" t="s">
        <v>1352</v>
      </c>
      <c r="C1617" t="s">
        <v>4482</v>
      </c>
      <c r="D1617" t="s">
        <v>71</v>
      </c>
      <c r="E1617" t="s">
        <v>644</v>
      </c>
      <c r="F1617" t="s">
        <v>4500</v>
      </c>
      <c r="G1617" t="s">
        <v>1357</v>
      </c>
      <c r="H1617" t="s">
        <v>1358</v>
      </c>
      <c r="I1617" s="130">
        <v>45415</v>
      </c>
      <c r="J1617" t="s">
        <v>3080</v>
      </c>
      <c r="K1617">
        <v>3</v>
      </c>
      <c r="M16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17" t="str">
        <f>DO_DB[[#This Row],[Material Pick-update]]&amp;"_"&amp;DO_DB[[#This Row],[Material Name]]</f>
        <v>45415_1:8 SPL for FDT-AE &amp; UG</v>
      </c>
      <c r="O1617" t="str">
        <f>DO_DB[[#This Row],[SiteID]]</f>
        <v>CLR30-99-066</v>
      </c>
      <c r="P1617" t="str">
        <f>DO_DB[[#This Row],[SiteID]]&amp;"_"&amp;DO_DB[[#This Row],[Material Name]]</f>
        <v>CLR30-99-066_1:8 SPL for FDT-AE &amp; UG</v>
      </c>
      <c r="Q1617" t="str">
        <f>DO_DB[[#This Row],[DO Number]]</f>
        <v>DOEID24050279</v>
      </c>
      <c r="R1617" t="str">
        <f>DO_DB[[#This Row],[DN Number]]</f>
        <v>DNWID0342024050201</v>
      </c>
    </row>
    <row r="1618" spans="1:18">
      <c r="A1618" t="s">
        <v>1347</v>
      </c>
      <c r="B1618" t="s">
        <v>1348</v>
      </c>
      <c r="C1618" t="s">
        <v>4482</v>
      </c>
      <c r="D1618" t="s">
        <v>71</v>
      </c>
      <c r="E1618" t="s">
        <v>644</v>
      </c>
      <c r="F1618" t="s">
        <v>4500</v>
      </c>
      <c r="G1618" t="s">
        <v>1349</v>
      </c>
      <c r="H1618" t="s">
        <v>1350</v>
      </c>
      <c r="I1618" s="130">
        <v>45415</v>
      </c>
      <c r="J1618" t="s">
        <v>3069</v>
      </c>
      <c r="K1618">
        <v>58</v>
      </c>
      <c r="M16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18" t="str">
        <f>DO_DB[[#This Row],[Material Pick-update]]&amp;"_"&amp;DO_DB[[#This Row],[Material Name]]</f>
        <v>45415_Pole 7M 4"</v>
      </c>
      <c r="O1618" t="str">
        <f>DO_DB[[#This Row],[SiteID]]</f>
        <v>CLR30-99-067</v>
      </c>
      <c r="P1618" t="str">
        <f>DO_DB[[#This Row],[SiteID]]&amp;"_"&amp;DO_DB[[#This Row],[Material Name]]</f>
        <v>CLR30-99-067_Pole 7M 4"</v>
      </c>
      <c r="Q1618" t="str">
        <f>DO_DB[[#This Row],[DO Number]]</f>
        <v>DOEID24050280</v>
      </c>
      <c r="R1618" t="str">
        <f>DO_DB[[#This Row],[DN Number]]</f>
        <v>DNWID0362024050204</v>
      </c>
    </row>
    <row r="1619" spans="1:18">
      <c r="A1619" t="s">
        <v>1347</v>
      </c>
      <c r="B1619" t="s">
        <v>1348</v>
      </c>
      <c r="C1619" t="s">
        <v>4482</v>
      </c>
      <c r="D1619" t="s">
        <v>71</v>
      </c>
      <c r="E1619" t="s">
        <v>644</v>
      </c>
      <c r="F1619" t="s">
        <v>4500</v>
      </c>
      <c r="G1619" t="s">
        <v>1349</v>
      </c>
      <c r="H1619" t="s">
        <v>1350</v>
      </c>
      <c r="I1619" s="130">
        <v>45415</v>
      </c>
      <c r="J1619" t="s">
        <v>3070</v>
      </c>
      <c r="K1619">
        <v>6</v>
      </c>
      <c r="M16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19" t="str">
        <f>DO_DB[[#This Row],[Material Pick-update]]&amp;"_"&amp;DO_DB[[#This Row],[Material Name]]</f>
        <v>45415_Pole 7M 3"</v>
      </c>
      <c r="O1619" t="str">
        <f>DO_DB[[#This Row],[SiteID]]</f>
        <v>CLR30-99-067</v>
      </c>
      <c r="P1619" t="str">
        <f>DO_DB[[#This Row],[SiteID]]&amp;"_"&amp;DO_DB[[#This Row],[Material Name]]</f>
        <v>CLR30-99-067_Pole 7M 3"</v>
      </c>
      <c r="Q1619" t="str">
        <f>DO_DB[[#This Row],[DO Number]]</f>
        <v>DOEID24050280</v>
      </c>
      <c r="R1619" t="str">
        <f>DO_DB[[#This Row],[DN Number]]</f>
        <v>DNWID0362024050204</v>
      </c>
    </row>
    <row r="1620" spans="1:18">
      <c r="A1620" t="s">
        <v>1347</v>
      </c>
      <c r="B1620" t="s">
        <v>1348</v>
      </c>
      <c r="C1620" t="s">
        <v>4482</v>
      </c>
      <c r="D1620" t="s">
        <v>71</v>
      </c>
      <c r="E1620" t="s">
        <v>644</v>
      </c>
      <c r="F1620" t="s">
        <v>4500</v>
      </c>
      <c r="G1620" t="s">
        <v>1355</v>
      </c>
      <c r="H1620" t="s">
        <v>1356</v>
      </c>
      <c r="I1620" s="130">
        <v>45415</v>
      </c>
      <c r="J1620" t="s">
        <v>14</v>
      </c>
      <c r="K1620">
        <v>1</v>
      </c>
      <c r="M16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20" t="str">
        <f>DO_DB[[#This Row],[Material Pick-update]]&amp;"_"&amp;DO_DB[[#This Row],[Material Name]]</f>
        <v>45415_FDT-48</v>
      </c>
      <c r="O1620" t="str">
        <f>DO_DB[[#This Row],[SiteID]]</f>
        <v>CLR30-99-067</v>
      </c>
      <c r="P1620" t="str">
        <f>DO_DB[[#This Row],[SiteID]]&amp;"_"&amp;DO_DB[[#This Row],[Material Name]]</f>
        <v>CLR30-99-067_FDT-48</v>
      </c>
      <c r="Q1620" t="str">
        <f>DO_DB[[#This Row],[DO Number]]</f>
        <v>DOEID24050281</v>
      </c>
      <c r="R1620" t="str">
        <f>DO_DB[[#This Row],[DN Number]]</f>
        <v>DNWID0342024050202</v>
      </c>
    </row>
    <row r="1621" spans="1:18">
      <c r="A1621" t="s">
        <v>1347</v>
      </c>
      <c r="B1621" t="s">
        <v>1348</v>
      </c>
      <c r="C1621" t="s">
        <v>4482</v>
      </c>
      <c r="D1621" t="s">
        <v>71</v>
      </c>
      <c r="E1621" t="s">
        <v>644</v>
      </c>
      <c r="F1621" t="s">
        <v>4500</v>
      </c>
      <c r="G1621" t="s">
        <v>1355</v>
      </c>
      <c r="H1621" t="s">
        <v>1356</v>
      </c>
      <c r="I1621" s="130">
        <v>45415</v>
      </c>
      <c r="J1621" t="s">
        <v>13</v>
      </c>
      <c r="K1621">
        <v>21</v>
      </c>
      <c r="M16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21" t="str">
        <f>DO_DB[[#This Row],[Material Pick-update]]&amp;"_"&amp;DO_DB[[#This Row],[Material Name]]</f>
        <v>45415_FAT-16</v>
      </c>
      <c r="O1621" t="str">
        <f>DO_DB[[#This Row],[SiteID]]</f>
        <v>CLR30-99-067</v>
      </c>
      <c r="P1621" t="str">
        <f>DO_DB[[#This Row],[SiteID]]&amp;"_"&amp;DO_DB[[#This Row],[Material Name]]</f>
        <v>CLR30-99-067_FAT-16</v>
      </c>
      <c r="Q1621" t="str">
        <f>DO_DB[[#This Row],[DO Number]]</f>
        <v>DOEID24050281</v>
      </c>
      <c r="R1621" t="str">
        <f>DO_DB[[#This Row],[DN Number]]</f>
        <v>DNWID0342024050202</v>
      </c>
    </row>
    <row r="1622" spans="1:18">
      <c r="A1622" t="s">
        <v>1347</v>
      </c>
      <c r="B1622" t="s">
        <v>1348</v>
      </c>
      <c r="C1622" t="s">
        <v>4482</v>
      </c>
      <c r="D1622" t="s">
        <v>71</v>
      </c>
      <c r="E1622" t="s">
        <v>644</v>
      </c>
      <c r="F1622" t="s">
        <v>4500</v>
      </c>
      <c r="G1622" t="s">
        <v>1355</v>
      </c>
      <c r="H1622" t="s">
        <v>1356</v>
      </c>
      <c r="I1622" s="130">
        <v>45415</v>
      </c>
      <c r="J1622" t="s">
        <v>3080</v>
      </c>
      <c r="K1622">
        <v>3</v>
      </c>
      <c r="M16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22" t="str">
        <f>DO_DB[[#This Row],[Material Pick-update]]&amp;"_"&amp;DO_DB[[#This Row],[Material Name]]</f>
        <v>45415_1:8 SPL for FDT-AE &amp; UG</v>
      </c>
      <c r="O1622" t="str">
        <f>DO_DB[[#This Row],[SiteID]]</f>
        <v>CLR30-99-067</v>
      </c>
      <c r="P1622" t="str">
        <f>DO_DB[[#This Row],[SiteID]]&amp;"_"&amp;DO_DB[[#This Row],[Material Name]]</f>
        <v>CLR30-99-067_1:8 SPL for FDT-AE &amp; UG</v>
      </c>
      <c r="Q1622" t="str">
        <f>DO_DB[[#This Row],[DO Number]]</f>
        <v>DOEID24050281</v>
      </c>
      <c r="R1622" t="str">
        <f>DO_DB[[#This Row],[DN Number]]</f>
        <v>DNWID0342024050202</v>
      </c>
    </row>
    <row r="1623" spans="1:18">
      <c r="A1623" t="s">
        <v>1343</v>
      </c>
      <c r="B1623" t="s">
        <v>1344</v>
      </c>
      <c r="C1623" t="s">
        <v>4482</v>
      </c>
      <c r="D1623" t="s">
        <v>71</v>
      </c>
      <c r="E1623" t="s">
        <v>644</v>
      </c>
      <c r="F1623" t="s">
        <v>4500</v>
      </c>
      <c r="G1623" t="s">
        <v>1345</v>
      </c>
      <c r="H1623" t="s">
        <v>1346</v>
      </c>
      <c r="I1623" s="130">
        <v>45415</v>
      </c>
      <c r="J1623" t="s">
        <v>3069</v>
      </c>
      <c r="K1623">
        <v>55</v>
      </c>
      <c r="M16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23" t="str">
        <f>DO_DB[[#This Row],[Material Pick-update]]&amp;"_"&amp;DO_DB[[#This Row],[Material Name]]</f>
        <v>45415_Pole 7M 4"</v>
      </c>
      <c r="O1623" t="str">
        <f>DO_DB[[#This Row],[SiteID]]</f>
        <v>CLR30-99-068</v>
      </c>
      <c r="P1623" t="str">
        <f>DO_DB[[#This Row],[SiteID]]&amp;"_"&amp;DO_DB[[#This Row],[Material Name]]</f>
        <v>CLR30-99-068_Pole 7M 4"</v>
      </c>
      <c r="Q1623" t="str">
        <f>DO_DB[[#This Row],[DO Number]]</f>
        <v>DOEID24050282</v>
      </c>
      <c r="R1623" t="str">
        <f>DO_DB[[#This Row],[DN Number]]</f>
        <v>DNWID0362024050205</v>
      </c>
    </row>
    <row r="1624" spans="1:18">
      <c r="A1624" t="s">
        <v>1343</v>
      </c>
      <c r="B1624" t="s">
        <v>1344</v>
      </c>
      <c r="C1624" t="s">
        <v>4482</v>
      </c>
      <c r="D1624" t="s">
        <v>71</v>
      </c>
      <c r="E1624" t="s">
        <v>644</v>
      </c>
      <c r="F1624" t="s">
        <v>4500</v>
      </c>
      <c r="G1624" t="s">
        <v>1345</v>
      </c>
      <c r="H1624" t="s">
        <v>1346</v>
      </c>
      <c r="I1624" s="130">
        <v>45415</v>
      </c>
      <c r="J1624" t="s">
        <v>3070</v>
      </c>
      <c r="K1624">
        <v>9</v>
      </c>
      <c r="M16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24" t="str">
        <f>DO_DB[[#This Row],[Material Pick-update]]&amp;"_"&amp;DO_DB[[#This Row],[Material Name]]</f>
        <v>45415_Pole 7M 3"</v>
      </c>
      <c r="O1624" t="str">
        <f>DO_DB[[#This Row],[SiteID]]</f>
        <v>CLR30-99-068</v>
      </c>
      <c r="P1624" t="str">
        <f>DO_DB[[#This Row],[SiteID]]&amp;"_"&amp;DO_DB[[#This Row],[Material Name]]</f>
        <v>CLR30-99-068_Pole 7M 3"</v>
      </c>
      <c r="Q1624" t="str">
        <f>DO_DB[[#This Row],[DO Number]]</f>
        <v>DOEID24050282</v>
      </c>
      <c r="R1624" t="str">
        <f>DO_DB[[#This Row],[DN Number]]</f>
        <v>DNWID0362024050205</v>
      </c>
    </row>
    <row r="1625" spans="1:18">
      <c r="A1625" t="s">
        <v>1343</v>
      </c>
      <c r="B1625" t="s">
        <v>1344</v>
      </c>
      <c r="C1625" t="s">
        <v>4482</v>
      </c>
      <c r="D1625" t="s">
        <v>71</v>
      </c>
      <c r="E1625" t="s">
        <v>644</v>
      </c>
      <c r="F1625" t="s">
        <v>4500</v>
      </c>
      <c r="G1625" t="s">
        <v>1345</v>
      </c>
      <c r="H1625" t="s">
        <v>1346</v>
      </c>
      <c r="I1625" s="130">
        <v>45415</v>
      </c>
      <c r="J1625" t="s">
        <v>4856</v>
      </c>
      <c r="K1625">
        <v>1</v>
      </c>
      <c r="M16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25" t="str">
        <f>DO_DB[[#This Row],[Material Pick-update]]&amp;"_"&amp;DO_DB[[#This Row],[Material Name]]</f>
        <v>45415_JC 144Core</v>
      </c>
      <c r="O1625" t="str">
        <f>DO_DB[[#This Row],[SiteID]]</f>
        <v>CLR30-99-068</v>
      </c>
      <c r="P1625" t="str">
        <f>DO_DB[[#This Row],[SiteID]]&amp;"_"&amp;DO_DB[[#This Row],[Material Name]]</f>
        <v>CLR30-99-068_JC 144Core</v>
      </c>
      <c r="Q1625" t="str">
        <f>DO_DB[[#This Row],[DO Number]]</f>
        <v>DOEID24050282</v>
      </c>
      <c r="R1625" t="str">
        <f>DO_DB[[#This Row],[DN Number]]</f>
        <v>DNWID0362024050205</v>
      </c>
    </row>
    <row r="1626" spans="1:18">
      <c r="A1626" t="s">
        <v>1343</v>
      </c>
      <c r="B1626" t="s">
        <v>1344</v>
      </c>
      <c r="C1626" t="s">
        <v>4482</v>
      </c>
      <c r="D1626" t="s">
        <v>71</v>
      </c>
      <c r="E1626" t="s">
        <v>644</v>
      </c>
      <c r="F1626" t="s">
        <v>4500</v>
      </c>
      <c r="G1626" t="s">
        <v>1749</v>
      </c>
      <c r="H1626" t="s">
        <v>1750</v>
      </c>
      <c r="I1626" s="130">
        <v>45415</v>
      </c>
      <c r="J1626" t="s">
        <v>14</v>
      </c>
      <c r="K1626">
        <v>1</v>
      </c>
      <c r="M16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26" t="str">
        <f>DO_DB[[#This Row],[Material Pick-update]]&amp;"_"&amp;DO_DB[[#This Row],[Material Name]]</f>
        <v>45415_FDT-48</v>
      </c>
      <c r="O1626" t="str">
        <f>DO_DB[[#This Row],[SiteID]]</f>
        <v>CLR30-99-068</v>
      </c>
      <c r="P1626" t="str">
        <f>DO_DB[[#This Row],[SiteID]]&amp;"_"&amp;DO_DB[[#This Row],[Material Name]]</f>
        <v>CLR30-99-068_FDT-48</v>
      </c>
      <c r="Q1626" t="str">
        <f>DO_DB[[#This Row],[DO Number]]</f>
        <v>DOEID24050283</v>
      </c>
      <c r="R1626" t="str">
        <f>DO_DB[[#This Row],[DN Number]]</f>
        <v>DNWID0342024050203</v>
      </c>
    </row>
    <row r="1627" spans="1:18">
      <c r="A1627" t="s">
        <v>1343</v>
      </c>
      <c r="B1627" t="s">
        <v>1344</v>
      </c>
      <c r="C1627" t="s">
        <v>4482</v>
      </c>
      <c r="D1627" t="s">
        <v>71</v>
      </c>
      <c r="E1627" t="s">
        <v>644</v>
      </c>
      <c r="F1627" t="s">
        <v>4500</v>
      </c>
      <c r="G1627" t="s">
        <v>1749</v>
      </c>
      <c r="H1627" t="s">
        <v>1750</v>
      </c>
      <c r="I1627" s="130">
        <v>45415</v>
      </c>
      <c r="J1627" t="s">
        <v>13</v>
      </c>
      <c r="K1627">
        <v>21</v>
      </c>
      <c r="M16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27" t="str">
        <f>DO_DB[[#This Row],[Material Pick-update]]&amp;"_"&amp;DO_DB[[#This Row],[Material Name]]</f>
        <v>45415_FAT-16</v>
      </c>
      <c r="O1627" t="str">
        <f>DO_DB[[#This Row],[SiteID]]</f>
        <v>CLR30-99-068</v>
      </c>
      <c r="P1627" t="str">
        <f>DO_DB[[#This Row],[SiteID]]&amp;"_"&amp;DO_DB[[#This Row],[Material Name]]</f>
        <v>CLR30-99-068_FAT-16</v>
      </c>
      <c r="Q1627" t="str">
        <f>DO_DB[[#This Row],[DO Number]]</f>
        <v>DOEID24050283</v>
      </c>
      <c r="R1627" t="str">
        <f>DO_DB[[#This Row],[DN Number]]</f>
        <v>DNWID0342024050203</v>
      </c>
    </row>
    <row r="1628" spans="1:18">
      <c r="A1628" t="s">
        <v>1343</v>
      </c>
      <c r="B1628" t="s">
        <v>1344</v>
      </c>
      <c r="C1628" t="s">
        <v>4482</v>
      </c>
      <c r="D1628" t="s">
        <v>71</v>
      </c>
      <c r="E1628" t="s">
        <v>644</v>
      </c>
      <c r="F1628" t="s">
        <v>4500</v>
      </c>
      <c r="G1628" t="s">
        <v>1749</v>
      </c>
      <c r="H1628" t="s">
        <v>1750</v>
      </c>
      <c r="I1628" s="130">
        <v>45415</v>
      </c>
      <c r="J1628" t="s">
        <v>3080</v>
      </c>
      <c r="K1628">
        <v>3</v>
      </c>
      <c r="M16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28" t="str">
        <f>DO_DB[[#This Row],[Material Pick-update]]&amp;"_"&amp;DO_DB[[#This Row],[Material Name]]</f>
        <v>45415_1:8 SPL for FDT-AE &amp; UG</v>
      </c>
      <c r="O1628" t="str">
        <f>DO_DB[[#This Row],[SiteID]]</f>
        <v>CLR30-99-068</v>
      </c>
      <c r="P1628" t="str">
        <f>DO_DB[[#This Row],[SiteID]]&amp;"_"&amp;DO_DB[[#This Row],[Material Name]]</f>
        <v>CLR30-99-068_1:8 SPL for FDT-AE &amp; UG</v>
      </c>
      <c r="Q1628" t="str">
        <f>DO_DB[[#This Row],[DO Number]]</f>
        <v>DOEID24050283</v>
      </c>
      <c r="R1628" t="str">
        <f>DO_DB[[#This Row],[DN Number]]</f>
        <v>DNWID0342024050203</v>
      </c>
    </row>
    <row r="1629" spans="1:18">
      <c r="A1629" t="s">
        <v>647</v>
      </c>
      <c r="B1629" t="s">
        <v>648</v>
      </c>
      <c r="C1629" t="s">
        <v>4482</v>
      </c>
      <c r="D1629" t="s">
        <v>71</v>
      </c>
      <c r="E1629" t="s">
        <v>644</v>
      </c>
      <c r="F1629" t="s">
        <v>4500</v>
      </c>
      <c r="G1629" t="s">
        <v>1341</v>
      </c>
      <c r="H1629" t="s">
        <v>1342</v>
      </c>
      <c r="I1629" s="130">
        <v>45415</v>
      </c>
      <c r="J1629" t="s">
        <v>3069</v>
      </c>
      <c r="K1629">
        <v>100</v>
      </c>
      <c r="M16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29" t="str">
        <f>DO_DB[[#This Row],[Material Pick-update]]&amp;"_"&amp;DO_DB[[#This Row],[Material Name]]</f>
        <v>45415_Pole 7M 4"</v>
      </c>
      <c r="O1629" t="str">
        <f>DO_DB[[#This Row],[SiteID]]</f>
        <v>CLR30-99-027</v>
      </c>
      <c r="P1629" t="str">
        <f>DO_DB[[#This Row],[SiteID]]&amp;"_"&amp;DO_DB[[#This Row],[Material Name]]</f>
        <v>CLR30-99-027_Pole 7M 4"</v>
      </c>
      <c r="Q1629" t="str">
        <f>DO_DB[[#This Row],[DO Number]]</f>
        <v>DOEID240502AQ</v>
      </c>
      <c r="R1629" t="str">
        <f>DO_DB[[#This Row],[DN Number]]</f>
        <v>DNWID0362024050212</v>
      </c>
    </row>
    <row r="1630" spans="1:18">
      <c r="A1630" t="s">
        <v>1351</v>
      </c>
      <c r="B1630" t="s">
        <v>1352</v>
      </c>
      <c r="C1630" t="s">
        <v>4482</v>
      </c>
      <c r="D1630" t="s">
        <v>71</v>
      </c>
      <c r="E1630" t="s">
        <v>644</v>
      </c>
      <c r="F1630" t="s">
        <v>4500</v>
      </c>
      <c r="G1630" t="s">
        <v>1357</v>
      </c>
      <c r="H1630" t="s">
        <v>1358</v>
      </c>
      <c r="I1630" s="130">
        <v>45415</v>
      </c>
      <c r="J1630" t="s">
        <v>3073</v>
      </c>
      <c r="K1630">
        <v>3000</v>
      </c>
      <c r="M16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24C-202453-01</v>
      </c>
      <c r="N1630" t="str">
        <f>DO_DB[[#This Row],[Material Pick-update]]&amp;"_"&amp;DO_DB[[#This Row],[Material Name]]</f>
        <v>45415_ADSS 24C</v>
      </c>
      <c r="O1630" t="str">
        <f>DO_DB[[#This Row],[SiteID]]</f>
        <v>CLR30-99-066</v>
      </c>
      <c r="P1630" t="str">
        <f>DO_DB[[#This Row],[SiteID]]&amp;"_"&amp;DO_DB[[#This Row],[Material Name]]</f>
        <v>CLR30-99-066_ADSS 24C</v>
      </c>
      <c r="Q1630" t="str">
        <f>DO_DB[[#This Row],[DO Number]]</f>
        <v>DOEID24050279</v>
      </c>
      <c r="R1630" t="str">
        <f>DO_DB[[#This Row],[DN Number]]</f>
        <v>DNWID0342024050201</v>
      </c>
    </row>
    <row r="1631" spans="1:18">
      <c r="A1631" t="s">
        <v>1343</v>
      </c>
      <c r="B1631" t="s">
        <v>1344</v>
      </c>
      <c r="C1631" t="s">
        <v>4482</v>
      </c>
      <c r="D1631" t="s">
        <v>71</v>
      </c>
      <c r="E1631" t="s">
        <v>644</v>
      </c>
      <c r="F1631" t="s">
        <v>4500</v>
      </c>
      <c r="G1631" t="s">
        <v>1749</v>
      </c>
      <c r="H1631" t="s">
        <v>1750</v>
      </c>
      <c r="I1631" s="130">
        <v>45415</v>
      </c>
      <c r="J1631" t="s">
        <v>3073</v>
      </c>
      <c r="K1631">
        <v>3000</v>
      </c>
      <c r="M16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24C-202453-01</v>
      </c>
      <c r="N1631" t="str">
        <f>DO_DB[[#This Row],[Material Pick-update]]&amp;"_"&amp;DO_DB[[#This Row],[Material Name]]</f>
        <v>45415_ADSS 24C</v>
      </c>
      <c r="O1631" t="str">
        <f>DO_DB[[#This Row],[SiteID]]</f>
        <v>CLR30-99-068</v>
      </c>
      <c r="P1631" t="str">
        <f>DO_DB[[#This Row],[SiteID]]&amp;"_"&amp;DO_DB[[#This Row],[Material Name]]</f>
        <v>CLR30-99-068_ADSS 24C</v>
      </c>
      <c r="Q1631" t="str">
        <f>DO_DB[[#This Row],[DO Number]]</f>
        <v>DOEID24050283</v>
      </c>
      <c r="R1631" t="str">
        <f>DO_DB[[#This Row],[DN Number]]</f>
        <v>DNWID0342024050203</v>
      </c>
    </row>
    <row r="1632" spans="1:18">
      <c r="A1632" t="s">
        <v>1347</v>
      </c>
      <c r="B1632" t="s">
        <v>1348</v>
      </c>
      <c r="C1632" t="s">
        <v>4482</v>
      </c>
      <c r="D1632" t="s">
        <v>71</v>
      </c>
      <c r="E1632" t="s">
        <v>644</v>
      </c>
      <c r="F1632" t="s">
        <v>4500</v>
      </c>
      <c r="G1632" t="s">
        <v>1355</v>
      </c>
      <c r="H1632" t="s">
        <v>1356</v>
      </c>
      <c r="I1632" s="130">
        <v>45415</v>
      </c>
      <c r="J1632" t="s">
        <v>3073</v>
      </c>
      <c r="K1632">
        <v>6000</v>
      </c>
      <c r="M16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24C-202453-01</v>
      </c>
      <c r="N1632" t="str">
        <f>DO_DB[[#This Row],[Material Pick-update]]&amp;"_"&amp;DO_DB[[#This Row],[Material Name]]</f>
        <v>45415_ADSS 24C</v>
      </c>
      <c r="O1632" t="str">
        <f>DO_DB[[#This Row],[SiteID]]</f>
        <v>CLR30-99-067</v>
      </c>
      <c r="P1632" t="str">
        <f>DO_DB[[#This Row],[SiteID]]&amp;"_"&amp;DO_DB[[#This Row],[Material Name]]</f>
        <v>CLR30-99-067_ADSS 24C</v>
      </c>
      <c r="Q1632" t="str">
        <f>DO_DB[[#This Row],[DO Number]]</f>
        <v>DOEID24050281</v>
      </c>
      <c r="R1632" t="str">
        <f>DO_DB[[#This Row],[DN Number]]</f>
        <v>DNWID0342024050202</v>
      </c>
    </row>
    <row r="1633" spans="1:18">
      <c r="A1633" t="s">
        <v>1351</v>
      </c>
      <c r="B1633" t="s">
        <v>1352</v>
      </c>
      <c r="C1633" t="s">
        <v>4482</v>
      </c>
      <c r="D1633" t="s">
        <v>71</v>
      </c>
      <c r="E1633" t="s">
        <v>644</v>
      </c>
      <c r="F1633" t="s">
        <v>4500</v>
      </c>
      <c r="G1633" t="s">
        <v>1517</v>
      </c>
      <c r="H1633" t="s">
        <v>1518</v>
      </c>
      <c r="I1633" s="130">
        <v>45454</v>
      </c>
      <c r="J1633" t="s">
        <v>3069</v>
      </c>
      <c r="K1633">
        <v>250</v>
      </c>
      <c r="M16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33" t="str">
        <f>DO_DB[[#This Row],[Material Pick-update]]&amp;"_"&amp;DO_DB[[#This Row],[Material Name]]</f>
        <v>45454_Pole 7M 4"</v>
      </c>
      <c r="O1633" t="str">
        <f>DO_DB[[#This Row],[SiteID]]</f>
        <v>CLR30-99-066</v>
      </c>
      <c r="P1633" t="str">
        <f>DO_DB[[#This Row],[SiteID]]&amp;"_"&amp;DO_DB[[#This Row],[Material Name]]</f>
        <v>CLR30-99-066_Pole 7M 4"</v>
      </c>
      <c r="Q1633" t="str">
        <f>DO_DB[[#This Row],[DO Number]]</f>
        <v>DOEID240607AM</v>
      </c>
      <c r="R1633" t="str">
        <f>DO_DB[[#This Row],[DN Number]]</f>
        <v>DNWID0362024060705</v>
      </c>
    </row>
    <row r="1634" spans="1:18">
      <c r="A1634" t="s">
        <v>1351</v>
      </c>
      <c r="B1634" t="s">
        <v>1352</v>
      </c>
      <c r="C1634" t="s">
        <v>4482</v>
      </c>
      <c r="D1634" t="s">
        <v>71</v>
      </c>
      <c r="E1634" t="s">
        <v>644</v>
      </c>
      <c r="F1634" t="s">
        <v>4500</v>
      </c>
      <c r="G1634" t="s">
        <v>1517</v>
      </c>
      <c r="H1634" t="s">
        <v>1518</v>
      </c>
      <c r="I1634" s="130">
        <v>45454</v>
      </c>
      <c r="J1634" t="s">
        <v>3070</v>
      </c>
      <c r="K1634">
        <v>40</v>
      </c>
      <c r="M16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34" t="str">
        <f>DO_DB[[#This Row],[Material Pick-update]]&amp;"_"&amp;DO_DB[[#This Row],[Material Name]]</f>
        <v>45454_Pole 7M 3"</v>
      </c>
      <c r="O1634" t="str">
        <f>DO_DB[[#This Row],[SiteID]]</f>
        <v>CLR30-99-066</v>
      </c>
      <c r="P1634" t="str">
        <f>DO_DB[[#This Row],[SiteID]]&amp;"_"&amp;DO_DB[[#This Row],[Material Name]]</f>
        <v>CLR30-99-066_Pole 7M 3"</v>
      </c>
      <c r="Q1634" t="str">
        <f>DO_DB[[#This Row],[DO Number]]</f>
        <v>DOEID240607AM</v>
      </c>
      <c r="R1634" t="str">
        <f>DO_DB[[#This Row],[DN Number]]</f>
        <v>DNWID0362024060705</v>
      </c>
    </row>
    <row r="1635" spans="1:18">
      <c r="A1635" t="s">
        <v>1351</v>
      </c>
      <c r="B1635" t="s">
        <v>1352</v>
      </c>
      <c r="C1635" t="s">
        <v>4482</v>
      </c>
      <c r="D1635" t="s">
        <v>71</v>
      </c>
      <c r="E1635" t="s">
        <v>644</v>
      </c>
      <c r="F1635" t="s">
        <v>4500</v>
      </c>
      <c r="G1635" t="s">
        <v>1517</v>
      </c>
      <c r="H1635" t="s">
        <v>1518</v>
      </c>
      <c r="I1635" s="130">
        <v>45454</v>
      </c>
      <c r="J1635" t="s">
        <v>3071</v>
      </c>
      <c r="K1635">
        <v>10</v>
      </c>
      <c r="M16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35" t="str">
        <f>DO_DB[[#This Row],[Material Pick-update]]&amp;"_"&amp;DO_DB[[#This Row],[Material Name]]</f>
        <v>45454_Pole 9M</v>
      </c>
      <c r="O1635" t="str">
        <f>DO_DB[[#This Row],[SiteID]]</f>
        <v>CLR30-99-066</v>
      </c>
      <c r="P1635" t="str">
        <f>DO_DB[[#This Row],[SiteID]]&amp;"_"&amp;DO_DB[[#This Row],[Material Name]]</f>
        <v>CLR30-99-066_Pole 9M</v>
      </c>
      <c r="Q1635" t="str">
        <f>DO_DB[[#This Row],[DO Number]]</f>
        <v>DOEID240607AM</v>
      </c>
      <c r="R1635" t="str">
        <f>DO_DB[[#This Row],[DN Number]]</f>
        <v>DNWID0362024060705</v>
      </c>
    </row>
    <row r="1636" spans="1:18">
      <c r="A1636" t="s">
        <v>1635</v>
      </c>
      <c r="B1636" t="s">
        <v>1636</v>
      </c>
      <c r="C1636" t="s">
        <v>4482</v>
      </c>
      <c r="D1636" t="s">
        <v>71</v>
      </c>
      <c r="E1636" t="s">
        <v>644</v>
      </c>
      <c r="F1636" t="s">
        <v>4500</v>
      </c>
      <c r="G1636" t="s">
        <v>1659</v>
      </c>
      <c r="H1636" t="s">
        <v>1660</v>
      </c>
      <c r="I1636" s="130">
        <v>45464</v>
      </c>
      <c r="J1636" t="s">
        <v>3069</v>
      </c>
      <c r="K1636">
        <v>35</v>
      </c>
      <c r="M16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36" t="str">
        <f>DO_DB[[#This Row],[Material Pick-update]]&amp;"_"&amp;DO_DB[[#This Row],[Material Name]]</f>
        <v>45464_Pole 7M 4"</v>
      </c>
      <c r="O1636" t="str">
        <f>DO_DB[[#This Row],[SiteID]]</f>
        <v>CLR30-01-043</v>
      </c>
      <c r="P1636" t="str">
        <f>DO_DB[[#This Row],[SiteID]]&amp;"_"&amp;DO_DB[[#This Row],[Material Name]]</f>
        <v>CLR30-01-043_Pole 7M 4"</v>
      </c>
      <c r="Q1636" t="str">
        <f>DO_DB[[#This Row],[DO Number]]</f>
        <v>DOEID240620EJ</v>
      </c>
      <c r="R1636" t="str">
        <f>DO_DB[[#This Row],[DN Number]]</f>
        <v>DNWID0362024062016</v>
      </c>
    </row>
    <row r="1637" spans="1:18">
      <c r="A1637" t="s">
        <v>1635</v>
      </c>
      <c r="B1637" t="s">
        <v>1636</v>
      </c>
      <c r="C1637" t="s">
        <v>4482</v>
      </c>
      <c r="D1637" t="s">
        <v>71</v>
      </c>
      <c r="E1637" t="s">
        <v>644</v>
      </c>
      <c r="F1637" t="s">
        <v>4500</v>
      </c>
      <c r="G1637" t="s">
        <v>1659</v>
      </c>
      <c r="H1637" t="s">
        <v>1660</v>
      </c>
      <c r="I1637" s="130">
        <v>45464</v>
      </c>
      <c r="J1637" t="s">
        <v>3070</v>
      </c>
      <c r="K1637">
        <v>6</v>
      </c>
      <c r="M16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37" t="str">
        <f>DO_DB[[#This Row],[Material Pick-update]]&amp;"_"&amp;DO_DB[[#This Row],[Material Name]]</f>
        <v>45464_Pole 7M 3"</v>
      </c>
      <c r="O1637" t="str">
        <f>DO_DB[[#This Row],[SiteID]]</f>
        <v>CLR30-01-043</v>
      </c>
      <c r="P1637" t="str">
        <f>DO_DB[[#This Row],[SiteID]]&amp;"_"&amp;DO_DB[[#This Row],[Material Name]]</f>
        <v>CLR30-01-043_Pole 7M 3"</v>
      </c>
      <c r="Q1637" t="str">
        <f>DO_DB[[#This Row],[DO Number]]</f>
        <v>DOEID240620EJ</v>
      </c>
      <c r="R1637" t="str">
        <f>DO_DB[[#This Row],[DN Number]]</f>
        <v>DNWID0362024062016</v>
      </c>
    </row>
    <row r="1638" spans="1:18">
      <c r="A1638" t="s">
        <v>1635</v>
      </c>
      <c r="B1638" t="s">
        <v>1636</v>
      </c>
      <c r="C1638" t="s">
        <v>4482</v>
      </c>
      <c r="D1638" t="s">
        <v>71</v>
      </c>
      <c r="E1638" t="s">
        <v>644</v>
      </c>
      <c r="F1638" t="s">
        <v>4500</v>
      </c>
      <c r="G1638" t="s">
        <v>1637</v>
      </c>
      <c r="H1638" t="s">
        <v>1638</v>
      </c>
      <c r="I1638" s="130">
        <v>45464</v>
      </c>
      <c r="J1638" t="s">
        <v>13</v>
      </c>
      <c r="K1638">
        <v>16</v>
      </c>
      <c r="M16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38" t="str">
        <f>DO_DB[[#This Row],[Material Pick-update]]&amp;"_"&amp;DO_DB[[#This Row],[Material Name]]</f>
        <v>45464_FAT-16</v>
      </c>
      <c r="O1638" t="str">
        <f>DO_DB[[#This Row],[SiteID]]</f>
        <v>CLR30-01-043</v>
      </c>
      <c r="P1638" t="str">
        <f>DO_DB[[#This Row],[SiteID]]&amp;"_"&amp;DO_DB[[#This Row],[Material Name]]</f>
        <v>CLR30-01-043_FAT-16</v>
      </c>
      <c r="Q1638" t="str">
        <f>DO_DB[[#This Row],[DO Number]]</f>
        <v>DOEID240620EL</v>
      </c>
      <c r="R1638" t="str">
        <f>DO_DB[[#This Row],[DN Number]]</f>
        <v>DNWID0342024062015</v>
      </c>
    </row>
    <row r="1639" spans="1:18">
      <c r="A1639" t="s">
        <v>1639</v>
      </c>
      <c r="B1639" t="s">
        <v>1640</v>
      </c>
      <c r="C1639" t="s">
        <v>4482</v>
      </c>
      <c r="D1639" t="s">
        <v>71</v>
      </c>
      <c r="E1639" t="s">
        <v>644</v>
      </c>
      <c r="F1639" t="s">
        <v>4500</v>
      </c>
      <c r="G1639" t="s">
        <v>1653</v>
      </c>
      <c r="H1639" t="s">
        <v>1654</v>
      </c>
      <c r="I1639" s="130">
        <v>45464</v>
      </c>
      <c r="J1639" t="s">
        <v>3070</v>
      </c>
      <c r="K1639">
        <v>9</v>
      </c>
      <c r="M16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39" t="str">
        <f>DO_DB[[#This Row],[Material Pick-update]]&amp;"_"&amp;DO_DB[[#This Row],[Material Name]]</f>
        <v>45464_Pole 7M 3"</v>
      </c>
      <c r="O1639" t="str">
        <f>DO_DB[[#This Row],[SiteID]]</f>
        <v>CLR30-02-036</v>
      </c>
      <c r="P1639" t="str">
        <f>DO_DB[[#This Row],[SiteID]]&amp;"_"&amp;DO_DB[[#This Row],[Material Name]]</f>
        <v>CLR30-02-036_Pole 7M 3"</v>
      </c>
      <c r="Q1639" t="str">
        <f>DO_DB[[#This Row],[DO Number]]</f>
        <v>DOEID240620EN</v>
      </c>
      <c r="R1639" t="str">
        <f>DO_DB[[#This Row],[DN Number]]</f>
        <v>DNWID0362024062017</v>
      </c>
    </row>
    <row r="1640" spans="1:18">
      <c r="A1640" t="s">
        <v>1639</v>
      </c>
      <c r="B1640" t="s">
        <v>1640</v>
      </c>
      <c r="C1640" t="s">
        <v>4482</v>
      </c>
      <c r="D1640" t="s">
        <v>71</v>
      </c>
      <c r="E1640" t="s">
        <v>644</v>
      </c>
      <c r="F1640" t="s">
        <v>4500</v>
      </c>
      <c r="G1640" t="s">
        <v>1641</v>
      </c>
      <c r="H1640" t="s">
        <v>1642</v>
      </c>
      <c r="I1640" s="130">
        <v>45464</v>
      </c>
      <c r="J1640" t="s">
        <v>13</v>
      </c>
      <c r="K1640">
        <v>19</v>
      </c>
      <c r="M16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40" t="str">
        <f>DO_DB[[#This Row],[Material Pick-update]]&amp;"_"&amp;DO_DB[[#This Row],[Material Name]]</f>
        <v>45464_FAT-16</v>
      </c>
      <c r="O1640" t="str">
        <f>DO_DB[[#This Row],[SiteID]]</f>
        <v>CLR30-02-036</v>
      </c>
      <c r="P1640" t="str">
        <f>DO_DB[[#This Row],[SiteID]]&amp;"_"&amp;DO_DB[[#This Row],[Material Name]]</f>
        <v>CLR30-02-036_FAT-16</v>
      </c>
      <c r="Q1640" t="str">
        <f>DO_DB[[#This Row],[DO Number]]</f>
        <v>DOEID240620EO</v>
      </c>
      <c r="R1640" t="str">
        <f>DO_DB[[#This Row],[DN Number]]</f>
        <v>DNWID0342024062017</v>
      </c>
    </row>
    <row r="1641" spans="1:18">
      <c r="A1641" t="s">
        <v>1627</v>
      </c>
      <c r="B1641" t="s">
        <v>1628</v>
      </c>
      <c r="C1641" t="s">
        <v>4482</v>
      </c>
      <c r="D1641" t="s">
        <v>71</v>
      </c>
      <c r="E1641" t="s">
        <v>644</v>
      </c>
      <c r="F1641" t="s">
        <v>4500</v>
      </c>
      <c r="G1641" t="s">
        <v>1651</v>
      </c>
      <c r="H1641" t="s">
        <v>1652</v>
      </c>
      <c r="I1641" s="130">
        <v>45464</v>
      </c>
      <c r="J1641" t="s">
        <v>3070</v>
      </c>
      <c r="K1641">
        <v>4</v>
      </c>
      <c r="M16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41" t="str">
        <f>DO_DB[[#This Row],[Material Pick-update]]&amp;"_"&amp;DO_DB[[#This Row],[Material Name]]</f>
        <v>45464_Pole 7M 3"</v>
      </c>
      <c r="O1641" t="str">
        <f>DO_DB[[#This Row],[SiteID]]</f>
        <v>CLR30-01-025</v>
      </c>
      <c r="P1641" t="str">
        <f>DO_DB[[#This Row],[SiteID]]&amp;"_"&amp;DO_DB[[#This Row],[Material Name]]</f>
        <v>CLR30-01-025_Pole 7M 3"</v>
      </c>
      <c r="Q1641" t="str">
        <f>DO_DB[[#This Row],[DO Number]]</f>
        <v>DOEID240620EQ</v>
      </c>
      <c r="R1641" t="str">
        <f>DO_DB[[#This Row],[DN Number]]</f>
        <v>DNWID0362024062014</v>
      </c>
    </row>
    <row r="1642" spans="1:18">
      <c r="A1642" t="s">
        <v>1627</v>
      </c>
      <c r="B1642" t="s">
        <v>1628</v>
      </c>
      <c r="C1642" t="s">
        <v>4482</v>
      </c>
      <c r="D1642" t="s">
        <v>71</v>
      </c>
      <c r="E1642" t="s">
        <v>644</v>
      </c>
      <c r="F1642" t="s">
        <v>4500</v>
      </c>
      <c r="G1642" t="s">
        <v>1629</v>
      </c>
      <c r="H1642" t="s">
        <v>1630</v>
      </c>
      <c r="I1642" s="130">
        <v>45464</v>
      </c>
      <c r="J1642" t="s">
        <v>13</v>
      </c>
      <c r="K1642">
        <v>19</v>
      </c>
      <c r="M16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42" t="str">
        <f>DO_DB[[#This Row],[Material Pick-update]]&amp;"_"&amp;DO_DB[[#This Row],[Material Name]]</f>
        <v>45464_FAT-16</v>
      </c>
      <c r="O1642" t="str">
        <f>DO_DB[[#This Row],[SiteID]]</f>
        <v>CLR30-01-025</v>
      </c>
      <c r="P1642" t="str">
        <f>DO_DB[[#This Row],[SiteID]]&amp;"_"&amp;DO_DB[[#This Row],[Material Name]]</f>
        <v>CLR30-01-025_FAT-16</v>
      </c>
      <c r="Q1642" t="str">
        <f>DO_DB[[#This Row],[DO Number]]</f>
        <v>DOEID240620ES</v>
      </c>
      <c r="R1642" t="str">
        <f>DO_DB[[#This Row],[DN Number]]</f>
        <v>DNWID0342024062019</v>
      </c>
    </row>
    <row r="1643" spans="1:18">
      <c r="A1643" t="s">
        <v>1631</v>
      </c>
      <c r="B1643" t="s">
        <v>1632</v>
      </c>
      <c r="C1643" t="s">
        <v>4482</v>
      </c>
      <c r="D1643" t="s">
        <v>71</v>
      </c>
      <c r="E1643" t="s">
        <v>644</v>
      </c>
      <c r="F1643" t="s">
        <v>4500</v>
      </c>
      <c r="G1643" t="s">
        <v>1647</v>
      </c>
      <c r="H1643" t="s">
        <v>1648</v>
      </c>
      <c r="I1643" s="130">
        <v>45464</v>
      </c>
      <c r="J1643" t="s">
        <v>3069</v>
      </c>
      <c r="K1643">
        <v>9</v>
      </c>
      <c r="M16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43" t="str">
        <f>DO_DB[[#This Row],[Material Pick-update]]&amp;"_"&amp;DO_DB[[#This Row],[Material Name]]</f>
        <v>45464_Pole 7M 4"</v>
      </c>
      <c r="O1643" t="str">
        <f>DO_DB[[#This Row],[SiteID]]</f>
        <v>CLR30-01-019</v>
      </c>
      <c r="P1643" t="str">
        <f>DO_DB[[#This Row],[SiteID]]&amp;"_"&amp;DO_DB[[#This Row],[Material Name]]</f>
        <v>CLR30-01-019_Pole 7M 4"</v>
      </c>
      <c r="Q1643" t="str">
        <f>DO_DB[[#This Row],[DO Number]]</f>
        <v>DOEID240620ET</v>
      </c>
      <c r="R1643" t="str">
        <f>DO_DB[[#This Row],[DN Number]]</f>
        <v>DNWID0362024062015</v>
      </c>
    </row>
    <row r="1644" spans="1:18">
      <c r="A1644" t="s">
        <v>1631</v>
      </c>
      <c r="B1644" t="s">
        <v>1632</v>
      </c>
      <c r="C1644" t="s">
        <v>4482</v>
      </c>
      <c r="D1644" t="s">
        <v>71</v>
      </c>
      <c r="E1644" t="s">
        <v>644</v>
      </c>
      <c r="F1644" t="s">
        <v>4500</v>
      </c>
      <c r="G1644" t="s">
        <v>1647</v>
      </c>
      <c r="H1644" t="s">
        <v>1648</v>
      </c>
      <c r="I1644" s="130">
        <v>45464</v>
      </c>
      <c r="J1644" t="s">
        <v>3070</v>
      </c>
      <c r="K1644">
        <v>1</v>
      </c>
      <c r="M16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44" t="str">
        <f>DO_DB[[#This Row],[Material Pick-update]]&amp;"_"&amp;DO_DB[[#This Row],[Material Name]]</f>
        <v>45464_Pole 7M 3"</v>
      </c>
      <c r="O1644" t="str">
        <f>DO_DB[[#This Row],[SiteID]]</f>
        <v>CLR30-01-019</v>
      </c>
      <c r="P1644" t="str">
        <f>DO_DB[[#This Row],[SiteID]]&amp;"_"&amp;DO_DB[[#This Row],[Material Name]]</f>
        <v>CLR30-01-019_Pole 7M 3"</v>
      </c>
      <c r="Q1644" t="str">
        <f>DO_DB[[#This Row],[DO Number]]</f>
        <v>DOEID240620ET</v>
      </c>
      <c r="R1644" t="str">
        <f>DO_DB[[#This Row],[DN Number]]</f>
        <v>DNWID0362024062015</v>
      </c>
    </row>
    <row r="1645" spans="1:18">
      <c r="A1645" t="s">
        <v>1631</v>
      </c>
      <c r="B1645" t="s">
        <v>1632</v>
      </c>
      <c r="C1645" t="s">
        <v>4482</v>
      </c>
      <c r="D1645" t="s">
        <v>71</v>
      </c>
      <c r="E1645" t="s">
        <v>644</v>
      </c>
      <c r="F1645" t="s">
        <v>4500</v>
      </c>
      <c r="G1645" t="s">
        <v>1633</v>
      </c>
      <c r="H1645" t="s">
        <v>1634</v>
      </c>
      <c r="I1645" s="130">
        <v>45464</v>
      </c>
      <c r="J1645" t="s">
        <v>13</v>
      </c>
      <c r="K1645">
        <v>22</v>
      </c>
      <c r="M16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45" t="str">
        <f>DO_DB[[#This Row],[Material Pick-update]]&amp;"_"&amp;DO_DB[[#This Row],[Material Name]]</f>
        <v>45464_FAT-16</v>
      </c>
      <c r="O1645" t="str">
        <f>DO_DB[[#This Row],[SiteID]]</f>
        <v>CLR30-01-019</v>
      </c>
      <c r="P1645" t="str">
        <f>DO_DB[[#This Row],[SiteID]]&amp;"_"&amp;DO_DB[[#This Row],[Material Name]]</f>
        <v>CLR30-01-019_FAT-16</v>
      </c>
      <c r="Q1645" t="str">
        <f>DO_DB[[#This Row],[DO Number]]</f>
        <v>DOEID240620EU</v>
      </c>
      <c r="R1645" t="str">
        <f>DO_DB[[#This Row],[DN Number]]</f>
        <v>DNWID0342024062014</v>
      </c>
    </row>
    <row r="1646" spans="1:18">
      <c r="A1646" t="s">
        <v>1635</v>
      </c>
      <c r="B1646" t="s">
        <v>1636</v>
      </c>
      <c r="C1646" t="s">
        <v>4482</v>
      </c>
      <c r="D1646" t="s">
        <v>71</v>
      </c>
      <c r="E1646" t="s">
        <v>644</v>
      </c>
      <c r="F1646" t="s">
        <v>4500</v>
      </c>
      <c r="G1646" t="s">
        <v>1637</v>
      </c>
      <c r="H1646" t="s">
        <v>1638</v>
      </c>
      <c r="I1646" s="130">
        <v>45464</v>
      </c>
      <c r="J1646" t="s">
        <v>3075</v>
      </c>
      <c r="K1646">
        <v>3000</v>
      </c>
      <c r="M16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48C-2024621-01</v>
      </c>
      <c r="N1646" t="str">
        <f>DO_DB[[#This Row],[Material Pick-update]]&amp;"_"&amp;DO_DB[[#This Row],[Material Name]]</f>
        <v>45464_ADSS 48C</v>
      </c>
      <c r="O1646" t="str">
        <f>DO_DB[[#This Row],[SiteID]]</f>
        <v>CLR30-01-043</v>
      </c>
      <c r="P1646" t="str">
        <f>DO_DB[[#This Row],[SiteID]]&amp;"_"&amp;DO_DB[[#This Row],[Material Name]]</f>
        <v>CLR30-01-043_ADSS 48C</v>
      </c>
      <c r="Q1646" t="str">
        <f>DO_DB[[#This Row],[DO Number]]</f>
        <v>DOEID240620EL</v>
      </c>
      <c r="R1646" t="str">
        <f>DO_DB[[#This Row],[DN Number]]</f>
        <v>DNWID0342024062015</v>
      </c>
    </row>
    <row r="1647" spans="1:18">
      <c r="A1647" t="s">
        <v>1643</v>
      </c>
      <c r="B1647" t="s">
        <v>1644</v>
      </c>
      <c r="C1647" t="s">
        <v>4482</v>
      </c>
      <c r="D1647" t="s">
        <v>71</v>
      </c>
      <c r="E1647" t="s">
        <v>876</v>
      </c>
      <c r="F1647" t="s">
        <v>4500</v>
      </c>
      <c r="G1647" t="s">
        <v>1649</v>
      </c>
      <c r="H1647" t="s">
        <v>1650</v>
      </c>
      <c r="I1647" s="130">
        <v>45464</v>
      </c>
      <c r="J1647" t="s">
        <v>3069</v>
      </c>
      <c r="K1647">
        <v>66</v>
      </c>
      <c r="M16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47" t="str">
        <f>DO_DB[[#This Row],[Material Pick-update]]&amp;"_"&amp;DO_DB[[#This Row],[Material Name]]</f>
        <v>45464_Pole 7M 4"</v>
      </c>
      <c r="O1647" t="str">
        <f>DO_DB[[#This Row],[SiteID]]</f>
        <v>CLR37-01-023</v>
      </c>
      <c r="P1647" t="str">
        <f>DO_DB[[#This Row],[SiteID]]&amp;"_"&amp;DO_DB[[#This Row],[Material Name]]</f>
        <v>CLR37-01-023_Pole 7M 4"</v>
      </c>
      <c r="Q1647" t="str">
        <f>DO_DB[[#This Row],[DO Number]]</f>
        <v>DOEID240620DR</v>
      </c>
      <c r="R1647" t="str">
        <f>DO_DB[[#This Row],[DN Number]]</f>
        <v>DNWID0362024062009</v>
      </c>
    </row>
    <row r="1648" spans="1:18">
      <c r="A1648" t="s">
        <v>1643</v>
      </c>
      <c r="B1648" t="s">
        <v>1644</v>
      </c>
      <c r="C1648" t="s">
        <v>4482</v>
      </c>
      <c r="D1648" t="s">
        <v>71</v>
      </c>
      <c r="E1648" t="s">
        <v>876</v>
      </c>
      <c r="F1648" t="s">
        <v>4500</v>
      </c>
      <c r="G1648" t="s">
        <v>1649</v>
      </c>
      <c r="H1648" t="s">
        <v>1650</v>
      </c>
      <c r="I1648" s="130">
        <v>45464</v>
      </c>
      <c r="J1648" t="s">
        <v>3070</v>
      </c>
      <c r="K1648">
        <v>12</v>
      </c>
      <c r="M16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48" t="str">
        <f>DO_DB[[#This Row],[Material Pick-update]]&amp;"_"&amp;DO_DB[[#This Row],[Material Name]]</f>
        <v>45464_Pole 7M 3"</v>
      </c>
      <c r="O1648" t="str">
        <f>DO_DB[[#This Row],[SiteID]]</f>
        <v>CLR37-01-023</v>
      </c>
      <c r="P1648" t="str">
        <f>DO_DB[[#This Row],[SiteID]]&amp;"_"&amp;DO_DB[[#This Row],[Material Name]]</f>
        <v>CLR37-01-023_Pole 7M 3"</v>
      </c>
      <c r="Q1648" t="str">
        <f>DO_DB[[#This Row],[DO Number]]</f>
        <v>DOEID240620DR</v>
      </c>
      <c r="R1648" t="str">
        <f>DO_DB[[#This Row],[DN Number]]</f>
        <v>DNWID0362024062009</v>
      </c>
    </row>
    <row r="1649" spans="1:18">
      <c r="A1649" t="s">
        <v>1643</v>
      </c>
      <c r="B1649" t="s">
        <v>1644</v>
      </c>
      <c r="C1649" t="s">
        <v>4482</v>
      </c>
      <c r="D1649" t="s">
        <v>71</v>
      </c>
      <c r="E1649" t="s">
        <v>876</v>
      </c>
      <c r="F1649" t="s">
        <v>4500</v>
      </c>
      <c r="G1649" t="s">
        <v>1645</v>
      </c>
      <c r="H1649" t="s">
        <v>1646</v>
      </c>
      <c r="I1649" s="130">
        <v>45464</v>
      </c>
      <c r="J1649" t="s">
        <v>15</v>
      </c>
      <c r="K1649">
        <v>1</v>
      </c>
      <c r="M16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49" t="str">
        <f>DO_DB[[#This Row],[Material Pick-update]]&amp;"_"&amp;DO_DB[[#This Row],[Material Name]]</f>
        <v>45464_FDT-72</v>
      </c>
      <c r="O1649" t="str">
        <f>DO_DB[[#This Row],[SiteID]]</f>
        <v>CLR37-01-023</v>
      </c>
      <c r="P1649" t="str">
        <f>DO_DB[[#This Row],[SiteID]]&amp;"_"&amp;DO_DB[[#This Row],[Material Name]]</f>
        <v>CLR37-01-023_FDT-72</v>
      </c>
      <c r="Q1649" t="str">
        <f>DO_DB[[#This Row],[DO Number]]</f>
        <v>DOEID240620DS</v>
      </c>
      <c r="R1649" t="str">
        <f>DO_DB[[#This Row],[DN Number]]</f>
        <v>DNWID0342024062005</v>
      </c>
    </row>
    <row r="1650" spans="1:18">
      <c r="A1650" t="s">
        <v>1643</v>
      </c>
      <c r="B1650" t="s">
        <v>1644</v>
      </c>
      <c r="C1650" t="s">
        <v>4482</v>
      </c>
      <c r="D1650" t="s">
        <v>71</v>
      </c>
      <c r="E1650" t="s">
        <v>876</v>
      </c>
      <c r="F1650" t="s">
        <v>4500</v>
      </c>
      <c r="G1650" t="s">
        <v>1645</v>
      </c>
      <c r="H1650" t="s">
        <v>1646</v>
      </c>
      <c r="I1650" s="130">
        <v>45464</v>
      </c>
      <c r="J1650" t="s">
        <v>13</v>
      </c>
      <c r="K1650">
        <v>31</v>
      </c>
      <c r="M16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50" t="str">
        <f>DO_DB[[#This Row],[Material Pick-update]]&amp;"_"&amp;DO_DB[[#This Row],[Material Name]]</f>
        <v>45464_FAT-16</v>
      </c>
      <c r="O1650" t="str">
        <f>DO_DB[[#This Row],[SiteID]]</f>
        <v>CLR37-01-023</v>
      </c>
      <c r="P1650" t="str">
        <f>DO_DB[[#This Row],[SiteID]]&amp;"_"&amp;DO_DB[[#This Row],[Material Name]]</f>
        <v>CLR37-01-023_FAT-16</v>
      </c>
      <c r="Q1650" t="str">
        <f>DO_DB[[#This Row],[DO Number]]</f>
        <v>DOEID240620DS</v>
      </c>
      <c r="R1650" t="str">
        <f>DO_DB[[#This Row],[DN Number]]</f>
        <v>DNWID0342024062005</v>
      </c>
    </row>
    <row r="1651" spans="1:18">
      <c r="A1651" t="s">
        <v>1643</v>
      </c>
      <c r="B1651" t="s">
        <v>1644</v>
      </c>
      <c r="C1651" t="s">
        <v>4482</v>
      </c>
      <c r="D1651" t="s">
        <v>71</v>
      </c>
      <c r="E1651" t="s">
        <v>876</v>
      </c>
      <c r="F1651" t="s">
        <v>4500</v>
      </c>
      <c r="G1651" t="s">
        <v>1645</v>
      </c>
      <c r="H1651" t="s">
        <v>1646</v>
      </c>
      <c r="I1651" s="130">
        <v>45464</v>
      </c>
      <c r="J1651" t="s">
        <v>3080</v>
      </c>
      <c r="K1651">
        <v>4</v>
      </c>
      <c r="M16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51" t="str">
        <f>DO_DB[[#This Row],[Material Pick-update]]&amp;"_"&amp;DO_DB[[#This Row],[Material Name]]</f>
        <v>45464_1:8 SPL for FDT-AE &amp; UG</v>
      </c>
      <c r="O1651" t="str">
        <f>DO_DB[[#This Row],[SiteID]]</f>
        <v>CLR37-01-023</v>
      </c>
      <c r="P1651" t="str">
        <f>DO_DB[[#This Row],[SiteID]]&amp;"_"&amp;DO_DB[[#This Row],[Material Name]]</f>
        <v>CLR37-01-023_1:8 SPL for FDT-AE &amp; UG</v>
      </c>
      <c r="Q1651" t="str">
        <f>DO_DB[[#This Row],[DO Number]]</f>
        <v>DOEID240620DS</v>
      </c>
      <c r="R1651" t="str">
        <f>DO_DB[[#This Row],[DN Number]]</f>
        <v>DNWID0342024062005</v>
      </c>
    </row>
    <row r="1652" spans="1:18">
      <c r="A1652" t="s">
        <v>1643</v>
      </c>
      <c r="B1652" t="s">
        <v>1644</v>
      </c>
      <c r="C1652" t="s">
        <v>4482</v>
      </c>
      <c r="D1652" t="s">
        <v>71</v>
      </c>
      <c r="E1652" t="s">
        <v>876</v>
      </c>
      <c r="F1652" t="s">
        <v>4500</v>
      </c>
      <c r="G1652" t="s">
        <v>1645</v>
      </c>
      <c r="H1652" t="s">
        <v>1646</v>
      </c>
      <c r="I1652" s="130">
        <v>45464</v>
      </c>
      <c r="J1652" t="s">
        <v>3075</v>
      </c>
      <c r="K1652">
        <v>3000</v>
      </c>
      <c r="M16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48C-2024621-01</v>
      </c>
      <c r="N1652" t="str">
        <f>DO_DB[[#This Row],[Material Pick-update]]&amp;"_"&amp;DO_DB[[#This Row],[Material Name]]</f>
        <v>45464_ADSS 48C</v>
      </c>
      <c r="O1652" t="str">
        <f>DO_DB[[#This Row],[SiteID]]</f>
        <v>CLR37-01-023</v>
      </c>
      <c r="P1652" t="str">
        <f>DO_DB[[#This Row],[SiteID]]&amp;"_"&amp;DO_DB[[#This Row],[Material Name]]</f>
        <v>CLR37-01-023_ADSS 48C</v>
      </c>
      <c r="Q1652" t="str">
        <f>DO_DB[[#This Row],[DO Number]]</f>
        <v>DOEID240620DS</v>
      </c>
      <c r="R1652" t="str">
        <f>DO_DB[[#This Row],[DN Number]]</f>
        <v>DNWID0342024062005</v>
      </c>
    </row>
    <row r="1653" spans="1:18">
      <c r="A1653" t="s">
        <v>1609</v>
      </c>
      <c r="B1653" t="s">
        <v>1610</v>
      </c>
      <c r="C1653" t="s">
        <v>4482</v>
      </c>
      <c r="D1653" t="s">
        <v>71</v>
      </c>
      <c r="E1653" t="s">
        <v>709</v>
      </c>
      <c r="F1653" t="s">
        <v>4500</v>
      </c>
      <c r="G1653" t="s">
        <v>1663</v>
      </c>
      <c r="H1653" t="s">
        <v>1664</v>
      </c>
      <c r="I1653" s="130">
        <v>45464</v>
      </c>
      <c r="J1653" t="s">
        <v>3069</v>
      </c>
      <c r="K1653">
        <v>24</v>
      </c>
      <c r="M16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53" t="str">
        <f>DO_DB[[#This Row],[Material Pick-update]]&amp;"_"&amp;DO_DB[[#This Row],[Material Name]]</f>
        <v>45464_Pole 7M 4"</v>
      </c>
      <c r="O1653" t="str">
        <f>DO_DB[[#This Row],[SiteID]]</f>
        <v>CLR41-99-056</v>
      </c>
      <c r="P1653" t="str">
        <f>DO_DB[[#This Row],[SiteID]]&amp;"_"&amp;DO_DB[[#This Row],[Material Name]]</f>
        <v>CLR41-99-056_Pole 7M 4"</v>
      </c>
      <c r="Q1653" t="str">
        <f>DO_DB[[#This Row],[DO Number]]</f>
        <v>DOEID240613GI</v>
      </c>
      <c r="R1653" t="str">
        <f>DO_DB[[#This Row],[DN Number]]</f>
        <v>DNWID0362024061407</v>
      </c>
    </row>
    <row r="1654" spans="1:18">
      <c r="A1654" t="s">
        <v>1609</v>
      </c>
      <c r="B1654" t="s">
        <v>1610</v>
      </c>
      <c r="C1654" t="s">
        <v>4482</v>
      </c>
      <c r="D1654" t="s">
        <v>71</v>
      </c>
      <c r="E1654" t="s">
        <v>709</v>
      </c>
      <c r="F1654" t="s">
        <v>4500</v>
      </c>
      <c r="G1654" t="s">
        <v>1663</v>
      </c>
      <c r="H1654" t="s">
        <v>1664</v>
      </c>
      <c r="I1654" s="130">
        <v>45464</v>
      </c>
      <c r="J1654" t="s">
        <v>3070</v>
      </c>
      <c r="K1654">
        <v>3</v>
      </c>
      <c r="M16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54" t="str">
        <f>DO_DB[[#This Row],[Material Pick-update]]&amp;"_"&amp;DO_DB[[#This Row],[Material Name]]</f>
        <v>45464_Pole 7M 3"</v>
      </c>
      <c r="O1654" t="str">
        <f>DO_DB[[#This Row],[SiteID]]</f>
        <v>CLR41-99-056</v>
      </c>
      <c r="P1654" t="str">
        <f>DO_DB[[#This Row],[SiteID]]&amp;"_"&amp;DO_DB[[#This Row],[Material Name]]</f>
        <v>CLR41-99-056_Pole 7M 3"</v>
      </c>
      <c r="Q1654" t="str">
        <f>DO_DB[[#This Row],[DO Number]]</f>
        <v>DOEID240613GI</v>
      </c>
      <c r="R1654" t="str">
        <f>DO_DB[[#This Row],[DN Number]]</f>
        <v>DNWID0362024061407</v>
      </c>
    </row>
    <row r="1655" spans="1:18">
      <c r="A1655" t="s">
        <v>1597</v>
      </c>
      <c r="B1655" t="s">
        <v>1598</v>
      </c>
      <c r="C1655" t="s">
        <v>4482</v>
      </c>
      <c r="D1655" t="s">
        <v>71</v>
      </c>
      <c r="E1655" t="s">
        <v>709</v>
      </c>
      <c r="F1655" t="s">
        <v>4500</v>
      </c>
      <c r="G1655" t="s">
        <v>1661</v>
      </c>
      <c r="H1655" t="s">
        <v>1662</v>
      </c>
      <c r="I1655" s="130">
        <v>45464</v>
      </c>
      <c r="J1655" t="s">
        <v>3069</v>
      </c>
      <c r="K1655">
        <v>48</v>
      </c>
      <c r="M16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55" t="str">
        <f>DO_DB[[#This Row],[Material Pick-update]]&amp;"_"&amp;DO_DB[[#This Row],[Material Name]]</f>
        <v>45464_Pole 7M 4"</v>
      </c>
      <c r="O1655" t="str">
        <f>DO_DB[[#This Row],[SiteID]]</f>
        <v>CLR41-99-057</v>
      </c>
      <c r="P1655" t="str">
        <f>DO_DB[[#This Row],[SiteID]]&amp;"_"&amp;DO_DB[[#This Row],[Material Name]]</f>
        <v>CLR41-99-057_Pole 7M 4"</v>
      </c>
      <c r="Q1655" t="str">
        <f>DO_DB[[#This Row],[DO Number]]</f>
        <v>DOEID240613GL</v>
      </c>
      <c r="R1655" t="str">
        <f>DO_DB[[#This Row],[DN Number]]</f>
        <v>DNWID0362024061409</v>
      </c>
    </row>
    <row r="1656" spans="1:18">
      <c r="A1656" t="s">
        <v>1597</v>
      </c>
      <c r="B1656" t="s">
        <v>1598</v>
      </c>
      <c r="C1656" t="s">
        <v>4482</v>
      </c>
      <c r="D1656" t="s">
        <v>71</v>
      </c>
      <c r="E1656" t="s">
        <v>709</v>
      </c>
      <c r="F1656" t="s">
        <v>4500</v>
      </c>
      <c r="G1656" t="s">
        <v>1661</v>
      </c>
      <c r="H1656" t="s">
        <v>1662</v>
      </c>
      <c r="I1656" s="130">
        <v>45464</v>
      </c>
      <c r="J1656" t="s">
        <v>3070</v>
      </c>
      <c r="K1656">
        <v>4</v>
      </c>
      <c r="M16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56" t="str">
        <f>DO_DB[[#This Row],[Material Pick-update]]&amp;"_"&amp;DO_DB[[#This Row],[Material Name]]</f>
        <v>45464_Pole 7M 3"</v>
      </c>
      <c r="O1656" t="str">
        <f>DO_DB[[#This Row],[SiteID]]</f>
        <v>CLR41-99-057</v>
      </c>
      <c r="P1656" t="str">
        <f>DO_DB[[#This Row],[SiteID]]&amp;"_"&amp;DO_DB[[#This Row],[Material Name]]</f>
        <v>CLR41-99-057_Pole 7M 3"</v>
      </c>
      <c r="Q1656" t="str">
        <f>DO_DB[[#This Row],[DO Number]]</f>
        <v>DOEID240613GL</v>
      </c>
      <c r="R1656" t="str">
        <f>DO_DB[[#This Row],[DN Number]]</f>
        <v>DNWID0362024061409</v>
      </c>
    </row>
    <row r="1657" spans="1:18">
      <c r="A1657" t="s">
        <v>1597</v>
      </c>
      <c r="B1657" t="s">
        <v>1598</v>
      </c>
      <c r="C1657" t="s">
        <v>4482</v>
      </c>
      <c r="D1657" t="s">
        <v>71</v>
      </c>
      <c r="E1657" t="s">
        <v>709</v>
      </c>
      <c r="F1657" t="s">
        <v>4500</v>
      </c>
      <c r="G1657" t="s">
        <v>1661</v>
      </c>
      <c r="H1657" t="s">
        <v>1662</v>
      </c>
      <c r="I1657" s="130">
        <v>45464</v>
      </c>
      <c r="J1657" t="s">
        <v>3071</v>
      </c>
      <c r="K1657">
        <v>3</v>
      </c>
      <c r="M16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57" t="str">
        <f>DO_DB[[#This Row],[Material Pick-update]]&amp;"_"&amp;DO_DB[[#This Row],[Material Name]]</f>
        <v>45464_Pole 9M</v>
      </c>
      <c r="O1657" t="str">
        <f>DO_DB[[#This Row],[SiteID]]</f>
        <v>CLR41-99-057</v>
      </c>
      <c r="P1657" t="str">
        <f>DO_DB[[#This Row],[SiteID]]&amp;"_"&amp;DO_DB[[#This Row],[Material Name]]</f>
        <v>CLR41-99-057_Pole 9M</v>
      </c>
      <c r="Q1657" t="str">
        <f>DO_DB[[#This Row],[DO Number]]</f>
        <v>DOEID240613GL</v>
      </c>
      <c r="R1657" t="str">
        <f>DO_DB[[#This Row],[DN Number]]</f>
        <v>DNWID0362024061409</v>
      </c>
    </row>
    <row r="1658" spans="1:18">
      <c r="A1658" t="s">
        <v>1655</v>
      </c>
      <c r="B1658" t="s">
        <v>1656</v>
      </c>
      <c r="C1658" s="172" t="s">
        <v>4482</v>
      </c>
      <c r="D1658" t="s">
        <v>71</v>
      </c>
      <c r="E1658" t="s">
        <v>26</v>
      </c>
      <c r="F1658" t="s">
        <v>4500</v>
      </c>
      <c r="G1658" t="s">
        <v>1657</v>
      </c>
      <c r="H1658" t="s">
        <v>1658</v>
      </c>
      <c r="I1658" s="130">
        <v>45464</v>
      </c>
      <c r="J1658" t="s">
        <v>3069</v>
      </c>
      <c r="K1658">
        <v>69</v>
      </c>
      <c r="M16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58" t="str">
        <f>DO_DB[[#This Row],[Material Pick-update]]&amp;"_"&amp;DO_DB[[#This Row],[Material Name]]</f>
        <v>45464_Pole 7M 4"</v>
      </c>
      <c r="O1658" t="str">
        <f>DO_DB[[#This Row],[SiteID]]</f>
        <v>MF31-05</v>
      </c>
      <c r="P1658" t="str">
        <f>DO_DB[[#This Row],[SiteID]]&amp;"_"&amp;DO_DB[[#This Row],[Material Name]]</f>
        <v>MF31-05_Pole 7M 4"</v>
      </c>
      <c r="Q1658" t="str">
        <f>DO_DB[[#This Row],[DO Number]]</f>
        <v>DOEID240620DX</v>
      </c>
      <c r="R1658" t="str">
        <f>DO_DB[[#This Row],[DN Number]]</f>
        <v>DNWID0362024062006</v>
      </c>
    </row>
    <row r="1659" spans="1:18">
      <c r="A1659" t="s">
        <v>1627</v>
      </c>
      <c r="B1659" t="s">
        <v>1628</v>
      </c>
      <c r="C1659" t="s">
        <v>4482</v>
      </c>
      <c r="D1659" t="s">
        <v>71</v>
      </c>
      <c r="E1659" t="s">
        <v>644</v>
      </c>
      <c r="F1659" t="s">
        <v>4500</v>
      </c>
      <c r="G1659" t="s">
        <v>1667</v>
      </c>
      <c r="H1659" t="s">
        <v>1668</v>
      </c>
      <c r="I1659" s="130">
        <v>45468</v>
      </c>
      <c r="J1659" t="s">
        <v>14</v>
      </c>
      <c r="K1659">
        <v>1</v>
      </c>
      <c r="M16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59" t="str">
        <f>DO_DB[[#This Row],[Material Pick-update]]&amp;"_"&amp;DO_DB[[#This Row],[Material Name]]</f>
        <v>45468_FDT-48</v>
      </c>
      <c r="O1659" t="str">
        <f>DO_DB[[#This Row],[SiteID]]</f>
        <v>CLR30-01-025</v>
      </c>
      <c r="P1659" t="str">
        <f>DO_DB[[#This Row],[SiteID]]&amp;"_"&amp;DO_DB[[#This Row],[Material Name]]</f>
        <v>CLR30-01-025_FDT-48</v>
      </c>
      <c r="Q1659" t="str">
        <f>DO_DB[[#This Row],[DO Number]]</f>
        <v>DOEID240624NQ</v>
      </c>
      <c r="R1659" t="str">
        <f>DO_DB[[#This Row],[DN Number]]</f>
        <v>DNWID0342024062505</v>
      </c>
    </row>
    <row r="1660" spans="1:18">
      <c r="A1660" t="s">
        <v>1627</v>
      </c>
      <c r="B1660" t="s">
        <v>1628</v>
      </c>
      <c r="C1660" t="s">
        <v>4482</v>
      </c>
      <c r="D1660" t="s">
        <v>71</v>
      </c>
      <c r="E1660" t="s">
        <v>644</v>
      </c>
      <c r="F1660" t="s">
        <v>4500</v>
      </c>
      <c r="G1660" t="s">
        <v>1667</v>
      </c>
      <c r="H1660" t="s">
        <v>1668</v>
      </c>
      <c r="I1660" s="130">
        <v>45468</v>
      </c>
      <c r="J1660" t="s">
        <v>3080</v>
      </c>
      <c r="K1660">
        <v>3</v>
      </c>
      <c r="M16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60" t="str">
        <f>DO_DB[[#This Row],[Material Pick-update]]&amp;"_"&amp;DO_DB[[#This Row],[Material Name]]</f>
        <v>45468_1:8 SPL for FDT-AE &amp; UG</v>
      </c>
      <c r="O1660" t="str">
        <f>DO_DB[[#This Row],[SiteID]]</f>
        <v>CLR30-01-025</v>
      </c>
      <c r="P1660" t="str">
        <f>DO_DB[[#This Row],[SiteID]]&amp;"_"&amp;DO_DB[[#This Row],[Material Name]]</f>
        <v>CLR30-01-025_1:8 SPL for FDT-AE &amp; UG</v>
      </c>
      <c r="Q1660" t="str">
        <f>DO_DB[[#This Row],[DO Number]]</f>
        <v>DOEID240624NQ</v>
      </c>
      <c r="R1660" t="str">
        <f>DO_DB[[#This Row],[DN Number]]</f>
        <v>DNWID0342024062505</v>
      </c>
    </row>
    <row r="1661" spans="1:18">
      <c r="A1661" t="s">
        <v>1627</v>
      </c>
      <c r="B1661" t="s">
        <v>1628</v>
      </c>
      <c r="C1661" t="s">
        <v>4482</v>
      </c>
      <c r="D1661" t="s">
        <v>71</v>
      </c>
      <c r="E1661" t="s">
        <v>644</v>
      </c>
      <c r="F1661" t="s">
        <v>4500</v>
      </c>
      <c r="G1661" t="s">
        <v>1667</v>
      </c>
      <c r="H1661" t="s">
        <v>1668</v>
      </c>
      <c r="I1661" s="130">
        <v>45468</v>
      </c>
      <c r="J1661" t="s">
        <v>3073</v>
      </c>
      <c r="K1661">
        <v>3000</v>
      </c>
      <c r="M16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24C-2024625-01</v>
      </c>
      <c r="N1661" t="str">
        <f>DO_DB[[#This Row],[Material Pick-update]]&amp;"_"&amp;DO_DB[[#This Row],[Material Name]]</f>
        <v>45468_ADSS 24C</v>
      </c>
      <c r="O1661" t="str">
        <f>DO_DB[[#This Row],[SiteID]]</f>
        <v>CLR30-01-025</v>
      </c>
      <c r="P1661" t="str">
        <f>DO_DB[[#This Row],[SiteID]]&amp;"_"&amp;DO_DB[[#This Row],[Material Name]]</f>
        <v>CLR30-01-025_ADSS 24C</v>
      </c>
      <c r="Q1661" t="str">
        <f>DO_DB[[#This Row],[DO Number]]</f>
        <v>DOEID240624NQ</v>
      </c>
      <c r="R1661" t="str">
        <f>DO_DB[[#This Row],[DN Number]]</f>
        <v>DNWID0342024062505</v>
      </c>
    </row>
    <row r="1662" spans="1:18">
      <c r="A1662" t="s">
        <v>1631</v>
      </c>
      <c r="B1662" t="s">
        <v>1632</v>
      </c>
      <c r="C1662" t="s">
        <v>4482</v>
      </c>
      <c r="D1662" t="s">
        <v>71</v>
      </c>
      <c r="E1662" t="s">
        <v>644</v>
      </c>
      <c r="F1662" t="s">
        <v>4500</v>
      </c>
      <c r="G1662" t="s">
        <v>1665</v>
      </c>
      <c r="H1662" t="s">
        <v>1666</v>
      </c>
      <c r="I1662" s="130">
        <v>45468</v>
      </c>
      <c r="J1662" t="s">
        <v>3073</v>
      </c>
      <c r="K1662">
        <v>3000</v>
      </c>
      <c r="M16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24C-2024625-01</v>
      </c>
      <c r="N1662" t="str">
        <f>DO_DB[[#This Row],[Material Pick-update]]&amp;"_"&amp;DO_DB[[#This Row],[Material Name]]</f>
        <v>45468_ADSS 24C</v>
      </c>
      <c r="O1662" t="str">
        <f>DO_DB[[#This Row],[SiteID]]</f>
        <v>CLR30-01-019</v>
      </c>
      <c r="P1662" t="str">
        <f>DO_DB[[#This Row],[SiteID]]&amp;"_"&amp;DO_DB[[#This Row],[Material Name]]</f>
        <v>CLR30-01-019_ADSS 24C</v>
      </c>
      <c r="Q1662" t="str">
        <f>DO_DB[[#This Row],[DO Number]]</f>
        <v>DOEID240624NR</v>
      </c>
      <c r="R1662" t="str">
        <f>DO_DB[[#This Row],[DN Number]]</f>
        <v>DNWID0342024062409</v>
      </c>
    </row>
    <row r="1663" spans="1:18">
      <c r="A1663" t="s">
        <v>1635</v>
      </c>
      <c r="B1663" t="s">
        <v>1636</v>
      </c>
      <c r="C1663" t="s">
        <v>4482</v>
      </c>
      <c r="D1663" t="s">
        <v>71</v>
      </c>
      <c r="E1663" t="s">
        <v>644</v>
      </c>
      <c r="F1663" t="s">
        <v>4500</v>
      </c>
      <c r="G1663" t="s">
        <v>1737</v>
      </c>
      <c r="H1663" t="s">
        <v>1738</v>
      </c>
      <c r="I1663" s="130">
        <v>45481</v>
      </c>
      <c r="J1663" t="s">
        <v>14</v>
      </c>
      <c r="K1663">
        <v>1</v>
      </c>
      <c r="M16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63" t="str">
        <f>DO_DB[[#This Row],[Material Pick-update]]&amp;"_"&amp;DO_DB[[#This Row],[Material Name]]</f>
        <v>45481_FDT-48</v>
      </c>
      <c r="O1663" t="str">
        <f>DO_DB[[#This Row],[SiteID]]</f>
        <v>CLR30-01-043</v>
      </c>
      <c r="P1663" t="str">
        <f>DO_DB[[#This Row],[SiteID]]&amp;"_"&amp;DO_DB[[#This Row],[Material Name]]</f>
        <v>CLR30-01-043_FDT-48</v>
      </c>
      <c r="Q1663" t="str">
        <f>DO_DB[[#This Row],[DO Number]]</f>
        <v>DOEID240627JE</v>
      </c>
      <c r="R1663" t="str">
        <f>DO_DB[[#This Row],[DN Number]]</f>
        <v>DNWID0342024062702</v>
      </c>
    </row>
    <row r="1664" spans="1:18">
      <c r="A1664" t="s">
        <v>1639</v>
      </c>
      <c r="B1664" t="s">
        <v>1640</v>
      </c>
      <c r="C1664" t="s">
        <v>4482</v>
      </c>
      <c r="D1664" t="s">
        <v>71</v>
      </c>
      <c r="E1664" t="s">
        <v>644</v>
      </c>
      <c r="F1664" t="s">
        <v>4500</v>
      </c>
      <c r="G1664" t="s">
        <v>1741</v>
      </c>
      <c r="H1664" t="s">
        <v>1742</v>
      </c>
      <c r="I1664" s="130">
        <v>45481</v>
      </c>
      <c r="J1664" t="s">
        <v>14</v>
      </c>
      <c r="K1664">
        <v>1</v>
      </c>
      <c r="M16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64" t="str">
        <f>DO_DB[[#This Row],[Material Pick-update]]&amp;"_"&amp;DO_DB[[#This Row],[Material Name]]</f>
        <v>45481_FDT-48</v>
      </c>
      <c r="O1664" t="str">
        <f>DO_DB[[#This Row],[SiteID]]</f>
        <v>CLR30-02-036</v>
      </c>
      <c r="P1664" t="str">
        <f>DO_DB[[#This Row],[SiteID]]&amp;"_"&amp;DO_DB[[#This Row],[Material Name]]</f>
        <v>CLR30-02-036_FDT-48</v>
      </c>
      <c r="Q1664" t="str">
        <f>DO_DB[[#This Row],[DO Number]]</f>
        <v>DOEID240627K4</v>
      </c>
      <c r="R1664" t="str">
        <f>DO_DB[[#This Row],[DN Number]]</f>
        <v>DNWID0342024062803</v>
      </c>
    </row>
    <row r="1665" spans="1:18">
      <c r="A1665" t="s">
        <v>1631</v>
      </c>
      <c r="B1665" t="s">
        <v>1632</v>
      </c>
      <c r="C1665" t="s">
        <v>4482</v>
      </c>
      <c r="D1665" t="s">
        <v>71</v>
      </c>
      <c r="E1665" t="s">
        <v>644</v>
      </c>
      <c r="F1665" t="s">
        <v>4500</v>
      </c>
      <c r="G1665" t="s">
        <v>1739</v>
      </c>
      <c r="H1665" t="s">
        <v>1740</v>
      </c>
      <c r="I1665" s="130">
        <v>45481</v>
      </c>
      <c r="J1665" t="s">
        <v>14</v>
      </c>
      <c r="K1665">
        <v>1</v>
      </c>
      <c r="M16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65" t="str">
        <f>DO_DB[[#This Row],[Material Pick-update]]&amp;"_"&amp;DO_DB[[#This Row],[Material Name]]</f>
        <v>45481_FDT-48</v>
      </c>
      <c r="O1665" t="str">
        <f>DO_DB[[#This Row],[SiteID]]</f>
        <v>CLR30-01-019</v>
      </c>
      <c r="P1665" t="str">
        <f>DO_DB[[#This Row],[SiteID]]&amp;"_"&amp;DO_DB[[#This Row],[Material Name]]</f>
        <v>CLR30-01-019_FDT-48</v>
      </c>
      <c r="Q1665" t="str">
        <f>DO_DB[[#This Row],[DO Number]]</f>
        <v>DOEID240627K6</v>
      </c>
      <c r="R1665" t="str">
        <f>DO_DB[[#This Row],[DN Number]]</f>
        <v>DNWID0342024062801</v>
      </c>
    </row>
    <row r="1666" spans="1:18">
      <c r="A1666" t="s">
        <v>1631</v>
      </c>
      <c r="B1666" t="s">
        <v>1632</v>
      </c>
      <c r="C1666" t="s">
        <v>4482</v>
      </c>
      <c r="D1666" t="s">
        <v>71</v>
      </c>
      <c r="E1666" t="s">
        <v>644</v>
      </c>
      <c r="F1666" t="s">
        <v>4500</v>
      </c>
      <c r="G1666" t="s">
        <v>1731</v>
      </c>
      <c r="H1666" t="s">
        <v>1732</v>
      </c>
      <c r="I1666" s="130">
        <v>45481</v>
      </c>
      <c r="J1666" t="s">
        <v>3069</v>
      </c>
      <c r="K1666">
        <v>41</v>
      </c>
      <c r="M16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66" t="str">
        <f>DO_DB[[#This Row],[Material Pick-update]]&amp;"_"&amp;DO_DB[[#This Row],[Material Name]]</f>
        <v>45481_Pole 7M 4"</v>
      </c>
      <c r="O1666" t="str">
        <f>DO_DB[[#This Row],[SiteID]]</f>
        <v>CLR30-01-019</v>
      </c>
      <c r="P1666" t="str">
        <f>DO_DB[[#This Row],[SiteID]]&amp;"_"&amp;DO_DB[[#This Row],[Material Name]]</f>
        <v>CLR30-01-019_Pole 7M 4"</v>
      </c>
      <c r="Q1666" t="str">
        <f>DO_DB[[#This Row],[DO Number]]</f>
        <v>DOEID240627K8</v>
      </c>
      <c r="R1666" t="str">
        <f>DO_DB[[#This Row],[DN Number]]</f>
        <v>DNWID0362024070702</v>
      </c>
    </row>
    <row r="1667" spans="1:18">
      <c r="A1667" t="s">
        <v>1639</v>
      </c>
      <c r="B1667" t="s">
        <v>1640</v>
      </c>
      <c r="C1667" t="s">
        <v>4482</v>
      </c>
      <c r="D1667" t="s">
        <v>71</v>
      </c>
      <c r="E1667" t="s">
        <v>644</v>
      </c>
      <c r="F1667" t="s">
        <v>4500</v>
      </c>
      <c r="G1667" t="s">
        <v>1829</v>
      </c>
      <c r="H1667" t="s">
        <v>1830</v>
      </c>
      <c r="I1667" s="130">
        <v>45481</v>
      </c>
      <c r="J1667" t="s">
        <v>3069</v>
      </c>
      <c r="K1667">
        <v>52</v>
      </c>
      <c r="M16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67" t="str">
        <f>DO_DB[[#This Row],[Material Pick-update]]&amp;"_"&amp;DO_DB[[#This Row],[Material Name]]</f>
        <v>45481_Pole 7M 4"</v>
      </c>
      <c r="O1667" t="str">
        <f>DO_DB[[#This Row],[SiteID]]</f>
        <v>CLR30-02-036</v>
      </c>
      <c r="P1667" t="str">
        <f>DO_DB[[#This Row],[SiteID]]&amp;"_"&amp;DO_DB[[#This Row],[Material Name]]</f>
        <v>CLR30-02-036_Pole 7M 4"</v>
      </c>
      <c r="Q1667" t="str">
        <f>DO_DB[[#This Row],[DO Number]]</f>
        <v>DOEID240627KI</v>
      </c>
      <c r="R1667" t="str">
        <f>DO_DB[[#This Row],[DN Number]]</f>
        <v>DNWID0362024070701</v>
      </c>
    </row>
    <row r="1668" spans="1:18">
      <c r="A1668" t="s">
        <v>1627</v>
      </c>
      <c r="B1668" t="s">
        <v>1628</v>
      </c>
      <c r="C1668" t="s">
        <v>4482</v>
      </c>
      <c r="D1668" t="s">
        <v>71</v>
      </c>
      <c r="E1668" t="s">
        <v>644</v>
      </c>
      <c r="F1668" t="s">
        <v>4500</v>
      </c>
      <c r="G1668" t="s">
        <v>1727</v>
      </c>
      <c r="H1668" t="s">
        <v>1728</v>
      </c>
      <c r="I1668" s="130">
        <v>45481</v>
      </c>
      <c r="J1668" t="s">
        <v>3069</v>
      </c>
      <c r="K1668">
        <v>49</v>
      </c>
      <c r="M16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68" t="str">
        <f>DO_DB[[#This Row],[Material Pick-update]]&amp;"_"&amp;DO_DB[[#This Row],[Material Name]]</f>
        <v>45481_Pole 7M 4"</v>
      </c>
      <c r="O1668" t="str">
        <f>DO_DB[[#This Row],[SiteID]]</f>
        <v>CLR30-01-025</v>
      </c>
      <c r="P1668" t="str">
        <f>DO_DB[[#This Row],[SiteID]]&amp;"_"&amp;DO_DB[[#This Row],[Material Name]]</f>
        <v>CLR30-01-025_Pole 7M 4"</v>
      </c>
      <c r="Q1668" t="str">
        <f>DO_DB[[#This Row],[DO Number]]</f>
        <v>DOEID240627KL</v>
      </c>
      <c r="R1668" t="str">
        <f>DO_DB[[#This Row],[DN Number]]</f>
        <v>DNWID0362024070703</v>
      </c>
    </row>
    <row r="1669" spans="1:18">
      <c r="A1669" t="s">
        <v>1627</v>
      </c>
      <c r="B1669" t="s">
        <v>1628</v>
      </c>
      <c r="C1669" t="s">
        <v>4482</v>
      </c>
      <c r="D1669" t="s">
        <v>71</v>
      </c>
      <c r="E1669" t="s">
        <v>644</v>
      </c>
      <c r="F1669" t="s">
        <v>4500</v>
      </c>
      <c r="G1669" t="s">
        <v>1727</v>
      </c>
      <c r="H1669" t="s">
        <v>1728</v>
      </c>
      <c r="I1669" s="130">
        <v>45481</v>
      </c>
      <c r="J1669" t="s">
        <v>4856</v>
      </c>
      <c r="K1669">
        <v>1</v>
      </c>
      <c r="M16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69" t="str">
        <f>DO_DB[[#This Row],[Material Pick-update]]&amp;"_"&amp;DO_DB[[#This Row],[Material Name]]</f>
        <v>45481_JC 144Core</v>
      </c>
      <c r="O1669" t="str">
        <f>DO_DB[[#This Row],[SiteID]]</f>
        <v>CLR30-01-025</v>
      </c>
      <c r="P1669" t="str">
        <f>DO_DB[[#This Row],[SiteID]]&amp;"_"&amp;DO_DB[[#This Row],[Material Name]]</f>
        <v>CLR30-01-025_JC 144Core</v>
      </c>
      <c r="Q1669" t="str">
        <f>DO_DB[[#This Row],[DO Number]]</f>
        <v>DOEID240627KL</v>
      </c>
      <c r="R1669" t="str">
        <f>DO_DB[[#This Row],[DN Number]]</f>
        <v>DNWID0362024070703</v>
      </c>
    </row>
    <row r="1670" spans="1:18">
      <c r="A1670" t="s">
        <v>1621</v>
      </c>
      <c r="B1670" t="s">
        <v>1622</v>
      </c>
      <c r="C1670" t="s">
        <v>4482</v>
      </c>
      <c r="D1670" t="s">
        <v>71</v>
      </c>
      <c r="E1670" t="s">
        <v>644</v>
      </c>
      <c r="F1670" t="s">
        <v>4500</v>
      </c>
      <c r="G1670" t="s">
        <v>1733</v>
      </c>
      <c r="H1670" t="s">
        <v>1734</v>
      </c>
      <c r="I1670" s="130">
        <v>45481</v>
      </c>
      <c r="J1670" t="s">
        <v>4856</v>
      </c>
      <c r="K1670">
        <v>1</v>
      </c>
      <c r="M16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70" t="str">
        <f>DO_DB[[#This Row],[Material Pick-update]]&amp;"_"&amp;DO_DB[[#This Row],[Material Name]]</f>
        <v>45481_JC 144Core</v>
      </c>
      <c r="O1670" t="str">
        <f>DO_DB[[#This Row],[SiteID]]</f>
        <v>CLR30-01-014</v>
      </c>
      <c r="P1670" t="str">
        <f>DO_DB[[#This Row],[SiteID]]&amp;"_"&amp;DO_DB[[#This Row],[Material Name]]</f>
        <v>CLR30-01-014_JC 144Core</v>
      </c>
      <c r="Q1670" t="str">
        <f>DO_DB[[#This Row],[DO Number]]</f>
        <v>DOEID24070703</v>
      </c>
      <c r="R1670" t="str">
        <f>DO_DB[[#This Row],[DN Number]]</f>
        <v>DNWID0362024070708</v>
      </c>
    </row>
    <row r="1671" spans="1:18">
      <c r="A1671" t="s">
        <v>1635</v>
      </c>
      <c r="B1671" t="s">
        <v>1636</v>
      </c>
      <c r="C1671" t="s">
        <v>4482</v>
      </c>
      <c r="D1671" t="s">
        <v>71</v>
      </c>
      <c r="E1671" t="s">
        <v>644</v>
      </c>
      <c r="F1671" t="s">
        <v>4500</v>
      </c>
      <c r="G1671" t="s">
        <v>1729</v>
      </c>
      <c r="H1671" t="s">
        <v>1730</v>
      </c>
      <c r="I1671" s="130">
        <v>45481</v>
      </c>
      <c r="J1671" t="s">
        <v>4856</v>
      </c>
      <c r="K1671">
        <v>1</v>
      </c>
      <c r="M16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71" t="str">
        <f>DO_DB[[#This Row],[Material Pick-update]]&amp;"_"&amp;DO_DB[[#This Row],[Material Name]]</f>
        <v>45481_JC 144Core</v>
      </c>
      <c r="O1671" t="str">
        <f>DO_DB[[#This Row],[SiteID]]</f>
        <v>CLR30-01-043</v>
      </c>
      <c r="P1671" t="str">
        <f>DO_DB[[#This Row],[SiteID]]&amp;"_"&amp;DO_DB[[#This Row],[Material Name]]</f>
        <v>CLR30-01-043_JC 144Core</v>
      </c>
      <c r="Q1671" t="str">
        <f>DO_DB[[#This Row],[DO Number]]</f>
        <v>DOEID24070709</v>
      </c>
      <c r="R1671" t="str">
        <f>DO_DB[[#This Row],[DN Number]]</f>
        <v>DNWID0362024070706</v>
      </c>
    </row>
    <row r="1672" spans="1:18">
      <c r="A1672" t="s">
        <v>1601</v>
      </c>
      <c r="B1672" t="s">
        <v>1602</v>
      </c>
      <c r="C1672" t="s">
        <v>4482</v>
      </c>
      <c r="D1672" t="s">
        <v>71</v>
      </c>
      <c r="E1672" t="s">
        <v>644</v>
      </c>
      <c r="F1672" t="s">
        <v>4500</v>
      </c>
      <c r="G1672" t="s">
        <v>1831</v>
      </c>
      <c r="H1672" t="s">
        <v>1832</v>
      </c>
      <c r="I1672" s="130">
        <v>45481</v>
      </c>
      <c r="J1672" t="s">
        <v>3073</v>
      </c>
      <c r="K1672">
        <v>3000</v>
      </c>
      <c r="M16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24C-202478-01</v>
      </c>
      <c r="N1672" t="str">
        <f>DO_DB[[#This Row],[Material Pick-update]]&amp;"_"&amp;DO_DB[[#This Row],[Material Name]]</f>
        <v>45481_ADSS 24C</v>
      </c>
      <c r="O1672" t="str">
        <f>DO_DB[[#This Row],[SiteID]]</f>
        <v>CLR30-99-058</v>
      </c>
      <c r="P1672" t="str">
        <f>DO_DB[[#This Row],[SiteID]]&amp;"_"&amp;DO_DB[[#This Row],[Material Name]]</f>
        <v>CLR30-99-058_ADSS 24C</v>
      </c>
      <c r="Q1672" t="str">
        <f>DO_DB[[#This Row],[DO Number]]</f>
        <v>DOEID24070701</v>
      </c>
      <c r="R1672" t="str">
        <f>DO_DB[[#This Row],[DN Number]]</f>
        <v>DNWID0342024070703</v>
      </c>
    </row>
    <row r="1673" spans="1:18">
      <c r="A1673" t="s">
        <v>1481</v>
      </c>
      <c r="B1673" t="s">
        <v>1482</v>
      </c>
      <c r="C1673" t="s">
        <v>4482</v>
      </c>
      <c r="D1673" t="s">
        <v>71</v>
      </c>
      <c r="E1673" t="s">
        <v>24</v>
      </c>
      <c r="F1673" t="s">
        <v>4500</v>
      </c>
      <c r="G1673" t="s">
        <v>1735</v>
      </c>
      <c r="H1673" t="s">
        <v>1736</v>
      </c>
      <c r="I1673" s="130">
        <v>45481</v>
      </c>
      <c r="J1673" t="s">
        <v>3070</v>
      </c>
      <c r="K1673">
        <v>3</v>
      </c>
      <c r="M16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73" t="str">
        <f>DO_DB[[#This Row],[Material Pick-update]]&amp;"_"&amp;DO_DB[[#This Row],[Material Name]]</f>
        <v>45481_Pole 7M 3"</v>
      </c>
      <c r="O1673" t="str">
        <f>DO_DB[[#This Row],[SiteID]]</f>
        <v>CLR51-99-096</v>
      </c>
      <c r="P1673" t="str">
        <f>DO_DB[[#This Row],[SiteID]]&amp;"_"&amp;DO_DB[[#This Row],[Material Name]]</f>
        <v>CLR51-99-096_Pole 7M 3"</v>
      </c>
      <c r="Q1673" t="str">
        <f>DO_DB[[#This Row],[DO Number]]</f>
        <v>DOEID24070708</v>
      </c>
      <c r="R1673" t="str">
        <f>DO_DB[[#This Row],[DN Number]]</f>
        <v>DNWID0362024070710</v>
      </c>
    </row>
    <row r="1674" spans="1:18">
      <c r="A1674" t="s">
        <v>1743</v>
      </c>
      <c r="B1674" t="s">
        <v>1744</v>
      </c>
      <c r="C1674" t="s">
        <v>4482</v>
      </c>
      <c r="D1674" t="s">
        <v>71</v>
      </c>
      <c r="E1674" t="s">
        <v>876</v>
      </c>
      <c r="F1674" t="s">
        <v>4500</v>
      </c>
      <c r="G1674" t="s">
        <v>1745</v>
      </c>
      <c r="H1674" t="s">
        <v>1746</v>
      </c>
      <c r="I1674" s="130">
        <v>45481</v>
      </c>
      <c r="J1674" t="s">
        <v>14</v>
      </c>
      <c r="K1674">
        <v>3</v>
      </c>
      <c r="M16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74" t="str">
        <f>DO_DB[[#This Row],[Material Pick-update]]&amp;"_"&amp;DO_DB[[#This Row],[Material Name]]</f>
        <v>45481_FDT-48</v>
      </c>
      <c r="O1674" t="str">
        <f>DO_DB[[#This Row],[SiteID]]</f>
        <v>CLR37-99-009</v>
      </c>
      <c r="P1674" t="str">
        <f>DO_DB[[#This Row],[SiteID]]&amp;"_"&amp;DO_DB[[#This Row],[Material Name]]</f>
        <v>CLR37-99-009_FDT-48</v>
      </c>
      <c r="Q1674" t="str">
        <f>DO_DB[[#This Row],[DO Number]]</f>
        <v>DOEID24070171</v>
      </c>
      <c r="R1674" t="str">
        <f>DO_DB[[#This Row],[DN Number]]</f>
        <v>DNWID0342024070701</v>
      </c>
    </row>
    <row r="1675" spans="1:18">
      <c r="A1675" t="s">
        <v>1743</v>
      </c>
      <c r="B1675" t="s">
        <v>1744</v>
      </c>
      <c r="C1675" t="s">
        <v>4482</v>
      </c>
      <c r="D1675" t="s">
        <v>71</v>
      </c>
      <c r="E1675" t="s">
        <v>876</v>
      </c>
      <c r="F1675" t="s">
        <v>4500</v>
      </c>
      <c r="G1675" t="s">
        <v>1745</v>
      </c>
      <c r="H1675" t="s">
        <v>1746</v>
      </c>
      <c r="I1675" s="130">
        <v>45481</v>
      </c>
      <c r="J1675" t="s">
        <v>15</v>
      </c>
      <c r="K1675">
        <v>2</v>
      </c>
      <c r="M16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75" t="str">
        <f>DO_DB[[#This Row],[Material Pick-update]]&amp;"_"&amp;DO_DB[[#This Row],[Material Name]]</f>
        <v>45481_FDT-72</v>
      </c>
      <c r="O1675" t="str">
        <f>DO_DB[[#This Row],[SiteID]]</f>
        <v>CLR37-99-009</v>
      </c>
      <c r="P1675" t="str">
        <f>DO_DB[[#This Row],[SiteID]]&amp;"_"&amp;DO_DB[[#This Row],[Material Name]]</f>
        <v>CLR37-99-009_FDT-72</v>
      </c>
      <c r="Q1675" t="str">
        <f>DO_DB[[#This Row],[DO Number]]</f>
        <v>DOEID24070171</v>
      </c>
      <c r="R1675" t="str">
        <f>DO_DB[[#This Row],[DN Number]]</f>
        <v>DNWID0342024070701</v>
      </c>
    </row>
    <row r="1676" spans="1:18">
      <c r="A1676" t="s">
        <v>1743</v>
      </c>
      <c r="B1676" t="s">
        <v>1744</v>
      </c>
      <c r="C1676" t="s">
        <v>4482</v>
      </c>
      <c r="D1676" t="s">
        <v>71</v>
      </c>
      <c r="E1676" t="s">
        <v>876</v>
      </c>
      <c r="F1676" t="s">
        <v>4500</v>
      </c>
      <c r="G1676" t="s">
        <v>1745</v>
      </c>
      <c r="H1676" t="s">
        <v>1746</v>
      </c>
      <c r="I1676" s="130">
        <v>45481</v>
      </c>
      <c r="J1676" t="s">
        <v>13</v>
      </c>
      <c r="K1676">
        <v>116</v>
      </c>
      <c r="M16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76" t="str">
        <f>DO_DB[[#This Row],[Material Pick-update]]&amp;"_"&amp;DO_DB[[#This Row],[Material Name]]</f>
        <v>45481_FAT-16</v>
      </c>
      <c r="O1676" t="str">
        <f>DO_DB[[#This Row],[SiteID]]</f>
        <v>CLR37-99-009</v>
      </c>
      <c r="P1676" t="str">
        <f>DO_DB[[#This Row],[SiteID]]&amp;"_"&amp;DO_DB[[#This Row],[Material Name]]</f>
        <v>CLR37-99-009_FAT-16</v>
      </c>
      <c r="Q1676" t="str">
        <f>DO_DB[[#This Row],[DO Number]]</f>
        <v>DOEID24070171</v>
      </c>
      <c r="R1676" t="str">
        <f>DO_DB[[#This Row],[DN Number]]</f>
        <v>DNWID0342024070701</v>
      </c>
    </row>
    <row r="1677" spans="1:18">
      <c r="A1677" t="s">
        <v>1743</v>
      </c>
      <c r="B1677" t="s">
        <v>1744</v>
      </c>
      <c r="C1677" t="s">
        <v>4482</v>
      </c>
      <c r="D1677" t="s">
        <v>71</v>
      </c>
      <c r="E1677" t="s">
        <v>876</v>
      </c>
      <c r="F1677" t="s">
        <v>4500</v>
      </c>
      <c r="G1677" t="s">
        <v>1745</v>
      </c>
      <c r="H1677" t="s">
        <v>1746</v>
      </c>
      <c r="I1677" s="130">
        <v>45481</v>
      </c>
      <c r="J1677" t="s">
        <v>3080</v>
      </c>
      <c r="K1677">
        <v>8</v>
      </c>
      <c r="M16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77" t="str">
        <f>DO_DB[[#This Row],[Material Pick-update]]&amp;"_"&amp;DO_DB[[#This Row],[Material Name]]</f>
        <v>45481_1:8 SPL for FDT-AE &amp; UG</v>
      </c>
      <c r="O1677" t="str">
        <f>DO_DB[[#This Row],[SiteID]]</f>
        <v>CLR37-99-009</v>
      </c>
      <c r="P1677" t="str">
        <f>DO_DB[[#This Row],[SiteID]]&amp;"_"&amp;DO_DB[[#This Row],[Material Name]]</f>
        <v>CLR37-99-009_1:8 SPL for FDT-AE &amp; UG</v>
      </c>
      <c r="Q1677" t="str">
        <f>DO_DB[[#This Row],[DO Number]]</f>
        <v>DOEID24070171</v>
      </c>
      <c r="R1677" t="str">
        <f>DO_DB[[#This Row],[DN Number]]</f>
        <v>DNWID0342024070701</v>
      </c>
    </row>
    <row r="1678" spans="1:18">
      <c r="A1678" t="s">
        <v>1743</v>
      </c>
      <c r="B1678" t="s">
        <v>1744</v>
      </c>
      <c r="C1678" t="s">
        <v>4482</v>
      </c>
      <c r="D1678" t="s">
        <v>71</v>
      </c>
      <c r="E1678" t="s">
        <v>876</v>
      </c>
      <c r="F1678" t="s">
        <v>4500</v>
      </c>
      <c r="G1678" t="s">
        <v>1745</v>
      </c>
      <c r="H1678" t="s">
        <v>1746</v>
      </c>
      <c r="I1678" s="130">
        <v>45481</v>
      </c>
      <c r="J1678" t="s">
        <v>3075</v>
      </c>
      <c r="K1678">
        <v>6000</v>
      </c>
      <c r="M16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48C-202478-01</v>
      </c>
      <c r="N1678" t="str">
        <f>DO_DB[[#This Row],[Material Pick-update]]&amp;"_"&amp;DO_DB[[#This Row],[Material Name]]</f>
        <v>45481_ADSS 48C</v>
      </c>
      <c r="O1678" t="str">
        <f>DO_DB[[#This Row],[SiteID]]</f>
        <v>CLR37-99-009</v>
      </c>
      <c r="P1678" t="str">
        <f>DO_DB[[#This Row],[SiteID]]&amp;"_"&amp;DO_DB[[#This Row],[Material Name]]</f>
        <v>CLR37-99-009_ADSS 48C</v>
      </c>
      <c r="Q1678" t="str">
        <f>DO_DB[[#This Row],[DO Number]]</f>
        <v>DOEID24070171</v>
      </c>
      <c r="R1678" t="str">
        <f>DO_DB[[#This Row],[DN Number]]</f>
        <v>DNWID0342024070701</v>
      </c>
    </row>
    <row r="1679" spans="1:18">
      <c r="A1679" t="s">
        <v>1743</v>
      </c>
      <c r="B1679" t="s">
        <v>1744</v>
      </c>
      <c r="C1679" t="s">
        <v>4482</v>
      </c>
      <c r="D1679" t="s">
        <v>71</v>
      </c>
      <c r="E1679" t="s">
        <v>876</v>
      </c>
      <c r="F1679" t="s">
        <v>4500</v>
      </c>
      <c r="G1679" t="s">
        <v>1745</v>
      </c>
      <c r="H1679" t="s">
        <v>1746</v>
      </c>
      <c r="I1679" s="130">
        <v>45481</v>
      </c>
      <c r="J1679" t="s">
        <v>3073</v>
      </c>
      <c r="K1679">
        <v>15000</v>
      </c>
      <c r="M16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24C-202478-01</v>
      </c>
      <c r="N1679" t="str">
        <f>DO_DB[[#This Row],[Material Pick-update]]&amp;"_"&amp;DO_DB[[#This Row],[Material Name]]</f>
        <v>45481_ADSS 24C</v>
      </c>
      <c r="O1679" t="str">
        <f>DO_DB[[#This Row],[SiteID]]</f>
        <v>CLR37-99-009</v>
      </c>
      <c r="P1679" t="str">
        <f>DO_DB[[#This Row],[SiteID]]&amp;"_"&amp;DO_DB[[#This Row],[Material Name]]</f>
        <v>CLR37-99-009_ADSS 24C</v>
      </c>
      <c r="Q1679" t="str">
        <f>DO_DB[[#This Row],[DO Number]]</f>
        <v>DOEID24070171</v>
      </c>
      <c r="R1679" t="str">
        <f>DO_DB[[#This Row],[DN Number]]</f>
        <v>DNWID0342024070701</v>
      </c>
    </row>
    <row r="1680" spans="1:18">
      <c r="A1680" t="s">
        <v>1759</v>
      </c>
      <c r="B1680" t="s">
        <v>1760</v>
      </c>
      <c r="C1680" t="s">
        <v>4482</v>
      </c>
      <c r="D1680" t="s">
        <v>71</v>
      </c>
      <c r="E1680" t="s">
        <v>644</v>
      </c>
      <c r="F1680" t="s">
        <v>4500</v>
      </c>
      <c r="G1680" t="s">
        <v>1765</v>
      </c>
      <c r="H1680" t="s">
        <v>1766</v>
      </c>
      <c r="I1680" s="130">
        <v>45496</v>
      </c>
      <c r="J1680" t="s">
        <v>3069</v>
      </c>
      <c r="K1680">
        <v>27</v>
      </c>
      <c r="M16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80" t="str">
        <f>DO_DB[[#This Row],[Material Pick-update]]&amp;"_"&amp;DO_DB[[#This Row],[Material Name]]</f>
        <v>45496_Pole 7M 4"</v>
      </c>
      <c r="O1680" t="str">
        <f>DO_DB[[#This Row],[SiteID]]</f>
        <v>CLR30-02-018</v>
      </c>
      <c r="P1680" t="str">
        <f>DO_DB[[#This Row],[SiteID]]&amp;"_"&amp;DO_DB[[#This Row],[Material Name]]</f>
        <v>CLR30-02-018_Pole 7M 4"</v>
      </c>
      <c r="Q1680" t="str">
        <f>DO_DB[[#This Row],[DO Number]]</f>
        <v>DOEID240722D1</v>
      </c>
      <c r="R1680" t="str">
        <f>DO_DB[[#This Row],[DN Number]]</f>
        <v>DNWID0362024072311</v>
      </c>
    </row>
    <row r="1681" spans="1:18">
      <c r="A1681" t="s">
        <v>1759</v>
      </c>
      <c r="B1681" t="s">
        <v>1760</v>
      </c>
      <c r="C1681" t="s">
        <v>4482</v>
      </c>
      <c r="D1681" t="s">
        <v>71</v>
      </c>
      <c r="E1681" t="s">
        <v>644</v>
      </c>
      <c r="F1681" t="s">
        <v>4500</v>
      </c>
      <c r="G1681" t="s">
        <v>1765</v>
      </c>
      <c r="H1681" t="s">
        <v>1766</v>
      </c>
      <c r="I1681" s="130">
        <v>45496</v>
      </c>
      <c r="J1681" t="s">
        <v>3070</v>
      </c>
      <c r="K1681">
        <v>2</v>
      </c>
      <c r="M16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81" t="str">
        <f>DO_DB[[#This Row],[Material Pick-update]]&amp;"_"&amp;DO_DB[[#This Row],[Material Name]]</f>
        <v>45496_Pole 7M 3"</v>
      </c>
      <c r="O1681" t="str">
        <f>DO_DB[[#This Row],[SiteID]]</f>
        <v>CLR30-02-018</v>
      </c>
      <c r="P1681" t="str">
        <f>DO_DB[[#This Row],[SiteID]]&amp;"_"&amp;DO_DB[[#This Row],[Material Name]]</f>
        <v>CLR30-02-018_Pole 7M 3"</v>
      </c>
      <c r="Q1681" t="str">
        <f>DO_DB[[#This Row],[DO Number]]</f>
        <v>DOEID240722D1</v>
      </c>
      <c r="R1681" t="str">
        <f>DO_DB[[#This Row],[DN Number]]</f>
        <v>DNWID0362024072311</v>
      </c>
    </row>
    <row r="1682" spans="1:18">
      <c r="A1682" t="s">
        <v>1759</v>
      </c>
      <c r="B1682" t="s">
        <v>1760</v>
      </c>
      <c r="C1682" t="s">
        <v>4482</v>
      </c>
      <c r="D1682" t="s">
        <v>71</v>
      </c>
      <c r="E1682" t="s">
        <v>644</v>
      </c>
      <c r="F1682" t="s">
        <v>4500</v>
      </c>
      <c r="G1682" t="s">
        <v>1765</v>
      </c>
      <c r="H1682" t="s">
        <v>1766</v>
      </c>
      <c r="I1682" s="130">
        <v>45496</v>
      </c>
      <c r="J1682" t="s">
        <v>4856</v>
      </c>
      <c r="K1682">
        <v>1</v>
      </c>
      <c r="M16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82" t="str">
        <f>DO_DB[[#This Row],[Material Pick-update]]&amp;"_"&amp;DO_DB[[#This Row],[Material Name]]</f>
        <v>45496_JC 144Core</v>
      </c>
      <c r="O1682" t="str">
        <f>DO_DB[[#This Row],[SiteID]]</f>
        <v>CLR30-02-018</v>
      </c>
      <c r="P1682" t="str">
        <f>DO_DB[[#This Row],[SiteID]]&amp;"_"&amp;DO_DB[[#This Row],[Material Name]]</f>
        <v>CLR30-02-018_JC 144Core</v>
      </c>
      <c r="Q1682" t="str">
        <f>DO_DB[[#This Row],[DO Number]]</f>
        <v>DOEID240722D1</v>
      </c>
      <c r="R1682" t="str">
        <f>DO_DB[[#This Row],[DN Number]]</f>
        <v>DNWID0362024072311</v>
      </c>
    </row>
    <row r="1683" spans="1:18">
      <c r="A1683" t="s">
        <v>1759</v>
      </c>
      <c r="B1683" t="s">
        <v>1760</v>
      </c>
      <c r="C1683" t="s">
        <v>4482</v>
      </c>
      <c r="D1683" t="s">
        <v>71</v>
      </c>
      <c r="E1683" t="s">
        <v>644</v>
      </c>
      <c r="F1683" t="s">
        <v>4500</v>
      </c>
      <c r="G1683" t="s">
        <v>1761</v>
      </c>
      <c r="H1683" t="s">
        <v>1762</v>
      </c>
      <c r="I1683" s="130">
        <v>45496</v>
      </c>
      <c r="J1683" t="s">
        <v>14</v>
      </c>
      <c r="K1683">
        <v>1</v>
      </c>
      <c r="M16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83" t="str">
        <f>DO_DB[[#This Row],[Material Pick-update]]&amp;"_"&amp;DO_DB[[#This Row],[Material Name]]</f>
        <v>45496_FDT-48</v>
      </c>
      <c r="O1683" t="str">
        <f>DO_DB[[#This Row],[SiteID]]</f>
        <v>CLR30-02-018</v>
      </c>
      <c r="P1683" t="str">
        <f>DO_DB[[#This Row],[SiteID]]&amp;"_"&amp;DO_DB[[#This Row],[Material Name]]</f>
        <v>CLR30-02-018_FDT-48</v>
      </c>
      <c r="Q1683" t="str">
        <f>DO_DB[[#This Row],[DO Number]]</f>
        <v>DOEID240722D2</v>
      </c>
      <c r="R1683" t="str">
        <f>DO_DB[[#This Row],[DN Number]]</f>
        <v>DNWID0342024072315</v>
      </c>
    </row>
    <row r="1684" spans="1:18">
      <c r="A1684" t="s">
        <v>1759</v>
      </c>
      <c r="B1684" t="s">
        <v>1760</v>
      </c>
      <c r="C1684" t="s">
        <v>4482</v>
      </c>
      <c r="D1684" t="s">
        <v>71</v>
      </c>
      <c r="E1684" t="s">
        <v>644</v>
      </c>
      <c r="F1684" t="s">
        <v>4500</v>
      </c>
      <c r="G1684" t="s">
        <v>1761</v>
      </c>
      <c r="H1684" t="s">
        <v>1762</v>
      </c>
      <c r="I1684" s="130">
        <v>45496</v>
      </c>
      <c r="J1684" t="s">
        <v>13</v>
      </c>
      <c r="K1684">
        <v>8</v>
      </c>
      <c r="M16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84" t="str">
        <f>DO_DB[[#This Row],[Material Pick-update]]&amp;"_"&amp;DO_DB[[#This Row],[Material Name]]</f>
        <v>45496_FAT-16</v>
      </c>
      <c r="O1684" t="str">
        <f>DO_DB[[#This Row],[SiteID]]</f>
        <v>CLR30-02-018</v>
      </c>
      <c r="P1684" t="str">
        <f>DO_DB[[#This Row],[SiteID]]&amp;"_"&amp;DO_DB[[#This Row],[Material Name]]</f>
        <v>CLR30-02-018_FAT-16</v>
      </c>
      <c r="Q1684" t="str">
        <f>DO_DB[[#This Row],[DO Number]]</f>
        <v>DOEID240722D2</v>
      </c>
      <c r="R1684" t="str">
        <f>DO_DB[[#This Row],[DN Number]]</f>
        <v>DNWID0342024072315</v>
      </c>
    </row>
    <row r="1685" spans="1:18">
      <c r="A1685" t="s">
        <v>1767</v>
      </c>
      <c r="B1685" t="s">
        <v>1768</v>
      </c>
      <c r="C1685" t="s">
        <v>4482</v>
      </c>
      <c r="D1685" t="s">
        <v>71</v>
      </c>
      <c r="E1685" t="s">
        <v>644</v>
      </c>
      <c r="F1685" t="s">
        <v>4500</v>
      </c>
      <c r="G1685" t="s">
        <v>1771</v>
      </c>
      <c r="H1685" t="s">
        <v>1772</v>
      </c>
      <c r="I1685" s="130">
        <v>45496</v>
      </c>
      <c r="J1685" t="s">
        <v>3069</v>
      </c>
      <c r="K1685">
        <v>32</v>
      </c>
      <c r="M16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85" t="str">
        <f>DO_DB[[#This Row],[Material Pick-update]]&amp;"_"&amp;DO_DB[[#This Row],[Material Name]]</f>
        <v>45496_Pole 7M 4"</v>
      </c>
      <c r="O1685" t="str">
        <f>DO_DB[[#This Row],[SiteID]]</f>
        <v>CLR30-02-021</v>
      </c>
      <c r="P1685" t="str">
        <f>DO_DB[[#This Row],[SiteID]]&amp;"_"&amp;DO_DB[[#This Row],[Material Name]]</f>
        <v>CLR30-02-021_Pole 7M 4"</v>
      </c>
      <c r="Q1685" t="str">
        <f>DO_DB[[#This Row],[DO Number]]</f>
        <v>DOEID240722D3</v>
      </c>
      <c r="R1685" t="str">
        <f>DO_DB[[#This Row],[DN Number]]</f>
        <v>DNWID0362024072302</v>
      </c>
    </row>
    <row r="1686" spans="1:18">
      <c r="A1686" t="s">
        <v>1767</v>
      </c>
      <c r="B1686" t="s">
        <v>1768</v>
      </c>
      <c r="C1686" t="s">
        <v>4482</v>
      </c>
      <c r="D1686" t="s">
        <v>71</v>
      </c>
      <c r="E1686" t="s">
        <v>644</v>
      </c>
      <c r="F1686" t="s">
        <v>4500</v>
      </c>
      <c r="G1686" t="s">
        <v>1771</v>
      </c>
      <c r="H1686" t="s">
        <v>1772</v>
      </c>
      <c r="I1686" s="130">
        <v>45496</v>
      </c>
      <c r="J1686" t="s">
        <v>3070</v>
      </c>
      <c r="K1686">
        <v>1</v>
      </c>
      <c r="M16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86" t="str">
        <f>DO_DB[[#This Row],[Material Pick-update]]&amp;"_"&amp;DO_DB[[#This Row],[Material Name]]</f>
        <v>45496_Pole 7M 3"</v>
      </c>
      <c r="O1686" t="str">
        <f>DO_DB[[#This Row],[SiteID]]</f>
        <v>CLR30-02-021</v>
      </c>
      <c r="P1686" t="str">
        <f>DO_DB[[#This Row],[SiteID]]&amp;"_"&amp;DO_DB[[#This Row],[Material Name]]</f>
        <v>CLR30-02-021_Pole 7M 3"</v>
      </c>
      <c r="Q1686" t="str">
        <f>DO_DB[[#This Row],[DO Number]]</f>
        <v>DOEID240722D3</v>
      </c>
      <c r="R1686" t="str">
        <f>DO_DB[[#This Row],[DN Number]]</f>
        <v>DNWID0362024072302</v>
      </c>
    </row>
    <row r="1687" spans="1:18">
      <c r="A1687" t="s">
        <v>1767</v>
      </c>
      <c r="B1687" t="s">
        <v>1768</v>
      </c>
      <c r="C1687" t="s">
        <v>4482</v>
      </c>
      <c r="D1687" t="s">
        <v>71</v>
      </c>
      <c r="E1687" t="s">
        <v>644</v>
      </c>
      <c r="F1687" t="s">
        <v>4500</v>
      </c>
      <c r="G1687" t="s">
        <v>1771</v>
      </c>
      <c r="H1687" t="s">
        <v>1772</v>
      </c>
      <c r="I1687" s="130">
        <v>45496</v>
      </c>
      <c r="J1687" t="s">
        <v>3071</v>
      </c>
      <c r="K1687">
        <v>1</v>
      </c>
      <c r="M16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87" t="str">
        <f>DO_DB[[#This Row],[Material Pick-update]]&amp;"_"&amp;DO_DB[[#This Row],[Material Name]]</f>
        <v>45496_Pole 9M</v>
      </c>
      <c r="O1687" t="str">
        <f>DO_DB[[#This Row],[SiteID]]</f>
        <v>CLR30-02-021</v>
      </c>
      <c r="P1687" t="str">
        <f>DO_DB[[#This Row],[SiteID]]&amp;"_"&amp;DO_DB[[#This Row],[Material Name]]</f>
        <v>CLR30-02-021_Pole 9M</v>
      </c>
      <c r="Q1687" t="str">
        <f>DO_DB[[#This Row],[DO Number]]</f>
        <v>DOEID240722D3</v>
      </c>
      <c r="R1687" t="str">
        <f>DO_DB[[#This Row],[DN Number]]</f>
        <v>DNWID0362024072302</v>
      </c>
    </row>
    <row r="1688" spans="1:18">
      <c r="A1688" t="s">
        <v>1767</v>
      </c>
      <c r="B1688" t="s">
        <v>1768</v>
      </c>
      <c r="C1688" t="s">
        <v>4482</v>
      </c>
      <c r="D1688" t="s">
        <v>71</v>
      </c>
      <c r="E1688" t="s">
        <v>644</v>
      </c>
      <c r="F1688" t="s">
        <v>4500</v>
      </c>
      <c r="G1688" t="s">
        <v>1771</v>
      </c>
      <c r="H1688" t="s">
        <v>1772</v>
      </c>
      <c r="I1688" s="130">
        <v>45496</v>
      </c>
      <c r="J1688" t="s">
        <v>4856</v>
      </c>
      <c r="K1688">
        <v>1</v>
      </c>
      <c r="M16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88" t="str">
        <f>DO_DB[[#This Row],[Material Pick-update]]&amp;"_"&amp;DO_DB[[#This Row],[Material Name]]</f>
        <v>45496_JC 144Core</v>
      </c>
      <c r="O1688" t="str">
        <f>DO_DB[[#This Row],[SiteID]]</f>
        <v>CLR30-02-021</v>
      </c>
      <c r="P1688" t="str">
        <f>DO_DB[[#This Row],[SiteID]]&amp;"_"&amp;DO_DB[[#This Row],[Material Name]]</f>
        <v>CLR30-02-021_JC 144Core</v>
      </c>
      <c r="Q1688" t="str">
        <f>DO_DB[[#This Row],[DO Number]]</f>
        <v>DOEID240722D3</v>
      </c>
      <c r="R1688" t="str">
        <f>DO_DB[[#This Row],[DN Number]]</f>
        <v>DNWID0362024072302</v>
      </c>
    </row>
    <row r="1689" spans="1:18">
      <c r="A1689" t="s">
        <v>1767</v>
      </c>
      <c r="B1689" t="s">
        <v>1768</v>
      </c>
      <c r="C1689" t="s">
        <v>4482</v>
      </c>
      <c r="D1689" t="s">
        <v>71</v>
      </c>
      <c r="E1689" t="s">
        <v>644</v>
      </c>
      <c r="F1689" t="s">
        <v>4500</v>
      </c>
      <c r="G1689" t="s">
        <v>1769</v>
      </c>
      <c r="H1689" t="s">
        <v>1770</v>
      </c>
      <c r="I1689" s="130">
        <v>45496</v>
      </c>
      <c r="J1689" t="s">
        <v>14</v>
      </c>
      <c r="K1689">
        <v>1</v>
      </c>
      <c r="M16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89" t="str">
        <f>DO_DB[[#This Row],[Material Pick-update]]&amp;"_"&amp;DO_DB[[#This Row],[Material Name]]</f>
        <v>45496_FDT-48</v>
      </c>
      <c r="O1689" t="str">
        <f>DO_DB[[#This Row],[SiteID]]</f>
        <v>CLR30-02-021</v>
      </c>
      <c r="P1689" t="str">
        <f>DO_DB[[#This Row],[SiteID]]&amp;"_"&amp;DO_DB[[#This Row],[Material Name]]</f>
        <v>CLR30-02-021_FDT-48</v>
      </c>
      <c r="Q1689" t="str">
        <f>DO_DB[[#This Row],[DO Number]]</f>
        <v>DOEID240722D4</v>
      </c>
      <c r="R1689" t="str">
        <f>DO_DB[[#This Row],[DN Number]]</f>
        <v>DNWID0342024072303</v>
      </c>
    </row>
    <row r="1690" spans="1:18">
      <c r="A1690" t="s">
        <v>1767</v>
      </c>
      <c r="B1690" t="s">
        <v>1768</v>
      </c>
      <c r="C1690" t="s">
        <v>4482</v>
      </c>
      <c r="D1690" t="s">
        <v>71</v>
      </c>
      <c r="E1690" t="s">
        <v>644</v>
      </c>
      <c r="F1690" t="s">
        <v>4500</v>
      </c>
      <c r="G1690" t="s">
        <v>1769</v>
      </c>
      <c r="H1690" t="s">
        <v>1770</v>
      </c>
      <c r="I1690" s="130">
        <v>45496</v>
      </c>
      <c r="J1690" t="s">
        <v>13</v>
      </c>
      <c r="K1690">
        <v>11</v>
      </c>
      <c r="M16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90" t="str">
        <f>DO_DB[[#This Row],[Material Pick-update]]&amp;"_"&amp;DO_DB[[#This Row],[Material Name]]</f>
        <v>45496_FAT-16</v>
      </c>
      <c r="O1690" t="str">
        <f>DO_DB[[#This Row],[SiteID]]</f>
        <v>CLR30-02-021</v>
      </c>
      <c r="P1690" t="str">
        <f>DO_DB[[#This Row],[SiteID]]&amp;"_"&amp;DO_DB[[#This Row],[Material Name]]</f>
        <v>CLR30-02-021_FAT-16</v>
      </c>
      <c r="Q1690" t="str">
        <f>DO_DB[[#This Row],[DO Number]]</f>
        <v>DOEID240722D4</v>
      </c>
      <c r="R1690" t="str">
        <f>DO_DB[[#This Row],[DN Number]]</f>
        <v>DNWID0342024072303</v>
      </c>
    </row>
    <row r="1691" spans="1:18">
      <c r="A1691" t="s">
        <v>1755</v>
      </c>
      <c r="B1691" t="s">
        <v>1756</v>
      </c>
      <c r="C1691" t="s">
        <v>4482</v>
      </c>
      <c r="D1691" t="s">
        <v>71</v>
      </c>
      <c r="E1691" t="s">
        <v>644</v>
      </c>
      <c r="F1691" t="s">
        <v>4500</v>
      </c>
      <c r="G1691" t="s">
        <v>1757</v>
      </c>
      <c r="H1691" t="s">
        <v>1758</v>
      </c>
      <c r="I1691" s="130">
        <v>45496</v>
      </c>
      <c r="J1691" t="s">
        <v>3069</v>
      </c>
      <c r="K1691">
        <v>27</v>
      </c>
      <c r="M16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91" t="str">
        <f>DO_DB[[#This Row],[Material Pick-update]]&amp;"_"&amp;DO_DB[[#This Row],[Material Name]]</f>
        <v>45496_Pole 7M 4"</v>
      </c>
      <c r="O1691" t="str">
        <f>DO_DB[[#This Row],[SiteID]]</f>
        <v>CLR30-02-023</v>
      </c>
      <c r="P1691" t="str">
        <f>DO_DB[[#This Row],[SiteID]]&amp;"_"&amp;DO_DB[[#This Row],[Material Name]]</f>
        <v>CLR30-02-023_Pole 7M 4"</v>
      </c>
      <c r="Q1691" t="str">
        <f>DO_DB[[#This Row],[DO Number]]</f>
        <v>DOEID240722D5</v>
      </c>
      <c r="R1691" t="str">
        <f>DO_DB[[#This Row],[DN Number]]</f>
        <v>DNWID0362024072303</v>
      </c>
    </row>
    <row r="1692" spans="1:18">
      <c r="A1692" t="s">
        <v>1755</v>
      </c>
      <c r="B1692" t="s">
        <v>1756</v>
      </c>
      <c r="C1692" t="s">
        <v>4482</v>
      </c>
      <c r="D1692" t="s">
        <v>71</v>
      </c>
      <c r="E1692" t="s">
        <v>644</v>
      </c>
      <c r="F1692" t="s">
        <v>4500</v>
      </c>
      <c r="G1692" t="s">
        <v>1757</v>
      </c>
      <c r="H1692" t="s">
        <v>1758</v>
      </c>
      <c r="I1692" s="130">
        <v>45496</v>
      </c>
      <c r="J1692" t="s">
        <v>3070</v>
      </c>
      <c r="K1692">
        <v>2</v>
      </c>
      <c r="M16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92" t="str">
        <f>DO_DB[[#This Row],[Material Pick-update]]&amp;"_"&amp;DO_DB[[#This Row],[Material Name]]</f>
        <v>45496_Pole 7M 3"</v>
      </c>
      <c r="O1692" t="str">
        <f>DO_DB[[#This Row],[SiteID]]</f>
        <v>CLR30-02-023</v>
      </c>
      <c r="P1692" t="str">
        <f>DO_DB[[#This Row],[SiteID]]&amp;"_"&amp;DO_DB[[#This Row],[Material Name]]</f>
        <v>CLR30-02-023_Pole 7M 3"</v>
      </c>
      <c r="Q1692" t="str">
        <f>DO_DB[[#This Row],[DO Number]]</f>
        <v>DOEID240722D5</v>
      </c>
      <c r="R1692" t="str">
        <f>DO_DB[[#This Row],[DN Number]]</f>
        <v>DNWID0362024072303</v>
      </c>
    </row>
    <row r="1693" spans="1:18">
      <c r="A1693" t="s">
        <v>1755</v>
      </c>
      <c r="B1693" t="s">
        <v>1756</v>
      </c>
      <c r="C1693" t="s">
        <v>4482</v>
      </c>
      <c r="D1693" t="s">
        <v>71</v>
      </c>
      <c r="E1693" t="s">
        <v>644</v>
      </c>
      <c r="F1693" t="s">
        <v>4500</v>
      </c>
      <c r="G1693" t="s">
        <v>1763</v>
      </c>
      <c r="H1693" t="s">
        <v>1764</v>
      </c>
      <c r="I1693" s="130">
        <v>45496</v>
      </c>
      <c r="J1693" t="s">
        <v>13</v>
      </c>
      <c r="K1693">
        <v>10</v>
      </c>
      <c r="M16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93" t="str">
        <f>DO_DB[[#This Row],[Material Pick-update]]&amp;"_"&amp;DO_DB[[#This Row],[Material Name]]</f>
        <v>45496_FAT-16</v>
      </c>
      <c r="O1693" t="str">
        <f>DO_DB[[#This Row],[SiteID]]</f>
        <v>CLR30-02-023</v>
      </c>
      <c r="P1693" t="str">
        <f>DO_DB[[#This Row],[SiteID]]&amp;"_"&amp;DO_DB[[#This Row],[Material Name]]</f>
        <v>CLR30-02-023_FAT-16</v>
      </c>
      <c r="Q1693" t="str">
        <f>DO_DB[[#This Row],[DO Number]]</f>
        <v>DOEID240722D6</v>
      </c>
      <c r="R1693" t="str">
        <f>DO_DB[[#This Row],[DN Number]]</f>
        <v>DNWID0342024072302</v>
      </c>
    </row>
    <row r="1694" spans="1:18">
      <c r="A1694" t="s">
        <v>1751</v>
      </c>
      <c r="B1694" t="s">
        <v>1752</v>
      </c>
      <c r="C1694" t="s">
        <v>4482</v>
      </c>
      <c r="D1694" t="s">
        <v>71</v>
      </c>
      <c r="E1694" t="s">
        <v>644</v>
      </c>
      <c r="F1694" t="s">
        <v>4500</v>
      </c>
      <c r="G1694" t="s">
        <v>1753</v>
      </c>
      <c r="H1694" t="s">
        <v>1754</v>
      </c>
      <c r="I1694" s="130">
        <v>45496</v>
      </c>
      <c r="J1694" t="s">
        <v>3069</v>
      </c>
      <c r="K1694">
        <v>8</v>
      </c>
      <c r="M16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94" t="str">
        <f>DO_DB[[#This Row],[Material Pick-update]]&amp;"_"&amp;DO_DB[[#This Row],[Material Name]]</f>
        <v>45496_Pole 7M 4"</v>
      </c>
      <c r="O1694" t="str">
        <f>DO_DB[[#This Row],[SiteID]]</f>
        <v>CLR30-02-024</v>
      </c>
      <c r="P1694" t="str">
        <f>DO_DB[[#This Row],[SiteID]]&amp;"_"&amp;DO_DB[[#This Row],[Material Name]]</f>
        <v>CLR30-02-024_Pole 7M 4"</v>
      </c>
      <c r="Q1694" t="str">
        <f>DO_DB[[#This Row],[DO Number]]</f>
        <v>DOEID240722D7</v>
      </c>
      <c r="R1694" t="str">
        <f>DO_DB[[#This Row],[DN Number]]</f>
        <v>DNWID0362024072304</v>
      </c>
    </row>
    <row r="1695" spans="1:18">
      <c r="A1695" t="s">
        <v>1751</v>
      </c>
      <c r="B1695" t="s">
        <v>1752</v>
      </c>
      <c r="C1695" t="s">
        <v>4482</v>
      </c>
      <c r="D1695" t="s">
        <v>71</v>
      </c>
      <c r="E1695" t="s">
        <v>644</v>
      </c>
      <c r="F1695" t="s">
        <v>4500</v>
      </c>
      <c r="G1695" t="s">
        <v>1753</v>
      </c>
      <c r="H1695" t="s">
        <v>1754</v>
      </c>
      <c r="I1695" s="130">
        <v>45496</v>
      </c>
      <c r="J1695" t="s">
        <v>3071</v>
      </c>
      <c r="K1695">
        <v>1</v>
      </c>
      <c r="M16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95" t="str">
        <f>DO_DB[[#This Row],[Material Pick-update]]&amp;"_"&amp;DO_DB[[#This Row],[Material Name]]</f>
        <v>45496_Pole 9M</v>
      </c>
      <c r="O1695" t="str">
        <f>DO_DB[[#This Row],[SiteID]]</f>
        <v>CLR30-02-024</v>
      </c>
      <c r="P1695" t="str">
        <f>DO_DB[[#This Row],[SiteID]]&amp;"_"&amp;DO_DB[[#This Row],[Material Name]]</f>
        <v>CLR30-02-024_Pole 9M</v>
      </c>
      <c r="Q1695" t="str">
        <f>DO_DB[[#This Row],[DO Number]]</f>
        <v>DOEID240722D7</v>
      </c>
      <c r="R1695" t="str">
        <f>DO_DB[[#This Row],[DN Number]]</f>
        <v>DNWID0362024072304</v>
      </c>
    </row>
    <row r="1696" spans="1:18">
      <c r="A1696" t="s">
        <v>1751</v>
      </c>
      <c r="B1696" t="s">
        <v>1752</v>
      </c>
      <c r="C1696" t="s">
        <v>4482</v>
      </c>
      <c r="D1696" t="s">
        <v>71</v>
      </c>
      <c r="E1696" t="s">
        <v>644</v>
      </c>
      <c r="F1696" t="s">
        <v>4500</v>
      </c>
      <c r="G1696" t="s">
        <v>1773</v>
      </c>
      <c r="H1696" t="s">
        <v>1774</v>
      </c>
      <c r="I1696" s="130">
        <v>45496</v>
      </c>
      <c r="J1696" t="s">
        <v>14</v>
      </c>
      <c r="K1696">
        <v>1</v>
      </c>
      <c r="M16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96" t="str">
        <f>DO_DB[[#This Row],[Material Pick-update]]&amp;"_"&amp;DO_DB[[#This Row],[Material Name]]</f>
        <v>45496_FDT-48</v>
      </c>
      <c r="O1696" t="str">
        <f>DO_DB[[#This Row],[SiteID]]</f>
        <v>CLR30-02-024</v>
      </c>
      <c r="P1696" t="str">
        <f>DO_DB[[#This Row],[SiteID]]&amp;"_"&amp;DO_DB[[#This Row],[Material Name]]</f>
        <v>CLR30-02-024_FDT-48</v>
      </c>
      <c r="Q1696" t="str">
        <f>DO_DB[[#This Row],[DO Number]]</f>
        <v>DOEID240722D8</v>
      </c>
      <c r="R1696" t="str">
        <f>DO_DB[[#This Row],[DN Number]]</f>
        <v>DNWID0342024072301</v>
      </c>
    </row>
    <row r="1697" spans="1:18">
      <c r="A1697" t="s">
        <v>1751</v>
      </c>
      <c r="B1697" t="s">
        <v>1752</v>
      </c>
      <c r="C1697" t="s">
        <v>4482</v>
      </c>
      <c r="D1697" t="s">
        <v>71</v>
      </c>
      <c r="E1697" t="s">
        <v>644</v>
      </c>
      <c r="F1697" t="s">
        <v>4500</v>
      </c>
      <c r="G1697" t="s">
        <v>1773</v>
      </c>
      <c r="H1697" t="s">
        <v>1774</v>
      </c>
      <c r="I1697" s="130">
        <v>45496</v>
      </c>
      <c r="J1697" t="s">
        <v>13</v>
      </c>
      <c r="K1697">
        <v>6</v>
      </c>
      <c r="M16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697" t="str">
        <f>DO_DB[[#This Row],[Material Pick-update]]&amp;"_"&amp;DO_DB[[#This Row],[Material Name]]</f>
        <v>45496_FAT-16</v>
      </c>
      <c r="O1697" t="str">
        <f>DO_DB[[#This Row],[SiteID]]</f>
        <v>CLR30-02-024</v>
      </c>
      <c r="P1697" t="str">
        <f>DO_DB[[#This Row],[SiteID]]&amp;"_"&amp;DO_DB[[#This Row],[Material Name]]</f>
        <v>CLR30-02-024_FAT-16</v>
      </c>
      <c r="Q1697" t="str">
        <f>DO_DB[[#This Row],[DO Number]]</f>
        <v>DOEID240722D8</v>
      </c>
      <c r="R1697" t="str">
        <f>DO_DB[[#This Row],[DN Number]]</f>
        <v>DNWID0342024072301</v>
      </c>
    </row>
    <row r="1698" spans="1:18">
      <c r="A1698" t="s">
        <v>1767</v>
      </c>
      <c r="B1698" t="s">
        <v>1768</v>
      </c>
      <c r="C1698" t="s">
        <v>4482</v>
      </c>
      <c r="D1698" t="s">
        <v>71</v>
      </c>
      <c r="E1698" t="s">
        <v>644</v>
      </c>
      <c r="F1698" t="s">
        <v>4500</v>
      </c>
      <c r="G1698" t="s">
        <v>1769</v>
      </c>
      <c r="H1698" t="s">
        <v>1770</v>
      </c>
      <c r="I1698" s="130">
        <v>45496</v>
      </c>
      <c r="J1698" t="s">
        <v>3073</v>
      </c>
      <c r="K1698">
        <v>3000</v>
      </c>
      <c r="M16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24C-2024723-01</v>
      </c>
      <c r="N1698" t="str">
        <f>DO_DB[[#This Row],[Material Pick-update]]&amp;"_"&amp;DO_DB[[#This Row],[Material Name]]</f>
        <v>45496_ADSS 24C</v>
      </c>
      <c r="O1698" t="str">
        <f>DO_DB[[#This Row],[SiteID]]</f>
        <v>CLR30-02-021</v>
      </c>
      <c r="P1698" t="str">
        <f>DO_DB[[#This Row],[SiteID]]&amp;"_"&amp;DO_DB[[#This Row],[Material Name]]</f>
        <v>CLR30-02-021_ADSS 24C</v>
      </c>
      <c r="Q1698" t="str">
        <f>DO_DB[[#This Row],[DO Number]]</f>
        <v>DOEID240722D4</v>
      </c>
      <c r="R1698" t="str">
        <f>DO_DB[[#This Row],[DN Number]]</f>
        <v>DNWID0342024072303</v>
      </c>
    </row>
    <row r="1699" spans="1:18">
      <c r="A1699" t="s">
        <v>1767</v>
      </c>
      <c r="B1699" t="s">
        <v>1768</v>
      </c>
      <c r="C1699" t="s">
        <v>4482</v>
      </c>
      <c r="D1699" t="s">
        <v>71</v>
      </c>
      <c r="E1699" t="s">
        <v>644</v>
      </c>
      <c r="F1699" t="s">
        <v>4500</v>
      </c>
      <c r="G1699" t="s">
        <v>1769</v>
      </c>
      <c r="H1699" t="s">
        <v>1770</v>
      </c>
      <c r="I1699" s="130">
        <v>45496</v>
      </c>
      <c r="J1699" t="s">
        <v>3075</v>
      </c>
      <c r="K1699">
        <v>3000</v>
      </c>
      <c r="M16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48C-2024723-01</v>
      </c>
      <c r="N1699" t="str">
        <f>DO_DB[[#This Row],[Material Pick-update]]&amp;"_"&amp;DO_DB[[#This Row],[Material Name]]</f>
        <v>45496_ADSS 48C</v>
      </c>
      <c r="O1699" t="str">
        <f>DO_DB[[#This Row],[SiteID]]</f>
        <v>CLR30-02-021</v>
      </c>
      <c r="P1699" t="str">
        <f>DO_DB[[#This Row],[SiteID]]&amp;"_"&amp;DO_DB[[#This Row],[Material Name]]</f>
        <v>CLR30-02-021_ADSS 48C</v>
      </c>
      <c r="Q1699" t="str">
        <f>DO_DB[[#This Row],[DO Number]]</f>
        <v>DOEID240722D4</v>
      </c>
      <c r="R1699" t="str">
        <f>DO_DB[[#This Row],[DN Number]]</f>
        <v>DNWID0342024072303</v>
      </c>
    </row>
    <row r="1700" spans="1:18">
      <c r="A1700" t="s">
        <v>1755</v>
      </c>
      <c r="B1700" t="s">
        <v>1756</v>
      </c>
      <c r="C1700" t="s">
        <v>4482</v>
      </c>
      <c r="D1700" t="s">
        <v>71</v>
      </c>
      <c r="E1700" t="s">
        <v>644</v>
      </c>
      <c r="F1700" t="s">
        <v>4500</v>
      </c>
      <c r="G1700" t="s">
        <v>1763</v>
      </c>
      <c r="H1700" t="s">
        <v>1764</v>
      </c>
      <c r="I1700" s="130">
        <v>45496</v>
      </c>
      <c r="J1700" t="s">
        <v>3073</v>
      </c>
      <c r="K1700">
        <v>3000</v>
      </c>
      <c r="M17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24C-2024723-01</v>
      </c>
      <c r="N1700" t="str">
        <f>DO_DB[[#This Row],[Material Pick-update]]&amp;"_"&amp;DO_DB[[#This Row],[Material Name]]</f>
        <v>45496_ADSS 24C</v>
      </c>
      <c r="O1700" t="str">
        <f>DO_DB[[#This Row],[SiteID]]</f>
        <v>CLR30-02-023</v>
      </c>
      <c r="P1700" t="str">
        <f>DO_DB[[#This Row],[SiteID]]&amp;"_"&amp;DO_DB[[#This Row],[Material Name]]</f>
        <v>CLR30-02-023_ADSS 24C</v>
      </c>
      <c r="Q1700" t="str">
        <f>DO_DB[[#This Row],[DO Number]]</f>
        <v>DOEID240722D6</v>
      </c>
      <c r="R1700" t="str">
        <f>DO_DB[[#This Row],[DN Number]]</f>
        <v>DNWID0342024072302</v>
      </c>
    </row>
    <row r="1701" spans="1:18">
      <c r="A1701" t="s">
        <v>1875</v>
      </c>
      <c r="B1701" t="s">
        <v>1876</v>
      </c>
      <c r="C1701" t="s">
        <v>4482</v>
      </c>
      <c r="D1701" t="s">
        <v>71</v>
      </c>
      <c r="E1701" t="s">
        <v>644</v>
      </c>
      <c r="F1701" t="s">
        <v>4500</v>
      </c>
      <c r="G1701" t="s">
        <v>1877</v>
      </c>
      <c r="H1701" t="s">
        <v>1878</v>
      </c>
      <c r="I1701" s="130">
        <v>45519</v>
      </c>
      <c r="J1701" t="s">
        <v>3069</v>
      </c>
      <c r="K1701">
        <v>32</v>
      </c>
      <c r="M17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01" t="str">
        <f>DO_DB[[#This Row],[Material Pick-update]]&amp;"_"&amp;DO_DB[[#This Row],[Material Name]]</f>
        <v>45519_Pole 7M 4"</v>
      </c>
      <c r="O1701" t="str">
        <f>DO_DB[[#This Row],[SiteID]]</f>
        <v>CLR30-99-047</v>
      </c>
      <c r="P1701" t="str">
        <f>DO_DB[[#This Row],[SiteID]]&amp;"_"&amp;DO_DB[[#This Row],[Material Name]]</f>
        <v>CLR30-99-047_Pole 7M 4"</v>
      </c>
      <c r="Q1701" t="str">
        <f>DO_DB[[#This Row],[DO Number]]</f>
        <v>DOEID24081411</v>
      </c>
      <c r="R1701" t="str">
        <f>DO_DB[[#This Row],[DN Number]]</f>
        <v>DNWID0362024081413</v>
      </c>
    </row>
    <row r="1702" spans="1:18">
      <c r="A1702" t="s">
        <v>1875</v>
      </c>
      <c r="B1702" t="s">
        <v>1876</v>
      </c>
      <c r="C1702" t="s">
        <v>4482</v>
      </c>
      <c r="D1702" t="s">
        <v>71</v>
      </c>
      <c r="E1702" t="s">
        <v>644</v>
      </c>
      <c r="F1702" t="s">
        <v>4500</v>
      </c>
      <c r="G1702" t="s">
        <v>1877</v>
      </c>
      <c r="H1702" t="s">
        <v>1878</v>
      </c>
      <c r="I1702" s="130">
        <v>45519</v>
      </c>
      <c r="J1702" t="s">
        <v>3070</v>
      </c>
      <c r="K1702">
        <v>6</v>
      </c>
      <c r="M17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02" t="str">
        <f>DO_DB[[#This Row],[Material Pick-update]]&amp;"_"&amp;DO_DB[[#This Row],[Material Name]]</f>
        <v>45519_Pole 7M 3"</v>
      </c>
      <c r="O1702" t="str">
        <f>DO_DB[[#This Row],[SiteID]]</f>
        <v>CLR30-99-047</v>
      </c>
      <c r="P1702" t="str">
        <f>DO_DB[[#This Row],[SiteID]]&amp;"_"&amp;DO_DB[[#This Row],[Material Name]]</f>
        <v>CLR30-99-047_Pole 7M 3"</v>
      </c>
      <c r="Q1702" t="str">
        <f>DO_DB[[#This Row],[DO Number]]</f>
        <v>DOEID24081411</v>
      </c>
      <c r="R1702" t="str">
        <f>DO_DB[[#This Row],[DN Number]]</f>
        <v>DNWID0362024081413</v>
      </c>
    </row>
    <row r="1703" spans="1:18">
      <c r="A1703" t="s">
        <v>1875</v>
      </c>
      <c r="B1703" t="s">
        <v>1876</v>
      </c>
      <c r="C1703" t="s">
        <v>4482</v>
      </c>
      <c r="D1703" t="s">
        <v>71</v>
      </c>
      <c r="E1703" t="s">
        <v>644</v>
      </c>
      <c r="F1703" t="s">
        <v>4500</v>
      </c>
      <c r="G1703" t="s">
        <v>1877</v>
      </c>
      <c r="H1703" t="s">
        <v>1878</v>
      </c>
      <c r="I1703" s="130">
        <v>45519</v>
      </c>
      <c r="J1703" t="s">
        <v>4856</v>
      </c>
      <c r="K1703">
        <v>1</v>
      </c>
      <c r="M17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03" t="str">
        <f>DO_DB[[#This Row],[Material Pick-update]]&amp;"_"&amp;DO_DB[[#This Row],[Material Name]]</f>
        <v>45519_JC 144Core</v>
      </c>
      <c r="O1703" t="str">
        <f>DO_DB[[#This Row],[SiteID]]</f>
        <v>CLR30-99-047</v>
      </c>
      <c r="P1703" t="str">
        <f>DO_DB[[#This Row],[SiteID]]&amp;"_"&amp;DO_DB[[#This Row],[Material Name]]</f>
        <v>CLR30-99-047_JC 144Core</v>
      </c>
      <c r="Q1703" t="str">
        <f>DO_DB[[#This Row],[DO Number]]</f>
        <v>DOEID24081411</v>
      </c>
      <c r="R1703" t="str">
        <f>DO_DB[[#This Row],[DN Number]]</f>
        <v>DNWID0362024081413</v>
      </c>
    </row>
    <row r="1704" spans="1:18">
      <c r="A1704" t="s">
        <v>1875</v>
      </c>
      <c r="B1704" t="s">
        <v>1876</v>
      </c>
      <c r="C1704" t="s">
        <v>4482</v>
      </c>
      <c r="D1704" t="s">
        <v>71</v>
      </c>
      <c r="E1704" t="s">
        <v>644</v>
      </c>
      <c r="F1704" t="s">
        <v>4500</v>
      </c>
      <c r="G1704" t="s">
        <v>1879</v>
      </c>
      <c r="H1704" t="s">
        <v>1880</v>
      </c>
      <c r="I1704" s="130">
        <v>45519</v>
      </c>
      <c r="J1704" t="s">
        <v>14</v>
      </c>
      <c r="K1704">
        <v>1</v>
      </c>
      <c r="M17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04" t="str">
        <f>DO_DB[[#This Row],[Material Pick-update]]&amp;"_"&amp;DO_DB[[#This Row],[Material Name]]</f>
        <v>45519_FDT-48</v>
      </c>
      <c r="O1704" t="str">
        <f>DO_DB[[#This Row],[SiteID]]</f>
        <v>CLR30-99-047</v>
      </c>
      <c r="P1704" t="str">
        <f>DO_DB[[#This Row],[SiteID]]&amp;"_"&amp;DO_DB[[#This Row],[Material Name]]</f>
        <v>CLR30-99-047_FDT-48</v>
      </c>
      <c r="Q1704" t="str">
        <f>DO_DB[[#This Row],[DO Number]]</f>
        <v>DOEID24081412</v>
      </c>
      <c r="R1704" t="str">
        <f>DO_DB[[#This Row],[DN Number]]</f>
        <v>DNWID0342024081410</v>
      </c>
    </row>
    <row r="1705" spans="1:18">
      <c r="A1705" t="s">
        <v>1875</v>
      </c>
      <c r="B1705" t="s">
        <v>1876</v>
      </c>
      <c r="C1705" t="s">
        <v>4482</v>
      </c>
      <c r="D1705" t="s">
        <v>71</v>
      </c>
      <c r="E1705" t="s">
        <v>644</v>
      </c>
      <c r="F1705" t="s">
        <v>4500</v>
      </c>
      <c r="G1705" t="s">
        <v>1879</v>
      </c>
      <c r="H1705" t="s">
        <v>1880</v>
      </c>
      <c r="I1705" s="130">
        <v>45519</v>
      </c>
      <c r="J1705" t="s">
        <v>13</v>
      </c>
      <c r="K1705">
        <v>12</v>
      </c>
      <c r="M17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05" t="str">
        <f>DO_DB[[#This Row],[Material Pick-update]]&amp;"_"&amp;DO_DB[[#This Row],[Material Name]]</f>
        <v>45519_FAT-16</v>
      </c>
      <c r="O1705" t="str">
        <f>DO_DB[[#This Row],[SiteID]]</f>
        <v>CLR30-99-047</v>
      </c>
      <c r="P1705" t="str">
        <f>DO_DB[[#This Row],[SiteID]]&amp;"_"&amp;DO_DB[[#This Row],[Material Name]]</f>
        <v>CLR30-99-047_FAT-16</v>
      </c>
      <c r="Q1705" t="str">
        <f>DO_DB[[#This Row],[DO Number]]</f>
        <v>DOEID24081412</v>
      </c>
      <c r="R1705" t="str">
        <f>DO_DB[[#This Row],[DN Number]]</f>
        <v>DNWID0342024081410</v>
      </c>
    </row>
    <row r="1706" spans="1:18">
      <c r="A1706" t="s">
        <v>1881</v>
      </c>
      <c r="B1706" t="s">
        <v>1882</v>
      </c>
      <c r="C1706" t="s">
        <v>4482</v>
      </c>
      <c r="D1706" t="s">
        <v>71</v>
      </c>
      <c r="E1706" t="s">
        <v>644</v>
      </c>
      <c r="F1706" t="s">
        <v>4500</v>
      </c>
      <c r="G1706" t="s">
        <v>1883</v>
      </c>
      <c r="H1706" t="s">
        <v>1884</v>
      </c>
      <c r="I1706" s="130">
        <v>45519</v>
      </c>
      <c r="J1706" t="s">
        <v>3069</v>
      </c>
      <c r="K1706">
        <v>44</v>
      </c>
      <c r="M17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06" t="str">
        <f>DO_DB[[#This Row],[Material Pick-update]]&amp;"_"&amp;DO_DB[[#This Row],[Material Name]]</f>
        <v>45519_Pole 7M 4"</v>
      </c>
      <c r="O1706" t="str">
        <f>DO_DB[[#This Row],[SiteID]]</f>
        <v>CLR30-99-048</v>
      </c>
      <c r="P1706" t="str">
        <f>DO_DB[[#This Row],[SiteID]]&amp;"_"&amp;DO_DB[[#This Row],[Material Name]]</f>
        <v>CLR30-99-048_Pole 7M 4"</v>
      </c>
      <c r="Q1706" t="str">
        <f>DO_DB[[#This Row],[DO Number]]</f>
        <v>DOEID24081413</v>
      </c>
      <c r="R1706" t="str">
        <f>DO_DB[[#This Row],[DN Number]]</f>
        <v>DNWID0362024081411</v>
      </c>
    </row>
    <row r="1707" spans="1:18">
      <c r="A1707" t="s">
        <v>1881</v>
      </c>
      <c r="B1707" t="s">
        <v>1882</v>
      </c>
      <c r="C1707" t="s">
        <v>4482</v>
      </c>
      <c r="D1707" t="s">
        <v>71</v>
      </c>
      <c r="E1707" t="s">
        <v>644</v>
      </c>
      <c r="F1707" t="s">
        <v>4500</v>
      </c>
      <c r="G1707" t="s">
        <v>1883</v>
      </c>
      <c r="H1707" t="s">
        <v>1884</v>
      </c>
      <c r="I1707" s="130">
        <v>45519</v>
      </c>
      <c r="J1707" t="s">
        <v>3070</v>
      </c>
      <c r="K1707">
        <v>12</v>
      </c>
      <c r="M17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07" t="str">
        <f>DO_DB[[#This Row],[Material Pick-update]]&amp;"_"&amp;DO_DB[[#This Row],[Material Name]]</f>
        <v>45519_Pole 7M 3"</v>
      </c>
      <c r="O1707" t="str">
        <f>DO_DB[[#This Row],[SiteID]]</f>
        <v>CLR30-99-048</v>
      </c>
      <c r="P1707" t="str">
        <f>DO_DB[[#This Row],[SiteID]]&amp;"_"&amp;DO_DB[[#This Row],[Material Name]]</f>
        <v>CLR30-99-048_Pole 7M 3"</v>
      </c>
      <c r="Q1707" t="str">
        <f>DO_DB[[#This Row],[DO Number]]</f>
        <v>DOEID24081413</v>
      </c>
      <c r="R1707" t="str">
        <f>DO_DB[[#This Row],[DN Number]]</f>
        <v>DNWID0362024081411</v>
      </c>
    </row>
    <row r="1708" spans="1:18">
      <c r="A1708" t="s">
        <v>1881</v>
      </c>
      <c r="B1708" t="s">
        <v>1882</v>
      </c>
      <c r="C1708" t="s">
        <v>4482</v>
      </c>
      <c r="D1708" t="s">
        <v>71</v>
      </c>
      <c r="E1708" t="s">
        <v>644</v>
      </c>
      <c r="F1708" t="s">
        <v>4500</v>
      </c>
      <c r="G1708" t="s">
        <v>1883</v>
      </c>
      <c r="H1708" t="s">
        <v>1884</v>
      </c>
      <c r="I1708" s="130">
        <v>45519</v>
      </c>
      <c r="J1708" t="s">
        <v>4856</v>
      </c>
      <c r="K1708">
        <v>1</v>
      </c>
      <c r="M17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08" t="str">
        <f>DO_DB[[#This Row],[Material Pick-update]]&amp;"_"&amp;DO_DB[[#This Row],[Material Name]]</f>
        <v>45519_JC 144Core</v>
      </c>
      <c r="O1708" t="str">
        <f>DO_DB[[#This Row],[SiteID]]</f>
        <v>CLR30-99-048</v>
      </c>
      <c r="P1708" t="str">
        <f>DO_DB[[#This Row],[SiteID]]&amp;"_"&amp;DO_DB[[#This Row],[Material Name]]</f>
        <v>CLR30-99-048_JC 144Core</v>
      </c>
      <c r="Q1708" t="str">
        <f>DO_DB[[#This Row],[DO Number]]</f>
        <v>DOEID24081413</v>
      </c>
      <c r="R1708" t="str">
        <f>DO_DB[[#This Row],[DN Number]]</f>
        <v>DNWID0362024081411</v>
      </c>
    </row>
    <row r="1709" spans="1:18">
      <c r="A1709" t="s">
        <v>1881</v>
      </c>
      <c r="B1709" t="s">
        <v>1882</v>
      </c>
      <c r="C1709" t="s">
        <v>4482</v>
      </c>
      <c r="D1709" t="s">
        <v>71</v>
      </c>
      <c r="E1709" t="s">
        <v>644</v>
      </c>
      <c r="F1709" t="s">
        <v>4500</v>
      </c>
      <c r="G1709" t="s">
        <v>1885</v>
      </c>
      <c r="H1709" t="s">
        <v>1886</v>
      </c>
      <c r="I1709" s="130">
        <v>45519</v>
      </c>
      <c r="J1709" t="s">
        <v>14</v>
      </c>
      <c r="K1709">
        <v>1</v>
      </c>
      <c r="M17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09" t="str">
        <f>DO_DB[[#This Row],[Material Pick-update]]&amp;"_"&amp;DO_DB[[#This Row],[Material Name]]</f>
        <v>45519_FDT-48</v>
      </c>
      <c r="O1709" t="str">
        <f>DO_DB[[#This Row],[SiteID]]</f>
        <v>CLR30-99-048</v>
      </c>
      <c r="P1709" t="str">
        <f>DO_DB[[#This Row],[SiteID]]&amp;"_"&amp;DO_DB[[#This Row],[Material Name]]</f>
        <v>CLR30-99-048_FDT-48</v>
      </c>
      <c r="Q1709" t="str">
        <f>DO_DB[[#This Row],[DO Number]]</f>
        <v>DOEID24081414</v>
      </c>
      <c r="R1709" t="str">
        <f>DO_DB[[#This Row],[DN Number]]</f>
        <v>DNWID0342024081406</v>
      </c>
    </row>
    <row r="1710" spans="1:18">
      <c r="A1710" t="s">
        <v>1881</v>
      </c>
      <c r="B1710" t="s">
        <v>1882</v>
      </c>
      <c r="C1710" t="s">
        <v>4482</v>
      </c>
      <c r="D1710" t="s">
        <v>71</v>
      </c>
      <c r="E1710" t="s">
        <v>644</v>
      </c>
      <c r="F1710" t="s">
        <v>4500</v>
      </c>
      <c r="G1710" t="s">
        <v>1885</v>
      </c>
      <c r="H1710" t="s">
        <v>1886</v>
      </c>
      <c r="I1710" s="130">
        <v>45519</v>
      </c>
      <c r="J1710" t="s">
        <v>13</v>
      </c>
      <c r="K1710">
        <v>20</v>
      </c>
      <c r="M17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10" t="str">
        <f>DO_DB[[#This Row],[Material Pick-update]]&amp;"_"&amp;DO_DB[[#This Row],[Material Name]]</f>
        <v>45519_FAT-16</v>
      </c>
      <c r="O1710" t="str">
        <f>DO_DB[[#This Row],[SiteID]]</f>
        <v>CLR30-99-048</v>
      </c>
      <c r="P1710" t="str">
        <f>DO_DB[[#This Row],[SiteID]]&amp;"_"&amp;DO_DB[[#This Row],[Material Name]]</f>
        <v>CLR30-99-048_FAT-16</v>
      </c>
      <c r="Q1710" t="str">
        <f>DO_DB[[#This Row],[DO Number]]</f>
        <v>DOEID24081414</v>
      </c>
      <c r="R1710" t="str">
        <f>DO_DB[[#This Row],[DN Number]]</f>
        <v>DNWID0342024081406</v>
      </c>
    </row>
    <row r="1711" spans="1:18">
      <c r="A1711" t="s">
        <v>1887</v>
      </c>
      <c r="B1711" t="s">
        <v>1888</v>
      </c>
      <c r="C1711" t="s">
        <v>4482</v>
      </c>
      <c r="D1711" t="s">
        <v>71</v>
      </c>
      <c r="E1711" t="s">
        <v>644</v>
      </c>
      <c r="F1711" t="s">
        <v>4500</v>
      </c>
      <c r="G1711" t="s">
        <v>1889</v>
      </c>
      <c r="H1711" t="s">
        <v>1890</v>
      </c>
      <c r="I1711" s="130">
        <v>45519</v>
      </c>
      <c r="J1711" t="s">
        <v>3069</v>
      </c>
      <c r="K1711">
        <v>48</v>
      </c>
      <c r="M17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11" t="str">
        <f>DO_DB[[#This Row],[Material Pick-update]]&amp;"_"&amp;DO_DB[[#This Row],[Material Name]]</f>
        <v>45519_Pole 7M 4"</v>
      </c>
      <c r="O1711" t="str">
        <f>DO_DB[[#This Row],[SiteID]]</f>
        <v>CLR30-99-049</v>
      </c>
      <c r="P1711" t="str">
        <f>DO_DB[[#This Row],[SiteID]]&amp;"_"&amp;DO_DB[[#This Row],[Material Name]]</f>
        <v>CLR30-99-049_Pole 7M 4"</v>
      </c>
      <c r="Q1711" t="str">
        <f>DO_DB[[#This Row],[DO Number]]</f>
        <v>DOEID24081415</v>
      </c>
      <c r="R1711" t="str">
        <f>DO_DB[[#This Row],[DN Number]]</f>
        <v>DNWID0362024081409</v>
      </c>
    </row>
    <row r="1712" spans="1:18">
      <c r="A1712" t="s">
        <v>1887</v>
      </c>
      <c r="B1712" t="s">
        <v>1888</v>
      </c>
      <c r="C1712" t="s">
        <v>4482</v>
      </c>
      <c r="D1712" t="s">
        <v>71</v>
      </c>
      <c r="E1712" t="s">
        <v>644</v>
      </c>
      <c r="F1712" t="s">
        <v>4500</v>
      </c>
      <c r="G1712" t="s">
        <v>1889</v>
      </c>
      <c r="H1712" t="s">
        <v>1890</v>
      </c>
      <c r="I1712" s="130">
        <v>45519</v>
      </c>
      <c r="J1712" t="s">
        <v>3070</v>
      </c>
      <c r="K1712">
        <v>14</v>
      </c>
      <c r="M17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12" t="str">
        <f>DO_DB[[#This Row],[Material Pick-update]]&amp;"_"&amp;DO_DB[[#This Row],[Material Name]]</f>
        <v>45519_Pole 7M 3"</v>
      </c>
      <c r="O1712" t="str">
        <f>DO_DB[[#This Row],[SiteID]]</f>
        <v>CLR30-99-049</v>
      </c>
      <c r="P1712" t="str">
        <f>DO_DB[[#This Row],[SiteID]]&amp;"_"&amp;DO_DB[[#This Row],[Material Name]]</f>
        <v>CLR30-99-049_Pole 7M 3"</v>
      </c>
      <c r="Q1712" t="str">
        <f>DO_DB[[#This Row],[DO Number]]</f>
        <v>DOEID24081415</v>
      </c>
      <c r="R1712" t="str">
        <f>DO_DB[[#This Row],[DN Number]]</f>
        <v>DNWID0362024081409</v>
      </c>
    </row>
    <row r="1713" spans="1:18">
      <c r="A1713" t="s">
        <v>1887</v>
      </c>
      <c r="B1713" t="s">
        <v>1888</v>
      </c>
      <c r="C1713" t="s">
        <v>4482</v>
      </c>
      <c r="D1713" t="s">
        <v>71</v>
      </c>
      <c r="E1713" t="s">
        <v>644</v>
      </c>
      <c r="F1713" t="s">
        <v>4500</v>
      </c>
      <c r="G1713" t="s">
        <v>1891</v>
      </c>
      <c r="H1713" t="s">
        <v>1892</v>
      </c>
      <c r="I1713" s="130">
        <v>45519</v>
      </c>
      <c r="J1713" t="s">
        <v>14</v>
      </c>
      <c r="K1713">
        <v>1</v>
      </c>
      <c r="M17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13" t="str">
        <f>DO_DB[[#This Row],[Material Pick-update]]&amp;"_"&amp;DO_DB[[#This Row],[Material Name]]</f>
        <v>45519_FDT-48</v>
      </c>
      <c r="O1713" t="str">
        <f>DO_DB[[#This Row],[SiteID]]</f>
        <v>CLR30-99-049</v>
      </c>
      <c r="P1713" t="str">
        <f>DO_DB[[#This Row],[SiteID]]&amp;"_"&amp;DO_DB[[#This Row],[Material Name]]</f>
        <v>CLR30-99-049_FDT-48</v>
      </c>
      <c r="Q1713" t="str">
        <f>DO_DB[[#This Row],[DO Number]]</f>
        <v>DOEID24081416</v>
      </c>
      <c r="R1713" t="str">
        <f>DO_DB[[#This Row],[DN Number]]</f>
        <v>DNWID0342024081409</v>
      </c>
    </row>
    <row r="1714" spans="1:18">
      <c r="A1714" t="s">
        <v>1887</v>
      </c>
      <c r="B1714" t="s">
        <v>1888</v>
      </c>
      <c r="C1714" t="s">
        <v>4482</v>
      </c>
      <c r="D1714" t="s">
        <v>71</v>
      </c>
      <c r="E1714" t="s">
        <v>644</v>
      </c>
      <c r="F1714" t="s">
        <v>4500</v>
      </c>
      <c r="G1714" t="s">
        <v>1891</v>
      </c>
      <c r="H1714" t="s">
        <v>1892</v>
      </c>
      <c r="I1714" s="130">
        <v>45519</v>
      </c>
      <c r="J1714" t="s">
        <v>13</v>
      </c>
      <c r="K1714">
        <v>16</v>
      </c>
      <c r="M17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14" t="str">
        <f>DO_DB[[#This Row],[Material Pick-update]]&amp;"_"&amp;DO_DB[[#This Row],[Material Name]]</f>
        <v>45519_FAT-16</v>
      </c>
      <c r="O1714" t="str">
        <f>DO_DB[[#This Row],[SiteID]]</f>
        <v>CLR30-99-049</v>
      </c>
      <c r="P1714" t="str">
        <f>DO_DB[[#This Row],[SiteID]]&amp;"_"&amp;DO_DB[[#This Row],[Material Name]]</f>
        <v>CLR30-99-049_FAT-16</v>
      </c>
      <c r="Q1714" t="str">
        <f>DO_DB[[#This Row],[DO Number]]</f>
        <v>DOEID24081416</v>
      </c>
      <c r="R1714" t="str">
        <f>DO_DB[[#This Row],[DN Number]]</f>
        <v>DNWID0342024081409</v>
      </c>
    </row>
    <row r="1715" spans="1:18">
      <c r="A1715" t="s">
        <v>1893</v>
      </c>
      <c r="B1715" t="s">
        <v>1894</v>
      </c>
      <c r="C1715" t="s">
        <v>4482</v>
      </c>
      <c r="D1715" t="s">
        <v>71</v>
      </c>
      <c r="E1715" t="s">
        <v>644</v>
      </c>
      <c r="F1715" t="s">
        <v>4500</v>
      </c>
      <c r="G1715" t="s">
        <v>1895</v>
      </c>
      <c r="H1715" t="s">
        <v>1896</v>
      </c>
      <c r="I1715" s="130">
        <v>45519</v>
      </c>
      <c r="J1715" t="s">
        <v>3069</v>
      </c>
      <c r="K1715">
        <v>21</v>
      </c>
      <c r="M17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15" t="str">
        <f>DO_DB[[#This Row],[Material Pick-update]]&amp;"_"&amp;DO_DB[[#This Row],[Material Name]]</f>
        <v>45519_Pole 7M 4"</v>
      </c>
      <c r="O1715" t="str">
        <f>DO_DB[[#This Row],[SiteID]]</f>
        <v>CLR30-99-050</v>
      </c>
      <c r="P1715" t="str">
        <f>DO_DB[[#This Row],[SiteID]]&amp;"_"&amp;DO_DB[[#This Row],[Material Name]]</f>
        <v>CLR30-99-050_Pole 7M 4"</v>
      </c>
      <c r="Q1715" t="str">
        <f>DO_DB[[#This Row],[DO Number]]</f>
        <v>DOEID24081417</v>
      </c>
      <c r="R1715" t="str">
        <f>DO_DB[[#This Row],[DN Number]]</f>
        <v>DNWID0362024081412</v>
      </c>
    </row>
    <row r="1716" spans="1:18">
      <c r="A1716" t="s">
        <v>1893</v>
      </c>
      <c r="B1716" t="s">
        <v>1894</v>
      </c>
      <c r="C1716" t="s">
        <v>4482</v>
      </c>
      <c r="D1716" t="s">
        <v>71</v>
      </c>
      <c r="E1716" t="s">
        <v>644</v>
      </c>
      <c r="F1716" t="s">
        <v>4500</v>
      </c>
      <c r="G1716" t="s">
        <v>1895</v>
      </c>
      <c r="H1716" t="s">
        <v>1896</v>
      </c>
      <c r="I1716" s="130">
        <v>45519</v>
      </c>
      <c r="J1716" t="s">
        <v>3070</v>
      </c>
      <c r="K1716">
        <v>4</v>
      </c>
      <c r="M17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16" t="str">
        <f>DO_DB[[#This Row],[Material Pick-update]]&amp;"_"&amp;DO_DB[[#This Row],[Material Name]]</f>
        <v>45519_Pole 7M 3"</v>
      </c>
      <c r="O1716" t="str">
        <f>DO_DB[[#This Row],[SiteID]]</f>
        <v>CLR30-99-050</v>
      </c>
      <c r="P1716" t="str">
        <f>DO_DB[[#This Row],[SiteID]]&amp;"_"&amp;DO_DB[[#This Row],[Material Name]]</f>
        <v>CLR30-99-050_Pole 7M 3"</v>
      </c>
      <c r="Q1716" t="str">
        <f>DO_DB[[#This Row],[DO Number]]</f>
        <v>DOEID24081417</v>
      </c>
      <c r="R1716" t="str">
        <f>DO_DB[[#This Row],[DN Number]]</f>
        <v>DNWID0362024081412</v>
      </c>
    </row>
    <row r="1717" spans="1:18">
      <c r="A1717" t="s">
        <v>1893</v>
      </c>
      <c r="B1717" t="s">
        <v>1894</v>
      </c>
      <c r="C1717" t="s">
        <v>4482</v>
      </c>
      <c r="D1717" t="s">
        <v>71</v>
      </c>
      <c r="E1717" t="s">
        <v>644</v>
      </c>
      <c r="F1717" t="s">
        <v>4500</v>
      </c>
      <c r="G1717" t="s">
        <v>1897</v>
      </c>
      <c r="H1717" t="s">
        <v>1898</v>
      </c>
      <c r="I1717" s="130">
        <v>45519</v>
      </c>
      <c r="J1717" t="s">
        <v>13</v>
      </c>
      <c r="K1717">
        <v>7</v>
      </c>
      <c r="M17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17" t="str">
        <f>DO_DB[[#This Row],[Material Pick-update]]&amp;"_"&amp;DO_DB[[#This Row],[Material Name]]</f>
        <v>45519_FAT-16</v>
      </c>
      <c r="O1717" t="str">
        <f>DO_DB[[#This Row],[SiteID]]</f>
        <v>CLR30-99-050</v>
      </c>
      <c r="P1717" t="str">
        <f>DO_DB[[#This Row],[SiteID]]&amp;"_"&amp;DO_DB[[#This Row],[Material Name]]</f>
        <v>CLR30-99-050_FAT-16</v>
      </c>
      <c r="Q1717" t="str">
        <f>DO_DB[[#This Row],[DO Number]]</f>
        <v>DOEID24081418</v>
      </c>
      <c r="R1717" t="str">
        <f>DO_DB[[#This Row],[DN Number]]</f>
        <v>DNWID0342024081407</v>
      </c>
    </row>
    <row r="1718" spans="1:18">
      <c r="A1718" t="s">
        <v>1899</v>
      </c>
      <c r="B1718" t="s">
        <v>1900</v>
      </c>
      <c r="C1718" t="s">
        <v>4482</v>
      </c>
      <c r="D1718" t="s">
        <v>71</v>
      </c>
      <c r="E1718" t="s">
        <v>644</v>
      </c>
      <c r="F1718" t="s">
        <v>4500</v>
      </c>
      <c r="G1718" t="s">
        <v>1901</v>
      </c>
      <c r="H1718" t="s">
        <v>1902</v>
      </c>
      <c r="I1718" s="130">
        <v>45519</v>
      </c>
      <c r="J1718" t="s">
        <v>3069</v>
      </c>
      <c r="K1718">
        <v>55</v>
      </c>
      <c r="M17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18" t="str">
        <f>DO_DB[[#This Row],[Material Pick-update]]&amp;"_"&amp;DO_DB[[#This Row],[Material Name]]</f>
        <v>45519_Pole 7M 4"</v>
      </c>
      <c r="O1718" t="str">
        <f>DO_DB[[#This Row],[SiteID]]</f>
        <v>CLR30-99-051</v>
      </c>
      <c r="P1718" t="str">
        <f>DO_DB[[#This Row],[SiteID]]&amp;"_"&amp;DO_DB[[#This Row],[Material Name]]</f>
        <v>CLR30-99-051_Pole 7M 4"</v>
      </c>
      <c r="Q1718" t="str">
        <f>DO_DB[[#This Row],[DO Number]]</f>
        <v>DOEID24081419</v>
      </c>
      <c r="R1718" t="str">
        <f>DO_DB[[#This Row],[DN Number]]</f>
        <v>DNWID0362024081410</v>
      </c>
    </row>
    <row r="1719" spans="1:18">
      <c r="A1719" t="s">
        <v>1899</v>
      </c>
      <c r="B1719" t="s">
        <v>1900</v>
      </c>
      <c r="C1719" t="s">
        <v>4482</v>
      </c>
      <c r="D1719" t="s">
        <v>71</v>
      </c>
      <c r="E1719" t="s">
        <v>644</v>
      </c>
      <c r="F1719" t="s">
        <v>4500</v>
      </c>
      <c r="G1719" t="s">
        <v>1901</v>
      </c>
      <c r="H1719" t="s">
        <v>1902</v>
      </c>
      <c r="I1719" s="130">
        <v>45519</v>
      </c>
      <c r="J1719" t="s">
        <v>3070</v>
      </c>
      <c r="K1719">
        <v>16</v>
      </c>
      <c r="M17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19" t="str">
        <f>DO_DB[[#This Row],[Material Pick-update]]&amp;"_"&amp;DO_DB[[#This Row],[Material Name]]</f>
        <v>45519_Pole 7M 3"</v>
      </c>
      <c r="O1719" t="str">
        <f>DO_DB[[#This Row],[SiteID]]</f>
        <v>CLR30-99-051</v>
      </c>
      <c r="P1719" t="str">
        <f>DO_DB[[#This Row],[SiteID]]&amp;"_"&amp;DO_DB[[#This Row],[Material Name]]</f>
        <v>CLR30-99-051_Pole 7M 3"</v>
      </c>
      <c r="Q1719" t="str">
        <f>DO_DB[[#This Row],[DO Number]]</f>
        <v>DOEID24081419</v>
      </c>
      <c r="R1719" t="str">
        <f>DO_DB[[#This Row],[DN Number]]</f>
        <v>DNWID0362024081410</v>
      </c>
    </row>
    <row r="1720" spans="1:18">
      <c r="A1720" t="s">
        <v>1899</v>
      </c>
      <c r="B1720" t="s">
        <v>1900</v>
      </c>
      <c r="C1720" t="s">
        <v>4482</v>
      </c>
      <c r="D1720" t="s">
        <v>71</v>
      </c>
      <c r="E1720" t="s">
        <v>644</v>
      </c>
      <c r="F1720" t="s">
        <v>4500</v>
      </c>
      <c r="G1720" t="s">
        <v>1901</v>
      </c>
      <c r="H1720" t="s">
        <v>1902</v>
      </c>
      <c r="I1720" s="130">
        <v>45519</v>
      </c>
      <c r="J1720" t="s">
        <v>4856</v>
      </c>
      <c r="K1720">
        <v>1</v>
      </c>
      <c r="M17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20" t="str">
        <f>DO_DB[[#This Row],[Material Pick-update]]&amp;"_"&amp;DO_DB[[#This Row],[Material Name]]</f>
        <v>45519_JC 144Core</v>
      </c>
      <c r="O1720" t="str">
        <f>DO_DB[[#This Row],[SiteID]]</f>
        <v>CLR30-99-051</v>
      </c>
      <c r="P1720" t="str">
        <f>DO_DB[[#This Row],[SiteID]]&amp;"_"&amp;DO_DB[[#This Row],[Material Name]]</f>
        <v>CLR30-99-051_JC 144Core</v>
      </c>
      <c r="Q1720" t="str">
        <f>DO_DB[[#This Row],[DO Number]]</f>
        <v>DOEID24081419</v>
      </c>
      <c r="R1720" t="str">
        <f>DO_DB[[#This Row],[DN Number]]</f>
        <v>DNWID0362024081410</v>
      </c>
    </row>
    <row r="1721" spans="1:18">
      <c r="A1721" t="s">
        <v>1899</v>
      </c>
      <c r="B1721" t="s">
        <v>1900</v>
      </c>
      <c r="C1721" t="s">
        <v>4482</v>
      </c>
      <c r="D1721" t="s">
        <v>71</v>
      </c>
      <c r="E1721" t="s">
        <v>644</v>
      </c>
      <c r="F1721" t="s">
        <v>4500</v>
      </c>
      <c r="G1721" t="s">
        <v>1903</v>
      </c>
      <c r="H1721" t="s">
        <v>1904</v>
      </c>
      <c r="I1721" s="130">
        <v>45519</v>
      </c>
      <c r="J1721" t="s">
        <v>14</v>
      </c>
      <c r="K1721">
        <v>1</v>
      </c>
      <c r="M17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21" t="str">
        <f>DO_DB[[#This Row],[Material Pick-update]]&amp;"_"&amp;DO_DB[[#This Row],[Material Name]]</f>
        <v>45519_FDT-48</v>
      </c>
      <c r="O1721" t="str">
        <f>DO_DB[[#This Row],[SiteID]]</f>
        <v>CLR30-99-051</v>
      </c>
      <c r="P1721" t="str">
        <f>DO_DB[[#This Row],[SiteID]]&amp;"_"&amp;DO_DB[[#This Row],[Material Name]]</f>
        <v>CLR30-99-051_FDT-48</v>
      </c>
      <c r="Q1721" t="str">
        <f>DO_DB[[#This Row],[DO Number]]</f>
        <v>DOEID24081420</v>
      </c>
      <c r="R1721" t="str">
        <f>DO_DB[[#This Row],[DN Number]]</f>
        <v>DNWID0342024081416</v>
      </c>
    </row>
    <row r="1722" spans="1:18">
      <c r="A1722" t="s">
        <v>1899</v>
      </c>
      <c r="B1722" t="s">
        <v>1900</v>
      </c>
      <c r="C1722" t="s">
        <v>4482</v>
      </c>
      <c r="D1722" t="s">
        <v>71</v>
      </c>
      <c r="E1722" t="s">
        <v>644</v>
      </c>
      <c r="F1722" t="s">
        <v>4500</v>
      </c>
      <c r="G1722" t="s">
        <v>1903</v>
      </c>
      <c r="H1722" t="s">
        <v>1904</v>
      </c>
      <c r="I1722" s="130">
        <v>45519</v>
      </c>
      <c r="J1722" t="s">
        <v>13</v>
      </c>
      <c r="K1722">
        <v>18</v>
      </c>
      <c r="M17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22" t="str">
        <f>DO_DB[[#This Row],[Material Pick-update]]&amp;"_"&amp;DO_DB[[#This Row],[Material Name]]</f>
        <v>45519_FAT-16</v>
      </c>
      <c r="O1722" t="str">
        <f>DO_DB[[#This Row],[SiteID]]</f>
        <v>CLR30-99-051</v>
      </c>
      <c r="P1722" t="str">
        <f>DO_DB[[#This Row],[SiteID]]&amp;"_"&amp;DO_DB[[#This Row],[Material Name]]</f>
        <v>CLR30-99-051_FAT-16</v>
      </c>
      <c r="Q1722" t="str">
        <f>DO_DB[[#This Row],[DO Number]]</f>
        <v>DOEID24081420</v>
      </c>
      <c r="R1722" t="str">
        <f>DO_DB[[#This Row],[DN Number]]</f>
        <v>DNWID0342024081416</v>
      </c>
    </row>
    <row r="1723" spans="1:18">
      <c r="A1723" t="s">
        <v>1875</v>
      </c>
      <c r="B1723" t="s">
        <v>1876</v>
      </c>
      <c r="C1723" t="s">
        <v>4482</v>
      </c>
      <c r="D1723" t="s">
        <v>71</v>
      </c>
      <c r="E1723" t="s">
        <v>644</v>
      </c>
      <c r="F1723" t="s">
        <v>4500</v>
      </c>
      <c r="G1723" t="s">
        <v>1905</v>
      </c>
      <c r="H1723" t="s">
        <v>1906</v>
      </c>
      <c r="I1723" s="130">
        <v>45519</v>
      </c>
      <c r="J1723" t="s">
        <v>3080</v>
      </c>
      <c r="K1723">
        <v>3</v>
      </c>
      <c r="M17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23" t="str">
        <f>DO_DB[[#This Row],[Material Pick-update]]&amp;"_"&amp;DO_DB[[#This Row],[Material Name]]</f>
        <v>45519_1:8 SPL for FDT-AE &amp; UG</v>
      </c>
      <c r="O1723" t="str">
        <f>DO_DB[[#This Row],[SiteID]]</f>
        <v>CLR30-99-047</v>
      </c>
      <c r="P1723" t="str">
        <f>DO_DB[[#This Row],[SiteID]]&amp;"_"&amp;DO_DB[[#This Row],[Material Name]]</f>
        <v>CLR30-99-047_1:8 SPL for FDT-AE &amp; UG</v>
      </c>
      <c r="Q1723" t="str">
        <f>DO_DB[[#This Row],[DO Number]]</f>
        <v>DOEID240815AJ</v>
      </c>
      <c r="R1723" t="str">
        <f>DO_DB[[#This Row],[DN Number]]</f>
        <v>DNWID0342024081511</v>
      </c>
    </row>
    <row r="1724" spans="1:18">
      <c r="A1724" t="s">
        <v>1881</v>
      </c>
      <c r="B1724" t="s">
        <v>1882</v>
      </c>
      <c r="C1724" t="s">
        <v>4482</v>
      </c>
      <c r="D1724" t="s">
        <v>71</v>
      </c>
      <c r="E1724" t="s">
        <v>644</v>
      </c>
      <c r="F1724" t="s">
        <v>4500</v>
      </c>
      <c r="G1724" t="s">
        <v>1907</v>
      </c>
      <c r="H1724" t="s">
        <v>1908</v>
      </c>
      <c r="I1724" s="130">
        <v>45519</v>
      </c>
      <c r="J1724" t="s">
        <v>3080</v>
      </c>
      <c r="K1724">
        <v>3</v>
      </c>
      <c r="M17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24" t="str">
        <f>DO_DB[[#This Row],[Material Pick-update]]&amp;"_"&amp;DO_DB[[#This Row],[Material Name]]</f>
        <v>45519_1:8 SPL for FDT-AE &amp; UG</v>
      </c>
      <c r="O1724" t="str">
        <f>DO_DB[[#This Row],[SiteID]]</f>
        <v>CLR30-99-048</v>
      </c>
      <c r="P1724" t="str">
        <f>DO_DB[[#This Row],[SiteID]]&amp;"_"&amp;DO_DB[[#This Row],[Material Name]]</f>
        <v>CLR30-99-048_1:8 SPL for FDT-AE &amp; UG</v>
      </c>
      <c r="Q1724" t="str">
        <f>DO_DB[[#This Row],[DO Number]]</f>
        <v>DOEID240815AK</v>
      </c>
      <c r="R1724" t="str">
        <f>DO_DB[[#This Row],[DN Number]]</f>
        <v>DNWID0342024081512</v>
      </c>
    </row>
    <row r="1725" spans="1:18">
      <c r="A1725" t="s">
        <v>1887</v>
      </c>
      <c r="B1725" t="s">
        <v>1888</v>
      </c>
      <c r="C1725" t="s">
        <v>4482</v>
      </c>
      <c r="D1725" t="s">
        <v>71</v>
      </c>
      <c r="E1725" t="s">
        <v>644</v>
      </c>
      <c r="F1725" t="s">
        <v>4500</v>
      </c>
      <c r="G1725" t="s">
        <v>1909</v>
      </c>
      <c r="H1725" t="s">
        <v>1910</v>
      </c>
      <c r="I1725" s="130">
        <v>45519</v>
      </c>
      <c r="J1725" t="s">
        <v>3080</v>
      </c>
      <c r="K1725">
        <v>3</v>
      </c>
      <c r="M17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25" t="str">
        <f>DO_DB[[#This Row],[Material Pick-update]]&amp;"_"&amp;DO_DB[[#This Row],[Material Name]]</f>
        <v>45519_1:8 SPL for FDT-AE &amp; UG</v>
      </c>
      <c r="O1725" t="str">
        <f>DO_DB[[#This Row],[SiteID]]</f>
        <v>CLR30-99-049</v>
      </c>
      <c r="P1725" t="str">
        <f>DO_DB[[#This Row],[SiteID]]&amp;"_"&amp;DO_DB[[#This Row],[Material Name]]</f>
        <v>CLR30-99-049_1:8 SPL for FDT-AE &amp; UG</v>
      </c>
      <c r="Q1725" t="str">
        <f>DO_DB[[#This Row],[DO Number]]</f>
        <v>DOEID240815AL</v>
      </c>
      <c r="R1725" t="str">
        <f>DO_DB[[#This Row],[DN Number]]</f>
        <v>DNWID0342024081510</v>
      </c>
    </row>
    <row r="1726" spans="1:18">
      <c r="A1726" t="s">
        <v>1875</v>
      </c>
      <c r="B1726" t="s">
        <v>1876</v>
      </c>
      <c r="C1726" t="s">
        <v>4482</v>
      </c>
      <c r="D1726" t="s">
        <v>71</v>
      </c>
      <c r="E1726" t="s">
        <v>644</v>
      </c>
      <c r="F1726" t="s">
        <v>4500</v>
      </c>
      <c r="G1726" t="s">
        <v>1879</v>
      </c>
      <c r="H1726" t="s">
        <v>1880</v>
      </c>
      <c r="I1726" s="130">
        <v>45519</v>
      </c>
      <c r="J1726" t="s">
        <v>3073</v>
      </c>
      <c r="K1726">
        <v>3000</v>
      </c>
      <c r="M17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24C-2024815-01</v>
      </c>
      <c r="N1726" t="str">
        <f>DO_DB[[#This Row],[Material Pick-update]]&amp;"_"&amp;DO_DB[[#This Row],[Material Name]]</f>
        <v>45519_ADSS 24C</v>
      </c>
      <c r="O1726" t="str">
        <f>DO_DB[[#This Row],[SiteID]]</f>
        <v>CLR30-99-047</v>
      </c>
      <c r="P1726" t="str">
        <f>DO_DB[[#This Row],[SiteID]]&amp;"_"&amp;DO_DB[[#This Row],[Material Name]]</f>
        <v>CLR30-99-047_ADSS 24C</v>
      </c>
      <c r="Q1726" t="str">
        <f>DO_DB[[#This Row],[DO Number]]</f>
        <v>DOEID24081412</v>
      </c>
      <c r="R1726" t="str">
        <f>DO_DB[[#This Row],[DN Number]]</f>
        <v>DNWID0342024081410</v>
      </c>
    </row>
    <row r="1727" spans="1:18">
      <c r="A1727" t="s">
        <v>1881</v>
      </c>
      <c r="B1727" t="s">
        <v>1882</v>
      </c>
      <c r="C1727" t="s">
        <v>4482</v>
      </c>
      <c r="D1727" t="s">
        <v>71</v>
      </c>
      <c r="E1727" t="s">
        <v>644</v>
      </c>
      <c r="F1727" t="s">
        <v>4500</v>
      </c>
      <c r="G1727" t="s">
        <v>1885</v>
      </c>
      <c r="H1727" t="s">
        <v>1886</v>
      </c>
      <c r="I1727" s="130">
        <v>45519</v>
      </c>
      <c r="J1727" t="s">
        <v>3073</v>
      </c>
      <c r="K1727">
        <v>3000</v>
      </c>
      <c r="M17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24C-2024815-01</v>
      </c>
      <c r="N1727" t="str">
        <f>DO_DB[[#This Row],[Material Pick-update]]&amp;"_"&amp;DO_DB[[#This Row],[Material Name]]</f>
        <v>45519_ADSS 24C</v>
      </c>
      <c r="O1727" t="str">
        <f>DO_DB[[#This Row],[SiteID]]</f>
        <v>CLR30-99-048</v>
      </c>
      <c r="P1727" t="str">
        <f>DO_DB[[#This Row],[SiteID]]&amp;"_"&amp;DO_DB[[#This Row],[Material Name]]</f>
        <v>CLR30-99-048_ADSS 24C</v>
      </c>
      <c r="Q1727" t="str">
        <f>DO_DB[[#This Row],[DO Number]]</f>
        <v>DOEID24081414</v>
      </c>
      <c r="R1727" t="str">
        <f>DO_DB[[#This Row],[DN Number]]</f>
        <v>DNWID0342024081406</v>
      </c>
    </row>
    <row r="1728" spans="1:18">
      <c r="A1728" t="s">
        <v>1887</v>
      </c>
      <c r="B1728" t="s">
        <v>1888</v>
      </c>
      <c r="C1728" t="s">
        <v>4482</v>
      </c>
      <c r="D1728" t="s">
        <v>71</v>
      </c>
      <c r="E1728" t="s">
        <v>644</v>
      </c>
      <c r="F1728" t="s">
        <v>4500</v>
      </c>
      <c r="G1728" t="s">
        <v>1891</v>
      </c>
      <c r="H1728" t="s">
        <v>1892</v>
      </c>
      <c r="I1728" s="130">
        <v>45519</v>
      </c>
      <c r="J1728" t="s">
        <v>3075</v>
      </c>
      <c r="K1728">
        <v>3000</v>
      </c>
      <c r="M17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48C-2024815-01</v>
      </c>
      <c r="N1728" t="str">
        <f>DO_DB[[#This Row],[Material Pick-update]]&amp;"_"&amp;DO_DB[[#This Row],[Material Name]]</f>
        <v>45519_ADSS 48C</v>
      </c>
      <c r="O1728" t="str">
        <f>DO_DB[[#This Row],[SiteID]]</f>
        <v>CLR30-99-049</v>
      </c>
      <c r="P1728" t="str">
        <f>DO_DB[[#This Row],[SiteID]]&amp;"_"&amp;DO_DB[[#This Row],[Material Name]]</f>
        <v>CLR30-99-049_ADSS 48C</v>
      </c>
      <c r="Q1728" t="str">
        <f>DO_DB[[#This Row],[DO Number]]</f>
        <v>DOEID24081416</v>
      </c>
      <c r="R1728" t="str">
        <f>DO_DB[[#This Row],[DN Number]]</f>
        <v>DNWID0342024081409</v>
      </c>
    </row>
    <row r="1729" spans="1:18">
      <c r="A1729" t="s">
        <v>1899</v>
      </c>
      <c r="B1729" t="s">
        <v>1900</v>
      </c>
      <c r="C1729" t="s">
        <v>4482</v>
      </c>
      <c r="D1729" t="s">
        <v>71</v>
      </c>
      <c r="E1729" t="s">
        <v>644</v>
      </c>
      <c r="F1729" t="s">
        <v>4500</v>
      </c>
      <c r="G1729" t="s">
        <v>1903</v>
      </c>
      <c r="H1729" t="s">
        <v>1904</v>
      </c>
      <c r="I1729" s="130">
        <v>45519</v>
      </c>
      <c r="J1729" t="s">
        <v>3075</v>
      </c>
      <c r="K1729">
        <v>3000</v>
      </c>
      <c r="M17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48C-2024815-01</v>
      </c>
      <c r="N1729" t="str">
        <f>DO_DB[[#This Row],[Material Pick-update]]&amp;"_"&amp;DO_DB[[#This Row],[Material Name]]</f>
        <v>45519_ADSS 48C</v>
      </c>
      <c r="O1729" t="str">
        <f>DO_DB[[#This Row],[SiteID]]</f>
        <v>CLR30-99-051</v>
      </c>
      <c r="P1729" t="str">
        <f>DO_DB[[#This Row],[SiteID]]&amp;"_"&amp;DO_DB[[#This Row],[Material Name]]</f>
        <v>CLR30-99-051_ADSS 48C</v>
      </c>
      <c r="Q1729" t="str">
        <f>DO_DB[[#This Row],[DO Number]]</f>
        <v>DOEID24081420</v>
      </c>
      <c r="R1729" t="str">
        <f>DO_DB[[#This Row],[DN Number]]</f>
        <v>DNWID0342024081416</v>
      </c>
    </row>
    <row r="1730" spans="1:18">
      <c r="A1730" t="s">
        <v>2035</v>
      </c>
      <c r="B1730" t="s">
        <v>2036</v>
      </c>
      <c r="C1730" t="s">
        <v>4482</v>
      </c>
      <c r="D1730" t="s">
        <v>71</v>
      </c>
      <c r="E1730" t="s">
        <v>644</v>
      </c>
      <c r="F1730" t="s">
        <v>4500</v>
      </c>
      <c r="G1730" t="s">
        <v>2037</v>
      </c>
      <c r="H1730" t="s">
        <v>2038</v>
      </c>
      <c r="I1730" s="130">
        <v>45539</v>
      </c>
      <c r="J1730" t="s">
        <v>3069</v>
      </c>
      <c r="K1730">
        <v>40</v>
      </c>
      <c r="M17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30" t="str">
        <f>DO_DB[[#This Row],[Material Pick-update]]&amp;"_"&amp;DO_DB[[#This Row],[Material Name]]</f>
        <v>45539_Pole 7M 4"</v>
      </c>
      <c r="O1730" t="str">
        <f>DO_DB[[#This Row],[SiteID]]</f>
        <v>CLR30-99-052</v>
      </c>
      <c r="P1730" t="str">
        <f>DO_DB[[#This Row],[SiteID]]&amp;"_"&amp;DO_DB[[#This Row],[Material Name]]</f>
        <v>CLR30-99-052_Pole 7M 4"</v>
      </c>
      <c r="Q1730" t="str">
        <f>DO_DB[[#This Row],[DO Number]]</f>
        <v>DOEID24090353</v>
      </c>
      <c r="R1730" t="str">
        <f>DO_DB[[#This Row],[DN Number]]</f>
        <v>DNWID0362024090405</v>
      </c>
    </row>
    <row r="1731" spans="1:18">
      <c r="A1731" t="s">
        <v>2035</v>
      </c>
      <c r="B1731" t="s">
        <v>2036</v>
      </c>
      <c r="C1731" t="s">
        <v>4482</v>
      </c>
      <c r="D1731" t="s">
        <v>71</v>
      </c>
      <c r="E1731" t="s">
        <v>644</v>
      </c>
      <c r="F1731" t="s">
        <v>4500</v>
      </c>
      <c r="G1731" t="s">
        <v>2037</v>
      </c>
      <c r="H1731" t="s">
        <v>2038</v>
      </c>
      <c r="I1731" s="130">
        <v>45539</v>
      </c>
      <c r="J1731" t="s">
        <v>3070</v>
      </c>
      <c r="K1731">
        <v>5</v>
      </c>
      <c r="M17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31" t="str">
        <f>DO_DB[[#This Row],[Material Pick-update]]&amp;"_"&amp;DO_DB[[#This Row],[Material Name]]</f>
        <v>45539_Pole 7M 3"</v>
      </c>
      <c r="O1731" t="str">
        <f>DO_DB[[#This Row],[SiteID]]</f>
        <v>CLR30-99-052</v>
      </c>
      <c r="P1731" t="str">
        <f>DO_DB[[#This Row],[SiteID]]&amp;"_"&amp;DO_DB[[#This Row],[Material Name]]</f>
        <v>CLR30-99-052_Pole 7M 3"</v>
      </c>
      <c r="Q1731" t="str">
        <f>DO_DB[[#This Row],[DO Number]]</f>
        <v>DOEID24090353</v>
      </c>
      <c r="R1731" t="str">
        <f>DO_DB[[#This Row],[DN Number]]</f>
        <v>DNWID0362024090405</v>
      </c>
    </row>
    <row r="1732" spans="1:18">
      <c r="A1732" t="s">
        <v>2035</v>
      </c>
      <c r="B1732" t="s">
        <v>2036</v>
      </c>
      <c r="C1732" t="s">
        <v>4482</v>
      </c>
      <c r="D1732" t="s">
        <v>71</v>
      </c>
      <c r="E1732" t="s">
        <v>644</v>
      </c>
      <c r="F1732" t="s">
        <v>4500</v>
      </c>
      <c r="G1732" t="s">
        <v>2039</v>
      </c>
      <c r="H1732" t="s">
        <v>2040</v>
      </c>
      <c r="I1732" s="130">
        <v>45539</v>
      </c>
      <c r="J1732" t="s">
        <v>14</v>
      </c>
      <c r="K1732">
        <v>1</v>
      </c>
      <c r="M17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32" t="str">
        <f>DO_DB[[#This Row],[Material Pick-update]]&amp;"_"&amp;DO_DB[[#This Row],[Material Name]]</f>
        <v>45539_FDT-48</v>
      </c>
      <c r="O1732" t="str">
        <f>DO_DB[[#This Row],[SiteID]]</f>
        <v>CLR30-99-052</v>
      </c>
      <c r="P1732" t="str">
        <f>DO_DB[[#This Row],[SiteID]]&amp;"_"&amp;DO_DB[[#This Row],[Material Name]]</f>
        <v>CLR30-99-052_FDT-48</v>
      </c>
      <c r="Q1732" t="str">
        <f>DO_DB[[#This Row],[DO Number]]</f>
        <v>DOEID24090354</v>
      </c>
      <c r="R1732" t="str">
        <f>DO_DB[[#This Row],[DN Number]]</f>
        <v>DNWID0342024090404</v>
      </c>
    </row>
    <row r="1733" spans="1:18">
      <c r="A1733" t="s">
        <v>2035</v>
      </c>
      <c r="B1733" t="s">
        <v>2036</v>
      </c>
      <c r="C1733" t="s">
        <v>4482</v>
      </c>
      <c r="D1733" t="s">
        <v>71</v>
      </c>
      <c r="E1733" t="s">
        <v>644</v>
      </c>
      <c r="F1733" t="s">
        <v>4500</v>
      </c>
      <c r="G1733" t="s">
        <v>2039</v>
      </c>
      <c r="H1733" t="s">
        <v>2040</v>
      </c>
      <c r="I1733" s="130">
        <v>45539</v>
      </c>
      <c r="J1733" t="s">
        <v>13</v>
      </c>
      <c r="K1733">
        <v>17</v>
      </c>
      <c r="M17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33" t="str">
        <f>DO_DB[[#This Row],[Material Pick-update]]&amp;"_"&amp;DO_DB[[#This Row],[Material Name]]</f>
        <v>45539_FAT-16</v>
      </c>
      <c r="O1733" t="str">
        <f>DO_DB[[#This Row],[SiteID]]</f>
        <v>CLR30-99-052</v>
      </c>
      <c r="P1733" t="str">
        <f>DO_DB[[#This Row],[SiteID]]&amp;"_"&amp;DO_DB[[#This Row],[Material Name]]</f>
        <v>CLR30-99-052_FAT-16</v>
      </c>
      <c r="Q1733" t="str">
        <f>DO_DB[[#This Row],[DO Number]]</f>
        <v>DOEID24090354</v>
      </c>
      <c r="R1733" t="str">
        <f>DO_DB[[#This Row],[DN Number]]</f>
        <v>DNWID0342024090404</v>
      </c>
    </row>
    <row r="1734" spans="1:18">
      <c r="A1734" t="s">
        <v>2041</v>
      </c>
      <c r="B1734" t="s">
        <v>2042</v>
      </c>
      <c r="C1734" t="s">
        <v>4482</v>
      </c>
      <c r="D1734" t="s">
        <v>71</v>
      </c>
      <c r="E1734" t="s">
        <v>644</v>
      </c>
      <c r="F1734" t="s">
        <v>4500</v>
      </c>
      <c r="G1734" t="s">
        <v>2043</v>
      </c>
      <c r="H1734" t="s">
        <v>2044</v>
      </c>
      <c r="I1734" s="130">
        <v>45539</v>
      </c>
      <c r="J1734" t="s">
        <v>3069</v>
      </c>
      <c r="K1734">
        <v>40</v>
      </c>
      <c r="M17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34" t="str">
        <f>DO_DB[[#This Row],[Material Pick-update]]&amp;"_"&amp;DO_DB[[#This Row],[Material Name]]</f>
        <v>45539_Pole 7M 4"</v>
      </c>
      <c r="O1734" t="str">
        <f>DO_DB[[#This Row],[SiteID]]</f>
        <v>CLR30-99-053</v>
      </c>
      <c r="P1734" t="str">
        <f>DO_DB[[#This Row],[SiteID]]&amp;"_"&amp;DO_DB[[#This Row],[Material Name]]</f>
        <v>CLR30-99-053_Pole 7M 4"</v>
      </c>
      <c r="Q1734" t="str">
        <f>DO_DB[[#This Row],[DO Number]]</f>
        <v>DOEID24090355</v>
      </c>
      <c r="R1734" t="str">
        <f>DO_DB[[#This Row],[DN Number]]</f>
        <v>DNWID0362024090406</v>
      </c>
    </row>
    <row r="1735" spans="1:18">
      <c r="A1735" t="s">
        <v>2041</v>
      </c>
      <c r="B1735" t="s">
        <v>2042</v>
      </c>
      <c r="C1735" t="s">
        <v>4482</v>
      </c>
      <c r="D1735" t="s">
        <v>71</v>
      </c>
      <c r="E1735" t="s">
        <v>644</v>
      </c>
      <c r="F1735" t="s">
        <v>4500</v>
      </c>
      <c r="G1735" t="s">
        <v>2043</v>
      </c>
      <c r="H1735" t="s">
        <v>2044</v>
      </c>
      <c r="I1735" s="130">
        <v>45539</v>
      </c>
      <c r="J1735" t="s">
        <v>3070</v>
      </c>
      <c r="K1735">
        <v>3</v>
      </c>
      <c r="M17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35" t="str">
        <f>DO_DB[[#This Row],[Material Pick-update]]&amp;"_"&amp;DO_DB[[#This Row],[Material Name]]</f>
        <v>45539_Pole 7M 3"</v>
      </c>
      <c r="O1735" t="str">
        <f>DO_DB[[#This Row],[SiteID]]</f>
        <v>CLR30-99-053</v>
      </c>
      <c r="P1735" t="str">
        <f>DO_DB[[#This Row],[SiteID]]&amp;"_"&amp;DO_DB[[#This Row],[Material Name]]</f>
        <v>CLR30-99-053_Pole 7M 3"</v>
      </c>
      <c r="Q1735" t="str">
        <f>DO_DB[[#This Row],[DO Number]]</f>
        <v>DOEID24090355</v>
      </c>
      <c r="R1735" t="str">
        <f>DO_DB[[#This Row],[DN Number]]</f>
        <v>DNWID0362024090406</v>
      </c>
    </row>
    <row r="1736" spans="1:18">
      <c r="A1736" t="s">
        <v>2041</v>
      </c>
      <c r="B1736" t="s">
        <v>2042</v>
      </c>
      <c r="C1736" t="s">
        <v>4482</v>
      </c>
      <c r="D1736" t="s">
        <v>71</v>
      </c>
      <c r="E1736" t="s">
        <v>644</v>
      </c>
      <c r="F1736" t="s">
        <v>4500</v>
      </c>
      <c r="G1736" t="s">
        <v>2045</v>
      </c>
      <c r="H1736" t="s">
        <v>2046</v>
      </c>
      <c r="I1736" s="130">
        <v>45539</v>
      </c>
      <c r="J1736" t="s">
        <v>14</v>
      </c>
      <c r="K1736">
        <v>1</v>
      </c>
      <c r="M17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36" t="str">
        <f>DO_DB[[#This Row],[Material Pick-update]]&amp;"_"&amp;DO_DB[[#This Row],[Material Name]]</f>
        <v>45539_FDT-48</v>
      </c>
      <c r="O1736" t="str">
        <f>DO_DB[[#This Row],[SiteID]]</f>
        <v>CLR30-99-053</v>
      </c>
      <c r="P1736" t="str">
        <f>DO_DB[[#This Row],[SiteID]]&amp;"_"&amp;DO_DB[[#This Row],[Material Name]]</f>
        <v>CLR30-99-053_FDT-48</v>
      </c>
      <c r="Q1736" t="str">
        <f>DO_DB[[#This Row],[DO Number]]</f>
        <v>DOEID24090356</v>
      </c>
      <c r="R1736" t="str">
        <f>DO_DB[[#This Row],[DN Number]]</f>
        <v>DNWID0342024090403</v>
      </c>
    </row>
    <row r="1737" spans="1:18">
      <c r="A1737" t="s">
        <v>2041</v>
      </c>
      <c r="B1737" t="s">
        <v>2042</v>
      </c>
      <c r="C1737" t="s">
        <v>4482</v>
      </c>
      <c r="D1737" t="s">
        <v>71</v>
      </c>
      <c r="E1737" t="s">
        <v>644</v>
      </c>
      <c r="F1737" t="s">
        <v>4500</v>
      </c>
      <c r="G1737" t="s">
        <v>2045</v>
      </c>
      <c r="H1737" t="s">
        <v>2046</v>
      </c>
      <c r="I1737" s="130">
        <v>45539</v>
      </c>
      <c r="J1737" t="s">
        <v>13</v>
      </c>
      <c r="K1737">
        <v>14</v>
      </c>
      <c r="M17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37" t="str">
        <f>DO_DB[[#This Row],[Material Pick-update]]&amp;"_"&amp;DO_DB[[#This Row],[Material Name]]</f>
        <v>45539_FAT-16</v>
      </c>
      <c r="O1737" t="str">
        <f>DO_DB[[#This Row],[SiteID]]</f>
        <v>CLR30-99-053</v>
      </c>
      <c r="P1737" t="str">
        <f>DO_DB[[#This Row],[SiteID]]&amp;"_"&amp;DO_DB[[#This Row],[Material Name]]</f>
        <v>CLR30-99-053_FAT-16</v>
      </c>
      <c r="Q1737" t="str">
        <f>DO_DB[[#This Row],[DO Number]]</f>
        <v>DOEID24090356</v>
      </c>
      <c r="R1737" t="str">
        <f>DO_DB[[#This Row],[DN Number]]</f>
        <v>DNWID0342024090403</v>
      </c>
    </row>
    <row r="1738" spans="1:18">
      <c r="A1738" t="s">
        <v>2047</v>
      </c>
      <c r="B1738" t="s">
        <v>2048</v>
      </c>
      <c r="C1738" t="s">
        <v>4482</v>
      </c>
      <c r="D1738" t="s">
        <v>71</v>
      </c>
      <c r="E1738" t="s">
        <v>644</v>
      </c>
      <c r="F1738" t="s">
        <v>4500</v>
      </c>
      <c r="G1738" t="s">
        <v>2049</v>
      </c>
      <c r="H1738" t="s">
        <v>2050</v>
      </c>
      <c r="I1738" s="130">
        <v>45539</v>
      </c>
      <c r="J1738" t="s">
        <v>3069</v>
      </c>
      <c r="K1738">
        <v>25</v>
      </c>
      <c r="M17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38" t="str">
        <f>DO_DB[[#This Row],[Material Pick-update]]&amp;"_"&amp;DO_DB[[#This Row],[Material Name]]</f>
        <v>45539_Pole 7M 4"</v>
      </c>
      <c r="O1738" t="str">
        <f>DO_DB[[#This Row],[SiteID]]</f>
        <v>CLR30-99-054</v>
      </c>
      <c r="P1738" t="str">
        <f>DO_DB[[#This Row],[SiteID]]&amp;"_"&amp;DO_DB[[#This Row],[Material Name]]</f>
        <v>CLR30-99-054_Pole 7M 4"</v>
      </c>
      <c r="Q1738" t="str">
        <f>DO_DB[[#This Row],[DO Number]]</f>
        <v>DOEID24090357</v>
      </c>
      <c r="R1738" t="str">
        <f>DO_DB[[#This Row],[DN Number]]</f>
        <v>DNWID0362024090401</v>
      </c>
    </row>
    <row r="1739" spans="1:18">
      <c r="A1739" t="s">
        <v>2047</v>
      </c>
      <c r="B1739" t="s">
        <v>2048</v>
      </c>
      <c r="C1739" t="s">
        <v>4482</v>
      </c>
      <c r="D1739" t="s">
        <v>71</v>
      </c>
      <c r="E1739" t="s">
        <v>644</v>
      </c>
      <c r="F1739" t="s">
        <v>4500</v>
      </c>
      <c r="G1739" t="s">
        <v>2049</v>
      </c>
      <c r="H1739" t="s">
        <v>2050</v>
      </c>
      <c r="I1739" s="130">
        <v>45539</v>
      </c>
      <c r="J1739" t="s">
        <v>3070</v>
      </c>
      <c r="K1739">
        <v>8</v>
      </c>
      <c r="M17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39" t="str">
        <f>DO_DB[[#This Row],[Material Pick-update]]&amp;"_"&amp;DO_DB[[#This Row],[Material Name]]</f>
        <v>45539_Pole 7M 3"</v>
      </c>
      <c r="O1739" t="str">
        <f>DO_DB[[#This Row],[SiteID]]</f>
        <v>CLR30-99-054</v>
      </c>
      <c r="P1739" t="str">
        <f>DO_DB[[#This Row],[SiteID]]&amp;"_"&amp;DO_DB[[#This Row],[Material Name]]</f>
        <v>CLR30-99-054_Pole 7M 3"</v>
      </c>
      <c r="Q1739" t="str">
        <f>DO_DB[[#This Row],[DO Number]]</f>
        <v>DOEID24090357</v>
      </c>
      <c r="R1739" t="str">
        <f>DO_DB[[#This Row],[DN Number]]</f>
        <v>DNWID0362024090401</v>
      </c>
    </row>
    <row r="1740" spans="1:18">
      <c r="A1740" t="s">
        <v>2047</v>
      </c>
      <c r="B1740" t="s">
        <v>2048</v>
      </c>
      <c r="C1740" t="s">
        <v>4482</v>
      </c>
      <c r="D1740" t="s">
        <v>71</v>
      </c>
      <c r="E1740" t="s">
        <v>644</v>
      </c>
      <c r="F1740" t="s">
        <v>4500</v>
      </c>
      <c r="G1740" t="s">
        <v>2051</v>
      </c>
      <c r="H1740" t="s">
        <v>2052</v>
      </c>
      <c r="I1740" s="130">
        <v>45539</v>
      </c>
      <c r="J1740" t="s">
        <v>14</v>
      </c>
      <c r="K1740">
        <v>1</v>
      </c>
      <c r="M17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40" t="str">
        <f>DO_DB[[#This Row],[Material Pick-update]]&amp;"_"&amp;DO_DB[[#This Row],[Material Name]]</f>
        <v>45539_FDT-48</v>
      </c>
      <c r="O1740" t="str">
        <f>DO_DB[[#This Row],[SiteID]]</f>
        <v>CLR30-99-054</v>
      </c>
      <c r="P1740" t="str">
        <f>DO_DB[[#This Row],[SiteID]]&amp;"_"&amp;DO_DB[[#This Row],[Material Name]]</f>
        <v>CLR30-99-054_FDT-48</v>
      </c>
      <c r="Q1740" t="str">
        <f>DO_DB[[#This Row],[DO Number]]</f>
        <v>DOEID24090358</v>
      </c>
      <c r="R1740" t="str">
        <f>DO_DB[[#This Row],[DN Number]]</f>
        <v>DNWID0342024090405</v>
      </c>
    </row>
    <row r="1741" spans="1:18">
      <c r="A1741" t="s">
        <v>2047</v>
      </c>
      <c r="B1741" t="s">
        <v>2048</v>
      </c>
      <c r="C1741" t="s">
        <v>4482</v>
      </c>
      <c r="D1741" t="s">
        <v>71</v>
      </c>
      <c r="E1741" t="s">
        <v>644</v>
      </c>
      <c r="F1741" t="s">
        <v>4500</v>
      </c>
      <c r="G1741" t="s">
        <v>2051</v>
      </c>
      <c r="H1741" t="s">
        <v>2052</v>
      </c>
      <c r="I1741" s="130">
        <v>45539</v>
      </c>
      <c r="J1741" t="s">
        <v>13</v>
      </c>
      <c r="K1741">
        <v>14</v>
      </c>
      <c r="M17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41" t="str">
        <f>DO_DB[[#This Row],[Material Pick-update]]&amp;"_"&amp;DO_DB[[#This Row],[Material Name]]</f>
        <v>45539_FAT-16</v>
      </c>
      <c r="O1741" t="str">
        <f>DO_DB[[#This Row],[SiteID]]</f>
        <v>CLR30-99-054</v>
      </c>
      <c r="P1741" t="str">
        <f>DO_DB[[#This Row],[SiteID]]&amp;"_"&amp;DO_DB[[#This Row],[Material Name]]</f>
        <v>CLR30-99-054_FAT-16</v>
      </c>
      <c r="Q1741" t="str">
        <f>DO_DB[[#This Row],[DO Number]]</f>
        <v>DOEID24090358</v>
      </c>
      <c r="R1741" t="str">
        <f>DO_DB[[#This Row],[DN Number]]</f>
        <v>DNWID0342024090405</v>
      </c>
    </row>
    <row r="1742" spans="1:18">
      <c r="A1742" t="s">
        <v>2053</v>
      </c>
      <c r="B1742" t="s">
        <v>2054</v>
      </c>
      <c r="C1742" t="s">
        <v>4482</v>
      </c>
      <c r="D1742" t="s">
        <v>71</v>
      </c>
      <c r="E1742" t="s">
        <v>644</v>
      </c>
      <c r="F1742" t="s">
        <v>4500</v>
      </c>
      <c r="G1742" t="s">
        <v>2055</v>
      </c>
      <c r="H1742" t="s">
        <v>2056</v>
      </c>
      <c r="I1742" s="130">
        <v>45539</v>
      </c>
      <c r="J1742" t="s">
        <v>3069</v>
      </c>
      <c r="K1742">
        <v>29</v>
      </c>
      <c r="M17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42" t="str">
        <f>DO_DB[[#This Row],[Material Pick-update]]&amp;"_"&amp;DO_DB[[#This Row],[Material Name]]</f>
        <v>45539_Pole 7M 4"</v>
      </c>
      <c r="O1742" t="str">
        <f>DO_DB[[#This Row],[SiteID]]</f>
        <v>CLR30-99-055</v>
      </c>
      <c r="P1742" t="str">
        <f>DO_DB[[#This Row],[SiteID]]&amp;"_"&amp;DO_DB[[#This Row],[Material Name]]</f>
        <v>CLR30-99-055_Pole 7M 4"</v>
      </c>
      <c r="Q1742" t="str">
        <f>DO_DB[[#This Row],[DO Number]]</f>
        <v>DOEID24090359</v>
      </c>
      <c r="R1742" t="str">
        <f>DO_DB[[#This Row],[DN Number]]</f>
        <v>DNWID0362024090409</v>
      </c>
    </row>
    <row r="1743" spans="1:18">
      <c r="A1743" t="s">
        <v>2053</v>
      </c>
      <c r="B1743" t="s">
        <v>2054</v>
      </c>
      <c r="C1743" t="s">
        <v>4482</v>
      </c>
      <c r="D1743" t="s">
        <v>71</v>
      </c>
      <c r="E1743" t="s">
        <v>644</v>
      </c>
      <c r="F1743" t="s">
        <v>4500</v>
      </c>
      <c r="G1743" t="s">
        <v>2055</v>
      </c>
      <c r="H1743" t="s">
        <v>2056</v>
      </c>
      <c r="I1743" s="130">
        <v>45539</v>
      </c>
      <c r="J1743" t="s">
        <v>3070</v>
      </c>
      <c r="K1743">
        <v>5</v>
      </c>
      <c r="M17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43" t="str">
        <f>DO_DB[[#This Row],[Material Pick-update]]&amp;"_"&amp;DO_DB[[#This Row],[Material Name]]</f>
        <v>45539_Pole 7M 3"</v>
      </c>
      <c r="O1743" t="str">
        <f>DO_DB[[#This Row],[SiteID]]</f>
        <v>CLR30-99-055</v>
      </c>
      <c r="P1743" t="str">
        <f>DO_DB[[#This Row],[SiteID]]&amp;"_"&amp;DO_DB[[#This Row],[Material Name]]</f>
        <v>CLR30-99-055_Pole 7M 3"</v>
      </c>
      <c r="Q1743" t="str">
        <f>DO_DB[[#This Row],[DO Number]]</f>
        <v>DOEID24090359</v>
      </c>
      <c r="R1743" t="str">
        <f>DO_DB[[#This Row],[DN Number]]</f>
        <v>DNWID0362024090409</v>
      </c>
    </row>
    <row r="1744" spans="1:18">
      <c r="A1744" t="s">
        <v>2053</v>
      </c>
      <c r="B1744" t="s">
        <v>2054</v>
      </c>
      <c r="C1744" t="s">
        <v>4482</v>
      </c>
      <c r="D1744" t="s">
        <v>71</v>
      </c>
      <c r="E1744" t="s">
        <v>644</v>
      </c>
      <c r="F1744" t="s">
        <v>4500</v>
      </c>
      <c r="G1744" t="s">
        <v>2057</v>
      </c>
      <c r="H1744" t="s">
        <v>2058</v>
      </c>
      <c r="I1744" s="130">
        <v>45539</v>
      </c>
      <c r="J1744" t="s">
        <v>14</v>
      </c>
      <c r="K1744">
        <v>1</v>
      </c>
      <c r="M17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44" t="str">
        <f>DO_DB[[#This Row],[Material Pick-update]]&amp;"_"&amp;DO_DB[[#This Row],[Material Name]]</f>
        <v>45539_FDT-48</v>
      </c>
      <c r="O1744" t="str">
        <f>DO_DB[[#This Row],[SiteID]]</f>
        <v>CLR30-99-055</v>
      </c>
      <c r="P1744" t="str">
        <f>DO_DB[[#This Row],[SiteID]]&amp;"_"&amp;DO_DB[[#This Row],[Material Name]]</f>
        <v>CLR30-99-055_FDT-48</v>
      </c>
      <c r="Q1744" t="str">
        <f>DO_DB[[#This Row],[DO Number]]</f>
        <v>DOEID24090360</v>
      </c>
      <c r="R1744" t="str">
        <f>DO_DB[[#This Row],[DN Number]]</f>
        <v>DNWID0342024090401</v>
      </c>
    </row>
    <row r="1745" spans="1:18">
      <c r="A1745" t="s">
        <v>2053</v>
      </c>
      <c r="B1745" t="s">
        <v>2054</v>
      </c>
      <c r="C1745" t="s">
        <v>4482</v>
      </c>
      <c r="D1745" t="s">
        <v>71</v>
      </c>
      <c r="E1745" t="s">
        <v>644</v>
      </c>
      <c r="F1745" t="s">
        <v>4500</v>
      </c>
      <c r="G1745" t="s">
        <v>2057</v>
      </c>
      <c r="H1745" t="s">
        <v>2058</v>
      </c>
      <c r="I1745" s="130">
        <v>45539</v>
      </c>
      <c r="J1745" t="s">
        <v>13</v>
      </c>
      <c r="K1745">
        <v>14</v>
      </c>
      <c r="M17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45" t="str">
        <f>DO_DB[[#This Row],[Material Pick-update]]&amp;"_"&amp;DO_DB[[#This Row],[Material Name]]</f>
        <v>45539_FAT-16</v>
      </c>
      <c r="O1745" t="str">
        <f>DO_DB[[#This Row],[SiteID]]</f>
        <v>CLR30-99-055</v>
      </c>
      <c r="P1745" t="str">
        <f>DO_DB[[#This Row],[SiteID]]&amp;"_"&amp;DO_DB[[#This Row],[Material Name]]</f>
        <v>CLR30-99-055_FAT-16</v>
      </c>
      <c r="Q1745" t="str">
        <f>DO_DB[[#This Row],[DO Number]]</f>
        <v>DOEID24090360</v>
      </c>
      <c r="R1745" t="str">
        <f>DO_DB[[#This Row],[DN Number]]</f>
        <v>DNWID0342024090401</v>
      </c>
    </row>
    <row r="1746" spans="1:18">
      <c r="A1746" t="s">
        <v>2059</v>
      </c>
      <c r="B1746" t="s">
        <v>2060</v>
      </c>
      <c r="C1746" t="s">
        <v>4482</v>
      </c>
      <c r="D1746" t="s">
        <v>71</v>
      </c>
      <c r="E1746" t="s">
        <v>644</v>
      </c>
      <c r="F1746" t="s">
        <v>4500</v>
      </c>
      <c r="G1746" t="s">
        <v>2061</v>
      </c>
      <c r="H1746" t="s">
        <v>2062</v>
      </c>
      <c r="I1746" s="130">
        <v>45539</v>
      </c>
      <c r="J1746" t="s">
        <v>3069</v>
      </c>
      <c r="K1746">
        <v>36</v>
      </c>
      <c r="M17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46" t="str">
        <f>DO_DB[[#This Row],[Material Pick-update]]&amp;"_"&amp;DO_DB[[#This Row],[Material Name]]</f>
        <v>45539_Pole 7M 4"</v>
      </c>
      <c r="O1746" t="str">
        <f>DO_DB[[#This Row],[SiteID]]</f>
        <v>CLR30-99-056</v>
      </c>
      <c r="P1746" t="str">
        <f>DO_DB[[#This Row],[SiteID]]&amp;"_"&amp;DO_DB[[#This Row],[Material Name]]</f>
        <v>CLR30-99-056_Pole 7M 4"</v>
      </c>
      <c r="Q1746" t="str">
        <f>DO_DB[[#This Row],[DO Number]]</f>
        <v>DOEID24090361</v>
      </c>
      <c r="R1746" t="str">
        <f>DO_DB[[#This Row],[DN Number]]</f>
        <v>DNWID0362024090402</v>
      </c>
    </row>
    <row r="1747" spans="1:18">
      <c r="A1747" t="s">
        <v>2059</v>
      </c>
      <c r="B1747" t="s">
        <v>2060</v>
      </c>
      <c r="C1747" t="s">
        <v>4482</v>
      </c>
      <c r="D1747" t="s">
        <v>71</v>
      </c>
      <c r="E1747" t="s">
        <v>644</v>
      </c>
      <c r="F1747" t="s">
        <v>4500</v>
      </c>
      <c r="G1747" t="s">
        <v>2061</v>
      </c>
      <c r="H1747" t="s">
        <v>2062</v>
      </c>
      <c r="I1747" s="130">
        <v>45539</v>
      </c>
      <c r="J1747" t="s">
        <v>3070</v>
      </c>
      <c r="K1747">
        <v>3</v>
      </c>
      <c r="M17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47" t="str">
        <f>DO_DB[[#This Row],[Material Pick-update]]&amp;"_"&amp;DO_DB[[#This Row],[Material Name]]</f>
        <v>45539_Pole 7M 3"</v>
      </c>
      <c r="O1747" t="str">
        <f>DO_DB[[#This Row],[SiteID]]</f>
        <v>CLR30-99-056</v>
      </c>
      <c r="P1747" t="str">
        <f>DO_DB[[#This Row],[SiteID]]&amp;"_"&amp;DO_DB[[#This Row],[Material Name]]</f>
        <v>CLR30-99-056_Pole 7M 3"</v>
      </c>
      <c r="Q1747" t="str">
        <f>DO_DB[[#This Row],[DO Number]]</f>
        <v>DOEID24090361</v>
      </c>
      <c r="R1747" t="str">
        <f>DO_DB[[#This Row],[DN Number]]</f>
        <v>DNWID0362024090402</v>
      </c>
    </row>
    <row r="1748" spans="1:18">
      <c r="A1748" t="s">
        <v>2059</v>
      </c>
      <c r="B1748" t="s">
        <v>2060</v>
      </c>
      <c r="C1748" t="s">
        <v>4482</v>
      </c>
      <c r="D1748" t="s">
        <v>71</v>
      </c>
      <c r="E1748" t="s">
        <v>644</v>
      </c>
      <c r="F1748" t="s">
        <v>4500</v>
      </c>
      <c r="G1748" t="s">
        <v>2063</v>
      </c>
      <c r="H1748" t="s">
        <v>2064</v>
      </c>
      <c r="I1748" s="130">
        <v>45539</v>
      </c>
      <c r="J1748" t="s">
        <v>14</v>
      </c>
      <c r="K1748">
        <v>1</v>
      </c>
      <c r="M17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48" t="str">
        <f>DO_DB[[#This Row],[Material Pick-update]]&amp;"_"&amp;DO_DB[[#This Row],[Material Name]]</f>
        <v>45539_FDT-48</v>
      </c>
      <c r="O1748" t="str">
        <f>DO_DB[[#This Row],[SiteID]]</f>
        <v>CLR30-99-056</v>
      </c>
      <c r="P1748" t="str">
        <f>DO_DB[[#This Row],[SiteID]]&amp;"_"&amp;DO_DB[[#This Row],[Material Name]]</f>
        <v>CLR30-99-056_FDT-48</v>
      </c>
      <c r="Q1748" t="str">
        <f>DO_DB[[#This Row],[DO Number]]</f>
        <v>DOEID24090362</v>
      </c>
      <c r="R1748" t="str">
        <f>DO_DB[[#This Row],[DN Number]]</f>
        <v>DNWID0342024090406</v>
      </c>
    </row>
    <row r="1749" spans="1:18">
      <c r="A1749" t="s">
        <v>2059</v>
      </c>
      <c r="B1749" t="s">
        <v>2060</v>
      </c>
      <c r="C1749" t="s">
        <v>4482</v>
      </c>
      <c r="D1749" t="s">
        <v>71</v>
      </c>
      <c r="E1749" t="s">
        <v>644</v>
      </c>
      <c r="F1749" t="s">
        <v>4500</v>
      </c>
      <c r="G1749" t="s">
        <v>2063</v>
      </c>
      <c r="H1749" t="s">
        <v>2064</v>
      </c>
      <c r="I1749" s="130">
        <v>45539</v>
      </c>
      <c r="J1749" t="s">
        <v>13</v>
      </c>
      <c r="K1749">
        <v>12</v>
      </c>
      <c r="M17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49" t="str">
        <f>DO_DB[[#This Row],[Material Pick-update]]&amp;"_"&amp;DO_DB[[#This Row],[Material Name]]</f>
        <v>45539_FAT-16</v>
      </c>
      <c r="O1749" t="str">
        <f>DO_DB[[#This Row],[SiteID]]</f>
        <v>CLR30-99-056</v>
      </c>
      <c r="P1749" t="str">
        <f>DO_DB[[#This Row],[SiteID]]&amp;"_"&amp;DO_DB[[#This Row],[Material Name]]</f>
        <v>CLR30-99-056_FAT-16</v>
      </c>
      <c r="Q1749" t="str">
        <f>DO_DB[[#This Row],[DO Number]]</f>
        <v>DOEID24090362</v>
      </c>
      <c r="R1749" t="str">
        <f>DO_DB[[#This Row],[DN Number]]</f>
        <v>DNWID0342024090406</v>
      </c>
    </row>
    <row r="1750" spans="1:18">
      <c r="A1750" t="s">
        <v>2065</v>
      </c>
      <c r="B1750" t="s">
        <v>2066</v>
      </c>
      <c r="C1750" t="s">
        <v>4482</v>
      </c>
      <c r="D1750" t="s">
        <v>71</v>
      </c>
      <c r="E1750" t="s">
        <v>644</v>
      </c>
      <c r="F1750" t="s">
        <v>4500</v>
      </c>
      <c r="G1750" t="s">
        <v>2067</v>
      </c>
      <c r="H1750" t="s">
        <v>2068</v>
      </c>
      <c r="I1750" s="130">
        <v>45539</v>
      </c>
      <c r="J1750" t="s">
        <v>3069</v>
      </c>
      <c r="K1750">
        <v>12</v>
      </c>
      <c r="M17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50" t="str">
        <f>DO_DB[[#This Row],[Material Pick-update]]&amp;"_"&amp;DO_DB[[#This Row],[Material Name]]</f>
        <v>45539_Pole 7M 4"</v>
      </c>
      <c r="O1750" t="str">
        <f>DO_DB[[#This Row],[SiteID]]</f>
        <v>CLR30-99-057</v>
      </c>
      <c r="P1750" t="str">
        <f>DO_DB[[#This Row],[SiteID]]&amp;"_"&amp;DO_DB[[#This Row],[Material Name]]</f>
        <v>CLR30-99-057_Pole 7M 4"</v>
      </c>
      <c r="Q1750" t="str">
        <f>DO_DB[[#This Row],[DO Number]]</f>
        <v>DOEID24090363</v>
      </c>
      <c r="R1750" t="str">
        <f>DO_DB[[#This Row],[DN Number]]</f>
        <v>DNWID0362024090407</v>
      </c>
    </row>
    <row r="1751" spans="1:18">
      <c r="A1751" t="s">
        <v>2065</v>
      </c>
      <c r="B1751" t="s">
        <v>2066</v>
      </c>
      <c r="C1751" t="s">
        <v>4482</v>
      </c>
      <c r="D1751" t="s">
        <v>71</v>
      </c>
      <c r="E1751" t="s">
        <v>644</v>
      </c>
      <c r="F1751" t="s">
        <v>4500</v>
      </c>
      <c r="G1751" t="s">
        <v>2067</v>
      </c>
      <c r="H1751" t="s">
        <v>2068</v>
      </c>
      <c r="I1751" s="130">
        <v>45539</v>
      </c>
      <c r="J1751" t="s">
        <v>3070</v>
      </c>
      <c r="K1751">
        <v>3</v>
      </c>
      <c r="M17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51" t="str">
        <f>DO_DB[[#This Row],[Material Pick-update]]&amp;"_"&amp;DO_DB[[#This Row],[Material Name]]</f>
        <v>45539_Pole 7M 3"</v>
      </c>
      <c r="O1751" t="str">
        <f>DO_DB[[#This Row],[SiteID]]</f>
        <v>CLR30-99-057</v>
      </c>
      <c r="P1751" t="str">
        <f>DO_DB[[#This Row],[SiteID]]&amp;"_"&amp;DO_DB[[#This Row],[Material Name]]</f>
        <v>CLR30-99-057_Pole 7M 3"</v>
      </c>
      <c r="Q1751" t="str">
        <f>DO_DB[[#This Row],[DO Number]]</f>
        <v>DOEID24090363</v>
      </c>
      <c r="R1751" t="str">
        <f>DO_DB[[#This Row],[DN Number]]</f>
        <v>DNWID0362024090407</v>
      </c>
    </row>
    <row r="1752" spans="1:18">
      <c r="A1752" t="s">
        <v>2065</v>
      </c>
      <c r="B1752" t="s">
        <v>2066</v>
      </c>
      <c r="C1752" t="s">
        <v>4482</v>
      </c>
      <c r="D1752" t="s">
        <v>71</v>
      </c>
      <c r="E1752" t="s">
        <v>644</v>
      </c>
      <c r="F1752" t="s">
        <v>4500</v>
      </c>
      <c r="G1752" t="s">
        <v>2069</v>
      </c>
      <c r="H1752" t="s">
        <v>2070</v>
      </c>
      <c r="I1752" s="130">
        <v>45539</v>
      </c>
      <c r="J1752" t="s">
        <v>13</v>
      </c>
      <c r="K1752">
        <v>5</v>
      </c>
      <c r="M17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52" t="str">
        <f>DO_DB[[#This Row],[Material Pick-update]]&amp;"_"&amp;DO_DB[[#This Row],[Material Name]]</f>
        <v>45539_FAT-16</v>
      </c>
      <c r="O1752" t="str">
        <f>DO_DB[[#This Row],[SiteID]]</f>
        <v>CLR30-99-057</v>
      </c>
      <c r="P1752" t="str">
        <f>DO_DB[[#This Row],[SiteID]]&amp;"_"&amp;DO_DB[[#This Row],[Material Name]]</f>
        <v>CLR30-99-057_FAT-16</v>
      </c>
      <c r="Q1752" t="str">
        <f>DO_DB[[#This Row],[DO Number]]</f>
        <v>DOEID24090364</v>
      </c>
      <c r="R1752" t="str">
        <f>DO_DB[[#This Row],[DN Number]]</f>
        <v>DNWID0342024090407</v>
      </c>
    </row>
    <row r="1753" spans="1:18">
      <c r="A1753" t="s">
        <v>2035</v>
      </c>
      <c r="B1753" t="s">
        <v>2036</v>
      </c>
      <c r="C1753" t="s">
        <v>4482</v>
      </c>
      <c r="D1753" t="s">
        <v>71</v>
      </c>
      <c r="E1753" t="s">
        <v>644</v>
      </c>
      <c r="F1753" t="s">
        <v>4500</v>
      </c>
      <c r="G1753" t="s">
        <v>2039</v>
      </c>
      <c r="H1753" t="s">
        <v>2040</v>
      </c>
      <c r="I1753" s="130">
        <v>45539</v>
      </c>
      <c r="J1753" t="s">
        <v>3073</v>
      </c>
      <c r="K1753">
        <v>3000</v>
      </c>
      <c r="M17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24C-202494-01</v>
      </c>
      <c r="N1753" t="str">
        <f>DO_DB[[#This Row],[Material Pick-update]]&amp;"_"&amp;DO_DB[[#This Row],[Material Name]]</f>
        <v>45539_ADSS 24C</v>
      </c>
      <c r="O1753" t="str">
        <f>DO_DB[[#This Row],[SiteID]]</f>
        <v>CLR30-99-052</v>
      </c>
      <c r="P1753" t="str">
        <f>DO_DB[[#This Row],[SiteID]]&amp;"_"&amp;DO_DB[[#This Row],[Material Name]]</f>
        <v>CLR30-99-052_ADSS 24C</v>
      </c>
      <c r="Q1753" t="str">
        <f>DO_DB[[#This Row],[DO Number]]</f>
        <v>DOEID24090354</v>
      </c>
      <c r="R1753" t="str">
        <f>DO_DB[[#This Row],[DN Number]]</f>
        <v>DNWID0342024090404</v>
      </c>
    </row>
    <row r="1754" spans="1:18">
      <c r="A1754" t="s">
        <v>2041</v>
      </c>
      <c r="B1754" t="s">
        <v>2042</v>
      </c>
      <c r="C1754" t="s">
        <v>4482</v>
      </c>
      <c r="D1754" t="s">
        <v>71</v>
      </c>
      <c r="E1754" t="s">
        <v>644</v>
      </c>
      <c r="F1754" t="s">
        <v>4500</v>
      </c>
      <c r="G1754" t="s">
        <v>2045</v>
      </c>
      <c r="H1754" t="s">
        <v>2046</v>
      </c>
      <c r="I1754" s="130">
        <v>45539</v>
      </c>
      <c r="J1754" t="s">
        <v>3073</v>
      </c>
      <c r="K1754">
        <v>3000</v>
      </c>
      <c r="M17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24C-202494-01</v>
      </c>
      <c r="N1754" t="str">
        <f>DO_DB[[#This Row],[Material Pick-update]]&amp;"_"&amp;DO_DB[[#This Row],[Material Name]]</f>
        <v>45539_ADSS 24C</v>
      </c>
      <c r="O1754" t="str">
        <f>DO_DB[[#This Row],[SiteID]]</f>
        <v>CLR30-99-053</v>
      </c>
      <c r="P1754" t="str">
        <f>DO_DB[[#This Row],[SiteID]]&amp;"_"&amp;DO_DB[[#This Row],[Material Name]]</f>
        <v>CLR30-99-053_ADSS 24C</v>
      </c>
      <c r="Q1754" t="str">
        <f>DO_DB[[#This Row],[DO Number]]</f>
        <v>DOEID24090356</v>
      </c>
      <c r="R1754" t="str">
        <f>DO_DB[[#This Row],[DN Number]]</f>
        <v>DNWID0342024090403</v>
      </c>
    </row>
    <row r="1755" spans="1:18">
      <c r="A1755" t="s">
        <v>2047</v>
      </c>
      <c r="B1755" t="s">
        <v>2048</v>
      </c>
      <c r="C1755" t="s">
        <v>4482</v>
      </c>
      <c r="D1755" t="s">
        <v>71</v>
      </c>
      <c r="E1755" t="s">
        <v>644</v>
      </c>
      <c r="F1755" t="s">
        <v>4500</v>
      </c>
      <c r="G1755" t="s">
        <v>2051</v>
      </c>
      <c r="H1755" t="s">
        <v>2052</v>
      </c>
      <c r="I1755" s="130">
        <v>45539</v>
      </c>
      <c r="J1755" t="s">
        <v>3073</v>
      </c>
      <c r="K1755">
        <v>3000</v>
      </c>
      <c r="M17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24C-202494-01</v>
      </c>
      <c r="N1755" t="str">
        <f>DO_DB[[#This Row],[Material Pick-update]]&amp;"_"&amp;DO_DB[[#This Row],[Material Name]]</f>
        <v>45539_ADSS 24C</v>
      </c>
      <c r="O1755" t="str">
        <f>DO_DB[[#This Row],[SiteID]]</f>
        <v>CLR30-99-054</v>
      </c>
      <c r="P1755" t="str">
        <f>DO_DB[[#This Row],[SiteID]]&amp;"_"&amp;DO_DB[[#This Row],[Material Name]]</f>
        <v>CLR30-99-054_ADSS 24C</v>
      </c>
      <c r="Q1755" t="str">
        <f>DO_DB[[#This Row],[DO Number]]</f>
        <v>DOEID24090358</v>
      </c>
      <c r="R1755" t="str">
        <f>DO_DB[[#This Row],[DN Number]]</f>
        <v>DNWID0342024090405</v>
      </c>
    </row>
    <row r="1756" spans="1:18">
      <c r="A1756" t="s">
        <v>2059</v>
      </c>
      <c r="B1756" t="s">
        <v>2060</v>
      </c>
      <c r="C1756" t="s">
        <v>4482</v>
      </c>
      <c r="D1756" t="s">
        <v>71</v>
      </c>
      <c r="E1756" t="s">
        <v>644</v>
      </c>
      <c r="F1756" t="s">
        <v>4500</v>
      </c>
      <c r="G1756" t="s">
        <v>2063</v>
      </c>
      <c r="H1756" t="s">
        <v>2064</v>
      </c>
      <c r="I1756" s="130">
        <v>45539</v>
      </c>
      <c r="J1756" t="s">
        <v>3073</v>
      </c>
      <c r="K1756">
        <v>3000</v>
      </c>
      <c r="M17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24C-202494-01</v>
      </c>
      <c r="N1756" t="str">
        <f>DO_DB[[#This Row],[Material Pick-update]]&amp;"_"&amp;DO_DB[[#This Row],[Material Name]]</f>
        <v>45539_ADSS 24C</v>
      </c>
      <c r="O1756" t="str">
        <f>DO_DB[[#This Row],[SiteID]]</f>
        <v>CLR30-99-056</v>
      </c>
      <c r="P1756" t="str">
        <f>DO_DB[[#This Row],[SiteID]]&amp;"_"&amp;DO_DB[[#This Row],[Material Name]]</f>
        <v>CLR30-99-056_ADSS 24C</v>
      </c>
      <c r="Q1756" t="str">
        <f>DO_DB[[#This Row],[DO Number]]</f>
        <v>DOEID24090362</v>
      </c>
      <c r="R1756" t="str">
        <f>DO_DB[[#This Row],[DN Number]]</f>
        <v>DNWID0342024090406</v>
      </c>
    </row>
    <row r="1757" spans="1:18">
      <c r="A1757" t="s">
        <v>2294</v>
      </c>
      <c r="B1757" t="s">
        <v>2295</v>
      </c>
      <c r="C1757" t="s">
        <v>4482</v>
      </c>
      <c r="D1757" t="s">
        <v>71</v>
      </c>
      <c r="E1757" t="s">
        <v>644</v>
      </c>
      <c r="F1757" t="s">
        <v>4500</v>
      </c>
      <c r="G1757" t="s">
        <v>2300</v>
      </c>
      <c r="H1757" t="s">
        <v>2301</v>
      </c>
      <c r="I1757" s="130">
        <v>45583</v>
      </c>
      <c r="J1757" t="s">
        <v>3069</v>
      </c>
      <c r="K1757">
        <v>49</v>
      </c>
      <c r="M17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57" t="str">
        <f>DO_DB[[#This Row],[Material Pick-update]]&amp;"_"&amp;DO_DB[[#This Row],[Material Name]]</f>
        <v>45583_Pole 7M 4"</v>
      </c>
      <c r="O1757" t="str">
        <f>DO_DB[[#This Row],[SiteID]]</f>
        <v>CLR30-01-059</v>
      </c>
      <c r="P1757" t="str">
        <f>DO_DB[[#This Row],[SiteID]]&amp;"_"&amp;DO_DB[[#This Row],[Material Name]]</f>
        <v>CLR30-01-059_Pole 7M 4"</v>
      </c>
      <c r="Q1757" t="str">
        <f>DO_DB[[#This Row],[DO Number]]</f>
        <v>DOEID24101771</v>
      </c>
      <c r="R1757" t="str">
        <f>DO_DB[[#This Row],[DN Number]]</f>
        <v>DNWID0362024101805</v>
      </c>
    </row>
    <row r="1758" spans="1:18">
      <c r="A1758" t="s">
        <v>2294</v>
      </c>
      <c r="B1758" t="s">
        <v>2295</v>
      </c>
      <c r="C1758" t="s">
        <v>4482</v>
      </c>
      <c r="D1758" t="s">
        <v>71</v>
      </c>
      <c r="E1758" t="s">
        <v>644</v>
      </c>
      <c r="F1758" t="s">
        <v>4500</v>
      </c>
      <c r="G1758" t="s">
        <v>2300</v>
      </c>
      <c r="H1758" t="s">
        <v>2301</v>
      </c>
      <c r="I1758" s="130">
        <v>45583</v>
      </c>
      <c r="J1758" t="s">
        <v>3070</v>
      </c>
      <c r="K1758">
        <v>6</v>
      </c>
      <c r="M17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58" t="str">
        <f>DO_DB[[#This Row],[Material Pick-update]]&amp;"_"&amp;DO_DB[[#This Row],[Material Name]]</f>
        <v>45583_Pole 7M 3"</v>
      </c>
      <c r="O1758" t="str">
        <f>DO_DB[[#This Row],[SiteID]]</f>
        <v>CLR30-01-059</v>
      </c>
      <c r="P1758" t="str">
        <f>DO_DB[[#This Row],[SiteID]]&amp;"_"&amp;DO_DB[[#This Row],[Material Name]]</f>
        <v>CLR30-01-059_Pole 7M 3"</v>
      </c>
      <c r="Q1758" t="str">
        <f>DO_DB[[#This Row],[DO Number]]</f>
        <v>DOEID24101771</v>
      </c>
      <c r="R1758" t="str">
        <f>DO_DB[[#This Row],[DN Number]]</f>
        <v>DNWID0362024101805</v>
      </c>
    </row>
    <row r="1759" spans="1:18">
      <c r="A1759" t="s">
        <v>2294</v>
      </c>
      <c r="B1759" t="s">
        <v>2295</v>
      </c>
      <c r="C1759" t="s">
        <v>4482</v>
      </c>
      <c r="D1759" t="s">
        <v>71</v>
      </c>
      <c r="E1759" t="s">
        <v>644</v>
      </c>
      <c r="F1759" t="s">
        <v>4500</v>
      </c>
      <c r="G1759" t="s">
        <v>2300</v>
      </c>
      <c r="H1759" t="s">
        <v>2301</v>
      </c>
      <c r="I1759" s="130">
        <v>45583</v>
      </c>
      <c r="J1759" t="s">
        <v>4856</v>
      </c>
      <c r="K1759">
        <v>1</v>
      </c>
      <c r="M17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59" t="str">
        <f>DO_DB[[#This Row],[Material Pick-update]]&amp;"_"&amp;DO_DB[[#This Row],[Material Name]]</f>
        <v>45583_JC 144Core</v>
      </c>
      <c r="O1759" t="str">
        <f>DO_DB[[#This Row],[SiteID]]</f>
        <v>CLR30-01-059</v>
      </c>
      <c r="P1759" t="str">
        <f>DO_DB[[#This Row],[SiteID]]&amp;"_"&amp;DO_DB[[#This Row],[Material Name]]</f>
        <v>CLR30-01-059_JC 144Core</v>
      </c>
      <c r="Q1759" t="str">
        <f>DO_DB[[#This Row],[DO Number]]</f>
        <v>DOEID24101771</v>
      </c>
      <c r="R1759" t="str">
        <f>DO_DB[[#This Row],[DN Number]]</f>
        <v>DNWID0362024101805</v>
      </c>
    </row>
    <row r="1760" spans="1:18">
      <c r="A1760" t="s">
        <v>2294</v>
      </c>
      <c r="B1760" t="s">
        <v>2295</v>
      </c>
      <c r="C1760" t="s">
        <v>4482</v>
      </c>
      <c r="D1760" t="s">
        <v>71</v>
      </c>
      <c r="E1760" t="s">
        <v>644</v>
      </c>
      <c r="F1760" t="s">
        <v>4500</v>
      </c>
      <c r="G1760" t="s">
        <v>2296</v>
      </c>
      <c r="H1760" t="s">
        <v>2297</v>
      </c>
      <c r="I1760" s="130">
        <v>45583</v>
      </c>
      <c r="J1760" t="s">
        <v>15</v>
      </c>
      <c r="K1760">
        <v>1</v>
      </c>
      <c r="M17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60" t="str">
        <f>DO_DB[[#This Row],[Material Pick-update]]&amp;"_"&amp;DO_DB[[#This Row],[Material Name]]</f>
        <v>45583_FDT-72</v>
      </c>
      <c r="O1760" t="str">
        <f>DO_DB[[#This Row],[SiteID]]</f>
        <v>CLR30-01-059</v>
      </c>
      <c r="P1760" t="str">
        <f>DO_DB[[#This Row],[SiteID]]&amp;"_"&amp;DO_DB[[#This Row],[Material Name]]</f>
        <v>CLR30-01-059_FDT-72</v>
      </c>
      <c r="Q1760" t="str">
        <f>DO_DB[[#This Row],[DO Number]]</f>
        <v>DOEID24101772</v>
      </c>
      <c r="R1760" t="str">
        <f>DO_DB[[#This Row],[DN Number]]</f>
        <v>DNWID0342024101806</v>
      </c>
    </row>
    <row r="1761" spans="1:18">
      <c r="A1761" t="s">
        <v>2294</v>
      </c>
      <c r="B1761" t="s">
        <v>2295</v>
      </c>
      <c r="C1761" t="s">
        <v>4482</v>
      </c>
      <c r="D1761" t="s">
        <v>71</v>
      </c>
      <c r="E1761" t="s">
        <v>644</v>
      </c>
      <c r="F1761" t="s">
        <v>4500</v>
      </c>
      <c r="G1761" t="s">
        <v>2296</v>
      </c>
      <c r="H1761" t="s">
        <v>2297</v>
      </c>
      <c r="I1761" s="130">
        <v>45583</v>
      </c>
      <c r="J1761" t="s">
        <v>13</v>
      </c>
      <c r="K1761">
        <v>17</v>
      </c>
      <c r="M17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61" t="str">
        <f>DO_DB[[#This Row],[Material Pick-update]]&amp;"_"&amp;DO_DB[[#This Row],[Material Name]]</f>
        <v>45583_FAT-16</v>
      </c>
      <c r="O1761" t="str">
        <f>DO_DB[[#This Row],[SiteID]]</f>
        <v>CLR30-01-059</v>
      </c>
      <c r="P1761" t="str">
        <f>DO_DB[[#This Row],[SiteID]]&amp;"_"&amp;DO_DB[[#This Row],[Material Name]]</f>
        <v>CLR30-01-059_FAT-16</v>
      </c>
      <c r="Q1761" t="str">
        <f>DO_DB[[#This Row],[DO Number]]</f>
        <v>DOEID24101772</v>
      </c>
      <c r="R1761" t="str">
        <f>DO_DB[[#This Row],[DN Number]]</f>
        <v>DNWID0342024101806</v>
      </c>
    </row>
    <row r="1762" spans="1:18">
      <c r="A1762" t="s">
        <v>2290</v>
      </c>
      <c r="B1762" t="s">
        <v>2291</v>
      </c>
      <c r="C1762" t="s">
        <v>4482</v>
      </c>
      <c r="D1762" t="s">
        <v>71</v>
      </c>
      <c r="E1762" t="s">
        <v>644</v>
      </c>
      <c r="F1762" t="s">
        <v>4500</v>
      </c>
      <c r="G1762" t="s">
        <v>2302</v>
      </c>
      <c r="H1762" t="s">
        <v>2303</v>
      </c>
      <c r="I1762" s="130">
        <v>45583</v>
      </c>
      <c r="J1762" t="s">
        <v>3069</v>
      </c>
      <c r="K1762">
        <v>37</v>
      </c>
      <c r="M17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62" t="str">
        <f>DO_DB[[#This Row],[Material Pick-update]]&amp;"_"&amp;DO_DB[[#This Row],[Material Name]]</f>
        <v>45583_Pole 7M 4"</v>
      </c>
      <c r="O1762" t="str">
        <f>DO_DB[[#This Row],[SiteID]]</f>
        <v>CLR30-03-006</v>
      </c>
      <c r="P1762" t="str">
        <f>DO_DB[[#This Row],[SiteID]]&amp;"_"&amp;DO_DB[[#This Row],[Material Name]]</f>
        <v>CLR30-03-006_Pole 7M 4"</v>
      </c>
      <c r="Q1762" t="str">
        <f>DO_DB[[#This Row],[DO Number]]</f>
        <v>DOEID24101773</v>
      </c>
      <c r="R1762" t="str">
        <f>DO_DB[[#This Row],[DN Number]]</f>
        <v>DNWID0362024101806</v>
      </c>
    </row>
    <row r="1763" spans="1:18">
      <c r="A1763" t="s">
        <v>2290</v>
      </c>
      <c r="B1763" t="s">
        <v>2291</v>
      </c>
      <c r="C1763" t="s">
        <v>4482</v>
      </c>
      <c r="D1763" t="s">
        <v>71</v>
      </c>
      <c r="E1763" t="s">
        <v>644</v>
      </c>
      <c r="F1763" t="s">
        <v>4500</v>
      </c>
      <c r="G1763" t="s">
        <v>2302</v>
      </c>
      <c r="H1763" t="s">
        <v>2303</v>
      </c>
      <c r="I1763" s="130">
        <v>45583</v>
      </c>
      <c r="J1763" t="s">
        <v>3070</v>
      </c>
      <c r="K1763">
        <v>5</v>
      </c>
      <c r="M17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63" t="str">
        <f>DO_DB[[#This Row],[Material Pick-update]]&amp;"_"&amp;DO_DB[[#This Row],[Material Name]]</f>
        <v>45583_Pole 7M 3"</v>
      </c>
      <c r="O1763" t="str">
        <f>DO_DB[[#This Row],[SiteID]]</f>
        <v>CLR30-03-006</v>
      </c>
      <c r="P1763" t="str">
        <f>DO_DB[[#This Row],[SiteID]]&amp;"_"&amp;DO_DB[[#This Row],[Material Name]]</f>
        <v>CLR30-03-006_Pole 7M 3"</v>
      </c>
      <c r="Q1763" t="str">
        <f>DO_DB[[#This Row],[DO Number]]</f>
        <v>DOEID24101773</v>
      </c>
      <c r="R1763" t="str">
        <f>DO_DB[[#This Row],[DN Number]]</f>
        <v>DNWID0362024101806</v>
      </c>
    </row>
    <row r="1764" spans="1:18">
      <c r="A1764" t="s">
        <v>2290</v>
      </c>
      <c r="B1764" t="s">
        <v>2291</v>
      </c>
      <c r="C1764" t="s">
        <v>4482</v>
      </c>
      <c r="D1764" t="s">
        <v>71</v>
      </c>
      <c r="E1764" t="s">
        <v>644</v>
      </c>
      <c r="F1764" t="s">
        <v>4500</v>
      </c>
      <c r="G1764" t="s">
        <v>2302</v>
      </c>
      <c r="H1764" t="s">
        <v>2303</v>
      </c>
      <c r="I1764" s="130">
        <v>45583</v>
      </c>
      <c r="J1764" t="s">
        <v>4856</v>
      </c>
      <c r="K1764">
        <v>1</v>
      </c>
      <c r="M17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64" t="str">
        <f>DO_DB[[#This Row],[Material Pick-update]]&amp;"_"&amp;DO_DB[[#This Row],[Material Name]]</f>
        <v>45583_JC 144Core</v>
      </c>
      <c r="O1764" t="str">
        <f>DO_DB[[#This Row],[SiteID]]</f>
        <v>CLR30-03-006</v>
      </c>
      <c r="P1764" t="str">
        <f>DO_DB[[#This Row],[SiteID]]&amp;"_"&amp;DO_DB[[#This Row],[Material Name]]</f>
        <v>CLR30-03-006_JC 144Core</v>
      </c>
      <c r="Q1764" t="str">
        <f>DO_DB[[#This Row],[DO Number]]</f>
        <v>DOEID24101773</v>
      </c>
      <c r="R1764" t="str">
        <f>DO_DB[[#This Row],[DN Number]]</f>
        <v>DNWID0362024101806</v>
      </c>
    </row>
    <row r="1765" spans="1:18">
      <c r="A1765" t="s">
        <v>2290</v>
      </c>
      <c r="B1765" t="s">
        <v>2291</v>
      </c>
      <c r="C1765" t="s">
        <v>4482</v>
      </c>
      <c r="D1765" t="s">
        <v>71</v>
      </c>
      <c r="E1765" t="s">
        <v>644</v>
      </c>
      <c r="F1765" t="s">
        <v>4500</v>
      </c>
      <c r="G1765" t="s">
        <v>2292</v>
      </c>
      <c r="H1765" t="s">
        <v>2293</v>
      </c>
      <c r="I1765" s="130">
        <v>45583</v>
      </c>
      <c r="J1765" t="s">
        <v>15</v>
      </c>
      <c r="K1765">
        <v>1</v>
      </c>
      <c r="M17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65" t="str">
        <f>DO_DB[[#This Row],[Material Pick-update]]&amp;"_"&amp;DO_DB[[#This Row],[Material Name]]</f>
        <v>45583_FDT-72</v>
      </c>
      <c r="O1765" t="str">
        <f>DO_DB[[#This Row],[SiteID]]</f>
        <v>CLR30-03-006</v>
      </c>
      <c r="P1765" t="str">
        <f>DO_DB[[#This Row],[SiteID]]&amp;"_"&amp;DO_DB[[#This Row],[Material Name]]</f>
        <v>CLR30-03-006_FDT-72</v>
      </c>
      <c r="Q1765" t="str">
        <f>DO_DB[[#This Row],[DO Number]]</f>
        <v>DOEID24101774</v>
      </c>
      <c r="R1765" t="str">
        <f>DO_DB[[#This Row],[DN Number]]</f>
        <v>DNWID0342024101805</v>
      </c>
    </row>
    <row r="1766" spans="1:18">
      <c r="A1766" t="s">
        <v>2290</v>
      </c>
      <c r="B1766" t="s">
        <v>2291</v>
      </c>
      <c r="C1766" t="s">
        <v>4482</v>
      </c>
      <c r="D1766" t="s">
        <v>71</v>
      </c>
      <c r="E1766" t="s">
        <v>644</v>
      </c>
      <c r="F1766" t="s">
        <v>4500</v>
      </c>
      <c r="G1766" t="s">
        <v>2292</v>
      </c>
      <c r="H1766" t="s">
        <v>2293</v>
      </c>
      <c r="I1766" s="130">
        <v>45583</v>
      </c>
      <c r="J1766" t="s">
        <v>13</v>
      </c>
      <c r="K1766">
        <v>14</v>
      </c>
      <c r="M17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66" t="str">
        <f>DO_DB[[#This Row],[Material Pick-update]]&amp;"_"&amp;DO_DB[[#This Row],[Material Name]]</f>
        <v>45583_FAT-16</v>
      </c>
      <c r="O1766" t="str">
        <f>DO_DB[[#This Row],[SiteID]]</f>
        <v>CLR30-03-006</v>
      </c>
      <c r="P1766" t="str">
        <f>DO_DB[[#This Row],[SiteID]]&amp;"_"&amp;DO_DB[[#This Row],[Material Name]]</f>
        <v>CLR30-03-006_FAT-16</v>
      </c>
      <c r="Q1766" t="str">
        <f>DO_DB[[#This Row],[DO Number]]</f>
        <v>DOEID24101774</v>
      </c>
      <c r="R1766" t="str">
        <f>DO_DB[[#This Row],[DN Number]]</f>
        <v>DNWID0342024101805</v>
      </c>
    </row>
    <row r="1767" spans="1:18">
      <c r="A1767" t="s">
        <v>2286</v>
      </c>
      <c r="B1767" t="s">
        <v>2287</v>
      </c>
      <c r="C1767" t="s">
        <v>4482</v>
      </c>
      <c r="D1767" t="s">
        <v>71</v>
      </c>
      <c r="E1767" t="s">
        <v>644</v>
      </c>
      <c r="F1767" t="s">
        <v>4500</v>
      </c>
      <c r="G1767" t="s">
        <v>2298</v>
      </c>
      <c r="H1767" t="s">
        <v>2299</v>
      </c>
      <c r="I1767" s="130">
        <v>45583</v>
      </c>
      <c r="J1767" t="s">
        <v>3069</v>
      </c>
      <c r="K1767">
        <v>44</v>
      </c>
      <c r="M17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67" t="str">
        <f>DO_DB[[#This Row],[Material Pick-update]]&amp;"_"&amp;DO_DB[[#This Row],[Material Name]]</f>
        <v>45583_Pole 7M 4"</v>
      </c>
      <c r="O1767" t="str">
        <f>DO_DB[[#This Row],[SiteID]]</f>
        <v>CLR30-03-009</v>
      </c>
      <c r="P1767" t="str">
        <f>DO_DB[[#This Row],[SiteID]]&amp;"_"&amp;DO_DB[[#This Row],[Material Name]]</f>
        <v>CLR30-03-009_Pole 7M 4"</v>
      </c>
      <c r="Q1767" t="str">
        <f>DO_DB[[#This Row],[DO Number]]</f>
        <v>DOEID24101775</v>
      </c>
      <c r="R1767" t="str">
        <f>DO_DB[[#This Row],[DN Number]]</f>
        <v>DNWID0362024101804</v>
      </c>
    </row>
    <row r="1768" spans="1:18">
      <c r="A1768" t="s">
        <v>2286</v>
      </c>
      <c r="B1768" t="s">
        <v>2287</v>
      </c>
      <c r="C1768" t="s">
        <v>4482</v>
      </c>
      <c r="D1768" t="s">
        <v>71</v>
      </c>
      <c r="E1768" t="s">
        <v>644</v>
      </c>
      <c r="F1768" t="s">
        <v>4500</v>
      </c>
      <c r="G1768" t="s">
        <v>2298</v>
      </c>
      <c r="H1768" t="s">
        <v>2299</v>
      </c>
      <c r="I1768" s="130">
        <v>45583</v>
      </c>
      <c r="J1768" t="s">
        <v>3070</v>
      </c>
      <c r="K1768">
        <v>3</v>
      </c>
      <c r="M17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68" t="str">
        <f>DO_DB[[#This Row],[Material Pick-update]]&amp;"_"&amp;DO_DB[[#This Row],[Material Name]]</f>
        <v>45583_Pole 7M 3"</v>
      </c>
      <c r="O1768" t="str">
        <f>DO_DB[[#This Row],[SiteID]]</f>
        <v>CLR30-03-009</v>
      </c>
      <c r="P1768" t="str">
        <f>DO_DB[[#This Row],[SiteID]]&amp;"_"&amp;DO_DB[[#This Row],[Material Name]]</f>
        <v>CLR30-03-009_Pole 7M 3"</v>
      </c>
      <c r="Q1768" t="str">
        <f>DO_DB[[#This Row],[DO Number]]</f>
        <v>DOEID24101775</v>
      </c>
      <c r="R1768" t="str">
        <f>DO_DB[[#This Row],[DN Number]]</f>
        <v>DNWID0362024101804</v>
      </c>
    </row>
    <row r="1769" spans="1:18">
      <c r="A1769" t="s">
        <v>2286</v>
      </c>
      <c r="B1769" t="s">
        <v>2287</v>
      </c>
      <c r="C1769" t="s">
        <v>4482</v>
      </c>
      <c r="D1769" t="s">
        <v>71</v>
      </c>
      <c r="E1769" t="s">
        <v>644</v>
      </c>
      <c r="F1769" t="s">
        <v>4500</v>
      </c>
      <c r="G1769" t="s">
        <v>2298</v>
      </c>
      <c r="H1769" t="s">
        <v>2299</v>
      </c>
      <c r="I1769" s="130">
        <v>45583</v>
      </c>
      <c r="J1769" t="s">
        <v>4856</v>
      </c>
      <c r="K1769">
        <v>1</v>
      </c>
      <c r="M17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69" t="str">
        <f>DO_DB[[#This Row],[Material Pick-update]]&amp;"_"&amp;DO_DB[[#This Row],[Material Name]]</f>
        <v>45583_JC 144Core</v>
      </c>
      <c r="O1769" t="str">
        <f>DO_DB[[#This Row],[SiteID]]</f>
        <v>CLR30-03-009</v>
      </c>
      <c r="P1769" t="str">
        <f>DO_DB[[#This Row],[SiteID]]&amp;"_"&amp;DO_DB[[#This Row],[Material Name]]</f>
        <v>CLR30-03-009_JC 144Core</v>
      </c>
      <c r="Q1769" t="str">
        <f>DO_DB[[#This Row],[DO Number]]</f>
        <v>DOEID24101775</v>
      </c>
      <c r="R1769" t="str">
        <f>DO_DB[[#This Row],[DN Number]]</f>
        <v>DNWID0362024101804</v>
      </c>
    </row>
    <row r="1770" spans="1:18">
      <c r="A1770" t="s">
        <v>2286</v>
      </c>
      <c r="B1770" t="s">
        <v>2287</v>
      </c>
      <c r="C1770" t="s">
        <v>4482</v>
      </c>
      <c r="D1770" t="s">
        <v>71</v>
      </c>
      <c r="E1770" t="s">
        <v>644</v>
      </c>
      <c r="F1770" t="s">
        <v>4500</v>
      </c>
      <c r="G1770" t="s">
        <v>2288</v>
      </c>
      <c r="H1770" t="s">
        <v>2289</v>
      </c>
      <c r="I1770" s="130">
        <v>45583</v>
      </c>
      <c r="J1770" t="s">
        <v>15</v>
      </c>
      <c r="K1770">
        <v>1</v>
      </c>
      <c r="M17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70" t="str">
        <f>DO_DB[[#This Row],[Material Pick-update]]&amp;"_"&amp;DO_DB[[#This Row],[Material Name]]</f>
        <v>45583_FDT-72</v>
      </c>
      <c r="O1770" t="str">
        <f>DO_DB[[#This Row],[SiteID]]</f>
        <v>CLR30-03-009</v>
      </c>
      <c r="P1770" t="str">
        <f>DO_DB[[#This Row],[SiteID]]&amp;"_"&amp;DO_DB[[#This Row],[Material Name]]</f>
        <v>CLR30-03-009_FDT-72</v>
      </c>
      <c r="Q1770" t="str">
        <f>DO_DB[[#This Row],[DO Number]]</f>
        <v>DOEID24101776</v>
      </c>
      <c r="R1770" t="str">
        <f>DO_DB[[#This Row],[DN Number]]</f>
        <v>DNWID0342024101802</v>
      </c>
    </row>
    <row r="1771" spans="1:18">
      <c r="A1771" t="s">
        <v>2286</v>
      </c>
      <c r="B1771" t="s">
        <v>2287</v>
      </c>
      <c r="C1771" t="s">
        <v>4482</v>
      </c>
      <c r="D1771" t="s">
        <v>71</v>
      </c>
      <c r="E1771" t="s">
        <v>644</v>
      </c>
      <c r="F1771" t="s">
        <v>4500</v>
      </c>
      <c r="G1771" t="s">
        <v>2288</v>
      </c>
      <c r="H1771" t="s">
        <v>2289</v>
      </c>
      <c r="I1771" s="130">
        <v>45583</v>
      </c>
      <c r="J1771" t="s">
        <v>13</v>
      </c>
      <c r="K1771">
        <v>12</v>
      </c>
      <c r="M17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71" t="str">
        <f>DO_DB[[#This Row],[Material Pick-update]]&amp;"_"&amp;DO_DB[[#This Row],[Material Name]]</f>
        <v>45583_FAT-16</v>
      </c>
      <c r="O1771" t="str">
        <f>DO_DB[[#This Row],[SiteID]]</f>
        <v>CLR30-03-009</v>
      </c>
      <c r="P1771" t="str">
        <f>DO_DB[[#This Row],[SiteID]]&amp;"_"&amp;DO_DB[[#This Row],[Material Name]]</f>
        <v>CLR30-03-009_FAT-16</v>
      </c>
      <c r="Q1771" t="str">
        <f>DO_DB[[#This Row],[DO Number]]</f>
        <v>DOEID24101776</v>
      </c>
      <c r="R1771" t="str">
        <f>DO_DB[[#This Row],[DN Number]]</f>
        <v>DNWID0342024101802</v>
      </c>
    </row>
    <row r="1772" spans="1:18">
      <c r="A1772" t="s">
        <v>2294</v>
      </c>
      <c r="B1772" t="s">
        <v>2295</v>
      </c>
      <c r="C1772" t="s">
        <v>4482</v>
      </c>
      <c r="D1772" t="s">
        <v>71</v>
      </c>
      <c r="E1772" t="s">
        <v>644</v>
      </c>
      <c r="F1772" t="s">
        <v>4500</v>
      </c>
      <c r="G1772" t="s">
        <v>2296</v>
      </c>
      <c r="H1772" t="s">
        <v>2297</v>
      </c>
      <c r="I1772" s="130">
        <v>45583</v>
      </c>
      <c r="J1772" t="s">
        <v>3073</v>
      </c>
      <c r="K1772">
        <v>3000</v>
      </c>
      <c r="M17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24C-20241018-01</v>
      </c>
      <c r="N1772" t="str">
        <f>DO_DB[[#This Row],[Material Pick-update]]&amp;"_"&amp;DO_DB[[#This Row],[Material Name]]</f>
        <v>45583_ADSS 24C</v>
      </c>
      <c r="O1772" t="str">
        <f>DO_DB[[#This Row],[SiteID]]</f>
        <v>CLR30-01-059</v>
      </c>
      <c r="P1772" t="str">
        <f>DO_DB[[#This Row],[SiteID]]&amp;"_"&amp;DO_DB[[#This Row],[Material Name]]</f>
        <v>CLR30-01-059_ADSS 24C</v>
      </c>
      <c r="Q1772" t="str">
        <f>DO_DB[[#This Row],[DO Number]]</f>
        <v>DOEID24101772</v>
      </c>
      <c r="R1772" t="str">
        <f>DO_DB[[#This Row],[DN Number]]</f>
        <v>DNWID0342024101806</v>
      </c>
    </row>
    <row r="1773" spans="1:18">
      <c r="A1773" t="s">
        <v>2286</v>
      </c>
      <c r="B1773" t="s">
        <v>2287</v>
      </c>
      <c r="C1773" t="s">
        <v>4482</v>
      </c>
      <c r="D1773" t="s">
        <v>71</v>
      </c>
      <c r="E1773" t="s">
        <v>644</v>
      </c>
      <c r="F1773" t="s">
        <v>4500</v>
      </c>
      <c r="G1773" t="s">
        <v>2288</v>
      </c>
      <c r="H1773" t="s">
        <v>2289</v>
      </c>
      <c r="I1773" s="130">
        <v>45583</v>
      </c>
      <c r="J1773" t="s">
        <v>3073</v>
      </c>
      <c r="K1773">
        <v>3000</v>
      </c>
      <c r="M17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24C-20241018-01</v>
      </c>
      <c r="N1773" t="str">
        <f>DO_DB[[#This Row],[Material Pick-update]]&amp;"_"&amp;DO_DB[[#This Row],[Material Name]]</f>
        <v>45583_ADSS 24C</v>
      </c>
      <c r="O1773" t="str">
        <f>DO_DB[[#This Row],[SiteID]]</f>
        <v>CLR30-03-009</v>
      </c>
      <c r="P1773" t="str">
        <f>DO_DB[[#This Row],[SiteID]]&amp;"_"&amp;DO_DB[[#This Row],[Material Name]]</f>
        <v>CLR30-03-009_ADSS 24C</v>
      </c>
      <c r="Q1773" t="str">
        <f>DO_DB[[#This Row],[DO Number]]</f>
        <v>DOEID24101776</v>
      </c>
      <c r="R1773" t="str">
        <f>DO_DB[[#This Row],[DN Number]]</f>
        <v>DNWID0342024101802</v>
      </c>
    </row>
    <row r="1774" spans="1:18">
      <c r="A1774" t="s">
        <v>2286</v>
      </c>
      <c r="B1774" t="s">
        <v>2287</v>
      </c>
      <c r="C1774" t="s">
        <v>4482</v>
      </c>
      <c r="D1774" t="s">
        <v>71</v>
      </c>
      <c r="E1774" t="s">
        <v>644</v>
      </c>
      <c r="F1774" t="s">
        <v>4500</v>
      </c>
      <c r="G1774" t="s">
        <v>2288</v>
      </c>
      <c r="H1774" t="s">
        <v>2289</v>
      </c>
      <c r="I1774" s="130">
        <v>45583</v>
      </c>
      <c r="J1774" t="s">
        <v>3075</v>
      </c>
      <c r="K1774">
        <v>3000</v>
      </c>
      <c r="M17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48C-20241018-01</v>
      </c>
      <c r="N1774" t="str">
        <f>DO_DB[[#This Row],[Material Pick-update]]&amp;"_"&amp;DO_DB[[#This Row],[Material Name]]</f>
        <v>45583_ADSS 48C</v>
      </c>
      <c r="O1774" t="str">
        <f>DO_DB[[#This Row],[SiteID]]</f>
        <v>CLR30-03-009</v>
      </c>
      <c r="P1774" t="str">
        <f>DO_DB[[#This Row],[SiteID]]&amp;"_"&amp;DO_DB[[#This Row],[Material Name]]</f>
        <v>CLR30-03-009_ADSS 48C</v>
      </c>
      <c r="Q1774" t="str">
        <f>DO_DB[[#This Row],[DO Number]]</f>
        <v>DOEID24101776</v>
      </c>
      <c r="R1774" t="str">
        <f>DO_DB[[#This Row],[DN Number]]</f>
        <v>DNWID0342024101802</v>
      </c>
    </row>
    <row r="1775" spans="1:18">
      <c r="A1775" t="s">
        <v>2416</v>
      </c>
      <c r="B1775" t="s">
        <v>2417</v>
      </c>
      <c r="C1775" t="s">
        <v>4482</v>
      </c>
      <c r="D1775" t="s">
        <v>71</v>
      </c>
      <c r="E1775" t="s">
        <v>644</v>
      </c>
      <c r="F1775" t="s">
        <v>4500</v>
      </c>
      <c r="G1775" t="s">
        <v>2418</v>
      </c>
      <c r="H1775" t="s">
        <v>2419</v>
      </c>
      <c r="I1775" s="130">
        <v>45602</v>
      </c>
      <c r="J1775" t="s">
        <v>4856</v>
      </c>
      <c r="K1775">
        <v>1</v>
      </c>
      <c r="M17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75" t="str">
        <f>DO_DB[[#This Row],[Material Pick-update]]&amp;"_"&amp;DO_DB[[#This Row],[Material Name]]</f>
        <v>45602_JC 144Core</v>
      </c>
      <c r="O1775" t="str">
        <f>DO_DB[[#This Row],[SiteID]]</f>
        <v>CLR30-03-003</v>
      </c>
      <c r="P1775" t="str">
        <f>DO_DB[[#This Row],[SiteID]]&amp;"_"&amp;DO_DB[[#This Row],[Material Name]]</f>
        <v>CLR30-03-003_JC 144Core</v>
      </c>
      <c r="Q1775" t="str">
        <f>DO_DB[[#This Row],[DO Number]]</f>
        <v>DOEID24110120</v>
      </c>
      <c r="R1775" t="str">
        <f>DO_DB[[#This Row],[DN Number]]</f>
        <v>DNWID0362024110102</v>
      </c>
    </row>
    <row r="1776" spans="1:18">
      <c r="A1776" t="s">
        <v>2416</v>
      </c>
      <c r="B1776" t="s">
        <v>2417</v>
      </c>
      <c r="C1776" t="s">
        <v>4482</v>
      </c>
      <c r="D1776" t="s">
        <v>71</v>
      </c>
      <c r="E1776" t="s">
        <v>644</v>
      </c>
      <c r="F1776" t="s">
        <v>4500</v>
      </c>
      <c r="G1776" t="s">
        <v>2422</v>
      </c>
      <c r="H1776" t="s">
        <v>2423</v>
      </c>
      <c r="I1776" s="130">
        <v>45602</v>
      </c>
      <c r="J1776" t="s">
        <v>15</v>
      </c>
      <c r="K1776">
        <v>1</v>
      </c>
      <c r="M17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76" t="str">
        <f>DO_DB[[#This Row],[Material Pick-update]]&amp;"_"&amp;DO_DB[[#This Row],[Material Name]]</f>
        <v>45602_FDT-72</v>
      </c>
      <c r="O1776" t="str">
        <f>DO_DB[[#This Row],[SiteID]]</f>
        <v>CLR30-03-003</v>
      </c>
      <c r="P1776" t="str">
        <f>DO_DB[[#This Row],[SiteID]]&amp;"_"&amp;DO_DB[[#This Row],[Material Name]]</f>
        <v>CLR30-03-003_FDT-72</v>
      </c>
      <c r="Q1776" t="str">
        <f>DO_DB[[#This Row],[DO Number]]</f>
        <v>DOEID24110121</v>
      </c>
      <c r="R1776" t="str">
        <f>DO_DB[[#This Row],[DN Number]]</f>
        <v>DNWID0342024110102</v>
      </c>
    </row>
    <row r="1777" spans="1:18">
      <c r="A1777" t="s">
        <v>2416</v>
      </c>
      <c r="B1777" t="s">
        <v>2417</v>
      </c>
      <c r="C1777" t="s">
        <v>4482</v>
      </c>
      <c r="D1777" t="s">
        <v>71</v>
      </c>
      <c r="E1777" t="s">
        <v>644</v>
      </c>
      <c r="F1777" t="s">
        <v>4500</v>
      </c>
      <c r="G1777" t="s">
        <v>2422</v>
      </c>
      <c r="H1777" t="s">
        <v>2423</v>
      </c>
      <c r="I1777" s="130">
        <v>45602</v>
      </c>
      <c r="J1777" t="s">
        <v>13</v>
      </c>
      <c r="K1777">
        <v>19</v>
      </c>
      <c r="M17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77" t="str">
        <f>DO_DB[[#This Row],[Material Pick-update]]&amp;"_"&amp;DO_DB[[#This Row],[Material Name]]</f>
        <v>45602_FAT-16</v>
      </c>
      <c r="O1777" t="str">
        <f>DO_DB[[#This Row],[SiteID]]</f>
        <v>CLR30-03-003</v>
      </c>
      <c r="P1777" t="str">
        <f>DO_DB[[#This Row],[SiteID]]&amp;"_"&amp;DO_DB[[#This Row],[Material Name]]</f>
        <v>CLR30-03-003_FAT-16</v>
      </c>
      <c r="Q1777" t="str">
        <f>DO_DB[[#This Row],[DO Number]]</f>
        <v>DOEID24110121</v>
      </c>
      <c r="R1777" t="str">
        <f>DO_DB[[#This Row],[DN Number]]</f>
        <v>DNWID0342024110102</v>
      </c>
    </row>
    <row r="1778" spans="1:18">
      <c r="A1778" t="s">
        <v>2047</v>
      </c>
      <c r="B1778" t="s">
        <v>2048</v>
      </c>
      <c r="C1778" t="s">
        <v>4482</v>
      </c>
      <c r="D1778" t="s">
        <v>71</v>
      </c>
      <c r="E1778" t="s">
        <v>644</v>
      </c>
      <c r="F1778" t="s">
        <v>4500</v>
      </c>
      <c r="G1778" t="s">
        <v>2406</v>
      </c>
      <c r="H1778" t="s">
        <v>2407</v>
      </c>
      <c r="I1778" s="130">
        <v>45602</v>
      </c>
      <c r="J1778" t="s">
        <v>4856</v>
      </c>
      <c r="K1778">
        <v>1</v>
      </c>
      <c r="M17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78" t="str">
        <f>DO_DB[[#This Row],[Material Pick-update]]&amp;"_"&amp;DO_DB[[#This Row],[Material Name]]</f>
        <v>45602_JC 144Core</v>
      </c>
      <c r="O1778" t="str">
        <f>DO_DB[[#This Row],[SiteID]]</f>
        <v>CLR30-99-054</v>
      </c>
      <c r="P1778" t="str">
        <f>DO_DB[[#This Row],[SiteID]]&amp;"_"&amp;DO_DB[[#This Row],[Material Name]]</f>
        <v>CLR30-99-054_JC 144Core</v>
      </c>
      <c r="Q1778" t="str">
        <f>DO_DB[[#This Row],[DO Number]]</f>
        <v>DOEID24110132</v>
      </c>
      <c r="R1778" t="str">
        <f>DO_DB[[#This Row],[DN Number]]</f>
        <v>DNWID0362024110107</v>
      </c>
    </row>
    <row r="1779" spans="1:18">
      <c r="A1779" t="s">
        <v>2053</v>
      </c>
      <c r="B1779" t="s">
        <v>2054</v>
      </c>
      <c r="C1779" t="s">
        <v>4482</v>
      </c>
      <c r="D1779" t="s">
        <v>71</v>
      </c>
      <c r="E1779" t="s">
        <v>644</v>
      </c>
      <c r="F1779" t="s">
        <v>4500</v>
      </c>
      <c r="G1779" t="s">
        <v>2420</v>
      </c>
      <c r="H1779" t="s">
        <v>2421</v>
      </c>
      <c r="I1779" s="130">
        <v>45602</v>
      </c>
      <c r="J1779" t="s">
        <v>4856</v>
      </c>
      <c r="K1779">
        <v>1</v>
      </c>
      <c r="M17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79" t="str">
        <f>DO_DB[[#This Row],[Material Pick-update]]&amp;"_"&amp;DO_DB[[#This Row],[Material Name]]</f>
        <v>45602_JC 144Core</v>
      </c>
      <c r="O1779" t="str">
        <f>DO_DB[[#This Row],[SiteID]]</f>
        <v>CLR30-99-055</v>
      </c>
      <c r="P1779" t="str">
        <f>DO_DB[[#This Row],[SiteID]]&amp;"_"&amp;DO_DB[[#This Row],[Material Name]]</f>
        <v>CLR30-99-055_JC 144Core</v>
      </c>
      <c r="Q1779" t="str">
        <f>DO_DB[[#This Row],[DO Number]]</f>
        <v>DOEID24110133</v>
      </c>
      <c r="R1779" t="str">
        <f>DO_DB[[#This Row],[DN Number]]</f>
        <v>DNWID0362024110104</v>
      </c>
    </row>
    <row r="1780" spans="1:18">
      <c r="A1780" t="s">
        <v>2059</v>
      </c>
      <c r="B1780" t="s">
        <v>2060</v>
      </c>
      <c r="C1780" t="s">
        <v>4482</v>
      </c>
      <c r="D1780" t="s">
        <v>71</v>
      </c>
      <c r="E1780" t="s">
        <v>644</v>
      </c>
      <c r="F1780" t="s">
        <v>4500</v>
      </c>
      <c r="G1780" t="s">
        <v>2408</v>
      </c>
      <c r="H1780" t="s">
        <v>2409</v>
      </c>
      <c r="I1780" s="130">
        <v>45602</v>
      </c>
      <c r="J1780" t="s">
        <v>4856</v>
      </c>
      <c r="K1780">
        <v>1</v>
      </c>
      <c r="M17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80" t="str">
        <f>DO_DB[[#This Row],[Material Pick-update]]&amp;"_"&amp;DO_DB[[#This Row],[Material Name]]</f>
        <v>45602_JC 144Core</v>
      </c>
      <c r="O1780" t="str">
        <f>DO_DB[[#This Row],[SiteID]]</f>
        <v>CLR30-99-056</v>
      </c>
      <c r="P1780" t="str">
        <f>DO_DB[[#This Row],[SiteID]]&amp;"_"&amp;DO_DB[[#This Row],[Material Name]]</f>
        <v>CLR30-99-056_JC 144Core</v>
      </c>
      <c r="Q1780" t="str">
        <f>DO_DB[[#This Row],[DO Number]]</f>
        <v>DOEID24110134</v>
      </c>
      <c r="R1780" t="str">
        <f>DO_DB[[#This Row],[DN Number]]</f>
        <v>DNWID0362024110106</v>
      </c>
    </row>
    <row r="1781" spans="1:18">
      <c r="A1781" t="s">
        <v>802</v>
      </c>
      <c r="B1781" t="s">
        <v>803</v>
      </c>
      <c r="C1781" t="s">
        <v>4482</v>
      </c>
      <c r="D1781" t="s">
        <v>71</v>
      </c>
      <c r="E1781" t="s">
        <v>644</v>
      </c>
      <c r="F1781" t="s">
        <v>4500</v>
      </c>
      <c r="G1781" t="s">
        <v>2424</v>
      </c>
      <c r="H1781" t="s">
        <v>2425</v>
      </c>
      <c r="I1781" s="130">
        <v>45602</v>
      </c>
      <c r="J1781" t="s">
        <v>4856</v>
      </c>
      <c r="K1781">
        <v>1</v>
      </c>
      <c r="M17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81" t="str">
        <f>DO_DB[[#This Row],[Material Pick-update]]&amp;"_"&amp;DO_DB[[#This Row],[Material Name]]</f>
        <v>45602_JC 144Core</v>
      </c>
      <c r="O1781" t="str">
        <f>DO_DB[[#This Row],[SiteID]]</f>
        <v>CLR30-99-036</v>
      </c>
      <c r="P1781" t="str">
        <f>DO_DB[[#This Row],[SiteID]]&amp;"_"&amp;DO_DB[[#This Row],[Material Name]]</f>
        <v>CLR30-99-036_JC 144Core</v>
      </c>
      <c r="Q1781" t="str">
        <f>DO_DB[[#This Row],[DO Number]]</f>
        <v>DOEID24110531</v>
      </c>
      <c r="R1781" t="str">
        <f>DO_DB[[#This Row],[DN Number]]</f>
        <v>DNWID0362024110501</v>
      </c>
    </row>
    <row r="1782" spans="1:18">
      <c r="A1782" t="s">
        <v>2416</v>
      </c>
      <c r="B1782" t="s">
        <v>2417</v>
      </c>
      <c r="C1782" t="s">
        <v>4482</v>
      </c>
      <c r="D1782" t="s">
        <v>71</v>
      </c>
      <c r="E1782" t="s">
        <v>644</v>
      </c>
      <c r="F1782" t="s">
        <v>4500</v>
      </c>
      <c r="G1782" t="s">
        <v>2422</v>
      </c>
      <c r="H1782" t="s">
        <v>2423</v>
      </c>
      <c r="I1782" s="130">
        <v>45602</v>
      </c>
      <c r="J1782" t="s">
        <v>3075</v>
      </c>
      <c r="K1782">
        <v>3000</v>
      </c>
      <c r="M17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48C-2024116-01</v>
      </c>
      <c r="N1782" t="str">
        <f>DO_DB[[#This Row],[Material Pick-update]]&amp;"_"&amp;DO_DB[[#This Row],[Material Name]]</f>
        <v>45602_ADSS 48C</v>
      </c>
      <c r="O1782" t="str">
        <f>DO_DB[[#This Row],[SiteID]]</f>
        <v>CLR30-03-003</v>
      </c>
      <c r="P1782" t="str">
        <f>DO_DB[[#This Row],[SiteID]]&amp;"_"&amp;DO_DB[[#This Row],[Material Name]]</f>
        <v>CLR30-03-003_ADSS 48C</v>
      </c>
      <c r="Q1782" t="str">
        <f>DO_DB[[#This Row],[DO Number]]</f>
        <v>DOEID24110121</v>
      </c>
      <c r="R1782" t="str">
        <f>DO_DB[[#This Row],[DN Number]]</f>
        <v>DNWID0342024110102</v>
      </c>
    </row>
    <row r="1783" spans="1:18">
      <c r="A1783" t="s">
        <v>2410</v>
      </c>
      <c r="B1783" t="s">
        <v>2411</v>
      </c>
      <c r="C1783" t="s">
        <v>4482</v>
      </c>
      <c r="D1783" t="s">
        <v>71</v>
      </c>
      <c r="E1783" t="s">
        <v>876</v>
      </c>
      <c r="F1783" t="s">
        <v>4500</v>
      </c>
      <c r="G1783" t="s">
        <v>2412</v>
      </c>
      <c r="H1783" t="s">
        <v>2413</v>
      </c>
      <c r="I1783" s="130">
        <v>45602</v>
      </c>
      <c r="J1783" t="s">
        <v>3069</v>
      </c>
      <c r="K1783">
        <v>310</v>
      </c>
      <c r="M17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83" t="str">
        <f>DO_DB[[#This Row],[Material Pick-update]]&amp;"_"&amp;DO_DB[[#This Row],[Material Name]]</f>
        <v>45602_Pole 7M 4"</v>
      </c>
      <c r="O1783" t="str">
        <f>DO_DB[[#This Row],[SiteID]]</f>
        <v>CLR37-99-034</v>
      </c>
      <c r="P1783" t="str">
        <f>DO_DB[[#This Row],[SiteID]]&amp;"_"&amp;DO_DB[[#This Row],[Material Name]]</f>
        <v>CLR37-99-034_Pole 7M 4"</v>
      </c>
      <c r="Q1783" t="str">
        <f>DO_DB[[#This Row],[DO Number]]</f>
        <v>DOEID24102254</v>
      </c>
      <c r="R1783" t="str">
        <f>DO_DB[[#This Row],[DN Number]]</f>
        <v>DNWID0362024102213</v>
      </c>
    </row>
    <row r="1784" spans="1:18">
      <c r="A1784" t="s">
        <v>2410</v>
      </c>
      <c r="B1784" t="s">
        <v>2411</v>
      </c>
      <c r="C1784" t="s">
        <v>4482</v>
      </c>
      <c r="D1784" t="s">
        <v>71</v>
      </c>
      <c r="E1784" t="s">
        <v>876</v>
      </c>
      <c r="F1784" t="s">
        <v>4500</v>
      </c>
      <c r="G1784" t="s">
        <v>2412</v>
      </c>
      <c r="H1784" t="s">
        <v>2413</v>
      </c>
      <c r="I1784" s="130">
        <v>45602</v>
      </c>
      <c r="J1784" t="s">
        <v>3070</v>
      </c>
      <c r="K1784">
        <v>51</v>
      </c>
      <c r="M17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84" t="str">
        <f>DO_DB[[#This Row],[Material Pick-update]]&amp;"_"&amp;DO_DB[[#This Row],[Material Name]]</f>
        <v>45602_Pole 7M 3"</v>
      </c>
      <c r="O1784" t="str">
        <f>DO_DB[[#This Row],[SiteID]]</f>
        <v>CLR37-99-034</v>
      </c>
      <c r="P1784" t="str">
        <f>DO_DB[[#This Row],[SiteID]]&amp;"_"&amp;DO_DB[[#This Row],[Material Name]]</f>
        <v>CLR37-99-034_Pole 7M 3"</v>
      </c>
      <c r="Q1784" t="str">
        <f>DO_DB[[#This Row],[DO Number]]</f>
        <v>DOEID24102254</v>
      </c>
      <c r="R1784" t="str">
        <f>DO_DB[[#This Row],[DN Number]]</f>
        <v>DNWID0362024102213</v>
      </c>
    </row>
    <row r="1785" spans="1:18">
      <c r="A1785" t="s">
        <v>2410</v>
      </c>
      <c r="B1785" t="s">
        <v>2411</v>
      </c>
      <c r="C1785" t="s">
        <v>4482</v>
      </c>
      <c r="D1785" t="s">
        <v>71</v>
      </c>
      <c r="E1785" t="s">
        <v>876</v>
      </c>
      <c r="F1785" t="s">
        <v>4500</v>
      </c>
      <c r="G1785" t="s">
        <v>2414</v>
      </c>
      <c r="H1785" t="s">
        <v>2415</v>
      </c>
      <c r="I1785" s="130">
        <v>45602</v>
      </c>
      <c r="J1785" t="s">
        <v>15</v>
      </c>
      <c r="K1785">
        <v>5</v>
      </c>
      <c r="M17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85" t="str">
        <f>DO_DB[[#This Row],[Material Pick-update]]&amp;"_"&amp;DO_DB[[#This Row],[Material Name]]</f>
        <v>45602_FDT-72</v>
      </c>
      <c r="O1785" t="str">
        <f>DO_DB[[#This Row],[SiteID]]</f>
        <v>CLR37-99-034</v>
      </c>
      <c r="P1785" t="str">
        <f>DO_DB[[#This Row],[SiteID]]&amp;"_"&amp;DO_DB[[#This Row],[Material Name]]</f>
        <v>CLR37-99-034_FDT-72</v>
      </c>
      <c r="Q1785" t="str">
        <f>DO_DB[[#This Row],[DO Number]]</f>
        <v>DOEID24102255</v>
      </c>
      <c r="R1785" t="str">
        <f>DO_DB[[#This Row],[DN Number]]</f>
        <v>DNWID0342024110509</v>
      </c>
    </row>
    <row r="1786" spans="1:18">
      <c r="A1786" t="s">
        <v>2410</v>
      </c>
      <c r="B1786" t="s">
        <v>2411</v>
      </c>
      <c r="C1786" t="s">
        <v>4482</v>
      </c>
      <c r="D1786" t="s">
        <v>71</v>
      </c>
      <c r="E1786" t="s">
        <v>876</v>
      </c>
      <c r="F1786" t="s">
        <v>4500</v>
      </c>
      <c r="G1786" t="s">
        <v>2414</v>
      </c>
      <c r="H1786" t="s">
        <v>2415</v>
      </c>
      <c r="I1786" s="130">
        <v>45602</v>
      </c>
      <c r="J1786" t="s">
        <v>13</v>
      </c>
      <c r="K1786">
        <v>107</v>
      </c>
      <c r="M17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86" t="str">
        <f>DO_DB[[#This Row],[Material Pick-update]]&amp;"_"&amp;DO_DB[[#This Row],[Material Name]]</f>
        <v>45602_FAT-16</v>
      </c>
      <c r="O1786" t="str">
        <f>DO_DB[[#This Row],[SiteID]]</f>
        <v>CLR37-99-034</v>
      </c>
      <c r="P1786" t="str">
        <f>DO_DB[[#This Row],[SiteID]]&amp;"_"&amp;DO_DB[[#This Row],[Material Name]]</f>
        <v>CLR37-99-034_FAT-16</v>
      </c>
      <c r="Q1786" t="str">
        <f>DO_DB[[#This Row],[DO Number]]</f>
        <v>DOEID24102255</v>
      </c>
      <c r="R1786" t="str">
        <f>DO_DB[[#This Row],[DN Number]]</f>
        <v>DNWID0342024110509</v>
      </c>
    </row>
    <row r="1787" spans="1:18">
      <c r="A1787" t="s">
        <v>2410</v>
      </c>
      <c r="B1787" t="s">
        <v>2411</v>
      </c>
      <c r="C1787" t="s">
        <v>4482</v>
      </c>
      <c r="D1787" t="s">
        <v>71</v>
      </c>
      <c r="E1787" t="s">
        <v>876</v>
      </c>
      <c r="F1787" t="s">
        <v>4500</v>
      </c>
      <c r="G1787" t="s">
        <v>2414</v>
      </c>
      <c r="H1787" t="s">
        <v>2415</v>
      </c>
      <c r="I1787" s="130">
        <v>45602</v>
      </c>
      <c r="J1787" t="s">
        <v>3075</v>
      </c>
      <c r="K1787">
        <v>6000</v>
      </c>
      <c r="M17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48C-2024116-01</v>
      </c>
      <c r="N1787" t="str">
        <f>DO_DB[[#This Row],[Material Pick-update]]&amp;"_"&amp;DO_DB[[#This Row],[Material Name]]</f>
        <v>45602_ADSS 48C</v>
      </c>
      <c r="O1787" t="str">
        <f>DO_DB[[#This Row],[SiteID]]</f>
        <v>CLR37-99-034</v>
      </c>
      <c r="P1787" t="str">
        <f>DO_DB[[#This Row],[SiteID]]&amp;"_"&amp;DO_DB[[#This Row],[Material Name]]</f>
        <v>CLR37-99-034_ADSS 48C</v>
      </c>
      <c r="Q1787" t="str">
        <f>DO_DB[[#This Row],[DO Number]]</f>
        <v>DOEID24102255</v>
      </c>
      <c r="R1787" t="str">
        <f>DO_DB[[#This Row],[DN Number]]</f>
        <v>DNWID0342024110509</v>
      </c>
    </row>
    <row r="1788" spans="1:18">
      <c r="A1788" t="s">
        <v>2410</v>
      </c>
      <c r="B1788" t="s">
        <v>2411</v>
      </c>
      <c r="C1788" t="s">
        <v>4482</v>
      </c>
      <c r="D1788" t="s">
        <v>71</v>
      </c>
      <c r="E1788" t="s">
        <v>876</v>
      </c>
      <c r="F1788" t="s">
        <v>4500</v>
      </c>
      <c r="G1788" t="s">
        <v>2414</v>
      </c>
      <c r="H1788" t="s">
        <v>2415</v>
      </c>
      <c r="I1788" s="130">
        <v>45602</v>
      </c>
      <c r="J1788" t="s">
        <v>3073</v>
      </c>
      <c r="K1788">
        <v>12000</v>
      </c>
      <c r="M17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24C-2024116-01</v>
      </c>
      <c r="N1788" t="str">
        <f>DO_DB[[#This Row],[Material Pick-update]]&amp;"_"&amp;DO_DB[[#This Row],[Material Name]]</f>
        <v>45602_ADSS 24C</v>
      </c>
      <c r="O1788" t="str">
        <f>DO_DB[[#This Row],[SiteID]]</f>
        <v>CLR37-99-034</v>
      </c>
      <c r="P1788" t="str">
        <f>DO_DB[[#This Row],[SiteID]]&amp;"_"&amp;DO_DB[[#This Row],[Material Name]]</f>
        <v>CLR37-99-034_ADSS 24C</v>
      </c>
      <c r="Q1788" t="str">
        <f>DO_DB[[#This Row],[DO Number]]</f>
        <v>DOEID24102255</v>
      </c>
      <c r="R1788" t="str">
        <f>DO_DB[[#This Row],[DN Number]]</f>
        <v>DNWID0342024110509</v>
      </c>
    </row>
    <row r="1789" spans="1:18">
      <c r="A1789" t="s">
        <v>2526</v>
      </c>
      <c r="B1789" t="s">
        <v>2527</v>
      </c>
      <c r="C1789" s="172" t="s">
        <v>4482</v>
      </c>
      <c r="D1789" t="s">
        <v>71</v>
      </c>
      <c r="E1789" t="s">
        <v>2528</v>
      </c>
      <c r="F1789" t="s">
        <v>4500</v>
      </c>
      <c r="G1789" t="s">
        <v>2529</v>
      </c>
      <c r="H1789" t="s">
        <v>2530</v>
      </c>
      <c r="I1789" s="130">
        <v>45614</v>
      </c>
      <c r="J1789" t="s">
        <v>16</v>
      </c>
      <c r="K1789">
        <v>30</v>
      </c>
      <c r="M17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89" t="str">
        <f>DO_DB[[#This Row],[Material Pick-update]]&amp;"_"&amp;DO_DB[[#This Row],[Material Name]]</f>
        <v>45614_HDPE40/34mm</v>
      </c>
      <c r="O1789" t="str">
        <f>DO_DB[[#This Row],[SiteID]]</f>
        <v>ISP01-08</v>
      </c>
      <c r="P1789" t="str">
        <f>DO_DB[[#This Row],[SiteID]]&amp;"_"&amp;DO_DB[[#This Row],[Material Name]]</f>
        <v>ISP01-08_HDPE40/34mm</v>
      </c>
      <c r="Q1789" t="str">
        <f>DO_DB[[#This Row],[DO Number]]</f>
        <v>DOEID24111536</v>
      </c>
      <c r="R1789" t="str">
        <f>DO_DB[[#This Row],[DN Number]]</f>
        <v>DNWID0342024111703</v>
      </c>
    </row>
    <row r="1790" spans="1:18">
      <c r="A1790" t="s">
        <v>2531</v>
      </c>
      <c r="B1790" t="s">
        <v>2532</v>
      </c>
      <c r="C1790" t="s">
        <v>4482</v>
      </c>
      <c r="D1790" t="s">
        <v>71</v>
      </c>
      <c r="E1790" t="s">
        <v>876</v>
      </c>
      <c r="F1790" t="s">
        <v>4500</v>
      </c>
      <c r="G1790" t="s">
        <v>2533</v>
      </c>
      <c r="H1790" t="s">
        <v>2534</v>
      </c>
      <c r="I1790" s="130">
        <v>45642</v>
      </c>
      <c r="J1790" t="s">
        <v>3073</v>
      </c>
      <c r="K1790">
        <v>3000</v>
      </c>
      <c r="M17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24C-20241216-01</v>
      </c>
      <c r="N1790" t="str">
        <f>DO_DB[[#This Row],[Material Pick-update]]&amp;"_"&amp;DO_DB[[#This Row],[Material Name]]</f>
        <v>45642_ADSS 24C</v>
      </c>
      <c r="O1790" t="str">
        <f>DO_DB[[#This Row],[SiteID]]</f>
        <v>CLR37-99-011</v>
      </c>
      <c r="P1790" t="str">
        <f>DO_DB[[#This Row],[SiteID]]&amp;"_"&amp;DO_DB[[#This Row],[Material Name]]</f>
        <v>CLR37-99-011_ADSS 24C</v>
      </c>
      <c r="Q1790" t="str">
        <f>DO_DB[[#This Row],[DO Number]]</f>
        <v>DOEID24121387</v>
      </c>
      <c r="R1790" t="str">
        <f>DO_DB[[#This Row],[DN Number]]</f>
        <v>DNWID0342024121305</v>
      </c>
    </row>
    <row r="1791" spans="1:18">
      <c r="A1791" t="s">
        <v>2531</v>
      </c>
      <c r="B1791" t="s">
        <v>2532</v>
      </c>
      <c r="C1791" t="s">
        <v>4482</v>
      </c>
      <c r="D1791" t="s">
        <v>71</v>
      </c>
      <c r="E1791" t="s">
        <v>876</v>
      </c>
      <c r="F1791" t="s">
        <v>4500</v>
      </c>
      <c r="G1791" t="s">
        <v>2533</v>
      </c>
      <c r="H1791" t="s">
        <v>2534</v>
      </c>
      <c r="I1791" s="130">
        <v>45642</v>
      </c>
      <c r="J1791" t="s">
        <v>3075</v>
      </c>
      <c r="K1791">
        <v>12000</v>
      </c>
      <c r="M17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48C-20241216-01</v>
      </c>
      <c r="N1791" t="str">
        <f>DO_DB[[#This Row],[Material Pick-update]]&amp;"_"&amp;DO_DB[[#This Row],[Material Name]]</f>
        <v>45642_ADSS 48C</v>
      </c>
      <c r="O1791" t="str">
        <f>DO_DB[[#This Row],[SiteID]]</f>
        <v>CLR37-99-011</v>
      </c>
      <c r="P1791" t="str">
        <f>DO_DB[[#This Row],[SiteID]]&amp;"_"&amp;DO_DB[[#This Row],[Material Name]]</f>
        <v>CLR37-99-011_ADSS 48C</v>
      </c>
      <c r="Q1791" t="str">
        <f>DO_DB[[#This Row],[DO Number]]</f>
        <v>DOEID24121387</v>
      </c>
      <c r="R1791" t="str">
        <f>DO_DB[[#This Row],[DN Number]]</f>
        <v>DNWID0342024121305</v>
      </c>
    </row>
    <row r="1792" spans="1:18">
      <c r="A1792" t="s">
        <v>2531</v>
      </c>
      <c r="B1792" t="s">
        <v>2532</v>
      </c>
      <c r="C1792" t="s">
        <v>4482</v>
      </c>
      <c r="D1792" t="s">
        <v>71</v>
      </c>
      <c r="E1792" t="s">
        <v>876</v>
      </c>
      <c r="F1792" t="s">
        <v>4500</v>
      </c>
      <c r="G1792" t="s">
        <v>2533</v>
      </c>
      <c r="H1792" t="s">
        <v>2534</v>
      </c>
      <c r="I1792" s="130">
        <v>45642</v>
      </c>
      <c r="J1792" t="s">
        <v>15</v>
      </c>
      <c r="K1792">
        <v>2</v>
      </c>
      <c r="M17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92" t="str">
        <f>DO_DB[[#This Row],[Material Pick-update]]&amp;"_"&amp;DO_DB[[#This Row],[Material Name]]</f>
        <v>45642_FDT-72</v>
      </c>
      <c r="O1792" t="str">
        <f>DO_DB[[#This Row],[SiteID]]</f>
        <v>CLR37-99-011</v>
      </c>
      <c r="P1792" t="str">
        <f>DO_DB[[#This Row],[SiteID]]&amp;"_"&amp;DO_DB[[#This Row],[Material Name]]</f>
        <v>CLR37-99-011_FDT-72</v>
      </c>
      <c r="Q1792" t="str">
        <f>DO_DB[[#This Row],[DO Number]]</f>
        <v>DOEID24121387</v>
      </c>
      <c r="R1792" t="str">
        <f>DO_DB[[#This Row],[DN Number]]</f>
        <v>DNWID0342024121305</v>
      </c>
    </row>
    <row r="1793" spans="1:18">
      <c r="A1793" t="s">
        <v>2531</v>
      </c>
      <c r="B1793" t="s">
        <v>2532</v>
      </c>
      <c r="C1793" t="s">
        <v>4482</v>
      </c>
      <c r="D1793" t="s">
        <v>71</v>
      </c>
      <c r="E1793" t="s">
        <v>876</v>
      </c>
      <c r="F1793" t="s">
        <v>4500</v>
      </c>
      <c r="G1793" t="s">
        <v>2533</v>
      </c>
      <c r="H1793" t="s">
        <v>2534</v>
      </c>
      <c r="I1793" s="130">
        <v>45642</v>
      </c>
      <c r="J1793" t="s">
        <v>13</v>
      </c>
      <c r="K1793">
        <v>70</v>
      </c>
      <c r="M17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93" t="str">
        <f>DO_DB[[#This Row],[Material Pick-update]]&amp;"_"&amp;DO_DB[[#This Row],[Material Name]]</f>
        <v>45642_FAT-16</v>
      </c>
      <c r="O1793" t="str">
        <f>DO_DB[[#This Row],[SiteID]]</f>
        <v>CLR37-99-011</v>
      </c>
      <c r="P1793" t="str">
        <f>DO_DB[[#This Row],[SiteID]]&amp;"_"&amp;DO_DB[[#This Row],[Material Name]]</f>
        <v>CLR37-99-011_FAT-16</v>
      </c>
      <c r="Q1793" t="str">
        <f>DO_DB[[#This Row],[DO Number]]</f>
        <v>DOEID24121387</v>
      </c>
      <c r="R1793" t="str">
        <f>DO_DB[[#This Row],[DN Number]]</f>
        <v>DNWID0342024121305</v>
      </c>
    </row>
    <row r="1794" spans="1:18">
      <c r="A1794" t="s">
        <v>2531</v>
      </c>
      <c r="B1794" t="s">
        <v>2532</v>
      </c>
      <c r="C1794" t="s">
        <v>4482</v>
      </c>
      <c r="D1794" t="s">
        <v>71</v>
      </c>
      <c r="E1794" t="s">
        <v>876</v>
      </c>
      <c r="F1794" t="s">
        <v>4500</v>
      </c>
      <c r="G1794" t="s">
        <v>2579</v>
      </c>
      <c r="H1794" t="s">
        <v>2580</v>
      </c>
      <c r="I1794" s="130">
        <v>45649</v>
      </c>
      <c r="J1794" t="s">
        <v>3069</v>
      </c>
      <c r="K1794">
        <v>195</v>
      </c>
      <c r="M17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94" t="str">
        <f>DO_DB[[#This Row],[Material Pick-update]]&amp;"_"&amp;DO_DB[[#This Row],[Material Name]]</f>
        <v>45649_Pole 7M 4"</v>
      </c>
      <c r="O1794" t="str">
        <f>DO_DB[[#This Row],[SiteID]]</f>
        <v>CLR37-99-011</v>
      </c>
      <c r="P1794" t="str">
        <f>DO_DB[[#This Row],[SiteID]]&amp;"_"&amp;DO_DB[[#This Row],[Material Name]]</f>
        <v>CLR37-99-011_Pole 7M 4"</v>
      </c>
      <c r="Q1794" t="str">
        <f>DO_DB[[#This Row],[DO Number]]</f>
        <v>DOEID24122331</v>
      </c>
      <c r="R1794" t="str">
        <f>DO_DB[[#This Row],[DN Number]]</f>
        <v>DNWID0362024122304</v>
      </c>
    </row>
    <row r="1795" spans="1:18">
      <c r="A1795" t="s">
        <v>2531</v>
      </c>
      <c r="B1795" t="s">
        <v>2532</v>
      </c>
      <c r="C1795" t="s">
        <v>4482</v>
      </c>
      <c r="D1795" t="s">
        <v>71</v>
      </c>
      <c r="E1795" t="s">
        <v>876</v>
      </c>
      <c r="F1795" t="s">
        <v>4500</v>
      </c>
      <c r="G1795" t="s">
        <v>2579</v>
      </c>
      <c r="H1795" t="s">
        <v>2580</v>
      </c>
      <c r="I1795" s="130">
        <v>45649</v>
      </c>
      <c r="J1795" t="s">
        <v>3070</v>
      </c>
      <c r="K1795">
        <v>34</v>
      </c>
      <c r="M17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95" t="str">
        <f>DO_DB[[#This Row],[Material Pick-update]]&amp;"_"&amp;DO_DB[[#This Row],[Material Name]]</f>
        <v>45649_Pole 7M 3"</v>
      </c>
      <c r="O1795" t="str">
        <f>DO_DB[[#This Row],[SiteID]]</f>
        <v>CLR37-99-011</v>
      </c>
      <c r="P1795" t="str">
        <f>DO_DB[[#This Row],[SiteID]]&amp;"_"&amp;DO_DB[[#This Row],[Material Name]]</f>
        <v>CLR37-99-011_Pole 7M 3"</v>
      </c>
      <c r="Q1795" t="str">
        <f>DO_DB[[#This Row],[DO Number]]</f>
        <v>DOEID24122331</v>
      </c>
      <c r="R1795" t="str">
        <f>DO_DB[[#This Row],[DN Number]]</f>
        <v>DNWID0362024122304</v>
      </c>
    </row>
    <row r="1796" spans="1:18">
      <c r="A1796" t="s">
        <v>2531</v>
      </c>
      <c r="B1796" t="s">
        <v>2532</v>
      </c>
      <c r="C1796" t="s">
        <v>4482</v>
      </c>
      <c r="D1796" t="s">
        <v>71</v>
      </c>
      <c r="E1796" t="s">
        <v>876</v>
      </c>
      <c r="F1796" t="s">
        <v>4500</v>
      </c>
      <c r="G1796" t="s">
        <v>2579</v>
      </c>
      <c r="H1796" t="s">
        <v>2580</v>
      </c>
      <c r="I1796" s="130">
        <v>45649</v>
      </c>
      <c r="J1796" t="s">
        <v>3071</v>
      </c>
      <c r="K1796">
        <v>2</v>
      </c>
      <c r="M17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96" t="str">
        <f>DO_DB[[#This Row],[Material Pick-update]]&amp;"_"&amp;DO_DB[[#This Row],[Material Name]]</f>
        <v>45649_Pole 9M</v>
      </c>
      <c r="O1796" t="str">
        <f>DO_DB[[#This Row],[SiteID]]</f>
        <v>CLR37-99-011</v>
      </c>
      <c r="P1796" t="str">
        <f>DO_DB[[#This Row],[SiteID]]&amp;"_"&amp;DO_DB[[#This Row],[Material Name]]</f>
        <v>CLR37-99-011_Pole 9M</v>
      </c>
      <c r="Q1796" t="str">
        <f>DO_DB[[#This Row],[DO Number]]</f>
        <v>DOEID24122331</v>
      </c>
      <c r="R1796" t="str">
        <f>DO_DB[[#This Row],[DN Number]]</f>
        <v>DNWID0362024122304</v>
      </c>
    </row>
    <row r="1797" spans="1:18">
      <c r="A1797" t="s">
        <v>84</v>
      </c>
      <c r="B1797" t="s">
        <v>85</v>
      </c>
      <c r="C1797" s="172" t="s">
        <v>4482</v>
      </c>
      <c r="D1797" t="s">
        <v>71</v>
      </c>
      <c r="E1797" t="s">
        <v>24</v>
      </c>
      <c r="F1797" t="s">
        <v>3295</v>
      </c>
      <c r="G1797" t="s">
        <v>86</v>
      </c>
      <c r="H1797" t="s">
        <v>87</v>
      </c>
      <c r="I1797" s="130">
        <v>45142</v>
      </c>
      <c r="J1797" t="s">
        <v>3080</v>
      </c>
      <c r="K1797">
        <v>3</v>
      </c>
      <c r="M17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97" t="str">
        <f>DO_DB[[#This Row],[Material Pick-update]]&amp;"_"&amp;DO_DB[[#This Row],[Material Name]]</f>
        <v>45142_1:8 SPL for FDT-AE &amp; UG</v>
      </c>
      <c r="O1797" t="str">
        <f>DO_DB[[#This Row],[SiteID]]</f>
        <v>CLR51-99-004</v>
      </c>
      <c r="P1797" t="str">
        <f>DO_DB[[#This Row],[SiteID]]&amp;"_"&amp;DO_DB[[#This Row],[Material Name]]</f>
        <v>CLR51-99-004_1:8 SPL for FDT-AE &amp; UG</v>
      </c>
      <c r="Q1797" t="str">
        <f>DO_DB[[#This Row],[DO Number]]</f>
        <v>DOEID23080182</v>
      </c>
      <c r="R1797" t="str">
        <f>DO_DB[[#This Row],[DN Number]]</f>
        <v>DNWID0342023080312</v>
      </c>
    </row>
    <row r="1798" spans="1:18">
      <c r="A1798" t="s">
        <v>150</v>
      </c>
      <c r="B1798" t="s">
        <v>151</v>
      </c>
      <c r="C1798" s="172" t="s">
        <v>4482</v>
      </c>
      <c r="D1798" t="s">
        <v>71</v>
      </c>
      <c r="E1798" t="s">
        <v>24</v>
      </c>
      <c r="F1798" t="s">
        <v>3295</v>
      </c>
      <c r="G1798" t="s">
        <v>152</v>
      </c>
      <c r="H1798" t="s">
        <v>153</v>
      </c>
      <c r="I1798" s="130">
        <v>45170</v>
      </c>
      <c r="J1798" t="s">
        <v>3080</v>
      </c>
      <c r="K1798">
        <v>3</v>
      </c>
      <c r="M17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98" t="str">
        <f>DO_DB[[#This Row],[Material Pick-update]]&amp;"_"&amp;DO_DB[[#This Row],[Material Name]]</f>
        <v>45170_1:8 SPL for FDT-AE &amp; UG</v>
      </c>
      <c r="O1798" t="str">
        <f>DO_DB[[#This Row],[SiteID]]</f>
        <v>CLR51-99-006</v>
      </c>
      <c r="P1798" t="str">
        <f>DO_DB[[#This Row],[SiteID]]&amp;"_"&amp;DO_DB[[#This Row],[Material Name]]</f>
        <v>CLR51-99-006_1:8 SPL for FDT-AE &amp; UG</v>
      </c>
      <c r="Q1798" t="str">
        <f>DO_DB[[#This Row],[DO Number]]</f>
        <v>DOEID23082835</v>
      </c>
      <c r="R1798" t="str">
        <f>DO_DB[[#This Row],[DN Number]]</f>
        <v>DNWID0342023082902</v>
      </c>
    </row>
    <row r="1799" spans="1:18">
      <c r="A1799" t="s">
        <v>911</v>
      </c>
      <c r="B1799" t="s">
        <v>912</v>
      </c>
      <c r="C1799" s="172" t="s">
        <v>4482</v>
      </c>
      <c r="D1799" t="s">
        <v>71</v>
      </c>
      <c r="E1799" t="s">
        <v>24</v>
      </c>
      <c r="F1799" t="s">
        <v>3295</v>
      </c>
      <c r="G1799" t="s">
        <v>913</v>
      </c>
      <c r="H1799" t="s">
        <v>914</v>
      </c>
      <c r="I1799" s="130">
        <v>45337</v>
      </c>
      <c r="J1799" t="s">
        <v>3080</v>
      </c>
      <c r="K1799">
        <v>3</v>
      </c>
      <c r="M17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799" t="str">
        <f>DO_DB[[#This Row],[Material Pick-update]]&amp;"_"&amp;DO_DB[[#This Row],[Material Name]]</f>
        <v>45337_1:8 SPL for FDT-AE &amp; UG</v>
      </c>
      <c r="O1799" t="str">
        <f>DO_DB[[#This Row],[SiteID]]</f>
        <v>CLR51-99-067</v>
      </c>
      <c r="P1799" t="str">
        <f>DO_DB[[#This Row],[SiteID]]&amp;"_"&amp;DO_DB[[#This Row],[Material Name]]</f>
        <v>CLR51-99-067_1:8 SPL for FDT-AE &amp; UG</v>
      </c>
      <c r="Q1799" t="str">
        <f>DO_DB[[#This Row],[DO Number]]</f>
        <v>DOEID24021519</v>
      </c>
      <c r="R1799" t="str">
        <f>DO_DB[[#This Row],[DN Number]]</f>
        <v>DNWID0342024021506</v>
      </c>
    </row>
    <row r="1800" spans="1:18">
      <c r="A1800" t="s">
        <v>921</v>
      </c>
      <c r="B1800" t="s">
        <v>922</v>
      </c>
      <c r="C1800" s="172" t="s">
        <v>4482</v>
      </c>
      <c r="D1800" t="s">
        <v>71</v>
      </c>
      <c r="E1800" t="s">
        <v>24</v>
      </c>
      <c r="F1800" t="s">
        <v>3295</v>
      </c>
      <c r="G1800" t="s">
        <v>929</v>
      </c>
      <c r="H1800" t="s">
        <v>930</v>
      </c>
      <c r="I1800" s="130">
        <v>45337</v>
      </c>
      <c r="J1800" t="s">
        <v>3080</v>
      </c>
      <c r="K1800">
        <v>6</v>
      </c>
      <c r="M18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00" t="str">
        <f>DO_DB[[#This Row],[Material Pick-update]]&amp;"_"&amp;DO_DB[[#This Row],[Material Name]]</f>
        <v>45337_1:8 SPL for FDT-AE &amp; UG</v>
      </c>
      <c r="O1800" t="str">
        <f>DO_DB[[#This Row],[SiteID]]</f>
        <v>CLR51-99-078</v>
      </c>
      <c r="P1800" t="str">
        <f>DO_DB[[#This Row],[SiteID]]&amp;"_"&amp;DO_DB[[#This Row],[Material Name]]</f>
        <v>CLR51-99-078_1:8 SPL for FDT-AE &amp; UG</v>
      </c>
      <c r="Q1800" t="str">
        <f>DO_DB[[#This Row],[DO Number]]</f>
        <v>DOEID24021521</v>
      </c>
      <c r="R1800" t="str">
        <f>DO_DB[[#This Row],[DN Number]]</f>
        <v>DNWID0342024021507</v>
      </c>
    </row>
    <row r="1801" spans="1:18">
      <c r="A1801" t="s">
        <v>1013</v>
      </c>
      <c r="B1801" t="s">
        <v>1014</v>
      </c>
      <c r="C1801" s="172" t="s">
        <v>4482</v>
      </c>
      <c r="D1801" t="s">
        <v>71</v>
      </c>
      <c r="E1801" t="s">
        <v>24</v>
      </c>
      <c r="F1801" t="s">
        <v>3295</v>
      </c>
      <c r="G1801" t="s">
        <v>1015</v>
      </c>
      <c r="H1801" t="s">
        <v>1016</v>
      </c>
      <c r="I1801" s="130">
        <v>45351</v>
      </c>
      <c r="J1801" t="s">
        <v>3080</v>
      </c>
      <c r="K1801">
        <v>3</v>
      </c>
      <c r="M18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01" t="str">
        <f>DO_DB[[#This Row],[Material Pick-update]]&amp;"_"&amp;DO_DB[[#This Row],[Material Name]]</f>
        <v>45351_1:8 SPL for FDT-AE &amp; UG</v>
      </c>
      <c r="O1801" t="str">
        <f>DO_DB[[#This Row],[SiteID]]</f>
        <v>CLR51-99-079</v>
      </c>
      <c r="P1801" t="str">
        <f>DO_DB[[#This Row],[SiteID]]&amp;"_"&amp;DO_DB[[#This Row],[Material Name]]</f>
        <v>CLR51-99-079_1:8 SPL for FDT-AE &amp; UG</v>
      </c>
      <c r="Q1801" t="str">
        <f>DO_DB[[#This Row],[DO Number]]</f>
        <v>DOEID240226C9</v>
      </c>
      <c r="R1801" t="str">
        <f>DO_DB[[#This Row],[DN Number]]</f>
        <v>DNWID0342024022616</v>
      </c>
    </row>
    <row r="1802" spans="1:18">
      <c r="A1802" t="s">
        <v>1161</v>
      </c>
      <c r="B1802" t="s">
        <v>1162</v>
      </c>
      <c r="C1802" s="172" t="s">
        <v>4482</v>
      </c>
      <c r="D1802" t="s">
        <v>71</v>
      </c>
      <c r="E1802" t="s">
        <v>24</v>
      </c>
      <c r="F1802" t="s">
        <v>3295</v>
      </c>
      <c r="G1802" t="s">
        <v>1163</v>
      </c>
      <c r="H1802" t="s">
        <v>1164</v>
      </c>
      <c r="I1802" s="130">
        <v>45370</v>
      </c>
      <c r="J1802" t="s">
        <v>3080</v>
      </c>
      <c r="K1802">
        <v>3</v>
      </c>
      <c r="M18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02" t="str">
        <f>DO_DB[[#This Row],[Material Pick-update]]&amp;"_"&amp;DO_DB[[#This Row],[Material Name]]</f>
        <v>45370_1:8 SPL for FDT-AE &amp; UG</v>
      </c>
      <c r="O1802" t="str">
        <f>DO_DB[[#This Row],[SiteID]]</f>
        <v>CLR51-99-039</v>
      </c>
      <c r="P1802" t="str">
        <f>DO_DB[[#This Row],[SiteID]]&amp;"_"&amp;DO_DB[[#This Row],[Material Name]]</f>
        <v>CLR51-99-039_1:8 SPL for FDT-AE &amp; UG</v>
      </c>
      <c r="Q1802" t="str">
        <f>DO_DB[[#This Row],[DO Number]]</f>
        <v>DOEID24031919</v>
      </c>
      <c r="R1802" t="str">
        <f>DO_DB[[#This Row],[DN Number]]</f>
        <v>DNWID0342024031906</v>
      </c>
    </row>
    <row r="1803" spans="1:18">
      <c r="A1803" t="s">
        <v>1151</v>
      </c>
      <c r="B1803" t="s">
        <v>1152</v>
      </c>
      <c r="C1803" s="172" t="s">
        <v>4482</v>
      </c>
      <c r="D1803" t="s">
        <v>71</v>
      </c>
      <c r="E1803" t="s">
        <v>24</v>
      </c>
      <c r="F1803" t="s">
        <v>3295</v>
      </c>
      <c r="G1803" t="s">
        <v>1153</v>
      </c>
      <c r="H1803" t="s">
        <v>1154</v>
      </c>
      <c r="I1803" s="130">
        <v>45370</v>
      </c>
      <c r="J1803" t="s">
        <v>3080</v>
      </c>
      <c r="K1803">
        <v>3</v>
      </c>
      <c r="M18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03" t="str">
        <f>DO_DB[[#This Row],[Material Pick-update]]&amp;"_"&amp;DO_DB[[#This Row],[Material Name]]</f>
        <v>45370_1:8 SPL for FDT-AE &amp; UG</v>
      </c>
      <c r="O1803" t="str">
        <f>DO_DB[[#This Row],[SiteID]]</f>
        <v>CLR51-99-040</v>
      </c>
      <c r="P1803" t="str">
        <f>DO_DB[[#This Row],[SiteID]]&amp;"_"&amp;DO_DB[[#This Row],[Material Name]]</f>
        <v>CLR51-99-040_1:8 SPL for FDT-AE &amp; UG</v>
      </c>
      <c r="Q1803" t="str">
        <f>DO_DB[[#This Row],[DO Number]]</f>
        <v>DOEID24031923</v>
      </c>
      <c r="R1803" t="str">
        <f>DO_DB[[#This Row],[DN Number]]</f>
        <v>DNWID0342024031908</v>
      </c>
    </row>
    <row r="1804" spans="1:18">
      <c r="A1804" t="s">
        <v>1291</v>
      </c>
      <c r="B1804" t="s">
        <v>1292</v>
      </c>
      <c r="C1804" s="172" t="s">
        <v>4482</v>
      </c>
      <c r="D1804" t="s">
        <v>71</v>
      </c>
      <c r="E1804" t="s">
        <v>24</v>
      </c>
      <c r="F1804" t="s">
        <v>3295</v>
      </c>
      <c r="G1804" t="s">
        <v>1293</v>
      </c>
      <c r="H1804" t="s">
        <v>1294</v>
      </c>
      <c r="I1804" s="130">
        <v>45400</v>
      </c>
      <c r="J1804" t="s">
        <v>3080</v>
      </c>
      <c r="K1804">
        <v>3</v>
      </c>
      <c r="M18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04" t="str">
        <f>DO_DB[[#This Row],[Material Pick-update]]&amp;"_"&amp;DO_DB[[#This Row],[Material Name]]</f>
        <v>45400_1:8 SPL for FDT-AE &amp; UG</v>
      </c>
      <c r="O1804" t="str">
        <f>DO_DB[[#This Row],[SiteID]]</f>
        <v>CLR51-99-088</v>
      </c>
      <c r="P1804" t="str">
        <f>DO_DB[[#This Row],[SiteID]]&amp;"_"&amp;DO_DB[[#This Row],[Material Name]]</f>
        <v>CLR51-99-088_1:8 SPL for FDT-AE &amp; UG</v>
      </c>
      <c r="Q1804" t="str">
        <f>DO_DB[[#This Row],[DO Number]]</f>
        <v>DOEID240416AM</v>
      </c>
      <c r="R1804" t="str">
        <f>DO_DB[[#This Row],[DN Number]]</f>
        <v>DNWID0342024041718</v>
      </c>
    </row>
    <row r="1805" spans="1:18">
      <c r="A1805" t="s">
        <v>1395</v>
      </c>
      <c r="B1805" t="s">
        <v>1396</v>
      </c>
      <c r="C1805" s="172" t="s">
        <v>4482</v>
      </c>
      <c r="D1805" t="s">
        <v>71</v>
      </c>
      <c r="E1805" t="s">
        <v>24</v>
      </c>
      <c r="F1805" t="s">
        <v>3295</v>
      </c>
      <c r="G1805" t="s">
        <v>1397</v>
      </c>
      <c r="H1805" t="s">
        <v>1398</v>
      </c>
      <c r="I1805" s="130">
        <v>45432</v>
      </c>
      <c r="J1805" t="s">
        <v>3080</v>
      </c>
      <c r="K1805">
        <v>3</v>
      </c>
      <c r="M18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05" t="str">
        <f>DO_DB[[#This Row],[Material Pick-update]]&amp;"_"&amp;DO_DB[[#This Row],[Material Name]]</f>
        <v>45432_1:8 SPL for FDT-AE &amp; UG</v>
      </c>
      <c r="O1805" t="str">
        <f>DO_DB[[#This Row],[SiteID]]</f>
        <v>CLR51-99-095</v>
      </c>
      <c r="P1805" t="str">
        <f>DO_DB[[#This Row],[SiteID]]&amp;"_"&amp;DO_DB[[#This Row],[Material Name]]</f>
        <v>CLR51-99-095_1:8 SPL for FDT-AE &amp; UG</v>
      </c>
      <c r="Q1805" t="str">
        <f>DO_DB[[#This Row],[DO Number]]</f>
        <v>DOEID240517C4</v>
      </c>
      <c r="R1805" t="str">
        <f>DO_DB[[#This Row],[DN Number]]</f>
        <v>DNWID0342024051707</v>
      </c>
    </row>
    <row r="1806" spans="1:18">
      <c r="A1806" t="s">
        <v>1391</v>
      </c>
      <c r="B1806" t="s">
        <v>1392</v>
      </c>
      <c r="C1806" s="172" t="s">
        <v>4482</v>
      </c>
      <c r="D1806" t="s">
        <v>71</v>
      </c>
      <c r="E1806" t="s">
        <v>24</v>
      </c>
      <c r="F1806" t="s">
        <v>3295</v>
      </c>
      <c r="G1806" t="s">
        <v>1393</v>
      </c>
      <c r="H1806" t="s">
        <v>1394</v>
      </c>
      <c r="I1806" s="130">
        <v>45432</v>
      </c>
      <c r="J1806" t="s">
        <v>3080</v>
      </c>
      <c r="K1806">
        <v>3</v>
      </c>
      <c r="M18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06" t="str">
        <f>DO_DB[[#This Row],[Material Pick-update]]&amp;"_"&amp;DO_DB[[#This Row],[Material Name]]</f>
        <v>45432_1:8 SPL for FDT-AE &amp; UG</v>
      </c>
      <c r="O1806" t="str">
        <f>DO_DB[[#This Row],[SiteID]]</f>
        <v>CLR51-99-086</v>
      </c>
      <c r="P1806" t="str">
        <f>DO_DB[[#This Row],[SiteID]]&amp;"_"&amp;DO_DB[[#This Row],[Material Name]]</f>
        <v>CLR51-99-086_1:8 SPL for FDT-AE &amp; UG</v>
      </c>
      <c r="Q1806" t="str">
        <f>DO_DB[[#This Row],[DO Number]]</f>
        <v>DOEID240517C6</v>
      </c>
      <c r="R1806" t="str">
        <f>DO_DB[[#This Row],[DN Number]]</f>
        <v>DNWID0342024051708</v>
      </c>
    </row>
    <row r="1807" spans="1:18">
      <c r="A1807" t="s">
        <v>1405</v>
      </c>
      <c r="B1807" t="s">
        <v>1406</v>
      </c>
      <c r="C1807" s="172" t="s">
        <v>4482</v>
      </c>
      <c r="D1807" t="s">
        <v>71</v>
      </c>
      <c r="E1807" t="s">
        <v>24</v>
      </c>
      <c r="F1807" t="s">
        <v>3295</v>
      </c>
      <c r="G1807" t="s">
        <v>1411</v>
      </c>
      <c r="H1807" t="s">
        <v>1412</v>
      </c>
      <c r="I1807" s="130">
        <v>45432</v>
      </c>
      <c r="J1807" t="s">
        <v>3080</v>
      </c>
      <c r="K1807">
        <v>3</v>
      </c>
      <c r="M18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07" t="str">
        <f>DO_DB[[#This Row],[Material Pick-update]]&amp;"_"&amp;DO_DB[[#This Row],[Material Name]]</f>
        <v>45432_1:8 SPL for FDT-AE &amp; UG</v>
      </c>
      <c r="O1807" t="str">
        <f>DO_DB[[#This Row],[SiteID]]</f>
        <v>CLR51-99-087</v>
      </c>
      <c r="P1807" t="str">
        <f>DO_DB[[#This Row],[SiteID]]&amp;"_"&amp;DO_DB[[#This Row],[Material Name]]</f>
        <v>CLR51-99-087_1:8 SPL for FDT-AE &amp; UG</v>
      </c>
      <c r="Q1807" t="str">
        <f>DO_DB[[#This Row],[DO Number]]</f>
        <v>DOEID240517DK</v>
      </c>
      <c r="R1807" t="str">
        <f>DO_DB[[#This Row],[DN Number]]</f>
        <v>DNWID0342024051713</v>
      </c>
    </row>
    <row r="1808" spans="1:18">
      <c r="A1808" t="s">
        <v>1923</v>
      </c>
      <c r="B1808" t="s">
        <v>1924</v>
      </c>
      <c r="C1808" s="172" t="s">
        <v>4482</v>
      </c>
      <c r="D1808" t="s">
        <v>71</v>
      </c>
      <c r="E1808" t="s">
        <v>24</v>
      </c>
      <c r="F1808" t="s">
        <v>3295</v>
      </c>
      <c r="G1808" t="s">
        <v>1925</v>
      </c>
      <c r="H1808" t="s">
        <v>1926</v>
      </c>
      <c r="I1808" s="130">
        <v>45526</v>
      </c>
      <c r="J1808" t="s">
        <v>3080</v>
      </c>
      <c r="K1808">
        <v>3</v>
      </c>
      <c r="M18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08" t="str">
        <f>DO_DB[[#This Row],[Material Pick-update]]&amp;"_"&amp;DO_DB[[#This Row],[Material Name]]</f>
        <v>45526_1:8 SPL for FDT-AE &amp; UG</v>
      </c>
      <c r="O1808" t="str">
        <f>DO_DB[[#This Row],[SiteID]]</f>
        <v>CLR51-09-001</v>
      </c>
      <c r="P1808" t="str">
        <f>DO_DB[[#This Row],[SiteID]]&amp;"_"&amp;DO_DB[[#This Row],[Material Name]]</f>
        <v>CLR51-09-001_1:8 SPL for FDT-AE &amp; UG</v>
      </c>
      <c r="Q1808" t="str">
        <f>DO_DB[[#This Row],[DO Number]]</f>
        <v>DOEID24081987</v>
      </c>
      <c r="R1808" t="str">
        <f>DO_DB[[#This Row],[DN Number]]</f>
        <v>DNWID0342024081906</v>
      </c>
    </row>
    <row r="1809" spans="1:18">
      <c r="A1809" t="s">
        <v>1911</v>
      </c>
      <c r="B1809" t="s">
        <v>1912</v>
      </c>
      <c r="C1809" s="172" t="s">
        <v>4482</v>
      </c>
      <c r="D1809" t="s">
        <v>71</v>
      </c>
      <c r="E1809" t="s">
        <v>24</v>
      </c>
      <c r="F1809" t="s">
        <v>3295</v>
      </c>
      <c r="G1809" t="s">
        <v>1915</v>
      </c>
      <c r="H1809" t="s">
        <v>1916</v>
      </c>
      <c r="I1809" s="130">
        <v>45526</v>
      </c>
      <c r="J1809" t="s">
        <v>3080</v>
      </c>
      <c r="K1809">
        <v>3</v>
      </c>
      <c r="M18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09" t="str">
        <f>DO_DB[[#This Row],[Material Pick-update]]&amp;"_"&amp;DO_DB[[#This Row],[Material Name]]</f>
        <v>45526_1:8 SPL for FDT-AE &amp; UG</v>
      </c>
      <c r="O1809" t="str">
        <f>DO_DB[[#This Row],[SiteID]]</f>
        <v>CLR51-09-009</v>
      </c>
      <c r="P1809" t="str">
        <f>DO_DB[[#This Row],[SiteID]]&amp;"_"&amp;DO_DB[[#This Row],[Material Name]]</f>
        <v>CLR51-09-009_1:8 SPL for FDT-AE &amp; UG</v>
      </c>
      <c r="Q1809" t="str">
        <f>DO_DB[[#This Row],[DO Number]]</f>
        <v>DOEID24081989</v>
      </c>
      <c r="R1809" t="str">
        <f>DO_DB[[#This Row],[DN Number]]</f>
        <v>DNWID0342024081905</v>
      </c>
    </row>
    <row r="1810" spans="1:18">
      <c r="A1810" t="s">
        <v>1917</v>
      </c>
      <c r="B1810" t="s">
        <v>1918</v>
      </c>
      <c r="C1810" s="172" t="s">
        <v>4482</v>
      </c>
      <c r="D1810" t="s">
        <v>71</v>
      </c>
      <c r="E1810" t="s">
        <v>24</v>
      </c>
      <c r="F1810" t="s">
        <v>3295</v>
      </c>
      <c r="G1810" t="s">
        <v>1919</v>
      </c>
      <c r="H1810" t="s">
        <v>1920</v>
      </c>
      <c r="I1810" s="130">
        <v>45526</v>
      </c>
      <c r="J1810" t="s">
        <v>3080</v>
      </c>
      <c r="K1810">
        <v>3</v>
      </c>
      <c r="M18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10" t="str">
        <f>DO_DB[[#This Row],[Material Pick-update]]&amp;"_"&amp;DO_DB[[#This Row],[Material Name]]</f>
        <v>45526_1:8 SPL for FDT-AE &amp; UG</v>
      </c>
      <c r="O1810" t="str">
        <f>DO_DB[[#This Row],[SiteID]]</f>
        <v>CLR51-09-008</v>
      </c>
      <c r="P1810" t="str">
        <f>DO_DB[[#This Row],[SiteID]]&amp;"_"&amp;DO_DB[[#This Row],[Material Name]]</f>
        <v>CLR51-09-008_1:8 SPL for FDT-AE &amp; UG</v>
      </c>
      <c r="Q1810" t="str">
        <f>DO_DB[[#This Row],[DO Number]]</f>
        <v>DOEID24081991</v>
      </c>
      <c r="R1810" t="str">
        <f>DO_DB[[#This Row],[DN Number]]</f>
        <v>DNWID0342024081907</v>
      </c>
    </row>
    <row r="1811" spans="1:18">
      <c r="A1811" t="s">
        <v>1929</v>
      </c>
      <c r="B1811" t="s">
        <v>1930</v>
      </c>
      <c r="C1811" s="172" t="s">
        <v>4482</v>
      </c>
      <c r="D1811" t="s">
        <v>71</v>
      </c>
      <c r="E1811" t="s">
        <v>24</v>
      </c>
      <c r="F1811" t="s">
        <v>3295</v>
      </c>
      <c r="G1811" t="s">
        <v>1931</v>
      </c>
      <c r="H1811" t="s">
        <v>1932</v>
      </c>
      <c r="I1811" s="130">
        <v>45526</v>
      </c>
      <c r="J1811" t="s">
        <v>3080</v>
      </c>
      <c r="K1811">
        <v>6</v>
      </c>
      <c r="M18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11" t="str">
        <f>DO_DB[[#This Row],[Material Pick-update]]&amp;"_"&amp;DO_DB[[#This Row],[Material Name]]</f>
        <v>45526_1:8 SPL for FDT-AE &amp; UG</v>
      </c>
      <c r="O1811" t="str">
        <f>DO_DB[[#This Row],[SiteID]]</f>
        <v>CLR51-03-010</v>
      </c>
      <c r="P1811" t="str">
        <f>DO_DB[[#This Row],[SiteID]]&amp;"_"&amp;DO_DB[[#This Row],[Material Name]]</f>
        <v>CLR51-03-010_1:8 SPL for FDT-AE &amp; UG</v>
      </c>
      <c r="Q1811" t="str">
        <f>DO_DB[[#This Row],[DO Number]]</f>
        <v>DOEID24081996</v>
      </c>
      <c r="R1811" t="str">
        <f>DO_DB[[#This Row],[DN Number]]</f>
        <v>DNWID0342024081910</v>
      </c>
    </row>
    <row r="1812" spans="1:18">
      <c r="A1812" t="s">
        <v>1951</v>
      </c>
      <c r="B1812" t="s">
        <v>1952</v>
      </c>
      <c r="C1812" s="172" t="s">
        <v>4482</v>
      </c>
      <c r="D1812" t="s">
        <v>71</v>
      </c>
      <c r="E1812" t="s">
        <v>24</v>
      </c>
      <c r="F1812" t="s">
        <v>3295</v>
      </c>
      <c r="G1812" t="s">
        <v>2011</v>
      </c>
      <c r="H1812" t="s">
        <v>2012</v>
      </c>
      <c r="I1812" s="130">
        <v>45531</v>
      </c>
      <c r="J1812" t="s">
        <v>3080</v>
      </c>
      <c r="K1812">
        <v>4</v>
      </c>
      <c r="M18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12" t="str">
        <f>DO_DB[[#This Row],[Material Pick-update]]&amp;"_"&amp;DO_DB[[#This Row],[Material Name]]</f>
        <v>45531_1:8 SPL for FDT-AE &amp; UG</v>
      </c>
      <c r="O1812" t="str">
        <f>DO_DB[[#This Row],[SiteID]]</f>
        <v>CLR51-99-115</v>
      </c>
      <c r="P1812" t="str">
        <f>DO_DB[[#This Row],[SiteID]]&amp;"_"&amp;DO_DB[[#This Row],[Material Name]]</f>
        <v>CLR51-99-115_1:8 SPL for FDT-AE &amp; UG</v>
      </c>
      <c r="Q1812" t="str">
        <f>DO_DB[[#This Row],[DO Number]]</f>
        <v>DOEID240822C5</v>
      </c>
      <c r="R1812" t="str">
        <f>DO_DB[[#This Row],[DN Number]]</f>
        <v>DNWID0342024082301</v>
      </c>
    </row>
    <row r="1813" spans="1:18">
      <c r="A1813" t="s">
        <v>2007</v>
      </c>
      <c r="B1813" t="s">
        <v>2008</v>
      </c>
      <c r="C1813" s="172" t="s">
        <v>4482</v>
      </c>
      <c r="D1813" t="s">
        <v>71</v>
      </c>
      <c r="E1813" t="s">
        <v>24</v>
      </c>
      <c r="F1813" t="s">
        <v>3295</v>
      </c>
      <c r="G1813" t="s">
        <v>2009</v>
      </c>
      <c r="H1813" t="s">
        <v>2010</v>
      </c>
      <c r="I1813" s="130">
        <v>45531</v>
      </c>
      <c r="J1813" t="s">
        <v>3080</v>
      </c>
      <c r="K1813">
        <v>3</v>
      </c>
      <c r="M18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813" t="str">
        <f>DO_DB[[#This Row],[Material Pick-update]]&amp;"_"&amp;DO_DB[[#This Row],[Material Name]]</f>
        <v>45531_1:8 SPL for FDT-AE &amp; UG</v>
      </c>
      <c r="O1813" t="str">
        <f>DO_DB[[#This Row],[SiteID]]</f>
        <v>CLR51-02-016</v>
      </c>
      <c r="P1813" t="str">
        <f>DO_DB[[#This Row],[SiteID]]&amp;"_"&amp;DO_DB[[#This Row],[Material Name]]</f>
        <v>CLR51-02-016_1:8 SPL for FDT-AE &amp; UG</v>
      </c>
      <c r="Q1813" t="str">
        <f>DO_DB[[#This Row],[DO Number]]</f>
        <v>DOEID240826HC</v>
      </c>
      <c r="R1813" t="str">
        <f>DO_DB[[#This Row],[DN Number]]</f>
        <v>DNWID0342024082704</v>
      </c>
    </row>
    <row r="1814" spans="1:18">
      <c r="A1814" t="s">
        <v>84</v>
      </c>
      <c r="B1814" t="s">
        <v>85</v>
      </c>
      <c r="C1814" s="172" t="s">
        <v>4482</v>
      </c>
      <c r="D1814" t="s">
        <v>71</v>
      </c>
      <c r="E1814" t="s">
        <v>24</v>
      </c>
      <c r="F1814" t="s">
        <v>3295</v>
      </c>
      <c r="G1814" t="s">
        <v>86</v>
      </c>
      <c r="H1814" t="s">
        <v>87</v>
      </c>
      <c r="I1814" s="130">
        <v>45142</v>
      </c>
      <c r="J1814" t="s">
        <v>3073</v>
      </c>
      <c r="K1814">
        <v>3000</v>
      </c>
      <c r="M18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24C-202384-01</v>
      </c>
      <c r="N1814" t="str">
        <f>DO_DB[[#This Row],[Material Pick-update]]&amp;"_"&amp;DO_DB[[#This Row],[Material Name]]</f>
        <v>45142_ADSS 24C</v>
      </c>
      <c r="O1814" t="str">
        <f>DO_DB[[#This Row],[SiteID]]</f>
        <v>CLR51-99-004</v>
      </c>
      <c r="P1814" t="str">
        <f>DO_DB[[#This Row],[SiteID]]&amp;"_"&amp;DO_DB[[#This Row],[Material Name]]</f>
        <v>CLR51-99-004_ADSS 24C</v>
      </c>
      <c r="Q1814" t="str">
        <f>DO_DB[[#This Row],[DO Number]]</f>
        <v>DOEID23080182</v>
      </c>
      <c r="R1814" t="str">
        <f>DO_DB[[#This Row],[DN Number]]</f>
        <v>DNWID0342023080312</v>
      </c>
    </row>
    <row r="1815" spans="1:18">
      <c r="A1815" t="s">
        <v>84</v>
      </c>
      <c r="B1815" t="s">
        <v>85</v>
      </c>
      <c r="C1815" s="172" t="s">
        <v>4482</v>
      </c>
      <c r="D1815" t="s">
        <v>71</v>
      </c>
      <c r="E1815" t="s">
        <v>24</v>
      </c>
      <c r="F1815" t="s">
        <v>3295</v>
      </c>
      <c r="G1815" t="s">
        <v>86</v>
      </c>
      <c r="H1815" t="s">
        <v>87</v>
      </c>
      <c r="I1815" s="130">
        <v>45142</v>
      </c>
      <c r="J1815" t="s">
        <v>3075</v>
      </c>
      <c r="K1815">
        <v>3000</v>
      </c>
      <c r="M18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48C-202384-01</v>
      </c>
      <c r="N1815" t="str">
        <f>DO_DB[[#This Row],[Material Pick-update]]&amp;"_"&amp;DO_DB[[#This Row],[Material Name]]</f>
        <v>45142_ADSS 48C</v>
      </c>
      <c r="O1815" t="str">
        <f>DO_DB[[#This Row],[SiteID]]</f>
        <v>CLR51-99-004</v>
      </c>
      <c r="P1815" t="str">
        <f>DO_DB[[#This Row],[SiteID]]&amp;"_"&amp;DO_DB[[#This Row],[Material Name]]</f>
        <v>CLR51-99-004_ADSS 48C</v>
      </c>
      <c r="Q1815" t="str">
        <f>DO_DB[[#This Row],[DO Number]]</f>
        <v>DOEID23080182</v>
      </c>
      <c r="R1815" t="str">
        <f>DO_DB[[#This Row],[DN Number]]</f>
        <v>DNWID0342023080312</v>
      </c>
    </row>
    <row r="1816" spans="1:18">
      <c r="A1816" t="s">
        <v>150</v>
      </c>
      <c r="B1816" t="s">
        <v>151</v>
      </c>
      <c r="C1816" s="172" t="s">
        <v>4482</v>
      </c>
      <c r="D1816" t="s">
        <v>71</v>
      </c>
      <c r="E1816" t="s">
        <v>24</v>
      </c>
      <c r="F1816" t="s">
        <v>3295</v>
      </c>
      <c r="G1816" t="s">
        <v>154</v>
      </c>
      <c r="H1816" t="s">
        <v>155</v>
      </c>
      <c r="I1816" s="130">
        <v>45170</v>
      </c>
      <c r="J1816" t="s">
        <v>3075</v>
      </c>
      <c r="K1816">
        <v>3000</v>
      </c>
      <c r="M18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48C-202391-01</v>
      </c>
      <c r="N1816" t="str">
        <f>DO_DB[[#This Row],[Material Pick-update]]&amp;"_"&amp;DO_DB[[#This Row],[Material Name]]</f>
        <v>45170_ADSS 48C</v>
      </c>
      <c r="O1816" t="str">
        <f>DO_DB[[#This Row],[SiteID]]</f>
        <v>CLR51-99-006</v>
      </c>
      <c r="P1816" t="str">
        <f>DO_DB[[#This Row],[SiteID]]&amp;"_"&amp;DO_DB[[#This Row],[Material Name]]</f>
        <v>CLR51-99-006_ADSS 48C</v>
      </c>
      <c r="Q1816" t="str">
        <f>DO_DB[[#This Row],[DO Number]]</f>
        <v>DOEID23083120</v>
      </c>
      <c r="R1816" t="str">
        <f>DO_DB[[#This Row],[DN Number]]</f>
        <v>DNWID0342023083103</v>
      </c>
    </row>
    <row r="1817" spans="1:18">
      <c r="A1817" t="s">
        <v>164</v>
      </c>
      <c r="B1817" t="s">
        <v>165</v>
      </c>
      <c r="C1817" s="172" t="s">
        <v>4482</v>
      </c>
      <c r="D1817" t="s">
        <v>71</v>
      </c>
      <c r="E1817" t="s">
        <v>24</v>
      </c>
      <c r="F1817" t="s">
        <v>3295</v>
      </c>
      <c r="G1817" t="s">
        <v>166</v>
      </c>
      <c r="H1817" t="s">
        <v>167</v>
      </c>
      <c r="I1817" s="130">
        <v>45185</v>
      </c>
      <c r="J1817" t="s">
        <v>3075</v>
      </c>
      <c r="K1817">
        <v>3000</v>
      </c>
      <c r="M18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48C-2023916-01</v>
      </c>
      <c r="N1817" t="str">
        <f>DO_DB[[#This Row],[Material Pick-update]]&amp;"_"&amp;DO_DB[[#This Row],[Material Name]]</f>
        <v>45185_ADSS 48C</v>
      </c>
      <c r="O1817" t="str">
        <f>DO_DB[[#This Row],[SiteID]]</f>
        <v>CLR51-99-014</v>
      </c>
      <c r="P1817" t="str">
        <f>DO_DB[[#This Row],[SiteID]]&amp;"_"&amp;DO_DB[[#This Row],[Material Name]]</f>
        <v>CLR51-99-014_ADSS 48C</v>
      </c>
      <c r="Q1817" t="str">
        <f>DO_DB[[#This Row],[DO Number]]</f>
        <v>DOEID23091556</v>
      </c>
      <c r="R1817" t="str">
        <f>DO_DB[[#This Row],[DN Number]]</f>
        <v>DNWID0342023091501</v>
      </c>
    </row>
    <row r="1818" spans="1:18">
      <c r="A1818" t="s">
        <v>180</v>
      </c>
      <c r="B1818" t="s">
        <v>181</v>
      </c>
      <c r="C1818" s="172" t="s">
        <v>4482</v>
      </c>
      <c r="D1818" t="s">
        <v>71</v>
      </c>
      <c r="E1818" t="s">
        <v>24</v>
      </c>
      <c r="F1818" t="s">
        <v>3295</v>
      </c>
      <c r="G1818" t="s">
        <v>182</v>
      </c>
      <c r="H1818" t="s">
        <v>183</v>
      </c>
      <c r="I1818" s="130">
        <v>45188</v>
      </c>
      <c r="J1818" t="s">
        <v>3073</v>
      </c>
      <c r="K1818">
        <v>3000</v>
      </c>
      <c r="M18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24C-2023919-01</v>
      </c>
      <c r="N1818" t="str">
        <f>DO_DB[[#This Row],[Material Pick-update]]&amp;"_"&amp;DO_DB[[#This Row],[Material Name]]</f>
        <v>45188_ADSS 24C</v>
      </c>
      <c r="O1818" t="str">
        <f>DO_DB[[#This Row],[SiteID]]</f>
        <v>CLR51-99-007</v>
      </c>
      <c r="P1818" t="str">
        <f>DO_DB[[#This Row],[SiteID]]&amp;"_"&amp;DO_DB[[#This Row],[Material Name]]</f>
        <v>CLR51-99-007_ADSS 24C</v>
      </c>
      <c r="Q1818" t="str">
        <f>DO_DB[[#This Row],[DO Number]]</f>
        <v>DOEID230918DY</v>
      </c>
      <c r="R1818" t="str">
        <f>DO_DB[[#This Row],[DN Number]]</f>
        <v>DNWID0342023091808</v>
      </c>
    </row>
    <row r="1819" spans="1:18">
      <c r="A1819" t="s">
        <v>222</v>
      </c>
      <c r="B1819" t="s">
        <v>223</v>
      </c>
      <c r="C1819" s="172" t="s">
        <v>4482</v>
      </c>
      <c r="D1819" t="s">
        <v>71</v>
      </c>
      <c r="E1819" t="s">
        <v>24</v>
      </c>
      <c r="F1819" t="s">
        <v>3295</v>
      </c>
      <c r="G1819" t="s">
        <v>224</v>
      </c>
      <c r="H1819" t="s">
        <v>225</v>
      </c>
      <c r="I1819" s="130">
        <v>45189</v>
      </c>
      <c r="J1819" t="s">
        <v>3073</v>
      </c>
      <c r="K1819">
        <v>3000</v>
      </c>
      <c r="M18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24C-2023920-01</v>
      </c>
      <c r="N1819" t="str">
        <f>DO_DB[[#This Row],[Material Pick-update]]&amp;"_"&amp;DO_DB[[#This Row],[Material Name]]</f>
        <v>45189_ADSS 24C</v>
      </c>
      <c r="O1819" t="str">
        <f>DO_DB[[#This Row],[SiteID]]</f>
        <v>CLR51-02-001</v>
      </c>
      <c r="P1819" t="str">
        <f>DO_DB[[#This Row],[SiteID]]&amp;"_"&amp;DO_DB[[#This Row],[Material Name]]</f>
        <v>CLR51-02-001_ADSS 24C</v>
      </c>
      <c r="Q1819" t="str">
        <f>DO_DB[[#This Row],[DO Number]]</f>
        <v>DOEID230919BH</v>
      </c>
      <c r="R1819" t="str">
        <f>DO_DB[[#This Row],[DN Number]]</f>
        <v>DNWID0342023091906</v>
      </c>
    </row>
    <row r="1820" spans="1:18">
      <c r="A1820" t="s">
        <v>222</v>
      </c>
      <c r="B1820" t="s">
        <v>223</v>
      </c>
      <c r="C1820" s="172" t="s">
        <v>4482</v>
      </c>
      <c r="D1820" t="s">
        <v>71</v>
      </c>
      <c r="E1820" t="s">
        <v>24</v>
      </c>
      <c r="F1820" t="s">
        <v>3295</v>
      </c>
      <c r="G1820" t="s">
        <v>238</v>
      </c>
      <c r="H1820" t="s">
        <v>239</v>
      </c>
      <c r="I1820" s="130">
        <v>45195</v>
      </c>
      <c r="J1820" t="s">
        <v>3073</v>
      </c>
      <c r="K1820">
        <v>3000</v>
      </c>
      <c r="M18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24C-2023926-01</v>
      </c>
      <c r="N1820" t="str">
        <f>DO_DB[[#This Row],[Material Pick-update]]&amp;"_"&amp;DO_DB[[#This Row],[Material Name]]</f>
        <v>45195_ADSS 24C</v>
      </c>
      <c r="O1820" t="str">
        <f>DO_DB[[#This Row],[SiteID]]</f>
        <v>CLR51-02-001</v>
      </c>
      <c r="P1820" t="str">
        <f>DO_DB[[#This Row],[SiteID]]&amp;"_"&amp;DO_DB[[#This Row],[Material Name]]</f>
        <v>CLR51-02-001_ADSS 24C</v>
      </c>
      <c r="Q1820" t="str">
        <f>DO_DB[[#This Row],[DO Number]]</f>
        <v>DOEID23092543</v>
      </c>
      <c r="R1820" t="str">
        <f>DO_DB[[#This Row],[DN Number]]</f>
        <v>DNWID0342023092512</v>
      </c>
    </row>
    <row r="1821" spans="1:18">
      <c r="A1821" t="s">
        <v>172</v>
      </c>
      <c r="B1821" t="s">
        <v>173</v>
      </c>
      <c r="C1821" s="172" t="s">
        <v>4482</v>
      </c>
      <c r="D1821" t="s">
        <v>71</v>
      </c>
      <c r="E1821" t="s">
        <v>24</v>
      </c>
      <c r="F1821" t="s">
        <v>3295</v>
      </c>
      <c r="G1821" t="s">
        <v>236</v>
      </c>
      <c r="H1821" t="s">
        <v>237</v>
      </c>
      <c r="I1821" s="130">
        <v>45195</v>
      </c>
      <c r="J1821" t="s">
        <v>3075</v>
      </c>
      <c r="K1821">
        <v>3000</v>
      </c>
      <c r="M18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48C-2023926-01</v>
      </c>
      <c r="N1821" t="str">
        <f>DO_DB[[#This Row],[Material Pick-update]]&amp;"_"&amp;DO_DB[[#This Row],[Material Name]]</f>
        <v>45195_ADSS 48C</v>
      </c>
      <c r="O1821" t="str">
        <f>DO_DB[[#This Row],[SiteID]]</f>
        <v>CLR51-99-013</v>
      </c>
      <c r="P1821" t="str">
        <f>DO_DB[[#This Row],[SiteID]]&amp;"_"&amp;DO_DB[[#This Row],[Material Name]]</f>
        <v>CLR51-99-013_ADSS 48C</v>
      </c>
      <c r="Q1821" t="str">
        <f>DO_DB[[#This Row],[DO Number]]</f>
        <v>DOEID23092445</v>
      </c>
      <c r="R1821" t="str">
        <f>DO_DB[[#This Row],[DN Number]]</f>
        <v>DNWID0342023092505</v>
      </c>
    </row>
    <row r="1822" spans="1:18">
      <c r="A1822" t="s">
        <v>222</v>
      </c>
      <c r="B1822" t="s">
        <v>223</v>
      </c>
      <c r="C1822" s="172" t="s">
        <v>4482</v>
      </c>
      <c r="D1822" t="s">
        <v>71</v>
      </c>
      <c r="E1822" t="s">
        <v>24</v>
      </c>
      <c r="F1822" t="s">
        <v>3295</v>
      </c>
      <c r="G1822" t="s">
        <v>238</v>
      </c>
      <c r="H1822" t="s">
        <v>239</v>
      </c>
      <c r="I1822" s="130">
        <v>45195</v>
      </c>
      <c r="J1822" t="s">
        <v>3075</v>
      </c>
      <c r="K1822">
        <v>3000</v>
      </c>
      <c r="M18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48C-2023926-01</v>
      </c>
      <c r="N1822" t="str">
        <f>DO_DB[[#This Row],[Material Pick-update]]&amp;"_"&amp;DO_DB[[#This Row],[Material Name]]</f>
        <v>45195_ADSS 48C</v>
      </c>
      <c r="O1822" t="str">
        <f>DO_DB[[#This Row],[SiteID]]</f>
        <v>CLR51-02-001</v>
      </c>
      <c r="P1822" t="str">
        <f>DO_DB[[#This Row],[SiteID]]&amp;"_"&amp;DO_DB[[#This Row],[Material Name]]</f>
        <v>CLR51-02-001_ADSS 48C</v>
      </c>
      <c r="Q1822" t="str">
        <f>DO_DB[[#This Row],[DO Number]]</f>
        <v>DOEID23092543</v>
      </c>
      <c r="R1822" t="str">
        <f>DO_DB[[#This Row],[DN Number]]</f>
        <v>DNWID0342023092512</v>
      </c>
    </row>
    <row r="1823" spans="1:18">
      <c r="A1823" t="s">
        <v>336</v>
      </c>
      <c r="B1823" t="s">
        <v>337</v>
      </c>
      <c r="C1823" s="172" t="s">
        <v>4482</v>
      </c>
      <c r="D1823" t="s">
        <v>71</v>
      </c>
      <c r="E1823" t="s">
        <v>24</v>
      </c>
      <c r="F1823" t="s">
        <v>3295</v>
      </c>
      <c r="G1823" t="s">
        <v>338</v>
      </c>
      <c r="H1823" t="s">
        <v>339</v>
      </c>
      <c r="I1823" s="130">
        <v>45213</v>
      </c>
      <c r="J1823" t="s">
        <v>3073</v>
      </c>
      <c r="K1823">
        <v>3000</v>
      </c>
      <c r="M18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24C-20231014-01</v>
      </c>
      <c r="N1823" t="str">
        <f>DO_DB[[#This Row],[Material Pick-update]]&amp;"_"&amp;DO_DB[[#This Row],[Material Name]]</f>
        <v>45213_ADSS 24C</v>
      </c>
      <c r="O1823" t="str">
        <f>DO_DB[[#This Row],[SiteID]]</f>
        <v>CLR51-99-019</v>
      </c>
      <c r="P1823" t="str">
        <f>DO_DB[[#This Row],[SiteID]]&amp;"_"&amp;DO_DB[[#This Row],[Material Name]]</f>
        <v>CLR51-99-019_ADSS 24C</v>
      </c>
      <c r="Q1823" t="str">
        <f>DO_DB[[#This Row],[DO Number]]</f>
        <v>DOEID231013AT</v>
      </c>
      <c r="R1823" t="str">
        <f>DO_DB[[#This Row],[DN Number]]</f>
        <v>DNWID0342023101408</v>
      </c>
    </row>
    <row r="1824" spans="1:18">
      <c r="A1824" t="s">
        <v>324</v>
      </c>
      <c r="B1824" t="s">
        <v>325</v>
      </c>
      <c r="C1824" s="172" t="s">
        <v>4482</v>
      </c>
      <c r="D1824" t="s">
        <v>71</v>
      </c>
      <c r="E1824" t="s">
        <v>24</v>
      </c>
      <c r="F1824" t="s">
        <v>3295</v>
      </c>
      <c r="G1824" t="s">
        <v>326</v>
      </c>
      <c r="H1824" t="s">
        <v>327</v>
      </c>
      <c r="I1824" s="130">
        <v>45213</v>
      </c>
      <c r="J1824" t="s">
        <v>3073</v>
      </c>
      <c r="K1824">
        <v>3000</v>
      </c>
      <c r="M18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24C-20231014-01</v>
      </c>
      <c r="N1824" t="str">
        <f>DO_DB[[#This Row],[Material Pick-update]]&amp;"_"&amp;DO_DB[[#This Row],[Material Name]]</f>
        <v>45213_ADSS 24C</v>
      </c>
      <c r="O1824" t="str">
        <f>DO_DB[[#This Row],[SiteID]]</f>
        <v>CLR51-99-021</v>
      </c>
      <c r="P1824" t="str">
        <f>DO_DB[[#This Row],[SiteID]]&amp;"_"&amp;DO_DB[[#This Row],[Material Name]]</f>
        <v>CLR51-99-021_ADSS 24C</v>
      </c>
      <c r="Q1824" t="str">
        <f>DO_DB[[#This Row],[DO Number]]</f>
        <v>DOEID231013AX</v>
      </c>
      <c r="R1824" t="str">
        <f>DO_DB[[#This Row],[DN Number]]</f>
        <v>DNWID0342023101405</v>
      </c>
    </row>
    <row r="1825" spans="1:18">
      <c r="A1825" t="s">
        <v>328</v>
      </c>
      <c r="B1825" t="s">
        <v>329</v>
      </c>
      <c r="C1825" s="172" t="s">
        <v>4482</v>
      </c>
      <c r="D1825" t="s">
        <v>71</v>
      </c>
      <c r="E1825" t="s">
        <v>24</v>
      </c>
      <c r="F1825" t="s">
        <v>3295</v>
      </c>
      <c r="G1825" t="s">
        <v>330</v>
      </c>
      <c r="H1825" t="s">
        <v>331</v>
      </c>
      <c r="I1825" s="130">
        <v>45213</v>
      </c>
      <c r="J1825" t="s">
        <v>3073</v>
      </c>
      <c r="K1825">
        <v>3000</v>
      </c>
      <c r="M18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24C-20231014-01</v>
      </c>
      <c r="N1825" t="str">
        <f>DO_DB[[#This Row],[Material Pick-update]]&amp;"_"&amp;DO_DB[[#This Row],[Material Name]]</f>
        <v>45213_ADSS 24C</v>
      </c>
      <c r="O1825" t="str">
        <f>DO_DB[[#This Row],[SiteID]]</f>
        <v>CLR51-99-017</v>
      </c>
      <c r="P1825" t="str">
        <f>DO_DB[[#This Row],[SiteID]]&amp;"_"&amp;DO_DB[[#This Row],[Material Name]]</f>
        <v>CLR51-99-017_ADSS 24C</v>
      </c>
      <c r="Q1825" t="str">
        <f>DO_DB[[#This Row],[DO Number]]</f>
        <v>DOEID23101403</v>
      </c>
      <c r="R1825" t="str">
        <f>DO_DB[[#This Row],[DN Number]]</f>
        <v>DNWID0342023101406</v>
      </c>
    </row>
    <row r="1826" spans="1:18">
      <c r="A1826" t="s">
        <v>340</v>
      </c>
      <c r="B1826" t="s">
        <v>341</v>
      </c>
      <c r="C1826" s="172" t="s">
        <v>4482</v>
      </c>
      <c r="D1826" t="s">
        <v>71</v>
      </c>
      <c r="E1826" t="s">
        <v>24</v>
      </c>
      <c r="F1826" t="s">
        <v>3295</v>
      </c>
      <c r="G1826" t="s">
        <v>342</v>
      </c>
      <c r="H1826" t="s">
        <v>343</v>
      </c>
      <c r="I1826" s="130">
        <v>45213</v>
      </c>
      <c r="J1826" t="s">
        <v>3075</v>
      </c>
      <c r="K1826">
        <v>3000</v>
      </c>
      <c r="M18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48C-20231014-01</v>
      </c>
      <c r="N1826" t="str">
        <f>DO_DB[[#This Row],[Material Pick-update]]&amp;"_"&amp;DO_DB[[#This Row],[Material Name]]</f>
        <v>45213_ADSS 48C</v>
      </c>
      <c r="O1826" t="str">
        <f>DO_DB[[#This Row],[SiteID]]</f>
        <v>CLR51-99-020</v>
      </c>
      <c r="P1826" t="str">
        <f>DO_DB[[#This Row],[SiteID]]&amp;"_"&amp;DO_DB[[#This Row],[Material Name]]</f>
        <v>CLR51-99-020_ADSS 48C</v>
      </c>
      <c r="Q1826" t="str">
        <f>DO_DB[[#This Row],[DO Number]]</f>
        <v>DOEID231013AV</v>
      </c>
      <c r="R1826" t="str">
        <f>DO_DB[[#This Row],[DN Number]]</f>
        <v>DNWID0342023101409</v>
      </c>
    </row>
    <row r="1827" spans="1:18">
      <c r="A1827" t="s">
        <v>328</v>
      </c>
      <c r="B1827" t="s">
        <v>329</v>
      </c>
      <c r="C1827" s="172" t="s">
        <v>4482</v>
      </c>
      <c r="D1827" t="s">
        <v>71</v>
      </c>
      <c r="E1827" t="s">
        <v>24</v>
      </c>
      <c r="F1827" t="s">
        <v>3295</v>
      </c>
      <c r="G1827" t="s">
        <v>330</v>
      </c>
      <c r="H1827" t="s">
        <v>331</v>
      </c>
      <c r="I1827" s="130">
        <v>45213</v>
      </c>
      <c r="J1827" t="s">
        <v>3075</v>
      </c>
      <c r="K1827">
        <v>3000</v>
      </c>
      <c r="M18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48C-20231014-01</v>
      </c>
      <c r="N1827" t="str">
        <f>DO_DB[[#This Row],[Material Pick-update]]&amp;"_"&amp;DO_DB[[#This Row],[Material Name]]</f>
        <v>45213_ADSS 48C</v>
      </c>
      <c r="O1827" t="str">
        <f>DO_DB[[#This Row],[SiteID]]</f>
        <v>CLR51-99-017</v>
      </c>
      <c r="P1827" t="str">
        <f>DO_DB[[#This Row],[SiteID]]&amp;"_"&amp;DO_DB[[#This Row],[Material Name]]</f>
        <v>CLR51-99-017_ADSS 48C</v>
      </c>
      <c r="Q1827" t="str">
        <f>DO_DB[[#This Row],[DO Number]]</f>
        <v>DOEID23101403</v>
      </c>
      <c r="R1827" t="str">
        <f>DO_DB[[#This Row],[DN Number]]</f>
        <v>DNWID0342023101406</v>
      </c>
    </row>
    <row r="1828" spans="1:18">
      <c r="A1828" t="s">
        <v>468</v>
      </c>
      <c r="B1828" t="s">
        <v>469</v>
      </c>
      <c r="C1828" s="172" t="s">
        <v>4482</v>
      </c>
      <c r="D1828" t="s">
        <v>71</v>
      </c>
      <c r="E1828" t="s">
        <v>24</v>
      </c>
      <c r="F1828" t="s">
        <v>3295</v>
      </c>
      <c r="G1828" t="s">
        <v>540</v>
      </c>
      <c r="H1828" t="s">
        <v>541</v>
      </c>
      <c r="I1828" s="130">
        <v>45245</v>
      </c>
      <c r="J1828" t="s">
        <v>3073</v>
      </c>
      <c r="K1828">
        <v>3000</v>
      </c>
      <c r="M18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24C-20231115-01</v>
      </c>
      <c r="N1828" t="str">
        <f>DO_DB[[#This Row],[Material Pick-update]]&amp;"_"&amp;DO_DB[[#This Row],[Material Name]]</f>
        <v>45245_ADSS 24C</v>
      </c>
      <c r="O1828" t="str">
        <f>DO_DB[[#This Row],[SiteID]]</f>
        <v>CLR51-99-026</v>
      </c>
      <c r="P1828" t="str">
        <f>DO_DB[[#This Row],[SiteID]]&amp;"_"&amp;DO_DB[[#This Row],[Material Name]]</f>
        <v>CLR51-99-026_ADSS 24C</v>
      </c>
      <c r="Q1828" t="str">
        <f>DO_DB[[#This Row],[DO Number]]</f>
        <v>DOEID231113AY</v>
      </c>
      <c r="R1828" t="str">
        <f>DO_DB[[#This Row],[DN Number]]</f>
        <v>DNWID0342023111301</v>
      </c>
    </row>
    <row r="1829" spans="1:18">
      <c r="A1829" t="s">
        <v>468</v>
      </c>
      <c r="B1829" t="s">
        <v>469</v>
      </c>
      <c r="C1829" s="172" t="s">
        <v>4482</v>
      </c>
      <c r="D1829" t="s">
        <v>71</v>
      </c>
      <c r="E1829" t="s">
        <v>24</v>
      </c>
      <c r="F1829" t="s">
        <v>3295</v>
      </c>
      <c r="G1829" t="s">
        <v>540</v>
      </c>
      <c r="H1829" t="s">
        <v>541</v>
      </c>
      <c r="I1829" s="130">
        <v>45245</v>
      </c>
      <c r="J1829" t="s">
        <v>3075</v>
      </c>
      <c r="K1829">
        <v>3000</v>
      </c>
      <c r="M18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48C-20231115-01</v>
      </c>
      <c r="N1829" t="str">
        <f>DO_DB[[#This Row],[Material Pick-update]]&amp;"_"&amp;DO_DB[[#This Row],[Material Name]]</f>
        <v>45245_ADSS 48C</v>
      </c>
      <c r="O1829" t="str">
        <f>DO_DB[[#This Row],[SiteID]]</f>
        <v>CLR51-99-026</v>
      </c>
      <c r="P1829" t="str">
        <f>DO_DB[[#This Row],[SiteID]]&amp;"_"&amp;DO_DB[[#This Row],[Material Name]]</f>
        <v>CLR51-99-026_ADSS 48C</v>
      </c>
      <c r="Q1829" t="str">
        <f>DO_DB[[#This Row],[DO Number]]</f>
        <v>DOEID231113AY</v>
      </c>
      <c r="R1829" t="str">
        <f>DO_DB[[#This Row],[DN Number]]</f>
        <v>DNWID0342023111301</v>
      </c>
    </row>
    <row r="1830" spans="1:18">
      <c r="A1830" t="s">
        <v>738</v>
      </c>
      <c r="B1830" t="s">
        <v>739</v>
      </c>
      <c r="C1830" s="172" t="s">
        <v>4482</v>
      </c>
      <c r="D1830" t="s">
        <v>71</v>
      </c>
      <c r="E1830" t="s">
        <v>24</v>
      </c>
      <c r="F1830" t="s">
        <v>3295</v>
      </c>
      <c r="G1830" t="s">
        <v>740</v>
      </c>
      <c r="H1830" t="s">
        <v>741</v>
      </c>
      <c r="I1830" s="130">
        <v>45287</v>
      </c>
      <c r="J1830" t="s">
        <v>3073</v>
      </c>
      <c r="K1830">
        <v>3000</v>
      </c>
      <c r="M18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24C-20231227-01</v>
      </c>
      <c r="N1830" t="str">
        <f>DO_DB[[#This Row],[Material Pick-update]]&amp;"_"&amp;DO_DB[[#This Row],[Material Name]]</f>
        <v>45287_ADSS 24C</v>
      </c>
      <c r="O1830" t="str">
        <f>DO_DB[[#This Row],[SiteID]]</f>
        <v>CLR51-01-005</v>
      </c>
      <c r="P1830" t="str">
        <f>DO_DB[[#This Row],[SiteID]]&amp;"_"&amp;DO_DB[[#This Row],[Material Name]]</f>
        <v>CLR51-01-005_ADSS 24C</v>
      </c>
      <c r="Q1830" t="str">
        <f>DO_DB[[#This Row],[DO Number]]</f>
        <v>DOEID231223A6</v>
      </c>
      <c r="R1830" t="str">
        <f>DO_DB[[#This Row],[DN Number]]</f>
        <v>DNWID0342023122352</v>
      </c>
    </row>
    <row r="1831" spans="1:18">
      <c r="A1831" t="s">
        <v>732</v>
      </c>
      <c r="B1831" t="s">
        <v>733</v>
      </c>
      <c r="C1831" s="172" t="s">
        <v>4482</v>
      </c>
      <c r="D1831" t="s">
        <v>71</v>
      </c>
      <c r="E1831" t="s">
        <v>24</v>
      </c>
      <c r="F1831" t="s">
        <v>3295</v>
      </c>
      <c r="G1831" t="s">
        <v>736</v>
      </c>
      <c r="H1831" t="s">
        <v>737</v>
      </c>
      <c r="I1831" s="130">
        <v>45287</v>
      </c>
      <c r="J1831" t="s">
        <v>3073</v>
      </c>
      <c r="K1831">
        <v>3000</v>
      </c>
      <c r="M18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24C-20231227-01</v>
      </c>
      <c r="N1831" t="str">
        <f>DO_DB[[#This Row],[Material Pick-update]]&amp;"_"&amp;DO_DB[[#This Row],[Material Name]]</f>
        <v>45287_ADSS 24C</v>
      </c>
      <c r="O1831" t="str">
        <f>DO_DB[[#This Row],[SiteID]]</f>
        <v>CLR32-99-069</v>
      </c>
      <c r="P1831" t="str">
        <f>DO_DB[[#This Row],[SiteID]]&amp;"_"&amp;DO_DB[[#This Row],[Material Name]]</f>
        <v>CLR32-99-069_ADSS 24C</v>
      </c>
      <c r="Q1831" t="str">
        <f>DO_DB[[#This Row],[DO Number]]</f>
        <v>DOEID231223A8</v>
      </c>
      <c r="R1831" t="str">
        <f>DO_DB[[#This Row],[DN Number]]</f>
        <v>DNWID0342023122353</v>
      </c>
    </row>
    <row r="1832" spans="1:18">
      <c r="A1832" t="s">
        <v>828</v>
      </c>
      <c r="B1832" t="s">
        <v>829</v>
      </c>
      <c r="C1832" s="172" t="s">
        <v>4482</v>
      </c>
      <c r="D1832" t="s">
        <v>71</v>
      </c>
      <c r="E1832" t="s">
        <v>24</v>
      </c>
      <c r="F1832" t="s">
        <v>3295</v>
      </c>
      <c r="G1832" t="s">
        <v>852</v>
      </c>
      <c r="H1832" t="s">
        <v>853</v>
      </c>
      <c r="I1832" s="130">
        <v>45307</v>
      </c>
      <c r="J1832" t="s">
        <v>3073</v>
      </c>
      <c r="K1832">
        <v>6000</v>
      </c>
      <c r="M18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24C-2024116-01</v>
      </c>
      <c r="N1832" t="str">
        <f>DO_DB[[#This Row],[Material Pick-update]]&amp;"_"&amp;DO_DB[[#This Row],[Material Name]]</f>
        <v>45307_ADSS 24C</v>
      </c>
      <c r="O1832" t="str">
        <f>DO_DB[[#This Row],[SiteID]]</f>
        <v>CLR29-99-153</v>
      </c>
      <c r="P1832" t="str">
        <f>DO_DB[[#This Row],[SiteID]]&amp;"_"&amp;DO_DB[[#This Row],[Material Name]]</f>
        <v>CLR29-99-153_ADSS 24C</v>
      </c>
      <c r="Q1832" t="str">
        <f>DO_DB[[#This Row],[DO Number]]</f>
        <v>DOEID24011540</v>
      </c>
      <c r="R1832" t="str">
        <f>DO_DB[[#This Row],[DN Number]]</f>
        <v>DNWID0342024011501</v>
      </c>
    </row>
    <row r="1833" spans="1:18">
      <c r="A1833" t="s">
        <v>828</v>
      </c>
      <c r="B1833" t="s">
        <v>829</v>
      </c>
      <c r="C1833" s="172" t="s">
        <v>4482</v>
      </c>
      <c r="D1833" t="s">
        <v>71</v>
      </c>
      <c r="E1833" t="s">
        <v>24</v>
      </c>
      <c r="F1833" t="s">
        <v>3295</v>
      </c>
      <c r="G1833" t="s">
        <v>852</v>
      </c>
      <c r="H1833" t="s">
        <v>853</v>
      </c>
      <c r="I1833" s="130">
        <v>45307</v>
      </c>
      <c r="J1833" t="s">
        <v>3075</v>
      </c>
      <c r="K1833">
        <v>3000</v>
      </c>
      <c r="M18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48C-2024116-01</v>
      </c>
      <c r="N1833" t="str">
        <f>DO_DB[[#This Row],[Material Pick-update]]&amp;"_"&amp;DO_DB[[#This Row],[Material Name]]</f>
        <v>45307_ADSS 48C</v>
      </c>
      <c r="O1833" t="str">
        <f>DO_DB[[#This Row],[SiteID]]</f>
        <v>CLR29-99-153</v>
      </c>
      <c r="P1833" t="str">
        <f>DO_DB[[#This Row],[SiteID]]&amp;"_"&amp;DO_DB[[#This Row],[Material Name]]</f>
        <v>CLR29-99-153_ADSS 48C</v>
      </c>
      <c r="Q1833" t="str">
        <f>DO_DB[[#This Row],[DO Number]]</f>
        <v>DOEID24011540</v>
      </c>
      <c r="R1833" t="str">
        <f>DO_DB[[#This Row],[DN Number]]</f>
        <v>DNWID0342024011501</v>
      </c>
    </row>
    <row r="1834" spans="1:18">
      <c r="A1834" t="s">
        <v>838</v>
      </c>
      <c r="B1834" t="s">
        <v>839</v>
      </c>
      <c r="C1834" s="172" t="s">
        <v>4482</v>
      </c>
      <c r="D1834" t="s">
        <v>71</v>
      </c>
      <c r="E1834" t="s">
        <v>24</v>
      </c>
      <c r="F1834" t="s">
        <v>3295</v>
      </c>
      <c r="G1834" t="s">
        <v>842</v>
      </c>
      <c r="H1834" t="s">
        <v>843</v>
      </c>
      <c r="I1834" s="130">
        <v>45307</v>
      </c>
      <c r="J1834" t="s">
        <v>3075</v>
      </c>
      <c r="K1834">
        <v>3000</v>
      </c>
      <c r="M18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48C-2024116-01</v>
      </c>
      <c r="N1834" t="str">
        <f>DO_DB[[#This Row],[Material Pick-update]]&amp;"_"&amp;DO_DB[[#This Row],[Material Name]]</f>
        <v>45307_ADSS 48C</v>
      </c>
      <c r="O1834" t="str">
        <f>DO_DB[[#This Row],[SiteID]]</f>
        <v>CLR51-99-066</v>
      </c>
      <c r="P1834" t="str">
        <f>DO_DB[[#This Row],[SiteID]]&amp;"_"&amp;DO_DB[[#This Row],[Material Name]]</f>
        <v>CLR51-99-066_ADSS 48C</v>
      </c>
      <c r="Q1834" t="str">
        <f>DO_DB[[#This Row],[DO Number]]</f>
        <v>DOEID24011542</v>
      </c>
      <c r="R1834" t="str">
        <f>DO_DB[[#This Row],[DN Number]]</f>
        <v>DNWID0342024011502</v>
      </c>
    </row>
    <row r="1835" spans="1:18">
      <c r="A1835" t="s">
        <v>834</v>
      </c>
      <c r="B1835" t="s">
        <v>835</v>
      </c>
      <c r="C1835" s="172" t="s">
        <v>4482</v>
      </c>
      <c r="D1835" t="s">
        <v>71</v>
      </c>
      <c r="E1835" t="s">
        <v>24</v>
      </c>
      <c r="F1835" t="s">
        <v>3295</v>
      </c>
      <c r="G1835" t="s">
        <v>848</v>
      </c>
      <c r="H1835" t="s">
        <v>849</v>
      </c>
      <c r="I1835" s="130">
        <v>45307</v>
      </c>
      <c r="J1835" t="s">
        <v>3076</v>
      </c>
      <c r="K1835">
        <v>6000</v>
      </c>
      <c r="M18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96C-2024116-01</v>
      </c>
      <c r="N1835" t="str">
        <f>DO_DB[[#This Row],[Material Pick-update]]&amp;"_"&amp;DO_DB[[#This Row],[Material Name]]</f>
        <v>45307_ADSS 96C</v>
      </c>
      <c r="O1835" t="str">
        <f>DO_DB[[#This Row],[SiteID]]</f>
        <v>MF51-01</v>
      </c>
      <c r="P1835" t="str">
        <f>DO_DB[[#This Row],[SiteID]]&amp;"_"&amp;DO_DB[[#This Row],[Material Name]]</f>
        <v>MF51-01_ADSS 96C</v>
      </c>
      <c r="Q1835" t="str">
        <f>DO_DB[[#This Row],[DO Number]]</f>
        <v>DOEID24011537</v>
      </c>
      <c r="R1835" t="str">
        <f>DO_DB[[#This Row],[DN Number]]</f>
        <v>DNWID0342024011503</v>
      </c>
    </row>
    <row r="1836" spans="1:18">
      <c r="A1836" t="s">
        <v>921</v>
      </c>
      <c r="B1836" t="s">
        <v>922</v>
      </c>
      <c r="C1836" s="172" t="s">
        <v>4482</v>
      </c>
      <c r="D1836" t="s">
        <v>71</v>
      </c>
      <c r="E1836" t="s">
        <v>24</v>
      </c>
      <c r="F1836" t="s">
        <v>3295</v>
      </c>
      <c r="G1836" t="s">
        <v>929</v>
      </c>
      <c r="H1836" t="s">
        <v>930</v>
      </c>
      <c r="I1836" s="130">
        <v>45337</v>
      </c>
      <c r="J1836" t="s">
        <v>3073</v>
      </c>
      <c r="K1836">
        <v>3000</v>
      </c>
      <c r="M18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24C-2024215-01</v>
      </c>
      <c r="N1836" t="str">
        <f>DO_DB[[#This Row],[Material Pick-update]]&amp;"_"&amp;DO_DB[[#This Row],[Material Name]]</f>
        <v>45337_ADSS 24C</v>
      </c>
      <c r="O1836" t="str">
        <f>DO_DB[[#This Row],[SiteID]]</f>
        <v>CLR51-99-078</v>
      </c>
      <c r="P1836" t="str">
        <f>DO_DB[[#This Row],[SiteID]]&amp;"_"&amp;DO_DB[[#This Row],[Material Name]]</f>
        <v>CLR51-99-078_ADSS 24C</v>
      </c>
      <c r="Q1836" t="str">
        <f>DO_DB[[#This Row],[DO Number]]</f>
        <v>DOEID24021521</v>
      </c>
      <c r="R1836" t="str">
        <f>DO_DB[[#This Row],[DN Number]]</f>
        <v>DNWID0342024021507</v>
      </c>
    </row>
    <row r="1837" spans="1:18">
      <c r="A1837" t="s">
        <v>921</v>
      </c>
      <c r="B1837" t="s">
        <v>922</v>
      </c>
      <c r="C1837" s="172" t="s">
        <v>4482</v>
      </c>
      <c r="D1837" t="s">
        <v>71</v>
      </c>
      <c r="E1837" t="s">
        <v>24</v>
      </c>
      <c r="F1837" t="s">
        <v>3295</v>
      </c>
      <c r="G1837" t="s">
        <v>929</v>
      </c>
      <c r="H1837" t="s">
        <v>930</v>
      </c>
      <c r="I1837" s="130">
        <v>45337</v>
      </c>
      <c r="J1837" t="s">
        <v>3075</v>
      </c>
      <c r="K1837">
        <v>6000</v>
      </c>
      <c r="M18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48C-2024215-01</v>
      </c>
      <c r="N1837" t="str">
        <f>DO_DB[[#This Row],[Material Pick-update]]&amp;"_"&amp;DO_DB[[#This Row],[Material Name]]</f>
        <v>45337_ADSS 48C</v>
      </c>
      <c r="O1837" t="str">
        <f>DO_DB[[#This Row],[SiteID]]</f>
        <v>CLR51-99-078</v>
      </c>
      <c r="P1837" t="str">
        <f>DO_DB[[#This Row],[SiteID]]&amp;"_"&amp;DO_DB[[#This Row],[Material Name]]</f>
        <v>CLR51-99-078_ADSS 48C</v>
      </c>
      <c r="Q1837" t="str">
        <f>DO_DB[[#This Row],[DO Number]]</f>
        <v>DOEID24021521</v>
      </c>
      <c r="R1837" t="str">
        <f>DO_DB[[#This Row],[DN Number]]</f>
        <v>DNWID0342024021507</v>
      </c>
    </row>
    <row r="1838" spans="1:18">
      <c r="A1838" t="s">
        <v>1013</v>
      </c>
      <c r="B1838" t="s">
        <v>1014</v>
      </c>
      <c r="C1838" s="172" t="s">
        <v>4482</v>
      </c>
      <c r="D1838" t="s">
        <v>71</v>
      </c>
      <c r="E1838" t="s">
        <v>24</v>
      </c>
      <c r="F1838" t="s">
        <v>3295</v>
      </c>
      <c r="G1838" t="s">
        <v>1015</v>
      </c>
      <c r="H1838" t="s">
        <v>1016</v>
      </c>
      <c r="I1838" s="130">
        <v>45351</v>
      </c>
      <c r="J1838" t="s">
        <v>3075</v>
      </c>
      <c r="K1838">
        <v>3000</v>
      </c>
      <c r="M18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48C-2024229-01</v>
      </c>
      <c r="N1838" t="str">
        <f>DO_DB[[#This Row],[Material Pick-update]]&amp;"_"&amp;DO_DB[[#This Row],[Material Name]]</f>
        <v>45351_ADSS 48C</v>
      </c>
      <c r="O1838" t="str">
        <f>DO_DB[[#This Row],[SiteID]]</f>
        <v>CLR51-99-079</v>
      </c>
      <c r="P1838" t="str">
        <f>DO_DB[[#This Row],[SiteID]]&amp;"_"&amp;DO_DB[[#This Row],[Material Name]]</f>
        <v>CLR51-99-079_ADSS 48C</v>
      </c>
      <c r="Q1838" t="str">
        <f>DO_DB[[#This Row],[DO Number]]</f>
        <v>DOEID240226C9</v>
      </c>
      <c r="R1838" t="str">
        <f>DO_DB[[#This Row],[DN Number]]</f>
        <v>DNWID0342024022616</v>
      </c>
    </row>
    <row r="1839" spans="1:18">
      <c r="A1839" t="s">
        <v>921</v>
      </c>
      <c r="B1839" t="s">
        <v>922</v>
      </c>
      <c r="C1839" s="172" t="s">
        <v>4482</v>
      </c>
      <c r="D1839" t="s">
        <v>71</v>
      </c>
      <c r="E1839" t="s">
        <v>24</v>
      </c>
      <c r="F1839" t="s">
        <v>3295</v>
      </c>
      <c r="G1839" t="s">
        <v>1011</v>
      </c>
      <c r="H1839" t="s">
        <v>1012</v>
      </c>
      <c r="I1839" s="130">
        <v>45351</v>
      </c>
      <c r="J1839" t="s">
        <v>3075</v>
      </c>
      <c r="K1839">
        <v>3000</v>
      </c>
      <c r="M18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48C-2024229-01</v>
      </c>
      <c r="N1839" t="str">
        <f>DO_DB[[#This Row],[Material Pick-update]]&amp;"_"&amp;DO_DB[[#This Row],[Material Name]]</f>
        <v>45351_ADSS 48C</v>
      </c>
      <c r="O1839" t="str">
        <f>DO_DB[[#This Row],[SiteID]]</f>
        <v>CLR51-99-078</v>
      </c>
      <c r="P1839" t="str">
        <f>DO_DB[[#This Row],[SiteID]]&amp;"_"&amp;DO_DB[[#This Row],[Material Name]]</f>
        <v>CLR51-99-078_ADSS 48C</v>
      </c>
      <c r="Q1839" t="str">
        <f>DO_DB[[#This Row],[DO Number]]</f>
        <v>DOEID240226CC</v>
      </c>
      <c r="R1839" t="str">
        <f>DO_DB[[#This Row],[DN Number]]</f>
        <v>DNWID0342024022615</v>
      </c>
    </row>
    <row r="1840" spans="1:18">
      <c r="A1840" t="s">
        <v>1151</v>
      </c>
      <c r="B1840" t="s">
        <v>1152</v>
      </c>
      <c r="C1840" s="172" t="s">
        <v>4482</v>
      </c>
      <c r="D1840" t="s">
        <v>71</v>
      </c>
      <c r="E1840" t="s">
        <v>24</v>
      </c>
      <c r="F1840" t="s">
        <v>3295</v>
      </c>
      <c r="G1840" t="s">
        <v>1153</v>
      </c>
      <c r="H1840" t="s">
        <v>1154</v>
      </c>
      <c r="I1840" s="130">
        <v>45370</v>
      </c>
      <c r="J1840" t="s">
        <v>3073</v>
      </c>
      <c r="K1840">
        <v>3000</v>
      </c>
      <c r="M18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24C-2024319-01</v>
      </c>
      <c r="N1840" t="str">
        <f>DO_DB[[#This Row],[Material Pick-update]]&amp;"_"&amp;DO_DB[[#This Row],[Material Name]]</f>
        <v>45370_ADSS 24C</v>
      </c>
      <c r="O1840" t="str">
        <f>DO_DB[[#This Row],[SiteID]]</f>
        <v>CLR51-99-040</v>
      </c>
      <c r="P1840" t="str">
        <f>DO_DB[[#This Row],[SiteID]]&amp;"_"&amp;DO_DB[[#This Row],[Material Name]]</f>
        <v>CLR51-99-040_ADSS 24C</v>
      </c>
      <c r="Q1840" t="str">
        <f>DO_DB[[#This Row],[DO Number]]</f>
        <v>DOEID24031923</v>
      </c>
      <c r="R1840" t="str">
        <f>DO_DB[[#This Row],[DN Number]]</f>
        <v>DNWID0342024031908</v>
      </c>
    </row>
    <row r="1841" spans="1:18">
      <c r="A1841" t="s">
        <v>1155</v>
      </c>
      <c r="B1841" t="s">
        <v>1156</v>
      </c>
      <c r="C1841" s="172" t="s">
        <v>4482</v>
      </c>
      <c r="D1841" t="s">
        <v>71</v>
      </c>
      <c r="E1841" t="s">
        <v>24</v>
      </c>
      <c r="F1841" t="s">
        <v>3295</v>
      </c>
      <c r="G1841" t="s">
        <v>1167</v>
      </c>
      <c r="H1841" t="s">
        <v>1168</v>
      </c>
      <c r="I1841" s="130">
        <v>45370</v>
      </c>
      <c r="J1841" t="s">
        <v>3075</v>
      </c>
      <c r="K1841">
        <v>3000</v>
      </c>
      <c r="M18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48C-2024319-01</v>
      </c>
      <c r="N1841" t="str">
        <f>DO_DB[[#This Row],[Material Pick-update]]&amp;"_"&amp;DO_DB[[#This Row],[Material Name]]</f>
        <v>45370_ADSS 48C</v>
      </c>
      <c r="O1841" t="str">
        <f>DO_DB[[#This Row],[SiteID]]</f>
        <v>CLR51-99-034</v>
      </c>
      <c r="P1841" t="str">
        <f>DO_DB[[#This Row],[SiteID]]&amp;"_"&amp;DO_DB[[#This Row],[Material Name]]</f>
        <v>CLR51-99-034_ADSS 48C</v>
      </c>
      <c r="Q1841" t="str">
        <f>DO_DB[[#This Row],[DO Number]]</f>
        <v>DOEID24031921</v>
      </c>
      <c r="R1841" t="str">
        <f>DO_DB[[#This Row],[DN Number]]</f>
        <v>DNWID0342024031907</v>
      </c>
    </row>
    <row r="1842" spans="1:18">
      <c r="A1842" t="s">
        <v>1099</v>
      </c>
      <c r="B1842" t="s">
        <v>1100</v>
      </c>
      <c r="C1842" s="172" t="s">
        <v>4482</v>
      </c>
      <c r="D1842" t="s">
        <v>71</v>
      </c>
      <c r="E1842" t="s">
        <v>24</v>
      </c>
      <c r="F1842" t="s">
        <v>3295</v>
      </c>
      <c r="G1842" t="s">
        <v>1209</v>
      </c>
      <c r="H1842" t="s">
        <v>1210</v>
      </c>
      <c r="I1842" s="130">
        <v>45374</v>
      </c>
      <c r="J1842" t="s">
        <v>3073</v>
      </c>
      <c r="K1842">
        <v>3000</v>
      </c>
      <c r="M18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24C-2024323-01</v>
      </c>
      <c r="N1842" t="str">
        <f>DO_DB[[#This Row],[Material Pick-update]]&amp;"_"&amp;DO_DB[[#This Row],[Material Name]]</f>
        <v>45374_ADSS 24C</v>
      </c>
      <c r="O1842" t="str">
        <f>DO_DB[[#This Row],[SiteID]]</f>
        <v>CLR51-99-075</v>
      </c>
      <c r="P1842" t="str">
        <f>DO_DB[[#This Row],[SiteID]]&amp;"_"&amp;DO_DB[[#This Row],[Material Name]]</f>
        <v>CLR51-99-075_ADSS 24C</v>
      </c>
      <c r="Q1842" t="str">
        <f>DO_DB[[#This Row],[DO Number]]</f>
        <v>DOEID240322BC</v>
      </c>
      <c r="R1842" t="str">
        <f>DO_DB[[#This Row],[DN Number]]</f>
        <v>DNWID0342024032220</v>
      </c>
    </row>
    <row r="1843" spans="1:18">
      <c r="A1843" t="s">
        <v>1109</v>
      </c>
      <c r="B1843" t="s">
        <v>1110</v>
      </c>
      <c r="C1843" s="172" t="s">
        <v>4482</v>
      </c>
      <c r="D1843" t="s">
        <v>71</v>
      </c>
      <c r="E1843" t="s">
        <v>24</v>
      </c>
      <c r="F1843" t="s">
        <v>3295</v>
      </c>
      <c r="G1843" t="s">
        <v>1211</v>
      </c>
      <c r="H1843" t="s">
        <v>1212</v>
      </c>
      <c r="I1843" s="130">
        <v>45374</v>
      </c>
      <c r="J1843" t="s">
        <v>3073</v>
      </c>
      <c r="K1843">
        <v>3000</v>
      </c>
      <c r="M18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24C-2024323-01</v>
      </c>
      <c r="N1843" t="str">
        <f>DO_DB[[#This Row],[Material Pick-update]]&amp;"_"&amp;DO_DB[[#This Row],[Material Name]]</f>
        <v>45374_ADSS 24C</v>
      </c>
      <c r="O1843" t="str">
        <f>DO_DB[[#This Row],[SiteID]]</f>
        <v>CLR51-99-077</v>
      </c>
      <c r="P1843" t="str">
        <f>DO_DB[[#This Row],[SiteID]]&amp;"_"&amp;DO_DB[[#This Row],[Material Name]]</f>
        <v>CLR51-99-077_ADSS 24C</v>
      </c>
      <c r="Q1843" t="str">
        <f>DO_DB[[#This Row],[DO Number]]</f>
        <v>DOEID240322BD</v>
      </c>
      <c r="R1843" t="str">
        <f>DO_DB[[#This Row],[DN Number]]</f>
        <v>DNWID0342024032219</v>
      </c>
    </row>
    <row r="1844" spans="1:18">
      <c r="A1844" t="s">
        <v>1295</v>
      </c>
      <c r="B1844" t="s">
        <v>1296</v>
      </c>
      <c r="C1844" s="172" t="s">
        <v>4482</v>
      </c>
      <c r="D1844" t="s">
        <v>71</v>
      </c>
      <c r="E1844" t="s">
        <v>24</v>
      </c>
      <c r="F1844" t="s">
        <v>3295</v>
      </c>
      <c r="G1844" t="s">
        <v>1317</v>
      </c>
      <c r="H1844" t="s">
        <v>1318</v>
      </c>
      <c r="I1844" s="130">
        <v>45407</v>
      </c>
      <c r="J1844" t="s">
        <v>3073</v>
      </c>
      <c r="K1844">
        <v>3000</v>
      </c>
      <c r="M18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24C-2024425-01</v>
      </c>
      <c r="N1844" t="str">
        <f>DO_DB[[#This Row],[Material Pick-update]]&amp;"_"&amp;DO_DB[[#This Row],[Material Name]]</f>
        <v>45407_ADSS 24C</v>
      </c>
      <c r="O1844" t="str">
        <f>DO_DB[[#This Row],[SiteID]]</f>
        <v>CLR51-99-012</v>
      </c>
      <c r="P1844" t="str">
        <f>DO_DB[[#This Row],[SiteID]]&amp;"_"&amp;DO_DB[[#This Row],[Material Name]]</f>
        <v>CLR51-99-012_ADSS 24C</v>
      </c>
      <c r="Q1844" t="str">
        <f>DO_DB[[#This Row],[DO Number]]</f>
        <v>DOEID240422AL</v>
      </c>
      <c r="R1844" t="str">
        <f>DO_DB[[#This Row],[DN Number]]</f>
        <v>DNWID0342024042214</v>
      </c>
    </row>
    <row r="1845" spans="1:18">
      <c r="A1845" t="s">
        <v>1291</v>
      </c>
      <c r="B1845" t="s">
        <v>1292</v>
      </c>
      <c r="C1845" s="172" t="s">
        <v>4482</v>
      </c>
      <c r="D1845" t="s">
        <v>71</v>
      </c>
      <c r="E1845" t="s">
        <v>24</v>
      </c>
      <c r="F1845" t="s">
        <v>3295</v>
      </c>
      <c r="G1845" t="s">
        <v>1375</v>
      </c>
      <c r="H1845" t="s">
        <v>1376</v>
      </c>
      <c r="I1845" s="130">
        <v>45419</v>
      </c>
      <c r="J1845" t="s">
        <v>3073</v>
      </c>
      <c r="K1845">
        <v>3000</v>
      </c>
      <c r="M18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24C-202457-01</v>
      </c>
      <c r="N1845" t="str">
        <f>DO_DB[[#This Row],[Material Pick-update]]&amp;"_"&amp;DO_DB[[#This Row],[Material Name]]</f>
        <v>45419_ADSS 24C</v>
      </c>
      <c r="O1845" t="str">
        <f>DO_DB[[#This Row],[SiteID]]</f>
        <v>CLR51-99-088</v>
      </c>
      <c r="P1845" t="str">
        <f>DO_DB[[#This Row],[SiteID]]&amp;"_"&amp;DO_DB[[#This Row],[Material Name]]</f>
        <v>CLR51-99-088_ADSS 24C</v>
      </c>
      <c r="Q1845" t="str">
        <f>DO_DB[[#This Row],[DO Number]]</f>
        <v>DOEID240429A3</v>
      </c>
      <c r="R1845" t="str">
        <f>DO_DB[[#This Row],[DN Number]]</f>
        <v>DNWID0342024042905</v>
      </c>
    </row>
    <row r="1846" spans="1:18">
      <c r="A1846" t="s">
        <v>1391</v>
      </c>
      <c r="B1846" t="s">
        <v>1392</v>
      </c>
      <c r="C1846" s="172" t="s">
        <v>4482</v>
      </c>
      <c r="D1846" t="s">
        <v>71</v>
      </c>
      <c r="E1846" t="s">
        <v>24</v>
      </c>
      <c r="F1846" t="s">
        <v>3295</v>
      </c>
      <c r="G1846" t="s">
        <v>1393</v>
      </c>
      <c r="H1846" t="s">
        <v>1394</v>
      </c>
      <c r="I1846" s="130">
        <v>45432</v>
      </c>
      <c r="J1846" t="s">
        <v>3073</v>
      </c>
      <c r="K1846">
        <v>3000</v>
      </c>
      <c r="M18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24C-2024520-01</v>
      </c>
      <c r="N1846" t="str">
        <f>DO_DB[[#This Row],[Material Pick-update]]&amp;"_"&amp;DO_DB[[#This Row],[Material Name]]</f>
        <v>45432_ADSS 24C</v>
      </c>
      <c r="O1846" t="str">
        <f>DO_DB[[#This Row],[SiteID]]</f>
        <v>CLR51-99-086</v>
      </c>
      <c r="P1846" t="str">
        <f>DO_DB[[#This Row],[SiteID]]&amp;"_"&amp;DO_DB[[#This Row],[Material Name]]</f>
        <v>CLR51-99-086_ADSS 24C</v>
      </c>
      <c r="Q1846" t="str">
        <f>DO_DB[[#This Row],[DO Number]]</f>
        <v>DOEID240517C6</v>
      </c>
      <c r="R1846" t="str">
        <f>DO_DB[[#This Row],[DN Number]]</f>
        <v>DNWID0342024051708</v>
      </c>
    </row>
    <row r="1847" spans="1:18">
      <c r="A1847" t="s">
        <v>1405</v>
      </c>
      <c r="B1847" t="s">
        <v>1406</v>
      </c>
      <c r="C1847" s="172" t="s">
        <v>4482</v>
      </c>
      <c r="D1847" t="s">
        <v>71</v>
      </c>
      <c r="E1847" t="s">
        <v>24</v>
      </c>
      <c r="F1847" t="s">
        <v>3295</v>
      </c>
      <c r="G1847" t="s">
        <v>1411</v>
      </c>
      <c r="H1847" t="s">
        <v>1412</v>
      </c>
      <c r="I1847" s="130">
        <v>45432</v>
      </c>
      <c r="J1847" t="s">
        <v>3073</v>
      </c>
      <c r="K1847">
        <v>3000</v>
      </c>
      <c r="M18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24C-2024520-01</v>
      </c>
      <c r="N1847" t="str">
        <f>DO_DB[[#This Row],[Material Pick-update]]&amp;"_"&amp;DO_DB[[#This Row],[Material Name]]</f>
        <v>45432_ADSS 24C</v>
      </c>
      <c r="O1847" t="str">
        <f>DO_DB[[#This Row],[SiteID]]</f>
        <v>CLR51-99-087</v>
      </c>
      <c r="P1847" t="str">
        <f>DO_DB[[#This Row],[SiteID]]&amp;"_"&amp;DO_DB[[#This Row],[Material Name]]</f>
        <v>CLR51-99-087_ADSS 24C</v>
      </c>
      <c r="Q1847" t="str">
        <f>DO_DB[[#This Row],[DO Number]]</f>
        <v>DOEID240517DK</v>
      </c>
      <c r="R1847" t="str">
        <f>DO_DB[[#This Row],[DN Number]]</f>
        <v>DNWID0342024051713</v>
      </c>
    </row>
    <row r="1848" spans="1:18">
      <c r="A1848" t="s">
        <v>1401</v>
      </c>
      <c r="B1848" t="s">
        <v>1402</v>
      </c>
      <c r="C1848" s="172" t="s">
        <v>4482</v>
      </c>
      <c r="D1848" t="s">
        <v>71</v>
      </c>
      <c r="E1848" t="s">
        <v>24</v>
      </c>
      <c r="F1848" t="s">
        <v>3295</v>
      </c>
      <c r="G1848" t="s">
        <v>1403</v>
      </c>
      <c r="H1848" t="s">
        <v>1404</v>
      </c>
      <c r="I1848" s="130">
        <v>45432</v>
      </c>
      <c r="J1848" t="s">
        <v>3075</v>
      </c>
      <c r="K1848">
        <v>3000</v>
      </c>
      <c r="M18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48C-2024520-01</v>
      </c>
      <c r="N1848" t="str">
        <f>DO_DB[[#This Row],[Material Pick-update]]&amp;"_"&amp;DO_DB[[#This Row],[Material Name]]</f>
        <v>45432_ADSS 48C</v>
      </c>
      <c r="O1848" t="str">
        <f>DO_DB[[#This Row],[SiteID]]</f>
        <v>CLR51-99-092</v>
      </c>
      <c r="P1848" t="str">
        <f>DO_DB[[#This Row],[SiteID]]&amp;"_"&amp;DO_DB[[#This Row],[Material Name]]</f>
        <v>CLR51-99-092_ADSS 48C</v>
      </c>
      <c r="Q1848" t="str">
        <f>DO_DB[[#This Row],[DO Number]]</f>
        <v>DOEID24052009</v>
      </c>
      <c r="R1848" t="str">
        <f>DO_DB[[#This Row],[DN Number]]</f>
        <v>DNWID0342024052001</v>
      </c>
    </row>
    <row r="1849" spans="1:18">
      <c r="A1849" t="s">
        <v>1473</v>
      </c>
      <c r="B1849" t="s">
        <v>1474</v>
      </c>
      <c r="C1849" s="172" t="s">
        <v>4482</v>
      </c>
      <c r="D1849" t="s">
        <v>71</v>
      </c>
      <c r="E1849" t="s">
        <v>24</v>
      </c>
      <c r="F1849" t="s">
        <v>3295</v>
      </c>
      <c r="G1849" t="s">
        <v>1475</v>
      </c>
      <c r="H1849" t="s">
        <v>1476</v>
      </c>
      <c r="I1849" s="130">
        <v>45443</v>
      </c>
      <c r="J1849" t="s">
        <v>3075</v>
      </c>
      <c r="K1849">
        <v>3000</v>
      </c>
      <c r="M18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48C-2024531-01</v>
      </c>
      <c r="N1849" t="str">
        <f>DO_DB[[#This Row],[Material Pick-update]]&amp;"_"&amp;DO_DB[[#This Row],[Material Name]]</f>
        <v>45443_ADSS 48C</v>
      </c>
      <c r="O1849" t="str">
        <f>DO_DB[[#This Row],[SiteID]]</f>
        <v>CLR51-02-015</v>
      </c>
      <c r="P1849" t="str">
        <f>DO_DB[[#This Row],[SiteID]]&amp;"_"&amp;DO_DB[[#This Row],[Material Name]]</f>
        <v>CLR51-02-015_ADSS 48C</v>
      </c>
      <c r="Q1849" t="str">
        <f>DO_DB[[#This Row],[DO Number]]</f>
        <v>DOEID24053162</v>
      </c>
      <c r="R1849" t="str">
        <f>DO_DB[[#This Row],[DN Number]]</f>
        <v>DNWID0342024053101</v>
      </c>
    </row>
    <row r="1850" spans="1:18">
      <c r="A1850" t="s">
        <v>1465</v>
      </c>
      <c r="B1850" t="s">
        <v>1466</v>
      </c>
      <c r="C1850" s="172" t="s">
        <v>4482</v>
      </c>
      <c r="D1850" t="s">
        <v>71</v>
      </c>
      <c r="E1850" t="s">
        <v>24</v>
      </c>
      <c r="F1850" t="s">
        <v>3295</v>
      </c>
      <c r="G1850" t="s">
        <v>1467</v>
      </c>
      <c r="H1850" t="s">
        <v>1468</v>
      </c>
      <c r="I1850" s="130">
        <v>45443</v>
      </c>
      <c r="J1850" t="s">
        <v>3075</v>
      </c>
      <c r="K1850">
        <v>6000</v>
      </c>
      <c r="M18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48C-2024531-01</v>
      </c>
      <c r="N1850" t="str">
        <f>DO_DB[[#This Row],[Material Pick-update]]&amp;"_"&amp;DO_DB[[#This Row],[Material Name]]</f>
        <v>45443_ADSS 48C</v>
      </c>
      <c r="O1850" t="str">
        <f>DO_DB[[#This Row],[SiteID]]</f>
        <v>CLR51-02-014</v>
      </c>
      <c r="P1850" t="str">
        <f>DO_DB[[#This Row],[SiteID]]&amp;"_"&amp;DO_DB[[#This Row],[Material Name]]</f>
        <v>CLR51-02-014_ADSS 48C</v>
      </c>
      <c r="Q1850" t="str">
        <f>DO_DB[[#This Row],[DO Number]]</f>
        <v>DOEID24053159</v>
      </c>
      <c r="R1850" t="str">
        <f>DO_DB[[#This Row],[DN Number]]</f>
        <v>DNWID0342024053102</v>
      </c>
    </row>
    <row r="1851" spans="1:18">
      <c r="A1851" t="s">
        <v>1469</v>
      </c>
      <c r="B1851" t="s">
        <v>1470</v>
      </c>
      <c r="C1851" s="172" t="s">
        <v>4482</v>
      </c>
      <c r="D1851" t="s">
        <v>71</v>
      </c>
      <c r="E1851" t="s">
        <v>24</v>
      </c>
      <c r="F1851" t="s">
        <v>3295</v>
      </c>
      <c r="G1851" t="s">
        <v>1507</v>
      </c>
      <c r="H1851" t="s">
        <v>1508</v>
      </c>
      <c r="I1851" s="130">
        <v>45448</v>
      </c>
      <c r="J1851" t="s">
        <v>3073</v>
      </c>
      <c r="K1851">
        <v>3000</v>
      </c>
      <c r="M18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24C-202465-01</v>
      </c>
      <c r="N1851" t="str">
        <f>DO_DB[[#This Row],[Material Pick-update]]&amp;"_"&amp;DO_DB[[#This Row],[Material Name]]</f>
        <v>45448_ADSS 24C</v>
      </c>
      <c r="O1851" t="str">
        <f>DO_DB[[#This Row],[SiteID]]</f>
        <v>CLR51-99-099</v>
      </c>
      <c r="P1851" t="str">
        <f>DO_DB[[#This Row],[SiteID]]&amp;"_"&amp;DO_DB[[#This Row],[Material Name]]</f>
        <v>CLR51-99-099_ADSS 24C</v>
      </c>
      <c r="Q1851" t="str">
        <f>DO_DB[[#This Row],[DO Number]]</f>
        <v>DOEID24060447</v>
      </c>
      <c r="R1851" t="str">
        <f>DO_DB[[#This Row],[DN Number]]</f>
        <v>DNWID0342024060433</v>
      </c>
    </row>
    <row r="1852" spans="1:18">
      <c r="A1852" t="s">
        <v>1473</v>
      </c>
      <c r="B1852" t="s">
        <v>1474</v>
      </c>
      <c r="C1852" s="172" t="s">
        <v>4482</v>
      </c>
      <c r="D1852" t="s">
        <v>71</v>
      </c>
      <c r="E1852" t="s">
        <v>24</v>
      </c>
      <c r="F1852" t="s">
        <v>3295</v>
      </c>
      <c r="G1852" t="s">
        <v>1511</v>
      </c>
      <c r="H1852" t="s">
        <v>1512</v>
      </c>
      <c r="I1852" s="130">
        <v>45448</v>
      </c>
      <c r="J1852" t="s">
        <v>3073</v>
      </c>
      <c r="K1852">
        <v>3000</v>
      </c>
      <c r="M18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24C-202465-01</v>
      </c>
      <c r="N1852" t="str">
        <f>DO_DB[[#This Row],[Material Pick-update]]&amp;"_"&amp;DO_DB[[#This Row],[Material Name]]</f>
        <v>45448_ADSS 24C</v>
      </c>
      <c r="O1852" t="str">
        <f>DO_DB[[#This Row],[SiteID]]</f>
        <v>CLR51-02-015</v>
      </c>
      <c r="P1852" t="str">
        <f>DO_DB[[#This Row],[SiteID]]&amp;"_"&amp;DO_DB[[#This Row],[Material Name]]</f>
        <v>CLR51-02-015_ADSS 24C</v>
      </c>
      <c r="Q1852" t="str">
        <f>DO_DB[[#This Row],[DO Number]]</f>
        <v>DOEID24060451</v>
      </c>
      <c r="R1852" t="str">
        <f>DO_DB[[#This Row],[DN Number]]</f>
        <v>DNWID0342024060432</v>
      </c>
    </row>
    <row r="1853" spans="1:18">
      <c r="A1853" t="s">
        <v>1493</v>
      </c>
      <c r="B1853" t="s">
        <v>1494</v>
      </c>
      <c r="C1853" s="172" t="s">
        <v>4482</v>
      </c>
      <c r="D1853" t="s">
        <v>71</v>
      </c>
      <c r="E1853" t="s">
        <v>24</v>
      </c>
      <c r="F1853" t="s">
        <v>3295</v>
      </c>
      <c r="G1853" t="s">
        <v>1501</v>
      </c>
      <c r="H1853" t="s">
        <v>1502</v>
      </c>
      <c r="I1853" s="130">
        <v>45448</v>
      </c>
      <c r="J1853" s="172" t="s">
        <v>3073</v>
      </c>
      <c r="K1853">
        <v>6000</v>
      </c>
      <c r="M18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24C-202465-01</v>
      </c>
      <c r="N1853" t="str">
        <f>DO_DB[[#This Row],[Material Pick-update]]&amp;"_"&amp;DO_DB[[#This Row],[Material Name]]</f>
        <v>45448_ADSS 24C</v>
      </c>
      <c r="O1853" t="str">
        <f>DO_DB[[#This Row],[SiteID]]</f>
        <v>CLR51-99-097</v>
      </c>
      <c r="P1853" t="str">
        <f>DO_DB[[#This Row],[SiteID]]&amp;"_"&amp;DO_DB[[#This Row],[Material Name]]</f>
        <v>CLR51-99-097_ADSS 24C</v>
      </c>
      <c r="Q1853" t="str">
        <f>DO_DB[[#This Row],[DO Number]]</f>
        <v>DOEID24060440</v>
      </c>
      <c r="R1853" t="str">
        <f>DO_DB[[#This Row],[DN Number]]</f>
        <v>DNWID0342024060434</v>
      </c>
    </row>
    <row r="1854" spans="1:18">
      <c r="A1854" t="s">
        <v>1689</v>
      </c>
      <c r="B1854" t="s">
        <v>1690</v>
      </c>
      <c r="C1854" s="172" t="s">
        <v>4482</v>
      </c>
      <c r="D1854" t="s">
        <v>71</v>
      </c>
      <c r="E1854" t="s">
        <v>24</v>
      </c>
      <c r="F1854" t="s">
        <v>3295</v>
      </c>
      <c r="G1854" t="s">
        <v>1691</v>
      </c>
      <c r="H1854" t="s">
        <v>1692</v>
      </c>
      <c r="I1854" s="130">
        <v>45467</v>
      </c>
      <c r="J1854" t="s">
        <v>3075</v>
      </c>
      <c r="K1854">
        <v>3000</v>
      </c>
      <c r="M18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48C-2024624-01</v>
      </c>
      <c r="N1854" t="str">
        <f>DO_DB[[#This Row],[Material Pick-update]]&amp;"_"&amp;DO_DB[[#This Row],[Material Name]]</f>
        <v>45467_ADSS 48C</v>
      </c>
      <c r="O1854" t="str">
        <f>DO_DB[[#This Row],[SiteID]]</f>
        <v>CLR51-99-044</v>
      </c>
      <c r="P1854" t="str">
        <f>DO_DB[[#This Row],[SiteID]]&amp;"_"&amp;DO_DB[[#This Row],[Material Name]]</f>
        <v>CLR51-99-044_ADSS 48C</v>
      </c>
      <c r="Q1854" t="str">
        <f>DO_DB[[#This Row],[DO Number]]</f>
        <v>DOEID240620EP</v>
      </c>
      <c r="R1854" t="str">
        <f>DO_DB[[#This Row],[DN Number]]</f>
        <v>DNWID0342024062018</v>
      </c>
    </row>
    <row r="1855" spans="1:18">
      <c r="A1855" t="s">
        <v>1683</v>
      </c>
      <c r="B1855" t="s">
        <v>1684</v>
      </c>
      <c r="C1855" s="172" t="s">
        <v>4482</v>
      </c>
      <c r="D1855" t="s">
        <v>71</v>
      </c>
      <c r="E1855" t="s">
        <v>24</v>
      </c>
      <c r="F1855" t="s">
        <v>3295</v>
      </c>
      <c r="G1855" t="s">
        <v>1685</v>
      </c>
      <c r="H1855" t="s">
        <v>1686</v>
      </c>
      <c r="I1855" s="130">
        <v>45468</v>
      </c>
      <c r="J1855" t="s">
        <v>3073</v>
      </c>
      <c r="K1855">
        <v>3000</v>
      </c>
      <c r="M18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24C-2024625-01</v>
      </c>
      <c r="N1855" t="str">
        <f>DO_DB[[#This Row],[Material Pick-update]]&amp;"_"&amp;DO_DB[[#This Row],[Material Name]]</f>
        <v>45468_ADSS 24C</v>
      </c>
      <c r="O1855" t="str">
        <f>DO_DB[[#This Row],[SiteID]]</f>
        <v>CLR51-02-020</v>
      </c>
      <c r="P1855" t="str">
        <f>DO_DB[[#This Row],[SiteID]]&amp;"_"&amp;DO_DB[[#This Row],[Material Name]]</f>
        <v>CLR51-02-020_ADSS 24C</v>
      </c>
      <c r="Q1855" t="str">
        <f>DO_DB[[#This Row],[DO Number]]</f>
        <v>DOEID240624O3</v>
      </c>
      <c r="R1855" t="str">
        <f>DO_DB[[#This Row],[DN Number]]</f>
        <v>DNWID0342024062503</v>
      </c>
    </row>
    <row r="1856" spans="1:18">
      <c r="A1856" t="s">
        <v>1481</v>
      </c>
      <c r="B1856" t="s">
        <v>1482</v>
      </c>
      <c r="C1856" s="172" t="s">
        <v>4482</v>
      </c>
      <c r="D1856" t="s">
        <v>71</v>
      </c>
      <c r="E1856" t="s">
        <v>24</v>
      </c>
      <c r="F1856" t="s">
        <v>3295</v>
      </c>
      <c r="G1856" t="s">
        <v>1717</v>
      </c>
      <c r="H1856" t="s">
        <v>1718</v>
      </c>
      <c r="I1856" s="130">
        <v>45481</v>
      </c>
      <c r="J1856" t="s">
        <v>3073</v>
      </c>
      <c r="K1856">
        <v>3000</v>
      </c>
      <c r="M18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24C-202478-01</v>
      </c>
      <c r="N1856" t="str">
        <f>DO_DB[[#This Row],[Material Pick-update]]&amp;"_"&amp;DO_DB[[#This Row],[Material Name]]</f>
        <v>45481_ADSS 24C</v>
      </c>
      <c r="O1856" t="str">
        <f>DO_DB[[#This Row],[SiteID]]</f>
        <v>CLR51-99-096</v>
      </c>
      <c r="P1856" t="str">
        <f>DO_DB[[#This Row],[SiteID]]&amp;"_"&amp;DO_DB[[#This Row],[Material Name]]</f>
        <v>CLR51-99-096_ADSS 24C</v>
      </c>
      <c r="Q1856" t="str">
        <f>DO_DB[[#This Row],[DO Number]]</f>
        <v>DOEID24070707</v>
      </c>
      <c r="R1856" t="str">
        <f>DO_DB[[#This Row],[DN Number]]</f>
        <v>DNWID0342024070705</v>
      </c>
    </row>
    <row r="1857" spans="1:18">
      <c r="A1857" t="s">
        <v>1705</v>
      </c>
      <c r="B1857" t="s">
        <v>1706</v>
      </c>
      <c r="C1857" s="172" t="s">
        <v>4482</v>
      </c>
      <c r="D1857" t="s">
        <v>71</v>
      </c>
      <c r="E1857" t="s">
        <v>24</v>
      </c>
      <c r="F1857" t="s">
        <v>3295</v>
      </c>
      <c r="G1857" t="s">
        <v>1715</v>
      </c>
      <c r="H1857" t="s">
        <v>1716</v>
      </c>
      <c r="I1857" s="130">
        <v>45481</v>
      </c>
      <c r="J1857" t="s">
        <v>3075</v>
      </c>
      <c r="K1857">
        <v>3000</v>
      </c>
      <c r="M18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48C-202478-01</v>
      </c>
      <c r="N1857" t="str">
        <f>DO_DB[[#This Row],[Material Pick-update]]&amp;"_"&amp;DO_DB[[#This Row],[Material Name]]</f>
        <v>45481_ADSS 48C</v>
      </c>
      <c r="O1857" t="str">
        <f>DO_DB[[#This Row],[SiteID]]</f>
        <v>CLR51-99-063</v>
      </c>
      <c r="P1857" t="str">
        <f>DO_DB[[#This Row],[SiteID]]&amp;"_"&amp;DO_DB[[#This Row],[Material Name]]</f>
        <v>CLR51-99-063_ADSS 48C</v>
      </c>
      <c r="Q1857" t="str">
        <f>DO_DB[[#This Row],[DO Number]]</f>
        <v>DOEID24070182</v>
      </c>
      <c r="R1857" t="str">
        <f>DO_DB[[#This Row],[DN Number]]</f>
        <v>DNWID0342024070103</v>
      </c>
    </row>
    <row r="1858" spans="1:18">
      <c r="A1858" t="s">
        <v>1803</v>
      </c>
      <c r="B1858" t="s">
        <v>1804</v>
      </c>
      <c r="C1858" s="172" t="s">
        <v>4482</v>
      </c>
      <c r="D1858" t="s">
        <v>71</v>
      </c>
      <c r="E1858" t="s">
        <v>24</v>
      </c>
      <c r="F1858" t="s">
        <v>3295</v>
      </c>
      <c r="G1858" t="s">
        <v>1805</v>
      </c>
      <c r="H1858" t="s">
        <v>1806</v>
      </c>
      <c r="I1858" s="130">
        <v>45496</v>
      </c>
      <c r="J1858" t="s">
        <v>3073</v>
      </c>
      <c r="K1858">
        <v>3000</v>
      </c>
      <c r="M18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24C-2024723-01</v>
      </c>
      <c r="N1858" t="str">
        <f>DO_DB[[#This Row],[Material Pick-update]]&amp;"_"&amp;DO_DB[[#This Row],[Material Name]]</f>
        <v>45496_ADSS 24C</v>
      </c>
      <c r="O1858" t="str">
        <f>DO_DB[[#This Row],[SiteID]]</f>
        <v>CLR51-03-005</v>
      </c>
      <c r="P1858" t="str">
        <f>DO_DB[[#This Row],[SiteID]]&amp;"_"&amp;DO_DB[[#This Row],[Material Name]]</f>
        <v>CLR51-03-005_ADSS 24C</v>
      </c>
      <c r="Q1858" t="str">
        <f>DO_DB[[#This Row],[DO Number]]</f>
        <v>DOEID240722D0</v>
      </c>
      <c r="R1858" t="str">
        <f>DO_DB[[#This Row],[DN Number]]</f>
        <v>DNWID0342024072313</v>
      </c>
    </row>
    <row r="1859" spans="1:18">
      <c r="A1859" t="s">
        <v>1803</v>
      </c>
      <c r="B1859" t="s">
        <v>1804</v>
      </c>
      <c r="C1859" s="172" t="s">
        <v>4482</v>
      </c>
      <c r="D1859" t="s">
        <v>71</v>
      </c>
      <c r="E1859" t="s">
        <v>24</v>
      </c>
      <c r="F1859" t="s">
        <v>3295</v>
      </c>
      <c r="G1859" t="s">
        <v>1805</v>
      </c>
      <c r="H1859" t="s">
        <v>1806</v>
      </c>
      <c r="I1859" s="130">
        <v>45496</v>
      </c>
      <c r="J1859" t="s">
        <v>3075</v>
      </c>
      <c r="K1859">
        <v>6000</v>
      </c>
      <c r="M18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48C-2024723-01</v>
      </c>
      <c r="N1859" t="str">
        <f>DO_DB[[#This Row],[Material Pick-update]]&amp;"_"&amp;DO_DB[[#This Row],[Material Name]]</f>
        <v>45496_ADSS 48C</v>
      </c>
      <c r="O1859" t="str">
        <f>DO_DB[[#This Row],[SiteID]]</f>
        <v>CLR51-03-005</v>
      </c>
      <c r="P1859" t="str">
        <f>DO_DB[[#This Row],[SiteID]]&amp;"_"&amp;DO_DB[[#This Row],[Material Name]]</f>
        <v>CLR51-03-005_ADSS 48C</v>
      </c>
      <c r="Q1859" t="str">
        <f>DO_DB[[#This Row],[DO Number]]</f>
        <v>DOEID240722D0</v>
      </c>
      <c r="R1859" t="str">
        <f>DO_DB[[#This Row],[DN Number]]</f>
        <v>DNWID0342024072313</v>
      </c>
    </row>
    <row r="1860" spans="1:18">
      <c r="A1860" t="s">
        <v>1807</v>
      </c>
      <c r="B1860" t="s">
        <v>1808</v>
      </c>
      <c r="C1860" s="172" t="s">
        <v>4482</v>
      </c>
      <c r="D1860" t="s">
        <v>71</v>
      </c>
      <c r="E1860" t="s">
        <v>24</v>
      </c>
      <c r="F1860" t="s">
        <v>3295</v>
      </c>
      <c r="G1860" t="s">
        <v>1813</v>
      </c>
      <c r="H1860" t="s">
        <v>1814</v>
      </c>
      <c r="I1860" s="130">
        <v>45503</v>
      </c>
      <c r="J1860" t="s">
        <v>3077</v>
      </c>
      <c r="K1860">
        <v>3000</v>
      </c>
      <c r="M18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144C-2024730-01</v>
      </c>
      <c r="N1860" t="str">
        <f>DO_DB[[#This Row],[Material Pick-update]]&amp;"_"&amp;DO_DB[[#This Row],[Material Name]]</f>
        <v>45503_ADSS 144C</v>
      </c>
      <c r="O1860" t="str">
        <f>DO_DB[[#This Row],[SiteID]]</f>
        <v>MF51-04</v>
      </c>
      <c r="P1860" t="str">
        <f>DO_DB[[#This Row],[SiteID]]&amp;"_"&amp;DO_DB[[#This Row],[Material Name]]</f>
        <v>MF51-04_ADSS 144C</v>
      </c>
      <c r="Q1860" t="str">
        <f>DO_DB[[#This Row],[DO Number]]</f>
        <v>DOEID240722CU</v>
      </c>
      <c r="R1860" t="str">
        <f>DO_DB[[#This Row],[DN Number]]</f>
        <v>DNWID0342024072308</v>
      </c>
    </row>
    <row r="1861" spans="1:18">
      <c r="A1861" t="s">
        <v>1799</v>
      </c>
      <c r="B1861" t="s">
        <v>1800</v>
      </c>
      <c r="C1861" s="172" t="s">
        <v>4482</v>
      </c>
      <c r="D1861" t="s">
        <v>71</v>
      </c>
      <c r="E1861" t="s">
        <v>24</v>
      </c>
      <c r="F1861" t="s">
        <v>3295</v>
      </c>
      <c r="G1861" t="s">
        <v>1815</v>
      </c>
      <c r="H1861" t="s">
        <v>1816</v>
      </c>
      <c r="I1861" s="130">
        <v>45503</v>
      </c>
      <c r="J1861" t="s">
        <v>3077</v>
      </c>
      <c r="K1861">
        <v>6000</v>
      </c>
      <c r="M18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144C-2024730-01</v>
      </c>
      <c r="N1861" t="str">
        <f>DO_DB[[#This Row],[Material Pick-update]]&amp;"_"&amp;DO_DB[[#This Row],[Material Name]]</f>
        <v>45503_ADSS 144C</v>
      </c>
      <c r="O1861" t="str">
        <f>DO_DB[[#This Row],[SiteID]]</f>
        <v>MF51-03</v>
      </c>
      <c r="P1861" t="str">
        <f>DO_DB[[#This Row],[SiteID]]&amp;"_"&amp;DO_DB[[#This Row],[Material Name]]</f>
        <v>MF51-03_ADSS 144C</v>
      </c>
      <c r="Q1861" t="str">
        <f>DO_DB[[#This Row],[DO Number]]</f>
        <v>DOEID240722CS</v>
      </c>
      <c r="R1861" t="str">
        <f>DO_DB[[#This Row],[DN Number]]</f>
        <v>DNWID0342024072314</v>
      </c>
    </row>
    <row r="1862" spans="1:18">
      <c r="A1862" t="s">
        <v>1923</v>
      </c>
      <c r="B1862" t="s">
        <v>1924</v>
      </c>
      <c r="C1862" s="172" t="s">
        <v>4482</v>
      </c>
      <c r="D1862" t="s">
        <v>71</v>
      </c>
      <c r="E1862" t="s">
        <v>24</v>
      </c>
      <c r="F1862" t="s">
        <v>3295</v>
      </c>
      <c r="G1862" t="s">
        <v>1925</v>
      </c>
      <c r="H1862" t="s">
        <v>1926</v>
      </c>
      <c r="I1862" s="130">
        <v>45526</v>
      </c>
      <c r="J1862" t="s">
        <v>3073</v>
      </c>
      <c r="K1862">
        <v>3000</v>
      </c>
      <c r="M18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24C-2024822-01</v>
      </c>
      <c r="N1862" t="str">
        <f>DO_DB[[#This Row],[Material Pick-update]]&amp;"_"&amp;DO_DB[[#This Row],[Material Name]]</f>
        <v>45526_ADSS 24C</v>
      </c>
      <c r="O1862" t="str">
        <f>DO_DB[[#This Row],[SiteID]]</f>
        <v>CLR51-09-001</v>
      </c>
      <c r="P1862" t="str">
        <f>DO_DB[[#This Row],[SiteID]]&amp;"_"&amp;DO_DB[[#This Row],[Material Name]]</f>
        <v>CLR51-09-001_ADSS 24C</v>
      </c>
      <c r="Q1862" t="str">
        <f>DO_DB[[#This Row],[DO Number]]</f>
        <v>DOEID24081987</v>
      </c>
      <c r="R1862" t="str">
        <f>DO_DB[[#This Row],[DN Number]]</f>
        <v>DNWID0342024081906</v>
      </c>
    </row>
    <row r="1863" spans="1:18">
      <c r="A1863" t="s">
        <v>1911</v>
      </c>
      <c r="B1863" t="s">
        <v>1912</v>
      </c>
      <c r="C1863" s="172" t="s">
        <v>4482</v>
      </c>
      <c r="D1863" t="s">
        <v>71</v>
      </c>
      <c r="E1863" t="s">
        <v>24</v>
      </c>
      <c r="F1863" t="s">
        <v>3295</v>
      </c>
      <c r="G1863" t="s">
        <v>1915</v>
      </c>
      <c r="H1863" t="s">
        <v>1916</v>
      </c>
      <c r="I1863" s="130">
        <v>45526</v>
      </c>
      <c r="J1863" t="s">
        <v>3073</v>
      </c>
      <c r="K1863">
        <v>3000</v>
      </c>
      <c r="M18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24C-2024822-01</v>
      </c>
      <c r="N1863" t="str">
        <f>DO_DB[[#This Row],[Material Pick-update]]&amp;"_"&amp;DO_DB[[#This Row],[Material Name]]</f>
        <v>45526_ADSS 24C</v>
      </c>
      <c r="O1863" t="str">
        <f>DO_DB[[#This Row],[SiteID]]</f>
        <v>CLR51-09-009</v>
      </c>
      <c r="P1863" t="str">
        <f>DO_DB[[#This Row],[SiteID]]&amp;"_"&amp;DO_DB[[#This Row],[Material Name]]</f>
        <v>CLR51-09-009_ADSS 24C</v>
      </c>
      <c r="Q1863" t="str">
        <f>DO_DB[[#This Row],[DO Number]]</f>
        <v>DOEID24081989</v>
      </c>
      <c r="R1863" t="str">
        <f>DO_DB[[#This Row],[DN Number]]</f>
        <v>DNWID0342024081905</v>
      </c>
    </row>
    <row r="1864" spans="1:18">
      <c r="A1864" t="s">
        <v>1917</v>
      </c>
      <c r="B1864" t="s">
        <v>1918</v>
      </c>
      <c r="C1864" s="172" t="s">
        <v>4482</v>
      </c>
      <c r="D1864" t="s">
        <v>71</v>
      </c>
      <c r="E1864" t="s">
        <v>24</v>
      </c>
      <c r="F1864" t="s">
        <v>3295</v>
      </c>
      <c r="G1864" t="s">
        <v>1919</v>
      </c>
      <c r="H1864" t="s">
        <v>1920</v>
      </c>
      <c r="I1864" s="130">
        <v>45526</v>
      </c>
      <c r="J1864" t="s">
        <v>3073</v>
      </c>
      <c r="K1864">
        <v>3000</v>
      </c>
      <c r="M18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24C-2024822-01</v>
      </c>
      <c r="N1864" t="str">
        <f>DO_DB[[#This Row],[Material Pick-update]]&amp;"_"&amp;DO_DB[[#This Row],[Material Name]]</f>
        <v>45526_ADSS 24C</v>
      </c>
      <c r="O1864" t="str">
        <f>DO_DB[[#This Row],[SiteID]]</f>
        <v>CLR51-09-008</v>
      </c>
      <c r="P1864" t="str">
        <f>DO_DB[[#This Row],[SiteID]]&amp;"_"&amp;DO_DB[[#This Row],[Material Name]]</f>
        <v>CLR51-09-008_ADSS 24C</v>
      </c>
      <c r="Q1864" t="str">
        <f>DO_DB[[#This Row],[DO Number]]</f>
        <v>DOEID24081991</v>
      </c>
      <c r="R1864" t="str">
        <f>DO_DB[[#This Row],[DN Number]]</f>
        <v>DNWID0342024081907</v>
      </c>
    </row>
    <row r="1865" spans="1:18">
      <c r="A1865" t="s">
        <v>1911</v>
      </c>
      <c r="B1865" t="s">
        <v>1912</v>
      </c>
      <c r="C1865" s="172" t="s">
        <v>4482</v>
      </c>
      <c r="D1865" t="s">
        <v>71</v>
      </c>
      <c r="E1865" t="s">
        <v>24</v>
      </c>
      <c r="F1865" t="s">
        <v>3295</v>
      </c>
      <c r="G1865" t="s">
        <v>1915</v>
      </c>
      <c r="H1865" t="s">
        <v>1916</v>
      </c>
      <c r="I1865" s="130">
        <v>45526</v>
      </c>
      <c r="J1865" t="s">
        <v>3075</v>
      </c>
      <c r="K1865">
        <v>3000</v>
      </c>
      <c r="M18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48C-2024822-01</v>
      </c>
      <c r="N1865" t="str">
        <f>DO_DB[[#This Row],[Material Pick-update]]&amp;"_"&amp;DO_DB[[#This Row],[Material Name]]</f>
        <v>45526_ADSS 48C</v>
      </c>
      <c r="O1865" t="str">
        <f>DO_DB[[#This Row],[SiteID]]</f>
        <v>CLR51-09-009</v>
      </c>
      <c r="P1865" t="str">
        <f>DO_DB[[#This Row],[SiteID]]&amp;"_"&amp;DO_DB[[#This Row],[Material Name]]</f>
        <v>CLR51-09-009_ADSS 48C</v>
      </c>
      <c r="Q1865" t="str">
        <f>DO_DB[[#This Row],[DO Number]]</f>
        <v>DOEID24081989</v>
      </c>
      <c r="R1865" t="str">
        <f>DO_DB[[#This Row],[DN Number]]</f>
        <v>DNWID0342024081905</v>
      </c>
    </row>
    <row r="1866" spans="1:18">
      <c r="A1866" t="s">
        <v>1929</v>
      </c>
      <c r="B1866" t="s">
        <v>1930</v>
      </c>
      <c r="C1866" s="172" t="s">
        <v>4482</v>
      </c>
      <c r="D1866" t="s">
        <v>71</v>
      </c>
      <c r="E1866" t="s">
        <v>24</v>
      </c>
      <c r="F1866" t="s">
        <v>3295</v>
      </c>
      <c r="G1866" t="s">
        <v>1931</v>
      </c>
      <c r="H1866" t="s">
        <v>1932</v>
      </c>
      <c r="I1866" s="130">
        <v>45526</v>
      </c>
      <c r="J1866" t="s">
        <v>3075</v>
      </c>
      <c r="K1866">
        <v>3000</v>
      </c>
      <c r="M18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48C-2024822-01</v>
      </c>
      <c r="N1866" t="str">
        <f>DO_DB[[#This Row],[Material Pick-update]]&amp;"_"&amp;DO_DB[[#This Row],[Material Name]]</f>
        <v>45526_ADSS 48C</v>
      </c>
      <c r="O1866" t="str">
        <f>DO_DB[[#This Row],[SiteID]]</f>
        <v>CLR51-03-010</v>
      </c>
      <c r="P1866" t="str">
        <f>DO_DB[[#This Row],[SiteID]]&amp;"_"&amp;DO_DB[[#This Row],[Material Name]]</f>
        <v>CLR51-03-010_ADSS 48C</v>
      </c>
      <c r="Q1866" t="str">
        <f>DO_DB[[#This Row],[DO Number]]</f>
        <v>DOEID24081996</v>
      </c>
      <c r="R1866" t="str">
        <f>DO_DB[[#This Row],[DN Number]]</f>
        <v>DNWID0342024081910</v>
      </c>
    </row>
    <row r="1867" spans="1:18">
      <c r="A1867" t="s">
        <v>1967</v>
      </c>
      <c r="B1867" t="s">
        <v>1968</v>
      </c>
      <c r="C1867" s="172" t="s">
        <v>4482</v>
      </c>
      <c r="D1867" t="s">
        <v>71</v>
      </c>
      <c r="E1867" t="s">
        <v>24</v>
      </c>
      <c r="F1867" t="s">
        <v>3295</v>
      </c>
      <c r="G1867" t="s">
        <v>1969</v>
      </c>
      <c r="H1867" t="s">
        <v>1970</v>
      </c>
      <c r="I1867" s="130">
        <v>45531</v>
      </c>
      <c r="J1867" t="s">
        <v>3077</v>
      </c>
      <c r="K1867">
        <v>6000</v>
      </c>
      <c r="M18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144C-2024827-01</v>
      </c>
      <c r="N1867" t="str">
        <f>DO_DB[[#This Row],[Material Pick-update]]&amp;"_"&amp;DO_DB[[#This Row],[Material Name]]</f>
        <v>45531_ADSS 144C</v>
      </c>
      <c r="O1867" t="str">
        <f>DO_DB[[#This Row],[SiteID]]</f>
        <v>MF51-02</v>
      </c>
      <c r="P1867" t="str">
        <f>DO_DB[[#This Row],[SiteID]]&amp;"_"&amp;DO_DB[[#This Row],[Material Name]]</f>
        <v>MF51-02_ADSS 144C</v>
      </c>
      <c r="Q1867" t="str">
        <f>DO_DB[[#This Row],[DO Number]]</f>
        <v>DOEID240826I0</v>
      </c>
      <c r="R1867" t="str">
        <f>DO_DB[[#This Row],[DN Number]]</f>
        <v>DNWID0342024082602</v>
      </c>
    </row>
    <row r="1868" spans="1:18">
      <c r="A1868" t="s">
        <v>1951</v>
      </c>
      <c r="B1868" t="s">
        <v>1952</v>
      </c>
      <c r="C1868" s="172" t="s">
        <v>4482</v>
      </c>
      <c r="D1868" t="s">
        <v>71</v>
      </c>
      <c r="E1868" t="s">
        <v>24</v>
      </c>
      <c r="F1868" t="s">
        <v>3295</v>
      </c>
      <c r="G1868" t="s">
        <v>2011</v>
      </c>
      <c r="H1868" t="s">
        <v>2012</v>
      </c>
      <c r="I1868" s="130">
        <v>45531</v>
      </c>
      <c r="J1868" t="s">
        <v>3073</v>
      </c>
      <c r="K1868">
        <v>3000</v>
      </c>
      <c r="M18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24C-2024827-01</v>
      </c>
      <c r="N1868" t="str">
        <f>DO_DB[[#This Row],[Material Pick-update]]&amp;"_"&amp;DO_DB[[#This Row],[Material Name]]</f>
        <v>45531_ADSS 24C</v>
      </c>
      <c r="O1868" t="str">
        <f>DO_DB[[#This Row],[SiteID]]</f>
        <v>CLR51-99-115</v>
      </c>
      <c r="P1868" t="str">
        <f>DO_DB[[#This Row],[SiteID]]&amp;"_"&amp;DO_DB[[#This Row],[Material Name]]</f>
        <v>CLR51-99-115_ADSS 24C</v>
      </c>
      <c r="Q1868" t="str">
        <f>DO_DB[[#This Row],[DO Number]]</f>
        <v>DOEID240822C5</v>
      </c>
      <c r="R1868" t="str">
        <f>DO_DB[[#This Row],[DN Number]]</f>
        <v>DNWID0342024082301</v>
      </c>
    </row>
    <row r="1869" spans="1:18">
      <c r="A1869" t="s">
        <v>2013</v>
      </c>
      <c r="B1869" t="s">
        <v>2014</v>
      </c>
      <c r="C1869" s="172" t="s">
        <v>4482</v>
      </c>
      <c r="D1869" t="s">
        <v>71</v>
      </c>
      <c r="E1869" t="s">
        <v>24</v>
      </c>
      <c r="F1869" t="s">
        <v>3295</v>
      </c>
      <c r="G1869" t="s">
        <v>2015</v>
      </c>
      <c r="H1869" t="s">
        <v>2016</v>
      </c>
      <c r="I1869" s="130">
        <v>45531</v>
      </c>
      <c r="J1869" t="s">
        <v>3073</v>
      </c>
      <c r="K1869">
        <v>3000</v>
      </c>
      <c r="M18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24C-2024827-01</v>
      </c>
      <c r="N1869" t="str">
        <f>DO_DB[[#This Row],[Material Pick-update]]&amp;"_"&amp;DO_DB[[#This Row],[Material Name]]</f>
        <v>45531_ADSS 24C</v>
      </c>
      <c r="O1869" t="str">
        <f>DO_DB[[#This Row],[SiteID]]</f>
        <v>CLR51-99-049</v>
      </c>
      <c r="P1869" t="str">
        <f>DO_DB[[#This Row],[SiteID]]&amp;"_"&amp;DO_DB[[#This Row],[Material Name]]</f>
        <v>CLR51-99-049_ADSS 24C</v>
      </c>
      <c r="Q1869" t="str">
        <f>DO_DB[[#This Row],[DO Number]]</f>
        <v>DOEID240826HB</v>
      </c>
      <c r="R1869" t="str">
        <f>DO_DB[[#This Row],[DN Number]]</f>
        <v>DNWID0342024082707</v>
      </c>
    </row>
    <row r="1870" spans="1:18">
      <c r="A1870" t="s">
        <v>1951</v>
      </c>
      <c r="B1870" t="s">
        <v>1952</v>
      </c>
      <c r="C1870" s="172" t="s">
        <v>4482</v>
      </c>
      <c r="D1870" t="s">
        <v>71</v>
      </c>
      <c r="E1870" t="s">
        <v>24</v>
      </c>
      <c r="F1870" t="s">
        <v>3295</v>
      </c>
      <c r="G1870" t="s">
        <v>2011</v>
      </c>
      <c r="H1870" t="s">
        <v>2012</v>
      </c>
      <c r="I1870" s="130">
        <v>45531</v>
      </c>
      <c r="J1870" t="s">
        <v>3075</v>
      </c>
      <c r="K1870">
        <v>3000</v>
      </c>
      <c r="M18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48C-2024827-01</v>
      </c>
      <c r="N1870" t="str">
        <f>DO_DB[[#This Row],[Material Pick-update]]&amp;"_"&amp;DO_DB[[#This Row],[Material Name]]</f>
        <v>45531_ADSS 48C</v>
      </c>
      <c r="O1870" t="str">
        <f>DO_DB[[#This Row],[SiteID]]</f>
        <v>CLR51-99-115</v>
      </c>
      <c r="P1870" t="str">
        <f>DO_DB[[#This Row],[SiteID]]&amp;"_"&amp;DO_DB[[#This Row],[Material Name]]</f>
        <v>CLR51-99-115_ADSS 48C</v>
      </c>
      <c r="Q1870" t="str">
        <f>DO_DB[[#This Row],[DO Number]]</f>
        <v>DOEID240822C5</v>
      </c>
      <c r="R1870" t="str">
        <f>DO_DB[[#This Row],[DN Number]]</f>
        <v>DNWID0342024082301</v>
      </c>
    </row>
    <row r="1871" spans="1:18">
      <c r="A1871" t="s">
        <v>2007</v>
      </c>
      <c r="B1871" t="s">
        <v>2008</v>
      </c>
      <c r="C1871" s="172" t="s">
        <v>4482</v>
      </c>
      <c r="D1871" t="s">
        <v>71</v>
      </c>
      <c r="E1871" t="s">
        <v>24</v>
      </c>
      <c r="F1871" t="s">
        <v>3295</v>
      </c>
      <c r="G1871" t="s">
        <v>2009</v>
      </c>
      <c r="H1871" t="s">
        <v>2010</v>
      </c>
      <c r="I1871" s="130">
        <v>45531</v>
      </c>
      <c r="J1871" t="s">
        <v>3075</v>
      </c>
      <c r="K1871">
        <v>3000</v>
      </c>
      <c r="M18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48C-2024827-01</v>
      </c>
      <c r="N1871" t="str">
        <f>DO_DB[[#This Row],[Material Pick-update]]&amp;"_"&amp;DO_DB[[#This Row],[Material Name]]</f>
        <v>45531_ADSS 48C</v>
      </c>
      <c r="O1871" t="str">
        <f>DO_DB[[#This Row],[SiteID]]</f>
        <v>CLR51-02-016</v>
      </c>
      <c r="P1871" t="str">
        <f>DO_DB[[#This Row],[SiteID]]&amp;"_"&amp;DO_DB[[#This Row],[Material Name]]</f>
        <v>CLR51-02-016_ADSS 48C</v>
      </c>
      <c r="Q1871" t="str">
        <f>DO_DB[[#This Row],[DO Number]]</f>
        <v>DOEID240826HC</v>
      </c>
      <c r="R1871" t="str">
        <f>DO_DB[[#This Row],[DN Number]]</f>
        <v>DNWID0342024082704</v>
      </c>
    </row>
    <row r="1872" spans="1:18">
      <c r="A1872" t="s">
        <v>2019</v>
      </c>
      <c r="B1872" t="s">
        <v>2020</v>
      </c>
      <c r="C1872" s="172" t="s">
        <v>4482</v>
      </c>
      <c r="D1872" t="s">
        <v>71</v>
      </c>
      <c r="E1872" t="s">
        <v>25</v>
      </c>
      <c r="F1872" t="s">
        <v>3295</v>
      </c>
      <c r="G1872" t="s">
        <v>2023</v>
      </c>
      <c r="H1872" t="s">
        <v>2024</v>
      </c>
      <c r="I1872" s="130">
        <v>45531</v>
      </c>
      <c r="J1872" t="s">
        <v>3075</v>
      </c>
      <c r="K1872">
        <v>3000</v>
      </c>
      <c r="M18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48C-2024827-01</v>
      </c>
      <c r="N1872" t="str">
        <f>DO_DB[[#This Row],[Material Pick-update]]&amp;"_"&amp;DO_DB[[#This Row],[Material Name]]</f>
        <v>45531_ADSS 48C</v>
      </c>
      <c r="O1872" t="str">
        <f>DO_DB[[#This Row],[SiteID]]</f>
        <v>CLR64-01-010</v>
      </c>
      <c r="P1872" t="str">
        <f>DO_DB[[#This Row],[SiteID]]&amp;"_"&amp;DO_DB[[#This Row],[Material Name]]</f>
        <v>CLR64-01-010_ADSS 48C</v>
      </c>
      <c r="Q1872" t="str">
        <f>DO_DB[[#This Row],[DO Number]]</f>
        <v>DOEID240826HU</v>
      </c>
      <c r="R1872" t="str">
        <f>DO_DB[[#This Row],[DN Number]]</f>
        <v>DNWID0342024082711</v>
      </c>
    </row>
    <row r="1873" spans="1:18">
      <c r="A1873" t="s">
        <v>2142</v>
      </c>
      <c r="B1873" t="s">
        <v>2143</v>
      </c>
      <c r="C1873" s="172" t="s">
        <v>4482</v>
      </c>
      <c r="D1873" t="s">
        <v>2121</v>
      </c>
      <c r="E1873" t="s">
        <v>24</v>
      </c>
      <c r="F1873" t="s">
        <v>3295</v>
      </c>
      <c r="G1873" t="s">
        <v>2144</v>
      </c>
      <c r="H1873" t="s">
        <v>2145</v>
      </c>
      <c r="I1873" s="130">
        <v>45555</v>
      </c>
      <c r="J1873" t="s">
        <v>3077</v>
      </c>
      <c r="K1873">
        <v>12000</v>
      </c>
      <c r="M18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144C-2024920-01</v>
      </c>
      <c r="N1873" t="str">
        <f>DO_DB[[#This Row],[Material Pick-update]]&amp;"_"&amp;DO_DB[[#This Row],[Material Name]]</f>
        <v>45555_ADSS 144C</v>
      </c>
      <c r="O1873" t="str">
        <f>DO_DB[[#This Row],[SiteID]]</f>
        <v>MF51-05</v>
      </c>
      <c r="P1873" t="str">
        <f>DO_DB[[#This Row],[SiteID]]&amp;"_"&amp;DO_DB[[#This Row],[Material Name]]</f>
        <v>MF51-05_ADSS 144C</v>
      </c>
      <c r="Q1873" t="str">
        <f>DO_DB[[#This Row],[DO Number]]</f>
        <v>DOEID240918BZ</v>
      </c>
      <c r="R1873" t="str">
        <f>DO_DB[[#This Row],[DN Number]]</f>
        <v>DNWID0342024091808</v>
      </c>
    </row>
    <row r="1874" spans="1:18">
      <c r="A1874" t="s">
        <v>2166</v>
      </c>
      <c r="B1874" t="s">
        <v>2167</v>
      </c>
      <c r="C1874" s="172" t="s">
        <v>4482</v>
      </c>
      <c r="D1874" t="s">
        <v>71</v>
      </c>
      <c r="E1874" t="s">
        <v>24</v>
      </c>
      <c r="F1874" t="s">
        <v>3295</v>
      </c>
      <c r="G1874" t="s">
        <v>2170</v>
      </c>
      <c r="H1874" t="s">
        <v>2171</v>
      </c>
      <c r="I1874" s="130">
        <v>45555</v>
      </c>
      <c r="J1874" t="s">
        <v>3073</v>
      </c>
      <c r="K1874">
        <v>3000</v>
      </c>
      <c r="M18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24C-2024920-01</v>
      </c>
      <c r="N1874" t="str">
        <f>DO_DB[[#This Row],[Material Pick-update]]&amp;"_"&amp;DO_DB[[#This Row],[Material Name]]</f>
        <v>45555_ADSS 24C</v>
      </c>
      <c r="O1874" t="str">
        <f>DO_DB[[#This Row],[SiteID]]</f>
        <v>CLR51-03-006</v>
      </c>
      <c r="P1874" t="str">
        <f>DO_DB[[#This Row],[SiteID]]&amp;"_"&amp;DO_DB[[#This Row],[Material Name]]</f>
        <v>CLR51-03-006_ADSS 24C</v>
      </c>
      <c r="Q1874" t="str">
        <f>DO_DB[[#This Row],[DO Number]]</f>
        <v>DOEID24092015</v>
      </c>
      <c r="R1874" t="str">
        <f>DO_DB[[#This Row],[DN Number]]</f>
        <v>DNWID0342024092001</v>
      </c>
    </row>
    <row r="1875" spans="1:18">
      <c r="A1875" t="s">
        <v>2166</v>
      </c>
      <c r="B1875" t="s">
        <v>2167</v>
      </c>
      <c r="C1875" s="172" t="s">
        <v>4482</v>
      </c>
      <c r="D1875" t="s">
        <v>71</v>
      </c>
      <c r="E1875" t="s">
        <v>24</v>
      </c>
      <c r="F1875" t="s">
        <v>3295</v>
      </c>
      <c r="G1875" t="s">
        <v>2170</v>
      </c>
      <c r="H1875" t="s">
        <v>2171</v>
      </c>
      <c r="I1875" s="130">
        <v>45555</v>
      </c>
      <c r="J1875" t="s">
        <v>3075</v>
      </c>
      <c r="K1875">
        <v>6000</v>
      </c>
      <c r="M18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48C-2024920-01</v>
      </c>
      <c r="N1875" t="str">
        <f>DO_DB[[#This Row],[Material Pick-update]]&amp;"_"&amp;DO_DB[[#This Row],[Material Name]]</f>
        <v>45555_ADSS 48C</v>
      </c>
      <c r="O1875" t="str">
        <f>DO_DB[[#This Row],[SiteID]]</f>
        <v>CLR51-03-006</v>
      </c>
      <c r="P1875" t="str">
        <f>DO_DB[[#This Row],[SiteID]]&amp;"_"&amp;DO_DB[[#This Row],[Material Name]]</f>
        <v>CLR51-03-006_ADSS 48C</v>
      </c>
      <c r="Q1875" t="str">
        <f>DO_DB[[#This Row],[DO Number]]</f>
        <v>DOEID24092015</v>
      </c>
      <c r="R1875" t="str">
        <f>DO_DB[[#This Row],[DN Number]]</f>
        <v>DNWID0342024092001</v>
      </c>
    </row>
    <row r="1876" spans="1:18">
      <c r="A1876" t="s">
        <v>2322</v>
      </c>
      <c r="B1876" t="s">
        <v>2323</v>
      </c>
      <c r="C1876" s="172" t="s">
        <v>4482</v>
      </c>
      <c r="D1876" t="s">
        <v>71</v>
      </c>
      <c r="E1876" t="s">
        <v>24</v>
      </c>
      <c r="F1876" t="s">
        <v>3295</v>
      </c>
      <c r="G1876" t="s">
        <v>2324</v>
      </c>
      <c r="H1876" t="s">
        <v>2325</v>
      </c>
      <c r="I1876" s="130">
        <v>45588</v>
      </c>
      <c r="J1876" t="s">
        <v>3077</v>
      </c>
      <c r="K1876">
        <v>6000</v>
      </c>
      <c r="M18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144C-20241023-01</v>
      </c>
      <c r="N1876" t="str">
        <f>DO_DB[[#This Row],[Material Pick-update]]&amp;"_"&amp;DO_DB[[#This Row],[Material Name]]</f>
        <v>45588_ADSS 144C</v>
      </c>
      <c r="O1876" t="str">
        <f>DO_DB[[#This Row],[SiteID]]</f>
        <v>MF51-06</v>
      </c>
      <c r="P1876" t="str">
        <f>DO_DB[[#This Row],[SiteID]]&amp;"_"&amp;DO_DB[[#This Row],[Material Name]]</f>
        <v>MF51-06_ADSS 144C</v>
      </c>
      <c r="Q1876" t="str">
        <f>DO_DB[[#This Row],[DO Number]]</f>
        <v>DOEID24102314</v>
      </c>
      <c r="R1876" t="str">
        <f>DO_DB[[#This Row],[DN Number]]</f>
        <v>DNWID0342024102301</v>
      </c>
    </row>
    <row r="1877" spans="1:18">
      <c r="A1877" t="s">
        <v>2354</v>
      </c>
      <c r="B1877" t="s">
        <v>2355</v>
      </c>
      <c r="C1877" s="172" t="s">
        <v>4482</v>
      </c>
      <c r="D1877" t="s">
        <v>71</v>
      </c>
      <c r="E1877" t="s">
        <v>24</v>
      </c>
      <c r="F1877" t="s">
        <v>3295</v>
      </c>
      <c r="G1877" t="s">
        <v>2366</v>
      </c>
      <c r="H1877" t="s">
        <v>2367</v>
      </c>
      <c r="I1877" s="130">
        <v>45602</v>
      </c>
      <c r="J1877" t="s">
        <v>3077</v>
      </c>
      <c r="K1877">
        <v>3000</v>
      </c>
      <c r="M18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144C-2024116-01</v>
      </c>
      <c r="N1877" t="str">
        <f>DO_DB[[#This Row],[Material Pick-update]]&amp;"_"&amp;DO_DB[[#This Row],[Material Name]]</f>
        <v>45602_ADSS 144C</v>
      </c>
      <c r="O1877" t="str">
        <f>DO_DB[[#This Row],[SiteID]]</f>
        <v>MF51-07</v>
      </c>
      <c r="P1877" t="str">
        <f>DO_DB[[#This Row],[SiteID]]&amp;"_"&amp;DO_DB[[#This Row],[Material Name]]</f>
        <v>MF51-07_ADSS 144C</v>
      </c>
      <c r="Q1877" t="str">
        <f>DO_DB[[#This Row],[DO Number]]</f>
        <v>DOEID241029AJ</v>
      </c>
      <c r="R1877" t="str">
        <f>DO_DB[[#This Row],[DN Number]]</f>
        <v>DNWID0342024102907</v>
      </c>
    </row>
    <row r="1878" spans="1:18">
      <c r="A1878" t="s">
        <v>2350</v>
      </c>
      <c r="B1878" t="s">
        <v>2351</v>
      </c>
      <c r="C1878" s="172" t="s">
        <v>4482</v>
      </c>
      <c r="D1878" t="s">
        <v>71</v>
      </c>
      <c r="E1878" t="s">
        <v>24</v>
      </c>
      <c r="F1878" t="s">
        <v>3295</v>
      </c>
      <c r="G1878" t="s">
        <v>2358</v>
      </c>
      <c r="H1878" t="s">
        <v>2359</v>
      </c>
      <c r="I1878" s="130">
        <v>45602</v>
      </c>
      <c r="J1878" t="s">
        <v>3073</v>
      </c>
      <c r="K1878">
        <v>3000</v>
      </c>
      <c r="M18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24C-2024116-01</v>
      </c>
      <c r="N1878" t="str">
        <f>DO_DB[[#This Row],[Material Pick-update]]&amp;"_"&amp;DO_DB[[#This Row],[Material Name]]</f>
        <v>45602_ADSS 24C</v>
      </c>
      <c r="O1878" t="str">
        <f>DO_DB[[#This Row],[SiteID]]</f>
        <v>CLR51-01-009</v>
      </c>
      <c r="P1878" t="str">
        <f>DO_DB[[#This Row],[SiteID]]&amp;"_"&amp;DO_DB[[#This Row],[Material Name]]</f>
        <v>CLR51-01-009_ADSS 24C</v>
      </c>
      <c r="Q1878" t="str">
        <f>DO_DB[[#This Row],[DO Number]]</f>
        <v>DOEID24110550</v>
      </c>
      <c r="R1878" t="str">
        <f>DO_DB[[#This Row],[DN Number]]</f>
        <v>DNWID0342024110505</v>
      </c>
    </row>
    <row r="1879" spans="1:18">
      <c r="A1879" t="s">
        <v>2360</v>
      </c>
      <c r="B1879" t="s">
        <v>2361</v>
      </c>
      <c r="C1879" s="172" t="s">
        <v>4482</v>
      </c>
      <c r="D1879" t="s">
        <v>71</v>
      </c>
      <c r="E1879" t="s">
        <v>24</v>
      </c>
      <c r="F1879" t="s">
        <v>3295</v>
      </c>
      <c r="G1879" t="s">
        <v>2362</v>
      </c>
      <c r="H1879" t="s">
        <v>2363</v>
      </c>
      <c r="I1879" s="130">
        <v>45602</v>
      </c>
      <c r="J1879" t="s">
        <v>3073</v>
      </c>
      <c r="K1879">
        <v>3000</v>
      </c>
      <c r="M18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24C-2024116-01</v>
      </c>
      <c r="N1879" t="str">
        <f>DO_DB[[#This Row],[Material Pick-update]]&amp;"_"&amp;DO_DB[[#This Row],[Material Name]]</f>
        <v>45602_ADSS 24C</v>
      </c>
      <c r="O1879" t="str">
        <f>DO_DB[[#This Row],[SiteID]]</f>
        <v>CLR51-99-123</v>
      </c>
      <c r="P1879" t="str">
        <f>DO_DB[[#This Row],[SiteID]]&amp;"_"&amp;DO_DB[[#This Row],[Material Name]]</f>
        <v>CLR51-99-123_ADSS 24C</v>
      </c>
      <c r="Q1879" t="str">
        <f>DO_DB[[#This Row],[DO Number]]</f>
        <v>DOEID24110552</v>
      </c>
      <c r="R1879" t="str">
        <f>DO_DB[[#This Row],[DN Number]]</f>
        <v>DNWID0342024110504</v>
      </c>
    </row>
    <row r="1880" spans="1:18">
      <c r="A1880" t="s">
        <v>2350</v>
      </c>
      <c r="B1880" t="s">
        <v>2351</v>
      </c>
      <c r="C1880" s="172" t="s">
        <v>4482</v>
      </c>
      <c r="D1880" t="s">
        <v>71</v>
      </c>
      <c r="E1880" t="s">
        <v>24</v>
      </c>
      <c r="F1880" t="s">
        <v>3295</v>
      </c>
      <c r="G1880" t="s">
        <v>2358</v>
      </c>
      <c r="H1880" t="s">
        <v>2359</v>
      </c>
      <c r="I1880" s="130">
        <v>45602</v>
      </c>
      <c r="J1880" s="172" t="s">
        <v>3075</v>
      </c>
      <c r="K1880">
        <v>6000</v>
      </c>
      <c r="M18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48C-2024116-01</v>
      </c>
      <c r="N1880" t="str">
        <f>DO_DB[[#This Row],[Material Pick-update]]&amp;"_"&amp;DO_DB[[#This Row],[Material Name]]</f>
        <v>45602_ADSS 48C</v>
      </c>
      <c r="O1880" t="str">
        <f>DO_DB[[#This Row],[SiteID]]</f>
        <v>CLR51-01-009</v>
      </c>
      <c r="P1880" t="str">
        <f>DO_DB[[#This Row],[SiteID]]&amp;"_"&amp;DO_DB[[#This Row],[Material Name]]</f>
        <v>CLR51-01-009_ADSS 48C</v>
      </c>
      <c r="Q1880" t="str">
        <f>DO_DB[[#This Row],[DO Number]]</f>
        <v>DOEID24110550</v>
      </c>
      <c r="R1880" t="str">
        <f>DO_DB[[#This Row],[DN Number]]</f>
        <v>DNWID0342024110505</v>
      </c>
    </row>
    <row r="1881" spans="1:18">
      <c r="A1881" t="s">
        <v>2502</v>
      </c>
      <c r="B1881" t="s">
        <v>2503</v>
      </c>
      <c r="C1881" s="172" t="s">
        <v>4482</v>
      </c>
      <c r="D1881" t="s">
        <v>71</v>
      </c>
      <c r="E1881" t="s">
        <v>24</v>
      </c>
      <c r="F1881" t="s">
        <v>3295</v>
      </c>
      <c r="G1881" t="s">
        <v>2506</v>
      </c>
      <c r="H1881" t="s">
        <v>2507</v>
      </c>
      <c r="I1881" s="130">
        <v>45622</v>
      </c>
      <c r="J1881" t="s">
        <v>3073</v>
      </c>
      <c r="K1881">
        <v>3000</v>
      </c>
      <c r="M18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24C-20241126-01</v>
      </c>
      <c r="N1881" t="str">
        <f>DO_DB[[#This Row],[Material Pick-update]]&amp;"_"&amp;DO_DB[[#This Row],[Material Name]]</f>
        <v>45622_ADSS 24C</v>
      </c>
      <c r="O1881" t="str">
        <f>DO_DB[[#This Row],[SiteID]]</f>
        <v>CLR51-09-010</v>
      </c>
      <c r="P1881" t="str">
        <f>DO_DB[[#This Row],[SiteID]]&amp;"_"&amp;DO_DB[[#This Row],[Material Name]]</f>
        <v>CLR51-09-010_ADSS 24C</v>
      </c>
      <c r="Q1881" t="str">
        <f>DO_DB[[#This Row],[DO Number]]</f>
        <v>DOEID241121BN</v>
      </c>
      <c r="R1881" t="str">
        <f>DO_DB[[#This Row],[DN Number]]</f>
        <v>DNWID0342024112205</v>
      </c>
    </row>
    <row r="1882" spans="1:18">
      <c r="A1882" t="s">
        <v>2508</v>
      </c>
      <c r="B1882" t="s">
        <v>2509</v>
      </c>
      <c r="C1882" s="172" t="s">
        <v>4482</v>
      </c>
      <c r="D1882" t="s">
        <v>71</v>
      </c>
      <c r="E1882" t="s">
        <v>24</v>
      </c>
      <c r="F1882" t="s">
        <v>3295</v>
      </c>
      <c r="G1882" t="s">
        <v>2512</v>
      </c>
      <c r="H1882" t="s">
        <v>2513</v>
      </c>
      <c r="I1882" s="130">
        <v>45622</v>
      </c>
      <c r="J1882" t="s">
        <v>3073</v>
      </c>
      <c r="K1882">
        <v>3000</v>
      </c>
      <c r="M18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24C-20241126-01</v>
      </c>
      <c r="N1882" t="str">
        <f>DO_DB[[#This Row],[Material Pick-update]]&amp;"_"&amp;DO_DB[[#This Row],[Material Name]]</f>
        <v>45622_ADSS 24C</v>
      </c>
      <c r="O1882" t="str">
        <f>DO_DB[[#This Row],[SiteID]]</f>
        <v>CLR51-09-011</v>
      </c>
      <c r="P1882" t="str">
        <f>DO_DB[[#This Row],[SiteID]]&amp;"_"&amp;DO_DB[[#This Row],[Material Name]]</f>
        <v>CLR51-09-011_ADSS 24C</v>
      </c>
      <c r="Q1882" t="str">
        <f>DO_DB[[#This Row],[DO Number]]</f>
        <v>DOEID241121BP</v>
      </c>
      <c r="R1882" t="str">
        <f>DO_DB[[#This Row],[DN Number]]</f>
        <v>DNWID0342024112204</v>
      </c>
    </row>
    <row r="1883" spans="1:18">
      <c r="A1883" t="s">
        <v>2514</v>
      </c>
      <c r="B1883" t="s">
        <v>2515</v>
      </c>
      <c r="C1883" s="172" t="s">
        <v>4482</v>
      </c>
      <c r="D1883" t="s">
        <v>71</v>
      </c>
      <c r="E1883" t="s">
        <v>24</v>
      </c>
      <c r="F1883" t="s">
        <v>3295</v>
      </c>
      <c r="G1883" t="s">
        <v>2518</v>
      </c>
      <c r="H1883" t="s">
        <v>2519</v>
      </c>
      <c r="I1883" s="130">
        <v>45622</v>
      </c>
      <c r="J1883" t="s">
        <v>3073</v>
      </c>
      <c r="K1883">
        <v>3000</v>
      </c>
      <c r="M18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24C-20241126-01</v>
      </c>
      <c r="N1883" t="str">
        <f>DO_DB[[#This Row],[Material Pick-update]]&amp;"_"&amp;DO_DB[[#This Row],[Material Name]]</f>
        <v>45622_ADSS 24C</v>
      </c>
      <c r="O1883" t="str">
        <f>DO_DB[[#This Row],[SiteID]]</f>
        <v>CLR51-09-012</v>
      </c>
      <c r="P1883" t="str">
        <f>DO_DB[[#This Row],[SiteID]]&amp;"_"&amp;DO_DB[[#This Row],[Material Name]]</f>
        <v>CLR51-09-012_ADSS 24C</v>
      </c>
      <c r="Q1883" t="str">
        <f>DO_DB[[#This Row],[DO Number]]</f>
        <v>DOEID241121BR</v>
      </c>
      <c r="R1883" t="str">
        <f>DO_DB[[#This Row],[DN Number]]</f>
        <v>DNWID0342024112203</v>
      </c>
    </row>
    <row r="1884" spans="1:18">
      <c r="A1884" t="s">
        <v>2508</v>
      </c>
      <c r="B1884" t="s">
        <v>2509</v>
      </c>
      <c r="C1884" s="172" t="s">
        <v>4482</v>
      </c>
      <c r="D1884" t="s">
        <v>71</v>
      </c>
      <c r="E1884" t="s">
        <v>24</v>
      </c>
      <c r="F1884" t="s">
        <v>3295</v>
      </c>
      <c r="G1884" t="s">
        <v>2512</v>
      </c>
      <c r="H1884" t="s">
        <v>2513</v>
      </c>
      <c r="I1884" s="130">
        <v>45622</v>
      </c>
      <c r="J1884" t="s">
        <v>3075</v>
      </c>
      <c r="K1884">
        <v>3000</v>
      </c>
      <c r="M18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48C-20241126-01</v>
      </c>
      <c r="N1884" t="str">
        <f>DO_DB[[#This Row],[Material Pick-update]]&amp;"_"&amp;DO_DB[[#This Row],[Material Name]]</f>
        <v>45622_ADSS 48C</v>
      </c>
      <c r="O1884" t="str">
        <f>DO_DB[[#This Row],[SiteID]]</f>
        <v>CLR51-09-011</v>
      </c>
      <c r="P1884" t="str">
        <f>DO_DB[[#This Row],[SiteID]]&amp;"_"&amp;DO_DB[[#This Row],[Material Name]]</f>
        <v>CLR51-09-011_ADSS 48C</v>
      </c>
      <c r="Q1884" t="str">
        <f>DO_DB[[#This Row],[DO Number]]</f>
        <v>DOEID241121BP</v>
      </c>
      <c r="R1884" t="str">
        <f>DO_DB[[#This Row],[DN Number]]</f>
        <v>DNWID0342024112204</v>
      </c>
    </row>
    <row r="1885" spans="1:18">
      <c r="A1885" t="s">
        <v>2520</v>
      </c>
      <c r="B1885" t="s">
        <v>2521</v>
      </c>
      <c r="C1885" s="172" t="s">
        <v>4482</v>
      </c>
      <c r="D1885" t="s">
        <v>71</v>
      </c>
      <c r="E1885" t="s">
        <v>24</v>
      </c>
      <c r="F1885" t="s">
        <v>3295</v>
      </c>
      <c r="G1885" t="s">
        <v>2524</v>
      </c>
      <c r="H1885" t="s">
        <v>2525</v>
      </c>
      <c r="I1885" s="130">
        <v>45622</v>
      </c>
      <c r="J1885" t="s">
        <v>3075</v>
      </c>
      <c r="K1885">
        <v>3000</v>
      </c>
      <c r="M18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48C-20241126-01</v>
      </c>
      <c r="N1885" t="str">
        <f>DO_DB[[#This Row],[Material Pick-update]]&amp;"_"&amp;DO_DB[[#This Row],[Material Name]]</f>
        <v>45622_ADSS 48C</v>
      </c>
      <c r="O1885" t="str">
        <f>DO_DB[[#This Row],[SiteID]]</f>
        <v>CLR51-99-124</v>
      </c>
      <c r="P1885" t="str">
        <f>DO_DB[[#This Row],[SiteID]]&amp;"_"&amp;DO_DB[[#This Row],[Material Name]]</f>
        <v>CLR51-99-124_ADSS 48C</v>
      </c>
      <c r="Q1885" t="str">
        <f>DO_DB[[#This Row],[DO Number]]</f>
        <v>DOEID24112584</v>
      </c>
      <c r="R1885" t="str">
        <f>DO_DB[[#This Row],[DN Number]]</f>
        <v>DNWID0342024112505</v>
      </c>
    </row>
    <row r="1886" spans="1:18">
      <c r="A1886" t="s">
        <v>2535</v>
      </c>
      <c r="B1886" t="s">
        <v>2536</v>
      </c>
      <c r="C1886" s="172" t="s">
        <v>4482</v>
      </c>
      <c r="D1886" t="s">
        <v>71</v>
      </c>
      <c r="E1886" t="s">
        <v>24</v>
      </c>
      <c r="F1886" t="s">
        <v>3295</v>
      </c>
      <c r="G1886" t="s">
        <v>2537</v>
      </c>
      <c r="H1886" t="s">
        <v>2538</v>
      </c>
      <c r="I1886" s="130">
        <v>45642</v>
      </c>
      <c r="J1886" t="s">
        <v>3073</v>
      </c>
      <c r="K1886">
        <v>3000</v>
      </c>
      <c r="M18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24C-20241216-01</v>
      </c>
      <c r="N1886" t="str">
        <f>DO_DB[[#This Row],[Material Pick-update]]&amp;"_"&amp;DO_DB[[#This Row],[Material Name]]</f>
        <v>45642_ADSS 24C</v>
      </c>
      <c r="O1886" t="str">
        <f>DO_DB[[#This Row],[SiteID]]</f>
        <v>CLR51-99-056</v>
      </c>
      <c r="P1886" t="str">
        <f>DO_DB[[#This Row],[SiteID]]&amp;"_"&amp;DO_DB[[#This Row],[Material Name]]</f>
        <v>CLR51-99-056_ADSS 24C</v>
      </c>
      <c r="Q1886" t="str">
        <f>DO_DB[[#This Row],[DO Number]]</f>
        <v>DOEID24121393</v>
      </c>
      <c r="R1886" t="str">
        <f>DO_DB[[#This Row],[DN Number]]</f>
        <v>DNWID0342024121303</v>
      </c>
    </row>
    <row r="1887" spans="1:18">
      <c r="A1887" t="s">
        <v>2543</v>
      </c>
      <c r="B1887" t="s">
        <v>2544</v>
      </c>
      <c r="C1887" s="172" t="s">
        <v>4482</v>
      </c>
      <c r="D1887" t="s">
        <v>71</v>
      </c>
      <c r="E1887" t="s">
        <v>24</v>
      </c>
      <c r="F1887" t="s">
        <v>3295</v>
      </c>
      <c r="G1887" t="s">
        <v>2557</v>
      </c>
      <c r="H1887" t="s">
        <v>2558</v>
      </c>
      <c r="I1887" s="130">
        <v>45642</v>
      </c>
      <c r="J1887" t="s">
        <v>3073</v>
      </c>
      <c r="K1887">
        <v>3000</v>
      </c>
      <c r="M18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24C-20241216-01</v>
      </c>
      <c r="N1887" t="str">
        <f>DO_DB[[#This Row],[Material Pick-update]]&amp;"_"&amp;DO_DB[[#This Row],[Material Name]]</f>
        <v>45642_ADSS 24C</v>
      </c>
      <c r="O1887" t="str">
        <f>DO_DB[[#This Row],[SiteID]]</f>
        <v>CLR51-99-058</v>
      </c>
      <c r="P1887" t="str">
        <f>DO_DB[[#This Row],[SiteID]]&amp;"_"&amp;DO_DB[[#This Row],[Material Name]]</f>
        <v>CLR51-99-058_ADSS 24C</v>
      </c>
      <c r="Q1887" t="str">
        <f>DO_DB[[#This Row],[DO Number]]</f>
        <v>DOEID24121395</v>
      </c>
      <c r="R1887" t="str">
        <f>DO_DB[[#This Row],[DN Number]]</f>
        <v>DNWID0342024121304</v>
      </c>
    </row>
    <row r="1888" spans="1:18">
      <c r="A1888" t="s">
        <v>2633</v>
      </c>
      <c r="B1888" t="s">
        <v>2634</v>
      </c>
      <c r="C1888" s="172" t="s">
        <v>4482</v>
      </c>
      <c r="D1888" t="s">
        <v>71</v>
      </c>
      <c r="E1888" t="s">
        <v>24</v>
      </c>
      <c r="F1888" t="s">
        <v>3295</v>
      </c>
      <c r="G1888" t="s">
        <v>2635</v>
      </c>
      <c r="H1888" t="s">
        <v>2636</v>
      </c>
      <c r="I1888" s="130">
        <v>45693</v>
      </c>
      <c r="J1888" t="s">
        <v>3073</v>
      </c>
      <c r="K1888">
        <v>3000</v>
      </c>
      <c r="M18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24C-202525-01</v>
      </c>
      <c r="N1888" t="str">
        <f>DO_DB[[#This Row],[Material Pick-update]]&amp;"_"&amp;DO_DB[[#This Row],[Material Name]]</f>
        <v>45693_ADSS 24C</v>
      </c>
      <c r="O1888" t="str">
        <f>DO_DB[[#This Row],[SiteID]]</f>
        <v>CLR51-99-050</v>
      </c>
      <c r="P1888" t="str">
        <f>DO_DB[[#This Row],[SiteID]]&amp;"_"&amp;DO_DB[[#This Row],[Material Name]]</f>
        <v>CLR51-99-050_ADSS 24C</v>
      </c>
      <c r="Q1888" t="str">
        <f>DO_DB[[#This Row],[DO Number]]</f>
        <v>DOEID25020563</v>
      </c>
      <c r="R1888" t="str">
        <f>DO_DB[[#This Row],[DN Number]]</f>
        <v>DNWID0342025020501</v>
      </c>
    </row>
    <row r="1889" spans="1:18">
      <c r="A1889" t="s">
        <v>2648</v>
      </c>
      <c r="B1889" t="s">
        <v>2649</v>
      </c>
      <c r="C1889" s="172" t="s">
        <v>4482</v>
      </c>
      <c r="D1889" t="s">
        <v>71</v>
      </c>
      <c r="E1889" t="s">
        <v>24</v>
      </c>
      <c r="F1889" t="s">
        <v>3295</v>
      </c>
      <c r="G1889" t="s">
        <v>2650</v>
      </c>
      <c r="H1889" t="s">
        <v>2651</v>
      </c>
      <c r="I1889" s="130">
        <v>45707</v>
      </c>
      <c r="J1889" t="s">
        <v>3073</v>
      </c>
      <c r="K1889">
        <v>3000</v>
      </c>
      <c r="M18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24C-2025219-01</v>
      </c>
      <c r="N1889" t="str">
        <f>DO_DB[[#This Row],[Material Pick-update]]&amp;"_"&amp;DO_DB[[#This Row],[Material Name]]</f>
        <v>45707_ADSS 24C</v>
      </c>
      <c r="O1889" t="str">
        <f>DO_DB[[#This Row],[SiteID]]</f>
        <v>CLR51-08-007</v>
      </c>
      <c r="P1889" t="str">
        <f>DO_DB[[#This Row],[SiteID]]&amp;"_"&amp;DO_DB[[#This Row],[Material Name]]</f>
        <v>CLR51-08-007_ADSS 24C</v>
      </c>
      <c r="Q1889" t="str">
        <f>DO_DB[[#This Row],[DO Number]]</f>
        <v>DOEID25021853</v>
      </c>
      <c r="R1889" t="str">
        <f>DO_DB[[#This Row],[DN Number]]</f>
        <v>DNWID0342025021804</v>
      </c>
    </row>
    <row r="1890" spans="1:18">
      <c r="A1890" t="s">
        <v>2648</v>
      </c>
      <c r="B1890" t="s">
        <v>2649</v>
      </c>
      <c r="C1890" s="172" t="s">
        <v>4482</v>
      </c>
      <c r="D1890" t="s">
        <v>71</v>
      </c>
      <c r="E1890" t="s">
        <v>24</v>
      </c>
      <c r="F1890" t="s">
        <v>3295</v>
      </c>
      <c r="G1890" t="s">
        <v>2650</v>
      </c>
      <c r="H1890" t="s">
        <v>2651</v>
      </c>
      <c r="I1890" s="130">
        <v>45707</v>
      </c>
      <c r="J1890" t="s">
        <v>3075</v>
      </c>
      <c r="K1890">
        <v>3000</v>
      </c>
      <c r="M18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48C-2025219-01</v>
      </c>
      <c r="N1890" t="str">
        <f>DO_DB[[#This Row],[Material Pick-update]]&amp;"_"&amp;DO_DB[[#This Row],[Material Name]]</f>
        <v>45707_ADSS 48C</v>
      </c>
      <c r="O1890" t="str">
        <f>DO_DB[[#This Row],[SiteID]]</f>
        <v>CLR51-08-007</v>
      </c>
      <c r="P1890" t="str">
        <f>DO_DB[[#This Row],[SiteID]]&amp;"_"&amp;DO_DB[[#This Row],[Material Name]]</f>
        <v>CLR51-08-007_ADSS 48C</v>
      </c>
      <c r="Q1890" t="str">
        <f>DO_DB[[#This Row],[DO Number]]</f>
        <v>DOEID25021853</v>
      </c>
      <c r="R1890" t="str">
        <f>DO_DB[[#This Row],[DN Number]]</f>
        <v>DNWID0342025021804</v>
      </c>
    </row>
    <row r="1891" spans="1:18">
      <c r="A1891" t="s">
        <v>2809</v>
      </c>
      <c r="B1891" t="s">
        <v>2810</v>
      </c>
      <c r="C1891" s="172" t="s">
        <v>4482</v>
      </c>
      <c r="D1891" t="s">
        <v>71</v>
      </c>
      <c r="E1891" t="s">
        <v>24</v>
      </c>
      <c r="F1891" t="s">
        <v>3295</v>
      </c>
      <c r="G1891" t="s">
        <v>2813</v>
      </c>
      <c r="H1891" t="s">
        <v>2814</v>
      </c>
      <c r="I1891" s="130">
        <v>45820</v>
      </c>
      <c r="J1891" t="s">
        <v>3073</v>
      </c>
      <c r="K1891">
        <v>3000</v>
      </c>
      <c r="M18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24C-2025612-01</v>
      </c>
      <c r="N1891" t="str">
        <f>DO_DB[[#This Row],[Material Pick-update]]&amp;"_"&amp;DO_DB[[#This Row],[Material Name]]</f>
        <v>45820_ADSS 24C</v>
      </c>
      <c r="O1891" t="str">
        <f>DO_DB[[#This Row],[SiteID]]</f>
        <v>CLR51-99-101</v>
      </c>
      <c r="P1891" t="str">
        <f>DO_DB[[#This Row],[SiteID]]&amp;"_"&amp;DO_DB[[#This Row],[Material Name]]</f>
        <v>CLR51-99-101_ADSS 24C</v>
      </c>
      <c r="Q1891" t="str">
        <f>DO_DB[[#This Row],[DO Number]]</f>
        <v>DOEID250610PF</v>
      </c>
      <c r="R1891" t="str">
        <f>DO_DB[[#This Row],[DN Number]]</f>
        <v>DNWID1372025061201</v>
      </c>
    </row>
    <row r="1892" spans="1:18">
      <c r="A1892" t="s">
        <v>2815</v>
      </c>
      <c r="B1892" t="s">
        <v>2816</v>
      </c>
      <c r="C1892" s="172" t="s">
        <v>4482</v>
      </c>
      <c r="D1892" t="s">
        <v>71</v>
      </c>
      <c r="E1892" t="s">
        <v>24</v>
      </c>
      <c r="F1892" t="s">
        <v>3295</v>
      </c>
      <c r="G1892" t="s">
        <v>2819</v>
      </c>
      <c r="H1892" t="s">
        <v>2820</v>
      </c>
      <c r="I1892" s="130">
        <v>45820</v>
      </c>
      <c r="J1892" t="s">
        <v>3073</v>
      </c>
      <c r="K1892">
        <v>3000</v>
      </c>
      <c r="M18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24C-2025612-01</v>
      </c>
      <c r="N1892" t="str">
        <f>DO_DB[[#This Row],[Material Pick-update]]&amp;"_"&amp;DO_DB[[#This Row],[Material Name]]</f>
        <v>45820_ADSS 24C</v>
      </c>
      <c r="O1892" t="str">
        <f>DO_DB[[#This Row],[SiteID]]</f>
        <v>CLR51-99-104</v>
      </c>
      <c r="P1892" t="str">
        <f>DO_DB[[#This Row],[SiteID]]&amp;"_"&amp;DO_DB[[#This Row],[Material Name]]</f>
        <v>CLR51-99-104_ADSS 24C</v>
      </c>
      <c r="Q1892" t="str">
        <f>DO_DB[[#This Row],[DO Number]]</f>
        <v>DOEID250610PH</v>
      </c>
      <c r="R1892" t="str">
        <f>DO_DB[[#This Row],[DN Number]]</f>
        <v>DNWID1372025061203</v>
      </c>
    </row>
    <row r="1893" spans="1:18">
      <c r="A1893" t="s">
        <v>2825</v>
      </c>
      <c r="B1893" t="s">
        <v>2826</v>
      </c>
      <c r="C1893" s="172" t="s">
        <v>4482</v>
      </c>
      <c r="D1893" t="s">
        <v>71</v>
      </c>
      <c r="E1893" t="s">
        <v>24</v>
      </c>
      <c r="F1893" t="s">
        <v>3295</v>
      </c>
      <c r="G1893" t="s">
        <v>2829</v>
      </c>
      <c r="H1893" t="s">
        <v>2830</v>
      </c>
      <c r="I1893" s="130">
        <v>45820</v>
      </c>
      <c r="J1893" t="s">
        <v>3073</v>
      </c>
      <c r="K1893">
        <v>3000</v>
      </c>
      <c r="M18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24C-2025612-01</v>
      </c>
      <c r="N1893" t="str">
        <f>DO_DB[[#This Row],[Material Pick-update]]&amp;"_"&amp;DO_DB[[#This Row],[Material Name]]</f>
        <v>45820_ADSS 24C</v>
      </c>
      <c r="O1893" t="str">
        <f>DO_DB[[#This Row],[SiteID]]</f>
        <v>CLR51-99-238</v>
      </c>
      <c r="P1893" t="str">
        <f>DO_DB[[#This Row],[SiteID]]&amp;"_"&amp;DO_DB[[#This Row],[Material Name]]</f>
        <v>CLR51-99-238_ADSS 24C</v>
      </c>
      <c r="Q1893" t="str">
        <f>DO_DB[[#This Row],[DO Number]]</f>
        <v>DOEID250610PK</v>
      </c>
      <c r="R1893" t="str">
        <f>DO_DB[[#This Row],[DN Number]]</f>
        <v>DNWID1372025061202</v>
      </c>
    </row>
    <row r="1894" spans="1:18">
      <c r="A1894" s="81" t="s">
        <v>2825</v>
      </c>
      <c r="B1894" s="81" t="s">
        <v>2826</v>
      </c>
      <c r="C1894" s="198" t="s">
        <v>4482</v>
      </c>
      <c r="D1894" s="81" t="s">
        <v>71</v>
      </c>
      <c r="E1894" s="81" t="s">
        <v>24</v>
      </c>
      <c r="F1894" s="81" t="s">
        <v>3295</v>
      </c>
      <c r="G1894" s="81" t="s">
        <v>2829</v>
      </c>
      <c r="H1894" s="81" t="s">
        <v>2830</v>
      </c>
      <c r="I1894" s="163">
        <v>45820</v>
      </c>
      <c r="J1894" s="81" t="s">
        <v>3075</v>
      </c>
      <c r="K1894" s="81">
        <v>1019</v>
      </c>
      <c r="M18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48C-2025612-01</v>
      </c>
      <c r="N1894" t="str">
        <f>DO_DB[[#This Row],[Material Pick-update]]&amp;"_"&amp;DO_DB[[#This Row],[Material Name]]</f>
        <v>45820_ADSS 48C</v>
      </c>
      <c r="O1894" t="str">
        <f>DO_DB[[#This Row],[SiteID]]</f>
        <v>CLR51-99-238</v>
      </c>
      <c r="P1894" t="str">
        <f>DO_DB[[#This Row],[SiteID]]&amp;"_"&amp;DO_DB[[#This Row],[Material Name]]</f>
        <v>CLR51-99-238_ADSS 48C</v>
      </c>
      <c r="Q1894" t="str">
        <f>DO_DB[[#This Row],[DO Number]]</f>
        <v>DOEID250610PK</v>
      </c>
      <c r="R1894" t="str">
        <f>DO_DB[[#This Row],[DN Number]]</f>
        <v>DNWID1372025061202</v>
      </c>
    </row>
    <row r="1895" spans="1:18">
      <c r="A1895" s="81" t="s">
        <v>2809</v>
      </c>
      <c r="B1895" s="81" t="s">
        <v>2810</v>
      </c>
      <c r="C1895" s="198" t="s">
        <v>4482</v>
      </c>
      <c r="D1895" s="81" t="s">
        <v>71</v>
      </c>
      <c r="E1895" s="81" t="s">
        <v>24</v>
      </c>
      <c r="F1895" s="81" t="s">
        <v>3295</v>
      </c>
      <c r="G1895" s="81" t="s">
        <v>2813</v>
      </c>
      <c r="H1895" s="81" t="s">
        <v>2814</v>
      </c>
      <c r="I1895" s="163">
        <v>45820</v>
      </c>
      <c r="J1895" s="198" t="s">
        <v>3075</v>
      </c>
      <c r="K1895" s="81">
        <v>6000</v>
      </c>
      <c r="M18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48C-2025612-01</v>
      </c>
      <c r="N1895" t="str">
        <f>DO_DB[[#This Row],[Material Pick-update]]&amp;"_"&amp;DO_DB[[#This Row],[Material Name]]</f>
        <v>45820_ADSS 48C</v>
      </c>
      <c r="O1895" t="str">
        <f>DO_DB[[#This Row],[SiteID]]</f>
        <v>CLR51-99-101</v>
      </c>
      <c r="P1895" t="str">
        <f>DO_DB[[#This Row],[SiteID]]&amp;"_"&amp;DO_DB[[#This Row],[Material Name]]</f>
        <v>CLR51-99-101_ADSS 48C</v>
      </c>
      <c r="Q1895" t="str">
        <f>DO_DB[[#This Row],[DO Number]]</f>
        <v>DOEID250610PF</v>
      </c>
      <c r="R1895" t="str">
        <f>DO_DB[[#This Row],[DN Number]]</f>
        <v>DNWID1372025061201</v>
      </c>
    </row>
    <row r="1896" spans="1:18">
      <c r="A1896" s="81" t="s">
        <v>2861</v>
      </c>
      <c r="B1896" s="81" t="s">
        <v>2862</v>
      </c>
      <c r="C1896" s="198" t="s">
        <v>4482</v>
      </c>
      <c r="D1896" s="81" t="s">
        <v>71</v>
      </c>
      <c r="E1896" s="81" t="s">
        <v>24</v>
      </c>
      <c r="F1896" s="81" t="s">
        <v>3295</v>
      </c>
      <c r="G1896" s="81" t="s">
        <v>2863</v>
      </c>
      <c r="H1896" s="81" t="s">
        <v>2864</v>
      </c>
      <c r="I1896" s="163">
        <v>45825</v>
      </c>
      <c r="J1896" s="81" t="s">
        <v>3075</v>
      </c>
      <c r="K1896" s="81">
        <v>3000</v>
      </c>
      <c r="M18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48C-2025617-01</v>
      </c>
      <c r="N1896" t="str">
        <f>DO_DB[[#This Row],[Material Pick-update]]&amp;"_"&amp;DO_DB[[#This Row],[Material Name]]</f>
        <v>45825_ADSS 48C</v>
      </c>
      <c r="O1896" t="str">
        <f>DO_DB[[#This Row],[SiteID]]</f>
        <v>CLR51-99-242</v>
      </c>
      <c r="P1896" t="str">
        <f>DO_DB[[#This Row],[SiteID]]&amp;"_"&amp;DO_DB[[#This Row],[Material Name]]</f>
        <v>CLR51-99-242_ADSS 48C</v>
      </c>
      <c r="Q1896" t="str">
        <f>DO_DB[[#This Row],[DO Number]]</f>
        <v>DOEID250613BN</v>
      </c>
      <c r="R1896" t="str">
        <f>DO_DB[[#This Row],[DN Number]]</f>
        <v>DNWID1372025061605</v>
      </c>
    </row>
    <row r="1897" spans="1:18">
      <c r="A1897" s="81" t="s">
        <v>2855</v>
      </c>
      <c r="B1897" s="81" t="s">
        <v>2856</v>
      </c>
      <c r="C1897" s="198" t="s">
        <v>4482</v>
      </c>
      <c r="D1897" s="81" t="s">
        <v>71</v>
      </c>
      <c r="E1897" s="81" t="s">
        <v>24</v>
      </c>
      <c r="F1897" s="81" t="s">
        <v>3295</v>
      </c>
      <c r="G1897" s="81" t="s">
        <v>2857</v>
      </c>
      <c r="H1897" s="81" t="s">
        <v>2858</v>
      </c>
      <c r="I1897" s="163">
        <v>45825</v>
      </c>
      <c r="J1897" s="81" t="s">
        <v>3075</v>
      </c>
      <c r="K1897" s="81">
        <v>3000</v>
      </c>
      <c r="M18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48C-2025617-01</v>
      </c>
      <c r="N1897" t="str">
        <f>DO_DB[[#This Row],[Material Pick-update]]&amp;"_"&amp;DO_DB[[#This Row],[Material Name]]</f>
        <v>45825_ADSS 48C</v>
      </c>
      <c r="O1897" t="str">
        <f>DO_DB[[#This Row],[SiteID]]</f>
        <v>CLR51-99-243</v>
      </c>
      <c r="P1897" t="str">
        <f>DO_DB[[#This Row],[SiteID]]&amp;"_"&amp;DO_DB[[#This Row],[Material Name]]</f>
        <v>CLR51-99-243_ADSS 48C</v>
      </c>
      <c r="Q1897" t="str">
        <f>DO_DB[[#This Row],[DO Number]]</f>
        <v>DOEID250613BP</v>
      </c>
      <c r="R1897" t="str">
        <f>DO_DB[[#This Row],[DN Number]]</f>
        <v>DNWID1372025061606</v>
      </c>
    </row>
    <row r="1898" spans="1:18">
      <c r="A1898" t="s">
        <v>2903</v>
      </c>
      <c r="B1898" t="s">
        <v>2904</v>
      </c>
      <c r="C1898" s="172" t="s">
        <v>4482</v>
      </c>
      <c r="D1898" t="s">
        <v>71</v>
      </c>
      <c r="E1898" t="s">
        <v>24</v>
      </c>
      <c r="F1898" t="s">
        <v>3295</v>
      </c>
      <c r="G1898" t="s">
        <v>2907</v>
      </c>
      <c r="H1898" t="s">
        <v>2908</v>
      </c>
      <c r="I1898" s="130">
        <v>45850</v>
      </c>
      <c r="J1898" t="s">
        <v>3075</v>
      </c>
      <c r="K1898">
        <v>3000</v>
      </c>
      <c r="M18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48C-2025712-01</v>
      </c>
      <c r="N1898" t="str">
        <f>DO_DB[[#This Row],[Material Pick-update]]&amp;"_"&amp;DO_DB[[#This Row],[Material Name]]</f>
        <v>45850_ADSS 48C</v>
      </c>
      <c r="O1898" t="str">
        <f>DO_DB[[#This Row],[SiteID]]</f>
        <v>CLR51-99-106</v>
      </c>
      <c r="P1898" t="str">
        <f>DO_DB[[#This Row],[SiteID]]&amp;"_"&amp;DO_DB[[#This Row],[Material Name]]</f>
        <v>CLR51-99-106_ADSS 48C</v>
      </c>
      <c r="Q1898" t="str">
        <f>DO_DB[[#This Row],[DO Number]]</f>
        <v>DOEID250711EE</v>
      </c>
      <c r="R1898" t="str">
        <f>DO_DB[[#This Row],[DN Number]]</f>
        <v>DNWID1372025071104</v>
      </c>
    </row>
    <row r="1899" spans="1:18">
      <c r="A1899" t="s">
        <v>2909</v>
      </c>
      <c r="B1899" t="s">
        <v>2910</v>
      </c>
      <c r="C1899" s="172" t="s">
        <v>4482</v>
      </c>
      <c r="D1899" t="s">
        <v>71</v>
      </c>
      <c r="E1899" t="s">
        <v>24</v>
      </c>
      <c r="F1899" t="s">
        <v>3295</v>
      </c>
      <c r="G1899" t="s">
        <v>2913</v>
      </c>
      <c r="H1899" t="s">
        <v>2914</v>
      </c>
      <c r="I1899" s="130">
        <v>45850</v>
      </c>
      <c r="J1899" t="s">
        <v>3075</v>
      </c>
      <c r="K1899">
        <v>3000</v>
      </c>
      <c r="M18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48C-2025712-01</v>
      </c>
      <c r="N1899" t="str">
        <f>DO_DB[[#This Row],[Material Pick-update]]&amp;"_"&amp;DO_DB[[#This Row],[Material Name]]</f>
        <v>45850_ADSS 48C</v>
      </c>
      <c r="O1899" t="str">
        <f>DO_DB[[#This Row],[SiteID]]</f>
        <v>CLR51-99-107</v>
      </c>
      <c r="P1899" t="str">
        <f>DO_DB[[#This Row],[SiteID]]&amp;"_"&amp;DO_DB[[#This Row],[Material Name]]</f>
        <v>CLR51-99-107_ADSS 48C</v>
      </c>
      <c r="Q1899" t="str">
        <f>DO_DB[[#This Row],[DO Number]]</f>
        <v>DOEID250711EG</v>
      </c>
      <c r="R1899" t="str">
        <f>DO_DB[[#This Row],[DN Number]]</f>
        <v>DNWID1372025071101</v>
      </c>
    </row>
    <row r="1900" spans="1:18">
      <c r="A1900" t="s">
        <v>2915</v>
      </c>
      <c r="B1900" t="s">
        <v>2916</v>
      </c>
      <c r="C1900" s="172" t="s">
        <v>4482</v>
      </c>
      <c r="D1900" t="s">
        <v>71</v>
      </c>
      <c r="E1900" t="s">
        <v>24</v>
      </c>
      <c r="F1900" t="s">
        <v>3295</v>
      </c>
      <c r="G1900" t="s">
        <v>2919</v>
      </c>
      <c r="H1900" t="s">
        <v>2920</v>
      </c>
      <c r="I1900" s="130">
        <v>45850</v>
      </c>
      <c r="J1900" t="s">
        <v>3075</v>
      </c>
      <c r="K1900">
        <v>3000</v>
      </c>
      <c r="M19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48C-2025712-01</v>
      </c>
      <c r="N1900" t="str">
        <f>DO_DB[[#This Row],[Material Pick-update]]&amp;"_"&amp;DO_DB[[#This Row],[Material Name]]</f>
        <v>45850_ADSS 48C</v>
      </c>
      <c r="O1900" t="str">
        <f>DO_DB[[#This Row],[SiteID]]</f>
        <v>CLR51-99-108</v>
      </c>
      <c r="P1900" t="str">
        <f>DO_DB[[#This Row],[SiteID]]&amp;"_"&amp;DO_DB[[#This Row],[Material Name]]</f>
        <v>CLR51-99-108_ADSS 48C</v>
      </c>
      <c r="Q1900" t="str">
        <f>DO_DB[[#This Row],[DO Number]]</f>
        <v>DOEID250711EJ</v>
      </c>
      <c r="R1900" t="str">
        <f>DO_DB[[#This Row],[DN Number]]</f>
        <v>DNWID1372025071102</v>
      </c>
    </row>
    <row r="1901" spans="1:18">
      <c r="A1901" t="s">
        <v>2992</v>
      </c>
      <c r="B1901" t="s">
        <v>2993</v>
      </c>
      <c r="C1901" s="172" t="s">
        <v>4482</v>
      </c>
      <c r="D1901" t="s">
        <v>71</v>
      </c>
      <c r="E1901" t="s">
        <v>24</v>
      </c>
      <c r="F1901" t="s">
        <v>3295</v>
      </c>
      <c r="G1901" t="s">
        <v>2994</v>
      </c>
      <c r="H1901" t="s">
        <v>2995</v>
      </c>
      <c r="I1901" s="130">
        <v>45875</v>
      </c>
      <c r="J1901" t="s">
        <v>3073</v>
      </c>
      <c r="K1901">
        <v>1440</v>
      </c>
      <c r="M19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24C-202586-01</v>
      </c>
      <c r="N1901" t="str">
        <f>DO_DB[[#This Row],[Material Pick-update]]&amp;"_"&amp;DO_DB[[#This Row],[Material Name]]</f>
        <v>45875_ADSS 24C</v>
      </c>
      <c r="O1901" t="str">
        <f>DO_DB[[#This Row],[SiteID]]</f>
        <v>CLR51-99-249</v>
      </c>
      <c r="P1901" t="str">
        <f>DO_DB[[#This Row],[SiteID]]&amp;"_"&amp;DO_DB[[#This Row],[Material Name]]</f>
        <v>CLR51-99-249_ADSS 24C</v>
      </c>
      <c r="Q1901" t="str">
        <f>DO_DB[[#This Row],[DO Number]]</f>
        <v>DOEID250804CC</v>
      </c>
      <c r="R1901" t="str">
        <f>DO_DB[[#This Row],[DN Number]]</f>
        <v>DNWID1372025080401</v>
      </c>
    </row>
    <row r="1902" spans="1:18">
      <c r="A1902" t="s">
        <v>2996</v>
      </c>
      <c r="B1902" t="s">
        <v>2997</v>
      </c>
      <c r="C1902" s="172" t="s">
        <v>4482</v>
      </c>
      <c r="D1902" t="s">
        <v>71</v>
      </c>
      <c r="E1902" t="s">
        <v>24</v>
      </c>
      <c r="F1902" t="s">
        <v>3295</v>
      </c>
      <c r="G1902" t="s">
        <v>2998</v>
      </c>
      <c r="H1902" t="s">
        <v>2999</v>
      </c>
      <c r="I1902" s="130">
        <v>45875</v>
      </c>
      <c r="J1902" t="s">
        <v>3073</v>
      </c>
      <c r="K1902">
        <v>3000</v>
      </c>
      <c r="M19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24C-202586-01</v>
      </c>
      <c r="N1902" t="str">
        <f>DO_DB[[#This Row],[Material Pick-update]]&amp;"_"&amp;DO_DB[[#This Row],[Material Name]]</f>
        <v>45875_ADSS 24C</v>
      </c>
      <c r="O1902" t="str">
        <f>DO_DB[[#This Row],[SiteID]]</f>
        <v>CLR51-99-250</v>
      </c>
      <c r="P1902" t="str">
        <f>DO_DB[[#This Row],[SiteID]]&amp;"_"&amp;DO_DB[[#This Row],[Material Name]]</f>
        <v>CLR51-99-250_ADSS 24C</v>
      </c>
      <c r="Q1902" t="str">
        <f>DO_DB[[#This Row],[DO Number]]</f>
        <v>DOEID250804CD</v>
      </c>
      <c r="R1902" t="str">
        <f>DO_DB[[#This Row],[DN Number]]</f>
        <v>DNWID1372025080402</v>
      </c>
    </row>
    <row r="1903" spans="1:18">
      <c r="A1903" t="s">
        <v>3203</v>
      </c>
      <c r="B1903" t="s">
        <v>3204</v>
      </c>
      <c r="C1903" s="172" t="s">
        <v>4482</v>
      </c>
      <c r="D1903" t="s">
        <v>71</v>
      </c>
      <c r="E1903" t="s">
        <v>24</v>
      </c>
      <c r="F1903" t="s">
        <v>3295</v>
      </c>
      <c r="G1903" t="s">
        <v>3205</v>
      </c>
      <c r="H1903" t="s">
        <v>3206</v>
      </c>
      <c r="I1903" s="130">
        <v>45888</v>
      </c>
      <c r="J1903" t="s">
        <v>3075</v>
      </c>
      <c r="K1903">
        <v>3000</v>
      </c>
      <c r="M19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48C-2025819-01</v>
      </c>
      <c r="N1903" t="str">
        <f>DO_DB[[#This Row],[Material Pick-update]]&amp;"_"&amp;DO_DB[[#This Row],[Material Name]]</f>
        <v>45888_ADSS 48C</v>
      </c>
      <c r="O1903" t="str">
        <f>DO_DB[[#This Row],[SiteID]]</f>
        <v>CLR51-99-370</v>
      </c>
      <c r="P1903" t="str">
        <f>DO_DB[[#This Row],[SiteID]]&amp;"_"&amp;DO_DB[[#This Row],[Material Name]]</f>
        <v>CLR51-99-370_ADSS 48C</v>
      </c>
      <c r="Q1903" t="str">
        <f>DO_DB[[#This Row],[DO Number]]</f>
        <v>DOEID25081590</v>
      </c>
      <c r="R1903" t="str">
        <f>DO_DB[[#This Row],[DN Number]]</f>
        <v>DNWID1382025081505</v>
      </c>
    </row>
    <row r="1904" spans="1:18">
      <c r="A1904" t="s">
        <v>3662</v>
      </c>
      <c r="B1904" t="s">
        <v>3663</v>
      </c>
      <c r="C1904" s="172" t="s">
        <v>4482</v>
      </c>
      <c r="D1904" t="s">
        <v>71</v>
      </c>
      <c r="E1904" t="s">
        <v>24</v>
      </c>
      <c r="F1904" t="s">
        <v>3295</v>
      </c>
      <c r="G1904" t="s">
        <v>3664</v>
      </c>
      <c r="H1904" t="s">
        <v>3665</v>
      </c>
      <c r="I1904" s="130">
        <v>45896</v>
      </c>
      <c r="J1904" t="s">
        <v>3073</v>
      </c>
      <c r="K1904">
        <v>3000</v>
      </c>
      <c r="M19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24C-2025827-01</v>
      </c>
      <c r="N1904" t="str">
        <f>DO_DB[[#This Row],[Material Pick-update]]&amp;"_"&amp;DO_DB[[#This Row],[Material Name]]</f>
        <v>45896_ADSS 24C</v>
      </c>
      <c r="O1904" t="str">
        <f>DO_DB[[#This Row],[SiteID]]</f>
        <v>CLR51-99-103</v>
      </c>
      <c r="P1904" t="str">
        <f>DO_DB[[#This Row],[SiteID]]&amp;"_"&amp;DO_DB[[#This Row],[Material Name]]</f>
        <v>CLR51-99-103_ADSS 24C</v>
      </c>
      <c r="Q1904" t="str">
        <f>DO_DB[[#This Row],[DO Number]]</f>
        <v>DOEID25082609</v>
      </c>
      <c r="R1904" t="str">
        <f>DO_DB[[#This Row],[DN Number]]</f>
        <v>DNWID1382025082604</v>
      </c>
    </row>
    <row r="1905" spans="1:18">
      <c r="A1905" t="s">
        <v>3668</v>
      </c>
      <c r="B1905" t="s">
        <v>3669</v>
      </c>
      <c r="C1905" s="172" t="s">
        <v>4482</v>
      </c>
      <c r="D1905" t="s">
        <v>71</v>
      </c>
      <c r="E1905" t="s">
        <v>24</v>
      </c>
      <c r="F1905" t="s">
        <v>3295</v>
      </c>
      <c r="G1905" t="s">
        <v>3670</v>
      </c>
      <c r="H1905" t="s">
        <v>3671</v>
      </c>
      <c r="I1905" s="130">
        <v>45896</v>
      </c>
      <c r="J1905" t="s">
        <v>3073</v>
      </c>
      <c r="K1905">
        <v>3000</v>
      </c>
      <c r="M19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24C-2025827-01</v>
      </c>
      <c r="N1905" t="str">
        <f>DO_DB[[#This Row],[Material Pick-update]]&amp;"_"&amp;DO_DB[[#This Row],[Material Name]]</f>
        <v>45896_ADSS 24C</v>
      </c>
      <c r="O1905" t="str">
        <f>DO_DB[[#This Row],[SiteID]]</f>
        <v>CLR51-99-252</v>
      </c>
      <c r="P1905" t="str">
        <f>DO_DB[[#This Row],[SiteID]]&amp;"_"&amp;DO_DB[[#This Row],[Material Name]]</f>
        <v>CLR51-99-252_ADSS 24C</v>
      </c>
      <c r="Q1905" t="str">
        <f>DO_DB[[#This Row],[DO Number]]</f>
        <v>DOEID25082611</v>
      </c>
      <c r="R1905" t="str">
        <f>DO_DB[[#This Row],[DN Number]]</f>
        <v>DNWID1382025082607</v>
      </c>
    </row>
    <row r="1906" spans="1:18">
      <c r="A1906" s="172" t="s">
        <v>4692</v>
      </c>
      <c r="B1906" s="172" t="s">
        <v>4693</v>
      </c>
      <c r="C1906" s="172" t="s">
        <v>4482</v>
      </c>
      <c r="D1906" s="172" t="s">
        <v>71</v>
      </c>
      <c r="E1906" s="172" t="s">
        <v>24</v>
      </c>
      <c r="F1906" t="s">
        <v>3295</v>
      </c>
      <c r="G1906" s="172" t="s">
        <v>4694</v>
      </c>
      <c r="H1906" s="172" t="s">
        <v>4695</v>
      </c>
      <c r="I1906" s="173">
        <v>45955</v>
      </c>
      <c r="J1906" s="172" t="s">
        <v>3073</v>
      </c>
      <c r="K1906" s="172">
        <v>3000</v>
      </c>
      <c r="M19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24C-20251025-01</v>
      </c>
      <c r="N1906" t="str">
        <f>DO_DB[[#This Row],[Material Pick-update]]&amp;"_"&amp;DO_DB[[#This Row],[Material Name]]</f>
        <v>45955_ADSS 24C</v>
      </c>
      <c r="O1906" t="str">
        <f>DO_DB[[#This Row],[SiteID]]</f>
        <v>CLR51-99-372</v>
      </c>
      <c r="P1906" t="str">
        <f>DO_DB[[#This Row],[SiteID]]&amp;"_"&amp;DO_DB[[#This Row],[Material Name]]</f>
        <v>CLR51-99-372_ADSS 24C</v>
      </c>
      <c r="Q1906" t="str">
        <f>DO_DB[[#This Row],[DO Number]]</f>
        <v>DOEID251024G5</v>
      </c>
      <c r="R1906" t="str">
        <f>DO_DB[[#This Row],[DN Number]]</f>
        <v>DNWID1382025102406</v>
      </c>
    </row>
    <row r="1907" spans="1:18">
      <c r="A1907" s="172" t="s">
        <v>4687</v>
      </c>
      <c r="B1907" s="172" t="s">
        <v>4599</v>
      </c>
      <c r="C1907" s="172" t="s">
        <v>4482</v>
      </c>
      <c r="D1907" s="172" t="s">
        <v>71</v>
      </c>
      <c r="E1907" s="172" t="s">
        <v>24</v>
      </c>
      <c r="F1907" t="s">
        <v>3295</v>
      </c>
      <c r="G1907" s="172" t="s">
        <v>4688</v>
      </c>
      <c r="H1907" s="172" t="s">
        <v>4689</v>
      </c>
      <c r="I1907" s="173">
        <v>45955</v>
      </c>
      <c r="J1907" s="172" t="s">
        <v>3073</v>
      </c>
      <c r="K1907" s="172">
        <v>3000</v>
      </c>
      <c r="M19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24C-20251025-01</v>
      </c>
      <c r="N1907" t="str">
        <f>DO_DB[[#This Row],[Material Pick-update]]&amp;"_"&amp;DO_DB[[#This Row],[Material Name]]</f>
        <v>45955_ADSS 24C</v>
      </c>
      <c r="O1907" t="str">
        <f>DO_DB[[#This Row],[SiteID]]</f>
        <v>CLR51-99-301</v>
      </c>
      <c r="P1907" t="str">
        <f>DO_DB[[#This Row],[SiteID]]&amp;"_"&amp;DO_DB[[#This Row],[Material Name]]</f>
        <v>CLR51-99-301_ADSS 24C</v>
      </c>
      <c r="Q1907" t="str">
        <f>DO_DB[[#This Row],[DO Number]]</f>
        <v>DOEID251024G6</v>
      </c>
      <c r="R1907" t="str">
        <f>DO_DB[[#This Row],[DN Number]]</f>
        <v>DNWID1382025102404</v>
      </c>
    </row>
    <row r="1908" spans="1:18">
      <c r="A1908" s="172" t="s">
        <v>4692</v>
      </c>
      <c r="B1908" s="172" t="s">
        <v>4693</v>
      </c>
      <c r="C1908" s="172" t="s">
        <v>4482</v>
      </c>
      <c r="D1908" s="172" t="s">
        <v>71</v>
      </c>
      <c r="E1908" s="172" t="s">
        <v>24</v>
      </c>
      <c r="F1908" t="s">
        <v>3295</v>
      </c>
      <c r="G1908" s="172" t="s">
        <v>4694</v>
      </c>
      <c r="H1908" s="172" t="s">
        <v>4695</v>
      </c>
      <c r="I1908" s="173">
        <v>45955</v>
      </c>
      <c r="J1908" s="172" t="s">
        <v>3074</v>
      </c>
      <c r="K1908" s="172">
        <v>3000</v>
      </c>
      <c r="M19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36C-20251025-01</v>
      </c>
      <c r="N1908" t="str">
        <f>DO_DB[[#This Row],[Material Pick-update]]&amp;"_"&amp;DO_DB[[#This Row],[Material Name]]</f>
        <v>45955_ADSS 36C</v>
      </c>
      <c r="O1908" t="str">
        <f>DO_DB[[#This Row],[SiteID]]</f>
        <v>CLR51-99-372</v>
      </c>
      <c r="P1908" t="str">
        <f>DO_DB[[#This Row],[SiteID]]&amp;"_"&amp;DO_DB[[#This Row],[Material Name]]</f>
        <v>CLR51-99-372_ADSS 36C</v>
      </c>
      <c r="Q1908" t="str">
        <f>DO_DB[[#This Row],[DO Number]]</f>
        <v>DOEID251024G5</v>
      </c>
      <c r="R1908" t="str">
        <f>DO_DB[[#This Row],[DN Number]]</f>
        <v>DNWID1382025102406</v>
      </c>
    </row>
    <row r="1909" spans="1:18">
      <c r="A1909" s="172" t="s">
        <v>4696</v>
      </c>
      <c r="B1909" s="172" t="s">
        <v>4697</v>
      </c>
      <c r="C1909" s="172" t="s">
        <v>4482</v>
      </c>
      <c r="D1909" s="172" t="s">
        <v>71</v>
      </c>
      <c r="E1909" s="172" t="s">
        <v>24</v>
      </c>
      <c r="F1909" t="s">
        <v>3295</v>
      </c>
      <c r="G1909" s="172" t="s">
        <v>4698</v>
      </c>
      <c r="H1909" s="172" t="s">
        <v>4699</v>
      </c>
      <c r="I1909" s="173">
        <v>45955</v>
      </c>
      <c r="J1909" s="172" t="s">
        <v>3075</v>
      </c>
      <c r="K1909" s="172">
        <v>3000</v>
      </c>
      <c r="M19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48C-20251025-01</v>
      </c>
      <c r="N1909" t="str">
        <f>DO_DB[[#This Row],[Material Pick-update]]&amp;"_"&amp;DO_DB[[#This Row],[Material Name]]</f>
        <v>45955_ADSS 48C</v>
      </c>
      <c r="O1909" t="str">
        <f>DO_DB[[#This Row],[SiteID]]</f>
        <v>CLR51-99-375</v>
      </c>
      <c r="P1909" t="str">
        <f>DO_DB[[#This Row],[SiteID]]&amp;"_"&amp;DO_DB[[#This Row],[Material Name]]</f>
        <v>CLR51-99-375_ADSS 48C</v>
      </c>
      <c r="Q1909" t="str">
        <f>DO_DB[[#This Row],[DO Number]]</f>
        <v>DOEID251024K3</v>
      </c>
      <c r="R1909" t="str">
        <f>DO_DB[[#This Row],[DN Number]]</f>
        <v>DNWID1382025102408</v>
      </c>
    </row>
    <row r="1910" spans="1:18">
      <c r="A1910" s="172" t="s">
        <v>4692</v>
      </c>
      <c r="B1910" s="172" t="s">
        <v>4693</v>
      </c>
      <c r="C1910" s="172" t="s">
        <v>4482</v>
      </c>
      <c r="D1910" s="172" t="s">
        <v>71</v>
      </c>
      <c r="E1910" s="172" t="s">
        <v>24</v>
      </c>
      <c r="F1910" t="s">
        <v>3295</v>
      </c>
      <c r="G1910" s="172" t="s">
        <v>4710</v>
      </c>
      <c r="H1910" s="172" t="s">
        <v>4711</v>
      </c>
      <c r="I1910" s="173">
        <v>45981</v>
      </c>
      <c r="J1910" s="172" t="s">
        <v>3073</v>
      </c>
      <c r="K1910" s="172">
        <v>3000</v>
      </c>
      <c r="M19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24C-20251120-01</v>
      </c>
      <c r="N1910" t="str">
        <f>DO_DB[[#This Row],[Material Pick-update]]&amp;"_"&amp;DO_DB[[#This Row],[Material Name]]</f>
        <v>45981_ADSS 24C</v>
      </c>
      <c r="O1910" t="str">
        <f>DO_DB[[#This Row],[SiteID]]</f>
        <v>CLR51-99-372</v>
      </c>
      <c r="P1910" t="str">
        <f>DO_DB[[#This Row],[SiteID]]&amp;"_"&amp;DO_DB[[#This Row],[Material Name]]</f>
        <v>CLR51-99-372_ADSS 24C</v>
      </c>
      <c r="Q1910" t="str">
        <f>DO_DB[[#This Row],[DO Number]]</f>
        <v>DOEID251119FT</v>
      </c>
      <c r="R1910" t="str">
        <f>DO_DB[[#This Row],[DN Number]]</f>
        <v>DNWID1382025111905</v>
      </c>
    </row>
    <row r="1911" spans="1:18">
      <c r="A1911" t="s">
        <v>4801</v>
      </c>
      <c r="B1911" t="s">
        <v>4802</v>
      </c>
      <c r="C1911" s="172" t="s">
        <v>4482</v>
      </c>
      <c r="D1911" t="s">
        <v>67</v>
      </c>
      <c r="E1911" t="s">
        <v>24</v>
      </c>
      <c r="F1911" t="s">
        <v>3295</v>
      </c>
      <c r="G1911" t="s">
        <v>4805</v>
      </c>
      <c r="H1911" t="s">
        <v>4806</v>
      </c>
      <c r="I1911" s="130">
        <v>46003</v>
      </c>
      <c r="J1911" s="172" t="s">
        <v>3073</v>
      </c>
      <c r="K1911" s="81">
        <v>6000</v>
      </c>
      <c r="M19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24C-20251212-01</v>
      </c>
      <c r="N1911" t="str">
        <f>DO_DB[[#This Row],[Material Pick-update]]&amp;"_"&amp;DO_DB[[#This Row],[Material Name]]</f>
        <v>46003_ADSS 24C</v>
      </c>
      <c r="O1911" t="str">
        <f>DO_DB[[#This Row],[SiteID]]</f>
        <v>CLR51-99-382</v>
      </c>
      <c r="P1911" t="str">
        <f>DO_DB[[#This Row],[SiteID]]&amp;"_"&amp;DO_DB[[#This Row],[Material Name]]</f>
        <v>CLR51-99-382_ADSS 24C</v>
      </c>
      <c r="Q1911" t="str">
        <f>DO_DB[[#This Row],[DO Number]]</f>
        <v>DOEID251211AY</v>
      </c>
      <c r="R1911" t="str">
        <f>DO_DB[[#This Row],[DN Number]]</f>
        <v>DNWID1382025121131</v>
      </c>
    </row>
    <row r="1912" spans="1:18">
      <c r="A1912" t="s">
        <v>4785</v>
      </c>
      <c r="B1912" t="s">
        <v>4786</v>
      </c>
      <c r="C1912" s="172" t="s">
        <v>4482</v>
      </c>
      <c r="D1912" t="s">
        <v>67</v>
      </c>
      <c r="E1912" t="s">
        <v>24</v>
      </c>
      <c r="F1912" t="s">
        <v>3295</v>
      </c>
      <c r="G1912" t="s">
        <v>4789</v>
      </c>
      <c r="H1912" t="s">
        <v>4790</v>
      </c>
      <c r="I1912" s="130">
        <v>46003</v>
      </c>
      <c r="J1912" s="172" t="s">
        <v>3073</v>
      </c>
      <c r="K1912">
        <v>15000</v>
      </c>
      <c r="M19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24C-20251212-01</v>
      </c>
      <c r="N1912" t="str">
        <f>DO_DB[[#This Row],[Material Pick-update]]&amp;"_"&amp;DO_DB[[#This Row],[Material Name]]</f>
        <v>46003_ADSS 24C</v>
      </c>
      <c r="O1912" t="str">
        <f>DO_DB[[#This Row],[SiteID]]</f>
        <v>CLR51-99-381</v>
      </c>
      <c r="P1912" t="str">
        <f>DO_DB[[#This Row],[SiteID]]&amp;"_"&amp;DO_DB[[#This Row],[Material Name]]</f>
        <v>CLR51-99-381_ADSS 24C</v>
      </c>
      <c r="Q1912" t="str">
        <f>DO_DB[[#This Row],[DO Number]]</f>
        <v>DOEID251211BU</v>
      </c>
      <c r="R1912" t="str">
        <f>DO_DB[[#This Row],[DN Number]]</f>
        <v>DNWID1382025121132</v>
      </c>
    </row>
    <row r="1913" spans="1:18">
      <c r="A1913" t="s">
        <v>4785</v>
      </c>
      <c r="B1913" t="s">
        <v>4786</v>
      </c>
      <c r="C1913" s="172" t="s">
        <v>4482</v>
      </c>
      <c r="D1913" t="s">
        <v>67</v>
      </c>
      <c r="E1913" t="s">
        <v>24</v>
      </c>
      <c r="F1913" t="s">
        <v>3295</v>
      </c>
      <c r="G1913" t="s">
        <v>4789</v>
      </c>
      <c r="H1913" t="s">
        <v>4790</v>
      </c>
      <c r="I1913" s="130">
        <v>46003</v>
      </c>
      <c r="J1913" s="172" t="s">
        <v>3074</v>
      </c>
      <c r="K1913">
        <v>9000</v>
      </c>
      <c r="M19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36C-20251212-01</v>
      </c>
      <c r="N1913" t="str">
        <f>DO_DB[[#This Row],[Material Pick-update]]&amp;"_"&amp;DO_DB[[#This Row],[Material Name]]</f>
        <v>46003_ADSS 36C</v>
      </c>
      <c r="O1913" t="str">
        <f>DO_DB[[#This Row],[SiteID]]</f>
        <v>CLR51-99-381</v>
      </c>
      <c r="P1913" t="str">
        <f>DO_DB[[#This Row],[SiteID]]&amp;"_"&amp;DO_DB[[#This Row],[Material Name]]</f>
        <v>CLR51-99-381_ADSS 36C</v>
      </c>
      <c r="Q1913" t="str">
        <f>DO_DB[[#This Row],[DO Number]]</f>
        <v>DOEID251211BU</v>
      </c>
      <c r="R1913" t="str">
        <f>DO_DB[[#This Row],[DN Number]]</f>
        <v>DNWID1382025121132</v>
      </c>
    </row>
    <row r="1914" spans="1:18">
      <c r="A1914" t="s">
        <v>4801</v>
      </c>
      <c r="B1914" t="s">
        <v>4802</v>
      </c>
      <c r="C1914" s="172" t="s">
        <v>4482</v>
      </c>
      <c r="D1914" t="s">
        <v>67</v>
      </c>
      <c r="E1914" t="s">
        <v>24</v>
      </c>
      <c r="F1914" t="s">
        <v>3295</v>
      </c>
      <c r="G1914" t="s">
        <v>4805</v>
      </c>
      <c r="H1914" t="s">
        <v>4806</v>
      </c>
      <c r="I1914" s="130">
        <v>46003</v>
      </c>
      <c r="J1914" s="172" t="s">
        <v>3074</v>
      </c>
      <c r="K1914" s="81">
        <v>9000</v>
      </c>
      <c r="M19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36C-20251212-01</v>
      </c>
      <c r="N1914" t="str">
        <f>DO_DB[[#This Row],[Material Pick-update]]&amp;"_"&amp;DO_DB[[#This Row],[Material Name]]</f>
        <v>46003_ADSS 36C</v>
      </c>
      <c r="O1914" t="str">
        <f>DO_DB[[#This Row],[SiteID]]</f>
        <v>CLR51-99-382</v>
      </c>
      <c r="P1914" t="str">
        <f>DO_DB[[#This Row],[SiteID]]&amp;"_"&amp;DO_DB[[#This Row],[Material Name]]</f>
        <v>CLR51-99-382_ADSS 36C</v>
      </c>
      <c r="Q1914" t="str">
        <f>DO_DB[[#This Row],[DO Number]]</f>
        <v>DOEID251211AY</v>
      </c>
      <c r="R1914" t="str">
        <f>DO_DB[[#This Row],[DN Number]]</f>
        <v>DNWID1382025121131</v>
      </c>
    </row>
    <row r="1915" spans="1:18">
      <c r="A1915" t="s">
        <v>4801</v>
      </c>
      <c r="B1915" t="s">
        <v>4802</v>
      </c>
      <c r="C1915" s="172" t="s">
        <v>4482</v>
      </c>
      <c r="D1915" t="s">
        <v>67</v>
      </c>
      <c r="E1915" t="s">
        <v>24</v>
      </c>
      <c r="F1915" t="s">
        <v>3295</v>
      </c>
      <c r="G1915" t="s">
        <v>4809</v>
      </c>
      <c r="H1915" t="s">
        <v>4810</v>
      </c>
      <c r="I1915" s="130">
        <v>46007</v>
      </c>
      <c r="J1915" s="172" t="s">
        <v>3074</v>
      </c>
      <c r="K1915" s="81">
        <v>3000</v>
      </c>
      <c r="M19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36C-20251216-01</v>
      </c>
      <c r="N1915" t="str">
        <f>DO_DB[[#This Row],[Material Pick-update]]&amp;"_"&amp;DO_DB[[#This Row],[Material Name]]</f>
        <v>46007_ADSS 36C</v>
      </c>
      <c r="O1915" t="str">
        <f>DO_DB[[#This Row],[SiteID]]</f>
        <v>CLR51-99-382</v>
      </c>
      <c r="P1915" t="str">
        <f>DO_DB[[#This Row],[SiteID]]&amp;"_"&amp;DO_DB[[#This Row],[Material Name]]</f>
        <v>CLR51-99-382_ADSS 36C</v>
      </c>
      <c r="Q1915" t="str">
        <f>DO_DB[[#This Row],[DO Number]]</f>
        <v>DOEID251216OM</v>
      </c>
      <c r="R1915" t="str">
        <f>DO_DB[[#This Row],[DN Number]]</f>
        <v>DNWID1382025121611</v>
      </c>
    </row>
    <row r="1916" spans="1:18">
      <c r="A1916" t="s">
        <v>4785</v>
      </c>
      <c r="B1916" t="s">
        <v>4786</v>
      </c>
      <c r="C1916" s="172" t="s">
        <v>4482</v>
      </c>
      <c r="D1916" t="s">
        <v>67</v>
      </c>
      <c r="E1916" t="s">
        <v>24</v>
      </c>
      <c r="F1916" t="s">
        <v>3295</v>
      </c>
      <c r="G1916" t="s">
        <v>4799</v>
      </c>
      <c r="H1916" t="s">
        <v>4800</v>
      </c>
      <c r="I1916" s="130">
        <v>46007</v>
      </c>
      <c r="J1916" s="172" t="s">
        <v>3074</v>
      </c>
      <c r="K1916" s="81">
        <v>3000</v>
      </c>
      <c r="M19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36C-20251216-01</v>
      </c>
      <c r="N1916" t="str">
        <f>DO_DB[[#This Row],[Material Pick-update]]&amp;"_"&amp;DO_DB[[#This Row],[Material Name]]</f>
        <v>46007_ADSS 36C</v>
      </c>
      <c r="O1916" t="str">
        <f>DO_DB[[#This Row],[SiteID]]</f>
        <v>CLR51-99-381</v>
      </c>
      <c r="P1916" t="str">
        <f>DO_DB[[#This Row],[SiteID]]&amp;"_"&amp;DO_DB[[#This Row],[Material Name]]</f>
        <v>CLR51-99-381_ADSS 36C</v>
      </c>
      <c r="Q1916" t="str">
        <f>DO_DB[[#This Row],[DO Number]]</f>
        <v>DOEID251316OK</v>
      </c>
      <c r="R1916" t="str">
        <f>DO_DB[[#This Row],[DN Number]]</f>
        <v>DNWID1382025121612</v>
      </c>
    </row>
    <row r="1917" spans="1:18">
      <c r="A1917" s="81" t="s">
        <v>4814</v>
      </c>
      <c r="B1917" s="81" t="s">
        <v>4816</v>
      </c>
      <c r="C1917" s="172" t="s">
        <v>4482</v>
      </c>
      <c r="D1917" s="81" t="s">
        <v>67</v>
      </c>
      <c r="E1917" s="81" t="s">
        <v>24</v>
      </c>
      <c r="F1917" t="s">
        <v>3295</v>
      </c>
      <c r="G1917" s="81" t="s">
        <v>4818</v>
      </c>
      <c r="H1917" s="81" t="s">
        <v>4817</v>
      </c>
      <c r="I1917" s="163">
        <v>46041</v>
      </c>
      <c r="J1917" s="172" t="s">
        <v>3074</v>
      </c>
      <c r="K1917" s="81">
        <v>3000</v>
      </c>
      <c r="M19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36C-2026119-01</v>
      </c>
      <c r="N1917" t="str">
        <f>DO_DB[[#This Row],[Material Pick-update]]&amp;"_"&amp;DO_DB[[#This Row],[Material Name]]</f>
        <v>46041_ADSS 36C</v>
      </c>
      <c r="O1917" t="str">
        <f>DO_DB[[#This Row],[SiteID]]</f>
        <v>CLR51-99-196</v>
      </c>
      <c r="P1917" t="str">
        <f>DO_DB[[#This Row],[SiteID]]&amp;"_"&amp;DO_DB[[#This Row],[Material Name]]</f>
        <v>CLR51-99-196_ADSS 36C</v>
      </c>
      <c r="Q1917" t="str">
        <f>DO_DB[[#This Row],[DO Number]]</f>
        <v>DOEID260115MP</v>
      </c>
      <c r="R1917" t="str">
        <f>DO_DB[[#This Row],[DN Number]]</f>
        <v>DNWID1382026011601</v>
      </c>
    </row>
    <row r="1918" spans="1:18">
      <c r="A1918" t="s">
        <v>4839</v>
      </c>
      <c r="B1918" t="s">
        <v>4840</v>
      </c>
      <c r="C1918" s="172" t="s">
        <v>4482</v>
      </c>
      <c r="D1918" t="s">
        <v>67</v>
      </c>
      <c r="E1918" t="s">
        <v>24</v>
      </c>
      <c r="F1918" t="s">
        <v>3295</v>
      </c>
      <c r="G1918" t="s">
        <v>4851</v>
      </c>
      <c r="H1918" t="s">
        <v>4854</v>
      </c>
      <c r="I1918" s="130">
        <v>46093</v>
      </c>
      <c r="J1918" t="s">
        <v>3073</v>
      </c>
      <c r="K1918" s="81">
        <v>3000</v>
      </c>
      <c r="M19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24C-2026312-01</v>
      </c>
      <c r="N1918" t="str">
        <f>DO_DB[[#This Row],[Material Pick-update]]&amp;"_"&amp;DO_DB[[#This Row],[Material Name]]</f>
        <v>46093_ADSS 24C</v>
      </c>
      <c r="O1918" t="str">
        <f>DO_DB[[#This Row],[SiteID]]</f>
        <v>CLR51-99-447</v>
      </c>
      <c r="P1918" t="str">
        <f>DO_DB[[#This Row],[SiteID]]&amp;"_"&amp;DO_DB[[#This Row],[Material Name]]</f>
        <v>CLR51-99-447_ADSS 24C</v>
      </c>
      <c r="Q1918" t="str">
        <f>DO_DB[[#This Row],[DO Number]]</f>
        <v>DOEID260312F8</v>
      </c>
      <c r="R1918" t="str">
        <f>DO_DB[[#This Row],[DN Number]]</f>
        <v>DNWID1382026031207</v>
      </c>
    </row>
    <row r="1919" spans="1:18">
      <c r="A1919" t="s">
        <v>4866</v>
      </c>
      <c r="B1919" t="s">
        <v>4867</v>
      </c>
      <c r="C1919" s="172" t="s">
        <v>4482</v>
      </c>
      <c r="D1919" t="s">
        <v>67</v>
      </c>
      <c r="E1919" t="s">
        <v>24</v>
      </c>
      <c r="F1919" t="s">
        <v>3295</v>
      </c>
      <c r="G1919" t="s">
        <v>4868</v>
      </c>
      <c r="H1919" s="172" t="s">
        <v>4872</v>
      </c>
      <c r="I1919" s="130">
        <v>46151</v>
      </c>
      <c r="J1919" s="172" t="s">
        <v>3073</v>
      </c>
      <c r="K1919">
        <v>3000</v>
      </c>
      <c r="M19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24C-202659-01</v>
      </c>
      <c r="N1919" t="str">
        <f>DO_DB[[#This Row],[Material Pick-update]]&amp;"_"&amp;DO_DB[[#This Row],[Material Name]]</f>
        <v>46151_ADSS 24C</v>
      </c>
      <c r="O1919" t="str">
        <f>DO_DB[[#This Row],[SiteID]]</f>
        <v>CLR51-99-506</v>
      </c>
      <c r="P1919" t="str">
        <f>DO_DB[[#This Row],[SiteID]]&amp;"_"&amp;DO_DB[[#This Row],[Material Name]]</f>
        <v>CLR51-99-506_ADSS 24C</v>
      </c>
      <c r="Q1919" t="str">
        <f>DO_DB[[#This Row],[DO Number]]</f>
        <v>DOEID260509BX</v>
      </c>
      <c r="R1919" t="str">
        <f>DO_DB[[#This Row],[DN Number]]</f>
        <v>DNWID03620260509DY</v>
      </c>
    </row>
    <row r="1920" spans="1:18">
      <c r="A1920" t="s">
        <v>4870</v>
      </c>
      <c r="B1920" t="s">
        <v>4871</v>
      </c>
      <c r="C1920" s="172" t="s">
        <v>4482</v>
      </c>
      <c r="D1920" t="s">
        <v>67</v>
      </c>
      <c r="E1920" t="s">
        <v>24</v>
      </c>
      <c r="F1920" t="s">
        <v>3295</v>
      </c>
      <c r="G1920" t="s">
        <v>4869</v>
      </c>
      <c r="H1920" t="s">
        <v>5132</v>
      </c>
      <c r="I1920" s="130">
        <v>46164</v>
      </c>
      <c r="J1920" t="s">
        <v>3073</v>
      </c>
      <c r="K1920">
        <v>3000</v>
      </c>
      <c r="M19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24C-2026522-01</v>
      </c>
      <c r="N1920" t="str">
        <f>DO_DB[[#This Row],[Material Pick-update]]&amp;"_"&amp;DO_DB[[#This Row],[Material Name]]</f>
        <v>46164_ADSS 24C</v>
      </c>
      <c r="O1920" t="str">
        <f>DO_DB[[#This Row],[SiteID]]</f>
        <v>CLR51-99-658</v>
      </c>
      <c r="P1920" t="str">
        <f>DO_DB[[#This Row],[SiteID]]&amp;"_"&amp;DO_DB[[#This Row],[Material Name]]</f>
        <v>CLR51-99-658_ADSS 24C</v>
      </c>
      <c r="Q1920" t="str">
        <f>DO_DB[[#This Row],[DO Number]]</f>
        <v>DOEID260522B7</v>
      </c>
      <c r="R1920" t="str">
        <f>DO_DB[[#This Row],[DN Number]]</f>
        <v>DNWID0362026052214</v>
      </c>
    </row>
    <row r="1921" spans="1:18">
      <c r="A1921" t="s">
        <v>4902</v>
      </c>
      <c r="B1921" t="s">
        <v>4903</v>
      </c>
      <c r="C1921" s="172" t="s">
        <v>4482</v>
      </c>
      <c r="D1921" t="s">
        <v>67</v>
      </c>
      <c r="E1921" t="s">
        <v>24</v>
      </c>
      <c r="F1921" t="s">
        <v>3295</v>
      </c>
      <c r="G1921" t="s">
        <v>4901</v>
      </c>
      <c r="H1921" t="s">
        <v>5134</v>
      </c>
      <c r="I1921" s="130">
        <v>46200</v>
      </c>
      <c r="J1921" s="172" t="s">
        <v>3073</v>
      </c>
      <c r="K1921">
        <v>3000</v>
      </c>
      <c r="M19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24C-2026627-01</v>
      </c>
      <c r="N1921" t="str">
        <f>DO_DB[[#This Row],[Material Pick-update]]&amp;"_"&amp;DO_DB[[#This Row],[Material Name]]</f>
        <v>46200_ADSS 24C</v>
      </c>
      <c r="O1921" t="str">
        <f>DO_DB[[#This Row],[SiteID]]</f>
        <v>CLR51-99-678</v>
      </c>
      <c r="P1921" t="str">
        <f>DO_DB[[#This Row],[SiteID]]&amp;"_"&amp;DO_DB[[#This Row],[Material Name]]</f>
        <v>CLR51-99-678_ADSS 24C</v>
      </c>
      <c r="Q1921" t="str">
        <f>DO_DB[[#This Row],[DO Number]]</f>
        <v>DOEID26062559</v>
      </c>
      <c r="R1921" t="str">
        <f>DO_DB[[#This Row],[DN Number]]</f>
        <v>DNWID0362026062510</v>
      </c>
    </row>
    <row r="1922" spans="1:18">
      <c r="A1922" t="s">
        <v>5122</v>
      </c>
      <c r="B1922" t="s">
        <v>5125</v>
      </c>
      <c r="C1922" s="172" t="s">
        <v>4482</v>
      </c>
      <c r="D1922" t="s">
        <v>67</v>
      </c>
      <c r="E1922" t="s">
        <v>24</v>
      </c>
      <c r="F1922" t="s">
        <v>3295</v>
      </c>
      <c r="G1922" t="s">
        <v>5123</v>
      </c>
      <c r="H1922" t="s">
        <v>5124</v>
      </c>
      <c r="I1922" s="130">
        <v>46212</v>
      </c>
      <c r="J1922" s="172" t="s">
        <v>3073</v>
      </c>
      <c r="K1922">
        <v>3000</v>
      </c>
      <c r="M19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24C-202679-01</v>
      </c>
      <c r="N1922" t="str">
        <f>DO_DB[[#This Row],[Material Pick-update]]&amp;"_"&amp;DO_DB[[#This Row],[Material Name]]</f>
        <v>46212_ADSS 24C</v>
      </c>
      <c r="O1922" t="str">
        <f>DO_DB[[#This Row],[SiteID]]</f>
        <v>CLR51-99-662</v>
      </c>
      <c r="P1922" t="str">
        <f>DO_DB[[#This Row],[SiteID]]&amp;"_"&amp;DO_DB[[#This Row],[Material Name]]</f>
        <v>CLR51-99-662_ADSS 24C</v>
      </c>
      <c r="Q1922" t="str">
        <f>DO_DB[[#This Row],[DO Number]]</f>
        <v>DOEID260708AM</v>
      </c>
      <c r="R1922" t="str">
        <f>DO_DB[[#This Row],[DN Number]]</f>
        <v>DNWID0362026070821</v>
      </c>
    </row>
    <row r="1923" spans="1:18">
      <c r="A1923" t="s">
        <v>84</v>
      </c>
      <c r="B1923" t="s">
        <v>85</v>
      </c>
      <c r="C1923" s="172" t="s">
        <v>4482</v>
      </c>
      <c r="D1923" t="s">
        <v>71</v>
      </c>
      <c r="E1923" t="s">
        <v>24</v>
      </c>
      <c r="F1923" t="s">
        <v>3295</v>
      </c>
      <c r="G1923" t="s">
        <v>86</v>
      </c>
      <c r="H1923" t="s">
        <v>87</v>
      </c>
      <c r="I1923" s="130">
        <v>45142</v>
      </c>
      <c r="J1923" t="s">
        <v>13</v>
      </c>
      <c r="K1923">
        <v>16</v>
      </c>
      <c r="M19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23" t="str">
        <f>DO_DB[[#This Row],[Material Pick-update]]&amp;"_"&amp;DO_DB[[#This Row],[Material Name]]</f>
        <v>45142_FAT-16</v>
      </c>
      <c r="O1923" t="str">
        <f>DO_DB[[#This Row],[SiteID]]</f>
        <v>CLR51-99-004</v>
      </c>
      <c r="P1923" t="str">
        <f>DO_DB[[#This Row],[SiteID]]&amp;"_"&amp;DO_DB[[#This Row],[Material Name]]</f>
        <v>CLR51-99-004_FAT-16</v>
      </c>
      <c r="Q1923" t="str">
        <f>DO_DB[[#This Row],[DO Number]]</f>
        <v>DOEID23080182</v>
      </c>
      <c r="R1923" t="str">
        <f>DO_DB[[#This Row],[DN Number]]</f>
        <v>DNWID0342023080312</v>
      </c>
    </row>
    <row r="1924" spans="1:18">
      <c r="A1924" t="s">
        <v>150</v>
      </c>
      <c r="B1924" t="s">
        <v>151</v>
      </c>
      <c r="C1924" s="172" t="s">
        <v>4482</v>
      </c>
      <c r="D1924" t="s">
        <v>71</v>
      </c>
      <c r="E1924" t="s">
        <v>24</v>
      </c>
      <c r="F1924" t="s">
        <v>3295</v>
      </c>
      <c r="G1924" t="s">
        <v>152</v>
      </c>
      <c r="H1924" t="s">
        <v>153</v>
      </c>
      <c r="I1924" s="130">
        <v>45170</v>
      </c>
      <c r="J1924" t="s">
        <v>13</v>
      </c>
      <c r="K1924">
        <v>17</v>
      </c>
      <c r="M19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24" t="str">
        <f>DO_DB[[#This Row],[Material Pick-update]]&amp;"_"&amp;DO_DB[[#This Row],[Material Name]]</f>
        <v>45170_FAT-16</v>
      </c>
      <c r="O1924" t="str">
        <f>DO_DB[[#This Row],[SiteID]]</f>
        <v>CLR51-99-006</v>
      </c>
      <c r="P1924" t="str">
        <f>DO_DB[[#This Row],[SiteID]]&amp;"_"&amp;DO_DB[[#This Row],[Material Name]]</f>
        <v>CLR51-99-006_FAT-16</v>
      </c>
      <c r="Q1924" t="str">
        <f>DO_DB[[#This Row],[DO Number]]</f>
        <v>DOEID23082835</v>
      </c>
      <c r="R1924" t="str">
        <f>DO_DB[[#This Row],[DN Number]]</f>
        <v>DNWID0342023082902</v>
      </c>
    </row>
    <row r="1925" spans="1:18">
      <c r="A1925" t="s">
        <v>164</v>
      </c>
      <c r="B1925" t="s">
        <v>165</v>
      </c>
      <c r="C1925" s="172" t="s">
        <v>4482</v>
      </c>
      <c r="D1925" t="s">
        <v>71</v>
      </c>
      <c r="E1925" t="s">
        <v>24</v>
      </c>
      <c r="F1925" t="s">
        <v>3295</v>
      </c>
      <c r="G1925" t="s">
        <v>166</v>
      </c>
      <c r="H1925" t="s">
        <v>167</v>
      </c>
      <c r="I1925" s="130">
        <v>45185</v>
      </c>
      <c r="J1925" t="s">
        <v>13</v>
      </c>
      <c r="K1925">
        <v>11</v>
      </c>
      <c r="M19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25" t="str">
        <f>DO_DB[[#This Row],[Material Pick-update]]&amp;"_"&amp;DO_DB[[#This Row],[Material Name]]</f>
        <v>45185_FAT-16</v>
      </c>
      <c r="O1925" t="str">
        <f>DO_DB[[#This Row],[SiteID]]</f>
        <v>CLR51-99-014</v>
      </c>
      <c r="P1925" t="str">
        <f>DO_DB[[#This Row],[SiteID]]&amp;"_"&amp;DO_DB[[#This Row],[Material Name]]</f>
        <v>CLR51-99-014_FAT-16</v>
      </c>
      <c r="Q1925" t="str">
        <f>DO_DB[[#This Row],[DO Number]]</f>
        <v>DOEID23091556</v>
      </c>
      <c r="R1925" t="str">
        <f>DO_DB[[#This Row],[DN Number]]</f>
        <v>DNWID0342023091501</v>
      </c>
    </row>
    <row r="1926" spans="1:18">
      <c r="A1926" t="s">
        <v>164</v>
      </c>
      <c r="B1926" t="s">
        <v>165</v>
      </c>
      <c r="C1926" s="172" t="s">
        <v>4482</v>
      </c>
      <c r="D1926" t="s">
        <v>71</v>
      </c>
      <c r="E1926" t="s">
        <v>24</v>
      </c>
      <c r="F1926" t="s">
        <v>3295</v>
      </c>
      <c r="G1926" t="s">
        <v>176</v>
      </c>
      <c r="H1926" t="s">
        <v>177</v>
      </c>
      <c r="I1926" s="130">
        <v>45188</v>
      </c>
      <c r="J1926" t="s">
        <v>13</v>
      </c>
      <c r="K1926">
        <v>1</v>
      </c>
      <c r="M19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26" t="str">
        <f>DO_DB[[#This Row],[Material Pick-update]]&amp;"_"&amp;DO_DB[[#This Row],[Material Name]]</f>
        <v>45188_FAT-16</v>
      </c>
      <c r="O1926" t="str">
        <f>DO_DB[[#This Row],[SiteID]]</f>
        <v>CLR51-99-014</v>
      </c>
      <c r="P1926" t="str">
        <f>DO_DB[[#This Row],[SiteID]]&amp;"_"&amp;DO_DB[[#This Row],[Material Name]]</f>
        <v>CLR51-99-014_FAT-16</v>
      </c>
      <c r="Q1926" t="str">
        <f>DO_DB[[#This Row],[DO Number]]</f>
        <v>DOEID230918AG</v>
      </c>
      <c r="R1926" t="str">
        <f>DO_DB[[#This Row],[DN Number]]</f>
        <v>DNWID0342023091803</v>
      </c>
    </row>
    <row r="1927" spans="1:18">
      <c r="A1927" t="s">
        <v>172</v>
      </c>
      <c r="B1927" t="s">
        <v>173</v>
      </c>
      <c r="C1927" s="172" t="s">
        <v>4482</v>
      </c>
      <c r="D1927" t="s">
        <v>71</v>
      </c>
      <c r="E1927" t="s">
        <v>24</v>
      </c>
      <c r="F1927" t="s">
        <v>3295</v>
      </c>
      <c r="G1927" t="s">
        <v>178</v>
      </c>
      <c r="H1927" t="s">
        <v>179</v>
      </c>
      <c r="I1927" s="130">
        <v>45188</v>
      </c>
      <c r="J1927" t="s">
        <v>13</v>
      </c>
      <c r="K1927">
        <v>16</v>
      </c>
      <c r="M19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27" t="str">
        <f>DO_DB[[#This Row],[Material Pick-update]]&amp;"_"&amp;DO_DB[[#This Row],[Material Name]]</f>
        <v>45188_FAT-16</v>
      </c>
      <c r="O1927" t="str">
        <f>DO_DB[[#This Row],[SiteID]]</f>
        <v>CLR51-99-013</v>
      </c>
      <c r="P1927" t="str">
        <f>DO_DB[[#This Row],[SiteID]]&amp;"_"&amp;DO_DB[[#This Row],[Material Name]]</f>
        <v>CLR51-99-013_FAT-16</v>
      </c>
      <c r="Q1927" t="str">
        <f>DO_DB[[#This Row],[DO Number]]</f>
        <v>DOEID230918AH</v>
      </c>
      <c r="R1927" t="str">
        <f>DO_DB[[#This Row],[DN Number]]</f>
        <v>DNWID0342023091804</v>
      </c>
    </row>
    <row r="1928" spans="1:18">
      <c r="A1928" t="s">
        <v>180</v>
      </c>
      <c r="B1928" t="s">
        <v>181</v>
      </c>
      <c r="C1928" s="172" t="s">
        <v>4482</v>
      </c>
      <c r="D1928" t="s">
        <v>71</v>
      </c>
      <c r="E1928" t="s">
        <v>24</v>
      </c>
      <c r="F1928" t="s">
        <v>3295</v>
      </c>
      <c r="G1928" t="s">
        <v>182</v>
      </c>
      <c r="H1928" t="s">
        <v>183</v>
      </c>
      <c r="I1928" s="130">
        <v>45188</v>
      </c>
      <c r="J1928" t="s">
        <v>13</v>
      </c>
      <c r="K1928">
        <v>11</v>
      </c>
      <c r="M19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28" t="str">
        <f>DO_DB[[#This Row],[Material Pick-update]]&amp;"_"&amp;DO_DB[[#This Row],[Material Name]]</f>
        <v>45188_FAT-16</v>
      </c>
      <c r="O1928" t="str">
        <f>DO_DB[[#This Row],[SiteID]]</f>
        <v>CLR51-99-007</v>
      </c>
      <c r="P1928" t="str">
        <f>DO_DB[[#This Row],[SiteID]]&amp;"_"&amp;DO_DB[[#This Row],[Material Name]]</f>
        <v>CLR51-99-007_FAT-16</v>
      </c>
      <c r="Q1928" t="str">
        <f>DO_DB[[#This Row],[DO Number]]</f>
        <v>DOEID230918DY</v>
      </c>
      <c r="R1928" t="str">
        <f>DO_DB[[#This Row],[DN Number]]</f>
        <v>DNWID0342023091808</v>
      </c>
    </row>
    <row r="1929" spans="1:18">
      <c r="A1929" t="s">
        <v>222</v>
      </c>
      <c r="B1929" t="s">
        <v>223</v>
      </c>
      <c r="C1929" s="172" t="s">
        <v>4482</v>
      </c>
      <c r="D1929" t="s">
        <v>71</v>
      </c>
      <c r="E1929" t="s">
        <v>24</v>
      </c>
      <c r="F1929" t="s">
        <v>3295</v>
      </c>
      <c r="G1929" t="s">
        <v>224</v>
      </c>
      <c r="H1929" t="s">
        <v>225</v>
      </c>
      <c r="I1929" s="130">
        <v>45189</v>
      </c>
      <c r="J1929" t="s">
        <v>13</v>
      </c>
      <c r="K1929">
        <v>11</v>
      </c>
      <c r="M19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29" t="str">
        <f>DO_DB[[#This Row],[Material Pick-update]]&amp;"_"&amp;DO_DB[[#This Row],[Material Name]]</f>
        <v>45189_FAT-16</v>
      </c>
      <c r="O1929" t="str">
        <f>DO_DB[[#This Row],[SiteID]]</f>
        <v>CLR51-02-001</v>
      </c>
      <c r="P1929" t="str">
        <f>DO_DB[[#This Row],[SiteID]]&amp;"_"&amp;DO_DB[[#This Row],[Material Name]]</f>
        <v>CLR51-02-001_FAT-16</v>
      </c>
      <c r="Q1929" t="str">
        <f>DO_DB[[#This Row],[DO Number]]</f>
        <v>DOEID230919BH</v>
      </c>
      <c r="R1929" t="str">
        <f>DO_DB[[#This Row],[DN Number]]</f>
        <v>DNWID0342023091906</v>
      </c>
    </row>
    <row r="1930" spans="1:18">
      <c r="A1930" t="s">
        <v>222</v>
      </c>
      <c r="B1930" t="s">
        <v>223</v>
      </c>
      <c r="C1930" s="172" t="s">
        <v>4482</v>
      </c>
      <c r="D1930" t="s">
        <v>71</v>
      </c>
      <c r="E1930" t="s">
        <v>24</v>
      </c>
      <c r="F1930" t="s">
        <v>3295</v>
      </c>
      <c r="G1930" t="s">
        <v>240</v>
      </c>
      <c r="H1930" t="s">
        <v>241</v>
      </c>
      <c r="I1930" s="130">
        <v>45195</v>
      </c>
      <c r="J1930" t="s">
        <v>13</v>
      </c>
      <c r="K1930">
        <v>7</v>
      </c>
      <c r="M19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30" t="str">
        <f>DO_DB[[#This Row],[Material Pick-update]]&amp;"_"&amp;DO_DB[[#This Row],[Material Name]]</f>
        <v>45195_FAT-16</v>
      </c>
      <c r="O1930" t="str">
        <f>DO_DB[[#This Row],[SiteID]]</f>
        <v>CLR51-02-001</v>
      </c>
      <c r="P1930" t="str">
        <f>DO_DB[[#This Row],[SiteID]]&amp;"_"&amp;DO_DB[[#This Row],[Material Name]]</f>
        <v>CLR51-02-001_FAT-16</v>
      </c>
      <c r="Q1930" t="str">
        <f>DO_DB[[#This Row],[DO Number]]</f>
        <v>DOEID230925EO</v>
      </c>
      <c r="R1930" t="str">
        <f>DO_DB[[#This Row],[DN Number]]</f>
        <v>DNWID0342023092613</v>
      </c>
    </row>
    <row r="1931" spans="1:18">
      <c r="A1931" t="s">
        <v>222</v>
      </c>
      <c r="B1931" t="s">
        <v>223</v>
      </c>
      <c r="C1931" s="172" t="s">
        <v>4482</v>
      </c>
      <c r="D1931" t="s">
        <v>71</v>
      </c>
      <c r="E1931" t="s">
        <v>24</v>
      </c>
      <c r="F1931" t="s">
        <v>3295</v>
      </c>
      <c r="G1931" t="s">
        <v>308</v>
      </c>
      <c r="H1931" t="s">
        <v>309</v>
      </c>
      <c r="I1931" s="130">
        <v>45211</v>
      </c>
      <c r="J1931" t="s">
        <v>13</v>
      </c>
      <c r="K1931">
        <v>15</v>
      </c>
      <c r="M19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31" t="str">
        <f>DO_DB[[#This Row],[Material Pick-update]]&amp;"_"&amp;DO_DB[[#This Row],[Material Name]]</f>
        <v>45211_FAT-16</v>
      </c>
      <c r="O1931" t="str">
        <f>DO_DB[[#This Row],[SiteID]]</f>
        <v>CLR51-02-001</v>
      </c>
      <c r="P1931" t="str">
        <f>DO_DB[[#This Row],[SiteID]]&amp;"_"&amp;DO_DB[[#This Row],[Material Name]]</f>
        <v>CLR51-02-001_FAT-16</v>
      </c>
      <c r="Q1931" t="str">
        <f>DO_DB[[#This Row],[DO Number]]</f>
        <v>DOEID23100920</v>
      </c>
      <c r="R1931" t="str">
        <f>DO_DB[[#This Row],[DN Number]]</f>
        <v>DNWID0342023100920</v>
      </c>
    </row>
    <row r="1932" spans="1:18">
      <c r="A1932" t="s">
        <v>336</v>
      </c>
      <c r="B1932" t="s">
        <v>337</v>
      </c>
      <c r="C1932" s="172" t="s">
        <v>4482</v>
      </c>
      <c r="D1932" t="s">
        <v>71</v>
      </c>
      <c r="E1932" t="s">
        <v>24</v>
      </c>
      <c r="F1932" t="s">
        <v>3295</v>
      </c>
      <c r="G1932" t="s">
        <v>338</v>
      </c>
      <c r="H1932" t="s">
        <v>339</v>
      </c>
      <c r="I1932" s="130">
        <v>45213</v>
      </c>
      <c r="J1932" t="s">
        <v>13</v>
      </c>
      <c r="K1932">
        <v>6</v>
      </c>
      <c r="M19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32" t="str">
        <f>DO_DB[[#This Row],[Material Pick-update]]&amp;"_"&amp;DO_DB[[#This Row],[Material Name]]</f>
        <v>45213_FAT-16</v>
      </c>
      <c r="O1932" t="str">
        <f>DO_DB[[#This Row],[SiteID]]</f>
        <v>CLR51-99-019</v>
      </c>
      <c r="P1932" t="str">
        <f>DO_DB[[#This Row],[SiteID]]&amp;"_"&amp;DO_DB[[#This Row],[Material Name]]</f>
        <v>CLR51-99-019_FAT-16</v>
      </c>
      <c r="Q1932" t="str">
        <f>DO_DB[[#This Row],[DO Number]]</f>
        <v>DOEID231013AT</v>
      </c>
      <c r="R1932" t="str">
        <f>DO_DB[[#This Row],[DN Number]]</f>
        <v>DNWID0342023101408</v>
      </c>
    </row>
    <row r="1933" spans="1:18">
      <c r="A1933" t="s">
        <v>340</v>
      </c>
      <c r="B1933" t="s">
        <v>341</v>
      </c>
      <c r="C1933" s="172" t="s">
        <v>4482</v>
      </c>
      <c r="D1933" t="s">
        <v>71</v>
      </c>
      <c r="E1933" t="s">
        <v>24</v>
      </c>
      <c r="F1933" t="s">
        <v>3295</v>
      </c>
      <c r="G1933" t="s">
        <v>342</v>
      </c>
      <c r="H1933" t="s">
        <v>343</v>
      </c>
      <c r="I1933" s="130">
        <v>45213</v>
      </c>
      <c r="J1933" t="s">
        <v>13</v>
      </c>
      <c r="K1933">
        <v>5</v>
      </c>
      <c r="M19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33" t="str">
        <f>DO_DB[[#This Row],[Material Pick-update]]&amp;"_"&amp;DO_DB[[#This Row],[Material Name]]</f>
        <v>45213_FAT-16</v>
      </c>
      <c r="O1933" t="str">
        <f>DO_DB[[#This Row],[SiteID]]</f>
        <v>CLR51-99-020</v>
      </c>
      <c r="P1933" t="str">
        <f>DO_DB[[#This Row],[SiteID]]&amp;"_"&amp;DO_DB[[#This Row],[Material Name]]</f>
        <v>CLR51-99-020_FAT-16</v>
      </c>
      <c r="Q1933" t="str">
        <f>DO_DB[[#This Row],[DO Number]]</f>
        <v>DOEID231013AV</v>
      </c>
      <c r="R1933" t="str">
        <f>DO_DB[[#This Row],[DN Number]]</f>
        <v>DNWID0342023101409</v>
      </c>
    </row>
    <row r="1934" spans="1:18">
      <c r="A1934" t="s">
        <v>324</v>
      </c>
      <c r="B1934" t="s">
        <v>325</v>
      </c>
      <c r="C1934" s="172" t="s">
        <v>4482</v>
      </c>
      <c r="D1934" t="s">
        <v>71</v>
      </c>
      <c r="E1934" t="s">
        <v>24</v>
      </c>
      <c r="F1934" t="s">
        <v>3295</v>
      </c>
      <c r="G1934" t="s">
        <v>326</v>
      </c>
      <c r="H1934" t="s">
        <v>327</v>
      </c>
      <c r="I1934" s="130">
        <v>45213</v>
      </c>
      <c r="J1934" t="s">
        <v>13</v>
      </c>
      <c r="K1934">
        <v>14</v>
      </c>
      <c r="M19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34" t="str">
        <f>DO_DB[[#This Row],[Material Pick-update]]&amp;"_"&amp;DO_DB[[#This Row],[Material Name]]</f>
        <v>45213_FAT-16</v>
      </c>
      <c r="O1934" t="str">
        <f>DO_DB[[#This Row],[SiteID]]</f>
        <v>CLR51-99-021</v>
      </c>
      <c r="P1934" t="str">
        <f>DO_DB[[#This Row],[SiteID]]&amp;"_"&amp;DO_DB[[#This Row],[Material Name]]</f>
        <v>CLR51-99-021_FAT-16</v>
      </c>
      <c r="Q1934" t="str">
        <f>DO_DB[[#This Row],[DO Number]]</f>
        <v>DOEID231013AX</v>
      </c>
      <c r="R1934" t="str">
        <f>DO_DB[[#This Row],[DN Number]]</f>
        <v>DNWID0342023101405</v>
      </c>
    </row>
    <row r="1935" spans="1:18">
      <c r="A1935" t="s">
        <v>328</v>
      </c>
      <c r="B1935" t="s">
        <v>329</v>
      </c>
      <c r="C1935" s="172" t="s">
        <v>4482</v>
      </c>
      <c r="D1935" t="s">
        <v>71</v>
      </c>
      <c r="E1935" t="s">
        <v>24</v>
      </c>
      <c r="F1935" t="s">
        <v>3295</v>
      </c>
      <c r="G1935" t="s">
        <v>330</v>
      </c>
      <c r="H1935" t="s">
        <v>331</v>
      </c>
      <c r="I1935" s="130">
        <v>45213</v>
      </c>
      <c r="J1935" t="s">
        <v>13</v>
      </c>
      <c r="K1935">
        <v>8</v>
      </c>
      <c r="M19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35" t="str">
        <f>DO_DB[[#This Row],[Material Pick-update]]&amp;"_"&amp;DO_DB[[#This Row],[Material Name]]</f>
        <v>45213_FAT-16</v>
      </c>
      <c r="O1935" t="str">
        <f>DO_DB[[#This Row],[SiteID]]</f>
        <v>CLR51-99-017</v>
      </c>
      <c r="P1935" t="str">
        <f>DO_DB[[#This Row],[SiteID]]&amp;"_"&amp;DO_DB[[#This Row],[Material Name]]</f>
        <v>CLR51-99-017_FAT-16</v>
      </c>
      <c r="Q1935" t="str">
        <f>DO_DB[[#This Row],[DO Number]]</f>
        <v>DOEID23101403</v>
      </c>
      <c r="R1935" t="str">
        <f>DO_DB[[#This Row],[DN Number]]</f>
        <v>DNWID0342023101406</v>
      </c>
    </row>
    <row r="1936" spans="1:18">
      <c r="A1936" t="s">
        <v>332</v>
      </c>
      <c r="B1936" t="s">
        <v>333</v>
      </c>
      <c r="C1936" s="172" t="s">
        <v>4482</v>
      </c>
      <c r="D1936" t="s">
        <v>71</v>
      </c>
      <c r="E1936" t="s">
        <v>24</v>
      </c>
      <c r="F1936" t="s">
        <v>3295</v>
      </c>
      <c r="G1936" t="s">
        <v>334</v>
      </c>
      <c r="H1936" t="s">
        <v>335</v>
      </c>
      <c r="I1936" s="130">
        <v>45213</v>
      </c>
      <c r="J1936" t="s">
        <v>13</v>
      </c>
      <c r="K1936">
        <v>8</v>
      </c>
      <c r="M19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36" t="str">
        <f>DO_DB[[#This Row],[Material Pick-update]]&amp;"_"&amp;DO_DB[[#This Row],[Material Name]]</f>
        <v>45213_FAT-16</v>
      </c>
      <c r="O1936" t="str">
        <f>DO_DB[[#This Row],[SiteID]]</f>
        <v>CLR51-99-018</v>
      </c>
      <c r="P1936" t="str">
        <f>DO_DB[[#This Row],[SiteID]]&amp;"_"&amp;DO_DB[[#This Row],[Material Name]]</f>
        <v>CLR51-99-018_FAT-16</v>
      </c>
      <c r="Q1936" t="str">
        <f>DO_DB[[#This Row],[DO Number]]</f>
        <v>DOEID23101405</v>
      </c>
      <c r="R1936" t="str">
        <f>DO_DB[[#This Row],[DN Number]]</f>
        <v>DNWID0342023101407</v>
      </c>
    </row>
    <row r="1937" spans="1:18">
      <c r="A1937" t="s">
        <v>468</v>
      </c>
      <c r="B1937" t="s">
        <v>469</v>
      </c>
      <c r="C1937" s="172" t="s">
        <v>4482</v>
      </c>
      <c r="D1937" t="s">
        <v>71</v>
      </c>
      <c r="E1937" t="s">
        <v>24</v>
      </c>
      <c r="F1937" t="s">
        <v>3295</v>
      </c>
      <c r="G1937" t="s">
        <v>470</v>
      </c>
      <c r="H1937" t="s">
        <v>471</v>
      </c>
      <c r="I1937" s="130">
        <v>45234</v>
      </c>
      <c r="J1937" t="s">
        <v>13</v>
      </c>
      <c r="K1937">
        <v>85</v>
      </c>
      <c r="M19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37" t="str">
        <f>DO_DB[[#This Row],[Material Pick-update]]&amp;"_"&amp;DO_DB[[#This Row],[Material Name]]</f>
        <v>45234_FAT-16</v>
      </c>
      <c r="O1937" t="str">
        <f>DO_DB[[#This Row],[SiteID]]</f>
        <v>CLR51-99-026</v>
      </c>
      <c r="P1937" t="str">
        <f>DO_DB[[#This Row],[SiteID]]&amp;"_"&amp;DO_DB[[#This Row],[Material Name]]</f>
        <v>CLR51-99-026_FAT-16</v>
      </c>
      <c r="Q1937" t="str">
        <f>DO_DB[[#This Row],[DO Number]]</f>
        <v>DOEID23120189</v>
      </c>
      <c r="R1937" t="str">
        <f>DO_DB[[#This Row],[DN Number]]</f>
        <v>DNWID0342023120122</v>
      </c>
    </row>
    <row r="1938" spans="1:18">
      <c r="A1938" t="s">
        <v>742</v>
      </c>
      <c r="B1938" t="s">
        <v>743</v>
      </c>
      <c r="C1938" s="172" t="s">
        <v>4482</v>
      </c>
      <c r="D1938" t="s">
        <v>71</v>
      </c>
      <c r="E1938" t="s">
        <v>24</v>
      </c>
      <c r="F1938" t="s">
        <v>3295</v>
      </c>
      <c r="G1938" t="s">
        <v>850</v>
      </c>
      <c r="H1938" t="s">
        <v>851</v>
      </c>
      <c r="I1938" s="130">
        <v>45307</v>
      </c>
      <c r="J1938" t="s">
        <v>13</v>
      </c>
      <c r="K1938">
        <v>24</v>
      </c>
      <c r="M19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38" t="str">
        <f>DO_DB[[#This Row],[Material Pick-update]]&amp;"_"&amp;DO_DB[[#This Row],[Material Name]]</f>
        <v>45307_FAT-16</v>
      </c>
      <c r="O1938" t="str">
        <f>DO_DB[[#This Row],[SiteID]]</f>
        <v>CLR51-99-038</v>
      </c>
      <c r="P1938" t="str">
        <f>DO_DB[[#This Row],[SiteID]]&amp;"_"&amp;DO_DB[[#This Row],[Material Name]]</f>
        <v>CLR51-99-038_FAT-16</v>
      </c>
      <c r="Q1938" t="str">
        <f>DO_DB[[#This Row],[DO Number]]</f>
        <v>DOEID24010322</v>
      </c>
      <c r="R1938" t="str">
        <f>DO_DB[[#This Row],[DN Number]]</f>
        <v>DNWID0342024010303</v>
      </c>
    </row>
    <row r="1939" spans="1:18">
      <c r="A1939" t="s">
        <v>732</v>
      </c>
      <c r="B1939" t="s">
        <v>733</v>
      </c>
      <c r="C1939" s="172" t="s">
        <v>4482</v>
      </c>
      <c r="D1939" t="s">
        <v>71</v>
      </c>
      <c r="E1939" t="s">
        <v>24</v>
      </c>
      <c r="F1939" t="s">
        <v>3295</v>
      </c>
      <c r="G1939" t="s">
        <v>846</v>
      </c>
      <c r="H1939" t="s">
        <v>847</v>
      </c>
      <c r="I1939" s="130">
        <v>45307</v>
      </c>
      <c r="J1939" t="s">
        <v>13</v>
      </c>
      <c r="K1939">
        <v>17</v>
      </c>
      <c r="M19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39" t="str">
        <f>DO_DB[[#This Row],[Material Pick-update]]&amp;"_"&amp;DO_DB[[#This Row],[Material Name]]</f>
        <v>45307_FAT-16</v>
      </c>
      <c r="O1939" t="str">
        <f>DO_DB[[#This Row],[SiteID]]</f>
        <v>CLR32-99-069</v>
      </c>
      <c r="P1939" t="str">
        <f>DO_DB[[#This Row],[SiteID]]&amp;"_"&amp;DO_DB[[#This Row],[Material Name]]</f>
        <v>CLR32-99-069_FAT-16</v>
      </c>
      <c r="Q1939" t="str">
        <f>DO_DB[[#This Row],[DO Number]]</f>
        <v>DOEID24010323</v>
      </c>
      <c r="R1939" t="str">
        <f>DO_DB[[#This Row],[DN Number]]</f>
        <v>DNWID0342024010302</v>
      </c>
    </row>
    <row r="1940" spans="1:18">
      <c r="A1940" t="s">
        <v>738</v>
      </c>
      <c r="B1940" t="s">
        <v>739</v>
      </c>
      <c r="C1940" s="172" t="s">
        <v>4482</v>
      </c>
      <c r="D1940" t="s">
        <v>71</v>
      </c>
      <c r="E1940" t="s">
        <v>24</v>
      </c>
      <c r="F1940" t="s">
        <v>3295</v>
      </c>
      <c r="G1940" t="s">
        <v>844</v>
      </c>
      <c r="H1940" t="s">
        <v>845</v>
      </c>
      <c r="I1940" s="130">
        <v>45307</v>
      </c>
      <c r="J1940" t="s">
        <v>13</v>
      </c>
      <c r="K1940">
        <v>19</v>
      </c>
      <c r="M19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40" t="str">
        <f>DO_DB[[#This Row],[Material Pick-update]]&amp;"_"&amp;DO_DB[[#This Row],[Material Name]]</f>
        <v>45307_FAT-16</v>
      </c>
      <c r="O1940" t="str">
        <f>DO_DB[[#This Row],[SiteID]]</f>
        <v>CLR51-01-005</v>
      </c>
      <c r="P1940" t="str">
        <f>DO_DB[[#This Row],[SiteID]]&amp;"_"&amp;DO_DB[[#This Row],[Material Name]]</f>
        <v>CLR51-01-005_FAT-16</v>
      </c>
      <c r="Q1940" t="str">
        <f>DO_DB[[#This Row],[DO Number]]</f>
        <v>DOEID24010324</v>
      </c>
      <c r="R1940" t="str">
        <f>DO_DB[[#This Row],[DN Number]]</f>
        <v>DNWID0342024010304</v>
      </c>
    </row>
    <row r="1941" spans="1:18">
      <c r="A1941" t="s">
        <v>828</v>
      </c>
      <c r="B1941" t="s">
        <v>829</v>
      </c>
      <c r="C1941" s="172" t="s">
        <v>4482</v>
      </c>
      <c r="D1941" t="s">
        <v>71</v>
      </c>
      <c r="E1941" t="s">
        <v>24</v>
      </c>
      <c r="F1941" t="s">
        <v>3295</v>
      </c>
      <c r="G1941" t="s">
        <v>852</v>
      </c>
      <c r="H1941" t="s">
        <v>853</v>
      </c>
      <c r="I1941" s="130">
        <v>45307</v>
      </c>
      <c r="J1941" t="s">
        <v>13</v>
      </c>
      <c r="K1941">
        <v>65</v>
      </c>
      <c r="M19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41" t="str">
        <f>DO_DB[[#This Row],[Material Pick-update]]&amp;"_"&amp;DO_DB[[#This Row],[Material Name]]</f>
        <v>45307_FAT-16</v>
      </c>
      <c r="O1941" t="str">
        <f>DO_DB[[#This Row],[SiteID]]</f>
        <v>CLR29-99-153</v>
      </c>
      <c r="P1941" t="str">
        <f>DO_DB[[#This Row],[SiteID]]&amp;"_"&amp;DO_DB[[#This Row],[Material Name]]</f>
        <v>CLR29-99-153_FAT-16</v>
      </c>
      <c r="Q1941" t="str">
        <f>DO_DB[[#This Row],[DO Number]]</f>
        <v>DOEID24011540</v>
      </c>
      <c r="R1941" t="str">
        <f>DO_DB[[#This Row],[DN Number]]</f>
        <v>DNWID0342024011501</v>
      </c>
    </row>
    <row r="1942" spans="1:18">
      <c r="A1942" t="s">
        <v>838</v>
      </c>
      <c r="B1942" t="s">
        <v>839</v>
      </c>
      <c r="C1942" s="172" t="s">
        <v>4482</v>
      </c>
      <c r="D1942" t="s">
        <v>71</v>
      </c>
      <c r="E1942" t="s">
        <v>24</v>
      </c>
      <c r="F1942" t="s">
        <v>3295</v>
      </c>
      <c r="G1942" t="s">
        <v>842</v>
      </c>
      <c r="H1942" t="s">
        <v>843</v>
      </c>
      <c r="I1942" s="130">
        <v>45307</v>
      </c>
      <c r="J1942" t="s">
        <v>13</v>
      </c>
      <c r="K1942">
        <v>19</v>
      </c>
      <c r="M19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42" t="str">
        <f>DO_DB[[#This Row],[Material Pick-update]]&amp;"_"&amp;DO_DB[[#This Row],[Material Name]]</f>
        <v>45307_FAT-16</v>
      </c>
      <c r="O1942" t="str">
        <f>DO_DB[[#This Row],[SiteID]]</f>
        <v>CLR51-99-066</v>
      </c>
      <c r="P1942" t="str">
        <f>DO_DB[[#This Row],[SiteID]]&amp;"_"&amp;DO_DB[[#This Row],[Material Name]]</f>
        <v>CLR51-99-066_FAT-16</v>
      </c>
      <c r="Q1942" t="str">
        <f>DO_DB[[#This Row],[DO Number]]</f>
        <v>DOEID24011542</v>
      </c>
      <c r="R1942" t="str">
        <f>DO_DB[[#This Row],[DN Number]]</f>
        <v>DNWID0342024011502</v>
      </c>
    </row>
    <row r="1943" spans="1:18">
      <c r="A1943" t="s">
        <v>911</v>
      </c>
      <c r="B1943" t="s">
        <v>912</v>
      </c>
      <c r="C1943" s="172" t="s">
        <v>4482</v>
      </c>
      <c r="D1943" t="s">
        <v>71</v>
      </c>
      <c r="E1943" t="s">
        <v>24</v>
      </c>
      <c r="F1943" t="s">
        <v>3295</v>
      </c>
      <c r="G1943" t="s">
        <v>913</v>
      </c>
      <c r="H1943" t="s">
        <v>914</v>
      </c>
      <c r="I1943" s="130">
        <v>45337</v>
      </c>
      <c r="J1943" t="s">
        <v>13</v>
      </c>
      <c r="K1943">
        <v>7</v>
      </c>
      <c r="M19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43" t="str">
        <f>DO_DB[[#This Row],[Material Pick-update]]&amp;"_"&amp;DO_DB[[#This Row],[Material Name]]</f>
        <v>45337_FAT-16</v>
      </c>
      <c r="O1943" t="str">
        <f>DO_DB[[#This Row],[SiteID]]</f>
        <v>CLR51-99-067</v>
      </c>
      <c r="P1943" t="str">
        <f>DO_DB[[#This Row],[SiteID]]&amp;"_"&amp;DO_DB[[#This Row],[Material Name]]</f>
        <v>CLR51-99-067_FAT-16</v>
      </c>
      <c r="Q1943" t="str">
        <f>DO_DB[[#This Row],[DO Number]]</f>
        <v>DOEID24021519</v>
      </c>
      <c r="R1943" t="str">
        <f>DO_DB[[#This Row],[DN Number]]</f>
        <v>DNWID0342024021506</v>
      </c>
    </row>
    <row r="1944" spans="1:18">
      <c r="A1944" t="s">
        <v>921</v>
      </c>
      <c r="B1944" t="s">
        <v>922</v>
      </c>
      <c r="C1944" s="172" t="s">
        <v>4482</v>
      </c>
      <c r="D1944" t="s">
        <v>71</v>
      </c>
      <c r="E1944" t="s">
        <v>24</v>
      </c>
      <c r="F1944" t="s">
        <v>3295</v>
      </c>
      <c r="G1944" t="s">
        <v>929</v>
      </c>
      <c r="H1944" t="s">
        <v>930</v>
      </c>
      <c r="I1944" s="130">
        <v>45337</v>
      </c>
      <c r="J1944" t="s">
        <v>13</v>
      </c>
      <c r="K1944">
        <v>45</v>
      </c>
      <c r="M19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44" t="str">
        <f>DO_DB[[#This Row],[Material Pick-update]]&amp;"_"&amp;DO_DB[[#This Row],[Material Name]]</f>
        <v>45337_FAT-16</v>
      </c>
      <c r="O1944" t="str">
        <f>DO_DB[[#This Row],[SiteID]]</f>
        <v>CLR51-99-078</v>
      </c>
      <c r="P1944" t="str">
        <f>DO_DB[[#This Row],[SiteID]]&amp;"_"&amp;DO_DB[[#This Row],[Material Name]]</f>
        <v>CLR51-99-078_FAT-16</v>
      </c>
      <c r="Q1944" t="str">
        <f>DO_DB[[#This Row],[DO Number]]</f>
        <v>DOEID24021521</v>
      </c>
      <c r="R1944" t="str">
        <f>DO_DB[[#This Row],[DN Number]]</f>
        <v>DNWID0342024021507</v>
      </c>
    </row>
    <row r="1945" spans="1:18">
      <c r="A1945" t="s">
        <v>925</v>
      </c>
      <c r="B1945" t="s">
        <v>926</v>
      </c>
      <c r="C1945" s="172" t="s">
        <v>4482</v>
      </c>
      <c r="D1945" t="s">
        <v>71</v>
      </c>
      <c r="E1945" t="s">
        <v>24</v>
      </c>
      <c r="F1945" t="s">
        <v>3295</v>
      </c>
      <c r="G1945" t="s">
        <v>927</v>
      </c>
      <c r="H1945" t="s">
        <v>928</v>
      </c>
      <c r="I1945" s="130">
        <v>45337</v>
      </c>
      <c r="J1945" t="s">
        <v>13</v>
      </c>
      <c r="K1945">
        <v>3</v>
      </c>
      <c r="M19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45" t="str">
        <f>DO_DB[[#This Row],[Material Pick-update]]&amp;"_"&amp;DO_DB[[#This Row],[Material Name]]</f>
        <v>45337_FAT-16</v>
      </c>
      <c r="O1945" t="str">
        <f>DO_DB[[#This Row],[SiteID]]</f>
        <v>CLR51-99-082</v>
      </c>
      <c r="P1945" t="str">
        <f>DO_DB[[#This Row],[SiteID]]&amp;"_"&amp;DO_DB[[#This Row],[Material Name]]</f>
        <v>CLR51-99-082_FAT-16</v>
      </c>
      <c r="Q1945" t="str">
        <f>DO_DB[[#This Row],[DO Number]]</f>
        <v>DOEID24021522</v>
      </c>
      <c r="R1945" t="str">
        <f>DO_DB[[#This Row],[DN Number]]</f>
        <v>DNWID0342024021508</v>
      </c>
    </row>
    <row r="1946" spans="1:18">
      <c r="A1946" t="s">
        <v>917</v>
      </c>
      <c r="B1946" t="s">
        <v>918</v>
      </c>
      <c r="C1946" s="172" t="s">
        <v>4482</v>
      </c>
      <c r="D1946" t="s">
        <v>71</v>
      </c>
      <c r="E1946" t="s">
        <v>24</v>
      </c>
      <c r="F1946" t="s">
        <v>3295</v>
      </c>
      <c r="G1946" t="s">
        <v>919</v>
      </c>
      <c r="H1946" t="s">
        <v>920</v>
      </c>
      <c r="I1946" s="130">
        <v>45337</v>
      </c>
      <c r="J1946" t="s">
        <v>13</v>
      </c>
      <c r="K1946">
        <v>2</v>
      </c>
      <c r="M19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46" t="str">
        <f>DO_DB[[#This Row],[Material Pick-update]]&amp;"_"&amp;DO_DB[[#This Row],[Material Name]]</f>
        <v>45337_FAT-16</v>
      </c>
      <c r="O1946" t="str">
        <f>DO_DB[[#This Row],[SiteID]]</f>
        <v>CLR51-99-083</v>
      </c>
      <c r="P1946" t="str">
        <f>DO_DB[[#This Row],[SiteID]]&amp;"_"&amp;DO_DB[[#This Row],[Material Name]]</f>
        <v>CLR51-99-083_FAT-16</v>
      </c>
      <c r="Q1946" t="str">
        <f>DO_DB[[#This Row],[DO Number]]</f>
        <v>DOEID24021523</v>
      </c>
      <c r="R1946" t="str">
        <f>DO_DB[[#This Row],[DN Number]]</f>
        <v>DNWID0342024021509</v>
      </c>
    </row>
    <row r="1947" spans="1:18">
      <c r="A1947" t="s">
        <v>1013</v>
      </c>
      <c r="B1947" t="s">
        <v>1014</v>
      </c>
      <c r="C1947" s="172" t="s">
        <v>4482</v>
      </c>
      <c r="D1947" t="s">
        <v>71</v>
      </c>
      <c r="E1947" t="s">
        <v>24</v>
      </c>
      <c r="F1947" t="s">
        <v>3295</v>
      </c>
      <c r="G1947" t="s">
        <v>1069</v>
      </c>
      <c r="H1947" t="s">
        <v>1070</v>
      </c>
      <c r="I1947" s="130">
        <v>45358</v>
      </c>
      <c r="J1947" t="s">
        <v>13</v>
      </c>
      <c r="K1947">
        <v>21</v>
      </c>
      <c r="M19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47" t="str">
        <f>DO_DB[[#This Row],[Material Pick-update]]&amp;"_"&amp;DO_DB[[#This Row],[Material Name]]</f>
        <v>45358_FAT-16</v>
      </c>
      <c r="O1947" t="str">
        <f>DO_DB[[#This Row],[SiteID]]</f>
        <v>CLR51-99-079</v>
      </c>
      <c r="P1947" t="str">
        <f>DO_DB[[#This Row],[SiteID]]&amp;"_"&amp;DO_DB[[#This Row],[Material Name]]</f>
        <v>CLR51-99-079_FAT-16</v>
      </c>
      <c r="Q1947" t="str">
        <f>DO_DB[[#This Row],[DO Number]]</f>
        <v>DOEID240304BJ</v>
      </c>
      <c r="R1947" t="str">
        <f>DO_DB[[#This Row],[DN Number]]</f>
        <v>DNWID0342024030507</v>
      </c>
    </row>
    <row r="1948" spans="1:18">
      <c r="A1948" t="s">
        <v>1161</v>
      </c>
      <c r="B1948" t="s">
        <v>1162</v>
      </c>
      <c r="C1948" s="172" t="s">
        <v>4482</v>
      </c>
      <c r="D1948" t="s">
        <v>71</v>
      </c>
      <c r="E1948" t="s">
        <v>24</v>
      </c>
      <c r="F1948" t="s">
        <v>3295</v>
      </c>
      <c r="G1948" t="s">
        <v>1163</v>
      </c>
      <c r="H1948" t="s">
        <v>1164</v>
      </c>
      <c r="I1948" s="130">
        <v>45370</v>
      </c>
      <c r="J1948" t="s">
        <v>13</v>
      </c>
      <c r="K1948">
        <v>10</v>
      </c>
      <c r="M19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48" t="str">
        <f>DO_DB[[#This Row],[Material Pick-update]]&amp;"_"&amp;DO_DB[[#This Row],[Material Name]]</f>
        <v>45370_FAT-16</v>
      </c>
      <c r="O1948" t="str">
        <f>DO_DB[[#This Row],[SiteID]]</f>
        <v>CLR51-99-039</v>
      </c>
      <c r="P1948" t="str">
        <f>DO_DB[[#This Row],[SiteID]]&amp;"_"&amp;DO_DB[[#This Row],[Material Name]]</f>
        <v>CLR51-99-039_FAT-16</v>
      </c>
      <c r="Q1948" t="str">
        <f>DO_DB[[#This Row],[DO Number]]</f>
        <v>DOEID24031919</v>
      </c>
      <c r="R1948" t="str">
        <f>DO_DB[[#This Row],[DN Number]]</f>
        <v>DNWID0342024031906</v>
      </c>
    </row>
    <row r="1949" spans="1:18">
      <c r="A1949" t="s">
        <v>1155</v>
      </c>
      <c r="B1949" t="s">
        <v>1156</v>
      </c>
      <c r="C1949" s="172" t="s">
        <v>4482</v>
      </c>
      <c r="D1949" t="s">
        <v>71</v>
      </c>
      <c r="E1949" t="s">
        <v>24</v>
      </c>
      <c r="F1949" t="s">
        <v>3295</v>
      </c>
      <c r="G1949" t="s">
        <v>1167</v>
      </c>
      <c r="H1949" t="s">
        <v>1168</v>
      </c>
      <c r="I1949" s="130">
        <v>45370</v>
      </c>
      <c r="J1949" t="s">
        <v>13</v>
      </c>
      <c r="K1949">
        <v>11</v>
      </c>
      <c r="M19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49" t="str">
        <f>DO_DB[[#This Row],[Material Pick-update]]&amp;"_"&amp;DO_DB[[#This Row],[Material Name]]</f>
        <v>45370_FAT-16</v>
      </c>
      <c r="O1949" t="str">
        <f>DO_DB[[#This Row],[SiteID]]</f>
        <v>CLR51-99-034</v>
      </c>
      <c r="P1949" t="str">
        <f>DO_DB[[#This Row],[SiteID]]&amp;"_"&amp;DO_DB[[#This Row],[Material Name]]</f>
        <v>CLR51-99-034_FAT-16</v>
      </c>
      <c r="Q1949" t="str">
        <f>DO_DB[[#This Row],[DO Number]]</f>
        <v>DOEID24031921</v>
      </c>
      <c r="R1949" t="str">
        <f>DO_DB[[#This Row],[DN Number]]</f>
        <v>DNWID0342024031907</v>
      </c>
    </row>
    <row r="1950" spans="1:18">
      <c r="A1950" t="s">
        <v>1151</v>
      </c>
      <c r="B1950" t="s">
        <v>1152</v>
      </c>
      <c r="C1950" s="172" t="s">
        <v>4482</v>
      </c>
      <c r="D1950" t="s">
        <v>71</v>
      </c>
      <c r="E1950" t="s">
        <v>24</v>
      </c>
      <c r="F1950" t="s">
        <v>3295</v>
      </c>
      <c r="G1950" t="s">
        <v>1153</v>
      </c>
      <c r="H1950" t="s">
        <v>1154</v>
      </c>
      <c r="I1950" s="130">
        <v>45370</v>
      </c>
      <c r="J1950" t="s">
        <v>13</v>
      </c>
      <c r="K1950">
        <v>7</v>
      </c>
      <c r="M19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50" t="str">
        <f>DO_DB[[#This Row],[Material Pick-update]]&amp;"_"&amp;DO_DB[[#This Row],[Material Name]]</f>
        <v>45370_FAT-16</v>
      </c>
      <c r="O1950" t="str">
        <f>DO_DB[[#This Row],[SiteID]]</f>
        <v>CLR51-99-040</v>
      </c>
      <c r="P1950" t="str">
        <f>DO_DB[[#This Row],[SiteID]]&amp;"_"&amp;DO_DB[[#This Row],[Material Name]]</f>
        <v>CLR51-99-040_FAT-16</v>
      </c>
      <c r="Q1950" t="str">
        <f>DO_DB[[#This Row],[DO Number]]</f>
        <v>DOEID24031923</v>
      </c>
      <c r="R1950" t="str">
        <f>DO_DB[[#This Row],[DN Number]]</f>
        <v>DNWID0342024031908</v>
      </c>
    </row>
    <row r="1951" spans="1:18">
      <c r="A1951" t="s">
        <v>1295</v>
      </c>
      <c r="B1951" t="s">
        <v>1296</v>
      </c>
      <c r="C1951" s="172" t="s">
        <v>4482</v>
      </c>
      <c r="D1951" t="s">
        <v>71</v>
      </c>
      <c r="E1951" t="s">
        <v>24</v>
      </c>
      <c r="F1951" t="s">
        <v>3295</v>
      </c>
      <c r="G1951" t="s">
        <v>1297</v>
      </c>
      <c r="H1951" t="s">
        <v>1298</v>
      </c>
      <c r="I1951" s="130">
        <v>45400</v>
      </c>
      <c r="J1951" t="s">
        <v>13</v>
      </c>
      <c r="K1951">
        <v>13</v>
      </c>
      <c r="M19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51" t="str">
        <f>DO_DB[[#This Row],[Material Pick-update]]&amp;"_"&amp;DO_DB[[#This Row],[Material Name]]</f>
        <v>45400_FAT-16</v>
      </c>
      <c r="O1951" t="str">
        <f>DO_DB[[#This Row],[SiteID]]</f>
        <v>CLR51-99-012</v>
      </c>
      <c r="P1951" t="str">
        <f>DO_DB[[#This Row],[SiteID]]&amp;"_"&amp;DO_DB[[#This Row],[Material Name]]</f>
        <v>CLR51-99-012_FAT-16</v>
      </c>
      <c r="Q1951" t="str">
        <f>DO_DB[[#This Row],[DO Number]]</f>
        <v>DOEID240416AL</v>
      </c>
      <c r="R1951" t="str">
        <f>DO_DB[[#This Row],[DN Number]]</f>
        <v>DNWID0342024041717</v>
      </c>
    </row>
    <row r="1952" spans="1:18">
      <c r="A1952" t="s">
        <v>1291</v>
      </c>
      <c r="B1952" t="s">
        <v>1292</v>
      </c>
      <c r="C1952" s="172" t="s">
        <v>4482</v>
      </c>
      <c r="D1952" t="s">
        <v>71</v>
      </c>
      <c r="E1952" t="s">
        <v>24</v>
      </c>
      <c r="F1952" t="s">
        <v>3295</v>
      </c>
      <c r="G1952" t="s">
        <v>1293</v>
      </c>
      <c r="H1952" t="s">
        <v>1294</v>
      </c>
      <c r="I1952" s="130">
        <v>45400</v>
      </c>
      <c r="J1952" t="s">
        <v>13</v>
      </c>
      <c r="K1952">
        <v>10</v>
      </c>
      <c r="M19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52" t="str">
        <f>DO_DB[[#This Row],[Material Pick-update]]&amp;"_"&amp;DO_DB[[#This Row],[Material Name]]</f>
        <v>45400_FAT-16</v>
      </c>
      <c r="O1952" t="str">
        <f>DO_DB[[#This Row],[SiteID]]</f>
        <v>CLR51-99-088</v>
      </c>
      <c r="P1952" t="str">
        <f>DO_DB[[#This Row],[SiteID]]&amp;"_"&amp;DO_DB[[#This Row],[Material Name]]</f>
        <v>CLR51-99-088_FAT-16</v>
      </c>
      <c r="Q1952" t="str">
        <f>DO_DB[[#This Row],[DO Number]]</f>
        <v>DOEID240416AM</v>
      </c>
      <c r="R1952" t="str">
        <f>DO_DB[[#This Row],[DN Number]]</f>
        <v>DNWID0342024041718</v>
      </c>
    </row>
    <row r="1953" spans="1:18">
      <c r="A1953" t="s">
        <v>1287</v>
      </c>
      <c r="B1953" t="s">
        <v>1288</v>
      </c>
      <c r="C1953" s="172" t="s">
        <v>4482</v>
      </c>
      <c r="D1953" t="s">
        <v>71</v>
      </c>
      <c r="E1953" t="s">
        <v>24</v>
      </c>
      <c r="F1953" t="s">
        <v>3295</v>
      </c>
      <c r="G1953" t="s">
        <v>1289</v>
      </c>
      <c r="H1953" t="s">
        <v>1290</v>
      </c>
      <c r="I1953" s="130">
        <v>45400</v>
      </c>
      <c r="J1953" t="s">
        <v>13</v>
      </c>
      <c r="K1953">
        <v>5</v>
      </c>
      <c r="M19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53" t="str">
        <f>DO_DB[[#This Row],[Material Pick-update]]&amp;"_"&amp;DO_DB[[#This Row],[Material Name]]</f>
        <v>45400_FAT-16</v>
      </c>
      <c r="O1953" t="str">
        <f>DO_DB[[#This Row],[SiteID]]</f>
        <v>CLR51-99-094</v>
      </c>
      <c r="P1953" t="str">
        <f>DO_DB[[#This Row],[SiteID]]&amp;"_"&amp;DO_DB[[#This Row],[Material Name]]</f>
        <v>CLR51-99-094_FAT-16</v>
      </c>
      <c r="Q1953" t="str">
        <f>DO_DB[[#This Row],[DO Number]]</f>
        <v>DOEID240416AN</v>
      </c>
      <c r="R1953" t="str">
        <f>DO_DB[[#This Row],[DN Number]]</f>
        <v>DNWID0342024041719</v>
      </c>
    </row>
    <row r="1954" spans="1:18">
      <c r="A1954" t="s">
        <v>1395</v>
      </c>
      <c r="B1954" t="s">
        <v>1396</v>
      </c>
      <c r="C1954" s="172" t="s">
        <v>4482</v>
      </c>
      <c r="D1954" t="s">
        <v>71</v>
      </c>
      <c r="E1954" t="s">
        <v>24</v>
      </c>
      <c r="F1954" t="s">
        <v>3295</v>
      </c>
      <c r="G1954" t="s">
        <v>1397</v>
      </c>
      <c r="H1954" t="s">
        <v>1398</v>
      </c>
      <c r="I1954" s="130">
        <v>45432</v>
      </c>
      <c r="J1954" t="s">
        <v>13</v>
      </c>
      <c r="K1954">
        <v>14</v>
      </c>
      <c r="M19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54" t="str">
        <f>DO_DB[[#This Row],[Material Pick-update]]&amp;"_"&amp;DO_DB[[#This Row],[Material Name]]</f>
        <v>45432_FAT-16</v>
      </c>
      <c r="O1954" t="str">
        <f>DO_DB[[#This Row],[SiteID]]</f>
        <v>CLR51-99-095</v>
      </c>
      <c r="P1954" t="str">
        <f>DO_DB[[#This Row],[SiteID]]&amp;"_"&amp;DO_DB[[#This Row],[Material Name]]</f>
        <v>CLR51-99-095_FAT-16</v>
      </c>
      <c r="Q1954" t="str">
        <f>DO_DB[[#This Row],[DO Number]]</f>
        <v>DOEID240517C4</v>
      </c>
      <c r="R1954" t="str">
        <f>DO_DB[[#This Row],[DN Number]]</f>
        <v>DNWID0342024051707</v>
      </c>
    </row>
    <row r="1955" spans="1:18">
      <c r="A1955" t="s">
        <v>1391</v>
      </c>
      <c r="B1955" t="s">
        <v>1392</v>
      </c>
      <c r="C1955" s="172" t="s">
        <v>4482</v>
      </c>
      <c r="D1955" t="s">
        <v>71</v>
      </c>
      <c r="E1955" t="s">
        <v>24</v>
      </c>
      <c r="F1955" t="s">
        <v>3295</v>
      </c>
      <c r="G1955" t="s">
        <v>1393</v>
      </c>
      <c r="H1955" t="s">
        <v>1394</v>
      </c>
      <c r="I1955" s="130">
        <v>45432</v>
      </c>
      <c r="J1955" t="s">
        <v>13</v>
      </c>
      <c r="K1955">
        <v>13</v>
      </c>
      <c r="M19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55" t="str">
        <f>DO_DB[[#This Row],[Material Pick-update]]&amp;"_"&amp;DO_DB[[#This Row],[Material Name]]</f>
        <v>45432_FAT-16</v>
      </c>
      <c r="O1955" t="str">
        <f>DO_DB[[#This Row],[SiteID]]</f>
        <v>CLR51-99-086</v>
      </c>
      <c r="P1955" t="str">
        <f>DO_DB[[#This Row],[SiteID]]&amp;"_"&amp;DO_DB[[#This Row],[Material Name]]</f>
        <v>CLR51-99-086_FAT-16</v>
      </c>
      <c r="Q1955" t="str">
        <f>DO_DB[[#This Row],[DO Number]]</f>
        <v>DOEID240517C6</v>
      </c>
      <c r="R1955" t="str">
        <f>DO_DB[[#This Row],[DN Number]]</f>
        <v>DNWID0342024051708</v>
      </c>
    </row>
    <row r="1956" spans="1:18">
      <c r="A1956" t="s">
        <v>1405</v>
      </c>
      <c r="B1956" t="s">
        <v>1406</v>
      </c>
      <c r="C1956" s="172" t="s">
        <v>4482</v>
      </c>
      <c r="D1956" t="s">
        <v>71</v>
      </c>
      <c r="E1956" t="s">
        <v>24</v>
      </c>
      <c r="F1956" t="s">
        <v>3295</v>
      </c>
      <c r="G1956" t="s">
        <v>1411</v>
      </c>
      <c r="H1956" t="s">
        <v>1412</v>
      </c>
      <c r="I1956" s="130">
        <v>45432</v>
      </c>
      <c r="J1956" t="s">
        <v>13</v>
      </c>
      <c r="K1956">
        <v>10</v>
      </c>
      <c r="M19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56" t="str">
        <f>DO_DB[[#This Row],[Material Pick-update]]&amp;"_"&amp;DO_DB[[#This Row],[Material Name]]</f>
        <v>45432_FAT-16</v>
      </c>
      <c r="O1956" t="str">
        <f>DO_DB[[#This Row],[SiteID]]</f>
        <v>CLR51-99-087</v>
      </c>
      <c r="P1956" t="str">
        <f>DO_DB[[#This Row],[SiteID]]&amp;"_"&amp;DO_DB[[#This Row],[Material Name]]</f>
        <v>CLR51-99-087_FAT-16</v>
      </c>
      <c r="Q1956" t="str">
        <f>DO_DB[[#This Row],[DO Number]]</f>
        <v>DOEID240517DK</v>
      </c>
      <c r="R1956" t="str">
        <f>DO_DB[[#This Row],[DN Number]]</f>
        <v>DNWID0342024051713</v>
      </c>
    </row>
    <row r="1957" spans="1:18">
      <c r="A1957" t="s">
        <v>1401</v>
      </c>
      <c r="B1957" t="s">
        <v>1402</v>
      </c>
      <c r="C1957" s="172" t="s">
        <v>4482</v>
      </c>
      <c r="D1957" t="s">
        <v>71</v>
      </c>
      <c r="E1957" t="s">
        <v>24</v>
      </c>
      <c r="F1957" t="s">
        <v>3295</v>
      </c>
      <c r="G1957" t="s">
        <v>1403</v>
      </c>
      <c r="H1957" t="s">
        <v>1404</v>
      </c>
      <c r="I1957" s="130">
        <v>45432</v>
      </c>
      <c r="J1957" t="s">
        <v>13</v>
      </c>
      <c r="K1957">
        <v>10</v>
      </c>
      <c r="M19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57" t="str">
        <f>DO_DB[[#This Row],[Material Pick-update]]&amp;"_"&amp;DO_DB[[#This Row],[Material Name]]</f>
        <v>45432_FAT-16</v>
      </c>
      <c r="O1957" t="str">
        <f>DO_DB[[#This Row],[SiteID]]</f>
        <v>CLR51-99-092</v>
      </c>
      <c r="P1957" t="str">
        <f>DO_DB[[#This Row],[SiteID]]&amp;"_"&amp;DO_DB[[#This Row],[Material Name]]</f>
        <v>CLR51-99-092_FAT-16</v>
      </c>
      <c r="Q1957" t="str">
        <f>DO_DB[[#This Row],[DO Number]]</f>
        <v>DOEID24052009</v>
      </c>
      <c r="R1957" t="str">
        <f>DO_DB[[#This Row],[DN Number]]</f>
        <v>DNWID0342024052001</v>
      </c>
    </row>
    <row r="1958" spans="1:18">
      <c r="A1958" t="s">
        <v>1683</v>
      </c>
      <c r="B1958" t="s">
        <v>1684</v>
      </c>
      <c r="C1958" s="172" t="s">
        <v>4482</v>
      </c>
      <c r="D1958" t="s">
        <v>71</v>
      </c>
      <c r="E1958" t="s">
        <v>24</v>
      </c>
      <c r="F1958" t="s">
        <v>3295</v>
      </c>
      <c r="G1958" t="s">
        <v>1693</v>
      </c>
      <c r="H1958" t="s">
        <v>1694</v>
      </c>
      <c r="I1958" s="130">
        <v>45467</v>
      </c>
      <c r="J1958" t="s">
        <v>13</v>
      </c>
      <c r="K1958">
        <v>10</v>
      </c>
      <c r="M19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58" t="str">
        <f>DO_DB[[#This Row],[Material Pick-update]]&amp;"_"&amp;DO_DB[[#This Row],[Material Name]]</f>
        <v>45467_FAT-16</v>
      </c>
      <c r="O1958" t="str">
        <f>DO_DB[[#This Row],[SiteID]]</f>
        <v>CLR51-02-020</v>
      </c>
      <c r="P1958" t="str">
        <f>DO_DB[[#This Row],[SiteID]]&amp;"_"&amp;DO_DB[[#This Row],[Material Name]]</f>
        <v>CLR51-02-020_FAT-16</v>
      </c>
      <c r="Q1958" t="str">
        <f>DO_DB[[#This Row],[DO Number]]</f>
        <v>DOEID240620EM</v>
      </c>
      <c r="R1958" t="str">
        <f>DO_DB[[#This Row],[DN Number]]</f>
        <v>DNWID0342024062016</v>
      </c>
    </row>
    <row r="1959" spans="1:18">
      <c r="A1959" t="s">
        <v>1689</v>
      </c>
      <c r="B1959" t="s">
        <v>1690</v>
      </c>
      <c r="C1959" s="172" t="s">
        <v>4482</v>
      </c>
      <c r="D1959" t="s">
        <v>71</v>
      </c>
      <c r="E1959" t="s">
        <v>24</v>
      </c>
      <c r="F1959" t="s">
        <v>3295</v>
      </c>
      <c r="G1959" t="s">
        <v>1691</v>
      </c>
      <c r="H1959" t="s">
        <v>1692</v>
      </c>
      <c r="I1959" s="130">
        <v>45467</v>
      </c>
      <c r="J1959" t="s">
        <v>13</v>
      </c>
      <c r="K1959">
        <v>20</v>
      </c>
      <c r="M19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59" t="str">
        <f>DO_DB[[#This Row],[Material Pick-update]]&amp;"_"&amp;DO_DB[[#This Row],[Material Name]]</f>
        <v>45467_FAT-16</v>
      </c>
      <c r="O1959" t="str">
        <f>DO_DB[[#This Row],[SiteID]]</f>
        <v>CLR51-99-044</v>
      </c>
      <c r="P1959" t="str">
        <f>DO_DB[[#This Row],[SiteID]]&amp;"_"&amp;DO_DB[[#This Row],[Material Name]]</f>
        <v>CLR51-99-044_FAT-16</v>
      </c>
      <c r="Q1959" t="str">
        <f>DO_DB[[#This Row],[DO Number]]</f>
        <v>DOEID240620EP</v>
      </c>
      <c r="R1959" t="str">
        <f>DO_DB[[#This Row],[DN Number]]</f>
        <v>DNWID0342024062018</v>
      </c>
    </row>
    <row r="1960" spans="1:18">
      <c r="A1960" t="s">
        <v>1705</v>
      </c>
      <c r="B1960" t="s">
        <v>1706</v>
      </c>
      <c r="C1960" s="172" t="s">
        <v>4482</v>
      </c>
      <c r="D1960" t="s">
        <v>71</v>
      </c>
      <c r="E1960" t="s">
        <v>24</v>
      </c>
      <c r="F1960" t="s">
        <v>3295</v>
      </c>
      <c r="G1960" t="s">
        <v>1715</v>
      </c>
      <c r="H1960" t="s">
        <v>1716</v>
      </c>
      <c r="I1960" s="130">
        <v>45481</v>
      </c>
      <c r="J1960" t="s">
        <v>13</v>
      </c>
      <c r="K1960">
        <v>31</v>
      </c>
      <c r="M19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60" t="str">
        <f>DO_DB[[#This Row],[Material Pick-update]]&amp;"_"&amp;DO_DB[[#This Row],[Material Name]]</f>
        <v>45481_FAT-16</v>
      </c>
      <c r="O1960" t="str">
        <f>DO_DB[[#This Row],[SiteID]]</f>
        <v>CLR51-99-063</v>
      </c>
      <c r="P1960" t="str">
        <f>DO_DB[[#This Row],[SiteID]]&amp;"_"&amp;DO_DB[[#This Row],[Material Name]]</f>
        <v>CLR51-99-063_FAT-16</v>
      </c>
      <c r="Q1960" t="str">
        <f>DO_DB[[#This Row],[DO Number]]</f>
        <v>DOEID24070182</v>
      </c>
      <c r="R1960" t="str">
        <f>DO_DB[[#This Row],[DN Number]]</f>
        <v>DNWID0342024070103</v>
      </c>
    </row>
    <row r="1961" spans="1:18">
      <c r="A1961" t="s">
        <v>1803</v>
      </c>
      <c r="B1961" t="s">
        <v>1804</v>
      </c>
      <c r="C1961" s="172" t="s">
        <v>4482</v>
      </c>
      <c r="D1961" t="s">
        <v>71</v>
      </c>
      <c r="E1961" t="s">
        <v>24</v>
      </c>
      <c r="F1961" t="s">
        <v>3295</v>
      </c>
      <c r="G1961" t="s">
        <v>1805</v>
      </c>
      <c r="H1961" t="s">
        <v>1806</v>
      </c>
      <c r="I1961" s="130">
        <v>45496</v>
      </c>
      <c r="J1961" t="s">
        <v>13</v>
      </c>
      <c r="K1961">
        <v>37</v>
      </c>
      <c r="M19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61" t="str">
        <f>DO_DB[[#This Row],[Material Pick-update]]&amp;"_"&amp;DO_DB[[#This Row],[Material Name]]</f>
        <v>45496_FAT-16</v>
      </c>
      <c r="O1961" t="str">
        <f>DO_DB[[#This Row],[SiteID]]</f>
        <v>CLR51-03-005</v>
      </c>
      <c r="P1961" t="str">
        <f>DO_DB[[#This Row],[SiteID]]&amp;"_"&amp;DO_DB[[#This Row],[Material Name]]</f>
        <v>CLR51-03-005_FAT-16</v>
      </c>
      <c r="Q1961" t="str">
        <f>DO_DB[[#This Row],[DO Number]]</f>
        <v>DOEID240722D0</v>
      </c>
      <c r="R1961" t="str">
        <f>DO_DB[[#This Row],[DN Number]]</f>
        <v>DNWID0342024072313</v>
      </c>
    </row>
    <row r="1962" spans="1:18">
      <c r="A1962" t="s">
        <v>1923</v>
      </c>
      <c r="B1962" t="s">
        <v>1924</v>
      </c>
      <c r="C1962" s="172" t="s">
        <v>4482</v>
      </c>
      <c r="D1962" t="s">
        <v>71</v>
      </c>
      <c r="E1962" t="s">
        <v>24</v>
      </c>
      <c r="F1962" t="s">
        <v>3295</v>
      </c>
      <c r="G1962" t="s">
        <v>1925</v>
      </c>
      <c r="H1962" t="s">
        <v>1926</v>
      </c>
      <c r="I1962" s="130">
        <v>45526</v>
      </c>
      <c r="J1962" t="s">
        <v>13</v>
      </c>
      <c r="K1962">
        <v>22</v>
      </c>
      <c r="M19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62" t="str">
        <f>DO_DB[[#This Row],[Material Pick-update]]&amp;"_"&amp;DO_DB[[#This Row],[Material Name]]</f>
        <v>45526_FAT-16</v>
      </c>
      <c r="O1962" t="str">
        <f>DO_DB[[#This Row],[SiteID]]</f>
        <v>CLR51-09-001</v>
      </c>
      <c r="P1962" t="str">
        <f>DO_DB[[#This Row],[SiteID]]&amp;"_"&amp;DO_DB[[#This Row],[Material Name]]</f>
        <v>CLR51-09-001_FAT-16</v>
      </c>
      <c r="Q1962" t="str">
        <f>DO_DB[[#This Row],[DO Number]]</f>
        <v>DOEID24081987</v>
      </c>
      <c r="R1962" t="str">
        <f>DO_DB[[#This Row],[DN Number]]</f>
        <v>DNWID0342024081906</v>
      </c>
    </row>
    <row r="1963" spans="1:18">
      <c r="A1963" t="s">
        <v>1911</v>
      </c>
      <c r="B1963" t="s">
        <v>1912</v>
      </c>
      <c r="C1963" s="172" t="s">
        <v>4482</v>
      </c>
      <c r="D1963" t="s">
        <v>71</v>
      </c>
      <c r="E1963" t="s">
        <v>24</v>
      </c>
      <c r="F1963" t="s">
        <v>3295</v>
      </c>
      <c r="G1963" t="s">
        <v>1915</v>
      </c>
      <c r="H1963" t="s">
        <v>1916</v>
      </c>
      <c r="I1963" s="130">
        <v>45526</v>
      </c>
      <c r="J1963" t="s">
        <v>13</v>
      </c>
      <c r="K1963">
        <v>15</v>
      </c>
      <c r="M19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63" t="str">
        <f>DO_DB[[#This Row],[Material Pick-update]]&amp;"_"&amp;DO_DB[[#This Row],[Material Name]]</f>
        <v>45526_FAT-16</v>
      </c>
      <c r="O1963" t="str">
        <f>DO_DB[[#This Row],[SiteID]]</f>
        <v>CLR51-09-009</v>
      </c>
      <c r="P1963" t="str">
        <f>DO_DB[[#This Row],[SiteID]]&amp;"_"&amp;DO_DB[[#This Row],[Material Name]]</f>
        <v>CLR51-09-009_FAT-16</v>
      </c>
      <c r="Q1963" t="str">
        <f>DO_DB[[#This Row],[DO Number]]</f>
        <v>DOEID24081989</v>
      </c>
      <c r="R1963" t="str">
        <f>DO_DB[[#This Row],[DN Number]]</f>
        <v>DNWID0342024081905</v>
      </c>
    </row>
    <row r="1964" spans="1:18">
      <c r="A1964" t="s">
        <v>1917</v>
      </c>
      <c r="B1964" t="s">
        <v>1918</v>
      </c>
      <c r="C1964" s="172" t="s">
        <v>4482</v>
      </c>
      <c r="D1964" t="s">
        <v>71</v>
      </c>
      <c r="E1964" t="s">
        <v>24</v>
      </c>
      <c r="F1964" t="s">
        <v>3295</v>
      </c>
      <c r="G1964" t="s">
        <v>1919</v>
      </c>
      <c r="H1964" t="s">
        <v>1920</v>
      </c>
      <c r="I1964" s="130">
        <v>45526</v>
      </c>
      <c r="J1964" t="s">
        <v>13</v>
      </c>
      <c r="K1964">
        <v>15</v>
      </c>
      <c r="M19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64" t="str">
        <f>DO_DB[[#This Row],[Material Pick-update]]&amp;"_"&amp;DO_DB[[#This Row],[Material Name]]</f>
        <v>45526_FAT-16</v>
      </c>
      <c r="O1964" t="str">
        <f>DO_DB[[#This Row],[SiteID]]</f>
        <v>CLR51-09-008</v>
      </c>
      <c r="P1964" t="str">
        <f>DO_DB[[#This Row],[SiteID]]&amp;"_"&amp;DO_DB[[#This Row],[Material Name]]</f>
        <v>CLR51-09-008_FAT-16</v>
      </c>
      <c r="Q1964" t="str">
        <f>DO_DB[[#This Row],[DO Number]]</f>
        <v>DOEID24081991</v>
      </c>
      <c r="R1964" t="str">
        <f>DO_DB[[#This Row],[DN Number]]</f>
        <v>DNWID0342024081907</v>
      </c>
    </row>
    <row r="1965" spans="1:18">
      <c r="A1965" t="s">
        <v>1929</v>
      </c>
      <c r="B1965" t="s">
        <v>1930</v>
      </c>
      <c r="C1965" s="172" t="s">
        <v>4482</v>
      </c>
      <c r="D1965" t="s">
        <v>71</v>
      </c>
      <c r="E1965" t="s">
        <v>24</v>
      </c>
      <c r="F1965" t="s">
        <v>3295</v>
      </c>
      <c r="G1965" t="s">
        <v>1931</v>
      </c>
      <c r="H1965" t="s">
        <v>1932</v>
      </c>
      <c r="I1965" s="130">
        <v>45526</v>
      </c>
      <c r="J1965" t="s">
        <v>13</v>
      </c>
      <c r="K1965">
        <v>38</v>
      </c>
      <c r="M19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65" t="str">
        <f>DO_DB[[#This Row],[Material Pick-update]]&amp;"_"&amp;DO_DB[[#This Row],[Material Name]]</f>
        <v>45526_FAT-16</v>
      </c>
      <c r="O1965" t="str">
        <f>DO_DB[[#This Row],[SiteID]]</f>
        <v>CLR51-03-010</v>
      </c>
      <c r="P1965" t="str">
        <f>DO_DB[[#This Row],[SiteID]]&amp;"_"&amp;DO_DB[[#This Row],[Material Name]]</f>
        <v>CLR51-03-010_FAT-16</v>
      </c>
      <c r="Q1965" t="str">
        <f>DO_DB[[#This Row],[DO Number]]</f>
        <v>DOEID24081996</v>
      </c>
      <c r="R1965" t="str">
        <f>DO_DB[[#This Row],[DN Number]]</f>
        <v>DNWID0342024081910</v>
      </c>
    </row>
    <row r="1966" spans="1:18">
      <c r="A1966" t="s">
        <v>1951</v>
      </c>
      <c r="B1966" t="s">
        <v>1952</v>
      </c>
      <c r="C1966" s="172" t="s">
        <v>4482</v>
      </c>
      <c r="D1966" t="s">
        <v>71</v>
      </c>
      <c r="E1966" t="s">
        <v>24</v>
      </c>
      <c r="F1966" t="s">
        <v>3295</v>
      </c>
      <c r="G1966" t="s">
        <v>2011</v>
      </c>
      <c r="H1966" t="s">
        <v>2012</v>
      </c>
      <c r="I1966" s="130">
        <v>45531</v>
      </c>
      <c r="J1966" t="s">
        <v>13</v>
      </c>
      <c r="K1966">
        <v>26</v>
      </c>
      <c r="M19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66" t="str">
        <f>DO_DB[[#This Row],[Material Pick-update]]&amp;"_"&amp;DO_DB[[#This Row],[Material Name]]</f>
        <v>45531_FAT-16</v>
      </c>
      <c r="O1966" t="str">
        <f>DO_DB[[#This Row],[SiteID]]</f>
        <v>CLR51-99-115</v>
      </c>
      <c r="P1966" t="str">
        <f>DO_DB[[#This Row],[SiteID]]&amp;"_"&amp;DO_DB[[#This Row],[Material Name]]</f>
        <v>CLR51-99-115_FAT-16</v>
      </c>
      <c r="Q1966" t="str">
        <f>DO_DB[[#This Row],[DO Number]]</f>
        <v>DOEID240822C5</v>
      </c>
      <c r="R1966" t="str">
        <f>DO_DB[[#This Row],[DN Number]]</f>
        <v>DNWID0342024082301</v>
      </c>
    </row>
    <row r="1967" spans="1:18">
      <c r="A1967" t="s">
        <v>2013</v>
      </c>
      <c r="B1967" t="s">
        <v>2014</v>
      </c>
      <c r="C1967" s="172" t="s">
        <v>4482</v>
      </c>
      <c r="D1967" t="s">
        <v>71</v>
      </c>
      <c r="E1967" t="s">
        <v>24</v>
      </c>
      <c r="F1967" t="s">
        <v>3295</v>
      </c>
      <c r="G1967" t="s">
        <v>2015</v>
      </c>
      <c r="H1967" t="s">
        <v>2016</v>
      </c>
      <c r="I1967" s="130">
        <v>45531</v>
      </c>
      <c r="J1967" t="s">
        <v>13</v>
      </c>
      <c r="K1967">
        <v>13</v>
      </c>
      <c r="M19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67" t="str">
        <f>DO_DB[[#This Row],[Material Pick-update]]&amp;"_"&amp;DO_DB[[#This Row],[Material Name]]</f>
        <v>45531_FAT-16</v>
      </c>
      <c r="O1967" t="str">
        <f>DO_DB[[#This Row],[SiteID]]</f>
        <v>CLR51-99-049</v>
      </c>
      <c r="P1967" t="str">
        <f>DO_DB[[#This Row],[SiteID]]&amp;"_"&amp;DO_DB[[#This Row],[Material Name]]</f>
        <v>CLR51-99-049_FAT-16</v>
      </c>
      <c r="Q1967" t="str">
        <f>DO_DB[[#This Row],[DO Number]]</f>
        <v>DOEID240826HB</v>
      </c>
      <c r="R1967" t="str">
        <f>DO_DB[[#This Row],[DN Number]]</f>
        <v>DNWID0342024082707</v>
      </c>
    </row>
    <row r="1968" spans="1:18">
      <c r="A1968" t="s">
        <v>2007</v>
      </c>
      <c r="B1968" t="s">
        <v>2008</v>
      </c>
      <c r="C1968" s="172" t="s">
        <v>4482</v>
      </c>
      <c r="D1968" t="s">
        <v>71</v>
      </c>
      <c r="E1968" t="s">
        <v>24</v>
      </c>
      <c r="F1968" t="s">
        <v>3295</v>
      </c>
      <c r="G1968" t="s">
        <v>2009</v>
      </c>
      <c r="H1968" t="s">
        <v>2010</v>
      </c>
      <c r="I1968" s="130">
        <v>45531</v>
      </c>
      <c r="J1968" t="s">
        <v>13</v>
      </c>
      <c r="K1968">
        <v>7</v>
      </c>
      <c r="M19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68" t="str">
        <f>DO_DB[[#This Row],[Material Pick-update]]&amp;"_"&amp;DO_DB[[#This Row],[Material Name]]</f>
        <v>45531_FAT-16</v>
      </c>
      <c r="O1968" t="str">
        <f>DO_DB[[#This Row],[SiteID]]</f>
        <v>CLR51-02-016</v>
      </c>
      <c r="P1968" t="str">
        <f>DO_DB[[#This Row],[SiteID]]&amp;"_"&amp;DO_DB[[#This Row],[Material Name]]</f>
        <v>CLR51-02-016_FAT-16</v>
      </c>
      <c r="Q1968" t="str">
        <f>DO_DB[[#This Row],[DO Number]]</f>
        <v>DOEID240826HC</v>
      </c>
      <c r="R1968" t="str">
        <f>DO_DB[[#This Row],[DN Number]]</f>
        <v>DNWID0342024082704</v>
      </c>
    </row>
    <row r="1969" spans="1:18">
      <c r="A1969" t="s">
        <v>2025</v>
      </c>
      <c r="B1969" t="s">
        <v>2026</v>
      </c>
      <c r="C1969" s="172" t="s">
        <v>4482</v>
      </c>
      <c r="D1969" t="s">
        <v>71</v>
      </c>
      <c r="E1969" t="s">
        <v>24</v>
      </c>
      <c r="F1969" t="s">
        <v>3295</v>
      </c>
      <c r="G1969" t="s">
        <v>2027</v>
      </c>
      <c r="H1969" t="s">
        <v>2028</v>
      </c>
      <c r="I1969" s="130">
        <v>45531</v>
      </c>
      <c r="J1969" t="s">
        <v>13</v>
      </c>
      <c r="K1969">
        <v>7</v>
      </c>
      <c r="M19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69" t="str">
        <f>DO_DB[[#This Row],[Material Pick-update]]&amp;"_"&amp;DO_DB[[#This Row],[Material Name]]</f>
        <v>45531_FAT-16</v>
      </c>
      <c r="O1969" t="str">
        <f>DO_DB[[#This Row],[SiteID]]</f>
        <v>CLR51-99-118</v>
      </c>
      <c r="P1969" t="str">
        <f>DO_DB[[#This Row],[SiteID]]&amp;"_"&amp;DO_DB[[#This Row],[Material Name]]</f>
        <v>CLR51-99-118_FAT-16</v>
      </c>
      <c r="Q1969" t="str">
        <f>DO_DB[[#This Row],[DO Number]]</f>
        <v>DOEID240826HD</v>
      </c>
      <c r="R1969" t="str">
        <f>DO_DB[[#This Row],[DN Number]]</f>
        <v>DNWID0342024082709</v>
      </c>
    </row>
    <row r="1970" spans="1:18">
      <c r="A1970" t="s">
        <v>2001</v>
      </c>
      <c r="B1970" t="s">
        <v>2002</v>
      </c>
      <c r="C1970" s="172" t="s">
        <v>4482</v>
      </c>
      <c r="D1970" t="s">
        <v>71</v>
      </c>
      <c r="E1970" t="s">
        <v>24</v>
      </c>
      <c r="F1970" t="s">
        <v>3295</v>
      </c>
      <c r="G1970" t="s">
        <v>2003</v>
      </c>
      <c r="H1970" t="s">
        <v>2004</v>
      </c>
      <c r="I1970" s="130">
        <v>45531</v>
      </c>
      <c r="J1970" t="s">
        <v>13</v>
      </c>
      <c r="K1970">
        <v>5</v>
      </c>
      <c r="M19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70" t="str">
        <f>DO_DB[[#This Row],[Material Pick-update]]&amp;"_"&amp;DO_DB[[#This Row],[Material Name]]</f>
        <v>45531_FAT-16</v>
      </c>
      <c r="O1970" t="str">
        <f>DO_DB[[#This Row],[SiteID]]</f>
        <v>CLR51-02-017</v>
      </c>
      <c r="P1970" t="str">
        <f>DO_DB[[#This Row],[SiteID]]&amp;"_"&amp;DO_DB[[#This Row],[Material Name]]</f>
        <v>CLR51-02-017_FAT-16</v>
      </c>
      <c r="Q1970" t="str">
        <f>DO_DB[[#This Row],[DO Number]]</f>
        <v>DOEID240826HE</v>
      </c>
      <c r="R1970" t="str">
        <f>DO_DB[[#This Row],[DN Number]]</f>
        <v>DNWID0342024082702</v>
      </c>
    </row>
    <row r="1971" spans="1:18">
      <c r="A1971" t="s">
        <v>2019</v>
      </c>
      <c r="B1971" t="s">
        <v>2020</v>
      </c>
      <c r="C1971" s="172" t="s">
        <v>4482</v>
      </c>
      <c r="D1971" t="s">
        <v>71</v>
      </c>
      <c r="E1971" t="s">
        <v>25</v>
      </c>
      <c r="F1971" t="s">
        <v>3295</v>
      </c>
      <c r="G1971" t="s">
        <v>2023</v>
      </c>
      <c r="H1971" t="s">
        <v>2024</v>
      </c>
      <c r="I1971" s="130">
        <v>45531</v>
      </c>
      <c r="J1971" t="s">
        <v>13</v>
      </c>
      <c r="K1971">
        <v>36</v>
      </c>
      <c r="M19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71" t="str">
        <f>DO_DB[[#This Row],[Material Pick-update]]&amp;"_"&amp;DO_DB[[#This Row],[Material Name]]</f>
        <v>45531_FAT-16</v>
      </c>
      <c r="O1971" t="str">
        <f>DO_DB[[#This Row],[SiteID]]</f>
        <v>CLR64-01-010</v>
      </c>
      <c r="P1971" t="str">
        <f>DO_DB[[#This Row],[SiteID]]&amp;"_"&amp;DO_DB[[#This Row],[Material Name]]</f>
        <v>CLR64-01-010_FAT-16</v>
      </c>
      <c r="Q1971" t="str">
        <f>DO_DB[[#This Row],[DO Number]]</f>
        <v>DOEID240826HU</v>
      </c>
      <c r="R1971" t="str">
        <f>DO_DB[[#This Row],[DN Number]]</f>
        <v>DNWID0342024082711</v>
      </c>
    </row>
    <row r="1972" spans="1:18">
      <c r="A1972" t="s">
        <v>2166</v>
      </c>
      <c r="B1972" t="s">
        <v>2167</v>
      </c>
      <c r="C1972" s="172" t="s">
        <v>4482</v>
      </c>
      <c r="D1972" t="s">
        <v>71</v>
      </c>
      <c r="E1972" t="s">
        <v>24</v>
      </c>
      <c r="F1972" t="s">
        <v>3295</v>
      </c>
      <c r="G1972" t="s">
        <v>2170</v>
      </c>
      <c r="H1972" t="s">
        <v>2171</v>
      </c>
      <c r="I1972" s="130">
        <v>45555</v>
      </c>
      <c r="J1972" t="s">
        <v>13</v>
      </c>
      <c r="K1972">
        <v>22</v>
      </c>
      <c r="M19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72" t="str">
        <f>DO_DB[[#This Row],[Material Pick-update]]&amp;"_"&amp;DO_DB[[#This Row],[Material Name]]</f>
        <v>45555_FAT-16</v>
      </c>
      <c r="O1972" t="str">
        <f>DO_DB[[#This Row],[SiteID]]</f>
        <v>CLR51-03-006</v>
      </c>
      <c r="P1972" t="str">
        <f>DO_DB[[#This Row],[SiteID]]&amp;"_"&amp;DO_DB[[#This Row],[Material Name]]</f>
        <v>CLR51-03-006_FAT-16</v>
      </c>
      <c r="Q1972" t="str">
        <f>DO_DB[[#This Row],[DO Number]]</f>
        <v>DOEID24092015</v>
      </c>
      <c r="R1972" t="str">
        <f>DO_DB[[#This Row],[DN Number]]</f>
        <v>DNWID0342024092001</v>
      </c>
    </row>
    <row r="1973" spans="1:18">
      <c r="A1973" t="s">
        <v>2160</v>
      </c>
      <c r="B1973" t="s">
        <v>2161</v>
      </c>
      <c r="C1973" s="172" t="s">
        <v>4482</v>
      </c>
      <c r="D1973" t="s">
        <v>71</v>
      </c>
      <c r="E1973" t="s">
        <v>24</v>
      </c>
      <c r="F1973" t="s">
        <v>3295</v>
      </c>
      <c r="G1973" t="s">
        <v>2172</v>
      </c>
      <c r="H1973" t="s">
        <v>2173</v>
      </c>
      <c r="I1973" s="130">
        <v>45555</v>
      </c>
      <c r="J1973" t="s">
        <v>13</v>
      </c>
      <c r="K1973">
        <v>10</v>
      </c>
      <c r="M19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73" t="str">
        <f>DO_DB[[#This Row],[Material Pick-update]]&amp;"_"&amp;DO_DB[[#This Row],[Material Name]]</f>
        <v>45555_FAT-16</v>
      </c>
      <c r="O1973" t="str">
        <f>DO_DB[[#This Row],[SiteID]]</f>
        <v>CLR51-99-122</v>
      </c>
      <c r="P1973" t="str">
        <f>DO_DB[[#This Row],[SiteID]]&amp;"_"&amp;DO_DB[[#This Row],[Material Name]]</f>
        <v>CLR51-99-122_FAT-16</v>
      </c>
      <c r="Q1973" t="str">
        <f>DO_DB[[#This Row],[DO Number]]</f>
        <v>DOEID24092017</v>
      </c>
      <c r="R1973" t="str">
        <f>DO_DB[[#This Row],[DN Number]]</f>
        <v>DNWID0342024092002</v>
      </c>
    </row>
    <row r="1974" spans="1:18">
      <c r="A1974" t="s">
        <v>2350</v>
      </c>
      <c r="B1974" t="s">
        <v>2351</v>
      </c>
      <c r="C1974" s="172" t="s">
        <v>4482</v>
      </c>
      <c r="D1974" t="s">
        <v>71</v>
      </c>
      <c r="E1974" t="s">
        <v>24</v>
      </c>
      <c r="F1974" t="s">
        <v>3295</v>
      </c>
      <c r="G1974" t="s">
        <v>2358</v>
      </c>
      <c r="H1974" t="s">
        <v>2359</v>
      </c>
      <c r="I1974" s="130">
        <v>45602</v>
      </c>
      <c r="J1974" t="s">
        <v>13</v>
      </c>
      <c r="K1974">
        <v>10</v>
      </c>
      <c r="M19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74" t="str">
        <f>DO_DB[[#This Row],[Material Pick-update]]&amp;"_"&amp;DO_DB[[#This Row],[Material Name]]</f>
        <v>45602_FAT-16</v>
      </c>
      <c r="O1974" t="str">
        <f>DO_DB[[#This Row],[SiteID]]</f>
        <v>CLR51-01-009</v>
      </c>
      <c r="P1974" t="str">
        <f>DO_DB[[#This Row],[SiteID]]&amp;"_"&amp;DO_DB[[#This Row],[Material Name]]</f>
        <v>CLR51-01-009_FAT-16</v>
      </c>
      <c r="Q1974" t="str">
        <f>DO_DB[[#This Row],[DO Number]]</f>
        <v>DOEID24110550</v>
      </c>
      <c r="R1974" t="str">
        <f>DO_DB[[#This Row],[DN Number]]</f>
        <v>DNWID0342024110505</v>
      </c>
    </row>
    <row r="1975" spans="1:18">
      <c r="A1975" t="s">
        <v>2360</v>
      </c>
      <c r="B1975" t="s">
        <v>2361</v>
      </c>
      <c r="C1975" s="172" t="s">
        <v>4482</v>
      </c>
      <c r="D1975" t="s">
        <v>71</v>
      </c>
      <c r="E1975" t="s">
        <v>24</v>
      </c>
      <c r="F1975" t="s">
        <v>3295</v>
      </c>
      <c r="G1975" t="s">
        <v>2362</v>
      </c>
      <c r="H1975" t="s">
        <v>2363</v>
      </c>
      <c r="I1975" s="130">
        <v>45602</v>
      </c>
      <c r="J1975" t="s">
        <v>13</v>
      </c>
      <c r="K1975">
        <v>29</v>
      </c>
      <c r="M19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75" t="str">
        <f>DO_DB[[#This Row],[Material Pick-update]]&amp;"_"&amp;DO_DB[[#This Row],[Material Name]]</f>
        <v>45602_FAT-16</v>
      </c>
      <c r="O1975" t="str">
        <f>DO_DB[[#This Row],[SiteID]]</f>
        <v>CLR51-99-123</v>
      </c>
      <c r="P1975" t="str">
        <f>DO_DB[[#This Row],[SiteID]]&amp;"_"&amp;DO_DB[[#This Row],[Material Name]]</f>
        <v>CLR51-99-123_FAT-16</v>
      </c>
      <c r="Q1975" t="str">
        <f>DO_DB[[#This Row],[DO Number]]</f>
        <v>DOEID24110552</v>
      </c>
      <c r="R1975" t="str">
        <f>DO_DB[[#This Row],[DN Number]]</f>
        <v>DNWID0342024110504</v>
      </c>
    </row>
    <row r="1976" spans="1:18">
      <c r="A1976" t="s">
        <v>2502</v>
      </c>
      <c r="B1976" t="s">
        <v>2503</v>
      </c>
      <c r="C1976" s="172" t="s">
        <v>4482</v>
      </c>
      <c r="D1976" t="s">
        <v>71</v>
      </c>
      <c r="E1976" t="s">
        <v>24</v>
      </c>
      <c r="F1976" t="s">
        <v>3295</v>
      </c>
      <c r="G1976" t="s">
        <v>2506</v>
      </c>
      <c r="H1976" t="s">
        <v>2507</v>
      </c>
      <c r="I1976" s="130">
        <v>45622</v>
      </c>
      <c r="J1976" t="s">
        <v>13</v>
      </c>
      <c r="K1976">
        <v>14</v>
      </c>
      <c r="M19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76" t="str">
        <f>DO_DB[[#This Row],[Material Pick-update]]&amp;"_"&amp;DO_DB[[#This Row],[Material Name]]</f>
        <v>45622_FAT-16</v>
      </c>
      <c r="O1976" t="str">
        <f>DO_DB[[#This Row],[SiteID]]</f>
        <v>CLR51-09-010</v>
      </c>
      <c r="P1976" t="str">
        <f>DO_DB[[#This Row],[SiteID]]&amp;"_"&amp;DO_DB[[#This Row],[Material Name]]</f>
        <v>CLR51-09-010_FAT-16</v>
      </c>
      <c r="Q1976" t="str">
        <f>DO_DB[[#This Row],[DO Number]]</f>
        <v>DOEID241121BN</v>
      </c>
      <c r="R1976" t="str">
        <f>DO_DB[[#This Row],[DN Number]]</f>
        <v>DNWID0342024112205</v>
      </c>
    </row>
    <row r="1977" spans="1:18">
      <c r="A1977" t="s">
        <v>2508</v>
      </c>
      <c r="B1977" t="s">
        <v>2509</v>
      </c>
      <c r="C1977" s="172" t="s">
        <v>4482</v>
      </c>
      <c r="D1977" t="s">
        <v>71</v>
      </c>
      <c r="E1977" t="s">
        <v>24</v>
      </c>
      <c r="F1977" t="s">
        <v>3295</v>
      </c>
      <c r="G1977" t="s">
        <v>2512</v>
      </c>
      <c r="H1977" t="s">
        <v>2513</v>
      </c>
      <c r="I1977" s="130">
        <v>45622</v>
      </c>
      <c r="J1977" t="s">
        <v>13</v>
      </c>
      <c r="K1977">
        <v>11</v>
      </c>
      <c r="M19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77" t="str">
        <f>DO_DB[[#This Row],[Material Pick-update]]&amp;"_"&amp;DO_DB[[#This Row],[Material Name]]</f>
        <v>45622_FAT-16</v>
      </c>
      <c r="O1977" t="str">
        <f>DO_DB[[#This Row],[SiteID]]</f>
        <v>CLR51-09-011</v>
      </c>
      <c r="P1977" t="str">
        <f>DO_DB[[#This Row],[SiteID]]&amp;"_"&amp;DO_DB[[#This Row],[Material Name]]</f>
        <v>CLR51-09-011_FAT-16</v>
      </c>
      <c r="Q1977" t="str">
        <f>DO_DB[[#This Row],[DO Number]]</f>
        <v>DOEID241121BP</v>
      </c>
      <c r="R1977" t="str">
        <f>DO_DB[[#This Row],[DN Number]]</f>
        <v>DNWID0342024112204</v>
      </c>
    </row>
    <row r="1978" spans="1:18">
      <c r="A1978" t="s">
        <v>2514</v>
      </c>
      <c r="B1978" t="s">
        <v>2515</v>
      </c>
      <c r="C1978" s="172" t="s">
        <v>4482</v>
      </c>
      <c r="D1978" t="s">
        <v>71</v>
      </c>
      <c r="E1978" t="s">
        <v>24</v>
      </c>
      <c r="F1978" t="s">
        <v>3295</v>
      </c>
      <c r="G1978" t="s">
        <v>2518</v>
      </c>
      <c r="H1978" t="s">
        <v>2519</v>
      </c>
      <c r="I1978" s="130">
        <v>45622</v>
      </c>
      <c r="J1978" t="s">
        <v>13</v>
      </c>
      <c r="K1978">
        <v>17</v>
      </c>
      <c r="M19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78" t="str">
        <f>DO_DB[[#This Row],[Material Pick-update]]&amp;"_"&amp;DO_DB[[#This Row],[Material Name]]</f>
        <v>45622_FAT-16</v>
      </c>
      <c r="O1978" t="str">
        <f>DO_DB[[#This Row],[SiteID]]</f>
        <v>CLR51-09-012</v>
      </c>
      <c r="P1978" t="str">
        <f>DO_DB[[#This Row],[SiteID]]&amp;"_"&amp;DO_DB[[#This Row],[Material Name]]</f>
        <v>CLR51-09-012_FAT-16</v>
      </c>
      <c r="Q1978" t="str">
        <f>DO_DB[[#This Row],[DO Number]]</f>
        <v>DOEID241121BR</v>
      </c>
      <c r="R1978" t="str">
        <f>DO_DB[[#This Row],[DN Number]]</f>
        <v>DNWID0342024112203</v>
      </c>
    </row>
    <row r="1979" spans="1:18">
      <c r="A1979" t="s">
        <v>2520</v>
      </c>
      <c r="B1979" t="s">
        <v>2521</v>
      </c>
      <c r="C1979" s="172" t="s">
        <v>4482</v>
      </c>
      <c r="D1979" t="s">
        <v>71</v>
      </c>
      <c r="E1979" t="s">
        <v>24</v>
      </c>
      <c r="F1979" t="s">
        <v>3295</v>
      </c>
      <c r="G1979" t="s">
        <v>2524</v>
      </c>
      <c r="H1979" t="s">
        <v>2525</v>
      </c>
      <c r="I1979" s="130">
        <v>45622</v>
      </c>
      <c r="J1979" t="s">
        <v>13</v>
      </c>
      <c r="K1979">
        <v>12</v>
      </c>
      <c r="M19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79" t="str">
        <f>DO_DB[[#This Row],[Material Pick-update]]&amp;"_"&amp;DO_DB[[#This Row],[Material Name]]</f>
        <v>45622_FAT-16</v>
      </c>
      <c r="O1979" t="str">
        <f>DO_DB[[#This Row],[SiteID]]</f>
        <v>CLR51-99-124</v>
      </c>
      <c r="P1979" t="str">
        <f>DO_DB[[#This Row],[SiteID]]&amp;"_"&amp;DO_DB[[#This Row],[Material Name]]</f>
        <v>CLR51-99-124_FAT-16</v>
      </c>
      <c r="Q1979" t="str">
        <f>DO_DB[[#This Row],[DO Number]]</f>
        <v>DOEID24112584</v>
      </c>
      <c r="R1979" t="str">
        <f>DO_DB[[#This Row],[DN Number]]</f>
        <v>DNWID0342024112505</v>
      </c>
    </row>
    <row r="1980" spans="1:18">
      <c r="A1980" t="s">
        <v>2539</v>
      </c>
      <c r="B1980" t="s">
        <v>2540</v>
      </c>
      <c r="C1980" s="172" t="s">
        <v>4482</v>
      </c>
      <c r="D1980" t="s">
        <v>71</v>
      </c>
      <c r="E1980" t="s">
        <v>24</v>
      </c>
      <c r="F1980" t="s">
        <v>3295</v>
      </c>
      <c r="G1980" t="s">
        <v>2553</v>
      </c>
      <c r="H1980" t="s">
        <v>2554</v>
      </c>
      <c r="I1980" s="130">
        <v>45642</v>
      </c>
      <c r="J1980" t="s">
        <v>13</v>
      </c>
      <c r="K1980">
        <v>12</v>
      </c>
      <c r="M19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80" t="str">
        <f>DO_DB[[#This Row],[Material Pick-update]]&amp;"_"&amp;DO_DB[[#This Row],[Material Name]]</f>
        <v>45642_FAT-16</v>
      </c>
      <c r="O1980" t="str">
        <f>DO_DB[[#This Row],[SiteID]]</f>
        <v>CLR51-09-004</v>
      </c>
      <c r="P1980" t="str">
        <f>DO_DB[[#This Row],[SiteID]]&amp;"_"&amp;DO_DB[[#This Row],[Material Name]]</f>
        <v>CLR51-09-004_FAT-16</v>
      </c>
      <c r="Q1980" t="str">
        <f>DO_DB[[#This Row],[DO Number]]</f>
        <v>DOEID24121389</v>
      </c>
      <c r="R1980" t="str">
        <f>DO_DB[[#This Row],[DN Number]]</f>
        <v>DNWID0342024121401</v>
      </c>
    </row>
    <row r="1981" spans="1:18">
      <c r="A1981" t="s">
        <v>2549</v>
      </c>
      <c r="B1981" t="s">
        <v>2550</v>
      </c>
      <c r="C1981" s="172" t="s">
        <v>4482</v>
      </c>
      <c r="D1981" t="s">
        <v>71</v>
      </c>
      <c r="E1981" t="s">
        <v>24</v>
      </c>
      <c r="F1981" t="s">
        <v>3295</v>
      </c>
      <c r="G1981" t="s">
        <v>2555</v>
      </c>
      <c r="H1981" t="s">
        <v>2556</v>
      </c>
      <c r="I1981" s="130">
        <v>45642</v>
      </c>
      <c r="J1981" t="s">
        <v>13</v>
      </c>
      <c r="K1981">
        <v>6</v>
      </c>
      <c r="M19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81" t="str">
        <f>DO_DB[[#This Row],[Material Pick-update]]&amp;"_"&amp;DO_DB[[#This Row],[Material Name]]</f>
        <v>45642_FAT-16</v>
      </c>
      <c r="O1981" t="str">
        <f>DO_DB[[#This Row],[SiteID]]</f>
        <v>CLR51-09-007</v>
      </c>
      <c r="P1981" t="str">
        <f>DO_DB[[#This Row],[SiteID]]&amp;"_"&amp;DO_DB[[#This Row],[Material Name]]</f>
        <v>CLR51-09-007_FAT-16</v>
      </c>
      <c r="Q1981" t="str">
        <f>DO_DB[[#This Row],[DO Number]]</f>
        <v>DOEID24121391</v>
      </c>
      <c r="R1981" t="str">
        <f>DO_DB[[#This Row],[DN Number]]</f>
        <v>DNWID0342024121307</v>
      </c>
    </row>
    <row r="1982" spans="1:18">
      <c r="A1982" t="s">
        <v>2535</v>
      </c>
      <c r="B1982" t="s">
        <v>2536</v>
      </c>
      <c r="C1982" s="172" t="s">
        <v>4482</v>
      </c>
      <c r="D1982" t="s">
        <v>71</v>
      </c>
      <c r="E1982" t="s">
        <v>24</v>
      </c>
      <c r="F1982" t="s">
        <v>3295</v>
      </c>
      <c r="G1982" t="s">
        <v>2537</v>
      </c>
      <c r="H1982" t="s">
        <v>2538</v>
      </c>
      <c r="I1982" s="130">
        <v>45642</v>
      </c>
      <c r="J1982" t="s">
        <v>13</v>
      </c>
      <c r="K1982">
        <v>18</v>
      </c>
      <c r="M19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82" t="str">
        <f>DO_DB[[#This Row],[Material Pick-update]]&amp;"_"&amp;DO_DB[[#This Row],[Material Name]]</f>
        <v>45642_FAT-16</v>
      </c>
      <c r="O1982" t="str">
        <f>DO_DB[[#This Row],[SiteID]]</f>
        <v>CLR51-99-056</v>
      </c>
      <c r="P1982" t="str">
        <f>DO_DB[[#This Row],[SiteID]]&amp;"_"&amp;DO_DB[[#This Row],[Material Name]]</f>
        <v>CLR51-99-056_FAT-16</v>
      </c>
      <c r="Q1982" t="str">
        <f>DO_DB[[#This Row],[DO Number]]</f>
        <v>DOEID24121393</v>
      </c>
      <c r="R1982" t="str">
        <f>DO_DB[[#This Row],[DN Number]]</f>
        <v>DNWID0342024121303</v>
      </c>
    </row>
    <row r="1983" spans="1:18">
      <c r="A1983" t="s">
        <v>2543</v>
      </c>
      <c r="B1983" t="s">
        <v>2544</v>
      </c>
      <c r="C1983" s="172" t="s">
        <v>4482</v>
      </c>
      <c r="D1983" t="s">
        <v>71</v>
      </c>
      <c r="E1983" t="s">
        <v>24</v>
      </c>
      <c r="F1983" t="s">
        <v>3295</v>
      </c>
      <c r="G1983" t="s">
        <v>2557</v>
      </c>
      <c r="H1983" t="s">
        <v>2558</v>
      </c>
      <c r="I1983" s="130">
        <v>45642</v>
      </c>
      <c r="J1983" t="s">
        <v>13</v>
      </c>
      <c r="K1983">
        <v>13</v>
      </c>
      <c r="M19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83" t="str">
        <f>DO_DB[[#This Row],[Material Pick-update]]&amp;"_"&amp;DO_DB[[#This Row],[Material Name]]</f>
        <v>45642_FAT-16</v>
      </c>
      <c r="O1983" t="str">
        <f>DO_DB[[#This Row],[SiteID]]</f>
        <v>CLR51-99-058</v>
      </c>
      <c r="P1983" t="str">
        <f>DO_DB[[#This Row],[SiteID]]&amp;"_"&amp;DO_DB[[#This Row],[Material Name]]</f>
        <v>CLR51-99-058_FAT-16</v>
      </c>
      <c r="Q1983" t="str">
        <f>DO_DB[[#This Row],[DO Number]]</f>
        <v>DOEID24121395</v>
      </c>
      <c r="R1983" t="str">
        <f>DO_DB[[#This Row],[DN Number]]</f>
        <v>DNWID0342024121304</v>
      </c>
    </row>
    <row r="1984" spans="1:18">
      <c r="A1984" t="s">
        <v>2633</v>
      </c>
      <c r="B1984" t="s">
        <v>2634</v>
      </c>
      <c r="C1984" s="172" t="s">
        <v>4482</v>
      </c>
      <c r="D1984" t="s">
        <v>71</v>
      </c>
      <c r="E1984" t="s">
        <v>24</v>
      </c>
      <c r="F1984" t="s">
        <v>3295</v>
      </c>
      <c r="G1984" t="s">
        <v>2635</v>
      </c>
      <c r="H1984" t="s">
        <v>2636</v>
      </c>
      <c r="I1984" s="130">
        <v>45693</v>
      </c>
      <c r="J1984" t="s">
        <v>13</v>
      </c>
      <c r="K1984">
        <v>7</v>
      </c>
      <c r="M19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84" t="str">
        <f>DO_DB[[#This Row],[Material Pick-update]]&amp;"_"&amp;DO_DB[[#This Row],[Material Name]]</f>
        <v>45693_FAT-16</v>
      </c>
      <c r="O1984" t="str">
        <f>DO_DB[[#This Row],[SiteID]]</f>
        <v>CLR51-99-050</v>
      </c>
      <c r="P1984" t="str">
        <f>DO_DB[[#This Row],[SiteID]]&amp;"_"&amp;DO_DB[[#This Row],[Material Name]]</f>
        <v>CLR51-99-050_FAT-16</v>
      </c>
      <c r="Q1984" t="str">
        <f>DO_DB[[#This Row],[DO Number]]</f>
        <v>DOEID25020563</v>
      </c>
      <c r="R1984" t="str">
        <f>DO_DB[[#This Row],[DN Number]]</f>
        <v>DNWID0342025020501</v>
      </c>
    </row>
    <row r="1985" spans="1:18">
      <c r="A1985" t="s">
        <v>2648</v>
      </c>
      <c r="B1985" t="s">
        <v>2649</v>
      </c>
      <c r="C1985" s="172" t="s">
        <v>4482</v>
      </c>
      <c r="D1985" t="s">
        <v>71</v>
      </c>
      <c r="E1985" t="s">
        <v>24</v>
      </c>
      <c r="F1985" t="s">
        <v>3295</v>
      </c>
      <c r="G1985" t="s">
        <v>2650</v>
      </c>
      <c r="H1985" t="s">
        <v>2651</v>
      </c>
      <c r="I1985" s="130">
        <v>45707</v>
      </c>
      <c r="J1985" t="s">
        <v>13</v>
      </c>
      <c r="K1985">
        <v>20</v>
      </c>
      <c r="M19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85" t="str">
        <f>DO_DB[[#This Row],[Material Pick-update]]&amp;"_"&amp;DO_DB[[#This Row],[Material Name]]</f>
        <v>45707_FAT-16</v>
      </c>
      <c r="O1985" t="str">
        <f>DO_DB[[#This Row],[SiteID]]</f>
        <v>CLR51-08-007</v>
      </c>
      <c r="P1985" t="str">
        <f>DO_DB[[#This Row],[SiteID]]&amp;"_"&amp;DO_DB[[#This Row],[Material Name]]</f>
        <v>CLR51-08-007_FAT-16</v>
      </c>
      <c r="Q1985" t="str">
        <f>DO_DB[[#This Row],[DO Number]]</f>
        <v>DOEID25021853</v>
      </c>
      <c r="R1985" t="str">
        <f>DO_DB[[#This Row],[DN Number]]</f>
        <v>DNWID0342025021804</v>
      </c>
    </row>
    <row r="1986" spans="1:18">
      <c r="A1986" t="s">
        <v>2664</v>
      </c>
      <c r="B1986" t="s">
        <v>2665</v>
      </c>
      <c r="C1986" s="172" t="s">
        <v>4482</v>
      </c>
      <c r="D1986" t="s">
        <v>71</v>
      </c>
      <c r="E1986" t="s">
        <v>24</v>
      </c>
      <c r="F1986" t="s">
        <v>3295</v>
      </c>
      <c r="G1986" t="s">
        <v>2666</v>
      </c>
      <c r="H1986" t="s">
        <v>2667</v>
      </c>
      <c r="I1986" s="130">
        <v>45735</v>
      </c>
      <c r="J1986" t="s">
        <v>13</v>
      </c>
      <c r="K1986">
        <v>17</v>
      </c>
      <c r="M19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86" t="str">
        <f>DO_DB[[#This Row],[Material Pick-update]]&amp;"_"&amp;DO_DB[[#This Row],[Material Name]]</f>
        <v>45735_FAT-16</v>
      </c>
      <c r="O1986" t="str">
        <f>DO_DB[[#This Row],[SiteID]]</f>
        <v>CLR51-99-140</v>
      </c>
      <c r="P1986" t="str">
        <f>DO_DB[[#This Row],[SiteID]]&amp;"_"&amp;DO_DB[[#This Row],[Material Name]]</f>
        <v>CLR51-99-140_FAT-16</v>
      </c>
      <c r="Q1986" t="str">
        <f>DO_DB[[#This Row],[DO Number]]</f>
        <v>DOEID25031898</v>
      </c>
      <c r="R1986" t="str">
        <f>DO_DB[[#This Row],[DN Number]]</f>
        <v>DNWID0342025031811</v>
      </c>
    </row>
    <row r="1987" spans="1:18">
      <c r="A1987" t="s">
        <v>2668</v>
      </c>
      <c r="B1987" t="s">
        <v>2669</v>
      </c>
      <c r="C1987" s="172" t="s">
        <v>4482</v>
      </c>
      <c r="D1987" t="s">
        <v>71</v>
      </c>
      <c r="E1987" t="s">
        <v>24</v>
      </c>
      <c r="F1987" t="s">
        <v>3295</v>
      </c>
      <c r="G1987" t="s">
        <v>2670</v>
      </c>
      <c r="H1987" t="s">
        <v>2671</v>
      </c>
      <c r="I1987" s="130">
        <v>45735</v>
      </c>
      <c r="J1987" t="s">
        <v>13</v>
      </c>
      <c r="K1987">
        <v>15</v>
      </c>
      <c r="M19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87" t="str">
        <f>DO_DB[[#This Row],[Material Pick-update]]&amp;"_"&amp;DO_DB[[#This Row],[Material Name]]</f>
        <v>45735_FAT-16</v>
      </c>
      <c r="O1987" t="str">
        <f>DO_DB[[#This Row],[SiteID]]</f>
        <v>CLR51-99-141</v>
      </c>
      <c r="P1987" t="str">
        <f>DO_DB[[#This Row],[SiteID]]&amp;"_"&amp;DO_DB[[#This Row],[Material Name]]</f>
        <v>CLR51-99-141_FAT-16</v>
      </c>
      <c r="Q1987" t="str">
        <f>DO_DB[[#This Row],[DO Number]]</f>
        <v>DOEID25031899</v>
      </c>
      <c r="R1987" t="str">
        <f>DO_DB[[#This Row],[DN Number]]</f>
        <v>DNWID0342025031809</v>
      </c>
    </row>
    <row r="1988" spans="1:18">
      <c r="A1988" t="s">
        <v>2660</v>
      </c>
      <c r="B1988" t="s">
        <v>2661</v>
      </c>
      <c r="C1988" s="172" t="s">
        <v>4482</v>
      </c>
      <c r="D1988" t="s">
        <v>71</v>
      </c>
      <c r="E1988" t="e">
        <v>#N/A</v>
      </c>
      <c r="F1988" t="s">
        <v>3295</v>
      </c>
      <c r="G1988" t="s">
        <v>2662</v>
      </c>
      <c r="H1988" t="s">
        <v>2663</v>
      </c>
      <c r="I1988" s="130">
        <v>45735</v>
      </c>
      <c r="J1988" s="172" t="s">
        <v>13</v>
      </c>
      <c r="K1988">
        <v>10</v>
      </c>
      <c r="M19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88" t="str">
        <f>DO_DB[[#This Row],[Material Pick-update]]&amp;"_"&amp;DO_DB[[#This Row],[Material Name]]</f>
        <v>45735_FAT-16</v>
      </c>
      <c r="O1988" t="str">
        <f>DO_DB[[#This Row],[SiteID]]</f>
        <v>CLR51-06-040</v>
      </c>
      <c r="P1988" t="str">
        <f>DO_DB[[#This Row],[SiteID]]&amp;"_"&amp;DO_DB[[#This Row],[Material Name]]</f>
        <v>CLR51-06-040_FAT-16</v>
      </c>
      <c r="Q1988" t="str">
        <f>DO_DB[[#This Row],[DO Number]]</f>
        <v>DOEID25031897</v>
      </c>
      <c r="R1988" t="str">
        <f>DO_DB[[#This Row],[DN Number]]</f>
        <v>DNWID0342025031808</v>
      </c>
    </row>
    <row r="1989" spans="1:18">
      <c r="A1989" t="s">
        <v>2809</v>
      </c>
      <c r="B1989" t="s">
        <v>2810</v>
      </c>
      <c r="C1989" s="172" t="s">
        <v>4482</v>
      </c>
      <c r="D1989" t="s">
        <v>71</v>
      </c>
      <c r="E1989" t="s">
        <v>24</v>
      </c>
      <c r="F1989" t="s">
        <v>3295</v>
      </c>
      <c r="G1989" t="s">
        <v>2811</v>
      </c>
      <c r="H1989" t="s">
        <v>2812</v>
      </c>
      <c r="I1989" s="130">
        <v>45820</v>
      </c>
      <c r="J1989" t="s">
        <v>13</v>
      </c>
      <c r="K1989">
        <v>55</v>
      </c>
      <c r="M19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89" t="str">
        <f>DO_DB[[#This Row],[Material Pick-update]]&amp;"_"&amp;DO_DB[[#This Row],[Material Name]]</f>
        <v>45820_FAT-16</v>
      </c>
      <c r="O1989" t="str">
        <f>DO_DB[[#This Row],[SiteID]]</f>
        <v>CLR51-99-101</v>
      </c>
      <c r="P1989" t="str">
        <f>DO_DB[[#This Row],[SiteID]]&amp;"_"&amp;DO_DB[[#This Row],[Material Name]]</f>
        <v>CLR51-99-101_FAT-16</v>
      </c>
      <c r="Q1989" t="str">
        <f>DO_DB[[#This Row],[DO Number]]</f>
        <v>DOEID250610PE</v>
      </c>
      <c r="R1989" t="str">
        <f>DO_DB[[#This Row],[DN Number]]</f>
        <v>DNWID1382025061204</v>
      </c>
    </row>
    <row r="1990" spans="1:18">
      <c r="A1990" t="s">
        <v>2815</v>
      </c>
      <c r="B1990" t="s">
        <v>2816</v>
      </c>
      <c r="C1990" s="172" t="s">
        <v>4482</v>
      </c>
      <c r="D1990" t="s">
        <v>71</v>
      </c>
      <c r="E1990" t="s">
        <v>24</v>
      </c>
      <c r="F1990" t="s">
        <v>3295</v>
      </c>
      <c r="G1990" t="s">
        <v>2817</v>
      </c>
      <c r="H1990" t="s">
        <v>2818</v>
      </c>
      <c r="I1990" s="130">
        <v>45820</v>
      </c>
      <c r="J1990" t="s">
        <v>13</v>
      </c>
      <c r="K1990">
        <v>8</v>
      </c>
      <c r="M19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90" t="str">
        <f>DO_DB[[#This Row],[Material Pick-update]]&amp;"_"&amp;DO_DB[[#This Row],[Material Name]]</f>
        <v>45820_FAT-16</v>
      </c>
      <c r="O1990" t="str">
        <f>DO_DB[[#This Row],[SiteID]]</f>
        <v>CLR51-99-104</v>
      </c>
      <c r="P1990" t="str">
        <f>DO_DB[[#This Row],[SiteID]]&amp;"_"&amp;DO_DB[[#This Row],[Material Name]]</f>
        <v>CLR51-99-104_FAT-16</v>
      </c>
      <c r="Q1990" t="str">
        <f>DO_DB[[#This Row],[DO Number]]</f>
        <v>DOEID250610PG</v>
      </c>
      <c r="R1990" t="str">
        <f>DO_DB[[#This Row],[DN Number]]</f>
        <v>DNWID1382025061201</v>
      </c>
    </row>
    <row r="1991" spans="1:18">
      <c r="A1991" t="s">
        <v>2821</v>
      </c>
      <c r="B1991" t="s">
        <v>2822</v>
      </c>
      <c r="C1991" s="172" t="s">
        <v>4482</v>
      </c>
      <c r="D1991" t="s">
        <v>71</v>
      </c>
      <c r="E1991" t="s">
        <v>24</v>
      </c>
      <c r="F1991" t="s">
        <v>3295</v>
      </c>
      <c r="G1991" t="s">
        <v>2823</v>
      </c>
      <c r="H1991" t="s">
        <v>2824</v>
      </c>
      <c r="I1991" s="130">
        <v>45820</v>
      </c>
      <c r="J1991" t="s">
        <v>13</v>
      </c>
      <c r="K1991">
        <v>7</v>
      </c>
      <c r="M19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91" t="str">
        <f>DO_DB[[#This Row],[Material Pick-update]]&amp;"_"&amp;DO_DB[[#This Row],[Material Name]]</f>
        <v>45820_FAT-16</v>
      </c>
      <c r="O1991" t="str">
        <f>DO_DB[[#This Row],[SiteID]]</f>
        <v>CLR51-99-212</v>
      </c>
      <c r="P1991" t="str">
        <f>DO_DB[[#This Row],[SiteID]]&amp;"_"&amp;DO_DB[[#This Row],[Material Name]]</f>
        <v>CLR51-99-212_FAT-16</v>
      </c>
      <c r="Q1991" t="str">
        <f>DO_DB[[#This Row],[DO Number]]</f>
        <v>DOEID250610PI</v>
      </c>
      <c r="R1991" t="str">
        <f>DO_DB[[#This Row],[DN Number]]</f>
        <v>DNWID1382025061202</v>
      </c>
    </row>
    <row r="1992" spans="1:18">
      <c r="A1992" t="s">
        <v>2825</v>
      </c>
      <c r="B1992" t="s">
        <v>2826</v>
      </c>
      <c r="C1992" s="172" t="s">
        <v>4482</v>
      </c>
      <c r="D1992" t="s">
        <v>71</v>
      </c>
      <c r="E1992" t="s">
        <v>24</v>
      </c>
      <c r="F1992" t="s">
        <v>3295</v>
      </c>
      <c r="G1992" t="s">
        <v>2827</v>
      </c>
      <c r="H1992" t="s">
        <v>2828</v>
      </c>
      <c r="I1992" s="130">
        <v>45820</v>
      </c>
      <c r="J1992" t="s">
        <v>13</v>
      </c>
      <c r="K1992">
        <v>10</v>
      </c>
      <c r="M19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92" t="str">
        <f>DO_DB[[#This Row],[Material Pick-update]]&amp;"_"&amp;DO_DB[[#This Row],[Material Name]]</f>
        <v>45820_FAT-16</v>
      </c>
      <c r="O1992" t="str">
        <f>DO_DB[[#This Row],[SiteID]]</f>
        <v>CLR51-99-238</v>
      </c>
      <c r="P1992" t="str">
        <f>DO_DB[[#This Row],[SiteID]]&amp;"_"&amp;DO_DB[[#This Row],[Material Name]]</f>
        <v>CLR51-99-238_FAT-16</v>
      </c>
      <c r="Q1992" t="str">
        <f>DO_DB[[#This Row],[DO Number]]</f>
        <v>DOEID250610PJ</v>
      </c>
      <c r="R1992" t="str">
        <f>DO_DB[[#This Row],[DN Number]]</f>
        <v>DNWID1382025061203</v>
      </c>
    </row>
    <row r="1993" spans="1:18">
      <c r="A1993" t="s">
        <v>2861</v>
      </c>
      <c r="B1993" t="s">
        <v>2862</v>
      </c>
      <c r="C1993" s="172" t="s">
        <v>4482</v>
      </c>
      <c r="D1993" t="s">
        <v>71</v>
      </c>
      <c r="E1993" t="s">
        <v>24</v>
      </c>
      <c r="F1993" t="s">
        <v>3295</v>
      </c>
      <c r="G1993" t="s">
        <v>2865</v>
      </c>
      <c r="H1993" t="s">
        <v>2866</v>
      </c>
      <c r="I1993" s="130">
        <v>45825</v>
      </c>
      <c r="J1993" t="s">
        <v>13</v>
      </c>
      <c r="K1993">
        <v>26</v>
      </c>
      <c r="M19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93" t="str">
        <f>DO_DB[[#This Row],[Material Pick-update]]&amp;"_"&amp;DO_DB[[#This Row],[Material Name]]</f>
        <v>45825_FAT-16</v>
      </c>
      <c r="O1993" t="str">
        <f>DO_DB[[#This Row],[SiteID]]</f>
        <v>CLR51-99-242</v>
      </c>
      <c r="P1993" t="str">
        <f>DO_DB[[#This Row],[SiteID]]&amp;"_"&amp;DO_DB[[#This Row],[Material Name]]</f>
        <v>CLR51-99-242_FAT-16</v>
      </c>
      <c r="Q1993" t="str">
        <f>DO_DB[[#This Row],[DO Number]]</f>
        <v>DOEID250613BM</v>
      </c>
      <c r="R1993" t="str">
        <f>DO_DB[[#This Row],[DN Number]]</f>
        <v>DNWID1382025061702</v>
      </c>
    </row>
    <row r="1994" spans="1:18">
      <c r="A1994" t="s">
        <v>2855</v>
      </c>
      <c r="B1994" t="s">
        <v>2856</v>
      </c>
      <c r="C1994" s="172" t="s">
        <v>4482</v>
      </c>
      <c r="D1994" t="s">
        <v>71</v>
      </c>
      <c r="E1994" t="s">
        <v>24</v>
      </c>
      <c r="F1994" t="s">
        <v>3295</v>
      </c>
      <c r="G1994" t="s">
        <v>2859</v>
      </c>
      <c r="H1994" t="s">
        <v>2860</v>
      </c>
      <c r="I1994" s="130">
        <v>45825</v>
      </c>
      <c r="J1994" t="s">
        <v>13</v>
      </c>
      <c r="K1994">
        <v>16</v>
      </c>
      <c r="M19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94" t="str">
        <f>DO_DB[[#This Row],[Material Pick-update]]&amp;"_"&amp;DO_DB[[#This Row],[Material Name]]</f>
        <v>45825_FAT-16</v>
      </c>
      <c r="O1994" t="str">
        <f>DO_DB[[#This Row],[SiteID]]</f>
        <v>CLR51-99-243</v>
      </c>
      <c r="P1994" t="str">
        <f>DO_DB[[#This Row],[SiteID]]&amp;"_"&amp;DO_DB[[#This Row],[Material Name]]</f>
        <v>CLR51-99-243_FAT-16</v>
      </c>
      <c r="Q1994" t="str">
        <f>DO_DB[[#This Row],[DO Number]]</f>
        <v>DOEID250613BO</v>
      </c>
      <c r="R1994" t="str">
        <f>DO_DB[[#This Row],[DN Number]]</f>
        <v>DNWID1382025061614</v>
      </c>
    </row>
    <row r="1995" spans="1:18">
      <c r="A1995" t="s">
        <v>2851</v>
      </c>
      <c r="B1995" t="s">
        <v>2852</v>
      </c>
      <c r="C1995" s="172" t="s">
        <v>4482</v>
      </c>
      <c r="D1995" t="s">
        <v>71</v>
      </c>
      <c r="E1995" t="s">
        <v>24</v>
      </c>
      <c r="F1995" t="s">
        <v>3295</v>
      </c>
      <c r="G1995" t="s">
        <v>2853</v>
      </c>
      <c r="H1995" t="s">
        <v>2854</v>
      </c>
      <c r="I1995" s="130">
        <v>45825</v>
      </c>
      <c r="J1995" t="s">
        <v>13</v>
      </c>
      <c r="K1995">
        <v>14</v>
      </c>
      <c r="M19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95" t="str">
        <f>DO_DB[[#This Row],[Material Pick-update]]&amp;"_"&amp;DO_DB[[#This Row],[Material Name]]</f>
        <v>45825_FAT-16</v>
      </c>
      <c r="O1995" t="str">
        <f>DO_DB[[#This Row],[SiteID]]</f>
        <v>CLR51-99-244</v>
      </c>
      <c r="P1995" t="str">
        <f>DO_DB[[#This Row],[SiteID]]&amp;"_"&amp;DO_DB[[#This Row],[Material Name]]</f>
        <v>CLR51-99-244_FAT-16</v>
      </c>
      <c r="Q1995" t="str">
        <f>DO_DB[[#This Row],[DO Number]]</f>
        <v>DOEID250613BQ</v>
      </c>
      <c r="R1995" t="str">
        <f>DO_DB[[#This Row],[DN Number]]</f>
        <v>DNWID1382025061703</v>
      </c>
    </row>
    <row r="1996" spans="1:18">
      <c r="A1996" t="s">
        <v>2847</v>
      </c>
      <c r="B1996" t="s">
        <v>2848</v>
      </c>
      <c r="C1996" s="172" t="s">
        <v>4482</v>
      </c>
      <c r="D1996" t="s">
        <v>71</v>
      </c>
      <c r="E1996" t="s">
        <v>24</v>
      </c>
      <c r="F1996" t="s">
        <v>3295</v>
      </c>
      <c r="G1996" t="s">
        <v>2849</v>
      </c>
      <c r="H1996" t="s">
        <v>2850</v>
      </c>
      <c r="I1996" s="130">
        <v>45825</v>
      </c>
      <c r="J1996" t="s">
        <v>13</v>
      </c>
      <c r="K1996">
        <v>9</v>
      </c>
      <c r="M19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96" t="str">
        <f>DO_DB[[#This Row],[Material Pick-update]]&amp;"_"&amp;DO_DB[[#This Row],[Material Name]]</f>
        <v>45825_FAT-16</v>
      </c>
      <c r="O1996" t="str">
        <f>DO_DB[[#This Row],[SiteID]]</f>
        <v>CLR51-99-245</v>
      </c>
      <c r="P1996" t="str">
        <f>DO_DB[[#This Row],[SiteID]]&amp;"_"&amp;DO_DB[[#This Row],[Material Name]]</f>
        <v>CLR51-99-245_FAT-16</v>
      </c>
      <c r="Q1996" t="str">
        <f>DO_DB[[#This Row],[DO Number]]</f>
        <v>DOEID250613BS</v>
      </c>
      <c r="R1996" t="str">
        <f>DO_DB[[#This Row],[DN Number]]</f>
        <v>DNWID1382025061704</v>
      </c>
    </row>
    <row r="1997" spans="1:18">
      <c r="A1997" t="s">
        <v>2843</v>
      </c>
      <c r="B1997" t="s">
        <v>2844</v>
      </c>
      <c r="C1997" s="172" t="s">
        <v>4482</v>
      </c>
      <c r="D1997" t="s">
        <v>71</v>
      </c>
      <c r="E1997" t="s">
        <v>24</v>
      </c>
      <c r="F1997" t="s">
        <v>3295</v>
      </c>
      <c r="G1997" t="s">
        <v>2845</v>
      </c>
      <c r="H1997" t="s">
        <v>2846</v>
      </c>
      <c r="I1997" s="130">
        <v>45825</v>
      </c>
      <c r="J1997" t="s">
        <v>13</v>
      </c>
      <c r="K1997">
        <v>7</v>
      </c>
      <c r="M19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97" t="str">
        <f>DO_DB[[#This Row],[Material Pick-update]]&amp;"_"&amp;DO_DB[[#This Row],[Material Name]]</f>
        <v>45825_FAT-16</v>
      </c>
      <c r="O1997" t="str">
        <f>DO_DB[[#This Row],[SiteID]]</f>
        <v>CLR51-99-246</v>
      </c>
      <c r="P1997" t="str">
        <f>DO_DB[[#This Row],[SiteID]]&amp;"_"&amp;DO_DB[[#This Row],[Material Name]]</f>
        <v>CLR51-99-246_FAT-16</v>
      </c>
      <c r="Q1997" t="str">
        <f>DO_DB[[#This Row],[DO Number]]</f>
        <v>DOEID250613BU</v>
      </c>
      <c r="R1997" t="str">
        <f>DO_DB[[#This Row],[DN Number]]</f>
        <v>DNWID1382025061615</v>
      </c>
    </row>
    <row r="1998" spans="1:18">
      <c r="A1998" t="s">
        <v>2903</v>
      </c>
      <c r="B1998" t="s">
        <v>2904</v>
      </c>
      <c r="C1998" s="172" t="s">
        <v>4482</v>
      </c>
      <c r="D1998" t="s">
        <v>71</v>
      </c>
      <c r="E1998" t="s">
        <v>24</v>
      </c>
      <c r="F1998" t="s">
        <v>3295</v>
      </c>
      <c r="G1998" t="s">
        <v>2905</v>
      </c>
      <c r="H1998" t="s">
        <v>2906</v>
      </c>
      <c r="I1998" s="130">
        <v>45850</v>
      </c>
      <c r="J1998" t="s">
        <v>13</v>
      </c>
      <c r="K1998">
        <v>13</v>
      </c>
      <c r="M19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98" t="str">
        <f>DO_DB[[#This Row],[Material Pick-update]]&amp;"_"&amp;DO_DB[[#This Row],[Material Name]]</f>
        <v>45850_FAT-16</v>
      </c>
      <c r="O1998" t="str">
        <f>DO_DB[[#This Row],[SiteID]]</f>
        <v>CLR51-99-106</v>
      </c>
      <c r="P1998" t="str">
        <f>DO_DB[[#This Row],[SiteID]]&amp;"_"&amp;DO_DB[[#This Row],[Material Name]]</f>
        <v>CLR51-99-106_FAT-16</v>
      </c>
      <c r="Q1998" t="str">
        <f>DO_DB[[#This Row],[DO Number]]</f>
        <v>DOEID250711ED</v>
      </c>
      <c r="R1998" t="str">
        <f>DO_DB[[#This Row],[DN Number]]</f>
        <v>DNWID1382025071110</v>
      </c>
    </row>
    <row r="1999" spans="1:18">
      <c r="A1999" t="s">
        <v>2909</v>
      </c>
      <c r="B1999" t="s">
        <v>2910</v>
      </c>
      <c r="C1999" s="172" t="s">
        <v>4482</v>
      </c>
      <c r="D1999" t="s">
        <v>71</v>
      </c>
      <c r="E1999" t="s">
        <v>24</v>
      </c>
      <c r="F1999" t="s">
        <v>3295</v>
      </c>
      <c r="G1999" t="s">
        <v>2911</v>
      </c>
      <c r="H1999" t="s">
        <v>2912</v>
      </c>
      <c r="I1999" s="130">
        <v>45850</v>
      </c>
      <c r="J1999" t="s">
        <v>13</v>
      </c>
      <c r="K1999">
        <v>15</v>
      </c>
      <c r="M19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1999" t="str">
        <f>DO_DB[[#This Row],[Material Pick-update]]&amp;"_"&amp;DO_DB[[#This Row],[Material Name]]</f>
        <v>45850_FAT-16</v>
      </c>
      <c r="O1999" t="str">
        <f>DO_DB[[#This Row],[SiteID]]</f>
        <v>CLR51-99-107</v>
      </c>
      <c r="P1999" t="str">
        <f>DO_DB[[#This Row],[SiteID]]&amp;"_"&amp;DO_DB[[#This Row],[Material Name]]</f>
        <v>CLR51-99-107_FAT-16</v>
      </c>
      <c r="Q1999" t="str">
        <f>DO_DB[[#This Row],[DO Number]]</f>
        <v>DOEID250711EF</v>
      </c>
      <c r="R1999" t="str">
        <f>DO_DB[[#This Row],[DN Number]]</f>
        <v>DNWID1382025071109</v>
      </c>
    </row>
    <row r="2000" spans="1:18">
      <c r="A2000" t="s">
        <v>2921</v>
      </c>
      <c r="B2000" t="s">
        <v>2922</v>
      </c>
      <c r="C2000" s="172" t="s">
        <v>4482</v>
      </c>
      <c r="D2000" t="s">
        <v>71</v>
      </c>
      <c r="E2000" t="s">
        <v>24</v>
      </c>
      <c r="F2000" t="s">
        <v>3295</v>
      </c>
      <c r="G2000" t="s">
        <v>2923</v>
      </c>
      <c r="H2000" t="s">
        <v>2924</v>
      </c>
      <c r="I2000" s="130">
        <v>45850</v>
      </c>
      <c r="J2000" t="s">
        <v>13</v>
      </c>
      <c r="K2000">
        <v>7</v>
      </c>
      <c r="M20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00" t="str">
        <f>DO_DB[[#This Row],[Material Pick-update]]&amp;"_"&amp;DO_DB[[#This Row],[Material Name]]</f>
        <v>45850_FAT-16</v>
      </c>
      <c r="O2000" t="str">
        <f>DO_DB[[#This Row],[SiteID]]</f>
        <v>CLR51-99-112</v>
      </c>
      <c r="P2000" t="str">
        <f>DO_DB[[#This Row],[SiteID]]&amp;"_"&amp;DO_DB[[#This Row],[Material Name]]</f>
        <v>CLR51-99-112_FAT-16</v>
      </c>
      <c r="Q2000" t="str">
        <f>DO_DB[[#This Row],[DO Number]]</f>
        <v>DOEID250711EH</v>
      </c>
      <c r="R2000" t="str">
        <f>DO_DB[[#This Row],[DN Number]]</f>
        <v>DNWID1382025071111</v>
      </c>
    </row>
    <row r="2001" spans="1:18">
      <c r="A2001" t="s">
        <v>2915</v>
      </c>
      <c r="B2001" t="s">
        <v>2916</v>
      </c>
      <c r="C2001" s="172" t="s">
        <v>4482</v>
      </c>
      <c r="D2001" t="s">
        <v>71</v>
      </c>
      <c r="E2001" t="s">
        <v>24</v>
      </c>
      <c r="F2001" t="s">
        <v>3295</v>
      </c>
      <c r="G2001" t="s">
        <v>2917</v>
      </c>
      <c r="H2001" t="s">
        <v>2918</v>
      </c>
      <c r="I2001" s="130">
        <v>45850</v>
      </c>
      <c r="J2001" t="s">
        <v>13</v>
      </c>
      <c r="K2001">
        <v>13</v>
      </c>
      <c r="M20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01" t="str">
        <f>DO_DB[[#This Row],[Material Pick-update]]&amp;"_"&amp;DO_DB[[#This Row],[Material Name]]</f>
        <v>45850_FAT-16</v>
      </c>
      <c r="O2001" t="str">
        <f>DO_DB[[#This Row],[SiteID]]</f>
        <v>CLR51-99-108</v>
      </c>
      <c r="P2001" t="str">
        <f>DO_DB[[#This Row],[SiteID]]&amp;"_"&amp;DO_DB[[#This Row],[Material Name]]</f>
        <v>CLR51-99-108_FAT-16</v>
      </c>
      <c r="Q2001" t="str">
        <f>DO_DB[[#This Row],[DO Number]]</f>
        <v>DOEID250711EI</v>
      </c>
      <c r="R2001" t="str">
        <f>DO_DB[[#This Row],[DN Number]]</f>
        <v>DNWID1382025071113</v>
      </c>
    </row>
    <row r="2002" spans="1:18">
      <c r="A2002" t="s">
        <v>2925</v>
      </c>
      <c r="B2002" t="s">
        <v>2926</v>
      </c>
      <c r="C2002" s="172" t="s">
        <v>4482</v>
      </c>
      <c r="D2002" t="s">
        <v>71</v>
      </c>
      <c r="E2002" t="s">
        <v>24</v>
      </c>
      <c r="F2002" t="s">
        <v>3295</v>
      </c>
      <c r="G2002" t="s">
        <v>2927</v>
      </c>
      <c r="H2002" t="s">
        <v>2928</v>
      </c>
      <c r="I2002" s="130">
        <v>45850</v>
      </c>
      <c r="J2002" t="s">
        <v>13</v>
      </c>
      <c r="K2002">
        <v>16</v>
      </c>
      <c r="M20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02" t="str">
        <f>DO_DB[[#This Row],[Material Pick-update]]&amp;"_"&amp;DO_DB[[#This Row],[Material Name]]</f>
        <v>45850_FAT-16</v>
      </c>
      <c r="O2002" t="str">
        <f>DO_DB[[#This Row],[SiteID]]</f>
        <v>CLR51-99-264</v>
      </c>
      <c r="P2002" t="str">
        <f>DO_DB[[#This Row],[SiteID]]&amp;"_"&amp;DO_DB[[#This Row],[Material Name]]</f>
        <v>CLR51-99-264_FAT-16</v>
      </c>
      <c r="Q2002" t="str">
        <f>DO_DB[[#This Row],[DO Number]]</f>
        <v>DOEID250711EK</v>
      </c>
      <c r="R2002" t="str">
        <f>DO_DB[[#This Row],[DN Number]]</f>
        <v>DNWID1382025071112</v>
      </c>
    </row>
    <row r="2003" spans="1:18">
      <c r="A2003" t="s">
        <v>3203</v>
      </c>
      <c r="B2003" t="s">
        <v>3204</v>
      </c>
      <c r="C2003" s="172" t="s">
        <v>4482</v>
      </c>
      <c r="D2003" t="s">
        <v>71</v>
      </c>
      <c r="E2003" t="s">
        <v>24</v>
      </c>
      <c r="F2003" t="s">
        <v>3295</v>
      </c>
      <c r="G2003" t="s">
        <v>3205</v>
      </c>
      <c r="H2003" t="s">
        <v>3206</v>
      </c>
      <c r="I2003" s="130">
        <v>45888</v>
      </c>
      <c r="J2003" t="s">
        <v>13</v>
      </c>
      <c r="K2003">
        <v>19</v>
      </c>
      <c r="M20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03" t="str">
        <f>DO_DB[[#This Row],[Material Pick-update]]&amp;"_"&amp;DO_DB[[#This Row],[Material Name]]</f>
        <v>45888_FAT-16</v>
      </c>
      <c r="O2003" t="str">
        <f>DO_DB[[#This Row],[SiteID]]</f>
        <v>CLR51-99-370</v>
      </c>
      <c r="P2003" t="str">
        <f>DO_DB[[#This Row],[SiteID]]&amp;"_"&amp;DO_DB[[#This Row],[Material Name]]</f>
        <v>CLR51-99-370_FAT-16</v>
      </c>
      <c r="Q2003" t="str">
        <f>DO_DB[[#This Row],[DO Number]]</f>
        <v>DOEID25081590</v>
      </c>
      <c r="R2003" t="str">
        <f>DO_DB[[#This Row],[DN Number]]</f>
        <v>DNWID1382025081505</v>
      </c>
    </row>
    <row r="2004" spans="1:18">
      <c r="A2004" t="s">
        <v>3662</v>
      </c>
      <c r="B2004" t="s">
        <v>3663</v>
      </c>
      <c r="C2004" s="172" t="s">
        <v>4482</v>
      </c>
      <c r="D2004" t="s">
        <v>71</v>
      </c>
      <c r="E2004" t="s">
        <v>24</v>
      </c>
      <c r="F2004" t="s">
        <v>3295</v>
      </c>
      <c r="G2004" t="s">
        <v>3666</v>
      </c>
      <c r="H2004" t="s">
        <v>3667</v>
      </c>
      <c r="I2004" s="130">
        <v>45896</v>
      </c>
      <c r="J2004" t="s">
        <v>13</v>
      </c>
      <c r="K2004">
        <v>10</v>
      </c>
      <c r="M20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04" t="str">
        <f>DO_DB[[#This Row],[Material Pick-update]]&amp;"_"&amp;DO_DB[[#This Row],[Material Name]]</f>
        <v>45896_FAT-16</v>
      </c>
      <c r="O2004" t="str">
        <f>DO_DB[[#This Row],[SiteID]]</f>
        <v>CLR51-99-103</v>
      </c>
      <c r="P2004" t="str">
        <f>DO_DB[[#This Row],[SiteID]]&amp;"_"&amp;DO_DB[[#This Row],[Material Name]]</f>
        <v>CLR51-99-103_FAT-16</v>
      </c>
      <c r="Q2004" t="str">
        <f>DO_DB[[#This Row],[DO Number]]</f>
        <v>DOEID25082610</v>
      </c>
      <c r="R2004" t="str">
        <f>DO_DB[[#This Row],[DN Number]]</f>
        <v>DNWID1372025082607</v>
      </c>
    </row>
    <row r="2005" spans="1:18">
      <c r="A2005" t="s">
        <v>3668</v>
      </c>
      <c r="B2005" t="s">
        <v>3669</v>
      </c>
      <c r="C2005" s="172" t="s">
        <v>4482</v>
      </c>
      <c r="D2005" t="s">
        <v>71</v>
      </c>
      <c r="E2005" t="s">
        <v>24</v>
      </c>
      <c r="F2005" t="s">
        <v>3295</v>
      </c>
      <c r="G2005" t="s">
        <v>3672</v>
      </c>
      <c r="H2005" t="s">
        <v>3673</v>
      </c>
      <c r="I2005" s="130">
        <v>45896</v>
      </c>
      <c r="J2005" t="s">
        <v>13</v>
      </c>
      <c r="K2005">
        <v>9</v>
      </c>
      <c r="M20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05" t="str">
        <f>DO_DB[[#This Row],[Material Pick-update]]&amp;"_"&amp;DO_DB[[#This Row],[Material Name]]</f>
        <v>45896_FAT-16</v>
      </c>
      <c r="O2005" t="str">
        <f>DO_DB[[#This Row],[SiteID]]</f>
        <v>CLR51-99-252</v>
      </c>
      <c r="P2005" t="str">
        <f>DO_DB[[#This Row],[SiteID]]&amp;"_"&amp;DO_DB[[#This Row],[Material Name]]</f>
        <v>CLR51-99-252_FAT-16</v>
      </c>
      <c r="Q2005" t="str">
        <f>DO_DB[[#This Row],[DO Number]]</f>
        <v>DOEID25082612</v>
      </c>
      <c r="R2005" t="str">
        <f>DO_DB[[#This Row],[DN Number]]</f>
        <v>DNWID1372025082606</v>
      </c>
    </row>
    <row r="2006" spans="1:18">
      <c r="A2006" s="172" t="s">
        <v>4663</v>
      </c>
      <c r="B2006" s="172" t="s">
        <v>4664</v>
      </c>
      <c r="C2006" s="172" t="s">
        <v>4482</v>
      </c>
      <c r="D2006" s="172" t="s">
        <v>71</v>
      </c>
      <c r="E2006" s="172" t="s">
        <v>24</v>
      </c>
      <c r="F2006" t="s">
        <v>3295</v>
      </c>
      <c r="G2006" s="172" t="s">
        <v>4702</v>
      </c>
      <c r="H2006" s="172" t="s">
        <v>4703</v>
      </c>
      <c r="I2006" s="173">
        <v>45959</v>
      </c>
      <c r="J2006" s="194" t="s">
        <v>13</v>
      </c>
      <c r="K2006" s="172">
        <v>15</v>
      </c>
      <c r="M20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06" t="str">
        <f>DO_DB[[#This Row],[Material Pick-update]]&amp;"_"&amp;DO_DB[[#This Row],[Material Name]]</f>
        <v>45959_FAT-16</v>
      </c>
      <c r="O2006" t="str">
        <f>DO_DB[[#This Row],[SiteID]]</f>
        <v>CLR51-99-302</v>
      </c>
      <c r="P2006" t="str">
        <f>DO_DB[[#This Row],[SiteID]]&amp;"_"&amp;DO_DB[[#This Row],[Material Name]]</f>
        <v>CLR51-99-302_FAT-16</v>
      </c>
      <c r="Q2006" t="str">
        <f>DO_DB[[#This Row],[DO Number]]</f>
        <v>DOEID251027IH</v>
      </c>
      <c r="R2006" t="str">
        <f>DO_DB[[#This Row],[DN Number]]</f>
        <v>DNWID1382025102810</v>
      </c>
    </row>
    <row r="2007" spans="1:18">
      <c r="A2007" s="172" t="s">
        <v>4595</v>
      </c>
      <c r="B2007" s="172" t="s">
        <v>4596</v>
      </c>
      <c r="C2007" s="172" t="s">
        <v>4482</v>
      </c>
      <c r="D2007" s="172" t="s">
        <v>71</v>
      </c>
      <c r="E2007" s="172" t="s">
        <v>24</v>
      </c>
      <c r="F2007" t="s">
        <v>3295</v>
      </c>
      <c r="G2007" s="172" t="s">
        <v>4700</v>
      </c>
      <c r="H2007" s="172" t="s">
        <v>4701</v>
      </c>
      <c r="I2007" s="173">
        <v>45959</v>
      </c>
      <c r="J2007" s="194" t="s">
        <v>13</v>
      </c>
      <c r="K2007" s="172">
        <v>17</v>
      </c>
      <c r="M20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07" t="str">
        <f>DO_DB[[#This Row],[Material Pick-update]]&amp;"_"&amp;DO_DB[[#This Row],[Material Name]]</f>
        <v>45959_FAT-16</v>
      </c>
      <c r="O2007" t="str">
        <f>DO_DB[[#This Row],[SiteID]]</f>
        <v>CLR51-99-257</v>
      </c>
      <c r="P2007" t="str">
        <f>DO_DB[[#This Row],[SiteID]]&amp;"_"&amp;DO_DB[[#This Row],[Material Name]]</f>
        <v>CLR51-99-257_FAT-16</v>
      </c>
      <c r="Q2007" t="str">
        <f>DO_DB[[#This Row],[DO Number]]</f>
        <v>DOEID251027II</v>
      </c>
      <c r="R2007" t="str">
        <f>DO_DB[[#This Row],[DN Number]]</f>
        <v>DNWID1382025102809</v>
      </c>
    </row>
    <row r="2008" spans="1:18">
      <c r="A2008" t="s">
        <v>4801</v>
      </c>
      <c r="B2008" t="s">
        <v>4802</v>
      </c>
      <c r="C2008" s="172" t="s">
        <v>4482</v>
      </c>
      <c r="D2008" t="s">
        <v>67</v>
      </c>
      <c r="E2008" t="s">
        <v>24</v>
      </c>
      <c r="F2008" t="s">
        <v>3295</v>
      </c>
      <c r="G2008" t="s">
        <v>4827</v>
      </c>
      <c r="H2008" t="s">
        <v>4806</v>
      </c>
      <c r="I2008" s="130">
        <v>46002</v>
      </c>
      <c r="J2008" t="s">
        <v>13</v>
      </c>
      <c r="K2008">
        <v>20</v>
      </c>
      <c r="M20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08" t="str">
        <f>DO_DB[[#This Row],[Material Pick-update]]&amp;"_"&amp;DO_DB[[#This Row],[Material Name]]</f>
        <v>46002_FAT-16</v>
      </c>
      <c r="O2008" t="str">
        <f>DO_DB[[#This Row],[SiteID]]</f>
        <v>CLR51-99-382</v>
      </c>
      <c r="P2008" t="str">
        <f>DO_DB[[#This Row],[SiteID]]&amp;"_"&amp;DO_DB[[#This Row],[Material Name]]</f>
        <v>CLR51-99-382_FAT-16</v>
      </c>
      <c r="Q2008" t="str">
        <f>DO_DB[[#This Row],[DO Number]]</f>
        <v>DOEID251211B1</v>
      </c>
      <c r="R2008" t="str">
        <f>DO_DB[[#This Row],[DN Number]]</f>
        <v>DNWID1382025121131</v>
      </c>
    </row>
    <row r="2009" spans="1:18">
      <c r="A2009" t="s">
        <v>4785</v>
      </c>
      <c r="B2009" t="s">
        <v>4786</v>
      </c>
      <c r="C2009" s="172" t="s">
        <v>4482</v>
      </c>
      <c r="D2009" t="s">
        <v>67</v>
      </c>
      <c r="E2009" t="s">
        <v>24</v>
      </c>
      <c r="F2009" t="s">
        <v>3295</v>
      </c>
      <c r="G2009" t="s">
        <v>4791</v>
      </c>
      <c r="H2009" t="s">
        <v>4792</v>
      </c>
      <c r="I2009" s="130">
        <v>46003</v>
      </c>
      <c r="J2009" s="172" t="s">
        <v>13</v>
      </c>
      <c r="K2009">
        <v>20</v>
      </c>
      <c r="M20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09" t="str">
        <f>DO_DB[[#This Row],[Material Pick-update]]&amp;"_"&amp;DO_DB[[#This Row],[Material Name]]</f>
        <v>46003_FAT-16</v>
      </c>
      <c r="O2009" t="str">
        <f>DO_DB[[#This Row],[SiteID]]</f>
        <v>CLR51-99-381</v>
      </c>
      <c r="P2009" t="str">
        <f>DO_DB[[#This Row],[SiteID]]&amp;"_"&amp;DO_DB[[#This Row],[Material Name]]</f>
        <v>CLR51-99-381_FAT-16</v>
      </c>
      <c r="Q2009" t="str">
        <f>DO_DB[[#This Row],[DO Number]]</f>
        <v>DOEID251211BZ</v>
      </c>
      <c r="R2009" t="str">
        <f>DO_DB[[#This Row],[DN Number]]</f>
        <v>DNWID1382025121129</v>
      </c>
    </row>
    <row r="2010" spans="1:18">
      <c r="A2010" t="s">
        <v>4785</v>
      </c>
      <c r="B2010" t="s">
        <v>4786</v>
      </c>
      <c r="C2010" s="172" t="s">
        <v>4482</v>
      </c>
      <c r="D2010" t="s">
        <v>67</v>
      </c>
      <c r="E2010" t="s">
        <v>24</v>
      </c>
      <c r="F2010" t="s">
        <v>3295</v>
      </c>
      <c r="G2010" t="s">
        <v>4797</v>
      </c>
      <c r="H2010" t="s">
        <v>4798</v>
      </c>
      <c r="I2010" s="130">
        <v>46007</v>
      </c>
      <c r="J2010" s="172" t="s">
        <v>13</v>
      </c>
      <c r="K2010" s="81">
        <v>51</v>
      </c>
      <c r="M20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10" t="str">
        <f>DO_DB[[#This Row],[Material Pick-update]]&amp;"_"&amp;DO_DB[[#This Row],[Material Name]]</f>
        <v>46007_FAT-16</v>
      </c>
      <c r="O2010" t="str">
        <f>DO_DB[[#This Row],[SiteID]]</f>
        <v>CLR51-99-381</v>
      </c>
      <c r="P2010" t="str">
        <f>DO_DB[[#This Row],[SiteID]]&amp;"_"&amp;DO_DB[[#This Row],[Material Name]]</f>
        <v>CLR51-99-381_FAT-16</v>
      </c>
      <c r="Q2010" t="str">
        <f>DO_DB[[#This Row],[DO Number]]</f>
        <v>DOEID251215I7</v>
      </c>
      <c r="R2010" t="str">
        <f>DO_DB[[#This Row],[DN Number]]</f>
        <v>DNWID1382025121609</v>
      </c>
    </row>
    <row r="2011" spans="1:18">
      <c r="A2011" t="s">
        <v>4801</v>
      </c>
      <c r="B2011" t="s">
        <v>4802</v>
      </c>
      <c r="C2011" s="172" t="s">
        <v>4482</v>
      </c>
      <c r="D2011" t="s">
        <v>67</v>
      </c>
      <c r="E2011" t="s">
        <v>24</v>
      </c>
      <c r="F2011" t="s">
        <v>3295</v>
      </c>
      <c r="G2011" t="s">
        <v>4807</v>
      </c>
      <c r="H2011" t="s">
        <v>4808</v>
      </c>
      <c r="I2011" s="130">
        <v>46007</v>
      </c>
      <c r="J2011" s="172" t="s">
        <v>13</v>
      </c>
      <c r="K2011" s="81">
        <v>59</v>
      </c>
      <c r="M20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11" t="str">
        <f>DO_DB[[#This Row],[Material Pick-update]]&amp;"_"&amp;DO_DB[[#This Row],[Material Name]]</f>
        <v>46007_FAT-16</v>
      </c>
      <c r="O2011" t="str">
        <f>DO_DB[[#This Row],[SiteID]]</f>
        <v>CLR51-99-382</v>
      </c>
      <c r="P2011" t="str">
        <f>DO_DB[[#This Row],[SiteID]]&amp;"_"&amp;DO_DB[[#This Row],[Material Name]]</f>
        <v>CLR51-99-382_FAT-16</v>
      </c>
      <c r="Q2011" t="str">
        <f>DO_DB[[#This Row],[DO Number]]</f>
        <v>DOEID251215M5</v>
      </c>
      <c r="R2011" t="str">
        <f>DO_DB[[#This Row],[DN Number]]</f>
        <v>DNWID1382025121610</v>
      </c>
    </row>
    <row r="2012" spans="1:18">
      <c r="A2012" t="s">
        <v>4813</v>
      </c>
      <c r="B2012" t="s">
        <v>4815</v>
      </c>
      <c r="C2012" s="172" t="s">
        <v>4482</v>
      </c>
      <c r="D2012" t="s">
        <v>67</v>
      </c>
      <c r="E2012" t="s">
        <v>24</v>
      </c>
      <c r="F2012" t="s">
        <v>3295</v>
      </c>
      <c r="G2012" t="s">
        <v>4820</v>
      </c>
      <c r="H2012" t="s">
        <v>4819</v>
      </c>
      <c r="I2012" s="130">
        <v>46041</v>
      </c>
      <c r="J2012" t="s">
        <v>13</v>
      </c>
      <c r="K2012">
        <v>13</v>
      </c>
      <c r="M20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12" t="str">
        <f>DO_DB[[#This Row],[Material Pick-update]]&amp;"_"&amp;DO_DB[[#This Row],[Material Name]]</f>
        <v>46041_FAT-16</v>
      </c>
      <c r="O2012" t="str">
        <f>DO_DB[[#This Row],[SiteID]]</f>
        <v>CLR44-99-155</v>
      </c>
      <c r="P2012" t="str">
        <f>DO_DB[[#This Row],[SiteID]]&amp;"_"&amp;DO_DB[[#This Row],[Material Name]]</f>
        <v>CLR44-99-155_FAT-16</v>
      </c>
      <c r="Q2012" t="str">
        <f>DO_DB[[#This Row],[DO Number]]</f>
        <v>DOEID260115MQ</v>
      </c>
      <c r="R2012" t="str">
        <f>DO_DB[[#This Row],[DN Number]]</f>
        <v>DNWID1382026011602</v>
      </c>
    </row>
    <row r="2013" spans="1:18">
      <c r="A2013" s="81" t="s">
        <v>4814</v>
      </c>
      <c r="B2013" s="81" t="s">
        <v>4816</v>
      </c>
      <c r="C2013" s="172" t="s">
        <v>4482</v>
      </c>
      <c r="D2013" s="81" t="s">
        <v>67</v>
      </c>
      <c r="E2013" s="81" t="s">
        <v>24</v>
      </c>
      <c r="F2013" t="s">
        <v>3295</v>
      </c>
      <c r="G2013" s="81" t="s">
        <v>4818</v>
      </c>
      <c r="H2013" s="81" t="s">
        <v>4817</v>
      </c>
      <c r="I2013" s="163">
        <v>46041</v>
      </c>
      <c r="J2013" t="s">
        <v>13</v>
      </c>
      <c r="K2013">
        <v>15</v>
      </c>
      <c r="M20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13" t="str">
        <f>DO_DB[[#This Row],[Material Pick-update]]&amp;"_"&amp;DO_DB[[#This Row],[Material Name]]</f>
        <v>46041_FAT-16</v>
      </c>
      <c r="O2013" t="str">
        <f>DO_DB[[#This Row],[SiteID]]</f>
        <v>CLR51-99-196</v>
      </c>
      <c r="P2013" t="str">
        <f>DO_DB[[#This Row],[SiteID]]&amp;"_"&amp;DO_DB[[#This Row],[Material Name]]</f>
        <v>CLR51-99-196_FAT-16</v>
      </c>
      <c r="Q2013" t="str">
        <f>DO_DB[[#This Row],[DO Number]]</f>
        <v>DOEID260115MP</v>
      </c>
      <c r="R2013" t="str">
        <f>DO_DB[[#This Row],[DN Number]]</f>
        <v>DNWID1382026011601</v>
      </c>
    </row>
    <row r="2014" spans="1:18">
      <c r="A2014" s="172" t="s">
        <v>4835</v>
      </c>
      <c r="B2014" s="172" t="s">
        <v>4836</v>
      </c>
      <c r="C2014" s="172" t="s">
        <v>4482</v>
      </c>
      <c r="D2014" s="172" t="s">
        <v>67</v>
      </c>
      <c r="E2014" s="172" t="s">
        <v>24</v>
      </c>
      <c r="F2014" t="s">
        <v>3295</v>
      </c>
      <c r="G2014" t="s">
        <v>4849</v>
      </c>
      <c r="H2014" s="172" t="s">
        <v>4852</v>
      </c>
      <c r="I2014" s="173">
        <v>46087</v>
      </c>
      <c r="J2014" s="194" t="s">
        <v>13</v>
      </c>
      <c r="K2014" s="194">
        <v>21</v>
      </c>
      <c r="M20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14" t="str">
        <f>DO_DB[[#This Row],[Material Pick-update]]&amp;"_"&amp;DO_DB[[#This Row],[Material Name]]</f>
        <v>46087_FAT-16</v>
      </c>
      <c r="O2014" t="str">
        <f>DO_DB[[#This Row],[SiteID]]</f>
        <v>CLR51-99-385</v>
      </c>
      <c r="P2014" t="str">
        <f>DO_DB[[#This Row],[SiteID]]&amp;"_"&amp;DO_DB[[#This Row],[Material Name]]</f>
        <v>CLR51-99-385_FAT-16</v>
      </c>
      <c r="Q2014" t="str">
        <f>DO_DB[[#This Row],[DO Number]]</f>
        <v>DOEID26030644</v>
      </c>
      <c r="R2014" t="str">
        <f>DO_DB[[#This Row],[DN Number]]</f>
        <v>DNWID1382026030605</v>
      </c>
    </row>
    <row r="2015" spans="1:18">
      <c r="A2015" t="s">
        <v>4847</v>
      </c>
      <c r="B2015" t="s">
        <v>4846</v>
      </c>
      <c r="C2015" s="172" t="s">
        <v>4482</v>
      </c>
      <c r="D2015" t="s">
        <v>67</v>
      </c>
      <c r="E2015" t="s">
        <v>24</v>
      </c>
      <c r="F2015" t="s">
        <v>3295</v>
      </c>
      <c r="G2015" t="s">
        <v>4855</v>
      </c>
      <c r="I2015" s="130">
        <v>46133</v>
      </c>
      <c r="J2015" s="172" t="s">
        <v>13</v>
      </c>
      <c r="K2015">
        <v>14</v>
      </c>
      <c r="M20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15" t="str">
        <f>DO_DB[[#This Row],[Material Pick-update]]&amp;"_"&amp;DO_DB[[#This Row],[Material Name]]</f>
        <v>46133_FAT-16</v>
      </c>
      <c r="O2015" t="str">
        <f>DO_DB[[#This Row],[SiteID]]</f>
        <v>CLR51-99-445</v>
      </c>
      <c r="P2015" t="str">
        <f>DO_DB[[#This Row],[SiteID]]&amp;"_"&amp;DO_DB[[#This Row],[Material Name]]</f>
        <v>CLR51-99-445_FAT-16</v>
      </c>
      <c r="Q2015" t="str">
        <f>DO_DB[[#This Row],[DO Number]]</f>
        <v>DOEID260420HH</v>
      </c>
      <c r="R2015">
        <f>DO_DB[[#This Row],[DN Number]]</f>
        <v>0</v>
      </c>
    </row>
    <row r="2016" spans="1:18">
      <c r="A2016" t="s">
        <v>4870</v>
      </c>
      <c r="B2016" t="s">
        <v>4871</v>
      </c>
      <c r="C2016" s="172" t="s">
        <v>4482</v>
      </c>
      <c r="D2016" t="s">
        <v>67</v>
      </c>
      <c r="E2016" t="s">
        <v>24</v>
      </c>
      <c r="F2016" t="s">
        <v>3295</v>
      </c>
      <c r="G2016" t="s">
        <v>4869</v>
      </c>
      <c r="H2016" t="s">
        <v>5132</v>
      </c>
      <c r="I2016" s="130">
        <v>46164</v>
      </c>
      <c r="J2016" s="172" t="s">
        <v>13</v>
      </c>
      <c r="K2016">
        <v>11</v>
      </c>
      <c r="M20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16" t="str">
        <f>DO_DB[[#This Row],[Material Pick-update]]&amp;"_"&amp;DO_DB[[#This Row],[Material Name]]</f>
        <v>46164_FAT-16</v>
      </c>
      <c r="O2016" t="str">
        <f>DO_DB[[#This Row],[SiteID]]</f>
        <v>CLR51-99-658</v>
      </c>
      <c r="P2016" t="str">
        <f>DO_DB[[#This Row],[SiteID]]&amp;"_"&amp;DO_DB[[#This Row],[Material Name]]</f>
        <v>CLR51-99-658_FAT-16</v>
      </c>
      <c r="Q2016" t="str">
        <f>DO_DB[[#This Row],[DO Number]]</f>
        <v>DOEID260522B7</v>
      </c>
      <c r="R2016" t="str">
        <f>DO_DB[[#This Row],[DN Number]]</f>
        <v>DNWID0362026052214</v>
      </c>
    </row>
    <row r="2017" spans="1:18">
      <c r="A2017" t="s">
        <v>4898</v>
      </c>
      <c r="B2017" t="s">
        <v>4900</v>
      </c>
      <c r="C2017" s="172" t="s">
        <v>4482</v>
      </c>
      <c r="D2017" t="s">
        <v>67</v>
      </c>
      <c r="E2017" t="s">
        <v>24</v>
      </c>
      <c r="F2017" t="s">
        <v>3295</v>
      </c>
      <c r="G2017" t="s">
        <v>4904</v>
      </c>
      <c r="H2017" t="s">
        <v>5133</v>
      </c>
      <c r="I2017" s="130">
        <v>46191</v>
      </c>
      <c r="J2017" s="172" t="s">
        <v>13</v>
      </c>
      <c r="K2017">
        <v>25</v>
      </c>
      <c r="M20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17" t="str">
        <f>DO_DB[[#This Row],[Material Pick-update]]&amp;"_"&amp;DO_DB[[#This Row],[Material Name]]</f>
        <v>46191_FAT-16</v>
      </c>
      <c r="O2017" t="str">
        <f>DO_DB[[#This Row],[SiteID]]</f>
        <v>CLR51-99-483</v>
      </c>
      <c r="P2017" t="str">
        <f>DO_DB[[#This Row],[SiteID]]&amp;"_"&amp;DO_DB[[#This Row],[Material Name]]</f>
        <v>CLR51-99-483_FAT-16</v>
      </c>
      <c r="Q2017" t="str">
        <f>DO_DB[[#This Row],[DO Number]]</f>
        <v>DOEID26052978</v>
      </c>
      <c r="R2017" t="str">
        <f>DO_DB[[#This Row],[DN Number]]</f>
        <v>DNWID0362026052925</v>
      </c>
    </row>
    <row r="2018" spans="1:18">
      <c r="A2018" t="s">
        <v>4902</v>
      </c>
      <c r="B2018" t="s">
        <v>4903</v>
      </c>
      <c r="C2018" s="172" t="s">
        <v>4482</v>
      </c>
      <c r="D2018" t="s">
        <v>67</v>
      </c>
      <c r="E2018" t="s">
        <v>24</v>
      </c>
      <c r="F2018" t="s">
        <v>3295</v>
      </c>
      <c r="G2018" t="s">
        <v>4901</v>
      </c>
      <c r="H2018" t="s">
        <v>5134</v>
      </c>
      <c r="I2018" s="130">
        <v>46200</v>
      </c>
      <c r="J2018" s="172" t="s">
        <v>13</v>
      </c>
      <c r="K2018">
        <v>19</v>
      </c>
      <c r="M20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18" t="str">
        <f>DO_DB[[#This Row],[Material Pick-update]]&amp;"_"&amp;DO_DB[[#This Row],[Material Name]]</f>
        <v>46200_FAT-16</v>
      </c>
      <c r="O2018" t="str">
        <f>DO_DB[[#This Row],[SiteID]]</f>
        <v>CLR51-99-678</v>
      </c>
      <c r="P2018" t="str">
        <f>DO_DB[[#This Row],[SiteID]]&amp;"_"&amp;DO_DB[[#This Row],[Material Name]]</f>
        <v>CLR51-99-678_FAT-16</v>
      </c>
      <c r="Q2018" t="str">
        <f>DO_DB[[#This Row],[DO Number]]</f>
        <v>DOEID26062559</v>
      </c>
      <c r="R2018" t="str">
        <f>DO_DB[[#This Row],[DN Number]]</f>
        <v>DNWID0362026062510</v>
      </c>
    </row>
    <row r="2019" spans="1:18">
      <c r="A2019" t="s">
        <v>5122</v>
      </c>
      <c r="B2019" t="s">
        <v>5125</v>
      </c>
      <c r="C2019" s="172" t="s">
        <v>4482</v>
      </c>
      <c r="D2019" t="s">
        <v>67</v>
      </c>
      <c r="E2019" t="s">
        <v>24</v>
      </c>
      <c r="F2019" t="s">
        <v>3295</v>
      </c>
      <c r="G2019" t="s">
        <v>5123</v>
      </c>
      <c r="H2019" t="s">
        <v>5124</v>
      </c>
      <c r="I2019" s="130">
        <v>46212</v>
      </c>
      <c r="J2019" s="172" t="s">
        <v>13</v>
      </c>
      <c r="K2019">
        <v>9</v>
      </c>
      <c r="M20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19" t="str">
        <f>DO_DB[[#This Row],[Material Pick-update]]&amp;"_"&amp;DO_DB[[#This Row],[Material Name]]</f>
        <v>46212_FAT-16</v>
      </c>
      <c r="O2019" t="str">
        <f>DO_DB[[#This Row],[SiteID]]</f>
        <v>CLR51-99-662</v>
      </c>
      <c r="P2019" t="str">
        <f>DO_DB[[#This Row],[SiteID]]&amp;"_"&amp;DO_DB[[#This Row],[Material Name]]</f>
        <v>CLR51-99-662_FAT-16</v>
      </c>
      <c r="Q2019" t="str">
        <f>DO_DB[[#This Row],[DO Number]]</f>
        <v>DOEID260708AM</v>
      </c>
      <c r="R2019" t="str">
        <f>DO_DB[[#This Row],[DN Number]]</f>
        <v>DNWID0362026070821</v>
      </c>
    </row>
    <row r="2020" spans="1:18">
      <c r="A2020" t="s">
        <v>84</v>
      </c>
      <c r="B2020" t="s">
        <v>85</v>
      </c>
      <c r="C2020" s="172" t="s">
        <v>4482</v>
      </c>
      <c r="D2020" t="s">
        <v>71</v>
      </c>
      <c r="E2020" t="s">
        <v>24</v>
      </c>
      <c r="F2020" t="s">
        <v>3295</v>
      </c>
      <c r="G2020" t="s">
        <v>86</v>
      </c>
      <c r="H2020" t="s">
        <v>87</v>
      </c>
      <c r="I2020" s="130">
        <v>45142</v>
      </c>
      <c r="J2020" t="s">
        <v>14</v>
      </c>
      <c r="K2020">
        <v>1</v>
      </c>
      <c r="M20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20" t="str">
        <f>DO_DB[[#This Row],[Material Pick-update]]&amp;"_"&amp;DO_DB[[#This Row],[Material Name]]</f>
        <v>45142_FDT-48</v>
      </c>
      <c r="O2020" t="str">
        <f>DO_DB[[#This Row],[SiteID]]</f>
        <v>CLR51-99-004</v>
      </c>
      <c r="P2020" t="str">
        <f>DO_DB[[#This Row],[SiteID]]&amp;"_"&amp;DO_DB[[#This Row],[Material Name]]</f>
        <v>CLR51-99-004_FDT-48</v>
      </c>
      <c r="Q2020" t="str">
        <f>DO_DB[[#This Row],[DO Number]]</f>
        <v>DOEID23080182</v>
      </c>
      <c r="R2020" t="str">
        <f>DO_DB[[#This Row],[DN Number]]</f>
        <v>DNWID0342023080312</v>
      </c>
    </row>
    <row r="2021" spans="1:18">
      <c r="A2021" t="s">
        <v>150</v>
      </c>
      <c r="B2021" t="s">
        <v>151</v>
      </c>
      <c r="C2021" s="172" t="s">
        <v>4482</v>
      </c>
      <c r="D2021" t="s">
        <v>71</v>
      </c>
      <c r="E2021" t="s">
        <v>24</v>
      </c>
      <c r="F2021" t="s">
        <v>3295</v>
      </c>
      <c r="G2021" t="s">
        <v>152</v>
      </c>
      <c r="H2021" t="s">
        <v>153</v>
      </c>
      <c r="I2021" s="130">
        <v>45170</v>
      </c>
      <c r="J2021" t="s">
        <v>14</v>
      </c>
      <c r="K2021">
        <v>1</v>
      </c>
      <c r="M20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21" t="str">
        <f>DO_DB[[#This Row],[Material Pick-update]]&amp;"_"&amp;DO_DB[[#This Row],[Material Name]]</f>
        <v>45170_FDT-48</v>
      </c>
      <c r="O2021" t="str">
        <f>DO_DB[[#This Row],[SiteID]]</f>
        <v>CLR51-99-006</v>
      </c>
      <c r="P2021" t="str">
        <f>DO_DB[[#This Row],[SiteID]]&amp;"_"&amp;DO_DB[[#This Row],[Material Name]]</f>
        <v>CLR51-99-006_FDT-48</v>
      </c>
      <c r="Q2021" t="str">
        <f>DO_DB[[#This Row],[DO Number]]</f>
        <v>DOEID23082835</v>
      </c>
      <c r="R2021" t="str">
        <f>DO_DB[[#This Row],[DN Number]]</f>
        <v>DNWID0342023082902</v>
      </c>
    </row>
    <row r="2022" spans="1:18">
      <c r="A2022" t="s">
        <v>164</v>
      </c>
      <c r="B2022" t="s">
        <v>165</v>
      </c>
      <c r="C2022" s="172" t="s">
        <v>4482</v>
      </c>
      <c r="D2022" t="s">
        <v>71</v>
      </c>
      <c r="E2022" t="s">
        <v>24</v>
      </c>
      <c r="F2022" t="s">
        <v>3295</v>
      </c>
      <c r="G2022" t="s">
        <v>176</v>
      </c>
      <c r="H2022" t="s">
        <v>177</v>
      </c>
      <c r="I2022" s="130">
        <v>45188</v>
      </c>
      <c r="J2022" t="s">
        <v>14</v>
      </c>
      <c r="K2022">
        <v>1</v>
      </c>
      <c r="M20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22" t="str">
        <f>DO_DB[[#This Row],[Material Pick-update]]&amp;"_"&amp;DO_DB[[#This Row],[Material Name]]</f>
        <v>45188_FDT-48</v>
      </c>
      <c r="O2022" t="str">
        <f>DO_DB[[#This Row],[SiteID]]</f>
        <v>CLR51-99-014</v>
      </c>
      <c r="P2022" t="str">
        <f>DO_DB[[#This Row],[SiteID]]&amp;"_"&amp;DO_DB[[#This Row],[Material Name]]</f>
        <v>CLR51-99-014_FDT-48</v>
      </c>
      <c r="Q2022" t="str">
        <f>DO_DB[[#This Row],[DO Number]]</f>
        <v>DOEID230918AG</v>
      </c>
      <c r="R2022" t="str">
        <f>DO_DB[[#This Row],[DN Number]]</f>
        <v>DNWID0342023091803</v>
      </c>
    </row>
    <row r="2023" spans="1:18">
      <c r="A2023" t="s">
        <v>180</v>
      </c>
      <c r="B2023" t="s">
        <v>181</v>
      </c>
      <c r="C2023" s="172" t="s">
        <v>4482</v>
      </c>
      <c r="D2023" t="s">
        <v>71</v>
      </c>
      <c r="E2023" t="s">
        <v>24</v>
      </c>
      <c r="F2023" t="s">
        <v>3295</v>
      </c>
      <c r="G2023" t="s">
        <v>182</v>
      </c>
      <c r="H2023" t="s">
        <v>183</v>
      </c>
      <c r="I2023" s="130">
        <v>45188</v>
      </c>
      <c r="J2023" t="s">
        <v>14</v>
      </c>
      <c r="K2023">
        <v>1</v>
      </c>
      <c r="M20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23" t="str">
        <f>DO_DB[[#This Row],[Material Pick-update]]&amp;"_"&amp;DO_DB[[#This Row],[Material Name]]</f>
        <v>45188_FDT-48</v>
      </c>
      <c r="O2023" t="str">
        <f>DO_DB[[#This Row],[SiteID]]</f>
        <v>CLR51-99-007</v>
      </c>
      <c r="P2023" t="str">
        <f>DO_DB[[#This Row],[SiteID]]&amp;"_"&amp;DO_DB[[#This Row],[Material Name]]</f>
        <v>CLR51-99-007_FDT-48</v>
      </c>
      <c r="Q2023" t="str">
        <f>DO_DB[[#This Row],[DO Number]]</f>
        <v>DOEID230918DY</v>
      </c>
      <c r="R2023" t="str">
        <f>DO_DB[[#This Row],[DN Number]]</f>
        <v>DNWID0342023091808</v>
      </c>
    </row>
    <row r="2024" spans="1:18">
      <c r="A2024" t="s">
        <v>222</v>
      </c>
      <c r="B2024" t="s">
        <v>223</v>
      </c>
      <c r="C2024" s="172" t="s">
        <v>4482</v>
      </c>
      <c r="D2024" t="s">
        <v>71</v>
      </c>
      <c r="E2024" t="s">
        <v>24</v>
      </c>
      <c r="F2024" t="s">
        <v>3295</v>
      </c>
      <c r="G2024" t="s">
        <v>224</v>
      </c>
      <c r="H2024" t="s">
        <v>225</v>
      </c>
      <c r="I2024" s="130">
        <v>45189</v>
      </c>
      <c r="J2024" t="s">
        <v>14</v>
      </c>
      <c r="K2024">
        <v>1</v>
      </c>
      <c r="M20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24" t="str">
        <f>DO_DB[[#This Row],[Material Pick-update]]&amp;"_"&amp;DO_DB[[#This Row],[Material Name]]</f>
        <v>45189_FDT-48</v>
      </c>
      <c r="O2024" t="str">
        <f>DO_DB[[#This Row],[SiteID]]</f>
        <v>CLR51-02-001</v>
      </c>
      <c r="P2024" t="str">
        <f>DO_DB[[#This Row],[SiteID]]&amp;"_"&amp;DO_DB[[#This Row],[Material Name]]</f>
        <v>CLR51-02-001_FDT-48</v>
      </c>
      <c r="Q2024" t="str">
        <f>DO_DB[[#This Row],[DO Number]]</f>
        <v>DOEID230919BH</v>
      </c>
      <c r="R2024" t="str">
        <f>DO_DB[[#This Row],[DN Number]]</f>
        <v>DNWID0342023091906</v>
      </c>
    </row>
    <row r="2025" spans="1:18">
      <c r="A2025" t="s">
        <v>222</v>
      </c>
      <c r="B2025" t="s">
        <v>223</v>
      </c>
      <c r="C2025" s="172" t="s">
        <v>4482</v>
      </c>
      <c r="D2025" t="s">
        <v>71</v>
      </c>
      <c r="E2025" t="s">
        <v>24</v>
      </c>
      <c r="F2025" t="s">
        <v>3295</v>
      </c>
      <c r="G2025" t="s">
        <v>238</v>
      </c>
      <c r="H2025" t="s">
        <v>239</v>
      </c>
      <c r="I2025" s="130">
        <v>45195</v>
      </c>
      <c r="J2025" t="s">
        <v>14</v>
      </c>
      <c r="K2025">
        <v>1</v>
      </c>
      <c r="M20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25" t="str">
        <f>DO_DB[[#This Row],[Material Pick-update]]&amp;"_"&amp;DO_DB[[#This Row],[Material Name]]</f>
        <v>45195_FDT-48</v>
      </c>
      <c r="O2025" t="str">
        <f>DO_DB[[#This Row],[SiteID]]</f>
        <v>CLR51-02-001</v>
      </c>
      <c r="P2025" t="str">
        <f>DO_DB[[#This Row],[SiteID]]&amp;"_"&amp;DO_DB[[#This Row],[Material Name]]</f>
        <v>CLR51-02-001_FDT-48</v>
      </c>
      <c r="Q2025" t="str">
        <f>DO_DB[[#This Row],[DO Number]]</f>
        <v>DOEID23092543</v>
      </c>
      <c r="R2025" t="str">
        <f>DO_DB[[#This Row],[DN Number]]</f>
        <v>DNWID0342023092512</v>
      </c>
    </row>
    <row r="2026" spans="1:18">
      <c r="A2026" t="s">
        <v>172</v>
      </c>
      <c r="B2026" t="s">
        <v>173</v>
      </c>
      <c r="C2026" s="172" t="s">
        <v>4482</v>
      </c>
      <c r="D2026" t="s">
        <v>71</v>
      </c>
      <c r="E2026" t="s">
        <v>24</v>
      </c>
      <c r="F2026" t="s">
        <v>3295</v>
      </c>
      <c r="G2026" t="s">
        <v>310</v>
      </c>
      <c r="H2026" t="s">
        <v>311</v>
      </c>
      <c r="I2026" s="130">
        <v>45211</v>
      </c>
      <c r="J2026" t="s">
        <v>14</v>
      </c>
      <c r="K2026">
        <v>1</v>
      </c>
      <c r="M20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26" t="str">
        <f>DO_DB[[#This Row],[Material Pick-update]]&amp;"_"&amp;DO_DB[[#This Row],[Material Name]]</f>
        <v>45211_FDT-48</v>
      </c>
      <c r="O2026" t="str">
        <f>DO_DB[[#This Row],[SiteID]]</f>
        <v>CLR51-99-013</v>
      </c>
      <c r="P2026" t="str">
        <f>DO_DB[[#This Row],[SiteID]]&amp;"_"&amp;DO_DB[[#This Row],[Material Name]]</f>
        <v>CLR51-99-013_FDT-48</v>
      </c>
      <c r="Q2026" t="str">
        <f>DO_DB[[#This Row],[DO Number]]</f>
        <v>DOEID231009BE</v>
      </c>
      <c r="R2026" t="str">
        <f>DO_DB[[#This Row],[DN Number]]</f>
        <v>DNWID0342023100924</v>
      </c>
    </row>
    <row r="2027" spans="1:18">
      <c r="A2027" t="s">
        <v>340</v>
      </c>
      <c r="B2027" t="s">
        <v>341</v>
      </c>
      <c r="C2027" s="172" t="s">
        <v>4482</v>
      </c>
      <c r="D2027" t="s">
        <v>71</v>
      </c>
      <c r="E2027" t="s">
        <v>24</v>
      </c>
      <c r="F2027" t="s">
        <v>3295</v>
      </c>
      <c r="G2027" t="s">
        <v>342</v>
      </c>
      <c r="H2027" t="s">
        <v>343</v>
      </c>
      <c r="I2027" s="130">
        <v>45213</v>
      </c>
      <c r="J2027" t="s">
        <v>14</v>
      </c>
      <c r="K2027">
        <v>1</v>
      </c>
      <c r="M20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27" t="str">
        <f>DO_DB[[#This Row],[Material Pick-update]]&amp;"_"&amp;DO_DB[[#This Row],[Material Name]]</f>
        <v>45213_FDT-48</v>
      </c>
      <c r="O2027" t="str">
        <f>DO_DB[[#This Row],[SiteID]]</f>
        <v>CLR51-99-020</v>
      </c>
      <c r="P2027" t="str">
        <f>DO_DB[[#This Row],[SiteID]]&amp;"_"&amp;DO_DB[[#This Row],[Material Name]]</f>
        <v>CLR51-99-020_FDT-48</v>
      </c>
      <c r="Q2027" t="str">
        <f>DO_DB[[#This Row],[DO Number]]</f>
        <v>DOEID231013AV</v>
      </c>
      <c r="R2027" t="str">
        <f>DO_DB[[#This Row],[DN Number]]</f>
        <v>DNWID0342023101409</v>
      </c>
    </row>
    <row r="2028" spans="1:18">
      <c r="A2028" t="s">
        <v>328</v>
      </c>
      <c r="B2028" t="s">
        <v>329</v>
      </c>
      <c r="C2028" s="172" t="s">
        <v>4482</v>
      </c>
      <c r="D2028" t="s">
        <v>71</v>
      </c>
      <c r="E2028" t="s">
        <v>24</v>
      </c>
      <c r="F2028" t="s">
        <v>3295</v>
      </c>
      <c r="G2028" t="s">
        <v>330</v>
      </c>
      <c r="H2028" t="s">
        <v>331</v>
      </c>
      <c r="I2028" s="130">
        <v>45213</v>
      </c>
      <c r="J2028" t="s">
        <v>14</v>
      </c>
      <c r="K2028">
        <v>1</v>
      </c>
      <c r="M20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28" t="str">
        <f>DO_DB[[#This Row],[Material Pick-update]]&amp;"_"&amp;DO_DB[[#This Row],[Material Name]]</f>
        <v>45213_FDT-48</v>
      </c>
      <c r="O2028" t="str">
        <f>DO_DB[[#This Row],[SiteID]]</f>
        <v>CLR51-99-017</v>
      </c>
      <c r="P2028" t="str">
        <f>DO_DB[[#This Row],[SiteID]]&amp;"_"&amp;DO_DB[[#This Row],[Material Name]]</f>
        <v>CLR51-99-017_FDT-48</v>
      </c>
      <c r="Q2028" t="str">
        <f>DO_DB[[#This Row],[DO Number]]</f>
        <v>DOEID23101403</v>
      </c>
      <c r="R2028" t="str">
        <f>DO_DB[[#This Row],[DN Number]]</f>
        <v>DNWID0342023101406</v>
      </c>
    </row>
    <row r="2029" spans="1:18">
      <c r="A2029" t="s">
        <v>332</v>
      </c>
      <c r="B2029" t="s">
        <v>333</v>
      </c>
      <c r="C2029" s="172" t="s">
        <v>4482</v>
      </c>
      <c r="D2029" t="s">
        <v>71</v>
      </c>
      <c r="E2029" t="s">
        <v>24</v>
      </c>
      <c r="F2029" t="s">
        <v>3295</v>
      </c>
      <c r="G2029" t="s">
        <v>334</v>
      </c>
      <c r="H2029" t="s">
        <v>335</v>
      </c>
      <c r="I2029" s="130">
        <v>45213</v>
      </c>
      <c r="J2029" t="s">
        <v>14</v>
      </c>
      <c r="K2029">
        <v>1</v>
      </c>
      <c r="M20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29" t="str">
        <f>DO_DB[[#This Row],[Material Pick-update]]&amp;"_"&amp;DO_DB[[#This Row],[Material Name]]</f>
        <v>45213_FDT-48</v>
      </c>
      <c r="O2029" t="str">
        <f>DO_DB[[#This Row],[SiteID]]</f>
        <v>CLR51-99-018</v>
      </c>
      <c r="P2029" t="str">
        <f>DO_DB[[#This Row],[SiteID]]&amp;"_"&amp;DO_DB[[#This Row],[Material Name]]</f>
        <v>CLR51-99-018_FDT-48</v>
      </c>
      <c r="Q2029" t="str">
        <f>DO_DB[[#This Row],[DO Number]]</f>
        <v>DOEID23101405</v>
      </c>
      <c r="R2029" t="str">
        <f>DO_DB[[#This Row],[DN Number]]</f>
        <v>DNWID0342023101407</v>
      </c>
    </row>
    <row r="2030" spans="1:18">
      <c r="A2030" t="s">
        <v>468</v>
      </c>
      <c r="B2030" t="s">
        <v>469</v>
      </c>
      <c r="C2030" s="172" t="s">
        <v>4482</v>
      </c>
      <c r="D2030" t="s">
        <v>71</v>
      </c>
      <c r="E2030" t="s">
        <v>24</v>
      </c>
      <c r="F2030" t="s">
        <v>3295</v>
      </c>
      <c r="G2030" t="s">
        <v>540</v>
      </c>
      <c r="H2030" t="s">
        <v>541</v>
      </c>
      <c r="I2030" s="130">
        <v>45245</v>
      </c>
      <c r="J2030" t="s">
        <v>14</v>
      </c>
      <c r="K2030">
        <v>1</v>
      </c>
      <c r="M20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30" t="str">
        <f>DO_DB[[#This Row],[Material Pick-update]]&amp;"_"&amp;DO_DB[[#This Row],[Material Name]]</f>
        <v>45245_FDT-48</v>
      </c>
      <c r="O2030" t="str">
        <f>DO_DB[[#This Row],[SiteID]]</f>
        <v>CLR51-99-026</v>
      </c>
      <c r="P2030" t="str">
        <f>DO_DB[[#This Row],[SiteID]]&amp;"_"&amp;DO_DB[[#This Row],[Material Name]]</f>
        <v>CLR51-99-026_FDT-48</v>
      </c>
      <c r="Q2030" t="str">
        <f>DO_DB[[#This Row],[DO Number]]</f>
        <v>DOEID231113AY</v>
      </c>
      <c r="R2030" t="str">
        <f>DO_DB[[#This Row],[DN Number]]</f>
        <v>DNWID0342023111301</v>
      </c>
    </row>
    <row r="2031" spans="1:18">
      <c r="A2031" t="s">
        <v>738</v>
      </c>
      <c r="B2031" t="s">
        <v>739</v>
      </c>
      <c r="C2031" s="172" t="s">
        <v>4482</v>
      </c>
      <c r="D2031" t="s">
        <v>71</v>
      </c>
      <c r="E2031" t="s">
        <v>24</v>
      </c>
      <c r="F2031" t="s">
        <v>3295</v>
      </c>
      <c r="G2031" t="s">
        <v>740</v>
      </c>
      <c r="H2031" t="s">
        <v>741</v>
      </c>
      <c r="I2031" s="130">
        <v>45287</v>
      </c>
      <c r="J2031" t="s">
        <v>14</v>
      </c>
      <c r="K2031">
        <v>1</v>
      </c>
      <c r="M20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31" t="str">
        <f>DO_DB[[#This Row],[Material Pick-update]]&amp;"_"&amp;DO_DB[[#This Row],[Material Name]]</f>
        <v>45287_FDT-48</v>
      </c>
      <c r="O2031" t="str">
        <f>DO_DB[[#This Row],[SiteID]]</f>
        <v>CLR51-01-005</v>
      </c>
      <c r="P2031" t="str">
        <f>DO_DB[[#This Row],[SiteID]]&amp;"_"&amp;DO_DB[[#This Row],[Material Name]]</f>
        <v>CLR51-01-005_FDT-48</v>
      </c>
      <c r="Q2031" t="str">
        <f>DO_DB[[#This Row],[DO Number]]</f>
        <v>DOEID231223A6</v>
      </c>
      <c r="R2031" t="str">
        <f>DO_DB[[#This Row],[DN Number]]</f>
        <v>DNWID0342023122352</v>
      </c>
    </row>
    <row r="2032" spans="1:18">
      <c r="A2032" t="s">
        <v>732</v>
      </c>
      <c r="B2032" t="s">
        <v>733</v>
      </c>
      <c r="C2032" s="172" t="s">
        <v>4482</v>
      </c>
      <c r="D2032" t="s">
        <v>71</v>
      </c>
      <c r="E2032" t="s">
        <v>24</v>
      </c>
      <c r="F2032" t="s">
        <v>3295</v>
      </c>
      <c r="G2032" t="s">
        <v>736</v>
      </c>
      <c r="H2032" t="s">
        <v>737</v>
      </c>
      <c r="I2032" s="130">
        <v>45287</v>
      </c>
      <c r="J2032" t="s">
        <v>14</v>
      </c>
      <c r="K2032">
        <v>1</v>
      </c>
      <c r="M20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32" t="str">
        <f>DO_DB[[#This Row],[Material Pick-update]]&amp;"_"&amp;DO_DB[[#This Row],[Material Name]]</f>
        <v>45287_FDT-48</v>
      </c>
      <c r="O2032" t="str">
        <f>DO_DB[[#This Row],[SiteID]]</f>
        <v>CLR32-99-069</v>
      </c>
      <c r="P2032" t="str">
        <f>DO_DB[[#This Row],[SiteID]]&amp;"_"&amp;DO_DB[[#This Row],[Material Name]]</f>
        <v>CLR32-99-069_FDT-48</v>
      </c>
      <c r="Q2032" t="str">
        <f>DO_DB[[#This Row],[DO Number]]</f>
        <v>DOEID231223A8</v>
      </c>
      <c r="R2032" t="str">
        <f>DO_DB[[#This Row],[DN Number]]</f>
        <v>DNWID0342023122353</v>
      </c>
    </row>
    <row r="2033" spans="1:18">
      <c r="A2033" t="s">
        <v>742</v>
      </c>
      <c r="B2033" t="s">
        <v>743</v>
      </c>
      <c r="C2033" s="172" t="s">
        <v>4482</v>
      </c>
      <c r="D2033" t="s">
        <v>71</v>
      </c>
      <c r="E2033" t="s">
        <v>24</v>
      </c>
      <c r="F2033" t="s">
        <v>3295</v>
      </c>
      <c r="G2033" t="s">
        <v>744</v>
      </c>
      <c r="H2033" t="s">
        <v>745</v>
      </c>
      <c r="I2033" s="130">
        <v>45287</v>
      </c>
      <c r="J2033" t="s">
        <v>14</v>
      </c>
      <c r="K2033">
        <v>1</v>
      </c>
      <c r="M20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33" t="str">
        <f>DO_DB[[#This Row],[Material Pick-update]]&amp;"_"&amp;DO_DB[[#This Row],[Material Name]]</f>
        <v>45287_FDT-48</v>
      </c>
      <c r="O2033" t="str">
        <f>DO_DB[[#This Row],[SiteID]]</f>
        <v>CLR51-99-038</v>
      </c>
      <c r="P2033" t="str">
        <f>DO_DB[[#This Row],[SiteID]]&amp;"_"&amp;DO_DB[[#This Row],[Material Name]]</f>
        <v>CLR51-99-038_FDT-48</v>
      </c>
      <c r="Q2033" t="str">
        <f>DO_DB[[#This Row],[DO Number]]</f>
        <v>DOEID231227AP</v>
      </c>
      <c r="R2033" t="str">
        <f>DO_DB[[#This Row],[DN Number]]</f>
        <v>DNWID0342023122709</v>
      </c>
    </row>
    <row r="2034" spans="1:18">
      <c r="A2034" t="s">
        <v>828</v>
      </c>
      <c r="B2034" t="s">
        <v>829</v>
      </c>
      <c r="C2034" s="172" t="s">
        <v>4482</v>
      </c>
      <c r="D2034" t="s">
        <v>71</v>
      </c>
      <c r="E2034" t="s">
        <v>24</v>
      </c>
      <c r="F2034" t="s">
        <v>3295</v>
      </c>
      <c r="G2034" t="s">
        <v>852</v>
      </c>
      <c r="H2034" t="s">
        <v>853</v>
      </c>
      <c r="I2034" s="130">
        <v>45307</v>
      </c>
      <c r="J2034" t="s">
        <v>14</v>
      </c>
      <c r="K2034">
        <v>3</v>
      </c>
      <c r="M20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34" t="str">
        <f>DO_DB[[#This Row],[Material Pick-update]]&amp;"_"&amp;DO_DB[[#This Row],[Material Name]]</f>
        <v>45307_FDT-48</v>
      </c>
      <c r="O2034" t="str">
        <f>DO_DB[[#This Row],[SiteID]]</f>
        <v>CLR29-99-153</v>
      </c>
      <c r="P2034" t="str">
        <f>DO_DB[[#This Row],[SiteID]]&amp;"_"&amp;DO_DB[[#This Row],[Material Name]]</f>
        <v>CLR29-99-153_FDT-48</v>
      </c>
      <c r="Q2034" t="str">
        <f>DO_DB[[#This Row],[DO Number]]</f>
        <v>DOEID24011540</v>
      </c>
      <c r="R2034" t="str">
        <f>DO_DB[[#This Row],[DN Number]]</f>
        <v>DNWID0342024011501</v>
      </c>
    </row>
    <row r="2035" spans="1:18">
      <c r="A2035" t="s">
        <v>838</v>
      </c>
      <c r="B2035" t="s">
        <v>839</v>
      </c>
      <c r="C2035" s="172" t="s">
        <v>4482</v>
      </c>
      <c r="D2035" t="s">
        <v>71</v>
      </c>
      <c r="E2035" t="s">
        <v>24</v>
      </c>
      <c r="F2035" t="s">
        <v>3295</v>
      </c>
      <c r="G2035" t="s">
        <v>842</v>
      </c>
      <c r="H2035" t="s">
        <v>843</v>
      </c>
      <c r="I2035" s="130">
        <v>45307</v>
      </c>
      <c r="J2035" t="s">
        <v>14</v>
      </c>
      <c r="K2035">
        <v>1</v>
      </c>
      <c r="M20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35" t="str">
        <f>DO_DB[[#This Row],[Material Pick-update]]&amp;"_"&amp;DO_DB[[#This Row],[Material Name]]</f>
        <v>45307_FDT-48</v>
      </c>
      <c r="O2035" t="str">
        <f>DO_DB[[#This Row],[SiteID]]</f>
        <v>CLR51-99-066</v>
      </c>
      <c r="P2035" t="str">
        <f>DO_DB[[#This Row],[SiteID]]&amp;"_"&amp;DO_DB[[#This Row],[Material Name]]</f>
        <v>CLR51-99-066_FDT-48</v>
      </c>
      <c r="Q2035" t="str">
        <f>DO_DB[[#This Row],[DO Number]]</f>
        <v>DOEID24011542</v>
      </c>
      <c r="R2035" t="str">
        <f>DO_DB[[#This Row],[DN Number]]</f>
        <v>DNWID0342024011502</v>
      </c>
    </row>
    <row r="2036" spans="1:18">
      <c r="A2036" t="s">
        <v>911</v>
      </c>
      <c r="B2036" t="s">
        <v>912</v>
      </c>
      <c r="C2036" s="172" t="s">
        <v>4482</v>
      </c>
      <c r="D2036" t="s">
        <v>71</v>
      </c>
      <c r="E2036" t="s">
        <v>24</v>
      </c>
      <c r="F2036" t="s">
        <v>3295</v>
      </c>
      <c r="G2036" t="s">
        <v>913</v>
      </c>
      <c r="H2036" t="s">
        <v>914</v>
      </c>
      <c r="I2036" s="130">
        <v>45337</v>
      </c>
      <c r="J2036" t="s">
        <v>14</v>
      </c>
      <c r="K2036">
        <v>1</v>
      </c>
      <c r="M20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36" t="str">
        <f>DO_DB[[#This Row],[Material Pick-update]]&amp;"_"&amp;DO_DB[[#This Row],[Material Name]]</f>
        <v>45337_FDT-48</v>
      </c>
      <c r="O2036" t="str">
        <f>DO_DB[[#This Row],[SiteID]]</f>
        <v>CLR51-99-067</v>
      </c>
      <c r="P2036" t="str">
        <f>DO_DB[[#This Row],[SiteID]]&amp;"_"&amp;DO_DB[[#This Row],[Material Name]]</f>
        <v>CLR51-99-067_FDT-48</v>
      </c>
      <c r="Q2036" t="str">
        <f>DO_DB[[#This Row],[DO Number]]</f>
        <v>DOEID24021519</v>
      </c>
      <c r="R2036" t="str">
        <f>DO_DB[[#This Row],[DN Number]]</f>
        <v>DNWID0342024021506</v>
      </c>
    </row>
    <row r="2037" spans="1:18">
      <c r="A2037" t="s">
        <v>921</v>
      </c>
      <c r="B2037" t="s">
        <v>922</v>
      </c>
      <c r="C2037" s="172" t="s">
        <v>4482</v>
      </c>
      <c r="D2037" t="s">
        <v>71</v>
      </c>
      <c r="E2037" t="s">
        <v>24</v>
      </c>
      <c r="F2037" t="s">
        <v>3295</v>
      </c>
      <c r="G2037" t="s">
        <v>929</v>
      </c>
      <c r="H2037" t="s">
        <v>930</v>
      </c>
      <c r="I2037" s="130">
        <v>45337</v>
      </c>
      <c r="J2037" t="s">
        <v>14</v>
      </c>
      <c r="K2037">
        <v>2</v>
      </c>
      <c r="M20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37" t="str">
        <f>DO_DB[[#This Row],[Material Pick-update]]&amp;"_"&amp;DO_DB[[#This Row],[Material Name]]</f>
        <v>45337_FDT-48</v>
      </c>
      <c r="O2037" t="str">
        <f>DO_DB[[#This Row],[SiteID]]</f>
        <v>CLR51-99-078</v>
      </c>
      <c r="P2037" t="str">
        <f>DO_DB[[#This Row],[SiteID]]&amp;"_"&amp;DO_DB[[#This Row],[Material Name]]</f>
        <v>CLR51-99-078_FDT-48</v>
      </c>
      <c r="Q2037" t="str">
        <f>DO_DB[[#This Row],[DO Number]]</f>
        <v>DOEID24021521</v>
      </c>
      <c r="R2037" t="str">
        <f>DO_DB[[#This Row],[DN Number]]</f>
        <v>DNWID0342024021507</v>
      </c>
    </row>
    <row r="2038" spans="1:18">
      <c r="A2038" t="s">
        <v>1013</v>
      </c>
      <c r="B2038" t="s">
        <v>1014</v>
      </c>
      <c r="C2038" s="172" t="s">
        <v>4482</v>
      </c>
      <c r="D2038" t="s">
        <v>71</v>
      </c>
      <c r="E2038" t="s">
        <v>24</v>
      </c>
      <c r="F2038" t="s">
        <v>3295</v>
      </c>
      <c r="G2038" t="s">
        <v>1015</v>
      </c>
      <c r="H2038" t="s">
        <v>1016</v>
      </c>
      <c r="I2038" s="130">
        <v>45351</v>
      </c>
      <c r="J2038" t="s">
        <v>14</v>
      </c>
      <c r="K2038">
        <v>1</v>
      </c>
      <c r="M20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38" t="str">
        <f>DO_DB[[#This Row],[Material Pick-update]]&amp;"_"&amp;DO_DB[[#This Row],[Material Name]]</f>
        <v>45351_FDT-48</v>
      </c>
      <c r="O2038" t="str">
        <f>DO_DB[[#This Row],[SiteID]]</f>
        <v>CLR51-99-079</v>
      </c>
      <c r="P2038" t="str">
        <f>DO_DB[[#This Row],[SiteID]]&amp;"_"&amp;DO_DB[[#This Row],[Material Name]]</f>
        <v>CLR51-99-079_FDT-48</v>
      </c>
      <c r="Q2038" t="str">
        <f>DO_DB[[#This Row],[DO Number]]</f>
        <v>DOEID240226C9</v>
      </c>
      <c r="R2038" t="str">
        <f>DO_DB[[#This Row],[DN Number]]</f>
        <v>DNWID0342024022616</v>
      </c>
    </row>
    <row r="2039" spans="1:18">
      <c r="A2039" t="s">
        <v>1161</v>
      </c>
      <c r="B2039" t="s">
        <v>1162</v>
      </c>
      <c r="C2039" s="172" t="s">
        <v>4482</v>
      </c>
      <c r="D2039" t="s">
        <v>71</v>
      </c>
      <c r="E2039" t="s">
        <v>24</v>
      </c>
      <c r="F2039" t="s">
        <v>3295</v>
      </c>
      <c r="G2039" t="s">
        <v>1163</v>
      </c>
      <c r="H2039" t="s">
        <v>1164</v>
      </c>
      <c r="I2039" s="130">
        <v>45370</v>
      </c>
      <c r="J2039" t="s">
        <v>14</v>
      </c>
      <c r="K2039">
        <v>1</v>
      </c>
      <c r="M20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39" t="str">
        <f>DO_DB[[#This Row],[Material Pick-update]]&amp;"_"&amp;DO_DB[[#This Row],[Material Name]]</f>
        <v>45370_FDT-48</v>
      </c>
      <c r="O2039" t="str">
        <f>DO_DB[[#This Row],[SiteID]]</f>
        <v>CLR51-99-039</v>
      </c>
      <c r="P2039" t="str">
        <f>DO_DB[[#This Row],[SiteID]]&amp;"_"&amp;DO_DB[[#This Row],[Material Name]]</f>
        <v>CLR51-99-039_FDT-48</v>
      </c>
      <c r="Q2039" t="str">
        <f>DO_DB[[#This Row],[DO Number]]</f>
        <v>DOEID24031919</v>
      </c>
      <c r="R2039" t="str">
        <f>DO_DB[[#This Row],[DN Number]]</f>
        <v>DNWID0342024031906</v>
      </c>
    </row>
    <row r="2040" spans="1:18">
      <c r="A2040" t="s">
        <v>1151</v>
      </c>
      <c r="B2040" t="s">
        <v>1152</v>
      </c>
      <c r="C2040" s="172" t="s">
        <v>4482</v>
      </c>
      <c r="D2040" t="s">
        <v>71</v>
      </c>
      <c r="E2040" t="s">
        <v>24</v>
      </c>
      <c r="F2040" t="s">
        <v>3295</v>
      </c>
      <c r="G2040" t="s">
        <v>1153</v>
      </c>
      <c r="H2040" t="s">
        <v>1154</v>
      </c>
      <c r="I2040" s="130">
        <v>45370</v>
      </c>
      <c r="J2040" t="s">
        <v>14</v>
      </c>
      <c r="K2040">
        <v>1</v>
      </c>
      <c r="M20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40" t="str">
        <f>DO_DB[[#This Row],[Material Pick-update]]&amp;"_"&amp;DO_DB[[#This Row],[Material Name]]</f>
        <v>45370_FDT-48</v>
      </c>
      <c r="O2040" t="str">
        <f>DO_DB[[#This Row],[SiteID]]</f>
        <v>CLR51-99-040</v>
      </c>
      <c r="P2040" t="str">
        <f>DO_DB[[#This Row],[SiteID]]&amp;"_"&amp;DO_DB[[#This Row],[Material Name]]</f>
        <v>CLR51-99-040_FDT-48</v>
      </c>
      <c r="Q2040" t="str">
        <f>DO_DB[[#This Row],[DO Number]]</f>
        <v>DOEID24031923</v>
      </c>
      <c r="R2040" t="str">
        <f>DO_DB[[#This Row],[DN Number]]</f>
        <v>DNWID0342024031908</v>
      </c>
    </row>
    <row r="2041" spans="1:18">
      <c r="A2041" t="s">
        <v>1291</v>
      </c>
      <c r="B2041" t="s">
        <v>1292</v>
      </c>
      <c r="C2041" s="172" t="s">
        <v>4482</v>
      </c>
      <c r="D2041" t="s">
        <v>71</v>
      </c>
      <c r="E2041" t="s">
        <v>24</v>
      </c>
      <c r="F2041" t="s">
        <v>3295</v>
      </c>
      <c r="G2041" t="s">
        <v>1293</v>
      </c>
      <c r="H2041" t="s">
        <v>1294</v>
      </c>
      <c r="I2041" s="130">
        <v>45400</v>
      </c>
      <c r="J2041" t="s">
        <v>14</v>
      </c>
      <c r="K2041">
        <v>1</v>
      </c>
      <c r="M20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41" t="str">
        <f>DO_DB[[#This Row],[Material Pick-update]]&amp;"_"&amp;DO_DB[[#This Row],[Material Name]]</f>
        <v>45400_FDT-48</v>
      </c>
      <c r="O2041" t="str">
        <f>DO_DB[[#This Row],[SiteID]]</f>
        <v>CLR51-99-088</v>
      </c>
      <c r="P2041" t="str">
        <f>DO_DB[[#This Row],[SiteID]]&amp;"_"&amp;DO_DB[[#This Row],[Material Name]]</f>
        <v>CLR51-99-088_FDT-48</v>
      </c>
      <c r="Q2041" t="str">
        <f>DO_DB[[#This Row],[DO Number]]</f>
        <v>DOEID240416AM</v>
      </c>
      <c r="R2041" t="str">
        <f>DO_DB[[#This Row],[DN Number]]</f>
        <v>DNWID0342024041718</v>
      </c>
    </row>
    <row r="2042" spans="1:18">
      <c r="A2042" t="s">
        <v>1395</v>
      </c>
      <c r="B2042" t="s">
        <v>1396</v>
      </c>
      <c r="C2042" s="172" t="s">
        <v>4482</v>
      </c>
      <c r="D2042" t="s">
        <v>71</v>
      </c>
      <c r="E2042" t="s">
        <v>24</v>
      </c>
      <c r="F2042" t="s">
        <v>3295</v>
      </c>
      <c r="G2042" t="s">
        <v>1397</v>
      </c>
      <c r="H2042" t="s">
        <v>1398</v>
      </c>
      <c r="I2042" s="130">
        <v>45432</v>
      </c>
      <c r="J2042" t="s">
        <v>14</v>
      </c>
      <c r="K2042">
        <v>1</v>
      </c>
      <c r="M20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42" t="str">
        <f>DO_DB[[#This Row],[Material Pick-update]]&amp;"_"&amp;DO_DB[[#This Row],[Material Name]]</f>
        <v>45432_FDT-48</v>
      </c>
      <c r="O2042" t="str">
        <f>DO_DB[[#This Row],[SiteID]]</f>
        <v>CLR51-99-095</v>
      </c>
      <c r="P2042" t="str">
        <f>DO_DB[[#This Row],[SiteID]]&amp;"_"&amp;DO_DB[[#This Row],[Material Name]]</f>
        <v>CLR51-99-095_FDT-48</v>
      </c>
      <c r="Q2042" t="str">
        <f>DO_DB[[#This Row],[DO Number]]</f>
        <v>DOEID240517C4</v>
      </c>
      <c r="R2042" t="str">
        <f>DO_DB[[#This Row],[DN Number]]</f>
        <v>DNWID0342024051707</v>
      </c>
    </row>
    <row r="2043" spans="1:18">
      <c r="A2043" t="s">
        <v>1391</v>
      </c>
      <c r="B2043" t="s">
        <v>1392</v>
      </c>
      <c r="C2043" s="172" t="s">
        <v>4482</v>
      </c>
      <c r="D2043" t="s">
        <v>71</v>
      </c>
      <c r="E2043" t="s">
        <v>24</v>
      </c>
      <c r="F2043" t="s">
        <v>3295</v>
      </c>
      <c r="G2043" t="s">
        <v>1393</v>
      </c>
      <c r="H2043" t="s">
        <v>1394</v>
      </c>
      <c r="I2043" s="130">
        <v>45432</v>
      </c>
      <c r="J2043" t="s">
        <v>14</v>
      </c>
      <c r="K2043">
        <v>1</v>
      </c>
      <c r="M20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43" t="str">
        <f>DO_DB[[#This Row],[Material Pick-update]]&amp;"_"&amp;DO_DB[[#This Row],[Material Name]]</f>
        <v>45432_FDT-48</v>
      </c>
      <c r="O2043" t="str">
        <f>DO_DB[[#This Row],[SiteID]]</f>
        <v>CLR51-99-086</v>
      </c>
      <c r="P2043" t="str">
        <f>DO_DB[[#This Row],[SiteID]]&amp;"_"&amp;DO_DB[[#This Row],[Material Name]]</f>
        <v>CLR51-99-086_FDT-48</v>
      </c>
      <c r="Q2043" t="str">
        <f>DO_DB[[#This Row],[DO Number]]</f>
        <v>DOEID240517C6</v>
      </c>
      <c r="R2043" t="str">
        <f>DO_DB[[#This Row],[DN Number]]</f>
        <v>DNWID0342024051708</v>
      </c>
    </row>
    <row r="2044" spans="1:18">
      <c r="A2044" t="s">
        <v>1405</v>
      </c>
      <c r="B2044" t="s">
        <v>1406</v>
      </c>
      <c r="C2044" s="172" t="s">
        <v>4482</v>
      </c>
      <c r="D2044" t="s">
        <v>71</v>
      </c>
      <c r="E2044" t="s">
        <v>24</v>
      </c>
      <c r="F2044" t="s">
        <v>3295</v>
      </c>
      <c r="G2044" t="s">
        <v>1411</v>
      </c>
      <c r="H2044" t="s">
        <v>1412</v>
      </c>
      <c r="I2044" s="130">
        <v>45432</v>
      </c>
      <c r="J2044" t="s">
        <v>14</v>
      </c>
      <c r="K2044">
        <v>1</v>
      </c>
      <c r="M20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44" t="str">
        <f>DO_DB[[#This Row],[Material Pick-update]]&amp;"_"&amp;DO_DB[[#This Row],[Material Name]]</f>
        <v>45432_FDT-48</v>
      </c>
      <c r="O2044" t="str">
        <f>DO_DB[[#This Row],[SiteID]]</f>
        <v>CLR51-99-087</v>
      </c>
      <c r="P2044" t="str">
        <f>DO_DB[[#This Row],[SiteID]]&amp;"_"&amp;DO_DB[[#This Row],[Material Name]]</f>
        <v>CLR51-99-087_FDT-48</v>
      </c>
      <c r="Q2044" t="str">
        <f>DO_DB[[#This Row],[DO Number]]</f>
        <v>DOEID240517DK</v>
      </c>
      <c r="R2044" t="str">
        <f>DO_DB[[#This Row],[DN Number]]</f>
        <v>DNWID0342024051713</v>
      </c>
    </row>
    <row r="2045" spans="1:18">
      <c r="A2045" t="s">
        <v>1401</v>
      </c>
      <c r="B2045" t="s">
        <v>1402</v>
      </c>
      <c r="C2045" s="172" t="s">
        <v>4482</v>
      </c>
      <c r="D2045" t="s">
        <v>71</v>
      </c>
      <c r="E2045" t="s">
        <v>24</v>
      </c>
      <c r="F2045" t="s">
        <v>3295</v>
      </c>
      <c r="G2045" t="s">
        <v>1403</v>
      </c>
      <c r="H2045" t="s">
        <v>1404</v>
      </c>
      <c r="I2045" s="130">
        <v>45432</v>
      </c>
      <c r="J2045" t="s">
        <v>14</v>
      </c>
      <c r="K2045">
        <v>1</v>
      </c>
      <c r="M20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45" t="str">
        <f>DO_DB[[#This Row],[Material Pick-update]]&amp;"_"&amp;DO_DB[[#This Row],[Material Name]]</f>
        <v>45432_FDT-48</v>
      </c>
      <c r="O2045" t="str">
        <f>DO_DB[[#This Row],[SiteID]]</f>
        <v>CLR51-99-092</v>
      </c>
      <c r="P2045" t="str">
        <f>DO_DB[[#This Row],[SiteID]]&amp;"_"&amp;DO_DB[[#This Row],[Material Name]]</f>
        <v>CLR51-99-092_FDT-48</v>
      </c>
      <c r="Q2045" t="str">
        <f>DO_DB[[#This Row],[DO Number]]</f>
        <v>DOEID24052009</v>
      </c>
      <c r="R2045" t="str">
        <f>DO_DB[[#This Row],[DN Number]]</f>
        <v>DNWID0342024052001</v>
      </c>
    </row>
    <row r="2046" spans="1:18">
      <c r="A2046" t="s">
        <v>1493</v>
      </c>
      <c r="B2046" t="s">
        <v>1494</v>
      </c>
      <c r="C2046" s="172" t="s">
        <v>4482</v>
      </c>
      <c r="D2046" t="s">
        <v>71</v>
      </c>
      <c r="E2046" t="s">
        <v>24</v>
      </c>
      <c r="F2046" t="s">
        <v>3295</v>
      </c>
      <c r="G2046" t="s">
        <v>1501</v>
      </c>
      <c r="H2046" t="s">
        <v>1502</v>
      </c>
      <c r="I2046" s="130">
        <v>45448</v>
      </c>
      <c r="J2046" t="s">
        <v>14</v>
      </c>
      <c r="K2046">
        <v>1</v>
      </c>
      <c r="M20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46" t="str">
        <f>DO_DB[[#This Row],[Material Pick-update]]&amp;"_"&amp;DO_DB[[#This Row],[Material Name]]</f>
        <v>45448_FDT-48</v>
      </c>
      <c r="O2046" t="str">
        <f>DO_DB[[#This Row],[SiteID]]</f>
        <v>CLR51-99-097</v>
      </c>
      <c r="P2046" t="str">
        <f>DO_DB[[#This Row],[SiteID]]&amp;"_"&amp;DO_DB[[#This Row],[Material Name]]</f>
        <v>CLR51-99-097_FDT-48</v>
      </c>
      <c r="Q2046" t="str">
        <f>DO_DB[[#This Row],[DO Number]]</f>
        <v>DOEID24060440</v>
      </c>
      <c r="R2046" t="str">
        <f>DO_DB[[#This Row],[DN Number]]</f>
        <v>DNWID0342024060434</v>
      </c>
    </row>
    <row r="2047" spans="1:18">
      <c r="A2047" t="s">
        <v>1477</v>
      </c>
      <c r="B2047" t="s">
        <v>1478</v>
      </c>
      <c r="C2047" s="172" t="s">
        <v>4482</v>
      </c>
      <c r="D2047" t="s">
        <v>71</v>
      </c>
      <c r="E2047" t="s">
        <v>24</v>
      </c>
      <c r="F2047" t="s">
        <v>3295</v>
      </c>
      <c r="G2047" t="s">
        <v>1505</v>
      </c>
      <c r="H2047" t="s">
        <v>1506</v>
      </c>
      <c r="I2047" s="130">
        <v>45448</v>
      </c>
      <c r="J2047" t="s">
        <v>14</v>
      </c>
      <c r="K2047">
        <v>1</v>
      </c>
      <c r="M20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47" t="str">
        <f>DO_DB[[#This Row],[Material Pick-update]]&amp;"_"&amp;DO_DB[[#This Row],[Material Name]]</f>
        <v>45448_FDT-48</v>
      </c>
      <c r="O2047" t="str">
        <f>DO_DB[[#This Row],[SiteID]]</f>
        <v>CLR51-99-098</v>
      </c>
      <c r="P2047" t="str">
        <f>DO_DB[[#This Row],[SiteID]]&amp;"_"&amp;DO_DB[[#This Row],[Material Name]]</f>
        <v>CLR51-99-098_FDT-48</v>
      </c>
      <c r="Q2047" t="str">
        <f>DO_DB[[#This Row],[DO Number]]</f>
        <v>DOEID24060444</v>
      </c>
      <c r="R2047" t="str">
        <f>DO_DB[[#This Row],[DN Number]]</f>
        <v>DNWID0342024060431</v>
      </c>
    </row>
    <row r="2048" spans="1:18">
      <c r="A2048" t="s">
        <v>1469</v>
      </c>
      <c r="B2048" t="s">
        <v>1470</v>
      </c>
      <c r="C2048" s="172" t="s">
        <v>4482</v>
      </c>
      <c r="D2048" t="s">
        <v>71</v>
      </c>
      <c r="E2048" t="s">
        <v>24</v>
      </c>
      <c r="F2048" t="s">
        <v>3295</v>
      </c>
      <c r="G2048" t="s">
        <v>1507</v>
      </c>
      <c r="H2048" t="s">
        <v>1508</v>
      </c>
      <c r="I2048" s="130">
        <v>45448</v>
      </c>
      <c r="J2048" t="s">
        <v>14</v>
      </c>
      <c r="K2048">
        <v>1</v>
      </c>
      <c r="M20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48" t="str">
        <f>DO_DB[[#This Row],[Material Pick-update]]&amp;"_"&amp;DO_DB[[#This Row],[Material Name]]</f>
        <v>45448_FDT-48</v>
      </c>
      <c r="O2048" t="str">
        <f>DO_DB[[#This Row],[SiteID]]</f>
        <v>CLR51-99-099</v>
      </c>
      <c r="P2048" t="str">
        <f>DO_DB[[#This Row],[SiteID]]&amp;"_"&amp;DO_DB[[#This Row],[Material Name]]</f>
        <v>CLR51-99-099_FDT-48</v>
      </c>
      <c r="Q2048" t="str">
        <f>DO_DB[[#This Row],[DO Number]]</f>
        <v>DOEID24060447</v>
      </c>
      <c r="R2048" t="str">
        <f>DO_DB[[#This Row],[DN Number]]</f>
        <v>DNWID0342024060433</v>
      </c>
    </row>
    <row r="2049" spans="1:18">
      <c r="A2049" t="s">
        <v>1465</v>
      </c>
      <c r="B2049" t="s">
        <v>1466</v>
      </c>
      <c r="C2049" s="172" t="s">
        <v>4482</v>
      </c>
      <c r="D2049" t="s">
        <v>71</v>
      </c>
      <c r="E2049" t="s">
        <v>24</v>
      </c>
      <c r="F2049" t="s">
        <v>3295</v>
      </c>
      <c r="G2049" t="s">
        <v>1509</v>
      </c>
      <c r="H2049" t="s">
        <v>1510</v>
      </c>
      <c r="I2049" s="130">
        <v>45448</v>
      </c>
      <c r="J2049" t="s">
        <v>14</v>
      </c>
      <c r="K2049">
        <v>1</v>
      </c>
      <c r="M20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49" t="str">
        <f>DO_DB[[#This Row],[Material Pick-update]]&amp;"_"&amp;DO_DB[[#This Row],[Material Name]]</f>
        <v>45448_FDT-48</v>
      </c>
      <c r="O2049" t="str">
        <f>DO_DB[[#This Row],[SiteID]]</f>
        <v>CLR51-02-014</v>
      </c>
      <c r="P2049" t="str">
        <f>DO_DB[[#This Row],[SiteID]]&amp;"_"&amp;DO_DB[[#This Row],[Material Name]]</f>
        <v>CLR51-02-014_FDT-48</v>
      </c>
      <c r="Q2049" t="str">
        <f>DO_DB[[#This Row],[DO Number]]</f>
        <v>DOEID24060449</v>
      </c>
      <c r="R2049" t="str">
        <f>DO_DB[[#This Row],[DN Number]]</f>
        <v>DNWID0342024060430</v>
      </c>
    </row>
    <row r="2050" spans="1:18">
      <c r="A2050" t="s">
        <v>1473</v>
      </c>
      <c r="B2050" t="s">
        <v>1474</v>
      </c>
      <c r="C2050" s="172" t="s">
        <v>4482</v>
      </c>
      <c r="D2050" t="s">
        <v>71</v>
      </c>
      <c r="E2050" t="s">
        <v>24</v>
      </c>
      <c r="F2050" t="s">
        <v>3295</v>
      </c>
      <c r="G2050" t="s">
        <v>1511</v>
      </c>
      <c r="H2050" t="s">
        <v>1512</v>
      </c>
      <c r="I2050" s="130">
        <v>45448</v>
      </c>
      <c r="J2050" t="s">
        <v>14</v>
      </c>
      <c r="K2050">
        <v>1</v>
      </c>
      <c r="M20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50" t="str">
        <f>DO_DB[[#This Row],[Material Pick-update]]&amp;"_"&amp;DO_DB[[#This Row],[Material Name]]</f>
        <v>45448_FDT-48</v>
      </c>
      <c r="O2050" t="str">
        <f>DO_DB[[#This Row],[SiteID]]</f>
        <v>CLR51-02-015</v>
      </c>
      <c r="P2050" t="str">
        <f>DO_DB[[#This Row],[SiteID]]&amp;"_"&amp;DO_DB[[#This Row],[Material Name]]</f>
        <v>CLR51-02-015_FDT-48</v>
      </c>
      <c r="Q2050" t="str">
        <f>DO_DB[[#This Row],[DO Number]]</f>
        <v>DOEID24060451</v>
      </c>
      <c r="R2050" t="str">
        <f>DO_DB[[#This Row],[DN Number]]</f>
        <v>DNWID0342024060432</v>
      </c>
    </row>
    <row r="2051" spans="1:18">
      <c r="A2051" t="s">
        <v>1683</v>
      </c>
      <c r="B2051" t="s">
        <v>1684</v>
      </c>
      <c r="C2051" s="172" t="s">
        <v>4482</v>
      </c>
      <c r="D2051" t="s">
        <v>71</v>
      </c>
      <c r="E2051" t="s">
        <v>24</v>
      </c>
      <c r="F2051" t="s">
        <v>3295</v>
      </c>
      <c r="G2051" t="s">
        <v>1719</v>
      </c>
      <c r="H2051" t="s">
        <v>1720</v>
      </c>
      <c r="I2051" s="130">
        <v>45481</v>
      </c>
      <c r="J2051" t="s">
        <v>14</v>
      </c>
      <c r="K2051">
        <v>1</v>
      </c>
      <c r="M20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51" t="str">
        <f>DO_DB[[#This Row],[Material Pick-update]]&amp;"_"&amp;DO_DB[[#This Row],[Material Name]]</f>
        <v>45481_FDT-48</v>
      </c>
      <c r="O2051" t="str">
        <f>DO_DB[[#This Row],[SiteID]]</f>
        <v>CLR51-02-020</v>
      </c>
      <c r="P2051" t="str">
        <f>DO_DB[[#This Row],[SiteID]]&amp;"_"&amp;DO_DB[[#This Row],[Material Name]]</f>
        <v>CLR51-02-020_FDT-48</v>
      </c>
      <c r="Q2051" t="str">
        <f>DO_DB[[#This Row],[DO Number]]</f>
        <v>DOEID240627JF</v>
      </c>
      <c r="R2051" t="str">
        <f>DO_DB[[#This Row],[DN Number]]</f>
        <v>DNWID0342024062701</v>
      </c>
    </row>
    <row r="2052" spans="1:18">
      <c r="A2052" t="s">
        <v>1705</v>
      </c>
      <c r="B2052" t="s">
        <v>1706</v>
      </c>
      <c r="C2052" s="172" t="s">
        <v>4482</v>
      </c>
      <c r="D2052" t="s">
        <v>71</v>
      </c>
      <c r="E2052" t="s">
        <v>24</v>
      </c>
      <c r="F2052" t="s">
        <v>3295</v>
      </c>
      <c r="G2052" t="s">
        <v>1715</v>
      </c>
      <c r="H2052" t="s">
        <v>1716</v>
      </c>
      <c r="I2052" s="130">
        <v>45481</v>
      </c>
      <c r="J2052" t="s">
        <v>14</v>
      </c>
      <c r="K2052">
        <v>2</v>
      </c>
      <c r="M20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52" t="str">
        <f>DO_DB[[#This Row],[Material Pick-update]]&amp;"_"&amp;DO_DB[[#This Row],[Material Name]]</f>
        <v>45481_FDT-48</v>
      </c>
      <c r="O2052" t="str">
        <f>DO_DB[[#This Row],[SiteID]]</f>
        <v>CLR51-99-063</v>
      </c>
      <c r="P2052" t="str">
        <f>DO_DB[[#This Row],[SiteID]]&amp;"_"&amp;DO_DB[[#This Row],[Material Name]]</f>
        <v>CLR51-99-063_FDT-48</v>
      </c>
      <c r="Q2052" t="str">
        <f>DO_DB[[#This Row],[DO Number]]</f>
        <v>DOEID24070182</v>
      </c>
      <c r="R2052" t="str">
        <f>DO_DB[[#This Row],[DN Number]]</f>
        <v>DNWID0342024070103</v>
      </c>
    </row>
    <row r="2053" spans="1:18">
      <c r="A2053" t="s">
        <v>1803</v>
      </c>
      <c r="B2053" t="s">
        <v>1804</v>
      </c>
      <c r="C2053" s="172" t="s">
        <v>4482</v>
      </c>
      <c r="D2053" t="s">
        <v>71</v>
      </c>
      <c r="E2053" t="s">
        <v>24</v>
      </c>
      <c r="F2053" t="s">
        <v>3295</v>
      </c>
      <c r="G2053" t="s">
        <v>1805</v>
      </c>
      <c r="H2053" t="s">
        <v>1806</v>
      </c>
      <c r="I2053" s="130">
        <v>45496</v>
      </c>
      <c r="J2053" t="s">
        <v>14</v>
      </c>
      <c r="K2053">
        <v>2</v>
      </c>
      <c r="M20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53" t="str">
        <f>DO_DB[[#This Row],[Material Pick-update]]&amp;"_"&amp;DO_DB[[#This Row],[Material Name]]</f>
        <v>45496_FDT-48</v>
      </c>
      <c r="O2053" t="str">
        <f>DO_DB[[#This Row],[SiteID]]</f>
        <v>CLR51-03-005</v>
      </c>
      <c r="P2053" t="str">
        <f>DO_DB[[#This Row],[SiteID]]&amp;"_"&amp;DO_DB[[#This Row],[Material Name]]</f>
        <v>CLR51-03-005_FDT-48</v>
      </c>
      <c r="Q2053" t="str">
        <f>DO_DB[[#This Row],[DO Number]]</f>
        <v>DOEID240722D0</v>
      </c>
      <c r="R2053" t="str">
        <f>DO_DB[[#This Row],[DN Number]]</f>
        <v>DNWID0342024072313</v>
      </c>
    </row>
    <row r="2054" spans="1:18">
      <c r="A2054" t="s">
        <v>1923</v>
      </c>
      <c r="B2054" t="s">
        <v>1924</v>
      </c>
      <c r="C2054" s="172" t="s">
        <v>4482</v>
      </c>
      <c r="D2054" t="s">
        <v>71</v>
      </c>
      <c r="E2054" t="s">
        <v>24</v>
      </c>
      <c r="F2054" t="s">
        <v>3295</v>
      </c>
      <c r="G2054" t="s">
        <v>1925</v>
      </c>
      <c r="H2054" t="s">
        <v>1926</v>
      </c>
      <c r="I2054" s="130">
        <v>45526</v>
      </c>
      <c r="J2054" t="s">
        <v>14</v>
      </c>
      <c r="K2054">
        <v>1</v>
      </c>
      <c r="M20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54" t="str">
        <f>DO_DB[[#This Row],[Material Pick-update]]&amp;"_"&amp;DO_DB[[#This Row],[Material Name]]</f>
        <v>45526_FDT-48</v>
      </c>
      <c r="O2054" t="str">
        <f>DO_DB[[#This Row],[SiteID]]</f>
        <v>CLR51-09-001</v>
      </c>
      <c r="P2054" t="str">
        <f>DO_DB[[#This Row],[SiteID]]&amp;"_"&amp;DO_DB[[#This Row],[Material Name]]</f>
        <v>CLR51-09-001_FDT-48</v>
      </c>
      <c r="Q2054" t="str">
        <f>DO_DB[[#This Row],[DO Number]]</f>
        <v>DOEID24081987</v>
      </c>
      <c r="R2054" t="str">
        <f>DO_DB[[#This Row],[DN Number]]</f>
        <v>DNWID0342024081906</v>
      </c>
    </row>
    <row r="2055" spans="1:18">
      <c r="A2055" t="s">
        <v>1911</v>
      </c>
      <c r="B2055" t="s">
        <v>1912</v>
      </c>
      <c r="C2055" s="172" t="s">
        <v>4482</v>
      </c>
      <c r="D2055" t="s">
        <v>71</v>
      </c>
      <c r="E2055" t="s">
        <v>24</v>
      </c>
      <c r="F2055" t="s">
        <v>3295</v>
      </c>
      <c r="G2055" t="s">
        <v>1915</v>
      </c>
      <c r="H2055" t="s">
        <v>1916</v>
      </c>
      <c r="I2055" s="130">
        <v>45526</v>
      </c>
      <c r="J2055" t="s">
        <v>14</v>
      </c>
      <c r="K2055">
        <v>1</v>
      </c>
      <c r="M20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55" t="str">
        <f>DO_DB[[#This Row],[Material Pick-update]]&amp;"_"&amp;DO_DB[[#This Row],[Material Name]]</f>
        <v>45526_FDT-48</v>
      </c>
      <c r="O2055" t="str">
        <f>DO_DB[[#This Row],[SiteID]]</f>
        <v>CLR51-09-009</v>
      </c>
      <c r="P2055" t="str">
        <f>DO_DB[[#This Row],[SiteID]]&amp;"_"&amp;DO_DB[[#This Row],[Material Name]]</f>
        <v>CLR51-09-009_FDT-48</v>
      </c>
      <c r="Q2055" t="str">
        <f>DO_DB[[#This Row],[DO Number]]</f>
        <v>DOEID24081989</v>
      </c>
      <c r="R2055" t="str">
        <f>DO_DB[[#This Row],[DN Number]]</f>
        <v>DNWID0342024081905</v>
      </c>
    </row>
    <row r="2056" spans="1:18">
      <c r="A2056" t="s">
        <v>1917</v>
      </c>
      <c r="B2056" t="s">
        <v>1918</v>
      </c>
      <c r="C2056" s="172" t="s">
        <v>4482</v>
      </c>
      <c r="D2056" t="s">
        <v>71</v>
      </c>
      <c r="E2056" t="s">
        <v>24</v>
      </c>
      <c r="F2056" t="s">
        <v>3295</v>
      </c>
      <c r="G2056" t="s">
        <v>1919</v>
      </c>
      <c r="H2056" t="s">
        <v>1920</v>
      </c>
      <c r="I2056" s="130">
        <v>45526</v>
      </c>
      <c r="J2056" t="s">
        <v>14</v>
      </c>
      <c r="K2056">
        <v>1</v>
      </c>
      <c r="M20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56" t="str">
        <f>DO_DB[[#This Row],[Material Pick-update]]&amp;"_"&amp;DO_DB[[#This Row],[Material Name]]</f>
        <v>45526_FDT-48</v>
      </c>
      <c r="O2056" t="str">
        <f>DO_DB[[#This Row],[SiteID]]</f>
        <v>CLR51-09-008</v>
      </c>
      <c r="P2056" t="str">
        <f>DO_DB[[#This Row],[SiteID]]&amp;"_"&amp;DO_DB[[#This Row],[Material Name]]</f>
        <v>CLR51-09-008_FDT-48</v>
      </c>
      <c r="Q2056" t="str">
        <f>DO_DB[[#This Row],[DO Number]]</f>
        <v>DOEID24081991</v>
      </c>
      <c r="R2056" t="str">
        <f>DO_DB[[#This Row],[DN Number]]</f>
        <v>DNWID0342024081907</v>
      </c>
    </row>
    <row r="2057" spans="1:18">
      <c r="A2057" t="s">
        <v>1929</v>
      </c>
      <c r="B2057" t="s">
        <v>1930</v>
      </c>
      <c r="C2057" s="172" t="s">
        <v>4482</v>
      </c>
      <c r="D2057" t="s">
        <v>71</v>
      </c>
      <c r="E2057" t="s">
        <v>24</v>
      </c>
      <c r="F2057" t="s">
        <v>3295</v>
      </c>
      <c r="G2057" t="s">
        <v>1931</v>
      </c>
      <c r="H2057" t="s">
        <v>1932</v>
      </c>
      <c r="I2057" s="130">
        <v>45526</v>
      </c>
      <c r="J2057" t="s">
        <v>14</v>
      </c>
      <c r="K2057">
        <v>2</v>
      </c>
      <c r="M20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57" t="str">
        <f>DO_DB[[#This Row],[Material Pick-update]]&amp;"_"&amp;DO_DB[[#This Row],[Material Name]]</f>
        <v>45526_FDT-48</v>
      </c>
      <c r="O2057" t="str">
        <f>DO_DB[[#This Row],[SiteID]]</f>
        <v>CLR51-03-010</v>
      </c>
      <c r="P2057" t="str">
        <f>DO_DB[[#This Row],[SiteID]]&amp;"_"&amp;DO_DB[[#This Row],[Material Name]]</f>
        <v>CLR51-03-010_FDT-48</v>
      </c>
      <c r="Q2057" t="str">
        <f>DO_DB[[#This Row],[DO Number]]</f>
        <v>DOEID24081996</v>
      </c>
      <c r="R2057" t="str">
        <f>DO_DB[[#This Row],[DN Number]]</f>
        <v>DNWID0342024081910</v>
      </c>
    </row>
    <row r="2058" spans="1:18">
      <c r="A2058" t="s">
        <v>2019</v>
      </c>
      <c r="B2058" t="s">
        <v>2020</v>
      </c>
      <c r="C2058" s="172" t="s">
        <v>4482</v>
      </c>
      <c r="D2058" t="s">
        <v>71</v>
      </c>
      <c r="E2058" t="s">
        <v>25</v>
      </c>
      <c r="F2058" t="s">
        <v>3295</v>
      </c>
      <c r="G2058" t="s">
        <v>2023</v>
      </c>
      <c r="H2058" t="s">
        <v>2024</v>
      </c>
      <c r="I2058" s="130">
        <v>45531</v>
      </c>
      <c r="J2058" t="s">
        <v>14</v>
      </c>
      <c r="K2058">
        <v>2</v>
      </c>
      <c r="M20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58" t="str">
        <f>DO_DB[[#This Row],[Material Pick-update]]&amp;"_"&amp;DO_DB[[#This Row],[Material Name]]</f>
        <v>45531_FDT-48</v>
      </c>
      <c r="O2058" t="str">
        <f>DO_DB[[#This Row],[SiteID]]</f>
        <v>CLR64-01-010</v>
      </c>
      <c r="P2058" t="str">
        <f>DO_DB[[#This Row],[SiteID]]&amp;"_"&amp;DO_DB[[#This Row],[Material Name]]</f>
        <v>CLR64-01-010_FDT-48</v>
      </c>
      <c r="Q2058" t="str">
        <f>DO_DB[[#This Row],[DO Number]]</f>
        <v>DOEID240826HU</v>
      </c>
      <c r="R2058" t="str">
        <f>DO_DB[[#This Row],[DN Number]]</f>
        <v>DNWID0342024082711</v>
      </c>
    </row>
    <row r="2059" spans="1:18">
      <c r="A2059" t="s">
        <v>2013</v>
      </c>
      <c r="B2059" t="s">
        <v>2014</v>
      </c>
      <c r="C2059" s="172" t="s">
        <v>4482</v>
      </c>
      <c r="D2059" t="s">
        <v>71</v>
      </c>
      <c r="E2059" t="s">
        <v>24</v>
      </c>
      <c r="F2059" t="s">
        <v>3295</v>
      </c>
      <c r="G2059" t="s">
        <v>2015</v>
      </c>
      <c r="H2059" t="s">
        <v>2016</v>
      </c>
      <c r="I2059" s="130">
        <v>45531</v>
      </c>
      <c r="J2059" t="s">
        <v>14</v>
      </c>
      <c r="K2059">
        <v>1</v>
      </c>
      <c r="M20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59" t="str">
        <f>DO_DB[[#This Row],[Material Pick-update]]&amp;"_"&amp;DO_DB[[#This Row],[Material Name]]</f>
        <v>45531_FDT-48</v>
      </c>
      <c r="O2059" t="str">
        <f>DO_DB[[#This Row],[SiteID]]</f>
        <v>CLR51-99-049</v>
      </c>
      <c r="P2059" t="str">
        <f>DO_DB[[#This Row],[SiteID]]&amp;"_"&amp;DO_DB[[#This Row],[Material Name]]</f>
        <v>CLR51-99-049_FDT-48</v>
      </c>
      <c r="Q2059" t="str">
        <f>DO_DB[[#This Row],[DO Number]]</f>
        <v>DOEID240826HB</v>
      </c>
      <c r="R2059" t="str">
        <f>DO_DB[[#This Row],[DN Number]]</f>
        <v>DNWID0342024082707</v>
      </c>
    </row>
    <row r="2060" spans="1:18">
      <c r="A2060" t="s">
        <v>2007</v>
      </c>
      <c r="B2060" t="s">
        <v>2008</v>
      </c>
      <c r="C2060" s="172" t="s">
        <v>4482</v>
      </c>
      <c r="D2060" t="s">
        <v>71</v>
      </c>
      <c r="E2060" t="s">
        <v>24</v>
      </c>
      <c r="F2060" t="s">
        <v>3295</v>
      </c>
      <c r="G2060" t="s">
        <v>2009</v>
      </c>
      <c r="H2060" t="s">
        <v>2010</v>
      </c>
      <c r="I2060" s="130">
        <v>45531</v>
      </c>
      <c r="J2060" t="s">
        <v>14</v>
      </c>
      <c r="K2060">
        <v>1</v>
      </c>
      <c r="M20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60" t="str">
        <f>DO_DB[[#This Row],[Material Pick-update]]&amp;"_"&amp;DO_DB[[#This Row],[Material Name]]</f>
        <v>45531_FDT-48</v>
      </c>
      <c r="O2060" t="str">
        <f>DO_DB[[#This Row],[SiteID]]</f>
        <v>CLR51-02-016</v>
      </c>
      <c r="P2060" t="str">
        <f>DO_DB[[#This Row],[SiteID]]&amp;"_"&amp;DO_DB[[#This Row],[Material Name]]</f>
        <v>CLR51-02-016_FDT-48</v>
      </c>
      <c r="Q2060" t="str">
        <f>DO_DB[[#This Row],[DO Number]]</f>
        <v>DOEID240826HC</v>
      </c>
      <c r="R2060" t="str">
        <f>DO_DB[[#This Row],[DN Number]]</f>
        <v>DNWID0342024082704</v>
      </c>
    </row>
    <row r="2061" spans="1:18">
      <c r="A2061" t="s">
        <v>2502</v>
      </c>
      <c r="B2061" t="s">
        <v>2503</v>
      </c>
      <c r="C2061" s="172" t="s">
        <v>4482</v>
      </c>
      <c r="D2061" t="s">
        <v>71</v>
      </c>
      <c r="E2061" t="s">
        <v>24</v>
      </c>
      <c r="F2061" t="s">
        <v>3295</v>
      </c>
      <c r="G2061" t="s">
        <v>2506</v>
      </c>
      <c r="H2061" t="s">
        <v>2507</v>
      </c>
      <c r="I2061" s="130">
        <v>45622</v>
      </c>
      <c r="J2061" t="s">
        <v>14</v>
      </c>
      <c r="K2061">
        <v>1</v>
      </c>
      <c r="M20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61" t="str">
        <f>DO_DB[[#This Row],[Material Pick-update]]&amp;"_"&amp;DO_DB[[#This Row],[Material Name]]</f>
        <v>45622_FDT-48</v>
      </c>
      <c r="O2061" t="str">
        <f>DO_DB[[#This Row],[SiteID]]</f>
        <v>CLR51-09-010</v>
      </c>
      <c r="P2061" t="str">
        <f>DO_DB[[#This Row],[SiteID]]&amp;"_"&amp;DO_DB[[#This Row],[Material Name]]</f>
        <v>CLR51-09-010_FDT-48</v>
      </c>
      <c r="Q2061" t="str">
        <f>DO_DB[[#This Row],[DO Number]]</f>
        <v>DOEID241121BN</v>
      </c>
      <c r="R2061" t="str">
        <f>DO_DB[[#This Row],[DN Number]]</f>
        <v>DNWID0342024112205</v>
      </c>
    </row>
    <row r="2062" spans="1:18">
      <c r="A2062" t="s">
        <v>2508</v>
      </c>
      <c r="B2062" t="s">
        <v>2509</v>
      </c>
      <c r="C2062" s="172" t="s">
        <v>4482</v>
      </c>
      <c r="D2062" t="s">
        <v>71</v>
      </c>
      <c r="E2062" t="s">
        <v>24</v>
      </c>
      <c r="F2062" t="s">
        <v>3295</v>
      </c>
      <c r="G2062" t="s">
        <v>2512</v>
      </c>
      <c r="H2062" t="s">
        <v>2513</v>
      </c>
      <c r="I2062" s="130">
        <v>45622</v>
      </c>
      <c r="J2062" t="s">
        <v>14</v>
      </c>
      <c r="K2062">
        <v>1</v>
      </c>
      <c r="M20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62" t="str">
        <f>DO_DB[[#This Row],[Material Pick-update]]&amp;"_"&amp;DO_DB[[#This Row],[Material Name]]</f>
        <v>45622_FDT-48</v>
      </c>
      <c r="O2062" t="str">
        <f>DO_DB[[#This Row],[SiteID]]</f>
        <v>CLR51-09-011</v>
      </c>
      <c r="P2062" t="str">
        <f>DO_DB[[#This Row],[SiteID]]&amp;"_"&amp;DO_DB[[#This Row],[Material Name]]</f>
        <v>CLR51-09-011_FDT-48</v>
      </c>
      <c r="Q2062" t="str">
        <f>DO_DB[[#This Row],[DO Number]]</f>
        <v>DOEID241121BP</v>
      </c>
      <c r="R2062" t="str">
        <f>DO_DB[[#This Row],[DN Number]]</f>
        <v>DNWID0342024112204</v>
      </c>
    </row>
    <row r="2063" spans="1:18">
      <c r="A2063" t="s">
        <v>2514</v>
      </c>
      <c r="B2063" t="s">
        <v>2515</v>
      </c>
      <c r="C2063" s="172" t="s">
        <v>4482</v>
      </c>
      <c r="D2063" t="s">
        <v>71</v>
      </c>
      <c r="E2063" t="s">
        <v>24</v>
      </c>
      <c r="F2063" t="s">
        <v>3295</v>
      </c>
      <c r="G2063" t="s">
        <v>2518</v>
      </c>
      <c r="H2063" t="s">
        <v>2519</v>
      </c>
      <c r="I2063" s="130">
        <v>45622</v>
      </c>
      <c r="J2063" t="s">
        <v>14</v>
      </c>
      <c r="K2063">
        <v>1</v>
      </c>
      <c r="M20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63" t="str">
        <f>DO_DB[[#This Row],[Material Pick-update]]&amp;"_"&amp;DO_DB[[#This Row],[Material Name]]</f>
        <v>45622_FDT-48</v>
      </c>
      <c r="O2063" t="str">
        <f>DO_DB[[#This Row],[SiteID]]</f>
        <v>CLR51-09-012</v>
      </c>
      <c r="P2063" t="str">
        <f>DO_DB[[#This Row],[SiteID]]&amp;"_"&amp;DO_DB[[#This Row],[Material Name]]</f>
        <v>CLR51-09-012_FDT-48</v>
      </c>
      <c r="Q2063" t="str">
        <f>DO_DB[[#This Row],[DO Number]]</f>
        <v>DOEID241121BR</v>
      </c>
      <c r="R2063" t="str">
        <f>DO_DB[[#This Row],[DN Number]]</f>
        <v>DNWID0342024112203</v>
      </c>
    </row>
    <row r="2064" spans="1:18">
      <c r="A2064" t="s">
        <v>2520</v>
      </c>
      <c r="B2064" t="s">
        <v>2521</v>
      </c>
      <c r="C2064" s="172" t="s">
        <v>4482</v>
      </c>
      <c r="D2064" t="s">
        <v>71</v>
      </c>
      <c r="E2064" t="s">
        <v>24</v>
      </c>
      <c r="F2064" t="s">
        <v>3295</v>
      </c>
      <c r="G2064" t="s">
        <v>2524</v>
      </c>
      <c r="H2064" t="s">
        <v>2525</v>
      </c>
      <c r="I2064" s="130">
        <v>45622</v>
      </c>
      <c r="J2064" t="s">
        <v>14</v>
      </c>
      <c r="K2064">
        <v>1</v>
      </c>
      <c r="M20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64" t="str">
        <f>DO_DB[[#This Row],[Material Pick-update]]&amp;"_"&amp;DO_DB[[#This Row],[Material Name]]</f>
        <v>45622_FDT-48</v>
      </c>
      <c r="O2064" t="str">
        <f>DO_DB[[#This Row],[SiteID]]</f>
        <v>CLR51-99-124</v>
      </c>
      <c r="P2064" t="str">
        <f>DO_DB[[#This Row],[SiteID]]&amp;"_"&amp;DO_DB[[#This Row],[Material Name]]</f>
        <v>CLR51-99-124_FDT-48</v>
      </c>
      <c r="Q2064" t="str">
        <f>DO_DB[[#This Row],[DO Number]]</f>
        <v>DOEID24112584</v>
      </c>
      <c r="R2064" t="str">
        <f>DO_DB[[#This Row],[DN Number]]</f>
        <v>DNWID0342024112505</v>
      </c>
    </row>
    <row r="2065" spans="1:18">
      <c r="A2065" t="s">
        <v>2539</v>
      </c>
      <c r="B2065" t="s">
        <v>2540</v>
      </c>
      <c r="C2065" s="172" t="s">
        <v>4482</v>
      </c>
      <c r="D2065" t="s">
        <v>71</v>
      </c>
      <c r="E2065" t="s">
        <v>24</v>
      </c>
      <c r="F2065" t="s">
        <v>3295</v>
      </c>
      <c r="G2065" t="s">
        <v>2553</v>
      </c>
      <c r="H2065" t="s">
        <v>2554</v>
      </c>
      <c r="I2065" s="130">
        <v>45642</v>
      </c>
      <c r="J2065" t="s">
        <v>14</v>
      </c>
      <c r="K2065">
        <v>1</v>
      </c>
      <c r="M20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65" t="str">
        <f>DO_DB[[#This Row],[Material Pick-update]]&amp;"_"&amp;DO_DB[[#This Row],[Material Name]]</f>
        <v>45642_FDT-48</v>
      </c>
      <c r="O2065" t="str">
        <f>DO_DB[[#This Row],[SiteID]]</f>
        <v>CLR51-09-004</v>
      </c>
      <c r="P2065" t="str">
        <f>DO_DB[[#This Row],[SiteID]]&amp;"_"&amp;DO_DB[[#This Row],[Material Name]]</f>
        <v>CLR51-09-004_FDT-48</v>
      </c>
      <c r="Q2065" t="str">
        <f>DO_DB[[#This Row],[DO Number]]</f>
        <v>DOEID24121389</v>
      </c>
      <c r="R2065" t="str">
        <f>DO_DB[[#This Row],[DN Number]]</f>
        <v>DNWID0342024121401</v>
      </c>
    </row>
    <row r="2066" spans="1:18">
      <c r="A2066" t="s">
        <v>2535</v>
      </c>
      <c r="B2066" t="s">
        <v>2536</v>
      </c>
      <c r="C2066" s="172" t="s">
        <v>4482</v>
      </c>
      <c r="D2066" t="s">
        <v>71</v>
      </c>
      <c r="E2066" t="s">
        <v>24</v>
      </c>
      <c r="F2066" t="s">
        <v>3295</v>
      </c>
      <c r="G2066" t="s">
        <v>2537</v>
      </c>
      <c r="H2066" t="s">
        <v>2538</v>
      </c>
      <c r="I2066" s="130">
        <v>45642</v>
      </c>
      <c r="J2066" t="s">
        <v>14</v>
      </c>
      <c r="K2066">
        <v>1</v>
      </c>
      <c r="M20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66" t="str">
        <f>DO_DB[[#This Row],[Material Pick-update]]&amp;"_"&amp;DO_DB[[#This Row],[Material Name]]</f>
        <v>45642_FDT-48</v>
      </c>
      <c r="O2066" t="str">
        <f>DO_DB[[#This Row],[SiteID]]</f>
        <v>CLR51-99-056</v>
      </c>
      <c r="P2066" t="str">
        <f>DO_DB[[#This Row],[SiteID]]&amp;"_"&amp;DO_DB[[#This Row],[Material Name]]</f>
        <v>CLR51-99-056_FDT-48</v>
      </c>
      <c r="Q2066" t="str">
        <f>DO_DB[[#This Row],[DO Number]]</f>
        <v>DOEID24121393</v>
      </c>
      <c r="R2066" t="str">
        <f>DO_DB[[#This Row],[DN Number]]</f>
        <v>DNWID0342024121303</v>
      </c>
    </row>
    <row r="2067" spans="1:18">
      <c r="A2067" t="s">
        <v>2543</v>
      </c>
      <c r="B2067" t="s">
        <v>2544</v>
      </c>
      <c r="C2067" s="172" t="s">
        <v>4482</v>
      </c>
      <c r="D2067" t="s">
        <v>71</v>
      </c>
      <c r="E2067" t="s">
        <v>24</v>
      </c>
      <c r="F2067" t="s">
        <v>3295</v>
      </c>
      <c r="G2067" t="s">
        <v>2557</v>
      </c>
      <c r="H2067" t="s">
        <v>2558</v>
      </c>
      <c r="I2067" s="130">
        <v>45642</v>
      </c>
      <c r="J2067" t="s">
        <v>14</v>
      </c>
      <c r="K2067">
        <v>1</v>
      </c>
      <c r="M20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67" t="str">
        <f>DO_DB[[#This Row],[Material Pick-update]]&amp;"_"&amp;DO_DB[[#This Row],[Material Name]]</f>
        <v>45642_FDT-48</v>
      </c>
      <c r="O2067" t="str">
        <f>DO_DB[[#This Row],[SiteID]]</f>
        <v>CLR51-99-058</v>
      </c>
      <c r="P2067" t="str">
        <f>DO_DB[[#This Row],[SiteID]]&amp;"_"&amp;DO_DB[[#This Row],[Material Name]]</f>
        <v>CLR51-99-058_FDT-48</v>
      </c>
      <c r="Q2067" t="str">
        <f>DO_DB[[#This Row],[DO Number]]</f>
        <v>DOEID24121395</v>
      </c>
      <c r="R2067" t="str">
        <f>DO_DB[[#This Row],[DN Number]]</f>
        <v>DNWID0342024121304</v>
      </c>
    </row>
    <row r="2068" spans="1:18">
      <c r="A2068" t="s">
        <v>2633</v>
      </c>
      <c r="B2068" t="s">
        <v>2634</v>
      </c>
      <c r="C2068" s="172" t="s">
        <v>4482</v>
      </c>
      <c r="D2068" t="s">
        <v>71</v>
      </c>
      <c r="E2068" t="s">
        <v>24</v>
      </c>
      <c r="F2068" t="s">
        <v>3295</v>
      </c>
      <c r="G2068" t="s">
        <v>2635</v>
      </c>
      <c r="H2068" t="s">
        <v>2636</v>
      </c>
      <c r="I2068" s="130">
        <v>45693</v>
      </c>
      <c r="J2068" t="s">
        <v>14</v>
      </c>
      <c r="K2068">
        <v>1</v>
      </c>
      <c r="M20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68" t="str">
        <f>DO_DB[[#This Row],[Material Pick-update]]&amp;"_"&amp;DO_DB[[#This Row],[Material Name]]</f>
        <v>45693_FDT-48</v>
      </c>
      <c r="O2068" t="str">
        <f>DO_DB[[#This Row],[SiteID]]</f>
        <v>CLR51-99-050</v>
      </c>
      <c r="P2068" t="str">
        <f>DO_DB[[#This Row],[SiteID]]&amp;"_"&amp;DO_DB[[#This Row],[Material Name]]</f>
        <v>CLR51-99-050_FDT-48</v>
      </c>
      <c r="Q2068" t="str">
        <f>DO_DB[[#This Row],[DO Number]]</f>
        <v>DOEID25020563</v>
      </c>
      <c r="R2068" t="str">
        <f>DO_DB[[#This Row],[DN Number]]</f>
        <v>DNWID0342025020501</v>
      </c>
    </row>
    <row r="2069" spans="1:18">
      <c r="A2069" t="s">
        <v>2648</v>
      </c>
      <c r="B2069" t="s">
        <v>2649</v>
      </c>
      <c r="C2069" s="172" t="s">
        <v>4482</v>
      </c>
      <c r="D2069" t="s">
        <v>71</v>
      </c>
      <c r="E2069" t="s">
        <v>24</v>
      </c>
      <c r="F2069" t="s">
        <v>3295</v>
      </c>
      <c r="G2069" t="s">
        <v>2650</v>
      </c>
      <c r="H2069" t="s">
        <v>2651</v>
      </c>
      <c r="I2069" s="130">
        <v>45707</v>
      </c>
      <c r="J2069" t="s">
        <v>14</v>
      </c>
      <c r="K2069">
        <v>1</v>
      </c>
      <c r="M20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69" t="str">
        <f>DO_DB[[#This Row],[Material Pick-update]]&amp;"_"&amp;DO_DB[[#This Row],[Material Name]]</f>
        <v>45707_FDT-48</v>
      </c>
      <c r="O2069" t="str">
        <f>DO_DB[[#This Row],[SiteID]]</f>
        <v>CLR51-08-007</v>
      </c>
      <c r="P2069" t="str">
        <f>DO_DB[[#This Row],[SiteID]]&amp;"_"&amp;DO_DB[[#This Row],[Material Name]]</f>
        <v>CLR51-08-007_FDT-48</v>
      </c>
      <c r="Q2069" t="str">
        <f>DO_DB[[#This Row],[DO Number]]</f>
        <v>DOEID25021853</v>
      </c>
      <c r="R2069" t="str">
        <f>DO_DB[[#This Row],[DN Number]]</f>
        <v>DNWID0342025021804</v>
      </c>
    </row>
    <row r="2070" spans="1:18">
      <c r="A2070" t="s">
        <v>2668</v>
      </c>
      <c r="B2070" t="s">
        <v>2669</v>
      </c>
      <c r="C2070" s="172" t="s">
        <v>4482</v>
      </c>
      <c r="D2070" t="s">
        <v>71</v>
      </c>
      <c r="E2070" t="s">
        <v>24</v>
      </c>
      <c r="F2070" t="s">
        <v>3295</v>
      </c>
      <c r="G2070" t="s">
        <v>2670</v>
      </c>
      <c r="H2070" t="s">
        <v>2671</v>
      </c>
      <c r="I2070" s="130">
        <v>45735</v>
      </c>
      <c r="J2070" t="s">
        <v>14</v>
      </c>
      <c r="K2070">
        <v>1</v>
      </c>
      <c r="M20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70" t="str">
        <f>DO_DB[[#This Row],[Material Pick-update]]&amp;"_"&amp;DO_DB[[#This Row],[Material Name]]</f>
        <v>45735_FDT-48</v>
      </c>
      <c r="O2070" t="str">
        <f>DO_DB[[#This Row],[SiteID]]</f>
        <v>CLR51-99-141</v>
      </c>
      <c r="P2070" t="str">
        <f>DO_DB[[#This Row],[SiteID]]&amp;"_"&amp;DO_DB[[#This Row],[Material Name]]</f>
        <v>CLR51-99-141_FDT-48</v>
      </c>
      <c r="Q2070" t="str">
        <f>DO_DB[[#This Row],[DO Number]]</f>
        <v>DOEID25031899</v>
      </c>
      <c r="R2070" t="str">
        <f>DO_DB[[#This Row],[DN Number]]</f>
        <v>DNWID0342025031809</v>
      </c>
    </row>
    <row r="2071" spans="1:18">
      <c r="A2071" t="s">
        <v>2660</v>
      </c>
      <c r="B2071" t="s">
        <v>2661</v>
      </c>
      <c r="C2071" s="172" t="s">
        <v>4482</v>
      </c>
      <c r="D2071" t="s">
        <v>71</v>
      </c>
      <c r="E2071" t="e">
        <v>#N/A</v>
      </c>
      <c r="F2071" t="s">
        <v>3295</v>
      </c>
      <c r="G2071" t="s">
        <v>2662</v>
      </c>
      <c r="H2071" t="s">
        <v>2663</v>
      </c>
      <c r="I2071" s="130">
        <v>45735</v>
      </c>
      <c r="J2071" s="172" t="s">
        <v>14</v>
      </c>
      <c r="K2071" s="172">
        <v>1</v>
      </c>
      <c r="M20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71" t="str">
        <f>DO_DB[[#This Row],[Material Pick-update]]&amp;"_"&amp;DO_DB[[#This Row],[Material Name]]</f>
        <v>45735_FDT-48</v>
      </c>
      <c r="O2071" t="str">
        <f>DO_DB[[#This Row],[SiteID]]</f>
        <v>CLR51-06-040</v>
      </c>
      <c r="P2071" t="str">
        <f>DO_DB[[#This Row],[SiteID]]&amp;"_"&amp;DO_DB[[#This Row],[Material Name]]</f>
        <v>CLR51-06-040_FDT-48</v>
      </c>
      <c r="Q2071" t="str">
        <f>DO_DB[[#This Row],[DO Number]]</f>
        <v>DOEID25031897</v>
      </c>
      <c r="R2071" t="str">
        <f>DO_DB[[#This Row],[DN Number]]</f>
        <v>DNWID0342025031808</v>
      </c>
    </row>
    <row r="2072" spans="1:18">
      <c r="A2072" t="s">
        <v>2815</v>
      </c>
      <c r="B2072" t="s">
        <v>2816</v>
      </c>
      <c r="C2072" s="172" t="s">
        <v>4482</v>
      </c>
      <c r="D2072" t="s">
        <v>71</v>
      </c>
      <c r="E2072" t="s">
        <v>24</v>
      </c>
      <c r="F2072" t="s">
        <v>3295</v>
      </c>
      <c r="G2072" t="s">
        <v>2817</v>
      </c>
      <c r="H2072" t="s">
        <v>2818</v>
      </c>
      <c r="I2072" s="130">
        <v>45820</v>
      </c>
      <c r="J2072" t="s">
        <v>14</v>
      </c>
      <c r="K2072">
        <v>1</v>
      </c>
      <c r="M20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72" t="str">
        <f>DO_DB[[#This Row],[Material Pick-update]]&amp;"_"&amp;DO_DB[[#This Row],[Material Name]]</f>
        <v>45820_FDT-48</v>
      </c>
      <c r="O2072" t="str">
        <f>DO_DB[[#This Row],[SiteID]]</f>
        <v>CLR51-99-104</v>
      </c>
      <c r="P2072" t="str">
        <f>DO_DB[[#This Row],[SiteID]]&amp;"_"&amp;DO_DB[[#This Row],[Material Name]]</f>
        <v>CLR51-99-104_FDT-48</v>
      </c>
      <c r="Q2072" t="str">
        <f>DO_DB[[#This Row],[DO Number]]</f>
        <v>DOEID250610PG</v>
      </c>
      <c r="R2072" t="str">
        <f>DO_DB[[#This Row],[DN Number]]</f>
        <v>DNWID1382025061201</v>
      </c>
    </row>
    <row r="2073" spans="1:18">
      <c r="A2073" t="s">
        <v>2821</v>
      </c>
      <c r="B2073" t="s">
        <v>2822</v>
      </c>
      <c r="C2073" s="172" t="s">
        <v>4482</v>
      </c>
      <c r="D2073" t="s">
        <v>71</v>
      </c>
      <c r="E2073" t="s">
        <v>24</v>
      </c>
      <c r="F2073" t="s">
        <v>3295</v>
      </c>
      <c r="G2073" t="s">
        <v>2823</v>
      </c>
      <c r="H2073" t="s">
        <v>2824</v>
      </c>
      <c r="I2073" s="130">
        <v>45820</v>
      </c>
      <c r="J2073" t="s">
        <v>14</v>
      </c>
      <c r="K2073">
        <v>1</v>
      </c>
      <c r="M20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73" t="str">
        <f>DO_DB[[#This Row],[Material Pick-update]]&amp;"_"&amp;DO_DB[[#This Row],[Material Name]]</f>
        <v>45820_FDT-48</v>
      </c>
      <c r="O2073" t="str">
        <f>DO_DB[[#This Row],[SiteID]]</f>
        <v>CLR51-99-212</v>
      </c>
      <c r="P2073" t="str">
        <f>DO_DB[[#This Row],[SiteID]]&amp;"_"&amp;DO_DB[[#This Row],[Material Name]]</f>
        <v>CLR51-99-212_FDT-48</v>
      </c>
      <c r="Q2073" t="str">
        <f>DO_DB[[#This Row],[DO Number]]</f>
        <v>DOEID250610PI</v>
      </c>
      <c r="R2073" t="str">
        <f>DO_DB[[#This Row],[DN Number]]</f>
        <v>DNWID1382025061202</v>
      </c>
    </row>
    <row r="2074" spans="1:18">
      <c r="A2074" t="s">
        <v>2825</v>
      </c>
      <c r="B2074" t="s">
        <v>2826</v>
      </c>
      <c r="C2074" s="172" t="s">
        <v>4482</v>
      </c>
      <c r="D2074" t="s">
        <v>71</v>
      </c>
      <c r="E2074" t="s">
        <v>24</v>
      </c>
      <c r="F2074" t="s">
        <v>3295</v>
      </c>
      <c r="G2074" t="s">
        <v>2827</v>
      </c>
      <c r="H2074" t="s">
        <v>2828</v>
      </c>
      <c r="I2074" s="130">
        <v>45820</v>
      </c>
      <c r="J2074" t="s">
        <v>14</v>
      </c>
      <c r="K2074">
        <v>1</v>
      </c>
      <c r="M20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74" t="str">
        <f>DO_DB[[#This Row],[Material Pick-update]]&amp;"_"&amp;DO_DB[[#This Row],[Material Name]]</f>
        <v>45820_FDT-48</v>
      </c>
      <c r="O2074" t="str">
        <f>DO_DB[[#This Row],[SiteID]]</f>
        <v>CLR51-99-238</v>
      </c>
      <c r="P2074" t="str">
        <f>DO_DB[[#This Row],[SiteID]]&amp;"_"&amp;DO_DB[[#This Row],[Material Name]]</f>
        <v>CLR51-99-238_FDT-48</v>
      </c>
      <c r="Q2074" t="str">
        <f>DO_DB[[#This Row],[DO Number]]</f>
        <v>DOEID250610PJ</v>
      </c>
      <c r="R2074" t="str">
        <f>DO_DB[[#This Row],[DN Number]]</f>
        <v>DNWID1382025061203</v>
      </c>
    </row>
    <row r="2075" spans="1:18">
      <c r="A2075" t="s">
        <v>2855</v>
      </c>
      <c r="B2075" t="s">
        <v>2856</v>
      </c>
      <c r="C2075" s="172" t="s">
        <v>4482</v>
      </c>
      <c r="D2075" t="s">
        <v>71</v>
      </c>
      <c r="E2075" t="s">
        <v>24</v>
      </c>
      <c r="F2075" t="s">
        <v>3295</v>
      </c>
      <c r="G2075" t="s">
        <v>2859</v>
      </c>
      <c r="H2075" t="s">
        <v>2860</v>
      </c>
      <c r="I2075" s="130">
        <v>45825</v>
      </c>
      <c r="J2075" t="s">
        <v>14</v>
      </c>
      <c r="K2075">
        <v>1</v>
      </c>
      <c r="M20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75" t="str">
        <f>DO_DB[[#This Row],[Material Pick-update]]&amp;"_"&amp;DO_DB[[#This Row],[Material Name]]</f>
        <v>45825_FDT-48</v>
      </c>
      <c r="O2075" t="str">
        <f>DO_DB[[#This Row],[SiteID]]</f>
        <v>CLR51-99-243</v>
      </c>
      <c r="P2075" t="str">
        <f>DO_DB[[#This Row],[SiteID]]&amp;"_"&amp;DO_DB[[#This Row],[Material Name]]</f>
        <v>CLR51-99-243_FDT-48</v>
      </c>
      <c r="Q2075" t="str">
        <f>DO_DB[[#This Row],[DO Number]]</f>
        <v>DOEID250613BO</v>
      </c>
      <c r="R2075" t="str">
        <f>DO_DB[[#This Row],[DN Number]]</f>
        <v>DNWID1382025061614</v>
      </c>
    </row>
    <row r="2076" spans="1:18">
      <c r="A2076" t="s">
        <v>2909</v>
      </c>
      <c r="B2076" t="s">
        <v>2910</v>
      </c>
      <c r="C2076" s="172" t="s">
        <v>4482</v>
      </c>
      <c r="D2076" t="s">
        <v>71</v>
      </c>
      <c r="E2076" t="s">
        <v>24</v>
      </c>
      <c r="F2076" t="s">
        <v>3295</v>
      </c>
      <c r="G2076" t="s">
        <v>2911</v>
      </c>
      <c r="H2076" t="s">
        <v>2912</v>
      </c>
      <c r="I2076" s="130">
        <v>45850</v>
      </c>
      <c r="J2076" t="s">
        <v>14</v>
      </c>
      <c r="K2076">
        <v>1</v>
      </c>
      <c r="M20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76" t="str">
        <f>DO_DB[[#This Row],[Material Pick-update]]&amp;"_"&amp;DO_DB[[#This Row],[Material Name]]</f>
        <v>45850_FDT-48</v>
      </c>
      <c r="O2076" t="str">
        <f>DO_DB[[#This Row],[SiteID]]</f>
        <v>CLR51-99-107</v>
      </c>
      <c r="P2076" t="str">
        <f>DO_DB[[#This Row],[SiteID]]&amp;"_"&amp;DO_DB[[#This Row],[Material Name]]</f>
        <v>CLR51-99-107_FDT-48</v>
      </c>
      <c r="Q2076" t="str">
        <f>DO_DB[[#This Row],[DO Number]]</f>
        <v>DOEID250711EF</v>
      </c>
      <c r="R2076" t="str">
        <f>DO_DB[[#This Row],[DN Number]]</f>
        <v>DNWID1382025071109</v>
      </c>
    </row>
    <row r="2077" spans="1:18">
      <c r="A2077" t="s">
        <v>2925</v>
      </c>
      <c r="B2077" t="s">
        <v>2926</v>
      </c>
      <c r="C2077" s="172" t="s">
        <v>4482</v>
      </c>
      <c r="D2077" t="s">
        <v>71</v>
      </c>
      <c r="E2077" t="s">
        <v>24</v>
      </c>
      <c r="F2077" t="s">
        <v>3295</v>
      </c>
      <c r="G2077" t="s">
        <v>2927</v>
      </c>
      <c r="H2077" t="s">
        <v>2928</v>
      </c>
      <c r="I2077" s="130">
        <v>45850</v>
      </c>
      <c r="J2077" t="s">
        <v>14</v>
      </c>
      <c r="K2077">
        <v>1</v>
      </c>
      <c r="M20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77" t="str">
        <f>DO_DB[[#This Row],[Material Pick-update]]&amp;"_"&amp;DO_DB[[#This Row],[Material Name]]</f>
        <v>45850_FDT-48</v>
      </c>
      <c r="O2077" t="str">
        <f>DO_DB[[#This Row],[SiteID]]</f>
        <v>CLR51-99-264</v>
      </c>
      <c r="P2077" t="str">
        <f>DO_DB[[#This Row],[SiteID]]&amp;"_"&amp;DO_DB[[#This Row],[Material Name]]</f>
        <v>CLR51-99-264_FDT-48</v>
      </c>
      <c r="Q2077" t="str">
        <f>DO_DB[[#This Row],[DO Number]]</f>
        <v>DOEID250711EK</v>
      </c>
      <c r="R2077" t="str">
        <f>DO_DB[[#This Row],[DN Number]]</f>
        <v>DNWID1382025071112</v>
      </c>
    </row>
    <row r="2078" spans="1:18">
      <c r="A2078" t="s">
        <v>3203</v>
      </c>
      <c r="B2078" t="s">
        <v>3204</v>
      </c>
      <c r="C2078" s="172" t="s">
        <v>4482</v>
      </c>
      <c r="D2078" t="s">
        <v>71</v>
      </c>
      <c r="E2078" t="s">
        <v>24</v>
      </c>
      <c r="F2078" t="s">
        <v>3295</v>
      </c>
      <c r="G2078" t="s">
        <v>3205</v>
      </c>
      <c r="H2078" t="s">
        <v>3206</v>
      </c>
      <c r="I2078" s="130">
        <v>45888</v>
      </c>
      <c r="J2078" t="s">
        <v>14</v>
      </c>
      <c r="K2078">
        <v>1</v>
      </c>
      <c r="M20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78" t="str">
        <f>DO_DB[[#This Row],[Material Pick-update]]&amp;"_"&amp;DO_DB[[#This Row],[Material Name]]</f>
        <v>45888_FDT-48</v>
      </c>
      <c r="O2078" t="str">
        <f>DO_DB[[#This Row],[SiteID]]</f>
        <v>CLR51-99-370</v>
      </c>
      <c r="P2078" t="str">
        <f>DO_DB[[#This Row],[SiteID]]&amp;"_"&amp;DO_DB[[#This Row],[Material Name]]</f>
        <v>CLR51-99-370_FDT-48</v>
      </c>
      <c r="Q2078" t="str">
        <f>DO_DB[[#This Row],[DO Number]]</f>
        <v>DOEID25081590</v>
      </c>
      <c r="R2078" t="str">
        <f>DO_DB[[#This Row],[DN Number]]</f>
        <v>DNWID1382025081505</v>
      </c>
    </row>
    <row r="2079" spans="1:18">
      <c r="A2079" t="s">
        <v>3668</v>
      </c>
      <c r="B2079" t="s">
        <v>3669</v>
      </c>
      <c r="C2079" s="172" t="s">
        <v>4482</v>
      </c>
      <c r="D2079" t="s">
        <v>71</v>
      </c>
      <c r="E2079" t="s">
        <v>24</v>
      </c>
      <c r="F2079" t="s">
        <v>3295</v>
      </c>
      <c r="G2079" t="s">
        <v>3670</v>
      </c>
      <c r="H2079" t="s">
        <v>3671</v>
      </c>
      <c r="I2079" s="130">
        <v>45896</v>
      </c>
      <c r="J2079" t="s">
        <v>14</v>
      </c>
      <c r="K2079">
        <v>1</v>
      </c>
      <c r="M20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79" t="str">
        <f>DO_DB[[#This Row],[Material Pick-update]]&amp;"_"&amp;DO_DB[[#This Row],[Material Name]]</f>
        <v>45896_FDT-48</v>
      </c>
      <c r="O2079" t="str">
        <f>DO_DB[[#This Row],[SiteID]]</f>
        <v>CLR51-99-252</v>
      </c>
      <c r="P2079" t="str">
        <f>DO_DB[[#This Row],[SiteID]]&amp;"_"&amp;DO_DB[[#This Row],[Material Name]]</f>
        <v>CLR51-99-252_FDT-48</v>
      </c>
      <c r="Q2079" t="str">
        <f>DO_DB[[#This Row],[DO Number]]</f>
        <v>DOEID25082611</v>
      </c>
      <c r="R2079" t="str">
        <f>DO_DB[[#This Row],[DN Number]]</f>
        <v>DNWID1382025082607</v>
      </c>
    </row>
    <row r="2080" spans="1:18">
      <c r="A2080" s="172" t="s">
        <v>4595</v>
      </c>
      <c r="B2080" s="172" t="s">
        <v>4596</v>
      </c>
      <c r="C2080" s="172" t="s">
        <v>4482</v>
      </c>
      <c r="D2080" s="172" t="s">
        <v>71</v>
      </c>
      <c r="E2080" s="172" t="s">
        <v>24</v>
      </c>
      <c r="F2080" t="s">
        <v>3295</v>
      </c>
      <c r="G2080" s="172" t="s">
        <v>4669</v>
      </c>
      <c r="H2080" s="172" t="s">
        <v>4670</v>
      </c>
      <c r="I2080" s="173">
        <v>45951</v>
      </c>
      <c r="J2080" s="172" t="s">
        <v>14</v>
      </c>
      <c r="K2080" s="172">
        <v>1</v>
      </c>
      <c r="M20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80" t="str">
        <f>DO_DB[[#This Row],[Material Pick-update]]&amp;"_"&amp;DO_DB[[#This Row],[Material Name]]</f>
        <v>45951_FDT-48</v>
      </c>
      <c r="O2080" t="str">
        <f>DO_DB[[#This Row],[SiteID]]</f>
        <v>CLR51-99-257</v>
      </c>
      <c r="P2080" t="str">
        <f>DO_DB[[#This Row],[SiteID]]&amp;"_"&amp;DO_DB[[#This Row],[Material Name]]</f>
        <v>CLR51-99-257_FDT-48</v>
      </c>
      <c r="Q2080" t="str">
        <f>DO_DB[[#This Row],[DO Number]]</f>
        <v>DOEID25102124</v>
      </c>
      <c r="R2080" t="str">
        <f>DO_DB[[#This Row],[DN Number]]</f>
        <v>DNWID1382025102104</v>
      </c>
    </row>
    <row r="2081" spans="1:18">
      <c r="A2081" s="172" t="s">
        <v>4692</v>
      </c>
      <c r="B2081" s="172" t="s">
        <v>4693</v>
      </c>
      <c r="C2081" s="172" t="s">
        <v>4482</v>
      </c>
      <c r="D2081" s="172" t="s">
        <v>71</v>
      </c>
      <c r="E2081" s="172" t="s">
        <v>24</v>
      </c>
      <c r="F2081" t="s">
        <v>3295</v>
      </c>
      <c r="G2081" s="172" t="s">
        <v>4694</v>
      </c>
      <c r="H2081" s="172" t="s">
        <v>4695</v>
      </c>
      <c r="I2081" s="173">
        <v>45955</v>
      </c>
      <c r="J2081" s="172" t="s">
        <v>14</v>
      </c>
      <c r="K2081" s="172">
        <v>1</v>
      </c>
      <c r="M20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81" t="str">
        <f>DO_DB[[#This Row],[Material Pick-update]]&amp;"_"&amp;DO_DB[[#This Row],[Material Name]]</f>
        <v>45955_FDT-48</v>
      </c>
      <c r="O2081" t="str">
        <f>DO_DB[[#This Row],[SiteID]]</f>
        <v>CLR51-99-372</v>
      </c>
      <c r="P2081" t="str">
        <f>DO_DB[[#This Row],[SiteID]]&amp;"_"&amp;DO_DB[[#This Row],[Material Name]]</f>
        <v>CLR51-99-372_FDT-48</v>
      </c>
      <c r="Q2081" t="str">
        <f>DO_DB[[#This Row],[DO Number]]</f>
        <v>DOEID251024G5</v>
      </c>
      <c r="R2081" t="str">
        <f>DO_DB[[#This Row],[DN Number]]</f>
        <v>DNWID1382025102406</v>
      </c>
    </row>
    <row r="2082" spans="1:18">
      <c r="A2082" t="s">
        <v>4785</v>
      </c>
      <c r="B2082" t="s">
        <v>4786</v>
      </c>
      <c r="C2082" s="172" t="s">
        <v>4482</v>
      </c>
      <c r="D2082" t="s">
        <v>67</v>
      </c>
      <c r="E2082" t="s">
        <v>24</v>
      </c>
      <c r="F2082" t="s">
        <v>3295</v>
      </c>
      <c r="G2082" t="s">
        <v>4791</v>
      </c>
      <c r="H2082" t="s">
        <v>4792</v>
      </c>
      <c r="I2082" s="130">
        <v>46003</v>
      </c>
      <c r="J2082" s="172" t="s">
        <v>14</v>
      </c>
      <c r="K2082">
        <v>1</v>
      </c>
      <c r="M20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82" t="str">
        <f>DO_DB[[#This Row],[Material Pick-update]]&amp;"_"&amp;DO_DB[[#This Row],[Material Name]]</f>
        <v>46003_FDT-48</v>
      </c>
      <c r="O2082" t="str">
        <f>DO_DB[[#This Row],[SiteID]]</f>
        <v>CLR51-99-381</v>
      </c>
      <c r="P2082" t="str">
        <f>DO_DB[[#This Row],[SiteID]]&amp;"_"&amp;DO_DB[[#This Row],[Material Name]]</f>
        <v>CLR51-99-381_FDT-48</v>
      </c>
      <c r="Q2082" t="str">
        <f>DO_DB[[#This Row],[DO Number]]</f>
        <v>DOEID251211BZ</v>
      </c>
      <c r="R2082" t="str">
        <f>DO_DB[[#This Row],[DN Number]]</f>
        <v>DNWID1382025121129</v>
      </c>
    </row>
    <row r="2083" spans="1:18">
      <c r="A2083" t="s">
        <v>4847</v>
      </c>
      <c r="B2083" t="s">
        <v>4846</v>
      </c>
      <c r="C2083" s="172" t="s">
        <v>4482</v>
      </c>
      <c r="D2083" t="s">
        <v>67</v>
      </c>
      <c r="E2083" t="s">
        <v>24</v>
      </c>
      <c r="F2083" t="s">
        <v>3295</v>
      </c>
      <c r="G2083" t="s">
        <v>4855</v>
      </c>
      <c r="I2083" s="130">
        <v>46133</v>
      </c>
      <c r="J2083" s="172" t="s">
        <v>14</v>
      </c>
      <c r="K2083">
        <v>1</v>
      </c>
      <c r="M20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83" t="str">
        <f>DO_DB[[#This Row],[Material Pick-update]]&amp;"_"&amp;DO_DB[[#This Row],[Material Name]]</f>
        <v>46133_FDT-48</v>
      </c>
      <c r="O2083" t="str">
        <f>DO_DB[[#This Row],[SiteID]]</f>
        <v>CLR51-99-445</v>
      </c>
      <c r="P2083" t="str">
        <f>DO_DB[[#This Row],[SiteID]]&amp;"_"&amp;DO_DB[[#This Row],[Material Name]]</f>
        <v>CLR51-99-445_FDT-48</v>
      </c>
      <c r="Q2083" t="str">
        <f>DO_DB[[#This Row],[DO Number]]</f>
        <v>DOEID260420HH</v>
      </c>
      <c r="R2083">
        <f>DO_DB[[#This Row],[DN Number]]</f>
        <v>0</v>
      </c>
    </row>
    <row r="2084" spans="1:18">
      <c r="A2084" t="s">
        <v>4866</v>
      </c>
      <c r="B2084" t="s">
        <v>4867</v>
      </c>
      <c r="C2084" s="172" t="s">
        <v>4482</v>
      </c>
      <c r="D2084" t="s">
        <v>67</v>
      </c>
      <c r="E2084" t="s">
        <v>24</v>
      </c>
      <c r="F2084" t="s">
        <v>3295</v>
      </c>
      <c r="G2084" t="s">
        <v>4868</v>
      </c>
      <c r="H2084" s="172" t="s">
        <v>4872</v>
      </c>
      <c r="I2084" s="130">
        <v>46151</v>
      </c>
      <c r="J2084" s="172" t="s">
        <v>14</v>
      </c>
      <c r="K2084">
        <v>1</v>
      </c>
      <c r="M20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84" t="str">
        <f>DO_DB[[#This Row],[Material Pick-update]]&amp;"_"&amp;DO_DB[[#This Row],[Material Name]]</f>
        <v>46151_FDT-48</v>
      </c>
      <c r="O2084" t="str">
        <f>DO_DB[[#This Row],[SiteID]]</f>
        <v>CLR51-99-506</v>
      </c>
      <c r="P2084" t="str">
        <f>DO_DB[[#This Row],[SiteID]]&amp;"_"&amp;DO_DB[[#This Row],[Material Name]]</f>
        <v>CLR51-99-506_FDT-48</v>
      </c>
      <c r="Q2084" t="str">
        <f>DO_DB[[#This Row],[DO Number]]</f>
        <v>DOEID260509BX</v>
      </c>
      <c r="R2084" t="str">
        <f>DO_DB[[#This Row],[DN Number]]</f>
        <v>DNWID03620260509DY</v>
      </c>
    </row>
    <row r="2085" spans="1:18">
      <c r="A2085" t="s">
        <v>4870</v>
      </c>
      <c r="B2085" t="s">
        <v>4871</v>
      </c>
      <c r="C2085" s="172" t="s">
        <v>4482</v>
      </c>
      <c r="D2085" t="s">
        <v>67</v>
      </c>
      <c r="E2085" t="s">
        <v>24</v>
      </c>
      <c r="F2085" t="s">
        <v>3295</v>
      </c>
      <c r="G2085" t="s">
        <v>4869</v>
      </c>
      <c r="H2085" t="s">
        <v>5132</v>
      </c>
      <c r="I2085" s="130">
        <v>46164</v>
      </c>
      <c r="J2085" t="s">
        <v>14</v>
      </c>
      <c r="K2085">
        <v>1</v>
      </c>
      <c r="M20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85" t="str">
        <f>DO_DB[[#This Row],[Material Pick-update]]&amp;"_"&amp;DO_DB[[#This Row],[Material Name]]</f>
        <v>46164_FDT-48</v>
      </c>
      <c r="O2085" t="str">
        <f>DO_DB[[#This Row],[SiteID]]</f>
        <v>CLR51-99-658</v>
      </c>
      <c r="P2085" t="str">
        <f>DO_DB[[#This Row],[SiteID]]&amp;"_"&amp;DO_DB[[#This Row],[Material Name]]</f>
        <v>CLR51-99-658_FDT-48</v>
      </c>
      <c r="Q2085" t="str">
        <f>DO_DB[[#This Row],[DO Number]]</f>
        <v>DOEID260522B7</v>
      </c>
      <c r="R2085" t="str">
        <f>DO_DB[[#This Row],[DN Number]]</f>
        <v>DNWID0362026052214</v>
      </c>
    </row>
    <row r="2086" spans="1:18">
      <c r="A2086" t="s">
        <v>4902</v>
      </c>
      <c r="B2086" t="s">
        <v>4903</v>
      </c>
      <c r="C2086" s="172" t="s">
        <v>4482</v>
      </c>
      <c r="D2086" t="s">
        <v>67</v>
      </c>
      <c r="E2086" t="s">
        <v>24</v>
      </c>
      <c r="F2086" t="s">
        <v>3295</v>
      </c>
      <c r="G2086" t="s">
        <v>4901</v>
      </c>
      <c r="H2086" t="s">
        <v>5134</v>
      </c>
      <c r="I2086" s="130">
        <v>46200</v>
      </c>
      <c r="J2086" t="s">
        <v>14</v>
      </c>
      <c r="K2086">
        <v>1</v>
      </c>
      <c r="M20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86" t="str">
        <f>DO_DB[[#This Row],[Material Pick-update]]&amp;"_"&amp;DO_DB[[#This Row],[Material Name]]</f>
        <v>46200_FDT-48</v>
      </c>
      <c r="O2086" t="str">
        <f>DO_DB[[#This Row],[SiteID]]</f>
        <v>CLR51-99-678</v>
      </c>
      <c r="P2086" t="str">
        <f>DO_DB[[#This Row],[SiteID]]&amp;"_"&amp;DO_DB[[#This Row],[Material Name]]</f>
        <v>CLR51-99-678_FDT-48</v>
      </c>
      <c r="Q2086" t="str">
        <f>DO_DB[[#This Row],[DO Number]]</f>
        <v>DOEID26062559</v>
      </c>
      <c r="R2086" t="str">
        <f>DO_DB[[#This Row],[DN Number]]</f>
        <v>DNWID0362026062510</v>
      </c>
    </row>
    <row r="2087" spans="1:18">
      <c r="A2087" t="s">
        <v>5122</v>
      </c>
      <c r="B2087" t="s">
        <v>5125</v>
      </c>
      <c r="C2087" s="172" t="s">
        <v>4482</v>
      </c>
      <c r="D2087" t="s">
        <v>67</v>
      </c>
      <c r="E2087" t="s">
        <v>24</v>
      </c>
      <c r="F2087" t="s">
        <v>3295</v>
      </c>
      <c r="G2087" t="s">
        <v>5123</v>
      </c>
      <c r="H2087" t="s">
        <v>5124</v>
      </c>
      <c r="I2087" s="130">
        <v>46212</v>
      </c>
      <c r="J2087" s="172" t="s">
        <v>14</v>
      </c>
      <c r="K2087">
        <v>1</v>
      </c>
      <c r="M20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87" t="str">
        <f>DO_DB[[#This Row],[Material Pick-update]]&amp;"_"&amp;DO_DB[[#This Row],[Material Name]]</f>
        <v>46212_FDT-48</v>
      </c>
      <c r="O2087" t="str">
        <f>DO_DB[[#This Row],[SiteID]]</f>
        <v>CLR51-99-662</v>
      </c>
      <c r="P2087" t="str">
        <f>DO_DB[[#This Row],[SiteID]]&amp;"_"&amp;DO_DB[[#This Row],[Material Name]]</f>
        <v>CLR51-99-662_FDT-48</v>
      </c>
      <c r="Q2087" t="str">
        <f>DO_DB[[#This Row],[DO Number]]</f>
        <v>DOEID260708AM</v>
      </c>
      <c r="R2087" t="str">
        <f>DO_DB[[#This Row],[DN Number]]</f>
        <v>DNWID0362026070821</v>
      </c>
    </row>
    <row r="2088" spans="1:18">
      <c r="A2088" t="s">
        <v>1951</v>
      </c>
      <c r="B2088" t="s">
        <v>1952</v>
      </c>
      <c r="C2088" s="172" t="s">
        <v>4482</v>
      </c>
      <c r="D2088" t="s">
        <v>71</v>
      </c>
      <c r="E2088" t="s">
        <v>24</v>
      </c>
      <c r="F2088" t="s">
        <v>3295</v>
      </c>
      <c r="G2088" t="s">
        <v>2011</v>
      </c>
      <c r="H2088" t="s">
        <v>2012</v>
      </c>
      <c r="I2088" s="130">
        <v>45531</v>
      </c>
      <c r="J2088" t="s">
        <v>15</v>
      </c>
      <c r="K2088">
        <v>1</v>
      </c>
      <c r="M20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88" t="str">
        <f>DO_DB[[#This Row],[Material Pick-update]]&amp;"_"&amp;DO_DB[[#This Row],[Material Name]]</f>
        <v>45531_FDT-72</v>
      </c>
      <c r="O2088" t="str">
        <f>DO_DB[[#This Row],[SiteID]]</f>
        <v>CLR51-99-115</v>
      </c>
      <c r="P2088" t="str">
        <f>DO_DB[[#This Row],[SiteID]]&amp;"_"&amp;DO_DB[[#This Row],[Material Name]]</f>
        <v>CLR51-99-115_FDT-72</v>
      </c>
      <c r="Q2088" t="str">
        <f>DO_DB[[#This Row],[DO Number]]</f>
        <v>DOEID240822C5</v>
      </c>
      <c r="R2088" t="str">
        <f>DO_DB[[#This Row],[DN Number]]</f>
        <v>DNWID0342024082301</v>
      </c>
    </row>
    <row r="2089" spans="1:18">
      <c r="A2089" t="s">
        <v>2166</v>
      </c>
      <c r="B2089" t="s">
        <v>2167</v>
      </c>
      <c r="C2089" s="172" t="s">
        <v>4482</v>
      </c>
      <c r="D2089" t="s">
        <v>71</v>
      </c>
      <c r="E2089" t="s">
        <v>24</v>
      </c>
      <c r="F2089" t="s">
        <v>3295</v>
      </c>
      <c r="G2089" t="s">
        <v>2170</v>
      </c>
      <c r="H2089" t="s">
        <v>2171</v>
      </c>
      <c r="I2089" s="130">
        <v>45555</v>
      </c>
      <c r="J2089" t="s">
        <v>15</v>
      </c>
      <c r="K2089">
        <v>1</v>
      </c>
      <c r="M20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89" t="str">
        <f>DO_DB[[#This Row],[Material Pick-update]]&amp;"_"&amp;DO_DB[[#This Row],[Material Name]]</f>
        <v>45555_FDT-72</v>
      </c>
      <c r="O2089" t="str">
        <f>DO_DB[[#This Row],[SiteID]]</f>
        <v>CLR51-03-006</v>
      </c>
      <c r="P2089" t="str">
        <f>DO_DB[[#This Row],[SiteID]]&amp;"_"&amp;DO_DB[[#This Row],[Material Name]]</f>
        <v>CLR51-03-006_FDT-72</v>
      </c>
      <c r="Q2089" t="str">
        <f>DO_DB[[#This Row],[DO Number]]</f>
        <v>DOEID24092015</v>
      </c>
      <c r="R2089" t="str">
        <f>DO_DB[[#This Row],[DN Number]]</f>
        <v>DNWID0342024092001</v>
      </c>
    </row>
    <row r="2090" spans="1:18">
      <c r="A2090" t="s">
        <v>2360</v>
      </c>
      <c r="B2090" t="s">
        <v>2361</v>
      </c>
      <c r="C2090" s="172" t="s">
        <v>4482</v>
      </c>
      <c r="D2090" t="s">
        <v>71</v>
      </c>
      <c r="E2090" t="s">
        <v>24</v>
      </c>
      <c r="F2090" t="s">
        <v>3295</v>
      </c>
      <c r="G2090" t="s">
        <v>2362</v>
      </c>
      <c r="H2090" t="s">
        <v>2363</v>
      </c>
      <c r="I2090" s="130">
        <v>45602</v>
      </c>
      <c r="J2090" t="s">
        <v>15</v>
      </c>
      <c r="K2090">
        <v>1</v>
      </c>
      <c r="M20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90" t="str">
        <f>DO_DB[[#This Row],[Material Pick-update]]&amp;"_"&amp;DO_DB[[#This Row],[Material Name]]</f>
        <v>45602_FDT-72</v>
      </c>
      <c r="O2090" t="str">
        <f>DO_DB[[#This Row],[SiteID]]</f>
        <v>CLR51-99-123</v>
      </c>
      <c r="P2090" t="str">
        <f>DO_DB[[#This Row],[SiteID]]&amp;"_"&amp;DO_DB[[#This Row],[Material Name]]</f>
        <v>CLR51-99-123_FDT-72</v>
      </c>
      <c r="Q2090" t="str">
        <f>DO_DB[[#This Row],[DO Number]]</f>
        <v>DOEID24110552</v>
      </c>
      <c r="R2090" t="str">
        <f>DO_DB[[#This Row],[DN Number]]</f>
        <v>DNWID0342024110504</v>
      </c>
    </row>
    <row r="2091" spans="1:18">
      <c r="A2091" t="s">
        <v>2664</v>
      </c>
      <c r="B2091" t="s">
        <v>2665</v>
      </c>
      <c r="C2091" s="172" t="s">
        <v>4482</v>
      </c>
      <c r="D2091" t="s">
        <v>71</v>
      </c>
      <c r="E2091" t="s">
        <v>24</v>
      </c>
      <c r="F2091" t="s">
        <v>3295</v>
      </c>
      <c r="G2091" t="s">
        <v>2666</v>
      </c>
      <c r="H2091" t="s">
        <v>2667</v>
      </c>
      <c r="I2091" s="130">
        <v>45735</v>
      </c>
      <c r="J2091" t="s">
        <v>15</v>
      </c>
      <c r="K2091">
        <v>1</v>
      </c>
      <c r="M20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91" t="str">
        <f>DO_DB[[#This Row],[Material Pick-update]]&amp;"_"&amp;DO_DB[[#This Row],[Material Name]]</f>
        <v>45735_FDT-72</v>
      </c>
      <c r="O2091" t="str">
        <f>DO_DB[[#This Row],[SiteID]]</f>
        <v>CLR51-99-140</v>
      </c>
      <c r="P2091" t="str">
        <f>DO_DB[[#This Row],[SiteID]]&amp;"_"&amp;DO_DB[[#This Row],[Material Name]]</f>
        <v>CLR51-99-140_FDT-72</v>
      </c>
      <c r="Q2091" t="str">
        <f>DO_DB[[#This Row],[DO Number]]</f>
        <v>DOEID25031898</v>
      </c>
      <c r="R2091" t="str">
        <f>DO_DB[[#This Row],[DN Number]]</f>
        <v>DNWID0342025031811</v>
      </c>
    </row>
    <row r="2092" spans="1:18">
      <c r="A2092" t="s">
        <v>2809</v>
      </c>
      <c r="B2092" t="s">
        <v>2810</v>
      </c>
      <c r="C2092" s="172" t="s">
        <v>4482</v>
      </c>
      <c r="D2092" t="s">
        <v>71</v>
      </c>
      <c r="E2092" t="s">
        <v>24</v>
      </c>
      <c r="F2092" t="s">
        <v>3295</v>
      </c>
      <c r="G2092" t="s">
        <v>2811</v>
      </c>
      <c r="H2092" t="s">
        <v>2812</v>
      </c>
      <c r="I2092" s="130">
        <v>45820</v>
      </c>
      <c r="J2092" t="s">
        <v>15</v>
      </c>
      <c r="K2092">
        <v>2</v>
      </c>
      <c r="M20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92" t="str">
        <f>DO_DB[[#This Row],[Material Pick-update]]&amp;"_"&amp;DO_DB[[#This Row],[Material Name]]</f>
        <v>45820_FDT-72</v>
      </c>
      <c r="O2092" t="str">
        <f>DO_DB[[#This Row],[SiteID]]</f>
        <v>CLR51-99-101</v>
      </c>
      <c r="P2092" t="str">
        <f>DO_DB[[#This Row],[SiteID]]&amp;"_"&amp;DO_DB[[#This Row],[Material Name]]</f>
        <v>CLR51-99-101_FDT-72</v>
      </c>
      <c r="Q2092" t="str">
        <f>DO_DB[[#This Row],[DO Number]]</f>
        <v>DOEID250610PE</v>
      </c>
      <c r="R2092" t="str">
        <f>DO_DB[[#This Row],[DN Number]]</f>
        <v>DNWID1382025061204</v>
      </c>
    </row>
    <row r="2093" spans="1:18">
      <c r="A2093" t="s">
        <v>2861</v>
      </c>
      <c r="B2093" t="s">
        <v>2862</v>
      </c>
      <c r="C2093" s="172" t="s">
        <v>4482</v>
      </c>
      <c r="D2093" t="s">
        <v>71</v>
      </c>
      <c r="E2093" t="s">
        <v>24</v>
      </c>
      <c r="F2093" t="s">
        <v>3295</v>
      </c>
      <c r="G2093" t="s">
        <v>2865</v>
      </c>
      <c r="H2093" t="s">
        <v>2866</v>
      </c>
      <c r="I2093" s="130">
        <v>45825</v>
      </c>
      <c r="J2093" t="s">
        <v>15</v>
      </c>
      <c r="K2093">
        <v>1</v>
      </c>
      <c r="M20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93" t="str">
        <f>DO_DB[[#This Row],[Material Pick-update]]&amp;"_"&amp;DO_DB[[#This Row],[Material Name]]</f>
        <v>45825_FDT-72</v>
      </c>
      <c r="O2093" t="str">
        <f>DO_DB[[#This Row],[SiteID]]</f>
        <v>CLR51-99-242</v>
      </c>
      <c r="P2093" t="str">
        <f>DO_DB[[#This Row],[SiteID]]&amp;"_"&amp;DO_DB[[#This Row],[Material Name]]</f>
        <v>CLR51-99-242_FDT-72</v>
      </c>
      <c r="Q2093" t="str">
        <f>DO_DB[[#This Row],[DO Number]]</f>
        <v>DOEID250613BM</v>
      </c>
      <c r="R2093" t="str">
        <f>DO_DB[[#This Row],[DN Number]]</f>
        <v>DNWID1382025061702</v>
      </c>
    </row>
    <row r="2094" spans="1:18">
      <c r="A2094" t="s">
        <v>2851</v>
      </c>
      <c r="B2094" t="s">
        <v>2852</v>
      </c>
      <c r="C2094" s="172" t="s">
        <v>4482</v>
      </c>
      <c r="D2094" t="s">
        <v>71</v>
      </c>
      <c r="E2094" t="s">
        <v>24</v>
      </c>
      <c r="F2094" t="s">
        <v>3295</v>
      </c>
      <c r="G2094" t="s">
        <v>2853</v>
      </c>
      <c r="H2094" t="s">
        <v>2854</v>
      </c>
      <c r="I2094" s="130">
        <v>45825</v>
      </c>
      <c r="J2094" t="s">
        <v>15</v>
      </c>
      <c r="K2094">
        <v>1</v>
      </c>
      <c r="M20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94" t="str">
        <f>DO_DB[[#This Row],[Material Pick-update]]&amp;"_"&amp;DO_DB[[#This Row],[Material Name]]</f>
        <v>45825_FDT-72</v>
      </c>
      <c r="O2094" t="str">
        <f>DO_DB[[#This Row],[SiteID]]</f>
        <v>CLR51-99-244</v>
      </c>
      <c r="P2094" t="str">
        <f>DO_DB[[#This Row],[SiteID]]&amp;"_"&amp;DO_DB[[#This Row],[Material Name]]</f>
        <v>CLR51-99-244_FDT-72</v>
      </c>
      <c r="Q2094" t="str">
        <f>DO_DB[[#This Row],[DO Number]]</f>
        <v>DOEID250613BQ</v>
      </c>
      <c r="R2094" t="str">
        <f>DO_DB[[#This Row],[DN Number]]</f>
        <v>DNWID1382025061703</v>
      </c>
    </row>
    <row r="2095" spans="1:18">
      <c r="A2095" t="s">
        <v>2915</v>
      </c>
      <c r="B2095" t="s">
        <v>2916</v>
      </c>
      <c r="C2095" s="172" t="s">
        <v>4482</v>
      </c>
      <c r="D2095" t="s">
        <v>71</v>
      </c>
      <c r="E2095" t="s">
        <v>24</v>
      </c>
      <c r="F2095" t="s">
        <v>3295</v>
      </c>
      <c r="G2095" t="s">
        <v>2917</v>
      </c>
      <c r="H2095" t="s">
        <v>2918</v>
      </c>
      <c r="I2095" s="130">
        <v>45850</v>
      </c>
      <c r="J2095" t="s">
        <v>15</v>
      </c>
      <c r="K2095">
        <v>1</v>
      </c>
      <c r="M20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95" t="str">
        <f>DO_DB[[#This Row],[Material Pick-update]]&amp;"_"&amp;DO_DB[[#This Row],[Material Name]]</f>
        <v>45850_FDT-72</v>
      </c>
      <c r="O2095" t="str">
        <f>DO_DB[[#This Row],[SiteID]]</f>
        <v>CLR51-99-108</v>
      </c>
      <c r="P2095" t="str">
        <f>DO_DB[[#This Row],[SiteID]]&amp;"_"&amp;DO_DB[[#This Row],[Material Name]]</f>
        <v>CLR51-99-108_FDT-72</v>
      </c>
      <c r="Q2095" t="str">
        <f>DO_DB[[#This Row],[DO Number]]</f>
        <v>DOEID250711EI</v>
      </c>
      <c r="R2095" t="str">
        <f>DO_DB[[#This Row],[DN Number]]</f>
        <v>DNWID1382025071113</v>
      </c>
    </row>
    <row r="2096" spans="1:18">
      <c r="A2096" s="172" t="s">
        <v>4663</v>
      </c>
      <c r="B2096" s="172" t="s">
        <v>4664</v>
      </c>
      <c r="C2096" s="172" t="s">
        <v>4482</v>
      </c>
      <c r="D2096" s="172" t="s">
        <v>71</v>
      </c>
      <c r="E2096" s="172" t="s">
        <v>24</v>
      </c>
      <c r="F2096" t="s">
        <v>3295</v>
      </c>
      <c r="G2096" s="172" t="s">
        <v>4667</v>
      </c>
      <c r="H2096" s="172" t="s">
        <v>4668</v>
      </c>
      <c r="I2096" s="173">
        <v>45951</v>
      </c>
      <c r="J2096" s="172" t="s">
        <v>15</v>
      </c>
      <c r="K2096" s="172">
        <v>1</v>
      </c>
      <c r="M20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96" t="str">
        <f>DO_DB[[#This Row],[Material Pick-update]]&amp;"_"&amp;DO_DB[[#This Row],[Material Name]]</f>
        <v>45951_FDT-72</v>
      </c>
      <c r="O2096" t="str">
        <f>DO_DB[[#This Row],[SiteID]]</f>
        <v>CLR51-99-302</v>
      </c>
      <c r="P2096" t="str">
        <f>DO_DB[[#This Row],[SiteID]]&amp;"_"&amp;DO_DB[[#This Row],[Material Name]]</f>
        <v>CLR51-99-302_FDT-72</v>
      </c>
      <c r="Q2096" t="str">
        <f>DO_DB[[#This Row],[DO Number]]</f>
        <v>DOEID25102127</v>
      </c>
      <c r="R2096" t="str">
        <f>DO_DB[[#This Row],[DN Number]]</f>
        <v>DNWID1382025102101</v>
      </c>
    </row>
    <row r="2097" spans="1:18">
      <c r="A2097" s="172" t="s">
        <v>4696</v>
      </c>
      <c r="B2097" s="172" t="s">
        <v>4697</v>
      </c>
      <c r="C2097" s="172" t="s">
        <v>4482</v>
      </c>
      <c r="D2097" s="172" t="s">
        <v>71</v>
      </c>
      <c r="E2097" s="172" t="s">
        <v>24</v>
      </c>
      <c r="F2097" t="s">
        <v>3295</v>
      </c>
      <c r="G2097" s="172" t="s">
        <v>4698</v>
      </c>
      <c r="H2097" s="172" t="s">
        <v>4699</v>
      </c>
      <c r="I2097" s="173">
        <v>45955</v>
      </c>
      <c r="J2097" s="172" t="s">
        <v>15</v>
      </c>
      <c r="K2097" s="172">
        <v>1</v>
      </c>
      <c r="M20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97" t="str">
        <f>DO_DB[[#This Row],[Material Pick-update]]&amp;"_"&amp;DO_DB[[#This Row],[Material Name]]</f>
        <v>45955_FDT-72</v>
      </c>
      <c r="O2097" t="str">
        <f>DO_DB[[#This Row],[SiteID]]</f>
        <v>CLR51-99-375</v>
      </c>
      <c r="P2097" t="str">
        <f>DO_DB[[#This Row],[SiteID]]&amp;"_"&amp;DO_DB[[#This Row],[Material Name]]</f>
        <v>CLR51-99-375_FDT-72</v>
      </c>
      <c r="Q2097" t="str">
        <f>DO_DB[[#This Row],[DO Number]]</f>
        <v>DOEID251024K3</v>
      </c>
      <c r="R2097" t="str">
        <f>DO_DB[[#This Row],[DN Number]]</f>
        <v>DNWID1382025102408</v>
      </c>
    </row>
    <row r="2098" spans="1:18">
      <c r="A2098" t="s">
        <v>4801</v>
      </c>
      <c r="B2098" t="s">
        <v>4802</v>
      </c>
      <c r="C2098" s="172" t="s">
        <v>4482</v>
      </c>
      <c r="D2098" t="s">
        <v>67</v>
      </c>
      <c r="E2098" t="s">
        <v>24</v>
      </c>
      <c r="F2098" t="s">
        <v>3295</v>
      </c>
      <c r="G2098" t="s">
        <v>4827</v>
      </c>
      <c r="H2098" t="s">
        <v>4806</v>
      </c>
      <c r="I2098" s="130">
        <v>46002</v>
      </c>
      <c r="J2098" t="s">
        <v>15</v>
      </c>
      <c r="K2098">
        <v>3</v>
      </c>
      <c r="M20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98" t="str">
        <f>DO_DB[[#This Row],[Material Pick-update]]&amp;"_"&amp;DO_DB[[#This Row],[Material Name]]</f>
        <v>46002_FDT-72</v>
      </c>
      <c r="O2098" t="str">
        <f>DO_DB[[#This Row],[SiteID]]</f>
        <v>CLR51-99-382</v>
      </c>
      <c r="P2098" t="str">
        <f>DO_DB[[#This Row],[SiteID]]&amp;"_"&amp;DO_DB[[#This Row],[Material Name]]</f>
        <v>CLR51-99-382_FDT-72</v>
      </c>
      <c r="Q2098" t="str">
        <f>DO_DB[[#This Row],[DO Number]]</f>
        <v>DOEID251211B1</v>
      </c>
      <c r="R2098" t="str">
        <f>DO_DB[[#This Row],[DN Number]]</f>
        <v>DNWID1382025121131</v>
      </c>
    </row>
    <row r="2099" spans="1:18">
      <c r="A2099" t="s">
        <v>4785</v>
      </c>
      <c r="B2099" t="s">
        <v>4786</v>
      </c>
      <c r="C2099" s="172" t="s">
        <v>4482</v>
      </c>
      <c r="D2099" t="s">
        <v>67</v>
      </c>
      <c r="E2099" t="s">
        <v>24</v>
      </c>
      <c r="F2099" t="s">
        <v>3295</v>
      </c>
      <c r="G2099" t="s">
        <v>4793</v>
      </c>
      <c r="H2099" t="s">
        <v>4794</v>
      </c>
      <c r="I2099" s="130">
        <v>46003</v>
      </c>
      <c r="J2099" s="172" t="s">
        <v>15</v>
      </c>
      <c r="K2099" s="81">
        <v>3</v>
      </c>
      <c r="M20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099" t="str">
        <f>DO_DB[[#This Row],[Material Pick-update]]&amp;"_"&amp;DO_DB[[#This Row],[Material Name]]</f>
        <v>46003_FDT-72</v>
      </c>
      <c r="O2099" t="str">
        <f>DO_DB[[#This Row],[SiteID]]</f>
        <v>CLR51-99-381</v>
      </c>
      <c r="P2099" t="str">
        <f>DO_DB[[#This Row],[SiteID]]&amp;"_"&amp;DO_DB[[#This Row],[Material Name]]</f>
        <v>CLR51-99-381_FDT-72</v>
      </c>
      <c r="Q2099" t="str">
        <f>DO_DB[[#This Row],[DO Number]]</f>
        <v>DOEID251211C9</v>
      </c>
      <c r="R2099" t="str">
        <f>DO_DB[[#This Row],[DN Number]]</f>
        <v>DNWID1372025121126</v>
      </c>
    </row>
    <row r="2100" spans="1:18">
      <c r="A2100" s="81" t="s">
        <v>4814</v>
      </c>
      <c r="B2100" s="81" t="s">
        <v>4816</v>
      </c>
      <c r="C2100" s="172" t="s">
        <v>4482</v>
      </c>
      <c r="D2100" s="81" t="s">
        <v>67</v>
      </c>
      <c r="E2100" s="81" t="s">
        <v>24</v>
      </c>
      <c r="F2100" t="s">
        <v>3295</v>
      </c>
      <c r="G2100" s="81" t="s">
        <v>4818</v>
      </c>
      <c r="H2100" s="81" t="s">
        <v>4817</v>
      </c>
      <c r="I2100" s="163">
        <v>46041</v>
      </c>
      <c r="J2100" t="s">
        <v>15</v>
      </c>
      <c r="K2100">
        <v>1</v>
      </c>
      <c r="M21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00" t="str">
        <f>DO_DB[[#This Row],[Material Pick-update]]&amp;"_"&amp;DO_DB[[#This Row],[Material Name]]</f>
        <v>46041_FDT-72</v>
      </c>
      <c r="O2100" t="str">
        <f>DO_DB[[#This Row],[SiteID]]</f>
        <v>CLR51-99-196</v>
      </c>
      <c r="P2100" t="str">
        <f>DO_DB[[#This Row],[SiteID]]&amp;"_"&amp;DO_DB[[#This Row],[Material Name]]</f>
        <v>CLR51-99-196_FDT-72</v>
      </c>
      <c r="Q2100" t="str">
        <f>DO_DB[[#This Row],[DO Number]]</f>
        <v>DOEID260115MP</v>
      </c>
      <c r="R2100" t="str">
        <f>DO_DB[[#This Row],[DN Number]]</f>
        <v>DNWID1382026011601</v>
      </c>
    </row>
    <row r="2101" spans="1:18">
      <c r="A2101" t="s">
        <v>4835</v>
      </c>
      <c r="B2101" t="s">
        <v>4836</v>
      </c>
      <c r="C2101" s="172" t="s">
        <v>4482</v>
      </c>
      <c r="D2101" t="s">
        <v>67</v>
      </c>
      <c r="E2101" t="s">
        <v>24</v>
      </c>
      <c r="F2101" t="s">
        <v>3295</v>
      </c>
      <c r="G2101" t="s">
        <v>4849</v>
      </c>
      <c r="H2101" t="s">
        <v>4852</v>
      </c>
      <c r="I2101" s="130">
        <v>46087</v>
      </c>
      <c r="J2101" t="s">
        <v>15</v>
      </c>
      <c r="K2101">
        <v>1</v>
      </c>
      <c r="M21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01" t="str">
        <f>DO_DB[[#This Row],[Material Pick-update]]&amp;"_"&amp;DO_DB[[#This Row],[Material Name]]</f>
        <v>46087_FDT-72</v>
      </c>
      <c r="O2101" t="str">
        <f>DO_DB[[#This Row],[SiteID]]</f>
        <v>CLR51-99-385</v>
      </c>
      <c r="P2101" t="str">
        <f>DO_DB[[#This Row],[SiteID]]&amp;"_"&amp;DO_DB[[#This Row],[Material Name]]</f>
        <v>CLR51-99-385_FDT-72</v>
      </c>
      <c r="Q2101" t="str">
        <f>DO_DB[[#This Row],[DO Number]]</f>
        <v>DOEID26030644</v>
      </c>
      <c r="R2101" t="str">
        <f>DO_DB[[#This Row],[DN Number]]</f>
        <v>DNWID1382026030605</v>
      </c>
    </row>
    <row r="2102" spans="1:18">
      <c r="A2102" t="s">
        <v>4898</v>
      </c>
      <c r="B2102" t="s">
        <v>4900</v>
      </c>
      <c r="C2102" s="172" t="s">
        <v>4482</v>
      </c>
      <c r="D2102" t="s">
        <v>67</v>
      </c>
      <c r="E2102" t="s">
        <v>24</v>
      </c>
      <c r="F2102" t="s">
        <v>3295</v>
      </c>
      <c r="G2102" t="s">
        <v>4904</v>
      </c>
      <c r="H2102" t="s">
        <v>5133</v>
      </c>
      <c r="I2102" s="130">
        <v>46191</v>
      </c>
      <c r="J2102" t="s">
        <v>15</v>
      </c>
      <c r="K2102">
        <v>1</v>
      </c>
      <c r="M21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02" t="str">
        <f>DO_DB[[#This Row],[Material Pick-update]]&amp;"_"&amp;DO_DB[[#This Row],[Material Name]]</f>
        <v>46191_FDT-72</v>
      </c>
      <c r="O2102" t="str">
        <f>DO_DB[[#This Row],[SiteID]]</f>
        <v>CLR51-99-483</v>
      </c>
      <c r="P2102" t="str">
        <f>DO_DB[[#This Row],[SiteID]]&amp;"_"&amp;DO_DB[[#This Row],[Material Name]]</f>
        <v>CLR51-99-483_FDT-72</v>
      </c>
      <c r="Q2102" t="str">
        <f>DO_DB[[#This Row],[DO Number]]</f>
        <v>DOEID26052978</v>
      </c>
      <c r="R2102" t="str">
        <f>DO_DB[[#This Row],[DN Number]]</f>
        <v>DNWID0362026052925</v>
      </c>
    </row>
    <row r="2103" spans="1:18">
      <c r="A2103" t="s">
        <v>2142</v>
      </c>
      <c r="B2103" t="s">
        <v>2143</v>
      </c>
      <c r="C2103" s="172" t="s">
        <v>4482</v>
      </c>
      <c r="D2103" t="s">
        <v>2121</v>
      </c>
      <c r="E2103" t="s">
        <v>24</v>
      </c>
      <c r="F2103" t="s">
        <v>3295</v>
      </c>
      <c r="G2103" t="s">
        <v>2144</v>
      </c>
      <c r="H2103" t="s">
        <v>2145</v>
      </c>
      <c r="I2103" s="130">
        <v>45555</v>
      </c>
      <c r="J2103" t="s">
        <v>16</v>
      </c>
      <c r="K2103">
        <v>380</v>
      </c>
      <c r="M21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03" t="str">
        <f>DO_DB[[#This Row],[Material Pick-update]]&amp;"_"&amp;DO_DB[[#This Row],[Material Name]]</f>
        <v>45555_HDPE40/34mm</v>
      </c>
      <c r="O2103" t="str">
        <f>DO_DB[[#This Row],[SiteID]]</f>
        <v>MF51-05</v>
      </c>
      <c r="P2103" t="str">
        <f>DO_DB[[#This Row],[SiteID]]&amp;"_"&amp;DO_DB[[#This Row],[Material Name]]</f>
        <v>MF51-05_HDPE40/34mm</v>
      </c>
      <c r="Q2103" t="str">
        <f>DO_DB[[#This Row],[DO Number]]</f>
        <v>DOEID240918BZ</v>
      </c>
      <c r="R2103" t="str">
        <f>DO_DB[[#This Row],[DN Number]]</f>
        <v>DNWID0342024091808</v>
      </c>
    </row>
    <row r="2104" spans="1:18">
      <c r="A2104" t="s">
        <v>164</v>
      </c>
      <c r="B2104" t="s">
        <v>165</v>
      </c>
      <c r="C2104" s="172" t="s">
        <v>4482</v>
      </c>
      <c r="D2104" t="s">
        <v>71</v>
      </c>
      <c r="E2104" t="s">
        <v>24</v>
      </c>
      <c r="F2104" t="s">
        <v>3295</v>
      </c>
      <c r="G2104" t="s">
        <v>170</v>
      </c>
      <c r="H2104" t="s">
        <v>171</v>
      </c>
      <c r="I2104" s="130">
        <v>45185</v>
      </c>
      <c r="J2104" t="s">
        <v>4856</v>
      </c>
      <c r="K2104">
        <v>1</v>
      </c>
      <c r="M21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04" t="str">
        <f>DO_DB[[#This Row],[Material Pick-update]]&amp;"_"&amp;DO_DB[[#This Row],[Material Name]]</f>
        <v>45185_JC 144Core</v>
      </c>
      <c r="O2104" t="str">
        <f>DO_DB[[#This Row],[SiteID]]</f>
        <v>CLR51-99-014</v>
      </c>
      <c r="P2104" t="str">
        <f>DO_DB[[#This Row],[SiteID]]&amp;"_"&amp;DO_DB[[#This Row],[Material Name]]</f>
        <v>CLR51-99-014_JC 144Core</v>
      </c>
      <c r="Q2104" t="str">
        <f>DO_DB[[#This Row],[DO Number]]</f>
        <v>DOEID23091555</v>
      </c>
      <c r="R2104" t="str">
        <f>DO_DB[[#This Row],[DN Number]]</f>
        <v>DNWID0362023091501</v>
      </c>
    </row>
    <row r="2105" spans="1:18">
      <c r="A2105" t="s">
        <v>172</v>
      </c>
      <c r="B2105" t="s">
        <v>173</v>
      </c>
      <c r="C2105" s="172" t="s">
        <v>4482</v>
      </c>
      <c r="D2105" t="s">
        <v>71</v>
      </c>
      <c r="E2105" t="s">
        <v>24</v>
      </c>
      <c r="F2105" t="s">
        <v>3295</v>
      </c>
      <c r="G2105" t="s">
        <v>174</v>
      </c>
      <c r="H2105" t="s">
        <v>175</v>
      </c>
      <c r="I2105" s="130">
        <v>45185</v>
      </c>
      <c r="J2105" t="s">
        <v>4856</v>
      </c>
      <c r="K2105">
        <v>1</v>
      </c>
      <c r="M21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05" t="str">
        <f>DO_DB[[#This Row],[Material Pick-update]]&amp;"_"&amp;DO_DB[[#This Row],[Material Name]]</f>
        <v>45185_JC 144Core</v>
      </c>
      <c r="O2105" t="str">
        <f>DO_DB[[#This Row],[SiteID]]</f>
        <v>CLR51-99-013</v>
      </c>
      <c r="P2105" t="str">
        <f>DO_DB[[#This Row],[SiteID]]&amp;"_"&amp;DO_DB[[#This Row],[Material Name]]</f>
        <v>CLR51-99-013_JC 144Core</v>
      </c>
      <c r="Q2105" t="str">
        <f>DO_DB[[#This Row],[DO Number]]</f>
        <v>DOEID23091557</v>
      </c>
      <c r="R2105" t="str">
        <f>DO_DB[[#This Row],[DN Number]]</f>
        <v>DNWID0362023091502</v>
      </c>
    </row>
    <row r="2106" spans="1:18">
      <c r="A2106" t="s">
        <v>222</v>
      </c>
      <c r="B2106" t="s">
        <v>223</v>
      </c>
      <c r="C2106" s="172" t="s">
        <v>4482</v>
      </c>
      <c r="D2106" t="s">
        <v>71</v>
      </c>
      <c r="E2106" t="s">
        <v>24</v>
      </c>
      <c r="F2106" t="s">
        <v>3295</v>
      </c>
      <c r="G2106" t="s">
        <v>312</v>
      </c>
      <c r="H2106" t="s">
        <v>313</v>
      </c>
      <c r="I2106" s="130">
        <v>45211</v>
      </c>
      <c r="J2106" t="s">
        <v>4856</v>
      </c>
      <c r="K2106">
        <v>2</v>
      </c>
      <c r="M21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06" t="str">
        <f>DO_DB[[#This Row],[Material Pick-update]]&amp;"_"&amp;DO_DB[[#This Row],[Material Name]]</f>
        <v>45211_JC 144Core</v>
      </c>
      <c r="O2106" t="str">
        <f>DO_DB[[#This Row],[SiteID]]</f>
        <v>CLR51-02-001</v>
      </c>
      <c r="P2106" t="str">
        <f>DO_DB[[#This Row],[SiteID]]&amp;"_"&amp;DO_DB[[#This Row],[Material Name]]</f>
        <v>CLR51-02-001_JC 144Core</v>
      </c>
      <c r="Q2106" t="str">
        <f>DO_DB[[#This Row],[DO Number]]</f>
        <v>DOEID23101242</v>
      </c>
      <c r="R2106" t="str">
        <f>DO_DB[[#This Row],[DN Number]]</f>
        <v>DNWID0362023101201</v>
      </c>
    </row>
    <row r="2107" spans="1:18">
      <c r="A2107" t="s">
        <v>84</v>
      </c>
      <c r="B2107" t="s">
        <v>85</v>
      </c>
      <c r="C2107" s="172" t="s">
        <v>4482</v>
      </c>
      <c r="D2107" t="s">
        <v>71</v>
      </c>
      <c r="E2107" t="s">
        <v>24</v>
      </c>
      <c r="F2107" t="s">
        <v>3295</v>
      </c>
      <c r="G2107" t="s">
        <v>322</v>
      </c>
      <c r="H2107" t="s">
        <v>323</v>
      </c>
      <c r="I2107" s="130">
        <v>45212</v>
      </c>
      <c r="J2107" t="s">
        <v>4856</v>
      </c>
      <c r="K2107">
        <v>28</v>
      </c>
      <c r="M21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07" t="str">
        <f>DO_DB[[#This Row],[Material Pick-update]]&amp;"_"&amp;DO_DB[[#This Row],[Material Name]]</f>
        <v>45212_JC 144Core</v>
      </c>
      <c r="O2107" t="str">
        <f>DO_DB[[#This Row],[SiteID]]</f>
        <v>CLR51-99-004</v>
      </c>
      <c r="P2107" t="str">
        <f>DO_DB[[#This Row],[SiteID]]&amp;"_"&amp;DO_DB[[#This Row],[Material Name]]</f>
        <v>CLR51-99-004_JC 144Core</v>
      </c>
      <c r="Q2107" t="str">
        <f>DO_DB[[#This Row],[DO Number]]</f>
        <v>DOEID23101364</v>
      </c>
      <c r="R2107" t="str">
        <f>DO_DB[[#This Row],[DN Number]]</f>
        <v>DNWID0362023101313</v>
      </c>
    </row>
    <row r="2108" spans="1:18">
      <c r="A2108" t="s">
        <v>328</v>
      </c>
      <c r="B2108" t="s">
        <v>329</v>
      </c>
      <c r="C2108" s="172" t="s">
        <v>4482</v>
      </c>
      <c r="D2108" t="s">
        <v>71</v>
      </c>
      <c r="E2108" t="s">
        <v>24</v>
      </c>
      <c r="F2108" t="s">
        <v>3295</v>
      </c>
      <c r="G2108" t="s">
        <v>348</v>
      </c>
      <c r="H2108" t="s">
        <v>349</v>
      </c>
      <c r="I2108" s="130">
        <v>45213</v>
      </c>
      <c r="J2108" t="s">
        <v>4856</v>
      </c>
      <c r="K2108">
        <v>1</v>
      </c>
      <c r="M21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08" t="str">
        <f>DO_DB[[#This Row],[Material Pick-update]]&amp;"_"&amp;DO_DB[[#This Row],[Material Name]]</f>
        <v>45213_JC 144Core</v>
      </c>
      <c r="O2108" t="str">
        <f>DO_DB[[#This Row],[SiteID]]</f>
        <v>CLR51-99-017</v>
      </c>
      <c r="P2108" t="str">
        <f>DO_DB[[#This Row],[SiteID]]&amp;"_"&amp;DO_DB[[#This Row],[Material Name]]</f>
        <v>CLR51-99-017_JC 144Core</v>
      </c>
      <c r="Q2108" t="str">
        <f>DO_DB[[#This Row],[DO Number]]</f>
        <v>DOEID23101402</v>
      </c>
      <c r="R2108" t="str">
        <f>DO_DB[[#This Row],[DN Number]]</f>
        <v>DNWID0362023101403</v>
      </c>
    </row>
    <row r="2109" spans="1:18">
      <c r="A2109" t="s">
        <v>834</v>
      </c>
      <c r="B2109" t="s">
        <v>835</v>
      </c>
      <c r="C2109" s="172" t="s">
        <v>4482</v>
      </c>
      <c r="D2109" t="s">
        <v>71</v>
      </c>
      <c r="E2109" t="s">
        <v>24</v>
      </c>
      <c r="F2109" t="s">
        <v>3295</v>
      </c>
      <c r="G2109" t="s">
        <v>836</v>
      </c>
      <c r="H2109" t="s">
        <v>837</v>
      </c>
      <c r="I2109" s="130">
        <v>45307</v>
      </c>
      <c r="J2109" t="s">
        <v>4856</v>
      </c>
      <c r="K2109">
        <v>2</v>
      </c>
      <c r="M21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09" t="str">
        <f>DO_DB[[#This Row],[Material Pick-update]]&amp;"_"&amp;DO_DB[[#This Row],[Material Name]]</f>
        <v>45307_JC 144Core</v>
      </c>
      <c r="O2109" t="str">
        <f>DO_DB[[#This Row],[SiteID]]</f>
        <v>MF51-01</v>
      </c>
      <c r="P2109" t="str">
        <f>DO_DB[[#This Row],[SiteID]]&amp;"_"&amp;DO_DB[[#This Row],[Material Name]]</f>
        <v>MF51-01_JC 144Core</v>
      </c>
      <c r="Q2109" t="str">
        <f>DO_DB[[#This Row],[DO Number]]</f>
        <v>DOEID24011534</v>
      </c>
      <c r="R2109" t="str">
        <f>DO_DB[[#This Row],[DN Number]]</f>
        <v>DNWID0362024011514</v>
      </c>
    </row>
    <row r="2110" spans="1:18">
      <c r="A2110" t="s">
        <v>828</v>
      </c>
      <c r="B2110" t="s">
        <v>829</v>
      </c>
      <c r="C2110" s="172" t="s">
        <v>4482</v>
      </c>
      <c r="D2110" t="s">
        <v>71</v>
      </c>
      <c r="E2110" t="s">
        <v>24</v>
      </c>
      <c r="F2110" t="s">
        <v>3295</v>
      </c>
      <c r="G2110" t="s">
        <v>830</v>
      </c>
      <c r="H2110" t="s">
        <v>831</v>
      </c>
      <c r="I2110" s="130">
        <v>45307</v>
      </c>
      <c r="J2110" t="s">
        <v>4856</v>
      </c>
      <c r="K2110">
        <v>1</v>
      </c>
      <c r="M21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10" t="str">
        <f>DO_DB[[#This Row],[Material Pick-update]]&amp;"_"&amp;DO_DB[[#This Row],[Material Name]]</f>
        <v>45307_JC 144Core</v>
      </c>
      <c r="O2110" t="str">
        <f>DO_DB[[#This Row],[SiteID]]</f>
        <v>CLR29-99-153</v>
      </c>
      <c r="P2110" t="str">
        <f>DO_DB[[#This Row],[SiteID]]&amp;"_"&amp;DO_DB[[#This Row],[Material Name]]</f>
        <v>CLR29-99-153_JC 144Core</v>
      </c>
      <c r="Q2110" t="str">
        <f>DO_DB[[#This Row],[DO Number]]</f>
        <v>DOEID24011539</v>
      </c>
      <c r="R2110" t="str">
        <f>DO_DB[[#This Row],[DN Number]]</f>
        <v>DNWID0362024011512</v>
      </c>
    </row>
    <row r="2111" spans="1:18">
      <c r="A2111" t="s">
        <v>838</v>
      </c>
      <c r="B2111" t="s">
        <v>839</v>
      </c>
      <c r="C2111" s="172" t="s">
        <v>4482</v>
      </c>
      <c r="D2111" t="s">
        <v>71</v>
      </c>
      <c r="E2111" t="s">
        <v>24</v>
      </c>
      <c r="F2111" t="s">
        <v>3295</v>
      </c>
      <c r="G2111" t="s">
        <v>840</v>
      </c>
      <c r="H2111" t="s">
        <v>841</v>
      </c>
      <c r="I2111" s="130">
        <v>45307</v>
      </c>
      <c r="J2111" t="s">
        <v>4856</v>
      </c>
      <c r="K2111">
        <v>1</v>
      </c>
      <c r="M21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11" t="str">
        <f>DO_DB[[#This Row],[Material Pick-update]]&amp;"_"&amp;DO_DB[[#This Row],[Material Name]]</f>
        <v>45307_JC 144Core</v>
      </c>
      <c r="O2111" t="str">
        <f>DO_DB[[#This Row],[SiteID]]</f>
        <v>CLR51-99-066</v>
      </c>
      <c r="P2111" t="str">
        <f>DO_DB[[#This Row],[SiteID]]&amp;"_"&amp;DO_DB[[#This Row],[Material Name]]</f>
        <v>CLR51-99-066_JC 144Core</v>
      </c>
      <c r="Q2111" t="str">
        <f>DO_DB[[#This Row],[DO Number]]</f>
        <v>DOEID24011541</v>
      </c>
      <c r="R2111" t="str">
        <f>DO_DB[[#This Row],[DN Number]]</f>
        <v>DNWID0362024011513</v>
      </c>
    </row>
    <row r="2112" spans="1:18">
      <c r="A2112" t="s">
        <v>65</v>
      </c>
      <c r="B2112" t="s">
        <v>66</v>
      </c>
      <c r="C2112" s="172" t="s">
        <v>4482</v>
      </c>
      <c r="D2112" t="s">
        <v>71</v>
      </c>
      <c r="E2112" t="s">
        <v>68</v>
      </c>
      <c r="F2112" t="s">
        <v>3295</v>
      </c>
      <c r="G2112" t="s">
        <v>1327</v>
      </c>
      <c r="H2112" t="s">
        <v>1328</v>
      </c>
      <c r="I2112" s="130">
        <v>45411</v>
      </c>
      <c r="J2112" t="s">
        <v>4856</v>
      </c>
      <c r="K2112">
        <v>1</v>
      </c>
      <c r="M21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12" t="str">
        <f>DO_DB[[#This Row],[Material Pick-update]]&amp;"_"&amp;DO_DB[[#This Row],[Material Name]]</f>
        <v>45411_JC 144Core</v>
      </c>
      <c r="O2112" t="str">
        <f>DO_DB[[#This Row],[SiteID]]</f>
        <v>CLR38-01-039</v>
      </c>
      <c r="P2112" t="str">
        <f>DO_DB[[#This Row],[SiteID]]&amp;"_"&amp;DO_DB[[#This Row],[Material Name]]</f>
        <v>CLR38-01-039_JC 144Core</v>
      </c>
      <c r="Q2112" t="str">
        <f>DO_DB[[#This Row],[DO Number]]</f>
        <v>DOEID240426CT</v>
      </c>
      <c r="R2112" t="str">
        <f>DO_DB[[#This Row],[DN Number]]</f>
        <v>DNWID0362024042608</v>
      </c>
    </row>
    <row r="2113" spans="1:18">
      <c r="A2113" t="s">
        <v>1151</v>
      </c>
      <c r="B2113" t="s">
        <v>1152</v>
      </c>
      <c r="C2113" s="172" t="s">
        <v>4482</v>
      </c>
      <c r="D2113" t="s">
        <v>71</v>
      </c>
      <c r="E2113" t="s">
        <v>24</v>
      </c>
      <c r="F2113" t="s">
        <v>3295</v>
      </c>
      <c r="G2113" t="s">
        <v>1331</v>
      </c>
      <c r="H2113" t="s">
        <v>1332</v>
      </c>
      <c r="I2113" s="130">
        <v>45411</v>
      </c>
      <c r="J2113" t="s">
        <v>4856</v>
      </c>
      <c r="K2113">
        <v>1</v>
      </c>
      <c r="M21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13" t="str">
        <f>DO_DB[[#This Row],[Material Pick-update]]&amp;"_"&amp;DO_DB[[#This Row],[Material Name]]</f>
        <v>45411_JC 144Core</v>
      </c>
      <c r="O2113" t="str">
        <f>DO_DB[[#This Row],[SiteID]]</f>
        <v>CLR51-99-040</v>
      </c>
      <c r="P2113" t="str">
        <f>DO_DB[[#This Row],[SiteID]]&amp;"_"&amp;DO_DB[[#This Row],[Material Name]]</f>
        <v>CLR51-99-040_JC 144Core</v>
      </c>
      <c r="Q2113" t="str">
        <f>DO_DB[[#This Row],[DO Number]]</f>
        <v>DOEID240426CQ</v>
      </c>
      <c r="R2113" t="str">
        <f>DO_DB[[#This Row],[DN Number]]</f>
        <v>DNWID0362024042606</v>
      </c>
    </row>
    <row r="2114" spans="1:18">
      <c r="A2114" t="s">
        <v>1161</v>
      </c>
      <c r="B2114" t="s">
        <v>1162</v>
      </c>
      <c r="C2114" s="172" t="s">
        <v>4482</v>
      </c>
      <c r="D2114" t="s">
        <v>71</v>
      </c>
      <c r="E2114" t="s">
        <v>24</v>
      </c>
      <c r="F2114" t="s">
        <v>3295</v>
      </c>
      <c r="G2114" t="s">
        <v>1329</v>
      </c>
      <c r="H2114" t="s">
        <v>1330</v>
      </c>
      <c r="I2114" s="130">
        <v>45411</v>
      </c>
      <c r="J2114" t="s">
        <v>4856</v>
      </c>
      <c r="K2114">
        <v>1</v>
      </c>
      <c r="M21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14" t="str">
        <f>DO_DB[[#This Row],[Material Pick-update]]&amp;"_"&amp;DO_DB[[#This Row],[Material Name]]</f>
        <v>45411_JC 144Core</v>
      </c>
      <c r="O2114" t="str">
        <f>DO_DB[[#This Row],[SiteID]]</f>
        <v>CLR51-99-039</v>
      </c>
      <c r="P2114" t="str">
        <f>DO_DB[[#This Row],[SiteID]]&amp;"_"&amp;DO_DB[[#This Row],[Material Name]]</f>
        <v>CLR51-99-039_JC 144Core</v>
      </c>
      <c r="Q2114" t="str">
        <f>DO_DB[[#This Row],[DO Number]]</f>
        <v>DOEID240426CR</v>
      </c>
      <c r="R2114" t="str">
        <f>DO_DB[[#This Row],[DN Number]]</f>
        <v>DNWID0362024042607</v>
      </c>
    </row>
    <row r="2115" spans="1:18">
      <c r="A2115" t="s">
        <v>1493</v>
      </c>
      <c r="B2115" t="s">
        <v>1494</v>
      </c>
      <c r="C2115" s="172" t="s">
        <v>4482</v>
      </c>
      <c r="D2115" t="s">
        <v>71</v>
      </c>
      <c r="E2115" t="s">
        <v>24</v>
      </c>
      <c r="F2115" t="s">
        <v>3295</v>
      </c>
      <c r="G2115" t="s">
        <v>1503</v>
      </c>
      <c r="H2115" t="s">
        <v>1504</v>
      </c>
      <c r="I2115" s="130">
        <v>45448</v>
      </c>
      <c r="J2115" t="s">
        <v>4856</v>
      </c>
      <c r="K2115">
        <v>1</v>
      </c>
      <c r="M21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15" t="str">
        <f>DO_DB[[#This Row],[Material Pick-update]]&amp;"_"&amp;DO_DB[[#This Row],[Material Name]]</f>
        <v>45448_JC 144Core</v>
      </c>
      <c r="O2115" t="str">
        <f>DO_DB[[#This Row],[SiteID]]</f>
        <v>CLR51-99-097</v>
      </c>
      <c r="P2115" t="str">
        <f>DO_DB[[#This Row],[SiteID]]&amp;"_"&amp;DO_DB[[#This Row],[Material Name]]</f>
        <v>CLR51-99-097_JC 144Core</v>
      </c>
      <c r="Q2115" t="str">
        <f>DO_DB[[#This Row],[DO Number]]</f>
        <v>DOEID24060442</v>
      </c>
      <c r="R2115" t="str">
        <f>DO_DB[[#This Row],[DN Number]]</f>
        <v>DNWID0762024060405</v>
      </c>
    </row>
    <row r="2116" spans="1:18">
      <c r="A2116" t="s">
        <v>1469</v>
      </c>
      <c r="B2116" t="s">
        <v>1470</v>
      </c>
      <c r="C2116" s="172" t="s">
        <v>4482</v>
      </c>
      <c r="D2116" t="s">
        <v>71</v>
      </c>
      <c r="E2116" t="s">
        <v>24</v>
      </c>
      <c r="F2116" t="s">
        <v>3295</v>
      </c>
      <c r="G2116" t="s">
        <v>1499</v>
      </c>
      <c r="H2116" t="s">
        <v>1500</v>
      </c>
      <c r="I2116" s="130">
        <v>45448</v>
      </c>
      <c r="J2116" t="s">
        <v>4856</v>
      </c>
      <c r="K2116">
        <v>1</v>
      </c>
      <c r="M21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16" t="str">
        <f>DO_DB[[#This Row],[Material Pick-update]]&amp;"_"&amp;DO_DB[[#This Row],[Material Name]]</f>
        <v>45448_JC 144Core</v>
      </c>
      <c r="O2116" t="str">
        <f>DO_DB[[#This Row],[SiteID]]</f>
        <v>CLR51-99-099</v>
      </c>
      <c r="P2116" t="str">
        <f>DO_DB[[#This Row],[SiteID]]&amp;"_"&amp;DO_DB[[#This Row],[Material Name]]</f>
        <v>CLR51-99-099_JC 144Core</v>
      </c>
      <c r="Q2116" t="str">
        <f>DO_DB[[#This Row],[DO Number]]</f>
        <v>DOEID24060448</v>
      </c>
      <c r="R2116" t="str">
        <f>DO_DB[[#This Row],[DN Number]]</f>
        <v>DNWID0762024060406</v>
      </c>
    </row>
    <row r="2117" spans="1:18">
      <c r="A2117" t="s">
        <v>1465</v>
      </c>
      <c r="B2117" t="s">
        <v>1466</v>
      </c>
      <c r="C2117" s="172" t="s">
        <v>4482</v>
      </c>
      <c r="D2117" t="s">
        <v>71</v>
      </c>
      <c r="E2117" t="s">
        <v>24</v>
      </c>
      <c r="F2117" t="s">
        <v>3295</v>
      </c>
      <c r="G2117" t="s">
        <v>1497</v>
      </c>
      <c r="H2117" t="s">
        <v>1498</v>
      </c>
      <c r="I2117" s="130">
        <v>45448</v>
      </c>
      <c r="J2117" t="s">
        <v>4856</v>
      </c>
      <c r="K2117">
        <v>1</v>
      </c>
      <c r="M21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17" t="str">
        <f>DO_DB[[#This Row],[Material Pick-update]]&amp;"_"&amp;DO_DB[[#This Row],[Material Name]]</f>
        <v>45448_JC 144Core</v>
      </c>
      <c r="O2117" t="str">
        <f>DO_DB[[#This Row],[SiteID]]</f>
        <v>CLR51-02-014</v>
      </c>
      <c r="P2117" t="str">
        <f>DO_DB[[#This Row],[SiteID]]&amp;"_"&amp;DO_DB[[#This Row],[Material Name]]</f>
        <v>CLR51-02-014_JC 144Core</v>
      </c>
      <c r="Q2117" t="str">
        <f>DO_DB[[#This Row],[DO Number]]</f>
        <v>DOEID24060450</v>
      </c>
      <c r="R2117" t="str">
        <f>DO_DB[[#This Row],[DN Number]]</f>
        <v>DNWID0762024060403</v>
      </c>
    </row>
    <row r="2118" spans="1:18">
      <c r="A2118" t="s">
        <v>1799</v>
      </c>
      <c r="B2118" t="s">
        <v>1800</v>
      </c>
      <c r="C2118" s="172" t="s">
        <v>4482</v>
      </c>
      <c r="D2118" t="s">
        <v>71</v>
      </c>
      <c r="E2118" t="s">
        <v>24</v>
      </c>
      <c r="F2118" t="s">
        <v>3295</v>
      </c>
      <c r="G2118" t="s">
        <v>1801</v>
      </c>
      <c r="H2118" t="s">
        <v>1802</v>
      </c>
      <c r="I2118" s="130">
        <v>45496</v>
      </c>
      <c r="J2118" t="s">
        <v>4856</v>
      </c>
      <c r="K2118">
        <v>2</v>
      </c>
      <c r="M21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18" t="str">
        <f>DO_DB[[#This Row],[Material Pick-update]]&amp;"_"&amp;DO_DB[[#This Row],[Material Name]]</f>
        <v>45496_JC 144Core</v>
      </c>
      <c r="O2118" t="str">
        <f>DO_DB[[#This Row],[SiteID]]</f>
        <v>MF51-03</v>
      </c>
      <c r="P2118" t="str">
        <f>DO_DB[[#This Row],[SiteID]]&amp;"_"&amp;DO_DB[[#This Row],[Material Name]]</f>
        <v>MF51-03_JC 144Core</v>
      </c>
      <c r="Q2118" t="str">
        <f>DO_DB[[#This Row],[DO Number]]</f>
        <v>DOEID240722CR</v>
      </c>
      <c r="R2118" t="str">
        <f>DO_DB[[#This Row],[DN Number]]</f>
        <v>DNWID0362024072310</v>
      </c>
    </row>
    <row r="2119" spans="1:18">
      <c r="A2119" t="s">
        <v>1807</v>
      </c>
      <c r="B2119" t="s">
        <v>1808</v>
      </c>
      <c r="C2119" s="172" t="s">
        <v>4482</v>
      </c>
      <c r="D2119" t="s">
        <v>71</v>
      </c>
      <c r="E2119" t="s">
        <v>24</v>
      </c>
      <c r="F2119" t="s">
        <v>3295</v>
      </c>
      <c r="G2119" t="s">
        <v>1809</v>
      </c>
      <c r="H2119" t="s">
        <v>1810</v>
      </c>
      <c r="I2119" s="130">
        <v>45496</v>
      </c>
      <c r="J2119" t="s">
        <v>4856</v>
      </c>
      <c r="K2119">
        <v>3</v>
      </c>
      <c r="M21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19" t="str">
        <f>DO_DB[[#This Row],[Material Pick-update]]&amp;"_"&amp;DO_DB[[#This Row],[Material Name]]</f>
        <v>45496_JC 144Core</v>
      </c>
      <c r="O2119" t="str">
        <f>DO_DB[[#This Row],[SiteID]]</f>
        <v>MF51-04</v>
      </c>
      <c r="P2119" t="str">
        <f>DO_DB[[#This Row],[SiteID]]&amp;"_"&amp;DO_DB[[#This Row],[Material Name]]</f>
        <v>MF51-04_JC 144Core</v>
      </c>
      <c r="Q2119" t="str">
        <f>DO_DB[[#This Row],[DO Number]]</f>
        <v>DOEID240722CT</v>
      </c>
      <c r="R2119" t="str">
        <f>DO_DB[[#This Row],[DN Number]]</f>
        <v>DNWID0362024072313</v>
      </c>
    </row>
    <row r="2120" spans="1:18">
      <c r="A2120" t="s">
        <v>1803</v>
      </c>
      <c r="B2120" t="s">
        <v>1804</v>
      </c>
      <c r="C2120" s="172" t="s">
        <v>4482</v>
      </c>
      <c r="D2120" t="s">
        <v>71</v>
      </c>
      <c r="E2120" t="s">
        <v>24</v>
      </c>
      <c r="F2120" t="s">
        <v>3295</v>
      </c>
      <c r="G2120" t="s">
        <v>1811</v>
      </c>
      <c r="H2120" t="s">
        <v>1812</v>
      </c>
      <c r="I2120" s="130">
        <v>45496</v>
      </c>
      <c r="J2120" t="s">
        <v>4856</v>
      </c>
      <c r="K2120">
        <v>1</v>
      </c>
      <c r="M21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20" t="str">
        <f>DO_DB[[#This Row],[Material Pick-update]]&amp;"_"&amp;DO_DB[[#This Row],[Material Name]]</f>
        <v>45496_JC 144Core</v>
      </c>
      <c r="O2120" t="str">
        <f>DO_DB[[#This Row],[SiteID]]</f>
        <v>CLR51-03-005</v>
      </c>
      <c r="P2120" t="str">
        <f>DO_DB[[#This Row],[SiteID]]&amp;"_"&amp;DO_DB[[#This Row],[Material Name]]</f>
        <v>CLR51-03-005_JC 144Core</v>
      </c>
      <c r="Q2120" t="str">
        <f>DO_DB[[#This Row],[DO Number]]</f>
        <v>DOEID240722CZ</v>
      </c>
      <c r="R2120" t="str">
        <f>DO_DB[[#This Row],[DN Number]]</f>
        <v>DNWID0362024072301</v>
      </c>
    </row>
    <row r="2121" spans="1:18">
      <c r="A2121" t="s">
        <v>1917</v>
      </c>
      <c r="B2121" t="s">
        <v>1918</v>
      </c>
      <c r="C2121" s="172" t="s">
        <v>4482</v>
      </c>
      <c r="D2121" t="s">
        <v>71</v>
      </c>
      <c r="E2121" t="s">
        <v>24</v>
      </c>
      <c r="F2121" t="s">
        <v>3295</v>
      </c>
      <c r="G2121" t="s">
        <v>1921</v>
      </c>
      <c r="H2121" t="s">
        <v>1922</v>
      </c>
      <c r="I2121" s="130">
        <v>45526</v>
      </c>
      <c r="J2121" t="s">
        <v>4856</v>
      </c>
      <c r="K2121">
        <v>1</v>
      </c>
      <c r="M21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21" t="str">
        <f>DO_DB[[#This Row],[Material Pick-update]]&amp;"_"&amp;DO_DB[[#This Row],[Material Name]]</f>
        <v>45526_JC 144Core</v>
      </c>
      <c r="O2121" t="str">
        <f>DO_DB[[#This Row],[SiteID]]</f>
        <v>CLR51-09-008</v>
      </c>
      <c r="P2121" t="str">
        <f>DO_DB[[#This Row],[SiteID]]&amp;"_"&amp;DO_DB[[#This Row],[Material Name]]</f>
        <v>CLR51-09-008_JC 144Core</v>
      </c>
      <c r="Q2121" t="str">
        <f>DO_DB[[#This Row],[DO Number]]</f>
        <v>DOEID24081990</v>
      </c>
      <c r="R2121" t="str">
        <f>DO_DB[[#This Row],[DN Number]]</f>
        <v>DNWID0362024081907</v>
      </c>
    </row>
    <row r="2122" spans="1:18">
      <c r="A2122" t="s">
        <v>2019</v>
      </c>
      <c r="B2122" t="s">
        <v>2020</v>
      </c>
      <c r="C2122" s="172" t="s">
        <v>4482</v>
      </c>
      <c r="D2122" t="s">
        <v>71</v>
      </c>
      <c r="E2122" t="s">
        <v>25</v>
      </c>
      <c r="F2122" t="s">
        <v>3295</v>
      </c>
      <c r="G2122" t="s">
        <v>2021</v>
      </c>
      <c r="H2122" t="s">
        <v>2022</v>
      </c>
      <c r="I2122" s="130">
        <v>45531</v>
      </c>
      <c r="J2122" t="s">
        <v>4856</v>
      </c>
      <c r="K2122">
        <v>1</v>
      </c>
      <c r="M21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22" t="str">
        <f>DO_DB[[#This Row],[Material Pick-update]]&amp;"_"&amp;DO_DB[[#This Row],[Material Name]]</f>
        <v>45531_JC 144Core</v>
      </c>
      <c r="O2122" t="str">
        <f>DO_DB[[#This Row],[SiteID]]</f>
        <v>CLR64-01-010</v>
      </c>
      <c r="P2122" t="str">
        <f>DO_DB[[#This Row],[SiteID]]&amp;"_"&amp;DO_DB[[#This Row],[Material Name]]</f>
        <v>CLR64-01-010_JC 144Core</v>
      </c>
      <c r="Q2122" t="str">
        <f>DO_DB[[#This Row],[DO Number]]</f>
        <v>DOEID240826HT</v>
      </c>
      <c r="R2122" t="str">
        <f>DO_DB[[#This Row],[DN Number]]</f>
        <v>DNWID0362024082712</v>
      </c>
    </row>
    <row r="2123" spans="1:18">
      <c r="A2123" t="s">
        <v>1967</v>
      </c>
      <c r="B2123" t="s">
        <v>1968</v>
      </c>
      <c r="C2123" s="172" t="s">
        <v>4482</v>
      </c>
      <c r="D2123" t="s">
        <v>71</v>
      </c>
      <c r="E2123" t="s">
        <v>24</v>
      </c>
      <c r="F2123" t="s">
        <v>3295</v>
      </c>
      <c r="G2123" t="s">
        <v>1971</v>
      </c>
      <c r="H2123" t="s">
        <v>1972</v>
      </c>
      <c r="I2123" s="130">
        <v>45531</v>
      </c>
      <c r="J2123" t="s">
        <v>4856</v>
      </c>
      <c r="K2123">
        <v>2</v>
      </c>
      <c r="M21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23" t="str">
        <f>DO_DB[[#This Row],[Material Pick-update]]&amp;"_"&amp;DO_DB[[#This Row],[Material Name]]</f>
        <v>45531_JC 144Core</v>
      </c>
      <c r="O2123" t="str">
        <f>DO_DB[[#This Row],[SiteID]]</f>
        <v>MF51-02</v>
      </c>
      <c r="P2123" t="str">
        <f>DO_DB[[#This Row],[SiteID]]&amp;"_"&amp;DO_DB[[#This Row],[Material Name]]</f>
        <v>MF51-02_JC 144Core</v>
      </c>
      <c r="Q2123" t="str">
        <f>DO_DB[[#This Row],[DO Number]]</f>
        <v>DOEID240826HZ</v>
      </c>
      <c r="R2123" t="str">
        <f>DO_DB[[#This Row],[DN Number]]</f>
        <v>DNWID0362024082619</v>
      </c>
    </row>
    <row r="2124" spans="1:18">
      <c r="A2124" t="s">
        <v>2142</v>
      </c>
      <c r="B2124" t="s">
        <v>2143</v>
      </c>
      <c r="C2124" s="172" t="s">
        <v>4482</v>
      </c>
      <c r="D2124" t="s">
        <v>2121</v>
      </c>
      <c r="E2124" t="s">
        <v>24</v>
      </c>
      <c r="F2124" t="s">
        <v>3295</v>
      </c>
      <c r="G2124" t="s">
        <v>2146</v>
      </c>
      <c r="H2124" t="s">
        <v>2147</v>
      </c>
      <c r="I2124" s="130">
        <v>45555</v>
      </c>
      <c r="J2124" t="s">
        <v>4856</v>
      </c>
      <c r="K2124">
        <v>4</v>
      </c>
      <c r="M21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24" t="str">
        <f>DO_DB[[#This Row],[Material Pick-update]]&amp;"_"&amp;DO_DB[[#This Row],[Material Name]]</f>
        <v>45555_JC 144Core</v>
      </c>
      <c r="O2124" t="str">
        <f>DO_DB[[#This Row],[SiteID]]</f>
        <v>MF51-05</v>
      </c>
      <c r="P2124" t="str">
        <f>DO_DB[[#This Row],[SiteID]]&amp;"_"&amp;DO_DB[[#This Row],[Material Name]]</f>
        <v>MF51-05_JC 144Core</v>
      </c>
      <c r="Q2124" t="str">
        <f>DO_DB[[#This Row],[DO Number]]</f>
        <v>DOEID240918BY</v>
      </c>
      <c r="R2124" t="str">
        <f>DO_DB[[#This Row],[DN Number]]</f>
        <v>DNWID0362024091801</v>
      </c>
    </row>
    <row r="2125" spans="1:18">
      <c r="A2125" t="s">
        <v>2322</v>
      </c>
      <c r="B2125" t="s">
        <v>2323</v>
      </c>
      <c r="C2125" s="172" t="s">
        <v>4482</v>
      </c>
      <c r="D2125" t="s">
        <v>71</v>
      </c>
      <c r="E2125" t="s">
        <v>24</v>
      </c>
      <c r="F2125" t="s">
        <v>3295</v>
      </c>
      <c r="G2125" t="s">
        <v>2340</v>
      </c>
      <c r="H2125" t="s">
        <v>2341</v>
      </c>
      <c r="I2125" s="130">
        <v>45588</v>
      </c>
      <c r="J2125" t="s">
        <v>4856</v>
      </c>
      <c r="K2125">
        <v>3</v>
      </c>
      <c r="M21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25" t="str">
        <f>DO_DB[[#This Row],[Material Pick-update]]&amp;"_"&amp;DO_DB[[#This Row],[Material Name]]</f>
        <v>45588_JC 144Core</v>
      </c>
      <c r="O2125" t="str">
        <f>DO_DB[[#This Row],[SiteID]]</f>
        <v>MF51-06</v>
      </c>
      <c r="P2125" t="str">
        <f>DO_DB[[#This Row],[SiteID]]&amp;"_"&amp;DO_DB[[#This Row],[Material Name]]</f>
        <v>MF51-06_JC 144Core</v>
      </c>
      <c r="Q2125" t="str">
        <f>DO_DB[[#This Row],[DO Number]]</f>
        <v>DOEID24101808</v>
      </c>
      <c r="R2125" t="str">
        <f>DO_DB[[#This Row],[DN Number]]</f>
        <v>DNWID0362024101901</v>
      </c>
    </row>
    <row r="2126" spans="1:18">
      <c r="A2126" t="s">
        <v>2354</v>
      </c>
      <c r="B2126" t="s">
        <v>2355</v>
      </c>
      <c r="C2126" s="172" t="s">
        <v>4482</v>
      </c>
      <c r="D2126" t="s">
        <v>71</v>
      </c>
      <c r="E2126" t="s">
        <v>24</v>
      </c>
      <c r="F2126" t="s">
        <v>3295</v>
      </c>
      <c r="G2126" t="s">
        <v>2356</v>
      </c>
      <c r="H2126" t="s">
        <v>2357</v>
      </c>
      <c r="I2126" s="130">
        <v>45602</v>
      </c>
      <c r="J2126" t="s">
        <v>4856</v>
      </c>
      <c r="K2126">
        <v>1</v>
      </c>
      <c r="M21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26" t="str">
        <f>DO_DB[[#This Row],[Material Pick-update]]&amp;"_"&amp;DO_DB[[#This Row],[Material Name]]</f>
        <v>45602_JC 144Core</v>
      </c>
      <c r="O2126" t="str">
        <f>DO_DB[[#This Row],[SiteID]]</f>
        <v>MF51-07</v>
      </c>
      <c r="P2126" t="str">
        <f>DO_DB[[#This Row],[SiteID]]&amp;"_"&amp;DO_DB[[#This Row],[Material Name]]</f>
        <v>MF51-07_JC 144Core</v>
      </c>
      <c r="Q2126" t="str">
        <f>DO_DB[[#This Row],[DO Number]]</f>
        <v>DOEID241029AI</v>
      </c>
      <c r="R2126" t="str">
        <f>DO_DB[[#This Row],[DN Number]]</f>
        <v>DNWID0362024102915</v>
      </c>
    </row>
    <row r="2127" spans="1:18">
      <c r="A2127" t="s">
        <v>2520</v>
      </c>
      <c r="B2127" t="s">
        <v>2521</v>
      </c>
      <c r="C2127" s="172" t="s">
        <v>4482</v>
      </c>
      <c r="D2127" t="s">
        <v>71</v>
      </c>
      <c r="E2127" t="s">
        <v>24</v>
      </c>
      <c r="F2127" t="s">
        <v>3295</v>
      </c>
      <c r="G2127" t="s">
        <v>2522</v>
      </c>
      <c r="H2127" t="s">
        <v>2523</v>
      </c>
      <c r="I2127" s="130">
        <v>45622</v>
      </c>
      <c r="J2127" t="s">
        <v>4856</v>
      </c>
      <c r="K2127">
        <v>1</v>
      </c>
      <c r="M21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27" t="str">
        <f>DO_DB[[#This Row],[Material Pick-update]]&amp;"_"&amp;DO_DB[[#This Row],[Material Name]]</f>
        <v>45622_JC 144Core</v>
      </c>
      <c r="O2127" t="str">
        <f>DO_DB[[#This Row],[SiteID]]</f>
        <v>CLR51-99-124</v>
      </c>
      <c r="P2127" t="str">
        <f>DO_DB[[#This Row],[SiteID]]&amp;"_"&amp;DO_DB[[#This Row],[Material Name]]</f>
        <v>CLR51-99-124_JC 144Core</v>
      </c>
      <c r="Q2127" t="str">
        <f>DO_DB[[#This Row],[DO Number]]</f>
        <v>DOEID24112583</v>
      </c>
      <c r="R2127" t="str">
        <f>DO_DB[[#This Row],[DN Number]]</f>
        <v>DNWID0362024112507</v>
      </c>
    </row>
    <row r="2128" spans="1:18">
      <c r="A2128" t="s">
        <v>2539</v>
      </c>
      <c r="B2128" t="s">
        <v>2540</v>
      </c>
      <c r="C2128" s="172" t="s">
        <v>4482</v>
      </c>
      <c r="D2128" t="s">
        <v>71</v>
      </c>
      <c r="E2128" t="s">
        <v>24</v>
      </c>
      <c r="F2128" t="s">
        <v>3295</v>
      </c>
      <c r="G2128" t="s">
        <v>2541</v>
      </c>
      <c r="H2128" t="s">
        <v>2542</v>
      </c>
      <c r="I2128" s="130">
        <v>45642</v>
      </c>
      <c r="J2128" t="s">
        <v>4856</v>
      </c>
      <c r="K2128">
        <v>1</v>
      </c>
      <c r="M21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28" t="str">
        <f>DO_DB[[#This Row],[Material Pick-update]]&amp;"_"&amp;DO_DB[[#This Row],[Material Name]]</f>
        <v>45642_JC 144Core</v>
      </c>
      <c r="O2128" t="str">
        <f>DO_DB[[#This Row],[SiteID]]</f>
        <v>CLR51-09-004</v>
      </c>
      <c r="P2128" t="str">
        <f>DO_DB[[#This Row],[SiteID]]&amp;"_"&amp;DO_DB[[#This Row],[Material Name]]</f>
        <v>CLR51-09-004_JC 144Core</v>
      </c>
      <c r="Q2128" t="str">
        <f>DO_DB[[#This Row],[DO Number]]</f>
        <v>DOEID24121388</v>
      </c>
      <c r="R2128" t="str">
        <f>DO_DB[[#This Row],[DN Number]]</f>
        <v>DNWID0362024121305</v>
      </c>
    </row>
    <row r="2129" spans="1:18">
      <c r="A2129" t="s">
        <v>2855</v>
      </c>
      <c r="B2129" t="s">
        <v>2856</v>
      </c>
      <c r="C2129" s="172" t="s">
        <v>4482</v>
      </c>
      <c r="D2129" t="s">
        <v>71</v>
      </c>
      <c r="E2129" t="s">
        <v>24</v>
      </c>
      <c r="F2129" t="s">
        <v>3295</v>
      </c>
      <c r="G2129" t="s">
        <v>2859</v>
      </c>
      <c r="H2129" t="s">
        <v>2860</v>
      </c>
      <c r="I2129" s="130">
        <v>45825</v>
      </c>
      <c r="J2129" t="s">
        <v>4856</v>
      </c>
      <c r="K2129">
        <v>1</v>
      </c>
      <c r="M21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29" t="str">
        <f>DO_DB[[#This Row],[Material Pick-update]]&amp;"_"&amp;DO_DB[[#This Row],[Material Name]]</f>
        <v>45825_JC 144Core</v>
      </c>
      <c r="O2129" t="str">
        <f>DO_DB[[#This Row],[SiteID]]</f>
        <v>CLR51-99-243</v>
      </c>
      <c r="P2129" t="str">
        <f>DO_DB[[#This Row],[SiteID]]&amp;"_"&amp;DO_DB[[#This Row],[Material Name]]</f>
        <v>CLR51-99-243_JC 144Core</v>
      </c>
      <c r="Q2129" t="str">
        <f>DO_DB[[#This Row],[DO Number]]</f>
        <v>DOEID250613BO</v>
      </c>
      <c r="R2129" t="str">
        <f>DO_DB[[#This Row],[DN Number]]</f>
        <v>DNWID1382025061614</v>
      </c>
    </row>
    <row r="2130" spans="1:18">
      <c r="A2130" t="s">
        <v>2915</v>
      </c>
      <c r="B2130" t="s">
        <v>2916</v>
      </c>
      <c r="C2130" s="172" t="s">
        <v>4482</v>
      </c>
      <c r="D2130" t="s">
        <v>71</v>
      </c>
      <c r="E2130" t="s">
        <v>24</v>
      </c>
      <c r="F2130" t="s">
        <v>3295</v>
      </c>
      <c r="G2130" t="s">
        <v>2917</v>
      </c>
      <c r="H2130" t="s">
        <v>2918</v>
      </c>
      <c r="I2130" s="130">
        <v>45850</v>
      </c>
      <c r="J2130" t="s">
        <v>4856</v>
      </c>
      <c r="K2130">
        <v>1</v>
      </c>
      <c r="M21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30" t="str">
        <f>DO_DB[[#This Row],[Material Pick-update]]&amp;"_"&amp;DO_DB[[#This Row],[Material Name]]</f>
        <v>45850_JC 144Core</v>
      </c>
      <c r="O2130" t="str">
        <f>DO_DB[[#This Row],[SiteID]]</f>
        <v>CLR51-99-108</v>
      </c>
      <c r="P2130" t="str">
        <f>DO_DB[[#This Row],[SiteID]]&amp;"_"&amp;DO_DB[[#This Row],[Material Name]]</f>
        <v>CLR51-99-108_JC 144Core</v>
      </c>
      <c r="Q2130" t="str">
        <f>DO_DB[[#This Row],[DO Number]]</f>
        <v>DOEID250711EI</v>
      </c>
      <c r="R2130" t="str">
        <f>DO_DB[[#This Row],[DN Number]]</f>
        <v>DNWID1382025071113</v>
      </c>
    </row>
    <row r="2131" spans="1:18">
      <c r="A2131" t="s">
        <v>3203</v>
      </c>
      <c r="B2131" t="s">
        <v>3204</v>
      </c>
      <c r="C2131" s="172" t="s">
        <v>4482</v>
      </c>
      <c r="D2131" t="s">
        <v>71</v>
      </c>
      <c r="E2131" t="s">
        <v>24</v>
      </c>
      <c r="F2131" t="s">
        <v>3295</v>
      </c>
      <c r="G2131" t="s">
        <v>3205</v>
      </c>
      <c r="H2131" t="s">
        <v>3206</v>
      </c>
      <c r="I2131" s="130">
        <v>45888</v>
      </c>
      <c r="J2131" t="s">
        <v>4856</v>
      </c>
      <c r="K2131">
        <v>1</v>
      </c>
      <c r="M21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31" t="str">
        <f>DO_DB[[#This Row],[Material Pick-update]]&amp;"_"&amp;DO_DB[[#This Row],[Material Name]]</f>
        <v>45888_JC 144Core</v>
      </c>
      <c r="O2131" t="str">
        <f>DO_DB[[#This Row],[SiteID]]</f>
        <v>CLR51-99-370</v>
      </c>
      <c r="P2131" t="str">
        <f>DO_DB[[#This Row],[SiteID]]&amp;"_"&amp;DO_DB[[#This Row],[Material Name]]</f>
        <v>CLR51-99-370_JC 144Core</v>
      </c>
      <c r="Q2131" t="str">
        <f>DO_DB[[#This Row],[DO Number]]</f>
        <v>DOEID25081590</v>
      </c>
      <c r="R2131" t="str">
        <f>DO_DB[[#This Row],[DN Number]]</f>
        <v>DNWID1382025081505</v>
      </c>
    </row>
    <row r="2132" spans="1:18">
      <c r="A2132" t="s">
        <v>4801</v>
      </c>
      <c r="B2132" t="s">
        <v>4802</v>
      </c>
      <c r="C2132" s="172" t="s">
        <v>4482</v>
      </c>
      <c r="D2132" t="s">
        <v>67</v>
      </c>
      <c r="E2132" t="s">
        <v>24</v>
      </c>
      <c r="F2132" t="s">
        <v>3295</v>
      </c>
      <c r="G2132" t="s">
        <v>4827</v>
      </c>
      <c r="H2132" t="s">
        <v>4806</v>
      </c>
      <c r="I2132" s="130">
        <v>46002</v>
      </c>
      <c r="J2132" t="s">
        <v>4856</v>
      </c>
      <c r="K2132">
        <v>2</v>
      </c>
      <c r="M21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32" t="str">
        <f>DO_DB[[#This Row],[Material Pick-update]]&amp;"_"&amp;DO_DB[[#This Row],[Material Name]]</f>
        <v>46002_JC 144Core</v>
      </c>
      <c r="O2132" t="str">
        <f>DO_DB[[#This Row],[SiteID]]</f>
        <v>CLR51-99-382</v>
      </c>
      <c r="P2132" t="str">
        <f>DO_DB[[#This Row],[SiteID]]&amp;"_"&amp;DO_DB[[#This Row],[Material Name]]</f>
        <v>CLR51-99-382_JC 144Core</v>
      </c>
      <c r="Q2132" t="str">
        <f>DO_DB[[#This Row],[DO Number]]</f>
        <v>DOEID251211B1</v>
      </c>
      <c r="R2132" t="str">
        <f>DO_DB[[#This Row],[DN Number]]</f>
        <v>DNWID1382025121131</v>
      </c>
    </row>
    <row r="2133" spans="1:18">
      <c r="A2133" t="s">
        <v>4785</v>
      </c>
      <c r="B2133" t="s">
        <v>4786</v>
      </c>
      <c r="C2133" s="172" t="s">
        <v>4482</v>
      </c>
      <c r="D2133" t="s">
        <v>67</v>
      </c>
      <c r="E2133" t="s">
        <v>24</v>
      </c>
      <c r="F2133" t="s">
        <v>3295</v>
      </c>
      <c r="G2133" t="s">
        <v>4791</v>
      </c>
      <c r="H2133" t="s">
        <v>4792</v>
      </c>
      <c r="I2133" s="130">
        <v>46003</v>
      </c>
      <c r="J2133" s="172" t="s">
        <v>4856</v>
      </c>
      <c r="K2133">
        <v>2</v>
      </c>
      <c r="M21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33" t="str">
        <f>DO_DB[[#This Row],[Material Pick-update]]&amp;"_"&amp;DO_DB[[#This Row],[Material Name]]</f>
        <v>46003_JC 144Core</v>
      </c>
      <c r="O2133" t="str">
        <f>DO_DB[[#This Row],[SiteID]]</f>
        <v>CLR51-99-381</v>
      </c>
      <c r="P2133" t="str">
        <f>DO_DB[[#This Row],[SiteID]]&amp;"_"&amp;DO_DB[[#This Row],[Material Name]]</f>
        <v>CLR51-99-381_JC 144Core</v>
      </c>
      <c r="Q2133" t="str">
        <f>DO_DB[[#This Row],[DO Number]]</f>
        <v>DOEID251211BZ</v>
      </c>
      <c r="R2133" t="str">
        <f>DO_DB[[#This Row],[DN Number]]</f>
        <v>DNWID1382025121129</v>
      </c>
    </row>
    <row r="2134" spans="1:18">
      <c r="A2134" s="172" t="s">
        <v>4835</v>
      </c>
      <c r="B2134" s="172" t="s">
        <v>4836</v>
      </c>
      <c r="C2134" s="172" t="s">
        <v>4482</v>
      </c>
      <c r="D2134" s="172" t="s">
        <v>67</v>
      </c>
      <c r="E2134" s="172" t="s">
        <v>24</v>
      </c>
      <c r="F2134" t="s">
        <v>3295</v>
      </c>
      <c r="G2134" t="s">
        <v>4849</v>
      </c>
      <c r="H2134" s="172" t="s">
        <v>4852</v>
      </c>
      <c r="I2134" s="173">
        <v>46087</v>
      </c>
      <c r="J2134" s="194" t="s">
        <v>4856</v>
      </c>
      <c r="K2134" s="172">
        <v>1</v>
      </c>
      <c r="M21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34" t="str">
        <f>DO_DB[[#This Row],[Material Pick-update]]&amp;"_"&amp;DO_DB[[#This Row],[Material Name]]</f>
        <v>46087_JC 144Core</v>
      </c>
      <c r="O2134" t="str">
        <f>DO_DB[[#This Row],[SiteID]]</f>
        <v>CLR51-99-385</v>
      </c>
      <c r="P2134" t="str">
        <f>DO_DB[[#This Row],[SiteID]]&amp;"_"&amp;DO_DB[[#This Row],[Material Name]]</f>
        <v>CLR51-99-385_JC 144Core</v>
      </c>
      <c r="Q2134" t="str">
        <f>DO_DB[[#This Row],[DO Number]]</f>
        <v>DOEID26030644</v>
      </c>
      <c r="R2134" t="str">
        <f>DO_DB[[#This Row],[DN Number]]</f>
        <v>DNWID1382026030605</v>
      </c>
    </row>
    <row r="2135" spans="1:18">
      <c r="A2135" t="s">
        <v>4839</v>
      </c>
      <c r="B2135" t="s">
        <v>4840</v>
      </c>
      <c r="C2135" s="172" t="s">
        <v>4482</v>
      </c>
      <c r="D2135" t="s">
        <v>67</v>
      </c>
      <c r="E2135" t="s">
        <v>24</v>
      </c>
      <c r="F2135" t="s">
        <v>3295</v>
      </c>
      <c r="G2135" t="s">
        <v>4851</v>
      </c>
      <c r="H2135" t="s">
        <v>4854</v>
      </c>
      <c r="I2135" s="130">
        <v>46093</v>
      </c>
      <c r="J2135" s="194" t="s">
        <v>4856</v>
      </c>
      <c r="K2135" s="172">
        <v>1</v>
      </c>
      <c r="M21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35" t="str">
        <f>DO_DB[[#This Row],[Material Pick-update]]&amp;"_"&amp;DO_DB[[#This Row],[Material Name]]</f>
        <v>46093_JC 144Core</v>
      </c>
      <c r="O2135" t="str">
        <f>DO_DB[[#This Row],[SiteID]]</f>
        <v>CLR51-99-447</v>
      </c>
      <c r="P2135" t="str">
        <f>DO_DB[[#This Row],[SiteID]]&amp;"_"&amp;DO_DB[[#This Row],[Material Name]]</f>
        <v>CLR51-99-447_JC 144Core</v>
      </c>
      <c r="Q2135" t="str">
        <f>DO_DB[[#This Row],[DO Number]]</f>
        <v>DOEID260312F8</v>
      </c>
      <c r="R2135" t="str">
        <f>DO_DB[[#This Row],[DN Number]]</f>
        <v>DNWID1382026031207</v>
      </c>
    </row>
    <row r="2136" spans="1:18">
      <c r="A2136" t="s">
        <v>4785</v>
      </c>
      <c r="B2136" t="s">
        <v>4786</v>
      </c>
      <c r="C2136" s="172" t="s">
        <v>4482</v>
      </c>
      <c r="D2136" t="s">
        <v>67</v>
      </c>
      <c r="E2136" t="s">
        <v>24</v>
      </c>
      <c r="F2136" t="s">
        <v>3295</v>
      </c>
      <c r="G2136" t="s">
        <v>4795</v>
      </c>
      <c r="H2136" t="s">
        <v>4796</v>
      </c>
      <c r="I2136" s="130">
        <v>46003</v>
      </c>
      <c r="J2136" t="s">
        <v>4731</v>
      </c>
      <c r="K2136" s="81">
        <v>119</v>
      </c>
      <c r="M21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36" t="str">
        <f>DO_DB[[#This Row],[Material Pick-update]]&amp;"_"&amp;DO_DB[[#This Row],[Material Name]]</f>
        <v>46003_Pole 7M 2.5"</v>
      </c>
      <c r="O2136" t="str">
        <f>DO_DB[[#This Row],[SiteID]]</f>
        <v>CLR51-99-381</v>
      </c>
      <c r="P2136" t="str">
        <f>DO_DB[[#This Row],[SiteID]]&amp;"_"&amp;DO_DB[[#This Row],[Material Name]]</f>
        <v>CLR51-99-381_Pole 7M 2.5"</v>
      </c>
      <c r="Q2136" t="str">
        <f>DO_DB[[#This Row],[DO Number]]</f>
        <v>DOEID251211L3</v>
      </c>
      <c r="R2136" t="str">
        <f>DO_DB[[#This Row],[DN Number]]</f>
        <v>DNWID1382025121136</v>
      </c>
    </row>
    <row r="2137" spans="1:18">
      <c r="A2137" t="s">
        <v>4785</v>
      </c>
      <c r="B2137" t="s">
        <v>4786</v>
      </c>
      <c r="C2137" s="172" t="s">
        <v>4482</v>
      </c>
      <c r="D2137" t="s">
        <v>67</v>
      </c>
      <c r="E2137" t="s">
        <v>24</v>
      </c>
      <c r="F2137" t="s">
        <v>3295</v>
      </c>
      <c r="G2137" t="s">
        <v>4797</v>
      </c>
      <c r="H2137" t="s">
        <v>4798</v>
      </c>
      <c r="I2137" s="130">
        <v>46007</v>
      </c>
      <c r="J2137" s="172" t="s">
        <v>4731</v>
      </c>
      <c r="K2137" s="81">
        <v>92</v>
      </c>
      <c r="M21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37" t="str">
        <f>DO_DB[[#This Row],[Material Pick-update]]&amp;"_"&amp;DO_DB[[#This Row],[Material Name]]</f>
        <v>46007_Pole 7M 2.5"</v>
      </c>
      <c r="O2137" t="str">
        <f>DO_DB[[#This Row],[SiteID]]</f>
        <v>CLR51-99-381</v>
      </c>
      <c r="P2137" t="str">
        <f>DO_DB[[#This Row],[SiteID]]&amp;"_"&amp;DO_DB[[#This Row],[Material Name]]</f>
        <v>CLR51-99-381_Pole 7M 2.5"</v>
      </c>
      <c r="Q2137" t="str">
        <f>DO_DB[[#This Row],[DO Number]]</f>
        <v>DOEID251215I7</v>
      </c>
      <c r="R2137" t="str">
        <f>DO_DB[[#This Row],[DN Number]]</f>
        <v>DNWID1382025121609</v>
      </c>
    </row>
    <row r="2138" spans="1:18">
      <c r="A2138" t="s">
        <v>4801</v>
      </c>
      <c r="B2138" t="s">
        <v>4802</v>
      </c>
      <c r="C2138" s="172" t="s">
        <v>4482</v>
      </c>
      <c r="D2138" t="s">
        <v>67</v>
      </c>
      <c r="E2138" t="s">
        <v>24</v>
      </c>
      <c r="F2138" t="s">
        <v>3295</v>
      </c>
      <c r="G2138" t="s">
        <v>4807</v>
      </c>
      <c r="H2138" t="s">
        <v>4808</v>
      </c>
      <c r="I2138" s="130">
        <v>46007</v>
      </c>
      <c r="J2138" s="172" t="s">
        <v>4731</v>
      </c>
      <c r="K2138" s="81">
        <v>134</v>
      </c>
      <c r="M21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38" t="str">
        <f>DO_DB[[#This Row],[Material Pick-update]]&amp;"_"&amp;DO_DB[[#This Row],[Material Name]]</f>
        <v>46007_Pole 7M 2.5"</v>
      </c>
      <c r="O2138" t="str">
        <f>DO_DB[[#This Row],[SiteID]]</f>
        <v>CLR51-99-382</v>
      </c>
      <c r="P2138" t="str">
        <f>DO_DB[[#This Row],[SiteID]]&amp;"_"&amp;DO_DB[[#This Row],[Material Name]]</f>
        <v>CLR51-99-382_Pole 7M 2.5"</v>
      </c>
      <c r="Q2138" t="str">
        <f>DO_DB[[#This Row],[DO Number]]</f>
        <v>DOEID251215M5</v>
      </c>
      <c r="R2138" t="str">
        <f>DO_DB[[#This Row],[DN Number]]</f>
        <v>DNWID1382025121610</v>
      </c>
    </row>
    <row r="2139" spans="1:18">
      <c r="A2139" s="81" t="s">
        <v>4814</v>
      </c>
      <c r="B2139" s="81" t="s">
        <v>4816</v>
      </c>
      <c r="C2139" s="172" t="s">
        <v>4482</v>
      </c>
      <c r="D2139" s="81" t="s">
        <v>67</v>
      </c>
      <c r="E2139" s="81" t="s">
        <v>24</v>
      </c>
      <c r="F2139" t="s">
        <v>3295</v>
      </c>
      <c r="G2139" s="81" t="s">
        <v>4818</v>
      </c>
      <c r="H2139" s="81" t="s">
        <v>4817</v>
      </c>
      <c r="I2139" s="163">
        <v>46041</v>
      </c>
      <c r="J2139" t="s">
        <v>4731</v>
      </c>
      <c r="K2139" s="81">
        <v>6</v>
      </c>
      <c r="M21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39" t="str">
        <f>DO_DB[[#This Row],[Material Pick-update]]&amp;"_"&amp;DO_DB[[#This Row],[Material Name]]</f>
        <v>46041_Pole 7M 2.5"</v>
      </c>
      <c r="O2139" t="str">
        <f>DO_DB[[#This Row],[SiteID]]</f>
        <v>CLR51-99-196</v>
      </c>
      <c r="P2139" t="str">
        <f>DO_DB[[#This Row],[SiteID]]&amp;"_"&amp;DO_DB[[#This Row],[Material Name]]</f>
        <v>CLR51-99-196_Pole 7M 2.5"</v>
      </c>
      <c r="Q2139" t="str">
        <f>DO_DB[[#This Row],[DO Number]]</f>
        <v>DOEID260115MP</v>
      </c>
      <c r="R2139" t="str">
        <f>DO_DB[[#This Row],[DN Number]]</f>
        <v>DNWID1382026011601</v>
      </c>
    </row>
    <row r="2140" spans="1:18">
      <c r="A2140" t="s">
        <v>4813</v>
      </c>
      <c r="B2140" t="s">
        <v>4815</v>
      </c>
      <c r="C2140" s="172" t="s">
        <v>4482</v>
      </c>
      <c r="D2140" t="s">
        <v>67</v>
      </c>
      <c r="E2140" t="s">
        <v>24</v>
      </c>
      <c r="F2140" t="s">
        <v>3295</v>
      </c>
      <c r="G2140" t="s">
        <v>4820</v>
      </c>
      <c r="H2140" t="s">
        <v>4819</v>
      </c>
      <c r="I2140" s="130">
        <v>46041</v>
      </c>
      <c r="J2140" s="172" t="s">
        <v>4731</v>
      </c>
      <c r="K2140" s="81">
        <v>12</v>
      </c>
      <c r="M21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40" t="str">
        <f>DO_DB[[#This Row],[Material Pick-update]]&amp;"_"&amp;DO_DB[[#This Row],[Material Name]]</f>
        <v>46041_Pole 7M 2.5"</v>
      </c>
      <c r="O2140" t="str">
        <f>DO_DB[[#This Row],[SiteID]]</f>
        <v>CLR44-99-155</v>
      </c>
      <c r="P2140" t="str">
        <f>DO_DB[[#This Row],[SiteID]]&amp;"_"&amp;DO_DB[[#This Row],[Material Name]]</f>
        <v>CLR44-99-155_Pole 7M 2.5"</v>
      </c>
      <c r="Q2140" t="str">
        <f>DO_DB[[#This Row],[DO Number]]</f>
        <v>DOEID260115MQ</v>
      </c>
      <c r="R2140" t="str">
        <f>DO_DB[[#This Row],[DN Number]]</f>
        <v>DNWID1382026011602</v>
      </c>
    </row>
    <row r="2141" spans="1:18">
      <c r="A2141" s="172" t="s">
        <v>4835</v>
      </c>
      <c r="B2141" s="172" t="s">
        <v>4836</v>
      </c>
      <c r="C2141" s="172" t="s">
        <v>4482</v>
      </c>
      <c r="D2141" s="172" t="s">
        <v>67</v>
      </c>
      <c r="E2141" s="172" t="s">
        <v>24</v>
      </c>
      <c r="F2141" t="s">
        <v>3295</v>
      </c>
      <c r="G2141" t="s">
        <v>4849</v>
      </c>
      <c r="H2141" s="172" t="s">
        <v>4852</v>
      </c>
      <c r="I2141" s="173">
        <v>46087</v>
      </c>
      <c r="J2141" t="s">
        <v>4731</v>
      </c>
      <c r="K2141" s="81">
        <v>13</v>
      </c>
      <c r="M21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41" t="str">
        <f>DO_DB[[#This Row],[Material Pick-update]]&amp;"_"&amp;DO_DB[[#This Row],[Material Name]]</f>
        <v>46087_Pole 7M 2.5"</v>
      </c>
      <c r="O2141" t="str">
        <f>DO_DB[[#This Row],[SiteID]]</f>
        <v>CLR51-99-385</v>
      </c>
      <c r="P2141" t="str">
        <f>DO_DB[[#This Row],[SiteID]]&amp;"_"&amp;DO_DB[[#This Row],[Material Name]]</f>
        <v>CLR51-99-385_Pole 7M 2.5"</v>
      </c>
      <c r="Q2141" t="str">
        <f>DO_DB[[#This Row],[DO Number]]</f>
        <v>DOEID26030644</v>
      </c>
      <c r="R2141" t="str">
        <f>DO_DB[[#This Row],[DN Number]]</f>
        <v>DNWID1382026030605</v>
      </c>
    </row>
    <row r="2142" spans="1:18">
      <c r="A2142" t="s">
        <v>4841</v>
      </c>
      <c r="B2142" t="s">
        <v>4842</v>
      </c>
      <c r="C2142" s="172" t="s">
        <v>4482</v>
      </c>
      <c r="D2142" t="s">
        <v>67</v>
      </c>
      <c r="E2142" t="s">
        <v>24</v>
      </c>
      <c r="F2142" t="s">
        <v>3295</v>
      </c>
      <c r="G2142" t="s">
        <v>4850</v>
      </c>
      <c r="H2142" t="s">
        <v>4853</v>
      </c>
      <c r="I2142" s="130">
        <v>46093</v>
      </c>
      <c r="J2142" t="s">
        <v>4731</v>
      </c>
      <c r="K2142" s="81">
        <v>2</v>
      </c>
      <c r="M21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42" t="str">
        <f>DO_DB[[#This Row],[Material Pick-update]]&amp;"_"&amp;DO_DB[[#This Row],[Material Name]]</f>
        <v>46093_Pole 7M 2.5"</v>
      </c>
      <c r="O2142" t="str">
        <f>DO_DB[[#This Row],[SiteID]]</f>
        <v>CLR51-99-451</v>
      </c>
      <c r="P2142" t="str">
        <f>DO_DB[[#This Row],[SiteID]]&amp;"_"&amp;DO_DB[[#This Row],[Material Name]]</f>
        <v>CLR51-99-451_Pole 7M 2.5"</v>
      </c>
      <c r="Q2142" t="str">
        <f>DO_DB[[#This Row],[DO Number]]</f>
        <v>DOEID260312F9</v>
      </c>
      <c r="R2142" t="str">
        <f>DO_DB[[#This Row],[DN Number]]</f>
        <v>DNWID1382026031205</v>
      </c>
    </row>
    <row r="2143" spans="1:18">
      <c r="A2143" t="s">
        <v>4839</v>
      </c>
      <c r="B2143" t="s">
        <v>4840</v>
      </c>
      <c r="C2143" s="172" t="s">
        <v>4482</v>
      </c>
      <c r="D2143" t="s">
        <v>67</v>
      </c>
      <c r="E2143" t="s">
        <v>24</v>
      </c>
      <c r="F2143" t="s">
        <v>3295</v>
      </c>
      <c r="G2143" t="s">
        <v>4851</v>
      </c>
      <c r="H2143" t="s">
        <v>4854</v>
      </c>
      <c r="I2143" s="130">
        <v>46093</v>
      </c>
      <c r="J2143" s="172" t="s">
        <v>4731</v>
      </c>
      <c r="K2143" s="81">
        <v>9</v>
      </c>
      <c r="M21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43" t="str">
        <f>DO_DB[[#This Row],[Material Pick-update]]&amp;"_"&amp;DO_DB[[#This Row],[Material Name]]</f>
        <v>46093_Pole 7M 2.5"</v>
      </c>
      <c r="O2143" t="str">
        <f>DO_DB[[#This Row],[SiteID]]</f>
        <v>CLR51-99-447</v>
      </c>
      <c r="P2143" t="str">
        <f>DO_DB[[#This Row],[SiteID]]&amp;"_"&amp;DO_DB[[#This Row],[Material Name]]</f>
        <v>CLR51-99-447_Pole 7M 2.5"</v>
      </c>
      <c r="Q2143" t="str">
        <f>DO_DB[[#This Row],[DO Number]]</f>
        <v>DOEID260312F8</v>
      </c>
      <c r="R2143" t="str">
        <f>DO_DB[[#This Row],[DN Number]]</f>
        <v>DNWID1382026031207</v>
      </c>
    </row>
    <row r="2144" spans="1:18">
      <c r="A2144" t="s">
        <v>4866</v>
      </c>
      <c r="B2144" t="s">
        <v>4867</v>
      </c>
      <c r="C2144" s="172" t="s">
        <v>4482</v>
      </c>
      <c r="D2144" t="s">
        <v>67</v>
      </c>
      <c r="E2144" t="s">
        <v>24</v>
      </c>
      <c r="F2144" t="s">
        <v>3295</v>
      </c>
      <c r="G2144" t="s">
        <v>4868</v>
      </c>
      <c r="H2144" s="172" t="s">
        <v>4872</v>
      </c>
      <c r="I2144" s="130">
        <v>46151</v>
      </c>
      <c r="J2144" s="172" t="s">
        <v>4731</v>
      </c>
      <c r="K2144">
        <v>14</v>
      </c>
      <c r="M21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44" t="str">
        <f>DO_DB[[#This Row],[Material Pick-update]]&amp;"_"&amp;DO_DB[[#This Row],[Material Name]]</f>
        <v>46151_Pole 7M 2.5"</v>
      </c>
      <c r="O2144" t="str">
        <f>DO_DB[[#This Row],[SiteID]]</f>
        <v>CLR51-99-506</v>
      </c>
      <c r="P2144" t="str">
        <f>DO_DB[[#This Row],[SiteID]]&amp;"_"&amp;DO_DB[[#This Row],[Material Name]]</f>
        <v>CLR51-99-506_Pole 7M 2.5"</v>
      </c>
      <c r="Q2144" t="str">
        <f>DO_DB[[#This Row],[DO Number]]</f>
        <v>DOEID260509BX</v>
      </c>
      <c r="R2144" t="str">
        <f>DO_DB[[#This Row],[DN Number]]</f>
        <v>DNWID03620260509DY</v>
      </c>
    </row>
    <row r="2145" spans="1:18">
      <c r="A2145" t="s">
        <v>4870</v>
      </c>
      <c r="B2145" t="s">
        <v>4871</v>
      </c>
      <c r="C2145" s="172" t="s">
        <v>4482</v>
      </c>
      <c r="D2145" t="s">
        <v>67</v>
      </c>
      <c r="E2145" t="s">
        <v>24</v>
      </c>
      <c r="F2145" t="s">
        <v>3295</v>
      </c>
      <c r="G2145" t="s">
        <v>4869</v>
      </c>
      <c r="H2145" t="s">
        <v>5132</v>
      </c>
      <c r="I2145" s="130">
        <v>46164</v>
      </c>
      <c r="J2145" t="s">
        <v>4731</v>
      </c>
      <c r="K2145">
        <v>8</v>
      </c>
      <c r="M21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45" t="str">
        <f>DO_DB[[#This Row],[Material Pick-update]]&amp;"_"&amp;DO_DB[[#This Row],[Material Name]]</f>
        <v>46164_Pole 7M 2.5"</v>
      </c>
      <c r="O2145" t="str">
        <f>DO_DB[[#This Row],[SiteID]]</f>
        <v>CLR51-99-658</v>
      </c>
      <c r="P2145" t="str">
        <f>DO_DB[[#This Row],[SiteID]]&amp;"_"&amp;DO_DB[[#This Row],[Material Name]]</f>
        <v>CLR51-99-658_Pole 7M 2.5"</v>
      </c>
      <c r="Q2145" t="str">
        <f>DO_DB[[#This Row],[DO Number]]</f>
        <v>DOEID260522B7</v>
      </c>
      <c r="R2145" t="str">
        <f>DO_DB[[#This Row],[DN Number]]</f>
        <v>DNWID0362026052214</v>
      </c>
    </row>
    <row r="2146" spans="1:18">
      <c r="A2146" t="s">
        <v>4898</v>
      </c>
      <c r="B2146" t="s">
        <v>4900</v>
      </c>
      <c r="C2146" s="172" t="s">
        <v>4482</v>
      </c>
      <c r="D2146" t="s">
        <v>67</v>
      </c>
      <c r="E2146" t="s">
        <v>24</v>
      </c>
      <c r="F2146" t="s">
        <v>3295</v>
      </c>
      <c r="G2146" t="s">
        <v>4904</v>
      </c>
      <c r="H2146" t="s">
        <v>5133</v>
      </c>
      <c r="I2146" s="130">
        <v>46191</v>
      </c>
      <c r="J2146" s="172" t="s">
        <v>4731</v>
      </c>
      <c r="K2146" s="172">
        <v>34</v>
      </c>
      <c r="M21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46" t="str">
        <f>DO_DB[[#This Row],[Material Pick-update]]&amp;"_"&amp;DO_DB[[#This Row],[Material Name]]</f>
        <v>46191_Pole 7M 2.5"</v>
      </c>
      <c r="O2146" t="str">
        <f>DO_DB[[#This Row],[SiteID]]</f>
        <v>CLR51-99-483</v>
      </c>
      <c r="P2146" t="str">
        <f>DO_DB[[#This Row],[SiteID]]&amp;"_"&amp;DO_DB[[#This Row],[Material Name]]</f>
        <v>CLR51-99-483_Pole 7M 2.5"</v>
      </c>
      <c r="Q2146" t="str">
        <f>DO_DB[[#This Row],[DO Number]]</f>
        <v>DOEID26052978</v>
      </c>
      <c r="R2146" t="str">
        <f>DO_DB[[#This Row],[DN Number]]</f>
        <v>DNWID0362026052925</v>
      </c>
    </row>
    <row r="2147" spans="1:18">
      <c r="A2147" t="s">
        <v>4902</v>
      </c>
      <c r="B2147" t="s">
        <v>4903</v>
      </c>
      <c r="C2147" s="172" t="s">
        <v>4482</v>
      </c>
      <c r="D2147" t="s">
        <v>67</v>
      </c>
      <c r="E2147" t="s">
        <v>24</v>
      </c>
      <c r="F2147" t="s">
        <v>3295</v>
      </c>
      <c r="G2147" t="s">
        <v>4901</v>
      </c>
      <c r="H2147" t="s">
        <v>5134</v>
      </c>
      <c r="I2147" s="130">
        <v>46200</v>
      </c>
      <c r="J2147" s="172" t="s">
        <v>4731</v>
      </c>
      <c r="K2147" s="172">
        <v>24</v>
      </c>
      <c r="M21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47" t="str">
        <f>DO_DB[[#This Row],[Material Pick-update]]&amp;"_"&amp;DO_DB[[#This Row],[Material Name]]</f>
        <v>46200_Pole 7M 2.5"</v>
      </c>
      <c r="O2147" t="str">
        <f>DO_DB[[#This Row],[SiteID]]</f>
        <v>CLR51-99-678</v>
      </c>
      <c r="P2147" t="str">
        <f>DO_DB[[#This Row],[SiteID]]&amp;"_"&amp;DO_DB[[#This Row],[Material Name]]</f>
        <v>CLR51-99-678_Pole 7M 2.5"</v>
      </c>
      <c r="Q2147" t="str">
        <f>DO_DB[[#This Row],[DO Number]]</f>
        <v>DOEID26062559</v>
      </c>
      <c r="R2147" t="str">
        <f>DO_DB[[#This Row],[DN Number]]</f>
        <v>DNWID0362026062510</v>
      </c>
    </row>
    <row r="2148" spans="1:18">
      <c r="A2148" t="s">
        <v>5122</v>
      </c>
      <c r="B2148" t="s">
        <v>5125</v>
      </c>
      <c r="C2148" s="172" t="s">
        <v>4482</v>
      </c>
      <c r="D2148" t="s">
        <v>67</v>
      </c>
      <c r="E2148" t="s">
        <v>24</v>
      </c>
      <c r="F2148" t="s">
        <v>3295</v>
      </c>
      <c r="G2148" t="s">
        <v>5123</v>
      </c>
      <c r="H2148" t="s">
        <v>5124</v>
      </c>
      <c r="I2148" s="130">
        <v>46212</v>
      </c>
      <c r="J2148" s="172" t="s">
        <v>4731</v>
      </c>
      <c r="K2148">
        <v>9</v>
      </c>
      <c r="M21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48" t="str">
        <f>DO_DB[[#This Row],[Material Pick-update]]&amp;"_"&amp;DO_DB[[#This Row],[Material Name]]</f>
        <v>46212_Pole 7M 2.5"</v>
      </c>
      <c r="O2148" t="str">
        <f>DO_DB[[#This Row],[SiteID]]</f>
        <v>CLR51-99-662</v>
      </c>
      <c r="P2148" t="str">
        <f>DO_DB[[#This Row],[SiteID]]&amp;"_"&amp;DO_DB[[#This Row],[Material Name]]</f>
        <v>CLR51-99-662_Pole 7M 2.5"</v>
      </c>
      <c r="Q2148" t="str">
        <f>DO_DB[[#This Row],[DO Number]]</f>
        <v>DOEID260708AM</v>
      </c>
      <c r="R2148" t="str">
        <f>DO_DB[[#This Row],[DN Number]]</f>
        <v>DNWID0362026070821</v>
      </c>
    </row>
    <row r="2149" spans="1:18">
      <c r="A2149" t="s">
        <v>84</v>
      </c>
      <c r="B2149" t="s">
        <v>85</v>
      </c>
      <c r="C2149" s="172" t="s">
        <v>4482</v>
      </c>
      <c r="D2149" t="s">
        <v>71</v>
      </c>
      <c r="E2149" t="s">
        <v>24</v>
      </c>
      <c r="F2149" t="s">
        <v>3295</v>
      </c>
      <c r="G2149" t="s">
        <v>88</v>
      </c>
      <c r="H2149" t="s">
        <v>89</v>
      </c>
      <c r="I2149" s="130">
        <v>45142</v>
      </c>
      <c r="J2149" t="s">
        <v>3070</v>
      </c>
      <c r="K2149">
        <v>7</v>
      </c>
      <c r="M21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49" t="str">
        <f>DO_DB[[#This Row],[Material Pick-update]]&amp;"_"&amp;DO_DB[[#This Row],[Material Name]]</f>
        <v>45142_Pole 7M 3"</v>
      </c>
      <c r="O2149" t="str">
        <f>DO_DB[[#This Row],[SiteID]]</f>
        <v>CLR51-99-004</v>
      </c>
      <c r="P2149" t="str">
        <f>DO_DB[[#This Row],[SiteID]]&amp;"_"&amp;DO_DB[[#This Row],[Material Name]]</f>
        <v>CLR51-99-004_Pole 7M 3"</v>
      </c>
      <c r="Q2149" t="str">
        <f>DO_DB[[#This Row],[DO Number]]</f>
        <v>DOEID23080181</v>
      </c>
      <c r="R2149" t="str">
        <f>DO_DB[[#This Row],[DN Number]]</f>
        <v>DNWID0362023080308</v>
      </c>
    </row>
    <row r="2150" spans="1:18">
      <c r="A2150" t="s">
        <v>150</v>
      </c>
      <c r="B2150" t="s">
        <v>151</v>
      </c>
      <c r="C2150" s="172" t="s">
        <v>4482</v>
      </c>
      <c r="D2150" t="s">
        <v>71</v>
      </c>
      <c r="E2150" t="s">
        <v>24</v>
      </c>
      <c r="F2150" t="s">
        <v>3295</v>
      </c>
      <c r="G2150" t="s">
        <v>156</v>
      </c>
      <c r="H2150" t="s">
        <v>157</v>
      </c>
      <c r="I2150" s="130">
        <v>45170</v>
      </c>
      <c r="J2150" t="s">
        <v>3070</v>
      </c>
      <c r="K2150">
        <v>8</v>
      </c>
      <c r="M21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50" t="str">
        <f>DO_DB[[#This Row],[Material Pick-update]]&amp;"_"&amp;DO_DB[[#This Row],[Material Name]]</f>
        <v>45170_Pole 7M 3"</v>
      </c>
      <c r="O2150" t="str">
        <f>DO_DB[[#This Row],[SiteID]]</f>
        <v>CLR51-99-006</v>
      </c>
      <c r="P2150" t="str">
        <f>DO_DB[[#This Row],[SiteID]]&amp;"_"&amp;DO_DB[[#This Row],[Material Name]]</f>
        <v>CLR51-99-006_Pole 7M 3"</v>
      </c>
      <c r="Q2150" t="str">
        <f>DO_DB[[#This Row],[DO Number]]</f>
        <v>DOEID23082834</v>
      </c>
      <c r="R2150" t="str">
        <f>DO_DB[[#This Row],[DN Number]]</f>
        <v>DNWID0362023082902</v>
      </c>
    </row>
    <row r="2151" spans="1:18">
      <c r="A2151" t="s">
        <v>164</v>
      </c>
      <c r="B2151" t="s">
        <v>165</v>
      </c>
      <c r="C2151" s="172" t="s">
        <v>4482</v>
      </c>
      <c r="D2151" t="s">
        <v>71</v>
      </c>
      <c r="E2151" t="s">
        <v>24</v>
      </c>
      <c r="F2151" t="s">
        <v>3295</v>
      </c>
      <c r="G2151" t="s">
        <v>170</v>
      </c>
      <c r="H2151" t="s">
        <v>171</v>
      </c>
      <c r="I2151" s="130">
        <v>45185</v>
      </c>
      <c r="J2151" t="s">
        <v>3070</v>
      </c>
      <c r="K2151">
        <v>4</v>
      </c>
      <c r="M21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51" t="str">
        <f>DO_DB[[#This Row],[Material Pick-update]]&amp;"_"&amp;DO_DB[[#This Row],[Material Name]]</f>
        <v>45185_Pole 7M 3"</v>
      </c>
      <c r="O2151" t="str">
        <f>DO_DB[[#This Row],[SiteID]]</f>
        <v>CLR51-99-014</v>
      </c>
      <c r="P2151" t="str">
        <f>DO_DB[[#This Row],[SiteID]]&amp;"_"&amp;DO_DB[[#This Row],[Material Name]]</f>
        <v>CLR51-99-014_Pole 7M 3"</v>
      </c>
      <c r="Q2151" t="str">
        <f>DO_DB[[#This Row],[DO Number]]</f>
        <v>DOEID23091555</v>
      </c>
      <c r="R2151" t="str">
        <f>DO_DB[[#This Row],[DN Number]]</f>
        <v>DNWID0362023091501</v>
      </c>
    </row>
    <row r="2152" spans="1:18">
      <c r="A2152" t="s">
        <v>172</v>
      </c>
      <c r="B2152" t="s">
        <v>173</v>
      </c>
      <c r="C2152" s="172" t="s">
        <v>4482</v>
      </c>
      <c r="D2152" t="s">
        <v>71</v>
      </c>
      <c r="E2152" t="s">
        <v>24</v>
      </c>
      <c r="F2152" t="s">
        <v>3295</v>
      </c>
      <c r="G2152" t="s">
        <v>174</v>
      </c>
      <c r="H2152" t="s">
        <v>175</v>
      </c>
      <c r="I2152" s="130">
        <v>45185</v>
      </c>
      <c r="J2152" t="s">
        <v>3070</v>
      </c>
      <c r="K2152">
        <v>3</v>
      </c>
      <c r="M21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52" t="str">
        <f>DO_DB[[#This Row],[Material Pick-update]]&amp;"_"&amp;DO_DB[[#This Row],[Material Name]]</f>
        <v>45185_Pole 7M 3"</v>
      </c>
      <c r="O2152" t="str">
        <f>DO_DB[[#This Row],[SiteID]]</f>
        <v>CLR51-99-013</v>
      </c>
      <c r="P2152" t="str">
        <f>DO_DB[[#This Row],[SiteID]]&amp;"_"&amp;DO_DB[[#This Row],[Material Name]]</f>
        <v>CLR51-99-013_Pole 7M 3"</v>
      </c>
      <c r="Q2152" t="str">
        <f>DO_DB[[#This Row],[DO Number]]</f>
        <v>DOEID23091557</v>
      </c>
      <c r="R2152" t="str">
        <f>DO_DB[[#This Row],[DN Number]]</f>
        <v>DNWID0362023091502</v>
      </c>
    </row>
    <row r="2153" spans="1:18">
      <c r="A2153" t="s">
        <v>180</v>
      </c>
      <c r="B2153" t="s">
        <v>181</v>
      </c>
      <c r="C2153" s="172" t="s">
        <v>4482</v>
      </c>
      <c r="D2153" t="s">
        <v>71</v>
      </c>
      <c r="E2153" t="s">
        <v>24</v>
      </c>
      <c r="F2153" t="s">
        <v>3295</v>
      </c>
      <c r="G2153" t="s">
        <v>184</v>
      </c>
      <c r="H2153" t="s">
        <v>185</v>
      </c>
      <c r="I2153" s="130">
        <v>45188</v>
      </c>
      <c r="J2153" t="s">
        <v>3070</v>
      </c>
      <c r="K2153">
        <v>3</v>
      </c>
      <c r="M21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53" t="str">
        <f>DO_DB[[#This Row],[Material Pick-update]]&amp;"_"&amp;DO_DB[[#This Row],[Material Name]]</f>
        <v>45188_Pole 7M 3"</v>
      </c>
      <c r="O2153" t="str">
        <f>DO_DB[[#This Row],[SiteID]]</f>
        <v>CLR51-99-007</v>
      </c>
      <c r="P2153" t="str">
        <f>DO_DB[[#This Row],[SiteID]]&amp;"_"&amp;DO_DB[[#This Row],[Material Name]]</f>
        <v>CLR51-99-007_Pole 7M 3"</v>
      </c>
      <c r="Q2153" t="str">
        <f>DO_DB[[#This Row],[DO Number]]</f>
        <v>DOEID230918DX</v>
      </c>
      <c r="R2153" t="str">
        <f>DO_DB[[#This Row],[DN Number]]</f>
        <v>DNWID0362023091803</v>
      </c>
    </row>
    <row r="2154" spans="1:18">
      <c r="A2154" t="s">
        <v>222</v>
      </c>
      <c r="B2154" t="s">
        <v>223</v>
      </c>
      <c r="C2154" s="172" t="s">
        <v>4482</v>
      </c>
      <c r="D2154" t="s">
        <v>71</v>
      </c>
      <c r="E2154" t="s">
        <v>24</v>
      </c>
      <c r="F2154" t="s">
        <v>3295</v>
      </c>
      <c r="G2154" t="s">
        <v>226</v>
      </c>
      <c r="H2154" t="s">
        <v>227</v>
      </c>
      <c r="I2154" s="130">
        <v>45189</v>
      </c>
      <c r="J2154" t="s">
        <v>3070</v>
      </c>
      <c r="K2154">
        <v>18</v>
      </c>
      <c r="M21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54" t="str">
        <f>DO_DB[[#This Row],[Material Pick-update]]&amp;"_"&amp;DO_DB[[#This Row],[Material Name]]</f>
        <v>45189_Pole 7M 3"</v>
      </c>
      <c r="O2154" t="str">
        <f>DO_DB[[#This Row],[SiteID]]</f>
        <v>CLR51-02-001</v>
      </c>
      <c r="P2154" t="str">
        <f>DO_DB[[#This Row],[SiteID]]&amp;"_"&amp;DO_DB[[#This Row],[Material Name]]</f>
        <v>CLR51-02-001_Pole 7M 3"</v>
      </c>
      <c r="Q2154" t="str">
        <f>DO_DB[[#This Row],[DO Number]]</f>
        <v>DOEID230919BG</v>
      </c>
      <c r="R2154" t="str">
        <f>DO_DB[[#This Row],[DN Number]]</f>
        <v>DNWID0362023091906</v>
      </c>
    </row>
    <row r="2155" spans="1:18">
      <c r="A2155" t="s">
        <v>336</v>
      </c>
      <c r="B2155" t="s">
        <v>337</v>
      </c>
      <c r="C2155" s="172" t="s">
        <v>4482</v>
      </c>
      <c r="D2155" t="s">
        <v>71</v>
      </c>
      <c r="E2155" t="s">
        <v>24</v>
      </c>
      <c r="F2155" t="s">
        <v>3295</v>
      </c>
      <c r="G2155" t="s">
        <v>352</v>
      </c>
      <c r="H2155" t="s">
        <v>353</v>
      </c>
      <c r="I2155" s="130">
        <v>45213</v>
      </c>
      <c r="J2155" t="s">
        <v>3070</v>
      </c>
      <c r="K2155">
        <v>4</v>
      </c>
      <c r="M21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55" t="str">
        <f>DO_DB[[#This Row],[Material Pick-update]]&amp;"_"&amp;DO_DB[[#This Row],[Material Name]]</f>
        <v>45213_Pole 7M 3"</v>
      </c>
      <c r="O2155" t="str">
        <f>DO_DB[[#This Row],[SiteID]]</f>
        <v>CLR51-99-019</v>
      </c>
      <c r="P2155" t="str">
        <f>DO_DB[[#This Row],[SiteID]]&amp;"_"&amp;DO_DB[[#This Row],[Material Name]]</f>
        <v>CLR51-99-019_Pole 7M 3"</v>
      </c>
      <c r="Q2155" t="str">
        <f>DO_DB[[#This Row],[DO Number]]</f>
        <v>DOEID231013AS</v>
      </c>
      <c r="R2155" t="str">
        <f>DO_DB[[#This Row],[DN Number]]</f>
        <v>DNWID0362023101405</v>
      </c>
    </row>
    <row r="2156" spans="1:18">
      <c r="A2156" t="s">
        <v>340</v>
      </c>
      <c r="B2156" t="s">
        <v>341</v>
      </c>
      <c r="C2156" s="172" t="s">
        <v>4482</v>
      </c>
      <c r="D2156" t="s">
        <v>71</v>
      </c>
      <c r="E2156" t="s">
        <v>24</v>
      </c>
      <c r="F2156" t="s">
        <v>3295</v>
      </c>
      <c r="G2156" t="s">
        <v>344</v>
      </c>
      <c r="H2156" t="s">
        <v>345</v>
      </c>
      <c r="I2156" s="130">
        <v>45213</v>
      </c>
      <c r="J2156" t="s">
        <v>3070</v>
      </c>
      <c r="K2156">
        <v>2</v>
      </c>
      <c r="M21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56" t="str">
        <f>DO_DB[[#This Row],[Material Pick-update]]&amp;"_"&amp;DO_DB[[#This Row],[Material Name]]</f>
        <v>45213_Pole 7M 3"</v>
      </c>
      <c r="O2156" t="str">
        <f>DO_DB[[#This Row],[SiteID]]</f>
        <v>CLR51-99-020</v>
      </c>
      <c r="P2156" t="str">
        <f>DO_DB[[#This Row],[SiteID]]&amp;"_"&amp;DO_DB[[#This Row],[Material Name]]</f>
        <v>CLR51-99-020_Pole 7M 3"</v>
      </c>
      <c r="Q2156" t="str">
        <f>DO_DB[[#This Row],[DO Number]]</f>
        <v>DOEID231013AU</v>
      </c>
      <c r="R2156" t="str">
        <f>DO_DB[[#This Row],[DN Number]]</f>
        <v>DNWID0362023101401</v>
      </c>
    </row>
    <row r="2157" spans="1:18">
      <c r="A2157" t="s">
        <v>324</v>
      </c>
      <c r="B2157" t="s">
        <v>325</v>
      </c>
      <c r="C2157" s="172" t="s">
        <v>4482</v>
      </c>
      <c r="D2157" t="s">
        <v>71</v>
      </c>
      <c r="E2157" t="s">
        <v>24</v>
      </c>
      <c r="F2157" t="s">
        <v>3295</v>
      </c>
      <c r="G2157" t="s">
        <v>346</v>
      </c>
      <c r="H2157" t="s">
        <v>347</v>
      </c>
      <c r="I2157" s="130">
        <v>45213</v>
      </c>
      <c r="J2157" t="s">
        <v>3070</v>
      </c>
      <c r="K2157">
        <v>2</v>
      </c>
      <c r="M21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57" t="str">
        <f>DO_DB[[#This Row],[Material Pick-update]]&amp;"_"&amp;DO_DB[[#This Row],[Material Name]]</f>
        <v>45213_Pole 7M 3"</v>
      </c>
      <c r="O2157" t="str">
        <f>DO_DB[[#This Row],[SiteID]]</f>
        <v>CLR51-99-021</v>
      </c>
      <c r="P2157" t="str">
        <f>DO_DB[[#This Row],[SiteID]]&amp;"_"&amp;DO_DB[[#This Row],[Material Name]]</f>
        <v>CLR51-99-021_Pole 7M 3"</v>
      </c>
      <c r="Q2157" t="str">
        <f>DO_DB[[#This Row],[DO Number]]</f>
        <v>DOEID231013AW</v>
      </c>
      <c r="R2157" t="str">
        <f>DO_DB[[#This Row],[DN Number]]</f>
        <v>DNWID0362023101402</v>
      </c>
    </row>
    <row r="2158" spans="1:18">
      <c r="A2158" t="s">
        <v>332</v>
      </c>
      <c r="B2158" t="s">
        <v>333</v>
      </c>
      <c r="C2158" s="172" t="s">
        <v>4482</v>
      </c>
      <c r="D2158" t="s">
        <v>71</v>
      </c>
      <c r="E2158" t="s">
        <v>24</v>
      </c>
      <c r="F2158" t="s">
        <v>3295</v>
      </c>
      <c r="G2158" t="s">
        <v>350</v>
      </c>
      <c r="H2158" t="s">
        <v>351</v>
      </c>
      <c r="I2158" s="130">
        <v>45213</v>
      </c>
      <c r="J2158" t="s">
        <v>3070</v>
      </c>
      <c r="K2158">
        <v>2</v>
      </c>
      <c r="M21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58" t="str">
        <f>DO_DB[[#This Row],[Material Pick-update]]&amp;"_"&amp;DO_DB[[#This Row],[Material Name]]</f>
        <v>45213_Pole 7M 3"</v>
      </c>
      <c r="O2158" t="str">
        <f>DO_DB[[#This Row],[SiteID]]</f>
        <v>CLR51-99-018</v>
      </c>
      <c r="P2158" t="str">
        <f>DO_DB[[#This Row],[SiteID]]&amp;"_"&amp;DO_DB[[#This Row],[Material Name]]</f>
        <v>CLR51-99-018_Pole 7M 3"</v>
      </c>
      <c r="Q2158" t="str">
        <f>DO_DB[[#This Row],[DO Number]]</f>
        <v>DOEID23101404</v>
      </c>
      <c r="R2158" t="str">
        <f>DO_DB[[#This Row],[DN Number]]</f>
        <v>DNWID0362023101404</v>
      </c>
    </row>
    <row r="2159" spans="1:18">
      <c r="A2159" t="s">
        <v>468</v>
      </c>
      <c r="B2159" t="s">
        <v>469</v>
      </c>
      <c r="C2159" s="172" t="s">
        <v>4482</v>
      </c>
      <c r="D2159" t="s">
        <v>71</v>
      </c>
      <c r="E2159" t="s">
        <v>24</v>
      </c>
      <c r="F2159" t="s">
        <v>3295</v>
      </c>
      <c r="G2159" t="s">
        <v>542</v>
      </c>
      <c r="H2159" t="s">
        <v>543</v>
      </c>
      <c r="I2159" s="130">
        <v>45245</v>
      </c>
      <c r="J2159" t="s">
        <v>3070</v>
      </c>
      <c r="K2159">
        <v>26</v>
      </c>
      <c r="M21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59" t="str">
        <f>DO_DB[[#This Row],[Material Pick-update]]&amp;"_"&amp;DO_DB[[#This Row],[Material Name]]</f>
        <v>45245_Pole 7M 3"</v>
      </c>
      <c r="O2159" t="str">
        <f>DO_DB[[#This Row],[SiteID]]</f>
        <v>CLR51-99-026</v>
      </c>
      <c r="P2159" t="str">
        <f>DO_DB[[#This Row],[SiteID]]&amp;"_"&amp;DO_DB[[#This Row],[Material Name]]</f>
        <v>CLR51-99-026_Pole 7M 3"</v>
      </c>
      <c r="Q2159" t="str">
        <f>DO_DB[[#This Row],[DO Number]]</f>
        <v>DOEID231113AX</v>
      </c>
      <c r="R2159" t="str">
        <f>DO_DB[[#This Row],[DN Number]]</f>
        <v>DNWID0362023111303</v>
      </c>
    </row>
    <row r="2160" spans="1:18">
      <c r="A2160" t="s">
        <v>738</v>
      </c>
      <c r="B2160" t="s">
        <v>739</v>
      </c>
      <c r="C2160" s="172" t="s">
        <v>4482</v>
      </c>
      <c r="D2160" t="s">
        <v>71</v>
      </c>
      <c r="E2160" t="s">
        <v>24</v>
      </c>
      <c r="F2160" t="s">
        <v>3295</v>
      </c>
      <c r="G2160" t="s">
        <v>748</v>
      </c>
      <c r="H2160" t="s">
        <v>749</v>
      </c>
      <c r="I2160" s="130">
        <v>45287</v>
      </c>
      <c r="J2160" t="s">
        <v>3070</v>
      </c>
      <c r="K2160">
        <v>6</v>
      </c>
      <c r="M21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60" t="str">
        <f>DO_DB[[#This Row],[Material Pick-update]]&amp;"_"&amp;DO_DB[[#This Row],[Material Name]]</f>
        <v>45287_Pole 7M 3"</v>
      </c>
      <c r="O2160" t="str">
        <f>DO_DB[[#This Row],[SiteID]]</f>
        <v>CLR51-01-005</v>
      </c>
      <c r="P2160" t="str">
        <f>DO_DB[[#This Row],[SiteID]]&amp;"_"&amp;DO_DB[[#This Row],[Material Name]]</f>
        <v>CLR51-01-005_Pole 7M 3"</v>
      </c>
      <c r="Q2160" t="str">
        <f>DO_DB[[#This Row],[DO Number]]</f>
        <v>DOEID231223A5</v>
      </c>
      <c r="R2160" t="str">
        <f>DO_DB[[#This Row],[DN Number]]</f>
        <v>DNWID0362023122307</v>
      </c>
    </row>
    <row r="2161" spans="1:18">
      <c r="A2161" t="s">
        <v>742</v>
      </c>
      <c r="B2161" t="s">
        <v>743</v>
      </c>
      <c r="C2161" s="172" t="s">
        <v>4482</v>
      </c>
      <c r="D2161" t="s">
        <v>71</v>
      </c>
      <c r="E2161" t="s">
        <v>24</v>
      </c>
      <c r="F2161" t="s">
        <v>3295</v>
      </c>
      <c r="G2161" t="s">
        <v>746</v>
      </c>
      <c r="H2161" t="s">
        <v>747</v>
      </c>
      <c r="I2161" s="130">
        <v>45287</v>
      </c>
      <c r="J2161" t="s">
        <v>3070</v>
      </c>
      <c r="K2161">
        <v>14</v>
      </c>
      <c r="M21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61" t="str">
        <f>DO_DB[[#This Row],[Material Pick-update]]&amp;"_"&amp;DO_DB[[#This Row],[Material Name]]</f>
        <v>45287_Pole 7M 3"</v>
      </c>
      <c r="O2161" t="str">
        <f>DO_DB[[#This Row],[SiteID]]</f>
        <v>CLR51-99-038</v>
      </c>
      <c r="P2161" t="str">
        <f>DO_DB[[#This Row],[SiteID]]&amp;"_"&amp;DO_DB[[#This Row],[Material Name]]</f>
        <v>CLR51-99-038_Pole 7M 3"</v>
      </c>
      <c r="Q2161" t="str">
        <f>DO_DB[[#This Row],[DO Number]]</f>
        <v>DOEID231227AO</v>
      </c>
      <c r="R2161" t="str">
        <f>DO_DB[[#This Row],[DN Number]]</f>
        <v>DNWID0362023122703</v>
      </c>
    </row>
    <row r="2162" spans="1:18" s="81" customFormat="1">
      <c r="A2162" t="s">
        <v>828</v>
      </c>
      <c r="B2162" t="s">
        <v>829</v>
      </c>
      <c r="C2162" s="172" t="s">
        <v>4482</v>
      </c>
      <c r="D2162" t="s">
        <v>71</v>
      </c>
      <c r="E2162" t="s">
        <v>24</v>
      </c>
      <c r="F2162" t="s">
        <v>3295</v>
      </c>
      <c r="G2162" t="s">
        <v>830</v>
      </c>
      <c r="H2162" t="s">
        <v>831</v>
      </c>
      <c r="I2162" s="130">
        <v>45307</v>
      </c>
      <c r="J2162" t="s">
        <v>3070</v>
      </c>
      <c r="K2162">
        <v>21</v>
      </c>
      <c r="M21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62" t="str">
        <f>DO_DB[[#This Row],[Material Pick-update]]&amp;"_"&amp;DO_DB[[#This Row],[Material Name]]</f>
        <v>45307_Pole 7M 3"</v>
      </c>
      <c r="O2162" t="str">
        <f>DO_DB[[#This Row],[SiteID]]</f>
        <v>CLR29-99-153</v>
      </c>
      <c r="P2162" t="str">
        <f>DO_DB[[#This Row],[SiteID]]&amp;"_"&amp;DO_DB[[#This Row],[Material Name]]</f>
        <v>CLR29-99-153_Pole 7M 3"</v>
      </c>
      <c r="Q2162" t="str">
        <f>DO_DB[[#This Row],[DO Number]]</f>
        <v>DOEID24011539</v>
      </c>
      <c r="R2162" t="str">
        <f>DO_DB[[#This Row],[DN Number]]</f>
        <v>DNWID0362024011512</v>
      </c>
    </row>
    <row r="2163" spans="1:18">
      <c r="A2163" t="s">
        <v>838</v>
      </c>
      <c r="B2163" t="s">
        <v>839</v>
      </c>
      <c r="C2163" s="172" t="s">
        <v>4482</v>
      </c>
      <c r="D2163" t="s">
        <v>71</v>
      </c>
      <c r="E2163" t="s">
        <v>24</v>
      </c>
      <c r="F2163" t="s">
        <v>3295</v>
      </c>
      <c r="G2163" t="s">
        <v>840</v>
      </c>
      <c r="H2163" t="s">
        <v>841</v>
      </c>
      <c r="I2163" s="130">
        <v>45307</v>
      </c>
      <c r="J2163" t="s">
        <v>3070</v>
      </c>
      <c r="K2163">
        <v>17</v>
      </c>
      <c r="M21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63" t="str">
        <f>DO_DB[[#This Row],[Material Pick-update]]&amp;"_"&amp;DO_DB[[#This Row],[Material Name]]</f>
        <v>45307_Pole 7M 3"</v>
      </c>
      <c r="O2163" t="str">
        <f>DO_DB[[#This Row],[SiteID]]</f>
        <v>CLR51-99-066</v>
      </c>
      <c r="P2163" t="str">
        <f>DO_DB[[#This Row],[SiteID]]&amp;"_"&amp;DO_DB[[#This Row],[Material Name]]</f>
        <v>CLR51-99-066_Pole 7M 3"</v>
      </c>
      <c r="Q2163" t="str">
        <f>DO_DB[[#This Row],[DO Number]]</f>
        <v>DOEID24011541</v>
      </c>
      <c r="R2163" t="str">
        <f>DO_DB[[#This Row],[DN Number]]</f>
        <v>DNWID0362024011513</v>
      </c>
    </row>
    <row r="2164" spans="1:18">
      <c r="A2164" t="s">
        <v>911</v>
      </c>
      <c r="B2164" t="s">
        <v>912</v>
      </c>
      <c r="C2164" s="172" t="s">
        <v>4482</v>
      </c>
      <c r="D2164" t="s">
        <v>71</v>
      </c>
      <c r="E2164" t="s">
        <v>24</v>
      </c>
      <c r="F2164" t="s">
        <v>3295</v>
      </c>
      <c r="G2164" t="s">
        <v>915</v>
      </c>
      <c r="H2164" t="s">
        <v>916</v>
      </c>
      <c r="I2164" s="130">
        <v>45337</v>
      </c>
      <c r="J2164" t="s">
        <v>3070</v>
      </c>
      <c r="K2164">
        <v>7</v>
      </c>
      <c r="M21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64" t="str">
        <f>DO_DB[[#This Row],[Material Pick-update]]&amp;"_"&amp;DO_DB[[#This Row],[Material Name]]</f>
        <v>45337_Pole 7M 3"</v>
      </c>
      <c r="O2164" t="str">
        <f>DO_DB[[#This Row],[SiteID]]</f>
        <v>CLR51-99-067</v>
      </c>
      <c r="P2164" t="str">
        <f>DO_DB[[#This Row],[SiteID]]&amp;"_"&amp;DO_DB[[#This Row],[Material Name]]</f>
        <v>CLR51-99-067_Pole 7M 3"</v>
      </c>
      <c r="Q2164" t="str">
        <f>DO_DB[[#This Row],[DO Number]]</f>
        <v>DOEID24021518</v>
      </c>
      <c r="R2164" t="str">
        <f>DO_DB[[#This Row],[DN Number]]</f>
        <v>DNWID0362024021507</v>
      </c>
    </row>
    <row r="2165" spans="1:18">
      <c r="A2165" t="s">
        <v>921</v>
      </c>
      <c r="B2165" t="s">
        <v>922</v>
      </c>
      <c r="C2165" s="172" t="s">
        <v>4482</v>
      </c>
      <c r="D2165" t="s">
        <v>71</v>
      </c>
      <c r="E2165" t="s">
        <v>24</v>
      </c>
      <c r="F2165" t="s">
        <v>3295</v>
      </c>
      <c r="G2165" t="s">
        <v>923</v>
      </c>
      <c r="H2165" t="s">
        <v>924</v>
      </c>
      <c r="I2165" s="130">
        <v>45337</v>
      </c>
      <c r="J2165" t="s">
        <v>3070</v>
      </c>
      <c r="K2165">
        <v>15</v>
      </c>
      <c r="M21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65" t="str">
        <f>DO_DB[[#This Row],[Material Pick-update]]&amp;"_"&amp;DO_DB[[#This Row],[Material Name]]</f>
        <v>45337_Pole 7M 3"</v>
      </c>
      <c r="O2165" t="str">
        <f>DO_DB[[#This Row],[SiteID]]</f>
        <v>CLR51-99-078</v>
      </c>
      <c r="P2165" t="str">
        <f>DO_DB[[#This Row],[SiteID]]&amp;"_"&amp;DO_DB[[#This Row],[Material Name]]</f>
        <v>CLR51-99-078_Pole 7M 3"</v>
      </c>
      <c r="Q2165" t="str">
        <f>DO_DB[[#This Row],[DO Number]]</f>
        <v>DOEID24021520</v>
      </c>
      <c r="R2165" t="str">
        <f>DO_DB[[#This Row],[DN Number]]</f>
        <v>DNWID0362024021508</v>
      </c>
    </row>
    <row r="2166" spans="1:18">
      <c r="A2166" t="s">
        <v>1013</v>
      </c>
      <c r="B2166" t="s">
        <v>1014</v>
      </c>
      <c r="C2166" s="172" t="s">
        <v>4482</v>
      </c>
      <c r="D2166" t="s">
        <v>71</v>
      </c>
      <c r="E2166" t="s">
        <v>24</v>
      </c>
      <c r="F2166" t="s">
        <v>3295</v>
      </c>
      <c r="G2166" t="s">
        <v>1017</v>
      </c>
      <c r="H2166" t="s">
        <v>1018</v>
      </c>
      <c r="I2166" s="130">
        <v>45351</v>
      </c>
      <c r="J2166" t="s">
        <v>3070</v>
      </c>
      <c r="K2166">
        <v>17</v>
      </c>
      <c r="M21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66" t="str">
        <f>DO_DB[[#This Row],[Material Pick-update]]&amp;"_"&amp;DO_DB[[#This Row],[Material Name]]</f>
        <v>45351_Pole 7M 3"</v>
      </c>
      <c r="O2166" t="str">
        <f>DO_DB[[#This Row],[SiteID]]</f>
        <v>CLR51-99-079</v>
      </c>
      <c r="P2166" t="str">
        <f>DO_DB[[#This Row],[SiteID]]&amp;"_"&amp;DO_DB[[#This Row],[Material Name]]</f>
        <v>CLR51-99-079_Pole 7M 3"</v>
      </c>
      <c r="Q2166" t="str">
        <f>DO_DB[[#This Row],[DO Number]]</f>
        <v>DOEID240226C8</v>
      </c>
      <c r="R2166" t="str">
        <f>DO_DB[[#This Row],[DN Number]]</f>
        <v>DNWID0362024022659</v>
      </c>
    </row>
    <row r="2167" spans="1:18">
      <c r="A2167" t="s">
        <v>1161</v>
      </c>
      <c r="B2167" t="s">
        <v>1162</v>
      </c>
      <c r="C2167" s="172" t="s">
        <v>4482</v>
      </c>
      <c r="D2167" t="s">
        <v>71</v>
      </c>
      <c r="E2167" t="s">
        <v>24</v>
      </c>
      <c r="F2167" t="s">
        <v>3295</v>
      </c>
      <c r="G2167" t="s">
        <v>1165</v>
      </c>
      <c r="H2167" t="s">
        <v>1166</v>
      </c>
      <c r="I2167" s="130">
        <v>45370</v>
      </c>
      <c r="J2167" t="s">
        <v>3070</v>
      </c>
      <c r="K2167">
        <v>4</v>
      </c>
      <c r="M21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67" t="str">
        <f>DO_DB[[#This Row],[Material Pick-update]]&amp;"_"&amp;DO_DB[[#This Row],[Material Name]]</f>
        <v>45370_Pole 7M 3"</v>
      </c>
      <c r="O2167" t="str">
        <f>DO_DB[[#This Row],[SiteID]]</f>
        <v>CLR51-99-039</v>
      </c>
      <c r="P2167" t="str">
        <f>DO_DB[[#This Row],[SiteID]]&amp;"_"&amp;DO_DB[[#This Row],[Material Name]]</f>
        <v>CLR51-99-039_Pole 7M 3"</v>
      </c>
      <c r="Q2167" t="str">
        <f>DO_DB[[#This Row],[DO Number]]</f>
        <v>DOEID24031918</v>
      </c>
      <c r="R2167" t="str">
        <f>DO_DB[[#This Row],[DN Number]]</f>
        <v>DNWID0362024031906</v>
      </c>
    </row>
    <row r="2168" spans="1:18">
      <c r="A2168" t="s">
        <v>1155</v>
      </c>
      <c r="B2168" t="s">
        <v>1156</v>
      </c>
      <c r="C2168" s="172" t="s">
        <v>4482</v>
      </c>
      <c r="D2168" t="s">
        <v>71</v>
      </c>
      <c r="E2168" t="s">
        <v>24</v>
      </c>
      <c r="F2168" t="s">
        <v>3295</v>
      </c>
      <c r="G2168" t="s">
        <v>1157</v>
      </c>
      <c r="H2168" t="s">
        <v>1158</v>
      </c>
      <c r="I2168" s="130">
        <v>45370</v>
      </c>
      <c r="J2168" t="s">
        <v>3070</v>
      </c>
      <c r="K2168">
        <v>2</v>
      </c>
      <c r="M21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68" t="str">
        <f>DO_DB[[#This Row],[Material Pick-update]]&amp;"_"&amp;DO_DB[[#This Row],[Material Name]]</f>
        <v>45370_Pole 7M 3"</v>
      </c>
      <c r="O2168" t="str">
        <f>DO_DB[[#This Row],[SiteID]]</f>
        <v>CLR51-99-034</v>
      </c>
      <c r="P2168" t="str">
        <f>DO_DB[[#This Row],[SiteID]]&amp;"_"&amp;DO_DB[[#This Row],[Material Name]]</f>
        <v>CLR51-99-034_Pole 7M 3"</v>
      </c>
      <c r="Q2168" t="str">
        <f>DO_DB[[#This Row],[DO Number]]</f>
        <v>DOEID24031920</v>
      </c>
      <c r="R2168" t="str">
        <f>DO_DB[[#This Row],[DN Number]]</f>
        <v>DNWID0362024031907</v>
      </c>
    </row>
    <row r="2169" spans="1:18">
      <c r="A2169" t="s">
        <v>1151</v>
      </c>
      <c r="B2169" t="s">
        <v>1152</v>
      </c>
      <c r="C2169" s="172" t="s">
        <v>4482</v>
      </c>
      <c r="D2169" t="s">
        <v>71</v>
      </c>
      <c r="E2169" t="s">
        <v>24</v>
      </c>
      <c r="F2169" t="s">
        <v>3295</v>
      </c>
      <c r="G2169" t="s">
        <v>1159</v>
      </c>
      <c r="H2169" t="s">
        <v>1160</v>
      </c>
      <c r="I2169" s="130">
        <v>45370</v>
      </c>
      <c r="J2169" t="s">
        <v>3070</v>
      </c>
      <c r="K2169">
        <v>1</v>
      </c>
      <c r="M21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69" t="str">
        <f>DO_DB[[#This Row],[Material Pick-update]]&amp;"_"&amp;DO_DB[[#This Row],[Material Name]]</f>
        <v>45370_Pole 7M 3"</v>
      </c>
      <c r="O2169" t="str">
        <f>DO_DB[[#This Row],[SiteID]]</f>
        <v>CLR51-99-040</v>
      </c>
      <c r="P2169" t="str">
        <f>DO_DB[[#This Row],[SiteID]]&amp;"_"&amp;DO_DB[[#This Row],[Material Name]]</f>
        <v>CLR51-99-040_Pole 7M 3"</v>
      </c>
      <c r="Q2169" t="str">
        <f>DO_DB[[#This Row],[DO Number]]</f>
        <v>DOEID24031922</v>
      </c>
      <c r="R2169" t="str">
        <f>DO_DB[[#This Row],[DN Number]]</f>
        <v>DNWID0362024031908</v>
      </c>
    </row>
    <row r="2170" spans="1:18">
      <c r="A2170" t="s">
        <v>1405</v>
      </c>
      <c r="B2170" t="s">
        <v>1406</v>
      </c>
      <c r="C2170" s="172" t="s">
        <v>4482</v>
      </c>
      <c r="D2170" t="s">
        <v>71</v>
      </c>
      <c r="E2170" t="s">
        <v>24</v>
      </c>
      <c r="F2170" t="s">
        <v>3295</v>
      </c>
      <c r="G2170" t="s">
        <v>1407</v>
      </c>
      <c r="H2170" t="s">
        <v>1408</v>
      </c>
      <c r="I2170" s="130">
        <v>45432</v>
      </c>
      <c r="J2170" t="s">
        <v>3070</v>
      </c>
      <c r="K2170">
        <v>7</v>
      </c>
      <c r="M21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70" t="str">
        <f>DO_DB[[#This Row],[Material Pick-update]]&amp;"_"&amp;DO_DB[[#This Row],[Material Name]]</f>
        <v>45432_Pole 7M 3"</v>
      </c>
      <c r="O2170" t="str">
        <f>DO_DB[[#This Row],[SiteID]]</f>
        <v>CLR51-99-087</v>
      </c>
      <c r="P2170" t="str">
        <f>DO_DB[[#This Row],[SiteID]]&amp;"_"&amp;DO_DB[[#This Row],[Material Name]]</f>
        <v>CLR51-99-087_Pole 7M 3"</v>
      </c>
      <c r="Q2170" t="str">
        <f>DO_DB[[#This Row],[DO Number]]</f>
        <v>DOEID240517DJ</v>
      </c>
      <c r="R2170" t="str">
        <f>DO_DB[[#This Row],[DN Number]]</f>
        <v>DNWID0362024051709</v>
      </c>
    </row>
    <row r="2171" spans="1:18">
      <c r="A2171" t="s">
        <v>1679</v>
      </c>
      <c r="B2171" t="s">
        <v>1680</v>
      </c>
      <c r="C2171" s="172" t="s">
        <v>4482</v>
      </c>
      <c r="D2171" t="s">
        <v>71</v>
      </c>
      <c r="E2171" t="s">
        <v>709</v>
      </c>
      <c r="F2171" t="s">
        <v>3295</v>
      </c>
      <c r="G2171" t="s">
        <v>1687</v>
      </c>
      <c r="H2171" t="s">
        <v>1688</v>
      </c>
      <c r="I2171" s="130">
        <v>45467</v>
      </c>
      <c r="J2171" t="s">
        <v>3070</v>
      </c>
      <c r="K2171">
        <v>13</v>
      </c>
      <c r="M21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71" t="str">
        <f>DO_DB[[#This Row],[Material Pick-update]]&amp;"_"&amp;DO_DB[[#This Row],[Material Name]]</f>
        <v>45467_Pole 7M 3"</v>
      </c>
      <c r="O2171" t="str">
        <f>DO_DB[[#This Row],[SiteID]]</f>
        <v>CLR41-03-021</v>
      </c>
      <c r="P2171" t="str">
        <f>DO_DB[[#This Row],[SiteID]]&amp;"_"&amp;DO_DB[[#This Row],[Material Name]]</f>
        <v>CLR41-03-021_Pole 7M 3"</v>
      </c>
      <c r="Q2171" t="str">
        <f>DO_DB[[#This Row],[DO Number]]</f>
        <v>DOEID240613I3</v>
      </c>
      <c r="R2171" t="str">
        <f>DO_DB[[#This Row],[DN Number]]</f>
        <v>DNWID0362024061411</v>
      </c>
    </row>
    <row r="2172" spans="1:18">
      <c r="A2172" t="s">
        <v>1923</v>
      </c>
      <c r="B2172" t="s">
        <v>1924</v>
      </c>
      <c r="C2172" s="172" t="s">
        <v>4482</v>
      </c>
      <c r="D2172" t="s">
        <v>71</v>
      </c>
      <c r="E2172" t="s">
        <v>24</v>
      </c>
      <c r="F2172" t="s">
        <v>3295</v>
      </c>
      <c r="G2172" t="s">
        <v>1927</v>
      </c>
      <c r="H2172" t="s">
        <v>1928</v>
      </c>
      <c r="I2172" s="130">
        <v>45526</v>
      </c>
      <c r="J2172" t="s">
        <v>3070</v>
      </c>
      <c r="K2172">
        <v>3</v>
      </c>
      <c r="M21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72" t="str">
        <f>DO_DB[[#This Row],[Material Pick-update]]&amp;"_"&amp;DO_DB[[#This Row],[Material Name]]</f>
        <v>45526_Pole 7M 3"</v>
      </c>
      <c r="O2172" t="str">
        <f>DO_DB[[#This Row],[SiteID]]</f>
        <v>CLR51-09-001</v>
      </c>
      <c r="P2172" t="str">
        <f>DO_DB[[#This Row],[SiteID]]&amp;"_"&amp;DO_DB[[#This Row],[Material Name]]</f>
        <v>CLR51-09-001_Pole 7M 3"</v>
      </c>
      <c r="Q2172" t="str">
        <f>DO_DB[[#This Row],[DO Number]]</f>
        <v>DOEID24081986</v>
      </c>
      <c r="R2172" t="str">
        <f>DO_DB[[#This Row],[DN Number]]</f>
        <v>DNWID0362024081905</v>
      </c>
    </row>
    <row r="2173" spans="1:18">
      <c r="A2173" t="s">
        <v>1911</v>
      </c>
      <c r="B2173" t="s">
        <v>1912</v>
      </c>
      <c r="C2173" s="172" t="s">
        <v>4482</v>
      </c>
      <c r="D2173" t="s">
        <v>71</v>
      </c>
      <c r="E2173" t="s">
        <v>24</v>
      </c>
      <c r="F2173" t="s">
        <v>3295</v>
      </c>
      <c r="G2173" t="s">
        <v>1913</v>
      </c>
      <c r="H2173" t="s">
        <v>1914</v>
      </c>
      <c r="I2173" s="130">
        <v>45526</v>
      </c>
      <c r="J2173" t="s">
        <v>3070</v>
      </c>
      <c r="K2173">
        <v>6</v>
      </c>
      <c r="M21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73" t="str">
        <f>DO_DB[[#This Row],[Material Pick-update]]&amp;"_"&amp;DO_DB[[#This Row],[Material Name]]</f>
        <v>45526_Pole 7M 3"</v>
      </c>
      <c r="O2173" t="str">
        <f>DO_DB[[#This Row],[SiteID]]</f>
        <v>CLR51-09-009</v>
      </c>
      <c r="P2173" t="str">
        <f>DO_DB[[#This Row],[SiteID]]&amp;"_"&amp;DO_DB[[#This Row],[Material Name]]</f>
        <v>CLR51-09-009_Pole 7M 3"</v>
      </c>
      <c r="Q2173" t="str">
        <f>DO_DB[[#This Row],[DO Number]]</f>
        <v>DOEID24081988</v>
      </c>
      <c r="R2173" t="str">
        <f>DO_DB[[#This Row],[DN Number]]</f>
        <v>DNWID0362024081906</v>
      </c>
    </row>
    <row r="2174" spans="1:18">
      <c r="A2174" t="s">
        <v>1917</v>
      </c>
      <c r="B2174" t="s">
        <v>1918</v>
      </c>
      <c r="C2174" s="172" t="s">
        <v>4482</v>
      </c>
      <c r="D2174" t="s">
        <v>71</v>
      </c>
      <c r="E2174" t="s">
        <v>24</v>
      </c>
      <c r="F2174" t="s">
        <v>3295</v>
      </c>
      <c r="G2174" t="s">
        <v>1921</v>
      </c>
      <c r="H2174" t="s">
        <v>1922</v>
      </c>
      <c r="I2174" s="130">
        <v>45526</v>
      </c>
      <c r="J2174" t="s">
        <v>3070</v>
      </c>
      <c r="K2174">
        <v>2</v>
      </c>
      <c r="M21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74" t="str">
        <f>DO_DB[[#This Row],[Material Pick-update]]&amp;"_"&amp;DO_DB[[#This Row],[Material Name]]</f>
        <v>45526_Pole 7M 3"</v>
      </c>
      <c r="O2174" t="str">
        <f>DO_DB[[#This Row],[SiteID]]</f>
        <v>CLR51-09-008</v>
      </c>
      <c r="P2174" t="str">
        <f>DO_DB[[#This Row],[SiteID]]&amp;"_"&amp;DO_DB[[#This Row],[Material Name]]</f>
        <v>CLR51-09-008_Pole 7M 3"</v>
      </c>
      <c r="Q2174" t="str">
        <f>DO_DB[[#This Row],[DO Number]]</f>
        <v>DOEID24081990</v>
      </c>
      <c r="R2174" t="str">
        <f>DO_DB[[#This Row],[DN Number]]</f>
        <v>DNWID0362024081907</v>
      </c>
    </row>
    <row r="2175" spans="1:18">
      <c r="A2175" t="s">
        <v>1929</v>
      </c>
      <c r="B2175" t="s">
        <v>1930</v>
      </c>
      <c r="C2175" s="172" t="s">
        <v>4482</v>
      </c>
      <c r="D2175" t="s">
        <v>71</v>
      </c>
      <c r="E2175" t="s">
        <v>24</v>
      </c>
      <c r="F2175" t="s">
        <v>3295</v>
      </c>
      <c r="G2175" t="s">
        <v>1937</v>
      </c>
      <c r="H2175" t="s">
        <v>1938</v>
      </c>
      <c r="I2175" s="130">
        <v>45526</v>
      </c>
      <c r="J2175" t="s">
        <v>3070</v>
      </c>
      <c r="K2175">
        <v>8</v>
      </c>
      <c r="M21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75" t="str">
        <f>DO_DB[[#This Row],[Material Pick-update]]&amp;"_"&amp;DO_DB[[#This Row],[Material Name]]</f>
        <v>45526_Pole 7M 3"</v>
      </c>
      <c r="O2175" t="str">
        <f>DO_DB[[#This Row],[SiteID]]</f>
        <v>CLR51-03-010</v>
      </c>
      <c r="P2175" t="str">
        <f>DO_DB[[#This Row],[SiteID]]&amp;"_"&amp;DO_DB[[#This Row],[Material Name]]</f>
        <v>CLR51-03-010_Pole 7M 3"</v>
      </c>
      <c r="Q2175" t="str">
        <f>DO_DB[[#This Row],[DO Number]]</f>
        <v>DOEID24081995</v>
      </c>
      <c r="R2175" t="str">
        <f>DO_DB[[#This Row],[DN Number]]</f>
        <v>DNWID0362024081909</v>
      </c>
    </row>
    <row r="2176" spans="1:18">
      <c r="A2176" t="s">
        <v>2019</v>
      </c>
      <c r="B2176" t="s">
        <v>2020</v>
      </c>
      <c r="C2176" s="172" t="s">
        <v>4482</v>
      </c>
      <c r="D2176" t="s">
        <v>71</v>
      </c>
      <c r="E2176" t="s">
        <v>25</v>
      </c>
      <c r="F2176" t="s">
        <v>3295</v>
      </c>
      <c r="G2176" t="s">
        <v>2021</v>
      </c>
      <c r="H2176" t="s">
        <v>2022</v>
      </c>
      <c r="I2176" s="130">
        <v>45531</v>
      </c>
      <c r="J2176" t="s">
        <v>3070</v>
      </c>
      <c r="K2176">
        <v>14</v>
      </c>
      <c r="M21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76" t="str">
        <f>DO_DB[[#This Row],[Material Pick-update]]&amp;"_"&amp;DO_DB[[#This Row],[Material Name]]</f>
        <v>45531_Pole 7M 3"</v>
      </c>
      <c r="O2176" t="str">
        <f>DO_DB[[#This Row],[SiteID]]</f>
        <v>CLR64-01-010</v>
      </c>
      <c r="P2176" t="str">
        <f>DO_DB[[#This Row],[SiteID]]&amp;"_"&amp;DO_DB[[#This Row],[Material Name]]</f>
        <v>CLR64-01-010_Pole 7M 3"</v>
      </c>
      <c r="Q2176" t="str">
        <f>DO_DB[[#This Row],[DO Number]]</f>
        <v>DOEID240826HT</v>
      </c>
      <c r="R2176" t="str">
        <f>DO_DB[[#This Row],[DN Number]]</f>
        <v>DNWID0362024082712</v>
      </c>
    </row>
    <row r="2177" spans="1:18">
      <c r="A2177" t="s">
        <v>2166</v>
      </c>
      <c r="B2177" t="s">
        <v>2167</v>
      </c>
      <c r="C2177" s="172" t="s">
        <v>4482</v>
      </c>
      <c r="D2177" t="s">
        <v>71</v>
      </c>
      <c r="E2177" t="s">
        <v>24</v>
      </c>
      <c r="F2177" t="s">
        <v>3295</v>
      </c>
      <c r="G2177" t="s">
        <v>2168</v>
      </c>
      <c r="H2177" t="s">
        <v>2169</v>
      </c>
      <c r="I2177" s="130">
        <v>45555</v>
      </c>
      <c r="J2177" t="s">
        <v>3070</v>
      </c>
      <c r="K2177">
        <v>3</v>
      </c>
      <c r="M21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77" t="str">
        <f>DO_DB[[#This Row],[Material Pick-update]]&amp;"_"&amp;DO_DB[[#This Row],[Material Name]]</f>
        <v>45555_Pole 7M 3"</v>
      </c>
      <c r="O2177" t="str">
        <f>DO_DB[[#This Row],[SiteID]]</f>
        <v>CLR51-03-006</v>
      </c>
      <c r="P2177" t="str">
        <f>DO_DB[[#This Row],[SiteID]]&amp;"_"&amp;DO_DB[[#This Row],[Material Name]]</f>
        <v>CLR51-03-006_Pole 7M 3"</v>
      </c>
      <c r="Q2177" t="str">
        <f>DO_DB[[#This Row],[DO Number]]</f>
        <v>DOEID24092014</v>
      </c>
      <c r="R2177" t="str">
        <f>DO_DB[[#This Row],[DN Number]]</f>
        <v>DNWID0362024092002</v>
      </c>
    </row>
    <row r="2178" spans="1:18">
      <c r="A2178" t="s">
        <v>2160</v>
      </c>
      <c r="B2178" t="s">
        <v>2161</v>
      </c>
      <c r="C2178" s="172" t="s">
        <v>4482</v>
      </c>
      <c r="D2178" t="s">
        <v>71</v>
      </c>
      <c r="E2178" t="s">
        <v>24</v>
      </c>
      <c r="F2178" t="s">
        <v>3295</v>
      </c>
      <c r="G2178" t="s">
        <v>2162</v>
      </c>
      <c r="H2178" t="s">
        <v>2163</v>
      </c>
      <c r="I2178" s="130">
        <v>45555</v>
      </c>
      <c r="J2178" t="s">
        <v>3070</v>
      </c>
      <c r="K2178">
        <v>1</v>
      </c>
      <c r="M21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78" t="str">
        <f>DO_DB[[#This Row],[Material Pick-update]]&amp;"_"&amp;DO_DB[[#This Row],[Material Name]]</f>
        <v>45555_Pole 7M 3"</v>
      </c>
      <c r="O2178" t="str">
        <f>DO_DB[[#This Row],[SiteID]]</f>
        <v>CLR51-99-122</v>
      </c>
      <c r="P2178" t="str">
        <f>DO_DB[[#This Row],[SiteID]]&amp;"_"&amp;DO_DB[[#This Row],[Material Name]]</f>
        <v>CLR51-99-122_Pole 7M 3"</v>
      </c>
      <c r="Q2178" t="str">
        <f>DO_DB[[#This Row],[DO Number]]</f>
        <v>DOEID24092016</v>
      </c>
      <c r="R2178" t="str">
        <f>DO_DB[[#This Row],[DN Number]]</f>
        <v>DNWID0362024092003</v>
      </c>
    </row>
    <row r="2179" spans="1:18">
      <c r="A2179" t="s">
        <v>2013</v>
      </c>
      <c r="B2179" t="s">
        <v>2014</v>
      </c>
      <c r="C2179" s="172" t="s">
        <v>4482</v>
      </c>
      <c r="D2179" t="s">
        <v>71</v>
      </c>
      <c r="E2179" t="s">
        <v>24</v>
      </c>
      <c r="F2179" t="s">
        <v>3295</v>
      </c>
      <c r="G2179" t="s">
        <v>2164</v>
      </c>
      <c r="H2179" t="s">
        <v>2165</v>
      </c>
      <c r="I2179" s="130">
        <v>45555</v>
      </c>
      <c r="J2179" t="s">
        <v>3070</v>
      </c>
      <c r="K2179">
        <v>10</v>
      </c>
      <c r="M21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79" t="str">
        <f>DO_DB[[#This Row],[Material Pick-update]]&amp;"_"&amp;DO_DB[[#This Row],[Material Name]]</f>
        <v>45555_Pole 7M 3"</v>
      </c>
      <c r="O2179" t="str">
        <f>DO_DB[[#This Row],[SiteID]]</f>
        <v>CLR51-99-049</v>
      </c>
      <c r="P2179" t="str">
        <f>DO_DB[[#This Row],[SiteID]]&amp;"_"&amp;DO_DB[[#This Row],[Material Name]]</f>
        <v>CLR51-99-049_Pole 7M 3"</v>
      </c>
      <c r="Q2179" t="str">
        <f>DO_DB[[#This Row],[DO Number]]</f>
        <v>DOEID24092031</v>
      </c>
      <c r="R2179" t="str">
        <f>DO_DB[[#This Row],[DN Number]]</f>
        <v>DNWID0362024092001</v>
      </c>
    </row>
    <row r="2180" spans="1:18" s="81" customFormat="1">
      <c r="A2180" t="s">
        <v>2354</v>
      </c>
      <c r="B2180" t="s">
        <v>2355</v>
      </c>
      <c r="C2180" s="172" t="s">
        <v>4482</v>
      </c>
      <c r="D2180" t="s">
        <v>71</v>
      </c>
      <c r="E2180" t="s">
        <v>24</v>
      </c>
      <c r="F2180" t="s">
        <v>3295</v>
      </c>
      <c r="G2180" t="s">
        <v>2356</v>
      </c>
      <c r="H2180" t="s">
        <v>2357</v>
      </c>
      <c r="I2180" s="130">
        <v>45602</v>
      </c>
      <c r="J2180" t="s">
        <v>3070</v>
      </c>
      <c r="K2180">
        <v>8</v>
      </c>
      <c r="M21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80" t="str">
        <f>DO_DB[[#This Row],[Material Pick-update]]&amp;"_"&amp;DO_DB[[#This Row],[Material Name]]</f>
        <v>45602_Pole 7M 3"</v>
      </c>
      <c r="O2180" t="str">
        <f>DO_DB[[#This Row],[SiteID]]</f>
        <v>MF51-07</v>
      </c>
      <c r="P2180" t="str">
        <f>DO_DB[[#This Row],[SiteID]]&amp;"_"&amp;DO_DB[[#This Row],[Material Name]]</f>
        <v>MF51-07_Pole 7M 3"</v>
      </c>
      <c r="Q2180" t="str">
        <f>DO_DB[[#This Row],[DO Number]]</f>
        <v>DOEID241029AI</v>
      </c>
      <c r="R2180" t="str">
        <f>DO_DB[[#This Row],[DN Number]]</f>
        <v>DNWID0362024102915</v>
      </c>
    </row>
    <row r="2181" spans="1:18">
      <c r="A2181" t="s">
        <v>2350</v>
      </c>
      <c r="B2181" t="s">
        <v>2351</v>
      </c>
      <c r="C2181" s="172" t="s">
        <v>4482</v>
      </c>
      <c r="D2181" t="s">
        <v>71</v>
      </c>
      <c r="E2181" t="s">
        <v>24</v>
      </c>
      <c r="F2181" t="s">
        <v>3295</v>
      </c>
      <c r="G2181" t="s">
        <v>2352</v>
      </c>
      <c r="H2181" t="s">
        <v>2353</v>
      </c>
      <c r="I2181" s="130">
        <v>45602</v>
      </c>
      <c r="J2181" t="s">
        <v>3070</v>
      </c>
      <c r="K2181">
        <v>5</v>
      </c>
      <c r="M21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81" t="str">
        <f>DO_DB[[#This Row],[Material Pick-update]]&amp;"_"&amp;DO_DB[[#This Row],[Material Name]]</f>
        <v>45602_Pole 7M 3"</v>
      </c>
      <c r="O2181" t="str">
        <f>DO_DB[[#This Row],[SiteID]]</f>
        <v>CLR51-01-009</v>
      </c>
      <c r="P2181" t="str">
        <f>DO_DB[[#This Row],[SiteID]]&amp;"_"&amp;DO_DB[[#This Row],[Material Name]]</f>
        <v>CLR51-01-009_Pole 7M 3"</v>
      </c>
      <c r="Q2181" t="str">
        <f>DO_DB[[#This Row],[DO Number]]</f>
        <v>DOEID24110549</v>
      </c>
      <c r="R2181" t="str">
        <f>DO_DB[[#This Row],[DN Number]]</f>
        <v>DNWID0362024110503</v>
      </c>
    </row>
    <row r="2182" spans="1:18">
      <c r="A2182" t="s">
        <v>2360</v>
      </c>
      <c r="B2182" t="s">
        <v>2361</v>
      </c>
      <c r="C2182" s="172" t="s">
        <v>4482</v>
      </c>
      <c r="D2182" t="s">
        <v>71</v>
      </c>
      <c r="E2182" t="s">
        <v>24</v>
      </c>
      <c r="F2182" t="s">
        <v>3295</v>
      </c>
      <c r="G2182" t="s">
        <v>2364</v>
      </c>
      <c r="H2182" t="s">
        <v>2365</v>
      </c>
      <c r="I2182" s="130">
        <v>45602</v>
      </c>
      <c r="J2182" t="s">
        <v>3070</v>
      </c>
      <c r="K2182">
        <v>10</v>
      </c>
      <c r="M21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82" t="str">
        <f>DO_DB[[#This Row],[Material Pick-update]]&amp;"_"&amp;DO_DB[[#This Row],[Material Name]]</f>
        <v>45602_Pole 7M 3"</v>
      </c>
      <c r="O2182" t="str">
        <f>DO_DB[[#This Row],[SiteID]]</f>
        <v>CLR51-99-123</v>
      </c>
      <c r="P2182" t="str">
        <f>DO_DB[[#This Row],[SiteID]]&amp;"_"&amp;DO_DB[[#This Row],[Material Name]]</f>
        <v>CLR51-99-123_Pole 7M 3"</v>
      </c>
      <c r="Q2182" t="str">
        <f>DO_DB[[#This Row],[DO Number]]</f>
        <v>DOEID24110551</v>
      </c>
      <c r="R2182" t="str">
        <f>DO_DB[[#This Row],[DN Number]]</f>
        <v>DNWID0362024110504</v>
      </c>
    </row>
    <row r="2183" spans="1:18">
      <c r="A2183" t="s">
        <v>2502</v>
      </c>
      <c r="B2183" t="s">
        <v>2503</v>
      </c>
      <c r="C2183" s="172" t="s">
        <v>4482</v>
      </c>
      <c r="D2183" t="s">
        <v>71</v>
      </c>
      <c r="E2183" t="s">
        <v>24</v>
      </c>
      <c r="F2183" t="s">
        <v>3295</v>
      </c>
      <c r="G2183" t="s">
        <v>2504</v>
      </c>
      <c r="H2183" t="s">
        <v>2505</v>
      </c>
      <c r="I2183" s="130">
        <v>45622</v>
      </c>
      <c r="J2183" t="s">
        <v>3070</v>
      </c>
      <c r="K2183">
        <v>4</v>
      </c>
      <c r="M21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83" t="str">
        <f>DO_DB[[#This Row],[Material Pick-update]]&amp;"_"&amp;DO_DB[[#This Row],[Material Name]]</f>
        <v>45622_Pole 7M 3"</v>
      </c>
      <c r="O2183" t="str">
        <f>DO_DB[[#This Row],[SiteID]]</f>
        <v>CLR51-09-010</v>
      </c>
      <c r="P2183" t="str">
        <f>DO_DB[[#This Row],[SiteID]]&amp;"_"&amp;DO_DB[[#This Row],[Material Name]]</f>
        <v>CLR51-09-010_Pole 7M 3"</v>
      </c>
      <c r="Q2183" t="str">
        <f>DO_DB[[#This Row],[DO Number]]</f>
        <v>DOEID241121BM</v>
      </c>
      <c r="R2183" t="str">
        <f>DO_DB[[#This Row],[DN Number]]</f>
        <v>DNWID0362024112204</v>
      </c>
    </row>
    <row r="2184" spans="1:18">
      <c r="A2184" t="s">
        <v>2514</v>
      </c>
      <c r="B2184" t="s">
        <v>2515</v>
      </c>
      <c r="C2184" s="172" t="s">
        <v>4482</v>
      </c>
      <c r="D2184" t="s">
        <v>71</v>
      </c>
      <c r="E2184" t="s">
        <v>24</v>
      </c>
      <c r="F2184" t="s">
        <v>3295</v>
      </c>
      <c r="G2184" t="s">
        <v>2516</v>
      </c>
      <c r="H2184" t="s">
        <v>2517</v>
      </c>
      <c r="I2184" s="130">
        <v>45622</v>
      </c>
      <c r="J2184" t="s">
        <v>3070</v>
      </c>
      <c r="K2184">
        <v>7</v>
      </c>
      <c r="M21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84" t="str">
        <f>DO_DB[[#This Row],[Material Pick-update]]&amp;"_"&amp;DO_DB[[#This Row],[Material Name]]</f>
        <v>45622_Pole 7M 3"</v>
      </c>
      <c r="O2184" t="str">
        <f>DO_DB[[#This Row],[SiteID]]</f>
        <v>CLR51-09-012</v>
      </c>
      <c r="P2184" t="str">
        <f>DO_DB[[#This Row],[SiteID]]&amp;"_"&amp;DO_DB[[#This Row],[Material Name]]</f>
        <v>CLR51-09-012_Pole 7M 3"</v>
      </c>
      <c r="Q2184" t="str">
        <f>DO_DB[[#This Row],[DO Number]]</f>
        <v>DOEID241121BQ</v>
      </c>
      <c r="R2184" t="str">
        <f>DO_DB[[#This Row],[DN Number]]</f>
        <v>DNWID0362024112202</v>
      </c>
    </row>
    <row r="2185" spans="1:18">
      <c r="A2185" t="s">
        <v>2520</v>
      </c>
      <c r="B2185" t="s">
        <v>2521</v>
      </c>
      <c r="C2185" s="172" t="s">
        <v>4482</v>
      </c>
      <c r="D2185" t="s">
        <v>71</v>
      </c>
      <c r="E2185" t="s">
        <v>24</v>
      </c>
      <c r="F2185" t="s">
        <v>3295</v>
      </c>
      <c r="G2185" t="s">
        <v>2522</v>
      </c>
      <c r="H2185" t="s">
        <v>2523</v>
      </c>
      <c r="I2185" s="130">
        <v>45622</v>
      </c>
      <c r="J2185" t="s">
        <v>3070</v>
      </c>
      <c r="K2185">
        <v>2</v>
      </c>
      <c r="M21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85" t="str">
        <f>DO_DB[[#This Row],[Material Pick-update]]&amp;"_"&amp;DO_DB[[#This Row],[Material Name]]</f>
        <v>45622_Pole 7M 3"</v>
      </c>
      <c r="O2185" t="str">
        <f>DO_DB[[#This Row],[SiteID]]</f>
        <v>CLR51-99-124</v>
      </c>
      <c r="P2185" t="str">
        <f>DO_DB[[#This Row],[SiteID]]&amp;"_"&amp;DO_DB[[#This Row],[Material Name]]</f>
        <v>CLR51-99-124_Pole 7M 3"</v>
      </c>
      <c r="Q2185" t="str">
        <f>DO_DB[[#This Row],[DO Number]]</f>
        <v>DOEID24112583</v>
      </c>
      <c r="R2185" t="str">
        <f>DO_DB[[#This Row],[DN Number]]</f>
        <v>DNWID0362024112507</v>
      </c>
    </row>
    <row r="2186" spans="1:18">
      <c r="A2186" t="s">
        <v>2539</v>
      </c>
      <c r="B2186" t="s">
        <v>2540</v>
      </c>
      <c r="C2186" s="172" t="s">
        <v>4482</v>
      </c>
      <c r="D2186" t="s">
        <v>71</v>
      </c>
      <c r="E2186" t="s">
        <v>24</v>
      </c>
      <c r="F2186" t="s">
        <v>3295</v>
      </c>
      <c r="G2186" t="s">
        <v>2541</v>
      </c>
      <c r="H2186" t="s">
        <v>2542</v>
      </c>
      <c r="I2186" s="130">
        <v>45642</v>
      </c>
      <c r="J2186" t="s">
        <v>3070</v>
      </c>
      <c r="K2186">
        <v>4</v>
      </c>
      <c r="M21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86" t="str">
        <f>DO_DB[[#This Row],[Material Pick-update]]&amp;"_"&amp;DO_DB[[#This Row],[Material Name]]</f>
        <v>45642_Pole 7M 3"</v>
      </c>
      <c r="O2186" t="str">
        <f>DO_DB[[#This Row],[SiteID]]</f>
        <v>CLR51-09-004</v>
      </c>
      <c r="P2186" t="str">
        <f>DO_DB[[#This Row],[SiteID]]&amp;"_"&amp;DO_DB[[#This Row],[Material Name]]</f>
        <v>CLR51-09-004_Pole 7M 3"</v>
      </c>
      <c r="Q2186" t="str">
        <f>DO_DB[[#This Row],[DO Number]]</f>
        <v>DOEID24121388</v>
      </c>
      <c r="R2186" t="str">
        <f>DO_DB[[#This Row],[DN Number]]</f>
        <v>DNWID0362024121305</v>
      </c>
    </row>
    <row r="2187" spans="1:18">
      <c r="A2187" t="s">
        <v>2549</v>
      </c>
      <c r="B2187" t="s">
        <v>2550</v>
      </c>
      <c r="C2187" s="172" t="s">
        <v>4482</v>
      </c>
      <c r="D2187" t="s">
        <v>71</v>
      </c>
      <c r="E2187" t="s">
        <v>24</v>
      </c>
      <c r="F2187" t="s">
        <v>3295</v>
      </c>
      <c r="G2187" t="s">
        <v>2551</v>
      </c>
      <c r="H2187" t="s">
        <v>2552</v>
      </c>
      <c r="I2187" s="130">
        <v>45642</v>
      </c>
      <c r="J2187" t="s">
        <v>3070</v>
      </c>
      <c r="K2187">
        <v>3</v>
      </c>
      <c r="M21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87" t="str">
        <f>DO_DB[[#This Row],[Material Pick-update]]&amp;"_"&amp;DO_DB[[#This Row],[Material Name]]</f>
        <v>45642_Pole 7M 3"</v>
      </c>
      <c r="O2187" t="str">
        <f>DO_DB[[#This Row],[SiteID]]</f>
        <v>CLR51-09-007</v>
      </c>
      <c r="P2187" t="str">
        <f>DO_DB[[#This Row],[SiteID]]&amp;"_"&amp;DO_DB[[#This Row],[Material Name]]</f>
        <v>CLR51-09-007_Pole 7M 3"</v>
      </c>
      <c r="Q2187" t="str">
        <f>DO_DB[[#This Row],[DO Number]]</f>
        <v>DOEID24121390</v>
      </c>
      <c r="R2187" t="str">
        <f>DO_DB[[#This Row],[DN Number]]</f>
        <v>DNWID0362024121304</v>
      </c>
    </row>
    <row r="2188" spans="1:18">
      <c r="A2188" t="s">
        <v>2535</v>
      </c>
      <c r="B2188" t="s">
        <v>2536</v>
      </c>
      <c r="C2188" s="172" t="s">
        <v>4482</v>
      </c>
      <c r="D2188" t="s">
        <v>71</v>
      </c>
      <c r="E2188" t="s">
        <v>24</v>
      </c>
      <c r="F2188" t="s">
        <v>3295</v>
      </c>
      <c r="G2188" t="s">
        <v>2547</v>
      </c>
      <c r="H2188" t="s">
        <v>2548</v>
      </c>
      <c r="I2188" s="130">
        <v>45642</v>
      </c>
      <c r="J2188" t="s">
        <v>3070</v>
      </c>
      <c r="K2188">
        <v>3</v>
      </c>
      <c r="M21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88" t="str">
        <f>DO_DB[[#This Row],[Material Pick-update]]&amp;"_"&amp;DO_DB[[#This Row],[Material Name]]</f>
        <v>45642_Pole 7M 3"</v>
      </c>
      <c r="O2188" t="str">
        <f>DO_DB[[#This Row],[SiteID]]</f>
        <v>CLR51-99-056</v>
      </c>
      <c r="P2188" t="str">
        <f>DO_DB[[#This Row],[SiteID]]&amp;"_"&amp;DO_DB[[#This Row],[Material Name]]</f>
        <v>CLR51-99-056_Pole 7M 3"</v>
      </c>
      <c r="Q2188" t="str">
        <f>DO_DB[[#This Row],[DO Number]]</f>
        <v>DOEID24121392</v>
      </c>
      <c r="R2188" t="str">
        <f>DO_DB[[#This Row],[DN Number]]</f>
        <v>DNWID0362024121303</v>
      </c>
    </row>
    <row r="2189" spans="1:18">
      <c r="A2189" t="s">
        <v>2543</v>
      </c>
      <c r="B2189" t="s">
        <v>2544</v>
      </c>
      <c r="C2189" s="172" t="s">
        <v>4482</v>
      </c>
      <c r="D2189" t="s">
        <v>71</v>
      </c>
      <c r="E2189" t="s">
        <v>24</v>
      </c>
      <c r="F2189" t="s">
        <v>3295</v>
      </c>
      <c r="G2189" t="s">
        <v>2545</v>
      </c>
      <c r="H2189" t="s">
        <v>2546</v>
      </c>
      <c r="I2189" s="130">
        <v>45642</v>
      </c>
      <c r="J2189" t="s">
        <v>3070</v>
      </c>
      <c r="K2189">
        <v>6</v>
      </c>
      <c r="M21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89" t="str">
        <f>DO_DB[[#This Row],[Material Pick-update]]&amp;"_"&amp;DO_DB[[#This Row],[Material Name]]</f>
        <v>45642_Pole 7M 3"</v>
      </c>
      <c r="O2189" t="str">
        <f>DO_DB[[#This Row],[SiteID]]</f>
        <v>CLR51-99-058</v>
      </c>
      <c r="P2189" t="str">
        <f>DO_DB[[#This Row],[SiteID]]&amp;"_"&amp;DO_DB[[#This Row],[Material Name]]</f>
        <v>CLR51-99-058_Pole 7M 3"</v>
      </c>
      <c r="Q2189" t="str">
        <f>DO_DB[[#This Row],[DO Number]]</f>
        <v>DOEID24121394</v>
      </c>
      <c r="R2189" t="str">
        <f>DO_DB[[#This Row],[DN Number]]</f>
        <v>DNWID0362024121302</v>
      </c>
    </row>
    <row r="2190" spans="1:18">
      <c r="A2190" t="s">
        <v>2561</v>
      </c>
      <c r="B2190" t="s">
        <v>2562</v>
      </c>
      <c r="C2190" s="172" t="s">
        <v>4482</v>
      </c>
      <c r="D2190" t="s">
        <v>71</v>
      </c>
      <c r="E2190" t="s">
        <v>25</v>
      </c>
      <c r="F2190" t="s">
        <v>3295</v>
      </c>
      <c r="G2190" t="s">
        <v>2646</v>
      </c>
      <c r="H2190" t="s">
        <v>2647</v>
      </c>
      <c r="I2190" s="130">
        <v>45707</v>
      </c>
      <c r="J2190" t="s">
        <v>3070</v>
      </c>
      <c r="K2190">
        <v>96</v>
      </c>
      <c r="M21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90" t="str">
        <f>DO_DB[[#This Row],[Material Pick-update]]&amp;"_"&amp;DO_DB[[#This Row],[Material Name]]</f>
        <v>45707_Pole 7M 3"</v>
      </c>
      <c r="O2190" t="str">
        <f>DO_DB[[#This Row],[SiteID]]</f>
        <v>CLR64-99-014</v>
      </c>
      <c r="P2190" t="str">
        <f>DO_DB[[#This Row],[SiteID]]&amp;"_"&amp;DO_DB[[#This Row],[Material Name]]</f>
        <v>CLR64-99-014_Pole 7M 3"</v>
      </c>
      <c r="Q2190" t="str">
        <f>DO_DB[[#This Row],[DO Number]]</f>
        <v>DOEID25021854</v>
      </c>
      <c r="R2190" t="str">
        <f>DO_DB[[#This Row],[DN Number]]</f>
        <v>DNWID0362025021803</v>
      </c>
    </row>
    <row r="2191" spans="1:18">
      <c r="A2191" t="s">
        <v>2648</v>
      </c>
      <c r="B2191" t="s">
        <v>2649</v>
      </c>
      <c r="C2191" s="172" t="s">
        <v>4482</v>
      </c>
      <c r="D2191" t="s">
        <v>71</v>
      </c>
      <c r="E2191" t="s">
        <v>24</v>
      </c>
      <c r="F2191" t="s">
        <v>3295</v>
      </c>
      <c r="G2191" t="s">
        <v>2652</v>
      </c>
      <c r="H2191" t="s">
        <v>2653</v>
      </c>
      <c r="I2191" s="130">
        <v>45707</v>
      </c>
      <c r="J2191" t="s">
        <v>3070</v>
      </c>
      <c r="K2191">
        <v>57</v>
      </c>
      <c r="M21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91" t="str">
        <f>DO_DB[[#This Row],[Material Pick-update]]&amp;"_"&amp;DO_DB[[#This Row],[Material Name]]</f>
        <v>45707_Pole 7M 3"</v>
      </c>
      <c r="O2191" t="str">
        <f>DO_DB[[#This Row],[SiteID]]</f>
        <v>CLR51-08-007</v>
      </c>
      <c r="P2191" t="str">
        <f>DO_DB[[#This Row],[SiteID]]&amp;"_"&amp;DO_DB[[#This Row],[Material Name]]</f>
        <v>CLR51-08-007_Pole 7M 3"</v>
      </c>
      <c r="Q2191" t="str">
        <f>DO_DB[[#This Row],[DO Number]]</f>
        <v>DOEID25021852</v>
      </c>
      <c r="R2191" t="str">
        <f>DO_DB[[#This Row],[DN Number]]</f>
        <v>DNWID0362025021804</v>
      </c>
    </row>
    <row r="2192" spans="1:18">
      <c r="A2192" t="s">
        <v>2809</v>
      </c>
      <c r="B2192" t="s">
        <v>2810</v>
      </c>
      <c r="C2192" s="172" t="s">
        <v>4482</v>
      </c>
      <c r="D2192" t="s">
        <v>71</v>
      </c>
      <c r="E2192" t="s">
        <v>24</v>
      </c>
      <c r="F2192" t="s">
        <v>3295</v>
      </c>
      <c r="G2192" t="s">
        <v>2811</v>
      </c>
      <c r="H2192" t="s">
        <v>2812</v>
      </c>
      <c r="I2192" s="130">
        <v>45820</v>
      </c>
      <c r="J2192" t="s">
        <v>3070</v>
      </c>
      <c r="K2192">
        <v>98</v>
      </c>
      <c r="M21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92" t="str">
        <f>DO_DB[[#This Row],[Material Pick-update]]&amp;"_"&amp;DO_DB[[#This Row],[Material Name]]</f>
        <v>45820_Pole 7M 3"</v>
      </c>
      <c r="O2192" t="str">
        <f>DO_DB[[#This Row],[SiteID]]</f>
        <v>CLR51-99-101</v>
      </c>
      <c r="P2192" t="str">
        <f>DO_DB[[#This Row],[SiteID]]&amp;"_"&amp;DO_DB[[#This Row],[Material Name]]</f>
        <v>CLR51-99-101_Pole 7M 3"</v>
      </c>
      <c r="Q2192" t="str">
        <f>DO_DB[[#This Row],[DO Number]]</f>
        <v>DOEID250610PE</v>
      </c>
      <c r="R2192" t="str">
        <f>DO_DB[[#This Row],[DN Number]]</f>
        <v>DNWID1382025061204</v>
      </c>
    </row>
    <row r="2193" spans="1:18">
      <c r="A2193" t="s">
        <v>2815</v>
      </c>
      <c r="B2193" t="s">
        <v>2816</v>
      </c>
      <c r="C2193" s="172" t="s">
        <v>4482</v>
      </c>
      <c r="D2193" t="s">
        <v>71</v>
      </c>
      <c r="E2193" t="s">
        <v>24</v>
      </c>
      <c r="F2193" t="s">
        <v>3295</v>
      </c>
      <c r="G2193" t="s">
        <v>2817</v>
      </c>
      <c r="H2193" t="s">
        <v>2818</v>
      </c>
      <c r="I2193" s="130">
        <v>45820</v>
      </c>
      <c r="J2193" t="s">
        <v>3070</v>
      </c>
      <c r="K2193">
        <v>14</v>
      </c>
      <c r="M21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93" t="str">
        <f>DO_DB[[#This Row],[Material Pick-update]]&amp;"_"&amp;DO_DB[[#This Row],[Material Name]]</f>
        <v>45820_Pole 7M 3"</v>
      </c>
      <c r="O2193" t="str">
        <f>DO_DB[[#This Row],[SiteID]]</f>
        <v>CLR51-99-104</v>
      </c>
      <c r="P2193" t="str">
        <f>DO_DB[[#This Row],[SiteID]]&amp;"_"&amp;DO_DB[[#This Row],[Material Name]]</f>
        <v>CLR51-99-104_Pole 7M 3"</v>
      </c>
      <c r="Q2193" t="str">
        <f>DO_DB[[#This Row],[DO Number]]</f>
        <v>DOEID250610PG</v>
      </c>
      <c r="R2193" t="str">
        <f>DO_DB[[#This Row],[DN Number]]</f>
        <v>DNWID1382025061201</v>
      </c>
    </row>
    <row r="2194" spans="1:18">
      <c r="A2194" t="s">
        <v>2821</v>
      </c>
      <c r="B2194" t="s">
        <v>2822</v>
      </c>
      <c r="C2194" s="172" t="s">
        <v>4482</v>
      </c>
      <c r="D2194" t="s">
        <v>71</v>
      </c>
      <c r="E2194" t="s">
        <v>24</v>
      </c>
      <c r="F2194" t="s">
        <v>3295</v>
      </c>
      <c r="G2194" t="s">
        <v>2823</v>
      </c>
      <c r="H2194" t="s">
        <v>2824</v>
      </c>
      <c r="I2194" s="130">
        <v>45820</v>
      </c>
      <c r="J2194" t="s">
        <v>3070</v>
      </c>
      <c r="K2194">
        <v>26</v>
      </c>
      <c r="M21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94" t="str">
        <f>DO_DB[[#This Row],[Material Pick-update]]&amp;"_"&amp;DO_DB[[#This Row],[Material Name]]</f>
        <v>45820_Pole 7M 3"</v>
      </c>
      <c r="O2194" t="str">
        <f>DO_DB[[#This Row],[SiteID]]</f>
        <v>CLR51-99-212</v>
      </c>
      <c r="P2194" t="str">
        <f>DO_DB[[#This Row],[SiteID]]&amp;"_"&amp;DO_DB[[#This Row],[Material Name]]</f>
        <v>CLR51-99-212_Pole 7M 3"</v>
      </c>
      <c r="Q2194" t="str">
        <f>DO_DB[[#This Row],[DO Number]]</f>
        <v>DOEID250610PI</v>
      </c>
      <c r="R2194" t="str">
        <f>DO_DB[[#This Row],[DN Number]]</f>
        <v>DNWID1382025061202</v>
      </c>
    </row>
    <row r="2195" spans="1:18">
      <c r="A2195" t="s">
        <v>2825</v>
      </c>
      <c r="B2195" t="s">
        <v>2826</v>
      </c>
      <c r="C2195" s="172" t="s">
        <v>4482</v>
      </c>
      <c r="D2195" t="s">
        <v>71</v>
      </c>
      <c r="E2195" t="s">
        <v>24</v>
      </c>
      <c r="F2195" t="s">
        <v>3295</v>
      </c>
      <c r="G2195" t="s">
        <v>2827</v>
      </c>
      <c r="H2195" t="s">
        <v>2828</v>
      </c>
      <c r="I2195" s="130">
        <v>45820</v>
      </c>
      <c r="J2195" t="s">
        <v>3070</v>
      </c>
      <c r="K2195">
        <v>21</v>
      </c>
      <c r="M21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95" t="str">
        <f>DO_DB[[#This Row],[Material Pick-update]]&amp;"_"&amp;DO_DB[[#This Row],[Material Name]]</f>
        <v>45820_Pole 7M 3"</v>
      </c>
      <c r="O2195" t="str">
        <f>DO_DB[[#This Row],[SiteID]]</f>
        <v>CLR51-99-238</v>
      </c>
      <c r="P2195" t="str">
        <f>DO_DB[[#This Row],[SiteID]]&amp;"_"&amp;DO_DB[[#This Row],[Material Name]]</f>
        <v>CLR51-99-238_Pole 7M 3"</v>
      </c>
      <c r="Q2195" t="str">
        <f>DO_DB[[#This Row],[DO Number]]</f>
        <v>DOEID250610PJ</v>
      </c>
      <c r="R2195" t="str">
        <f>DO_DB[[#This Row],[DN Number]]</f>
        <v>DNWID1382025061203</v>
      </c>
    </row>
    <row r="2196" spans="1:18">
      <c r="A2196" t="s">
        <v>2861</v>
      </c>
      <c r="B2196" t="s">
        <v>2862</v>
      </c>
      <c r="C2196" s="172" t="s">
        <v>4482</v>
      </c>
      <c r="D2196" t="s">
        <v>71</v>
      </c>
      <c r="E2196" t="s">
        <v>24</v>
      </c>
      <c r="F2196" t="s">
        <v>3295</v>
      </c>
      <c r="G2196" t="s">
        <v>2865</v>
      </c>
      <c r="H2196" t="s">
        <v>2866</v>
      </c>
      <c r="I2196" s="130">
        <v>45825</v>
      </c>
      <c r="J2196" t="s">
        <v>3070</v>
      </c>
      <c r="K2196">
        <v>73</v>
      </c>
      <c r="M21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96" t="str">
        <f>DO_DB[[#This Row],[Material Pick-update]]&amp;"_"&amp;DO_DB[[#This Row],[Material Name]]</f>
        <v>45825_Pole 7M 3"</v>
      </c>
      <c r="O2196" t="str">
        <f>DO_DB[[#This Row],[SiteID]]</f>
        <v>CLR51-99-242</v>
      </c>
      <c r="P2196" t="str">
        <f>DO_DB[[#This Row],[SiteID]]&amp;"_"&amp;DO_DB[[#This Row],[Material Name]]</f>
        <v>CLR51-99-242_Pole 7M 3"</v>
      </c>
      <c r="Q2196" t="str">
        <f>DO_DB[[#This Row],[DO Number]]</f>
        <v>DOEID250613BM</v>
      </c>
      <c r="R2196" t="str">
        <f>DO_DB[[#This Row],[DN Number]]</f>
        <v>DNWID1382025061702</v>
      </c>
    </row>
    <row r="2197" spans="1:18">
      <c r="A2197" t="s">
        <v>2855</v>
      </c>
      <c r="B2197" t="s">
        <v>2856</v>
      </c>
      <c r="C2197" s="172" t="s">
        <v>4482</v>
      </c>
      <c r="D2197" t="s">
        <v>71</v>
      </c>
      <c r="E2197" t="s">
        <v>24</v>
      </c>
      <c r="F2197" t="s">
        <v>3295</v>
      </c>
      <c r="G2197" t="s">
        <v>2859</v>
      </c>
      <c r="H2197" t="s">
        <v>2860</v>
      </c>
      <c r="I2197" s="130">
        <v>45825</v>
      </c>
      <c r="J2197" t="s">
        <v>3070</v>
      </c>
      <c r="K2197">
        <v>41</v>
      </c>
      <c r="M21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97" t="str">
        <f>DO_DB[[#This Row],[Material Pick-update]]&amp;"_"&amp;DO_DB[[#This Row],[Material Name]]</f>
        <v>45825_Pole 7M 3"</v>
      </c>
      <c r="O2197" t="str">
        <f>DO_DB[[#This Row],[SiteID]]</f>
        <v>CLR51-99-243</v>
      </c>
      <c r="P2197" t="str">
        <f>DO_DB[[#This Row],[SiteID]]&amp;"_"&amp;DO_DB[[#This Row],[Material Name]]</f>
        <v>CLR51-99-243_Pole 7M 3"</v>
      </c>
      <c r="Q2197" t="str">
        <f>DO_DB[[#This Row],[DO Number]]</f>
        <v>DOEID250613BO</v>
      </c>
      <c r="R2197" t="str">
        <f>DO_DB[[#This Row],[DN Number]]</f>
        <v>DNWID1382025061614</v>
      </c>
    </row>
    <row r="2198" spans="1:18" s="81" customFormat="1">
      <c r="A2198" t="s">
        <v>2851</v>
      </c>
      <c r="B2198" t="s">
        <v>2852</v>
      </c>
      <c r="C2198" s="172" t="s">
        <v>4482</v>
      </c>
      <c r="D2198" t="s">
        <v>71</v>
      </c>
      <c r="E2198" t="s">
        <v>24</v>
      </c>
      <c r="F2198" t="s">
        <v>3295</v>
      </c>
      <c r="G2198" t="s">
        <v>2853</v>
      </c>
      <c r="H2198" t="s">
        <v>2854</v>
      </c>
      <c r="I2198" s="130">
        <v>45825</v>
      </c>
      <c r="J2198" t="s">
        <v>3070</v>
      </c>
      <c r="K2198">
        <v>36</v>
      </c>
      <c r="M21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98" t="str">
        <f>DO_DB[[#This Row],[Material Pick-update]]&amp;"_"&amp;DO_DB[[#This Row],[Material Name]]</f>
        <v>45825_Pole 7M 3"</v>
      </c>
      <c r="O2198" t="str">
        <f>DO_DB[[#This Row],[SiteID]]</f>
        <v>CLR51-99-244</v>
      </c>
      <c r="P2198" t="str">
        <f>DO_DB[[#This Row],[SiteID]]&amp;"_"&amp;DO_DB[[#This Row],[Material Name]]</f>
        <v>CLR51-99-244_Pole 7M 3"</v>
      </c>
      <c r="Q2198" t="str">
        <f>DO_DB[[#This Row],[DO Number]]</f>
        <v>DOEID250613BQ</v>
      </c>
      <c r="R2198" t="str">
        <f>DO_DB[[#This Row],[DN Number]]</f>
        <v>DNWID1382025061703</v>
      </c>
    </row>
    <row r="2199" spans="1:18" s="81" customFormat="1">
      <c r="A2199" t="s">
        <v>2847</v>
      </c>
      <c r="B2199" t="s">
        <v>2848</v>
      </c>
      <c r="C2199" s="172" t="s">
        <v>4482</v>
      </c>
      <c r="D2199" t="s">
        <v>71</v>
      </c>
      <c r="E2199" t="s">
        <v>24</v>
      </c>
      <c r="F2199" t="s">
        <v>3295</v>
      </c>
      <c r="G2199" t="s">
        <v>2849</v>
      </c>
      <c r="H2199" t="s">
        <v>2850</v>
      </c>
      <c r="I2199" s="130">
        <v>45825</v>
      </c>
      <c r="J2199" t="s">
        <v>3070</v>
      </c>
      <c r="K2199">
        <v>24</v>
      </c>
      <c r="M21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199" t="str">
        <f>DO_DB[[#This Row],[Material Pick-update]]&amp;"_"&amp;DO_DB[[#This Row],[Material Name]]</f>
        <v>45825_Pole 7M 3"</v>
      </c>
      <c r="O2199" t="str">
        <f>DO_DB[[#This Row],[SiteID]]</f>
        <v>CLR51-99-245</v>
      </c>
      <c r="P2199" t="str">
        <f>DO_DB[[#This Row],[SiteID]]&amp;"_"&amp;DO_DB[[#This Row],[Material Name]]</f>
        <v>CLR51-99-245_Pole 7M 3"</v>
      </c>
      <c r="Q2199" t="str">
        <f>DO_DB[[#This Row],[DO Number]]</f>
        <v>DOEID250613BS</v>
      </c>
      <c r="R2199" t="str">
        <f>DO_DB[[#This Row],[DN Number]]</f>
        <v>DNWID1382025061704</v>
      </c>
    </row>
    <row r="2200" spans="1:18">
      <c r="A2200" t="s">
        <v>2843</v>
      </c>
      <c r="B2200" t="s">
        <v>2844</v>
      </c>
      <c r="C2200" s="172" t="s">
        <v>4482</v>
      </c>
      <c r="D2200" t="s">
        <v>71</v>
      </c>
      <c r="E2200" t="s">
        <v>24</v>
      </c>
      <c r="F2200" t="s">
        <v>3295</v>
      </c>
      <c r="G2200" t="s">
        <v>2845</v>
      </c>
      <c r="H2200" t="s">
        <v>2846</v>
      </c>
      <c r="I2200" s="130">
        <v>45825</v>
      </c>
      <c r="J2200" t="s">
        <v>3070</v>
      </c>
      <c r="K2200">
        <v>18</v>
      </c>
      <c r="M22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00" t="str">
        <f>DO_DB[[#This Row],[Material Pick-update]]&amp;"_"&amp;DO_DB[[#This Row],[Material Name]]</f>
        <v>45825_Pole 7M 3"</v>
      </c>
      <c r="O2200" t="str">
        <f>DO_DB[[#This Row],[SiteID]]</f>
        <v>CLR51-99-246</v>
      </c>
      <c r="P2200" t="str">
        <f>DO_DB[[#This Row],[SiteID]]&amp;"_"&amp;DO_DB[[#This Row],[Material Name]]</f>
        <v>CLR51-99-246_Pole 7M 3"</v>
      </c>
      <c r="Q2200" t="str">
        <f>DO_DB[[#This Row],[DO Number]]</f>
        <v>DOEID250613BU</v>
      </c>
      <c r="R2200" t="str">
        <f>DO_DB[[#This Row],[DN Number]]</f>
        <v>DNWID1382025061615</v>
      </c>
    </row>
    <row r="2201" spans="1:18">
      <c r="A2201" t="s">
        <v>2903</v>
      </c>
      <c r="B2201" t="s">
        <v>2904</v>
      </c>
      <c r="C2201" s="172" t="s">
        <v>4482</v>
      </c>
      <c r="D2201" t="s">
        <v>71</v>
      </c>
      <c r="E2201" t="s">
        <v>24</v>
      </c>
      <c r="F2201" t="s">
        <v>3295</v>
      </c>
      <c r="G2201" t="s">
        <v>2905</v>
      </c>
      <c r="H2201" t="s">
        <v>2906</v>
      </c>
      <c r="I2201" s="130">
        <v>45850</v>
      </c>
      <c r="J2201" t="s">
        <v>3070</v>
      </c>
      <c r="K2201">
        <v>39</v>
      </c>
      <c r="M22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01" t="str">
        <f>DO_DB[[#This Row],[Material Pick-update]]&amp;"_"&amp;DO_DB[[#This Row],[Material Name]]</f>
        <v>45850_Pole 7M 3"</v>
      </c>
      <c r="O2201" t="str">
        <f>DO_DB[[#This Row],[SiteID]]</f>
        <v>CLR51-99-106</v>
      </c>
      <c r="P2201" t="str">
        <f>DO_DB[[#This Row],[SiteID]]&amp;"_"&amp;DO_DB[[#This Row],[Material Name]]</f>
        <v>CLR51-99-106_Pole 7M 3"</v>
      </c>
      <c r="Q2201" t="str">
        <f>DO_DB[[#This Row],[DO Number]]</f>
        <v>DOEID250711ED</v>
      </c>
      <c r="R2201" t="str">
        <f>DO_DB[[#This Row],[DN Number]]</f>
        <v>DNWID1382025071110</v>
      </c>
    </row>
    <row r="2202" spans="1:18">
      <c r="A2202" t="s">
        <v>2909</v>
      </c>
      <c r="B2202" t="s">
        <v>2910</v>
      </c>
      <c r="C2202" s="172" t="s">
        <v>4482</v>
      </c>
      <c r="D2202" t="s">
        <v>71</v>
      </c>
      <c r="E2202" t="s">
        <v>24</v>
      </c>
      <c r="F2202" t="s">
        <v>3295</v>
      </c>
      <c r="G2202" t="s">
        <v>2911</v>
      </c>
      <c r="H2202" t="s">
        <v>2912</v>
      </c>
      <c r="I2202" s="130">
        <v>45850</v>
      </c>
      <c r="J2202" t="s">
        <v>3070</v>
      </c>
      <c r="K2202">
        <v>27</v>
      </c>
      <c r="M22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02" t="str">
        <f>DO_DB[[#This Row],[Material Pick-update]]&amp;"_"&amp;DO_DB[[#This Row],[Material Name]]</f>
        <v>45850_Pole 7M 3"</v>
      </c>
      <c r="O2202" t="str">
        <f>DO_DB[[#This Row],[SiteID]]</f>
        <v>CLR51-99-107</v>
      </c>
      <c r="P2202" t="str">
        <f>DO_DB[[#This Row],[SiteID]]&amp;"_"&amp;DO_DB[[#This Row],[Material Name]]</f>
        <v>CLR51-99-107_Pole 7M 3"</v>
      </c>
      <c r="Q2202" t="str">
        <f>DO_DB[[#This Row],[DO Number]]</f>
        <v>DOEID250711EF</v>
      </c>
      <c r="R2202" t="str">
        <f>DO_DB[[#This Row],[DN Number]]</f>
        <v>DNWID1382025071109</v>
      </c>
    </row>
    <row r="2203" spans="1:18">
      <c r="A2203" t="s">
        <v>2921</v>
      </c>
      <c r="B2203" t="s">
        <v>2922</v>
      </c>
      <c r="C2203" s="172" t="s">
        <v>4482</v>
      </c>
      <c r="D2203" t="s">
        <v>71</v>
      </c>
      <c r="E2203" t="s">
        <v>24</v>
      </c>
      <c r="F2203" t="s">
        <v>3295</v>
      </c>
      <c r="G2203" t="s">
        <v>2923</v>
      </c>
      <c r="H2203" t="s">
        <v>2924</v>
      </c>
      <c r="I2203" s="130">
        <v>45850</v>
      </c>
      <c r="J2203" t="s">
        <v>3070</v>
      </c>
      <c r="K2203">
        <v>18</v>
      </c>
      <c r="M22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03" t="str">
        <f>DO_DB[[#This Row],[Material Pick-update]]&amp;"_"&amp;DO_DB[[#This Row],[Material Name]]</f>
        <v>45850_Pole 7M 3"</v>
      </c>
      <c r="O2203" t="str">
        <f>DO_DB[[#This Row],[SiteID]]</f>
        <v>CLR51-99-112</v>
      </c>
      <c r="P2203" t="str">
        <f>DO_DB[[#This Row],[SiteID]]&amp;"_"&amp;DO_DB[[#This Row],[Material Name]]</f>
        <v>CLR51-99-112_Pole 7M 3"</v>
      </c>
      <c r="Q2203" t="str">
        <f>DO_DB[[#This Row],[DO Number]]</f>
        <v>DOEID250711EH</v>
      </c>
      <c r="R2203" t="str">
        <f>DO_DB[[#This Row],[DN Number]]</f>
        <v>DNWID1382025071111</v>
      </c>
    </row>
    <row r="2204" spans="1:18">
      <c r="A2204" t="s">
        <v>2915</v>
      </c>
      <c r="B2204" t="s">
        <v>2916</v>
      </c>
      <c r="C2204" s="172" t="s">
        <v>4482</v>
      </c>
      <c r="D2204" t="s">
        <v>71</v>
      </c>
      <c r="E2204" t="s">
        <v>24</v>
      </c>
      <c r="F2204" t="s">
        <v>3295</v>
      </c>
      <c r="G2204" t="s">
        <v>2917</v>
      </c>
      <c r="H2204" t="s">
        <v>2918</v>
      </c>
      <c r="I2204" s="130">
        <v>45850</v>
      </c>
      <c r="J2204" t="s">
        <v>3070</v>
      </c>
      <c r="K2204">
        <v>33</v>
      </c>
      <c r="M22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04" t="str">
        <f>DO_DB[[#This Row],[Material Pick-update]]&amp;"_"&amp;DO_DB[[#This Row],[Material Name]]</f>
        <v>45850_Pole 7M 3"</v>
      </c>
      <c r="O2204" t="str">
        <f>DO_DB[[#This Row],[SiteID]]</f>
        <v>CLR51-99-108</v>
      </c>
      <c r="P2204" t="str">
        <f>DO_DB[[#This Row],[SiteID]]&amp;"_"&amp;DO_DB[[#This Row],[Material Name]]</f>
        <v>CLR51-99-108_Pole 7M 3"</v>
      </c>
      <c r="Q2204" t="str">
        <f>DO_DB[[#This Row],[DO Number]]</f>
        <v>DOEID250711EI</v>
      </c>
      <c r="R2204" t="str">
        <f>DO_DB[[#This Row],[DN Number]]</f>
        <v>DNWID1382025071113</v>
      </c>
    </row>
    <row r="2205" spans="1:18">
      <c r="A2205" t="s">
        <v>2925</v>
      </c>
      <c r="B2205" t="s">
        <v>2926</v>
      </c>
      <c r="C2205" s="172" t="s">
        <v>4482</v>
      </c>
      <c r="D2205" t="s">
        <v>71</v>
      </c>
      <c r="E2205" t="s">
        <v>24</v>
      </c>
      <c r="F2205" t="s">
        <v>3295</v>
      </c>
      <c r="G2205" t="s">
        <v>2927</v>
      </c>
      <c r="H2205" t="s">
        <v>2928</v>
      </c>
      <c r="I2205" s="130">
        <v>45850</v>
      </c>
      <c r="J2205" t="s">
        <v>3070</v>
      </c>
      <c r="K2205">
        <v>39</v>
      </c>
      <c r="M22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05" t="str">
        <f>DO_DB[[#This Row],[Material Pick-update]]&amp;"_"&amp;DO_DB[[#This Row],[Material Name]]</f>
        <v>45850_Pole 7M 3"</v>
      </c>
      <c r="O2205" t="str">
        <f>DO_DB[[#This Row],[SiteID]]</f>
        <v>CLR51-99-264</v>
      </c>
      <c r="P2205" t="str">
        <f>DO_DB[[#This Row],[SiteID]]&amp;"_"&amp;DO_DB[[#This Row],[Material Name]]</f>
        <v>CLR51-99-264_Pole 7M 3"</v>
      </c>
      <c r="Q2205" t="str">
        <f>DO_DB[[#This Row],[DO Number]]</f>
        <v>DOEID250711EK</v>
      </c>
      <c r="R2205" t="str">
        <f>DO_DB[[#This Row],[DN Number]]</f>
        <v>DNWID1382025071112</v>
      </c>
    </row>
    <row r="2206" spans="1:18">
      <c r="A2206" t="s">
        <v>2696</v>
      </c>
      <c r="B2206" t="s">
        <v>2697</v>
      </c>
      <c r="C2206" s="172" t="s">
        <v>4482</v>
      </c>
      <c r="D2206" t="s">
        <v>71</v>
      </c>
      <c r="E2206" t="s">
        <v>24</v>
      </c>
      <c r="F2206" t="s">
        <v>3295</v>
      </c>
      <c r="G2206" t="s">
        <v>3201</v>
      </c>
      <c r="H2206" t="s">
        <v>3202</v>
      </c>
      <c r="I2206" s="130">
        <v>45888</v>
      </c>
      <c r="J2206" t="s">
        <v>3070</v>
      </c>
      <c r="K2206">
        <v>101</v>
      </c>
      <c r="M22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06" t="str">
        <f>DO_DB[[#This Row],[Material Pick-update]]&amp;"_"&amp;DO_DB[[#This Row],[Material Name]]</f>
        <v>45888_Pole 7M 3"</v>
      </c>
      <c r="O2206" t="str">
        <f>DO_DB[[#This Row],[SiteID]]</f>
        <v>CLR64-99-031</v>
      </c>
      <c r="P2206" t="str">
        <f>DO_DB[[#This Row],[SiteID]]&amp;"_"&amp;DO_DB[[#This Row],[Material Name]]</f>
        <v>CLR64-99-031_Pole 7M 3"</v>
      </c>
      <c r="Q2206" t="str">
        <f>DO_DB[[#This Row],[DO Number]]</f>
        <v>DOEID25081572</v>
      </c>
      <c r="R2206" t="str">
        <f>DO_DB[[#This Row],[DN Number]]</f>
        <v>DNWID1382025081504</v>
      </c>
    </row>
    <row r="2207" spans="1:18">
      <c r="A2207" t="s">
        <v>3203</v>
      </c>
      <c r="B2207" t="s">
        <v>3204</v>
      </c>
      <c r="C2207" s="172" t="s">
        <v>4482</v>
      </c>
      <c r="D2207" t="s">
        <v>71</v>
      </c>
      <c r="E2207" t="s">
        <v>24</v>
      </c>
      <c r="F2207" t="s">
        <v>3295</v>
      </c>
      <c r="G2207" t="s">
        <v>3205</v>
      </c>
      <c r="H2207" t="s">
        <v>3206</v>
      </c>
      <c r="I2207" s="130">
        <v>45888</v>
      </c>
      <c r="J2207" t="s">
        <v>3070</v>
      </c>
      <c r="K2207">
        <v>44</v>
      </c>
      <c r="M22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07" t="str">
        <f>DO_DB[[#This Row],[Material Pick-update]]&amp;"_"&amp;DO_DB[[#This Row],[Material Name]]</f>
        <v>45888_Pole 7M 3"</v>
      </c>
      <c r="O2207" t="str">
        <f>DO_DB[[#This Row],[SiteID]]</f>
        <v>CLR51-99-370</v>
      </c>
      <c r="P2207" t="str">
        <f>DO_DB[[#This Row],[SiteID]]&amp;"_"&amp;DO_DB[[#This Row],[Material Name]]</f>
        <v>CLR51-99-370_Pole 7M 3"</v>
      </c>
      <c r="Q2207" t="str">
        <f>DO_DB[[#This Row],[DO Number]]</f>
        <v>DOEID25081590</v>
      </c>
      <c r="R2207" t="str">
        <f>DO_DB[[#This Row],[DN Number]]</f>
        <v>DNWID1382025081505</v>
      </c>
    </row>
    <row r="2208" spans="1:18">
      <c r="A2208" t="s">
        <v>3662</v>
      </c>
      <c r="B2208" t="s">
        <v>3663</v>
      </c>
      <c r="C2208" s="172" t="s">
        <v>4482</v>
      </c>
      <c r="D2208" t="s">
        <v>71</v>
      </c>
      <c r="E2208" t="s">
        <v>24</v>
      </c>
      <c r="F2208" t="s">
        <v>3295</v>
      </c>
      <c r="G2208" t="s">
        <v>3664</v>
      </c>
      <c r="H2208" t="s">
        <v>3665</v>
      </c>
      <c r="I2208" s="130">
        <v>45896</v>
      </c>
      <c r="J2208" t="s">
        <v>3070</v>
      </c>
      <c r="K2208">
        <v>34</v>
      </c>
      <c r="M22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08" t="str">
        <f>DO_DB[[#This Row],[Material Pick-update]]&amp;"_"&amp;DO_DB[[#This Row],[Material Name]]</f>
        <v>45896_Pole 7M 3"</v>
      </c>
      <c r="O2208" t="str">
        <f>DO_DB[[#This Row],[SiteID]]</f>
        <v>CLR51-99-103</v>
      </c>
      <c r="P2208" t="str">
        <f>DO_DB[[#This Row],[SiteID]]&amp;"_"&amp;DO_DB[[#This Row],[Material Name]]</f>
        <v>CLR51-99-103_Pole 7M 3"</v>
      </c>
      <c r="Q2208" t="str">
        <f>DO_DB[[#This Row],[DO Number]]</f>
        <v>DOEID25082609</v>
      </c>
      <c r="R2208" t="str">
        <f>DO_DB[[#This Row],[DN Number]]</f>
        <v>DNWID1382025082604</v>
      </c>
    </row>
    <row r="2209" spans="1:18">
      <c r="A2209" t="s">
        <v>3668</v>
      </c>
      <c r="B2209" t="s">
        <v>3669</v>
      </c>
      <c r="C2209" s="172" t="s">
        <v>4482</v>
      </c>
      <c r="D2209" t="s">
        <v>71</v>
      </c>
      <c r="E2209" t="s">
        <v>24</v>
      </c>
      <c r="F2209" t="s">
        <v>3295</v>
      </c>
      <c r="G2209" t="s">
        <v>3670</v>
      </c>
      <c r="H2209" t="s">
        <v>3671</v>
      </c>
      <c r="I2209" s="130">
        <v>45896</v>
      </c>
      <c r="J2209" t="s">
        <v>3070</v>
      </c>
      <c r="K2209">
        <v>15</v>
      </c>
      <c r="M22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09" t="str">
        <f>DO_DB[[#This Row],[Material Pick-update]]&amp;"_"&amp;DO_DB[[#This Row],[Material Name]]</f>
        <v>45896_Pole 7M 3"</v>
      </c>
      <c r="O2209" t="str">
        <f>DO_DB[[#This Row],[SiteID]]</f>
        <v>CLR51-99-252</v>
      </c>
      <c r="P2209" t="str">
        <f>DO_DB[[#This Row],[SiteID]]&amp;"_"&amp;DO_DB[[#This Row],[Material Name]]</f>
        <v>CLR51-99-252_Pole 7M 3"</v>
      </c>
      <c r="Q2209" t="str">
        <f>DO_DB[[#This Row],[DO Number]]</f>
        <v>DOEID25082611</v>
      </c>
      <c r="R2209" t="str">
        <f>DO_DB[[#This Row],[DN Number]]</f>
        <v>DNWID1382025082607</v>
      </c>
    </row>
    <row r="2210" spans="1:18">
      <c r="A2210" s="172" t="s">
        <v>4595</v>
      </c>
      <c r="B2210" s="172" t="s">
        <v>4596</v>
      </c>
      <c r="C2210" s="172" t="s">
        <v>4482</v>
      </c>
      <c r="D2210" s="172" t="s">
        <v>71</v>
      </c>
      <c r="E2210" s="172" t="s">
        <v>24</v>
      </c>
      <c r="F2210" t="s">
        <v>3295</v>
      </c>
      <c r="G2210" s="172" t="s">
        <v>4669</v>
      </c>
      <c r="H2210" s="172" t="s">
        <v>4670</v>
      </c>
      <c r="I2210" s="173">
        <v>45951</v>
      </c>
      <c r="J2210" s="172" t="s">
        <v>3070</v>
      </c>
      <c r="K2210" s="172">
        <v>24</v>
      </c>
      <c r="M22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10" t="str">
        <f>DO_DB[[#This Row],[Material Pick-update]]&amp;"_"&amp;DO_DB[[#This Row],[Material Name]]</f>
        <v>45951_Pole 7M 3"</v>
      </c>
      <c r="O2210" t="str">
        <f>DO_DB[[#This Row],[SiteID]]</f>
        <v>CLR51-99-257</v>
      </c>
      <c r="P2210" t="str">
        <f>DO_DB[[#This Row],[SiteID]]&amp;"_"&amp;DO_DB[[#This Row],[Material Name]]</f>
        <v>CLR51-99-257_Pole 7M 3"</v>
      </c>
      <c r="Q2210" t="str">
        <f>DO_DB[[#This Row],[DO Number]]</f>
        <v>DOEID25102124</v>
      </c>
      <c r="R2210" t="str">
        <f>DO_DB[[#This Row],[DN Number]]</f>
        <v>DNWID1382025102104</v>
      </c>
    </row>
    <row r="2211" spans="1:18">
      <c r="A2211" s="172" t="s">
        <v>4663</v>
      </c>
      <c r="B2211" s="172" t="s">
        <v>4664</v>
      </c>
      <c r="C2211" s="172" t="s">
        <v>4482</v>
      </c>
      <c r="D2211" s="172" t="s">
        <v>71</v>
      </c>
      <c r="E2211" s="172" t="s">
        <v>24</v>
      </c>
      <c r="F2211" t="s">
        <v>3295</v>
      </c>
      <c r="G2211" s="172" t="s">
        <v>4665</v>
      </c>
      <c r="H2211" s="172" t="s">
        <v>4666</v>
      </c>
      <c r="I2211" s="173">
        <v>45951</v>
      </c>
      <c r="J2211" s="172" t="s">
        <v>3070</v>
      </c>
      <c r="K2211" s="172">
        <v>37</v>
      </c>
      <c r="M22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11" t="str">
        <f>DO_DB[[#This Row],[Material Pick-update]]&amp;"_"&amp;DO_DB[[#This Row],[Material Name]]</f>
        <v>45951_Pole 7M 3"</v>
      </c>
      <c r="O2211" t="str">
        <f>DO_DB[[#This Row],[SiteID]]</f>
        <v>CLR51-99-302</v>
      </c>
      <c r="P2211" t="str">
        <f>DO_DB[[#This Row],[SiteID]]&amp;"_"&amp;DO_DB[[#This Row],[Material Name]]</f>
        <v>CLR51-99-302_Pole 7M 3"</v>
      </c>
      <c r="Q2211" t="str">
        <f>DO_DB[[#This Row],[DO Number]]</f>
        <v>DOEID25102128</v>
      </c>
      <c r="R2211" t="str">
        <f>DO_DB[[#This Row],[DN Number]]</f>
        <v>DNWID1372025102102</v>
      </c>
    </row>
    <row r="2212" spans="1:18">
      <c r="A2212" s="172" t="s">
        <v>4692</v>
      </c>
      <c r="B2212" s="172" t="s">
        <v>4693</v>
      </c>
      <c r="C2212" s="172" t="s">
        <v>4482</v>
      </c>
      <c r="D2212" s="172" t="s">
        <v>71</v>
      </c>
      <c r="E2212" s="172" t="s">
        <v>24</v>
      </c>
      <c r="F2212" t="s">
        <v>3295</v>
      </c>
      <c r="G2212" s="172" t="s">
        <v>4694</v>
      </c>
      <c r="H2212" s="172" t="s">
        <v>4695</v>
      </c>
      <c r="I2212" s="173">
        <v>45955</v>
      </c>
      <c r="J2212" s="172" t="s">
        <v>3070</v>
      </c>
      <c r="K2212" s="172">
        <v>58</v>
      </c>
      <c r="M22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12" t="str">
        <f>DO_DB[[#This Row],[Material Pick-update]]&amp;"_"&amp;DO_DB[[#This Row],[Material Name]]</f>
        <v>45955_Pole 7M 3"</v>
      </c>
      <c r="O2212" t="str">
        <f>DO_DB[[#This Row],[SiteID]]</f>
        <v>CLR51-99-372</v>
      </c>
      <c r="P2212" t="str">
        <f>DO_DB[[#This Row],[SiteID]]&amp;"_"&amp;DO_DB[[#This Row],[Material Name]]</f>
        <v>CLR51-99-372_Pole 7M 3"</v>
      </c>
      <c r="Q2212" t="str">
        <f>DO_DB[[#This Row],[DO Number]]</f>
        <v>DOEID251024G5</v>
      </c>
      <c r="R2212" t="str">
        <f>DO_DB[[#This Row],[DN Number]]</f>
        <v>DNWID1382025102406</v>
      </c>
    </row>
    <row r="2213" spans="1:18">
      <c r="A2213" s="172" t="s">
        <v>4687</v>
      </c>
      <c r="B2213" s="172" t="s">
        <v>4599</v>
      </c>
      <c r="C2213" s="172" t="s">
        <v>4482</v>
      </c>
      <c r="D2213" s="172" t="s">
        <v>71</v>
      </c>
      <c r="E2213" s="172" t="s">
        <v>24</v>
      </c>
      <c r="F2213" t="s">
        <v>3295</v>
      </c>
      <c r="G2213" s="172" t="s">
        <v>4688</v>
      </c>
      <c r="H2213" s="172" t="s">
        <v>4689</v>
      </c>
      <c r="I2213" s="173">
        <v>45955</v>
      </c>
      <c r="J2213" s="172" t="s">
        <v>3070</v>
      </c>
      <c r="K2213" s="172">
        <v>7</v>
      </c>
      <c r="M22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13" t="str">
        <f>DO_DB[[#This Row],[Material Pick-update]]&amp;"_"&amp;DO_DB[[#This Row],[Material Name]]</f>
        <v>45955_Pole 7M 3"</v>
      </c>
      <c r="O2213" t="str">
        <f>DO_DB[[#This Row],[SiteID]]</f>
        <v>CLR51-99-301</v>
      </c>
      <c r="P2213" t="str">
        <f>DO_DB[[#This Row],[SiteID]]&amp;"_"&amp;DO_DB[[#This Row],[Material Name]]</f>
        <v>CLR51-99-301_Pole 7M 3"</v>
      </c>
      <c r="Q2213" t="str">
        <f>DO_DB[[#This Row],[DO Number]]</f>
        <v>DOEID251024G6</v>
      </c>
      <c r="R2213" t="str">
        <f>DO_DB[[#This Row],[DN Number]]</f>
        <v>DNWID1382025102404</v>
      </c>
    </row>
    <row r="2214" spans="1:18">
      <c r="A2214" s="172" t="s">
        <v>4696</v>
      </c>
      <c r="B2214" s="172" t="s">
        <v>4697</v>
      </c>
      <c r="C2214" s="172" t="s">
        <v>4482</v>
      </c>
      <c r="D2214" s="172" t="s">
        <v>71</v>
      </c>
      <c r="E2214" s="172" t="s">
        <v>24</v>
      </c>
      <c r="F2214" t="s">
        <v>3295</v>
      </c>
      <c r="G2214" s="172" t="s">
        <v>4698</v>
      </c>
      <c r="H2214" s="172" t="s">
        <v>4699</v>
      </c>
      <c r="I2214" s="173">
        <v>45955</v>
      </c>
      <c r="J2214" s="172" t="s">
        <v>3070</v>
      </c>
      <c r="K2214" s="172">
        <v>52</v>
      </c>
      <c r="M22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14" t="str">
        <f>DO_DB[[#This Row],[Material Pick-update]]&amp;"_"&amp;DO_DB[[#This Row],[Material Name]]</f>
        <v>45955_Pole 7M 3"</v>
      </c>
      <c r="O2214" t="str">
        <f>DO_DB[[#This Row],[SiteID]]</f>
        <v>CLR51-99-375</v>
      </c>
      <c r="P2214" t="str">
        <f>DO_DB[[#This Row],[SiteID]]&amp;"_"&amp;DO_DB[[#This Row],[Material Name]]</f>
        <v>CLR51-99-375_Pole 7M 3"</v>
      </c>
      <c r="Q2214" t="str">
        <f>DO_DB[[#This Row],[DO Number]]</f>
        <v>DOEID251024K3</v>
      </c>
      <c r="R2214" t="str">
        <f>DO_DB[[#This Row],[DN Number]]</f>
        <v>DNWID1382025102408</v>
      </c>
    </row>
    <row r="2215" spans="1:18">
      <c r="A2215" t="s">
        <v>4801</v>
      </c>
      <c r="B2215" t="s">
        <v>4802</v>
      </c>
      <c r="C2215" s="172" t="s">
        <v>4482</v>
      </c>
      <c r="D2215" t="s">
        <v>67</v>
      </c>
      <c r="E2215" t="s">
        <v>24</v>
      </c>
      <c r="F2215" t="s">
        <v>3295</v>
      </c>
      <c r="G2215" t="s">
        <v>4803</v>
      </c>
      <c r="H2215" t="s">
        <v>4804</v>
      </c>
      <c r="I2215" s="130">
        <v>46002</v>
      </c>
      <c r="J2215" s="172" t="s">
        <v>3070</v>
      </c>
      <c r="K2215" s="81">
        <v>86</v>
      </c>
      <c r="M22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15" t="str">
        <f>DO_DB[[#This Row],[Material Pick-update]]&amp;"_"&amp;DO_DB[[#This Row],[Material Name]]</f>
        <v>46002_Pole 7M 3"</v>
      </c>
      <c r="O2215" t="str">
        <f>DO_DB[[#This Row],[SiteID]]</f>
        <v>CLR51-99-382</v>
      </c>
      <c r="P2215" t="str">
        <f>DO_DB[[#This Row],[SiteID]]&amp;"_"&amp;DO_DB[[#This Row],[Material Name]]</f>
        <v>CLR51-99-382_Pole 7M 3"</v>
      </c>
      <c r="Q2215" t="str">
        <f>DO_DB[[#This Row],[DO Number]]</f>
        <v>DOEID25121117</v>
      </c>
      <c r="R2215" t="str">
        <f>DO_DB[[#This Row],[DN Number]]</f>
        <v>DNWID1382025121113</v>
      </c>
    </row>
    <row r="2216" spans="1:18">
      <c r="A2216" t="s">
        <v>4785</v>
      </c>
      <c r="B2216" t="s">
        <v>4786</v>
      </c>
      <c r="C2216" s="172" t="s">
        <v>4482</v>
      </c>
      <c r="D2216" t="s">
        <v>67</v>
      </c>
      <c r="E2216" t="s">
        <v>24</v>
      </c>
      <c r="F2216" t="s">
        <v>3295</v>
      </c>
      <c r="G2216" t="s">
        <v>4787</v>
      </c>
      <c r="H2216" t="s">
        <v>4788</v>
      </c>
      <c r="I2216" s="130">
        <v>46002</v>
      </c>
      <c r="J2216" s="172" t="s">
        <v>3070</v>
      </c>
      <c r="K2216" s="81">
        <v>134</v>
      </c>
      <c r="M22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16" t="str">
        <f>DO_DB[[#This Row],[Material Pick-update]]&amp;"_"&amp;DO_DB[[#This Row],[Material Name]]</f>
        <v>46002_Pole 7M 3"</v>
      </c>
      <c r="O2216" t="str">
        <f>DO_DB[[#This Row],[SiteID]]</f>
        <v>CLR51-99-381</v>
      </c>
      <c r="P2216" t="str">
        <f>DO_DB[[#This Row],[SiteID]]&amp;"_"&amp;DO_DB[[#This Row],[Material Name]]</f>
        <v>CLR51-99-381_Pole 7M 3"</v>
      </c>
      <c r="Q2216" t="str">
        <f>DO_DB[[#This Row],[DO Number]]</f>
        <v>DOEID25121116</v>
      </c>
      <c r="R2216" t="str">
        <f>DO_DB[[#This Row],[DN Number]]</f>
        <v>DNWID1382025121114</v>
      </c>
    </row>
    <row r="2217" spans="1:18">
      <c r="A2217" s="81" t="s">
        <v>4814</v>
      </c>
      <c r="B2217" s="81" t="s">
        <v>4816</v>
      </c>
      <c r="C2217" s="172" t="s">
        <v>4482</v>
      </c>
      <c r="D2217" s="81" t="s">
        <v>67</v>
      </c>
      <c r="E2217" s="81" t="s">
        <v>24</v>
      </c>
      <c r="F2217" t="s">
        <v>3295</v>
      </c>
      <c r="G2217" s="81" t="s">
        <v>4818</v>
      </c>
      <c r="H2217" s="81" t="s">
        <v>4817</v>
      </c>
      <c r="I2217" s="163">
        <v>46041</v>
      </c>
      <c r="J2217" s="172" t="s">
        <v>3070</v>
      </c>
      <c r="K2217" s="81">
        <v>25</v>
      </c>
      <c r="M22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17" t="str">
        <f>DO_DB[[#This Row],[Material Pick-update]]&amp;"_"&amp;DO_DB[[#This Row],[Material Name]]</f>
        <v>46041_Pole 7M 3"</v>
      </c>
      <c r="O2217" t="str">
        <f>DO_DB[[#This Row],[SiteID]]</f>
        <v>CLR51-99-196</v>
      </c>
      <c r="P2217" t="str">
        <f>DO_DB[[#This Row],[SiteID]]&amp;"_"&amp;DO_DB[[#This Row],[Material Name]]</f>
        <v>CLR51-99-196_Pole 7M 3"</v>
      </c>
      <c r="Q2217" t="str">
        <f>DO_DB[[#This Row],[DO Number]]</f>
        <v>DOEID260115MP</v>
      </c>
      <c r="R2217" t="str">
        <f>DO_DB[[#This Row],[DN Number]]</f>
        <v>DNWID1382026011601</v>
      </c>
    </row>
    <row r="2218" spans="1:18">
      <c r="A2218" t="s">
        <v>4813</v>
      </c>
      <c r="B2218" t="s">
        <v>4815</v>
      </c>
      <c r="C2218" s="172" t="s">
        <v>4482</v>
      </c>
      <c r="D2218" t="s">
        <v>67</v>
      </c>
      <c r="E2218" t="s">
        <v>24</v>
      </c>
      <c r="F2218" t="s">
        <v>3295</v>
      </c>
      <c r="G2218" t="s">
        <v>4820</v>
      </c>
      <c r="H2218" t="s">
        <v>4819</v>
      </c>
      <c r="I2218" s="130">
        <v>46041</v>
      </c>
      <c r="J2218" s="172" t="s">
        <v>3070</v>
      </c>
      <c r="K2218" s="198">
        <v>13</v>
      </c>
      <c r="M22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18" t="str">
        <f>DO_DB[[#This Row],[Material Pick-update]]&amp;"_"&amp;DO_DB[[#This Row],[Material Name]]</f>
        <v>46041_Pole 7M 3"</v>
      </c>
      <c r="O2218" t="str">
        <f>DO_DB[[#This Row],[SiteID]]</f>
        <v>CLR44-99-155</v>
      </c>
      <c r="P2218" t="str">
        <f>DO_DB[[#This Row],[SiteID]]&amp;"_"&amp;DO_DB[[#This Row],[Material Name]]</f>
        <v>CLR44-99-155_Pole 7M 3"</v>
      </c>
      <c r="Q2218" t="str">
        <f>DO_DB[[#This Row],[DO Number]]</f>
        <v>DOEID260115MQ</v>
      </c>
      <c r="R2218" t="str">
        <f>DO_DB[[#This Row],[DN Number]]</f>
        <v>DNWID1382026011602</v>
      </c>
    </row>
    <row r="2219" spans="1:18">
      <c r="A2219" t="s">
        <v>4870</v>
      </c>
      <c r="B2219" t="s">
        <v>4871</v>
      </c>
      <c r="C2219" s="172" t="s">
        <v>4482</v>
      </c>
      <c r="D2219" t="s">
        <v>67</v>
      </c>
      <c r="E2219" t="s">
        <v>24</v>
      </c>
      <c r="F2219" t="s">
        <v>3295</v>
      </c>
      <c r="G2219" t="s">
        <v>4869</v>
      </c>
      <c r="H2219" t="s">
        <v>5132</v>
      </c>
      <c r="I2219" s="130">
        <v>46164</v>
      </c>
      <c r="J2219" s="172" t="s">
        <v>3070</v>
      </c>
      <c r="K2219">
        <v>8</v>
      </c>
      <c r="M22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19" t="str">
        <f>DO_DB[[#This Row],[Material Pick-update]]&amp;"_"&amp;DO_DB[[#This Row],[Material Name]]</f>
        <v>46164_Pole 7M 3"</v>
      </c>
      <c r="O2219" t="str">
        <f>DO_DB[[#This Row],[SiteID]]</f>
        <v>CLR51-99-658</v>
      </c>
      <c r="P2219" t="str">
        <f>DO_DB[[#This Row],[SiteID]]&amp;"_"&amp;DO_DB[[#This Row],[Material Name]]</f>
        <v>CLR51-99-658_Pole 7M 3"</v>
      </c>
      <c r="Q2219" t="str">
        <f>DO_DB[[#This Row],[DO Number]]</f>
        <v>DOEID260522B7</v>
      </c>
      <c r="R2219" t="str">
        <f>DO_DB[[#This Row],[DN Number]]</f>
        <v>DNWID0362026052214</v>
      </c>
    </row>
    <row r="2220" spans="1:18">
      <c r="A2220" t="s">
        <v>4898</v>
      </c>
      <c r="B2220" t="s">
        <v>4900</v>
      </c>
      <c r="C2220" s="172" t="s">
        <v>4482</v>
      </c>
      <c r="D2220" t="s">
        <v>67</v>
      </c>
      <c r="E2220" t="s">
        <v>24</v>
      </c>
      <c r="F2220" t="s">
        <v>3295</v>
      </c>
      <c r="G2220" t="s">
        <v>4904</v>
      </c>
      <c r="H2220" t="s">
        <v>5133</v>
      </c>
      <c r="I2220" s="130">
        <v>46191</v>
      </c>
      <c r="J2220" s="172" t="s">
        <v>3070</v>
      </c>
      <c r="K2220" s="172">
        <v>18</v>
      </c>
      <c r="M22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20" t="str">
        <f>DO_DB[[#This Row],[Material Pick-update]]&amp;"_"&amp;DO_DB[[#This Row],[Material Name]]</f>
        <v>46191_Pole 7M 3"</v>
      </c>
      <c r="O2220" t="str">
        <f>DO_DB[[#This Row],[SiteID]]</f>
        <v>CLR51-99-483</v>
      </c>
      <c r="P2220" t="str">
        <f>DO_DB[[#This Row],[SiteID]]&amp;"_"&amp;DO_DB[[#This Row],[Material Name]]</f>
        <v>CLR51-99-483_Pole 7M 3"</v>
      </c>
      <c r="Q2220" t="str">
        <f>DO_DB[[#This Row],[DO Number]]</f>
        <v>DOEID26052978</v>
      </c>
      <c r="R2220" t="str">
        <f>DO_DB[[#This Row],[DN Number]]</f>
        <v>DNWID0362026052925</v>
      </c>
    </row>
    <row r="2221" spans="1:18">
      <c r="A2221" t="s">
        <v>5122</v>
      </c>
      <c r="B2221" t="s">
        <v>5125</v>
      </c>
      <c r="C2221" s="172" t="s">
        <v>4482</v>
      </c>
      <c r="D2221" t="s">
        <v>67</v>
      </c>
      <c r="E2221" t="s">
        <v>24</v>
      </c>
      <c r="F2221" t="s">
        <v>3295</v>
      </c>
      <c r="G2221" t="s">
        <v>5123</v>
      </c>
      <c r="H2221" t="s">
        <v>5124</v>
      </c>
      <c r="I2221" s="130">
        <v>46212</v>
      </c>
      <c r="J2221" s="172" t="s">
        <v>3070</v>
      </c>
      <c r="K2221">
        <v>23</v>
      </c>
      <c r="M22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21" t="str">
        <f>DO_DB[[#This Row],[Material Pick-update]]&amp;"_"&amp;DO_DB[[#This Row],[Material Name]]</f>
        <v>46212_Pole 7M 3"</v>
      </c>
      <c r="O2221" t="str">
        <f>DO_DB[[#This Row],[SiteID]]</f>
        <v>CLR51-99-662</v>
      </c>
      <c r="P2221" t="str">
        <f>DO_DB[[#This Row],[SiteID]]&amp;"_"&amp;DO_DB[[#This Row],[Material Name]]</f>
        <v>CLR51-99-662_Pole 7M 3"</v>
      </c>
      <c r="Q2221" t="str">
        <f>DO_DB[[#This Row],[DO Number]]</f>
        <v>DOEID260708AM</v>
      </c>
      <c r="R2221" t="str">
        <f>DO_DB[[#This Row],[DN Number]]</f>
        <v>DNWID0362026070821</v>
      </c>
    </row>
    <row r="2222" spans="1:18">
      <c r="A2222" t="s">
        <v>84</v>
      </c>
      <c r="B2222" t="s">
        <v>85</v>
      </c>
      <c r="C2222" s="172" t="s">
        <v>4482</v>
      </c>
      <c r="D2222" t="s">
        <v>71</v>
      </c>
      <c r="E2222" t="s">
        <v>24</v>
      </c>
      <c r="F2222" t="s">
        <v>3295</v>
      </c>
      <c r="G2222" t="s">
        <v>88</v>
      </c>
      <c r="H2222" t="s">
        <v>89</v>
      </c>
      <c r="I2222" s="130">
        <v>45142</v>
      </c>
      <c r="J2222" t="s">
        <v>3069</v>
      </c>
      <c r="K2222">
        <v>56</v>
      </c>
      <c r="M22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22" t="str">
        <f>DO_DB[[#This Row],[Material Pick-update]]&amp;"_"&amp;DO_DB[[#This Row],[Material Name]]</f>
        <v>45142_Pole 7M 4"</v>
      </c>
      <c r="O2222" t="str">
        <f>DO_DB[[#This Row],[SiteID]]</f>
        <v>CLR51-99-004</v>
      </c>
      <c r="P2222" t="str">
        <f>DO_DB[[#This Row],[SiteID]]&amp;"_"&amp;DO_DB[[#This Row],[Material Name]]</f>
        <v>CLR51-99-004_Pole 7M 4"</v>
      </c>
      <c r="Q2222" t="str">
        <f>DO_DB[[#This Row],[DO Number]]</f>
        <v>DOEID23080181</v>
      </c>
      <c r="R2222" t="str">
        <f>DO_DB[[#This Row],[DN Number]]</f>
        <v>DNWID0362023080308</v>
      </c>
    </row>
    <row r="2223" spans="1:18">
      <c r="A2223" t="s">
        <v>150</v>
      </c>
      <c r="B2223" t="s">
        <v>151</v>
      </c>
      <c r="C2223" s="172" t="s">
        <v>4482</v>
      </c>
      <c r="D2223" t="s">
        <v>71</v>
      </c>
      <c r="E2223" t="s">
        <v>24</v>
      </c>
      <c r="F2223" t="s">
        <v>3295</v>
      </c>
      <c r="G2223" t="s">
        <v>156</v>
      </c>
      <c r="H2223" t="s">
        <v>157</v>
      </c>
      <c r="I2223" s="130">
        <v>45170</v>
      </c>
      <c r="J2223" t="s">
        <v>3069</v>
      </c>
      <c r="K2223">
        <v>30</v>
      </c>
      <c r="M22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23" t="str">
        <f>DO_DB[[#This Row],[Material Pick-update]]&amp;"_"&amp;DO_DB[[#This Row],[Material Name]]</f>
        <v>45170_Pole 7M 4"</v>
      </c>
      <c r="O2223" t="str">
        <f>DO_DB[[#This Row],[SiteID]]</f>
        <v>CLR51-99-006</v>
      </c>
      <c r="P2223" t="str">
        <f>DO_DB[[#This Row],[SiteID]]&amp;"_"&amp;DO_DB[[#This Row],[Material Name]]</f>
        <v>CLR51-99-006_Pole 7M 4"</v>
      </c>
      <c r="Q2223" t="str">
        <f>DO_DB[[#This Row],[DO Number]]</f>
        <v>DOEID23082834</v>
      </c>
      <c r="R2223" t="str">
        <f>DO_DB[[#This Row],[DN Number]]</f>
        <v>DNWID0362023082902</v>
      </c>
    </row>
    <row r="2224" spans="1:18">
      <c r="A2224" t="s">
        <v>164</v>
      </c>
      <c r="B2224" t="s">
        <v>165</v>
      </c>
      <c r="C2224" s="172" t="s">
        <v>4482</v>
      </c>
      <c r="D2224" t="s">
        <v>71</v>
      </c>
      <c r="E2224" t="s">
        <v>24</v>
      </c>
      <c r="F2224" t="s">
        <v>3295</v>
      </c>
      <c r="G2224" t="s">
        <v>170</v>
      </c>
      <c r="H2224" t="s">
        <v>171</v>
      </c>
      <c r="I2224" s="130">
        <v>45185</v>
      </c>
      <c r="J2224" t="s">
        <v>3069</v>
      </c>
      <c r="K2224">
        <v>42</v>
      </c>
      <c r="M22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24" t="str">
        <f>DO_DB[[#This Row],[Material Pick-update]]&amp;"_"&amp;DO_DB[[#This Row],[Material Name]]</f>
        <v>45185_Pole 7M 4"</v>
      </c>
      <c r="O2224" t="str">
        <f>DO_DB[[#This Row],[SiteID]]</f>
        <v>CLR51-99-014</v>
      </c>
      <c r="P2224" t="str">
        <f>DO_DB[[#This Row],[SiteID]]&amp;"_"&amp;DO_DB[[#This Row],[Material Name]]</f>
        <v>CLR51-99-014_Pole 7M 4"</v>
      </c>
      <c r="Q2224" t="str">
        <f>DO_DB[[#This Row],[DO Number]]</f>
        <v>DOEID23091555</v>
      </c>
      <c r="R2224" t="str">
        <f>DO_DB[[#This Row],[DN Number]]</f>
        <v>DNWID0362023091501</v>
      </c>
    </row>
    <row r="2225" spans="1:18">
      <c r="A2225" t="s">
        <v>172</v>
      </c>
      <c r="B2225" t="s">
        <v>173</v>
      </c>
      <c r="C2225" s="172" t="s">
        <v>4482</v>
      </c>
      <c r="D2225" t="s">
        <v>71</v>
      </c>
      <c r="E2225" t="s">
        <v>24</v>
      </c>
      <c r="F2225" t="s">
        <v>3295</v>
      </c>
      <c r="G2225" t="s">
        <v>174</v>
      </c>
      <c r="H2225" t="s">
        <v>175</v>
      </c>
      <c r="I2225" s="130">
        <v>45185</v>
      </c>
      <c r="J2225" t="s">
        <v>3069</v>
      </c>
      <c r="K2225">
        <v>23</v>
      </c>
      <c r="M22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25" t="str">
        <f>DO_DB[[#This Row],[Material Pick-update]]&amp;"_"&amp;DO_DB[[#This Row],[Material Name]]</f>
        <v>45185_Pole 7M 4"</v>
      </c>
      <c r="O2225" t="str">
        <f>DO_DB[[#This Row],[SiteID]]</f>
        <v>CLR51-99-013</v>
      </c>
      <c r="P2225" t="str">
        <f>DO_DB[[#This Row],[SiteID]]&amp;"_"&amp;DO_DB[[#This Row],[Material Name]]</f>
        <v>CLR51-99-013_Pole 7M 4"</v>
      </c>
      <c r="Q2225" t="str">
        <f>DO_DB[[#This Row],[DO Number]]</f>
        <v>DOEID23091557</v>
      </c>
      <c r="R2225" t="str">
        <f>DO_DB[[#This Row],[DN Number]]</f>
        <v>DNWID0362023091502</v>
      </c>
    </row>
    <row r="2226" spans="1:18">
      <c r="A2226" t="s">
        <v>180</v>
      </c>
      <c r="B2226" t="s">
        <v>181</v>
      </c>
      <c r="C2226" s="172" t="s">
        <v>4482</v>
      </c>
      <c r="D2226" t="s">
        <v>71</v>
      </c>
      <c r="E2226" t="s">
        <v>24</v>
      </c>
      <c r="F2226" t="s">
        <v>3295</v>
      </c>
      <c r="G2226" t="s">
        <v>184</v>
      </c>
      <c r="H2226" t="s">
        <v>185</v>
      </c>
      <c r="I2226" s="130">
        <v>45188</v>
      </c>
      <c r="J2226" t="s">
        <v>3069</v>
      </c>
      <c r="K2226">
        <v>18</v>
      </c>
      <c r="M22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26" t="str">
        <f>DO_DB[[#This Row],[Material Pick-update]]&amp;"_"&amp;DO_DB[[#This Row],[Material Name]]</f>
        <v>45188_Pole 7M 4"</v>
      </c>
      <c r="O2226" t="str">
        <f>DO_DB[[#This Row],[SiteID]]</f>
        <v>CLR51-99-007</v>
      </c>
      <c r="P2226" t="str">
        <f>DO_DB[[#This Row],[SiteID]]&amp;"_"&amp;DO_DB[[#This Row],[Material Name]]</f>
        <v>CLR51-99-007_Pole 7M 4"</v>
      </c>
      <c r="Q2226" t="str">
        <f>DO_DB[[#This Row],[DO Number]]</f>
        <v>DOEID230918DX</v>
      </c>
      <c r="R2226" t="str">
        <f>DO_DB[[#This Row],[DN Number]]</f>
        <v>DNWID0362023091803</v>
      </c>
    </row>
    <row r="2227" spans="1:18">
      <c r="A2227" t="s">
        <v>222</v>
      </c>
      <c r="B2227" t="s">
        <v>223</v>
      </c>
      <c r="C2227" s="172" t="s">
        <v>4482</v>
      </c>
      <c r="D2227" t="s">
        <v>71</v>
      </c>
      <c r="E2227" t="s">
        <v>24</v>
      </c>
      <c r="F2227" t="s">
        <v>3295</v>
      </c>
      <c r="G2227" t="s">
        <v>226</v>
      </c>
      <c r="H2227" t="s">
        <v>227</v>
      </c>
      <c r="I2227" s="130">
        <v>45189</v>
      </c>
      <c r="J2227" t="s">
        <v>3069</v>
      </c>
      <c r="K2227">
        <v>120</v>
      </c>
      <c r="M22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27" t="str">
        <f>DO_DB[[#This Row],[Material Pick-update]]&amp;"_"&amp;DO_DB[[#This Row],[Material Name]]</f>
        <v>45189_Pole 7M 4"</v>
      </c>
      <c r="O2227" t="str">
        <f>DO_DB[[#This Row],[SiteID]]</f>
        <v>CLR51-02-001</v>
      </c>
      <c r="P2227" t="str">
        <f>DO_DB[[#This Row],[SiteID]]&amp;"_"&amp;DO_DB[[#This Row],[Material Name]]</f>
        <v>CLR51-02-001_Pole 7M 4"</v>
      </c>
      <c r="Q2227" t="str">
        <f>DO_DB[[#This Row],[DO Number]]</f>
        <v>DOEID230919BG</v>
      </c>
      <c r="R2227" t="str">
        <f>DO_DB[[#This Row],[DN Number]]</f>
        <v>DNWID0362023091906</v>
      </c>
    </row>
    <row r="2228" spans="1:18">
      <c r="A2228" t="s">
        <v>336</v>
      </c>
      <c r="B2228" t="s">
        <v>337</v>
      </c>
      <c r="C2228" s="172" t="s">
        <v>4482</v>
      </c>
      <c r="D2228" t="s">
        <v>71</v>
      </c>
      <c r="E2228" t="s">
        <v>24</v>
      </c>
      <c r="F2228" t="s">
        <v>3295</v>
      </c>
      <c r="G2228" t="s">
        <v>352</v>
      </c>
      <c r="H2228" t="s">
        <v>353</v>
      </c>
      <c r="I2228" s="130">
        <v>45213</v>
      </c>
      <c r="J2228" t="s">
        <v>3069</v>
      </c>
      <c r="K2228">
        <v>4</v>
      </c>
      <c r="M22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28" t="str">
        <f>DO_DB[[#This Row],[Material Pick-update]]&amp;"_"&amp;DO_DB[[#This Row],[Material Name]]</f>
        <v>45213_Pole 7M 4"</v>
      </c>
      <c r="O2228" t="str">
        <f>DO_DB[[#This Row],[SiteID]]</f>
        <v>CLR51-99-019</v>
      </c>
      <c r="P2228" t="str">
        <f>DO_DB[[#This Row],[SiteID]]&amp;"_"&amp;DO_DB[[#This Row],[Material Name]]</f>
        <v>CLR51-99-019_Pole 7M 4"</v>
      </c>
      <c r="Q2228" t="str">
        <f>DO_DB[[#This Row],[DO Number]]</f>
        <v>DOEID231013AS</v>
      </c>
      <c r="R2228" t="str">
        <f>DO_DB[[#This Row],[DN Number]]</f>
        <v>DNWID0362023101405</v>
      </c>
    </row>
    <row r="2229" spans="1:18">
      <c r="A2229" t="s">
        <v>340</v>
      </c>
      <c r="B2229" t="s">
        <v>341</v>
      </c>
      <c r="C2229" s="172" t="s">
        <v>4482</v>
      </c>
      <c r="D2229" t="s">
        <v>71</v>
      </c>
      <c r="E2229" t="s">
        <v>24</v>
      </c>
      <c r="F2229" t="s">
        <v>3295</v>
      </c>
      <c r="G2229" t="s">
        <v>344</v>
      </c>
      <c r="H2229" t="s">
        <v>345</v>
      </c>
      <c r="I2229" s="130">
        <v>45213</v>
      </c>
      <c r="J2229" t="s">
        <v>3069</v>
      </c>
      <c r="K2229">
        <v>38</v>
      </c>
      <c r="M22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29" t="str">
        <f>DO_DB[[#This Row],[Material Pick-update]]&amp;"_"&amp;DO_DB[[#This Row],[Material Name]]</f>
        <v>45213_Pole 7M 4"</v>
      </c>
      <c r="O2229" t="str">
        <f>DO_DB[[#This Row],[SiteID]]</f>
        <v>CLR51-99-020</v>
      </c>
      <c r="P2229" t="str">
        <f>DO_DB[[#This Row],[SiteID]]&amp;"_"&amp;DO_DB[[#This Row],[Material Name]]</f>
        <v>CLR51-99-020_Pole 7M 4"</v>
      </c>
      <c r="Q2229" t="str">
        <f>DO_DB[[#This Row],[DO Number]]</f>
        <v>DOEID231013AU</v>
      </c>
      <c r="R2229" t="str">
        <f>DO_DB[[#This Row],[DN Number]]</f>
        <v>DNWID0362023101401</v>
      </c>
    </row>
    <row r="2230" spans="1:18">
      <c r="A2230" t="s">
        <v>324</v>
      </c>
      <c r="B2230" t="s">
        <v>325</v>
      </c>
      <c r="C2230" s="172" t="s">
        <v>4482</v>
      </c>
      <c r="D2230" t="s">
        <v>71</v>
      </c>
      <c r="E2230" t="s">
        <v>24</v>
      </c>
      <c r="F2230" t="s">
        <v>3295</v>
      </c>
      <c r="G2230" t="s">
        <v>346</v>
      </c>
      <c r="H2230" t="s">
        <v>347</v>
      </c>
      <c r="I2230" s="130">
        <v>45213</v>
      </c>
      <c r="J2230" t="s">
        <v>3069</v>
      </c>
      <c r="K2230">
        <v>36</v>
      </c>
      <c r="M22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30" t="str">
        <f>DO_DB[[#This Row],[Material Pick-update]]&amp;"_"&amp;DO_DB[[#This Row],[Material Name]]</f>
        <v>45213_Pole 7M 4"</v>
      </c>
      <c r="O2230" t="str">
        <f>DO_DB[[#This Row],[SiteID]]</f>
        <v>CLR51-99-021</v>
      </c>
      <c r="P2230" t="str">
        <f>DO_DB[[#This Row],[SiteID]]&amp;"_"&amp;DO_DB[[#This Row],[Material Name]]</f>
        <v>CLR51-99-021_Pole 7M 4"</v>
      </c>
      <c r="Q2230" t="str">
        <f>DO_DB[[#This Row],[DO Number]]</f>
        <v>DOEID231013AW</v>
      </c>
      <c r="R2230" t="str">
        <f>DO_DB[[#This Row],[DN Number]]</f>
        <v>DNWID0362023101402</v>
      </c>
    </row>
    <row r="2231" spans="1:18">
      <c r="A2231" t="s">
        <v>328</v>
      </c>
      <c r="B2231" t="s">
        <v>329</v>
      </c>
      <c r="C2231" s="172" t="s">
        <v>4482</v>
      </c>
      <c r="D2231" t="s">
        <v>71</v>
      </c>
      <c r="E2231" t="s">
        <v>24</v>
      </c>
      <c r="F2231" t="s">
        <v>3295</v>
      </c>
      <c r="G2231" t="s">
        <v>348</v>
      </c>
      <c r="H2231" t="s">
        <v>349</v>
      </c>
      <c r="I2231" s="130">
        <v>45213</v>
      </c>
      <c r="J2231" t="s">
        <v>3069</v>
      </c>
      <c r="K2231">
        <v>54</v>
      </c>
      <c r="M22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31" t="str">
        <f>DO_DB[[#This Row],[Material Pick-update]]&amp;"_"&amp;DO_DB[[#This Row],[Material Name]]</f>
        <v>45213_Pole 7M 4"</v>
      </c>
      <c r="O2231" t="str">
        <f>DO_DB[[#This Row],[SiteID]]</f>
        <v>CLR51-99-017</v>
      </c>
      <c r="P2231" t="str">
        <f>DO_DB[[#This Row],[SiteID]]&amp;"_"&amp;DO_DB[[#This Row],[Material Name]]</f>
        <v>CLR51-99-017_Pole 7M 4"</v>
      </c>
      <c r="Q2231" t="str">
        <f>DO_DB[[#This Row],[DO Number]]</f>
        <v>DOEID23101402</v>
      </c>
      <c r="R2231" t="str">
        <f>DO_DB[[#This Row],[DN Number]]</f>
        <v>DNWID0362023101403</v>
      </c>
    </row>
    <row r="2232" spans="1:18">
      <c r="A2232" t="s">
        <v>332</v>
      </c>
      <c r="B2232" t="s">
        <v>333</v>
      </c>
      <c r="C2232" s="172" t="s">
        <v>4482</v>
      </c>
      <c r="D2232" t="s">
        <v>71</v>
      </c>
      <c r="E2232" t="s">
        <v>24</v>
      </c>
      <c r="F2232" t="s">
        <v>3295</v>
      </c>
      <c r="G2232" t="s">
        <v>350</v>
      </c>
      <c r="H2232" t="s">
        <v>351</v>
      </c>
      <c r="I2232" s="130">
        <v>45213</v>
      </c>
      <c r="J2232" t="s">
        <v>3069</v>
      </c>
      <c r="K2232">
        <v>50</v>
      </c>
      <c r="M22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32" t="str">
        <f>DO_DB[[#This Row],[Material Pick-update]]&amp;"_"&amp;DO_DB[[#This Row],[Material Name]]</f>
        <v>45213_Pole 7M 4"</v>
      </c>
      <c r="O2232" t="str">
        <f>DO_DB[[#This Row],[SiteID]]</f>
        <v>CLR51-99-018</v>
      </c>
      <c r="P2232" t="str">
        <f>DO_DB[[#This Row],[SiteID]]&amp;"_"&amp;DO_DB[[#This Row],[Material Name]]</f>
        <v>CLR51-99-018_Pole 7M 4"</v>
      </c>
      <c r="Q2232" t="str">
        <f>DO_DB[[#This Row],[DO Number]]</f>
        <v>DOEID23101404</v>
      </c>
      <c r="R2232" t="str">
        <f>DO_DB[[#This Row],[DN Number]]</f>
        <v>DNWID0362023101404</v>
      </c>
    </row>
    <row r="2233" spans="1:18">
      <c r="A2233" t="s">
        <v>468</v>
      </c>
      <c r="B2233" t="s">
        <v>469</v>
      </c>
      <c r="C2233" s="172" t="s">
        <v>4482</v>
      </c>
      <c r="D2233" t="s">
        <v>71</v>
      </c>
      <c r="E2233" t="s">
        <v>24</v>
      </c>
      <c r="F2233" t="s">
        <v>3295</v>
      </c>
      <c r="G2233" t="s">
        <v>542</v>
      </c>
      <c r="H2233" t="s">
        <v>543</v>
      </c>
      <c r="I2233" s="130">
        <v>45245</v>
      </c>
      <c r="J2233" t="s">
        <v>3069</v>
      </c>
      <c r="K2233">
        <v>48</v>
      </c>
      <c r="M22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33" t="str">
        <f>DO_DB[[#This Row],[Material Pick-update]]&amp;"_"&amp;DO_DB[[#This Row],[Material Name]]</f>
        <v>45245_Pole 7M 4"</v>
      </c>
      <c r="O2233" t="str">
        <f>DO_DB[[#This Row],[SiteID]]</f>
        <v>CLR51-99-026</v>
      </c>
      <c r="P2233" t="str">
        <f>DO_DB[[#This Row],[SiteID]]&amp;"_"&amp;DO_DB[[#This Row],[Material Name]]</f>
        <v>CLR51-99-026_Pole 7M 4"</v>
      </c>
      <c r="Q2233" t="str">
        <f>DO_DB[[#This Row],[DO Number]]</f>
        <v>DOEID231113AX</v>
      </c>
      <c r="R2233" t="str">
        <f>DO_DB[[#This Row],[DN Number]]</f>
        <v>DNWID0362023111303</v>
      </c>
    </row>
    <row r="2234" spans="1:18">
      <c r="A2234" t="s">
        <v>738</v>
      </c>
      <c r="B2234" t="s">
        <v>739</v>
      </c>
      <c r="C2234" s="172" t="s">
        <v>4482</v>
      </c>
      <c r="D2234" t="s">
        <v>71</v>
      </c>
      <c r="E2234" t="s">
        <v>24</v>
      </c>
      <c r="F2234" t="s">
        <v>3295</v>
      </c>
      <c r="G2234" t="s">
        <v>748</v>
      </c>
      <c r="H2234" t="s">
        <v>749</v>
      </c>
      <c r="I2234" s="130">
        <v>45287</v>
      </c>
      <c r="J2234" t="s">
        <v>3069</v>
      </c>
      <c r="K2234">
        <v>50</v>
      </c>
      <c r="M22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34" t="str">
        <f>DO_DB[[#This Row],[Material Pick-update]]&amp;"_"&amp;DO_DB[[#This Row],[Material Name]]</f>
        <v>45287_Pole 7M 4"</v>
      </c>
      <c r="O2234" t="str">
        <f>DO_DB[[#This Row],[SiteID]]</f>
        <v>CLR51-01-005</v>
      </c>
      <c r="P2234" t="str">
        <f>DO_DB[[#This Row],[SiteID]]&amp;"_"&amp;DO_DB[[#This Row],[Material Name]]</f>
        <v>CLR51-01-005_Pole 7M 4"</v>
      </c>
      <c r="Q2234" t="str">
        <f>DO_DB[[#This Row],[DO Number]]</f>
        <v>DOEID231223A5</v>
      </c>
      <c r="R2234" t="str">
        <f>DO_DB[[#This Row],[DN Number]]</f>
        <v>DNWID0362023122307</v>
      </c>
    </row>
    <row r="2235" spans="1:18">
      <c r="A2235" t="s">
        <v>742</v>
      </c>
      <c r="B2235" t="s">
        <v>743</v>
      </c>
      <c r="C2235" s="172" t="s">
        <v>4482</v>
      </c>
      <c r="D2235" t="s">
        <v>71</v>
      </c>
      <c r="E2235" t="s">
        <v>24</v>
      </c>
      <c r="F2235" t="s">
        <v>3295</v>
      </c>
      <c r="G2235" t="s">
        <v>746</v>
      </c>
      <c r="H2235" t="s">
        <v>747</v>
      </c>
      <c r="I2235" s="130">
        <v>45287</v>
      </c>
      <c r="J2235" t="s">
        <v>3069</v>
      </c>
      <c r="K2235">
        <v>62</v>
      </c>
      <c r="M22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35" t="str">
        <f>DO_DB[[#This Row],[Material Pick-update]]&amp;"_"&amp;DO_DB[[#This Row],[Material Name]]</f>
        <v>45287_Pole 7M 4"</v>
      </c>
      <c r="O2235" t="str">
        <f>DO_DB[[#This Row],[SiteID]]</f>
        <v>CLR51-99-038</v>
      </c>
      <c r="P2235" t="str">
        <f>DO_DB[[#This Row],[SiteID]]&amp;"_"&amp;DO_DB[[#This Row],[Material Name]]</f>
        <v>CLR51-99-038_Pole 7M 4"</v>
      </c>
      <c r="Q2235" t="str">
        <f>DO_DB[[#This Row],[DO Number]]</f>
        <v>DOEID231227AO</v>
      </c>
      <c r="R2235" t="str">
        <f>DO_DB[[#This Row],[DN Number]]</f>
        <v>DNWID0362023122703</v>
      </c>
    </row>
    <row r="2236" spans="1:18">
      <c r="A2236" t="s">
        <v>834</v>
      </c>
      <c r="B2236" t="s">
        <v>835</v>
      </c>
      <c r="C2236" s="172" t="s">
        <v>4482</v>
      </c>
      <c r="D2236" t="s">
        <v>71</v>
      </c>
      <c r="E2236" t="s">
        <v>24</v>
      </c>
      <c r="F2236" t="s">
        <v>3295</v>
      </c>
      <c r="G2236" t="s">
        <v>836</v>
      </c>
      <c r="H2236" t="s">
        <v>837</v>
      </c>
      <c r="I2236" s="130">
        <v>45307</v>
      </c>
      <c r="J2236" t="s">
        <v>3069</v>
      </c>
      <c r="K2236">
        <v>61</v>
      </c>
      <c r="M22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36" t="str">
        <f>DO_DB[[#This Row],[Material Pick-update]]&amp;"_"&amp;DO_DB[[#This Row],[Material Name]]</f>
        <v>45307_Pole 7M 4"</v>
      </c>
      <c r="O2236" t="str">
        <f>DO_DB[[#This Row],[SiteID]]</f>
        <v>MF51-01</v>
      </c>
      <c r="P2236" t="str">
        <f>DO_DB[[#This Row],[SiteID]]&amp;"_"&amp;DO_DB[[#This Row],[Material Name]]</f>
        <v>MF51-01_Pole 7M 4"</v>
      </c>
      <c r="Q2236" t="str">
        <f>DO_DB[[#This Row],[DO Number]]</f>
        <v>DOEID24011534</v>
      </c>
      <c r="R2236" t="str">
        <f>DO_DB[[#This Row],[DN Number]]</f>
        <v>DNWID0362024011514</v>
      </c>
    </row>
    <row r="2237" spans="1:18">
      <c r="A2237" t="s">
        <v>828</v>
      </c>
      <c r="B2237" t="s">
        <v>829</v>
      </c>
      <c r="C2237" s="172" t="s">
        <v>4482</v>
      </c>
      <c r="D2237" t="s">
        <v>71</v>
      </c>
      <c r="E2237" t="s">
        <v>24</v>
      </c>
      <c r="F2237" t="s">
        <v>3295</v>
      </c>
      <c r="G2237" t="s">
        <v>830</v>
      </c>
      <c r="H2237" t="s">
        <v>831</v>
      </c>
      <c r="I2237" s="130">
        <v>45307</v>
      </c>
      <c r="J2237" t="s">
        <v>3069</v>
      </c>
      <c r="K2237">
        <v>173</v>
      </c>
      <c r="M22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37" t="str">
        <f>DO_DB[[#This Row],[Material Pick-update]]&amp;"_"&amp;DO_DB[[#This Row],[Material Name]]</f>
        <v>45307_Pole 7M 4"</v>
      </c>
      <c r="O2237" t="str">
        <f>DO_DB[[#This Row],[SiteID]]</f>
        <v>CLR29-99-153</v>
      </c>
      <c r="P2237" t="str">
        <f>DO_DB[[#This Row],[SiteID]]&amp;"_"&amp;DO_DB[[#This Row],[Material Name]]</f>
        <v>CLR29-99-153_Pole 7M 4"</v>
      </c>
      <c r="Q2237" t="str">
        <f>DO_DB[[#This Row],[DO Number]]</f>
        <v>DOEID24011539</v>
      </c>
      <c r="R2237" t="str">
        <f>DO_DB[[#This Row],[DN Number]]</f>
        <v>DNWID0362024011512</v>
      </c>
    </row>
    <row r="2238" spans="1:18">
      <c r="A2238" t="s">
        <v>838</v>
      </c>
      <c r="B2238" t="s">
        <v>839</v>
      </c>
      <c r="C2238" s="172" t="s">
        <v>4482</v>
      </c>
      <c r="D2238" t="s">
        <v>71</v>
      </c>
      <c r="E2238" t="s">
        <v>24</v>
      </c>
      <c r="F2238" t="s">
        <v>3295</v>
      </c>
      <c r="G2238" t="s">
        <v>840</v>
      </c>
      <c r="H2238" t="s">
        <v>841</v>
      </c>
      <c r="I2238" s="130">
        <v>45307</v>
      </c>
      <c r="J2238" t="s">
        <v>3069</v>
      </c>
      <c r="K2238">
        <v>33</v>
      </c>
      <c r="M22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38" t="str">
        <f>DO_DB[[#This Row],[Material Pick-update]]&amp;"_"&amp;DO_DB[[#This Row],[Material Name]]</f>
        <v>45307_Pole 7M 4"</v>
      </c>
      <c r="O2238" t="str">
        <f>DO_DB[[#This Row],[SiteID]]</f>
        <v>CLR51-99-066</v>
      </c>
      <c r="P2238" t="str">
        <f>DO_DB[[#This Row],[SiteID]]&amp;"_"&amp;DO_DB[[#This Row],[Material Name]]</f>
        <v>CLR51-99-066_Pole 7M 4"</v>
      </c>
      <c r="Q2238" t="str">
        <f>DO_DB[[#This Row],[DO Number]]</f>
        <v>DOEID24011541</v>
      </c>
      <c r="R2238" t="str">
        <f>DO_DB[[#This Row],[DN Number]]</f>
        <v>DNWID0362024011513</v>
      </c>
    </row>
    <row r="2239" spans="1:18">
      <c r="A2239" t="s">
        <v>911</v>
      </c>
      <c r="B2239" t="s">
        <v>912</v>
      </c>
      <c r="C2239" s="172" t="s">
        <v>4482</v>
      </c>
      <c r="D2239" t="s">
        <v>71</v>
      </c>
      <c r="E2239" t="s">
        <v>24</v>
      </c>
      <c r="F2239" t="s">
        <v>3295</v>
      </c>
      <c r="G2239" t="s">
        <v>915</v>
      </c>
      <c r="H2239" t="s">
        <v>916</v>
      </c>
      <c r="I2239" s="130">
        <v>45337</v>
      </c>
      <c r="J2239" t="s">
        <v>3069</v>
      </c>
      <c r="K2239">
        <v>15</v>
      </c>
      <c r="M22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39" t="str">
        <f>DO_DB[[#This Row],[Material Pick-update]]&amp;"_"&amp;DO_DB[[#This Row],[Material Name]]</f>
        <v>45337_Pole 7M 4"</v>
      </c>
      <c r="O2239" t="str">
        <f>DO_DB[[#This Row],[SiteID]]</f>
        <v>CLR51-99-067</v>
      </c>
      <c r="P2239" t="str">
        <f>DO_DB[[#This Row],[SiteID]]&amp;"_"&amp;DO_DB[[#This Row],[Material Name]]</f>
        <v>CLR51-99-067_Pole 7M 4"</v>
      </c>
      <c r="Q2239" t="str">
        <f>DO_DB[[#This Row],[DO Number]]</f>
        <v>DOEID24021518</v>
      </c>
      <c r="R2239" t="str">
        <f>DO_DB[[#This Row],[DN Number]]</f>
        <v>DNWID0362024021507</v>
      </c>
    </row>
    <row r="2240" spans="1:18">
      <c r="A2240" t="s">
        <v>921</v>
      </c>
      <c r="B2240" t="s">
        <v>922</v>
      </c>
      <c r="C2240" s="172" t="s">
        <v>4482</v>
      </c>
      <c r="D2240" t="s">
        <v>71</v>
      </c>
      <c r="E2240" t="s">
        <v>24</v>
      </c>
      <c r="F2240" t="s">
        <v>3295</v>
      </c>
      <c r="G2240" t="s">
        <v>923</v>
      </c>
      <c r="H2240" t="s">
        <v>924</v>
      </c>
      <c r="I2240" s="130">
        <v>45337</v>
      </c>
      <c r="J2240" t="s">
        <v>3069</v>
      </c>
      <c r="K2240">
        <v>113</v>
      </c>
      <c r="M22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40" t="str">
        <f>DO_DB[[#This Row],[Material Pick-update]]&amp;"_"&amp;DO_DB[[#This Row],[Material Name]]</f>
        <v>45337_Pole 7M 4"</v>
      </c>
      <c r="O2240" t="str">
        <f>DO_DB[[#This Row],[SiteID]]</f>
        <v>CLR51-99-078</v>
      </c>
      <c r="P2240" t="str">
        <f>DO_DB[[#This Row],[SiteID]]&amp;"_"&amp;DO_DB[[#This Row],[Material Name]]</f>
        <v>CLR51-99-078_Pole 7M 4"</v>
      </c>
      <c r="Q2240" t="str">
        <f>DO_DB[[#This Row],[DO Number]]</f>
        <v>DOEID24021520</v>
      </c>
      <c r="R2240" t="str">
        <f>DO_DB[[#This Row],[DN Number]]</f>
        <v>DNWID0362024021508</v>
      </c>
    </row>
    <row r="2241" spans="1:18">
      <c r="A2241" t="s">
        <v>1013</v>
      </c>
      <c r="B2241" t="s">
        <v>1014</v>
      </c>
      <c r="C2241" s="172" t="s">
        <v>4482</v>
      </c>
      <c r="D2241" t="s">
        <v>71</v>
      </c>
      <c r="E2241" t="s">
        <v>24</v>
      </c>
      <c r="F2241" t="s">
        <v>3295</v>
      </c>
      <c r="G2241" t="s">
        <v>1017</v>
      </c>
      <c r="H2241" t="s">
        <v>1018</v>
      </c>
      <c r="I2241" s="130">
        <v>45351</v>
      </c>
      <c r="J2241" t="s">
        <v>3069</v>
      </c>
      <c r="K2241">
        <v>51</v>
      </c>
      <c r="M22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41" t="str">
        <f>DO_DB[[#This Row],[Material Pick-update]]&amp;"_"&amp;DO_DB[[#This Row],[Material Name]]</f>
        <v>45351_Pole 7M 4"</v>
      </c>
      <c r="O2241" t="str">
        <f>DO_DB[[#This Row],[SiteID]]</f>
        <v>CLR51-99-079</v>
      </c>
      <c r="P2241" t="str">
        <f>DO_DB[[#This Row],[SiteID]]&amp;"_"&amp;DO_DB[[#This Row],[Material Name]]</f>
        <v>CLR51-99-079_Pole 7M 4"</v>
      </c>
      <c r="Q2241" t="str">
        <f>DO_DB[[#This Row],[DO Number]]</f>
        <v>DOEID240226C8</v>
      </c>
      <c r="R2241" t="str">
        <f>DO_DB[[#This Row],[DN Number]]</f>
        <v>DNWID0362024022659</v>
      </c>
    </row>
    <row r="2242" spans="1:18">
      <c r="A2242" t="s">
        <v>1161</v>
      </c>
      <c r="B2242" t="s">
        <v>1162</v>
      </c>
      <c r="C2242" s="172" t="s">
        <v>4482</v>
      </c>
      <c r="D2242" t="s">
        <v>71</v>
      </c>
      <c r="E2242" t="s">
        <v>24</v>
      </c>
      <c r="F2242" t="s">
        <v>3295</v>
      </c>
      <c r="G2242" t="s">
        <v>1165</v>
      </c>
      <c r="H2242" t="s">
        <v>1166</v>
      </c>
      <c r="I2242" s="130">
        <v>45370</v>
      </c>
      <c r="J2242" t="s">
        <v>3069</v>
      </c>
      <c r="K2242">
        <v>20</v>
      </c>
      <c r="M22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42" t="str">
        <f>DO_DB[[#This Row],[Material Pick-update]]&amp;"_"&amp;DO_DB[[#This Row],[Material Name]]</f>
        <v>45370_Pole 7M 4"</v>
      </c>
      <c r="O2242" t="str">
        <f>DO_DB[[#This Row],[SiteID]]</f>
        <v>CLR51-99-039</v>
      </c>
      <c r="P2242" t="str">
        <f>DO_DB[[#This Row],[SiteID]]&amp;"_"&amp;DO_DB[[#This Row],[Material Name]]</f>
        <v>CLR51-99-039_Pole 7M 4"</v>
      </c>
      <c r="Q2242" t="str">
        <f>DO_DB[[#This Row],[DO Number]]</f>
        <v>DOEID24031918</v>
      </c>
      <c r="R2242" t="str">
        <f>DO_DB[[#This Row],[DN Number]]</f>
        <v>DNWID0362024031906</v>
      </c>
    </row>
    <row r="2243" spans="1:18">
      <c r="A2243" t="s">
        <v>1155</v>
      </c>
      <c r="B2243" t="s">
        <v>1156</v>
      </c>
      <c r="C2243" s="172" t="s">
        <v>4482</v>
      </c>
      <c r="D2243" t="s">
        <v>71</v>
      </c>
      <c r="E2243" t="s">
        <v>24</v>
      </c>
      <c r="F2243" t="s">
        <v>3295</v>
      </c>
      <c r="G2243" t="s">
        <v>1157</v>
      </c>
      <c r="H2243" t="s">
        <v>1158</v>
      </c>
      <c r="I2243" s="130">
        <v>45370</v>
      </c>
      <c r="J2243" t="s">
        <v>3069</v>
      </c>
      <c r="K2243">
        <v>22</v>
      </c>
      <c r="M22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43" t="str">
        <f>DO_DB[[#This Row],[Material Pick-update]]&amp;"_"&amp;DO_DB[[#This Row],[Material Name]]</f>
        <v>45370_Pole 7M 4"</v>
      </c>
      <c r="O2243" t="str">
        <f>DO_DB[[#This Row],[SiteID]]</f>
        <v>CLR51-99-034</v>
      </c>
      <c r="P2243" t="str">
        <f>DO_DB[[#This Row],[SiteID]]&amp;"_"&amp;DO_DB[[#This Row],[Material Name]]</f>
        <v>CLR51-99-034_Pole 7M 4"</v>
      </c>
      <c r="Q2243" t="str">
        <f>DO_DB[[#This Row],[DO Number]]</f>
        <v>DOEID24031920</v>
      </c>
      <c r="R2243" t="str">
        <f>DO_DB[[#This Row],[DN Number]]</f>
        <v>DNWID0362024031907</v>
      </c>
    </row>
    <row r="2244" spans="1:18">
      <c r="A2244" t="s">
        <v>1151</v>
      </c>
      <c r="B2244" t="s">
        <v>1152</v>
      </c>
      <c r="C2244" s="172" t="s">
        <v>4482</v>
      </c>
      <c r="D2244" t="s">
        <v>71</v>
      </c>
      <c r="E2244" t="s">
        <v>24</v>
      </c>
      <c r="F2244" t="s">
        <v>3295</v>
      </c>
      <c r="G2244" t="s">
        <v>1159</v>
      </c>
      <c r="H2244" t="s">
        <v>1160</v>
      </c>
      <c r="I2244" s="130">
        <v>45370</v>
      </c>
      <c r="J2244" t="s">
        <v>3069</v>
      </c>
      <c r="K2244">
        <v>11</v>
      </c>
      <c r="M22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44" t="str">
        <f>DO_DB[[#This Row],[Material Pick-update]]&amp;"_"&amp;DO_DB[[#This Row],[Material Name]]</f>
        <v>45370_Pole 7M 4"</v>
      </c>
      <c r="O2244" t="str">
        <f>DO_DB[[#This Row],[SiteID]]</f>
        <v>CLR51-99-040</v>
      </c>
      <c r="P2244" t="str">
        <f>DO_DB[[#This Row],[SiteID]]&amp;"_"&amp;DO_DB[[#This Row],[Material Name]]</f>
        <v>CLR51-99-040_Pole 7M 4"</v>
      </c>
      <c r="Q2244" t="str">
        <f>DO_DB[[#This Row],[DO Number]]</f>
        <v>DOEID24031922</v>
      </c>
      <c r="R2244" t="str">
        <f>DO_DB[[#This Row],[DN Number]]</f>
        <v>DNWID0362024031908</v>
      </c>
    </row>
    <row r="2245" spans="1:18">
      <c r="A2245" t="s">
        <v>1395</v>
      </c>
      <c r="B2245" t="s">
        <v>1396</v>
      </c>
      <c r="C2245" s="172" t="s">
        <v>4482</v>
      </c>
      <c r="D2245" t="s">
        <v>71</v>
      </c>
      <c r="E2245" t="s">
        <v>24</v>
      </c>
      <c r="F2245" t="s">
        <v>3295</v>
      </c>
      <c r="G2245" t="s">
        <v>1409</v>
      </c>
      <c r="H2245" t="s">
        <v>1410</v>
      </c>
      <c r="I2245" s="130">
        <v>45432</v>
      </c>
      <c r="J2245" t="s">
        <v>3069</v>
      </c>
      <c r="K2245">
        <v>30</v>
      </c>
      <c r="M22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45" t="str">
        <f>DO_DB[[#This Row],[Material Pick-update]]&amp;"_"&amp;DO_DB[[#This Row],[Material Name]]</f>
        <v>45432_Pole 7M 4"</v>
      </c>
      <c r="O2245" t="str">
        <f>DO_DB[[#This Row],[SiteID]]</f>
        <v>CLR51-99-095</v>
      </c>
      <c r="P2245" t="str">
        <f>DO_DB[[#This Row],[SiteID]]&amp;"_"&amp;DO_DB[[#This Row],[Material Name]]</f>
        <v>CLR51-99-095_Pole 7M 4"</v>
      </c>
      <c r="Q2245" t="str">
        <f>DO_DB[[#This Row],[DO Number]]</f>
        <v>DOEID240517C3</v>
      </c>
      <c r="R2245" t="str">
        <f>DO_DB[[#This Row],[DN Number]]</f>
        <v>DNWID0362024051703</v>
      </c>
    </row>
    <row r="2246" spans="1:18">
      <c r="A2246" t="s">
        <v>1405</v>
      </c>
      <c r="B2246" t="s">
        <v>1406</v>
      </c>
      <c r="C2246" s="172" t="s">
        <v>4482</v>
      </c>
      <c r="D2246" t="s">
        <v>71</v>
      </c>
      <c r="E2246" t="s">
        <v>24</v>
      </c>
      <c r="F2246" t="s">
        <v>3295</v>
      </c>
      <c r="G2246" t="s">
        <v>1407</v>
      </c>
      <c r="H2246" t="s">
        <v>1408</v>
      </c>
      <c r="I2246" s="130">
        <v>45432</v>
      </c>
      <c r="J2246" t="s">
        <v>3069</v>
      </c>
      <c r="K2246">
        <v>36</v>
      </c>
      <c r="M22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46" t="str">
        <f>DO_DB[[#This Row],[Material Pick-update]]&amp;"_"&amp;DO_DB[[#This Row],[Material Name]]</f>
        <v>45432_Pole 7M 4"</v>
      </c>
      <c r="O2246" t="str">
        <f>DO_DB[[#This Row],[SiteID]]</f>
        <v>CLR51-99-087</v>
      </c>
      <c r="P2246" t="str">
        <f>DO_DB[[#This Row],[SiteID]]&amp;"_"&amp;DO_DB[[#This Row],[Material Name]]</f>
        <v>CLR51-99-087_Pole 7M 4"</v>
      </c>
      <c r="Q2246" t="str">
        <f>DO_DB[[#This Row],[DO Number]]</f>
        <v>DOEID240517DJ</v>
      </c>
      <c r="R2246" t="str">
        <f>DO_DB[[#This Row],[DN Number]]</f>
        <v>DNWID0362024051709</v>
      </c>
    </row>
    <row r="2247" spans="1:18">
      <c r="A2247" t="s">
        <v>925</v>
      </c>
      <c r="B2247" t="s">
        <v>926</v>
      </c>
      <c r="C2247" s="172" t="s">
        <v>4482</v>
      </c>
      <c r="D2247" t="s">
        <v>71</v>
      </c>
      <c r="E2247" t="s">
        <v>24</v>
      </c>
      <c r="F2247" t="s">
        <v>3295</v>
      </c>
      <c r="G2247" t="s">
        <v>1399</v>
      </c>
      <c r="H2247" t="s">
        <v>1400</v>
      </c>
      <c r="I2247" s="130">
        <v>45432</v>
      </c>
      <c r="J2247" t="s">
        <v>3069</v>
      </c>
      <c r="K2247">
        <v>150</v>
      </c>
      <c r="M22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47" t="str">
        <f>DO_DB[[#This Row],[Material Pick-update]]&amp;"_"&amp;DO_DB[[#This Row],[Material Name]]</f>
        <v>45432_Pole 7M 4"</v>
      </c>
      <c r="O2247" t="str">
        <f>DO_DB[[#This Row],[SiteID]]</f>
        <v>CLR51-99-082</v>
      </c>
      <c r="P2247" t="str">
        <f>DO_DB[[#This Row],[SiteID]]&amp;"_"&amp;DO_DB[[#This Row],[Material Name]]</f>
        <v>CLR51-99-082_Pole 7M 4"</v>
      </c>
      <c r="Q2247" t="str">
        <f>DO_DB[[#This Row],[DO Number]]</f>
        <v>DOEID240517FE</v>
      </c>
      <c r="R2247" t="str">
        <f>DO_DB[[#This Row],[DN Number]]</f>
        <v>DNWID0362024051715</v>
      </c>
    </row>
    <row r="2248" spans="1:18">
      <c r="A2248" t="s">
        <v>1477</v>
      </c>
      <c r="B2248" t="s">
        <v>1478</v>
      </c>
      <c r="C2248" s="172" t="s">
        <v>4482</v>
      </c>
      <c r="D2248" t="s">
        <v>71</v>
      </c>
      <c r="E2248" t="s">
        <v>24</v>
      </c>
      <c r="F2248" t="s">
        <v>3295</v>
      </c>
      <c r="G2248" t="s">
        <v>1479</v>
      </c>
      <c r="H2248" t="s">
        <v>1480</v>
      </c>
      <c r="I2248" s="130">
        <v>45443</v>
      </c>
      <c r="J2248" t="s">
        <v>3069</v>
      </c>
      <c r="K2248">
        <v>23</v>
      </c>
      <c r="M22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48" t="str">
        <f>DO_DB[[#This Row],[Material Pick-update]]&amp;"_"&amp;DO_DB[[#This Row],[Material Name]]</f>
        <v>45443_Pole 7M 4"</v>
      </c>
      <c r="O2248" t="str">
        <f>DO_DB[[#This Row],[SiteID]]</f>
        <v>CLR51-99-098</v>
      </c>
      <c r="P2248" t="str">
        <f>DO_DB[[#This Row],[SiteID]]&amp;"_"&amp;DO_DB[[#This Row],[Material Name]]</f>
        <v>CLR51-99-098_Pole 7M 4"</v>
      </c>
      <c r="Q2248" t="str">
        <f>DO_DB[[#This Row],[DO Number]]</f>
        <v>DOEID24053154</v>
      </c>
      <c r="R2248" t="str">
        <f>DO_DB[[#This Row],[DN Number]]</f>
        <v>DNWID0362024053107</v>
      </c>
    </row>
    <row r="2249" spans="1:18">
      <c r="A2249" t="s">
        <v>1481</v>
      </c>
      <c r="B2249" t="s">
        <v>1482</v>
      </c>
      <c r="C2249" s="172" t="s">
        <v>4482</v>
      </c>
      <c r="D2249" t="s">
        <v>71</v>
      </c>
      <c r="E2249" t="s">
        <v>24</v>
      </c>
      <c r="F2249" t="s">
        <v>3295</v>
      </c>
      <c r="G2249" t="s">
        <v>1483</v>
      </c>
      <c r="H2249" t="s">
        <v>1484</v>
      </c>
      <c r="I2249" s="130">
        <v>45443</v>
      </c>
      <c r="J2249" t="s">
        <v>3069</v>
      </c>
      <c r="K2249">
        <v>29</v>
      </c>
      <c r="M22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49" t="str">
        <f>DO_DB[[#This Row],[Material Pick-update]]&amp;"_"&amp;DO_DB[[#This Row],[Material Name]]</f>
        <v>45443_Pole 7M 4"</v>
      </c>
      <c r="O2249" t="str">
        <f>DO_DB[[#This Row],[SiteID]]</f>
        <v>CLR51-99-096</v>
      </c>
      <c r="P2249" t="str">
        <f>DO_DB[[#This Row],[SiteID]]&amp;"_"&amp;DO_DB[[#This Row],[Material Name]]</f>
        <v>CLR51-99-096_Pole 7M 4"</v>
      </c>
      <c r="Q2249" t="str">
        <f>DO_DB[[#This Row],[DO Number]]</f>
        <v>DOEID24053155</v>
      </c>
      <c r="R2249" t="str">
        <f>DO_DB[[#This Row],[DN Number]]</f>
        <v>DNWID0362024053101</v>
      </c>
    </row>
    <row r="2250" spans="1:18">
      <c r="A2250" t="s">
        <v>1493</v>
      </c>
      <c r="B2250" t="s">
        <v>1494</v>
      </c>
      <c r="C2250" s="172" t="s">
        <v>4482</v>
      </c>
      <c r="D2250" t="s">
        <v>71</v>
      </c>
      <c r="E2250" t="s">
        <v>24</v>
      </c>
      <c r="F2250" t="s">
        <v>3295</v>
      </c>
      <c r="G2250" t="s">
        <v>1495</v>
      </c>
      <c r="H2250" t="s">
        <v>1496</v>
      </c>
      <c r="I2250" s="130">
        <v>45443</v>
      </c>
      <c r="J2250" t="s">
        <v>3069</v>
      </c>
      <c r="K2250">
        <v>42</v>
      </c>
      <c r="M22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50" t="str">
        <f>DO_DB[[#This Row],[Material Pick-update]]&amp;"_"&amp;DO_DB[[#This Row],[Material Name]]</f>
        <v>45443_Pole 7M 4"</v>
      </c>
      <c r="O2250" t="str">
        <f>DO_DB[[#This Row],[SiteID]]</f>
        <v>CLR51-99-097</v>
      </c>
      <c r="P2250" t="str">
        <f>DO_DB[[#This Row],[SiteID]]&amp;"_"&amp;DO_DB[[#This Row],[Material Name]]</f>
        <v>CLR51-99-097_Pole 7M 4"</v>
      </c>
      <c r="Q2250" t="str">
        <f>DO_DB[[#This Row],[DO Number]]</f>
        <v>DOEID24053156</v>
      </c>
      <c r="R2250" t="str">
        <f>DO_DB[[#This Row],[DN Number]]</f>
        <v>DNWID0362024053102</v>
      </c>
    </row>
    <row r="2251" spans="1:18">
      <c r="A2251" t="s">
        <v>1485</v>
      </c>
      <c r="B2251" t="s">
        <v>1486</v>
      </c>
      <c r="C2251" s="172" t="s">
        <v>4482</v>
      </c>
      <c r="D2251" t="s">
        <v>71</v>
      </c>
      <c r="E2251" t="s">
        <v>24</v>
      </c>
      <c r="F2251" t="s">
        <v>3295</v>
      </c>
      <c r="G2251" t="s">
        <v>1487</v>
      </c>
      <c r="H2251" t="s">
        <v>1488</v>
      </c>
      <c r="I2251" s="130">
        <v>45443</v>
      </c>
      <c r="J2251" t="s">
        <v>3069</v>
      </c>
      <c r="K2251">
        <v>17</v>
      </c>
      <c r="M22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51" t="str">
        <f>DO_DB[[#This Row],[Material Pick-update]]&amp;"_"&amp;DO_DB[[#This Row],[Material Name]]</f>
        <v>45443_Pole 7M 4"</v>
      </c>
      <c r="O2251" t="str">
        <f>DO_DB[[#This Row],[SiteID]]</f>
        <v>CLR51-03-014</v>
      </c>
      <c r="P2251" t="str">
        <f>DO_DB[[#This Row],[SiteID]]&amp;"_"&amp;DO_DB[[#This Row],[Material Name]]</f>
        <v>CLR51-03-014_Pole 7M 4"</v>
      </c>
      <c r="Q2251" t="str">
        <f>DO_DB[[#This Row],[DO Number]]</f>
        <v>DOEID24053157</v>
      </c>
      <c r="R2251" t="str">
        <f>DO_DB[[#This Row],[DN Number]]</f>
        <v>DNWID0362024053103</v>
      </c>
    </row>
    <row r="2252" spans="1:18">
      <c r="A2252" t="s">
        <v>1465</v>
      </c>
      <c r="B2252" t="s">
        <v>1466</v>
      </c>
      <c r="C2252" s="172" t="s">
        <v>4482</v>
      </c>
      <c r="D2252" t="s">
        <v>71</v>
      </c>
      <c r="E2252" t="s">
        <v>24</v>
      </c>
      <c r="F2252" t="s">
        <v>3295</v>
      </c>
      <c r="G2252" t="s">
        <v>1489</v>
      </c>
      <c r="H2252" t="s">
        <v>1490</v>
      </c>
      <c r="I2252" s="130">
        <v>45443</v>
      </c>
      <c r="J2252" t="s">
        <v>3069</v>
      </c>
      <c r="K2252">
        <v>53</v>
      </c>
      <c r="M22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52" t="str">
        <f>DO_DB[[#This Row],[Material Pick-update]]&amp;"_"&amp;DO_DB[[#This Row],[Material Name]]</f>
        <v>45443_Pole 7M 4"</v>
      </c>
      <c r="O2252" t="str">
        <f>DO_DB[[#This Row],[SiteID]]</f>
        <v>CLR51-02-014</v>
      </c>
      <c r="P2252" t="str">
        <f>DO_DB[[#This Row],[SiteID]]&amp;"_"&amp;DO_DB[[#This Row],[Material Name]]</f>
        <v>CLR51-02-014_Pole 7M 4"</v>
      </c>
      <c r="Q2252" t="str">
        <f>DO_DB[[#This Row],[DO Number]]</f>
        <v>DOEID24053158</v>
      </c>
      <c r="R2252" t="str">
        <f>DO_DB[[#This Row],[DN Number]]</f>
        <v>DNWID0362024053104</v>
      </c>
    </row>
    <row r="2253" spans="1:18">
      <c r="A2253" t="s">
        <v>1469</v>
      </c>
      <c r="B2253" t="s">
        <v>1470</v>
      </c>
      <c r="C2253" s="172" t="s">
        <v>4482</v>
      </c>
      <c r="D2253" t="s">
        <v>71</v>
      </c>
      <c r="E2253" t="s">
        <v>24</v>
      </c>
      <c r="F2253" t="s">
        <v>3295</v>
      </c>
      <c r="G2253" t="s">
        <v>1471</v>
      </c>
      <c r="H2253" t="s">
        <v>1472</v>
      </c>
      <c r="I2253" s="130">
        <v>45443</v>
      </c>
      <c r="J2253" t="s">
        <v>3069</v>
      </c>
      <c r="K2253">
        <v>57</v>
      </c>
      <c r="M22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53" t="str">
        <f>DO_DB[[#This Row],[Material Pick-update]]&amp;"_"&amp;DO_DB[[#This Row],[Material Name]]</f>
        <v>45443_Pole 7M 4"</v>
      </c>
      <c r="O2253" t="str">
        <f>DO_DB[[#This Row],[SiteID]]</f>
        <v>CLR51-99-099</v>
      </c>
      <c r="P2253" t="str">
        <f>DO_DB[[#This Row],[SiteID]]&amp;"_"&amp;DO_DB[[#This Row],[Material Name]]</f>
        <v>CLR51-99-099_Pole 7M 4"</v>
      </c>
      <c r="Q2253" t="str">
        <f>DO_DB[[#This Row],[DO Number]]</f>
        <v>DOEID24053160</v>
      </c>
      <c r="R2253" t="str">
        <f>DO_DB[[#This Row],[DN Number]]</f>
        <v>DNWID0362024053105</v>
      </c>
    </row>
    <row r="2254" spans="1:18">
      <c r="A2254" t="s">
        <v>1473</v>
      </c>
      <c r="B2254" t="s">
        <v>1474</v>
      </c>
      <c r="C2254" s="172" t="s">
        <v>4482</v>
      </c>
      <c r="D2254" t="s">
        <v>71</v>
      </c>
      <c r="E2254" t="s">
        <v>24</v>
      </c>
      <c r="F2254" t="s">
        <v>3295</v>
      </c>
      <c r="G2254" t="s">
        <v>1491</v>
      </c>
      <c r="H2254" t="s">
        <v>1492</v>
      </c>
      <c r="I2254" s="130">
        <v>45443</v>
      </c>
      <c r="J2254" t="s">
        <v>3069</v>
      </c>
      <c r="K2254">
        <v>64</v>
      </c>
      <c r="M22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54" t="str">
        <f>DO_DB[[#This Row],[Material Pick-update]]&amp;"_"&amp;DO_DB[[#This Row],[Material Name]]</f>
        <v>45443_Pole 7M 4"</v>
      </c>
      <c r="O2254" t="str">
        <f>DO_DB[[#This Row],[SiteID]]</f>
        <v>CLR51-02-015</v>
      </c>
      <c r="P2254" t="str">
        <f>DO_DB[[#This Row],[SiteID]]&amp;"_"&amp;DO_DB[[#This Row],[Material Name]]</f>
        <v>CLR51-02-015_Pole 7M 4"</v>
      </c>
      <c r="Q2254" t="str">
        <f>DO_DB[[#This Row],[DO Number]]</f>
        <v>DOEID24053161</v>
      </c>
      <c r="R2254" t="str">
        <f>DO_DB[[#This Row],[DN Number]]</f>
        <v>DNWID0362024053106</v>
      </c>
    </row>
    <row r="2255" spans="1:18">
      <c r="A2255" t="s">
        <v>1679</v>
      </c>
      <c r="B2255" t="s">
        <v>1680</v>
      </c>
      <c r="C2255" s="172" t="s">
        <v>4482</v>
      </c>
      <c r="D2255" t="s">
        <v>71</v>
      </c>
      <c r="E2255" t="s">
        <v>709</v>
      </c>
      <c r="F2255" t="s">
        <v>3295</v>
      </c>
      <c r="G2255" t="s">
        <v>1687</v>
      </c>
      <c r="H2255" t="s">
        <v>1688</v>
      </c>
      <c r="I2255" s="130">
        <v>45467</v>
      </c>
      <c r="J2255" t="s">
        <v>3069</v>
      </c>
      <c r="K2255">
        <v>165</v>
      </c>
      <c r="M22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55" t="str">
        <f>DO_DB[[#This Row],[Material Pick-update]]&amp;"_"&amp;DO_DB[[#This Row],[Material Name]]</f>
        <v>45467_Pole 7M 4"</v>
      </c>
      <c r="O2255" t="str">
        <f>DO_DB[[#This Row],[SiteID]]</f>
        <v>CLR41-03-021</v>
      </c>
      <c r="P2255" t="str">
        <f>DO_DB[[#This Row],[SiteID]]&amp;"_"&amp;DO_DB[[#This Row],[Material Name]]</f>
        <v>CLR41-03-021_Pole 7M 4"</v>
      </c>
      <c r="Q2255" t="str">
        <f>DO_DB[[#This Row],[DO Number]]</f>
        <v>DOEID240613I3</v>
      </c>
      <c r="R2255" t="str">
        <f>DO_DB[[#This Row],[DN Number]]</f>
        <v>DNWID0362024061411</v>
      </c>
    </row>
    <row r="2256" spans="1:18">
      <c r="A2256" t="s">
        <v>1799</v>
      </c>
      <c r="B2256" t="s">
        <v>1800</v>
      </c>
      <c r="C2256" s="172" t="s">
        <v>4482</v>
      </c>
      <c r="D2256" t="s">
        <v>71</v>
      </c>
      <c r="E2256" t="s">
        <v>24</v>
      </c>
      <c r="F2256" t="s">
        <v>3295</v>
      </c>
      <c r="G2256" t="s">
        <v>1801</v>
      </c>
      <c r="H2256" t="s">
        <v>1802</v>
      </c>
      <c r="I2256" s="130">
        <v>45496</v>
      </c>
      <c r="J2256" t="s">
        <v>3069</v>
      </c>
      <c r="K2256">
        <v>79</v>
      </c>
      <c r="M22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56" t="str">
        <f>DO_DB[[#This Row],[Material Pick-update]]&amp;"_"&amp;DO_DB[[#This Row],[Material Name]]</f>
        <v>45496_Pole 7M 4"</v>
      </c>
      <c r="O2256" t="str">
        <f>DO_DB[[#This Row],[SiteID]]</f>
        <v>MF51-03</v>
      </c>
      <c r="P2256" t="str">
        <f>DO_DB[[#This Row],[SiteID]]&amp;"_"&amp;DO_DB[[#This Row],[Material Name]]</f>
        <v>MF51-03_Pole 7M 4"</v>
      </c>
      <c r="Q2256" t="str">
        <f>DO_DB[[#This Row],[DO Number]]</f>
        <v>DOEID240722CR</v>
      </c>
      <c r="R2256" t="str">
        <f>DO_DB[[#This Row],[DN Number]]</f>
        <v>DNWID0362024072310</v>
      </c>
    </row>
    <row r="2257" spans="1:18">
      <c r="A2257" t="s">
        <v>1807</v>
      </c>
      <c r="B2257" t="s">
        <v>1808</v>
      </c>
      <c r="C2257" s="172" t="s">
        <v>4482</v>
      </c>
      <c r="D2257" t="s">
        <v>71</v>
      </c>
      <c r="E2257" t="s">
        <v>24</v>
      </c>
      <c r="F2257" t="s">
        <v>3295</v>
      </c>
      <c r="G2257" t="s">
        <v>1809</v>
      </c>
      <c r="H2257" t="s">
        <v>1810</v>
      </c>
      <c r="I2257" s="130">
        <v>45496</v>
      </c>
      <c r="J2257" t="s">
        <v>3069</v>
      </c>
      <c r="K2257">
        <v>82</v>
      </c>
      <c r="M22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57" t="str">
        <f>DO_DB[[#This Row],[Material Pick-update]]&amp;"_"&amp;DO_DB[[#This Row],[Material Name]]</f>
        <v>45496_Pole 7M 4"</v>
      </c>
      <c r="O2257" t="str">
        <f>DO_DB[[#This Row],[SiteID]]</f>
        <v>MF51-04</v>
      </c>
      <c r="P2257" t="str">
        <f>DO_DB[[#This Row],[SiteID]]&amp;"_"&amp;DO_DB[[#This Row],[Material Name]]</f>
        <v>MF51-04_Pole 7M 4"</v>
      </c>
      <c r="Q2257" t="str">
        <f>DO_DB[[#This Row],[DO Number]]</f>
        <v>DOEID240722CT</v>
      </c>
      <c r="R2257" t="str">
        <f>DO_DB[[#This Row],[DN Number]]</f>
        <v>DNWID0362024072313</v>
      </c>
    </row>
    <row r="2258" spans="1:18">
      <c r="A2258" t="s">
        <v>1803</v>
      </c>
      <c r="B2258" t="s">
        <v>1804</v>
      </c>
      <c r="C2258" s="172" t="s">
        <v>4482</v>
      </c>
      <c r="D2258" t="s">
        <v>71</v>
      </c>
      <c r="E2258" t="s">
        <v>24</v>
      </c>
      <c r="F2258" t="s">
        <v>3295</v>
      </c>
      <c r="G2258" t="s">
        <v>1811</v>
      </c>
      <c r="H2258" t="s">
        <v>1812</v>
      </c>
      <c r="I2258" s="130">
        <v>45496</v>
      </c>
      <c r="J2258" t="s">
        <v>3069</v>
      </c>
      <c r="K2258">
        <v>95</v>
      </c>
      <c r="M22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58" t="str">
        <f>DO_DB[[#This Row],[Material Pick-update]]&amp;"_"&amp;DO_DB[[#This Row],[Material Name]]</f>
        <v>45496_Pole 7M 4"</v>
      </c>
      <c r="O2258" t="str">
        <f>DO_DB[[#This Row],[SiteID]]</f>
        <v>CLR51-03-005</v>
      </c>
      <c r="P2258" t="str">
        <f>DO_DB[[#This Row],[SiteID]]&amp;"_"&amp;DO_DB[[#This Row],[Material Name]]</f>
        <v>CLR51-03-005_Pole 7M 4"</v>
      </c>
      <c r="Q2258" t="str">
        <f>DO_DB[[#This Row],[DO Number]]</f>
        <v>DOEID240722CZ</v>
      </c>
      <c r="R2258" t="str">
        <f>DO_DB[[#This Row],[DN Number]]</f>
        <v>DNWID0362024072301</v>
      </c>
    </row>
    <row r="2259" spans="1:18">
      <c r="A2259" t="s">
        <v>1923</v>
      </c>
      <c r="B2259" t="s">
        <v>1924</v>
      </c>
      <c r="C2259" s="172" t="s">
        <v>4482</v>
      </c>
      <c r="D2259" t="s">
        <v>71</v>
      </c>
      <c r="E2259" t="s">
        <v>24</v>
      </c>
      <c r="F2259" t="s">
        <v>3295</v>
      </c>
      <c r="G2259" t="s">
        <v>1927</v>
      </c>
      <c r="H2259" t="s">
        <v>1928</v>
      </c>
      <c r="I2259" s="130">
        <v>45526</v>
      </c>
      <c r="J2259" t="s">
        <v>3069</v>
      </c>
      <c r="K2259">
        <v>41</v>
      </c>
      <c r="M22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59" t="str">
        <f>DO_DB[[#This Row],[Material Pick-update]]&amp;"_"&amp;DO_DB[[#This Row],[Material Name]]</f>
        <v>45526_Pole 7M 4"</v>
      </c>
      <c r="O2259" t="str">
        <f>DO_DB[[#This Row],[SiteID]]</f>
        <v>CLR51-09-001</v>
      </c>
      <c r="P2259" t="str">
        <f>DO_DB[[#This Row],[SiteID]]&amp;"_"&amp;DO_DB[[#This Row],[Material Name]]</f>
        <v>CLR51-09-001_Pole 7M 4"</v>
      </c>
      <c r="Q2259" t="str">
        <f>DO_DB[[#This Row],[DO Number]]</f>
        <v>DOEID24081986</v>
      </c>
      <c r="R2259" t="str">
        <f>DO_DB[[#This Row],[DN Number]]</f>
        <v>DNWID0362024081905</v>
      </c>
    </row>
    <row r="2260" spans="1:18">
      <c r="A2260" t="s">
        <v>1911</v>
      </c>
      <c r="B2260" t="s">
        <v>1912</v>
      </c>
      <c r="C2260" s="172" t="s">
        <v>4482</v>
      </c>
      <c r="D2260" t="s">
        <v>71</v>
      </c>
      <c r="E2260" t="s">
        <v>24</v>
      </c>
      <c r="F2260" t="s">
        <v>3295</v>
      </c>
      <c r="G2260" t="s">
        <v>1913</v>
      </c>
      <c r="H2260" t="s">
        <v>1914</v>
      </c>
      <c r="I2260" s="130">
        <v>45526</v>
      </c>
      <c r="J2260" t="s">
        <v>3069</v>
      </c>
      <c r="K2260">
        <v>28</v>
      </c>
      <c r="M226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60" t="str">
        <f>DO_DB[[#This Row],[Material Pick-update]]&amp;"_"&amp;DO_DB[[#This Row],[Material Name]]</f>
        <v>45526_Pole 7M 4"</v>
      </c>
      <c r="O2260" t="str">
        <f>DO_DB[[#This Row],[SiteID]]</f>
        <v>CLR51-09-009</v>
      </c>
      <c r="P2260" t="str">
        <f>DO_DB[[#This Row],[SiteID]]&amp;"_"&amp;DO_DB[[#This Row],[Material Name]]</f>
        <v>CLR51-09-009_Pole 7M 4"</v>
      </c>
      <c r="Q2260" t="str">
        <f>DO_DB[[#This Row],[DO Number]]</f>
        <v>DOEID24081988</v>
      </c>
      <c r="R2260" t="str">
        <f>DO_DB[[#This Row],[DN Number]]</f>
        <v>DNWID0362024081906</v>
      </c>
    </row>
    <row r="2261" spans="1:18">
      <c r="A2261" t="s">
        <v>1917</v>
      </c>
      <c r="B2261" t="s">
        <v>1918</v>
      </c>
      <c r="C2261" s="172" t="s">
        <v>4482</v>
      </c>
      <c r="D2261" t="s">
        <v>71</v>
      </c>
      <c r="E2261" t="s">
        <v>24</v>
      </c>
      <c r="F2261" t="s">
        <v>3295</v>
      </c>
      <c r="G2261" t="s">
        <v>1921</v>
      </c>
      <c r="H2261" t="s">
        <v>1922</v>
      </c>
      <c r="I2261" s="130">
        <v>45526</v>
      </c>
      <c r="J2261" t="s">
        <v>3069</v>
      </c>
      <c r="K2261">
        <v>23</v>
      </c>
      <c r="M226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61" t="str">
        <f>DO_DB[[#This Row],[Material Pick-update]]&amp;"_"&amp;DO_DB[[#This Row],[Material Name]]</f>
        <v>45526_Pole 7M 4"</v>
      </c>
      <c r="O2261" t="str">
        <f>DO_DB[[#This Row],[SiteID]]</f>
        <v>CLR51-09-008</v>
      </c>
      <c r="P2261" t="str">
        <f>DO_DB[[#This Row],[SiteID]]&amp;"_"&amp;DO_DB[[#This Row],[Material Name]]</f>
        <v>CLR51-09-008_Pole 7M 4"</v>
      </c>
      <c r="Q2261" t="str">
        <f>DO_DB[[#This Row],[DO Number]]</f>
        <v>DOEID24081990</v>
      </c>
      <c r="R2261" t="str">
        <f>DO_DB[[#This Row],[DN Number]]</f>
        <v>DNWID0362024081907</v>
      </c>
    </row>
    <row r="2262" spans="1:18">
      <c r="A2262" t="s">
        <v>1929</v>
      </c>
      <c r="B2262" t="s">
        <v>1930</v>
      </c>
      <c r="C2262" s="172" t="s">
        <v>4482</v>
      </c>
      <c r="D2262" t="s">
        <v>71</v>
      </c>
      <c r="E2262" t="s">
        <v>24</v>
      </c>
      <c r="F2262" t="s">
        <v>3295</v>
      </c>
      <c r="G2262" t="s">
        <v>1937</v>
      </c>
      <c r="H2262" t="s">
        <v>1938</v>
      </c>
      <c r="I2262" s="130">
        <v>45526</v>
      </c>
      <c r="J2262" t="s">
        <v>3069</v>
      </c>
      <c r="K2262">
        <v>83</v>
      </c>
      <c r="M22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62" t="str">
        <f>DO_DB[[#This Row],[Material Pick-update]]&amp;"_"&amp;DO_DB[[#This Row],[Material Name]]</f>
        <v>45526_Pole 7M 4"</v>
      </c>
      <c r="O2262" t="str">
        <f>DO_DB[[#This Row],[SiteID]]</f>
        <v>CLR51-03-010</v>
      </c>
      <c r="P2262" t="str">
        <f>DO_DB[[#This Row],[SiteID]]&amp;"_"&amp;DO_DB[[#This Row],[Material Name]]</f>
        <v>CLR51-03-010_Pole 7M 4"</v>
      </c>
      <c r="Q2262" t="str">
        <f>DO_DB[[#This Row],[DO Number]]</f>
        <v>DOEID24081995</v>
      </c>
      <c r="R2262" t="str">
        <f>DO_DB[[#This Row],[DN Number]]</f>
        <v>DNWID0362024081909</v>
      </c>
    </row>
    <row r="2263" spans="1:18">
      <c r="A2263" t="s">
        <v>2019</v>
      </c>
      <c r="B2263" t="s">
        <v>2020</v>
      </c>
      <c r="C2263" s="172" t="s">
        <v>4482</v>
      </c>
      <c r="D2263" t="s">
        <v>71</v>
      </c>
      <c r="E2263" t="s">
        <v>25</v>
      </c>
      <c r="F2263" t="s">
        <v>3295</v>
      </c>
      <c r="G2263" t="s">
        <v>2021</v>
      </c>
      <c r="H2263" t="s">
        <v>2022</v>
      </c>
      <c r="I2263" s="130">
        <v>45531</v>
      </c>
      <c r="J2263" t="s">
        <v>3069</v>
      </c>
      <c r="K2263">
        <v>77</v>
      </c>
      <c r="M226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63" t="str">
        <f>DO_DB[[#This Row],[Material Pick-update]]&amp;"_"&amp;DO_DB[[#This Row],[Material Name]]</f>
        <v>45531_Pole 7M 4"</v>
      </c>
      <c r="O2263" t="str">
        <f>DO_DB[[#This Row],[SiteID]]</f>
        <v>CLR64-01-010</v>
      </c>
      <c r="P2263" t="str">
        <f>DO_DB[[#This Row],[SiteID]]&amp;"_"&amp;DO_DB[[#This Row],[Material Name]]</f>
        <v>CLR64-01-010_Pole 7M 4"</v>
      </c>
      <c r="Q2263" t="str">
        <f>DO_DB[[#This Row],[DO Number]]</f>
        <v>DOEID240826HT</v>
      </c>
      <c r="R2263" t="str">
        <f>DO_DB[[#This Row],[DN Number]]</f>
        <v>DNWID0362024082712</v>
      </c>
    </row>
    <row r="2264" spans="1:18">
      <c r="A2264" t="s">
        <v>2166</v>
      </c>
      <c r="B2264" t="s">
        <v>2167</v>
      </c>
      <c r="C2264" s="172" t="s">
        <v>4482</v>
      </c>
      <c r="D2264" t="s">
        <v>71</v>
      </c>
      <c r="E2264" t="s">
        <v>24</v>
      </c>
      <c r="F2264" t="s">
        <v>3295</v>
      </c>
      <c r="G2264" t="s">
        <v>2168</v>
      </c>
      <c r="H2264" t="s">
        <v>2169</v>
      </c>
      <c r="I2264" s="130">
        <v>45555</v>
      </c>
      <c r="J2264" t="s">
        <v>3069</v>
      </c>
      <c r="K2264">
        <v>69</v>
      </c>
      <c r="M226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64" t="str">
        <f>DO_DB[[#This Row],[Material Pick-update]]&amp;"_"&amp;DO_DB[[#This Row],[Material Name]]</f>
        <v>45555_Pole 7M 4"</v>
      </c>
      <c r="O2264" t="str">
        <f>DO_DB[[#This Row],[SiteID]]</f>
        <v>CLR51-03-006</v>
      </c>
      <c r="P2264" t="str">
        <f>DO_DB[[#This Row],[SiteID]]&amp;"_"&amp;DO_DB[[#This Row],[Material Name]]</f>
        <v>CLR51-03-006_Pole 7M 4"</v>
      </c>
      <c r="Q2264" t="str">
        <f>DO_DB[[#This Row],[DO Number]]</f>
        <v>DOEID24092014</v>
      </c>
      <c r="R2264" t="str">
        <f>DO_DB[[#This Row],[DN Number]]</f>
        <v>DNWID0362024092002</v>
      </c>
    </row>
    <row r="2265" spans="1:18">
      <c r="A2265" t="s">
        <v>2160</v>
      </c>
      <c r="B2265" t="s">
        <v>2161</v>
      </c>
      <c r="C2265" s="172" t="s">
        <v>4482</v>
      </c>
      <c r="D2265" t="s">
        <v>71</v>
      </c>
      <c r="E2265" t="s">
        <v>24</v>
      </c>
      <c r="F2265" t="s">
        <v>3295</v>
      </c>
      <c r="G2265" t="s">
        <v>2162</v>
      </c>
      <c r="H2265" t="s">
        <v>2163</v>
      </c>
      <c r="I2265" s="130">
        <v>45555</v>
      </c>
      <c r="J2265" t="s">
        <v>3069</v>
      </c>
      <c r="K2265">
        <v>32</v>
      </c>
      <c r="M226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65" t="str">
        <f>DO_DB[[#This Row],[Material Pick-update]]&amp;"_"&amp;DO_DB[[#This Row],[Material Name]]</f>
        <v>45555_Pole 7M 4"</v>
      </c>
      <c r="O2265" t="str">
        <f>DO_DB[[#This Row],[SiteID]]</f>
        <v>CLR51-99-122</v>
      </c>
      <c r="P2265" t="str">
        <f>DO_DB[[#This Row],[SiteID]]&amp;"_"&amp;DO_DB[[#This Row],[Material Name]]</f>
        <v>CLR51-99-122_Pole 7M 4"</v>
      </c>
      <c r="Q2265" t="str">
        <f>DO_DB[[#This Row],[DO Number]]</f>
        <v>DOEID24092016</v>
      </c>
      <c r="R2265" t="str">
        <f>DO_DB[[#This Row],[DN Number]]</f>
        <v>DNWID0362024092003</v>
      </c>
    </row>
    <row r="2266" spans="1:18">
      <c r="A2266" t="s">
        <v>2013</v>
      </c>
      <c r="B2266" t="s">
        <v>2014</v>
      </c>
      <c r="C2266" s="172" t="s">
        <v>4482</v>
      </c>
      <c r="D2266" t="s">
        <v>71</v>
      </c>
      <c r="E2266" t="s">
        <v>24</v>
      </c>
      <c r="F2266" t="s">
        <v>3295</v>
      </c>
      <c r="G2266" t="s">
        <v>2164</v>
      </c>
      <c r="H2266" t="s">
        <v>2165</v>
      </c>
      <c r="I2266" s="130">
        <v>45555</v>
      </c>
      <c r="J2266" t="s">
        <v>3069</v>
      </c>
      <c r="K2266">
        <v>25</v>
      </c>
      <c r="M226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66" t="str">
        <f>DO_DB[[#This Row],[Material Pick-update]]&amp;"_"&amp;DO_DB[[#This Row],[Material Name]]</f>
        <v>45555_Pole 7M 4"</v>
      </c>
      <c r="O2266" t="str">
        <f>DO_DB[[#This Row],[SiteID]]</f>
        <v>CLR51-99-049</v>
      </c>
      <c r="P2266" t="str">
        <f>DO_DB[[#This Row],[SiteID]]&amp;"_"&amp;DO_DB[[#This Row],[Material Name]]</f>
        <v>CLR51-99-049_Pole 7M 4"</v>
      </c>
      <c r="Q2266" t="str">
        <f>DO_DB[[#This Row],[DO Number]]</f>
        <v>DOEID24092031</v>
      </c>
      <c r="R2266" t="str">
        <f>DO_DB[[#This Row],[DN Number]]</f>
        <v>DNWID0362024092001</v>
      </c>
    </row>
    <row r="2267" spans="1:18">
      <c r="A2267" t="s">
        <v>2354</v>
      </c>
      <c r="B2267" t="s">
        <v>2355</v>
      </c>
      <c r="C2267" s="172" t="s">
        <v>4482</v>
      </c>
      <c r="D2267" t="s">
        <v>71</v>
      </c>
      <c r="E2267" t="s">
        <v>24</v>
      </c>
      <c r="F2267" t="s">
        <v>3295</v>
      </c>
      <c r="G2267" t="s">
        <v>2356</v>
      </c>
      <c r="H2267" t="s">
        <v>2357</v>
      </c>
      <c r="I2267" s="130">
        <v>45602</v>
      </c>
      <c r="J2267" t="s">
        <v>3069</v>
      </c>
      <c r="K2267">
        <v>25</v>
      </c>
      <c r="M226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67" t="str">
        <f>DO_DB[[#This Row],[Material Pick-update]]&amp;"_"&amp;DO_DB[[#This Row],[Material Name]]</f>
        <v>45602_Pole 7M 4"</v>
      </c>
      <c r="O2267" t="str">
        <f>DO_DB[[#This Row],[SiteID]]</f>
        <v>MF51-07</v>
      </c>
      <c r="P2267" t="str">
        <f>DO_DB[[#This Row],[SiteID]]&amp;"_"&amp;DO_DB[[#This Row],[Material Name]]</f>
        <v>MF51-07_Pole 7M 4"</v>
      </c>
      <c r="Q2267" t="str">
        <f>DO_DB[[#This Row],[DO Number]]</f>
        <v>DOEID241029AI</v>
      </c>
      <c r="R2267" t="str">
        <f>DO_DB[[#This Row],[DN Number]]</f>
        <v>DNWID0362024102915</v>
      </c>
    </row>
    <row r="2268" spans="1:18">
      <c r="A2268" t="s">
        <v>2350</v>
      </c>
      <c r="B2268" t="s">
        <v>2351</v>
      </c>
      <c r="C2268" s="172" t="s">
        <v>4482</v>
      </c>
      <c r="D2268" t="s">
        <v>71</v>
      </c>
      <c r="E2268" t="s">
        <v>24</v>
      </c>
      <c r="F2268" t="s">
        <v>3295</v>
      </c>
      <c r="G2268" t="s">
        <v>2352</v>
      </c>
      <c r="H2268" t="s">
        <v>2353</v>
      </c>
      <c r="I2268" s="130">
        <v>45602</v>
      </c>
      <c r="J2268" t="s">
        <v>3069</v>
      </c>
      <c r="K2268">
        <v>20</v>
      </c>
      <c r="M226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68" t="str">
        <f>DO_DB[[#This Row],[Material Pick-update]]&amp;"_"&amp;DO_DB[[#This Row],[Material Name]]</f>
        <v>45602_Pole 7M 4"</v>
      </c>
      <c r="O2268" t="str">
        <f>DO_DB[[#This Row],[SiteID]]</f>
        <v>CLR51-01-009</v>
      </c>
      <c r="P2268" t="str">
        <f>DO_DB[[#This Row],[SiteID]]&amp;"_"&amp;DO_DB[[#This Row],[Material Name]]</f>
        <v>CLR51-01-009_Pole 7M 4"</v>
      </c>
      <c r="Q2268" t="str">
        <f>DO_DB[[#This Row],[DO Number]]</f>
        <v>DOEID24110549</v>
      </c>
      <c r="R2268" t="str">
        <f>DO_DB[[#This Row],[DN Number]]</f>
        <v>DNWID0362024110503</v>
      </c>
    </row>
    <row r="2269" spans="1:18">
      <c r="A2269" t="s">
        <v>2360</v>
      </c>
      <c r="B2269" t="s">
        <v>2361</v>
      </c>
      <c r="C2269" s="172" t="s">
        <v>4482</v>
      </c>
      <c r="D2269" t="s">
        <v>71</v>
      </c>
      <c r="E2269" t="s">
        <v>24</v>
      </c>
      <c r="F2269" t="s">
        <v>3295</v>
      </c>
      <c r="G2269" t="s">
        <v>2364</v>
      </c>
      <c r="H2269" t="s">
        <v>2365</v>
      </c>
      <c r="I2269" s="130">
        <v>45602</v>
      </c>
      <c r="J2269" t="s">
        <v>3069</v>
      </c>
      <c r="K2269">
        <v>81</v>
      </c>
      <c r="M226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69" t="str">
        <f>DO_DB[[#This Row],[Material Pick-update]]&amp;"_"&amp;DO_DB[[#This Row],[Material Name]]</f>
        <v>45602_Pole 7M 4"</v>
      </c>
      <c r="O2269" t="str">
        <f>DO_DB[[#This Row],[SiteID]]</f>
        <v>CLR51-99-123</v>
      </c>
      <c r="P2269" t="str">
        <f>DO_DB[[#This Row],[SiteID]]&amp;"_"&amp;DO_DB[[#This Row],[Material Name]]</f>
        <v>CLR51-99-123_Pole 7M 4"</v>
      </c>
      <c r="Q2269" t="str">
        <f>DO_DB[[#This Row],[DO Number]]</f>
        <v>DOEID24110551</v>
      </c>
      <c r="R2269" t="str">
        <f>DO_DB[[#This Row],[DN Number]]</f>
        <v>DNWID0362024110504</v>
      </c>
    </row>
    <row r="2270" spans="1:18">
      <c r="A2270" t="s">
        <v>2502</v>
      </c>
      <c r="B2270" t="s">
        <v>2503</v>
      </c>
      <c r="C2270" s="172" t="s">
        <v>4482</v>
      </c>
      <c r="D2270" t="s">
        <v>71</v>
      </c>
      <c r="E2270" t="s">
        <v>24</v>
      </c>
      <c r="F2270" t="s">
        <v>3295</v>
      </c>
      <c r="G2270" t="s">
        <v>2504</v>
      </c>
      <c r="H2270" t="s">
        <v>2505</v>
      </c>
      <c r="I2270" s="130">
        <v>45622</v>
      </c>
      <c r="J2270" t="s">
        <v>3069</v>
      </c>
      <c r="K2270">
        <v>36</v>
      </c>
      <c r="M227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70" t="str">
        <f>DO_DB[[#This Row],[Material Pick-update]]&amp;"_"&amp;DO_DB[[#This Row],[Material Name]]</f>
        <v>45622_Pole 7M 4"</v>
      </c>
      <c r="O2270" t="str">
        <f>DO_DB[[#This Row],[SiteID]]</f>
        <v>CLR51-09-010</v>
      </c>
      <c r="P2270" t="str">
        <f>DO_DB[[#This Row],[SiteID]]&amp;"_"&amp;DO_DB[[#This Row],[Material Name]]</f>
        <v>CLR51-09-010_Pole 7M 4"</v>
      </c>
      <c r="Q2270" t="str">
        <f>DO_DB[[#This Row],[DO Number]]</f>
        <v>DOEID241121BM</v>
      </c>
      <c r="R2270" t="str">
        <f>DO_DB[[#This Row],[DN Number]]</f>
        <v>DNWID0362024112204</v>
      </c>
    </row>
    <row r="2271" spans="1:18">
      <c r="A2271" t="s">
        <v>2508</v>
      </c>
      <c r="B2271" t="s">
        <v>2509</v>
      </c>
      <c r="C2271" s="172" t="s">
        <v>4482</v>
      </c>
      <c r="D2271" t="s">
        <v>71</v>
      </c>
      <c r="E2271" t="s">
        <v>24</v>
      </c>
      <c r="F2271" t="s">
        <v>3295</v>
      </c>
      <c r="G2271" t="s">
        <v>2510</v>
      </c>
      <c r="H2271" t="s">
        <v>2511</v>
      </c>
      <c r="I2271" s="130">
        <v>45622</v>
      </c>
      <c r="J2271" t="s">
        <v>3069</v>
      </c>
      <c r="K2271">
        <v>21</v>
      </c>
      <c r="M227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71" t="str">
        <f>DO_DB[[#This Row],[Material Pick-update]]&amp;"_"&amp;DO_DB[[#This Row],[Material Name]]</f>
        <v>45622_Pole 7M 4"</v>
      </c>
      <c r="O2271" t="str">
        <f>DO_DB[[#This Row],[SiteID]]</f>
        <v>CLR51-09-011</v>
      </c>
      <c r="P2271" t="str">
        <f>DO_DB[[#This Row],[SiteID]]&amp;"_"&amp;DO_DB[[#This Row],[Material Name]]</f>
        <v>CLR51-09-011_Pole 7M 4"</v>
      </c>
      <c r="Q2271" t="str">
        <f>DO_DB[[#This Row],[DO Number]]</f>
        <v>DOEID241121BO</v>
      </c>
      <c r="R2271" t="str">
        <f>DO_DB[[#This Row],[DN Number]]</f>
        <v>DNWID0362024112203</v>
      </c>
    </row>
    <row r="2272" spans="1:18">
      <c r="A2272" t="s">
        <v>2514</v>
      </c>
      <c r="B2272" t="s">
        <v>2515</v>
      </c>
      <c r="C2272" s="172" t="s">
        <v>4482</v>
      </c>
      <c r="D2272" t="s">
        <v>71</v>
      </c>
      <c r="E2272" t="s">
        <v>24</v>
      </c>
      <c r="F2272" t="s">
        <v>3295</v>
      </c>
      <c r="G2272" t="s">
        <v>2516</v>
      </c>
      <c r="H2272" t="s">
        <v>2517</v>
      </c>
      <c r="I2272" s="130">
        <v>45622</v>
      </c>
      <c r="J2272" t="s">
        <v>3069</v>
      </c>
      <c r="K2272">
        <v>55</v>
      </c>
      <c r="M227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72" t="str">
        <f>DO_DB[[#This Row],[Material Pick-update]]&amp;"_"&amp;DO_DB[[#This Row],[Material Name]]</f>
        <v>45622_Pole 7M 4"</v>
      </c>
      <c r="O2272" t="str">
        <f>DO_DB[[#This Row],[SiteID]]</f>
        <v>CLR51-09-012</v>
      </c>
      <c r="P2272" t="str">
        <f>DO_DB[[#This Row],[SiteID]]&amp;"_"&amp;DO_DB[[#This Row],[Material Name]]</f>
        <v>CLR51-09-012_Pole 7M 4"</v>
      </c>
      <c r="Q2272" t="str">
        <f>DO_DB[[#This Row],[DO Number]]</f>
        <v>DOEID241121BQ</v>
      </c>
      <c r="R2272" t="str">
        <f>DO_DB[[#This Row],[DN Number]]</f>
        <v>DNWID0362024112202</v>
      </c>
    </row>
    <row r="2273" spans="1:18">
      <c r="A2273" t="s">
        <v>2520</v>
      </c>
      <c r="B2273" t="s">
        <v>2521</v>
      </c>
      <c r="C2273" s="172" t="s">
        <v>4482</v>
      </c>
      <c r="D2273" t="s">
        <v>71</v>
      </c>
      <c r="E2273" t="s">
        <v>24</v>
      </c>
      <c r="F2273" t="s">
        <v>3295</v>
      </c>
      <c r="G2273" t="s">
        <v>2522</v>
      </c>
      <c r="H2273" t="s">
        <v>2523</v>
      </c>
      <c r="I2273" s="130">
        <v>45622</v>
      </c>
      <c r="J2273" t="s">
        <v>3069</v>
      </c>
      <c r="K2273">
        <v>40</v>
      </c>
      <c r="M227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73" t="str">
        <f>DO_DB[[#This Row],[Material Pick-update]]&amp;"_"&amp;DO_DB[[#This Row],[Material Name]]</f>
        <v>45622_Pole 7M 4"</v>
      </c>
      <c r="O2273" t="str">
        <f>DO_DB[[#This Row],[SiteID]]</f>
        <v>CLR51-99-124</v>
      </c>
      <c r="P2273" t="str">
        <f>DO_DB[[#This Row],[SiteID]]&amp;"_"&amp;DO_DB[[#This Row],[Material Name]]</f>
        <v>CLR51-99-124_Pole 7M 4"</v>
      </c>
      <c r="Q2273" t="str">
        <f>DO_DB[[#This Row],[DO Number]]</f>
        <v>DOEID24112583</v>
      </c>
      <c r="R2273" t="str">
        <f>DO_DB[[#This Row],[DN Number]]</f>
        <v>DNWID0362024112507</v>
      </c>
    </row>
    <row r="2274" spans="1:18">
      <c r="A2274" t="s">
        <v>2539</v>
      </c>
      <c r="B2274" t="s">
        <v>2540</v>
      </c>
      <c r="C2274" s="172" t="s">
        <v>4482</v>
      </c>
      <c r="D2274" t="s">
        <v>71</v>
      </c>
      <c r="E2274" t="s">
        <v>24</v>
      </c>
      <c r="F2274" t="s">
        <v>3295</v>
      </c>
      <c r="G2274" t="s">
        <v>2541</v>
      </c>
      <c r="H2274" t="s">
        <v>2542</v>
      </c>
      <c r="I2274" s="130">
        <v>45642</v>
      </c>
      <c r="J2274" t="s">
        <v>3069</v>
      </c>
      <c r="K2274">
        <v>22</v>
      </c>
      <c r="M227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74" t="str">
        <f>DO_DB[[#This Row],[Material Pick-update]]&amp;"_"&amp;DO_DB[[#This Row],[Material Name]]</f>
        <v>45642_Pole 7M 4"</v>
      </c>
      <c r="O2274" t="str">
        <f>DO_DB[[#This Row],[SiteID]]</f>
        <v>CLR51-09-004</v>
      </c>
      <c r="P2274" t="str">
        <f>DO_DB[[#This Row],[SiteID]]&amp;"_"&amp;DO_DB[[#This Row],[Material Name]]</f>
        <v>CLR51-09-004_Pole 7M 4"</v>
      </c>
      <c r="Q2274" t="str">
        <f>DO_DB[[#This Row],[DO Number]]</f>
        <v>DOEID24121388</v>
      </c>
      <c r="R2274" t="str">
        <f>DO_DB[[#This Row],[DN Number]]</f>
        <v>DNWID0362024121305</v>
      </c>
    </row>
    <row r="2275" spans="1:18">
      <c r="A2275" t="s">
        <v>2549</v>
      </c>
      <c r="B2275" t="s">
        <v>2550</v>
      </c>
      <c r="C2275" s="172" t="s">
        <v>4482</v>
      </c>
      <c r="D2275" t="s">
        <v>71</v>
      </c>
      <c r="E2275" t="s">
        <v>24</v>
      </c>
      <c r="F2275" t="s">
        <v>3295</v>
      </c>
      <c r="G2275" t="s">
        <v>2551</v>
      </c>
      <c r="H2275" t="s">
        <v>2552</v>
      </c>
      <c r="I2275" s="130">
        <v>45642</v>
      </c>
      <c r="J2275" t="s">
        <v>3069</v>
      </c>
      <c r="K2275">
        <v>15</v>
      </c>
      <c r="M227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75" t="str">
        <f>DO_DB[[#This Row],[Material Pick-update]]&amp;"_"&amp;DO_DB[[#This Row],[Material Name]]</f>
        <v>45642_Pole 7M 4"</v>
      </c>
      <c r="O2275" t="str">
        <f>DO_DB[[#This Row],[SiteID]]</f>
        <v>CLR51-09-007</v>
      </c>
      <c r="P2275" t="str">
        <f>DO_DB[[#This Row],[SiteID]]&amp;"_"&amp;DO_DB[[#This Row],[Material Name]]</f>
        <v>CLR51-09-007_Pole 7M 4"</v>
      </c>
      <c r="Q2275" t="str">
        <f>DO_DB[[#This Row],[DO Number]]</f>
        <v>DOEID24121390</v>
      </c>
      <c r="R2275" t="str">
        <f>DO_DB[[#This Row],[DN Number]]</f>
        <v>DNWID0362024121304</v>
      </c>
    </row>
    <row r="2276" spans="1:18">
      <c r="A2276" t="s">
        <v>2535</v>
      </c>
      <c r="B2276" t="s">
        <v>2536</v>
      </c>
      <c r="C2276" s="172" t="s">
        <v>4482</v>
      </c>
      <c r="D2276" t="s">
        <v>71</v>
      </c>
      <c r="E2276" t="s">
        <v>24</v>
      </c>
      <c r="F2276" t="s">
        <v>3295</v>
      </c>
      <c r="G2276" t="s">
        <v>2547</v>
      </c>
      <c r="H2276" t="s">
        <v>2548</v>
      </c>
      <c r="I2276" s="130">
        <v>45642</v>
      </c>
      <c r="J2276" t="s">
        <v>3069</v>
      </c>
      <c r="K2276">
        <v>46</v>
      </c>
      <c r="M227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76" t="str">
        <f>DO_DB[[#This Row],[Material Pick-update]]&amp;"_"&amp;DO_DB[[#This Row],[Material Name]]</f>
        <v>45642_Pole 7M 4"</v>
      </c>
      <c r="O2276" t="str">
        <f>DO_DB[[#This Row],[SiteID]]</f>
        <v>CLR51-99-056</v>
      </c>
      <c r="P2276" t="str">
        <f>DO_DB[[#This Row],[SiteID]]&amp;"_"&amp;DO_DB[[#This Row],[Material Name]]</f>
        <v>CLR51-99-056_Pole 7M 4"</v>
      </c>
      <c r="Q2276" t="str">
        <f>DO_DB[[#This Row],[DO Number]]</f>
        <v>DOEID24121392</v>
      </c>
      <c r="R2276" t="str">
        <f>DO_DB[[#This Row],[DN Number]]</f>
        <v>DNWID0362024121303</v>
      </c>
    </row>
    <row r="2277" spans="1:18">
      <c r="A2277" t="s">
        <v>2543</v>
      </c>
      <c r="B2277" t="s">
        <v>2544</v>
      </c>
      <c r="C2277" s="172" t="s">
        <v>4482</v>
      </c>
      <c r="D2277" t="s">
        <v>71</v>
      </c>
      <c r="E2277" t="s">
        <v>24</v>
      </c>
      <c r="F2277" t="s">
        <v>3295</v>
      </c>
      <c r="G2277" t="s">
        <v>2545</v>
      </c>
      <c r="H2277" t="s">
        <v>2546</v>
      </c>
      <c r="I2277" s="130">
        <v>45642</v>
      </c>
      <c r="J2277" t="s">
        <v>3069</v>
      </c>
      <c r="K2277">
        <v>30</v>
      </c>
      <c r="M227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77" t="str">
        <f>DO_DB[[#This Row],[Material Pick-update]]&amp;"_"&amp;DO_DB[[#This Row],[Material Name]]</f>
        <v>45642_Pole 7M 4"</v>
      </c>
      <c r="O2277" t="str">
        <f>DO_DB[[#This Row],[SiteID]]</f>
        <v>CLR51-99-058</v>
      </c>
      <c r="P2277" t="str">
        <f>DO_DB[[#This Row],[SiteID]]&amp;"_"&amp;DO_DB[[#This Row],[Material Name]]</f>
        <v>CLR51-99-058_Pole 7M 4"</v>
      </c>
      <c r="Q2277" t="str">
        <f>DO_DB[[#This Row],[DO Number]]</f>
        <v>DOEID24121394</v>
      </c>
      <c r="R2277" t="str">
        <f>DO_DB[[#This Row],[DN Number]]</f>
        <v>DNWID0362024121302</v>
      </c>
    </row>
    <row r="2278" spans="1:18">
      <c r="A2278" t="s">
        <v>3203</v>
      </c>
      <c r="B2278" t="s">
        <v>3204</v>
      </c>
      <c r="C2278" s="172" t="s">
        <v>4482</v>
      </c>
      <c r="D2278" t="s">
        <v>71</v>
      </c>
      <c r="E2278" t="s">
        <v>24</v>
      </c>
      <c r="F2278" t="s">
        <v>3295</v>
      </c>
      <c r="G2278" t="s">
        <v>3205</v>
      </c>
      <c r="H2278" t="s">
        <v>3206</v>
      </c>
      <c r="I2278" s="130">
        <v>45888</v>
      </c>
      <c r="J2278" t="s">
        <v>3069</v>
      </c>
      <c r="K2278">
        <v>1</v>
      </c>
      <c r="M227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78" t="str">
        <f>DO_DB[[#This Row],[Material Pick-update]]&amp;"_"&amp;DO_DB[[#This Row],[Material Name]]</f>
        <v>45888_Pole 7M 4"</v>
      </c>
      <c r="O2278" t="str">
        <f>DO_DB[[#This Row],[SiteID]]</f>
        <v>CLR51-99-370</v>
      </c>
      <c r="P2278" t="str">
        <f>DO_DB[[#This Row],[SiteID]]&amp;"_"&amp;DO_DB[[#This Row],[Material Name]]</f>
        <v>CLR51-99-370_Pole 7M 4"</v>
      </c>
      <c r="Q2278" t="str">
        <f>DO_DB[[#This Row],[DO Number]]</f>
        <v>DOEID25081590</v>
      </c>
      <c r="R2278" t="str">
        <f>DO_DB[[#This Row],[DN Number]]</f>
        <v>DNWID1382025081505</v>
      </c>
    </row>
    <row r="2279" spans="1:18">
      <c r="A2279" t="s">
        <v>3668</v>
      </c>
      <c r="B2279" t="s">
        <v>3669</v>
      </c>
      <c r="C2279" s="172" t="s">
        <v>4482</v>
      </c>
      <c r="D2279" t="s">
        <v>71</v>
      </c>
      <c r="E2279" t="s">
        <v>24</v>
      </c>
      <c r="F2279" t="s">
        <v>3295</v>
      </c>
      <c r="G2279" t="s">
        <v>3670</v>
      </c>
      <c r="H2279" t="s">
        <v>3671</v>
      </c>
      <c r="I2279" s="130">
        <v>45896</v>
      </c>
      <c r="J2279" t="s">
        <v>3069</v>
      </c>
      <c r="K2279">
        <v>21</v>
      </c>
      <c r="M227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79" t="str">
        <f>DO_DB[[#This Row],[Material Pick-update]]&amp;"_"&amp;DO_DB[[#This Row],[Material Name]]</f>
        <v>45896_Pole 7M 4"</v>
      </c>
      <c r="O2279" t="str">
        <f>DO_DB[[#This Row],[SiteID]]</f>
        <v>CLR51-99-252</v>
      </c>
      <c r="P2279" t="str">
        <f>DO_DB[[#This Row],[SiteID]]&amp;"_"&amp;DO_DB[[#This Row],[Material Name]]</f>
        <v>CLR51-99-252_Pole 7M 4"</v>
      </c>
      <c r="Q2279" t="str">
        <f>DO_DB[[#This Row],[DO Number]]</f>
        <v>DOEID25082611</v>
      </c>
      <c r="R2279" t="str">
        <f>DO_DB[[#This Row],[DN Number]]</f>
        <v>DNWID1382025082607</v>
      </c>
    </row>
    <row r="2280" spans="1:18">
      <c r="A2280" s="172" t="s">
        <v>4595</v>
      </c>
      <c r="B2280" s="172" t="s">
        <v>4596</v>
      </c>
      <c r="C2280" s="172" t="s">
        <v>4482</v>
      </c>
      <c r="D2280" s="172" t="s">
        <v>71</v>
      </c>
      <c r="E2280" s="172" t="s">
        <v>24</v>
      </c>
      <c r="F2280" t="s">
        <v>3295</v>
      </c>
      <c r="G2280" s="172" t="s">
        <v>4669</v>
      </c>
      <c r="H2280" s="172" t="s">
        <v>4670</v>
      </c>
      <c r="I2280" s="173">
        <v>45951</v>
      </c>
      <c r="J2280" s="172" t="s">
        <v>3069</v>
      </c>
      <c r="K2280" s="172">
        <v>1</v>
      </c>
      <c r="M228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80" t="str">
        <f>DO_DB[[#This Row],[Material Pick-update]]&amp;"_"&amp;DO_DB[[#This Row],[Material Name]]</f>
        <v>45951_Pole 7M 4"</v>
      </c>
      <c r="O2280" t="str">
        <f>DO_DB[[#This Row],[SiteID]]</f>
        <v>CLR51-99-257</v>
      </c>
      <c r="P2280" t="str">
        <f>DO_DB[[#This Row],[SiteID]]&amp;"_"&amp;DO_DB[[#This Row],[Material Name]]</f>
        <v>CLR51-99-257_Pole 7M 4"</v>
      </c>
      <c r="Q2280" t="str">
        <f>DO_DB[[#This Row],[DO Number]]</f>
        <v>DOEID25102124</v>
      </c>
      <c r="R2280" t="str">
        <f>DO_DB[[#This Row],[DN Number]]</f>
        <v>DNWID1382025102104</v>
      </c>
    </row>
    <row r="2281" spans="1:18">
      <c r="A2281" s="172" t="s">
        <v>4663</v>
      </c>
      <c r="B2281" s="172" t="s">
        <v>4664</v>
      </c>
      <c r="C2281" s="172" t="s">
        <v>4482</v>
      </c>
      <c r="D2281" s="172" t="s">
        <v>71</v>
      </c>
      <c r="E2281" s="172" t="s">
        <v>24</v>
      </c>
      <c r="F2281" t="s">
        <v>3295</v>
      </c>
      <c r="G2281" s="172" t="s">
        <v>4665</v>
      </c>
      <c r="H2281" s="172" t="s">
        <v>4666</v>
      </c>
      <c r="I2281" s="173">
        <v>45951</v>
      </c>
      <c r="J2281" s="172" t="s">
        <v>3069</v>
      </c>
      <c r="K2281" s="172">
        <v>1</v>
      </c>
      <c r="M228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81" t="str">
        <f>DO_DB[[#This Row],[Material Pick-update]]&amp;"_"&amp;DO_DB[[#This Row],[Material Name]]</f>
        <v>45951_Pole 7M 4"</v>
      </c>
      <c r="O2281" t="str">
        <f>DO_DB[[#This Row],[SiteID]]</f>
        <v>CLR51-99-302</v>
      </c>
      <c r="P2281" t="str">
        <f>DO_DB[[#This Row],[SiteID]]&amp;"_"&amp;DO_DB[[#This Row],[Material Name]]</f>
        <v>CLR51-99-302_Pole 7M 4"</v>
      </c>
      <c r="Q2281" t="str">
        <f>DO_DB[[#This Row],[DO Number]]</f>
        <v>DOEID25102128</v>
      </c>
      <c r="R2281" t="str">
        <f>DO_DB[[#This Row],[DN Number]]</f>
        <v>DNWID1372025102102</v>
      </c>
    </row>
    <row r="2282" spans="1:18">
      <c r="A2282" s="172" t="s">
        <v>4663</v>
      </c>
      <c r="B2282" s="172" t="s">
        <v>4664</v>
      </c>
      <c r="C2282" s="172" t="s">
        <v>4482</v>
      </c>
      <c r="D2282" s="172" t="s">
        <v>71</v>
      </c>
      <c r="E2282" s="172" t="s">
        <v>24</v>
      </c>
      <c r="F2282" t="s">
        <v>3295</v>
      </c>
      <c r="G2282" s="172" t="s">
        <v>4690</v>
      </c>
      <c r="H2282" s="172" t="s">
        <v>4691</v>
      </c>
      <c r="I2282" s="173">
        <v>45955</v>
      </c>
      <c r="J2282" s="172" t="s">
        <v>3069</v>
      </c>
      <c r="K2282" s="172">
        <v>32</v>
      </c>
      <c r="M228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82" t="str">
        <f>DO_DB[[#This Row],[Material Pick-update]]&amp;"_"&amp;DO_DB[[#This Row],[Material Name]]</f>
        <v>45955_Pole 7M 4"</v>
      </c>
      <c r="O2282" t="str">
        <f>DO_DB[[#This Row],[SiteID]]</f>
        <v>CLR51-99-302</v>
      </c>
      <c r="P2282" t="str">
        <f>DO_DB[[#This Row],[SiteID]]&amp;"_"&amp;DO_DB[[#This Row],[Material Name]]</f>
        <v>CLR51-99-302_Pole 7M 4"</v>
      </c>
      <c r="Q2282" t="str">
        <f>DO_DB[[#This Row],[DO Number]]</f>
        <v>DOEID251024GD</v>
      </c>
      <c r="R2282" t="str">
        <f>DO_DB[[#This Row],[DN Number]]</f>
        <v>DNWID1382025102405</v>
      </c>
    </row>
    <row r="2283" spans="1:18">
      <c r="A2283" s="172" t="s">
        <v>4696</v>
      </c>
      <c r="B2283" s="172" t="s">
        <v>4697</v>
      </c>
      <c r="C2283" s="172" t="s">
        <v>4482</v>
      </c>
      <c r="D2283" s="172" t="s">
        <v>71</v>
      </c>
      <c r="E2283" s="172" t="s">
        <v>24</v>
      </c>
      <c r="F2283" t="s">
        <v>3295</v>
      </c>
      <c r="G2283" s="172" t="s">
        <v>4698</v>
      </c>
      <c r="H2283" s="172" t="s">
        <v>4699</v>
      </c>
      <c r="I2283" s="173">
        <v>45955</v>
      </c>
      <c r="J2283" s="172" t="s">
        <v>3069</v>
      </c>
      <c r="K2283" s="172">
        <v>1</v>
      </c>
      <c r="M228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83" t="str">
        <f>DO_DB[[#This Row],[Material Pick-update]]&amp;"_"&amp;DO_DB[[#This Row],[Material Name]]</f>
        <v>45955_Pole 7M 4"</v>
      </c>
      <c r="O2283" t="str">
        <f>DO_DB[[#This Row],[SiteID]]</f>
        <v>CLR51-99-375</v>
      </c>
      <c r="P2283" t="str">
        <f>DO_DB[[#This Row],[SiteID]]&amp;"_"&amp;DO_DB[[#This Row],[Material Name]]</f>
        <v>CLR51-99-375_Pole 7M 4"</v>
      </c>
      <c r="Q2283" t="str">
        <f>DO_DB[[#This Row],[DO Number]]</f>
        <v>DOEID251024K3</v>
      </c>
      <c r="R2283" t="str">
        <f>DO_DB[[#This Row],[DN Number]]</f>
        <v>DNWID1382025102408</v>
      </c>
    </row>
    <row r="2284" spans="1:18">
      <c r="A2284" s="172" t="s">
        <v>4692</v>
      </c>
      <c r="B2284" s="172" t="s">
        <v>4693</v>
      </c>
      <c r="C2284" s="172" t="s">
        <v>4482</v>
      </c>
      <c r="D2284" s="172" t="s">
        <v>71</v>
      </c>
      <c r="E2284" s="172" t="s">
        <v>24</v>
      </c>
      <c r="F2284" t="s">
        <v>3295</v>
      </c>
      <c r="G2284" s="172" t="s">
        <v>4710</v>
      </c>
      <c r="H2284" s="172" t="s">
        <v>4711</v>
      </c>
      <c r="I2284" s="173">
        <v>45981</v>
      </c>
      <c r="J2284" s="172" t="s">
        <v>3069</v>
      </c>
      <c r="K2284" s="172">
        <v>37</v>
      </c>
      <c r="M228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84" t="str">
        <f>DO_DB[[#This Row],[Material Pick-update]]&amp;"_"&amp;DO_DB[[#This Row],[Material Name]]</f>
        <v>45981_Pole 7M 4"</v>
      </c>
      <c r="O2284" t="str">
        <f>DO_DB[[#This Row],[SiteID]]</f>
        <v>CLR51-99-372</v>
      </c>
      <c r="P2284" t="str">
        <f>DO_DB[[#This Row],[SiteID]]&amp;"_"&amp;DO_DB[[#This Row],[Material Name]]</f>
        <v>CLR51-99-372_Pole 7M 4"</v>
      </c>
      <c r="Q2284" t="str">
        <f>DO_DB[[#This Row],[DO Number]]</f>
        <v>DOEID251119FT</v>
      </c>
      <c r="R2284" t="str">
        <f>DO_DB[[#This Row],[DN Number]]</f>
        <v>DNWID1382025111905</v>
      </c>
    </row>
    <row r="2285" spans="1:18">
      <c r="A2285" s="172" t="s">
        <v>4696</v>
      </c>
      <c r="B2285" s="172" t="s">
        <v>4697</v>
      </c>
      <c r="C2285" s="172" t="s">
        <v>4482</v>
      </c>
      <c r="D2285" s="172" t="s">
        <v>71</v>
      </c>
      <c r="E2285" s="172" t="s">
        <v>24</v>
      </c>
      <c r="F2285" t="s">
        <v>3295</v>
      </c>
      <c r="G2285" s="172" t="s">
        <v>4712</v>
      </c>
      <c r="H2285" s="172" t="s">
        <v>4713</v>
      </c>
      <c r="I2285" s="173">
        <v>45981</v>
      </c>
      <c r="J2285" s="172" t="s">
        <v>3069</v>
      </c>
      <c r="K2285" s="172"/>
      <c r="M228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85" t="str">
        <f>DO_DB[[#This Row],[Material Pick-update]]&amp;"_"&amp;DO_DB[[#This Row],[Material Name]]</f>
        <v>45981_Pole 7M 4"</v>
      </c>
      <c r="O2285" t="str">
        <f>DO_DB[[#This Row],[SiteID]]</f>
        <v>CLR51-99-375</v>
      </c>
      <c r="P2285" t="str">
        <f>DO_DB[[#This Row],[SiteID]]&amp;"_"&amp;DO_DB[[#This Row],[Material Name]]</f>
        <v>CLR51-99-375_Pole 7M 4"</v>
      </c>
      <c r="Q2285" t="str">
        <f>DO_DB[[#This Row],[DO Number]]</f>
        <v>DOEID251119GB</v>
      </c>
      <c r="R2285" t="str">
        <f>DO_DB[[#This Row],[DN Number]]</f>
        <v>DNWID1382025111906</v>
      </c>
    </row>
    <row r="2286" spans="1:18">
      <c r="A2286" t="s">
        <v>4785</v>
      </c>
      <c r="B2286" t="s">
        <v>4786</v>
      </c>
      <c r="C2286" s="172" t="s">
        <v>4482</v>
      </c>
      <c r="D2286" t="s">
        <v>67</v>
      </c>
      <c r="E2286" t="s">
        <v>24</v>
      </c>
      <c r="F2286" t="s">
        <v>3295</v>
      </c>
      <c r="G2286" t="s">
        <v>4787</v>
      </c>
      <c r="H2286" t="s">
        <v>4788</v>
      </c>
      <c r="I2286" s="130">
        <v>46002</v>
      </c>
      <c r="J2286" s="172" t="s">
        <v>3069</v>
      </c>
      <c r="K2286" s="81">
        <v>50</v>
      </c>
      <c r="M228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86" t="str">
        <f>DO_DB[[#This Row],[Material Pick-update]]&amp;"_"&amp;DO_DB[[#This Row],[Material Name]]</f>
        <v>46002_Pole 7M 4"</v>
      </c>
      <c r="O2286" t="str">
        <f>DO_DB[[#This Row],[SiteID]]</f>
        <v>CLR51-99-381</v>
      </c>
      <c r="P2286" t="str">
        <f>DO_DB[[#This Row],[SiteID]]&amp;"_"&amp;DO_DB[[#This Row],[Material Name]]</f>
        <v>CLR51-99-381_Pole 7M 4"</v>
      </c>
      <c r="Q2286" t="str">
        <f>DO_DB[[#This Row],[DO Number]]</f>
        <v>DOEID25121116</v>
      </c>
      <c r="R2286" t="str">
        <f>DO_DB[[#This Row],[DN Number]]</f>
        <v>DNWID1382025121114</v>
      </c>
    </row>
    <row r="2287" spans="1:18">
      <c r="A2287" t="s">
        <v>4801</v>
      </c>
      <c r="B2287" t="s">
        <v>4802</v>
      </c>
      <c r="C2287" s="172" t="s">
        <v>4482</v>
      </c>
      <c r="D2287" t="s">
        <v>67</v>
      </c>
      <c r="E2287" t="s">
        <v>24</v>
      </c>
      <c r="F2287" t="s">
        <v>3295</v>
      </c>
      <c r="G2287" t="s">
        <v>4803</v>
      </c>
      <c r="H2287" t="s">
        <v>4804</v>
      </c>
      <c r="I2287" s="130">
        <v>46002</v>
      </c>
      <c r="J2287" s="172" t="s">
        <v>3069</v>
      </c>
      <c r="K2287" s="81">
        <v>50</v>
      </c>
      <c r="M228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87" t="str">
        <f>DO_DB[[#This Row],[Material Pick-update]]&amp;"_"&amp;DO_DB[[#This Row],[Material Name]]</f>
        <v>46002_Pole 7M 4"</v>
      </c>
      <c r="O2287" t="str">
        <f>DO_DB[[#This Row],[SiteID]]</f>
        <v>CLR51-99-382</v>
      </c>
      <c r="P2287" t="str">
        <f>DO_DB[[#This Row],[SiteID]]&amp;"_"&amp;DO_DB[[#This Row],[Material Name]]</f>
        <v>CLR51-99-382_Pole 7M 4"</v>
      </c>
      <c r="Q2287" t="str">
        <f>DO_DB[[#This Row],[DO Number]]</f>
        <v>DOEID25121117</v>
      </c>
      <c r="R2287" t="str">
        <f>DO_DB[[#This Row],[DN Number]]</f>
        <v>DNWID1382025121113</v>
      </c>
    </row>
    <row r="2288" spans="1:18">
      <c r="A2288" t="s">
        <v>4813</v>
      </c>
      <c r="B2288" t="s">
        <v>4815</v>
      </c>
      <c r="C2288" s="172" t="s">
        <v>4482</v>
      </c>
      <c r="D2288" t="s">
        <v>67</v>
      </c>
      <c r="E2288" t="s">
        <v>24</v>
      </c>
      <c r="F2288" t="s">
        <v>3295</v>
      </c>
      <c r="G2288" t="s">
        <v>4820</v>
      </c>
      <c r="H2288" t="s">
        <v>4819</v>
      </c>
      <c r="I2288" s="130">
        <v>46041</v>
      </c>
      <c r="J2288" s="172" t="s">
        <v>3069</v>
      </c>
      <c r="K2288">
        <v>1</v>
      </c>
      <c r="M228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88" t="str">
        <f>DO_DB[[#This Row],[Material Pick-update]]&amp;"_"&amp;DO_DB[[#This Row],[Material Name]]</f>
        <v>46041_Pole 7M 4"</v>
      </c>
      <c r="O2288" t="str">
        <f>DO_DB[[#This Row],[SiteID]]</f>
        <v>CLR44-99-155</v>
      </c>
      <c r="P2288" t="str">
        <f>DO_DB[[#This Row],[SiteID]]&amp;"_"&amp;DO_DB[[#This Row],[Material Name]]</f>
        <v>CLR44-99-155_Pole 7M 4"</v>
      </c>
      <c r="Q2288" t="str">
        <f>DO_DB[[#This Row],[DO Number]]</f>
        <v>DOEID260115MQ</v>
      </c>
      <c r="R2288" t="str">
        <f>DO_DB[[#This Row],[DN Number]]</f>
        <v>DNWID1382026011602</v>
      </c>
    </row>
    <row r="2289" spans="1:18">
      <c r="A2289" t="s">
        <v>4841</v>
      </c>
      <c r="B2289" t="s">
        <v>4842</v>
      </c>
      <c r="C2289" s="172" t="s">
        <v>4482</v>
      </c>
      <c r="D2289" t="s">
        <v>67</v>
      </c>
      <c r="E2289" t="s">
        <v>24</v>
      </c>
      <c r="F2289" t="s">
        <v>3295</v>
      </c>
      <c r="G2289" t="s">
        <v>4850</v>
      </c>
      <c r="H2289" t="s">
        <v>4853</v>
      </c>
      <c r="I2289" s="130">
        <v>46093</v>
      </c>
      <c r="J2289" s="172" t="s">
        <v>3069</v>
      </c>
      <c r="K2289">
        <v>6</v>
      </c>
      <c r="M228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89" t="str">
        <f>DO_DB[[#This Row],[Material Pick-update]]&amp;"_"&amp;DO_DB[[#This Row],[Material Name]]</f>
        <v>46093_Pole 7M 4"</v>
      </c>
      <c r="O2289" t="str">
        <f>DO_DB[[#This Row],[SiteID]]</f>
        <v>CLR51-99-451</v>
      </c>
      <c r="P2289" t="str">
        <f>DO_DB[[#This Row],[SiteID]]&amp;"_"&amp;DO_DB[[#This Row],[Material Name]]</f>
        <v>CLR51-99-451_Pole 7M 4"</v>
      </c>
      <c r="Q2289" t="str">
        <f>DO_DB[[#This Row],[DO Number]]</f>
        <v>DOEID260312F9</v>
      </c>
      <c r="R2289" t="str">
        <f>DO_DB[[#This Row],[DN Number]]</f>
        <v>DNWID1382026031205</v>
      </c>
    </row>
    <row r="2290" spans="1:18">
      <c r="A2290" t="s">
        <v>4839</v>
      </c>
      <c r="B2290" t="s">
        <v>4840</v>
      </c>
      <c r="C2290" s="172" t="s">
        <v>4482</v>
      </c>
      <c r="D2290" t="s">
        <v>67</v>
      </c>
      <c r="E2290" t="s">
        <v>24</v>
      </c>
      <c r="F2290" t="s">
        <v>3295</v>
      </c>
      <c r="G2290" t="s">
        <v>4851</v>
      </c>
      <c r="H2290" t="s">
        <v>4854</v>
      </c>
      <c r="I2290" s="130">
        <v>46093</v>
      </c>
      <c r="J2290" s="172" t="s">
        <v>3069</v>
      </c>
      <c r="K2290">
        <v>1</v>
      </c>
      <c r="M229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90" t="str">
        <f>DO_DB[[#This Row],[Material Pick-update]]&amp;"_"&amp;DO_DB[[#This Row],[Material Name]]</f>
        <v>46093_Pole 7M 4"</v>
      </c>
      <c r="O2290" t="str">
        <f>DO_DB[[#This Row],[SiteID]]</f>
        <v>CLR51-99-447</v>
      </c>
      <c r="P2290" t="str">
        <f>DO_DB[[#This Row],[SiteID]]&amp;"_"&amp;DO_DB[[#This Row],[Material Name]]</f>
        <v>CLR51-99-447_Pole 7M 4"</v>
      </c>
      <c r="Q2290" t="str">
        <f>DO_DB[[#This Row],[DO Number]]</f>
        <v>DOEID260312F8</v>
      </c>
      <c r="R2290" t="str">
        <f>DO_DB[[#This Row],[DN Number]]</f>
        <v>DNWID1382026031207</v>
      </c>
    </row>
    <row r="2291" spans="1:18">
      <c r="A2291" t="s">
        <v>4866</v>
      </c>
      <c r="B2291" t="s">
        <v>4867</v>
      </c>
      <c r="C2291" s="172" t="s">
        <v>4482</v>
      </c>
      <c r="D2291" t="s">
        <v>67</v>
      </c>
      <c r="E2291" t="s">
        <v>24</v>
      </c>
      <c r="F2291" t="s">
        <v>3295</v>
      </c>
      <c r="G2291" t="s">
        <v>4868</v>
      </c>
      <c r="H2291" s="172" t="s">
        <v>4872</v>
      </c>
      <c r="I2291" s="130">
        <v>46151</v>
      </c>
      <c r="J2291" s="172" t="s">
        <v>3069</v>
      </c>
      <c r="K2291">
        <v>1</v>
      </c>
      <c r="M229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91" t="str">
        <f>DO_DB[[#This Row],[Material Pick-update]]&amp;"_"&amp;DO_DB[[#This Row],[Material Name]]</f>
        <v>46151_Pole 7M 4"</v>
      </c>
      <c r="O2291" t="str">
        <f>DO_DB[[#This Row],[SiteID]]</f>
        <v>CLR51-99-506</v>
      </c>
      <c r="P2291" t="str">
        <f>DO_DB[[#This Row],[SiteID]]&amp;"_"&amp;DO_DB[[#This Row],[Material Name]]</f>
        <v>CLR51-99-506_Pole 7M 4"</v>
      </c>
      <c r="Q2291" t="str">
        <f>DO_DB[[#This Row],[DO Number]]</f>
        <v>DOEID260509BX</v>
      </c>
      <c r="R2291" t="str">
        <f>DO_DB[[#This Row],[DN Number]]</f>
        <v>DNWID03620260509DY</v>
      </c>
    </row>
    <row r="2292" spans="1:18">
      <c r="A2292" t="s">
        <v>4870</v>
      </c>
      <c r="B2292" t="s">
        <v>4871</v>
      </c>
      <c r="C2292" s="172" t="s">
        <v>4482</v>
      </c>
      <c r="D2292" t="s">
        <v>67</v>
      </c>
      <c r="E2292" t="s">
        <v>24</v>
      </c>
      <c r="F2292" t="s">
        <v>3295</v>
      </c>
      <c r="G2292" t="s">
        <v>4869</v>
      </c>
      <c r="H2292" t="s">
        <v>5132</v>
      </c>
      <c r="I2292" s="130">
        <v>46164</v>
      </c>
      <c r="J2292" s="172" t="s">
        <v>3069</v>
      </c>
      <c r="K2292">
        <v>9</v>
      </c>
      <c r="M229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92" t="str">
        <f>DO_DB[[#This Row],[Material Pick-update]]&amp;"_"&amp;DO_DB[[#This Row],[Material Name]]</f>
        <v>46164_Pole 7M 4"</v>
      </c>
      <c r="O2292" t="str">
        <f>DO_DB[[#This Row],[SiteID]]</f>
        <v>CLR51-99-658</v>
      </c>
      <c r="P2292" t="str">
        <f>DO_DB[[#This Row],[SiteID]]&amp;"_"&amp;DO_DB[[#This Row],[Material Name]]</f>
        <v>CLR51-99-658_Pole 7M 4"</v>
      </c>
      <c r="Q2292" t="str">
        <f>DO_DB[[#This Row],[DO Number]]</f>
        <v>DOEID260522B7</v>
      </c>
      <c r="R2292" t="str">
        <f>DO_DB[[#This Row],[DN Number]]</f>
        <v>DNWID0362026052214</v>
      </c>
    </row>
    <row r="2293" spans="1:18">
      <c r="A2293" t="s">
        <v>4898</v>
      </c>
      <c r="B2293" t="s">
        <v>4900</v>
      </c>
      <c r="C2293" s="172" t="s">
        <v>4482</v>
      </c>
      <c r="D2293" t="s">
        <v>67</v>
      </c>
      <c r="E2293" t="s">
        <v>24</v>
      </c>
      <c r="F2293" t="s">
        <v>3295</v>
      </c>
      <c r="G2293" t="s">
        <v>4899</v>
      </c>
      <c r="H2293" t="s">
        <v>5135</v>
      </c>
      <c r="I2293" s="130">
        <v>46200</v>
      </c>
      <c r="J2293" s="172" t="s">
        <v>3069</v>
      </c>
      <c r="K2293" s="172">
        <v>10</v>
      </c>
      <c r="M229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93" t="str">
        <f>DO_DB[[#This Row],[Material Pick-update]]&amp;"_"&amp;DO_DB[[#This Row],[Material Name]]</f>
        <v>46200_Pole 7M 4"</v>
      </c>
      <c r="O2293" t="str">
        <f>DO_DB[[#This Row],[SiteID]]</f>
        <v>CLR51-99-483</v>
      </c>
      <c r="P2293" t="str">
        <f>DO_DB[[#This Row],[SiteID]]&amp;"_"&amp;DO_DB[[#This Row],[Material Name]]</f>
        <v>CLR51-99-483_Pole 7M 4"</v>
      </c>
      <c r="Q2293" t="str">
        <f>DO_DB[[#This Row],[DO Number]]</f>
        <v>DOEID26062524</v>
      </c>
      <c r="R2293" t="str">
        <f>DO_DB[[#This Row],[DN Number]]</f>
        <v>DNWID0362026062509</v>
      </c>
    </row>
    <row r="2294" spans="1:18">
      <c r="A2294" t="s">
        <v>4902</v>
      </c>
      <c r="B2294" t="s">
        <v>4903</v>
      </c>
      <c r="C2294" s="172" t="s">
        <v>4482</v>
      </c>
      <c r="D2294" t="s">
        <v>67</v>
      </c>
      <c r="E2294" t="s">
        <v>24</v>
      </c>
      <c r="F2294" t="s">
        <v>3295</v>
      </c>
      <c r="G2294" t="s">
        <v>4901</v>
      </c>
      <c r="H2294" t="s">
        <v>5134</v>
      </c>
      <c r="I2294" s="130">
        <v>46200</v>
      </c>
      <c r="J2294" s="172" t="s">
        <v>3069</v>
      </c>
      <c r="K2294" s="172">
        <v>23</v>
      </c>
      <c r="M229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94" t="str">
        <f>DO_DB[[#This Row],[Material Pick-update]]&amp;"_"&amp;DO_DB[[#This Row],[Material Name]]</f>
        <v>46200_Pole 7M 4"</v>
      </c>
      <c r="O2294" t="str">
        <f>DO_DB[[#This Row],[SiteID]]</f>
        <v>CLR51-99-678</v>
      </c>
      <c r="P2294" t="str">
        <f>DO_DB[[#This Row],[SiteID]]&amp;"_"&amp;DO_DB[[#This Row],[Material Name]]</f>
        <v>CLR51-99-678_Pole 7M 4"</v>
      </c>
      <c r="Q2294" t="str">
        <f>DO_DB[[#This Row],[DO Number]]</f>
        <v>DOEID26062559</v>
      </c>
      <c r="R2294" t="str">
        <f>DO_DB[[#This Row],[DN Number]]</f>
        <v>DNWID0362026062510</v>
      </c>
    </row>
    <row r="2295" spans="1:18">
      <c r="A2295" t="s">
        <v>5122</v>
      </c>
      <c r="B2295" t="s">
        <v>5125</v>
      </c>
      <c r="C2295" s="172" t="s">
        <v>4482</v>
      </c>
      <c r="D2295" t="s">
        <v>67</v>
      </c>
      <c r="E2295" t="s">
        <v>24</v>
      </c>
      <c r="F2295" t="s">
        <v>3295</v>
      </c>
      <c r="G2295" t="s">
        <v>5123</v>
      </c>
      <c r="H2295" t="s">
        <v>5124</v>
      </c>
      <c r="I2295" s="130">
        <v>46212</v>
      </c>
      <c r="J2295" s="172" t="s">
        <v>3069</v>
      </c>
      <c r="K2295">
        <v>1</v>
      </c>
      <c r="M229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95" t="str">
        <f>DO_DB[[#This Row],[Material Pick-update]]&amp;"_"&amp;DO_DB[[#This Row],[Material Name]]</f>
        <v>46212_Pole 7M 4"</v>
      </c>
      <c r="O2295" t="str">
        <f>DO_DB[[#This Row],[SiteID]]</f>
        <v>CLR51-99-662</v>
      </c>
      <c r="P2295" t="str">
        <f>DO_DB[[#This Row],[SiteID]]&amp;"_"&amp;DO_DB[[#This Row],[Material Name]]</f>
        <v>CLR51-99-662_Pole 7M 4"</v>
      </c>
      <c r="Q2295" t="str">
        <f>DO_DB[[#This Row],[DO Number]]</f>
        <v>DOEID260708AM</v>
      </c>
      <c r="R2295" t="str">
        <f>DO_DB[[#This Row],[DN Number]]</f>
        <v>DNWID0362026070821</v>
      </c>
    </row>
    <row r="2296" spans="1:18">
      <c r="A2296" t="s">
        <v>150</v>
      </c>
      <c r="B2296" t="s">
        <v>151</v>
      </c>
      <c r="C2296" s="172" t="s">
        <v>4482</v>
      </c>
      <c r="D2296" t="s">
        <v>71</v>
      </c>
      <c r="E2296" t="s">
        <v>24</v>
      </c>
      <c r="F2296" t="s">
        <v>3295</v>
      </c>
      <c r="G2296" t="s">
        <v>156</v>
      </c>
      <c r="H2296" t="s">
        <v>157</v>
      </c>
      <c r="I2296" s="130">
        <v>45170</v>
      </c>
      <c r="J2296" t="s">
        <v>3071</v>
      </c>
      <c r="K2296">
        <v>3</v>
      </c>
      <c r="M229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96" t="str">
        <f>DO_DB[[#This Row],[Material Pick-update]]&amp;"_"&amp;DO_DB[[#This Row],[Material Name]]</f>
        <v>45170_Pole 9M</v>
      </c>
      <c r="O2296" t="str">
        <f>DO_DB[[#This Row],[SiteID]]</f>
        <v>CLR51-99-006</v>
      </c>
      <c r="P2296" t="str">
        <f>DO_DB[[#This Row],[SiteID]]&amp;"_"&amp;DO_DB[[#This Row],[Material Name]]</f>
        <v>CLR51-99-006_Pole 9M</v>
      </c>
      <c r="Q2296" t="str">
        <f>DO_DB[[#This Row],[DO Number]]</f>
        <v>DOEID23082834</v>
      </c>
      <c r="R2296" t="str">
        <f>DO_DB[[#This Row],[DN Number]]</f>
        <v>DNWID0362023082902</v>
      </c>
    </row>
    <row r="2297" spans="1:18">
      <c r="A2297" t="s">
        <v>84</v>
      </c>
      <c r="B2297" t="s">
        <v>85</v>
      </c>
      <c r="C2297" s="172" t="s">
        <v>4482</v>
      </c>
      <c r="D2297" t="s">
        <v>71</v>
      </c>
      <c r="E2297" t="s">
        <v>24</v>
      </c>
      <c r="F2297" t="s">
        <v>3295</v>
      </c>
      <c r="G2297" t="s">
        <v>168</v>
      </c>
      <c r="H2297" t="s">
        <v>169</v>
      </c>
      <c r="I2297" s="130">
        <v>45185</v>
      </c>
      <c r="J2297" t="s">
        <v>3071</v>
      </c>
      <c r="K2297">
        <v>1</v>
      </c>
      <c r="M229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97" t="str">
        <f>DO_DB[[#This Row],[Material Pick-update]]&amp;"_"&amp;DO_DB[[#This Row],[Material Name]]</f>
        <v>45185_Pole 9M</v>
      </c>
      <c r="O2297" t="str">
        <f>DO_DB[[#This Row],[SiteID]]</f>
        <v>CLR51-99-004</v>
      </c>
      <c r="P2297" t="str">
        <f>DO_DB[[#This Row],[SiteID]]&amp;"_"&amp;DO_DB[[#This Row],[Material Name]]</f>
        <v>CLR51-99-004_Pole 9M</v>
      </c>
      <c r="Q2297" t="str">
        <f>DO_DB[[#This Row],[DO Number]]</f>
        <v>DOEID230914AX</v>
      </c>
      <c r="R2297" t="str">
        <f>DO_DB[[#This Row],[DN Number]]</f>
        <v>DNWID0362023091402</v>
      </c>
    </row>
    <row r="2298" spans="1:18">
      <c r="A2298" t="s">
        <v>164</v>
      </c>
      <c r="B2298" t="s">
        <v>165</v>
      </c>
      <c r="C2298" s="172" t="s">
        <v>4482</v>
      </c>
      <c r="D2298" t="s">
        <v>71</v>
      </c>
      <c r="E2298" t="s">
        <v>24</v>
      </c>
      <c r="F2298" t="s">
        <v>3295</v>
      </c>
      <c r="G2298" t="s">
        <v>170</v>
      </c>
      <c r="H2298" t="s">
        <v>171</v>
      </c>
      <c r="I2298" s="130">
        <v>45185</v>
      </c>
      <c r="J2298" t="s">
        <v>3071</v>
      </c>
      <c r="K2298">
        <v>2</v>
      </c>
      <c r="M229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98" t="str">
        <f>DO_DB[[#This Row],[Material Pick-update]]&amp;"_"&amp;DO_DB[[#This Row],[Material Name]]</f>
        <v>45185_Pole 9M</v>
      </c>
      <c r="O2298" t="str">
        <f>DO_DB[[#This Row],[SiteID]]</f>
        <v>CLR51-99-014</v>
      </c>
      <c r="P2298" t="str">
        <f>DO_DB[[#This Row],[SiteID]]&amp;"_"&amp;DO_DB[[#This Row],[Material Name]]</f>
        <v>CLR51-99-014_Pole 9M</v>
      </c>
      <c r="Q2298" t="str">
        <f>DO_DB[[#This Row],[DO Number]]</f>
        <v>DOEID23091555</v>
      </c>
      <c r="R2298" t="str">
        <f>DO_DB[[#This Row],[DN Number]]</f>
        <v>DNWID0362023091501</v>
      </c>
    </row>
    <row r="2299" spans="1:18">
      <c r="A2299" t="s">
        <v>180</v>
      </c>
      <c r="B2299" t="s">
        <v>181</v>
      </c>
      <c r="C2299" s="172" t="s">
        <v>4482</v>
      </c>
      <c r="D2299" t="s">
        <v>71</v>
      </c>
      <c r="E2299" t="s">
        <v>24</v>
      </c>
      <c r="F2299" t="s">
        <v>3295</v>
      </c>
      <c r="G2299" t="s">
        <v>184</v>
      </c>
      <c r="H2299" t="s">
        <v>185</v>
      </c>
      <c r="I2299" s="130">
        <v>45188</v>
      </c>
      <c r="J2299" t="s">
        <v>3071</v>
      </c>
      <c r="K2299">
        <v>5</v>
      </c>
      <c r="M229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299" t="str">
        <f>DO_DB[[#This Row],[Material Pick-update]]&amp;"_"&amp;DO_DB[[#This Row],[Material Name]]</f>
        <v>45188_Pole 9M</v>
      </c>
      <c r="O2299" t="str">
        <f>DO_DB[[#This Row],[SiteID]]</f>
        <v>CLR51-99-007</v>
      </c>
      <c r="P2299" t="str">
        <f>DO_DB[[#This Row],[SiteID]]&amp;"_"&amp;DO_DB[[#This Row],[Material Name]]</f>
        <v>CLR51-99-007_Pole 9M</v>
      </c>
      <c r="Q2299" t="str">
        <f>DO_DB[[#This Row],[DO Number]]</f>
        <v>DOEID230918DX</v>
      </c>
      <c r="R2299" t="str">
        <f>DO_DB[[#This Row],[DN Number]]</f>
        <v>DNWID0362023091803</v>
      </c>
    </row>
    <row r="2300" spans="1:18">
      <c r="A2300" t="s">
        <v>222</v>
      </c>
      <c r="B2300" t="s">
        <v>223</v>
      </c>
      <c r="C2300" s="172" t="s">
        <v>4482</v>
      </c>
      <c r="D2300" t="s">
        <v>71</v>
      </c>
      <c r="E2300" t="s">
        <v>24</v>
      </c>
      <c r="F2300" t="s">
        <v>3295</v>
      </c>
      <c r="G2300" t="s">
        <v>226</v>
      </c>
      <c r="H2300" t="s">
        <v>227</v>
      </c>
      <c r="I2300" s="130">
        <v>45189</v>
      </c>
      <c r="J2300" t="s">
        <v>3071</v>
      </c>
      <c r="K2300">
        <v>9</v>
      </c>
      <c r="M230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00" t="str">
        <f>DO_DB[[#This Row],[Material Pick-update]]&amp;"_"&amp;DO_DB[[#This Row],[Material Name]]</f>
        <v>45189_Pole 9M</v>
      </c>
      <c r="O2300" t="str">
        <f>DO_DB[[#This Row],[SiteID]]</f>
        <v>CLR51-02-001</v>
      </c>
      <c r="P2300" t="str">
        <f>DO_DB[[#This Row],[SiteID]]&amp;"_"&amp;DO_DB[[#This Row],[Material Name]]</f>
        <v>CLR51-02-001_Pole 9M</v>
      </c>
      <c r="Q2300" t="str">
        <f>DO_DB[[#This Row],[DO Number]]</f>
        <v>DOEID230919BG</v>
      </c>
      <c r="R2300" t="str">
        <f>DO_DB[[#This Row],[DN Number]]</f>
        <v>DNWID0362023091906</v>
      </c>
    </row>
    <row r="2301" spans="1:18">
      <c r="A2301" t="s">
        <v>324</v>
      </c>
      <c r="B2301" t="s">
        <v>325</v>
      </c>
      <c r="C2301" s="172" t="s">
        <v>4482</v>
      </c>
      <c r="D2301" t="s">
        <v>71</v>
      </c>
      <c r="E2301" t="s">
        <v>24</v>
      </c>
      <c r="F2301" t="s">
        <v>3295</v>
      </c>
      <c r="G2301" t="s">
        <v>346</v>
      </c>
      <c r="H2301" t="s">
        <v>347</v>
      </c>
      <c r="I2301" s="130">
        <v>45213</v>
      </c>
      <c r="J2301" t="s">
        <v>3071</v>
      </c>
      <c r="K2301">
        <v>4</v>
      </c>
      <c r="M230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01" t="str">
        <f>DO_DB[[#This Row],[Material Pick-update]]&amp;"_"&amp;DO_DB[[#This Row],[Material Name]]</f>
        <v>45213_Pole 9M</v>
      </c>
      <c r="O2301" t="str">
        <f>DO_DB[[#This Row],[SiteID]]</f>
        <v>CLR51-99-021</v>
      </c>
      <c r="P2301" t="str">
        <f>DO_DB[[#This Row],[SiteID]]&amp;"_"&amp;DO_DB[[#This Row],[Material Name]]</f>
        <v>CLR51-99-021_Pole 9M</v>
      </c>
      <c r="Q2301" t="str">
        <f>DO_DB[[#This Row],[DO Number]]</f>
        <v>DOEID231013AW</v>
      </c>
      <c r="R2301" t="str">
        <f>DO_DB[[#This Row],[DN Number]]</f>
        <v>DNWID0362023101402</v>
      </c>
    </row>
    <row r="2302" spans="1:18">
      <c r="A2302" t="s">
        <v>328</v>
      </c>
      <c r="B2302" t="s">
        <v>329</v>
      </c>
      <c r="C2302" s="172" t="s">
        <v>4482</v>
      </c>
      <c r="D2302" t="s">
        <v>71</v>
      </c>
      <c r="E2302" t="s">
        <v>24</v>
      </c>
      <c r="F2302" t="s">
        <v>3295</v>
      </c>
      <c r="G2302" t="s">
        <v>348</v>
      </c>
      <c r="H2302" t="s">
        <v>349</v>
      </c>
      <c r="I2302" s="130">
        <v>45213</v>
      </c>
      <c r="J2302" t="s">
        <v>3071</v>
      </c>
      <c r="K2302">
        <v>2</v>
      </c>
      <c r="M230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02" t="str">
        <f>DO_DB[[#This Row],[Material Pick-update]]&amp;"_"&amp;DO_DB[[#This Row],[Material Name]]</f>
        <v>45213_Pole 9M</v>
      </c>
      <c r="O2302" t="str">
        <f>DO_DB[[#This Row],[SiteID]]</f>
        <v>CLR51-99-017</v>
      </c>
      <c r="P2302" t="str">
        <f>DO_DB[[#This Row],[SiteID]]&amp;"_"&amp;DO_DB[[#This Row],[Material Name]]</f>
        <v>CLR51-99-017_Pole 9M</v>
      </c>
      <c r="Q2302" t="str">
        <f>DO_DB[[#This Row],[DO Number]]</f>
        <v>DOEID23101402</v>
      </c>
      <c r="R2302" t="str">
        <f>DO_DB[[#This Row],[DN Number]]</f>
        <v>DNWID0362023101403</v>
      </c>
    </row>
    <row r="2303" spans="1:18">
      <c r="A2303" t="s">
        <v>172</v>
      </c>
      <c r="B2303" t="s">
        <v>173</v>
      </c>
      <c r="C2303" s="172" t="s">
        <v>4482</v>
      </c>
      <c r="D2303" t="s">
        <v>71</v>
      </c>
      <c r="E2303" t="s">
        <v>24</v>
      </c>
      <c r="F2303" t="s">
        <v>3295</v>
      </c>
      <c r="G2303" t="s">
        <v>508</v>
      </c>
      <c r="H2303" t="s">
        <v>509</v>
      </c>
      <c r="I2303" s="130">
        <v>45238</v>
      </c>
      <c r="J2303" t="s">
        <v>3071</v>
      </c>
      <c r="K2303">
        <v>7</v>
      </c>
      <c r="M230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03" t="str">
        <f>DO_DB[[#This Row],[Material Pick-update]]&amp;"_"&amp;DO_DB[[#This Row],[Material Name]]</f>
        <v>45238_Pole 9M</v>
      </c>
      <c r="O2303" t="str">
        <f>DO_DB[[#This Row],[SiteID]]</f>
        <v>CLR51-99-013</v>
      </c>
      <c r="P2303" t="str">
        <f>DO_DB[[#This Row],[SiteID]]&amp;"_"&amp;DO_DB[[#This Row],[Material Name]]</f>
        <v>CLR51-99-013_Pole 9M</v>
      </c>
      <c r="Q2303" t="str">
        <f>DO_DB[[#This Row],[DO Number]]</f>
        <v>DOEID231106CB</v>
      </c>
      <c r="R2303" t="str">
        <f>DO_DB[[#This Row],[DN Number]]</f>
        <v>DNWID0362023110701</v>
      </c>
    </row>
    <row r="2304" spans="1:18">
      <c r="A2304" t="s">
        <v>738</v>
      </c>
      <c r="B2304" t="s">
        <v>739</v>
      </c>
      <c r="C2304" s="172" t="s">
        <v>4482</v>
      </c>
      <c r="D2304" t="s">
        <v>71</v>
      </c>
      <c r="E2304" t="s">
        <v>24</v>
      </c>
      <c r="F2304" t="s">
        <v>3295</v>
      </c>
      <c r="G2304" t="s">
        <v>748</v>
      </c>
      <c r="H2304" t="s">
        <v>749</v>
      </c>
      <c r="I2304" s="130">
        <v>45287</v>
      </c>
      <c r="J2304" s="195" t="s">
        <v>3071</v>
      </c>
      <c r="K2304">
        <v>2</v>
      </c>
      <c r="M230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04" t="str">
        <f>DO_DB[[#This Row],[Material Pick-update]]&amp;"_"&amp;DO_DB[[#This Row],[Material Name]]</f>
        <v>45287_Pole 9M</v>
      </c>
      <c r="O2304" t="str">
        <f>DO_DB[[#This Row],[SiteID]]</f>
        <v>CLR51-01-005</v>
      </c>
      <c r="P2304" t="str">
        <f>DO_DB[[#This Row],[SiteID]]&amp;"_"&amp;DO_DB[[#This Row],[Material Name]]</f>
        <v>CLR51-01-005_Pole 9M</v>
      </c>
      <c r="Q2304" t="str">
        <f>DO_DB[[#This Row],[DO Number]]</f>
        <v>DOEID231223A5</v>
      </c>
      <c r="R2304" t="str">
        <f>DO_DB[[#This Row],[DN Number]]</f>
        <v>DNWID0362023122307</v>
      </c>
    </row>
    <row r="2305" spans="1:18">
      <c r="A2305" t="s">
        <v>834</v>
      </c>
      <c r="B2305" t="s">
        <v>835</v>
      </c>
      <c r="C2305" s="172" t="s">
        <v>4482</v>
      </c>
      <c r="D2305" t="s">
        <v>71</v>
      </c>
      <c r="E2305" t="s">
        <v>24</v>
      </c>
      <c r="F2305" t="s">
        <v>3295</v>
      </c>
      <c r="G2305" t="s">
        <v>836</v>
      </c>
      <c r="H2305" t="s">
        <v>837</v>
      </c>
      <c r="I2305" s="130">
        <v>45307</v>
      </c>
      <c r="J2305" t="s">
        <v>3071</v>
      </c>
      <c r="K2305">
        <v>9</v>
      </c>
      <c r="M230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05" t="str">
        <f>DO_DB[[#This Row],[Material Pick-update]]&amp;"_"&amp;DO_DB[[#This Row],[Material Name]]</f>
        <v>45307_Pole 9M</v>
      </c>
      <c r="O2305" t="str">
        <f>DO_DB[[#This Row],[SiteID]]</f>
        <v>MF51-01</v>
      </c>
      <c r="P2305" t="str">
        <f>DO_DB[[#This Row],[SiteID]]&amp;"_"&amp;DO_DB[[#This Row],[Material Name]]</f>
        <v>MF51-01_Pole 9M</v>
      </c>
      <c r="Q2305" t="str">
        <f>DO_DB[[#This Row],[DO Number]]</f>
        <v>DOEID24011534</v>
      </c>
      <c r="R2305" t="str">
        <f>DO_DB[[#This Row],[DN Number]]</f>
        <v>DNWID0362024011514</v>
      </c>
    </row>
    <row r="2306" spans="1:18">
      <c r="A2306" t="s">
        <v>742</v>
      </c>
      <c r="B2306" t="s">
        <v>743</v>
      </c>
      <c r="C2306" s="172" t="s">
        <v>4482</v>
      </c>
      <c r="D2306" t="s">
        <v>71</v>
      </c>
      <c r="E2306" t="s">
        <v>24</v>
      </c>
      <c r="F2306" t="s">
        <v>3295</v>
      </c>
      <c r="G2306" t="s">
        <v>832</v>
      </c>
      <c r="H2306" t="s">
        <v>833</v>
      </c>
      <c r="I2306" s="130">
        <v>45307</v>
      </c>
      <c r="J2306" s="195" t="s">
        <v>3071</v>
      </c>
      <c r="K2306">
        <v>10</v>
      </c>
      <c r="M230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06" t="str">
        <f>DO_DB[[#This Row],[Material Pick-update]]&amp;"_"&amp;DO_DB[[#This Row],[Material Name]]</f>
        <v>45307_Pole 9M</v>
      </c>
      <c r="O2306" t="str">
        <f>DO_DB[[#This Row],[SiteID]]</f>
        <v>CLR51-99-038</v>
      </c>
      <c r="P2306" t="str">
        <f>DO_DB[[#This Row],[SiteID]]&amp;"_"&amp;DO_DB[[#This Row],[Material Name]]</f>
        <v>CLR51-99-038_Pole 9M</v>
      </c>
      <c r="Q2306" t="str">
        <f>DO_DB[[#This Row],[DO Number]]</f>
        <v>DOEID24011211</v>
      </c>
      <c r="R2306" t="str">
        <f>DO_DB[[#This Row],[DN Number]]</f>
        <v>DNWID0362024011201</v>
      </c>
    </row>
    <row r="2307" spans="1:18">
      <c r="A2307" t="s">
        <v>1151</v>
      </c>
      <c r="B2307" t="s">
        <v>1152</v>
      </c>
      <c r="C2307" s="172" t="s">
        <v>4482</v>
      </c>
      <c r="D2307" t="s">
        <v>71</v>
      </c>
      <c r="E2307" t="s">
        <v>24</v>
      </c>
      <c r="F2307" t="s">
        <v>3295</v>
      </c>
      <c r="G2307" t="s">
        <v>1159</v>
      </c>
      <c r="H2307" t="s">
        <v>1160</v>
      </c>
      <c r="I2307" s="130">
        <v>45370</v>
      </c>
      <c r="J2307" s="195" t="s">
        <v>3071</v>
      </c>
      <c r="K2307">
        <v>1</v>
      </c>
      <c r="M230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07" t="str">
        <f>DO_DB[[#This Row],[Material Pick-update]]&amp;"_"&amp;DO_DB[[#This Row],[Material Name]]</f>
        <v>45370_Pole 9M</v>
      </c>
      <c r="O2307" t="str">
        <f>DO_DB[[#This Row],[SiteID]]</f>
        <v>CLR51-99-040</v>
      </c>
      <c r="P2307" t="str">
        <f>DO_DB[[#This Row],[SiteID]]&amp;"_"&amp;DO_DB[[#This Row],[Material Name]]</f>
        <v>CLR51-99-040_Pole 9M</v>
      </c>
      <c r="Q2307" t="str">
        <f>DO_DB[[#This Row],[DO Number]]</f>
        <v>DOEID24031922</v>
      </c>
      <c r="R2307" t="str">
        <f>DO_DB[[#This Row],[DN Number]]</f>
        <v>DNWID0362024031908</v>
      </c>
    </row>
    <row r="2308" spans="1:18">
      <c r="A2308" t="s">
        <v>1799</v>
      </c>
      <c r="B2308" t="s">
        <v>1800</v>
      </c>
      <c r="C2308" s="172" t="s">
        <v>4482</v>
      </c>
      <c r="D2308" t="s">
        <v>71</v>
      </c>
      <c r="E2308" t="s">
        <v>24</v>
      </c>
      <c r="F2308" t="s">
        <v>3295</v>
      </c>
      <c r="G2308" t="s">
        <v>1801</v>
      </c>
      <c r="H2308" t="s">
        <v>1802</v>
      </c>
      <c r="I2308" s="130">
        <v>45496</v>
      </c>
      <c r="J2308" s="195" t="s">
        <v>3071</v>
      </c>
      <c r="K2308">
        <v>4</v>
      </c>
      <c r="M230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08" t="str">
        <f>DO_DB[[#This Row],[Material Pick-update]]&amp;"_"&amp;DO_DB[[#This Row],[Material Name]]</f>
        <v>45496_Pole 9M</v>
      </c>
      <c r="O2308" t="str">
        <f>DO_DB[[#This Row],[SiteID]]</f>
        <v>MF51-03</v>
      </c>
      <c r="P2308" t="str">
        <f>DO_DB[[#This Row],[SiteID]]&amp;"_"&amp;DO_DB[[#This Row],[Material Name]]</f>
        <v>MF51-03_Pole 9M</v>
      </c>
      <c r="Q2308" t="str">
        <f>DO_DB[[#This Row],[DO Number]]</f>
        <v>DOEID240722CR</v>
      </c>
      <c r="R2308" t="str">
        <f>DO_DB[[#This Row],[DN Number]]</f>
        <v>DNWID0362024072310</v>
      </c>
    </row>
    <row r="2309" spans="1:18">
      <c r="A2309" t="s">
        <v>1807</v>
      </c>
      <c r="B2309" t="s">
        <v>1808</v>
      </c>
      <c r="C2309" s="172" t="s">
        <v>4482</v>
      </c>
      <c r="D2309" t="s">
        <v>71</v>
      </c>
      <c r="E2309" t="s">
        <v>24</v>
      </c>
      <c r="F2309" t="s">
        <v>3295</v>
      </c>
      <c r="G2309" t="s">
        <v>1809</v>
      </c>
      <c r="H2309" t="s">
        <v>1810</v>
      </c>
      <c r="I2309" s="130">
        <v>45496</v>
      </c>
      <c r="J2309" t="s">
        <v>3071</v>
      </c>
      <c r="K2309">
        <v>5</v>
      </c>
      <c r="M230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09" t="str">
        <f>DO_DB[[#This Row],[Material Pick-update]]&amp;"_"&amp;DO_DB[[#This Row],[Material Name]]</f>
        <v>45496_Pole 9M</v>
      </c>
      <c r="O2309" t="str">
        <f>DO_DB[[#This Row],[SiteID]]</f>
        <v>MF51-04</v>
      </c>
      <c r="P2309" t="str">
        <f>DO_DB[[#This Row],[SiteID]]&amp;"_"&amp;DO_DB[[#This Row],[Material Name]]</f>
        <v>MF51-04_Pole 9M</v>
      </c>
      <c r="Q2309" t="str">
        <f>DO_DB[[#This Row],[DO Number]]</f>
        <v>DOEID240722CT</v>
      </c>
      <c r="R2309" t="str">
        <f>DO_DB[[#This Row],[DN Number]]</f>
        <v>DNWID0362024072313</v>
      </c>
    </row>
    <row r="2310" spans="1:18">
      <c r="A2310" t="s">
        <v>1799</v>
      </c>
      <c r="B2310" t="s">
        <v>1800</v>
      </c>
      <c r="C2310" s="172" t="s">
        <v>4482</v>
      </c>
      <c r="D2310" t="s">
        <v>71</v>
      </c>
      <c r="E2310" t="s">
        <v>24</v>
      </c>
      <c r="F2310" t="s">
        <v>3295</v>
      </c>
      <c r="G2310" t="s">
        <v>1933</v>
      </c>
      <c r="H2310" t="s">
        <v>1934</v>
      </c>
      <c r="I2310" s="130">
        <v>45526</v>
      </c>
      <c r="J2310" s="172" t="s">
        <v>3071</v>
      </c>
      <c r="K2310">
        <v>4</v>
      </c>
      <c r="M231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10" t="str">
        <f>DO_DB[[#This Row],[Material Pick-update]]&amp;"_"&amp;DO_DB[[#This Row],[Material Name]]</f>
        <v>45526_Pole 9M</v>
      </c>
      <c r="O2310" t="str">
        <f>DO_DB[[#This Row],[SiteID]]</f>
        <v>MF51-03</v>
      </c>
      <c r="P2310" t="str">
        <f>DO_DB[[#This Row],[SiteID]]&amp;"_"&amp;DO_DB[[#This Row],[Material Name]]</f>
        <v>MF51-03_Pole 9M</v>
      </c>
      <c r="Q2310" t="str">
        <f>DO_DB[[#This Row],[DO Number]]</f>
        <v>DOEID240821DZ</v>
      </c>
      <c r="R2310" t="str">
        <f>DO_DB[[#This Row],[DN Number]]</f>
        <v>DNWID0362024082107</v>
      </c>
    </row>
    <row r="2311" spans="1:18">
      <c r="A2311" t="s">
        <v>1923</v>
      </c>
      <c r="B2311" t="s">
        <v>1924</v>
      </c>
      <c r="C2311" s="172" t="s">
        <v>4482</v>
      </c>
      <c r="D2311" t="s">
        <v>71</v>
      </c>
      <c r="E2311" t="s">
        <v>24</v>
      </c>
      <c r="F2311" t="s">
        <v>3295</v>
      </c>
      <c r="G2311" t="s">
        <v>1927</v>
      </c>
      <c r="H2311" t="s">
        <v>1928</v>
      </c>
      <c r="I2311" s="130">
        <v>45526</v>
      </c>
      <c r="J2311" t="s">
        <v>3071</v>
      </c>
      <c r="K2311">
        <v>2</v>
      </c>
      <c r="M231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11" t="str">
        <f>DO_DB[[#This Row],[Material Pick-update]]&amp;"_"&amp;DO_DB[[#This Row],[Material Name]]</f>
        <v>45526_Pole 9M</v>
      </c>
      <c r="O2311" t="str">
        <f>DO_DB[[#This Row],[SiteID]]</f>
        <v>CLR51-09-001</v>
      </c>
      <c r="P2311" t="str">
        <f>DO_DB[[#This Row],[SiteID]]&amp;"_"&amp;DO_DB[[#This Row],[Material Name]]</f>
        <v>CLR51-09-001_Pole 9M</v>
      </c>
      <c r="Q2311" t="str">
        <f>DO_DB[[#This Row],[DO Number]]</f>
        <v>DOEID24081986</v>
      </c>
      <c r="R2311" t="str">
        <f>DO_DB[[#This Row],[DN Number]]</f>
        <v>DNWID0362024081905</v>
      </c>
    </row>
    <row r="2312" spans="1:18">
      <c r="A2312" t="s">
        <v>1911</v>
      </c>
      <c r="B2312" t="s">
        <v>1912</v>
      </c>
      <c r="C2312" s="172" t="s">
        <v>4482</v>
      </c>
      <c r="D2312" t="s">
        <v>71</v>
      </c>
      <c r="E2312" t="s">
        <v>24</v>
      </c>
      <c r="F2312" t="s">
        <v>3295</v>
      </c>
      <c r="G2312" t="s">
        <v>1913</v>
      </c>
      <c r="H2312" t="s">
        <v>1914</v>
      </c>
      <c r="I2312" s="130">
        <v>45526</v>
      </c>
      <c r="J2312" s="172" t="s">
        <v>3071</v>
      </c>
      <c r="K2312">
        <v>2</v>
      </c>
      <c r="M231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12" t="str">
        <f>DO_DB[[#This Row],[Material Pick-update]]&amp;"_"&amp;DO_DB[[#This Row],[Material Name]]</f>
        <v>45526_Pole 9M</v>
      </c>
      <c r="O2312" t="str">
        <f>DO_DB[[#This Row],[SiteID]]</f>
        <v>CLR51-09-009</v>
      </c>
      <c r="P2312" t="str">
        <f>DO_DB[[#This Row],[SiteID]]&amp;"_"&amp;DO_DB[[#This Row],[Material Name]]</f>
        <v>CLR51-09-009_Pole 9M</v>
      </c>
      <c r="Q2312" t="str">
        <f>DO_DB[[#This Row],[DO Number]]</f>
        <v>DOEID24081988</v>
      </c>
      <c r="R2312" t="str">
        <f>DO_DB[[#This Row],[DN Number]]</f>
        <v>DNWID0362024081906</v>
      </c>
    </row>
    <row r="2313" spans="1:18">
      <c r="A2313" t="s">
        <v>1917</v>
      </c>
      <c r="B2313" t="s">
        <v>1918</v>
      </c>
      <c r="C2313" s="172" t="s">
        <v>4482</v>
      </c>
      <c r="D2313" t="s">
        <v>71</v>
      </c>
      <c r="E2313" t="s">
        <v>24</v>
      </c>
      <c r="F2313" t="s">
        <v>3295</v>
      </c>
      <c r="G2313" t="s">
        <v>1921</v>
      </c>
      <c r="H2313" t="s">
        <v>1922</v>
      </c>
      <c r="I2313" s="130">
        <v>45526</v>
      </c>
      <c r="J2313" s="172" t="s">
        <v>3071</v>
      </c>
      <c r="K2313">
        <v>6</v>
      </c>
      <c r="M231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13" t="str">
        <f>DO_DB[[#This Row],[Material Pick-update]]&amp;"_"&amp;DO_DB[[#This Row],[Material Name]]</f>
        <v>45526_Pole 9M</v>
      </c>
      <c r="O2313" t="str">
        <f>DO_DB[[#This Row],[SiteID]]</f>
        <v>CLR51-09-008</v>
      </c>
      <c r="P2313" t="str">
        <f>DO_DB[[#This Row],[SiteID]]&amp;"_"&amp;DO_DB[[#This Row],[Material Name]]</f>
        <v>CLR51-09-008_Pole 9M</v>
      </c>
      <c r="Q2313" t="str">
        <f>DO_DB[[#This Row],[DO Number]]</f>
        <v>DOEID24081990</v>
      </c>
      <c r="R2313" t="str">
        <f>DO_DB[[#This Row],[DN Number]]</f>
        <v>DNWID0362024081907</v>
      </c>
    </row>
    <row r="2314" spans="1:18">
      <c r="A2314" t="s">
        <v>1705</v>
      </c>
      <c r="B2314" t="s">
        <v>1706</v>
      </c>
      <c r="C2314" s="172" t="s">
        <v>4482</v>
      </c>
      <c r="D2314" t="s">
        <v>71</v>
      </c>
      <c r="E2314" t="s">
        <v>24</v>
      </c>
      <c r="F2314" t="s">
        <v>3295</v>
      </c>
      <c r="G2314" t="s">
        <v>1935</v>
      </c>
      <c r="H2314" t="s">
        <v>1936</v>
      </c>
      <c r="I2314" s="130">
        <v>45526</v>
      </c>
      <c r="J2314" s="172" t="s">
        <v>3071</v>
      </c>
      <c r="K2314">
        <v>1</v>
      </c>
      <c r="M231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14" t="str">
        <f>DO_DB[[#This Row],[Material Pick-update]]&amp;"_"&amp;DO_DB[[#This Row],[Material Name]]</f>
        <v>45526_Pole 9M</v>
      </c>
      <c r="O2314" t="str">
        <f>DO_DB[[#This Row],[SiteID]]</f>
        <v>CLR51-99-063</v>
      </c>
      <c r="P2314" t="str">
        <f>DO_DB[[#This Row],[SiteID]]&amp;"_"&amp;DO_DB[[#This Row],[Material Name]]</f>
        <v>CLR51-99-063_Pole 9M</v>
      </c>
      <c r="Q2314" t="str">
        <f>DO_DB[[#This Row],[DO Number]]</f>
        <v>DOEID240821E0</v>
      </c>
      <c r="R2314" t="str">
        <f>DO_DB[[#This Row],[DN Number]]</f>
        <v>DNWID0362024082106</v>
      </c>
    </row>
    <row r="2315" spans="1:18">
      <c r="A2315" t="s">
        <v>1951</v>
      </c>
      <c r="B2315" t="s">
        <v>1952</v>
      </c>
      <c r="C2315" s="172" t="s">
        <v>4482</v>
      </c>
      <c r="D2315" t="s">
        <v>71</v>
      </c>
      <c r="E2315" t="s">
        <v>24</v>
      </c>
      <c r="F2315" t="s">
        <v>3295</v>
      </c>
      <c r="G2315" t="s">
        <v>2005</v>
      </c>
      <c r="H2315" t="s">
        <v>2006</v>
      </c>
      <c r="I2315" s="130">
        <v>45531</v>
      </c>
      <c r="J2315" t="s">
        <v>3071</v>
      </c>
      <c r="K2315">
        <v>2</v>
      </c>
      <c r="M231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15" t="str">
        <f>DO_DB[[#This Row],[Material Pick-update]]&amp;"_"&amp;DO_DB[[#This Row],[Material Name]]</f>
        <v>45531_Pole 9M</v>
      </c>
      <c r="O2315" t="str">
        <f>DO_DB[[#This Row],[SiteID]]</f>
        <v>CLR51-99-115</v>
      </c>
      <c r="P2315" t="str">
        <f>DO_DB[[#This Row],[SiteID]]&amp;"_"&amp;DO_DB[[#This Row],[Material Name]]</f>
        <v>CLR51-99-115_Pole 9M</v>
      </c>
      <c r="Q2315" t="str">
        <f>DO_DB[[#This Row],[DO Number]]</f>
        <v>DOEID24082790</v>
      </c>
      <c r="R2315" t="str">
        <f>DO_DB[[#This Row],[DN Number]]</f>
        <v>DNWID0362024082717</v>
      </c>
    </row>
    <row r="2316" spans="1:18">
      <c r="A2316" t="s">
        <v>2013</v>
      </c>
      <c r="B2316" t="s">
        <v>2014</v>
      </c>
      <c r="C2316" s="172" t="s">
        <v>4482</v>
      </c>
      <c r="D2316" t="s">
        <v>71</v>
      </c>
      <c r="E2316" t="s">
        <v>24</v>
      </c>
      <c r="F2316" t="s">
        <v>3295</v>
      </c>
      <c r="G2316" t="s">
        <v>2164</v>
      </c>
      <c r="H2316" t="s">
        <v>2165</v>
      </c>
      <c r="I2316" s="130">
        <v>45555</v>
      </c>
      <c r="J2316" t="s">
        <v>3071</v>
      </c>
      <c r="K2316">
        <v>10</v>
      </c>
      <c r="M231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16" t="str">
        <f>DO_DB[[#This Row],[Material Pick-update]]&amp;"_"&amp;DO_DB[[#This Row],[Material Name]]</f>
        <v>45555_Pole 9M</v>
      </c>
      <c r="O2316" t="str">
        <f>DO_DB[[#This Row],[SiteID]]</f>
        <v>CLR51-99-049</v>
      </c>
      <c r="P2316" t="str">
        <f>DO_DB[[#This Row],[SiteID]]&amp;"_"&amp;DO_DB[[#This Row],[Material Name]]</f>
        <v>CLR51-99-049_Pole 9M</v>
      </c>
      <c r="Q2316" t="str">
        <f>DO_DB[[#This Row],[DO Number]]</f>
        <v>DOEID24092031</v>
      </c>
      <c r="R2316" t="str">
        <f>DO_DB[[#This Row],[DN Number]]</f>
        <v>DNWID0362024092001</v>
      </c>
    </row>
    <row r="2317" spans="1:18">
      <c r="A2317" t="s">
        <v>2322</v>
      </c>
      <c r="B2317" t="s">
        <v>2323</v>
      </c>
      <c r="C2317" s="172" t="s">
        <v>4482</v>
      </c>
      <c r="D2317" t="s">
        <v>71</v>
      </c>
      <c r="E2317" t="s">
        <v>24</v>
      </c>
      <c r="F2317" t="s">
        <v>3295</v>
      </c>
      <c r="G2317" t="s">
        <v>2340</v>
      </c>
      <c r="H2317" t="s">
        <v>2341</v>
      </c>
      <c r="I2317" s="130">
        <v>45588</v>
      </c>
      <c r="J2317" t="s">
        <v>3071</v>
      </c>
      <c r="K2317">
        <v>1</v>
      </c>
      <c r="M231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17" t="str">
        <f>DO_DB[[#This Row],[Material Pick-update]]&amp;"_"&amp;DO_DB[[#This Row],[Material Name]]</f>
        <v>45588_Pole 9M</v>
      </c>
      <c r="O2317" t="str">
        <f>DO_DB[[#This Row],[SiteID]]</f>
        <v>MF51-06</v>
      </c>
      <c r="P2317" t="str">
        <f>DO_DB[[#This Row],[SiteID]]&amp;"_"&amp;DO_DB[[#This Row],[Material Name]]</f>
        <v>MF51-06_Pole 9M</v>
      </c>
      <c r="Q2317" t="str">
        <f>DO_DB[[#This Row],[DO Number]]</f>
        <v>DOEID24101808</v>
      </c>
      <c r="R2317" t="str">
        <f>DO_DB[[#This Row],[DN Number]]</f>
        <v>DNWID0362024101901</v>
      </c>
    </row>
    <row r="2318" spans="1:18">
      <c r="A2318" t="s">
        <v>2508</v>
      </c>
      <c r="B2318" t="s">
        <v>2509</v>
      </c>
      <c r="C2318" s="172" t="s">
        <v>4482</v>
      </c>
      <c r="D2318" t="s">
        <v>71</v>
      </c>
      <c r="E2318" t="s">
        <v>24</v>
      </c>
      <c r="F2318" t="s">
        <v>3295</v>
      </c>
      <c r="G2318" t="s">
        <v>2510</v>
      </c>
      <c r="H2318" t="s">
        <v>2511</v>
      </c>
      <c r="I2318" s="130">
        <v>45622</v>
      </c>
      <c r="J2318" t="s">
        <v>3071</v>
      </c>
      <c r="K2318">
        <v>2</v>
      </c>
      <c r="M231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18" t="str">
        <f>DO_DB[[#This Row],[Material Pick-update]]&amp;"_"&amp;DO_DB[[#This Row],[Material Name]]</f>
        <v>45622_Pole 9M</v>
      </c>
      <c r="O2318" t="str">
        <f>DO_DB[[#This Row],[SiteID]]</f>
        <v>CLR51-09-011</v>
      </c>
      <c r="P2318" t="str">
        <f>DO_DB[[#This Row],[SiteID]]&amp;"_"&amp;DO_DB[[#This Row],[Material Name]]</f>
        <v>CLR51-09-011_Pole 9M</v>
      </c>
      <c r="Q2318" t="str">
        <f>DO_DB[[#This Row],[DO Number]]</f>
        <v>DOEID241121BO</v>
      </c>
      <c r="R2318" t="str">
        <f>DO_DB[[#This Row],[DN Number]]</f>
        <v>DNWID0362024112203</v>
      </c>
    </row>
    <row r="2319" spans="1:18">
      <c r="A2319" t="s">
        <v>2514</v>
      </c>
      <c r="B2319" t="s">
        <v>2515</v>
      </c>
      <c r="C2319" s="172" t="s">
        <v>4482</v>
      </c>
      <c r="D2319" t="s">
        <v>71</v>
      </c>
      <c r="E2319" t="s">
        <v>24</v>
      </c>
      <c r="F2319" t="s">
        <v>3295</v>
      </c>
      <c r="G2319" t="s">
        <v>2516</v>
      </c>
      <c r="H2319" t="s">
        <v>2517</v>
      </c>
      <c r="I2319" s="130">
        <v>45622</v>
      </c>
      <c r="J2319" t="s">
        <v>3071</v>
      </c>
      <c r="K2319">
        <v>1</v>
      </c>
      <c r="M231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19" t="str">
        <f>DO_DB[[#This Row],[Material Pick-update]]&amp;"_"&amp;DO_DB[[#This Row],[Material Name]]</f>
        <v>45622_Pole 9M</v>
      </c>
      <c r="O2319" t="str">
        <f>DO_DB[[#This Row],[SiteID]]</f>
        <v>CLR51-09-012</v>
      </c>
      <c r="P2319" t="str">
        <f>DO_DB[[#This Row],[SiteID]]&amp;"_"&amp;DO_DB[[#This Row],[Material Name]]</f>
        <v>CLR51-09-012_Pole 9M</v>
      </c>
      <c r="Q2319" t="str">
        <f>DO_DB[[#This Row],[DO Number]]</f>
        <v>DOEID241121BQ</v>
      </c>
      <c r="R2319" t="str">
        <f>DO_DB[[#This Row],[DN Number]]</f>
        <v>DNWID0362024112202</v>
      </c>
    </row>
    <row r="2320" spans="1:18">
      <c r="A2320" t="s">
        <v>2809</v>
      </c>
      <c r="B2320" t="s">
        <v>2810</v>
      </c>
      <c r="C2320" s="172" t="s">
        <v>4482</v>
      </c>
      <c r="D2320" t="s">
        <v>71</v>
      </c>
      <c r="E2320" t="s">
        <v>24</v>
      </c>
      <c r="F2320" t="s">
        <v>3295</v>
      </c>
      <c r="G2320" t="s">
        <v>2811</v>
      </c>
      <c r="H2320" t="s">
        <v>2812</v>
      </c>
      <c r="I2320" s="130">
        <v>45820</v>
      </c>
      <c r="J2320" t="s">
        <v>3071</v>
      </c>
      <c r="K2320">
        <v>7</v>
      </c>
      <c r="M232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20" t="str">
        <f>DO_DB[[#This Row],[Material Pick-update]]&amp;"_"&amp;DO_DB[[#This Row],[Material Name]]</f>
        <v>45820_Pole 9M</v>
      </c>
      <c r="O2320" t="str">
        <f>DO_DB[[#This Row],[SiteID]]</f>
        <v>CLR51-99-101</v>
      </c>
      <c r="P2320" t="str">
        <f>DO_DB[[#This Row],[SiteID]]&amp;"_"&amp;DO_DB[[#This Row],[Material Name]]</f>
        <v>CLR51-99-101_Pole 9M</v>
      </c>
      <c r="Q2320" t="str">
        <f>DO_DB[[#This Row],[DO Number]]</f>
        <v>DOEID250610PE</v>
      </c>
      <c r="R2320" t="str">
        <f>DO_DB[[#This Row],[DN Number]]</f>
        <v>DNWID1382025061204</v>
      </c>
    </row>
    <row r="2321" spans="1:18">
      <c r="A2321" t="s">
        <v>2825</v>
      </c>
      <c r="B2321" t="s">
        <v>2826</v>
      </c>
      <c r="C2321" s="172" t="s">
        <v>4482</v>
      </c>
      <c r="D2321" t="s">
        <v>71</v>
      </c>
      <c r="E2321" t="s">
        <v>24</v>
      </c>
      <c r="F2321" t="s">
        <v>3295</v>
      </c>
      <c r="G2321" t="s">
        <v>2827</v>
      </c>
      <c r="H2321" t="s">
        <v>2828</v>
      </c>
      <c r="I2321" s="130">
        <v>45820</v>
      </c>
      <c r="J2321" t="s">
        <v>3071</v>
      </c>
      <c r="K2321">
        <v>3</v>
      </c>
      <c r="M232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21" t="str">
        <f>DO_DB[[#This Row],[Material Pick-update]]&amp;"_"&amp;DO_DB[[#This Row],[Material Name]]</f>
        <v>45820_Pole 9M</v>
      </c>
      <c r="O2321" t="str">
        <f>DO_DB[[#This Row],[SiteID]]</f>
        <v>CLR51-99-238</v>
      </c>
      <c r="P2321" t="str">
        <f>DO_DB[[#This Row],[SiteID]]&amp;"_"&amp;DO_DB[[#This Row],[Material Name]]</f>
        <v>CLR51-99-238_Pole 9M</v>
      </c>
      <c r="Q2321" t="str">
        <f>DO_DB[[#This Row],[DO Number]]</f>
        <v>DOEID250610PJ</v>
      </c>
      <c r="R2321" t="str">
        <f>DO_DB[[#This Row],[DN Number]]</f>
        <v>DNWID1382025061203</v>
      </c>
    </row>
    <row r="2322" spans="1:18">
      <c r="A2322" t="s">
        <v>2861</v>
      </c>
      <c r="B2322" t="s">
        <v>2862</v>
      </c>
      <c r="C2322" s="172" t="s">
        <v>4482</v>
      </c>
      <c r="D2322" t="s">
        <v>71</v>
      </c>
      <c r="E2322" t="s">
        <v>24</v>
      </c>
      <c r="F2322" t="s">
        <v>3295</v>
      </c>
      <c r="G2322" t="s">
        <v>2865</v>
      </c>
      <c r="H2322" t="s">
        <v>2866</v>
      </c>
      <c r="I2322" s="130">
        <v>45825</v>
      </c>
      <c r="J2322" t="s">
        <v>3071</v>
      </c>
      <c r="K2322">
        <v>6</v>
      </c>
      <c r="M232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22" t="str">
        <f>DO_DB[[#This Row],[Material Pick-update]]&amp;"_"&amp;DO_DB[[#This Row],[Material Name]]</f>
        <v>45825_Pole 9M</v>
      </c>
      <c r="O2322" t="str">
        <f>DO_DB[[#This Row],[SiteID]]</f>
        <v>CLR51-99-242</v>
      </c>
      <c r="P2322" t="str">
        <f>DO_DB[[#This Row],[SiteID]]&amp;"_"&amp;DO_DB[[#This Row],[Material Name]]</f>
        <v>CLR51-99-242_Pole 9M</v>
      </c>
      <c r="Q2322" t="str">
        <f>DO_DB[[#This Row],[DO Number]]</f>
        <v>DOEID250613BM</v>
      </c>
      <c r="R2322" t="str">
        <f>DO_DB[[#This Row],[DN Number]]</f>
        <v>DNWID1382025061702</v>
      </c>
    </row>
    <row r="2323" spans="1:18">
      <c r="A2323" t="s">
        <v>2855</v>
      </c>
      <c r="B2323" t="s">
        <v>2856</v>
      </c>
      <c r="C2323" s="172" t="s">
        <v>4482</v>
      </c>
      <c r="D2323" t="s">
        <v>71</v>
      </c>
      <c r="E2323" t="s">
        <v>24</v>
      </c>
      <c r="F2323" t="s">
        <v>3295</v>
      </c>
      <c r="G2323" t="s">
        <v>2859</v>
      </c>
      <c r="H2323" t="s">
        <v>2860</v>
      </c>
      <c r="I2323" s="130">
        <v>45825</v>
      </c>
      <c r="J2323" t="s">
        <v>3071</v>
      </c>
      <c r="K2323">
        <v>2</v>
      </c>
      <c r="M232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23" t="str">
        <f>DO_DB[[#This Row],[Material Pick-update]]&amp;"_"&amp;DO_DB[[#This Row],[Material Name]]</f>
        <v>45825_Pole 9M</v>
      </c>
      <c r="O2323" t="str">
        <f>DO_DB[[#This Row],[SiteID]]</f>
        <v>CLR51-99-243</v>
      </c>
      <c r="P2323" t="str">
        <f>DO_DB[[#This Row],[SiteID]]&amp;"_"&amp;DO_DB[[#This Row],[Material Name]]</f>
        <v>CLR51-99-243_Pole 9M</v>
      </c>
      <c r="Q2323" t="str">
        <f>DO_DB[[#This Row],[DO Number]]</f>
        <v>DOEID250613BO</v>
      </c>
      <c r="R2323" t="str">
        <f>DO_DB[[#This Row],[DN Number]]</f>
        <v>DNWID1382025061614</v>
      </c>
    </row>
    <row r="2324" spans="1:18">
      <c r="A2324" t="s">
        <v>2851</v>
      </c>
      <c r="B2324" t="s">
        <v>2852</v>
      </c>
      <c r="C2324" s="172" t="s">
        <v>4482</v>
      </c>
      <c r="D2324" t="s">
        <v>71</v>
      </c>
      <c r="E2324" t="s">
        <v>24</v>
      </c>
      <c r="F2324" t="s">
        <v>3295</v>
      </c>
      <c r="G2324" t="s">
        <v>2853</v>
      </c>
      <c r="H2324" t="s">
        <v>2854</v>
      </c>
      <c r="I2324" s="130">
        <v>45825</v>
      </c>
      <c r="J2324" t="s">
        <v>3071</v>
      </c>
      <c r="K2324">
        <v>4</v>
      </c>
      <c r="M232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24" t="str">
        <f>DO_DB[[#This Row],[Material Pick-update]]&amp;"_"&amp;DO_DB[[#This Row],[Material Name]]</f>
        <v>45825_Pole 9M</v>
      </c>
      <c r="O2324" t="str">
        <f>DO_DB[[#This Row],[SiteID]]</f>
        <v>CLR51-99-244</v>
      </c>
      <c r="P2324" t="str">
        <f>DO_DB[[#This Row],[SiteID]]&amp;"_"&amp;DO_DB[[#This Row],[Material Name]]</f>
        <v>CLR51-99-244_Pole 9M</v>
      </c>
      <c r="Q2324" t="str">
        <f>DO_DB[[#This Row],[DO Number]]</f>
        <v>DOEID250613BQ</v>
      </c>
      <c r="R2324" t="str">
        <f>DO_DB[[#This Row],[DN Number]]</f>
        <v>DNWID1382025061703</v>
      </c>
    </row>
    <row r="2325" spans="1:18">
      <c r="A2325" t="s">
        <v>2903</v>
      </c>
      <c r="B2325" t="s">
        <v>2904</v>
      </c>
      <c r="C2325" s="172" t="s">
        <v>4482</v>
      </c>
      <c r="D2325" t="s">
        <v>71</v>
      </c>
      <c r="E2325" t="s">
        <v>24</v>
      </c>
      <c r="F2325" t="s">
        <v>3295</v>
      </c>
      <c r="G2325" t="s">
        <v>2905</v>
      </c>
      <c r="H2325" t="s">
        <v>2906</v>
      </c>
      <c r="I2325" s="130">
        <v>45850</v>
      </c>
      <c r="J2325" t="s">
        <v>3071</v>
      </c>
      <c r="K2325">
        <v>2</v>
      </c>
      <c r="M232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25" t="str">
        <f>DO_DB[[#This Row],[Material Pick-update]]&amp;"_"&amp;DO_DB[[#This Row],[Material Name]]</f>
        <v>45850_Pole 9M</v>
      </c>
      <c r="O2325" t="str">
        <f>DO_DB[[#This Row],[SiteID]]</f>
        <v>CLR51-99-106</v>
      </c>
      <c r="P2325" t="str">
        <f>DO_DB[[#This Row],[SiteID]]&amp;"_"&amp;DO_DB[[#This Row],[Material Name]]</f>
        <v>CLR51-99-106_Pole 9M</v>
      </c>
      <c r="Q2325" t="str">
        <f>DO_DB[[#This Row],[DO Number]]</f>
        <v>DOEID250711ED</v>
      </c>
      <c r="R2325" t="str">
        <f>DO_DB[[#This Row],[DN Number]]</f>
        <v>DNWID1382025071110</v>
      </c>
    </row>
    <row r="2326" spans="1:18">
      <c r="A2326" t="s">
        <v>2909</v>
      </c>
      <c r="B2326" t="s">
        <v>2910</v>
      </c>
      <c r="C2326" s="172" t="s">
        <v>4482</v>
      </c>
      <c r="D2326" t="s">
        <v>71</v>
      </c>
      <c r="E2326" t="s">
        <v>24</v>
      </c>
      <c r="F2326" t="s">
        <v>3295</v>
      </c>
      <c r="G2326" t="s">
        <v>2911</v>
      </c>
      <c r="H2326" t="s">
        <v>2912</v>
      </c>
      <c r="I2326" s="130">
        <v>45850</v>
      </c>
      <c r="J2326" t="s">
        <v>3071</v>
      </c>
      <c r="K2326">
        <v>5</v>
      </c>
      <c r="M232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26" t="str">
        <f>DO_DB[[#This Row],[Material Pick-update]]&amp;"_"&amp;DO_DB[[#This Row],[Material Name]]</f>
        <v>45850_Pole 9M</v>
      </c>
      <c r="O2326" t="str">
        <f>DO_DB[[#This Row],[SiteID]]</f>
        <v>CLR51-99-107</v>
      </c>
      <c r="P2326" t="str">
        <f>DO_DB[[#This Row],[SiteID]]&amp;"_"&amp;DO_DB[[#This Row],[Material Name]]</f>
        <v>CLR51-99-107_Pole 9M</v>
      </c>
      <c r="Q2326" t="str">
        <f>DO_DB[[#This Row],[DO Number]]</f>
        <v>DOEID250711EF</v>
      </c>
      <c r="R2326" t="str">
        <f>DO_DB[[#This Row],[DN Number]]</f>
        <v>DNWID1382025071109</v>
      </c>
    </row>
    <row r="2327" spans="1:18">
      <c r="A2327" t="s">
        <v>2915</v>
      </c>
      <c r="B2327" t="s">
        <v>2916</v>
      </c>
      <c r="C2327" s="172" t="s">
        <v>4482</v>
      </c>
      <c r="D2327" t="s">
        <v>71</v>
      </c>
      <c r="E2327" t="s">
        <v>24</v>
      </c>
      <c r="F2327" t="s">
        <v>3295</v>
      </c>
      <c r="G2327" t="s">
        <v>2917</v>
      </c>
      <c r="H2327" t="s">
        <v>2918</v>
      </c>
      <c r="I2327" s="130">
        <v>45850</v>
      </c>
      <c r="J2327" t="s">
        <v>3071</v>
      </c>
      <c r="K2327">
        <v>4</v>
      </c>
      <c r="M232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27" t="str">
        <f>DO_DB[[#This Row],[Material Pick-update]]&amp;"_"&amp;DO_DB[[#This Row],[Material Name]]</f>
        <v>45850_Pole 9M</v>
      </c>
      <c r="O2327" t="str">
        <f>DO_DB[[#This Row],[SiteID]]</f>
        <v>CLR51-99-108</v>
      </c>
      <c r="P2327" t="str">
        <f>DO_DB[[#This Row],[SiteID]]&amp;"_"&amp;DO_DB[[#This Row],[Material Name]]</f>
        <v>CLR51-99-108_Pole 9M</v>
      </c>
      <c r="Q2327" t="str">
        <f>DO_DB[[#This Row],[DO Number]]</f>
        <v>DOEID250711EI</v>
      </c>
      <c r="R2327" t="str">
        <f>DO_DB[[#This Row],[DN Number]]</f>
        <v>DNWID1382025071113</v>
      </c>
    </row>
    <row r="2328" spans="1:18">
      <c r="A2328" t="s">
        <v>2925</v>
      </c>
      <c r="B2328" t="s">
        <v>2926</v>
      </c>
      <c r="C2328" s="172" t="s">
        <v>4482</v>
      </c>
      <c r="D2328" t="s">
        <v>71</v>
      </c>
      <c r="E2328" t="s">
        <v>24</v>
      </c>
      <c r="F2328" t="s">
        <v>3295</v>
      </c>
      <c r="G2328" t="s">
        <v>2927</v>
      </c>
      <c r="H2328" t="s">
        <v>2928</v>
      </c>
      <c r="I2328" s="130">
        <v>45850</v>
      </c>
      <c r="J2328" t="s">
        <v>3071</v>
      </c>
      <c r="K2328">
        <v>5</v>
      </c>
      <c r="M232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28" t="str">
        <f>DO_DB[[#This Row],[Material Pick-update]]&amp;"_"&amp;DO_DB[[#This Row],[Material Name]]</f>
        <v>45850_Pole 9M</v>
      </c>
      <c r="O2328" t="str">
        <f>DO_DB[[#This Row],[SiteID]]</f>
        <v>CLR51-99-264</v>
      </c>
      <c r="P2328" t="str">
        <f>DO_DB[[#This Row],[SiteID]]&amp;"_"&amp;DO_DB[[#This Row],[Material Name]]</f>
        <v>CLR51-99-264_Pole 9M</v>
      </c>
      <c r="Q2328" t="str">
        <f>DO_DB[[#This Row],[DO Number]]</f>
        <v>DOEID250711EK</v>
      </c>
      <c r="R2328" t="str">
        <f>DO_DB[[#This Row],[DN Number]]</f>
        <v>DNWID1382025071112</v>
      </c>
    </row>
    <row r="2329" spans="1:18">
      <c r="A2329" s="172" t="s">
        <v>4692</v>
      </c>
      <c r="B2329" s="172" t="s">
        <v>4693</v>
      </c>
      <c r="C2329" s="172" t="s">
        <v>4482</v>
      </c>
      <c r="D2329" s="172" t="s">
        <v>71</v>
      </c>
      <c r="E2329" s="172" t="s">
        <v>24</v>
      </c>
      <c r="F2329" t="s">
        <v>3295</v>
      </c>
      <c r="G2329" s="172" t="s">
        <v>4694</v>
      </c>
      <c r="H2329" s="172" t="s">
        <v>4695</v>
      </c>
      <c r="I2329" s="173">
        <v>45955</v>
      </c>
      <c r="J2329" t="s">
        <v>3071</v>
      </c>
      <c r="K2329" s="172">
        <v>8</v>
      </c>
      <c r="M232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29" t="str">
        <f>DO_DB[[#This Row],[Material Pick-update]]&amp;"_"&amp;DO_DB[[#This Row],[Material Name]]</f>
        <v>45955_Pole 9M</v>
      </c>
      <c r="O2329" t="str">
        <f>DO_DB[[#This Row],[SiteID]]</f>
        <v>CLR51-99-372</v>
      </c>
      <c r="P2329" t="str">
        <f>DO_DB[[#This Row],[SiteID]]&amp;"_"&amp;DO_DB[[#This Row],[Material Name]]</f>
        <v>CLR51-99-372_Pole 9M</v>
      </c>
      <c r="Q2329" t="str">
        <f>DO_DB[[#This Row],[DO Number]]</f>
        <v>DOEID251024G5</v>
      </c>
      <c r="R2329" t="str">
        <f>DO_DB[[#This Row],[DN Number]]</f>
        <v>DNWID1382025102406</v>
      </c>
    </row>
    <row r="2330" spans="1:18">
      <c r="A2330" s="172" t="s">
        <v>4692</v>
      </c>
      <c r="B2330" s="172" t="s">
        <v>4693</v>
      </c>
      <c r="C2330" s="172" t="s">
        <v>4482</v>
      </c>
      <c r="D2330" s="172" t="s">
        <v>71</v>
      </c>
      <c r="E2330" s="172" t="s">
        <v>24</v>
      </c>
      <c r="F2330" t="s">
        <v>3295</v>
      </c>
      <c r="G2330" s="172" t="s">
        <v>4710</v>
      </c>
      <c r="H2330" s="172" t="s">
        <v>4711</v>
      </c>
      <c r="I2330" s="173">
        <v>45981</v>
      </c>
      <c r="J2330" t="s">
        <v>3071</v>
      </c>
      <c r="K2330" s="172">
        <v>5</v>
      </c>
      <c r="M233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30" t="str">
        <f>DO_DB[[#This Row],[Material Pick-update]]&amp;"_"&amp;DO_DB[[#This Row],[Material Name]]</f>
        <v>45981_Pole 9M</v>
      </c>
      <c r="O2330" t="str">
        <f>DO_DB[[#This Row],[SiteID]]</f>
        <v>CLR51-99-372</v>
      </c>
      <c r="P2330" t="str">
        <f>DO_DB[[#This Row],[SiteID]]&amp;"_"&amp;DO_DB[[#This Row],[Material Name]]</f>
        <v>CLR51-99-372_Pole 9M</v>
      </c>
      <c r="Q2330" t="str">
        <f>DO_DB[[#This Row],[DO Number]]</f>
        <v>DOEID251119FT</v>
      </c>
      <c r="R2330" t="str">
        <f>DO_DB[[#This Row],[DN Number]]</f>
        <v>DNWID1382025111905</v>
      </c>
    </row>
    <row r="2331" spans="1:18">
      <c r="A2331" s="172" t="s">
        <v>4696</v>
      </c>
      <c r="B2331" s="172" t="s">
        <v>4697</v>
      </c>
      <c r="C2331" s="172" t="s">
        <v>4482</v>
      </c>
      <c r="D2331" s="172" t="s">
        <v>71</v>
      </c>
      <c r="E2331" s="172" t="s">
        <v>24</v>
      </c>
      <c r="F2331" t="s">
        <v>3295</v>
      </c>
      <c r="G2331" s="172" t="s">
        <v>4712</v>
      </c>
      <c r="H2331" s="172" t="s">
        <v>4713</v>
      </c>
      <c r="I2331" s="173">
        <v>45981</v>
      </c>
      <c r="J2331" t="s">
        <v>3071</v>
      </c>
      <c r="K2331" s="172"/>
      <c r="M233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31" t="str">
        <f>DO_DB[[#This Row],[Material Pick-update]]&amp;"_"&amp;DO_DB[[#This Row],[Material Name]]</f>
        <v>45981_Pole 9M</v>
      </c>
      <c r="O2331" t="str">
        <f>DO_DB[[#This Row],[SiteID]]</f>
        <v>CLR51-99-375</v>
      </c>
      <c r="P2331" t="str">
        <f>DO_DB[[#This Row],[SiteID]]&amp;"_"&amp;DO_DB[[#This Row],[Material Name]]</f>
        <v>CLR51-99-375_Pole 9M</v>
      </c>
      <c r="Q2331" t="str">
        <f>DO_DB[[#This Row],[DO Number]]</f>
        <v>DOEID251119GB</v>
      </c>
      <c r="R2331" t="str">
        <f>DO_DB[[#This Row],[DN Number]]</f>
        <v>DNWID1382025111906</v>
      </c>
    </row>
    <row r="2332" spans="1:18">
      <c r="A2332" t="s">
        <v>4785</v>
      </c>
      <c r="B2332" t="s">
        <v>4786</v>
      </c>
      <c r="C2332" s="172" t="s">
        <v>4482</v>
      </c>
      <c r="D2332" t="s">
        <v>67</v>
      </c>
      <c r="E2332" t="s">
        <v>24</v>
      </c>
      <c r="F2332" t="s">
        <v>3295</v>
      </c>
      <c r="G2332" t="s">
        <v>4787</v>
      </c>
      <c r="H2332" t="s">
        <v>4788</v>
      </c>
      <c r="I2332" s="130">
        <v>46002</v>
      </c>
      <c r="J2332" t="s">
        <v>3071</v>
      </c>
      <c r="K2332" s="81">
        <v>3</v>
      </c>
      <c r="M233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32" t="str">
        <f>DO_DB[[#This Row],[Material Pick-update]]&amp;"_"&amp;DO_DB[[#This Row],[Material Name]]</f>
        <v>46002_Pole 9M</v>
      </c>
      <c r="O2332" t="str">
        <f>DO_DB[[#This Row],[SiteID]]</f>
        <v>CLR51-99-381</v>
      </c>
      <c r="P2332" t="str">
        <f>DO_DB[[#This Row],[SiteID]]&amp;"_"&amp;DO_DB[[#This Row],[Material Name]]</f>
        <v>CLR51-99-381_Pole 9M</v>
      </c>
      <c r="Q2332" t="str">
        <f>DO_DB[[#This Row],[DO Number]]</f>
        <v>DOEID25121116</v>
      </c>
      <c r="R2332" t="str">
        <f>DO_DB[[#This Row],[DN Number]]</f>
        <v>DNWID1382025121114</v>
      </c>
    </row>
    <row r="2333" spans="1:18">
      <c r="A2333" t="s">
        <v>4801</v>
      </c>
      <c r="B2333" t="s">
        <v>4802</v>
      </c>
      <c r="C2333" s="172" t="s">
        <v>4482</v>
      </c>
      <c r="D2333" t="s">
        <v>67</v>
      </c>
      <c r="E2333" t="s">
        <v>24</v>
      </c>
      <c r="F2333" t="s">
        <v>3295</v>
      </c>
      <c r="G2333" t="s">
        <v>4803</v>
      </c>
      <c r="H2333" t="s">
        <v>4804</v>
      </c>
      <c r="I2333" s="130">
        <v>46002</v>
      </c>
      <c r="J2333" t="s">
        <v>3071</v>
      </c>
      <c r="K2333" s="81">
        <v>2</v>
      </c>
      <c r="M233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33" t="str">
        <f>DO_DB[[#This Row],[Material Pick-update]]&amp;"_"&amp;DO_DB[[#This Row],[Material Name]]</f>
        <v>46002_Pole 9M</v>
      </c>
      <c r="O2333" t="str">
        <f>DO_DB[[#This Row],[SiteID]]</f>
        <v>CLR51-99-382</v>
      </c>
      <c r="P2333" t="str">
        <f>DO_DB[[#This Row],[SiteID]]&amp;"_"&amp;DO_DB[[#This Row],[Material Name]]</f>
        <v>CLR51-99-382_Pole 9M</v>
      </c>
      <c r="Q2333" t="str">
        <f>DO_DB[[#This Row],[DO Number]]</f>
        <v>DOEID25121117</v>
      </c>
      <c r="R2333" t="str">
        <f>DO_DB[[#This Row],[DN Number]]</f>
        <v>DNWID1382025121113</v>
      </c>
    </row>
    <row r="2334" spans="1:18">
      <c r="A2334" t="s">
        <v>5122</v>
      </c>
      <c r="B2334" t="s">
        <v>5125</v>
      </c>
      <c r="C2334" s="172" t="s">
        <v>4482</v>
      </c>
      <c r="D2334" t="s">
        <v>67</v>
      </c>
      <c r="E2334" t="s">
        <v>24</v>
      </c>
      <c r="F2334" t="s">
        <v>3295</v>
      </c>
      <c r="G2334" t="s">
        <v>5123</v>
      </c>
      <c r="H2334" t="s">
        <v>5124</v>
      </c>
      <c r="I2334" s="130">
        <v>46212</v>
      </c>
      <c r="J2334" s="172" t="s">
        <v>3071</v>
      </c>
      <c r="K2334">
        <v>4</v>
      </c>
      <c r="M233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34" t="str">
        <f>DO_DB[[#This Row],[Material Pick-update]]&amp;"_"&amp;DO_DB[[#This Row],[Material Name]]</f>
        <v>46212_Pole 9M</v>
      </c>
      <c r="O2334" t="str">
        <f>DO_DB[[#This Row],[SiteID]]</f>
        <v>CLR51-99-662</v>
      </c>
      <c r="P2334" t="str">
        <f>DO_DB[[#This Row],[SiteID]]&amp;"_"&amp;DO_DB[[#This Row],[Material Name]]</f>
        <v>CLR51-99-662_Pole 9M</v>
      </c>
      <c r="Q2334" t="str">
        <f>DO_DB[[#This Row],[DO Number]]</f>
        <v>DOEID260708AM</v>
      </c>
      <c r="R2334" t="str">
        <f>DO_DB[[#This Row],[DN Number]]</f>
        <v>DNWID0362026070821</v>
      </c>
    </row>
    <row r="2335" spans="1:18" s="81" customFormat="1">
      <c r="A2335" t="s">
        <v>712</v>
      </c>
      <c r="B2335" t="s">
        <v>713</v>
      </c>
      <c r="C2335" t="s">
        <v>4482</v>
      </c>
      <c r="D2335" t="s">
        <v>71</v>
      </c>
      <c r="E2335" t="s">
        <v>709</v>
      </c>
      <c r="F2335" t="s">
        <v>4501</v>
      </c>
      <c r="G2335" t="s">
        <v>714</v>
      </c>
      <c r="H2335" t="s">
        <v>715</v>
      </c>
      <c r="I2335" s="130">
        <v>45280</v>
      </c>
      <c r="J2335" t="s">
        <v>3069</v>
      </c>
      <c r="K2335">
        <v>49</v>
      </c>
      <c r="M233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35" t="str">
        <f>DO_DB[[#This Row],[Material Pick-update]]&amp;"_"&amp;DO_DB[[#This Row],[Material Name]]</f>
        <v>45280_Pole 7M 4"</v>
      </c>
      <c r="O2335" t="str">
        <f>DO_DB[[#This Row],[SiteID]]</f>
        <v>CLR41-99-015</v>
      </c>
      <c r="P2335" t="str">
        <f>DO_DB[[#This Row],[SiteID]]&amp;"_"&amp;DO_DB[[#This Row],[Material Name]]</f>
        <v>CLR41-99-015_Pole 7M 4"</v>
      </c>
      <c r="Q2335" t="str">
        <f>DO_DB[[#This Row],[DO Number]]</f>
        <v>DOEID23121869</v>
      </c>
      <c r="R2335" t="str">
        <f>DO_DB[[#This Row],[DN Number]]</f>
        <v>DNWID0362023121807</v>
      </c>
    </row>
    <row r="2336" spans="1:18">
      <c r="A2336" t="s">
        <v>712</v>
      </c>
      <c r="B2336" t="s">
        <v>713</v>
      </c>
      <c r="C2336" t="s">
        <v>4482</v>
      </c>
      <c r="D2336" t="s">
        <v>71</v>
      </c>
      <c r="E2336" t="s">
        <v>709</v>
      </c>
      <c r="F2336" t="s">
        <v>4501</v>
      </c>
      <c r="G2336" t="s">
        <v>714</v>
      </c>
      <c r="H2336" t="s">
        <v>715</v>
      </c>
      <c r="I2336" s="130">
        <v>45280</v>
      </c>
      <c r="J2336" t="s">
        <v>3070</v>
      </c>
      <c r="K2336">
        <v>5</v>
      </c>
      <c r="M233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36" t="str">
        <f>DO_DB[[#This Row],[Material Pick-update]]&amp;"_"&amp;DO_DB[[#This Row],[Material Name]]</f>
        <v>45280_Pole 7M 3"</v>
      </c>
      <c r="O2336" t="str">
        <f>DO_DB[[#This Row],[SiteID]]</f>
        <v>CLR41-99-015</v>
      </c>
      <c r="P2336" t="str">
        <f>DO_DB[[#This Row],[SiteID]]&amp;"_"&amp;DO_DB[[#This Row],[Material Name]]</f>
        <v>CLR41-99-015_Pole 7M 3"</v>
      </c>
      <c r="Q2336" t="str">
        <f>DO_DB[[#This Row],[DO Number]]</f>
        <v>DOEID23121869</v>
      </c>
      <c r="R2336" t="str">
        <f>DO_DB[[#This Row],[DN Number]]</f>
        <v>DNWID0362023121807</v>
      </c>
    </row>
    <row r="2337" spans="1:18">
      <c r="A2337" t="s">
        <v>712</v>
      </c>
      <c r="B2337" t="s">
        <v>713</v>
      </c>
      <c r="C2337" t="s">
        <v>4482</v>
      </c>
      <c r="D2337" t="s">
        <v>71</v>
      </c>
      <c r="E2337" t="s">
        <v>709</v>
      </c>
      <c r="F2337" t="s">
        <v>4501</v>
      </c>
      <c r="G2337" t="s">
        <v>716</v>
      </c>
      <c r="H2337" t="s">
        <v>717</v>
      </c>
      <c r="I2337" s="130">
        <v>45280</v>
      </c>
      <c r="J2337" t="s">
        <v>15</v>
      </c>
      <c r="K2337">
        <v>1</v>
      </c>
      <c r="M233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37" t="str">
        <f>DO_DB[[#This Row],[Material Pick-update]]&amp;"_"&amp;DO_DB[[#This Row],[Material Name]]</f>
        <v>45280_FDT-72</v>
      </c>
      <c r="O2337" t="str">
        <f>DO_DB[[#This Row],[SiteID]]</f>
        <v>CLR41-99-015</v>
      </c>
      <c r="P2337" t="str">
        <f>DO_DB[[#This Row],[SiteID]]&amp;"_"&amp;DO_DB[[#This Row],[Material Name]]</f>
        <v>CLR41-99-015_FDT-72</v>
      </c>
      <c r="Q2337" t="str">
        <f>DO_DB[[#This Row],[DO Number]]</f>
        <v>DOEID23121870</v>
      </c>
      <c r="R2337" t="str">
        <f>DO_DB[[#This Row],[DN Number]]</f>
        <v>DNWID0342023121814</v>
      </c>
    </row>
    <row r="2338" spans="1:18">
      <c r="A2338" t="s">
        <v>712</v>
      </c>
      <c r="B2338" t="s">
        <v>713</v>
      </c>
      <c r="C2338" t="s">
        <v>4482</v>
      </c>
      <c r="D2338" t="s">
        <v>71</v>
      </c>
      <c r="E2338" t="s">
        <v>709</v>
      </c>
      <c r="F2338" t="s">
        <v>4501</v>
      </c>
      <c r="G2338" t="s">
        <v>716</v>
      </c>
      <c r="H2338" t="s">
        <v>717</v>
      </c>
      <c r="I2338" s="130">
        <v>45280</v>
      </c>
      <c r="J2338" t="s">
        <v>3080</v>
      </c>
      <c r="K2338">
        <v>4</v>
      </c>
      <c r="M233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38" t="str">
        <f>DO_DB[[#This Row],[Material Pick-update]]&amp;"_"&amp;DO_DB[[#This Row],[Material Name]]</f>
        <v>45280_1:8 SPL for FDT-AE &amp; UG</v>
      </c>
      <c r="O2338" t="str">
        <f>DO_DB[[#This Row],[SiteID]]</f>
        <v>CLR41-99-015</v>
      </c>
      <c r="P2338" t="str">
        <f>DO_DB[[#This Row],[SiteID]]&amp;"_"&amp;DO_DB[[#This Row],[Material Name]]</f>
        <v>CLR41-99-015_1:8 SPL for FDT-AE &amp; UG</v>
      </c>
      <c r="Q2338" t="str">
        <f>DO_DB[[#This Row],[DO Number]]</f>
        <v>DOEID23121870</v>
      </c>
      <c r="R2338" t="str">
        <f>DO_DB[[#This Row],[DN Number]]</f>
        <v>DNWID0342023121814</v>
      </c>
    </row>
    <row r="2339" spans="1:18">
      <c r="A2339" t="s">
        <v>707</v>
      </c>
      <c r="B2339" t="s">
        <v>708</v>
      </c>
      <c r="C2339" t="s">
        <v>4482</v>
      </c>
      <c r="D2339" t="s">
        <v>71</v>
      </c>
      <c r="E2339" t="s">
        <v>709</v>
      </c>
      <c r="F2339" t="s">
        <v>4501</v>
      </c>
      <c r="G2339" t="s">
        <v>710</v>
      </c>
      <c r="H2339" t="s">
        <v>711</v>
      </c>
      <c r="I2339" s="130">
        <v>45280</v>
      </c>
      <c r="J2339" t="s">
        <v>3069</v>
      </c>
      <c r="K2339">
        <v>45</v>
      </c>
      <c r="M233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39" t="str">
        <f>DO_DB[[#This Row],[Material Pick-update]]&amp;"_"&amp;DO_DB[[#This Row],[Material Name]]</f>
        <v>45280_Pole 7M 4"</v>
      </c>
      <c r="O2339" t="str">
        <f>DO_DB[[#This Row],[SiteID]]</f>
        <v>CLR41-99-016</v>
      </c>
      <c r="P2339" t="str">
        <f>DO_DB[[#This Row],[SiteID]]&amp;"_"&amp;DO_DB[[#This Row],[Material Name]]</f>
        <v>CLR41-99-016_Pole 7M 4"</v>
      </c>
      <c r="Q2339" t="str">
        <f>DO_DB[[#This Row],[DO Number]]</f>
        <v>DOEID23121871</v>
      </c>
      <c r="R2339" t="str">
        <f>DO_DB[[#This Row],[DN Number]]</f>
        <v>DNWID0362023121808</v>
      </c>
    </row>
    <row r="2340" spans="1:18">
      <c r="A2340" t="s">
        <v>707</v>
      </c>
      <c r="B2340" t="s">
        <v>708</v>
      </c>
      <c r="C2340" t="s">
        <v>4482</v>
      </c>
      <c r="D2340" t="s">
        <v>71</v>
      </c>
      <c r="E2340" t="s">
        <v>709</v>
      </c>
      <c r="F2340" t="s">
        <v>4501</v>
      </c>
      <c r="G2340" t="s">
        <v>710</v>
      </c>
      <c r="H2340" t="s">
        <v>711</v>
      </c>
      <c r="I2340" s="130">
        <v>45280</v>
      </c>
      <c r="J2340" t="s">
        <v>3070</v>
      </c>
      <c r="K2340">
        <v>6</v>
      </c>
      <c r="M234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40" t="str">
        <f>DO_DB[[#This Row],[Material Pick-update]]&amp;"_"&amp;DO_DB[[#This Row],[Material Name]]</f>
        <v>45280_Pole 7M 3"</v>
      </c>
      <c r="O2340" t="str">
        <f>DO_DB[[#This Row],[SiteID]]</f>
        <v>CLR41-99-016</v>
      </c>
      <c r="P2340" t="str">
        <f>DO_DB[[#This Row],[SiteID]]&amp;"_"&amp;DO_DB[[#This Row],[Material Name]]</f>
        <v>CLR41-99-016_Pole 7M 3"</v>
      </c>
      <c r="Q2340" t="str">
        <f>DO_DB[[#This Row],[DO Number]]</f>
        <v>DOEID23121871</v>
      </c>
      <c r="R2340" t="str">
        <f>DO_DB[[#This Row],[DN Number]]</f>
        <v>DNWID0362023121808</v>
      </c>
    </row>
    <row r="2341" spans="1:18">
      <c r="A2341" t="s">
        <v>707</v>
      </c>
      <c r="B2341" t="s">
        <v>708</v>
      </c>
      <c r="C2341" t="s">
        <v>4482</v>
      </c>
      <c r="D2341" t="s">
        <v>71</v>
      </c>
      <c r="E2341" t="s">
        <v>709</v>
      </c>
      <c r="F2341" t="s">
        <v>4501</v>
      </c>
      <c r="G2341" t="s">
        <v>718</v>
      </c>
      <c r="H2341" t="s">
        <v>719</v>
      </c>
      <c r="I2341" s="130">
        <v>45280</v>
      </c>
      <c r="J2341" t="s">
        <v>15</v>
      </c>
      <c r="K2341">
        <v>1</v>
      </c>
      <c r="M234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41" t="str">
        <f>DO_DB[[#This Row],[Material Pick-update]]&amp;"_"&amp;DO_DB[[#This Row],[Material Name]]</f>
        <v>45280_FDT-72</v>
      </c>
      <c r="O2341" t="str">
        <f>DO_DB[[#This Row],[SiteID]]</f>
        <v>CLR41-99-016</v>
      </c>
      <c r="P2341" t="str">
        <f>DO_DB[[#This Row],[SiteID]]&amp;"_"&amp;DO_DB[[#This Row],[Material Name]]</f>
        <v>CLR41-99-016_FDT-72</v>
      </c>
      <c r="Q2341" t="str">
        <f>DO_DB[[#This Row],[DO Number]]</f>
        <v>DOEID23121872</v>
      </c>
      <c r="R2341" t="str">
        <f>DO_DB[[#This Row],[DN Number]]</f>
        <v>DNWID0342023121815</v>
      </c>
    </row>
    <row r="2342" spans="1:18">
      <c r="A2342" t="s">
        <v>707</v>
      </c>
      <c r="B2342" t="s">
        <v>708</v>
      </c>
      <c r="C2342" t="s">
        <v>4482</v>
      </c>
      <c r="D2342" t="s">
        <v>71</v>
      </c>
      <c r="E2342" t="s">
        <v>709</v>
      </c>
      <c r="F2342" t="s">
        <v>4501</v>
      </c>
      <c r="G2342" t="s">
        <v>718</v>
      </c>
      <c r="H2342" t="s">
        <v>719</v>
      </c>
      <c r="I2342" s="130">
        <v>45280</v>
      </c>
      <c r="J2342" t="s">
        <v>3080</v>
      </c>
      <c r="K2342">
        <v>4</v>
      </c>
      <c r="M234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42" t="str">
        <f>DO_DB[[#This Row],[Material Pick-update]]&amp;"_"&amp;DO_DB[[#This Row],[Material Name]]</f>
        <v>45280_1:8 SPL for FDT-AE &amp; UG</v>
      </c>
      <c r="O2342" t="str">
        <f>DO_DB[[#This Row],[SiteID]]</f>
        <v>CLR41-99-016</v>
      </c>
      <c r="P2342" t="str">
        <f>DO_DB[[#This Row],[SiteID]]&amp;"_"&amp;DO_DB[[#This Row],[Material Name]]</f>
        <v>CLR41-99-016_1:8 SPL for FDT-AE &amp; UG</v>
      </c>
      <c r="Q2342" t="str">
        <f>DO_DB[[#This Row],[DO Number]]</f>
        <v>DOEID23121872</v>
      </c>
      <c r="R2342" t="str">
        <f>DO_DB[[#This Row],[DN Number]]</f>
        <v>DNWID0342023121815</v>
      </c>
    </row>
    <row r="2343" spans="1:18">
      <c r="A2343" t="s">
        <v>712</v>
      </c>
      <c r="B2343" t="s">
        <v>713</v>
      </c>
      <c r="C2343" t="s">
        <v>4482</v>
      </c>
      <c r="D2343" t="s">
        <v>71</v>
      </c>
      <c r="E2343" t="s">
        <v>709</v>
      </c>
      <c r="F2343" t="s">
        <v>4501</v>
      </c>
      <c r="G2343" t="s">
        <v>720</v>
      </c>
      <c r="H2343" t="s">
        <v>721</v>
      </c>
      <c r="I2343" s="130">
        <v>45280</v>
      </c>
      <c r="J2343" t="s">
        <v>13</v>
      </c>
      <c r="K2343">
        <v>22</v>
      </c>
      <c r="M234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43" t="str">
        <f>DO_DB[[#This Row],[Material Pick-update]]&amp;"_"&amp;DO_DB[[#This Row],[Material Name]]</f>
        <v>45280_FAT-16</v>
      </c>
      <c r="O2343" t="str">
        <f>DO_DB[[#This Row],[SiteID]]</f>
        <v>CLR41-99-015</v>
      </c>
      <c r="P2343" t="str">
        <f>DO_DB[[#This Row],[SiteID]]&amp;"_"&amp;DO_DB[[#This Row],[Material Name]]</f>
        <v>CLR41-99-015_FAT-16</v>
      </c>
      <c r="Q2343" t="str">
        <f>DO_DB[[#This Row],[DO Number]]</f>
        <v>DOEID23121997</v>
      </c>
      <c r="R2343" t="str">
        <f>DO_DB[[#This Row],[DN Number]]</f>
        <v>DNWID0342023121905</v>
      </c>
    </row>
    <row r="2344" spans="1:18">
      <c r="A2344" t="s">
        <v>707</v>
      </c>
      <c r="B2344" t="s">
        <v>708</v>
      </c>
      <c r="C2344" t="s">
        <v>4482</v>
      </c>
      <c r="D2344" t="s">
        <v>71</v>
      </c>
      <c r="E2344" t="s">
        <v>709</v>
      </c>
      <c r="F2344" t="s">
        <v>4501</v>
      </c>
      <c r="G2344" t="s">
        <v>722</v>
      </c>
      <c r="H2344" t="s">
        <v>723</v>
      </c>
      <c r="I2344" s="130">
        <v>45280</v>
      </c>
      <c r="J2344" t="s">
        <v>13</v>
      </c>
      <c r="K2344">
        <v>23</v>
      </c>
      <c r="M234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44" t="str">
        <f>DO_DB[[#This Row],[Material Pick-update]]&amp;"_"&amp;DO_DB[[#This Row],[Material Name]]</f>
        <v>45280_FAT-16</v>
      </c>
      <c r="O2344" t="str">
        <f>DO_DB[[#This Row],[SiteID]]</f>
        <v>CLR41-99-016</v>
      </c>
      <c r="P2344" t="str">
        <f>DO_DB[[#This Row],[SiteID]]&amp;"_"&amp;DO_DB[[#This Row],[Material Name]]</f>
        <v>CLR41-99-016_FAT-16</v>
      </c>
      <c r="Q2344" t="str">
        <f>DO_DB[[#This Row],[DO Number]]</f>
        <v>DOEID23121998</v>
      </c>
      <c r="R2344" t="str">
        <f>DO_DB[[#This Row],[DN Number]]</f>
        <v>DNWID0342023121919</v>
      </c>
    </row>
    <row r="2345" spans="1:18">
      <c r="A2345" t="s">
        <v>707</v>
      </c>
      <c r="B2345" t="s">
        <v>708</v>
      </c>
      <c r="C2345" t="s">
        <v>4482</v>
      </c>
      <c r="D2345" t="s">
        <v>71</v>
      </c>
      <c r="E2345" t="s">
        <v>709</v>
      </c>
      <c r="F2345" t="s">
        <v>4501</v>
      </c>
      <c r="G2345" t="s">
        <v>750</v>
      </c>
      <c r="H2345" t="s">
        <v>751</v>
      </c>
      <c r="I2345" s="130">
        <v>45287</v>
      </c>
      <c r="J2345" s="172" t="s">
        <v>3073</v>
      </c>
      <c r="K2345">
        <v>6000</v>
      </c>
      <c r="M234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24C-20231227-01</v>
      </c>
      <c r="N2345" t="str">
        <f>DO_DB[[#This Row],[Material Pick-update]]&amp;"_"&amp;DO_DB[[#This Row],[Material Name]]</f>
        <v>45287_ADSS 24C</v>
      </c>
      <c r="O2345" t="str">
        <f>DO_DB[[#This Row],[SiteID]]</f>
        <v>CLR41-99-016</v>
      </c>
      <c r="P2345" t="str">
        <f>DO_DB[[#This Row],[SiteID]]&amp;"_"&amp;DO_DB[[#This Row],[Material Name]]</f>
        <v>CLR41-99-016_ADSS 24C</v>
      </c>
      <c r="Q2345" t="str">
        <f>DO_DB[[#This Row],[DO Number]]</f>
        <v>DOEID23122786</v>
      </c>
      <c r="R2345" t="str">
        <f>DO_DB[[#This Row],[DN Number]]</f>
        <v>DNWID0342023122714</v>
      </c>
    </row>
    <row r="2346" spans="1:18">
      <c r="A2346" t="s">
        <v>1039</v>
      </c>
      <c r="B2346" t="s">
        <v>1040</v>
      </c>
      <c r="C2346" t="s">
        <v>4482</v>
      </c>
      <c r="D2346" t="s">
        <v>71</v>
      </c>
      <c r="E2346" t="s">
        <v>709</v>
      </c>
      <c r="F2346" t="s">
        <v>4501</v>
      </c>
      <c r="G2346" t="s">
        <v>1145</v>
      </c>
      <c r="H2346" t="s">
        <v>1146</v>
      </c>
      <c r="I2346" s="130">
        <v>45366</v>
      </c>
      <c r="J2346" t="s">
        <v>13</v>
      </c>
      <c r="K2346">
        <v>7</v>
      </c>
      <c r="M234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46" t="str">
        <f>DO_DB[[#This Row],[Material Pick-update]]&amp;"_"&amp;DO_DB[[#This Row],[Material Name]]</f>
        <v>45366_FAT-16</v>
      </c>
      <c r="O2346" t="str">
        <f>DO_DB[[#This Row],[SiteID]]</f>
        <v>CLR41-03-041</v>
      </c>
      <c r="P2346" t="str">
        <f>DO_DB[[#This Row],[SiteID]]&amp;"_"&amp;DO_DB[[#This Row],[Material Name]]</f>
        <v>CLR41-03-041_FAT-16</v>
      </c>
      <c r="Q2346" t="str">
        <f>DO_DB[[#This Row],[DO Number]]</f>
        <v>DOEID240314DY</v>
      </c>
      <c r="R2346" t="str">
        <f>DO_DB[[#This Row],[DN Number]]</f>
        <v>DNWID0342024031507</v>
      </c>
    </row>
    <row r="2347" spans="1:18">
      <c r="A2347" t="s">
        <v>1365</v>
      </c>
      <c r="B2347" t="s">
        <v>1366</v>
      </c>
      <c r="C2347" t="s">
        <v>4482</v>
      </c>
      <c r="D2347" t="s">
        <v>71</v>
      </c>
      <c r="E2347" t="s">
        <v>709</v>
      </c>
      <c r="F2347" t="s">
        <v>4501</v>
      </c>
      <c r="G2347" t="s">
        <v>1367</v>
      </c>
      <c r="H2347" t="s">
        <v>1368</v>
      </c>
      <c r="I2347" s="130">
        <v>45415</v>
      </c>
      <c r="J2347" t="s">
        <v>3069</v>
      </c>
      <c r="K2347">
        <v>35</v>
      </c>
      <c r="M234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47" t="str">
        <f>DO_DB[[#This Row],[Material Pick-update]]&amp;"_"&amp;DO_DB[[#This Row],[Material Name]]</f>
        <v>45415_Pole 7M 4"</v>
      </c>
      <c r="O2347" t="str">
        <f>DO_DB[[#This Row],[SiteID]]</f>
        <v>CLR41-03-014</v>
      </c>
      <c r="P2347" t="str">
        <f>DO_DB[[#This Row],[SiteID]]&amp;"_"&amp;DO_DB[[#This Row],[Material Name]]</f>
        <v>CLR41-03-014_Pole 7M 4"</v>
      </c>
      <c r="Q2347" t="str">
        <f>DO_DB[[#This Row],[DO Number]]</f>
        <v>DOEID24050284</v>
      </c>
      <c r="R2347" t="str">
        <f>DO_DB[[#This Row],[DN Number]]</f>
        <v>DNWID0362024050206</v>
      </c>
    </row>
    <row r="2348" spans="1:18">
      <c r="A2348" t="s">
        <v>1365</v>
      </c>
      <c r="B2348" t="s">
        <v>1366</v>
      </c>
      <c r="C2348" t="s">
        <v>4482</v>
      </c>
      <c r="D2348" t="s">
        <v>71</v>
      </c>
      <c r="E2348" t="s">
        <v>709</v>
      </c>
      <c r="F2348" t="s">
        <v>4501</v>
      </c>
      <c r="G2348" t="s">
        <v>1367</v>
      </c>
      <c r="H2348" t="s">
        <v>1368</v>
      </c>
      <c r="I2348" s="130">
        <v>45415</v>
      </c>
      <c r="J2348" t="s">
        <v>3070</v>
      </c>
      <c r="K2348">
        <v>7</v>
      </c>
      <c r="M234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48" t="str">
        <f>DO_DB[[#This Row],[Material Pick-update]]&amp;"_"&amp;DO_DB[[#This Row],[Material Name]]</f>
        <v>45415_Pole 7M 3"</v>
      </c>
      <c r="O2348" t="str">
        <f>DO_DB[[#This Row],[SiteID]]</f>
        <v>CLR41-03-014</v>
      </c>
      <c r="P2348" t="str">
        <f>DO_DB[[#This Row],[SiteID]]&amp;"_"&amp;DO_DB[[#This Row],[Material Name]]</f>
        <v>CLR41-03-014_Pole 7M 3"</v>
      </c>
      <c r="Q2348" t="str">
        <f>DO_DB[[#This Row],[DO Number]]</f>
        <v>DOEID24050284</v>
      </c>
      <c r="R2348" t="str">
        <f>DO_DB[[#This Row],[DN Number]]</f>
        <v>DNWID0362024050206</v>
      </c>
    </row>
    <row r="2349" spans="1:18">
      <c r="A2349" t="s">
        <v>1365</v>
      </c>
      <c r="B2349" t="s">
        <v>1366</v>
      </c>
      <c r="C2349" t="s">
        <v>4482</v>
      </c>
      <c r="D2349" t="s">
        <v>71</v>
      </c>
      <c r="E2349" t="s">
        <v>709</v>
      </c>
      <c r="F2349" t="s">
        <v>4501</v>
      </c>
      <c r="G2349" t="s">
        <v>1367</v>
      </c>
      <c r="H2349" t="s">
        <v>1368</v>
      </c>
      <c r="I2349" s="130">
        <v>45415</v>
      </c>
      <c r="J2349" t="s">
        <v>3071</v>
      </c>
      <c r="K2349">
        <v>3</v>
      </c>
      <c r="M234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49" t="str">
        <f>DO_DB[[#This Row],[Material Pick-update]]&amp;"_"&amp;DO_DB[[#This Row],[Material Name]]</f>
        <v>45415_Pole 9M</v>
      </c>
      <c r="O2349" t="str">
        <f>DO_DB[[#This Row],[SiteID]]</f>
        <v>CLR41-03-014</v>
      </c>
      <c r="P2349" t="str">
        <f>DO_DB[[#This Row],[SiteID]]&amp;"_"&amp;DO_DB[[#This Row],[Material Name]]</f>
        <v>CLR41-03-014_Pole 9M</v>
      </c>
      <c r="Q2349" t="str">
        <f>DO_DB[[#This Row],[DO Number]]</f>
        <v>DOEID24050284</v>
      </c>
      <c r="R2349" t="str">
        <f>DO_DB[[#This Row],[DN Number]]</f>
        <v>DNWID0362024050206</v>
      </c>
    </row>
    <row r="2350" spans="1:18">
      <c r="A2350" t="s">
        <v>1365</v>
      </c>
      <c r="B2350" t="s">
        <v>1366</v>
      </c>
      <c r="C2350" t="s">
        <v>4482</v>
      </c>
      <c r="D2350" t="s">
        <v>71</v>
      </c>
      <c r="E2350" t="s">
        <v>709</v>
      </c>
      <c r="F2350" t="s">
        <v>4501</v>
      </c>
      <c r="G2350" t="s">
        <v>1371</v>
      </c>
      <c r="H2350" t="s">
        <v>1372</v>
      </c>
      <c r="I2350" s="130">
        <v>45415</v>
      </c>
      <c r="J2350" t="s">
        <v>14</v>
      </c>
      <c r="K2350">
        <v>1</v>
      </c>
      <c r="M2350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50" t="str">
        <f>DO_DB[[#This Row],[Material Pick-update]]&amp;"_"&amp;DO_DB[[#This Row],[Material Name]]</f>
        <v>45415_FDT-48</v>
      </c>
      <c r="O2350" t="str">
        <f>DO_DB[[#This Row],[SiteID]]</f>
        <v>CLR41-03-014</v>
      </c>
      <c r="P2350" t="str">
        <f>DO_DB[[#This Row],[SiteID]]&amp;"_"&amp;DO_DB[[#This Row],[Material Name]]</f>
        <v>CLR41-03-014_FDT-48</v>
      </c>
      <c r="Q2350" t="str">
        <f>DO_DB[[#This Row],[DO Number]]</f>
        <v>DOEID24050285</v>
      </c>
      <c r="R2350" t="str">
        <f>DO_DB[[#This Row],[DN Number]]</f>
        <v>DNWID0342024050204</v>
      </c>
    </row>
    <row r="2351" spans="1:18">
      <c r="A2351" t="s">
        <v>1365</v>
      </c>
      <c r="B2351" t="s">
        <v>1366</v>
      </c>
      <c r="C2351" t="s">
        <v>4482</v>
      </c>
      <c r="D2351" t="s">
        <v>71</v>
      </c>
      <c r="E2351" t="s">
        <v>709</v>
      </c>
      <c r="F2351" t="s">
        <v>4501</v>
      </c>
      <c r="G2351" t="s">
        <v>1371</v>
      </c>
      <c r="H2351" t="s">
        <v>1372</v>
      </c>
      <c r="I2351" s="130">
        <v>45415</v>
      </c>
      <c r="J2351" s="195" t="s">
        <v>13</v>
      </c>
      <c r="K2351" s="199">
        <v>17</v>
      </c>
      <c r="M2351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51" t="str">
        <f>DO_DB[[#This Row],[Material Pick-update]]&amp;"_"&amp;DO_DB[[#This Row],[Material Name]]</f>
        <v>45415_FAT-16</v>
      </c>
      <c r="O2351" t="str">
        <f>DO_DB[[#This Row],[SiteID]]</f>
        <v>CLR41-03-014</v>
      </c>
      <c r="P2351" t="str">
        <f>DO_DB[[#This Row],[SiteID]]&amp;"_"&amp;DO_DB[[#This Row],[Material Name]]</f>
        <v>CLR41-03-014_FAT-16</v>
      </c>
      <c r="Q2351" t="str">
        <f>DO_DB[[#This Row],[DO Number]]</f>
        <v>DOEID24050285</v>
      </c>
      <c r="R2351" t="str">
        <f>DO_DB[[#This Row],[DN Number]]</f>
        <v>DNWID0342024050204</v>
      </c>
    </row>
    <row r="2352" spans="1:18">
      <c r="A2352" t="s">
        <v>1365</v>
      </c>
      <c r="B2352" t="s">
        <v>1366</v>
      </c>
      <c r="C2352" t="s">
        <v>4482</v>
      </c>
      <c r="D2352" t="s">
        <v>71</v>
      </c>
      <c r="E2352" t="s">
        <v>709</v>
      </c>
      <c r="F2352" t="s">
        <v>4501</v>
      </c>
      <c r="G2352" t="s">
        <v>1371</v>
      </c>
      <c r="H2352" t="s">
        <v>1372</v>
      </c>
      <c r="I2352" s="130">
        <v>45415</v>
      </c>
      <c r="J2352" s="195" t="s">
        <v>3080</v>
      </c>
      <c r="K2352">
        <v>3</v>
      </c>
      <c r="M235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52" t="str">
        <f>DO_DB[[#This Row],[Material Pick-update]]&amp;"_"&amp;DO_DB[[#This Row],[Material Name]]</f>
        <v>45415_1:8 SPL for FDT-AE &amp; UG</v>
      </c>
      <c r="O2352" t="str">
        <f>DO_DB[[#This Row],[SiteID]]</f>
        <v>CLR41-03-014</v>
      </c>
      <c r="P2352" t="str">
        <f>DO_DB[[#This Row],[SiteID]]&amp;"_"&amp;DO_DB[[#This Row],[Material Name]]</f>
        <v>CLR41-03-014_1:8 SPL for FDT-AE &amp; UG</v>
      </c>
      <c r="Q2352" t="str">
        <f>DO_DB[[#This Row],[DO Number]]</f>
        <v>DOEID24050285</v>
      </c>
      <c r="R2352" t="str">
        <f>DO_DB[[#This Row],[DN Number]]</f>
        <v>DNWID0342024050204</v>
      </c>
    </row>
    <row r="2353" spans="1:18">
      <c r="A2353" t="s">
        <v>1359</v>
      </c>
      <c r="B2353" t="s">
        <v>1360</v>
      </c>
      <c r="C2353" t="s">
        <v>4482</v>
      </c>
      <c r="D2353" t="s">
        <v>71</v>
      </c>
      <c r="E2353" t="s">
        <v>709</v>
      </c>
      <c r="F2353" t="s">
        <v>4501</v>
      </c>
      <c r="G2353" t="s">
        <v>1361</v>
      </c>
      <c r="H2353" t="s">
        <v>1362</v>
      </c>
      <c r="I2353" s="130">
        <v>45415</v>
      </c>
      <c r="J2353" t="s">
        <v>3069</v>
      </c>
      <c r="K2353">
        <v>25</v>
      </c>
      <c r="M2353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53" t="str">
        <f>DO_DB[[#This Row],[Material Pick-update]]&amp;"_"&amp;DO_DB[[#This Row],[Material Name]]</f>
        <v>45415_Pole 7M 4"</v>
      </c>
      <c r="O2353" t="str">
        <f>DO_DB[[#This Row],[SiteID]]</f>
        <v>CLR41-03-017</v>
      </c>
      <c r="P2353" t="str">
        <f>DO_DB[[#This Row],[SiteID]]&amp;"_"&amp;DO_DB[[#This Row],[Material Name]]</f>
        <v>CLR41-03-017_Pole 7M 4"</v>
      </c>
      <c r="Q2353" t="str">
        <f>DO_DB[[#This Row],[DO Number]]</f>
        <v>DOEID24050286</v>
      </c>
      <c r="R2353" t="str">
        <f>DO_DB[[#This Row],[DN Number]]</f>
        <v>DNWID0362024050207</v>
      </c>
    </row>
    <row r="2354" spans="1:18">
      <c r="A2354" t="s">
        <v>1359</v>
      </c>
      <c r="B2354" t="s">
        <v>1360</v>
      </c>
      <c r="C2354" t="s">
        <v>4482</v>
      </c>
      <c r="D2354" t="s">
        <v>71</v>
      </c>
      <c r="E2354" t="s">
        <v>709</v>
      </c>
      <c r="F2354" t="s">
        <v>4501</v>
      </c>
      <c r="G2354" t="s">
        <v>1361</v>
      </c>
      <c r="H2354" t="s">
        <v>1362</v>
      </c>
      <c r="I2354" s="130">
        <v>45415</v>
      </c>
      <c r="J2354" t="s">
        <v>3070</v>
      </c>
      <c r="K2354">
        <v>3</v>
      </c>
      <c r="M2354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54" t="str">
        <f>DO_DB[[#This Row],[Material Pick-update]]&amp;"_"&amp;DO_DB[[#This Row],[Material Name]]</f>
        <v>45415_Pole 7M 3"</v>
      </c>
      <c r="O2354" t="str">
        <f>DO_DB[[#This Row],[SiteID]]</f>
        <v>CLR41-03-017</v>
      </c>
      <c r="P2354" t="str">
        <f>DO_DB[[#This Row],[SiteID]]&amp;"_"&amp;DO_DB[[#This Row],[Material Name]]</f>
        <v>CLR41-03-017_Pole 7M 3"</v>
      </c>
      <c r="Q2354" t="str">
        <f>DO_DB[[#This Row],[DO Number]]</f>
        <v>DOEID24050286</v>
      </c>
      <c r="R2354" t="str">
        <f>DO_DB[[#This Row],[DN Number]]</f>
        <v>DNWID0362024050207</v>
      </c>
    </row>
    <row r="2355" spans="1:18">
      <c r="A2355" t="s">
        <v>1359</v>
      </c>
      <c r="B2355" t="s">
        <v>1360</v>
      </c>
      <c r="C2355" t="s">
        <v>4482</v>
      </c>
      <c r="D2355" t="s">
        <v>71</v>
      </c>
      <c r="E2355" t="s">
        <v>709</v>
      </c>
      <c r="F2355" t="s">
        <v>4501</v>
      </c>
      <c r="G2355" t="s">
        <v>1369</v>
      </c>
      <c r="H2355" t="s">
        <v>1370</v>
      </c>
      <c r="I2355" s="130">
        <v>45415</v>
      </c>
      <c r="J2355" t="s">
        <v>14</v>
      </c>
      <c r="K2355">
        <v>1</v>
      </c>
      <c r="M2355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55" t="str">
        <f>DO_DB[[#This Row],[Material Pick-update]]&amp;"_"&amp;DO_DB[[#This Row],[Material Name]]</f>
        <v>45415_FDT-48</v>
      </c>
      <c r="O2355" t="str">
        <f>DO_DB[[#This Row],[SiteID]]</f>
        <v>CLR41-03-017</v>
      </c>
      <c r="P2355" t="str">
        <f>DO_DB[[#This Row],[SiteID]]&amp;"_"&amp;DO_DB[[#This Row],[Material Name]]</f>
        <v>CLR41-03-017_FDT-48</v>
      </c>
      <c r="Q2355" t="str">
        <f>DO_DB[[#This Row],[DO Number]]</f>
        <v>DOEID24050287</v>
      </c>
      <c r="R2355" t="str">
        <f>DO_DB[[#This Row],[DN Number]]</f>
        <v>DNWID0242024050205</v>
      </c>
    </row>
    <row r="2356" spans="1:18">
      <c r="A2356" t="s">
        <v>1359</v>
      </c>
      <c r="B2356" t="s">
        <v>1360</v>
      </c>
      <c r="C2356" t="s">
        <v>4482</v>
      </c>
      <c r="D2356" t="s">
        <v>71</v>
      </c>
      <c r="E2356" t="s">
        <v>709</v>
      </c>
      <c r="F2356" t="s">
        <v>4501</v>
      </c>
      <c r="G2356" t="s">
        <v>1369</v>
      </c>
      <c r="H2356" t="s">
        <v>1370</v>
      </c>
      <c r="I2356" s="130">
        <v>45415</v>
      </c>
      <c r="J2356" t="s">
        <v>13</v>
      </c>
      <c r="K2356">
        <v>12</v>
      </c>
      <c r="M2356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56" t="str">
        <f>DO_DB[[#This Row],[Material Pick-update]]&amp;"_"&amp;DO_DB[[#This Row],[Material Name]]</f>
        <v>45415_FAT-16</v>
      </c>
      <c r="O2356" t="str">
        <f>DO_DB[[#This Row],[SiteID]]</f>
        <v>CLR41-03-017</v>
      </c>
      <c r="P2356" t="str">
        <f>DO_DB[[#This Row],[SiteID]]&amp;"_"&amp;DO_DB[[#This Row],[Material Name]]</f>
        <v>CLR41-03-017_FAT-16</v>
      </c>
      <c r="Q2356" t="str">
        <f>DO_DB[[#This Row],[DO Number]]</f>
        <v>DOEID24050287</v>
      </c>
      <c r="R2356" t="str">
        <f>DO_DB[[#This Row],[DN Number]]</f>
        <v>DNWID0242024050205</v>
      </c>
    </row>
    <row r="2357" spans="1:18">
      <c r="A2357" t="s">
        <v>1359</v>
      </c>
      <c r="B2357" t="s">
        <v>1360</v>
      </c>
      <c r="C2357" t="s">
        <v>4482</v>
      </c>
      <c r="D2357" t="s">
        <v>71</v>
      </c>
      <c r="E2357" t="s">
        <v>709</v>
      </c>
      <c r="F2357" t="s">
        <v>4501</v>
      </c>
      <c r="G2357" t="s">
        <v>1369</v>
      </c>
      <c r="H2357" t="s">
        <v>1370</v>
      </c>
      <c r="I2357" s="130">
        <v>45415</v>
      </c>
      <c r="J2357" t="s">
        <v>3080</v>
      </c>
      <c r="K2357">
        <v>3</v>
      </c>
      <c r="M2357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57" t="str">
        <f>DO_DB[[#This Row],[Material Pick-update]]&amp;"_"&amp;DO_DB[[#This Row],[Material Name]]</f>
        <v>45415_1:8 SPL for FDT-AE &amp; UG</v>
      </c>
      <c r="O2357" t="str">
        <f>DO_DB[[#This Row],[SiteID]]</f>
        <v>CLR41-03-017</v>
      </c>
      <c r="P2357" t="str">
        <f>DO_DB[[#This Row],[SiteID]]&amp;"_"&amp;DO_DB[[#This Row],[Material Name]]</f>
        <v>CLR41-03-017_1:8 SPL for FDT-AE &amp; UG</v>
      </c>
      <c r="Q2357" t="str">
        <f>DO_DB[[#This Row],[DO Number]]</f>
        <v>DOEID24050287</v>
      </c>
      <c r="R2357" t="str">
        <f>DO_DB[[#This Row],[DN Number]]</f>
        <v>DNWID0242024050205</v>
      </c>
    </row>
    <row r="2358" spans="1:18">
      <c r="A2358" t="s">
        <v>712</v>
      </c>
      <c r="B2358" t="s">
        <v>713</v>
      </c>
      <c r="C2358" t="s">
        <v>4482</v>
      </c>
      <c r="D2358" t="s">
        <v>71</v>
      </c>
      <c r="E2358" t="s">
        <v>709</v>
      </c>
      <c r="F2358" t="s">
        <v>4501</v>
      </c>
      <c r="G2358" t="s">
        <v>1363</v>
      </c>
      <c r="H2358" t="s">
        <v>1364</v>
      </c>
      <c r="I2358" s="130">
        <v>45415</v>
      </c>
      <c r="J2358" s="172" t="s">
        <v>3069</v>
      </c>
      <c r="K2358" s="172">
        <v>100</v>
      </c>
      <c r="M2358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/>
      </c>
      <c r="N2358" t="str">
        <f>DO_DB[[#This Row],[Material Pick-update]]&amp;"_"&amp;DO_DB[[#This Row],[Material Name]]</f>
        <v>45415_Pole 7M 4"</v>
      </c>
      <c r="O2358" t="str">
        <f>DO_DB[[#This Row],[SiteID]]</f>
        <v>CLR41-99-015</v>
      </c>
      <c r="P2358" t="str">
        <f>DO_DB[[#This Row],[SiteID]]&amp;"_"&amp;DO_DB[[#This Row],[Material Name]]</f>
        <v>CLR41-99-015_Pole 7M 4"</v>
      </c>
      <c r="Q2358" t="str">
        <f>DO_DB[[#This Row],[DO Number]]</f>
        <v>DOEID240502AO</v>
      </c>
      <c r="R2358" t="str">
        <f>DO_DB[[#This Row],[DN Number]]</f>
        <v>DNWID0362024050213</v>
      </c>
    </row>
    <row r="2359" spans="1:18">
      <c r="A2359" t="s">
        <v>1365</v>
      </c>
      <c r="B2359" t="s">
        <v>1366</v>
      </c>
      <c r="C2359" t="s">
        <v>4482</v>
      </c>
      <c r="D2359" t="s">
        <v>71</v>
      </c>
      <c r="E2359" t="s">
        <v>709</v>
      </c>
      <c r="F2359" t="s">
        <v>4501</v>
      </c>
      <c r="G2359" t="s">
        <v>1371</v>
      </c>
      <c r="H2359" t="s">
        <v>1372</v>
      </c>
      <c r="I2359" s="130">
        <v>45415</v>
      </c>
      <c r="J2359" s="172" t="s">
        <v>3073</v>
      </c>
      <c r="K2359" s="172">
        <v>3000</v>
      </c>
      <c r="M2359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24C-202453-01</v>
      </c>
      <c r="N2359" t="str">
        <f>DO_DB[[#This Row],[Material Pick-update]]&amp;"_"&amp;DO_DB[[#This Row],[Material Name]]</f>
        <v>45415_ADSS 24C</v>
      </c>
      <c r="O2359" t="str">
        <f>DO_DB[[#This Row],[SiteID]]</f>
        <v>CLR41-03-014</v>
      </c>
      <c r="P2359" t="str">
        <f>DO_DB[[#This Row],[SiteID]]&amp;"_"&amp;DO_DB[[#This Row],[Material Name]]</f>
        <v>CLR41-03-014_ADSS 24C</v>
      </c>
      <c r="Q2359" t="str">
        <f>DO_DB[[#This Row],[DO Number]]</f>
        <v>DOEID24050285</v>
      </c>
      <c r="R2359" t="str">
        <f>DO_DB[[#This Row],[DN Number]]</f>
        <v>DNWID0342024050204</v>
      </c>
    </row>
    <row r="2360" spans="1:18">
      <c r="A2360" t="s">
        <v>5352</v>
      </c>
      <c r="B2360" t="s">
        <v>5353</v>
      </c>
      <c r="C2360" s="172" t="s">
        <v>4482</v>
      </c>
      <c r="D2360" t="s">
        <v>67</v>
      </c>
      <c r="E2360" t="s">
        <v>24</v>
      </c>
      <c r="F2360" t="s">
        <v>3295</v>
      </c>
      <c r="G2360" t="s">
        <v>5350</v>
      </c>
      <c r="H2360" t="s">
        <v>5351</v>
      </c>
      <c r="I2360" s="130">
        <v>46220</v>
      </c>
      <c r="J2360" t="s">
        <v>3070</v>
      </c>
      <c r="K2360">
        <v>14</v>
      </c>
      <c r="N2360" t="str">
        <f>DO_DB[[#This Row],[Material Pick-update]]&amp;"_"&amp;DO_DB[[#This Row],[Material Name]]</f>
        <v>46220_Pole 7M 3"</v>
      </c>
      <c r="O2360" t="str">
        <f>DO_DB[[#This Row],[SiteID]]</f>
        <v>CLR51-99-659</v>
      </c>
      <c r="P2360" t="str">
        <f>DO_DB[[#This Row],[SiteID]]&amp;"_"&amp;DO_DB[[#This Row],[Material Name]]</f>
        <v>CLR51-99-659_Pole 7M 3"</v>
      </c>
      <c r="Q2360" t="str">
        <f>DO_DB[[#This Row],[DO Number]]</f>
        <v>DOEID260716DT</v>
      </c>
      <c r="R2360" t="str">
        <f>DO_DB[[#This Row],[DN Number]]</f>
        <v>DNWID0362026071620</v>
      </c>
    </row>
    <row r="2361" spans="1:18">
      <c r="A2361" t="s">
        <v>5352</v>
      </c>
      <c r="B2361" t="s">
        <v>5353</v>
      </c>
      <c r="C2361" s="172" t="s">
        <v>4482</v>
      </c>
      <c r="D2361" t="s">
        <v>67</v>
      </c>
      <c r="E2361" t="s">
        <v>24</v>
      </c>
      <c r="F2361" t="s">
        <v>3295</v>
      </c>
      <c r="G2361" t="s">
        <v>5350</v>
      </c>
      <c r="H2361" t="s">
        <v>5351</v>
      </c>
      <c r="I2361" s="130">
        <v>46220</v>
      </c>
      <c r="J2361" t="s">
        <v>4731</v>
      </c>
      <c r="K2361">
        <v>7</v>
      </c>
      <c r="N2361" t="str">
        <f>DO_DB[[#This Row],[Material Pick-update]]&amp;"_"&amp;DO_DB[[#This Row],[Material Name]]</f>
        <v>46220_Pole 7M 2.5"</v>
      </c>
      <c r="O2361" t="str">
        <f>DO_DB[[#This Row],[SiteID]]</f>
        <v>CLR51-99-659</v>
      </c>
      <c r="P2361" t="str">
        <f>DO_DB[[#This Row],[SiteID]]&amp;"_"&amp;DO_DB[[#This Row],[Material Name]]</f>
        <v>CLR51-99-659_Pole 7M 2.5"</v>
      </c>
      <c r="Q2361" t="str">
        <f>DO_DB[[#This Row],[DO Number]]</f>
        <v>DOEID260716DT</v>
      </c>
      <c r="R2361" t="str">
        <f>DO_DB[[#This Row],[DN Number]]</f>
        <v>DNWID0362026071620</v>
      </c>
    </row>
    <row r="2362" spans="1:18">
      <c r="A2362" t="s">
        <v>5352</v>
      </c>
      <c r="B2362" t="s">
        <v>5353</v>
      </c>
      <c r="C2362" s="172" t="s">
        <v>4482</v>
      </c>
      <c r="D2362" t="s">
        <v>67</v>
      </c>
      <c r="E2362" t="s">
        <v>24</v>
      </c>
      <c r="F2362" t="s">
        <v>3295</v>
      </c>
      <c r="G2362" t="s">
        <v>5350</v>
      </c>
      <c r="H2362" t="s">
        <v>5351</v>
      </c>
      <c r="I2362" s="130">
        <v>46220</v>
      </c>
      <c r="J2362" s="172" t="s">
        <v>3073</v>
      </c>
      <c r="K2362" s="172">
        <v>3000</v>
      </c>
      <c r="M2362" t="str">
        <f>IF(LEFT(DO_DB[[#This Row],[Material Name]],4)="ADSS","H-"&amp;DO_DB[[#This Row],[Material Name]]&amp;"-"&amp;YEAR(DO_DB[[#This Row],[Material Pick-update]])&amp;MONTH(DO_DB[[#This Row],[Material Pick-update]])&amp;DAY(DO_DB[[#This Row],[Material Pick-update]])&amp;"-01","")</f>
        <v>H-ADSS 24C-2026717-01</v>
      </c>
      <c r="N2362" t="str">
        <f>DO_DB[[#This Row],[Material Pick-update]]&amp;"_"&amp;DO_DB[[#This Row],[Material Name]]</f>
        <v>46220_ADSS 24C</v>
      </c>
      <c r="O2362" t="str">
        <f>DO_DB[[#This Row],[SiteID]]</f>
        <v>CLR51-99-659</v>
      </c>
      <c r="P2362" t="str">
        <f>DO_DB[[#This Row],[SiteID]]&amp;"_"&amp;DO_DB[[#This Row],[Material Name]]</f>
        <v>CLR51-99-659_ADSS 24C</v>
      </c>
      <c r="Q2362" t="str">
        <f>DO_DB[[#This Row],[DO Number]]</f>
        <v>DOEID260716DT</v>
      </c>
      <c r="R2362" t="str">
        <f>DO_DB[[#This Row],[DN Number]]</f>
        <v>DNWID0362026071620</v>
      </c>
    </row>
    <row r="2363" spans="1:18">
      <c r="A2363" t="s">
        <v>5352</v>
      </c>
      <c r="B2363" t="s">
        <v>5353</v>
      </c>
      <c r="C2363" s="172" t="s">
        <v>4482</v>
      </c>
      <c r="D2363" t="s">
        <v>67</v>
      </c>
      <c r="E2363" t="s">
        <v>24</v>
      </c>
      <c r="F2363" t="s">
        <v>3295</v>
      </c>
      <c r="G2363" t="s">
        <v>5350</v>
      </c>
      <c r="H2363" t="s">
        <v>5351</v>
      </c>
      <c r="I2363" s="130">
        <v>46220</v>
      </c>
      <c r="J2363" t="s">
        <v>14</v>
      </c>
      <c r="K2363">
        <v>1</v>
      </c>
      <c r="N2363" t="str">
        <f>DO_DB[[#This Row],[Material Pick-update]]&amp;"_"&amp;DO_DB[[#This Row],[Material Name]]</f>
        <v>46220_FDT-48</v>
      </c>
      <c r="O2363" t="str">
        <f>DO_DB[[#This Row],[SiteID]]</f>
        <v>CLR51-99-659</v>
      </c>
      <c r="P2363" t="str">
        <f>DO_DB[[#This Row],[SiteID]]&amp;"_"&amp;DO_DB[[#This Row],[Material Name]]</f>
        <v>CLR51-99-659_FDT-48</v>
      </c>
      <c r="Q2363" t="str">
        <f>DO_DB[[#This Row],[DO Number]]</f>
        <v>DOEID260716DT</v>
      </c>
      <c r="R2363" t="str">
        <f>DO_DB[[#This Row],[DN Number]]</f>
        <v>DNWID0362026071620</v>
      </c>
    </row>
    <row r="2364" spans="1:18">
      <c r="A2364" t="s">
        <v>5352</v>
      </c>
      <c r="B2364" t="s">
        <v>5353</v>
      </c>
      <c r="C2364" s="172" t="s">
        <v>4482</v>
      </c>
      <c r="D2364" t="s">
        <v>67</v>
      </c>
      <c r="E2364" t="s">
        <v>24</v>
      </c>
      <c r="F2364" t="s">
        <v>3295</v>
      </c>
      <c r="G2364" t="s">
        <v>5350</v>
      </c>
      <c r="H2364" t="s">
        <v>5351</v>
      </c>
      <c r="I2364" s="130">
        <v>46220</v>
      </c>
      <c r="J2364" t="s">
        <v>13</v>
      </c>
      <c r="K2364">
        <v>13</v>
      </c>
      <c r="N2364" t="str">
        <f>DO_DB[[#This Row],[Material Pick-update]]&amp;"_"&amp;DO_DB[[#This Row],[Material Name]]</f>
        <v>46220_FAT-16</v>
      </c>
      <c r="O2364" t="str">
        <f>DO_DB[[#This Row],[SiteID]]</f>
        <v>CLR51-99-659</v>
      </c>
      <c r="P2364" t="str">
        <f>DO_DB[[#This Row],[SiteID]]&amp;"_"&amp;DO_DB[[#This Row],[Material Name]]</f>
        <v>CLR51-99-659_FAT-16</v>
      </c>
      <c r="Q2364" t="str">
        <f>DO_DB[[#This Row],[DO Number]]</f>
        <v>DOEID260716DT</v>
      </c>
      <c r="R2364" t="str">
        <f>DO_DB[[#This Row],[DN Number]]</f>
        <v>DNWID0362026071620</v>
      </c>
    </row>
    <row r="2365" spans="1:18" ht="14.5">
      <c r="A2365" s="511" t="s">
        <v>5380</v>
      </c>
      <c r="B2365" s="241" t="s">
        <v>5379</v>
      </c>
      <c r="C2365" s="172" t="s">
        <v>4482</v>
      </c>
      <c r="D2365" t="s">
        <v>67</v>
      </c>
      <c r="E2365" t="s">
        <v>24</v>
      </c>
      <c r="F2365" t="s">
        <v>3295</v>
      </c>
      <c r="G2365" s="172"/>
      <c r="H2365" s="172"/>
      <c r="I2365" s="173"/>
      <c r="J2365" s="172"/>
      <c r="K2365" s="172"/>
    </row>
    <row r="2366" spans="1:18" ht="14.5">
      <c r="A2366" s="511" t="s">
        <v>5381</v>
      </c>
      <c r="B2366" s="241" t="s">
        <v>5382</v>
      </c>
      <c r="C2366" s="172" t="s">
        <v>4482</v>
      </c>
      <c r="D2366" t="s">
        <v>67</v>
      </c>
      <c r="E2366" t="s">
        <v>24</v>
      </c>
      <c r="F2366" t="s">
        <v>3295</v>
      </c>
      <c r="G2366" s="172"/>
      <c r="H2366" s="172"/>
      <c r="I2366" s="173"/>
      <c r="J2366" s="172"/>
      <c r="K2366" s="172"/>
    </row>
    <row r="2367" spans="1:18" ht="14.5">
      <c r="A2367" s="511" t="s">
        <v>5383</v>
      </c>
      <c r="B2367" s="241" t="s">
        <v>5386</v>
      </c>
      <c r="C2367" s="172" t="s">
        <v>4482</v>
      </c>
      <c r="D2367" t="s">
        <v>67</v>
      </c>
      <c r="E2367" t="s">
        <v>24</v>
      </c>
      <c r="F2367" t="s">
        <v>3295</v>
      </c>
      <c r="G2367" s="172"/>
      <c r="H2367" s="172"/>
      <c r="I2367" s="173"/>
      <c r="J2367" s="172"/>
      <c r="K2367" s="172"/>
    </row>
    <row r="2368" spans="1:18" ht="14.5">
      <c r="A2368" s="511" t="s">
        <v>5384</v>
      </c>
      <c r="B2368" s="241" t="s">
        <v>5385</v>
      </c>
      <c r="C2368" s="172" t="s">
        <v>4482</v>
      </c>
      <c r="D2368" t="s">
        <v>67</v>
      </c>
      <c r="E2368" t="s">
        <v>24</v>
      </c>
      <c r="F2368" t="s">
        <v>3295</v>
      </c>
      <c r="G2368" s="172"/>
      <c r="H2368" s="172"/>
      <c r="I2368" s="173"/>
      <c r="J2368" s="172"/>
      <c r="K2368" s="172"/>
    </row>
    <row r="2369" spans="1:11" ht="14.5">
      <c r="A2369" s="531" t="s">
        <v>5388</v>
      </c>
      <c r="B2369" s="252" t="s">
        <v>5387</v>
      </c>
      <c r="C2369" s="172" t="s">
        <v>4482</v>
      </c>
      <c r="D2369" t="s">
        <v>67</v>
      </c>
      <c r="E2369" t="s">
        <v>24</v>
      </c>
      <c r="F2369" t="s">
        <v>3295</v>
      </c>
      <c r="G2369" s="172"/>
      <c r="H2369" s="172"/>
      <c r="I2369" s="173"/>
      <c r="J2369" s="172"/>
      <c r="K2369" s="172"/>
    </row>
  </sheetData>
  <phoneticPr fontId="20" type="noConversion"/>
  <conditionalFormatting sqref="F4">
    <cfRule type="duplicateValues" dxfId="312" priority="5"/>
  </conditionalFormatting>
  <conditionalFormatting sqref="G4">
    <cfRule type="duplicateValues" dxfId="311" priority="6"/>
  </conditionalFormatting>
  <conditionalFormatting sqref="H4">
    <cfRule type="duplicateValues" dxfId="310" priority="7"/>
  </conditionalFormatting>
  <conditionalFormatting sqref="I4:K4">
    <cfRule type="duplicateValues" dxfId="309" priority="4"/>
  </conditionalFormatting>
  <conditionalFormatting sqref="A2369:B2369">
    <cfRule type="duplicateValues" dxfId="308" priority="1"/>
  </conditionalFormatting>
  <conditionalFormatting sqref="A2365:A2368">
    <cfRule type="duplicateValues" dxfId="307" priority="2"/>
  </conditionalFormatting>
  <conditionalFormatting sqref="B2365:B2368">
    <cfRule type="duplicateValues" dxfId="306" priority="3"/>
  </conditionalFormatting>
  <pageMargins left="0.7" right="0.7" top="0.75" bottom="0.75" header="0.3" footer="0.3"/>
  <pageSetup paperSize="258" orientation="portrait" horizontalDpi="203" verticalDpi="203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BDCA845-58D9-4E1F-8EBA-CE87CA15FD6D}">
          <x14:formula1>
            <xm:f>Sum_WH!$E$5:$E$53</xm:f>
          </x14:formula1>
          <xm:sqref>J2321 J2299:J2301 J2327 J2312:J2314 J5:J2296 J2342 J2347 J2304 J2306:J2310 J2353:J2359 J2362:J2364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A48E9-6660-4C2A-B3C4-D829B57325FF}">
  <sheetPr codeName="Sheet11">
    <tabColor rgb="FFFFFF00"/>
  </sheetPr>
  <dimension ref="A1:AI134"/>
  <sheetViews>
    <sheetView zoomScale="70" zoomScaleNormal="70" workbookViewId="0">
      <pane xSplit="5" ySplit="4" topLeftCell="F118" activePane="bottomRight" state="frozen"/>
      <selection pane="topRight" activeCell="F1" sqref="F1"/>
      <selection pane="bottomLeft" activeCell="A5" sqref="A5"/>
      <selection pane="bottomRight" activeCell="D132" sqref="D132"/>
    </sheetView>
  </sheetViews>
  <sheetFormatPr defaultRowHeight="14"/>
  <cols>
    <col min="1" max="1" width="8.5" bestFit="1" customWidth="1"/>
    <col min="2" max="2" width="9.08203125" customWidth="1"/>
    <col min="3" max="3" width="9.1640625" customWidth="1"/>
    <col min="4" max="4" width="12.5" customWidth="1"/>
    <col min="5" max="5" width="25.08203125" customWidth="1"/>
    <col min="6" max="6" width="23.4140625" customWidth="1"/>
    <col min="7" max="7" width="11.5" customWidth="1"/>
    <col min="8" max="8" width="10.58203125" bestFit="1" customWidth="1"/>
    <col min="9" max="9" width="10.58203125" style="116" customWidth="1"/>
    <col min="10" max="12" width="10.6640625" customWidth="1"/>
    <col min="14" max="14" width="9.6640625" bestFit="1" customWidth="1"/>
    <col min="15" max="17" width="10.58203125" customWidth="1"/>
    <col min="18" max="18" width="10.6640625" customWidth="1"/>
    <col min="19" max="20" width="9.33203125" bestFit="1" customWidth="1"/>
    <col min="21" max="21" width="11.1640625" bestFit="1" customWidth="1"/>
    <col min="22" max="22" width="11.58203125" customWidth="1"/>
    <col min="23" max="23" width="18.33203125" bestFit="1" customWidth="1"/>
    <col min="32" max="32" width="18.1640625" customWidth="1"/>
  </cols>
  <sheetData>
    <row r="1" spans="1:35" ht="15.5">
      <c r="A1" s="1" t="s">
        <v>4519</v>
      </c>
      <c r="D1" s="83" t="s">
        <v>4600</v>
      </c>
      <c r="E1" s="148"/>
    </row>
    <row r="2" spans="1:35">
      <c r="D2" s="83" cm="1">
        <f t="array" ref="D2">(COUNTA(_xlfn.UNIQUE(_xlfn._xlws.FILTER(Site_DB[Site ID], --LEFT(#REF!,4)&gt;=4.02))))-1</f>
        <v>0</v>
      </c>
      <c r="J2" s="209">
        <f>SUBTOTAL(9,J5:J284)</f>
        <v>104</v>
      </c>
      <c r="K2" s="209">
        <f>SUBTOTAL(9,K5:K284)</f>
        <v>3516</v>
      </c>
      <c r="L2" s="209">
        <f>SUBTOTAL(9,L5:L284)</f>
        <v>1683</v>
      </c>
      <c r="M2" s="209">
        <f>SUBTOTAL(9,N5:N284)</f>
        <v>160440</v>
      </c>
      <c r="N2" s="209">
        <f>SUBTOTAL(9,O5:O284)</f>
        <v>142019</v>
      </c>
      <c r="O2" s="209">
        <f>SUBTOTAL(9,P5:P284)</f>
        <v>6000</v>
      </c>
      <c r="P2" s="209">
        <f>SUBTOTAL(9,Q5:Q284)</f>
        <v>36000</v>
      </c>
      <c r="Q2" s="209">
        <f>SUBTOTAL(9,R5:R284)</f>
        <v>72</v>
      </c>
      <c r="R2" s="209">
        <f>SUBTOTAL(9,S5:S284)</f>
        <v>11</v>
      </c>
      <c r="S2" s="209">
        <f>SUBTOTAL(9,T5:T284)</f>
        <v>1515</v>
      </c>
      <c r="T2" s="209">
        <f>SUBTOTAL(9,U5:U284)</f>
        <v>67</v>
      </c>
      <c r="U2" s="209">
        <f>SUBTOTAL(9,V5:V284)</f>
        <v>380</v>
      </c>
      <c r="V2" s="209">
        <f>SUBTOTAL(9,W5:W284)</f>
        <v>0</v>
      </c>
    </row>
    <row r="3" spans="1:35">
      <c r="G3" s="122"/>
      <c r="J3" s="146"/>
      <c r="K3" s="145" t="s">
        <v>4532</v>
      </c>
      <c r="L3" s="146"/>
      <c r="M3" s="146"/>
      <c r="N3" s="146"/>
      <c r="O3" s="146"/>
      <c r="P3" s="146"/>
      <c r="Q3" s="146"/>
      <c r="R3" s="146"/>
      <c r="S3" s="146"/>
      <c r="T3" s="146"/>
      <c r="U3" s="146"/>
      <c r="V3" s="147"/>
    </row>
    <row r="4" spans="1:35" s="523" customFormat="1" ht="47.4" customHeight="1">
      <c r="A4" s="514" t="s">
        <v>4533</v>
      </c>
      <c r="B4" s="515" t="s">
        <v>4534</v>
      </c>
      <c r="C4" s="515" t="s">
        <v>62</v>
      </c>
      <c r="D4" s="515" t="s">
        <v>4535</v>
      </c>
      <c r="E4" s="515" t="s">
        <v>4536</v>
      </c>
      <c r="F4" s="515" t="s">
        <v>4537</v>
      </c>
      <c r="G4" s="515" t="s">
        <v>4538</v>
      </c>
      <c r="H4" s="515" t="s">
        <v>4539</v>
      </c>
      <c r="I4" s="516" t="s">
        <v>5344</v>
      </c>
      <c r="J4" s="517" t="s">
        <v>4731</v>
      </c>
      <c r="K4" s="517" t="s">
        <v>3069</v>
      </c>
      <c r="L4" s="517" t="s">
        <v>4527</v>
      </c>
      <c r="M4" s="517" t="s">
        <v>4528</v>
      </c>
      <c r="N4" s="517" t="s">
        <v>4529</v>
      </c>
      <c r="O4" s="517" t="s">
        <v>4530</v>
      </c>
      <c r="P4" s="517" t="s">
        <v>4531</v>
      </c>
      <c r="Q4" s="517" t="s">
        <v>4540</v>
      </c>
      <c r="R4" s="517" t="s">
        <v>14</v>
      </c>
      <c r="S4" s="517" t="s">
        <v>15</v>
      </c>
      <c r="T4" s="517" t="s">
        <v>13</v>
      </c>
      <c r="U4" s="517" t="s">
        <v>4541</v>
      </c>
      <c r="V4" s="518" t="s">
        <v>16</v>
      </c>
      <c r="W4" s="519" t="s">
        <v>4603</v>
      </c>
      <c r="X4" s="520" t="s">
        <v>4930</v>
      </c>
      <c r="Y4" s="521" t="s">
        <v>4934</v>
      </c>
      <c r="Z4" s="522" t="s">
        <v>3070</v>
      </c>
      <c r="AA4" s="520" t="s">
        <v>3071</v>
      </c>
      <c r="AB4" s="522" t="s">
        <v>3073</v>
      </c>
      <c r="AC4" s="520" t="s">
        <v>3075</v>
      </c>
      <c r="AD4" s="520" t="s">
        <v>3076</v>
      </c>
      <c r="AE4" s="520" t="s">
        <v>3077</v>
      </c>
      <c r="AF4" s="520" t="s">
        <v>3072</v>
      </c>
      <c r="AG4" s="520" t="s">
        <v>4931</v>
      </c>
      <c r="AH4" s="520" t="s">
        <v>4932</v>
      </c>
      <c r="AI4" s="521" t="s">
        <v>4933</v>
      </c>
    </row>
    <row r="5" spans="1:35" ht="14.5">
      <c r="A5" s="508">
        <f t="shared" ref="A5:A36" si="0">ROW()-ROW($A$4)</f>
        <v>1</v>
      </c>
      <c r="B5" s="241" t="s">
        <v>71</v>
      </c>
      <c r="C5" s="241" t="s">
        <v>24</v>
      </c>
      <c r="D5" s="241" t="s">
        <v>84</v>
      </c>
      <c r="E5" s="241" t="s">
        <v>85</v>
      </c>
      <c r="F5" s="241" t="s">
        <v>4550</v>
      </c>
      <c r="G5" s="509">
        <v>45113</v>
      </c>
      <c r="H5" s="241" t="s">
        <v>4546</v>
      </c>
      <c r="I5" s="510">
        <f>_xlfn.XLOOKUP(Site_DB[[#This Row],[Site ID]],Logfile_S[SiteID],Logfile_S[Date],"",0,1)</f>
        <v>45142</v>
      </c>
      <c r="J5" s="262">
        <f>_xlfn.IFNA(VLOOKUP(Site_DB[[#This Row],[Site ID]],SUM_DN!B:X,21,0),0)</f>
        <v>0</v>
      </c>
      <c r="K5" s="262">
        <f>SUMIFS(Logfile_S[Qty],Logfile_S[Material Name],Site_DB[[#Headers],[Pole 7M 4"]],Logfile_S[SiteID],Site_DB[[#This Row],[Site ID]],Logfile_S[Transaction  Type],"outBOUND")</f>
        <v>57</v>
      </c>
      <c r="L5" s="262">
        <f>SUMIFS(Logfile_S[Qty],Logfile_S[Material Name],Site_DB[[#Headers],[Pole 7M 3"]],Logfile_S[SiteID],Site_DB[[#This Row],[Site ID]],Logfile_S[Transaction  Type],"outBOUND")</f>
        <v>7</v>
      </c>
      <c r="M5" s="262">
        <f>SUMIFS(Logfile_S[Qty],Logfile_S[Material Name],Site_DB[[#Headers],[Pole 9M]],Logfile_S[SiteID],Site_DB[[#This Row],[Site ID]],Logfile_S[Transaction  Type],"outBOUND")</f>
        <v>1</v>
      </c>
      <c r="N5" s="262">
        <v>3000</v>
      </c>
      <c r="O5" s="262">
        <v>3000</v>
      </c>
      <c r="P5" s="262">
        <v>0</v>
      </c>
      <c r="Q5" s="262">
        <v>0</v>
      </c>
      <c r="R5" s="262">
        <v>1</v>
      </c>
      <c r="S5" s="262">
        <v>0</v>
      </c>
      <c r="T5" s="262">
        <v>16</v>
      </c>
      <c r="U5" s="262">
        <v>28</v>
      </c>
      <c r="V5" s="265">
        <v>0</v>
      </c>
      <c r="W5" s="262" t="s">
        <v>4635</v>
      </c>
      <c r="X5" s="226">
        <f>SUMIFS(Logfile_S[Qty],Logfile_S[Material Name],Site_DB[[#Headers],[Pole 7M 2.5"]],Logfile_S[SiteID],Site_DB[[#This Row],[Site ID]],Logfile_S[Transaction  Type],"outBOUND")</f>
        <v>0</v>
      </c>
      <c r="Y5" s="227">
        <f>SUMIFS(Logfile_S[Qty],Logfile_S[Material Name],Site_DB[[#Headers],[Pole 7M 4"]],Logfile_S[SiteID],Site_DB[[#This Row],[Site ID]],Logfile_S[Transaction  Type],"outBOUND")</f>
        <v>57</v>
      </c>
      <c r="Z5" s="226">
        <f>SUMIFS(Logfile_S[Qty],Logfile_S[Material Name],Site_DB[[#Headers],[Pole 7M 3"]],Logfile_S[SiteID],Site_DB[[#This Row],[Site ID]],Logfile_S[Transaction  Type],"outBOUND")</f>
        <v>7</v>
      </c>
      <c r="AA5" s="226">
        <f>SUMIFS(Logfile_S[Qty],Logfile_S[Material Name],Site_DB[[#Headers],[Pole 9M]],Logfile_S[SiteID],Site_DB[[#This Row],[Site ID]],Logfile_S[Transaction  Type],"outBOUND")</f>
        <v>1</v>
      </c>
      <c r="AB5" s="227"/>
      <c r="AC5" s="227"/>
      <c r="AD5" s="227"/>
      <c r="AE5" s="227"/>
      <c r="AF5" s="226"/>
      <c r="AG5" s="226"/>
      <c r="AH5" s="226"/>
      <c r="AI5" s="226"/>
    </row>
    <row r="6" spans="1:35" ht="14.5">
      <c r="A6" s="508">
        <f t="shared" si="0"/>
        <v>2</v>
      </c>
      <c r="B6" s="241" t="s">
        <v>71</v>
      </c>
      <c r="C6" s="241" t="s">
        <v>24</v>
      </c>
      <c r="D6" s="241" t="s">
        <v>180</v>
      </c>
      <c r="E6" s="241" t="s">
        <v>181</v>
      </c>
      <c r="F6" s="241" t="s">
        <v>4565</v>
      </c>
      <c r="G6" s="509">
        <v>45118</v>
      </c>
      <c r="H6" s="241" t="s">
        <v>4546</v>
      </c>
      <c r="I6" s="510">
        <f>_xlfn.XLOOKUP(Site_DB[[#This Row],[Site ID]],Logfile_S[SiteID],Logfile_S[Date],"",0,1)</f>
        <v>45188</v>
      </c>
      <c r="J6" s="262">
        <f>_xlfn.IFNA(VLOOKUP(Site_DB[[#This Row],[Site ID]],SUM_DN!B:X,21,0),0)</f>
        <v>0</v>
      </c>
      <c r="K6" s="262">
        <f>SUMIFS(Logfile_S[Qty],Logfile_S[Material Name],Site_DB[[#Headers],[Pole 7M 4"]],Logfile_S[SiteID],Site_DB[[#This Row],[Site ID]],Logfile_S[Transaction  Type],"outBOUND")</f>
        <v>17</v>
      </c>
      <c r="L6" s="262">
        <f>SUMIFS(Logfile_S[Qty],Logfile_S[Material Name],Site_DB[[#Headers],[Pole 7M 3"]],Logfile_S[SiteID],Site_DB[[#This Row],[Site ID]],Logfile_S[Transaction  Type],"outBOUND")</f>
        <v>4</v>
      </c>
      <c r="M6" s="262">
        <f>SUMIFS(Logfile_S[Qty],Logfile_S[Material Name],Site_DB[[#Headers],[Pole 9M]],Logfile_S[SiteID],Site_DB[[#This Row],[Site ID]],Logfile_S[Transaction  Type],"outBOUND")</f>
        <v>6</v>
      </c>
      <c r="N6" s="262">
        <v>3000</v>
      </c>
      <c r="O6" s="262">
        <v>0</v>
      </c>
      <c r="P6" s="262">
        <v>0</v>
      </c>
      <c r="Q6" s="262">
        <v>0</v>
      </c>
      <c r="R6" s="262">
        <v>1</v>
      </c>
      <c r="S6" s="262">
        <v>0</v>
      </c>
      <c r="T6" s="262">
        <v>11</v>
      </c>
      <c r="U6" s="262">
        <v>0</v>
      </c>
      <c r="V6" s="265">
        <v>0</v>
      </c>
      <c r="W6" s="262" t="s">
        <v>4635</v>
      </c>
      <c r="X6" s="227">
        <f>SUMIFS(Logfile_S[Qty],Logfile_S[Material Name],Site_DB[[#Headers],[Pole 7M 2.5"]],Logfile_S[SiteID],Site_DB[[#This Row],[Site ID]],Logfile_S[Transaction  Type],"outBOUND")</f>
        <v>0</v>
      </c>
      <c r="Y6" s="227">
        <f>SUMIFS(Logfile_S[Qty],Logfile_S[Material Name],Site_DB[[#Headers],[Pole 7M 4"]],Logfile_S[SiteID],Site_DB[[#This Row],[Site ID]],Logfile_S[Transaction  Type],"outBOUND")</f>
        <v>17</v>
      </c>
      <c r="Z6" s="227">
        <f>SUMIFS(Logfile_S[Qty],Logfile_S[Material Name],Site_DB[[#Headers],[Pole 7M 3"]],Logfile_S[SiteID],Site_DB[[#This Row],[Site ID]],Logfile_S[Transaction  Type],"outBOUND")</f>
        <v>4</v>
      </c>
      <c r="AA6" s="227">
        <f>SUMIFS(Logfile_S[Qty],Logfile_S[Material Name],Site_DB[[#Headers],[Pole 9M]],Logfile_S[SiteID],Site_DB[[#This Row],[Site ID]],Logfile_S[Transaction  Type],"outBOUND")</f>
        <v>6</v>
      </c>
      <c r="AB6" s="227"/>
      <c r="AC6" s="227"/>
      <c r="AD6" s="227"/>
      <c r="AE6" s="227"/>
      <c r="AF6" s="227"/>
      <c r="AG6" s="227"/>
      <c r="AH6" s="227"/>
      <c r="AI6" s="227"/>
    </row>
    <row r="7" spans="1:35" ht="14.5">
      <c r="A7" s="508">
        <f t="shared" si="0"/>
        <v>3</v>
      </c>
      <c r="B7" s="241" t="s">
        <v>71</v>
      </c>
      <c r="C7" s="241" t="s">
        <v>24</v>
      </c>
      <c r="D7" s="241" t="s">
        <v>150</v>
      </c>
      <c r="E7" s="241" t="s">
        <v>151</v>
      </c>
      <c r="F7" s="241" t="s">
        <v>4566</v>
      </c>
      <c r="G7" s="509">
        <v>45118</v>
      </c>
      <c r="H7" s="241" t="s">
        <v>4546</v>
      </c>
      <c r="I7" s="510">
        <f>_xlfn.XLOOKUP(Site_DB[[#This Row],[Site ID]],Logfile_S[SiteID],Logfile_S[Date],"",0,1)</f>
        <v>45162</v>
      </c>
      <c r="J7" s="262">
        <f>_xlfn.IFNA(VLOOKUP(Site_DB[[#This Row],[Site ID]],SUM_DN!B:X,21,0),0)</f>
        <v>0</v>
      </c>
      <c r="K7" s="262">
        <f>SUMIFS(Logfile_S[Qty],Logfile_S[Material Name],Site_DB[[#Headers],[Pole 7M 4"]],Logfile_S[SiteID],Site_DB[[#This Row],[Site ID]],Logfile_S[Transaction  Type],"outBOUND")</f>
        <v>30</v>
      </c>
      <c r="L7" s="262">
        <f>SUMIFS(Logfile_S[Qty],Logfile_S[Material Name],Site_DB[[#Headers],[Pole 7M 3"]],Logfile_S[SiteID],Site_DB[[#This Row],[Site ID]],Logfile_S[Transaction  Type],"outBOUND")</f>
        <v>10</v>
      </c>
      <c r="M7" s="262">
        <f>SUMIFS(Logfile_S[Qty],Logfile_S[Material Name],Site_DB[[#Headers],[Pole 9M]],Logfile_S[SiteID],Site_DB[[#This Row],[Site ID]],Logfile_S[Transaction  Type],"outBOUND")</f>
        <v>4</v>
      </c>
      <c r="N7" s="262">
        <v>0</v>
      </c>
      <c r="O7" s="262">
        <v>3000</v>
      </c>
      <c r="P7" s="262">
        <v>0</v>
      </c>
      <c r="Q7" s="262">
        <v>0</v>
      </c>
      <c r="R7" s="262">
        <v>1</v>
      </c>
      <c r="S7" s="262">
        <v>0</v>
      </c>
      <c r="T7" s="262">
        <v>17</v>
      </c>
      <c r="U7" s="262">
        <v>0</v>
      </c>
      <c r="V7" s="265">
        <v>0</v>
      </c>
      <c r="W7" s="262" t="s">
        <v>4635</v>
      </c>
      <c r="X7" s="227">
        <f>SUMIFS(Logfile_S[Qty],Logfile_S[Material Name],Site_DB[[#Headers],[Pole 7M 2.5"]],Logfile_S[SiteID],Site_DB[[#This Row],[Site ID]],Logfile_S[Transaction  Type],"outBOUND")</f>
        <v>0</v>
      </c>
      <c r="Y7" s="227">
        <f>SUMIFS(Logfile_S[Qty],Logfile_S[Material Name],Site_DB[[#Headers],[Pole 7M 4"]],Logfile_S[SiteID],Site_DB[[#This Row],[Site ID]],Logfile_S[Transaction  Type],"outBOUND")</f>
        <v>30</v>
      </c>
      <c r="Z7" s="227">
        <f>SUMIFS(Logfile_S[Qty],Logfile_S[Material Name],Site_DB[[#Headers],[Pole 7M 3"]],Logfile_S[SiteID],Site_DB[[#This Row],[Site ID]],Logfile_S[Transaction  Type],"outBOUND")</f>
        <v>10</v>
      </c>
      <c r="AA7" s="227">
        <f>SUMIFS(Logfile_S[Qty],Logfile_S[Material Name],Site_DB[[#Headers],[Pole 9M]],Logfile_S[SiteID],Site_DB[[#This Row],[Site ID]],Logfile_S[Transaction  Type],"outBOUND")</f>
        <v>4</v>
      </c>
      <c r="AB7" s="227"/>
      <c r="AC7" s="227"/>
      <c r="AD7" s="227"/>
      <c r="AE7" s="227"/>
      <c r="AF7" s="227"/>
      <c r="AG7" s="227"/>
      <c r="AH7" s="227"/>
      <c r="AI7" s="227"/>
    </row>
    <row r="8" spans="1:35" ht="14.5">
      <c r="A8" s="508">
        <f t="shared" si="0"/>
        <v>4</v>
      </c>
      <c r="B8" s="241" t="s">
        <v>71</v>
      </c>
      <c r="C8" s="241" t="s">
        <v>24</v>
      </c>
      <c r="D8" s="241" t="s">
        <v>172</v>
      </c>
      <c r="E8" s="241" t="s">
        <v>173</v>
      </c>
      <c r="F8" s="241" t="s">
        <v>173</v>
      </c>
      <c r="G8" s="509">
        <v>45131</v>
      </c>
      <c r="H8" s="241" t="s">
        <v>4546</v>
      </c>
      <c r="I8" s="510">
        <f>_xlfn.XLOOKUP(Site_DB[[#This Row],[Site ID]],Logfile_S[SiteID],Logfile_S[Date],"",0,1)</f>
        <v>45185</v>
      </c>
      <c r="J8" s="262">
        <f>_xlfn.IFNA(VLOOKUP(Site_DB[[#This Row],[Site ID]],SUM_DN!B:X,21,0),0)</f>
        <v>0</v>
      </c>
      <c r="K8" s="262">
        <f>SUMIFS(Logfile_S[Qty],Logfile_S[Material Name],Site_DB[[#Headers],[Pole 7M 4"]],Logfile_S[SiteID],Site_DB[[#This Row],[Site ID]],Logfile_S[Transaction  Type],"outBOUND")</f>
        <v>24</v>
      </c>
      <c r="L8" s="262">
        <f>SUMIFS(Logfile_S[Qty],Logfile_S[Material Name],Site_DB[[#Headers],[Pole 7M 3"]],Logfile_S[SiteID],Site_DB[[#This Row],[Site ID]],Logfile_S[Transaction  Type],"outBOUND")</f>
        <v>3</v>
      </c>
      <c r="M8" s="262">
        <f>SUMIFS(Logfile_S[Qty],Logfile_S[Material Name],Site_DB[[#Headers],[Pole 9M]],Logfile_S[SiteID],Site_DB[[#This Row],[Site ID]],Logfile_S[Transaction  Type],"outBOUND")</f>
        <v>7</v>
      </c>
      <c r="N8" s="262">
        <v>0</v>
      </c>
      <c r="O8" s="262">
        <v>3000</v>
      </c>
      <c r="P8" s="262">
        <v>0</v>
      </c>
      <c r="Q8" s="262">
        <v>0</v>
      </c>
      <c r="R8" s="262">
        <v>1</v>
      </c>
      <c r="S8" s="262">
        <v>0</v>
      </c>
      <c r="T8" s="262">
        <v>16</v>
      </c>
      <c r="U8" s="262">
        <v>1</v>
      </c>
      <c r="V8" s="265">
        <v>0</v>
      </c>
      <c r="W8" s="262" t="s">
        <v>4635</v>
      </c>
      <c r="X8" s="227">
        <f>SUMIFS(Logfile_S[Qty],Logfile_S[Material Name],Site_DB[[#Headers],[Pole 7M 2.5"]],Logfile_S[SiteID],Site_DB[[#This Row],[Site ID]],Logfile_S[Transaction  Type],"outBOUND")</f>
        <v>0</v>
      </c>
      <c r="Y8" s="227">
        <f>SUMIFS(Logfile_S[Qty],Logfile_S[Material Name],Site_DB[[#Headers],[Pole 7M 4"]],Logfile_S[SiteID],Site_DB[[#This Row],[Site ID]],Logfile_S[Transaction  Type],"outBOUND")</f>
        <v>24</v>
      </c>
      <c r="Z8" s="227">
        <f>SUMIFS(Logfile_S[Qty],Logfile_S[Material Name],Site_DB[[#Headers],[Pole 7M 3"]],Logfile_S[SiteID],Site_DB[[#This Row],[Site ID]],Logfile_S[Transaction  Type],"outBOUND")</f>
        <v>3</v>
      </c>
      <c r="AA8" s="227">
        <f>SUMIFS(Logfile_S[Qty],Logfile_S[Material Name],Site_DB[[#Headers],[Pole 9M]],Logfile_S[SiteID],Site_DB[[#This Row],[Site ID]],Logfile_S[Transaction  Type],"outBOUND")</f>
        <v>7</v>
      </c>
      <c r="AB8" s="227"/>
      <c r="AC8" s="227"/>
      <c r="AD8" s="227"/>
      <c r="AE8" s="227"/>
      <c r="AF8" s="227"/>
      <c r="AG8" s="227"/>
      <c r="AH8" s="227"/>
      <c r="AI8" s="227"/>
    </row>
    <row r="9" spans="1:35" ht="14.5">
      <c r="A9" s="508">
        <f t="shared" si="0"/>
        <v>5</v>
      </c>
      <c r="B9" s="241" t="s">
        <v>71</v>
      </c>
      <c r="C9" s="241" t="s">
        <v>24</v>
      </c>
      <c r="D9" s="241" t="s">
        <v>164</v>
      </c>
      <c r="E9" s="241" t="s">
        <v>165</v>
      </c>
      <c r="F9" s="241" t="s">
        <v>165</v>
      </c>
      <c r="G9" s="509">
        <v>45132</v>
      </c>
      <c r="H9" s="241" t="s">
        <v>4546</v>
      </c>
      <c r="I9" s="510">
        <f>_xlfn.XLOOKUP(Site_DB[[#This Row],[Site ID]],Logfile_S[SiteID],Logfile_S[Date],"",0,1)</f>
        <v>45185</v>
      </c>
      <c r="J9" s="262">
        <f>_xlfn.IFNA(VLOOKUP(Site_DB[[#This Row],[Site ID]],SUM_DN!B:X,21,0),0)</f>
        <v>0</v>
      </c>
      <c r="K9" s="262">
        <f>SUMIFS(Logfile_S[Qty],Logfile_S[Material Name],Site_DB[[#Headers],[Pole 7M 4"]],Logfile_S[SiteID],Site_DB[[#This Row],[Site ID]],Logfile_S[Transaction  Type],"outBOUND")</f>
        <v>20</v>
      </c>
      <c r="L9" s="262">
        <f>SUMIFS(Logfile_S[Qty],Logfile_S[Material Name],Site_DB[[#Headers],[Pole 7M 3"]],Logfile_S[SiteID],Site_DB[[#This Row],[Site ID]],Logfile_S[Transaction  Type],"outBOUND")</f>
        <v>4</v>
      </c>
      <c r="M9" s="262">
        <f>SUMIFS(Logfile_S[Qty],Logfile_S[Material Name],Site_DB[[#Headers],[Pole 9M]],Logfile_S[SiteID],Site_DB[[#This Row],[Site ID]],Logfile_S[Transaction  Type],"outBOUND")</f>
        <v>0</v>
      </c>
      <c r="N9" s="262">
        <v>0</v>
      </c>
      <c r="O9" s="262">
        <v>3000</v>
      </c>
      <c r="P9" s="262">
        <v>0</v>
      </c>
      <c r="Q9" s="262">
        <v>0</v>
      </c>
      <c r="R9" s="262">
        <v>1</v>
      </c>
      <c r="S9" s="262">
        <v>0</v>
      </c>
      <c r="T9" s="262">
        <v>12</v>
      </c>
      <c r="U9" s="262">
        <v>1</v>
      </c>
      <c r="V9" s="265">
        <v>0</v>
      </c>
      <c r="W9" s="262" t="s">
        <v>4635</v>
      </c>
      <c r="X9" s="227">
        <f>SUMIFS(Logfile_S[Qty],Logfile_S[Material Name],Site_DB[[#Headers],[Pole 7M 2.5"]],Logfile_S[SiteID],Site_DB[[#This Row],[Site ID]],Logfile_S[Transaction  Type],"outBOUND")</f>
        <v>0</v>
      </c>
      <c r="Y9" s="227">
        <f>SUMIFS(Logfile_S[Qty],Logfile_S[Material Name],Site_DB[[#Headers],[Pole 7M 4"]],Logfile_S[SiteID],Site_DB[[#This Row],[Site ID]],Logfile_S[Transaction  Type],"outBOUND")</f>
        <v>20</v>
      </c>
      <c r="Z9" s="227">
        <f>SUMIFS(Logfile_S[Qty],Logfile_S[Material Name],Site_DB[[#Headers],[Pole 7M 3"]],Logfile_S[SiteID],Site_DB[[#This Row],[Site ID]],Logfile_S[Transaction  Type],"outBOUND")</f>
        <v>4</v>
      </c>
      <c r="AA9" s="227">
        <f>SUMIFS(Logfile_S[Qty],Logfile_S[Material Name],Site_DB[[#Headers],[Pole 9M]],Logfile_S[SiteID],Site_DB[[#This Row],[Site ID]],Logfile_S[Transaction  Type],"outBOUND")</f>
        <v>0</v>
      </c>
      <c r="AB9" s="227"/>
      <c r="AC9" s="227"/>
      <c r="AD9" s="227"/>
      <c r="AE9" s="227"/>
      <c r="AF9" s="227"/>
      <c r="AG9" s="227"/>
      <c r="AH9" s="227"/>
      <c r="AI9" s="227"/>
    </row>
    <row r="10" spans="1:35" ht="14.5">
      <c r="A10" s="508">
        <f t="shared" si="0"/>
        <v>6</v>
      </c>
      <c r="B10" s="241" t="s">
        <v>71</v>
      </c>
      <c r="C10" s="241" t="s">
        <v>24</v>
      </c>
      <c r="D10" s="241" t="s">
        <v>222</v>
      </c>
      <c r="E10" s="241" t="s">
        <v>223</v>
      </c>
      <c r="F10" s="241" t="s">
        <v>4568</v>
      </c>
      <c r="G10" s="509">
        <v>45146</v>
      </c>
      <c r="H10" s="241" t="s">
        <v>4546</v>
      </c>
      <c r="I10" s="510">
        <f>_xlfn.XLOOKUP(Site_DB[[#This Row],[Site ID]],Logfile_S[SiteID],Logfile_S[Date],"",0,1)</f>
        <v>45189</v>
      </c>
      <c r="J10" s="262">
        <f>_xlfn.IFNA(VLOOKUP(Site_DB[[#This Row],[Site ID]],SUM_DN!B:X,21,0),0)</f>
        <v>0</v>
      </c>
      <c r="K10" s="262">
        <f>SUMIFS(Logfile_S[Qty],Logfile_S[Material Name],Site_DB[[#Headers],[Pole 7M 4"]],Logfile_S[SiteID],Site_DB[[#This Row],[Site ID]],Logfile_S[Transaction  Type],"outBOUND")</f>
        <v>113</v>
      </c>
      <c r="L10" s="262">
        <f>SUMIFS(Logfile_S[Qty],Logfile_S[Material Name],Site_DB[[#Headers],[Pole 7M 3"]],Logfile_S[SiteID],Site_DB[[#This Row],[Site ID]],Logfile_S[Transaction  Type],"outBOUND")</f>
        <v>9</v>
      </c>
      <c r="M10" s="262">
        <f>SUMIFS(Logfile_S[Qty],Logfile_S[Material Name],Site_DB[[#Headers],[Pole 9M]],Logfile_S[SiteID],Site_DB[[#This Row],[Site ID]],Logfile_S[Transaction  Type],"outBOUND")</f>
        <v>8</v>
      </c>
      <c r="N10" s="262">
        <v>6000</v>
      </c>
      <c r="O10" s="262">
        <v>3000</v>
      </c>
      <c r="P10" s="262">
        <v>0</v>
      </c>
      <c r="Q10" s="262">
        <v>0</v>
      </c>
      <c r="R10" s="262">
        <v>2</v>
      </c>
      <c r="S10" s="262">
        <v>0</v>
      </c>
      <c r="T10" s="262">
        <v>33</v>
      </c>
      <c r="U10" s="262">
        <v>2</v>
      </c>
      <c r="V10" s="265">
        <v>0</v>
      </c>
      <c r="W10" s="262" t="s">
        <v>4635</v>
      </c>
      <c r="X10" s="227">
        <f>SUMIFS(Logfile_S[Qty],Logfile_S[Material Name],Site_DB[[#Headers],[Pole 7M 2.5"]],Logfile_S[SiteID],Site_DB[[#This Row],[Site ID]],Logfile_S[Transaction  Type],"outBOUND")</f>
        <v>0</v>
      </c>
      <c r="Y10" s="227">
        <f>SUMIFS(Logfile_S[Qty],Logfile_S[Material Name],Site_DB[[#Headers],[Pole 7M 4"]],Logfile_S[SiteID],Site_DB[[#This Row],[Site ID]],Logfile_S[Transaction  Type],"outBOUND")</f>
        <v>113</v>
      </c>
      <c r="Z10" s="227">
        <f>SUMIFS(Logfile_S[Qty],Logfile_S[Material Name],Site_DB[[#Headers],[Pole 7M 3"]],Logfile_S[SiteID],Site_DB[[#This Row],[Site ID]],Logfile_S[Transaction  Type],"outBOUND")</f>
        <v>9</v>
      </c>
      <c r="AA10" s="227">
        <f>SUMIFS(Logfile_S[Qty],Logfile_S[Material Name],Site_DB[[#Headers],[Pole 9M]],Logfile_S[SiteID],Site_DB[[#This Row],[Site ID]],Logfile_S[Transaction  Type],"outBOUND")</f>
        <v>8</v>
      </c>
      <c r="AB10" s="227"/>
      <c r="AC10" s="227"/>
      <c r="AD10" s="227"/>
      <c r="AE10" s="227"/>
      <c r="AF10" s="227"/>
      <c r="AG10" s="227"/>
      <c r="AH10" s="227"/>
      <c r="AI10" s="227"/>
    </row>
    <row r="11" spans="1:35" ht="14.5">
      <c r="A11" s="508">
        <f t="shared" si="0"/>
        <v>7</v>
      </c>
      <c r="B11" s="241" t="s">
        <v>71</v>
      </c>
      <c r="C11" s="241" t="s">
        <v>24</v>
      </c>
      <c r="D11" s="241" t="s">
        <v>834</v>
      </c>
      <c r="E11" s="241" t="s">
        <v>835</v>
      </c>
      <c r="F11" s="241" t="s">
        <v>835</v>
      </c>
      <c r="G11" s="509">
        <v>45199</v>
      </c>
      <c r="H11" s="241" t="s">
        <v>4546</v>
      </c>
      <c r="I11" s="510">
        <f>_xlfn.XLOOKUP(Site_DB[[#This Row],[Site ID]],Logfile_S[SiteID],Logfile_S[Date],"",0,1)</f>
        <v>45307</v>
      </c>
      <c r="J11" s="262">
        <f>_xlfn.IFNA(VLOOKUP(Site_DB[[#This Row],[Site ID]],SUM_DN!B:X,21,0),0)</f>
        <v>0</v>
      </c>
      <c r="K11" s="262">
        <f>SUMIFS(Logfile_S[Qty],Logfile_S[Material Name],Site_DB[[#Headers],[Pole 7M 4"]],Logfile_S[SiteID],Site_DB[[#This Row],[Site ID]],Logfile_S[Transaction  Type],"outBOUND")</f>
        <v>50</v>
      </c>
      <c r="L11" s="262">
        <f>SUMIFS(Logfile_S[Qty],Logfile_S[Material Name],Site_DB[[#Headers],[Pole 7M 3"]],Logfile_S[SiteID],Site_DB[[#This Row],[Site ID]],Logfile_S[Transaction  Type],"outBOUND")</f>
        <v>0</v>
      </c>
      <c r="M11" s="262">
        <f>SUMIFS(Logfile_S[Qty],Logfile_S[Material Name],Site_DB[[#Headers],[Pole 9M]],Logfile_S[SiteID],Site_DB[[#This Row],[Site ID]],Logfile_S[Transaction  Type],"outBOUND")</f>
        <v>8</v>
      </c>
      <c r="N11" s="262">
        <v>0</v>
      </c>
      <c r="O11" s="262">
        <v>0</v>
      </c>
      <c r="P11" s="262">
        <v>6000</v>
      </c>
      <c r="Q11" s="262">
        <v>0</v>
      </c>
      <c r="R11" s="262">
        <v>0</v>
      </c>
      <c r="S11" s="262">
        <v>0</v>
      </c>
      <c r="T11" s="262">
        <v>0</v>
      </c>
      <c r="U11" s="262">
        <v>2</v>
      </c>
      <c r="V11" s="265">
        <v>0</v>
      </c>
      <c r="W11" s="262" t="s">
        <v>4635</v>
      </c>
      <c r="X11" s="227">
        <f>SUMIFS(Logfile_S[Qty],Logfile_S[Material Name],Site_DB[[#Headers],[Pole 7M 2.5"]],Logfile_S[SiteID],Site_DB[[#This Row],[Site ID]],Logfile_S[Transaction  Type],"outBOUND")</f>
        <v>0</v>
      </c>
      <c r="Y11" s="227">
        <f>SUMIFS(Logfile_S[Qty],Logfile_S[Material Name],Site_DB[[#Headers],[Pole 7M 4"]],Logfile_S[SiteID],Site_DB[[#This Row],[Site ID]],Logfile_S[Transaction  Type],"outBOUND")</f>
        <v>50</v>
      </c>
      <c r="Z11" s="227">
        <f>SUMIFS(Logfile_S[Qty],Logfile_S[Material Name],Site_DB[[#Headers],[Pole 7M 3"]],Logfile_S[SiteID],Site_DB[[#This Row],[Site ID]],Logfile_S[Transaction  Type],"outBOUND")</f>
        <v>0</v>
      </c>
      <c r="AA11" s="227">
        <f>SUMIFS(Logfile_S[Qty],Logfile_S[Material Name],Site_DB[[#Headers],[Pole 9M]],Logfile_S[SiteID],Site_DB[[#This Row],[Site ID]],Logfile_S[Transaction  Type],"outBOUND")</f>
        <v>8</v>
      </c>
      <c r="AB11" s="227"/>
      <c r="AC11" s="227"/>
      <c r="AD11" s="227"/>
      <c r="AE11" s="227"/>
      <c r="AF11" s="227"/>
      <c r="AG11" s="227"/>
      <c r="AH11" s="227"/>
      <c r="AI11" s="227"/>
    </row>
    <row r="12" spans="1:35" ht="14.5">
      <c r="A12" s="508">
        <f t="shared" si="0"/>
        <v>8</v>
      </c>
      <c r="B12" s="241" t="s">
        <v>71</v>
      </c>
      <c r="C12" s="241" t="s">
        <v>24</v>
      </c>
      <c r="D12" s="241" t="s">
        <v>340</v>
      </c>
      <c r="E12" s="241" t="s">
        <v>341</v>
      </c>
      <c r="F12" s="241" t="s">
        <v>4561</v>
      </c>
      <c r="G12" s="509">
        <v>45211</v>
      </c>
      <c r="H12" s="241" t="s">
        <v>4546</v>
      </c>
      <c r="I12" s="510">
        <f>_xlfn.XLOOKUP(Site_DB[[#This Row],[Site ID]],Logfile_S[SiteID],Logfile_S[Date],"",0,1)</f>
        <v>45213</v>
      </c>
      <c r="J12" s="262">
        <f>_xlfn.IFNA(VLOOKUP(Site_DB[[#This Row],[Site ID]],SUM_DN!B:X,21,0),0)</f>
        <v>0</v>
      </c>
      <c r="K12" s="262">
        <f>SUMIFS(Logfile_S[Qty],Logfile_S[Material Name],Site_DB[[#Headers],[Pole 7M 4"]],Logfile_S[SiteID],Site_DB[[#This Row],[Site ID]],Logfile_S[Transaction  Type],"outBOUND")</f>
        <v>12</v>
      </c>
      <c r="L12" s="262">
        <f>SUMIFS(Logfile_S[Qty],Logfile_S[Material Name],Site_DB[[#Headers],[Pole 7M 3"]],Logfile_S[SiteID],Site_DB[[#This Row],[Site ID]],Logfile_S[Transaction  Type],"outBOUND")</f>
        <v>0</v>
      </c>
      <c r="M12" s="262">
        <f>SUMIFS(Logfile_S[Qty],Logfile_S[Material Name],Site_DB[[#Headers],[Pole 9M]],Logfile_S[SiteID],Site_DB[[#This Row],[Site ID]],Logfile_S[Transaction  Type],"outBOUND")</f>
        <v>3</v>
      </c>
      <c r="N12" s="262">
        <v>0</v>
      </c>
      <c r="O12" s="262">
        <v>3000</v>
      </c>
      <c r="P12" s="262">
        <v>0</v>
      </c>
      <c r="Q12" s="262">
        <v>0</v>
      </c>
      <c r="R12" s="262">
        <v>1</v>
      </c>
      <c r="S12" s="262">
        <v>0</v>
      </c>
      <c r="T12" s="262">
        <v>5</v>
      </c>
      <c r="U12" s="262">
        <v>0</v>
      </c>
      <c r="V12" s="265">
        <v>0</v>
      </c>
      <c r="W12" s="262" t="s">
        <v>4635</v>
      </c>
      <c r="X12" s="227">
        <f>SUMIFS(Logfile_S[Qty],Logfile_S[Material Name],Site_DB[[#Headers],[Pole 7M 2.5"]],Logfile_S[SiteID],Site_DB[[#This Row],[Site ID]],Logfile_S[Transaction  Type],"outBOUND")</f>
        <v>0</v>
      </c>
      <c r="Y12" s="227">
        <f>SUMIFS(Logfile_S[Qty],Logfile_S[Material Name],Site_DB[[#Headers],[Pole 7M 4"]],Logfile_S[SiteID],Site_DB[[#This Row],[Site ID]],Logfile_S[Transaction  Type],"outBOUND")</f>
        <v>12</v>
      </c>
      <c r="Z12" s="227">
        <f>SUMIFS(Logfile_S[Qty],Logfile_S[Material Name],Site_DB[[#Headers],[Pole 7M 3"]],Logfile_S[SiteID],Site_DB[[#This Row],[Site ID]],Logfile_S[Transaction  Type],"outBOUND")</f>
        <v>0</v>
      </c>
      <c r="AA12" s="227">
        <f>SUMIFS(Logfile_S[Qty],Logfile_S[Material Name],Site_DB[[#Headers],[Pole 9M]],Logfile_S[SiteID],Site_DB[[#This Row],[Site ID]],Logfile_S[Transaction  Type],"outBOUND")</f>
        <v>3</v>
      </c>
      <c r="AB12" s="227"/>
      <c r="AC12" s="227"/>
      <c r="AD12" s="227"/>
      <c r="AE12" s="227"/>
      <c r="AF12" s="227"/>
      <c r="AG12" s="227"/>
      <c r="AH12" s="227"/>
      <c r="AI12" s="227"/>
    </row>
    <row r="13" spans="1:35" ht="14.5">
      <c r="A13" s="508">
        <f t="shared" si="0"/>
        <v>9</v>
      </c>
      <c r="B13" s="241" t="s">
        <v>71</v>
      </c>
      <c r="C13" s="241" t="s">
        <v>24</v>
      </c>
      <c r="D13" s="241" t="s">
        <v>328</v>
      </c>
      <c r="E13" s="241" t="s">
        <v>329</v>
      </c>
      <c r="F13" s="241" t="s">
        <v>4571</v>
      </c>
      <c r="G13" s="509">
        <v>45211</v>
      </c>
      <c r="H13" s="241" t="s">
        <v>4548</v>
      </c>
      <c r="I13" s="510">
        <f>_xlfn.XLOOKUP(Site_DB[[#This Row],[Site ID]],Logfile_S[SiteID],Logfile_S[Date],"",0,1)</f>
        <v>45213</v>
      </c>
      <c r="J13" s="262">
        <f>_xlfn.IFNA(VLOOKUP(Site_DB[[#This Row],[Site ID]],SUM_DN!B:X,21,0),0)</f>
        <v>0</v>
      </c>
      <c r="K13" s="262">
        <f>SUMIFS(Logfile_S[Qty],Logfile_S[Material Name],Site_DB[[#Headers],[Pole 7M 4"]],Logfile_S[SiteID],Site_DB[[#This Row],[Site ID]],Logfile_S[Transaction  Type],"outBOUND")</f>
        <v>54</v>
      </c>
      <c r="L13" s="262">
        <f>SUMIFS(Logfile_S[Qty],Logfile_S[Material Name],Site_DB[[#Headers],[Pole 7M 3"]],Logfile_S[SiteID],Site_DB[[#This Row],[Site ID]],Logfile_S[Transaction  Type],"outBOUND")</f>
        <v>0</v>
      </c>
      <c r="M13" s="262">
        <f>SUMIFS(Logfile_S[Qty],Logfile_S[Material Name],Site_DB[[#Headers],[Pole 9M]],Logfile_S[SiteID],Site_DB[[#This Row],[Site ID]],Logfile_S[Transaction  Type],"outBOUND")</f>
        <v>2</v>
      </c>
      <c r="N13" s="262">
        <v>3000</v>
      </c>
      <c r="O13" s="262">
        <v>3000</v>
      </c>
      <c r="P13" s="262">
        <v>0</v>
      </c>
      <c r="Q13" s="262">
        <v>0</v>
      </c>
      <c r="R13" s="262">
        <v>1</v>
      </c>
      <c r="S13" s="262">
        <v>0</v>
      </c>
      <c r="T13" s="262">
        <v>8</v>
      </c>
      <c r="U13" s="262">
        <v>1</v>
      </c>
      <c r="V13" s="265">
        <v>0</v>
      </c>
      <c r="W13" s="262" t="s">
        <v>4635</v>
      </c>
      <c r="X13" s="227">
        <f>SUMIFS(Logfile_S[Qty],Logfile_S[Material Name],Site_DB[[#Headers],[Pole 7M 2.5"]],Logfile_S[SiteID],Site_DB[[#This Row],[Site ID]],Logfile_S[Transaction  Type],"outBOUND")</f>
        <v>0</v>
      </c>
      <c r="Y13" s="227">
        <f>SUMIFS(Logfile_S[Qty],Logfile_S[Material Name],Site_DB[[#Headers],[Pole 7M 4"]],Logfile_S[SiteID],Site_DB[[#This Row],[Site ID]],Logfile_S[Transaction  Type],"outBOUND")</f>
        <v>54</v>
      </c>
      <c r="Z13" s="227">
        <f>SUMIFS(Logfile_S[Qty],Logfile_S[Material Name],Site_DB[[#Headers],[Pole 7M 3"]],Logfile_S[SiteID],Site_DB[[#This Row],[Site ID]],Logfile_S[Transaction  Type],"outBOUND")</f>
        <v>0</v>
      </c>
      <c r="AA13" s="227">
        <f>SUMIFS(Logfile_S[Qty],Logfile_S[Material Name],Site_DB[[#Headers],[Pole 9M]],Logfile_S[SiteID],Site_DB[[#This Row],[Site ID]],Logfile_S[Transaction  Type],"outBOUND")</f>
        <v>2</v>
      </c>
      <c r="AB13" s="227"/>
      <c r="AC13" s="227"/>
      <c r="AD13" s="227"/>
      <c r="AE13" s="227"/>
      <c r="AF13" s="227"/>
      <c r="AG13" s="227"/>
      <c r="AH13" s="227"/>
      <c r="AI13" s="227"/>
    </row>
    <row r="14" spans="1:35" ht="14.5">
      <c r="A14" s="508">
        <f t="shared" si="0"/>
        <v>10</v>
      </c>
      <c r="B14" s="241" t="s">
        <v>71</v>
      </c>
      <c r="C14" s="241" t="s">
        <v>24</v>
      </c>
      <c r="D14" s="241" t="s">
        <v>336</v>
      </c>
      <c r="E14" s="241" t="s">
        <v>337</v>
      </c>
      <c r="F14" s="241" t="s">
        <v>4569</v>
      </c>
      <c r="G14" s="509">
        <v>45211</v>
      </c>
      <c r="H14" s="241" t="s">
        <v>4548</v>
      </c>
      <c r="I14" s="510">
        <f>_xlfn.XLOOKUP(Site_DB[[#This Row],[Site ID]],Logfile_S[SiteID],Logfile_S[Date],"",0,1)</f>
        <v>45213</v>
      </c>
      <c r="J14" s="262">
        <f>_xlfn.IFNA(VLOOKUP(Site_DB[[#This Row],[Site ID]],SUM_DN!B:X,21,0),0)</f>
        <v>0</v>
      </c>
      <c r="K14" s="262">
        <f>SUMIFS(Logfile_S[Qty],Logfile_S[Material Name],Site_DB[[#Headers],[Pole 7M 4"]],Logfile_S[SiteID],Site_DB[[#This Row],[Site ID]],Logfile_S[Transaction  Type],"outBOUND")</f>
        <v>17</v>
      </c>
      <c r="L14" s="262">
        <f>SUMIFS(Logfile_S[Qty],Logfile_S[Material Name],Site_DB[[#Headers],[Pole 7M 3"]],Logfile_S[SiteID],Site_DB[[#This Row],[Site ID]],Logfile_S[Transaction  Type],"outBOUND")</f>
        <v>1</v>
      </c>
      <c r="M14" s="262">
        <f>SUMIFS(Logfile_S[Qty],Logfile_S[Material Name],Site_DB[[#Headers],[Pole 9M]],Logfile_S[SiteID],Site_DB[[#This Row],[Site ID]],Logfile_S[Transaction  Type],"outBOUND")</f>
        <v>0</v>
      </c>
      <c r="N14" s="262">
        <v>3000</v>
      </c>
      <c r="O14" s="262">
        <v>0</v>
      </c>
      <c r="P14" s="262">
        <v>0</v>
      </c>
      <c r="Q14" s="262">
        <v>0</v>
      </c>
      <c r="R14" s="262">
        <v>0</v>
      </c>
      <c r="S14" s="262">
        <v>0</v>
      </c>
      <c r="T14" s="262">
        <v>6</v>
      </c>
      <c r="U14" s="262">
        <v>0</v>
      </c>
      <c r="V14" s="265">
        <v>0</v>
      </c>
      <c r="W14" s="262" t="s">
        <v>4635</v>
      </c>
      <c r="X14" s="227">
        <f>SUMIFS(Logfile_S[Qty],Logfile_S[Material Name],Site_DB[[#Headers],[Pole 7M 2.5"]],Logfile_S[SiteID],Site_DB[[#This Row],[Site ID]],Logfile_S[Transaction  Type],"outBOUND")</f>
        <v>0</v>
      </c>
      <c r="Y14" s="227">
        <f>SUMIFS(Logfile_S[Qty],Logfile_S[Material Name],Site_DB[[#Headers],[Pole 7M 4"]],Logfile_S[SiteID],Site_DB[[#This Row],[Site ID]],Logfile_S[Transaction  Type],"outBOUND")</f>
        <v>17</v>
      </c>
      <c r="Z14" s="227">
        <f>SUMIFS(Logfile_S[Qty],Logfile_S[Material Name],Site_DB[[#Headers],[Pole 7M 3"]],Logfile_S[SiteID],Site_DB[[#This Row],[Site ID]],Logfile_S[Transaction  Type],"outBOUND")</f>
        <v>1</v>
      </c>
      <c r="AA14" s="227">
        <f>SUMIFS(Logfile_S[Qty],Logfile_S[Material Name],Site_DB[[#Headers],[Pole 9M]],Logfile_S[SiteID],Site_DB[[#This Row],[Site ID]],Logfile_S[Transaction  Type],"outBOUND")</f>
        <v>0</v>
      </c>
      <c r="AB14" s="227"/>
      <c r="AC14" s="227"/>
      <c r="AD14" s="227"/>
      <c r="AE14" s="227"/>
      <c r="AF14" s="227"/>
      <c r="AG14" s="227"/>
      <c r="AH14" s="227"/>
      <c r="AI14" s="227"/>
    </row>
    <row r="15" spans="1:35" ht="14.5">
      <c r="A15" s="508">
        <f t="shared" si="0"/>
        <v>11</v>
      </c>
      <c r="B15" s="241" t="s">
        <v>71</v>
      </c>
      <c r="C15" s="241" t="s">
        <v>24</v>
      </c>
      <c r="D15" s="241" t="s">
        <v>332</v>
      </c>
      <c r="E15" s="241" t="s">
        <v>333</v>
      </c>
      <c r="F15" s="241" t="s">
        <v>4572</v>
      </c>
      <c r="G15" s="509">
        <v>45211</v>
      </c>
      <c r="H15" s="241" t="s">
        <v>4548</v>
      </c>
      <c r="I15" s="510">
        <f>_xlfn.XLOOKUP(Site_DB[[#This Row],[Site ID]],Logfile_S[SiteID],Logfile_S[Date],"",0,1)</f>
        <v>45222</v>
      </c>
      <c r="J15" s="262">
        <f>_xlfn.IFNA(VLOOKUP(Site_DB[[#This Row],[Site ID]],SUM_DN!B:X,21,0),0)</f>
        <v>0</v>
      </c>
      <c r="K15" s="262">
        <f>SUMIFS(Logfile_S[Qty],Logfile_S[Material Name],Site_DB[[#Headers],[Pole 7M 4"]],Logfile_S[SiteID],Site_DB[[#This Row],[Site ID]],Logfile_S[Transaction  Type],"outBOUND")</f>
        <v>28</v>
      </c>
      <c r="L15" s="262">
        <f>SUMIFS(Logfile_S[Qty],Logfile_S[Material Name],Site_DB[[#Headers],[Pole 7M 3"]],Logfile_S[SiteID],Site_DB[[#This Row],[Site ID]],Logfile_S[Transaction  Type],"outBOUND")</f>
        <v>1</v>
      </c>
      <c r="M15" s="262">
        <f>SUMIFS(Logfile_S[Qty],Logfile_S[Material Name],Site_DB[[#Headers],[Pole 9M]],Logfile_S[SiteID],Site_DB[[#This Row],[Site ID]],Logfile_S[Transaction  Type],"outBOUND")</f>
        <v>2</v>
      </c>
      <c r="N15" s="262">
        <v>0</v>
      </c>
      <c r="O15" s="262">
        <v>0</v>
      </c>
      <c r="P15" s="262">
        <v>0</v>
      </c>
      <c r="Q15" s="262">
        <v>0</v>
      </c>
      <c r="R15" s="262">
        <v>1</v>
      </c>
      <c r="S15" s="262">
        <v>0</v>
      </c>
      <c r="T15" s="262">
        <v>8</v>
      </c>
      <c r="U15" s="262">
        <v>0</v>
      </c>
      <c r="V15" s="265">
        <v>0</v>
      </c>
      <c r="W15" s="262" t="s">
        <v>4635</v>
      </c>
      <c r="X15" s="227">
        <f>SUMIFS(Logfile_S[Qty],Logfile_S[Material Name],Site_DB[[#Headers],[Pole 7M 2.5"]],Logfile_S[SiteID],Site_DB[[#This Row],[Site ID]],Logfile_S[Transaction  Type],"outBOUND")</f>
        <v>0</v>
      </c>
      <c r="Y15" s="227">
        <f>SUMIFS(Logfile_S[Qty],Logfile_S[Material Name],Site_DB[[#Headers],[Pole 7M 4"]],Logfile_S[SiteID],Site_DB[[#This Row],[Site ID]],Logfile_S[Transaction  Type],"outBOUND")</f>
        <v>28</v>
      </c>
      <c r="Z15" s="227">
        <f>SUMIFS(Logfile_S[Qty],Logfile_S[Material Name],Site_DB[[#Headers],[Pole 7M 3"]],Logfile_S[SiteID],Site_DB[[#This Row],[Site ID]],Logfile_S[Transaction  Type],"outBOUND")</f>
        <v>1</v>
      </c>
      <c r="AA15" s="227">
        <f>SUMIFS(Logfile_S[Qty],Logfile_S[Material Name],Site_DB[[#Headers],[Pole 9M]],Logfile_S[SiteID],Site_DB[[#This Row],[Site ID]],Logfile_S[Transaction  Type],"outBOUND")</f>
        <v>2</v>
      </c>
      <c r="AB15" s="227"/>
      <c r="AC15" s="227"/>
      <c r="AD15" s="227"/>
      <c r="AE15" s="227"/>
      <c r="AF15" s="227"/>
      <c r="AG15" s="227"/>
      <c r="AH15" s="227"/>
      <c r="AI15" s="227"/>
    </row>
    <row r="16" spans="1:35" ht="14.5">
      <c r="A16" s="508">
        <f t="shared" si="0"/>
        <v>12</v>
      </c>
      <c r="B16" s="241" t="s">
        <v>71</v>
      </c>
      <c r="C16" s="241" t="s">
        <v>24</v>
      </c>
      <c r="D16" s="241" t="s">
        <v>324</v>
      </c>
      <c r="E16" s="241" t="s">
        <v>325</v>
      </c>
      <c r="F16" s="241" t="s">
        <v>4562</v>
      </c>
      <c r="G16" s="509">
        <v>45211</v>
      </c>
      <c r="H16" s="241" t="s">
        <v>4548</v>
      </c>
      <c r="I16" s="510">
        <f>_xlfn.XLOOKUP(Site_DB[[#This Row],[Site ID]],Logfile_S[SiteID],Logfile_S[Date],"",0,1)</f>
        <v>45213</v>
      </c>
      <c r="J16" s="262">
        <f>_xlfn.IFNA(VLOOKUP(Site_DB[[#This Row],[Site ID]],SUM_DN!B:X,21,0),0)</f>
        <v>0</v>
      </c>
      <c r="K16" s="262">
        <f>SUMIFS(Logfile_S[Qty],Logfile_S[Material Name],Site_DB[[#Headers],[Pole 7M 4"]],Logfile_S[SiteID],Site_DB[[#This Row],[Site ID]],Logfile_S[Transaction  Type],"outBOUND")</f>
        <v>39</v>
      </c>
      <c r="L16" s="262">
        <f>SUMIFS(Logfile_S[Qty],Logfile_S[Material Name],Site_DB[[#Headers],[Pole 7M 3"]],Logfile_S[SiteID],Site_DB[[#This Row],[Site ID]],Logfile_S[Transaction  Type],"outBOUND")</f>
        <v>15</v>
      </c>
      <c r="M16" s="262">
        <f>SUMIFS(Logfile_S[Qty],Logfile_S[Material Name],Site_DB[[#Headers],[Pole 9M]],Logfile_S[SiteID],Site_DB[[#This Row],[Site ID]],Logfile_S[Transaction  Type],"outBOUND")</f>
        <v>1</v>
      </c>
      <c r="N16" s="262">
        <v>3000</v>
      </c>
      <c r="O16" s="262">
        <v>0</v>
      </c>
      <c r="P16" s="262">
        <v>0</v>
      </c>
      <c r="Q16" s="262">
        <v>0</v>
      </c>
      <c r="R16" s="262">
        <v>0</v>
      </c>
      <c r="S16" s="262">
        <v>0</v>
      </c>
      <c r="T16" s="262">
        <v>14</v>
      </c>
      <c r="U16" s="262">
        <v>0</v>
      </c>
      <c r="V16" s="265">
        <v>0</v>
      </c>
      <c r="W16" s="262" t="s">
        <v>4635</v>
      </c>
      <c r="X16" s="227">
        <f>SUMIFS(Logfile_S[Qty],Logfile_S[Material Name],Site_DB[[#Headers],[Pole 7M 2.5"]],Logfile_S[SiteID],Site_DB[[#This Row],[Site ID]],Logfile_S[Transaction  Type],"outBOUND")</f>
        <v>0</v>
      </c>
      <c r="Y16" s="227">
        <f>SUMIFS(Logfile_S[Qty],Logfile_S[Material Name],Site_DB[[#Headers],[Pole 7M 4"]],Logfile_S[SiteID],Site_DB[[#This Row],[Site ID]],Logfile_S[Transaction  Type],"outBOUND")</f>
        <v>39</v>
      </c>
      <c r="Z16" s="227">
        <f>SUMIFS(Logfile_S[Qty],Logfile_S[Material Name],Site_DB[[#Headers],[Pole 7M 3"]],Logfile_S[SiteID],Site_DB[[#This Row],[Site ID]],Logfile_S[Transaction  Type],"outBOUND")</f>
        <v>15</v>
      </c>
      <c r="AA16" s="227">
        <f>SUMIFS(Logfile_S[Qty],Logfile_S[Material Name],Site_DB[[#Headers],[Pole 9M]],Logfile_S[SiteID],Site_DB[[#This Row],[Site ID]],Logfile_S[Transaction  Type],"outBOUND")</f>
        <v>1</v>
      </c>
      <c r="AB16" s="227"/>
      <c r="AC16" s="227"/>
      <c r="AD16" s="227"/>
      <c r="AE16" s="227"/>
      <c r="AF16" s="227"/>
      <c r="AG16" s="227"/>
      <c r="AH16" s="227"/>
      <c r="AI16" s="227"/>
    </row>
    <row r="17" spans="1:35" ht="14.5">
      <c r="A17" s="508">
        <f t="shared" si="0"/>
        <v>13</v>
      </c>
      <c r="B17" s="241" t="s">
        <v>71</v>
      </c>
      <c r="C17" s="241" t="s">
        <v>24</v>
      </c>
      <c r="D17" s="241" t="s">
        <v>468</v>
      </c>
      <c r="E17" s="241" t="s">
        <v>469</v>
      </c>
      <c r="F17" s="241" t="s">
        <v>4560</v>
      </c>
      <c r="G17" s="509">
        <v>45218</v>
      </c>
      <c r="H17" s="241" t="s">
        <v>4546</v>
      </c>
      <c r="I17" s="510">
        <f>_xlfn.XLOOKUP(Site_DB[[#This Row],[Site ID]],Logfile_S[SiteID],Logfile_S[Date],"",0,1)</f>
        <v>45245</v>
      </c>
      <c r="J17" s="262">
        <f>_xlfn.IFNA(VLOOKUP(Site_DB[[#This Row],[Site ID]],SUM_DN!B:X,21,0),0)</f>
        <v>0</v>
      </c>
      <c r="K17" s="262">
        <f>SUMIFS(Logfile_S[Qty],Logfile_S[Material Name],Site_DB[[#Headers],[Pole 7M 4"]],Logfile_S[SiteID],Site_DB[[#This Row],[Site ID]],Logfile_S[Transaction  Type],"outBOUND")</f>
        <v>62</v>
      </c>
      <c r="L17" s="262">
        <f>SUMIFS(Logfile_S[Qty],Logfile_S[Material Name],Site_DB[[#Headers],[Pole 7M 3"]],Logfile_S[SiteID],Site_DB[[#This Row],[Site ID]],Logfile_S[Transaction  Type],"outBOUND")</f>
        <v>6</v>
      </c>
      <c r="M17" s="262">
        <f>SUMIFS(Logfile_S[Qty],Logfile_S[Material Name],Site_DB[[#Headers],[Pole 9M]],Logfile_S[SiteID],Site_DB[[#This Row],[Site ID]],Logfile_S[Transaction  Type],"outBOUND")</f>
        <v>3</v>
      </c>
      <c r="N17" s="262">
        <v>3000</v>
      </c>
      <c r="O17" s="262">
        <v>3000</v>
      </c>
      <c r="P17" s="262">
        <v>0</v>
      </c>
      <c r="Q17" s="262">
        <v>0</v>
      </c>
      <c r="R17" s="262">
        <v>1</v>
      </c>
      <c r="S17" s="262">
        <v>0</v>
      </c>
      <c r="T17" s="262">
        <v>85</v>
      </c>
      <c r="U17" s="262">
        <v>0</v>
      </c>
      <c r="V17" s="265">
        <v>0</v>
      </c>
      <c r="W17" s="262" t="s">
        <v>4635</v>
      </c>
      <c r="X17" s="227">
        <f>SUMIFS(Logfile_S[Qty],Logfile_S[Material Name],Site_DB[[#Headers],[Pole 7M 2.5"]],Logfile_S[SiteID],Site_DB[[#This Row],[Site ID]],Logfile_S[Transaction  Type],"outBOUND")</f>
        <v>0</v>
      </c>
      <c r="Y17" s="227">
        <f>SUMIFS(Logfile_S[Qty],Logfile_S[Material Name],Site_DB[[#Headers],[Pole 7M 4"]],Logfile_S[SiteID],Site_DB[[#This Row],[Site ID]],Logfile_S[Transaction  Type],"outBOUND")</f>
        <v>62</v>
      </c>
      <c r="Z17" s="227">
        <f>SUMIFS(Logfile_S[Qty],Logfile_S[Material Name],Site_DB[[#Headers],[Pole 7M 3"]],Logfile_S[SiteID],Site_DB[[#This Row],[Site ID]],Logfile_S[Transaction  Type],"outBOUND")</f>
        <v>6</v>
      </c>
      <c r="AA17" s="227">
        <f>SUMIFS(Logfile_S[Qty],Logfile_S[Material Name],Site_DB[[#Headers],[Pole 9M]],Logfile_S[SiteID],Site_DB[[#This Row],[Site ID]],Logfile_S[Transaction  Type],"outBOUND")</f>
        <v>3</v>
      </c>
      <c r="AB17" s="227"/>
      <c r="AC17" s="227"/>
      <c r="AD17" s="227"/>
      <c r="AE17" s="227"/>
      <c r="AF17" s="227"/>
      <c r="AG17" s="227"/>
      <c r="AH17" s="227"/>
      <c r="AI17" s="227"/>
    </row>
    <row r="18" spans="1:35" ht="14.5">
      <c r="A18" s="508">
        <f t="shared" si="0"/>
        <v>14</v>
      </c>
      <c r="B18" s="241" t="s">
        <v>71</v>
      </c>
      <c r="C18" s="241" t="s">
        <v>24</v>
      </c>
      <c r="D18" s="241" t="s">
        <v>1155</v>
      </c>
      <c r="E18" s="241" t="s">
        <v>1156</v>
      </c>
      <c r="F18" s="241" t="s">
        <v>4574</v>
      </c>
      <c r="G18" s="509">
        <v>45251</v>
      </c>
      <c r="H18" s="241" t="s">
        <v>4548</v>
      </c>
      <c r="I18" s="510">
        <f>_xlfn.XLOOKUP(Site_DB[[#This Row],[Site ID]],Logfile_S[SiteID],Logfile_S[Date],"",0,1)</f>
        <v>45401</v>
      </c>
      <c r="J18" s="262">
        <f>_xlfn.IFNA(VLOOKUP(Site_DB[[#This Row],[Site ID]],SUM_DN!B:X,21,0),0)</f>
        <v>0</v>
      </c>
      <c r="K18" s="262">
        <f>SUMIFS(Logfile_S[Qty],Logfile_S[Material Name],Site_DB[[#Headers],[Pole 7M 4"]],Logfile_S[SiteID],Site_DB[[#This Row],[Site ID]],Logfile_S[Transaction  Type],"outBOUND")</f>
        <v>0</v>
      </c>
      <c r="L18" s="262">
        <f>SUMIFS(Logfile_S[Qty],Logfile_S[Material Name],Site_DB[[#Headers],[Pole 7M 3"]],Logfile_S[SiteID],Site_DB[[#This Row],[Site ID]],Logfile_S[Transaction  Type],"outBOUND")</f>
        <v>0</v>
      </c>
      <c r="M18" s="262">
        <f>SUMIFS(Logfile_S[Qty],Logfile_S[Material Name],Site_DB[[#Headers],[Pole 9M]],Logfile_S[SiteID],Site_DB[[#This Row],[Site ID]],Logfile_S[Transaction  Type],"outBOUND")</f>
        <v>0</v>
      </c>
      <c r="N18" s="262">
        <v>0</v>
      </c>
      <c r="O18" s="262">
        <v>3000</v>
      </c>
      <c r="P18" s="262">
        <v>0</v>
      </c>
      <c r="Q18" s="262">
        <v>0</v>
      </c>
      <c r="R18" s="262">
        <v>0</v>
      </c>
      <c r="S18" s="262">
        <v>0</v>
      </c>
      <c r="T18" s="262">
        <v>11</v>
      </c>
      <c r="U18" s="262">
        <v>0</v>
      </c>
      <c r="V18" s="265">
        <v>0</v>
      </c>
      <c r="W18" s="262" t="s">
        <v>4635</v>
      </c>
      <c r="X18" s="227">
        <f>SUMIFS(Logfile_S[Qty],Logfile_S[Material Name],Site_DB[[#Headers],[Pole 7M 2.5"]],Logfile_S[SiteID],Site_DB[[#This Row],[Site ID]],Logfile_S[Transaction  Type],"outBOUND")</f>
        <v>0</v>
      </c>
      <c r="Y18" s="227">
        <f>SUMIFS(Logfile_S[Qty],Logfile_S[Material Name],Site_DB[[#Headers],[Pole 7M 4"]],Logfile_S[SiteID],Site_DB[[#This Row],[Site ID]],Logfile_S[Transaction  Type],"outBOUND")</f>
        <v>0</v>
      </c>
      <c r="Z18" s="227">
        <f>SUMIFS(Logfile_S[Qty],Logfile_S[Material Name],Site_DB[[#Headers],[Pole 7M 3"]],Logfile_S[SiteID],Site_DB[[#This Row],[Site ID]],Logfile_S[Transaction  Type],"outBOUND")</f>
        <v>0</v>
      </c>
      <c r="AA18" s="227">
        <f>SUMIFS(Logfile_S[Qty],Logfile_S[Material Name],Site_DB[[#Headers],[Pole 9M]],Logfile_S[SiteID],Site_DB[[#This Row],[Site ID]],Logfile_S[Transaction  Type],"outBOUND")</f>
        <v>0</v>
      </c>
      <c r="AB18" s="227"/>
      <c r="AC18" s="227"/>
      <c r="AD18" s="227"/>
      <c r="AE18" s="227"/>
      <c r="AF18" s="227"/>
      <c r="AG18" s="227"/>
      <c r="AH18" s="227"/>
      <c r="AI18" s="227"/>
    </row>
    <row r="19" spans="1:35" ht="14.5">
      <c r="A19" s="508">
        <f t="shared" si="0"/>
        <v>15</v>
      </c>
      <c r="B19" s="241" t="s">
        <v>71</v>
      </c>
      <c r="C19" s="241" t="s">
        <v>24</v>
      </c>
      <c r="D19" s="241" t="s">
        <v>1295</v>
      </c>
      <c r="E19" s="241" t="s">
        <v>1296</v>
      </c>
      <c r="F19" s="241" t="s">
        <v>1296</v>
      </c>
      <c r="G19" s="509">
        <v>45274</v>
      </c>
      <c r="H19" s="241" t="s">
        <v>4546</v>
      </c>
      <c r="I19" s="510">
        <f>_xlfn.XLOOKUP(Site_DB[[#This Row],[Site ID]],Logfile_S[SiteID],Logfile_S[Date],"",0,1)</f>
        <v>45401</v>
      </c>
      <c r="J19" s="262">
        <f>_xlfn.IFNA(VLOOKUP(Site_DB[[#This Row],[Site ID]],SUM_DN!B:X,21,0),0)</f>
        <v>0</v>
      </c>
      <c r="K19" s="262">
        <f>SUMIFS(Logfile_S[Qty],Logfile_S[Material Name],Site_DB[[#Headers],[Pole 7M 4"]],Logfile_S[SiteID],Site_DB[[#This Row],[Site ID]],Logfile_S[Transaction  Type],"outBOUND")</f>
        <v>0</v>
      </c>
      <c r="L19" s="262">
        <f>SUMIFS(Logfile_S[Qty],Logfile_S[Material Name],Site_DB[[#Headers],[Pole 7M 3"]],Logfile_S[SiteID],Site_DB[[#This Row],[Site ID]],Logfile_S[Transaction  Type],"outBOUND")</f>
        <v>1</v>
      </c>
      <c r="M19" s="262">
        <f>SUMIFS(Logfile_S[Qty],Logfile_S[Material Name],Site_DB[[#Headers],[Pole 9M]],Logfile_S[SiteID],Site_DB[[#This Row],[Site ID]],Logfile_S[Transaction  Type],"outBOUND")</f>
        <v>0</v>
      </c>
      <c r="N19" s="262">
        <v>3000</v>
      </c>
      <c r="O19" s="262">
        <v>0</v>
      </c>
      <c r="P19" s="262">
        <v>0</v>
      </c>
      <c r="Q19" s="262">
        <v>0</v>
      </c>
      <c r="R19" s="262">
        <v>0</v>
      </c>
      <c r="S19" s="262">
        <v>0</v>
      </c>
      <c r="T19" s="262">
        <v>13</v>
      </c>
      <c r="U19" s="262">
        <v>0</v>
      </c>
      <c r="V19" s="265">
        <v>0</v>
      </c>
      <c r="W19" s="262" t="s">
        <v>4635</v>
      </c>
      <c r="X19" s="227">
        <f>SUMIFS(Logfile_S[Qty],Logfile_S[Material Name],Site_DB[[#Headers],[Pole 7M 2.5"]],Logfile_S[SiteID],Site_DB[[#This Row],[Site ID]],Logfile_S[Transaction  Type],"outBOUND")</f>
        <v>0</v>
      </c>
      <c r="Y19" s="227">
        <f>SUMIFS(Logfile_S[Qty],Logfile_S[Material Name],Site_DB[[#Headers],[Pole 7M 4"]],Logfile_S[SiteID],Site_DB[[#This Row],[Site ID]],Logfile_S[Transaction  Type],"outBOUND")</f>
        <v>0</v>
      </c>
      <c r="Z19" s="227">
        <f>SUMIFS(Logfile_S[Qty],Logfile_S[Material Name],Site_DB[[#Headers],[Pole 7M 3"]],Logfile_S[SiteID],Site_DB[[#This Row],[Site ID]],Logfile_S[Transaction  Type],"outBOUND")</f>
        <v>1</v>
      </c>
      <c r="AA19" s="227">
        <f>SUMIFS(Logfile_S[Qty],Logfile_S[Material Name],Site_DB[[#Headers],[Pole 9M]],Logfile_S[SiteID],Site_DB[[#This Row],[Site ID]],Logfile_S[Transaction  Type],"outBOUND")</f>
        <v>0</v>
      </c>
      <c r="AB19" s="227"/>
      <c r="AC19" s="227"/>
      <c r="AD19" s="227"/>
      <c r="AE19" s="227"/>
      <c r="AF19" s="227"/>
      <c r="AG19" s="227"/>
      <c r="AH19" s="227"/>
      <c r="AI19" s="227"/>
    </row>
    <row r="20" spans="1:35" ht="14.5">
      <c r="A20" s="508">
        <f t="shared" si="0"/>
        <v>16</v>
      </c>
      <c r="B20" s="241" t="s">
        <v>71</v>
      </c>
      <c r="C20" s="241" t="s">
        <v>24</v>
      </c>
      <c r="D20" s="241" t="s">
        <v>1151</v>
      </c>
      <c r="E20" s="241" t="s">
        <v>1152</v>
      </c>
      <c r="F20" s="241" t="s">
        <v>4576</v>
      </c>
      <c r="G20" s="509">
        <v>45274</v>
      </c>
      <c r="H20" s="241" t="s">
        <v>4548</v>
      </c>
      <c r="I20" s="510">
        <f>_xlfn.XLOOKUP(Site_DB[[#This Row],[Site ID]],Logfile_S[SiteID],Logfile_S[Date],"",0,1)</f>
        <v>45370</v>
      </c>
      <c r="J20" s="262">
        <f>_xlfn.IFNA(VLOOKUP(Site_DB[[#This Row],[Site ID]],SUM_DN!B:X,21,0),0)</f>
        <v>0</v>
      </c>
      <c r="K20" s="262">
        <f>SUMIFS(Logfile_S[Qty],Logfile_S[Material Name],Site_DB[[#Headers],[Pole 7M 4"]],Logfile_S[SiteID],Site_DB[[#This Row],[Site ID]],Logfile_S[Transaction  Type],"outBOUND")</f>
        <v>5</v>
      </c>
      <c r="L20" s="262">
        <f>SUMIFS(Logfile_S[Qty],Logfile_S[Material Name],Site_DB[[#Headers],[Pole 7M 3"]],Logfile_S[SiteID],Site_DB[[#This Row],[Site ID]],Logfile_S[Transaction  Type],"outBOUND")</f>
        <v>1</v>
      </c>
      <c r="M20" s="262">
        <f>SUMIFS(Logfile_S[Qty],Logfile_S[Material Name],Site_DB[[#Headers],[Pole 9M]],Logfile_S[SiteID],Site_DB[[#This Row],[Site ID]],Logfile_S[Transaction  Type],"outBOUND")</f>
        <v>3</v>
      </c>
      <c r="N20" s="262">
        <v>3000</v>
      </c>
      <c r="O20" s="262">
        <v>0</v>
      </c>
      <c r="P20" s="262">
        <v>0</v>
      </c>
      <c r="Q20" s="262">
        <v>0</v>
      </c>
      <c r="R20" s="262">
        <v>1</v>
      </c>
      <c r="S20" s="262">
        <v>0</v>
      </c>
      <c r="T20" s="262">
        <v>7</v>
      </c>
      <c r="U20" s="262">
        <v>1</v>
      </c>
      <c r="V20" s="265">
        <v>0</v>
      </c>
      <c r="W20" s="262" t="s">
        <v>4635</v>
      </c>
      <c r="X20" s="227">
        <f>SUMIFS(Logfile_S[Qty],Logfile_S[Material Name],Site_DB[[#Headers],[Pole 7M 2.5"]],Logfile_S[SiteID],Site_DB[[#This Row],[Site ID]],Logfile_S[Transaction  Type],"outBOUND")</f>
        <v>0</v>
      </c>
      <c r="Y20" s="227">
        <f>SUMIFS(Logfile_S[Qty],Logfile_S[Material Name],Site_DB[[#Headers],[Pole 7M 4"]],Logfile_S[SiteID],Site_DB[[#This Row],[Site ID]],Logfile_S[Transaction  Type],"outBOUND")</f>
        <v>5</v>
      </c>
      <c r="Z20" s="227">
        <f>SUMIFS(Logfile_S[Qty],Logfile_S[Material Name],Site_DB[[#Headers],[Pole 7M 3"]],Logfile_S[SiteID],Site_DB[[#This Row],[Site ID]],Logfile_S[Transaction  Type],"outBOUND")</f>
        <v>1</v>
      </c>
      <c r="AA20" s="227">
        <f>SUMIFS(Logfile_S[Qty],Logfile_S[Material Name],Site_DB[[#Headers],[Pole 9M]],Logfile_S[SiteID],Site_DB[[#This Row],[Site ID]],Logfile_S[Transaction  Type],"outBOUND")</f>
        <v>3</v>
      </c>
      <c r="AB20" s="227"/>
      <c r="AC20" s="227"/>
      <c r="AD20" s="227"/>
      <c r="AE20" s="227"/>
      <c r="AF20" s="227"/>
      <c r="AG20" s="227"/>
      <c r="AH20" s="227"/>
      <c r="AI20" s="227"/>
    </row>
    <row r="21" spans="1:35" ht="14.5">
      <c r="A21" s="508">
        <f t="shared" si="0"/>
        <v>17</v>
      </c>
      <c r="B21" s="241" t="s">
        <v>71</v>
      </c>
      <c r="C21" s="241" t="s">
        <v>24</v>
      </c>
      <c r="D21" s="241" t="s">
        <v>732</v>
      </c>
      <c r="E21" s="241" t="s">
        <v>733</v>
      </c>
      <c r="F21" s="241" t="s">
        <v>4570</v>
      </c>
      <c r="G21" s="509">
        <v>45274</v>
      </c>
      <c r="H21" s="241" t="s">
        <v>4543</v>
      </c>
      <c r="I21" s="510">
        <f>_xlfn.XLOOKUP(Site_DB[[#This Row],[Site ID]],Logfile_S[SiteID],Logfile_S[Date],"",0,1)</f>
        <v>45282</v>
      </c>
      <c r="J21" s="262">
        <f>_xlfn.IFNA(VLOOKUP(Site_DB[[#This Row],[Site ID]],SUM_DN!B:X,21,0),0)</f>
        <v>0</v>
      </c>
      <c r="K21" s="262">
        <f>SUMIFS(Logfile_S[Qty],Logfile_S[Material Name],Site_DB[[#Headers],[Pole 7M 4"]],Logfile_S[SiteID],Site_DB[[#This Row],[Site ID]],Logfile_S[Transaction  Type],"outBOUND")</f>
        <v>33</v>
      </c>
      <c r="L21" s="262">
        <f>SUMIFS(Logfile_S[Qty],Logfile_S[Material Name],Site_DB[[#Headers],[Pole 7M 3"]],Logfile_S[SiteID],Site_DB[[#This Row],[Site ID]],Logfile_S[Transaction  Type],"outBOUND")</f>
        <v>5</v>
      </c>
      <c r="M21" s="262">
        <f>SUMIFS(Logfile_S[Qty],Logfile_S[Material Name],Site_DB[[#Headers],[Pole 9M]],Logfile_S[SiteID],Site_DB[[#This Row],[Site ID]],Logfile_S[Transaction  Type],"outBOUND")</f>
        <v>0</v>
      </c>
      <c r="N21" s="262">
        <v>3000</v>
      </c>
      <c r="O21" s="262">
        <v>0</v>
      </c>
      <c r="P21" s="262">
        <v>0</v>
      </c>
      <c r="Q21" s="262">
        <v>0</v>
      </c>
      <c r="R21" s="262">
        <v>1</v>
      </c>
      <c r="S21" s="262">
        <v>0</v>
      </c>
      <c r="T21" s="262">
        <v>17</v>
      </c>
      <c r="U21" s="262">
        <v>1</v>
      </c>
      <c r="V21" s="265">
        <v>0</v>
      </c>
      <c r="W21" s="262" t="s">
        <v>4635</v>
      </c>
      <c r="X21" s="227">
        <f>SUMIFS(Logfile_S[Qty],Logfile_S[Material Name],Site_DB[[#Headers],[Pole 7M 2.5"]],Logfile_S[SiteID],Site_DB[[#This Row],[Site ID]],Logfile_S[Transaction  Type],"outBOUND")</f>
        <v>0</v>
      </c>
      <c r="Y21" s="227">
        <f>SUMIFS(Logfile_S[Qty],Logfile_S[Material Name],Site_DB[[#Headers],[Pole 7M 4"]],Logfile_S[SiteID],Site_DB[[#This Row],[Site ID]],Logfile_S[Transaction  Type],"outBOUND")</f>
        <v>33</v>
      </c>
      <c r="Z21" s="227">
        <f>SUMIFS(Logfile_S[Qty],Logfile_S[Material Name],Site_DB[[#Headers],[Pole 7M 3"]],Logfile_S[SiteID],Site_DB[[#This Row],[Site ID]],Logfile_S[Transaction  Type],"outBOUND")</f>
        <v>5</v>
      </c>
      <c r="AA21" s="227">
        <f>SUMIFS(Logfile_S[Qty],Logfile_S[Material Name],Site_DB[[#Headers],[Pole 9M]],Logfile_S[SiteID],Site_DB[[#This Row],[Site ID]],Logfile_S[Transaction  Type],"outBOUND")</f>
        <v>0</v>
      </c>
      <c r="AB21" s="227"/>
      <c r="AC21" s="227"/>
      <c r="AD21" s="227"/>
      <c r="AE21" s="227"/>
      <c r="AF21" s="227"/>
      <c r="AG21" s="227"/>
      <c r="AH21" s="227"/>
      <c r="AI21" s="227"/>
    </row>
    <row r="22" spans="1:35" ht="14.5">
      <c r="A22" s="508">
        <f t="shared" si="0"/>
        <v>18</v>
      </c>
      <c r="B22" s="241" t="s">
        <v>71</v>
      </c>
      <c r="C22" s="241" t="s">
        <v>24</v>
      </c>
      <c r="D22" s="241" t="s">
        <v>1161</v>
      </c>
      <c r="E22" s="241" t="s">
        <v>1162</v>
      </c>
      <c r="F22" s="241" t="s">
        <v>4573</v>
      </c>
      <c r="G22" s="509">
        <v>45274</v>
      </c>
      <c r="H22" s="241" t="s">
        <v>4543</v>
      </c>
      <c r="I22" s="510">
        <f>_xlfn.XLOOKUP(Site_DB[[#This Row],[Site ID]],Logfile_S[SiteID],Logfile_S[Date],"",0,1)</f>
        <v>45371</v>
      </c>
      <c r="J22" s="262">
        <f>_xlfn.IFNA(VLOOKUP(Site_DB[[#This Row],[Site ID]],SUM_DN!B:X,21,0),0)</f>
        <v>0</v>
      </c>
      <c r="K22" s="262">
        <f>SUMIFS(Logfile_S[Qty],Logfile_S[Material Name],Site_DB[[#Headers],[Pole 7M 4"]],Logfile_S[SiteID],Site_DB[[#This Row],[Site ID]],Logfile_S[Transaction  Type],"outBOUND")</f>
        <v>54</v>
      </c>
      <c r="L22" s="262">
        <f>SUMIFS(Logfile_S[Qty],Logfile_S[Material Name],Site_DB[[#Headers],[Pole 7M 3"]],Logfile_S[SiteID],Site_DB[[#This Row],[Site ID]],Logfile_S[Transaction  Type],"outBOUND")</f>
        <v>8</v>
      </c>
      <c r="M22" s="262">
        <f>SUMIFS(Logfile_S[Qty],Logfile_S[Material Name],Site_DB[[#Headers],[Pole 9M]],Logfile_S[SiteID],Site_DB[[#This Row],[Site ID]],Logfile_S[Transaction  Type],"outBOUND")</f>
        <v>0</v>
      </c>
      <c r="N22" s="262">
        <v>0</v>
      </c>
      <c r="O22" s="262">
        <v>0</v>
      </c>
      <c r="P22" s="262">
        <v>0</v>
      </c>
      <c r="Q22" s="262">
        <v>0</v>
      </c>
      <c r="R22" s="262">
        <v>1</v>
      </c>
      <c r="S22" s="262">
        <v>0</v>
      </c>
      <c r="T22" s="262">
        <v>10</v>
      </c>
      <c r="U22" s="262">
        <v>1</v>
      </c>
      <c r="V22" s="265">
        <v>0</v>
      </c>
      <c r="W22" s="262" t="s">
        <v>4635</v>
      </c>
      <c r="X22" s="227">
        <f>SUMIFS(Logfile_S[Qty],Logfile_S[Material Name],Site_DB[[#Headers],[Pole 7M 2.5"]],Logfile_S[SiteID],Site_DB[[#This Row],[Site ID]],Logfile_S[Transaction  Type],"outBOUND")</f>
        <v>0</v>
      </c>
      <c r="Y22" s="227">
        <f>SUMIFS(Logfile_S[Qty],Logfile_S[Material Name],Site_DB[[#Headers],[Pole 7M 4"]],Logfile_S[SiteID],Site_DB[[#This Row],[Site ID]],Logfile_S[Transaction  Type],"outBOUND")</f>
        <v>54</v>
      </c>
      <c r="Z22" s="227">
        <f>SUMIFS(Logfile_S[Qty],Logfile_S[Material Name],Site_DB[[#Headers],[Pole 7M 3"]],Logfile_S[SiteID],Site_DB[[#This Row],[Site ID]],Logfile_S[Transaction  Type],"outBOUND")</f>
        <v>8</v>
      </c>
      <c r="AA22" s="227">
        <f>SUMIFS(Logfile_S[Qty],Logfile_S[Material Name],Site_DB[[#Headers],[Pole 9M]],Logfile_S[SiteID],Site_DB[[#This Row],[Site ID]],Logfile_S[Transaction  Type],"outBOUND")</f>
        <v>0</v>
      </c>
      <c r="AB22" s="227"/>
      <c r="AC22" s="227"/>
      <c r="AD22" s="227"/>
      <c r="AE22" s="227"/>
      <c r="AF22" s="227"/>
      <c r="AG22" s="227"/>
      <c r="AH22" s="227"/>
      <c r="AI22" s="227"/>
    </row>
    <row r="23" spans="1:35" ht="14.5">
      <c r="A23" s="508">
        <f t="shared" si="0"/>
        <v>19</v>
      </c>
      <c r="B23" s="241" t="s">
        <v>71</v>
      </c>
      <c r="C23" s="241" t="s">
        <v>24</v>
      </c>
      <c r="D23" s="241" t="s">
        <v>738</v>
      </c>
      <c r="E23" s="241" t="s">
        <v>739</v>
      </c>
      <c r="F23" s="241" t="s">
        <v>4547</v>
      </c>
      <c r="G23" s="509">
        <v>45274</v>
      </c>
      <c r="H23" s="241" t="s">
        <v>4548</v>
      </c>
      <c r="I23" s="510">
        <f>_xlfn.XLOOKUP(Site_DB[[#This Row],[Site ID]],Logfile_S[SiteID],Logfile_S[Date],"",0,1)</f>
        <v>45287</v>
      </c>
      <c r="J23" s="262">
        <f>_xlfn.IFNA(VLOOKUP(Site_DB[[#This Row],[Site ID]],SUM_DN!B:X,21,0),0)</f>
        <v>0</v>
      </c>
      <c r="K23" s="262">
        <f>SUMIFS(Logfile_S[Qty],Logfile_S[Material Name],Site_DB[[#Headers],[Pole 7M 4"]],Logfile_S[SiteID],Site_DB[[#This Row],[Site ID]],Logfile_S[Transaction  Type],"outBOUND")</f>
        <v>48</v>
      </c>
      <c r="L23" s="262">
        <f>SUMIFS(Logfile_S[Qty],Logfile_S[Material Name],Site_DB[[#Headers],[Pole 7M 3"]],Logfile_S[SiteID],Site_DB[[#This Row],[Site ID]],Logfile_S[Transaction  Type],"outBOUND")</f>
        <v>9</v>
      </c>
      <c r="M23" s="262">
        <f>SUMIFS(Logfile_S[Qty],Logfile_S[Material Name],Site_DB[[#Headers],[Pole 9M]],Logfile_S[SiteID],Site_DB[[#This Row],[Site ID]],Logfile_S[Transaction  Type],"outBOUND")</f>
        <v>2</v>
      </c>
      <c r="N23" s="262">
        <v>3000</v>
      </c>
      <c r="O23" s="262">
        <v>0</v>
      </c>
      <c r="P23" s="262">
        <v>0</v>
      </c>
      <c r="Q23" s="262">
        <v>0</v>
      </c>
      <c r="R23" s="262">
        <v>1</v>
      </c>
      <c r="S23" s="262">
        <v>0</v>
      </c>
      <c r="T23" s="262">
        <v>19</v>
      </c>
      <c r="U23" s="262">
        <v>0</v>
      </c>
      <c r="V23" s="265">
        <v>0</v>
      </c>
      <c r="W23" s="262" t="s">
        <v>4635</v>
      </c>
      <c r="X23" s="227">
        <f>SUMIFS(Logfile_S[Qty],Logfile_S[Material Name],Site_DB[[#Headers],[Pole 7M 2.5"]],Logfile_S[SiteID],Site_DB[[#This Row],[Site ID]],Logfile_S[Transaction  Type],"outBOUND")</f>
        <v>0</v>
      </c>
      <c r="Y23" s="227">
        <f>SUMIFS(Logfile_S[Qty],Logfile_S[Material Name],Site_DB[[#Headers],[Pole 7M 4"]],Logfile_S[SiteID],Site_DB[[#This Row],[Site ID]],Logfile_S[Transaction  Type],"outBOUND")</f>
        <v>48</v>
      </c>
      <c r="Z23" s="227">
        <f>SUMIFS(Logfile_S[Qty],Logfile_S[Material Name],Site_DB[[#Headers],[Pole 7M 3"]],Logfile_S[SiteID],Site_DB[[#This Row],[Site ID]],Logfile_S[Transaction  Type],"outBOUND")</f>
        <v>9</v>
      </c>
      <c r="AA23" s="227">
        <f>SUMIFS(Logfile_S[Qty],Logfile_S[Material Name],Site_DB[[#Headers],[Pole 9M]],Logfile_S[SiteID],Site_DB[[#This Row],[Site ID]],Logfile_S[Transaction  Type],"outBOUND")</f>
        <v>2</v>
      </c>
      <c r="AB23" s="227"/>
      <c r="AC23" s="227"/>
      <c r="AD23" s="227"/>
      <c r="AE23" s="227"/>
      <c r="AF23" s="227"/>
      <c r="AG23" s="227"/>
      <c r="AH23" s="227"/>
      <c r="AI23" s="227"/>
    </row>
    <row r="24" spans="1:35" ht="14.5">
      <c r="A24" s="508">
        <f t="shared" si="0"/>
        <v>20</v>
      </c>
      <c r="B24" s="241" t="s">
        <v>71</v>
      </c>
      <c r="C24" s="241" t="s">
        <v>24</v>
      </c>
      <c r="D24" s="241" t="s">
        <v>742</v>
      </c>
      <c r="E24" s="241" t="s">
        <v>743</v>
      </c>
      <c r="F24" s="241" t="s">
        <v>4549</v>
      </c>
      <c r="G24" s="509">
        <v>45274</v>
      </c>
      <c r="H24" s="241" t="s">
        <v>4543</v>
      </c>
      <c r="I24" s="510">
        <f>_xlfn.XLOOKUP(Site_DB[[#This Row],[Site ID]],Logfile_S[SiteID],Logfile_S[Date],"",0,1)</f>
        <v>45287</v>
      </c>
      <c r="J24" s="262">
        <f>_xlfn.IFNA(VLOOKUP(Site_DB[[#This Row],[Site ID]],SUM_DN!B:X,21,0),0)</f>
        <v>0</v>
      </c>
      <c r="K24" s="262">
        <f>SUMIFS(Logfile_S[Qty],Logfile_S[Material Name],Site_DB[[#Headers],[Pole 7M 4"]],Logfile_S[SiteID],Site_DB[[#This Row],[Site ID]],Logfile_S[Transaction  Type],"outBOUND")</f>
        <v>77</v>
      </c>
      <c r="L24" s="262">
        <f>SUMIFS(Logfile_S[Qty],Logfile_S[Material Name],Site_DB[[#Headers],[Pole 7M 3"]],Logfile_S[SiteID],Site_DB[[#This Row],[Site ID]],Logfile_S[Transaction  Type],"outBOUND")</f>
        <v>10</v>
      </c>
      <c r="M24" s="262">
        <f>SUMIFS(Logfile_S[Qty],Logfile_S[Material Name],Site_DB[[#Headers],[Pole 9M]],Logfile_S[SiteID],Site_DB[[#This Row],[Site ID]],Logfile_S[Transaction  Type],"outBOUND")</f>
        <v>6</v>
      </c>
      <c r="N24" s="262">
        <v>0</v>
      </c>
      <c r="O24" s="262">
        <v>0</v>
      </c>
      <c r="P24" s="262">
        <v>0</v>
      </c>
      <c r="Q24" s="262">
        <v>0</v>
      </c>
      <c r="R24" s="262">
        <v>1</v>
      </c>
      <c r="S24" s="262">
        <v>0</v>
      </c>
      <c r="T24" s="262">
        <v>24</v>
      </c>
      <c r="U24" s="262">
        <v>0</v>
      </c>
      <c r="V24" s="265">
        <v>0</v>
      </c>
      <c r="W24" s="262" t="s">
        <v>4635</v>
      </c>
      <c r="X24" s="227">
        <f>SUMIFS(Logfile_S[Qty],Logfile_S[Material Name],Site_DB[[#Headers],[Pole 7M 2.5"]],Logfile_S[SiteID],Site_DB[[#This Row],[Site ID]],Logfile_S[Transaction  Type],"outBOUND")</f>
        <v>0</v>
      </c>
      <c r="Y24" s="227">
        <f>SUMIFS(Logfile_S[Qty],Logfile_S[Material Name],Site_DB[[#Headers],[Pole 7M 4"]],Logfile_S[SiteID],Site_DB[[#This Row],[Site ID]],Logfile_S[Transaction  Type],"outBOUND")</f>
        <v>77</v>
      </c>
      <c r="Z24" s="227">
        <f>SUMIFS(Logfile_S[Qty],Logfile_S[Material Name],Site_DB[[#Headers],[Pole 7M 3"]],Logfile_S[SiteID],Site_DB[[#This Row],[Site ID]],Logfile_S[Transaction  Type],"outBOUND")</f>
        <v>10</v>
      </c>
      <c r="AA24" s="227">
        <f>SUMIFS(Logfile_S[Qty],Logfile_S[Material Name],Site_DB[[#Headers],[Pole 9M]],Logfile_S[SiteID],Site_DB[[#This Row],[Site ID]],Logfile_S[Transaction  Type],"outBOUND")</f>
        <v>6</v>
      </c>
      <c r="AB24" s="227"/>
      <c r="AC24" s="227"/>
      <c r="AD24" s="227"/>
      <c r="AE24" s="227"/>
      <c r="AF24" s="227"/>
      <c r="AG24" s="227"/>
      <c r="AH24" s="227"/>
      <c r="AI24" s="227"/>
    </row>
    <row r="25" spans="1:35" ht="14.5">
      <c r="A25" s="508">
        <f t="shared" si="0"/>
        <v>21</v>
      </c>
      <c r="B25" s="241" t="s">
        <v>71</v>
      </c>
      <c r="C25" s="241" t="s">
        <v>24</v>
      </c>
      <c r="D25" s="241" t="s">
        <v>1081</v>
      </c>
      <c r="E25" s="241" t="s">
        <v>1082</v>
      </c>
      <c r="F25" s="241" t="s">
        <v>1082</v>
      </c>
      <c r="G25" s="509">
        <v>45274</v>
      </c>
      <c r="H25" s="241" t="s">
        <v>4546</v>
      </c>
      <c r="I25" s="510">
        <f>_xlfn.XLOOKUP(Site_DB[[#This Row],[Site ID]],Logfile_S[SiteID],Logfile_S[Date],"",0,1)</f>
        <v>45404</v>
      </c>
      <c r="J25" s="262">
        <f>_xlfn.IFNA(VLOOKUP(Site_DB[[#This Row],[Site ID]],SUM_DN!B:X,21,0),0)</f>
        <v>0</v>
      </c>
      <c r="K25" s="262">
        <f>SUMIFS(Logfile_S[Qty],Logfile_S[Material Name],Site_DB[[#Headers],[Pole 7M 4"]],Logfile_S[SiteID],Site_DB[[#This Row],[Site ID]],Logfile_S[Transaction  Type],"outBOUND")</f>
        <v>62</v>
      </c>
      <c r="L25" s="262">
        <f>SUMIFS(Logfile_S[Qty],Logfile_S[Material Name],Site_DB[[#Headers],[Pole 7M 3"]],Logfile_S[SiteID],Site_DB[[#This Row],[Site ID]],Logfile_S[Transaction  Type],"outBOUND")</f>
        <v>13</v>
      </c>
      <c r="M25" s="262">
        <f>SUMIFS(Logfile_S[Qty],Logfile_S[Material Name],Site_DB[[#Headers],[Pole 9M]],Logfile_S[SiteID],Site_DB[[#This Row],[Site ID]],Logfile_S[Transaction  Type],"outBOUND")</f>
        <v>0</v>
      </c>
      <c r="N25" s="262">
        <v>0</v>
      </c>
      <c r="O25" s="262">
        <v>3000</v>
      </c>
      <c r="P25" s="262">
        <v>0</v>
      </c>
      <c r="Q25" s="262">
        <v>0</v>
      </c>
      <c r="R25" s="262">
        <v>1</v>
      </c>
      <c r="S25" s="262">
        <v>0</v>
      </c>
      <c r="T25" s="262">
        <v>15</v>
      </c>
      <c r="U25" s="262">
        <v>0</v>
      </c>
      <c r="V25" s="265">
        <v>0</v>
      </c>
      <c r="W25" s="262" t="s">
        <v>4635</v>
      </c>
      <c r="X25" s="227">
        <f>SUMIFS(Logfile_S[Qty],Logfile_S[Material Name],Site_DB[[#Headers],[Pole 7M 2.5"]],Logfile_S[SiteID],Site_DB[[#This Row],[Site ID]],Logfile_S[Transaction  Type],"outBOUND")</f>
        <v>0</v>
      </c>
      <c r="Y25" s="227">
        <f>SUMIFS(Logfile_S[Qty],Logfile_S[Material Name],Site_DB[[#Headers],[Pole 7M 4"]],Logfile_S[SiteID],Site_DB[[#This Row],[Site ID]],Logfile_S[Transaction  Type],"outBOUND")</f>
        <v>62</v>
      </c>
      <c r="Z25" s="227">
        <f>SUMIFS(Logfile_S[Qty],Logfile_S[Material Name],Site_DB[[#Headers],[Pole 7M 3"]],Logfile_S[SiteID],Site_DB[[#This Row],[Site ID]],Logfile_S[Transaction  Type],"outBOUND")</f>
        <v>13</v>
      </c>
      <c r="AA25" s="227">
        <f>SUMIFS(Logfile_S[Qty],Logfile_S[Material Name],Site_DB[[#Headers],[Pole 9M]],Logfile_S[SiteID],Site_DB[[#This Row],[Site ID]],Logfile_S[Transaction  Type],"outBOUND")</f>
        <v>0</v>
      </c>
      <c r="AB25" s="227"/>
      <c r="AC25" s="227"/>
      <c r="AD25" s="227"/>
      <c r="AE25" s="227"/>
      <c r="AF25" s="227"/>
      <c r="AG25" s="227"/>
      <c r="AH25" s="227"/>
      <c r="AI25" s="227"/>
    </row>
    <row r="26" spans="1:35" ht="14.5">
      <c r="A26" s="508">
        <f t="shared" si="0"/>
        <v>22</v>
      </c>
      <c r="B26" s="241" t="s">
        <v>71</v>
      </c>
      <c r="C26" s="241" t="s">
        <v>24</v>
      </c>
      <c r="D26" s="241" t="s">
        <v>828</v>
      </c>
      <c r="E26" s="241" t="s">
        <v>829</v>
      </c>
      <c r="F26" s="241" t="s">
        <v>4567</v>
      </c>
      <c r="G26" s="509">
        <v>45274</v>
      </c>
      <c r="H26" s="241" t="s">
        <v>4548</v>
      </c>
      <c r="I26" s="510">
        <f>_xlfn.XLOOKUP(Site_DB[[#This Row],[Site ID]],Logfile_S[SiteID],Logfile_S[Date],"",0,1)</f>
        <v>45305</v>
      </c>
      <c r="J26" s="262">
        <f>_xlfn.IFNA(VLOOKUP(Site_DB[[#This Row],[Site ID]],SUM_DN!B:X,21,0),0)</f>
        <v>0</v>
      </c>
      <c r="K26" s="262">
        <f>SUMIFS(Logfile_S[Qty],Logfile_S[Material Name],Site_DB[[#Headers],[Pole 7M 4"]],Logfile_S[SiteID],Site_DB[[#This Row],[Site ID]],Logfile_S[Transaction  Type],"outBOUND")</f>
        <v>173</v>
      </c>
      <c r="L26" s="262">
        <f>SUMIFS(Logfile_S[Qty],Logfile_S[Material Name],Site_DB[[#Headers],[Pole 7M 3"]],Logfile_S[SiteID],Site_DB[[#This Row],[Site ID]],Logfile_S[Transaction  Type],"outBOUND")</f>
        <v>21</v>
      </c>
      <c r="M26" s="262">
        <f>SUMIFS(Logfile_S[Qty],Logfile_S[Material Name],Site_DB[[#Headers],[Pole 9M]],Logfile_S[SiteID],Site_DB[[#This Row],[Site ID]],Logfile_S[Transaction  Type],"outBOUND")</f>
        <v>0</v>
      </c>
      <c r="N26" s="262">
        <v>6000</v>
      </c>
      <c r="O26" s="262">
        <v>3000</v>
      </c>
      <c r="P26" s="262">
        <v>0</v>
      </c>
      <c r="Q26" s="262">
        <v>0</v>
      </c>
      <c r="R26" s="262">
        <v>3</v>
      </c>
      <c r="S26" s="262">
        <v>0</v>
      </c>
      <c r="T26" s="262">
        <v>65</v>
      </c>
      <c r="U26" s="262">
        <v>1</v>
      </c>
      <c r="V26" s="265">
        <v>0</v>
      </c>
      <c r="W26" s="262" t="s">
        <v>4635</v>
      </c>
      <c r="X26" s="227">
        <f>SUMIFS(Logfile_S[Qty],Logfile_S[Material Name],Site_DB[[#Headers],[Pole 7M 2.5"]],Logfile_S[SiteID],Site_DB[[#This Row],[Site ID]],Logfile_S[Transaction  Type],"outBOUND")</f>
        <v>0</v>
      </c>
      <c r="Y26" s="227">
        <f>SUMIFS(Logfile_S[Qty],Logfile_S[Material Name],Site_DB[[#Headers],[Pole 7M 4"]],Logfile_S[SiteID],Site_DB[[#This Row],[Site ID]],Logfile_S[Transaction  Type],"outBOUND")</f>
        <v>173</v>
      </c>
      <c r="Z26" s="227">
        <f>SUMIFS(Logfile_S[Qty],Logfile_S[Material Name],Site_DB[[#Headers],[Pole 7M 3"]],Logfile_S[SiteID],Site_DB[[#This Row],[Site ID]],Logfile_S[Transaction  Type],"outBOUND")</f>
        <v>21</v>
      </c>
      <c r="AA26" s="227">
        <f>SUMIFS(Logfile_S[Qty],Logfile_S[Material Name],Site_DB[[#Headers],[Pole 9M]],Logfile_S[SiteID],Site_DB[[#This Row],[Site ID]],Logfile_S[Transaction  Type],"outBOUND")</f>
        <v>0</v>
      </c>
      <c r="AB26" s="227"/>
      <c r="AC26" s="227"/>
      <c r="AD26" s="227"/>
      <c r="AE26" s="227"/>
      <c r="AF26" s="227"/>
      <c r="AG26" s="227"/>
      <c r="AH26" s="227"/>
      <c r="AI26" s="227"/>
    </row>
    <row r="27" spans="1:35" ht="14.5">
      <c r="A27" s="508">
        <f t="shared" si="0"/>
        <v>23</v>
      </c>
      <c r="B27" s="241" t="s">
        <v>71</v>
      </c>
      <c r="C27" s="241" t="s">
        <v>24</v>
      </c>
      <c r="D27" s="241" t="s">
        <v>2013</v>
      </c>
      <c r="E27" s="241" t="s">
        <v>2014</v>
      </c>
      <c r="F27" s="241" t="s">
        <v>2014</v>
      </c>
      <c r="G27" s="509">
        <v>45291</v>
      </c>
      <c r="H27" s="241" t="s">
        <v>4543</v>
      </c>
      <c r="I27" s="510">
        <f>_xlfn.XLOOKUP(Site_DB[[#This Row],[Site ID]],Logfile_S[SiteID],Logfile_S[Date],"",0,1)</f>
        <v>45477</v>
      </c>
      <c r="J27" s="262">
        <f>_xlfn.IFNA(VLOOKUP(Site_DB[[#This Row],[Site ID]],SUM_DN!B:X,21,0),0)</f>
        <v>0</v>
      </c>
      <c r="K27" s="262">
        <f>SUMIFS(Logfile_S[Qty],Logfile_S[Material Name],Site_DB[[#Headers],[Pole 7M 4"]],Logfile_S[SiteID],Site_DB[[#This Row],[Site ID]],Logfile_S[Transaction  Type],"outBOUND")</f>
        <v>58</v>
      </c>
      <c r="L27" s="262">
        <f>SUMIFS(Logfile_S[Qty],Logfile_S[Material Name],Site_DB[[#Headers],[Pole 7M 3"]],Logfile_S[SiteID],Site_DB[[#This Row],[Site ID]],Logfile_S[Transaction  Type],"outBOUND")</f>
        <v>0</v>
      </c>
      <c r="M27" s="262">
        <f>SUMIFS(Logfile_S[Qty],Logfile_S[Material Name],Site_DB[[#Headers],[Pole 9M]],Logfile_S[SiteID],Site_DB[[#This Row],[Site ID]],Logfile_S[Transaction  Type],"outBOUND")</f>
        <v>0</v>
      </c>
      <c r="N27" s="262">
        <v>3000</v>
      </c>
      <c r="O27" s="262">
        <v>0</v>
      </c>
      <c r="P27" s="262">
        <v>0</v>
      </c>
      <c r="Q27" s="262">
        <v>0</v>
      </c>
      <c r="R27" s="262">
        <v>1</v>
      </c>
      <c r="S27" s="262">
        <v>0</v>
      </c>
      <c r="T27" s="262">
        <v>13</v>
      </c>
      <c r="U27" s="262">
        <v>0</v>
      </c>
      <c r="V27" s="265">
        <v>0</v>
      </c>
      <c r="W27" s="262" t="s">
        <v>4635</v>
      </c>
      <c r="X27" s="227">
        <f>SUMIFS(Logfile_S[Qty],Logfile_S[Material Name],Site_DB[[#Headers],[Pole 7M 2.5"]],Logfile_S[SiteID],Site_DB[[#This Row],[Site ID]],Logfile_S[Transaction  Type],"outBOUND")</f>
        <v>0</v>
      </c>
      <c r="Y27" s="227">
        <f>SUMIFS(Logfile_S[Qty],Logfile_S[Material Name],Site_DB[[#Headers],[Pole 7M 4"]],Logfile_S[SiteID],Site_DB[[#This Row],[Site ID]],Logfile_S[Transaction  Type],"outBOUND")</f>
        <v>58</v>
      </c>
      <c r="Z27" s="227">
        <f>SUMIFS(Logfile_S[Qty],Logfile_S[Material Name],Site_DB[[#Headers],[Pole 7M 3"]],Logfile_S[SiteID],Site_DB[[#This Row],[Site ID]],Logfile_S[Transaction  Type],"outBOUND")</f>
        <v>0</v>
      </c>
      <c r="AA27" s="227">
        <f>SUMIFS(Logfile_S[Qty],Logfile_S[Material Name],Site_DB[[#Headers],[Pole 9M]],Logfile_S[SiteID],Site_DB[[#This Row],[Site ID]],Logfile_S[Transaction  Type],"outBOUND")</f>
        <v>0</v>
      </c>
      <c r="AB27" s="227"/>
      <c r="AC27" s="227"/>
      <c r="AD27" s="227"/>
      <c r="AE27" s="227"/>
      <c r="AF27" s="227"/>
      <c r="AG27" s="227"/>
      <c r="AH27" s="227"/>
      <c r="AI27" s="227"/>
    </row>
    <row r="28" spans="1:35" ht="14.5">
      <c r="A28" s="508">
        <f t="shared" si="0"/>
        <v>24</v>
      </c>
      <c r="B28" s="241" t="s">
        <v>71</v>
      </c>
      <c r="C28" s="241" t="s">
        <v>24</v>
      </c>
      <c r="D28" s="241" t="s">
        <v>1721</v>
      </c>
      <c r="E28" s="241" t="s">
        <v>1722</v>
      </c>
      <c r="F28" s="241" t="s">
        <v>1722</v>
      </c>
      <c r="G28" s="509">
        <v>45291</v>
      </c>
      <c r="H28" s="241" t="s">
        <v>4543</v>
      </c>
      <c r="I28" s="510">
        <f>_xlfn.XLOOKUP(Site_DB[[#This Row],[Site ID]],Logfile_S[SiteID],Logfile_S[Date],"",0,1)</f>
        <v>45470</v>
      </c>
      <c r="J28" s="262">
        <f>_xlfn.IFNA(VLOOKUP(Site_DB[[#This Row],[Site ID]],SUM_DN!B:X,21,0),0)</f>
        <v>0</v>
      </c>
      <c r="K28" s="262">
        <f>SUMIFS(Logfile_S[Qty],Logfile_S[Material Name],Site_DB[[#Headers],[Pole 7M 4"]],Logfile_S[SiteID],Site_DB[[#This Row],[Site ID]],Logfile_S[Transaction  Type],"outBOUND")</f>
        <v>20</v>
      </c>
      <c r="L28" s="262">
        <f>SUMIFS(Logfile_S[Qty],Logfile_S[Material Name],Site_DB[[#Headers],[Pole 7M 3"]],Logfile_S[SiteID],Site_DB[[#This Row],[Site ID]],Logfile_S[Transaction  Type],"outBOUND")</f>
        <v>0</v>
      </c>
      <c r="M28" s="262">
        <f>SUMIFS(Logfile_S[Qty],Logfile_S[Material Name],Site_DB[[#Headers],[Pole 9M]],Logfile_S[SiteID],Site_DB[[#This Row],[Site ID]],Logfile_S[Transaction  Type],"outBOUND")</f>
        <v>0</v>
      </c>
      <c r="N28" s="262">
        <v>0</v>
      </c>
      <c r="O28" s="262">
        <v>3000</v>
      </c>
      <c r="P28" s="262">
        <v>0</v>
      </c>
      <c r="Q28" s="262">
        <v>0</v>
      </c>
      <c r="R28" s="262">
        <v>2</v>
      </c>
      <c r="S28" s="262">
        <v>0</v>
      </c>
      <c r="T28" s="262">
        <v>29</v>
      </c>
      <c r="U28" s="262">
        <v>0</v>
      </c>
      <c r="V28" s="265">
        <v>0</v>
      </c>
      <c r="W28" s="262" t="s">
        <v>4635</v>
      </c>
      <c r="X28" s="227">
        <f>SUMIFS(Logfile_S[Qty],Logfile_S[Material Name],Site_DB[[#Headers],[Pole 7M 2.5"]],Logfile_S[SiteID],Site_DB[[#This Row],[Site ID]],Logfile_S[Transaction  Type],"outBOUND")</f>
        <v>0</v>
      </c>
      <c r="Y28" s="227">
        <f>SUMIFS(Logfile_S[Qty],Logfile_S[Material Name],Site_DB[[#Headers],[Pole 7M 4"]],Logfile_S[SiteID],Site_DB[[#This Row],[Site ID]],Logfile_S[Transaction  Type],"outBOUND")</f>
        <v>20</v>
      </c>
      <c r="Z28" s="227">
        <f>SUMIFS(Logfile_S[Qty],Logfile_S[Material Name],Site_DB[[#Headers],[Pole 7M 3"]],Logfile_S[SiteID],Site_DB[[#This Row],[Site ID]],Logfile_S[Transaction  Type],"outBOUND")</f>
        <v>0</v>
      </c>
      <c r="AA28" s="227">
        <f>SUMIFS(Logfile_S[Qty],Logfile_S[Material Name],Site_DB[[#Headers],[Pole 9M]],Logfile_S[SiteID],Site_DB[[#This Row],[Site ID]],Logfile_S[Transaction  Type],"outBOUND")</f>
        <v>0</v>
      </c>
      <c r="AB28" s="227"/>
      <c r="AC28" s="227"/>
      <c r="AD28" s="227"/>
      <c r="AE28" s="227"/>
      <c r="AF28" s="227"/>
      <c r="AG28" s="227"/>
      <c r="AH28" s="227"/>
      <c r="AI28" s="227"/>
    </row>
    <row r="29" spans="1:35" ht="14.5">
      <c r="A29" s="508">
        <f t="shared" si="0"/>
        <v>25</v>
      </c>
      <c r="B29" s="241" t="s">
        <v>71</v>
      </c>
      <c r="C29" s="241" t="s">
        <v>24</v>
      </c>
      <c r="D29" s="241" t="s">
        <v>911</v>
      </c>
      <c r="E29" s="241" t="s">
        <v>912</v>
      </c>
      <c r="F29" s="241" t="s">
        <v>4545</v>
      </c>
      <c r="G29" s="509">
        <v>45291</v>
      </c>
      <c r="H29" s="241" t="s">
        <v>4546</v>
      </c>
      <c r="I29" s="510">
        <f>_xlfn.XLOOKUP(Site_DB[[#This Row],[Site ID]],Logfile_S[SiteID],Logfile_S[Date],"",0,1)</f>
        <v>45337</v>
      </c>
      <c r="J29" s="262">
        <f>_xlfn.IFNA(VLOOKUP(Site_DB[[#This Row],[Site ID]],SUM_DN!B:X,21,0),0)</f>
        <v>0</v>
      </c>
      <c r="K29" s="262">
        <f>SUMIFS(Logfile_S[Qty],Logfile_S[Material Name],Site_DB[[#Headers],[Pole 7M 4"]],Logfile_S[SiteID],Site_DB[[#This Row],[Site ID]],Logfile_S[Transaction  Type],"outBOUND")</f>
        <v>15</v>
      </c>
      <c r="L29" s="262">
        <f>SUMIFS(Logfile_S[Qty],Logfile_S[Material Name],Site_DB[[#Headers],[Pole 7M 3"]],Logfile_S[SiteID],Site_DB[[#This Row],[Site ID]],Logfile_S[Transaction  Type],"outBOUND")</f>
        <v>7</v>
      </c>
      <c r="M29" s="262">
        <f>SUMIFS(Logfile_S[Qty],Logfile_S[Material Name],Site_DB[[#Headers],[Pole 9M]],Logfile_S[SiteID],Site_DB[[#This Row],[Site ID]],Logfile_S[Transaction  Type],"outBOUND")</f>
        <v>0</v>
      </c>
      <c r="N29" s="262">
        <v>0</v>
      </c>
      <c r="O29" s="262">
        <v>0</v>
      </c>
      <c r="P29" s="262">
        <v>0</v>
      </c>
      <c r="Q29" s="262">
        <v>0</v>
      </c>
      <c r="R29" s="262">
        <v>1</v>
      </c>
      <c r="S29" s="262">
        <v>0</v>
      </c>
      <c r="T29" s="262">
        <v>7</v>
      </c>
      <c r="U29" s="262">
        <v>0</v>
      </c>
      <c r="V29" s="265">
        <v>0</v>
      </c>
      <c r="W29" s="262" t="s">
        <v>4635</v>
      </c>
      <c r="X29" s="227">
        <f>SUMIFS(Logfile_S[Qty],Logfile_S[Material Name],Site_DB[[#Headers],[Pole 7M 2.5"]],Logfile_S[SiteID],Site_DB[[#This Row],[Site ID]],Logfile_S[Transaction  Type],"outBOUND")</f>
        <v>0</v>
      </c>
      <c r="Y29" s="227">
        <f>SUMIFS(Logfile_S[Qty],Logfile_S[Material Name],Site_DB[[#Headers],[Pole 7M 4"]],Logfile_S[SiteID],Site_DB[[#This Row],[Site ID]],Logfile_S[Transaction  Type],"outBOUND")</f>
        <v>15</v>
      </c>
      <c r="Z29" s="227">
        <f>SUMIFS(Logfile_S[Qty],Logfile_S[Material Name],Site_DB[[#Headers],[Pole 7M 3"]],Logfile_S[SiteID],Site_DB[[#This Row],[Site ID]],Logfile_S[Transaction  Type],"outBOUND")</f>
        <v>7</v>
      </c>
      <c r="AA29" s="227">
        <f>SUMIFS(Logfile_S[Qty],Logfile_S[Material Name],Site_DB[[#Headers],[Pole 9M]],Logfile_S[SiteID],Site_DB[[#This Row],[Site ID]],Logfile_S[Transaction  Type],"outBOUND")</f>
        <v>0</v>
      </c>
      <c r="AB29" s="227"/>
      <c r="AC29" s="227"/>
      <c r="AD29" s="227"/>
      <c r="AE29" s="227"/>
      <c r="AF29" s="227"/>
      <c r="AG29" s="227"/>
      <c r="AH29" s="227"/>
      <c r="AI29" s="227"/>
    </row>
    <row r="30" spans="1:35" ht="14.5">
      <c r="A30" s="508">
        <f t="shared" si="0"/>
        <v>26</v>
      </c>
      <c r="B30" s="241" t="s">
        <v>71</v>
      </c>
      <c r="C30" s="241" t="s">
        <v>24</v>
      </c>
      <c r="D30" s="241" t="s">
        <v>1689</v>
      </c>
      <c r="E30" s="241" t="s">
        <v>1690</v>
      </c>
      <c r="F30" s="241" t="s">
        <v>1690</v>
      </c>
      <c r="G30" s="509">
        <v>45291</v>
      </c>
      <c r="H30" s="241" t="s">
        <v>4548</v>
      </c>
      <c r="I30" s="510">
        <f>_xlfn.XLOOKUP(Site_DB[[#This Row],[Site ID]],Logfile_S[SiteID],Logfile_S[Date],"",0,1)</f>
        <v>45464</v>
      </c>
      <c r="J30" s="262">
        <f>_xlfn.IFNA(VLOOKUP(Site_DB[[#This Row],[Site ID]],SUM_DN!B:X,21,0),0)</f>
        <v>0</v>
      </c>
      <c r="K30" s="262">
        <f>SUMIFS(Logfile_S[Qty],Logfile_S[Material Name],Site_DB[[#Headers],[Pole 7M 4"]],Logfile_S[SiteID],Site_DB[[#This Row],[Site ID]],Logfile_S[Transaction  Type],"outBOUND")</f>
        <v>43</v>
      </c>
      <c r="L30" s="262">
        <f>SUMIFS(Logfile_S[Qty],Logfile_S[Material Name],Site_DB[[#Headers],[Pole 7M 3"]],Logfile_S[SiteID],Site_DB[[#This Row],[Site ID]],Logfile_S[Transaction  Type],"outBOUND")</f>
        <v>7</v>
      </c>
      <c r="M30" s="262">
        <f>SUMIFS(Logfile_S[Qty],Logfile_S[Material Name],Site_DB[[#Headers],[Pole 9M]],Logfile_S[SiteID],Site_DB[[#This Row],[Site ID]],Logfile_S[Transaction  Type],"outBOUND")</f>
        <v>4</v>
      </c>
      <c r="N30" s="262">
        <v>0</v>
      </c>
      <c r="O30" s="262">
        <v>3000</v>
      </c>
      <c r="P30" s="262">
        <v>0</v>
      </c>
      <c r="Q30" s="262">
        <v>0</v>
      </c>
      <c r="R30" s="262">
        <v>1</v>
      </c>
      <c r="S30" s="262">
        <v>0</v>
      </c>
      <c r="T30" s="262">
        <v>20</v>
      </c>
      <c r="U30" s="262">
        <v>0</v>
      </c>
      <c r="V30" s="265">
        <v>0</v>
      </c>
      <c r="W30" s="262" t="s">
        <v>4635</v>
      </c>
      <c r="X30" s="227">
        <f>SUMIFS(Logfile_S[Qty],Logfile_S[Material Name],Site_DB[[#Headers],[Pole 7M 2.5"]],Logfile_S[SiteID],Site_DB[[#This Row],[Site ID]],Logfile_S[Transaction  Type],"outBOUND")</f>
        <v>0</v>
      </c>
      <c r="Y30" s="227">
        <f>SUMIFS(Logfile_S[Qty],Logfile_S[Material Name],Site_DB[[#Headers],[Pole 7M 4"]],Logfile_S[SiteID],Site_DB[[#This Row],[Site ID]],Logfile_S[Transaction  Type],"outBOUND")</f>
        <v>43</v>
      </c>
      <c r="Z30" s="227">
        <f>SUMIFS(Logfile_S[Qty],Logfile_S[Material Name],Site_DB[[#Headers],[Pole 7M 3"]],Logfile_S[SiteID],Site_DB[[#This Row],[Site ID]],Logfile_S[Transaction  Type],"outBOUND")</f>
        <v>7</v>
      </c>
      <c r="AA30" s="227">
        <f>SUMIFS(Logfile_S[Qty],Logfile_S[Material Name],Site_DB[[#Headers],[Pole 9M]],Logfile_S[SiteID],Site_DB[[#This Row],[Site ID]],Logfile_S[Transaction  Type],"outBOUND")</f>
        <v>4</v>
      </c>
      <c r="AB30" s="227"/>
      <c r="AC30" s="227"/>
      <c r="AD30" s="227"/>
      <c r="AE30" s="227"/>
      <c r="AF30" s="227"/>
      <c r="AG30" s="227"/>
      <c r="AH30" s="227"/>
      <c r="AI30" s="227"/>
    </row>
    <row r="31" spans="1:35" ht="14.5">
      <c r="A31" s="508">
        <f t="shared" si="0"/>
        <v>27</v>
      </c>
      <c r="B31" s="241" t="s">
        <v>71</v>
      </c>
      <c r="C31" s="241" t="s">
        <v>24</v>
      </c>
      <c r="D31" s="241" t="s">
        <v>838</v>
      </c>
      <c r="E31" s="241" t="s">
        <v>839</v>
      </c>
      <c r="F31" s="241" t="s">
        <v>839</v>
      </c>
      <c r="G31" s="509">
        <v>45291</v>
      </c>
      <c r="H31" s="241" t="s">
        <v>4543</v>
      </c>
      <c r="I31" s="510">
        <f>_xlfn.XLOOKUP(Site_DB[[#This Row],[Site ID]],Logfile_S[SiteID],Logfile_S[Date],"",0,1)</f>
        <v>45307</v>
      </c>
      <c r="J31" s="262">
        <f>_xlfn.IFNA(VLOOKUP(Site_DB[[#This Row],[Site ID]],SUM_DN!B:X,21,0),0)</f>
        <v>0</v>
      </c>
      <c r="K31" s="262">
        <f>SUMIFS(Logfile_S[Qty],Logfile_S[Material Name],Site_DB[[#Headers],[Pole 7M 4"]],Logfile_S[SiteID],Site_DB[[#This Row],[Site ID]],Logfile_S[Transaction  Type],"outBOUND")</f>
        <v>27</v>
      </c>
      <c r="L31" s="262">
        <f>SUMIFS(Logfile_S[Qty],Logfile_S[Material Name],Site_DB[[#Headers],[Pole 7M 3"]],Logfile_S[SiteID],Site_DB[[#This Row],[Site ID]],Logfile_S[Transaction  Type],"outBOUND")</f>
        <v>7</v>
      </c>
      <c r="M31" s="262">
        <f>SUMIFS(Logfile_S[Qty],Logfile_S[Material Name],Site_DB[[#Headers],[Pole 9M]],Logfile_S[SiteID],Site_DB[[#This Row],[Site ID]],Logfile_S[Transaction  Type],"outBOUND")</f>
        <v>1</v>
      </c>
      <c r="N31" s="262">
        <v>0</v>
      </c>
      <c r="O31" s="262">
        <v>3000</v>
      </c>
      <c r="P31" s="262">
        <v>0</v>
      </c>
      <c r="Q31" s="262">
        <v>0</v>
      </c>
      <c r="R31" s="262">
        <v>1</v>
      </c>
      <c r="S31" s="262">
        <v>0</v>
      </c>
      <c r="T31" s="262">
        <v>19</v>
      </c>
      <c r="U31" s="262">
        <v>1</v>
      </c>
      <c r="V31" s="265">
        <v>0</v>
      </c>
      <c r="W31" s="262" t="s">
        <v>4635</v>
      </c>
      <c r="X31" s="227">
        <f>SUMIFS(Logfile_S[Qty],Logfile_S[Material Name],Site_DB[[#Headers],[Pole 7M 2.5"]],Logfile_S[SiteID],Site_DB[[#This Row],[Site ID]],Logfile_S[Transaction  Type],"outBOUND")</f>
        <v>0</v>
      </c>
      <c r="Y31" s="227">
        <f>SUMIFS(Logfile_S[Qty],Logfile_S[Material Name],Site_DB[[#Headers],[Pole 7M 4"]],Logfile_S[SiteID],Site_DB[[#This Row],[Site ID]],Logfile_S[Transaction  Type],"outBOUND")</f>
        <v>27</v>
      </c>
      <c r="Z31" s="227">
        <f>SUMIFS(Logfile_S[Qty],Logfile_S[Material Name],Site_DB[[#Headers],[Pole 7M 3"]],Logfile_S[SiteID],Site_DB[[#This Row],[Site ID]],Logfile_S[Transaction  Type],"outBOUND")</f>
        <v>7</v>
      </c>
      <c r="AA31" s="227">
        <f>SUMIFS(Logfile_S[Qty],Logfile_S[Material Name],Site_DB[[#Headers],[Pole 9M]],Logfile_S[SiteID],Site_DB[[#This Row],[Site ID]],Logfile_S[Transaction  Type],"outBOUND")</f>
        <v>1</v>
      </c>
      <c r="AB31" s="227"/>
      <c r="AC31" s="227"/>
      <c r="AD31" s="227"/>
      <c r="AE31" s="227"/>
      <c r="AF31" s="227"/>
      <c r="AG31" s="227"/>
      <c r="AH31" s="227"/>
      <c r="AI31" s="227"/>
    </row>
    <row r="32" spans="1:35" ht="14.5">
      <c r="A32" s="508">
        <f t="shared" si="0"/>
        <v>28</v>
      </c>
      <c r="B32" s="241" t="s">
        <v>71</v>
      </c>
      <c r="C32" s="241" t="s">
        <v>24</v>
      </c>
      <c r="D32" s="241" t="s">
        <v>1705</v>
      </c>
      <c r="E32" s="241" t="s">
        <v>1706</v>
      </c>
      <c r="F32" s="241" t="s">
        <v>1706</v>
      </c>
      <c r="G32" s="509">
        <v>45291</v>
      </c>
      <c r="H32" s="241" t="s">
        <v>4543</v>
      </c>
      <c r="I32" s="510">
        <f>_xlfn.XLOOKUP(Site_DB[[#This Row],[Site ID]],Logfile_S[SiteID],Logfile_S[Date],"",0,1)</f>
        <v>45470</v>
      </c>
      <c r="J32" s="262">
        <f>_xlfn.IFNA(VLOOKUP(Site_DB[[#This Row],[Site ID]],SUM_DN!B:X,21,0),0)</f>
        <v>0</v>
      </c>
      <c r="K32" s="262">
        <f>SUMIFS(Logfile_S[Qty],Logfile_S[Material Name],Site_DB[[#Headers],[Pole 7M 4"]],Logfile_S[SiteID],Site_DB[[#This Row],[Site ID]],Logfile_S[Transaction  Type],"outBOUND")</f>
        <v>129</v>
      </c>
      <c r="L32" s="262">
        <f>SUMIFS(Logfile_S[Qty],Logfile_S[Material Name],Site_DB[[#Headers],[Pole 7M 3"]],Logfile_S[SiteID],Site_DB[[#This Row],[Site ID]],Logfile_S[Transaction  Type],"outBOUND")</f>
        <v>9</v>
      </c>
      <c r="M32" s="262">
        <f>SUMIFS(Logfile_S[Qty],Logfile_S[Material Name],Site_DB[[#Headers],[Pole 9M]],Logfile_S[SiteID],Site_DB[[#This Row],[Site ID]],Logfile_S[Transaction  Type],"outBOUND")</f>
        <v>0</v>
      </c>
      <c r="N32" s="262">
        <v>0</v>
      </c>
      <c r="O32" s="262">
        <v>3000</v>
      </c>
      <c r="P32" s="262">
        <v>0</v>
      </c>
      <c r="Q32" s="262">
        <v>0</v>
      </c>
      <c r="R32" s="262">
        <v>2</v>
      </c>
      <c r="S32" s="262">
        <v>0</v>
      </c>
      <c r="T32" s="262">
        <v>31</v>
      </c>
      <c r="U32" s="262">
        <v>0</v>
      </c>
      <c r="V32" s="265">
        <v>0</v>
      </c>
      <c r="W32" s="262" t="s">
        <v>4635</v>
      </c>
      <c r="X32" s="227">
        <f>SUMIFS(Logfile_S[Qty],Logfile_S[Material Name],Site_DB[[#Headers],[Pole 7M 2.5"]],Logfile_S[SiteID],Site_DB[[#This Row],[Site ID]],Logfile_S[Transaction  Type],"outBOUND")</f>
        <v>0</v>
      </c>
      <c r="Y32" s="227">
        <f>SUMIFS(Logfile_S[Qty],Logfile_S[Material Name],Site_DB[[#Headers],[Pole 7M 4"]],Logfile_S[SiteID],Site_DB[[#This Row],[Site ID]],Logfile_S[Transaction  Type],"outBOUND")</f>
        <v>129</v>
      </c>
      <c r="Z32" s="227">
        <f>SUMIFS(Logfile_S[Qty],Logfile_S[Material Name],Site_DB[[#Headers],[Pole 7M 3"]],Logfile_S[SiteID],Site_DB[[#This Row],[Site ID]],Logfile_S[Transaction  Type],"outBOUND")</f>
        <v>9</v>
      </c>
      <c r="AA32" s="227">
        <f>SUMIFS(Logfile_S[Qty],Logfile_S[Material Name],Site_DB[[#Headers],[Pole 9M]],Logfile_S[SiteID],Site_DB[[#This Row],[Site ID]],Logfile_S[Transaction  Type],"outBOUND")</f>
        <v>0</v>
      </c>
      <c r="AB32" s="227"/>
      <c r="AC32" s="227"/>
      <c r="AD32" s="227"/>
      <c r="AE32" s="227"/>
      <c r="AF32" s="227"/>
      <c r="AG32" s="227"/>
      <c r="AH32" s="227"/>
      <c r="AI32" s="227"/>
    </row>
    <row r="33" spans="1:35" ht="14.5">
      <c r="A33" s="508">
        <f t="shared" si="0"/>
        <v>29</v>
      </c>
      <c r="B33" s="241" t="s">
        <v>71</v>
      </c>
      <c r="C33" s="241" t="s">
        <v>24</v>
      </c>
      <c r="D33" s="241" t="s">
        <v>2633</v>
      </c>
      <c r="E33" s="241" t="s">
        <v>2634</v>
      </c>
      <c r="F33" s="241" t="s">
        <v>2634</v>
      </c>
      <c r="G33" s="509">
        <v>45291</v>
      </c>
      <c r="H33" s="241" t="s">
        <v>4543</v>
      </c>
      <c r="I33" s="510">
        <f>_xlfn.XLOOKUP(Site_DB[[#This Row],[Site ID]],Logfile_S[SiteID],Logfile_S[Date],"",0,1)</f>
        <v>45693</v>
      </c>
      <c r="J33" s="262">
        <f>_xlfn.IFNA(VLOOKUP(Site_DB[[#This Row],[Site ID]],SUM_DN!B:X,21,0),0)</f>
        <v>0</v>
      </c>
      <c r="K33" s="262">
        <f>SUMIFS(Logfile_S[Qty],Logfile_S[Material Name],Site_DB[[#Headers],[Pole 7M 4"]],Logfile_S[SiteID],Site_DB[[#This Row],[Site ID]],Logfile_S[Transaction  Type],"outBOUND")</f>
        <v>1</v>
      </c>
      <c r="L33" s="262">
        <f>SUMIFS(Logfile_S[Qty],Logfile_S[Material Name],Site_DB[[#Headers],[Pole 7M 3"]],Logfile_S[SiteID],Site_DB[[#This Row],[Site ID]],Logfile_S[Transaction  Type],"outBOUND")</f>
        <v>21</v>
      </c>
      <c r="M33" s="262">
        <f>SUMIFS(Logfile_S[Qty],Logfile_S[Material Name],Site_DB[[#Headers],[Pole 9M]],Logfile_S[SiteID],Site_DB[[#This Row],[Site ID]],Logfile_S[Transaction  Type],"outBOUND")</f>
        <v>0</v>
      </c>
      <c r="N33" s="262">
        <v>3000</v>
      </c>
      <c r="O33" s="262">
        <v>0</v>
      </c>
      <c r="P33" s="262">
        <v>0</v>
      </c>
      <c r="Q33" s="262">
        <v>0</v>
      </c>
      <c r="R33" s="262">
        <v>1</v>
      </c>
      <c r="S33" s="262">
        <v>0</v>
      </c>
      <c r="T33" s="262">
        <v>7</v>
      </c>
      <c r="U33" s="262">
        <v>0</v>
      </c>
      <c r="V33" s="265">
        <v>0</v>
      </c>
      <c r="W33" s="262" t="s">
        <v>4635</v>
      </c>
      <c r="X33" s="227">
        <f>SUMIFS(Logfile_S[Qty],Logfile_S[Material Name],Site_DB[[#Headers],[Pole 7M 2.5"]],Logfile_S[SiteID],Site_DB[[#This Row],[Site ID]],Logfile_S[Transaction  Type],"outBOUND")</f>
        <v>0</v>
      </c>
      <c r="Y33" s="227">
        <f>SUMIFS(Logfile_S[Qty],Logfile_S[Material Name],Site_DB[[#Headers],[Pole 7M 4"]],Logfile_S[SiteID],Site_DB[[#This Row],[Site ID]],Logfile_S[Transaction  Type],"outBOUND")</f>
        <v>1</v>
      </c>
      <c r="Z33" s="227">
        <f>SUMIFS(Logfile_S[Qty],Logfile_S[Material Name],Site_DB[[#Headers],[Pole 7M 3"]],Logfile_S[SiteID],Site_DB[[#This Row],[Site ID]],Logfile_S[Transaction  Type],"outBOUND")</f>
        <v>21</v>
      </c>
      <c r="AA33" s="227">
        <f>SUMIFS(Logfile_S[Qty],Logfile_S[Material Name],Site_DB[[#Headers],[Pole 9M]],Logfile_S[SiteID],Site_DB[[#This Row],[Site ID]],Logfile_S[Transaction  Type],"outBOUND")</f>
        <v>0</v>
      </c>
      <c r="AB33" s="227"/>
      <c r="AC33" s="227"/>
      <c r="AD33" s="227"/>
      <c r="AE33" s="227"/>
      <c r="AF33" s="227"/>
      <c r="AG33" s="227"/>
      <c r="AH33" s="227"/>
      <c r="AI33" s="227"/>
    </row>
    <row r="34" spans="1:35" ht="14.5">
      <c r="A34" s="508">
        <f t="shared" si="0"/>
        <v>30</v>
      </c>
      <c r="B34" s="241" t="s">
        <v>71</v>
      </c>
      <c r="C34" s="241" t="s">
        <v>24</v>
      </c>
      <c r="D34" s="241" t="s">
        <v>1093</v>
      </c>
      <c r="E34" s="241" t="s">
        <v>1094</v>
      </c>
      <c r="F34" s="241" t="s">
        <v>4552</v>
      </c>
      <c r="G34" s="509">
        <v>45308</v>
      </c>
      <c r="H34" s="241" t="s">
        <v>4548</v>
      </c>
      <c r="I34" s="510" t="str">
        <f>_xlfn.XLOOKUP(Site_DB[[#This Row],[Site ID]],Logfile_S[SiteID],Logfile_S[Date],"",0,1)</f>
        <v/>
      </c>
      <c r="J34" s="262">
        <f>_xlfn.IFNA(VLOOKUP(Site_DB[[#This Row],[Site ID]],SUM_DN!B:X,21,0),0)</f>
        <v>0</v>
      </c>
      <c r="K34" s="262">
        <f>SUMIFS(Logfile_S[Qty],Logfile_S[Material Name],Site_DB[[#Headers],[Pole 7M 4"]],Logfile_S[SiteID],Site_DB[[#This Row],[Site ID]],Logfile_S[Transaction  Type],"outBOUND")</f>
        <v>0</v>
      </c>
      <c r="L34" s="262">
        <f>SUMIFS(Logfile_S[Qty],Logfile_S[Material Name],Site_DB[[#Headers],[Pole 7M 3"]],Logfile_S[SiteID],Site_DB[[#This Row],[Site ID]],Logfile_S[Transaction  Type],"outBOUND")</f>
        <v>0</v>
      </c>
      <c r="M34" s="262">
        <f>SUMIFS(Logfile_S[Qty],Logfile_S[Material Name],Site_DB[[#Headers],[Pole 9M]],Logfile_S[SiteID],Site_DB[[#This Row],[Site ID]],Logfile_S[Transaction  Type],"outBOUND")</f>
        <v>0</v>
      </c>
      <c r="N34" s="262">
        <v>3000</v>
      </c>
      <c r="O34" s="262">
        <v>3000</v>
      </c>
      <c r="P34" s="262">
        <v>0</v>
      </c>
      <c r="Q34" s="262">
        <v>0</v>
      </c>
      <c r="R34" s="262">
        <v>1</v>
      </c>
      <c r="S34" s="262">
        <v>0</v>
      </c>
      <c r="T34" s="262">
        <v>8</v>
      </c>
      <c r="U34" s="262">
        <v>0</v>
      </c>
      <c r="V34" s="265">
        <v>0</v>
      </c>
      <c r="W34" s="262" t="s">
        <v>4635</v>
      </c>
      <c r="X34" s="227">
        <f>SUMIFS(Logfile_S[Qty],Logfile_S[Material Name],Site_DB[[#Headers],[Pole 7M 2.5"]],Logfile_S[SiteID],Site_DB[[#This Row],[Site ID]],Logfile_S[Transaction  Type],"outBOUND")</f>
        <v>0</v>
      </c>
      <c r="Y34" s="227">
        <f>SUMIFS(Logfile_S[Qty],Logfile_S[Material Name],Site_DB[[#Headers],[Pole 7M 4"]],Logfile_S[SiteID],Site_DB[[#This Row],[Site ID]],Logfile_S[Transaction  Type],"outBOUND")</f>
        <v>0</v>
      </c>
      <c r="Z34" s="227">
        <f>SUMIFS(Logfile_S[Qty],Logfile_S[Material Name],Site_DB[[#Headers],[Pole 7M 3"]],Logfile_S[SiteID],Site_DB[[#This Row],[Site ID]],Logfile_S[Transaction  Type],"outBOUND")</f>
        <v>0</v>
      </c>
      <c r="AA34" s="227">
        <f>SUMIFS(Logfile_S[Qty],Logfile_S[Material Name],Site_DB[[#Headers],[Pole 9M]],Logfile_S[SiteID],Site_DB[[#This Row],[Site ID]],Logfile_S[Transaction  Type],"outBOUND")</f>
        <v>0</v>
      </c>
      <c r="AB34" s="227"/>
      <c r="AC34" s="227"/>
      <c r="AD34" s="227"/>
      <c r="AE34" s="227"/>
      <c r="AF34" s="227"/>
      <c r="AG34" s="227"/>
      <c r="AH34" s="227"/>
      <c r="AI34" s="227"/>
    </row>
    <row r="35" spans="1:35" ht="14.5">
      <c r="A35" s="508">
        <f t="shared" si="0"/>
        <v>31</v>
      </c>
      <c r="B35" s="241" t="s">
        <v>71</v>
      </c>
      <c r="C35" s="241" t="s">
        <v>24</v>
      </c>
      <c r="D35" s="241" t="s">
        <v>1099</v>
      </c>
      <c r="E35" s="241" t="s">
        <v>1100</v>
      </c>
      <c r="F35" s="241" t="s">
        <v>4553</v>
      </c>
      <c r="G35" s="509">
        <v>45308</v>
      </c>
      <c r="H35" s="241" t="s">
        <v>4548</v>
      </c>
      <c r="I35" s="510">
        <f>_xlfn.XLOOKUP(Site_DB[[#This Row],[Site ID]],Logfile_S[SiteID],Logfile_S[Date],"",0,1)</f>
        <v>45352</v>
      </c>
      <c r="J35" s="262">
        <f>_xlfn.IFNA(VLOOKUP(Site_DB[[#This Row],[Site ID]],SUM_DN!B:X,21,0),0)</f>
        <v>0</v>
      </c>
      <c r="K35" s="262">
        <f>SUMIFS(Logfile_S[Qty],Logfile_S[Material Name],Site_DB[[#Headers],[Pole 7M 4"]],Logfile_S[SiteID],Site_DB[[#This Row],[Site ID]],Logfile_S[Transaction  Type],"outBOUND")</f>
        <v>4</v>
      </c>
      <c r="L35" s="262">
        <f>SUMIFS(Logfile_S[Qty],Logfile_S[Material Name],Site_DB[[#Headers],[Pole 7M 3"]],Logfile_S[SiteID],Site_DB[[#This Row],[Site ID]],Logfile_S[Transaction  Type],"outBOUND")</f>
        <v>0</v>
      </c>
      <c r="M35" s="262">
        <f>SUMIFS(Logfile_S[Qty],Logfile_S[Material Name],Site_DB[[#Headers],[Pole 9M]],Logfile_S[SiteID],Site_DB[[#This Row],[Site ID]],Logfile_S[Transaction  Type],"outBOUND")</f>
        <v>0</v>
      </c>
      <c r="N35" s="262">
        <v>3000</v>
      </c>
      <c r="O35" s="262">
        <v>0</v>
      </c>
      <c r="P35" s="262">
        <v>0</v>
      </c>
      <c r="Q35" s="262">
        <v>0</v>
      </c>
      <c r="R35" s="262">
        <v>0</v>
      </c>
      <c r="S35" s="262">
        <v>0</v>
      </c>
      <c r="T35" s="262">
        <v>10</v>
      </c>
      <c r="U35" s="262">
        <v>0</v>
      </c>
      <c r="V35" s="265">
        <v>0</v>
      </c>
      <c r="W35" s="262" t="s">
        <v>4635</v>
      </c>
      <c r="X35" s="227">
        <f>SUMIFS(Logfile_S[Qty],Logfile_S[Material Name],Site_DB[[#Headers],[Pole 7M 2.5"]],Logfile_S[SiteID],Site_DB[[#This Row],[Site ID]],Logfile_S[Transaction  Type],"outBOUND")</f>
        <v>0</v>
      </c>
      <c r="Y35" s="227">
        <f>SUMIFS(Logfile_S[Qty],Logfile_S[Material Name],Site_DB[[#Headers],[Pole 7M 4"]],Logfile_S[SiteID],Site_DB[[#This Row],[Site ID]],Logfile_S[Transaction  Type],"outBOUND")</f>
        <v>4</v>
      </c>
      <c r="Z35" s="227">
        <f>SUMIFS(Logfile_S[Qty],Logfile_S[Material Name],Site_DB[[#Headers],[Pole 7M 3"]],Logfile_S[SiteID],Site_DB[[#This Row],[Site ID]],Logfile_S[Transaction  Type],"outBOUND")</f>
        <v>0</v>
      </c>
      <c r="AA35" s="227">
        <f>SUMIFS(Logfile_S[Qty],Logfile_S[Material Name],Site_DB[[#Headers],[Pole 9M]],Logfile_S[SiteID],Site_DB[[#This Row],[Site ID]],Logfile_S[Transaction  Type],"outBOUND")</f>
        <v>0</v>
      </c>
      <c r="AB35" s="227"/>
      <c r="AC35" s="227"/>
      <c r="AD35" s="227"/>
      <c r="AE35" s="227"/>
      <c r="AF35" s="227"/>
      <c r="AG35" s="227"/>
      <c r="AH35" s="227"/>
      <c r="AI35" s="227"/>
    </row>
    <row r="36" spans="1:35" ht="14.5">
      <c r="A36" s="508">
        <f t="shared" si="0"/>
        <v>32</v>
      </c>
      <c r="B36" s="241" t="s">
        <v>71</v>
      </c>
      <c r="C36" s="241" t="s">
        <v>24</v>
      </c>
      <c r="D36" s="241" t="s">
        <v>1103</v>
      </c>
      <c r="E36" s="241" t="s">
        <v>1104</v>
      </c>
      <c r="F36" s="241" t="s">
        <v>4554</v>
      </c>
      <c r="G36" s="509">
        <v>45308</v>
      </c>
      <c r="H36" s="241" t="s">
        <v>4546</v>
      </c>
      <c r="I36" s="510">
        <f>_xlfn.XLOOKUP(Site_DB[[#This Row],[Site ID]],Logfile_S[SiteID],Logfile_S[Date],"",0,1)</f>
        <v>45376</v>
      </c>
      <c r="J36" s="262">
        <f>_xlfn.IFNA(VLOOKUP(Site_DB[[#This Row],[Site ID]],SUM_DN!B:X,21,0),0)</f>
        <v>0</v>
      </c>
      <c r="K36" s="262">
        <f>SUMIFS(Logfile_S[Qty],Logfile_S[Material Name],Site_DB[[#Headers],[Pole 7M 4"]],Logfile_S[SiteID],Site_DB[[#This Row],[Site ID]],Logfile_S[Transaction  Type],"outBOUND")</f>
        <v>0</v>
      </c>
      <c r="L36" s="262">
        <f>SUMIFS(Logfile_S[Qty],Logfile_S[Material Name],Site_DB[[#Headers],[Pole 7M 3"]],Logfile_S[SiteID],Site_DB[[#This Row],[Site ID]],Logfile_S[Transaction  Type],"outBOUND")</f>
        <v>0</v>
      </c>
      <c r="M36" s="262">
        <f>SUMIFS(Logfile_S[Qty],Logfile_S[Material Name],Site_DB[[#Headers],[Pole 9M]],Logfile_S[SiteID],Site_DB[[#This Row],[Site ID]],Logfile_S[Transaction  Type],"outBOUND")</f>
        <v>0</v>
      </c>
      <c r="N36" s="262">
        <v>0</v>
      </c>
      <c r="O36" s="262">
        <v>0</v>
      </c>
      <c r="P36" s="262">
        <v>0</v>
      </c>
      <c r="Q36" s="262">
        <v>0</v>
      </c>
      <c r="R36" s="262">
        <v>1</v>
      </c>
      <c r="S36" s="262">
        <v>0</v>
      </c>
      <c r="T36" s="262">
        <v>6</v>
      </c>
      <c r="U36" s="262">
        <v>0</v>
      </c>
      <c r="V36" s="265">
        <v>0</v>
      </c>
      <c r="W36" s="262" t="s">
        <v>4635</v>
      </c>
      <c r="X36" s="227">
        <f>SUMIFS(Logfile_S[Qty],Logfile_S[Material Name],Site_DB[[#Headers],[Pole 7M 2.5"]],Logfile_S[SiteID],Site_DB[[#This Row],[Site ID]],Logfile_S[Transaction  Type],"outBOUND")</f>
        <v>0</v>
      </c>
      <c r="Y36" s="227">
        <f>SUMIFS(Logfile_S[Qty],Logfile_S[Material Name],Site_DB[[#Headers],[Pole 7M 4"]],Logfile_S[SiteID],Site_DB[[#This Row],[Site ID]],Logfile_S[Transaction  Type],"outBOUND")</f>
        <v>0</v>
      </c>
      <c r="Z36" s="227">
        <f>SUMIFS(Logfile_S[Qty],Logfile_S[Material Name],Site_DB[[#Headers],[Pole 7M 3"]],Logfile_S[SiteID],Site_DB[[#This Row],[Site ID]],Logfile_S[Transaction  Type],"outBOUND")</f>
        <v>0</v>
      </c>
      <c r="AA36" s="227">
        <f>SUMIFS(Logfile_S[Qty],Logfile_S[Material Name],Site_DB[[#Headers],[Pole 9M]],Logfile_S[SiteID],Site_DB[[#This Row],[Site ID]],Logfile_S[Transaction  Type],"outBOUND")</f>
        <v>0</v>
      </c>
      <c r="AB36" s="227"/>
      <c r="AC36" s="227"/>
      <c r="AD36" s="227"/>
      <c r="AE36" s="227"/>
      <c r="AF36" s="227"/>
      <c r="AG36" s="227"/>
      <c r="AH36" s="227"/>
      <c r="AI36" s="227"/>
    </row>
    <row r="37" spans="1:35" ht="14.5">
      <c r="A37" s="508">
        <f t="shared" ref="A37:A68" si="1">ROW()-ROW($A$4)</f>
        <v>33</v>
      </c>
      <c r="B37" s="241" t="s">
        <v>71</v>
      </c>
      <c r="C37" s="241" t="s">
        <v>24</v>
      </c>
      <c r="D37" s="241" t="s">
        <v>1109</v>
      </c>
      <c r="E37" s="241" t="s">
        <v>1110</v>
      </c>
      <c r="F37" s="241" t="s">
        <v>4555</v>
      </c>
      <c r="G37" s="509">
        <v>45308</v>
      </c>
      <c r="H37" s="241" t="s">
        <v>4546</v>
      </c>
      <c r="I37" s="510">
        <f>_xlfn.XLOOKUP(Site_DB[[#This Row],[Site ID]],Logfile_S[SiteID],Logfile_S[Date],"",0,1)</f>
        <v>45374</v>
      </c>
      <c r="J37" s="262">
        <f>_xlfn.IFNA(VLOOKUP(Site_DB[[#This Row],[Site ID]],SUM_DN!B:X,21,0),0)</f>
        <v>0</v>
      </c>
      <c r="K37" s="262">
        <f>SUMIFS(Logfile_S[Qty],Logfile_S[Material Name],Site_DB[[#Headers],[Pole 7M 4"]],Logfile_S[SiteID],Site_DB[[#This Row],[Site ID]],Logfile_S[Transaction  Type],"outBOUND")</f>
        <v>0</v>
      </c>
      <c r="L37" s="262">
        <f>SUMIFS(Logfile_S[Qty],Logfile_S[Material Name],Site_DB[[#Headers],[Pole 7M 3"]],Logfile_S[SiteID],Site_DB[[#This Row],[Site ID]],Logfile_S[Transaction  Type],"outBOUND")</f>
        <v>0</v>
      </c>
      <c r="M37" s="262">
        <f>SUMIFS(Logfile_S[Qty],Logfile_S[Material Name],Site_DB[[#Headers],[Pole 9M]],Logfile_S[SiteID],Site_DB[[#This Row],[Site ID]],Logfile_S[Transaction  Type],"outBOUND")</f>
        <v>0</v>
      </c>
      <c r="N37" s="262">
        <v>3000</v>
      </c>
      <c r="O37" s="262">
        <v>0</v>
      </c>
      <c r="P37" s="262">
        <v>0</v>
      </c>
      <c r="Q37" s="262">
        <v>0</v>
      </c>
      <c r="R37" s="262">
        <v>0</v>
      </c>
      <c r="S37" s="262">
        <v>0</v>
      </c>
      <c r="T37" s="262">
        <v>6</v>
      </c>
      <c r="U37" s="262">
        <v>0</v>
      </c>
      <c r="V37" s="265">
        <v>0</v>
      </c>
      <c r="W37" s="262" t="s">
        <v>4635</v>
      </c>
      <c r="X37" s="227">
        <f>SUMIFS(Logfile_S[Qty],Logfile_S[Material Name],Site_DB[[#Headers],[Pole 7M 2.5"]],Logfile_S[SiteID],Site_DB[[#This Row],[Site ID]],Logfile_S[Transaction  Type],"outBOUND")</f>
        <v>0</v>
      </c>
      <c r="Y37" s="227">
        <f>SUMIFS(Logfile_S[Qty],Logfile_S[Material Name],Site_DB[[#Headers],[Pole 7M 4"]],Logfile_S[SiteID],Site_DB[[#This Row],[Site ID]],Logfile_S[Transaction  Type],"outBOUND")</f>
        <v>0</v>
      </c>
      <c r="Z37" s="227">
        <f>SUMIFS(Logfile_S[Qty],Logfile_S[Material Name],Site_DB[[#Headers],[Pole 7M 3"]],Logfile_S[SiteID],Site_DB[[#This Row],[Site ID]],Logfile_S[Transaction  Type],"outBOUND")</f>
        <v>0</v>
      </c>
      <c r="AA37" s="227">
        <f>SUMIFS(Logfile_S[Qty],Logfile_S[Material Name],Site_DB[[#Headers],[Pole 9M]],Logfile_S[SiteID],Site_DB[[#This Row],[Site ID]],Logfile_S[Transaction  Type],"outBOUND")</f>
        <v>0</v>
      </c>
      <c r="AB37" s="227"/>
      <c r="AC37" s="227"/>
      <c r="AD37" s="227"/>
      <c r="AE37" s="227"/>
      <c r="AF37" s="227"/>
      <c r="AG37" s="227"/>
      <c r="AH37" s="227"/>
      <c r="AI37" s="227"/>
    </row>
    <row r="38" spans="1:35" ht="14.5">
      <c r="A38" s="508">
        <f t="shared" si="1"/>
        <v>34</v>
      </c>
      <c r="B38" s="241" t="s">
        <v>71</v>
      </c>
      <c r="C38" s="241" t="s">
        <v>24</v>
      </c>
      <c r="D38" s="241" t="s">
        <v>925</v>
      </c>
      <c r="E38" s="241" t="s">
        <v>926</v>
      </c>
      <c r="F38" s="241" t="s">
        <v>4556</v>
      </c>
      <c r="G38" s="509">
        <v>45308</v>
      </c>
      <c r="H38" s="241" t="s">
        <v>4548</v>
      </c>
      <c r="I38" s="510">
        <f>_xlfn.XLOOKUP(Site_DB[[#This Row],[Site ID]],Logfile_S[SiteID],Logfile_S[Date],"",0,1)</f>
        <v>45331</v>
      </c>
      <c r="J38" s="262">
        <f>_xlfn.IFNA(VLOOKUP(Site_DB[[#This Row],[Site ID]],SUM_DN!B:X,21,0),0)</f>
        <v>0</v>
      </c>
      <c r="K38" s="262">
        <f>SUMIFS(Logfile_S[Qty],Logfile_S[Material Name],Site_DB[[#Headers],[Pole 7M 4"]],Logfile_S[SiteID],Site_DB[[#This Row],[Site ID]],Logfile_S[Transaction  Type],"outBOUND")</f>
        <v>0</v>
      </c>
      <c r="L38" s="262">
        <f>SUMIFS(Logfile_S[Qty],Logfile_S[Material Name],Site_DB[[#Headers],[Pole 7M 3"]],Logfile_S[SiteID],Site_DB[[#This Row],[Site ID]],Logfile_S[Transaction  Type],"outBOUND")</f>
        <v>0</v>
      </c>
      <c r="M38" s="262">
        <f>SUMIFS(Logfile_S[Qty],Logfile_S[Material Name],Site_DB[[#Headers],[Pole 9M]],Logfile_S[SiteID],Site_DB[[#This Row],[Site ID]],Logfile_S[Transaction  Type],"outBOUND")</f>
        <v>0</v>
      </c>
      <c r="N38" s="262">
        <v>0</v>
      </c>
      <c r="O38" s="262">
        <v>0</v>
      </c>
      <c r="P38" s="262">
        <v>0</v>
      </c>
      <c r="Q38" s="262">
        <v>0</v>
      </c>
      <c r="R38" s="262">
        <v>0</v>
      </c>
      <c r="S38" s="262">
        <v>0</v>
      </c>
      <c r="T38" s="262">
        <v>3</v>
      </c>
      <c r="U38" s="262">
        <v>0</v>
      </c>
      <c r="V38" s="265">
        <v>0</v>
      </c>
      <c r="W38" s="262" t="s">
        <v>4635</v>
      </c>
      <c r="X38" s="227">
        <f>SUMIFS(Logfile_S[Qty],Logfile_S[Material Name],Site_DB[[#Headers],[Pole 7M 2.5"]],Logfile_S[SiteID],Site_DB[[#This Row],[Site ID]],Logfile_S[Transaction  Type],"outBOUND")</f>
        <v>0</v>
      </c>
      <c r="Y38" s="227">
        <f>SUMIFS(Logfile_S[Qty],Logfile_S[Material Name],Site_DB[[#Headers],[Pole 7M 4"]],Logfile_S[SiteID],Site_DB[[#This Row],[Site ID]],Logfile_S[Transaction  Type],"outBOUND")</f>
        <v>0</v>
      </c>
      <c r="Z38" s="227">
        <f>SUMIFS(Logfile_S[Qty],Logfile_S[Material Name],Site_DB[[#Headers],[Pole 7M 3"]],Logfile_S[SiteID],Site_DB[[#This Row],[Site ID]],Logfile_S[Transaction  Type],"outBOUND")</f>
        <v>0</v>
      </c>
      <c r="AA38" s="227">
        <f>SUMIFS(Logfile_S[Qty],Logfile_S[Material Name],Site_DB[[#Headers],[Pole 9M]],Logfile_S[SiteID],Site_DB[[#This Row],[Site ID]],Logfile_S[Transaction  Type],"outBOUND")</f>
        <v>0</v>
      </c>
      <c r="AB38" s="227"/>
      <c r="AC38" s="227"/>
      <c r="AD38" s="227"/>
      <c r="AE38" s="227"/>
      <c r="AF38" s="227"/>
      <c r="AG38" s="227"/>
      <c r="AH38" s="227"/>
      <c r="AI38" s="227"/>
    </row>
    <row r="39" spans="1:35" ht="14.5">
      <c r="A39" s="508">
        <f t="shared" si="1"/>
        <v>35</v>
      </c>
      <c r="B39" s="241" t="s">
        <v>71</v>
      </c>
      <c r="C39" s="241" t="s">
        <v>24</v>
      </c>
      <c r="D39" s="241" t="s">
        <v>917</v>
      </c>
      <c r="E39" s="241" t="s">
        <v>918</v>
      </c>
      <c r="F39" s="241" t="s">
        <v>4557</v>
      </c>
      <c r="G39" s="509">
        <v>45308</v>
      </c>
      <c r="H39" s="241" t="s">
        <v>4548</v>
      </c>
      <c r="I39" s="510">
        <f>_xlfn.XLOOKUP(Site_DB[[#This Row],[Site ID]],Logfile_S[SiteID],Logfile_S[Date],"",0,1)</f>
        <v>45336</v>
      </c>
      <c r="J39" s="262">
        <f>_xlfn.IFNA(VLOOKUP(Site_DB[[#This Row],[Site ID]],SUM_DN!B:X,21,0),0)</f>
        <v>0</v>
      </c>
      <c r="K39" s="262">
        <f>SUMIFS(Logfile_S[Qty],Logfile_S[Material Name],Site_DB[[#Headers],[Pole 7M 4"]],Logfile_S[SiteID],Site_DB[[#This Row],[Site ID]],Logfile_S[Transaction  Type],"outBOUND")</f>
        <v>0</v>
      </c>
      <c r="L39" s="262">
        <f>SUMIFS(Logfile_S[Qty],Logfile_S[Material Name],Site_DB[[#Headers],[Pole 7M 3"]],Logfile_S[SiteID],Site_DB[[#This Row],[Site ID]],Logfile_S[Transaction  Type],"outBOUND")</f>
        <v>0</v>
      </c>
      <c r="M39" s="262">
        <f>SUMIFS(Logfile_S[Qty],Logfile_S[Material Name],Site_DB[[#Headers],[Pole 9M]],Logfile_S[SiteID],Site_DB[[#This Row],[Site ID]],Logfile_S[Transaction  Type],"outBOUND")</f>
        <v>0</v>
      </c>
      <c r="N39" s="262">
        <v>0</v>
      </c>
      <c r="O39" s="262">
        <v>0</v>
      </c>
      <c r="P39" s="262">
        <v>0</v>
      </c>
      <c r="Q39" s="262">
        <v>0</v>
      </c>
      <c r="R39" s="262">
        <v>0</v>
      </c>
      <c r="S39" s="262">
        <v>0</v>
      </c>
      <c r="T39" s="262">
        <v>2</v>
      </c>
      <c r="U39" s="262">
        <v>0</v>
      </c>
      <c r="V39" s="265">
        <v>0</v>
      </c>
      <c r="W39" s="262" t="s">
        <v>4635</v>
      </c>
      <c r="X39" s="227">
        <f>SUMIFS(Logfile_S[Qty],Logfile_S[Material Name],Site_DB[[#Headers],[Pole 7M 2.5"]],Logfile_S[SiteID],Site_DB[[#This Row],[Site ID]],Logfile_S[Transaction  Type],"outBOUND")</f>
        <v>0</v>
      </c>
      <c r="Y39" s="227">
        <f>SUMIFS(Logfile_S[Qty],Logfile_S[Material Name],Site_DB[[#Headers],[Pole 7M 4"]],Logfile_S[SiteID],Site_DB[[#This Row],[Site ID]],Logfile_S[Transaction  Type],"outBOUND")</f>
        <v>0</v>
      </c>
      <c r="Z39" s="227">
        <f>SUMIFS(Logfile_S[Qty],Logfile_S[Material Name],Site_DB[[#Headers],[Pole 7M 3"]],Logfile_S[SiteID],Site_DB[[#This Row],[Site ID]],Logfile_S[Transaction  Type],"outBOUND")</f>
        <v>0</v>
      </c>
      <c r="AA39" s="227">
        <f>SUMIFS(Logfile_S[Qty],Logfile_S[Material Name],Site_DB[[#Headers],[Pole 9M]],Logfile_S[SiteID],Site_DB[[#This Row],[Site ID]],Logfile_S[Transaction  Type],"outBOUND")</f>
        <v>0</v>
      </c>
      <c r="AB39" s="227"/>
      <c r="AC39" s="227"/>
      <c r="AD39" s="227"/>
      <c r="AE39" s="227"/>
      <c r="AF39" s="227"/>
      <c r="AG39" s="227"/>
      <c r="AH39" s="227"/>
      <c r="AI39" s="227"/>
    </row>
    <row r="40" spans="1:35" ht="14.5">
      <c r="A40" s="508">
        <f t="shared" si="1"/>
        <v>36</v>
      </c>
      <c r="B40" s="241" t="s">
        <v>71</v>
      </c>
      <c r="C40" s="241" t="s">
        <v>24</v>
      </c>
      <c r="D40" s="241" t="s">
        <v>1391</v>
      </c>
      <c r="E40" s="241" t="s">
        <v>1392</v>
      </c>
      <c r="F40" s="241" t="s">
        <v>4563</v>
      </c>
      <c r="G40" s="509">
        <v>45308</v>
      </c>
      <c r="H40" s="241" t="s">
        <v>4548</v>
      </c>
      <c r="I40" s="510">
        <f>_xlfn.XLOOKUP(Site_DB[[#This Row],[Site ID]],Logfile_S[SiteID],Logfile_S[Date],"",0,1)</f>
        <v>45432</v>
      </c>
      <c r="J40" s="262">
        <f>_xlfn.IFNA(VLOOKUP(Site_DB[[#This Row],[Site ID]],SUM_DN!B:X,21,0),0)</f>
        <v>0</v>
      </c>
      <c r="K40" s="262">
        <f>SUMIFS(Logfile_S[Qty],Logfile_S[Material Name],Site_DB[[#Headers],[Pole 7M 4"]],Logfile_S[SiteID],Site_DB[[#This Row],[Site ID]],Logfile_S[Transaction  Type],"outBOUND")</f>
        <v>34</v>
      </c>
      <c r="L40" s="262">
        <f>SUMIFS(Logfile_S[Qty],Logfile_S[Material Name],Site_DB[[#Headers],[Pole 7M 3"]],Logfile_S[SiteID],Site_DB[[#This Row],[Site ID]],Logfile_S[Transaction  Type],"outBOUND")</f>
        <v>3</v>
      </c>
      <c r="M40" s="262">
        <f>SUMIFS(Logfile_S[Qty],Logfile_S[Material Name],Site_DB[[#Headers],[Pole 9M]],Logfile_S[SiteID],Site_DB[[#This Row],[Site ID]],Logfile_S[Transaction  Type],"outBOUND")</f>
        <v>0</v>
      </c>
      <c r="N40" s="262">
        <v>3000</v>
      </c>
      <c r="O40" s="262">
        <v>0</v>
      </c>
      <c r="P40" s="262">
        <v>0</v>
      </c>
      <c r="Q40" s="262">
        <v>0</v>
      </c>
      <c r="R40" s="262">
        <v>1</v>
      </c>
      <c r="S40" s="262">
        <v>0</v>
      </c>
      <c r="T40" s="262">
        <v>13</v>
      </c>
      <c r="U40" s="262">
        <v>0</v>
      </c>
      <c r="V40" s="265">
        <v>0</v>
      </c>
      <c r="W40" s="262" t="s">
        <v>4635</v>
      </c>
      <c r="X40" s="227">
        <f>SUMIFS(Logfile_S[Qty],Logfile_S[Material Name],Site_DB[[#Headers],[Pole 7M 2.5"]],Logfile_S[SiteID],Site_DB[[#This Row],[Site ID]],Logfile_S[Transaction  Type],"outBOUND")</f>
        <v>0</v>
      </c>
      <c r="Y40" s="227">
        <f>SUMIFS(Logfile_S[Qty],Logfile_S[Material Name],Site_DB[[#Headers],[Pole 7M 4"]],Logfile_S[SiteID],Site_DB[[#This Row],[Site ID]],Logfile_S[Transaction  Type],"outBOUND")</f>
        <v>34</v>
      </c>
      <c r="Z40" s="227">
        <f>SUMIFS(Logfile_S[Qty],Logfile_S[Material Name],Site_DB[[#Headers],[Pole 7M 3"]],Logfile_S[SiteID],Site_DB[[#This Row],[Site ID]],Logfile_S[Transaction  Type],"outBOUND")</f>
        <v>3</v>
      </c>
      <c r="AA40" s="227">
        <f>SUMIFS(Logfile_S[Qty],Logfile_S[Material Name],Site_DB[[#Headers],[Pole 9M]],Logfile_S[SiteID],Site_DB[[#This Row],[Site ID]],Logfile_S[Transaction  Type],"outBOUND")</f>
        <v>0</v>
      </c>
      <c r="AB40" s="227"/>
      <c r="AC40" s="227"/>
      <c r="AD40" s="227"/>
      <c r="AE40" s="227"/>
      <c r="AF40" s="227"/>
      <c r="AG40" s="227"/>
      <c r="AH40" s="227"/>
      <c r="AI40" s="227"/>
    </row>
    <row r="41" spans="1:35" ht="14.5">
      <c r="A41" s="508">
        <f t="shared" si="1"/>
        <v>37</v>
      </c>
      <c r="B41" s="241" t="s">
        <v>71</v>
      </c>
      <c r="C41" s="241" t="s">
        <v>24</v>
      </c>
      <c r="D41" s="241" t="s">
        <v>1013</v>
      </c>
      <c r="E41" s="241" t="s">
        <v>1014</v>
      </c>
      <c r="F41" s="241" t="s">
        <v>1014</v>
      </c>
      <c r="G41" s="509">
        <v>45308</v>
      </c>
      <c r="H41" s="241" t="s">
        <v>4543</v>
      </c>
      <c r="I41" s="510">
        <f>_xlfn.XLOOKUP(Site_DB[[#This Row],[Site ID]],Logfile_S[SiteID],Logfile_S[Date],"",0,1)</f>
        <v>45349</v>
      </c>
      <c r="J41" s="262">
        <f>_xlfn.IFNA(VLOOKUP(Site_DB[[#This Row],[Site ID]],SUM_DN!B:X,21,0),0)</f>
        <v>0</v>
      </c>
      <c r="K41" s="262">
        <f>SUMIFS(Logfile_S[Qty],Logfile_S[Material Name],Site_DB[[#Headers],[Pole 7M 4"]],Logfile_S[SiteID],Site_DB[[#This Row],[Site ID]],Logfile_S[Transaction  Type],"outBOUND")</f>
        <v>39</v>
      </c>
      <c r="L41" s="262">
        <f>SUMIFS(Logfile_S[Qty],Logfile_S[Material Name],Site_DB[[#Headers],[Pole 7M 3"]],Logfile_S[SiteID],Site_DB[[#This Row],[Site ID]],Logfile_S[Transaction  Type],"outBOUND")</f>
        <v>6</v>
      </c>
      <c r="M41" s="262">
        <f>SUMIFS(Logfile_S[Qty],Logfile_S[Material Name],Site_DB[[#Headers],[Pole 9M]],Logfile_S[SiteID],Site_DB[[#This Row],[Site ID]],Logfile_S[Transaction  Type],"outBOUND")</f>
        <v>0</v>
      </c>
      <c r="N41" s="262">
        <v>0</v>
      </c>
      <c r="O41" s="262">
        <v>3000</v>
      </c>
      <c r="P41" s="262">
        <v>0</v>
      </c>
      <c r="Q41" s="262">
        <v>0</v>
      </c>
      <c r="R41" s="262">
        <v>1</v>
      </c>
      <c r="S41" s="262">
        <v>0</v>
      </c>
      <c r="T41" s="262">
        <v>21</v>
      </c>
      <c r="U41" s="262">
        <v>0</v>
      </c>
      <c r="V41" s="265">
        <v>0</v>
      </c>
      <c r="W41" s="262" t="s">
        <v>4635</v>
      </c>
      <c r="X41" s="227">
        <f>SUMIFS(Logfile_S[Qty],Logfile_S[Material Name],Site_DB[[#Headers],[Pole 7M 2.5"]],Logfile_S[SiteID],Site_DB[[#This Row],[Site ID]],Logfile_S[Transaction  Type],"outBOUND")</f>
        <v>0</v>
      </c>
      <c r="Y41" s="227">
        <f>SUMIFS(Logfile_S[Qty],Logfile_S[Material Name],Site_DB[[#Headers],[Pole 7M 4"]],Logfile_S[SiteID],Site_DB[[#This Row],[Site ID]],Logfile_S[Transaction  Type],"outBOUND")</f>
        <v>39</v>
      </c>
      <c r="Z41" s="227">
        <f>SUMIFS(Logfile_S[Qty],Logfile_S[Material Name],Site_DB[[#Headers],[Pole 7M 3"]],Logfile_S[SiteID],Site_DB[[#This Row],[Site ID]],Logfile_S[Transaction  Type],"outBOUND")</f>
        <v>6</v>
      </c>
      <c r="AA41" s="227">
        <f>SUMIFS(Logfile_S[Qty],Logfile_S[Material Name],Site_DB[[#Headers],[Pole 9M]],Logfile_S[SiteID],Site_DB[[#This Row],[Site ID]],Logfile_S[Transaction  Type],"outBOUND")</f>
        <v>0</v>
      </c>
      <c r="AB41" s="227"/>
      <c r="AC41" s="227"/>
      <c r="AD41" s="227"/>
      <c r="AE41" s="227"/>
      <c r="AF41" s="227"/>
      <c r="AG41" s="227"/>
      <c r="AH41" s="227"/>
      <c r="AI41" s="227"/>
    </row>
    <row r="42" spans="1:35" ht="14.5">
      <c r="A42" s="508">
        <f t="shared" si="1"/>
        <v>38</v>
      </c>
      <c r="B42" s="241" t="s">
        <v>71</v>
      </c>
      <c r="C42" s="241" t="s">
        <v>24</v>
      </c>
      <c r="D42" s="241" t="s">
        <v>1087</v>
      </c>
      <c r="E42" s="241" t="s">
        <v>1088</v>
      </c>
      <c r="F42" s="241" t="s">
        <v>4551</v>
      </c>
      <c r="G42" s="509">
        <v>45308</v>
      </c>
      <c r="H42" s="241" t="s">
        <v>4543</v>
      </c>
      <c r="I42" s="510">
        <f>_xlfn.XLOOKUP(Site_DB[[#This Row],[Site ID]],Logfile_S[SiteID],Logfile_S[Date],"",0,1)</f>
        <v>45363</v>
      </c>
      <c r="J42" s="262">
        <f>_xlfn.IFNA(VLOOKUP(Site_DB[[#This Row],[Site ID]],SUM_DN!B:X,21,0),0)</f>
        <v>0</v>
      </c>
      <c r="K42" s="262">
        <f>SUMIFS(Logfile_S[Qty],Logfile_S[Material Name],Site_DB[[#Headers],[Pole 7M 4"]],Logfile_S[SiteID],Site_DB[[#This Row],[Site ID]],Logfile_S[Transaction  Type],"outBOUND")</f>
        <v>160</v>
      </c>
      <c r="L42" s="262">
        <f>SUMIFS(Logfile_S[Qty],Logfile_S[Material Name],Site_DB[[#Headers],[Pole 7M 3"]],Logfile_S[SiteID],Site_DB[[#This Row],[Site ID]],Logfile_S[Transaction  Type],"outBOUND")</f>
        <v>8</v>
      </c>
      <c r="M42" s="262">
        <f>SUMIFS(Logfile_S[Qty],Logfile_S[Material Name],Site_DB[[#Headers],[Pole 9M]],Logfile_S[SiteID],Site_DB[[#This Row],[Site ID]],Logfile_S[Transaction  Type],"outBOUND")</f>
        <v>1</v>
      </c>
      <c r="N42" s="262">
        <v>3000</v>
      </c>
      <c r="O42" s="262">
        <v>0</v>
      </c>
      <c r="P42" s="262">
        <v>0</v>
      </c>
      <c r="Q42" s="262">
        <v>0</v>
      </c>
      <c r="R42" s="262">
        <v>1</v>
      </c>
      <c r="S42" s="262">
        <v>0</v>
      </c>
      <c r="T42" s="262">
        <v>9</v>
      </c>
      <c r="U42" s="262">
        <v>0</v>
      </c>
      <c r="V42" s="265">
        <v>0</v>
      </c>
      <c r="W42" s="262" t="s">
        <v>4635</v>
      </c>
      <c r="X42" s="227">
        <f>SUMIFS(Logfile_S[Qty],Logfile_S[Material Name],Site_DB[[#Headers],[Pole 7M 2.5"]],Logfile_S[SiteID],Site_DB[[#This Row],[Site ID]],Logfile_S[Transaction  Type],"outBOUND")</f>
        <v>0</v>
      </c>
      <c r="Y42" s="227">
        <f>SUMIFS(Logfile_S[Qty],Logfile_S[Material Name],Site_DB[[#Headers],[Pole 7M 4"]],Logfile_S[SiteID],Site_DB[[#This Row],[Site ID]],Logfile_S[Transaction  Type],"outBOUND")</f>
        <v>160</v>
      </c>
      <c r="Z42" s="227">
        <f>SUMIFS(Logfile_S[Qty],Logfile_S[Material Name],Site_DB[[#Headers],[Pole 7M 3"]],Logfile_S[SiteID],Site_DB[[#This Row],[Site ID]],Logfile_S[Transaction  Type],"outBOUND")</f>
        <v>8</v>
      </c>
      <c r="AA42" s="227">
        <f>SUMIFS(Logfile_S[Qty],Logfile_S[Material Name],Site_DB[[#Headers],[Pole 9M]],Logfile_S[SiteID],Site_DB[[#This Row],[Site ID]],Logfile_S[Transaction  Type],"outBOUND")</f>
        <v>1</v>
      </c>
      <c r="AB42" s="227"/>
      <c r="AC42" s="227"/>
      <c r="AD42" s="227"/>
      <c r="AE42" s="227"/>
      <c r="AF42" s="227"/>
      <c r="AG42" s="227"/>
      <c r="AH42" s="227"/>
      <c r="AI42" s="227"/>
    </row>
    <row r="43" spans="1:35" ht="14.5">
      <c r="A43" s="508">
        <f t="shared" si="1"/>
        <v>39</v>
      </c>
      <c r="B43" s="241" t="s">
        <v>71</v>
      </c>
      <c r="C43" s="241" t="s">
        <v>24</v>
      </c>
      <c r="D43" s="241" t="s">
        <v>921</v>
      </c>
      <c r="E43" s="241" t="s">
        <v>922</v>
      </c>
      <c r="F43" s="241" t="s">
        <v>922</v>
      </c>
      <c r="G43" s="509">
        <v>45308</v>
      </c>
      <c r="H43" s="241" t="s">
        <v>4543</v>
      </c>
      <c r="I43" s="510">
        <f>_xlfn.XLOOKUP(Site_DB[[#This Row],[Site ID]],Logfile_S[SiteID],Logfile_S[Date],"",0,1)</f>
        <v>45337</v>
      </c>
      <c r="J43" s="262">
        <f>_xlfn.IFNA(VLOOKUP(Site_DB[[#This Row],[Site ID]],SUM_DN!B:X,21,0),0)</f>
        <v>0</v>
      </c>
      <c r="K43" s="262">
        <f>SUMIFS(Logfile_S[Qty],Logfile_S[Material Name],Site_DB[[#Headers],[Pole 7M 4"]],Logfile_S[SiteID],Site_DB[[#This Row],[Site ID]],Logfile_S[Transaction  Type],"outBOUND")</f>
        <v>96</v>
      </c>
      <c r="L43" s="262">
        <f>SUMIFS(Logfile_S[Qty],Logfile_S[Material Name],Site_DB[[#Headers],[Pole 7M 3"]],Logfile_S[SiteID],Site_DB[[#This Row],[Site ID]],Logfile_S[Transaction  Type],"outBOUND")</f>
        <v>14</v>
      </c>
      <c r="M43" s="262">
        <f>SUMIFS(Logfile_S[Qty],Logfile_S[Material Name],Site_DB[[#Headers],[Pole 9M]],Logfile_S[SiteID],Site_DB[[#This Row],[Site ID]],Logfile_S[Transaction  Type],"outBOUND")</f>
        <v>4</v>
      </c>
      <c r="N43" s="262">
        <v>3000</v>
      </c>
      <c r="O43" s="262">
        <v>9000</v>
      </c>
      <c r="P43" s="262">
        <v>0</v>
      </c>
      <c r="Q43" s="262">
        <v>0</v>
      </c>
      <c r="R43" s="262">
        <v>2</v>
      </c>
      <c r="S43" s="262">
        <v>0</v>
      </c>
      <c r="T43" s="262">
        <v>45</v>
      </c>
      <c r="U43" s="262">
        <v>0</v>
      </c>
      <c r="V43" s="265">
        <v>0</v>
      </c>
      <c r="W43" s="262" t="s">
        <v>4635</v>
      </c>
      <c r="X43" s="227">
        <f>SUMIFS(Logfile_S[Qty],Logfile_S[Material Name],Site_DB[[#Headers],[Pole 7M 2.5"]],Logfile_S[SiteID],Site_DB[[#This Row],[Site ID]],Logfile_S[Transaction  Type],"outBOUND")</f>
        <v>0</v>
      </c>
      <c r="Y43" s="227">
        <f>SUMIFS(Logfile_S[Qty],Logfile_S[Material Name],Site_DB[[#Headers],[Pole 7M 4"]],Logfile_S[SiteID],Site_DB[[#This Row],[Site ID]],Logfile_S[Transaction  Type],"outBOUND")</f>
        <v>96</v>
      </c>
      <c r="Z43" s="227">
        <f>SUMIFS(Logfile_S[Qty],Logfile_S[Material Name],Site_DB[[#Headers],[Pole 7M 3"]],Logfile_S[SiteID],Site_DB[[#This Row],[Site ID]],Logfile_S[Transaction  Type],"outBOUND")</f>
        <v>14</v>
      </c>
      <c r="AA43" s="227">
        <f>SUMIFS(Logfile_S[Qty],Logfile_S[Material Name],Site_DB[[#Headers],[Pole 9M]],Logfile_S[SiteID],Site_DB[[#This Row],[Site ID]],Logfile_S[Transaction  Type],"outBOUND")</f>
        <v>4</v>
      </c>
      <c r="AB43" s="227"/>
      <c r="AC43" s="227"/>
      <c r="AD43" s="227"/>
      <c r="AE43" s="227"/>
      <c r="AF43" s="227"/>
      <c r="AG43" s="227"/>
      <c r="AH43" s="227"/>
      <c r="AI43" s="227"/>
    </row>
    <row r="44" spans="1:35" ht="14.5">
      <c r="A44" s="508">
        <f t="shared" si="1"/>
        <v>40</v>
      </c>
      <c r="B44" s="241" t="s">
        <v>71</v>
      </c>
      <c r="C44" s="241" t="s">
        <v>24</v>
      </c>
      <c r="D44" s="241" t="s">
        <v>1291</v>
      </c>
      <c r="E44" s="241" t="s">
        <v>1292</v>
      </c>
      <c r="F44" s="241" t="s">
        <v>1292</v>
      </c>
      <c r="G44" s="509">
        <v>45341</v>
      </c>
      <c r="H44" s="241" t="s">
        <v>4546</v>
      </c>
      <c r="I44" s="510">
        <f>_xlfn.XLOOKUP(Site_DB[[#This Row],[Site ID]],Logfile_S[SiteID],Logfile_S[Date],"",0,1)</f>
        <v>45402</v>
      </c>
      <c r="J44" s="262">
        <f>_xlfn.IFNA(VLOOKUP(Site_DB[[#This Row],[Site ID]],SUM_DN!B:X,21,0),0)</f>
        <v>0</v>
      </c>
      <c r="K44" s="262">
        <f>SUMIFS(Logfile_S[Qty],Logfile_S[Material Name],Site_DB[[#Headers],[Pole 7M 4"]],Logfile_S[SiteID],Site_DB[[#This Row],[Site ID]],Logfile_S[Transaction  Type],"outBOUND")</f>
        <v>25</v>
      </c>
      <c r="L44" s="262">
        <f>SUMIFS(Logfile_S[Qty],Logfile_S[Material Name],Site_DB[[#Headers],[Pole 7M 3"]],Logfile_S[SiteID],Site_DB[[#This Row],[Site ID]],Logfile_S[Transaction  Type],"outBOUND")</f>
        <v>0</v>
      </c>
      <c r="M44" s="262">
        <f>SUMIFS(Logfile_S[Qty],Logfile_S[Material Name],Site_DB[[#Headers],[Pole 9M]],Logfile_S[SiteID],Site_DB[[#This Row],[Site ID]],Logfile_S[Transaction  Type],"outBOUND")</f>
        <v>0</v>
      </c>
      <c r="N44" s="262">
        <v>3000</v>
      </c>
      <c r="O44" s="262">
        <v>0</v>
      </c>
      <c r="P44" s="262">
        <v>0</v>
      </c>
      <c r="Q44" s="262">
        <v>0</v>
      </c>
      <c r="R44" s="262">
        <v>1</v>
      </c>
      <c r="S44" s="262">
        <v>0</v>
      </c>
      <c r="T44" s="262">
        <v>10</v>
      </c>
      <c r="U44" s="262">
        <v>0</v>
      </c>
      <c r="V44" s="265">
        <v>0</v>
      </c>
      <c r="W44" s="262" t="s">
        <v>4635</v>
      </c>
      <c r="X44" s="227">
        <f>SUMIFS(Logfile_S[Qty],Logfile_S[Material Name],Site_DB[[#Headers],[Pole 7M 2.5"]],Logfile_S[SiteID],Site_DB[[#This Row],[Site ID]],Logfile_S[Transaction  Type],"outBOUND")</f>
        <v>0</v>
      </c>
      <c r="Y44" s="227">
        <f>SUMIFS(Logfile_S[Qty],Logfile_S[Material Name],Site_DB[[#Headers],[Pole 7M 4"]],Logfile_S[SiteID],Site_DB[[#This Row],[Site ID]],Logfile_S[Transaction  Type],"outBOUND")</f>
        <v>25</v>
      </c>
      <c r="Z44" s="227">
        <f>SUMIFS(Logfile_S[Qty],Logfile_S[Material Name],Site_DB[[#Headers],[Pole 7M 3"]],Logfile_S[SiteID],Site_DB[[#This Row],[Site ID]],Logfile_S[Transaction  Type],"outBOUND")</f>
        <v>0</v>
      </c>
      <c r="AA44" s="227">
        <f>SUMIFS(Logfile_S[Qty],Logfile_S[Material Name],Site_DB[[#Headers],[Pole 9M]],Logfile_S[SiteID],Site_DB[[#This Row],[Site ID]],Logfile_S[Transaction  Type],"outBOUND")</f>
        <v>0</v>
      </c>
      <c r="AB44" s="227"/>
      <c r="AC44" s="227"/>
      <c r="AD44" s="227"/>
      <c r="AE44" s="227"/>
      <c r="AF44" s="227"/>
      <c r="AG44" s="227"/>
      <c r="AH44" s="227"/>
      <c r="AI44" s="227"/>
    </row>
    <row r="45" spans="1:35" ht="14.5">
      <c r="A45" s="508">
        <f t="shared" si="1"/>
        <v>41</v>
      </c>
      <c r="B45" s="241" t="s">
        <v>71</v>
      </c>
      <c r="C45" s="511" t="s">
        <v>24</v>
      </c>
      <c r="D45" s="241" t="s">
        <v>1405</v>
      </c>
      <c r="E45" s="241" t="s">
        <v>1406</v>
      </c>
      <c r="F45" s="241" t="s">
        <v>1406</v>
      </c>
      <c r="G45" s="509">
        <v>45341</v>
      </c>
      <c r="H45" s="241" t="s">
        <v>4544</v>
      </c>
      <c r="I45" s="510">
        <f>_xlfn.XLOOKUP(Site_DB[[#This Row],[Site ID]],Logfile_S[SiteID],Logfile_S[Date],"",0,1)</f>
        <v>45432</v>
      </c>
      <c r="J45" s="262">
        <f>_xlfn.IFNA(VLOOKUP(Site_DB[[#This Row],[Site ID]],SUM_DN!B:X,21,0),0)</f>
        <v>0</v>
      </c>
      <c r="K45" s="262">
        <f>SUMIFS(Logfile_S[Qty],Logfile_S[Material Name],Site_DB[[#Headers],[Pole 7M 4"]],Logfile_S[SiteID],Site_DB[[#This Row],[Site ID]],Logfile_S[Transaction  Type],"outBOUND")</f>
        <v>35</v>
      </c>
      <c r="L45" s="262">
        <f>SUMIFS(Logfile_S[Qty],Logfile_S[Material Name],Site_DB[[#Headers],[Pole 7M 3"]],Logfile_S[SiteID],Site_DB[[#This Row],[Site ID]],Logfile_S[Transaction  Type],"outBOUND")</f>
        <v>5</v>
      </c>
      <c r="M45" s="262">
        <f>SUMIFS(Logfile_S[Qty],Logfile_S[Material Name],Site_DB[[#Headers],[Pole 9M]],Logfile_S[SiteID],Site_DB[[#This Row],[Site ID]],Logfile_S[Transaction  Type],"outBOUND")</f>
        <v>2</v>
      </c>
      <c r="N45" s="262">
        <v>3000</v>
      </c>
      <c r="O45" s="262">
        <v>0</v>
      </c>
      <c r="P45" s="262">
        <v>0</v>
      </c>
      <c r="Q45" s="262">
        <v>0</v>
      </c>
      <c r="R45" s="262">
        <v>1</v>
      </c>
      <c r="S45" s="262">
        <v>0</v>
      </c>
      <c r="T45" s="262">
        <v>10</v>
      </c>
      <c r="U45" s="262">
        <v>0</v>
      </c>
      <c r="V45" s="265">
        <v>0</v>
      </c>
      <c r="W45" s="262" t="s">
        <v>4635</v>
      </c>
      <c r="X45" s="227">
        <f>SUMIFS(Logfile_S[Qty],Logfile_S[Material Name],Site_DB[[#Headers],[Pole 7M 2.5"]],Logfile_S[SiteID],Site_DB[[#This Row],[Site ID]],Logfile_S[Transaction  Type],"outBOUND")</f>
        <v>0</v>
      </c>
      <c r="Y45" s="227">
        <f>SUMIFS(Logfile_S[Qty],Logfile_S[Material Name],Site_DB[[#Headers],[Pole 7M 4"]],Logfile_S[SiteID],Site_DB[[#This Row],[Site ID]],Logfile_S[Transaction  Type],"outBOUND")</f>
        <v>35</v>
      </c>
      <c r="Z45" s="227">
        <f>SUMIFS(Logfile_S[Qty],Logfile_S[Material Name],Site_DB[[#Headers],[Pole 7M 3"]],Logfile_S[SiteID],Site_DB[[#This Row],[Site ID]],Logfile_S[Transaction  Type],"outBOUND")</f>
        <v>5</v>
      </c>
      <c r="AA45" s="227">
        <f>SUMIFS(Logfile_S[Qty],Logfile_S[Material Name],Site_DB[[#Headers],[Pole 9M]],Logfile_S[SiteID],Site_DB[[#This Row],[Site ID]],Logfile_S[Transaction  Type],"outBOUND")</f>
        <v>2</v>
      </c>
      <c r="AB45" s="227"/>
      <c r="AC45" s="227"/>
      <c r="AD45" s="227"/>
      <c r="AE45" s="227"/>
      <c r="AF45" s="227"/>
      <c r="AG45" s="227"/>
      <c r="AH45" s="227"/>
      <c r="AI45" s="227"/>
    </row>
    <row r="46" spans="1:35" ht="14.5">
      <c r="A46" s="508">
        <f t="shared" si="1"/>
        <v>42</v>
      </c>
      <c r="B46" s="241" t="s">
        <v>71</v>
      </c>
      <c r="C46" s="241" t="s">
        <v>24</v>
      </c>
      <c r="D46" s="241" t="s">
        <v>1401</v>
      </c>
      <c r="E46" s="241" t="s">
        <v>1402</v>
      </c>
      <c r="F46" s="241" t="s">
        <v>4564</v>
      </c>
      <c r="G46" s="509">
        <v>45348</v>
      </c>
      <c r="H46" s="241" t="s">
        <v>4546</v>
      </c>
      <c r="I46" s="510">
        <f>_xlfn.XLOOKUP(Site_DB[[#This Row],[Site ID]],Logfile_S[SiteID],Logfile_S[Date],"",0,1)</f>
        <v>45404</v>
      </c>
      <c r="J46" s="262">
        <f>_xlfn.IFNA(VLOOKUP(Site_DB[[#This Row],[Site ID]],SUM_DN!B:X,21,0),0)</f>
        <v>0</v>
      </c>
      <c r="K46" s="262">
        <f>SUMIFS(Logfile_S[Qty],Logfile_S[Material Name],Site_DB[[#Headers],[Pole 7M 4"]],Logfile_S[SiteID],Site_DB[[#This Row],[Site ID]],Logfile_S[Transaction  Type],"outBOUND")</f>
        <v>19</v>
      </c>
      <c r="L46" s="262">
        <f>SUMIFS(Logfile_S[Qty],Logfile_S[Material Name],Site_DB[[#Headers],[Pole 7M 3"]],Logfile_S[SiteID],Site_DB[[#This Row],[Site ID]],Logfile_S[Transaction  Type],"outBOUND")</f>
        <v>3</v>
      </c>
      <c r="M46" s="262">
        <f>SUMIFS(Logfile_S[Qty],Logfile_S[Material Name],Site_DB[[#Headers],[Pole 9M]],Logfile_S[SiteID],Site_DB[[#This Row],[Site ID]],Logfile_S[Transaction  Type],"outBOUND")</f>
        <v>0</v>
      </c>
      <c r="N46" s="262">
        <v>0</v>
      </c>
      <c r="O46" s="262">
        <v>3000</v>
      </c>
      <c r="P46" s="262">
        <v>0</v>
      </c>
      <c r="Q46" s="262">
        <v>0</v>
      </c>
      <c r="R46" s="262">
        <v>1</v>
      </c>
      <c r="S46" s="262">
        <v>0</v>
      </c>
      <c r="T46" s="262">
        <v>10</v>
      </c>
      <c r="U46" s="262">
        <v>0</v>
      </c>
      <c r="V46" s="265">
        <v>0</v>
      </c>
      <c r="W46" s="262" t="s">
        <v>4635</v>
      </c>
      <c r="X46" s="227">
        <f>SUMIFS(Logfile_S[Qty],Logfile_S[Material Name],Site_DB[[#Headers],[Pole 7M 2.5"]],Logfile_S[SiteID],Site_DB[[#This Row],[Site ID]],Logfile_S[Transaction  Type],"outBOUND")</f>
        <v>0</v>
      </c>
      <c r="Y46" s="227">
        <f>SUMIFS(Logfile_S[Qty],Logfile_S[Material Name],Site_DB[[#Headers],[Pole 7M 4"]],Logfile_S[SiteID],Site_DB[[#This Row],[Site ID]],Logfile_S[Transaction  Type],"outBOUND")</f>
        <v>19</v>
      </c>
      <c r="Z46" s="227">
        <f>SUMIFS(Logfile_S[Qty],Logfile_S[Material Name],Site_DB[[#Headers],[Pole 7M 3"]],Logfile_S[SiteID],Site_DB[[#This Row],[Site ID]],Logfile_S[Transaction  Type],"outBOUND")</f>
        <v>3</v>
      </c>
      <c r="AA46" s="227">
        <f>SUMIFS(Logfile_S[Qty],Logfile_S[Material Name],Site_DB[[#Headers],[Pole 9M]],Logfile_S[SiteID],Site_DB[[#This Row],[Site ID]],Logfile_S[Transaction  Type],"outBOUND")</f>
        <v>0</v>
      </c>
      <c r="AB46" s="227"/>
      <c r="AC46" s="227"/>
      <c r="AD46" s="227"/>
      <c r="AE46" s="227"/>
      <c r="AF46" s="227"/>
      <c r="AG46" s="227"/>
      <c r="AH46" s="227"/>
      <c r="AI46" s="227"/>
    </row>
    <row r="47" spans="1:35" ht="14.5">
      <c r="A47" s="508">
        <f t="shared" si="1"/>
        <v>43</v>
      </c>
      <c r="B47" s="241" t="s">
        <v>71</v>
      </c>
      <c r="C47" s="241" t="s">
        <v>24</v>
      </c>
      <c r="D47" s="241" t="s">
        <v>1287</v>
      </c>
      <c r="E47" s="241" t="s">
        <v>1288</v>
      </c>
      <c r="F47" s="241" t="s">
        <v>4575</v>
      </c>
      <c r="G47" s="509">
        <v>45368</v>
      </c>
      <c r="H47" s="241" t="s">
        <v>4546</v>
      </c>
      <c r="I47" s="510">
        <f>_xlfn.XLOOKUP(Site_DB[[#This Row],[Site ID]],Logfile_S[SiteID],Logfile_S[Date],"",0,1)</f>
        <v>45400</v>
      </c>
      <c r="J47" s="262">
        <f>_xlfn.IFNA(VLOOKUP(Site_DB[[#This Row],[Site ID]],SUM_DN!B:X,21,0),0)</f>
        <v>0</v>
      </c>
      <c r="K47" s="262">
        <f>SUMIFS(Logfile_S[Qty],Logfile_S[Material Name],Site_DB[[#Headers],[Pole 7M 4"]],Logfile_S[SiteID],Site_DB[[#This Row],[Site ID]],Logfile_S[Transaction  Type],"outBOUND")</f>
        <v>16</v>
      </c>
      <c r="L47" s="262">
        <f>SUMIFS(Logfile_S[Qty],Logfile_S[Material Name],Site_DB[[#Headers],[Pole 7M 3"]],Logfile_S[SiteID],Site_DB[[#This Row],[Site ID]],Logfile_S[Transaction  Type],"outBOUND")</f>
        <v>0</v>
      </c>
      <c r="M47" s="262">
        <f>SUMIFS(Logfile_S[Qty],Logfile_S[Material Name],Site_DB[[#Headers],[Pole 9M]],Logfile_S[SiteID],Site_DB[[#This Row],[Site ID]],Logfile_S[Transaction  Type],"outBOUND")</f>
        <v>0</v>
      </c>
      <c r="N47" s="262">
        <v>0</v>
      </c>
      <c r="O47" s="262">
        <v>0</v>
      </c>
      <c r="P47" s="262">
        <v>0</v>
      </c>
      <c r="Q47" s="262">
        <v>0</v>
      </c>
      <c r="R47" s="262">
        <v>0</v>
      </c>
      <c r="S47" s="262">
        <v>0</v>
      </c>
      <c r="T47" s="262">
        <v>5</v>
      </c>
      <c r="U47" s="262">
        <v>0</v>
      </c>
      <c r="V47" s="265">
        <v>0</v>
      </c>
      <c r="W47" s="262" t="s">
        <v>4635</v>
      </c>
      <c r="X47" s="227">
        <f>SUMIFS(Logfile_S[Qty],Logfile_S[Material Name],Site_DB[[#Headers],[Pole 7M 2.5"]],Logfile_S[SiteID],Site_DB[[#This Row],[Site ID]],Logfile_S[Transaction  Type],"outBOUND")</f>
        <v>0</v>
      </c>
      <c r="Y47" s="227">
        <f>SUMIFS(Logfile_S[Qty],Logfile_S[Material Name],Site_DB[[#Headers],[Pole 7M 4"]],Logfile_S[SiteID],Site_DB[[#This Row],[Site ID]],Logfile_S[Transaction  Type],"outBOUND")</f>
        <v>16</v>
      </c>
      <c r="Z47" s="227">
        <f>SUMIFS(Logfile_S[Qty],Logfile_S[Material Name],Site_DB[[#Headers],[Pole 7M 3"]],Logfile_S[SiteID],Site_DB[[#This Row],[Site ID]],Logfile_S[Transaction  Type],"outBOUND")</f>
        <v>0</v>
      </c>
      <c r="AA47" s="227">
        <f>SUMIFS(Logfile_S[Qty],Logfile_S[Material Name],Site_DB[[#Headers],[Pole 9M]],Logfile_S[SiteID],Site_DB[[#This Row],[Site ID]],Logfile_S[Transaction  Type],"outBOUND")</f>
        <v>0</v>
      </c>
      <c r="AB47" s="227"/>
      <c r="AC47" s="227"/>
      <c r="AD47" s="227"/>
      <c r="AE47" s="227"/>
      <c r="AF47" s="227"/>
      <c r="AG47" s="227"/>
      <c r="AH47" s="227"/>
      <c r="AI47" s="227"/>
    </row>
    <row r="48" spans="1:35" ht="14.5">
      <c r="A48" s="508">
        <f t="shared" si="1"/>
        <v>44</v>
      </c>
      <c r="B48" s="241" t="s">
        <v>71</v>
      </c>
      <c r="C48" s="241" t="s">
        <v>24</v>
      </c>
      <c r="D48" s="241" t="s">
        <v>1395</v>
      </c>
      <c r="E48" s="241" t="s">
        <v>1396</v>
      </c>
      <c r="F48" s="241" t="s">
        <v>1396</v>
      </c>
      <c r="G48" s="509">
        <v>45368</v>
      </c>
      <c r="H48" s="241" t="s">
        <v>4548</v>
      </c>
      <c r="I48" s="510">
        <f>_xlfn.XLOOKUP(Site_DB[[#This Row],[Site ID]],Logfile_S[SiteID],Logfile_S[Date],"",0,1)</f>
        <v>45434</v>
      </c>
      <c r="J48" s="262">
        <f>_xlfn.IFNA(VLOOKUP(Site_DB[[#This Row],[Site ID]],SUM_DN!B:X,21,0),0)</f>
        <v>0</v>
      </c>
      <c r="K48" s="262">
        <f>SUMIFS(Logfile_S[Qty],Logfile_S[Material Name],Site_DB[[#Headers],[Pole 7M 4"]],Logfile_S[SiteID],Site_DB[[#This Row],[Site ID]],Logfile_S[Transaction  Type],"outBOUND")</f>
        <v>25</v>
      </c>
      <c r="L48" s="262">
        <f>SUMIFS(Logfile_S[Qty],Logfile_S[Material Name],Site_DB[[#Headers],[Pole 7M 3"]],Logfile_S[SiteID],Site_DB[[#This Row],[Site ID]],Logfile_S[Transaction  Type],"outBOUND")</f>
        <v>4</v>
      </c>
      <c r="M48" s="262">
        <f>SUMIFS(Logfile_S[Qty],Logfile_S[Material Name],Site_DB[[#Headers],[Pole 9M]],Logfile_S[SiteID],Site_DB[[#This Row],[Site ID]],Logfile_S[Transaction  Type],"outBOUND")</f>
        <v>0</v>
      </c>
      <c r="N48" s="262">
        <v>0</v>
      </c>
      <c r="O48" s="262">
        <v>0</v>
      </c>
      <c r="P48" s="262">
        <v>0</v>
      </c>
      <c r="Q48" s="262">
        <v>0</v>
      </c>
      <c r="R48" s="262">
        <v>1</v>
      </c>
      <c r="S48" s="262">
        <v>0</v>
      </c>
      <c r="T48" s="262">
        <v>14</v>
      </c>
      <c r="U48" s="262">
        <v>0</v>
      </c>
      <c r="V48" s="265">
        <v>0</v>
      </c>
      <c r="W48" s="262" t="s">
        <v>4635</v>
      </c>
      <c r="X48" s="227">
        <f>SUMIFS(Logfile_S[Qty],Logfile_S[Material Name],Site_DB[[#Headers],[Pole 7M 2.5"]],Logfile_S[SiteID],Site_DB[[#This Row],[Site ID]],Logfile_S[Transaction  Type],"outBOUND")</f>
        <v>0</v>
      </c>
      <c r="Y48" s="227">
        <f>SUMIFS(Logfile_S[Qty],Logfile_S[Material Name],Site_DB[[#Headers],[Pole 7M 4"]],Logfile_S[SiteID],Site_DB[[#This Row],[Site ID]],Logfile_S[Transaction  Type],"outBOUND")</f>
        <v>25</v>
      </c>
      <c r="Z48" s="227">
        <f>SUMIFS(Logfile_S[Qty],Logfile_S[Material Name],Site_DB[[#Headers],[Pole 7M 3"]],Logfile_S[SiteID],Site_DB[[#This Row],[Site ID]],Logfile_S[Transaction  Type],"outBOUND")</f>
        <v>4</v>
      </c>
      <c r="AA48" s="227">
        <f>SUMIFS(Logfile_S[Qty],Logfile_S[Material Name],Site_DB[[#Headers],[Pole 9M]],Logfile_S[SiteID],Site_DB[[#This Row],[Site ID]],Logfile_S[Transaction  Type],"outBOUND")</f>
        <v>0</v>
      </c>
      <c r="AB48" s="227"/>
      <c r="AC48" s="227"/>
      <c r="AD48" s="227"/>
      <c r="AE48" s="227"/>
      <c r="AF48" s="227"/>
      <c r="AG48" s="227"/>
      <c r="AH48" s="227"/>
      <c r="AI48" s="227"/>
    </row>
    <row r="49" spans="1:35" ht="14.5">
      <c r="A49" s="508">
        <f t="shared" si="1"/>
        <v>45</v>
      </c>
      <c r="B49" s="241" t="s">
        <v>71</v>
      </c>
      <c r="C49" s="511" t="s">
        <v>24</v>
      </c>
      <c r="D49" s="241" t="s">
        <v>2166</v>
      </c>
      <c r="E49" s="241" t="s">
        <v>2167</v>
      </c>
      <c r="F49" s="241" t="s">
        <v>4558</v>
      </c>
      <c r="G49" s="509">
        <v>45368</v>
      </c>
      <c r="H49" s="241" t="s">
        <v>4543</v>
      </c>
      <c r="I49" s="510">
        <f>_xlfn.XLOOKUP(Site_DB[[#This Row],[Site ID]],Logfile_S[SiteID],Logfile_S[Date],"",0,1)</f>
        <v>45555</v>
      </c>
      <c r="J49" s="262">
        <f>_xlfn.IFNA(VLOOKUP(Site_DB[[#This Row],[Site ID]],SUM_DN!B:X,21,0),0)</f>
        <v>0</v>
      </c>
      <c r="K49" s="262">
        <f>SUMIFS(Logfile_S[Qty],Logfile_S[Material Name],Site_DB[[#Headers],[Pole 7M 4"]],Logfile_S[SiteID],Site_DB[[#This Row],[Site ID]],Logfile_S[Transaction  Type],"outBOUND")</f>
        <v>69</v>
      </c>
      <c r="L49" s="262">
        <f>SUMIFS(Logfile_S[Qty],Logfile_S[Material Name],Site_DB[[#Headers],[Pole 7M 3"]],Logfile_S[SiteID],Site_DB[[#This Row],[Site ID]],Logfile_S[Transaction  Type],"outBOUND")</f>
        <v>4</v>
      </c>
      <c r="M49" s="262">
        <f>SUMIFS(Logfile_S[Qty],Logfile_S[Material Name],Site_DB[[#Headers],[Pole 9M]],Logfile_S[SiteID],Site_DB[[#This Row],[Site ID]],Logfile_S[Transaction  Type],"outBOUND")</f>
        <v>4</v>
      </c>
      <c r="N49" s="262">
        <v>3000</v>
      </c>
      <c r="O49" s="262">
        <v>6000</v>
      </c>
      <c r="P49" s="262">
        <v>0</v>
      </c>
      <c r="Q49" s="262">
        <v>0</v>
      </c>
      <c r="R49" s="262">
        <v>0</v>
      </c>
      <c r="S49" s="262">
        <v>1</v>
      </c>
      <c r="T49" s="262">
        <v>22</v>
      </c>
      <c r="U49" s="262">
        <v>0</v>
      </c>
      <c r="V49" s="265">
        <v>0</v>
      </c>
      <c r="W49" s="262" t="s">
        <v>4635</v>
      </c>
      <c r="X49" s="227">
        <f>SUMIFS(Logfile_S[Qty],Logfile_S[Material Name],Site_DB[[#Headers],[Pole 7M 2.5"]],Logfile_S[SiteID],Site_DB[[#This Row],[Site ID]],Logfile_S[Transaction  Type],"outBOUND")</f>
        <v>0</v>
      </c>
      <c r="Y49" s="227">
        <f>SUMIFS(Logfile_S[Qty],Logfile_S[Material Name],Site_DB[[#Headers],[Pole 7M 4"]],Logfile_S[SiteID],Site_DB[[#This Row],[Site ID]],Logfile_S[Transaction  Type],"outBOUND")</f>
        <v>69</v>
      </c>
      <c r="Z49" s="227">
        <f>SUMIFS(Logfile_S[Qty],Logfile_S[Material Name],Site_DB[[#Headers],[Pole 7M 3"]],Logfile_S[SiteID],Site_DB[[#This Row],[Site ID]],Logfile_S[Transaction  Type],"outBOUND")</f>
        <v>4</v>
      </c>
      <c r="AA49" s="227">
        <f>SUMIFS(Logfile_S[Qty],Logfile_S[Material Name],Site_DB[[#Headers],[Pole 9M]],Logfile_S[SiteID],Site_DB[[#This Row],[Site ID]],Logfile_S[Transaction  Type],"outBOUND")</f>
        <v>4</v>
      </c>
      <c r="AB49" s="227"/>
      <c r="AC49" s="227"/>
      <c r="AD49" s="227"/>
      <c r="AE49" s="227"/>
      <c r="AF49" s="227"/>
      <c r="AG49" s="227"/>
      <c r="AH49" s="227"/>
      <c r="AI49" s="227"/>
    </row>
    <row r="50" spans="1:35" ht="14.5">
      <c r="A50" s="508">
        <f t="shared" si="1"/>
        <v>46</v>
      </c>
      <c r="B50" s="241" t="s">
        <v>71</v>
      </c>
      <c r="C50" s="511" t="s">
        <v>24</v>
      </c>
      <c r="D50" s="241" t="s">
        <v>1803</v>
      </c>
      <c r="E50" s="241" t="s">
        <v>1804</v>
      </c>
      <c r="F50" s="241" t="s">
        <v>1804</v>
      </c>
      <c r="G50" s="509">
        <v>45368</v>
      </c>
      <c r="H50" s="241" t="s">
        <v>4543</v>
      </c>
      <c r="I50" s="510">
        <f>_xlfn.XLOOKUP(Site_DB[[#This Row],[Site ID]],Logfile_S[SiteID],Logfile_S[Date],"",0,1)</f>
        <v>45496</v>
      </c>
      <c r="J50" s="262">
        <f>_xlfn.IFNA(VLOOKUP(Site_DB[[#This Row],[Site ID]],SUM_DN!B:X,21,0),0)</f>
        <v>0</v>
      </c>
      <c r="K50" s="262">
        <f>SUMIFS(Logfile_S[Qty],Logfile_S[Material Name],Site_DB[[#Headers],[Pole 7M 4"]],Logfile_S[SiteID],Site_DB[[#This Row],[Site ID]],Logfile_S[Transaction  Type],"outBOUND")</f>
        <v>111</v>
      </c>
      <c r="L50" s="262">
        <f>SUMIFS(Logfile_S[Qty],Logfile_S[Material Name],Site_DB[[#Headers],[Pole 7M 3"]],Logfile_S[SiteID],Site_DB[[#This Row],[Site ID]],Logfile_S[Transaction  Type],"outBOUND")</f>
        <v>12</v>
      </c>
      <c r="M50" s="262">
        <f>SUMIFS(Logfile_S[Qty],Logfile_S[Material Name],Site_DB[[#Headers],[Pole 9M]],Logfile_S[SiteID],Site_DB[[#This Row],[Site ID]],Logfile_S[Transaction  Type],"outBOUND")</f>
        <v>0</v>
      </c>
      <c r="N50" s="262">
        <v>3000</v>
      </c>
      <c r="O50" s="262">
        <v>6000</v>
      </c>
      <c r="P50" s="262">
        <v>0</v>
      </c>
      <c r="Q50" s="262">
        <v>0</v>
      </c>
      <c r="R50" s="262">
        <v>2</v>
      </c>
      <c r="S50" s="262">
        <v>0</v>
      </c>
      <c r="T50" s="262">
        <v>37</v>
      </c>
      <c r="U50" s="262">
        <v>1</v>
      </c>
      <c r="V50" s="265">
        <v>0</v>
      </c>
      <c r="W50" s="262" t="s">
        <v>4635</v>
      </c>
      <c r="X50" s="227">
        <f>SUMIFS(Logfile_S[Qty],Logfile_S[Material Name],Site_DB[[#Headers],[Pole 7M 2.5"]],Logfile_S[SiteID],Site_DB[[#This Row],[Site ID]],Logfile_S[Transaction  Type],"outBOUND")</f>
        <v>0</v>
      </c>
      <c r="Y50" s="227">
        <f>SUMIFS(Logfile_S[Qty],Logfile_S[Material Name],Site_DB[[#Headers],[Pole 7M 4"]],Logfile_S[SiteID],Site_DB[[#This Row],[Site ID]],Logfile_S[Transaction  Type],"outBOUND")</f>
        <v>111</v>
      </c>
      <c r="Z50" s="227">
        <f>SUMIFS(Logfile_S[Qty],Logfile_S[Material Name],Site_DB[[#Headers],[Pole 7M 3"]],Logfile_S[SiteID],Site_DB[[#This Row],[Site ID]],Logfile_S[Transaction  Type],"outBOUND")</f>
        <v>12</v>
      </c>
      <c r="AA50" s="227">
        <f>SUMIFS(Logfile_S[Qty],Logfile_S[Material Name],Site_DB[[#Headers],[Pole 9M]],Logfile_S[SiteID],Site_DB[[#This Row],[Site ID]],Logfile_S[Transaction  Type],"outBOUND")</f>
        <v>0</v>
      </c>
      <c r="AB50" s="227"/>
      <c r="AC50" s="227"/>
      <c r="AD50" s="227"/>
      <c r="AE50" s="227"/>
      <c r="AF50" s="227"/>
      <c r="AG50" s="227"/>
      <c r="AH50" s="227"/>
      <c r="AI50" s="227"/>
    </row>
    <row r="51" spans="1:35" ht="14.5">
      <c r="A51" s="508">
        <f t="shared" si="1"/>
        <v>47</v>
      </c>
      <c r="B51" s="241" t="s">
        <v>71</v>
      </c>
      <c r="C51" s="511" t="s">
        <v>24</v>
      </c>
      <c r="D51" s="241" t="s">
        <v>1929</v>
      </c>
      <c r="E51" s="241" t="s">
        <v>1930</v>
      </c>
      <c r="F51" s="241" t="s">
        <v>1930</v>
      </c>
      <c r="G51" s="509">
        <v>45368</v>
      </c>
      <c r="H51" s="241" t="s">
        <v>4543</v>
      </c>
      <c r="I51" s="510">
        <f>_xlfn.XLOOKUP(Site_DB[[#This Row],[Site ID]],Logfile_S[SiteID],Logfile_S[Date],"",0,1)</f>
        <v>45526</v>
      </c>
      <c r="J51" s="262">
        <f>_xlfn.IFNA(VLOOKUP(Site_DB[[#This Row],[Site ID]],SUM_DN!B:X,21,0),0)</f>
        <v>0</v>
      </c>
      <c r="K51" s="262">
        <f>SUMIFS(Logfile_S[Qty],Logfile_S[Material Name],Site_DB[[#Headers],[Pole 7M 4"]],Logfile_S[SiteID],Site_DB[[#This Row],[Site ID]],Logfile_S[Transaction  Type],"outBOUND")</f>
        <v>93</v>
      </c>
      <c r="L51" s="262">
        <f>SUMIFS(Logfile_S[Qty],Logfile_S[Material Name],Site_DB[[#Headers],[Pole 7M 3"]],Logfile_S[SiteID],Site_DB[[#This Row],[Site ID]],Logfile_S[Transaction  Type],"outBOUND")</f>
        <v>11</v>
      </c>
      <c r="M51" s="262">
        <f>SUMIFS(Logfile_S[Qty],Logfile_S[Material Name],Site_DB[[#Headers],[Pole 9M]],Logfile_S[SiteID],Site_DB[[#This Row],[Site ID]],Logfile_S[Transaction  Type],"outBOUND")</f>
        <v>1</v>
      </c>
      <c r="N51" s="262">
        <v>0</v>
      </c>
      <c r="O51" s="262">
        <v>3000</v>
      </c>
      <c r="P51" s="262">
        <v>0</v>
      </c>
      <c r="Q51" s="262">
        <v>0</v>
      </c>
      <c r="R51" s="262">
        <v>2</v>
      </c>
      <c r="S51" s="262">
        <v>0</v>
      </c>
      <c r="T51" s="262">
        <v>38</v>
      </c>
      <c r="U51" s="262">
        <v>0</v>
      </c>
      <c r="V51" s="265">
        <v>0</v>
      </c>
      <c r="W51" s="262" t="s">
        <v>4638</v>
      </c>
      <c r="X51" s="227">
        <f>SUMIFS(Logfile_S[Qty],Logfile_S[Material Name],Site_DB[[#Headers],[Pole 7M 2.5"]],Logfile_S[SiteID],Site_DB[[#This Row],[Site ID]],Logfile_S[Transaction  Type],"outBOUND")</f>
        <v>0</v>
      </c>
      <c r="Y51" s="227">
        <f>SUMIFS(Logfile_S[Qty],Logfile_S[Material Name],Site_DB[[#Headers],[Pole 7M 4"]],Logfile_S[SiteID],Site_DB[[#This Row],[Site ID]],Logfile_S[Transaction  Type],"outBOUND")</f>
        <v>93</v>
      </c>
      <c r="Z51" s="227">
        <f>SUMIFS(Logfile_S[Qty],Logfile_S[Material Name],Site_DB[[#Headers],[Pole 7M 3"]],Logfile_S[SiteID],Site_DB[[#This Row],[Site ID]],Logfile_S[Transaction  Type],"outBOUND")</f>
        <v>11</v>
      </c>
      <c r="AA51" s="227">
        <f>SUMIFS(Logfile_S[Qty],Logfile_S[Material Name],Site_DB[[#Headers],[Pole 9M]],Logfile_S[SiteID],Site_DB[[#This Row],[Site ID]],Logfile_S[Transaction  Type],"outBOUND")</f>
        <v>1</v>
      </c>
      <c r="AB51" s="227"/>
      <c r="AC51" s="227"/>
      <c r="AD51" s="227"/>
      <c r="AE51" s="227"/>
      <c r="AF51" s="227"/>
      <c r="AG51" s="227"/>
      <c r="AH51" s="227"/>
      <c r="AI51" s="227"/>
    </row>
    <row r="52" spans="1:35" ht="14.5">
      <c r="A52" s="508">
        <f t="shared" si="1"/>
        <v>48</v>
      </c>
      <c r="B52" s="241" t="s">
        <v>71</v>
      </c>
      <c r="C52" s="241" t="s">
        <v>24</v>
      </c>
      <c r="D52" s="241" t="s">
        <v>1477</v>
      </c>
      <c r="E52" s="241" t="s">
        <v>1478</v>
      </c>
      <c r="F52" s="241" t="s">
        <v>1478</v>
      </c>
      <c r="G52" s="509">
        <v>45420</v>
      </c>
      <c r="H52" s="241" t="s">
        <v>4543</v>
      </c>
      <c r="I52" s="510">
        <f>_xlfn.XLOOKUP(Site_DB[[#This Row],[Site ID]],Logfile_S[SiteID],Logfile_S[Date],"",0,1)</f>
        <v>45442</v>
      </c>
      <c r="J52" s="262">
        <f>_xlfn.IFNA(VLOOKUP(Site_DB[[#This Row],[Site ID]],SUM_DN!B:X,21,0),0)</f>
        <v>0</v>
      </c>
      <c r="K52" s="262">
        <f>SUMIFS(Logfile_S[Qty],Logfile_S[Material Name],Site_DB[[#Headers],[Pole 7M 4"]],Logfile_S[SiteID],Site_DB[[#This Row],[Site ID]],Logfile_S[Transaction  Type],"outBOUND")</f>
        <v>0</v>
      </c>
      <c r="L52" s="262">
        <f>SUMIFS(Logfile_S[Qty],Logfile_S[Material Name],Site_DB[[#Headers],[Pole 7M 3"]],Logfile_S[SiteID],Site_DB[[#This Row],[Site ID]],Logfile_S[Transaction  Type],"outBOUND")</f>
        <v>0</v>
      </c>
      <c r="M52" s="262">
        <f>SUMIFS(Logfile_S[Qty],Logfile_S[Material Name],Site_DB[[#Headers],[Pole 9M]],Logfile_S[SiteID],Site_DB[[#This Row],[Site ID]],Logfile_S[Transaction  Type],"outBOUND")</f>
        <v>0</v>
      </c>
      <c r="N52" s="262">
        <v>0</v>
      </c>
      <c r="O52" s="262">
        <v>0</v>
      </c>
      <c r="P52" s="262">
        <v>0</v>
      </c>
      <c r="Q52" s="262">
        <v>0</v>
      </c>
      <c r="R52" s="262">
        <v>1</v>
      </c>
      <c r="S52" s="262">
        <v>0</v>
      </c>
      <c r="T52" s="262">
        <v>5</v>
      </c>
      <c r="U52" s="262">
        <v>0</v>
      </c>
      <c r="V52" s="265">
        <v>0</v>
      </c>
      <c r="W52" s="262" t="s">
        <v>4635</v>
      </c>
      <c r="X52" s="227">
        <f>SUMIFS(Logfile_S[Qty],Logfile_S[Material Name],Site_DB[[#Headers],[Pole 7M 2.5"]],Logfile_S[SiteID],Site_DB[[#This Row],[Site ID]],Logfile_S[Transaction  Type],"outBOUND")</f>
        <v>0</v>
      </c>
      <c r="Y52" s="227">
        <f>SUMIFS(Logfile_S[Qty],Logfile_S[Material Name],Site_DB[[#Headers],[Pole 7M 4"]],Logfile_S[SiteID],Site_DB[[#This Row],[Site ID]],Logfile_S[Transaction  Type],"outBOUND")</f>
        <v>0</v>
      </c>
      <c r="Z52" s="227">
        <f>SUMIFS(Logfile_S[Qty],Logfile_S[Material Name],Site_DB[[#Headers],[Pole 7M 3"]],Logfile_S[SiteID],Site_DB[[#This Row],[Site ID]],Logfile_S[Transaction  Type],"outBOUND")</f>
        <v>0</v>
      </c>
      <c r="AA52" s="227">
        <f>SUMIFS(Logfile_S[Qty],Logfile_S[Material Name],Site_DB[[#Headers],[Pole 9M]],Logfile_S[SiteID],Site_DB[[#This Row],[Site ID]],Logfile_S[Transaction  Type],"outBOUND")</f>
        <v>0</v>
      </c>
      <c r="AB52" s="227"/>
      <c r="AC52" s="227"/>
      <c r="AD52" s="227"/>
      <c r="AE52" s="227"/>
      <c r="AF52" s="227"/>
      <c r="AG52" s="227"/>
      <c r="AH52" s="227"/>
      <c r="AI52" s="227"/>
    </row>
    <row r="53" spans="1:35" ht="14.5">
      <c r="A53" s="508">
        <f t="shared" si="1"/>
        <v>49</v>
      </c>
      <c r="B53" s="241" t="s">
        <v>71</v>
      </c>
      <c r="C53" s="241" t="s">
        <v>24</v>
      </c>
      <c r="D53" s="241" t="s">
        <v>1481</v>
      </c>
      <c r="E53" s="241" t="s">
        <v>1482</v>
      </c>
      <c r="F53" s="241" t="s">
        <v>1482</v>
      </c>
      <c r="G53" s="509">
        <v>45420</v>
      </c>
      <c r="H53" s="241" t="s">
        <v>4548</v>
      </c>
      <c r="I53" s="510">
        <f>_xlfn.XLOOKUP(Site_DB[[#This Row],[Site ID]],Logfile_S[SiteID],Logfile_S[Date],"",0,1)</f>
        <v>45448</v>
      </c>
      <c r="J53" s="262">
        <f>_xlfn.IFNA(VLOOKUP(Site_DB[[#This Row],[Site ID]],SUM_DN!B:X,21,0),0)</f>
        <v>0</v>
      </c>
      <c r="K53" s="262">
        <f>SUMIFS(Logfile_S[Qty],Logfile_S[Material Name],Site_DB[[#Headers],[Pole 7M 4"]],Logfile_S[SiteID],Site_DB[[#This Row],[Site ID]],Logfile_S[Transaction  Type],"outBOUND")</f>
        <v>0</v>
      </c>
      <c r="L53" s="262">
        <f>SUMIFS(Logfile_S[Qty],Logfile_S[Material Name],Site_DB[[#Headers],[Pole 7M 3"]],Logfile_S[SiteID],Site_DB[[#This Row],[Site ID]],Logfile_S[Transaction  Type],"outBOUND")</f>
        <v>0</v>
      </c>
      <c r="M53" s="262">
        <f>SUMIFS(Logfile_S[Qty],Logfile_S[Material Name],Site_DB[[#Headers],[Pole 9M]],Logfile_S[SiteID],Site_DB[[#This Row],[Site ID]],Logfile_S[Transaction  Type],"outBOUND")</f>
        <v>0</v>
      </c>
      <c r="N53" s="262">
        <v>3000</v>
      </c>
      <c r="O53" s="262">
        <v>0</v>
      </c>
      <c r="P53" s="262">
        <v>0</v>
      </c>
      <c r="Q53" s="262">
        <v>0</v>
      </c>
      <c r="R53" s="262">
        <v>0</v>
      </c>
      <c r="S53" s="262">
        <v>0</v>
      </c>
      <c r="T53" s="262">
        <v>7</v>
      </c>
      <c r="U53" s="262">
        <v>0</v>
      </c>
      <c r="V53" s="265">
        <v>0</v>
      </c>
      <c r="W53" s="262" t="s">
        <v>4635</v>
      </c>
      <c r="X53" s="227">
        <f>SUMIFS(Logfile_S[Qty],Logfile_S[Material Name],Site_DB[[#Headers],[Pole 7M 2.5"]],Logfile_S[SiteID],Site_DB[[#This Row],[Site ID]],Logfile_S[Transaction  Type],"outBOUND")</f>
        <v>0</v>
      </c>
      <c r="Y53" s="227">
        <f>SUMIFS(Logfile_S[Qty],Logfile_S[Material Name],Site_DB[[#Headers],[Pole 7M 4"]],Logfile_S[SiteID],Site_DB[[#This Row],[Site ID]],Logfile_S[Transaction  Type],"outBOUND")</f>
        <v>0</v>
      </c>
      <c r="Z53" s="227">
        <f>SUMIFS(Logfile_S[Qty],Logfile_S[Material Name],Site_DB[[#Headers],[Pole 7M 3"]],Logfile_S[SiteID],Site_DB[[#This Row],[Site ID]],Logfile_S[Transaction  Type],"outBOUND")</f>
        <v>0</v>
      </c>
      <c r="AA53" s="227">
        <f>SUMIFS(Logfile_S[Qty],Logfile_S[Material Name],Site_DB[[#Headers],[Pole 9M]],Logfile_S[SiteID],Site_DB[[#This Row],[Site ID]],Logfile_S[Transaction  Type],"outBOUND")</f>
        <v>0</v>
      </c>
      <c r="AB53" s="227"/>
      <c r="AC53" s="227"/>
      <c r="AD53" s="227"/>
      <c r="AE53" s="227"/>
      <c r="AF53" s="227"/>
      <c r="AG53" s="227"/>
      <c r="AH53" s="227"/>
      <c r="AI53" s="227"/>
    </row>
    <row r="54" spans="1:35" ht="14.5">
      <c r="A54" s="508">
        <f t="shared" si="1"/>
        <v>50</v>
      </c>
      <c r="B54" s="241" t="s">
        <v>71</v>
      </c>
      <c r="C54" s="241" t="s">
        <v>24</v>
      </c>
      <c r="D54" s="241" t="s">
        <v>1493</v>
      </c>
      <c r="E54" s="241" t="s">
        <v>1494</v>
      </c>
      <c r="F54" s="241" t="s">
        <v>1494</v>
      </c>
      <c r="G54" s="509">
        <v>45420</v>
      </c>
      <c r="H54" s="241" t="s">
        <v>4543</v>
      </c>
      <c r="I54" s="510">
        <f>_xlfn.XLOOKUP(Site_DB[[#This Row],[Site ID]],Logfile_S[SiteID],Logfile_S[Date],"",0,1)</f>
        <v>45437</v>
      </c>
      <c r="J54" s="262">
        <f>_xlfn.IFNA(VLOOKUP(Site_DB[[#This Row],[Site ID]],SUM_DN!B:X,21,0),0)</f>
        <v>0</v>
      </c>
      <c r="K54" s="262">
        <f>SUMIFS(Logfile_S[Qty],Logfile_S[Material Name],Site_DB[[#Headers],[Pole 7M 4"]],Logfile_S[SiteID],Site_DB[[#This Row],[Site ID]],Logfile_S[Transaction  Type],"outBOUND")</f>
        <v>218</v>
      </c>
      <c r="L54" s="262">
        <f>SUMIFS(Logfile_S[Qty],Logfile_S[Material Name],Site_DB[[#Headers],[Pole 7M 3"]],Logfile_S[SiteID],Site_DB[[#This Row],[Site ID]],Logfile_S[Transaction  Type],"outBOUND")</f>
        <v>24</v>
      </c>
      <c r="M54" s="262">
        <f>SUMIFS(Logfile_S[Qty],Logfile_S[Material Name],Site_DB[[#Headers],[Pole 9M]],Logfile_S[SiteID],Site_DB[[#This Row],[Site ID]],Logfile_S[Transaction  Type],"outBOUND")</f>
        <v>0</v>
      </c>
      <c r="N54" s="262">
        <v>6000</v>
      </c>
      <c r="O54" s="262">
        <v>0</v>
      </c>
      <c r="P54" s="262">
        <v>0</v>
      </c>
      <c r="Q54" s="262">
        <v>0</v>
      </c>
      <c r="R54" s="262">
        <v>1</v>
      </c>
      <c r="S54" s="262">
        <v>0</v>
      </c>
      <c r="T54" s="262">
        <v>15</v>
      </c>
      <c r="U54" s="262">
        <v>1</v>
      </c>
      <c r="V54" s="265">
        <v>0</v>
      </c>
      <c r="W54" s="262" t="s">
        <v>4635</v>
      </c>
      <c r="X54" s="227">
        <f>SUMIFS(Logfile_S[Qty],Logfile_S[Material Name],Site_DB[[#Headers],[Pole 7M 2.5"]],Logfile_S[SiteID],Site_DB[[#This Row],[Site ID]],Logfile_S[Transaction  Type],"outBOUND")</f>
        <v>0</v>
      </c>
      <c r="Y54" s="227">
        <f>SUMIFS(Logfile_S[Qty],Logfile_S[Material Name],Site_DB[[#Headers],[Pole 7M 4"]],Logfile_S[SiteID],Site_DB[[#This Row],[Site ID]],Logfile_S[Transaction  Type],"outBOUND")</f>
        <v>218</v>
      </c>
      <c r="Z54" s="227">
        <f>SUMIFS(Logfile_S[Qty],Logfile_S[Material Name],Site_DB[[#Headers],[Pole 7M 3"]],Logfile_S[SiteID],Site_DB[[#This Row],[Site ID]],Logfile_S[Transaction  Type],"outBOUND")</f>
        <v>24</v>
      </c>
      <c r="AA54" s="227">
        <f>SUMIFS(Logfile_S[Qty],Logfile_S[Material Name],Site_DB[[#Headers],[Pole 9M]],Logfile_S[SiteID],Site_DB[[#This Row],[Site ID]],Logfile_S[Transaction  Type],"outBOUND")</f>
        <v>0</v>
      </c>
      <c r="AB54" s="227"/>
      <c r="AC54" s="227"/>
      <c r="AD54" s="227"/>
      <c r="AE54" s="227"/>
      <c r="AF54" s="227"/>
      <c r="AG54" s="227"/>
      <c r="AH54" s="227"/>
      <c r="AI54" s="227"/>
    </row>
    <row r="55" spans="1:35" ht="14.5">
      <c r="A55" s="508">
        <f t="shared" si="1"/>
        <v>51</v>
      </c>
      <c r="B55" s="241" t="s">
        <v>71</v>
      </c>
      <c r="C55" s="241" t="s">
        <v>24</v>
      </c>
      <c r="D55" s="241" t="s">
        <v>1967</v>
      </c>
      <c r="E55" s="507" t="s">
        <v>1968</v>
      </c>
      <c r="F55" s="507" t="s">
        <v>1968</v>
      </c>
      <c r="G55" s="509">
        <v>45422</v>
      </c>
      <c r="H55" s="241" t="s">
        <v>4546</v>
      </c>
      <c r="I55" s="510">
        <f>_xlfn.XLOOKUP(Site_DB[[#This Row],[Site ID]],Logfile_S[SiteID],Logfile_S[Date],"",0,1)</f>
        <v>45424</v>
      </c>
      <c r="J55" s="262">
        <f>_xlfn.IFNA(VLOOKUP(Site_DB[[#This Row],[Site ID]],SUM_DN!B:X,21,0),0)</f>
        <v>0</v>
      </c>
      <c r="K55" s="262">
        <f>SUMIFS(Logfile_S[Qty],Logfile_S[Material Name],Site_DB[[#Headers],[Pole 7M 4"]],Logfile_S[SiteID],Site_DB[[#This Row],[Site ID]],Logfile_S[Transaction  Type],"outBOUND")</f>
        <v>0</v>
      </c>
      <c r="L55" s="262">
        <f>SUMIFS(Logfile_S[Qty],Logfile_S[Material Name],Site_DB[[#Headers],[Pole 7M 3"]],Logfile_S[SiteID],Site_DB[[#This Row],[Site ID]],Logfile_S[Transaction  Type],"outBOUND")</f>
        <v>0</v>
      </c>
      <c r="M55" s="262">
        <f>SUMIFS(Logfile_S[Qty],Logfile_S[Material Name],Site_DB[[#Headers],[Pole 9M]],Logfile_S[SiteID],Site_DB[[#This Row],[Site ID]],Logfile_S[Transaction  Type],"outBOUND")</f>
        <v>0</v>
      </c>
      <c r="N55" s="262">
        <v>0</v>
      </c>
      <c r="O55" s="262">
        <v>0</v>
      </c>
      <c r="P55" s="262">
        <v>0</v>
      </c>
      <c r="Q55" s="262">
        <v>6000</v>
      </c>
      <c r="R55" s="262">
        <v>0</v>
      </c>
      <c r="S55" s="262">
        <v>0</v>
      </c>
      <c r="T55" s="262">
        <v>0</v>
      </c>
      <c r="U55" s="262">
        <v>2</v>
      </c>
      <c r="V55" s="265">
        <v>0</v>
      </c>
      <c r="W55" s="262" t="s">
        <v>4636</v>
      </c>
      <c r="X55" s="227">
        <f>SUMIFS(Logfile_S[Qty],Logfile_S[Material Name],Site_DB[[#Headers],[Pole 7M 2.5"]],Logfile_S[SiteID],Site_DB[[#This Row],[Site ID]],Logfile_S[Transaction  Type],"outBOUND")</f>
        <v>0</v>
      </c>
      <c r="Y55" s="227">
        <f>SUMIFS(Logfile_S[Qty],Logfile_S[Material Name],Site_DB[[#Headers],[Pole 7M 4"]],Logfile_S[SiteID],Site_DB[[#This Row],[Site ID]],Logfile_S[Transaction  Type],"outBOUND")</f>
        <v>0</v>
      </c>
      <c r="Z55" s="227">
        <f>SUMIFS(Logfile_S[Qty],Logfile_S[Material Name],Site_DB[[#Headers],[Pole 7M 3"]],Logfile_S[SiteID],Site_DB[[#This Row],[Site ID]],Logfile_S[Transaction  Type],"outBOUND")</f>
        <v>0</v>
      </c>
      <c r="AA55" s="227">
        <f>SUMIFS(Logfile_S[Qty],Logfile_S[Material Name],Site_DB[[#Headers],[Pole 9M]],Logfile_S[SiteID],Site_DB[[#This Row],[Site ID]],Logfile_S[Transaction  Type],"outBOUND")</f>
        <v>0</v>
      </c>
      <c r="AB55" s="227"/>
      <c r="AC55" s="227"/>
      <c r="AD55" s="227"/>
      <c r="AE55" s="227"/>
      <c r="AF55" s="227"/>
      <c r="AG55" s="227"/>
      <c r="AH55" s="227"/>
      <c r="AI55" s="227"/>
    </row>
    <row r="56" spans="1:35" ht="14.5">
      <c r="A56" s="508">
        <f t="shared" si="1"/>
        <v>52</v>
      </c>
      <c r="B56" s="241" t="s">
        <v>71</v>
      </c>
      <c r="C56" s="241" t="s">
        <v>24</v>
      </c>
      <c r="D56" s="241" t="s">
        <v>1469</v>
      </c>
      <c r="E56" s="241" t="s">
        <v>1470</v>
      </c>
      <c r="F56" s="241" t="s">
        <v>1470</v>
      </c>
      <c r="G56" s="509">
        <v>45429</v>
      </c>
      <c r="H56" s="241" t="s">
        <v>4548</v>
      </c>
      <c r="I56" s="510">
        <f>_xlfn.XLOOKUP(Site_DB[[#This Row],[Site ID]],Logfile_S[SiteID],Logfile_S[Date],"",0,1)</f>
        <v>45436</v>
      </c>
      <c r="J56" s="262">
        <f>_xlfn.IFNA(VLOOKUP(Site_DB[[#This Row],[Site ID]],SUM_DN!B:X,21,0),0)</f>
        <v>0</v>
      </c>
      <c r="K56" s="262">
        <f>SUMIFS(Logfile_S[Qty],Logfile_S[Material Name],Site_DB[[#Headers],[Pole 7M 4"]],Logfile_S[SiteID],Site_DB[[#This Row],[Site ID]],Logfile_S[Transaction  Type],"outBOUND")</f>
        <v>21</v>
      </c>
      <c r="L56" s="262">
        <f>SUMIFS(Logfile_S[Qty],Logfile_S[Material Name],Site_DB[[#Headers],[Pole 7M 3"]],Logfile_S[SiteID],Site_DB[[#This Row],[Site ID]],Logfile_S[Transaction  Type],"outBOUND")</f>
        <v>0</v>
      </c>
      <c r="M56" s="262">
        <f>SUMIFS(Logfile_S[Qty],Logfile_S[Material Name],Site_DB[[#Headers],[Pole 9M]],Logfile_S[SiteID],Site_DB[[#This Row],[Site ID]],Logfile_S[Transaction  Type],"outBOUND")</f>
        <v>0</v>
      </c>
      <c r="N56" s="262">
        <v>3000</v>
      </c>
      <c r="O56" s="262">
        <v>0</v>
      </c>
      <c r="P56" s="262">
        <v>0</v>
      </c>
      <c r="Q56" s="262">
        <v>0</v>
      </c>
      <c r="R56" s="262">
        <v>1</v>
      </c>
      <c r="S56" s="262">
        <v>0</v>
      </c>
      <c r="T56" s="262">
        <v>14</v>
      </c>
      <c r="U56" s="262">
        <v>1</v>
      </c>
      <c r="V56" s="265">
        <v>0</v>
      </c>
      <c r="W56" s="262" t="s">
        <v>4635</v>
      </c>
      <c r="X56" s="227">
        <f>SUMIFS(Logfile_S[Qty],Logfile_S[Material Name],Site_DB[[#Headers],[Pole 7M 2.5"]],Logfile_S[SiteID],Site_DB[[#This Row],[Site ID]],Logfile_S[Transaction  Type],"outBOUND")</f>
        <v>0</v>
      </c>
      <c r="Y56" s="227">
        <f>SUMIFS(Logfile_S[Qty],Logfile_S[Material Name],Site_DB[[#Headers],[Pole 7M 4"]],Logfile_S[SiteID],Site_DB[[#This Row],[Site ID]],Logfile_S[Transaction  Type],"outBOUND")</f>
        <v>21</v>
      </c>
      <c r="Z56" s="227">
        <f>SUMIFS(Logfile_S[Qty],Logfile_S[Material Name],Site_DB[[#Headers],[Pole 7M 3"]],Logfile_S[SiteID],Site_DB[[#This Row],[Site ID]],Logfile_S[Transaction  Type],"outBOUND")</f>
        <v>0</v>
      </c>
      <c r="AA56" s="227">
        <f>SUMIFS(Logfile_S[Qty],Logfile_S[Material Name],Site_DB[[#Headers],[Pole 9M]],Logfile_S[SiteID],Site_DB[[#This Row],[Site ID]],Logfile_S[Transaction  Type],"outBOUND")</f>
        <v>0</v>
      </c>
      <c r="AB56" s="227"/>
      <c r="AC56" s="227"/>
      <c r="AD56" s="227"/>
      <c r="AE56" s="227"/>
      <c r="AF56" s="227"/>
      <c r="AG56" s="227"/>
      <c r="AH56" s="227"/>
      <c r="AI56" s="227"/>
    </row>
    <row r="57" spans="1:35" ht="14.5">
      <c r="A57" s="508">
        <f t="shared" si="1"/>
        <v>53</v>
      </c>
      <c r="B57" s="241" t="s">
        <v>71</v>
      </c>
      <c r="C57" s="241" t="s">
        <v>24</v>
      </c>
      <c r="D57" s="241" t="s">
        <v>1955</v>
      </c>
      <c r="E57" s="241" t="s">
        <v>1956</v>
      </c>
      <c r="F57" s="241" t="s">
        <v>4580</v>
      </c>
      <c r="G57" s="509">
        <v>45433</v>
      </c>
      <c r="H57" s="241" t="s">
        <v>4543</v>
      </c>
      <c r="I57" s="510">
        <f>_xlfn.XLOOKUP(Site_DB[[#This Row],[Site ID]],Logfile_S[SiteID],Logfile_S[Date],"",0,1)</f>
        <v>45538</v>
      </c>
      <c r="J57" s="262">
        <f>_xlfn.IFNA(VLOOKUP(Site_DB[[#This Row],[Site ID]],SUM_DN!B:X,21,0),0)</f>
        <v>0</v>
      </c>
      <c r="K57" s="262">
        <f>SUMIFS(Logfile_S[Qty],Logfile_S[Material Name],Site_DB[[#Headers],[Pole 7M 4"]],Logfile_S[SiteID],Site_DB[[#This Row],[Site ID]],Logfile_S[Transaction  Type],"outBOUND")</f>
        <v>0</v>
      </c>
      <c r="L57" s="262">
        <f>SUMIFS(Logfile_S[Qty],Logfile_S[Material Name],Site_DB[[#Headers],[Pole 7M 3"]],Logfile_S[SiteID],Site_DB[[#This Row],[Site ID]],Logfile_S[Transaction  Type],"outBOUND")</f>
        <v>0</v>
      </c>
      <c r="M57" s="262">
        <f>SUMIFS(Logfile_S[Qty],Logfile_S[Material Name],Site_DB[[#Headers],[Pole 9M]],Logfile_S[SiteID],Site_DB[[#This Row],[Site ID]],Logfile_S[Transaction  Type],"outBOUND")</f>
        <v>1</v>
      </c>
      <c r="N57" s="262">
        <v>0</v>
      </c>
      <c r="O57" s="262">
        <v>3000</v>
      </c>
      <c r="P57" s="262">
        <v>0</v>
      </c>
      <c r="Q57" s="262">
        <v>0</v>
      </c>
      <c r="R57" s="262">
        <v>1</v>
      </c>
      <c r="S57" s="262">
        <v>0</v>
      </c>
      <c r="T57" s="262">
        <v>13</v>
      </c>
      <c r="U57" s="262">
        <v>1</v>
      </c>
      <c r="V57" s="265">
        <v>0</v>
      </c>
      <c r="W57" s="262" t="s">
        <v>4635</v>
      </c>
      <c r="X57" s="227">
        <f>SUMIFS(Logfile_S[Qty],Logfile_S[Material Name],Site_DB[[#Headers],[Pole 7M 2.5"]],Logfile_S[SiteID],Site_DB[[#This Row],[Site ID]],Logfile_S[Transaction  Type],"outBOUND")</f>
        <v>0</v>
      </c>
      <c r="Y57" s="227">
        <f>SUMIFS(Logfile_S[Qty],Logfile_S[Material Name],Site_DB[[#Headers],[Pole 7M 4"]],Logfile_S[SiteID],Site_DB[[#This Row],[Site ID]],Logfile_S[Transaction  Type],"outBOUND")</f>
        <v>0</v>
      </c>
      <c r="Z57" s="227">
        <f>SUMIFS(Logfile_S[Qty],Logfile_S[Material Name],Site_DB[[#Headers],[Pole 7M 3"]],Logfile_S[SiteID],Site_DB[[#This Row],[Site ID]],Logfile_S[Transaction  Type],"outBOUND")</f>
        <v>0</v>
      </c>
      <c r="AA57" s="227">
        <f>SUMIFS(Logfile_S[Qty],Logfile_S[Material Name],Site_DB[[#Headers],[Pole 9M]],Logfile_S[SiteID],Site_DB[[#This Row],[Site ID]],Logfile_S[Transaction  Type],"outBOUND")</f>
        <v>1</v>
      </c>
      <c r="AB57" s="227"/>
      <c r="AC57" s="227"/>
      <c r="AD57" s="227"/>
      <c r="AE57" s="227"/>
      <c r="AF57" s="227"/>
      <c r="AG57" s="227"/>
      <c r="AH57" s="227"/>
      <c r="AI57" s="227"/>
    </row>
    <row r="58" spans="1:35" ht="14.5">
      <c r="A58" s="508">
        <f t="shared" si="1"/>
        <v>54</v>
      </c>
      <c r="B58" s="241" t="s">
        <v>71</v>
      </c>
      <c r="C58" s="241" t="s">
        <v>24</v>
      </c>
      <c r="D58" s="241" t="s">
        <v>1959</v>
      </c>
      <c r="E58" s="241" t="s">
        <v>1960</v>
      </c>
      <c r="F58" s="241" t="s">
        <v>4581</v>
      </c>
      <c r="G58" s="509">
        <v>45433</v>
      </c>
      <c r="H58" s="241" t="s">
        <v>4543</v>
      </c>
      <c r="I58" s="510">
        <f>_xlfn.XLOOKUP(Site_DB[[#This Row],[Site ID]],Logfile_S[SiteID],Logfile_S[Date],"",0,1)</f>
        <v>45542</v>
      </c>
      <c r="J58" s="262">
        <f>_xlfn.IFNA(VLOOKUP(Site_DB[[#This Row],[Site ID]],SUM_DN!B:X,21,0),0)</f>
        <v>0</v>
      </c>
      <c r="K58" s="262">
        <f>SUMIFS(Logfile_S[Qty],Logfile_S[Material Name],Site_DB[[#Headers],[Pole 7M 4"]],Logfile_S[SiteID],Site_DB[[#This Row],[Site ID]],Logfile_S[Transaction  Type],"outBOUND")</f>
        <v>0</v>
      </c>
      <c r="L58" s="262">
        <f>SUMIFS(Logfile_S[Qty],Logfile_S[Material Name],Site_DB[[#Headers],[Pole 7M 3"]],Logfile_S[SiteID],Site_DB[[#This Row],[Site ID]],Logfile_S[Transaction  Type],"outBOUND")</f>
        <v>0</v>
      </c>
      <c r="M58" s="262">
        <f>SUMIFS(Logfile_S[Qty],Logfile_S[Material Name],Site_DB[[#Headers],[Pole 9M]],Logfile_S[SiteID],Site_DB[[#This Row],[Site ID]],Logfile_S[Transaction  Type],"outBOUND")</f>
        <v>0</v>
      </c>
      <c r="N58" s="262">
        <v>0</v>
      </c>
      <c r="O58" s="262">
        <v>3000</v>
      </c>
      <c r="P58" s="262">
        <v>0</v>
      </c>
      <c r="Q58" s="262">
        <v>0</v>
      </c>
      <c r="R58" s="262">
        <v>0</v>
      </c>
      <c r="S58" s="262">
        <v>0</v>
      </c>
      <c r="T58" s="262">
        <v>11</v>
      </c>
      <c r="U58" s="262">
        <v>0</v>
      </c>
      <c r="V58" s="265">
        <v>0</v>
      </c>
      <c r="W58" s="262" t="s">
        <v>4635</v>
      </c>
      <c r="X58" s="227">
        <f>SUMIFS(Logfile_S[Qty],Logfile_S[Material Name],Site_DB[[#Headers],[Pole 7M 2.5"]],Logfile_S[SiteID],Site_DB[[#This Row],[Site ID]],Logfile_S[Transaction  Type],"outBOUND")</f>
        <v>0</v>
      </c>
      <c r="Y58" s="227">
        <f>SUMIFS(Logfile_S[Qty],Logfile_S[Material Name],Site_DB[[#Headers],[Pole 7M 4"]],Logfile_S[SiteID],Site_DB[[#This Row],[Site ID]],Logfile_S[Transaction  Type],"outBOUND")</f>
        <v>0</v>
      </c>
      <c r="Z58" s="227">
        <f>SUMIFS(Logfile_S[Qty],Logfile_S[Material Name],Site_DB[[#Headers],[Pole 7M 3"]],Logfile_S[SiteID],Site_DB[[#This Row],[Site ID]],Logfile_S[Transaction  Type],"outBOUND")</f>
        <v>0</v>
      </c>
      <c r="AA58" s="227">
        <f>SUMIFS(Logfile_S[Qty],Logfile_S[Material Name],Site_DB[[#Headers],[Pole 9M]],Logfile_S[SiteID],Site_DB[[#This Row],[Site ID]],Logfile_S[Transaction  Type],"outBOUND")</f>
        <v>0</v>
      </c>
      <c r="AB58" s="227"/>
      <c r="AC58" s="227"/>
      <c r="AD58" s="227"/>
      <c r="AE58" s="227"/>
      <c r="AF58" s="227"/>
      <c r="AG58" s="227"/>
      <c r="AH58" s="227"/>
      <c r="AI58" s="227"/>
    </row>
    <row r="59" spans="1:35" ht="14.5">
      <c r="A59" s="508">
        <f t="shared" si="1"/>
        <v>55</v>
      </c>
      <c r="B59" s="241" t="s">
        <v>71</v>
      </c>
      <c r="C59" s="241" t="s">
        <v>24</v>
      </c>
      <c r="D59" s="241" t="s">
        <v>1951</v>
      </c>
      <c r="E59" s="241" t="s">
        <v>1952</v>
      </c>
      <c r="F59" s="241" t="s">
        <v>4579</v>
      </c>
      <c r="G59" s="509">
        <v>45433</v>
      </c>
      <c r="H59" s="241" t="s">
        <v>4543</v>
      </c>
      <c r="I59" s="510">
        <f>_xlfn.XLOOKUP(Site_DB[[#This Row],[Site ID]],Logfile_S[SiteID],Logfile_S[Date],"",0,1)</f>
        <v>45513</v>
      </c>
      <c r="J59" s="262">
        <f>_xlfn.IFNA(VLOOKUP(Site_DB[[#This Row],[Site ID]],SUM_DN!B:X,21,0),0)</f>
        <v>0</v>
      </c>
      <c r="K59" s="262">
        <f>SUMIFS(Logfile_S[Qty],Logfile_S[Material Name],Site_DB[[#Headers],[Pole 7M 4"]],Logfile_S[SiteID],Site_DB[[#This Row],[Site ID]],Logfile_S[Transaction  Type],"outBOUND")</f>
        <v>165</v>
      </c>
      <c r="L59" s="262">
        <f>SUMIFS(Logfile_S[Qty],Logfile_S[Material Name],Site_DB[[#Headers],[Pole 7M 3"]],Logfile_S[SiteID],Site_DB[[#This Row],[Site ID]],Logfile_S[Transaction  Type],"outBOUND")</f>
        <v>9</v>
      </c>
      <c r="M59" s="262">
        <f>SUMIFS(Logfile_S[Qty],Logfile_S[Material Name],Site_DB[[#Headers],[Pole 9M]],Logfile_S[SiteID],Site_DB[[#This Row],[Site ID]],Logfile_S[Transaction  Type],"outBOUND")</f>
        <v>8</v>
      </c>
      <c r="N59" s="262">
        <v>3000</v>
      </c>
      <c r="O59" s="262">
        <v>3000</v>
      </c>
      <c r="P59" s="262">
        <v>0</v>
      </c>
      <c r="Q59" s="262">
        <v>0</v>
      </c>
      <c r="R59" s="262">
        <v>0</v>
      </c>
      <c r="S59" s="262">
        <v>1</v>
      </c>
      <c r="T59" s="262">
        <v>26</v>
      </c>
      <c r="U59" s="262">
        <v>0</v>
      </c>
      <c r="V59" s="265">
        <v>0</v>
      </c>
      <c r="W59" s="262" t="s">
        <v>4635</v>
      </c>
      <c r="X59" s="227">
        <f>SUMIFS(Logfile_S[Qty],Logfile_S[Material Name],Site_DB[[#Headers],[Pole 7M 2.5"]],Logfile_S[SiteID],Site_DB[[#This Row],[Site ID]],Logfile_S[Transaction  Type],"outBOUND")</f>
        <v>0</v>
      </c>
      <c r="Y59" s="227">
        <f>SUMIFS(Logfile_S[Qty],Logfile_S[Material Name],Site_DB[[#Headers],[Pole 7M 4"]],Logfile_S[SiteID],Site_DB[[#This Row],[Site ID]],Logfile_S[Transaction  Type],"outBOUND")</f>
        <v>165</v>
      </c>
      <c r="Z59" s="227">
        <f>SUMIFS(Logfile_S[Qty],Logfile_S[Material Name],Site_DB[[#Headers],[Pole 7M 3"]],Logfile_S[SiteID],Site_DB[[#This Row],[Site ID]],Logfile_S[Transaction  Type],"outBOUND")</f>
        <v>9</v>
      </c>
      <c r="AA59" s="227">
        <f>SUMIFS(Logfile_S[Qty],Logfile_S[Material Name],Site_DB[[#Headers],[Pole 9M]],Logfile_S[SiteID],Site_DB[[#This Row],[Site ID]],Logfile_S[Transaction  Type],"outBOUND")</f>
        <v>8</v>
      </c>
      <c r="AB59" s="227"/>
      <c r="AC59" s="227"/>
      <c r="AD59" s="227"/>
      <c r="AE59" s="227"/>
      <c r="AF59" s="227"/>
      <c r="AG59" s="227"/>
      <c r="AH59" s="227"/>
      <c r="AI59" s="227"/>
    </row>
    <row r="60" spans="1:35" ht="14.5">
      <c r="A60" s="508">
        <f t="shared" si="1"/>
        <v>56</v>
      </c>
      <c r="B60" s="241" t="s">
        <v>71</v>
      </c>
      <c r="C60" s="241" t="s">
        <v>24</v>
      </c>
      <c r="D60" s="241" t="s">
        <v>1465</v>
      </c>
      <c r="E60" s="241" t="s">
        <v>1466</v>
      </c>
      <c r="F60" s="241" t="s">
        <v>1466</v>
      </c>
      <c r="G60" s="509">
        <v>45442</v>
      </c>
      <c r="H60" s="241" t="s">
        <v>4544</v>
      </c>
      <c r="I60" s="510">
        <f>_xlfn.XLOOKUP(Site_DB[[#This Row],[Site ID]],Logfile_S[SiteID],Logfile_S[Date],"",0,1)</f>
        <v>45442</v>
      </c>
      <c r="J60" s="262">
        <f>_xlfn.IFNA(VLOOKUP(Site_DB[[#This Row],[Site ID]],SUM_DN!B:X,21,0),0)</f>
        <v>0</v>
      </c>
      <c r="K60" s="262">
        <f>SUMIFS(Logfile_S[Qty],Logfile_S[Material Name],Site_DB[[#Headers],[Pole 7M 4"]],Logfile_S[SiteID],Site_DB[[#This Row],[Site ID]],Logfile_S[Transaction  Type],"outBOUND")</f>
        <v>0</v>
      </c>
      <c r="L60" s="262">
        <f>SUMIFS(Logfile_S[Qty],Logfile_S[Material Name],Site_DB[[#Headers],[Pole 7M 3"]],Logfile_S[SiteID],Site_DB[[#This Row],[Site ID]],Logfile_S[Transaction  Type],"outBOUND")</f>
        <v>0</v>
      </c>
      <c r="M60" s="262">
        <f>SUMIFS(Logfile_S[Qty],Logfile_S[Material Name],Site_DB[[#Headers],[Pole 9M]],Logfile_S[SiteID],Site_DB[[#This Row],[Site ID]],Logfile_S[Transaction  Type],"outBOUND")</f>
        <v>0</v>
      </c>
      <c r="N60" s="262">
        <v>0</v>
      </c>
      <c r="O60" s="262">
        <v>6000</v>
      </c>
      <c r="P60" s="262">
        <v>0</v>
      </c>
      <c r="Q60" s="262">
        <v>0</v>
      </c>
      <c r="R60" s="262">
        <v>1</v>
      </c>
      <c r="S60" s="262">
        <v>0</v>
      </c>
      <c r="T60" s="262">
        <v>22</v>
      </c>
      <c r="U60" s="262">
        <v>1</v>
      </c>
      <c r="V60" s="265">
        <v>0</v>
      </c>
      <c r="W60" s="262" t="s">
        <v>4635</v>
      </c>
      <c r="X60" s="227">
        <f>SUMIFS(Logfile_S[Qty],Logfile_S[Material Name],Site_DB[[#Headers],[Pole 7M 2.5"]],Logfile_S[SiteID],Site_DB[[#This Row],[Site ID]],Logfile_S[Transaction  Type],"outBOUND")</f>
        <v>0</v>
      </c>
      <c r="Y60" s="227">
        <f>SUMIFS(Logfile_S[Qty],Logfile_S[Material Name],Site_DB[[#Headers],[Pole 7M 4"]],Logfile_S[SiteID],Site_DB[[#This Row],[Site ID]],Logfile_S[Transaction  Type],"outBOUND")</f>
        <v>0</v>
      </c>
      <c r="Z60" s="227">
        <f>SUMIFS(Logfile_S[Qty],Logfile_S[Material Name],Site_DB[[#Headers],[Pole 7M 3"]],Logfile_S[SiteID],Site_DB[[#This Row],[Site ID]],Logfile_S[Transaction  Type],"outBOUND")</f>
        <v>0</v>
      </c>
      <c r="AA60" s="227">
        <f>SUMIFS(Logfile_S[Qty],Logfile_S[Material Name],Site_DB[[#Headers],[Pole 9M]],Logfile_S[SiteID],Site_DB[[#This Row],[Site ID]],Logfile_S[Transaction  Type],"outBOUND")</f>
        <v>0</v>
      </c>
      <c r="AB60" s="227"/>
      <c r="AC60" s="227"/>
      <c r="AD60" s="227"/>
      <c r="AE60" s="227"/>
      <c r="AF60" s="227"/>
      <c r="AG60" s="227"/>
      <c r="AH60" s="227"/>
      <c r="AI60" s="227"/>
    </row>
    <row r="61" spans="1:35" ht="14.5">
      <c r="A61" s="508">
        <f t="shared" si="1"/>
        <v>57</v>
      </c>
      <c r="B61" s="241" t="s">
        <v>71</v>
      </c>
      <c r="C61" s="241" t="s">
        <v>24</v>
      </c>
      <c r="D61" s="241" t="s">
        <v>1485</v>
      </c>
      <c r="E61" s="241" t="s">
        <v>1486</v>
      </c>
      <c r="F61" s="241" t="s">
        <v>1486</v>
      </c>
      <c r="G61" s="509">
        <v>45442</v>
      </c>
      <c r="H61" s="241" t="s">
        <v>4544</v>
      </c>
      <c r="I61" s="510">
        <f>_xlfn.XLOOKUP(Site_DB[[#This Row],[Site ID]],Logfile_S[SiteID],Logfile_S[Date],"",0,1)</f>
        <v>45442</v>
      </c>
      <c r="J61" s="262">
        <f>_xlfn.IFNA(VLOOKUP(Site_DB[[#This Row],[Site ID]],SUM_DN!B:X,21,0),0)</f>
        <v>0</v>
      </c>
      <c r="K61" s="262">
        <f>SUMIFS(Logfile_S[Qty],Logfile_S[Material Name],Site_DB[[#Headers],[Pole 7M 4"]],Logfile_S[SiteID],Site_DB[[#This Row],[Site ID]],Logfile_S[Transaction  Type],"outBOUND")</f>
        <v>0</v>
      </c>
      <c r="L61" s="262">
        <f>SUMIFS(Logfile_S[Qty],Logfile_S[Material Name],Site_DB[[#Headers],[Pole 7M 3"]],Logfile_S[SiteID],Site_DB[[#This Row],[Site ID]],Logfile_S[Transaction  Type],"outBOUND")</f>
        <v>0</v>
      </c>
      <c r="M61" s="262">
        <f>SUMIFS(Logfile_S[Qty],Logfile_S[Material Name],Site_DB[[#Headers],[Pole 9M]],Logfile_S[SiteID],Site_DB[[#This Row],[Site ID]],Logfile_S[Transaction  Type],"outBOUND")</f>
        <v>0</v>
      </c>
      <c r="N61" s="262">
        <v>0</v>
      </c>
      <c r="O61" s="262">
        <v>0</v>
      </c>
      <c r="P61" s="262">
        <v>0</v>
      </c>
      <c r="Q61" s="262">
        <v>0</v>
      </c>
      <c r="R61" s="262">
        <v>0</v>
      </c>
      <c r="S61" s="262">
        <v>0</v>
      </c>
      <c r="T61" s="262">
        <v>0</v>
      </c>
      <c r="U61" s="262">
        <v>0</v>
      </c>
      <c r="V61" s="265">
        <v>0</v>
      </c>
      <c r="W61" s="262" t="s">
        <v>4635</v>
      </c>
      <c r="X61" s="227">
        <f>SUMIFS(Logfile_S[Qty],Logfile_S[Material Name],Site_DB[[#Headers],[Pole 7M 2.5"]],Logfile_S[SiteID],Site_DB[[#This Row],[Site ID]],Logfile_S[Transaction  Type],"outBOUND")</f>
        <v>0</v>
      </c>
      <c r="Y61" s="227">
        <f>SUMIFS(Logfile_S[Qty],Logfile_S[Material Name],Site_DB[[#Headers],[Pole 7M 4"]],Logfile_S[SiteID],Site_DB[[#This Row],[Site ID]],Logfile_S[Transaction  Type],"outBOUND")</f>
        <v>0</v>
      </c>
      <c r="Z61" s="227">
        <f>SUMIFS(Logfile_S[Qty],Logfile_S[Material Name],Site_DB[[#Headers],[Pole 7M 3"]],Logfile_S[SiteID],Site_DB[[#This Row],[Site ID]],Logfile_S[Transaction  Type],"outBOUND")</f>
        <v>0</v>
      </c>
      <c r="AA61" s="227">
        <f>SUMIFS(Logfile_S[Qty],Logfile_S[Material Name],Site_DB[[#Headers],[Pole 9M]],Logfile_S[SiteID],Site_DB[[#This Row],[Site ID]],Logfile_S[Transaction  Type],"outBOUND")</f>
        <v>0</v>
      </c>
      <c r="AB61" s="227"/>
      <c r="AC61" s="227"/>
      <c r="AD61" s="227"/>
      <c r="AE61" s="227"/>
      <c r="AF61" s="227"/>
      <c r="AG61" s="227"/>
      <c r="AH61" s="227"/>
      <c r="AI61" s="227"/>
    </row>
    <row r="62" spans="1:35" ht="14.5">
      <c r="A62" s="508">
        <f t="shared" si="1"/>
        <v>58</v>
      </c>
      <c r="B62" s="241" t="s">
        <v>71</v>
      </c>
      <c r="C62" s="241" t="s">
        <v>24</v>
      </c>
      <c r="D62" s="241" t="s">
        <v>1473</v>
      </c>
      <c r="E62" s="241" t="s">
        <v>1474</v>
      </c>
      <c r="F62" s="241" t="s">
        <v>1474</v>
      </c>
      <c r="G62" s="509">
        <v>45442</v>
      </c>
      <c r="H62" s="241" t="s">
        <v>4544</v>
      </c>
      <c r="I62" s="510">
        <f>_xlfn.XLOOKUP(Site_DB[[#This Row],[Site ID]],Logfile_S[SiteID],Logfile_S[Date],"",0,1)</f>
        <v>45448</v>
      </c>
      <c r="J62" s="262">
        <f>_xlfn.IFNA(VLOOKUP(Site_DB[[#This Row],[Site ID]],SUM_DN!B:X,21,0),0)</f>
        <v>0</v>
      </c>
      <c r="K62" s="262">
        <f>SUMIFS(Logfile_S[Qty],Logfile_S[Material Name],Site_DB[[#Headers],[Pole 7M 4"]],Logfile_S[SiteID],Site_DB[[#This Row],[Site ID]],Logfile_S[Transaction  Type],"outBOUND")</f>
        <v>74</v>
      </c>
      <c r="L62" s="262">
        <f>SUMIFS(Logfile_S[Qty],Logfile_S[Material Name],Site_DB[[#Headers],[Pole 7M 3"]],Logfile_S[SiteID],Site_DB[[#This Row],[Site ID]],Logfile_S[Transaction  Type],"outBOUND")</f>
        <v>1</v>
      </c>
      <c r="M62" s="262">
        <f>SUMIFS(Logfile_S[Qty],Logfile_S[Material Name],Site_DB[[#Headers],[Pole 9M]],Logfile_S[SiteID],Site_DB[[#This Row],[Site ID]],Logfile_S[Transaction  Type],"outBOUND")</f>
        <v>0</v>
      </c>
      <c r="N62" s="262">
        <v>3000</v>
      </c>
      <c r="O62" s="262">
        <v>3000</v>
      </c>
      <c r="P62" s="262">
        <v>0</v>
      </c>
      <c r="Q62" s="262">
        <v>0</v>
      </c>
      <c r="R62" s="262">
        <v>1</v>
      </c>
      <c r="S62" s="262">
        <v>0</v>
      </c>
      <c r="T62" s="262">
        <v>12</v>
      </c>
      <c r="U62" s="262">
        <v>0</v>
      </c>
      <c r="V62" s="265">
        <v>0</v>
      </c>
      <c r="W62" s="262" t="s">
        <v>4635</v>
      </c>
      <c r="X62" s="227">
        <f>SUMIFS(Logfile_S[Qty],Logfile_S[Material Name],Site_DB[[#Headers],[Pole 7M 2.5"]],Logfile_S[SiteID],Site_DB[[#This Row],[Site ID]],Logfile_S[Transaction  Type],"outBOUND")</f>
        <v>0</v>
      </c>
      <c r="Y62" s="227">
        <f>SUMIFS(Logfile_S[Qty],Logfile_S[Material Name],Site_DB[[#Headers],[Pole 7M 4"]],Logfile_S[SiteID],Site_DB[[#This Row],[Site ID]],Logfile_S[Transaction  Type],"outBOUND")</f>
        <v>74</v>
      </c>
      <c r="Z62" s="227">
        <f>SUMIFS(Logfile_S[Qty],Logfile_S[Material Name],Site_DB[[#Headers],[Pole 7M 3"]],Logfile_S[SiteID],Site_DB[[#This Row],[Site ID]],Logfile_S[Transaction  Type],"outBOUND")</f>
        <v>1</v>
      </c>
      <c r="AA62" s="227">
        <f>SUMIFS(Logfile_S[Qty],Logfile_S[Material Name],Site_DB[[#Headers],[Pole 9M]],Logfile_S[SiteID],Site_DB[[#This Row],[Site ID]],Logfile_S[Transaction  Type],"outBOUND")</f>
        <v>0</v>
      </c>
      <c r="AB62" s="227"/>
      <c r="AC62" s="227"/>
      <c r="AD62" s="227"/>
      <c r="AE62" s="227"/>
      <c r="AF62" s="227"/>
      <c r="AG62" s="227"/>
      <c r="AH62" s="227"/>
      <c r="AI62" s="227"/>
    </row>
    <row r="63" spans="1:35" ht="14.5">
      <c r="A63" s="508">
        <f t="shared" si="1"/>
        <v>59</v>
      </c>
      <c r="B63" s="241" t="s">
        <v>71</v>
      </c>
      <c r="C63" s="241" t="s">
        <v>24</v>
      </c>
      <c r="D63" s="241" t="s">
        <v>2001</v>
      </c>
      <c r="E63" s="241" t="s">
        <v>2002</v>
      </c>
      <c r="F63" s="241" t="s">
        <v>4582</v>
      </c>
      <c r="G63" s="509">
        <v>45446</v>
      </c>
      <c r="H63" s="241" t="s">
        <v>4543</v>
      </c>
      <c r="I63" s="510">
        <f>_xlfn.XLOOKUP(Site_DB[[#This Row],[Site ID]],Logfile_S[SiteID],Logfile_S[Date],"",0,1)</f>
        <v>45485</v>
      </c>
      <c r="J63" s="262">
        <f>_xlfn.IFNA(VLOOKUP(Site_DB[[#This Row],[Site ID]],SUM_DN!B:X,21,0),0)</f>
        <v>0</v>
      </c>
      <c r="K63" s="262">
        <f>SUMIFS(Logfile_S[Qty],Logfile_S[Material Name],Site_DB[[#Headers],[Pole 7M 4"]],Logfile_S[SiteID],Site_DB[[#This Row],[Site ID]],Logfile_S[Transaction  Type],"outBOUND")</f>
        <v>0</v>
      </c>
      <c r="L63" s="262">
        <f>SUMIFS(Logfile_S[Qty],Logfile_S[Material Name],Site_DB[[#Headers],[Pole 7M 3"]],Logfile_S[SiteID],Site_DB[[#This Row],[Site ID]],Logfile_S[Transaction  Type],"outBOUND")</f>
        <v>0</v>
      </c>
      <c r="M63" s="262">
        <f>SUMIFS(Logfile_S[Qty],Logfile_S[Material Name],Site_DB[[#Headers],[Pole 9M]],Logfile_S[SiteID],Site_DB[[#This Row],[Site ID]],Logfile_S[Transaction  Type],"outBOUND")</f>
        <v>0</v>
      </c>
      <c r="N63" s="262">
        <v>0</v>
      </c>
      <c r="O63" s="262">
        <v>0</v>
      </c>
      <c r="P63" s="262">
        <v>0</v>
      </c>
      <c r="Q63" s="262">
        <v>0</v>
      </c>
      <c r="R63" s="262">
        <v>0</v>
      </c>
      <c r="S63" s="262">
        <v>0</v>
      </c>
      <c r="T63" s="262">
        <v>5</v>
      </c>
      <c r="U63" s="262">
        <v>0</v>
      </c>
      <c r="V63" s="265">
        <v>0</v>
      </c>
      <c r="W63" s="262" t="s">
        <v>4635</v>
      </c>
      <c r="X63" s="227">
        <f>SUMIFS(Logfile_S[Qty],Logfile_S[Material Name],Site_DB[[#Headers],[Pole 7M 2.5"]],Logfile_S[SiteID],Site_DB[[#This Row],[Site ID]],Logfile_S[Transaction  Type],"outBOUND")</f>
        <v>0</v>
      </c>
      <c r="Y63" s="227">
        <f>SUMIFS(Logfile_S[Qty],Logfile_S[Material Name],Site_DB[[#Headers],[Pole 7M 4"]],Logfile_S[SiteID],Site_DB[[#This Row],[Site ID]],Logfile_S[Transaction  Type],"outBOUND")</f>
        <v>0</v>
      </c>
      <c r="Z63" s="227">
        <f>SUMIFS(Logfile_S[Qty],Logfile_S[Material Name],Site_DB[[#Headers],[Pole 7M 3"]],Logfile_S[SiteID],Site_DB[[#This Row],[Site ID]],Logfile_S[Transaction  Type],"outBOUND")</f>
        <v>0</v>
      </c>
      <c r="AA63" s="227">
        <f>SUMIFS(Logfile_S[Qty],Logfile_S[Material Name],Site_DB[[#Headers],[Pole 9M]],Logfile_S[SiteID],Site_DB[[#This Row],[Site ID]],Logfile_S[Transaction  Type],"outBOUND")</f>
        <v>0</v>
      </c>
      <c r="AB63" s="227"/>
      <c r="AC63" s="227"/>
      <c r="AD63" s="227"/>
      <c r="AE63" s="227"/>
      <c r="AF63" s="227"/>
      <c r="AG63" s="227"/>
      <c r="AH63" s="227"/>
      <c r="AI63" s="227"/>
    </row>
    <row r="64" spans="1:35" ht="14.5">
      <c r="A64" s="508">
        <f t="shared" si="1"/>
        <v>60</v>
      </c>
      <c r="B64" s="241" t="s">
        <v>71</v>
      </c>
      <c r="C64" s="241" t="s">
        <v>24</v>
      </c>
      <c r="D64" s="241" t="s">
        <v>2007</v>
      </c>
      <c r="E64" s="241" t="s">
        <v>2008</v>
      </c>
      <c r="F64" s="241" t="s">
        <v>4577</v>
      </c>
      <c r="G64" s="509">
        <v>45446</v>
      </c>
      <c r="H64" s="241" t="s">
        <v>4543</v>
      </c>
      <c r="I64" s="510">
        <f>_xlfn.XLOOKUP(Site_DB[[#This Row],[Site ID]],Logfile_S[SiteID],Logfile_S[Date],"",0,1)</f>
        <v>45485</v>
      </c>
      <c r="J64" s="262">
        <f>_xlfn.IFNA(VLOOKUP(Site_DB[[#This Row],[Site ID]],SUM_DN!B:X,21,0),0)</f>
        <v>0</v>
      </c>
      <c r="K64" s="262">
        <f>SUMIFS(Logfile_S[Qty],Logfile_S[Material Name],Site_DB[[#Headers],[Pole 7M 4"]],Logfile_S[SiteID],Site_DB[[#This Row],[Site ID]],Logfile_S[Transaction  Type],"outBOUND")</f>
        <v>23</v>
      </c>
      <c r="L64" s="262">
        <f>SUMIFS(Logfile_S[Qty],Logfile_S[Material Name],Site_DB[[#Headers],[Pole 7M 3"]],Logfile_S[SiteID],Site_DB[[#This Row],[Site ID]],Logfile_S[Transaction  Type],"outBOUND")</f>
        <v>5</v>
      </c>
      <c r="M64" s="262">
        <f>SUMIFS(Logfile_S[Qty],Logfile_S[Material Name],Site_DB[[#Headers],[Pole 9M]],Logfile_S[SiteID],Site_DB[[#This Row],[Site ID]],Logfile_S[Transaction  Type],"outBOUND")</f>
        <v>0</v>
      </c>
      <c r="N64" s="262">
        <v>0</v>
      </c>
      <c r="O64" s="262">
        <v>3000</v>
      </c>
      <c r="P64" s="262">
        <v>0</v>
      </c>
      <c r="Q64" s="262">
        <v>0</v>
      </c>
      <c r="R64" s="262">
        <v>1</v>
      </c>
      <c r="S64" s="262">
        <v>0</v>
      </c>
      <c r="T64" s="262">
        <v>7</v>
      </c>
      <c r="U64" s="262">
        <v>0</v>
      </c>
      <c r="V64" s="265">
        <v>0</v>
      </c>
      <c r="W64" s="262" t="s">
        <v>4635</v>
      </c>
      <c r="X64" s="227">
        <f>SUMIFS(Logfile_S[Qty],Logfile_S[Material Name],Site_DB[[#Headers],[Pole 7M 2.5"]],Logfile_S[SiteID],Site_DB[[#This Row],[Site ID]],Logfile_S[Transaction  Type],"outBOUND")</f>
        <v>0</v>
      </c>
      <c r="Y64" s="227">
        <f>SUMIFS(Logfile_S[Qty],Logfile_S[Material Name],Site_DB[[#Headers],[Pole 7M 4"]],Logfile_S[SiteID],Site_DB[[#This Row],[Site ID]],Logfile_S[Transaction  Type],"outBOUND")</f>
        <v>23</v>
      </c>
      <c r="Z64" s="227">
        <f>SUMIFS(Logfile_S[Qty],Logfile_S[Material Name],Site_DB[[#Headers],[Pole 7M 3"]],Logfile_S[SiteID],Site_DB[[#This Row],[Site ID]],Logfile_S[Transaction  Type],"outBOUND")</f>
        <v>5</v>
      </c>
      <c r="AA64" s="227">
        <f>SUMIFS(Logfile_S[Qty],Logfile_S[Material Name],Site_DB[[#Headers],[Pole 9M]],Logfile_S[SiteID],Site_DB[[#This Row],[Site ID]],Logfile_S[Transaction  Type],"outBOUND")</f>
        <v>0</v>
      </c>
      <c r="AB64" s="227"/>
      <c r="AC64" s="227"/>
      <c r="AD64" s="227"/>
      <c r="AE64" s="227"/>
      <c r="AF64" s="227"/>
      <c r="AG64" s="227"/>
      <c r="AH64" s="227"/>
      <c r="AI64" s="227"/>
    </row>
    <row r="65" spans="1:35" ht="14.5">
      <c r="A65" s="508">
        <f t="shared" si="1"/>
        <v>61</v>
      </c>
      <c r="B65" s="241" t="s">
        <v>71</v>
      </c>
      <c r="C65" s="241" t="s">
        <v>24</v>
      </c>
      <c r="D65" s="241" t="s">
        <v>1683</v>
      </c>
      <c r="E65" s="241" t="s">
        <v>1684</v>
      </c>
      <c r="F65" s="241" t="s">
        <v>1684</v>
      </c>
      <c r="G65" s="509">
        <v>45447</v>
      </c>
      <c r="H65" s="241" t="s">
        <v>4546</v>
      </c>
      <c r="I65" s="510">
        <f>_xlfn.XLOOKUP(Site_DB[[#This Row],[Site ID]],Logfile_S[SiteID],Logfile_S[Date],"",0,1)</f>
        <v>45462</v>
      </c>
      <c r="J65" s="262">
        <f>_xlfn.IFNA(VLOOKUP(Site_DB[[#This Row],[Site ID]],SUM_DN!B:X,21,0),0)</f>
        <v>0</v>
      </c>
      <c r="K65" s="262">
        <f>SUMIFS(Logfile_S[Qty],Logfile_S[Material Name],Site_DB[[#Headers],[Pole 7M 4"]],Logfile_S[SiteID],Site_DB[[#This Row],[Site ID]],Logfile_S[Transaction  Type],"outBOUND")</f>
        <v>22</v>
      </c>
      <c r="L65" s="262">
        <f>SUMIFS(Logfile_S[Qty],Logfile_S[Material Name],Site_DB[[#Headers],[Pole 7M 3"]],Logfile_S[SiteID],Site_DB[[#This Row],[Site ID]],Logfile_S[Transaction  Type],"outBOUND")</f>
        <v>4</v>
      </c>
      <c r="M65" s="262">
        <f>SUMIFS(Logfile_S[Qty],Logfile_S[Material Name],Site_DB[[#Headers],[Pole 9M]],Logfile_S[SiteID],Site_DB[[#This Row],[Site ID]],Logfile_S[Transaction  Type],"outBOUND")</f>
        <v>0</v>
      </c>
      <c r="N65" s="262">
        <v>3000</v>
      </c>
      <c r="O65" s="262">
        <v>0</v>
      </c>
      <c r="P65" s="262">
        <v>0</v>
      </c>
      <c r="Q65" s="262">
        <v>0</v>
      </c>
      <c r="R65" s="262">
        <v>1</v>
      </c>
      <c r="S65" s="262">
        <v>0</v>
      </c>
      <c r="T65" s="262">
        <v>10</v>
      </c>
      <c r="U65" s="262">
        <v>0</v>
      </c>
      <c r="V65" s="265">
        <v>0</v>
      </c>
      <c r="W65" s="262" t="s">
        <v>4635</v>
      </c>
      <c r="X65" s="227">
        <f>SUMIFS(Logfile_S[Qty],Logfile_S[Material Name],Site_DB[[#Headers],[Pole 7M 2.5"]],Logfile_S[SiteID],Site_DB[[#This Row],[Site ID]],Logfile_S[Transaction  Type],"outBOUND")</f>
        <v>0</v>
      </c>
      <c r="Y65" s="227">
        <f>SUMIFS(Logfile_S[Qty],Logfile_S[Material Name],Site_DB[[#Headers],[Pole 7M 4"]],Logfile_S[SiteID],Site_DB[[#This Row],[Site ID]],Logfile_S[Transaction  Type],"outBOUND")</f>
        <v>22</v>
      </c>
      <c r="Z65" s="227">
        <f>SUMIFS(Logfile_S[Qty],Logfile_S[Material Name],Site_DB[[#Headers],[Pole 7M 3"]],Logfile_S[SiteID],Site_DB[[#This Row],[Site ID]],Logfile_S[Transaction  Type],"outBOUND")</f>
        <v>4</v>
      </c>
      <c r="AA65" s="227">
        <f>SUMIFS(Logfile_S[Qty],Logfile_S[Material Name],Site_DB[[#Headers],[Pole 9M]],Logfile_S[SiteID],Site_DB[[#This Row],[Site ID]],Logfile_S[Transaction  Type],"outBOUND")</f>
        <v>0</v>
      </c>
      <c r="AB65" s="227"/>
      <c r="AC65" s="227"/>
      <c r="AD65" s="227"/>
      <c r="AE65" s="227"/>
      <c r="AF65" s="227"/>
      <c r="AG65" s="227"/>
      <c r="AH65" s="227"/>
      <c r="AI65" s="227"/>
    </row>
    <row r="66" spans="1:35" ht="14.5">
      <c r="A66" s="508">
        <f t="shared" si="1"/>
        <v>62</v>
      </c>
      <c r="B66" s="241" t="s">
        <v>71</v>
      </c>
      <c r="C66" s="241" t="s">
        <v>24</v>
      </c>
      <c r="D66" s="241" t="s">
        <v>2815</v>
      </c>
      <c r="E66" s="241" t="s">
        <v>2816</v>
      </c>
      <c r="F66" s="241" t="s">
        <v>2816</v>
      </c>
      <c r="G66" s="509">
        <v>45483</v>
      </c>
      <c r="H66" s="241" t="s">
        <v>4543</v>
      </c>
      <c r="I66" s="510">
        <f>_xlfn.XLOOKUP(Site_DB[[#This Row],[Site ID]],Logfile_S[SiteID],Logfile_S[Date],"",0,1)</f>
        <v>45824</v>
      </c>
      <c r="J66" s="262">
        <f>_xlfn.IFNA(VLOOKUP(Site_DB[[#This Row],[Site ID]],SUM_DN!B:X,21,0),0)</f>
        <v>0</v>
      </c>
      <c r="K66" s="262">
        <f>SUMIFS(Logfile_S[Qty],Logfile_S[Material Name],Site_DB[[#Headers],[Pole 7M 4"]],Logfile_S[SiteID],Site_DB[[#This Row],[Site ID]],Logfile_S[Transaction  Type],"outBOUND")</f>
        <v>0</v>
      </c>
      <c r="L66" s="262">
        <f>SUMIFS(Logfile_S[Qty],Logfile_S[Material Name],Site_DB[[#Headers],[Pole 7M 3"]],Logfile_S[SiteID],Site_DB[[#This Row],[Site ID]],Logfile_S[Transaction  Type],"outBOUND")</f>
        <v>0</v>
      </c>
      <c r="M66" s="262">
        <f>SUMIFS(Logfile_S[Qty],Logfile_S[Material Name],Site_DB[[#Headers],[Pole 9M]],Logfile_S[SiteID],Site_DB[[#This Row],[Site ID]],Logfile_S[Transaction  Type],"outBOUND")</f>
        <v>0</v>
      </c>
      <c r="N66" s="262">
        <v>3000</v>
      </c>
      <c r="O66" s="262">
        <v>0</v>
      </c>
      <c r="P66" s="262">
        <v>0</v>
      </c>
      <c r="Q66" s="262">
        <v>0</v>
      </c>
      <c r="R66" s="262">
        <v>1</v>
      </c>
      <c r="S66" s="262">
        <v>0</v>
      </c>
      <c r="T66" s="262">
        <v>8</v>
      </c>
      <c r="U66" s="262">
        <v>0</v>
      </c>
      <c r="V66" s="265">
        <v>0</v>
      </c>
      <c r="W66" s="262" t="s">
        <v>4635</v>
      </c>
      <c r="X66" s="227">
        <f>SUMIFS(Logfile_S[Qty],Logfile_S[Material Name],Site_DB[[#Headers],[Pole 7M 2.5"]],Logfile_S[SiteID],Site_DB[[#This Row],[Site ID]],Logfile_S[Transaction  Type],"outBOUND")</f>
        <v>0</v>
      </c>
      <c r="Y66" s="227">
        <f>SUMIFS(Logfile_S[Qty],Logfile_S[Material Name],Site_DB[[#Headers],[Pole 7M 4"]],Logfile_S[SiteID],Site_DB[[#This Row],[Site ID]],Logfile_S[Transaction  Type],"outBOUND")</f>
        <v>0</v>
      </c>
      <c r="Z66" s="227">
        <f>SUMIFS(Logfile_S[Qty],Logfile_S[Material Name],Site_DB[[#Headers],[Pole 7M 3"]],Logfile_S[SiteID],Site_DB[[#This Row],[Site ID]],Logfile_S[Transaction  Type],"outBOUND")</f>
        <v>0</v>
      </c>
      <c r="AA66" s="227">
        <f>SUMIFS(Logfile_S[Qty],Logfile_S[Material Name],Site_DB[[#Headers],[Pole 9M]],Logfile_S[SiteID],Site_DB[[#This Row],[Site ID]],Logfile_S[Transaction  Type],"outBOUND")</f>
        <v>0</v>
      </c>
      <c r="AB66" s="227"/>
      <c r="AC66" s="227"/>
      <c r="AD66" s="227"/>
      <c r="AE66" s="227"/>
      <c r="AF66" s="227"/>
      <c r="AG66" s="227"/>
      <c r="AH66" s="227"/>
      <c r="AI66" s="227"/>
    </row>
    <row r="67" spans="1:35" ht="14.5">
      <c r="A67" s="508">
        <f t="shared" si="1"/>
        <v>63</v>
      </c>
      <c r="B67" s="241" t="s">
        <v>71</v>
      </c>
      <c r="C67" s="241" t="s">
        <v>24</v>
      </c>
      <c r="D67" s="241" t="s">
        <v>2921</v>
      </c>
      <c r="E67" s="241" t="s">
        <v>4587</v>
      </c>
      <c r="F67" s="241" t="s">
        <v>4587</v>
      </c>
      <c r="G67" s="509">
        <v>45483</v>
      </c>
      <c r="H67" s="241" t="s">
        <v>4548</v>
      </c>
      <c r="I67" s="510">
        <f>_xlfn.XLOOKUP(Site_DB[[#This Row],[Site ID]],Logfile_S[SiteID],Logfile_S[Date],"",0,1)</f>
        <v>45857</v>
      </c>
      <c r="J67" s="262">
        <f>_xlfn.IFNA(VLOOKUP(Site_DB[[#This Row],[Site ID]],SUM_DN!B:X,21,0),0)</f>
        <v>0</v>
      </c>
      <c r="K67" s="262">
        <f>SUMIFS(Logfile_S[Qty],Logfile_S[Material Name],Site_DB[[#Headers],[Pole 7M 4"]],Logfile_S[SiteID],Site_DB[[#This Row],[Site ID]],Logfile_S[Transaction  Type],"outBOUND")</f>
        <v>0</v>
      </c>
      <c r="L67" s="262">
        <f>SUMIFS(Logfile_S[Qty],Logfile_S[Material Name],Site_DB[[#Headers],[Pole 7M 3"]],Logfile_S[SiteID],Site_DB[[#This Row],[Site ID]],Logfile_S[Transaction  Type],"outBOUND")</f>
        <v>0</v>
      </c>
      <c r="M67" s="262">
        <f>SUMIFS(Logfile_S[Qty],Logfile_S[Material Name],Site_DB[[#Headers],[Pole 9M]],Logfile_S[SiteID],Site_DB[[#This Row],[Site ID]],Logfile_S[Transaction  Type],"outBOUND")</f>
        <v>0</v>
      </c>
      <c r="N67" s="262">
        <v>0</v>
      </c>
      <c r="O67" s="262">
        <v>0</v>
      </c>
      <c r="P67" s="262">
        <v>0</v>
      </c>
      <c r="Q67" s="262">
        <v>0</v>
      </c>
      <c r="R67" s="262">
        <v>0</v>
      </c>
      <c r="S67" s="262">
        <v>0</v>
      </c>
      <c r="T67" s="262">
        <v>7</v>
      </c>
      <c r="U67" s="262">
        <v>0</v>
      </c>
      <c r="V67" s="265">
        <v>0</v>
      </c>
      <c r="W67" s="262" t="s">
        <v>4635</v>
      </c>
      <c r="X67" s="227">
        <f>SUMIFS(Logfile_S[Qty],Logfile_S[Material Name],Site_DB[[#Headers],[Pole 7M 2.5"]],Logfile_S[SiteID],Site_DB[[#This Row],[Site ID]],Logfile_S[Transaction  Type],"outBOUND")</f>
        <v>0</v>
      </c>
      <c r="Y67" s="227">
        <f>SUMIFS(Logfile_S[Qty],Logfile_S[Material Name],Site_DB[[#Headers],[Pole 7M 4"]],Logfile_S[SiteID],Site_DB[[#This Row],[Site ID]],Logfile_S[Transaction  Type],"outBOUND")</f>
        <v>0</v>
      </c>
      <c r="Z67" s="227">
        <f>SUMIFS(Logfile_S[Qty],Logfile_S[Material Name],Site_DB[[#Headers],[Pole 7M 3"]],Logfile_S[SiteID],Site_DB[[#This Row],[Site ID]],Logfile_S[Transaction  Type],"outBOUND")</f>
        <v>0</v>
      </c>
      <c r="AA67" s="227">
        <f>SUMIFS(Logfile_S[Qty],Logfile_S[Material Name],Site_DB[[#Headers],[Pole 9M]],Logfile_S[SiteID],Site_DB[[#This Row],[Site ID]],Logfile_S[Transaction  Type],"outBOUND")</f>
        <v>0</v>
      </c>
      <c r="AB67" s="227"/>
      <c r="AC67" s="227"/>
      <c r="AD67" s="227"/>
      <c r="AE67" s="227"/>
      <c r="AF67" s="227"/>
      <c r="AG67" s="227"/>
      <c r="AH67" s="227"/>
      <c r="AI67" s="227"/>
    </row>
    <row r="68" spans="1:35" ht="14.5">
      <c r="A68" s="508">
        <f t="shared" si="1"/>
        <v>64</v>
      </c>
      <c r="B68" s="241" t="s">
        <v>71</v>
      </c>
      <c r="C68" s="241" t="s">
        <v>24</v>
      </c>
      <c r="D68" s="241" t="s">
        <v>2915</v>
      </c>
      <c r="E68" s="241" t="s">
        <v>4586</v>
      </c>
      <c r="F68" s="241" t="s">
        <v>4586</v>
      </c>
      <c r="G68" s="509">
        <v>45483</v>
      </c>
      <c r="H68" s="241" t="s">
        <v>4548</v>
      </c>
      <c r="I68" s="510">
        <f>_xlfn.XLOOKUP(Site_DB[[#This Row],[Site ID]],Logfile_S[SiteID],Logfile_S[Date],"",0,1)</f>
        <v>45850</v>
      </c>
      <c r="J68" s="262">
        <f>_xlfn.IFNA(VLOOKUP(Site_DB[[#This Row],[Site ID]],SUM_DN!B:X,21,0),0)</f>
        <v>0</v>
      </c>
      <c r="K68" s="262">
        <f>SUMIFS(Logfile_S[Qty],Logfile_S[Material Name],Site_DB[[#Headers],[Pole 7M 4"]],Logfile_S[SiteID],Site_DB[[#This Row],[Site ID]],Logfile_S[Transaction  Type],"outBOUND")</f>
        <v>10</v>
      </c>
      <c r="L68" s="262">
        <f>SUMIFS(Logfile_S[Qty],Logfile_S[Material Name],Site_DB[[#Headers],[Pole 7M 3"]],Logfile_S[SiteID],Site_DB[[#This Row],[Site ID]],Logfile_S[Transaction  Type],"outBOUND")</f>
        <v>0</v>
      </c>
      <c r="M68" s="262">
        <f>SUMIFS(Logfile_S[Qty],Logfile_S[Material Name],Site_DB[[#Headers],[Pole 9M]],Logfile_S[SiteID],Site_DB[[#This Row],[Site ID]],Logfile_S[Transaction  Type],"outBOUND")</f>
        <v>3</v>
      </c>
      <c r="N68" s="262">
        <v>0</v>
      </c>
      <c r="O68" s="262">
        <v>3000</v>
      </c>
      <c r="P68" s="262">
        <v>0</v>
      </c>
      <c r="Q68" s="262">
        <v>0</v>
      </c>
      <c r="R68" s="262">
        <v>0</v>
      </c>
      <c r="S68" s="262">
        <v>1</v>
      </c>
      <c r="T68" s="262">
        <v>13</v>
      </c>
      <c r="U68" s="262">
        <v>1</v>
      </c>
      <c r="V68" s="265">
        <v>0</v>
      </c>
      <c r="W68" s="262" t="s">
        <v>4635</v>
      </c>
      <c r="X68" s="227">
        <f>SUMIFS(Logfile_S[Qty],Logfile_S[Material Name],Site_DB[[#Headers],[Pole 7M 2.5"]],Logfile_S[SiteID],Site_DB[[#This Row],[Site ID]],Logfile_S[Transaction  Type],"outBOUND")</f>
        <v>0</v>
      </c>
      <c r="Y68" s="227">
        <f>SUMIFS(Logfile_S[Qty],Logfile_S[Material Name],Site_DB[[#Headers],[Pole 7M 4"]],Logfile_S[SiteID],Site_DB[[#This Row],[Site ID]],Logfile_S[Transaction  Type],"outBOUND")</f>
        <v>10</v>
      </c>
      <c r="Z68" s="227">
        <f>SUMIFS(Logfile_S[Qty],Logfile_S[Material Name],Site_DB[[#Headers],[Pole 7M 3"]],Logfile_S[SiteID],Site_DB[[#This Row],[Site ID]],Logfile_S[Transaction  Type],"outBOUND")</f>
        <v>0</v>
      </c>
      <c r="AA68" s="227">
        <f>SUMIFS(Logfile_S[Qty],Logfile_S[Material Name],Site_DB[[#Headers],[Pole 9M]],Logfile_S[SiteID],Site_DB[[#This Row],[Site ID]],Logfile_S[Transaction  Type],"outBOUND")</f>
        <v>3</v>
      </c>
      <c r="AB68" s="227"/>
      <c r="AC68" s="227"/>
      <c r="AD68" s="227"/>
      <c r="AE68" s="227"/>
      <c r="AF68" s="227"/>
      <c r="AG68" s="227"/>
      <c r="AH68" s="227"/>
      <c r="AI68" s="227"/>
    </row>
    <row r="69" spans="1:35" ht="14.5">
      <c r="A69" s="508">
        <f t="shared" ref="A69:A100" si="2">ROW()-ROW($A$4)</f>
        <v>65</v>
      </c>
      <c r="B69" s="241" t="s">
        <v>71</v>
      </c>
      <c r="C69" s="241" t="s">
        <v>24</v>
      </c>
      <c r="D69" s="241" t="s">
        <v>2903</v>
      </c>
      <c r="E69" s="241" t="s">
        <v>4584</v>
      </c>
      <c r="F69" s="241" t="s">
        <v>4584</v>
      </c>
      <c r="G69" s="509">
        <v>45483</v>
      </c>
      <c r="H69" s="241" t="s">
        <v>4543</v>
      </c>
      <c r="I69" s="510">
        <f>_xlfn.XLOOKUP(Site_DB[[#This Row],[Site ID]],Logfile_S[SiteID],Logfile_S[Date],"",0,1)</f>
        <v>45850</v>
      </c>
      <c r="J69" s="262">
        <f>_xlfn.IFNA(VLOOKUP(Site_DB[[#This Row],[Site ID]],SUM_DN!B:X,21,0),0)</f>
        <v>0</v>
      </c>
      <c r="K69" s="262">
        <f>SUMIFS(Logfile_S[Qty],Logfile_S[Material Name],Site_DB[[#Headers],[Pole 7M 4"]],Logfile_S[SiteID],Site_DB[[#This Row],[Site ID]],Logfile_S[Transaction  Type],"outBOUND")</f>
        <v>0</v>
      </c>
      <c r="L69" s="262">
        <f>SUMIFS(Logfile_S[Qty],Logfile_S[Material Name],Site_DB[[#Headers],[Pole 7M 3"]],Logfile_S[SiteID],Site_DB[[#This Row],[Site ID]],Logfile_S[Transaction  Type],"outBOUND")</f>
        <v>0</v>
      </c>
      <c r="M69" s="262">
        <f>SUMIFS(Logfile_S[Qty],Logfile_S[Material Name],Site_DB[[#Headers],[Pole 9M]],Logfile_S[SiteID],Site_DB[[#This Row],[Site ID]],Logfile_S[Transaction  Type],"outBOUND")</f>
        <v>2</v>
      </c>
      <c r="N69" s="262">
        <v>0</v>
      </c>
      <c r="O69" s="262">
        <v>3000</v>
      </c>
      <c r="P69" s="262">
        <v>0</v>
      </c>
      <c r="Q69" s="262">
        <v>0</v>
      </c>
      <c r="R69" s="262">
        <v>0</v>
      </c>
      <c r="S69" s="262">
        <v>0</v>
      </c>
      <c r="T69" s="262">
        <v>13</v>
      </c>
      <c r="U69" s="262">
        <v>0</v>
      </c>
      <c r="V69" s="265">
        <v>0</v>
      </c>
      <c r="W69" s="262" t="s">
        <v>4635</v>
      </c>
      <c r="X69" s="227">
        <f>SUMIFS(Logfile_S[Qty],Logfile_S[Material Name],Site_DB[[#Headers],[Pole 7M 2.5"]],Logfile_S[SiteID],Site_DB[[#This Row],[Site ID]],Logfile_S[Transaction  Type],"outBOUND")</f>
        <v>0</v>
      </c>
      <c r="Y69" s="227">
        <f>SUMIFS(Logfile_S[Qty],Logfile_S[Material Name],Site_DB[[#Headers],[Pole 7M 4"]],Logfile_S[SiteID],Site_DB[[#This Row],[Site ID]],Logfile_S[Transaction  Type],"outBOUND")</f>
        <v>0</v>
      </c>
      <c r="Z69" s="227">
        <f>SUMIFS(Logfile_S[Qty],Logfile_S[Material Name],Site_DB[[#Headers],[Pole 7M 3"]],Logfile_S[SiteID],Site_DB[[#This Row],[Site ID]],Logfile_S[Transaction  Type],"outBOUND")</f>
        <v>0</v>
      </c>
      <c r="AA69" s="227">
        <f>SUMIFS(Logfile_S[Qty],Logfile_S[Material Name],Site_DB[[#Headers],[Pole 9M]],Logfile_S[SiteID],Site_DB[[#This Row],[Site ID]],Logfile_S[Transaction  Type],"outBOUND")</f>
        <v>2</v>
      </c>
      <c r="AB69" s="227"/>
      <c r="AC69" s="227"/>
      <c r="AD69" s="227"/>
      <c r="AE69" s="227"/>
      <c r="AF69" s="227"/>
      <c r="AG69" s="227"/>
      <c r="AH69" s="227"/>
      <c r="AI69" s="227"/>
    </row>
    <row r="70" spans="1:35" ht="14.5">
      <c r="A70" s="508">
        <f t="shared" si="2"/>
        <v>66</v>
      </c>
      <c r="B70" s="241" t="s">
        <v>71</v>
      </c>
      <c r="C70" s="241" t="s">
        <v>24</v>
      </c>
      <c r="D70" s="241" t="s">
        <v>3662</v>
      </c>
      <c r="E70" s="241" t="s">
        <v>3663</v>
      </c>
      <c r="F70" s="241" t="s">
        <v>3663</v>
      </c>
      <c r="G70" s="509">
        <v>45483</v>
      </c>
      <c r="H70" s="241" t="s">
        <v>4548</v>
      </c>
      <c r="I70" s="510">
        <f>_xlfn.XLOOKUP(Site_DB[[#This Row],[Site ID]],Logfile_S[SiteID],Logfile_S[Date],"",0,1)</f>
        <v>45899</v>
      </c>
      <c r="J70" s="262">
        <f>_xlfn.IFNA(VLOOKUP(Site_DB[[#This Row],[Site ID]],SUM_DN!B:X,21,0),0)</f>
        <v>0</v>
      </c>
      <c r="K70" s="262">
        <f>SUMIFS(Logfile_S[Qty],Logfile_S[Material Name],Site_DB[[#Headers],[Pole 7M 4"]],Logfile_S[SiteID],Site_DB[[#This Row],[Site ID]],Logfile_S[Transaction  Type],"outBOUND")</f>
        <v>0</v>
      </c>
      <c r="L70" s="262">
        <f>SUMIFS(Logfile_S[Qty],Logfile_S[Material Name],Site_DB[[#Headers],[Pole 7M 3"]],Logfile_S[SiteID],Site_DB[[#This Row],[Site ID]],Logfile_S[Transaction  Type],"outBOUND")</f>
        <v>36</v>
      </c>
      <c r="M70" s="262">
        <f>SUMIFS(Logfile_S[Qty],Logfile_S[Material Name],Site_DB[[#Headers],[Pole 9M]],Logfile_S[SiteID],Site_DB[[#This Row],[Site ID]],Logfile_S[Transaction  Type],"outBOUND")</f>
        <v>0</v>
      </c>
      <c r="N70" s="262">
        <v>0</v>
      </c>
      <c r="O70" s="262">
        <v>0</v>
      </c>
      <c r="P70" s="262">
        <v>0</v>
      </c>
      <c r="Q70" s="262">
        <v>0</v>
      </c>
      <c r="R70" s="262">
        <v>0</v>
      </c>
      <c r="S70" s="262">
        <v>0</v>
      </c>
      <c r="T70" s="262">
        <v>0</v>
      </c>
      <c r="U70" s="262">
        <v>0</v>
      </c>
      <c r="V70" s="265">
        <v>0</v>
      </c>
      <c r="W70" s="262" t="s">
        <v>4635</v>
      </c>
      <c r="X70" s="227">
        <f>SUMIFS(Logfile_S[Qty],Logfile_S[Material Name],Site_DB[[#Headers],[Pole 7M 2.5"]],Logfile_S[SiteID],Site_DB[[#This Row],[Site ID]],Logfile_S[Transaction  Type],"outBOUND")</f>
        <v>0</v>
      </c>
      <c r="Y70" s="227">
        <f>SUMIFS(Logfile_S[Qty],Logfile_S[Material Name],Site_DB[[#Headers],[Pole 7M 4"]],Logfile_S[SiteID],Site_DB[[#This Row],[Site ID]],Logfile_S[Transaction  Type],"outBOUND")</f>
        <v>0</v>
      </c>
      <c r="Z70" s="227">
        <f>SUMIFS(Logfile_S[Qty],Logfile_S[Material Name],Site_DB[[#Headers],[Pole 7M 3"]],Logfile_S[SiteID],Site_DB[[#This Row],[Site ID]],Logfile_S[Transaction  Type],"outBOUND")</f>
        <v>36</v>
      </c>
      <c r="AA70" s="227">
        <f>SUMIFS(Logfile_S[Qty],Logfile_S[Material Name],Site_DB[[#Headers],[Pole 9M]],Logfile_S[SiteID],Site_DB[[#This Row],[Site ID]],Logfile_S[Transaction  Type],"outBOUND")</f>
        <v>0</v>
      </c>
      <c r="AB70" s="227"/>
      <c r="AC70" s="227"/>
      <c r="AD70" s="227"/>
      <c r="AE70" s="227"/>
      <c r="AF70" s="227"/>
      <c r="AG70" s="227"/>
      <c r="AH70" s="227"/>
      <c r="AI70" s="227"/>
    </row>
    <row r="71" spans="1:35" ht="14.5">
      <c r="A71" s="508">
        <f t="shared" si="2"/>
        <v>67</v>
      </c>
      <c r="B71" s="241" t="s">
        <v>71</v>
      </c>
      <c r="C71" s="241" t="s">
        <v>24</v>
      </c>
      <c r="D71" s="241" t="s">
        <v>2809</v>
      </c>
      <c r="E71" s="241" t="s">
        <v>4583</v>
      </c>
      <c r="F71" s="241" t="s">
        <v>4583</v>
      </c>
      <c r="G71" s="509">
        <v>45483</v>
      </c>
      <c r="H71" s="241" t="s">
        <v>4543</v>
      </c>
      <c r="I71" s="510">
        <f>_xlfn.XLOOKUP(Site_DB[[#This Row],[Site ID]],Logfile_S[SiteID],Logfile_S[Date],"",0,1)</f>
        <v>45820</v>
      </c>
      <c r="J71" s="262">
        <f>_xlfn.IFNA(VLOOKUP(Site_DB[[#This Row],[Site ID]],SUM_DN!B:X,21,0),0)</f>
        <v>0</v>
      </c>
      <c r="K71" s="262">
        <f>SUMIFS(Logfile_S[Qty],Logfile_S[Material Name],Site_DB[[#Headers],[Pole 7M 4"]],Logfile_S[SiteID],Site_DB[[#This Row],[Site ID]],Logfile_S[Transaction  Type],"outBOUND")</f>
        <v>22</v>
      </c>
      <c r="L71" s="262">
        <f>SUMIFS(Logfile_S[Qty],Logfile_S[Material Name],Site_DB[[#Headers],[Pole 7M 3"]],Logfile_S[SiteID],Site_DB[[#This Row],[Site ID]],Logfile_S[Transaction  Type],"outBOUND")</f>
        <v>112</v>
      </c>
      <c r="M71" s="262">
        <f>SUMIFS(Logfile_S[Qty],Logfile_S[Material Name],Site_DB[[#Headers],[Pole 9M]],Logfile_S[SiteID],Site_DB[[#This Row],[Site ID]],Logfile_S[Transaction  Type],"outBOUND")</f>
        <v>7</v>
      </c>
      <c r="N71" s="262">
        <v>3000</v>
      </c>
      <c r="O71" s="262">
        <v>6000</v>
      </c>
      <c r="P71" s="262">
        <v>0</v>
      </c>
      <c r="Q71" s="262">
        <v>0</v>
      </c>
      <c r="R71" s="262">
        <v>0</v>
      </c>
      <c r="S71" s="262">
        <v>2</v>
      </c>
      <c r="T71" s="262">
        <v>55</v>
      </c>
      <c r="U71" s="262">
        <v>0</v>
      </c>
      <c r="V71" s="265">
        <v>0</v>
      </c>
      <c r="W71" s="262" t="s">
        <v>4635</v>
      </c>
      <c r="X71" s="227">
        <f>SUMIFS(Logfile_S[Qty],Logfile_S[Material Name],Site_DB[[#Headers],[Pole 7M 2.5"]],Logfile_S[SiteID],Site_DB[[#This Row],[Site ID]],Logfile_S[Transaction  Type],"outBOUND")</f>
        <v>0</v>
      </c>
      <c r="Y71" s="227">
        <f>SUMIFS(Logfile_S[Qty],Logfile_S[Material Name],Site_DB[[#Headers],[Pole 7M 4"]],Logfile_S[SiteID],Site_DB[[#This Row],[Site ID]],Logfile_S[Transaction  Type],"outBOUND")</f>
        <v>22</v>
      </c>
      <c r="Z71" s="227">
        <f>SUMIFS(Logfile_S[Qty],Logfile_S[Material Name],Site_DB[[#Headers],[Pole 7M 3"]],Logfile_S[SiteID],Site_DB[[#This Row],[Site ID]],Logfile_S[Transaction  Type],"outBOUND")</f>
        <v>112</v>
      </c>
      <c r="AA71" s="227">
        <f>SUMIFS(Logfile_S[Qty],Logfile_S[Material Name],Site_DB[[#Headers],[Pole 9M]],Logfile_S[SiteID],Site_DB[[#This Row],[Site ID]],Logfile_S[Transaction  Type],"outBOUND")</f>
        <v>7</v>
      </c>
      <c r="AB71" s="227"/>
      <c r="AC71" s="227"/>
      <c r="AD71" s="227"/>
      <c r="AE71" s="227"/>
      <c r="AF71" s="227"/>
      <c r="AG71" s="227"/>
      <c r="AH71" s="227"/>
      <c r="AI71" s="227"/>
    </row>
    <row r="72" spans="1:35" ht="14.5">
      <c r="A72" s="508">
        <f t="shared" si="2"/>
        <v>68</v>
      </c>
      <c r="B72" s="241" t="s">
        <v>71</v>
      </c>
      <c r="C72" s="241" t="s">
        <v>24</v>
      </c>
      <c r="D72" s="241" t="s">
        <v>2909</v>
      </c>
      <c r="E72" s="241" t="s">
        <v>4585</v>
      </c>
      <c r="F72" s="241" t="s">
        <v>4585</v>
      </c>
      <c r="G72" s="509">
        <v>45483</v>
      </c>
      <c r="H72" s="241" t="s">
        <v>4543</v>
      </c>
      <c r="I72" s="510">
        <f>_xlfn.XLOOKUP(Site_DB[[#This Row],[Site ID]],Logfile_S[SiteID],Logfile_S[Date],"",0,1)</f>
        <v>45850</v>
      </c>
      <c r="J72" s="262">
        <f>_xlfn.IFNA(VLOOKUP(Site_DB[[#This Row],[Site ID]],SUM_DN!B:X,21,0),0)</f>
        <v>0</v>
      </c>
      <c r="K72" s="262">
        <f>SUMIFS(Logfile_S[Qty],Logfile_S[Material Name],Site_DB[[#Headers],[Pole 7M 4"]],Logfile_S[SiteID],Site_DB[[#This Row],[Site ID]],Logfile_S[Transaction  Type],"outBOUND")</f>
        <v>14</v>
      </c>
      <c r="L72" s="262">
        <f>SUMIFS(Logfile_S[Qty],Logfile_S[Material Name],Site_DB[[#Headers],[Pole 7M 3"]],Logfile_S[SiteID],Site_DB[[#This Row],[Site ID]],Logfile_S[Transaction  Type],"outBOUND")</f>
        <v>154</v>
      </c>
      <c r="M72" s="262">
        <f>SUMIFS(Logfile_S[Qty],Logfile_S[Material Name],Site_DB[[#Headers],[Pole 9M]],Logfile_S[SiteID],Site_DB[[#This Row],[Site ID]],Logfile_S[Transaction  Type],"outBOUND")</f>
        <v>9</v>
      </c>
      <c r="N72" s="262">
        <v>0</v>
      </c>
      <c r="O72" s="262">
        <v>3000</v>
      </c>
      <c r="P72" s="262">
        <v>0</v>
      </c>
      <c r="Q72" s="262">
        <v>0</v>
      </c>
      <c r="R72" s="262">
        <v>1</v>
      </c>
      <c r="S72" s="262">
        <v>0</v>
      </c>
      <c r="T72" s="262">
        <v>15</v>
      </c>
      <c r="U72" s="262">
        <v>0</v>
      </c>
      <c r="V72" s="265">
        <v>0</v>
      </c>
      <c r="W72" s="262" t="s">
        <v>4635</v>
      </c>
      <c r="X72" s="227">
        <f>SUMIFS(Logfile_S[Qty],Logfile_S[Material Name],Site_DB[[#Headers],[Pole 7M 2.5"]],Logfile_S[SiteID],Site_DB[[#This Row],[Site ID]],Logfile_S[Transaction  Type],"outBOUND")</f>
        <v>0</v>
      </c>
      <c r="Y72" s="227">
        <f>SUMIFS(Logfile_S[Qty],Logfile_S[Material Name],Site_DB[[#Headers],[Pole 7M 4"]],Logfile_S[SiteID],Site_DB[[#This Row],[Site ID]],Logfile_S[Transaction  Type],"outBOUND")</f>
        <v>14</v>
      </c>
      <c r="Z72" s="227">
        <f>SUMIFS(Logfile_S[Qty],Logfile_S[Material Name],Site_DB[[#Headers],[Pole 7M 3"]],Logfile_S[SiteID],Site_DB[[#This Row],[Site ID]],Logfile_S[Transaction  Type],"outBOUND")</f>
        <v>154</v>
      </c>
      <c r="AA72" s="227">
        <f>SUMIFS(Logfile_S[Qty],Logfile_S[Material Name],Site_DB[[#Headers],[Pole 9M]],Logfile_S[SiteID],Site_DB[[#This Row],[Site ID]],Logfile_S[Transaction  Type],"outBOUND")</f>
        <v>9</v>
      </c>
      <c r="AB72" s="227"/>
      <c r="AC72" s="227"/>
      <c r="AD72" s="227"/>
      <c r="AE72" s="227"/>
      <c r="AF72" s="227"/>
      <c r="AG72" s="227"/>
      <c r="AH72" s="227"/>
      <c r="AI72" s="227"/>
    </row>
    <row r="73" spans="1:35" ht="14.5">
      <c r="A73" s="508">
        <f t="shared" si="2"/>
        <v>69</v>
      </c>
      <c r="B73" s="241" t="s">
        <v>71</v>
      </c>
      <c r="C73" s="241" t="s">
        <v>24</v>
      </c>
      <c r="D73" s="241" t="s">
        <v>1911</v>
      </c>
      <c r="E73" s="241" t="s">
        <v>1912</v>
      </c>
      <c r="F73" s="241" t="s">
        <v>1912</v>
      </c>
      <c r="G73" s="509">
        <v>45488</v>
      </c>
      <c r="H73" s="241" t="s">
        <v>4544</v>
      </c>
      <c r="I73" s="510">
        <f>_xlfn.XLOOKUP(Site_DB[[#This Row],[Site ID]],Logfile_S[SiteID],Logfile_S[Date],"",0,1)</f>
        <v>45526</v>
      </c>
      <c r="J73" s="262">
        <f>_xlfn.IFNA(VLOOKUP(Site_DB[[#This Row],[Site ID]],SUM_DN!B:X,21,0),0)</f>
        <v>0</v>
      </c>
      <c r="K73" s="262">
        <f>SUMIFS(Logfile_S[Qty],Logfile_S[Material Name],Site_DB[[#Headers],[Pole 7M 4"]],Logfile_S[SiteID],Site_DB[[#This Row],[Site ID]],Logfile_S[Transaction  Type],"outBOUND")</f>
        <v>30</v>
      </c>
      <c r="L73" s="262">
        <f>SUMIFS(Logfile_S[Qty],Logfile_S[Material Name],Site_DB[[#Headers],[Pole 7M 3"]],Logfile_S[SiteID],Site_DB[[#This Row],[Site ID]],Logfile_S[Transaction  Type],"outBOUND")</f>
        <v>1</v>
      </c>
      <c r="M73" s="262">
        <f>SUMIFS(Logfile_S[Qty],Logfile_S[Material Name],Site_DB[[#Headers],[Pole 9M]],Logfile_S[SiteID],Site_DB[[#This Row],[Site ID]],Logfile_S[Transaction  Type],"outBOUND")</f>
        <v>2</v>
      </c>
      <c r="N73" s="262">
        <v>3000</v>
      </c>
      <c r="O73" s="262">
        <v>3000</v>
      </c>
      <c r="P73" s="262">
        <v>0</v>
      </c>
      <c r="Q73" s="262">
        <v>0</v>
      </c>
      <c r="R73" s="262">
        <v>1</v>
      </c>
      <c r="S73" s="262">
        <v>0</v>
      </c>
      <c r="T73" s="262">
        <v>15</v>
      </c>
      <c r="U73" s="262">
        <v>0</v>
      </c>
      <c r="V73" s="265">
        <v>0</v>
      </c>
      <c r="W73" s="262" t="s">
        <v>4635</v>
      </c>
      <c r="X73" s="227">
        <f>SUMIFS(Logfile_S[Qty],Logfile_S[Material Name],Site_DB[[#Headers],[Pole 7M 2.5"]],Logfile_S[SiteID],Site_DB[[#This Row],[Site ID]],Logfile_S[Transaction  Type],"outBOUND")</f>
        <v>0</v>
      </c>
      <c r="Y73" s="227">
        <f>SUMIFS(Logfile_S[Qty],Logfile_S[Material Name],Site_DB[[#Headers],[Pole 7M 4"]],Logfile_S[SiteID],Site_DB[[#This Row],[Site ID]],Logfile_S[Transaction  Type],"outBOUND")</f>
        <v>30</v>
      </c>
      <c r="Z73" s="227">
        <f>SUMIFS(Logfile_S[Qty],Logfile_S[Material Name],Site_DB[[#Headers],[Pole 7M 3"]],Logfile_S[SiteID],Site_DB[[#This Row],[Site ID]],Logfile_S[Transaction  Type],"outBOUND")</f>
        <v>1</v>
      </c>
      <c r="AA73" s="227">
        <f>SUMIFS(Logfile_S[Qty],Logfile_S[Material Name],Site_DB[[#Headers],[Pole 9M]],Logfile_S[SiteID],Site_DB[[#This Row],[Site ID]],Logfile_S[Transaction  Type],"outBOUND")</f>
        <v>2</v>
      </c>
      <c r="AB73" s="227"/>
      <c r="AC73" s="227"/>
      <c r="AD73" s="227"/>
      <c r="AE73" s="227"/>
      <c r="AF73" s="227"/>
      <c r="AG73" s="227"/>
      <c r="AH73" s="227"/>
      <c r="AI73" s="227"/>
    </row>
    <row r="74" spans="1:35" ht="14.5">
      <c r="A74" s="508">
        <f t="shared" si="2"/>
        <v>70</v>
      </c>
      <c r="B74" s="241" t="s">
        <v>71</v>
      </c>
      <c r="C74" s="241" t="s">
        <v>24</v>
      </c>
      <c r="D74" s="241" t="s">
        <v>1917</v>
      </c>
      <c r="E74" s="241" t="s">
        <v>1918</v>
      </c>
      <c r="F74" s="241" t="s">
        <v>1918</v>
      </c>
      <c r="G74" s="509">
        <v>45488</v>
      </c>
      <c r="H74" s="241" t="s">
        <v>4544</v>
      </c>
      <c r="I74" s="510">
        <f>_xlfn.XLOOKUP(Site_DB[[#This Row],[Site ID]],Logfile_S[SiteID],Logfile_S[Date],"",0,1)</f>
        <v>45533</v>
      </c>
      <c r="J74" s="262">
        <f>_xlfn.IFNA(VLOOKUP(Site_DB[[#This Row],[Site ID]],SUM_DN!B:X,21,0),0)</f>
        <v>0</v>
      </c>
      <c r="K74" s="262">
        <f>SUMIFS(Logfile_S[Qty],Logfile_S[Material Name],Site_DB[[#Headers],[Pole 7M 4"]],Logfile_S[SiteID],Site_DB[[#This Row],[Site ID]],Logfile_S[Transaction  Type],"outBOUND")</f>
        <v>26</v>
      </c>
      <c r="L74" s="262">
        <f>SUMIFS(Logfile_S[Qty],Logfile_S[Material Name],Site_DB[[#Headers],[Pole 7M 3"]],Logfile_S[SiteID],Site_DB[[#This Row],[Site ID]],Logfile_S[Transaction  Type],"outBOUND")</f>
        <v>2</v>
      </c>
      <c r="M74" s="262">
        <f>SUMIFS(Logfile_S[Qty],Logfile_S[Material Name],Site_DB[[#Headers],[Pole 9M]],Logfile_S[SiteID],Site_DB[[#This Row],[Site ID]],Logfile_S[Transaction  Type],"outBOUND")</f>
        <v>3</v>
      </c>
      <c r="N74" s="262">
        <v>3000</v>
      </c>
      <c r="O74" s="262">
        <v>0</v>
      </c>
      <c r="P74" s="262">
        <v>0</v>
      </c>
      <c r="Q74" s="262">
        <v>0</v>
      </c>
      <c r="R74" s="262">
        <v>1</v>
      </c>
      <c r="S74" s="262">
        <v>0</v>
      </c>
      <c r="T74" s="262">
        <v>15</v>
      </c>
      <c r="U74" s="262">
        <v>1</v>
      </c>
      <c r="V74" s="265">
        <v>0</v>
      </c>
      <c r="W74" s="262" t="s">
        <v>4635</v>
      </c>
      <c r="X74" s="227">
        <f>SUMIFS(Logfile_S[Qty],Logfile_S[Material Name],Site_DB[[#Headers],[Pole 7M 2.5"]],Logfile_S[SiteID],Site_DB[[#This Row],[Site ID]],Logfile_S[Transaction  Type],"outBOUND")</f>
        <v>0</v>
      </c>
      <c r="Y74" s="227">
        <f>SUMIFS(Logfile_S[Qty],Logfile_S[Material Name],Site_DB[[#Headers],[Pole 7M 4"]],Logfile_S[SiteID],Site_DB[[#This Row],[Site ID]],Logfile_S[Transaction  Type],"outBOUND")</f>
        <v>26</v>
      </c>
      <c r="Z74" s="227">
        <f>SUMIFS(Logfile_S[Qty],Logfile_S[Material Name],Site_DB[[#Headers],[Pole 7M 3"]],Logfile_S[SiteID],Site_DB[[#This Row],[Site ID]],Logfile_S[Transaction  Type],"outBOUND")</f>
        <v>2</v>
      </c>
      <c r="AA74" s="227">
        <f>SUMIFS(Logfile_S[Qty],Logfile_S[Material Name],Site_DB[[#Headers],[Pole 9M]],Logfile_S[SiteID],Site_DB[[#This Row],[Site ID]],Logfile_S[Transaction  Type],"outBOUND")</f>
        <v>3</v>
      </c>
      <c r="AB74" s="227"/>
      <c r="AC74" s="227"/>
      <c r="AD74" s="227"/>
      <c r="AE74" s="227"/>
      <c r="AF74" s="227"/>
      <c r="AG74" s="227"/>
      <c r="AH74" s="227"/>
      <c r="AI74" s="227"/>
    </row>
    <row r="75" spans="1:35" ht="14.5">
      <c r="A75" s="508">
        <f t="shared" si="2"/>
        <v>71</v>
      </c>
      <c r="B75" s="241" t="s">
        <v>71</v>
      </c>
      <c r="C75" s="241" t="s">
        <v>24</v>
      </c>
      <c r="D75" s="241" t="s">
        <v>1799</v>
      </c>
      <c r="E75" s="241" t="s">
        <v>1800</v>
      </c>
      <c r="F75" s="241" t="s">
        <v>1800</v>
      </c>
      <c r="G75" s="509">
        <v>45492</v>
      </c>
      <c r="H75" s="241" t="s">
        <v>4546</v>
      </c>
      <c r="I75" s="510">
        <f>_xlfn.XLOOKUP(Site_DB[[#This Row],[Site ID]],Logfile_S[SiteID],Logfile_S[Date],"",0,1)</f>
        <v>45496</v>
      </c>
      <c r="J75" s="262">
        <f>_xlfn.IFNA(VLOOKUP(Site_DB[[#This Row],[Site ID]],SUM_DN!B:X,21,0),0)</f>
        <v>0</v>
      </c>
      <c r="K75" s="262">
        <f>SUMIFS(Logfile_S[Qty],Logfile_S[Material Name],Site_DB[[#Headers],[Pole 7M 4"]],Logfile_S[SiteID],Site_DB[[#This Row],[Site ID]],Logfile_S[Transaction  Type],"outBOUND")</f>
        <v>60</v>
      </c>
      <c r="L75" s="262">
        <f>SUMIFS(Logfile_S[Qty],Logfile_S[Material Name],Site_DB[[#Headers],[Pole 7M 3"]],Logfile_S[SiteID],Site_DB[[#This Row],[Site ID]],Logfile_S[Transaction  Type],"outBOUND")</f>
        <v>3</v>
      </c>
      <c r="M75" s="262">
        <f>SUMIFS(Logfile_S[Qty],Logfile_S[Material Name],Site_DB[[#Headers],[Pole 9M]],Logfile_S[SiteID],Site_DB[[#This Row],[Site ID]],Logfile_S[Transaction  Type],"outBOUND")</f>
        <v>2</v>
      </c>
      <c r="N75" s="262">
        <v>0</v>
      </c>
      <c r="O75" s="262">
        <v>0</v>
      </c>
      <c r="P75" s="262">
        <v>0</v>
      </c>
      <c r="Q75" s="262">
        <v>6000</v>
      </c>
      <c r="R75" s="262">
        <v>0</v>
      </c>
      <c r="S75" s="262">
        <v>0</v>
      </c>
      <c r="T75" s="262">
        <v>0</v>
      </c>
      <c r="U75" s="262">
        <v>2</v>
      </c>
      <c r="V75" s="265">
        <v>0</v>
      </c>
      <c r="W75" s="262" t="s">
        <v>4635</v>
      </c>
      <c r="X75" s="227">
        <f>SUMIFS(Logfile_S[Qty],Logfile_S[Material Name],Site_DB[[#Headers],[Pole 7M 2.5"]],Logfile_S[SiteID],Site_DB[[#This Row],[Site ID]],Logfile_S[Transaction  Type],"outBOUND")</f>
        <v>0</v>
      </c>
      <c r="Y75" s="227">
        <f>SUMIFS(Logfile_S[Qty],Logfile_S[Material Name],Site_DB[[#Headers],[Pole 7M 4"]],Logfile_S[SiteID],Site_DB[[#This Row],[Site ID]],Logfile_S[Transaction  Type],"outBOUND")</f>
        <v>60</v>
      </c>
      <c r="Z75" s="227">
        <f>SUMIFS(Logfile_S[Qty],Logfile_S[Material Name],Site_DB[[#Headers],[Pole 7M 3"]],Logfile_S[SiteID],Site_DB[[#This Row],[Site ID]],Logfile_S[Transaction  Type],"outBOUND")</f>
        <v>3</v>
      </c>
      <c r="AA75" s="227">
        <f>SUMIFS(Logfile_S[Qty],Logfile_S[Material Name],Site_DB[[#Headers],[Pole 9M]],Logfile_S[SiteID],Site_DB[[#This Row],[Site ID]],Logfile_S[Transaction  Type],"outBOUND")</f>
        <v>2</v>
      </c>
      <c r="AB75" s="227"/>
      <c r="AC75" s="227"/>
      <c r="AD75" s="227"/>
      <c r="AE75" s="227"/>
      <c r="AF75" s="227"/>
      <c r="AG75" s="227"/>
      <c r="AH75" s="227"/>
      <c r="AI75" s="227"/>
    </row>
    <row r="76" spans="1:35" ht="14.5">
      <c r="A76" s="508">
        <f t="shared" si="2"/>
        <v>72</v>
      </c>
      <c r="B76" s="241" t="s">
        <v>71</v>
      </c>
      <c r="C76" s="241" t="s">
        <v>24</v>
      </c>
      <c r="D76" s="241" t="s">
        <v>1807</v>
      </c>
      <c r="E76" s="241" t="s">
        <v>1808</v>
      </c>
      <c r="F76" s="241" t="s">
        <v>1808</v>
      </c>
      <c r="G76" s="509">
        <v>45494</v>
      </c>
      <c r="H76" s="241" t="s">
        <v>4546</v>
      </c>
      <c r="I76" s="510">
        <f>_xlfn.XLOOKUP(Site_DB[[#This Row],[Site ID]],Logfile_S[SiteID],Logfile_S[Date],"",0,1)</f>
        <v>45503</v>
      </c>
      <c r="J76" s="262">
        <f>_xlfn.IFNA(VLOOKUP(Site_DB[[#This Row],[Site ID]],SUM_DN!B:X,21,0),0)</f>
        <v>0</v>
      </c>
      <c r="K76" s="262">
        <f>SUMIFS(Logfile_S[Qty],Logfile_S[Material Name],Site_DB[[#Headers],[Pole 7M 4"]],Logfile_S[SiteID],Site_DB[[#This Row],[Site ID]],Logfile_S[Transaction  Type],"outBOUND")</f>
        <v>88</v>
      </c>
      <c r="L76" s="262">
        <f>SUMIFS(Logfile_S[Qty],Logfile_S[Material Name],Site_DB[[#Headers],[Pole 7M 3"]],Logfile_S[SiteID],Site_DB[[#This Row],[Site ID]],Logfile_S[Transaction  Type],"outBOUND")</f>
        <v>0</v>
      </c>
      <c r="M76" s="262">
        <f>SUMIFS(Logfile_S[Qty],Logfile_S[Material Name],Site_DB[[#Headers],[Pole 9M]],Logfile_S[SiteID],Site_DB[[#This Row],[Site ID]],Logfile_S[Transaction  Type],"outBOUND")</f>
        <v>6</v>
      </c>
      <c r="N76" s="262">
        <v>0</v>
      </c>
      <c r="O76" s="262">
        <v>0</v>
      </c>
      <c r="P76" s="262">
        <v>0</v>
      </c>
      <c r="Q76" s="262">
        <v>3000</v>
      </c>
      <c r="R76" s="262">
        <v>0</v>
      </c>
      <c r="S76" s="262">
        <v>0</v>
      </c>
      <c r="T76" s="262">
        <v>0</v>
      </c>
      <c r="U76" s="262">
        <v>3</v>
      </c>
      <c r="V76" s="265">
        <v>0</v>
      </c>
      <c r="W76" s="262" t="s">
        <v>4635</v>
      </c>
      <c r="X76" s="227">
        <f>SUMIFS(Logfile_S[Qty],Logfile_S[Material Name],Site_DB[[#Headers],[Pole 7M 2.5"]],Logfile_S[SiteID],Site_DB[[#This Row],[Site ID]],Logfile_S[Transaction  Type],"outBOUND")</f>
        <v>0</v>
      </c>
      <c r="Y76" s="227">
        <f>SUMIFS(Logfile_S[Qty],Logfile_S[Material Name],Site_DB[[#Headers],[Pole 7M 4"]],Logfile_S[SiteID],Site_DB[[#This Row],[Site ID]],Logfile_S[Transaction  Type],"outBOUND")</f>
        <v>88</v>
      </c>
      <c r="Z76" s="227">
        <f>SUMIFS(Logfile_S[Qty],Logfile_S[Material Name],Site_DB[[#Headers],[Pole 7M 3"]],Logfile_S[SiteID],Site_DB[[#This Row],[Site ID]],Logfile_S[Transaction  Type],"outBOUND")</f>
        <v>0</v>
      </c>
      <c r="AA76" s="227">
        <f>SUMIFS(Logfile_S[Qty],Logfile_S[Material Name],Site_DB[[#Headers],[Pole 9M]],Logfile_S[SiteID],Site_DB[[#This Row],[Site ID]],Logfile_S[Transaction  Type],"outBOUND")</f>
        <v>6</v>
      </c>
      <c r="AB76" s="227"/>
      <c r="AC76" s="227"/>
      <c r="AD76" s="227"/>
      <c r="AE76" s="227"/>
      <c r="AF76" s="227"/>
      <c r="AG76" s="227"/>
      <c r="AH76" s="227"/>
      <c r="AI76" s="227"/>
    </row>
    <row r="77" spans="1:35" ht="14.5">
      <c r="A77" s="508">
        <f t="shared" si="2"/>
        <v>73</v>
      </c>
      <c r="B77" s="241" t="s">
        <v>71</v>
      </c>
      <c r="C77" s="241" t="s">
        <v>24</v>
      </c>
      <c r="D77" s="241" t="s">
        <v>2350</v>
      </c>
      <c r="E77" s="241" t="s">
        <v>2351</v>
      </c>
      <c r="F77" s="241" t="s">
        <v>2351</v>
      </c>
      <c r="G77" s="509">
        <v>45497</v>
      </c>
      <c r="H77" s="241" t="s">
        <v>4544</v>
      </c>
      <c r="I77" s="510">
        <f>_xlfn.XLOOKUP(Site_DB[[#This Row],[Site ID]],Logfile_S[SiteID],Logfile_S[Date],"",0,1)</f>
        <v>45602</v>
      </c>
      <c r="J77" s="262">
        <f>_xlfn.IFNA(VLOOKUP(Site_DB[[#This Row],[Site ID]],SUM_DN!B:X,21,0),0)</f>
        <v>0</v>
      </c>
      <c r="K77" s="262">
        <f>SUMIFS(Logfile_S[Qty],Logfile_S[Material Name],Site_DB[[#Headers],[Pole 7M 4"]],Logfile_S[SiteID],Site_DB[[#This Row],[Site ID]],Logfile_S[Transaction  Type],"outBOUND")</f>
        <v>21</v>
      </c>
      <c r="L77" s="262">
        <f>SUMIFS(Logfile_S[Qty],Logfile_S[Material Name],Site_DB[[#Headers],[Pole 7M 3"]],Logfile_S[SiteID],Site_DB[[#This Row],[Site ID]],Logfile_S[Transaction  Type],"outBOUND")</f>
        <v>5</v>
      </c>
      <c r="M77" s="262">
        <f>SUMIFS(Logfile_S[Qty],Logfile_S[Material Name],Site_DB[[#Headers],[Pole 9M]],Logfile_S[SiteID],Site_DB[[#This Row],[Site ID]],Logfile_S[Transaction  Type],"outBOUND")</f>
        <v>0</v>
      </c>
      <c r="N77" s="262">
        <v>3000</v>
      </c>
      <c r="O77" s="262">
        <v>6000</v>
      </c>
      <c r="P77" s="262">
        <v>0</v>
      </c>
      <c r="Q77" s="262">
        <v>0</v>
      </c>
      <c r="R77" s="262">
        <v>0</v>
      </c>
      <c r="S77" s="262">
        <v>0</v>
      </c>
      <c r="T77" s="262">
        <v>10</v>
      </c>
      <c r="U77" s="262">
        <v>0</v>
      </c>
      <c r="V77" s="265">
        <v>0</v>
      </c>
      <c r="W77" s="262" t="s">
        <v>4636</v>
      </c>
      <c r="X77" s="227">
        <f>SUMIFS(Logfile_S[Qty],Logfile_S[Material Name],Site_DB[[#Headers],[Pole 7M 2.5"]],Logfile_S[SiteID],Site_DB[[#This Row],[Site ID]],Logfile_S[Transaction  Type],"outBOUND")</f>
        <v>0</v>
      </c>
      <c r="Y77" s="227">
        <f>SUMIFS(Logfile_S[Qty],Logfile_S[Material Name],Site_DB[[#Headers],[Pole 7M 4"]],Logfile_S[SiteID],Site_DB[[#This Row],[Site ID]],Logfile_S[Transaction  Type],"outBOUND")</f>
        <v>21</v>
      </c>
      <c r="Z77" s="227">
        <f>SUMIFS(Logfile_S[Qty],Logfile_S[Material Name],Site_DB[[#Headers],[Pole 7M 3"]],Logfile_S[SiteID],Site_DB[[#This Row],[Site ID]],Logfile_S[Transaction  Type],"outBOUND")</f>
        <v>5</v>
      </c>
      <c r="AA77" s="227">
        <f>SUMIFS(Logfile_S[Qty],Logfile_S[Material Name],Site_DB[[#Headers],[Pole 9M]],Logfile_S[SiteID],Site_DB[[#This Row],[Site ID]],Logfile_S[Transaction  Type],"outBOUND")</f>
        <v>0</v>
      </c>
      <c r="AB77" s="227"/>
      <c r="AC77" s="227"/>
      <c r="AD77" s="227"/>
      <c r="AE77" s="227"/>
      <c r="AF77" s="227"/>
      <c r="AG77" s="227"/>
      <c r="AH77" s="227"/>
      <c r="AI77" s="227"/>
    </row>
    <row r="78" spans="1:35" ht="14.5">
      <c r="A78" s="508">
        <f t="shared" si="2"/>
        <v>74</v>
      </c>
      <c r="B78" s="241" t="s">
        <v>71</v>
      </c>
      <c r="C78" s="241" t="s">
        <v>24</v>
      </c>
      <c r="D78" s="241" t="s">
        <v>2539</v>
      </c>
      <c r="E78" s="241" t="s">
        <v>2540</v>
      </c>
      <c r="F78" s="241" t="s">
        <v>2540</v>
      </c>
      <c r="G78" s="509">
        <v>45497</v>
      </c>
      <c r="H78" s="241" t="s">
        <v>4543</v>
      </c>
      <c r="I78" s="510">
        <f>_xlfn.XLOOKUP(Site_DB[[#This Row],[Site ID]],Logfile_S[SiteID],Logfile_S[Date],"",0,1)</f>
        <v>45640</v>
      </c>
      <c r="J78" s="262">
        <f>_xlfn.IFNA(VLOOKUP(Site_DB[[#This Row],[Site ID]],SUM_DN!B:X,21,0),0)</f>
        <v>0</v>
      </c>
      <c r="K78" s="262">
        <f>SUMIFS(Logfile_S[Qty],Logfile_S[Material Name],Site_DB[[#Headers],[Pole 7M 4"]],Logfile_S[SiteID],Site_DB[[#This Row],[Site ID]],Logfile_S[Transaction  Type],"outBOUND")</f>
        <v>0</v>
      </c>
      <c r="L78" s="262">
        <f>SUMIFS(Logfile_S[Qty],Logfile_S[Material Name],Site_DB[[#Headers],[Pole 7M 3"]],Logfile_S[SiteID],Site_DB[[#This Row],[Site ID]],Logfile_S[Transaction  Type],"outBOUND")</f>
        <v>0</v>
      </c>
      <c r="M78" s="262">
        <f>SUMIFS(Logfile_S[Qty],Logfile_S[Material Name],Site_DB[[#Headers],[Pole 9M]],Logfile_S[SiteID],Site_DB[[#This Row],[Site ID]],Logfile_S[Transaction  Type],"outBOUND")</f>
        <v>0</v>
      </c>
      <c r="N78" s="262">
        <v>0</v>
      </c>
      <c r="O78" s="262">
        <v>0</v>
      </c>
      <c r="P78" s="262">
        <v>0</v>
      </c>
      <c r="Q78" s="262">
        <v>0</v>
      </c>
      <c r="R78" s="262">
        <v>1</v>
      </c>
      <c r="S78" s="262">
        <v>0</v>
      </c>
      <c r="T78" s="262">
        <v>12</v>
      </c>
      <c r="U78" s="262">
        <v>1</v>
      </c>
      <c r="V78" s="265">
        <v>0</v>
      </c>
      <c r="W78" s="262" t="s">
        <v>4635</v>
      </c>
      <c r="X78" s="227">
        <f>SUMIFS(Logfile_S[Qty],Logfile_S[Material Name],Site_DB[[#Headers],[Pole 7M 2.5"]],Logfile_S[SiteID],Site_DB[[#This Row],[Site ID]],Logfile_S[Transaction  Type],"outBOUND")</f>
        <v>0</v>
      </c>
      <c r="Y78" s="227">
        <f>SUMIFS(Logfile_S[Qty],Logfile_S[Material Name],Site_DB[[#Headers],[Pole 7M 4"]],Logfile_S[SiteID],Site_DB[[#This Row],[Site ID]],Logfile_S[Transaction  Type],"outBOUND")</f>
        <v>0</v>
      </c>
      <c r="Z78" s="227">
        <f>SUMIFS(Logfile_S[Qty],Logfile_S[Material Name],Site_DB[[#Headers],[Pole 7M 3"]],Logfile_S[SiteID],Site_DB[[#This Row],[Site ID]],Logfile_S[Transaction  Type],"outBOUND")</f>
        <v>0</v>
      </c>
      <c r="AA78" s="227">
        <f>SUMIFS(Logfile_S[Qty],Logfile_S[Material Name],Site_DB[[#Headers],[Pole 9M]],Logfile_S[SiteID],Site_DB[[#This Row],[Site ID]],Logfile_S[Transaction  Type],"outBOUND")</f>
        <v>0</v>
      </c>
      <c r="AB78" s="227"/>
      <c r="AC78" s="227"/>
      <c r="AD78" s="227"/>
      <c r="AE78" s="227"/>
      <c r="AF78" s="227"/>
      <c r="AG78" s="227"/>
      <c r="AH78" s="227"/>
      <c r="AI78" s="227"/>
    </row>
    <row r="79" spans="1:35" ht="14.5">
      <c r="A79" s="508">
        <f t="shared" si="2"/>
        <v>75</v>
      </c>
      <c r="B79" s="241" t="s">
        <v>71</v>
      </c>
      <c r="C79" s="241" t="s">
        <v>24</v>
      </c>
      <c r="D79" s="241" t="s">
        <v>3379</v>
      </c>
      <c r="E79" s="241" t="s">
        <v>4588</v>
      </c>
      <c r="F79" s="241" t="s">
        <v>4588</v>
      </c>
      <c r="G79" s="509">
        <v>45497</v>
      </c>
      <c r="H79" s="241" t="s">
        <v>4543</v>
      </c>
      <c r="I79" s="510">
        <f>_xlfn.XLOOKUP(Site_DB[[#This Row],[Site ID]],Logfile_S[SiteID],Logfile_S[Date],"",0,1)</f>
        <v>45678</v>
      </c>
      <c r="J79" s="262">
        <f>_xlfn.IFNA(VLOOKUP(Site_DB[[#This Row],[Site ID]],SUM_DN!B:X,21,0),0)</f>
        <v>0</v>
      </c>
      <c r="K79" s="262">
        <f>SUMIFS(Logfile_S[Qty],Logfile_S[Material Name],Site_DB[[#Headers],[Pole 7M 4"]],Logfile_S[SiteID],Site_DB[[#This Row],[Site ID]],Logfile_S[Transaction  Type],"outBOUND")</f>
        <v>4</v>
      </c>
      <c r="L79" s="262">
        <f>SUMIFS(Logfile_S[Qty],Logfile_S[Material Name],Site_DB[[#Headers],[Pole 7M 3"]],Logfile_S[SiteID],Site_DB[[#This Row],[Site ID]],Logfile_S[Transaction  Type],"outBOUND")</f>
        <v>3</v>
      </c>
      <c r="M79" s="262">
        <f>SUMIFS(Logfile_S[Qty],Logfile_S[Material Name],Site_DB[[#Headers],[Pole 9M]],Logfile_S[SiteID],Site_DB[[#This Row],[Site ID]],Logfile_S[Transaction  Type],"outBOUND")</f>
        <v>0</v>
      </c>
      <c r="N79" s="262">
        <v>0</v>
      </c>
      <c r="O79" s="262">
        <v>0</v>
      </c>
      <c r="P79" s="262">
        <v>0</v>
      </c>
      <c r="Q79" s="262">
        <v>0</v>
      </c>
      <c r="R79" s="262">
        <v>0</v>
      </c>
      <c r="S79" s="262">
        <v>0</v>
      </c>
      <c r="T79" s="262">
        <v>0</v>
      </c>
      <c r="U79" s="262">
        <v>0</v>
      </c>
      <c r="V79" s="265">
        <v>0</v>
      </c>
      <c r="W79" s="262" t="s">
        <v>4635</v>
      </c>
      <c r="X79" s="227">
        <f>SUMIFS(Logfile_S[Qty],Logfile_S[Material Name],Site_DB[[#Headers],[Pole 7M 2.5"]],Logfile_S[SiteID],Site_DB[[#This Row],[Site ID]],Logfile_S[Transaction  Type],"outBOUND")</f>
        <v>0</v>
      </c>
      <c r="Y79" s="227">
        <f>SUMIFS(Logfile_S[Qty],Logfile_S[Material Name],Site_DB[[#Headers],[Pole 7M 4"]],Logfile_S[SiteID],Site_DB[[#This Row],[Site ID]],Logfile_S[Transaction  Type],"outBOUND")</f>
        <v>4</v>
      </c>
      <c r="Z79" s="227">
        <f>SUMIFS(Logfile_S[Qty],Logfile_S[Material Name],Site_DB[[#Headers],[Pole 7M 3"]],Logfile_S[SiteID],Site_DB[[#This Row],[Site ID]],Logfile_S[Transaction  Type],"outBOUND")</f>
        <v>3</v>
      </c>
      <c r="AA79" s="227">
        <f>SUMIFS(Logfile_S[Qty],Logfile_S[Material Name],Site_DB[[#Headers],[Pole 9M]],Logfile_S[SiteID],Site_DB[[#This Row],[Site ID]],Logfile_S[Transaction  Type],"outBOUND")</f>
        <v>0</v>
      </c>
      <c r="AB79" s="227"/>
      <c r="AC79" s="227"/>
      <c r="AD79" s="227"/>
      <c r="AE79" s="227"/>
      <c r="AF79" s="227"/>
      <c r="AG79" s="227"/>
      <c r="AH79" s="227"/>
      <c r="AI79" s="227"/>
    </row>
    <row r="80" spans="1:35" ht="14.5">
      <c r="A80" s="508">
        <f t="shared" si="2"/>
        <v>76</v>
      </c>
      <c r="B80" s="241" t="s">
        <v>71</v>
      </c>
      <c r="C80" s="241" t="s">
        <v>24</v>
      </c>
      <c r="D80" s="241" t="s">
        <v>1923</v>
      </c>
      <c r="E80" s="241" t="s">
        <v>1924</v>
      </c>
      <c r="F80" s="241" t="s">
        <v>1924</v>
      </c>
      <c r="G80" s="509">
        <v>45497</v>
      </c>
      <c r="H80" s="241" t="s">
        <v>4548</v>
      </c>
      <c r="I80" s="510">
        <f>_xlfn.XLOOKUP(Site_DB[[#This Row],[Site ID]],Logfile_S[SiteID],Logfile_S[Date],"",0,1)</f>
        <v>45553</v>
      </c>
      <c r="J80" s="262">
        <f>_xlfn.IFNA(VLOOKUP(Site_DB[[#This Row],[Site ID]],SUM_DN!B:X,21,0),0)</f>
        <v>0</v>
      </c>
      <c r="K80" s="262">
        <f>SUMIFS(Logfile_S[Qty],Logfile_S[Material Name],Site_DB[[#Headers],[Pole 7M 4"]],Logfile_S[SiteID],Site_DB[[#This Row],[Site ID]],Logfile_S[Transaction  Type],"outBOUND")</f>
        <v>40</v>
      </c>
      <c r="L80" s="262">
        <f>SUMIFS(Logfile_S[Qty],Logfile_S[Material Name],Site_DB[[#Headers],[Pole 7M 3"]],Logfile_S[SiteID],Site_DB[[#This Row],[Site ID]],Logfile_S[Transaction  Type],"outBOUND")</f>
        <v>3</v>
      </c>
      <c r="M80" s="262">
        <f>SUMIFS(Logfile_S[Qty],Logfile_S[Material Name],Site_DB[[#Headers],[Pole 9M]],Logfile_S[SiteID],Site_DB[[#This Row],[Site ID]],Logfile_S[Transaction  Type],"outBOUND")</f>
        <v>2</v>
      </c>
      <c r="N80" s="262">
        <v>3000</v>
      </c>
      <c r="O80" s="262">
        <v>0</v>
      </c>
      <c r="P80" s="262">
        <v>0</v>
      </c>
      <c r="Q80" s="262">
        <v>0</v>
      </c>
      <c r="R80" s="262">
        <v>1</v>
      </c>
      <c r="S80" s="262">
        <v>0</v>
      </c>
      <c r="T80" s="262">
        <v>22</v>
      </c>
      <c r="U80" s="262">
        <v>0</v>
      </c>
      <c r="V80" s="265">
        <v>0</v>
      </c>
      <c r="W80" s="262" t="s">
        <v>4635</v>
      </c>
      <c r="X80" s="227">
        <f>SUMIFS(Logfile_S[Qty],Logfile_S[Material Name],Site_DB[[#Headers],[Pole 7M 2.5"]],Logfile_S[SiteID],Site_DB[[#This Row],[Site ID]],Logfile_S[Transaction  Type],"outBOUND")</f>
        <v>0</v>
      </c>
      <c r="Y80" s="227">
        <f>SUMIFS(Logfile_S[Qty],Logfile_S[Material Name],Site_DB[[#Headers],[Pole 7M 4"]],Logfile_S[SiteID],Site_DB[[#This Row],[Site ID]],Logfile_S[Transaction  Type],"outBOUND")</f>
        <v>40</v>
      </c>
      <c r="Z80" s="227">
        <f>SUMIFS(Logfile_S[Qty],Logfile_S[Material Name],Site_DB[[#Headers],[Pole 7M 3"]],Logfile_S[SiteID],Site_DB[[#This Row],[Site ID]],Logfile_S[Transaction  Type],"outBOUND")</f>
        <v>3</v>
      </c>
      <c r="AA80" s="227">
        <f>SUMIFS(Logfile_S[Qty],Logfile_S[Material Name],Site_DB[[#Headers],[Pole 9M]],Logfile_S[SiteID],Site_DB[[#This Row],[Site ID]],Logfile_S[Transaction  Type],"outBOUND")</f>
        <v>2</v>
      </c>
      <c r="AB80" s="227"/>
      <c r="AC80" s="227"/>
      <c r="AD80" s="227"/>
      <c r="AE80" s="227"/>
      <c r="AF80" s="227"/>
      <c r="AG80" s="227"/>
      <c r="AH80" s="227"/>
      <c r="AI80" s="227"/>
    </row>
    <row r="81" spans="1:35" ht="14.5">
      <c r="A81" s="508">
        <f t="shared" si="2"/>
        <v>77</v>
      </c>
      <c r="B81" s="241" t="s">
        <v>71</v>
      </c>
      <c r="C81" s="241" t="s">
        <v>24</v>
      </c>
      <c r="D81" s="241" t="s">
        <v>2549</v>
      </c>
      <c r="E81" s="241" t="s">
        <v>2550</v>
      </c>
      <c r="F81" s="241" t="s">
        <v>2550</v>
      </c>
      <c r="G81" s="509">
        <v>45497</v>
      </c>
      <c r="H81" s="241" t="s">
        <v>4543</v>
      </c>
      <c r="I81" s="510">
        <f>_xlfn.XLOOKUP(Site_DB[[#This Row],[Site ID]],Logfile_S[SiteID],Logfile_S[Date],"",0,1)</f>
        <v>45640</v>
      </c>
      <c r="J81" s="262">
        <f>_xlfn.IFNA(VLOOKUP(Site_DB[[#This Row],[Site ID]],SUM_DN!B:X,21,0),0)</f>
        <v>0</v>
      </c>
      <c r="K81" s="262">
        <f>SUMIFS(Logfile_S[Qty],Logfile_S[Material Name],Site_DB[[#Headers],[Pole 7M 4"]],Logfile_S[SiteID],Site_DB[[#This Row],[Site ID]],Logfile_S[Transaction  Type],"outBOUND")</f>
        <v>39</v>
      </c>
      <c r="L81" s="262">
        <f>SUMIFS(Logfile_S[Qty],Logfile_S[Material Name],Site_DB[[#Headers],[Pole 7M 3"]],Logfile_S[SiteID],Site_DB[[#This Row],[Site ID]],Logfile_S[Transaction  Type],"outBOUND")</f>
        <v>7</v>
      </c>
      <c r="M81" s="262">
        <f>SUMIFS(Logfile_S[Qty],Logfile_S[Material Name],Site_DB[[#Headers],[Pole 9M]],Logfile_S[SiteID],Site_DB[[#This Row],[Site ID]],Logfile_S[Transaction  Type],"outBOUND")</f>
        <v>0</v>
      </c>
      <c r="N81" s="262">
        <v>0</v>
      </c>
      <c r="O81" s="262">
        <v>0</v>
      </c>
      <c r="P81" s="262">
        <v>0</v>
      </c>
      <c r="Q81" s="262">
        <v>0</v>
      </c>
      <c r="R81" s="262">
        <v>0</v>
      </c>
      <c r="S81" s="262">
        <v>0</v>
      </c>
      <c r="T81" s="262">
        <v>6</v>
      </c>
      <c r="U81" s="262">
        <v>0</v>
      </c>
      <c r="V81" s="265">
        <v>0</v>
      </c>
      <c r="W81" s="262" t="s">
        <v>4635</v>
      </c>
      <c r="X81" s="227">
        <f>SUMIFS(Logfile_S[Qty],Logfile_S[Material Name],Site_DB[[#Headers],[Pole 7M 2.5"]],Logfile_S[SiteID],Site_DB[[#This Row],[Site ID]],Logfile_S[Transaction  Type],"outBOUND")</f>
        <v>0</v>
      </c>
      <c r="Y81" s="227">
        <f>SUMIFS(Logfile_S[Qty],Logfile_S[Material Name],Site_DB[[#Headers],[Pole 7M 4"]],Logfile_S[SiteID],Site_DB[[#This Row],[Site ID]],Logfile_S[Transaction  Type],"outBOUND")</f>
        <v>39</v>
      </c>
      <c r="Z81" s="227">
        <f>SUMIFS(Logfile_S[Qty],Logfile_S[Material Name],Site_DB[[#Headers],[Pole 7M 3"]],Logfile_S[SiteID],Site_DB[[#This Row],[Site ID]],Logfile_S[Transaction  Type],"outBOUND")</f>
        <v>7</v>
      </c>
      <c r="AA81" s="227">
        <f>SUMIFS(Logfile_S[Qty],Logfile_S[Material Name],Site_DB[[#Headers],[Pole 9M]],Logfile_S[SiteID],Site_DB[[#This Row],[Site ID]],Logfile_S[Transaction  Type],"outBOUND")</f>
        <v>0</v>
      </c>
      <c r="AB81" s="227"/>
      <c r="AC81" s="227"/>
      <c r="AD81" s="227"/>
      <c r="AE81" s="227"/>
      <c r="AF81" s="227"/>
      <c r="AG81" s="227"/>
      <c r="AH81" s="227"/>
      <c r="AI81" s="227"/>
    </row>
    <row r="82" spans="1:35" ht="14.5">
      <c r="A82" s="508">
        <f t="shared" si="2"/>
        <v>78</v>
      </c>
      <c r="B82" s="241" t="s">
        <v>71</v>
      </c>
      <c r="C82" s="241" t="s">
        <v>24</v>
      </c>
      <c r="D82" s="241" t="s">
        <v>2025</v>
      </c>
      <c r="E82" s="241" t="s">
        <v>2026</v>
      </c>
      <c r="F82" s="241" t="s">
        <v>4578</v>
      </c>
      <c r="G82" s="509">
        <v>45520</v>
      </c>
      <c r="H82" s="241" t="s">
        <v>4543</v>
      </c>
      <c r="I82" s="510">
        <f>_xlfn.XLOOKUP(Site_DB[[#This Row],[Site ID]],Logfile_S[SiteID],Logfile_S[Date],"",0,1)</f>
        <v>45540</v>
      </c>
      <c r="J82" s="262">
        <f>_xlfn.IFNA(VLOOKUP(Site_DB[[#This Row],[Site ID]],SUM_DN!B:X,21,0),0)</f>
        <v>0</v>
      </c>
      <c r="K82" s="262">
        <f>SUMIFS(Logfile_S[Qty],Logfile_S[Material Name],Site_DB[[#Headers],[Pole 7M 4"]],Logfile_S[SiteID],Site_DB[[#This Row],[Site ID]],Logfile_S[Transaction  Type],"outBOUND")</f>
        <v>15</v>
      </c>
      <c r="L82" s="262">
        <f>SUMIFS(Logfile_S[Qty],Logfile_S[Material Name],Site_DB[[#Headers],[Pole 7M 3"]],Logfile_S[SiteID],Site_DB[[#This Row],[Site ID]],Logfile_S[Transaction  Type],"outBOUND")</f>
        <v>0</v>
      </c>
      <c r="M82" s="262">
        <f>SUMIFS(Logfile_S[Qty],Logfile_S[Material Name],Site_DB[[#Headers],[Pole 9M]],Logfile_S[SiteID],Site_DB[[#This Row],[Site ID]],Logfile_S[Transaction  Type],"outBOUND")</f>
        <v>0</v>
      </c>
      <c r="N82" s="262">
        <v>0</v>
      </c>
      <c r="O82" s="262">
        <v>0</v>
      </c>
      <c r="P82" s="262">
        <v>0</v>
      </c>
      <c r="Q82" s="262">
        <v>0</v>
      </c>
      <c r="R82" s="262">
        <v>0</v>
      </c>
      <c r="S82" s="262">
        <v>0</v>
      </c>
      <c r="T82" s="262">
        <v>7</v>
      </c>
      <c r="U82" s="262">
        <v>0</v>
      </c>
      <c r="V82" s="265">
        <v>0</v>
      </c>
      <c r="W82" s="262" t="s">
        <v>4635</v>
      </c>
      <c r="X82" s="227">
        <f>SUMIFS(Logfile_S[Qty],Logfile_S[Material Name],Site_DB[[#Headers],[Pole 7M 2.5"]],Logfile_S[SiteID],Site_DB[[#This Row],[Site ID]],Logfile_S[Transaction  Type],"outBOUND")</f>
        <v>0</v>
      </c>
      <c r="Y82" s="227">
        <f>SUMIFS(Logfile_S[Qty],Logfile_S[Material Name],Site_DB[[#Headers],[Pole 7M 4"]],Logfile_S[SiteID],Site_DB[[#This Row],[Site ID]],Logfile_S[Transaction  Type],"outBOUND")</f>
        <v>15</v>
      </c>
      <c r="Z82" s="227">
        <f>SUMIFS(Logfile_S[Qty],Logfile_S[Material Name],Site_DB[[#Headers],[Pole 7M 3"]],Logfile_S[SiteID],Site_DB[[#This Row],[Site ID]],Logfile_S[Transaction  Type],"outBOUND")</f>
        <v>0</v>
      </c>
      <c r="AA82" s="227">
        <f>SUMIFS(Logfile_S[Qty],Logfile_S[Material Name],Site_DB[[#Headers],[Pole 9M]],Logfile_S[SiteID],Site_DB[[#This Row],[Site ID]],Logfile_S[Transaction  Type],"outBOUND")</f>
        <v>0</v>
      </c>
      <c r="AB82" s="227"/>
      <c r="AC82" s="227"/>
      <c r="AD82" s="227"/>
      <c r="AE82" s="227"/>
      <c r="AF82" s="227"/>
      <c r="AG82" s="227"/>
      <c r="AH82" s="227"/>
      <c r="AI82" s="227"/>
    </row>
    <row r="83" spans="1:35" ht="14.5">
      <c r="A83" s="508">
        <f t="shared" si="2"/>
        <v>79</v>
      </c>
      <c r="B83" s="241" t="s">
        <v>71</v>
      </c>
      <c r="C83" s="241" t="s">
        <v>24</v>
      </c>
      <c r="D83" s="241" t="s">
        <v>2160</v>
      </c>
      <c r="E83" s="241" t="s">
        <v>2161</v>
      </c>
      <c r="F83" s="241" t="s">
        <v>2161</v>
      </c>
      <c r="G83" s="509">
        <v>45546</v>
      </c>
      <c r="H83" s="241" t="s">
        <v>4543</v>
      </c>
      <c r="I83" s="510">
        <f>_xlfn.XLOOKUP(Site_DB[[#This Row],[Site ID]],Logfile_S[SiteID],Logfile_S[Date],"",0,1)</f>
        <v>45561</v>
      </c>
      <c r="J83" s="262">
        <f>_xlfn.IFNA(VLOOKUP(Site_DB[[#This Row],[Site ID]],SUM_DN!B:X,21,0),0)</f>
        <v>0</v>
      </c>
      <c r="K83" s="262">
        <f>SUMIFS(Logfile_S[Qty],Logfile_S[Material Name],Site_DB[[#Headers],[Pole 7M 4"]],Logfile_S[SiteID],Site_DB[[#This Row],[Site ID]],Logfile_S[Transaction  Type],"outBOUND")</f>
        <v>0</v>
      </c>
      <c r="L83" s="262">
        <f>SUMIFS(Logfile_S[Qty],Logfile_S[Material Name],Site_DB[[#Headers],[Pole 7M 3"]],Logfile_S[SiteID],Site_DB[[#This Row],[Site ID]],Logfile_S[Transaction  Type],"outBOUND")</f>
        <v>0</v>
      </c>
      <c r="M83" s="262">
        <f>SUMIFS(Logfile_S[Qty],Logfile_S[Material Name],Site_DB[[#Headers],[Pole 9M]],Logfile_S[SiteID],Site_DB[[#This Row],[Site ID]],Logfile_S[Transaction  Type],"outBOUND")</f>
        <v>0</v>
      </c>
      <c r="N83" s="262">
        <v>0</v>
      </c>
      <c r="O83" s="262">
        <v>0</v>
      </c>
      <c r="P83" s="262">
        <v>0</v>
      </c>
      <c r="Q83" s="262">
        <v>0</v>
      </c>
      <c r="R83" s="262">
        <v>0</v>
      </c>
      <c r="S83" s="262">
        <v>0</v>
      </c>
      <c r="T83" s="262">
        <v>10</v>
      </c>
      <c r="U83" s="262">
        <v>0</v>
      </c>
      <c r="V83" s="265">
        <v>0</v>
      </c>
      <c r="W83" s="262" t="s">
        <v>4635</v>
      </c>
      <c r="X83" s="227">
        <f>SUMIFS(Logfile_S[Qty],Logfile_S[Material Name],Site_DB[[#Headers],[Pole 7M 2.5"]],Logfile_S[SiteID],Site_DB[[#This Row],[Site ID]],Logfile_S[Transaction  Type],"outBOUND")</f>
        <v>0</v>
      </c>
      <c r="Y83" s="227">
        <f>SUMIFS(Logfile_S[Qty],Logfile_S[Material Name],Site_DB[[#Headers],[Pole 7M 4"]],Logfile_S[SiteID],Site_DB[[#This Row],[Site ID]],Logfile_S[Transaction  Type],"outBOUND")</f>
        <v>0</v>
      </c>
      <c r="Z83" s="227">
        <f>SUMIFS(Logfile_S[Qty],Logfile_S[Material Name],Site_DB[[#Headers],[Pole 7M 3"]],Logfile_S[SiteID],Site_DB[[#This Row],[Site ID]],Logfile_S[Transaction  Type],"outBOUND")</f>
        <v>0</v>
      </c>
      <c r="AA83" s="227">
        <f>SUMIFS(Logfile_S[Qty],Logfile_S[Material Name],Site_DB[[#Headers],[Pole 9M]],Logfile_S[SiteID],Site_DB[[#This Row],[Site ID]],Logfile_S[Transaction  Type],"outBOUND")</f>
        <v>0</v>
      </c>
      <c r="AB83" s="227"/>
      <c r="AC83" s="227"/>
      <c r="AD83" s="227"/>
      <c r="AE83" s="227"/>
      <c r="AF83" s="227"/>
      <c r="AG83" s="227"/>
      <c r="AH83" s="227"/>
      <c r="AI83" s="227"/>
    </row>
    <row r="84" spans="1:35" ht="14.5">
      <c r="A84" s="508">
        <f t="shared" si="2"/>
        <v>80</v>
      </c>
      <c r="B84" s="241" t="s">
        <v>71</v>
      </c>
      <c r="C84" s="241" t="s">
        <v>24</v>
      </c>
      <c r="D84" s="241" t="s">
        <v>2668</v>
      </c>
      <c r="E84" s="241" t="s">
        <v>2669</v>
      </c>
      <c r="F84" s="241" t="s">
        <v>2669</v>
      </c>
      <c r="G84" s="509">
        <v>45572</v>
      </c>
      <c r="H84" s="241" t="s">
        <v>4542</v>
      </c>
      <c r="I84" s="510">
        <f>_xlfn.XLOOKUP(Site_DB[[#This Row],[Site ID]],Logfile_S[SiteID],Logfile_S[Date],"",0,1)</f>
        <v>45734</v>
      </c>
      <c r="J84" s="262">
        <f>_xlfn.IFNA(VLOOKUP(Site_DB[[#This Row],[Site ID]],SUM_DN!B:X,21,0),0)</f>
        <v>0</v>
      </c>
      <c r="K84" s="262">
        <f>SUMIFS(Logfile_S[Qty],Logfile_S[Material Name],Site_DB[[#Headers],[Pole 7M 4"]],Logfile_S[SiteID],Site_DB[[#This Row],[Site ID]],Logfile_S[Transaction  Type],"outBOUND")</f>
        <v>0</v>
      </c>
      <c r="L84" s="262">
        <f>SUMIFS(Logfile_S[Qty],Logfile_S[Material Name],Site_DB[[#Headers],[Pole 7M 3"]],Logfile_S[SiteID],Site_DB[[#This Row],[Site ID]],Logfile_S[Transaction  Type],"outBOUND")</f>
        <v>0</v>
      </c>
      <c r="M84" s="262">
        <f>SUMIFS(Logfile_S[Qty],Logfile_S[Material Name],Site_DB[[#Headers],[Pole 9M]],Logfile_S[SiteID],Site_DB[[#This Row],[Site ID]],Logfile_S[Transaction  Type],"outBOUND")</f>
        <v>0</v>
      </c>
      <c r="N84" s="262">
        <v>0</v>
      </c>
      <c r="O84" s="262">
        <v>0</v>
      </c>
      <c r="P84" s="262">
        <v>0</v>
      </c>
      <c r="Q84" s="262">
        <v>0</v>
      </c>
      <c r="R84" s="262">
        <v>1</v>
      </c>
      <c r="S84" s="262">
        <v>0</v>
      </c>
      <c r="T84" s="262">
        <v>15</v>
      </c>
      <c r="U84" s="262">
        <v>0</v>
      </c>
      <c r="V84" s="265">
        <v>0</v>
      </c>
      <c r="W84" s="262" t="s">
        <v>4635</v>
      </c>
      <c r="X84" s="227">
        <f>SUMIFS(Logfile_S[Qty],Logfile_S[Material Name],Site_DB[[#Headers],[Pole 7M 2.5"]],Logfile_S[SiteID],Site_DB[[#This Row],[Site ID]],Logfile_S[Transaction  Type],"outBOUND")</f>
        <v>0</v>
      </c>
      <c r="Y84" s="227">
        <f>SUMIFS(Logfile_S[Qty],Logfile_S[Material Name],Site_DB[[#Headers],[Pole 7M 4"]],Logfile_S[SiteID],Site_DB[[#This Row],[Site ID]],Logfile_S[Transaction  Type],"outBOUND")</f>
        <v>0</v>
      </c>
      <c r="Z84" s="227">
        <f>SUMIFS(Logfile_S[Qty],Logfile_S[Material Name],Site_DB[[#Headers],[Pole 7M 3"]],Logfile_S[SiteID],Site_DB[[#This Row],[Site ID]],Logfile_S[Transaction  Type],"outBOUND")</f>
        <v>0</v>
      </c>
      <c r="AA84" s="227">
        <f>SUMIFS(Logfile_S[Qty],Logfile_S[Material Name],Site_DB[[#Headers],[Pole 9M]],Logfile_S[SiteID],Site_DB[[#This Row],[Site ID]],Logfile_S[Transaction  Type],"outBOUND")</f>
        <v>0</v>
      </c>
      <c r="AB84" s="227"/>
      <c r="AC84" s="227"/>
      <c r="AD84" s="227"/>
      <c r="AE84" s="227"/>
      <c r="AF84" s="227"/>
      <c r="AG84" s="227"/>
      <c r="AH84" s="227"/>
      <c r="AI84" s="227"/>
    </row>
    <row r="85" spans="1:35" ht="14.5">
      <c r="A85" s="508">
        <f t="shared" si="2"/>
        <v>81</v>
      </c>
      <c r="B85" s="241" t="s">
        <v>71</v>
      </c>
      <c r="C85" s="241" t="s">
        <v>24</v>
      </c>
      <c r="D85" s="241" t="s">
        <v>2543</v>
      </c>
      <c r="E85" s="241" t="s">
        <v>2544</v>
      </c>
      <c r="F85" s="241" t="s">
        <v>4593</v>
      </c>
      <c r="G85" s="509">
        <v>45572</v>
      </c>
      <c r="H85" s="241" t="s">
        <v>4543</v>
      </c>
      <c r="I85" s="510">
        <f>_xlfn.XLOOKUP(Site_DB[[#This Row],[Site ID]],Logfile_S[SiteID],Logfile_S[Date],"",0,1)</f>
        <v>45644</v>
      </c>
      <c r="J85" s="262">
        <f>_xlfn.IFNA(VLOOKUP(Site_DB[[#This Row],[Site ID]],SUM_DN!B:X,21,0),0)</f>
        <v>0</v>
      </c>
      <c r="K85" s="262">
        <f>SUMIFS(Logfile_S[Qty],Logfile_S[Material Name],Site_DB[[#Headers],[Pole 7M 4"]],Logfile_S[SiteID],Site_DB[[#This Row],[Site ID]],Logfile_S[Transaction  Type],"outBOUND")</f>
        <v>0</v>
      </c>
      <c r="L85" s="262">
        <f>SUMIFS(Logfile_S[Qty],Logfile_S[Material Name],Site_DB[[#Headers],[Pole 7M 3"]],Logfile_S[SiteID],Site_DB[[#This Row],[Site ID]],Logfile_S[Transaction  Type],"outBOUND")</f>
        <v>3</v>
      </c>
      <c r="M85" s="262">
        <f>SUMIFS(Logfile_S[Qty],Logfile_S[Material Name],Site_DB[[#Headers],[Pole 9M]],Logfile_S[SiteID],Site_DB[[#This Row],[Site ID]],Logfile_S[Transaction  Type],"outBOUND")</f>
        <v>0</v>
      </c>
      <c r="N85" s="262">
        <v>3000</v>
      </c>
      <c r="O85" s="262">
        <v>0</v>
      </c>
      <c r="P85" s="262">
        <v>0</v>
      </c>
      <c r="Q85" s="262">
        <v>0</v>
      </c>
      <c r="R85" s="262">
        <v>1</v>
      </c>
      <c r="S85" s="262">
        <v>0</v>
      </c>
      <c r="T85" s="262">
        <v>13</v>
      </c>
      <c r="U85" s="262">
        <v>0</v>
      </c>
      <c r="V85" s="265">
        <v>0</v>
      </c>
      <c r="W85" s="262" t="s">
        <v>4635</v>
      </c>
      <c r="X85" s="227">
        <f>SUMIFS(Logfile_S[Qty],Logfile_S[Material Name],Site_DB[[#Headers],[Pole 7M 2.5"]],Logfile_S[SiteID],Site_DB[[#This Row],[Site ID]],Logfile_S[Transaction  Type],"outBOUND")</f>
        <v>0</v>
      </c>
      <c r="Y85" s="227">
        <f>SUMIFS(Logfile_S[Qty],Logfile_S[Material Name],Site_DB[[#Headers],[Pole 7M 4"]],Logfile_S[SiteID],Site_DB[[#This Row],[Site ID]],Logfile_S[Transaction  Type],"outBOUND")</f>
        <v>0</v>
      </c>
      <c r="Z85" s="227">
        <f>SUMIFS(Logfile_S[Qty],Logfile_S[Material Name],Site_DB[[#Headers],[Pole 7M 3"]],Logfile_S[SiteID],Site_DB[[#This Row],[Site ID]],Logfile_S[Transaction  Type],"outBOUND")</f>
        <v>3</v>
      </c>
      <c r="AA85" s="227">
        <f>SUMIFS(Logfile_S[Qty],Logfile_S[Material Name],Site_DB[[#Headers],[Pole 9M]],Logfile_S[SiteID],Site_DB[[#This Row],[Site ID]],Logfile_S[Transaction  Type],"outBOUND")</f>
        <v>0</v>
      </c>
      <c r="AB85" s="227"/>
      <c r="AC85" s="227"/>
      <c r="AD85" s="227"/>
      <c r="AE85" s="227"/>
      <c r="AF85" s="227"/>
      <c r="AG85" s="227"/>
      <c r="AH85" s="227"/>
      <c r="AI85" s="227"/>
    </row>
    <row r="86" spans="1:35" ht="14.5">
      <c r="A86" s="508">
        <f t="shared" si="2"/>
        <v>82</v>
      </c>
      <c r="B86" s="241" t="s">
        <v>71</v>
      </c>
      <c r="C86" s="241" t="s">
        <v>24</v>
      </c>
      <c r="D86" s="241" t="s">
        <v>2535</v>
      </c>
      <c r="E86" s="241" t="s">
        <v>2536</v>
      </c>
      <c r="F86" s="241" t="s">
        <v>4592</v>
      </c>
      <c r="G86" s="509">
        <v>45572</v>
      </c>
      <c r="H86" s="241" t="s">
        <v>4543</v>
      </c>
      <c r="I86" s="510">
        <f>_xlfn.XLOOKUP(Site_DB[[#This Row],[Site ID]],Logfile_S[SiteID],Logfile_S[Date],"",0,1)</f>
        <v>45640</v>
      </c>
      <c r="J86" s="262">
        <f>_xlfn.IFNA(VLOOKUP(Site_DB[[#This Row],[Site ID]],SUM_DN!B:X,21,0),0)</f>
        <v>0</v>
      </c>
      <c r="K86" s="262">
        <f>SUMIFS(Logfile_S[Qty],Logfile_S[Material Name],Site_DB[[#Headers],[Pole 7M 4"]],Logfile_S[SiteID],Site_DB[[#This Row],[Site ID]],Logfile_S[Transaction  Type],"outBOUND")</f>
        <v>76</v>
      </c>
      <c r="L86" s="262">
        <f>SUMIFS(Logfile_S[Qty],Logfile_S[Material Name],Site_DB[[#Headers],[Pole 7M 3"]],Logfile_S[SiteID],Site_DB[[#This Row],[Site ID]],Logfile_S[Transaction  Type],"outBOUND")</f>
        <v>8</v>
      </c>
      <c r="M86" s="262">
        <f>SUMIFS(Logfile_S[Qty],Logfile_S[Material Name],Site_DB[[#Headers],[Pole 9M]],Logfile_S[SiteID],Site_DB[[#This Row],[Site ID]],Logfile_S[Transaction  Type],"outBOUND")</f>
        <v>0</v>
      </c>
      <c r="N86" s="262">
        <v>3000</v>
      </c>
      <c r="O86" s="262">
        <v>0</v>
      </c>
      <c r="P86" s="262">
        <v>0</v>
      </c>
      <c r="Q86" s="262">
        <v>0</v>
      </c>
      <c r="R86" s="262">
        <v>1</v>
      </c>
      <c r="S86" s="262">
        <v>0</v>
      </c>
      <c r="T86" s="262">
        <v>18</v>
      </c>
      <c r="U86" s="262">
        <v>0</v>
      </c>
      <c r="V86" s="265">
        <v>0</v>
      </c>
      <c r="W86" s="262" t="s">
        <v>4635</v>
      </c>
      <c r="X86" s="227">
        <f>SUMIFS(Logfile_S[Qty],Logfile_S[Material Name],Site_DB[[#Headers],[Pole 7M 2.5"]],Logfile_S[SiteID],Site_DB[[#This Row],[Site ID]],Logfile_S[Transaction  Type],"outBOUND")</f>
        <v>0</v>
      </c>
      <c r="Y86" s="227">
        <f>SUMIFS(Logfile_S[Qty],Logfile_S[Material Name],Site_DB[[#Headers],[Pole 7M 4"]],Logfile_S[SiteID],Site_DB[[#This Row],[Site ID]],Logfile_S[Transaction  Type],"outBOUND")</f>
        <v>76</v>
      </c>
      <c r="Z86" s="227">
        <f>SUMIFS(Logfile_S[Qty],Logfile_S[Material Name],Site_DB[[#Headers],[Pole 7M 3"]],Logfile_S[SiteID],Site_DB[[#This Row],[Site ID]],Logfile_S[Transaction  Type],"outBOUND")</f>
        <v>8</v>
      </c>
      <c r="AA86" s="227">
        <f>SUMIFS(Logfile_S[Qty],Logfile_S[Material Name],Site_DB[[#Headers],[Pole 9M]],Logfile_S[SiteID],Site_DB[[#This Row],[Site ID]],Logfile_S[Transaction  Type],"outBOUND")</f>
        <v>0</v>
      </c>
      <c r="AB86" s="227"/>
      <c r="AC86" s="227"/>
      <c r="AD86" s="227"/>
      <c r="AE86" s="227"/>
      <c r="AF86" s="227"/>
      <c r="AG86" s="227"/>
      <c r="AH86" s="227"/>
      <c r="AI86" s="227"/>
    </row>
    <row r="87" spans="1:35" ht="14.5">
      <c r="A87" s="508">
        <f t="shared" si="2"/>
        <v>83</v>
      </c>
      <c r="B87" s="241" t="s">
        <v>71</v>
      </c>
      <c r="C87" s="241" t="s">
        <v>24</v>
      </c>
      <c r="D87" s="241" t="s">
        <v>2648</v>
      </c>
      <c r="E87" s="241" t="s">
        <v>2649</v>
      </c>
      <c r="F87" s="241" t="s">
        <v>2649</v>
      </c>
      <c r="G87" s="509">
        <v>45572</v>
      </c>
      <c r="H87" s="241" t="s">
        <v>4543</v>
      </c>
      <c r="I87" s="510">
        <f>_xlfn.XLOOKUP(Site_DB[[#This Row],[Site ID]],Logfile_S[SiteID],Logfile_S[Date],"",0,1)</f>
        <v>45707</v>
      </c>
      <c r="J87" s="262">
        <f>_xlfn.IFNA(VLOOKUP(Site_DB[[#This Row],[Site ID]],SUM_DN!B:X,21,0),0)</f>
        <v>0</v>
      </c>
      <c r="K87" s="262">
        <f>SUMIFS(Logfile_S[Qty],Logfile_S[Material Name],Site_DB[[#Headers],[Pole 7M 4"]],Logfile_S[SiteID],Site_DB[[#This Row],[Site ID]],Logfile_S[Transaction  Type],"outBOUND")</f>
        <v>12</v>
      </c>
      <c r="L87" s="262">
        <f>SUMIFS(Logfile_S[Qty],Logfile_S[Material Name],Site_DB[[#Headers],[Pole 7M 3"]],Logfile_S[SiteID],Site_DB[[#This Row],[Site ID]],Logfile_S[Transaction  Type],"outBOUND")</f>
        <v>56</v>
      </c>
      <c r="M87" s="262">
        <f>SUMIFS(Logfile_S[Qty],Logfile_S[Material Name],Site_DB[[#Headers],[Pole 9M]],Logfile_S[SiteID],Site_DB[[#This Row],[Site ID]],Logfile_S[Transaction  Type],"outBOUND")</f>
        <v>2</v>
      </c>
      <c r="N87" s="262">
        <v>3000</v>
      </c>
      <c r="O87" s="262">
        <v>3000</v>
      </c>
      <c r="P87" s="262">
        <v>0</v>
      </c>
      <c r="Q87" s="262">
        <v>0</v>
      </c>
      <c r="R87" s="262">
        <v>1</v>
      </c>
      <c r="S87" s="262">
        <v>0</v>
      </c>
      <c r="T87" s="262">
        <v>20</v>
      </c>
      <c r="U87" s="262">
        <v>0</v>
      </c>
      <c r="V87" s="265">
        <v>0</v>
      </c>
      <c r="W87" s="262" t="s">
        <v>4635</v>
      </c>
      <c r="X87" s="227">
        <f>SUMIFS(Logfile_S[Qty],Logfile_S[Material Name],Site_DB[[#Headers],[Pole 7M 2.5"]],Logfile_S[SiteID],Site_DB[[#This Row],[Site ID]],Logfile_S[Transaction  Type],"outBOUND")</f>
        <v>0</v>
      </c>
      <c r="Y87" s="227">
        <f>SUMIFS(Logfile_S[Qty],Logfile_S[Material Name],Site_DB[[#Headers],[Pole 7M 4"]],Logfile_S[SiteID],Site_DB[[#This Row],[Site ID]],Logfile_S[Transaction  Type],"outBOUND")</f>
        <v>12</v>
      </c>
      <c r="Z87" s="227">
        <f>SUMIFS(Logfile_S[Qty],Logfile_S[Material Name],Site_DB[[#Headers],[Pole 7M 3"]],Logfile_S[SiteID],Site_DB[[#This Row],[Site ID]],Logfile_S[Transaction  Type],"outBOUND")</f>
        <v>56</v>
      </c>
      <c r="AA87" s="227">
        <f>SUMIFS(Logfile_S[Qty],Logfile_S[Material Name],Site_DB[[#Headers],[Pole 9M]],Logfile_S[SiteID],Site_DB[[#This Row],[Site ID]],Logfile_S[Transaction  Type],"outBOUND")</f>
        <v>2</v>
      </c>
      <c r="AB87" s="227"/>
      <c r="AC87" s="227"/>
      <c r="AD87" s="227"/>
      <c r="AE87" s="227"/>
      <c r="AF87" s="227"/>
      <c r="AG87" s="227"/>
      <c r="AH87" s="227"/>
      <c r="AI87" s="227"/>
    </row>
    <row r="88" spans="1:35" ht="14.5">
      <c r="A88" s="508">
        <f t="shared" si="2"/>
        <v>84</v>
      </c>
      <c r="B88" s="241" t="s">
        <v>71</v>
      </c>
      <c r="C88" s="241" t="s">
        <v>24</v>
      </c>
      <c r="D88" s="241" t="s">
        <v>2322</v>
      </c>
      <c r="E88" s="241" t="s">
        <v>2323</v>
      </c>
      <c r="F88" s="241" t="s">
        <v>2323</v>
      </c>
      <c r="G88" s="512">
        <v>45580</v>
      </c>
      <c r="H88" s="241" t="s">
        <v>4546</v>
      </c>
      <c r="I88" s="510">
        <f>_xlfn.XLOOKUP(Site_DB[[#This Row],[Site ID]],Logfile_S[SiteID],Logfile_S[Date],"",0,1)</f>
        <v>45583</v>
      </c>
      <c r="J88" s="262">
        <f>_xlfn.IFNA(VLOOKUP(Site_DB[[#This Row],[Site ID]],SUM_DN!B:X,21,0),0)</f>
        <v>0</v>
      </c>
      <c r="K88" s="262">
        <f>SUMIFS(Logfile_S[Qty],Logfile_S[Material Name],Site_DB[[#Headers],[Pole 7M 4"]],Logfile_S[SiteID],Site_DB[[#This Row],[Site ID]],Logfile_S[Transaction  Type],"outBOUND")</f>
        <v>2</v>
      </c>
      <c r="L88" s="262">
        <f>SUMIFS(Logfile_S[Qty],Logfile_S[Material Name],Site_DB[[#Headers],[Pole 7M 3"]],Logfile_S[SiteID],Site_DB[[#This Row],[Site ID]],Logfile_S[Transaction  Type],"outBOUND")</f>
        <v>0</v>
      </c>
      <c r="M88" s="262">
        <f>SUMIFS(Logfile_S[Qty],Logfile_S[Material Name],Site_DB[[#Headers],[Pole 9M]],Logfile_S[SiteID],Site_DB[[#This Row],[Site ID]],Logfile_S[Transaction  Type],"outBOUND")</f>
        <v>0</v>
      </c>
      <c r="N88" s="262">
        <v>0</v>
      </c>
      <c r="O88" s="262">
        <v>0</v>
      </c>
      <c r="P88" s="262">
        <v>0</v>
      </c>
      <c r="Q88" s="262">
        <v>6000</v>
      </c>
      <c r="R88" s="262">
        <v>0</v>
      </c>
      <c r="S88" s="262">
        <v>0</v>
      </c>
      <c r="T88" s="262">
        <v>0</v>
      </c>
      <c r="U88" s="262">
        <v>3</v>
      </c>
      <c r="V88" s="265">
        <v>0</v>
      </c>
      <c r="W88" s="262" t="s">
        <v>4636</v>
      </c>
      <c r="X88" s="227">
        <f>SUMIFS(Logfile_S[Qty],Logfile_S[Material Name],Site_DB[[#Headers],[Pole 7M 2.5"]],Logfile_S[SiteID],Site_DB[[#This Row],[Site ID]],Logfile_S[Transaction  Type],"outBOUND")</f>
        <v>0</v>
      </c>
      <c r="Y88" s="227">
        <f>SUMIFS(Logfile_S[Qty],Logfile_S[Material Name],Site_DB[[#Headers],[Pole 7M 4"]],Logfile_S[SiteID],Site_DB[[#This Row],[Site ID]],Logfile_S[Transaction  Type],"outBOUND")</f>
        <v>2</v>
      </c>
      <c r="Z88" s="227">
        <f>SUMIFS(Logfile_S[Qty],Logfile_S[Material Name],Site_DB[[#Headers],[Pole 7M 3"]],Logfile_S[SiteID],Site_DB[[#This Row],[Site ID]],Logfile_S[Transaction  Type],"outBOUND")</f>
        <v>0</v>
      </c>
      <c r="AA88" s="227">
        <f>SUMIFS(Logfile_S[Qty],Logfile_S[Material Name],Site_DB[[#Headers],[Pole 9M]],Logfile_S[SiteID],Site_DB[[#This Row],[Site ID]],Logfile_S[Transaction  Type],"outBOUND")</f>
        <v>0</v>
      </c>
      <c r="AB88" s="227"/>
      <c r="AC88" s="227"/>
      <c r="AD88" s="227"/>
      <c r="AE88" s="227"/>
      <c r="AF88" s="227"/>
      <c r="AG88" s="227"/>
      <c r="AH88" s="227"/>
      <c r="AI88" s="227"/>
    </row>
    <row r="89" spans="1:35" ht="14.5">
      <c r="A89" s="508">
        <f t="shared" si="2"/>
        <v>85</v>
      </c>
      <c r="B89" s="241" t="s">
        <v>71</v>
      </c>
      <c r="C89" s="241" t="s">
        <v>24</v>
      </c>
      <c r="D89" s="241" t="s">
        <v>2354</v>
      </c>
      <c r="E89" s="241" t="s">
        <v>2355</v>
      </c>
      <c r="F89" s="241" t="s">
        <v>2355</v>
      </c>
      <c r="G89" s="512">
        <v>45580</v>
      </c>
      <c r="H89" s="241" t="s">
        <v>4546</v>
      </c>
      <c r="I89" s="510">
        <f>_xlfn.XLOOKUP(Site_DB[[#This Row],[Site ID]],Logfile_S[SiteID],Logfile_S[Date],"",0,1)</f>
        <v>45590</v>
      </c>
      <c r="J89" s="262">
        <f>_xlfn.IFNA(VLOOKUP(Site_DB[[#This Row],[Site ID]],SUM_DN!B:X,21,0),0)</f>
        <v>0</v>
      </c>
      <c r="K89" s="262">
        <f>SUMIFS(Logfile_S[Qty],Logfile_S[Material Name],Site_DB[[#Headers],[Pole 7M 4"]],Logfile_S[SiteID],Site_DB[[#This Row],[Site ID]],Logfile_S[Transaction  Type],"outBOUND")</f>
        <v>4</v>
      </c>
      <c r="L89" s="262">
        <f>SUMIFS(Logfile_S[Qty],Logfile_S[Material Name],Site_DB[[#Headers],[Pole 7M 3"]],Logfile_S[SiteID],Site_DB[[#This Row],[Site ID]],Logfile_S[Transaction  Type],"outBOUND")</f>
        <v>0</v>
      </c>
      <c r="M89" s="262">
        <f>SUMIFS(Logfile_S[Qty],Logfile_S[Material Name],Site_DB[[#Headers],[Pole 9M]],Logfile_S[SiteID],Site_DB[[#This Row],[Site ID]],Logfile_S[Transaction  Type],"outBOUND")</f>
        <v>0</v>
      </c>
      <c r="N89" s="262">
        <v>0</v>
      </c>
      <c r="O89" s="262">
        <v>0</v>
      </c>
      <c r="P89" s="262">
        <v>0</v>
      </c>
      <c r="Q89" s="262">
        <v>3000</v>
      </c>
      <c r="R89" s="262">
        <v>0</v>
      </c>
      <c r="S89" s="262">
        <v>0</v>
      </c>
      <c r="T89" s="262">
        <v>0</v>
      </c>
      <c r="U89" s="262">
        <v>1</v>
      </c>
      <c r="V89" s="265">
        <v>0</v>
      </c>
      <c r="W89" s="262" t="s">
        <v>4635</v>
      </c>
      <c r="X89" s="227">
        <f>SUMIFS(Logfile_S[Qty],Logfile_S[Material Name],Site_DB[[#Headers],[Pole 7M 2.5"]],Logfile_S[SiteID],Site_DB[[#This Row],[Site ID]],Logfile_S[Transaction  Type],"outBOUND")</f>
        <v>0</v>
      </c>
      <c r="Y89" s="227">
        <f>SUMIFS(Logfile_S[Qty],Logfile_S[Material Name],Site_DB[[#Headers],[Pole 7M 4"]],Logfile_S[SiteID],Site_DB[[#This Row],[Site ID]],Logfile_S[Transaction  Type],"outBOUND")</f>
        <v>4</v>
      </c>
      <c r="Z89" s="227">
        <f>SUMIFS(Logfile_S[Qty],Logfile_S[Material Name],Site_DB[[#Headers],[Pole 7M 3"]],Logfile_S[SiteID],Site_DB[[#This Row],[Site ID]],Logfile_S[Transaction  Type],"outBOUND")</f>
        <v>0</v>
      </c>
      <c r="AA89" s="227">
        <f>SUMIFS(Logfile_S[Qty],Logfile_S[Material Name],Site_DB[[#Headers],[Pole 9M]],Logfile_S[SiteID],Site_DB[[#This Row],[Site ID]],Logfile_S[Transaction  Type],"outBOUND")</f>
        <v>0</v>
      </c>
      <c r="AB89" s="227"/>
      <c r="AC89" s="227"/>
      <c r="AD89" s="227"/>
      <c r="AE89" s="227"/>
      <c r="AF89" s="227"/>
      <c r="AG89" s="227"/>
      <c r="AH89" s="227"/>
      <c r="AI89" s="227"/>
    </row>
    <row r="90" spans="1:35" ht="14.5">
      <c r="A90" s="508">
        <f t="shared" si="2"/>
        <v>86</v>
      </c>
      <c r="B90" s="241" t="s">
        <v>71</v>
      </c>
      <c r="C90" s="241" t="s">
        <v>24</v>
      </c>
      <c r="D90" s="241" t="s">
        <v>2520</v>
      </c>
      <c r="E90" s="241" t="s">
        <v>2521</v>
      </c>
      <c r="F90" s="241" t="s">
        <v>2521</v>
      </c>
      <c r="G90" s="512">
        <v>45580</v>
      </c>
      <c r="H90" s="241" t="s">
        <v>4544</v>
      </c>
      <c r="I90" s="510">
        <f>_xlfn.XLOOKUP(Site_DB[[#This Row],[Site ID]],Logfile_S[SiteID],Logfile_S[Date],"",0,1)</f>
        <v>45618</v>
      </c>
      <c r="J90" s="262">
        <f>_xlfn.IFNA(VLOOKUP(Site_DB[[#This Row],[Site ID]],SUM_DN!B:X,21,0),0)</f>
        <v>0</v>
      </c>
      <c r="K90" s="262">
        <f>SUMIFS(Logfile_S[Qty],Logfile_S[Material Name],Site_DB[[#Headers],[Pole 7M 4"]],Logfile_S[SiteID],Site_DB[[#This Row],[Site ID]],Logfile_S[Transaction  Type],"outBOUND")</f>
        <v>14</v>
      </c>
      <c r="L90" s="262">
        <f>SUMIFS(Logfile_S[Qty],Logfile_S[Material Name],Site_DB[[#Headers],[Pole 7M 3"]],Logfile_S[SiteID],Site_DB[[#This Row],[Site ID]],Logfile_S[Transaction  Type],"outBOUND")</f>
        <v>0</v>
      </c>
      <c r="M90" s="262">
        <f>SUMIFS(Logfile_S[Qty],Logfile_S[Material Name],Site_DB[[#Headers],[Pole 9M]],Logfile_S[SiteID],Site_DB[[#This Row],[Site ID]],Logfile_S[Transaction  Type],"outBOUND")</f>
        <v>0</v>
      </c>
      <c r="N90" s="262">
        <v>0</v>
      </c>
      <c r="O90" s="262">
        <v>3000</v>
      </c>
      <c r="P90" s="262">
        <v>0</v>
      </c>
      <c r="Q90" s="262">
        <v>0</v>
      </c>
      <c r="R90" s="262">
        <v>1</v>
      </c>
      <c r="S90" s="262">
        <v>0</v>
      </c>
      <c r="T90" s="262">
        <v>12</v>
      </c>
      <c r="U90" s="262">
        <v>1</v>
      </c>
      <c r="V90" s="265">
        <v>0</v>
      </c>
      <c r="W90" s="262" t="s">
        <v>4635</v>
      </c>
      <c r="X90" s="227">
        <f>SUMIFS(Logfile_S[Qty],Logfile_S[Material Name],Site_DB[[#Headers],[Pole 7M 2.5"]],Logfile_S[SiteID],Site_DB[[#This Row],[Site ID]],Logfile_S[Transaction  Type],"outBOUND")</f>
        <v>0</v>
      </c>
      <c r="Y90" s="227">
        <f>SUMIFS(Logfile_S[Qty],Logfile_S[Material Name],Site_DB[[#Headers],[Pole 7M 4"]],Logfile_S[SiteID],Site_DB[[#This Row],[Site ID]],Logfile_S[Transaction  Type],"outBOUND")</f>
        <v>14</v>
      </c>
      <c r="Z90" s="227">
        <f>SUMIFS(Logfile_S[Qty],Logfile_S[Material Name],Site_DB[[#Headers],[Pole 7M 3"]],Logfile_S[SiteID],Site_DB[[#This Row],[Site ID]],Logfile_S[Transaction  Type],"outBOUND")</f>
        <v>0</v>
      </c>
      <c r="AA90" s="227">
        <f>SUMIFS(Logfile_S[Qty],Logfile_S[Material Name],Site_DB[[#Headers],[Pole 9M]],Logfile_S[SiteID],Site_DB[[#This Row],[Site ID]],Logfile_S[Transaction  Type],"outBOUND")</f>
        <v>0</v>
      </c>
      <c r="AB90" s="227"/>
      <c r="AC90" s="227"/>
      <c r="AD90" s="227"/>
      <c r="AE90" s="227"/>
      <c r="AF90" s="227"/>
      <c r="AG90" s="227"/>
      <c r="AH90" s="227"/>
      <c r="AI90" s="227"/>
    </row>
    <row r="91" spans="1:35" ht="14.5">
      <c r="A91" s="508">
        <f t="shared" si="2"/>
        <v>87</v>
      </c>
      <c r="B91" s="241" t="s">
        <v>71</v>
      </c>
      <c r="C91" s="241" t="s">
        <v>24</v>
      </c>
      <c r="D91" s="241" t="s">
        <v>2360</v>
      </c>
      <c r="E91" s="241" t="s">
        <v>2361</v>
      </c>
      <c r="F91" s="241" t="s">
        <v>2361</v>
      </c>
      <c r="G91" s="512">
        <v>45580</v>
      </c>
      <c r="H91" s="241" t="s">
        <v>4544</v>
      </c>
      <c r="I91" s="510">
        <f>_xlfn.XLOOKUP(Site_DB[[#This Row],[Site ID]],Logfile_S[SiteID],Logfile_S[Date],"",0,1)</f>
        <v>45602</v>
      </c>
      <c r="J91" s="262">
        <f>_xlfn.IFNA(VLOOKUP(Site_DB[[#This Row],[Site ID]],SUM_DN!B:X,21,0),0)</f>
        <v>0</v>
      </c>
      <c r="K91" s="262">
        <f>SUMIFS(Logfile_S[Qty],Logfile_S[Material Name],Site_DB[[#Headers],[Pole 7M 4"]],Logfile_S[SiteID],Site_DB[[#This Row],[Site ID]],Logfile_S[Transaction  Type],"outBOUND")</f>
        <v>104</v>
      </c>
      <c r="L91" s="262">
        <f>SUMIFS(Logfile_S[Qty],Logfile_S[Material Name],Site_DB[[#Headers],[Pole 7M 3"]],Logfile_S[SiteID],Site_DB[[#This Row],[Site ID]],Logfile_S[Transaction  Type],"outBOUND")</f>
        <v>10</v>
      </c>
      <c r="M91" s="262">
        <f>SUMIFS(Logfile_S[Qty],Logfile_S[Material Name],Site_DB[[#Headers],[Pole 9M]],Logfile_S[SiteID],Site_DB[[#This Row],[Site ID]],Logfile_S[Transaction  Type],"outBOUND")</f>
        <v>0</v>
      </c>
      <c r="N91" s="262">
        <v>3000</v>
      </c>
      <c r="O91" s="262">
        <v>0</v>
      </c>
      <c r="P91" s="262">
        <v>0</v>
      </c>
      <c r="Q91" s="262">
        <v>0</v>
      </c>
      <c r="R91" s="262">
        <v>0</v>
      </c>
      <c r="S91" s="262">
        <v>1</v>
      </c>
      <c r="T91" s="262">
        <v>29</v>
      </c>
      <c r="U91" s="262">
        <v>0</v>
      </c>
      <c r="V91" s="265">
        <v>0</v>
      </c>
      <c r="W91" s="262" t="s">
        <v>4635</v>
      </c>
      <c r="X91" s="227">
        <f>SUMIFS(Logfile_S[Qty],Logfile_S[Material Name],Site_DB[[#Headers],[Pole 7M 2.5"]],Logfile_S[SiteID],Site_DB[[#This Row],[Site ID]],Logfile_S[Transaction  Type],"outBOUND")</f>
        <v>0</v>
      </c>
      <c r="Y91" s="227">
        <f>SUMIFS(Logfile_S[Qty],Logfile_S[Material Name],Site_DB[[#Headers],[Pole 7M 4"]],Logfile_S[SiteID],Site_DB[[#This Row],[Site ID]],Logfile_S[Transaction  Type],"outBOUND")</f>
        <v>104</v>
      </c>
      <c r="Z91" s="227">
        <f>SUMIFS(Logfile_S[Qty],Logfile_S[Material Name],Site_DB[[#Headers],[Pole 7M 3"]],Logfile_S[SiteID],Site_DB[[#This Row],[Site ID]],Logfile_S[Transaction  Type],"outBOUND")</f>
        <v>10</v>
      </c>
      <c r="AA91" s="227">
        <f>SUMIFS(Logfile_S[Qty],Logfile_S[Material Name],Site_DB[[#Headers],[Pole 9M]],Logfile_S[SiteID],Site_DB[[#This Row],[Site ID]],Logfile_S[Transaction  Type],"outBOUND")</f>
        <v>0</v>
      </c>
      <c r="AB91" s="227"/>
      <c r="AC91" s="227"/>
      <c r="AD91" s="227"/>
      <c r="AE91" s="227"/>
      <c r="AF91" s="227"/>
      <c r="AG91" s="227"/>
      <c r="AH91" s="227"/>
      <c r="AI91" s="227"/>
    </row>
    <row r="92" spans="1:35" ht="14.5">
      <c r="A92" s="508">
        <f t="shared" si="2"/>
        <v>88</v>
      </c>
      <c r="B92" s="241" t="s">
        <v>71</v>
      </c>
      <c r="C92" s="241" t="s">
        <v>24</v>
      </c>
      <c r="D92" s="241" t="s">
        <v>2508</v>
      </c>
      <c r="E92" s="241" t="s">
        <v>2509</v>
      </c>
      <c r="F92" s="241" t="s">
        <v>4590</v>
      </c>
      <c r="G92" s="509">
        <v>45610</v>
      </c>
      <c r="H92" s="241" t="s">
        <v>4543</v>
      </c>
      <c r="I92" s="510">
        <f>_xlfn.XLOOKUP(Site_DB[[#This Row],[Site ID]],Logfile_S[SiteID],Logfile_S[Date],"",0,1)</f>
        <v>45622</v>
      </c>
      <c r="J92" s="262">
        <f>_xlfn.IFNA(VLOOKUP(Site_DB[[#This Row],[Site ID]],SUM_DN!B:X,21,0),0)</f>
        <v>0</v>
      </c>
      <c r="K92" s="262">
        <f>SUMIFS(Logfile_S[Qty],Logfile_S[Material Name],Site_DB[[#Headers],[Pole 7M 4"]],Logfile_S[SiteID],Site_DB[[#This Row],[Site ID]],Logfile_S[Transaction  Type],"outBOUND")</f>
        <v>0</v>
      </c>
      <c r="L92" s="262">
        <f>SUMIFS(Logfile_S[Qty],Logfile_S[Material Name],Site_DB[[#Headers],[Pole 7M 3"]],Logfile_S[SiteID],Site_DB[[#This Row],[Site ID]],Logfile_S[Transaction  Type],"outBOUND")</f>
        <v>0</v>
      </c>
      <c r="M92" s="262">
        <f>SUMIFS(Logfile_S[Qty],Logfile_S[Material Name],Site_DB[[#Headers],[Pole 9M]],Logfile_S[SiteID],Site_DB[[#This Row],[Site ID]],Logfile_S[Transaction  Type],"outBOUND")</f>
        <v>0</v>
      </c>
      <c r="N92" s="262">
        <v>3000</v>
      </c>
      <c r="O92" s="262">
        <v>3000</v>
      </c>
      <c r="P92" s="262">
        <v>0</v>
      </c>
      <c r="Q92" s="262">
        <v>0</v>
      </c>
      <c r="R92" s="262">
        <v>1</v>
      </c>
      <c r="S92" s="262">
        <v>0</v>
      </c>
      <c r="T92" s="262">
        <v>11</v>
      </c>
      <c r="U92" s="262">
        <v>0</v>
      </c>
      <c r="V92" s="265">
        <v>0</v>
      </c>
      <c r="W92" s="262" t="s">
        <v>4635</v>
      </c>
      <c r="X92" s="227">
        <f>SUMIFS(Logfile_S[Qty],Logfile_S[Material Name],Site_DB[[#Headers],[Pole 7M 2.5"]],Logfile_S[SiteID],Site_DB[[#This Row],[Site ID]],Logfile_S[Transaction  Type],"outBOUND")</f>
        <v>0</v>
      </c>
      <c r="Y92" s="227">
        <f>SUMIFS(Logfile_S[Qty],Logfile_S[Material Name],Site_DB[[#Headers],[Pole 7M 4"]],Logfile_S[SiteID],Site_DB[[#This Row],[Site ID]],Logfile_S[Transaction  Type],"outBOUND")</f>
        <v>0</v>
      </c>
      <c r="Z92" s="227">
        <f>SUMIFS(Logfile_S[Qty],Logfile_S[Material Name],Site_DB[[#Headers],[Pole 7M 3"]],Logfile_S[SiteID],Site_DB[[#This Row],[Site ID]],Logfile_S[Transaction  Type],"outBOUND")</f>
        <v>0</v>
      </c>
      <c r="AA92" s="227">
        <f>SUMIFS(Logfile_S[Qty],Logfile_S[Material Name],Site_DB[[#Headers],[Pole 9M]],Logfile_S[SiteID],Site_DB[[#This Row],[Site ID]],Logfile_S[Transaction  Type],"outBOUND")</f>
        <v>0</v>
      </c>
      <c r="AB92" s="227"/>
      <c r="AC92" s="227"/>
      <c r="AD92" s="227"/>
      <c r="AE92" s="227"/>
      <c r="AF92" s="227"/>
      <c r="AG92" s="227"/>
      <c r="AH92" s="227"/>
      <c r="AI92" s="227"/>
    </row>
    <row r="93" spans="1:35" ht="14.5">
      <c r="A93" s="508">
        <f t="shared" si="2"/>
        <v>89</v>
      </c>
      <c r="B93" s="241" t="s">
        <v>71</v>
      </c>
      <c r="C93" s="241" t="s">
        <v>24</v>
      </c>
      <c r="D93" s="241" t="s">
        <v>2514</v>
      </c>
      <c r="E93" s="241" t="s">
        <v>2515</v>
      </c>
      <c r="F93" s="241" t="s">
        <v>4591</v>
      </c>
      <c r="G93" s="509">
        <v>45610</v>
      </c>
      <c r="H93" s="241" t="s">
        <v>4543</v>
      </c>
      <c r="I93" s="510">
        <f>_xlfn.XLOOKUP(Site_DB[[#This Row],[Site ID]],Logfile_S[SiteID],Logfile_S[Date],"",0,1)</f>
        <v>45622</v>
      </c>
      <c r="J93" s="262">
        <f>_xlfn.IFNA(VLOOKUP(Site_DB[[#This Row],[Site ID]],SUM_DN!B:X,21,0),0)</f>
        <v>0</v>
      </c>
      <c r="K93" s="262">
        <f>SUMIFS(Logfile_S[Qty],Logfile_S[Material Name],Site_DB[[#Headers],[Pole 7M 4"]],Logfile_S[SiteID],Site_DB[[#This Row],[Site ID]],Logfile_S[Transaction  Type],"outBOUND")</f>
        <v>0</v>
      </c>
      <c r="L93" s="262">
        <f>SUMIFS(Logfile_S[Qty],Logfile_S[Material Name],Site_DB[[#Headers],[Pole 7M 3"]],Logfile_S[SiteID],Site_DB[[#This Row],[Site ID]],Logfile_S[Transaction  Type],"outBOUND")</f>
        <v>0</v>
      </c>
      <c r="M93" s="262">
        <f>SUMIFS(Logfile_S[Qty],Logfile_S[Material Name],Site_DB[[#Headers],[Pole 9M]],Logfile_S[SiteID],Site_DB[[#This Row],[Site ID]],Logfile_S[Transaction  Type],"outBOUND")</f>
        <v>0</v>
      </c>
      <c r="N93" s="262">
        <v>3000</v>
      </c>
      <c r="O93" s="262">
        <v>0</v>
      </c>
      <c r="P93" s="262">
        <v>0</v>
      </c>
      <c r="Q93" s="262">
        <v>0</v>
      </c>
      <c r="R93" s="262">
        <v>1</v>
      </c>
      <c r="S93" s="262">
        <v>0</v>
      </c>
      <c r="T93" s="262">
        <v>17</v>
      </c>
      <c r="U93" s="262">
        <v>0</v>
      </c>
      <c r="V93" s="265">
        <v>0</v>
      </c>
      <c r="W93" s="262" t="s">
        <v>4635</v>
      </c>
      <c r="X93" s="227">
        <f>SUMIFS(Logfile_S[Qty],Logfile_S[Material Name],Site_DB[[#Headers],[Pole 7M 2.5"]],Logfile_S[SiteID],Site_DB[[#This Row],[Site ID]],Logfile_S[Transaction  Type],"outBOUND")</f>
        <v>0</v>
      </c>
      <c r="Y93" s="227">
        <f>SUMIFS(Logfile_S[Qty],Logfile_S[Material Name],Site_DB[[#Headers],[Pole 7M 4"]],Logfile_S[SiteID],Site_DB[[#This Row],[Site ID]],Logfile_S[Transaction  Type],"outBOUND")</f>
        <v>0</v>
      </c>
      <c r="Z93" s="227">
        <f>SUMIFS(Logfile_S[Qty],Logfile_S[Material Name],Site_DB[[#Headers],[Pole 7M 3"]],Logfile_S[SiteID],Site_DB[[#This Row],[Site ID]],Logfile_S[Transaction  Type],"outBOUND")</f>
        <v>0</v>
      </c>
      <c r="AA93" s="227">
        <f>SUMIFS(Logfile_S[Qty],Logfile_S[Material Name],Site_DB[[#Headers],[Pole 9M]],Logfile_S[SiteID],Site_DB[[#This Row],[Site ID]],Logfile_S[Transaction  Type],"outBOUND")</f>
        <v>0</v>
      </c>
      <c r="AB93" s="227"/>
      <c r="AC93" s="227"/>
      <c r="AD93" s="227"/>
      <c r="AE93" s="227"/>
      <c r="AF93" s="227"/>
      <c r="AG93" s="227"/>
      <c r="AH93" s="227"/>
      <c r="AI93" s="227"/>
    </row>
    <row r="94" spans="1:35" ht="14.5">
      <c r="A94" s="508">
        <f t="shared" si="2"/>
        <v>90</v>
      </c>
      <c r="B94" s="241" t="s">
        <v>71</v>
      </c>
      <c r="C94" s="241" t="s">
        <v>24</v>
      </c>
      <c r="D94" s="241" t="s">
        <v>2502</v>
      </c>
      <c r="E94" s="241" t="s">
        <v>2503</v>
      </c>
      <c r="F94" s="241" t="s">
        <v>4589</v>
      </c>
      <c r="G94" s="509">
        <v>45610</v>
      </c>
      <c r="H94" s="241" t="s">
        <v>4543</v>
      </c>
      <c r="I94" s="510">
        <f>_xlfn.XLOOKUP(Site_DB[[#This Row],[Site ID]],Logfile_S[SiteID],Logfile_S[Date],"",0,1)</f>
        <v>45622</v>
      </c>
      <c r="J94" s="262">
        <f>_xlfn.IFNA(VLOOKUP(Site_DB[[#This Row],[Site ID]],SUM_DN!B:X,21,0),0)</f>
        <v>0</v>
      </c>
      <c r="K94" s="262">
        <f>SUMIFS(Logfile_S[Qty],Logfile_S[Material Name],Site_DB[[#Headers],[Pole 7M 4"]],Logfile_S[SiteID],Site_DB[[#This Row],[Site ID]],Logfile_S[Transaction  Type],"outBOUND")</f>
        <v>112</v>
      </c>
      <c r="L94" s="262">
        <f>SUMIFS(Logfile_S[Qty],Logfile_S[Material Name],Site_DB[[#Headers],[Pole 7M 3"]],Logfile_S[SiteID],Site_DB[[#This Row],[Site ID]],Logfile_S[Transaction  Type],"outBOUND")</f>
        <v>6</v>
      </c>
      <c r="M94" s="262">
        <f>SUMIFS(Logfile_S[Qty],Logfile_S[Material Name],Site_DB[[#Headers],[Pole 9M]],Logfile_S[SiteID],Site_DB[[#This Row],[Site ID]],Logfile_S[Transaction  Type],"outBOUND")</f>
        <v>7</v>
      </c>
      <c r="N94" s="262">
        <v>3000</v>
      </c>
      <c r="O94" s="262">
        <v>0</v>
      </c>
      <c r="P94" s="262">
        <v>0</v>
      </c>
      <c r="Q94" s="262">
        <v>0</v>
      </c>
      <c r="R94" s="262">
        <v>1</v>
      </c>
      <c r="S94" s="262">
        <v>0</v>
      </c>
      <c r="T94" s="262">
        <v>14</v>
      </c>
      <c r="U94" s="262">
        <v>0</v>
      </c>
      <c r="V94" s="265">
        <v>0</v>
      </c>
      <c r="W94" s="262" t="s">
        <v>4635</v>
      </c>
      <c r="X94" s="227">
        <f>SUMIFS(Logfile_S[Qty],Logfile_S[Material Name],Site_DB[[#Headers],[Pole 7M 2.5"]],Logfile_S[SiteID],Site_DB[[#This Row],[Site ID]],Logfile_S[Transaction  Type],"outBOUND")</f>
        <v>0</v>
      </c>
      <c r="Y94" s="227">
        <f>SUMIFS(Logfile_S[Qty],Logfile_S[Material Name],Site_DB[[#Headers],[Pole 7M 4"]],Logfile_S[SiteID],Site_DB[[#This Row],[Site ID]],Logfile_S[Transaction  Type],"outBOUND")</f>
        <v>112</v>
      </c>
      <c r="Z94" s="227">
        <f>SUMIFS(Logfile_S[Qty],Logfile_S[Material Name],Site_DB[[#Headers],[Pole 7M 3"]],Logfile_S[SiteID],Site_DB[[#This Row],[Site ID]],Logfile_S[Transaction  Type],"outBOUND")</f>
        <v>6</v>
      </c>
      <c r="AA94" s="227">
        <f>SUMIFS(Logfile_S[Qty],Logfile_S[Material Name],Site_DB[[#Headers],[Pole 9M]],Logfile_S[SiteID],Site_DB[[#This Row],[Site ID]],Logfile_S[Transaction  Type],"outBOUND")</f>
        <v>7</v>
      </c>
      <c r="AB94" s="227"/>
      <c r="AC94" s="227"/>
      <c r="AD94" s="227"/>
      <c r="AE94" s="227"/>
      <c r="AF94" s="227"/>
      <c r="AG94" s="227"/>
      <c r="AH94" s="227"/>
      <c r="AI94" s="227"/>
    </row>
    <row r="95" spans="1:35" ht="14.5">
      <c r="A95" s="508">
        <f t="shared" si="2"/>
        <v>91</v>
      </c>
      <c r="B95" s="241" t="s">
        <v>71</v>
      </c>
      <c r="C95" s="241" t="s">
        <v>24</v>
      </c>
      <c r="D95" s="241" t="s">
        <v>3377</v>
      </c>
      <c r="E95" s="241" t="s">
        <v>3378</v>
      </c>
      <c r="F95" s="241" t="s">
        <v>3378</v>
      </c>
      <c r="G95" s="512">
        <v>45632</v>
      </c>
      <c r="H95" s="241" t="s">
        <v>4544</v>
      </c>
      <c r="I95" s="510">
        <f>_xlfn.XLOOKUP(Site_DB[[#This Row],[Site ID]],Logfile_S[SiteID],Logfile_S[Date],"",0,1)</f>
        <v>45650</v>
      </c>
      <c r="J95" s="262">
        <f>_xlfn.IFNA(VLOOKUP(Site_DB[[#This Row],[Site ID]],SUM_DN!B:X,21,0),0)</f>
        <v>0</v>
      </c>
      <c r="K95" s="262">
        <f>SUMIFS(Logfile_S[Qty],Logfile_S[Material Name],Site_DB[[#Headers],[Pole 7M 4"]],Logfile_S[SiteID],Site_DB[[#This Row],[Site ID]],Logfile_S[Transaction  Type],"outBOUND")</f>
        <v>0</v>
      </c>
      <c r="L95" s="262">
        <f>SUMIFS(Logfile_S[Qty],Logfile_S[Material Name],Site_DB[[#Headers],[Pole 7M 3"]],Logfile_S[SiteID],Site_DB[[#This Row],[Site ID]],Logfile_S[Transaction  Type],"outBOUND")</f>
        <v>0</v>
      </c>
      <c r="M95" s="262">
        <f>SUMIFS(Logfile_S[Qty],Logfile_S[Material Name],Site_DB[[#Headers],[Pole 9M]],Logfile_S[SiteID],Site_DB[[#This Row],[Site ID]],Logfile_S[Transaction  Type],"outBOUND")</f>
        <v>0</v>
      </c>
      <c r="N95" s="262">
        <v>0</v>
      </c>
      <c r="O95" s="262">
        <v>0</v>
      </c>
      <c r="P95" s="262">
        <v>0</v>
      </c>
      <c r="Q95" s="262">
        <v>0</v>
      </c>
      <c r="R95" s="262">
        <v>0</v>
      </c>
      <c r="S95" s="262">
        <v>0</v>
      </c>
      <c r="T95" s="262">
        <v>0</v>
      </c>
      <c r="U95" s="262">
        <v>0</v>
      </c>
      <c r="V95" s="265">
        <v>0</v>
      </c>
      <c r="W95" s="262" t="s">
        <v>4636</v>
      </c>
      <c r="X95" s="227">
        <f>SUMIFS(Logfile_S[Qty],Logfile_S[Material Name],Site_DB[[#Headers],[Pole 7M 2.5"]],Logfile_S[SiteID],Site_DB[[#This Row],[Site ID]],Logfile_S[Transaction  Type],"outBOUND")</f>
        <v>0</v>
      </c>
      <c r="Y95" s="227">
        <f>SUMIFS(Logfile_S[Qty],Logfile_S[Material Name],Site_DB[[#Headers],[Pole 7M 4"]],Logfile_S[SiteID],Site_DB[[#This Row],[Site ID]],Logfile_S[Transaction  Type],"outBOUND")</f>
        <v>0</v>
      </c>
      <c r="Z95" s="227">
        <f>SUMIFS(Logfile_S[Qty],Logfile_S[Material Name],Site_DB[[#Headers],[Pole 7M 3"]],Logfile_S[SiteID],Site_DB[[#This Row],[Site ID]],Logfile_S[Transaction  Type],"outBOUND")</f>
        <v>0</v>
      </c>
      <c r="AA95" s="227">
        <f>SUMIFS(Logfile_S[Qty],Logfile_S[Material Name],Site_DB[[#Headers],[Pole 9M]],Logfile_S[SiteID],Site_DB[[#This Row],[Site ID]],Logfile_S[Transaction  Type],"outBOUND")</f>
        <v>0</v>
      </c>
      <c r="AB95" s="227"/>
      <c r="AC95" s="227"/>
      <c r="AD95" s="227"/>
      <c r="AE95" s="227"/>
      <c r="AF95" s="227"/>
      <c r="AG95" s="227"/>
      <c r="AH95" s="227"/>
      <c r="AI95" s="227"/>
    </row>
    <row r="96" spans="1:35" ht="14.5">
      <c r="A96" s="508">
        <f t="shared" si="2"/>
        <v>92</v>
      </c>
      <c r="B96" s="241" t="s">
        <v>71</v>
      </c>
      <c r="C96" s="241" t="s">
        <v>24</v>
      </c>
      <c r="D96" s="241" t="s">
        <v>4345</v>
      </c>
      <c r="E96" s="241" t="s">
        <v>3578</v>
      </c>
      <c r="F96" s="241" t="s">
        <v>3578</v>
      </c>
      <c r="G96" s="512">
        <v>45708</v>
      </c>
      <c r="H96" s="241" t="s">
        <v>4544</v>
      </c>
      <c r="I96" s="510">
        <f>_xlfn.XLOOKUP(Site_DB[[#This Row],[Site ID]],Logfile_S[SiteID],Logfile_S[Date],"",0,1)</f>
        <v>45716</v>
      </c>
      <c r="J96" s="262">
        <f>_xlfn.IFNA(VLOOKUP(Site_DB[[#This Row],[Site ID]],SUM_DN!B:X,21,0),0)</f>
        <v>0</v>
      </c>
      <c r="K96" s="262">
        <f>SUMIFS(Logfile_S[Qty],Logfile_S[Material Name],Site_DB[[#Headers],[Pole 7M 4"]],Logfile_S[SiteID],Site_DB[[#This Row],[Site ID]],Logfile_S[Transaction  Type],"outBOUND")</f>
        <v>0</v>
      </c>
      <c r="L96" s="262">
        <f>SUMIFS(Logfile_S[Qty],Logfile_S[Material Name],Site_DB[[#Headers],[Pole 7M 3"]],Logfile_S[SiteID],Site_DB[[#This Row],[Site ID]],Logfile_S[Transaction  Type],"outBOUND")</f>
        <v>16</v>
      </c>
      <c r="M96" s="262">
        <f>SUMIFS(Logfile_S[Qty],Logfile_S[Material Name],Site_DB[[#Headers],[Pole 9M]],Logfile_S[SiteID],Site_DB[[#This Row],[Site ID]],Logfile_S[Transaction  Type],"outBOUND")</f>
        <v>0</v>
      </c>
      <c r="N96" s="262">
        <v>0</v>
      </c>
      <c r="O96" s="262">
        <v>0</v>
      </c>
      <c r="P96" s="262">
        <v>0</v>
      </c>
      <c r="Q96" s="262">
        <v>0</v>
      </c>
      <c r="R96" s="262">
        <v>0</v>
      </c>
      <c r="S96" s="262">
        <v>0</v>
      </c>
      <c r="T96" s="262">
        <v>0</v>
      </c>
      <c r="U96" s="262">
        <v>0</v>
      </c>
      <c r="V96" s="265">
        <v>0</v>
      </c>
      <c r="W96" s="262" t="s">
        <v>4635</v>
      </c>
      <c r="X96" s="227">
        <f>SUMIFS(Logfile_S[Qty],Logfile_S[Material Name],Site_DB[[#Headers],[Pole 7M 2.5"]],Logfile_S[SiteID],Site_DB[[#This Row],[Site ID]],Logfile_S[Transaction  Type],"outBOUND")</f>
        <v>0</v>
      </c>
      <c r="Y96" s="227">
        <f>SUMIFS(Logfile_S[Qty],Logfile_S[Material Name],Site_DB[[#Headers],[Pole 7M 4"]],Logfile_S[SiteID],Site_DB[[#This Row],[Site ID]],Logfile_S[Transaction  Type],"outBOUND")</f>
        <v>0</v>
      </c>
      <c r="Z96" s="227">
        <f>SUMIFS(Logfile_S[Qty],Logfile_S[Material Name],Site_DB[[#Headers],[Pole 7M 3"]],Logfile_S[SiteID],Site_DB[[#This Row],[Site ID]],Logfile_S[Transaction  Type],"outBOUND")</f>
        <v>16</v>
      </c>
      <c r="AA96" s="227">
        <f>SUMIFS(Logfile_S[Qty],Logfile_S[Material Name],Site_DB[[#Headers],[Pole 9M]],Logfile_S[SiteID],Site_DB[[#This Row],[Site ID]],Logfile_S[Transaction  Type],"outBOUND")</f>
        <v>0</v>
      </c>
      <c r="AB96" s="227"/>
      <c r="AC96" s="227"/>
      <c r="AD96" s="227"/>
      <c r="AE96" s="227"/>
      <c r="AF96" s="227"/>
      <c r="AG96" s="227"/>
      <c r="AH96" s="227"/>
      <c r="AI96" s="227"/>
    </row>
    <row r="97" spans="1:35" ht="14.5">
      <c r="A97" s="508">
        <f t="shared" si="2"/>
        <v>93</v>
      </c>
      <c r="B97" s="241" t="s">
        <v>71</v>
      </c>
      <c r="C97" s="241" t="s">
        <v>24</v>
      </c>
      <c r="D97" s="241" t="s">
        <v>2664</v>
      </c>
      <c r="E97" s="241" t="s">
        <v>2665</v>
      </c>
      <c r="F97" s="241" t="s">
        <v>2665</v>
      </c>
      <c r="G97" s="512">
        <v>45727</v>
      </c>
      <c r="H97" s="241" t="s">
        <v>4548</v>
      </c>
      <c r="I97" s="510">
        <f>_xlfn.XLOOKUP(Site_DB[[#This Row],[Site ID]],Logfile_S[SiteID],Logfile_S[Date],"",0,1)</f>
        <v>45734</v>
      </c>
      <c r="J97" s="262">
        <f>_xlfn.IFNA(VLOOKUP(Site_DB[[#This Row],[Site ID]],SUM_DN!B:X,21,0),0)</f>
        <v>0</v>
      </c>
      <c r="K97" s="262">
        <f>SUMIFS(Logfile_S[Qty],Logfile_S[Material Name],Site_DB[[#Headers],[Pole 7M 4"]],Logfile_S[SiteID],Site_DB[[#This Row],[Site ID]],Logfile_S[Transaction  Type],"outBOUND")</f>
        <v>1</v>
      </c>
      <c r="L97" s="262">
        <f>SUMIFS(Logfile_S[Qty],Logfile_S[Material Name],Site_DB[[#Headers],[Pole 7M 3"]],Logfile_S[SiteID],Site_DB[[#This Row],[Site ID]],Logfile_S[Transaction  Type],"outBOUND")</f>
        <v>54</v>
      </c>
      <c r="M97" s="262">
        <f>SUMIFS(Logfile_S[Qty],Logfile_S[Material Name],Site_DB[[#Headers],[Pole 9M]],Logfile_S[SiteID],Site_DB[[#This Row],[Site ID]],Logfile_S[Transaction  Type],"outBOUND")</f>
        <v>1</v>
      </c>
      <c r="N97" s="262">
        <v>0</v>
      </c>
      <c r="O97" s="262">
        <v>0</v>
      </c>
      <c r="P97" s="262">
        <v>0</v>
      </c>
      <c r="Q97" s="262">
        <v>0</v>
      </c>
      <c r="R97" s="262">
        <v>0</v>
      </c>
      <c r="S97" s="262">
        <v>1</v>
      </c>
      <c r="T97" s="262">
        <v>17</v>
      </c>
      <c r="U97" s="262">
        <v>0</v>
      </c>
      <c r="V97" s="265">
        <v>0</v>
      </c>
      <c r="W97" s="262" t="s">
        <v>4635</v>
      </c>
      <c r="X97" s="227">
        <f>SUMIFS(Logfile_S[Qty],Logfile_S[Material Name],Site_DB[[#Headers],[Pole 7M 2.5"]],Logfile_S[SiteID],Site_DB[[#This Row],[Site ID]],Logfile_S[Transaction  Type],"outBOUND")</f>
        <v>0</v>
      </c>
      <c r="Y97" s="227">
        <f>SUMIFS(Logfile_S[Qty],Logfile_S[Material Name],Site_DB[[#Headers],[Pole 7M 4"]],Logfile_S[SiteID],Site_DB[[#This Row],[Site ID]],Logfile_S[Transaction  Type],"outBOUND")</f>
        <v>1</v>
      </c>
      <c r="Z97" s="227">
        <f>SUMIFS(Logfile_S[Qty],Logfile_S[Material Name],Site_DB[[#Headers],[Pole 7M 3"]],Logfile_S[SiteID],Site_DB[[#This Row],[Site ID]],Logfile_S[Transaction  Type],"outBOUND")</f>
        <v>54</v>
      </c>
      <c r="AA97" s="227">
        <f>SUMIFS(Logfile_S[Qty],Logfile_S[Material Name],Site_DB[[#Headers],[Pole 9M]],Logfile_S[SiteID],Site_DB[[#This Row],[Site ID]],Logfile_S[Transaction  Type],"outBOUND")</f>
        <v>1</v>
      </c>
      <c r="AB97" s="227"/>
      <c r="AC97" s="227"/>
      <c r="AD97" s="227"/>
      <c r="AE97" s="227"/>
      <c r="AF97" s="227"/>
      <c r="AG97" s="227"/>
      <c r="AH97" s="227"/>
      <c r="AI97" s="227"/>
    </row>
    <row r="98" spans="1:35" ht="14.5">
      <c r="A98" s="508">
        <f t="shared" si="2"/>
        <v>94</v>
      </c>
      <c r="B98" s="241" t="s">
        <v>71</v>
      </c>
      <c r="C98" s="241" t="s">
        <v>24</v>
      </c>
      <c r="D98" s="511" t="s">
        <v>2821</v>
      </c>
      <c r="E98" s="241" t="s">
        <v>2822</v>
      </c>
      <c r="F98" s="241" t="s">
        <v>2822</v>
      </c>
      <c r="G98" s="512">
        <v>45779</v>
      </c>
      <c r="H98" s="241" t="s">
        <v>4543</v>
      </c>
      <c r="I98" s="510">
        <f>_xlfn.XLOOKUP(Site_DB[[#This Row],[Site ID]],Logfile_S[SiteID],Logfile_S[Date],"",0,1)</f>
        <v>45802</v>
      </c>
      <c r="J98" s="262">
        <f>_xlfn.IFNA(VLOOKUP(Site_DB[[#This Row],[Site ID]],SUM_DN!B:X,21,0),0)</f>
        <v>0</v>
      </c>
      <c r="K98" s="262">
        <f>SUMIFS(Logfile_S[Qty],Logfile_S[Material Name],Site_DB[[#Headers],[Pole 7M 4"]],Logfile_S[SiteID],Site_DB[[#This Row],[Site ID]],Logfile_S[Transaction  Type],"outBOUND")</f>
        <v>1</v>
      </c>
      <c r="L98" s="262">
        <f>SUMIFS(Logfile_S[Qty],Logfile_S[Material Name],Site_DB[[#Headers],[Pole 7M 3"]],Logfile_S[SiteID],Site_DB[[#This Row],[Site ID]],Logfile_S[Transaction  Type],"outBOUND")</f>
        <v>26</v>
      </c>
      <c r="M98" s="262">
        <f>SUMIFS(Logfile_S[Qty],Logfile_S[Material Name],Site_DB[[#Headers],[Pole 9M]],Logfile_S[SiteID],Site_DB[[#This Row],[Site ID]],Logfile_S[Transaction  Type],"outBOUND")</f>
        <v>0</v>
      </c>
      <c r="N98" s="262">
        <v>0</v>
      </c>
      <c r="O98" s="262">
        <v>0</v>
      </c>
      <c r="P98" s="262">
        <v>0</v>
      </c>
      <c r="Q98" s="262">
        <v>0</v>
      </c>
      <c r="R98" s="262">
        <v>1</v>
      </c>
      <c r="S98" s="262">
        <v>0</v>
      </c>
      <c r="T98" s="262">
        <v>7</v>
      </c>
      <c r="U98" s="262">
        <v>0</v>
      </c>
      <c r="V98" s="265">
        <v>0</v>
      </c>
      <c r="W98" s="262" t="s">
        <v>4635</v>
      </c>
      <c r="X98" s="227">
        <f>SUMIFS(Logfile_S[Qty],Logfile_S[Material Name],Site_DB[[#Headers],[Pole 7M 2.5"]],Logfile_S[SiteID],Site_DB[[#This Row],[Site ID]],Logfile_S[Transaction  Type],"outBOUND")</f>
        <v>0</v>
      </c>
      <c r="Y98" s="227">
        <f>SUMIFS(Logfile_S[Qty],Logfile_S[Material Name],Site_DB[[#Headers],[Pole 7M 4"]],Logfile_S[SiteID],Site_DB[[#This Row],[Site ID]],Logfile_S[Transaction  Type],"outBOUND")</f>
        <v>1</v>
      </c>
      <c r="Z98" s="227">
        <f>SUMIFS(Logfile_S[Qty],Logfile_S[Material Name],Site_DB[[#Headers],[Pole 7M 3"]],Logfile_S[SiteID],Site_DB[[#This Row],[Site ID]],Logfile_S[Transaction  Type],"outBOUND")</f>
        <v>26</v>
      </c>
      <c r="AA98" s="227">
        <f>SUMIFS(Logfile_S[Qty],Logfile_S[Material Name],Site_DB[[#Headers],[Pole 9M]],Logfile_S[SiteID],Site_DB[[#This Row],[Site ID]],Logfile_S[Transaction  Type],"outBOUND")</f>
        <v>0</v>
      </c>
      <c r="AB98" s="227"/>
      <c r="AC98" s="227"/>
      <c r="AD98" s="227"/>
      <c r="AE98" s="227"/>
      <c r="AF98" s="227"/>
      <c r="AG98" s="227"/>
      <c r="AH98" s="227"/>
      <c r="AI98" s="227"/>
    </row>
    <row r="99" spans="1:35" ht="14.5">
      <c r="A99" s="508">
        <f t="shared" si="2"/>
        <v>95</v>
      </c>
      <c r="B99" s="241" t="s">
        <v>71</v>
      </c>
      <c r="C99" s="241" t="s">
        <v>24</v>
      </c>
      <c r="D99" s="511" t="s">
        <v>2825</v>
      </c>
      <c r="E99" s="241" t="s">
        <v>2826</v>
      </c>
      <c r="F99" s="241" t="s">
        <v>2826</v>
      </c>
      <c r="G99" s="512">
        <v>45786</v>
      </c>
      <c r="H99" s="241" t="s">
        <v>4543</v>
      </c>
      <c r="I99" s="510">
        <f>_xlfn.XLOOKUP(Site_DB[[#This Row],[Site ID]],Logfile_S[SiteID],Logfile_S[Date],"",0,1)</f>
        <v>45805</v>
      </c>
      <c r="J99" s="262">
        <f>_xlfn.IFNA(VLOOKUP(Site_DB[[#This Row],[Site ID]],SUM_DN!B:X,21,0),0)</f>
        <v>0</v>
      </c>
      <c r="K99" s="262">
        <f>SUMIFS(Logfile_S[Qty],Logfile_S[Material Name],Site_DB[[#Headers],[Pole 7M 4"]],Logfile_S[SiteID],Site_DB[[#This Row],[Site ID]],Logfile_S[Transaction  Type],"outBOUND")</f>
        <v>6</v>
      </c>
      <c r="L99" s="262">
        <f>SUMIFS(Logfile_S[Qty],Logfile_S[Material Name],Site_DB[[#Headers],[Pole 7M 3"]],Logfile_S[SiteID],Site_DB[[#This Row],[Site ID]],Logfile_S[Transaction  Type],"outBOUND")</f>
        <v>21</v>
      </c>
      <c r="M99" s="262">
        <f>SUMIFS(Logfile_S[Qty],Logfile_S[Material Name],Site_DB[[#Headers],[Pole 9M]],Logfile_S[SiteID],Site_DB[[#This Row],[Site ID]],Logfile_S[Transaction  Type],"outBOUND")</f>
        <v>3</v>
      </c>
      <c r="N99" s="262">
        <v>3000</v>
      </c>
      <c r="O99" s="262">
        <v>1019</v>
      </c>
      <c r="P99" s="262">
        <v>0</v>
      </c>
      <c r="Q99" s="262">
        <v>0</v>
      </c>
      <c r="R99" s="262">
        <v>1</v>
      </c>
      <c r="S99" s="262">
        <v>0</v>
      </c>
      <c r="T99" s="262">
        <v>10</v>
      </c>
      <c r="U99" s="262">
        <v>0</v>
      </c>
      <c r="V99" s="265">
        <v>0</v>
      </c>
      <c r="W99" s="262" t="s">
        <v>4635</v>
      </c>
      <c r="X99" s="227">
        <f>SUMIFS(Logfile_S[Qty],Logfile_S[Material Name],Site_DB[[#Headers],[Pole 7M 2.5"]],Logfile_S[SiteID],Site_DB[[#This Row],[Site ID]],Logfile_S[Transaction  Type],"outBOUND")</f>
        <v>0</v>
      </c>
      <c r="Y99" s="227">
        <f>SUMIFS(Logfile_S[Qty],Logfile_S[Material Name],Site_DB[[#Headers],[Pole 7M 4"]],Logfile_S[SiteID],Site_DB[[#This Row],[Site ID]],Logfile_S[Transaction  Type],"outBOUND")</f>
        <v>6</v>
      </c>
      <c r="Z99" s="227">
        <f>SUMIFS(Logfile_S[Qty],Logfile_S[Material Name],Site_DB[[#Headers],[Pole 7M 3"]],Logfile_S[SiteID],Site_DB[[#This Row],[Site ID]],Logfile_S[Transaction  Type],"outBOUND")</f>
        <v>21</v>
      </c>
      <c r="AA99" s="227">
        <f>SUMIFS(Logfile_S[Qty],Logfile_S[Material Name],Site_DB[[#Headers],[Pole 9M]],Logfile_S[SiteID],Site_DB[[#This Row],[Site ID]],Logfile_S[Transaction  Type],"outBOUND")</f>
        <v>3</v>
      </c>
      <c r="AB99" s="227"/>
      <c r="AC99" s="227"/>
      <c r="AD99" s="227"/>
      <c r="AE99" s="227"/>
      <c r="AF99" s="227"/>
      <c r="AG99" s="227"/>
      <c r="AH99" s="227"/>
      <c r="AI99" s="227"/>
    </row>
    <row r="100" spans="1:35" ht="14.5">
      <c r="A100" s="508">
        <f t="shared" si="2"/>
        <v>96</v>
      </c>
      <c r="B100" s="241" t="s">
        <v>71</v>
      </c>
      <c r="C100" s="241" t="s">
        <v>24</v>
      </c>
      <c r="D100" s="511" t="s">
        <v>2847</v>
      </c>
      <c r="E100" s="241" t="s">
        <v>2848</v>
      </c>
      <c r="F100" s="241" t="s">
        <v>2848</v>
      </c>
      <c r="G100" s="512">
        <v>45793</v>
      </c>
      <c r="H100" s="241" t="s">
        <v>4543</v>
      </c>
      <c r="I100" s="510">
        <f>_xlfn.XLOOKUP(Site_DB[[#This Row],[Site ID]],Logfile_S[SiteID],Logfile_S[Date],"",0,1)</f>
        <v>45829</v>
      </c>
      <c r="J100" s="262">
        <f>_xlfn.IFNA(VLOOKUP(Site_DB[[#This Row],[Site ID]],SUM_DN!B:X,21,0),0)</f>
        <v>0</v>
      </c>
      <c r="K100" s="262">
        <f>SUMIFS(Logfile_S[Qty],Logfile_S[Material Name],Site_DB[[#Headers],[Pole 7M 4"]],Logfile_S[SiteID],Site_DB[[#This Row],[Site ID]],Logfile_S[Transaction  Type],"outBOUND")</f>
        <v>0</v>
      </c>
      <c r="L100" s="262">
        <f>SUMIFS(Logfile_S[Qty],Logfile_S[Material Name],Site_DB[[#Headers],[Pole 7M 3"]],Logfile_S[SiteID],Site_DB[[#This Row],[Site ID]],Logfile_S[Transaction  Type],"outBOUND")</f>
        <v>8</v>
      </c>
      <c r="M100" s="262">
        <f>SUMIFS(Logfile_S[Qty],Logfile_S[Material Name],Site_DB[[#Headers],[Pole 9M]],Logfile_S[SiteID],Site_DB[[#This Row],[Site ID]],Logfile_S[Transaction  Type],"outBOUND")</f>
        <v>0</v>
      </c>
      <c r="N100" s="262">
        <v>3000</v>
      </c>
      <c r="O100" s="262">
        <v>0</v>
      </c>
      <c r="P100" s="262">
        <v>0</v>
      </c>
      <c r="Q100" s="262">
        <v>0</v>
      </c>
      <c r="R100" s="262">
        <v>0</v>
      </c>
      <c r="S100" s="262">
        <v>0</v>
      </c>
      <c r="T100" s="262">
        <v>9</v>
      </c>
      <c r="U100" s="262">
        <v>0</v>
      </c>
      <c r="V100" s="265">
        <v>0</v>
      </c>
      <c r="W100" s="262" t="s">
        <v>4635</v>
      </c>
      <c r="X100" s="227">
        <f>SUMIFS(Logfile_S[Qty],Logfile_S[Material Name],Site_DB[[#Headers],[Pole 7M 2.5"]],Logfile_S[SiteID],Site_DB[[#This Row],[Site ID]],Logfile_S[Transaction  Type],"outBOUND")</f>
        <v>0</v>
      </c>
      <c r="Y100" s="227">
        <f>SUMIFS(Logfile_S[Qty],Logfile_S[Material Name],Site_DB[[#Headers],[Pole 7M 4"]],Logfile_S[SiteID],Site_DB[[#This Row],[Site ID]],Logfile_S[Transaction  Type],"outBOUND")</f>
        <v>0</v>
      </c>
      <c r="Z100" s="227">
        <f>SUMIFS(Logfile_S[Qty],Logfile_S[Material Name],Site_DB[[#Headers],[Pole 7M 3"]],Logfile_S[SiteID],Site_DB[[#This Row],[Site ID]],Logfile_S[Transaction  Type],"outBOUND")</f>
        <v>8</v>
      </c>
      <c r="AA100" s="227">
        <f>SUMIFS(Logfile_S[Qty],Logfile_S[Material Name],Site_DB[[#Headers],[Pole 9M]],Logfile_S[SiteID],Site_DB[[#This Row],[Site ID]],Logfile_S[Transaction  Type],"outBOUND")</f>
        <v>0</v>
      </c>
      <c r="AB100" s="227"/>
      <c r="AC100" s="227"/>
      <c r="AD100" s="227"/>
      <c r="AE100" s="227"/>
      <c r="AF100" s="227"/>
      <c r="AG100" s="227"/>
      <c r="AH100" s="227"/>
      <c r="AI100" s="227"/>
    </row>
    <row r="101" spans="1:35" ht="14.5">
      <c r="A101" s="508">
        <f t="shared" ref="A101:A127" si="3">ROW()-ROW($A$4)</f>
        <v>97</v>
      </c>
      <c r="B101" s="241" t="s">
        <v>71</v>
      </c>
      <c r="C101" s="241" t="s">
        <v>24</v>
      </c>
      <c r="D101" s="511" t="s">
        <v>2855</v>
      </c>
      <c r="E101" s="241" t="s">
        <v>4594</v>
      </c>
      <c r="F101" s="241" t="s">
        <v>4594</v>
      </c>
      <c r="G101" s="512">
        <v>45793</v>
      </c>
      <c r="H101" s="241" t="s">
        <v>4543</v>
      </c>
      <c r="I101" s="510">
        <f>_xlfn.XLOOKUP(Site_DB[[#This Row],[Site ID]],Logfile_S[SiteID],Logfile_S[Date],"",0,1)</f>
        <v>45824</v>
      </c>
      <c r="J101" s="262">
        <f>_xlfn.IFNA(VLOOKUP(Site_DB[[#This Row],[Site ID]],SUM_DN!B:X,21,0),0)</f>
        <v>0</v>
      </c>
      <c r="K101" s="262">
        <f>SUMIFS(Logfile_S[Qty],Logfile_S[Material Name],Site_DB[[#Headers],[Pole 7M 4"]],Logfile_S[SiteID],Site_DB[[#This Row],[Site ID]],Logfile_S[Transaction  Type],"outBOUND")</f>
        <v>10</v>
      </c>
      <c r="L101" s="262">
        <f>SUMIFS(Logfile_S[Qty],Logfile_S[Material Name],Site_DB[[#Headers],[Pole 7M 3"]],Logfile_S[SiteID],Site_DB[[#This Row],[Site ID]],Logfile_S[Transaction  Type],"outBOUND")</f>
        <v>10</v>
      </c>
      <c r="M101" s="262">
        <f>SUMIFS(Logfile_S[Qty],Logfile_S[Material Name],Site_DB[[#Headers],[Pole 9M]],Logfile_S[SiteID],Site_DB[[#This Row],[Site ID]],Logfile_S[Transaction  Type],"outBOUND")</f>
        <v>0</v>
      </c>
      <c r="N101" s="262">
        <v>0</v>
      </c>
      <c r="O101" s="262">
        <v>3000</v>
      </c>
      <c r="P101" s="262">
        <v>0</v>
      </c>
      <c r="Q101" s="262">
        <v>0</v>
      </c>
      <c r="R101" s="262">
        <v>1</v>
      </c>
      <c r="S101" s="262">
        <v>0</v>
      </c>
      <c r="T101" s="262">
        <v>16</v>
      </c>
      <c r="U101" s="262">
        <v>1</v>
      </c>
      <c r="V101" s="265">
        <v>0</v>
      </c>
      <c r="W101" s="262" t="s">
        <v>4635</v>
      </c>
      <c r="X101" s="227">
        <f>SUMIFS(Logfile_S[Qty],Logfile_S[Material Name],Site_DB[[#Headers],[Pole 7M 2.5"]],Logfile_S[SiteID],Site_DB[[#This Row],[Site ID]],Logfile_S[Transaction  Type],"outBOUND")</f>
        <v>0</v>
      </c>
      <c r="Y101" s="227">
        <f>SUMIFS(Logfile_S[Qty],Logfile_S[Material Name],Site_DB[[#Headers],[Pole 7M 4"]],Logfile_S[SiteID],Site_DB[[#This Row],[Site ID]],Logfile_S[Transaction  Type],"outBOUND")</f>
        <v>10</v>
      </c>
      <c r="Z101" s="227">
        <f>SUMIFS(Logfile_S[Qty],Logfile_S[Material Name],Site_DB[[#Headers],[Pole 7M 3"]],Logfile_S[SiteID],Site_DB[[#This Row],[Site ID]],Logfile_S[Transaction  Type],"outBOUND")</f>
        <v>10</v>
      </c>
      <c r="AA101" s="227">
        <f>SUMIFS(Logfile_S[Qty],Logfile_S[Material Name],Site_DB[[#Headers],[Pole 9M]],Logfile_S[SiteID],Site_DB[[#This Row],[Site ID]],Logfile_S[Transaction  Type],"outBOUND")</f>
        <v>0</v>
      </c>
      <c r="AB101" s="227"/>
      <c r="AC101" s="227"/>
      <c r="AD101" s="227"/>
      <c r="AE101" s="227"/>
      <c r="AF101" s="227"/>
      <c r="AG101" s="227"/>
      <c r="AH101" s="227"/>
      <c r="AI101" s="227"/>
    </row>
    <row r="102" spans="1:35" ht="14.5">
      <c r="A102" s="508">
        <f t="shared" si="3"/>
        <v>98</v>
      </c>
      <c r="B102" s="241" t="s">
        <v>71</v>
      </c>
      <c r="C102" s="241" t="s">
        <v>24</v>
      </c>
      <c r="D102" s="511" t="s">
        <v>2843</v>
      </c>
      <c r="E102" s="241" t="s">
        <v>2844</v>
      </c>
      <c r="F102" s="241" t="s">
        <v>2844</v>
      </c>
      <c r="G102" s="512">
        <v>45793</v>
      </c>
      <c r="H102" s="241" t="s">
        <v>4543</v>
      </c>
      <c r="I102" s="510">
        <f>_xlfn.XLOOKUP(Site_DB[[#This Row],[Site ID]],Logfile_S[SiteID],Logfile_S[Date],"",0,1)</f>
        <v>45834</v>
      </c>
      <c r="J102" s="262">
        <f>_xlfn.IFNA(VLOOKUP(Site_DB[[#This Row],[Site ID]],SUM_DN!B:X,21,0),0)</f>
        <v>0</v>
      </c>
      <c r="K102" s="262">
        <f>SUMIFS(Logfile_S[Qty],Logfile_S[Material Name],Site_DB[[#Headers],[Pole 7M 4"]],Logfile_S[SiteID],Site_DB[[#This Row],[Site ID]],Logfile_S[Transaction  Type],"outBOUND")</f>
        <v>0</v>
      </c>
      <c r="L102" s="262">
        <f>SUMIFS(Logfile_S[Qty],Logfile_S[Material Name],Site_DB[[#Headers],[Pole 7M 3"]],Logfile_S[SiteID],Site_DB[[#This Row],[Site ID]],Logfile_S[Transaction  Type],"outBOUND")</f>
        <v>10</v>
      </c>
      <c r="M102" s="262">
        <f>SUMIFS(Logfile_S[Qty],Logfile_S[Material Name],Site_DB[[#Headers],[Pole 9M]],Logfile_S[SiteID],Site_DB[[#This Row],[Site ID]],Logfile_S[Transaction  Type],"outBOUND")</f>
        <v>0</v>
      </c>
      <c r="N102" s="262">
        <v>0</v>
      </c>
      <c r="O102" s="262">
        <v>0</v>
      </c>
      <c r="P102" s="262">
        <v>0</v>
      </c>
      <c r="Q102" s="262">
        <v>0</v>
      </c>
      <c r="R102" s="262">
        <v>0</v>
      </c>
      <c r="S102" s="262">
        <v>0</v>
      </c>
      <c r="T102" s="262">
        <v>7</v>
      </c>
      <c r="U102" s="262">
        <v>0</v>
      </c>
      <c r="V102" s="265">
        <v>0</v>
      </c>
      <c r="W102" s="262" t="s">
        <v>4635</v>
      </c>
      <c r="X102" s="227">
        <f>SUMIFS(Logfile_S[Qty],Logfile_S[Material Name],Site_DB[[#Headers],[Pole 7M 2.5"]],Logfile_S[SiteID],Site_DB[[#This Row],[Site ID]],Logfile_S[Transaction  Type],"outBOUND")</f>
        <v>0</v>
      </c>
      <c r="Y102" s="227">
        <f>SUMIFS(Logfile_S[Qty],Logfile_S[Material Name],Site_DB[[#Headers],[Pole 7M 4"]],Logfile_S[SiteID],Site_DB[[#This Row],[Site ID]],Logfile_S[Transaction  Type],"outBOUND")</f>
        <v>0</v>
      </c>
      <c r="Z102" s="227">
        <f>SUMIFS(Logfile_S[Qty],Logfile_S[Material Name],Site_DB[[#Headers],[Pole 7M 3"]],Logfile_S[SiteID],Site_DB[[#This Row],[Site ID]],Logfile_S[Transaction  Type],"outBOUND")</f>
        <v>10</v>
      </c>
      <c r="AA102" s="227">
        <f>SUMIFS(Logfile_S[Qty],Logfile_S[Material Name],Site_DB[[#Headers],[Pole 9M]],Logfile_S[SiteID],Site_DB[[#This Row],[Site ID]],Logfile_S[Transaction  Type],"outBOUND")</f>
        <v>0</v>
      </c>
      <c r="AB102" s="227"/>
      <c r="AC102" s="227"/>
      <c r="AD102" s="227"/>
      <c r="AE102" s="227"/>
      <c r="AF102" s="227"/>
      <c r="AG102" s="227"/>
      <c r="AH102" s="227"/>
      <c r="AI102" s="227"/>
    </row>
    <row r="103" spans="1:35" ht="14.5">
      <c r="A103" s="508">
        <f t="shared" si="3"/>
        <v>99</v>
      </c>
      <c r="B103" s="241" t="s">
        <v>71</v>
      </c>
      <c r="C103" s="241" t="s">
        <v>24</v>
      </c>
      <c r="D103" s="511" t="s">
        <v>2851</v>
      </c>
      <c r="E103" s="241" t="s">
        <v>2852</v>
      </c>
      <c r="F103" s="241" t="s">
        <v>2852</v>
      </c>
      <c r="G103" s="512">
        <v>45793</v>
      </c>
      <c r="H103" s="241" t="s">
        <v>4543</v>
      </c>
      <c r="I103" s="510">
        <f>_xlfn.XLOOKUP(Site_DB[[#This Row],[Site ID]],Logfile_S[SiteID],Logfile_S[Date],"",0,1)</f>
        <v>45827</v>
      </c>
      <c r="J103" s="262">
        <f>_xlfn.IFNA(VLOOKUP(Site_DB[[#This Row],[Site ID]],SUM_DN!B:X,21,0),0)</f>
        <v>0</v>
      </c>
      <c r="K103" s="262">
        <f>SUMIFS(Logfile_S[Qty],Logfile_S[Material Name],Site_DB[[#Headers],[Pole 7M 4"]],Logfile_S[SiteID],Site_DB[[#This Row],[Site ID]],Logfile_S[Transaction  Type],"outBOUND")</f>
        <v>0</v>
      </c>
      <c r="L103" s="262">
        <f>SUMIFS(Logfile_S[Qty],Logfile_S[Material Name],Site_DB[[#Headers],[Pole 7M 3"]],Logfile_S[SiteID],Site_DB[[#This Row],[Site ID]],Logfile_S[Transaction  Type],"outBOUND")</f>
        <v>167</v>
      </c>
      <c r="M103" s="262">
        <f>SUMIFS(Logfile_S[Qty],Logfile_S[Material Name],Site_DB[[#Headers],[Pole 9M]],Logfile_S[SiteID],Site_DB[[#This Row],[Site ID]],Logfile_S[Transaction  Type],"outBOUND")</f>
        <v>11</v>
      </c>
      <c r="N103" s="262">
        <v>3000</v>
      </c>
      <c r="O103" s="262">
        <v>0</v>
      </c>
      <c r="P103" s="262">
        <v>0</v>
      </c>
      <c r="Q103" s="262">
        <v>0</v>
      </c>
      <c r="R103" s="262">
        <v>0</v>
      </c>
      <c r="S103" s="262">
        <v>1</v>
      </c>
      <c r="T103" s="262">
        <v>14</v>
      </c>
      <c r="U103" s="262">
        <v>0</v>
      </c>
      <c r="V103" s="265">
        <v>0</v>
      </c>
      <c r="W103" s="262" t="s">
        <v>4635</v>
      </c>
      <c r="X103" s="227">
        <f>SUMIFS(Logfile_S[Qty],Logfile_S[Material Name],Site_DB[[#Headers],[Pole 7M 2.5"]],Logfile_S[SiteID],Site_DB[[#This Row],[Site ID]],Logfile_S[Transaction  Type],"outBOUND")</f>
        <v>0</v>
      </c>
      <c r="Y103" s="227">
        <f>SUMIFS(Logfile_S[Qty],Logfile_S[Material Name],Site_DB[[#Headers],[Pole 7M 4"]],Logfile_S[SiteID],Site_DB[[#This Row],[Site ID]],Logfile_S[Transaction  Type],"outBOUND")</f>
        <v>0</v>
      </c>
      <c r="Z103" s="227">
        <f>SUMIFS(Logfile_S[Qty],Logfile_S[Material Name],Site_DB[[#Headers],[Pole 7M 3"]],Logfile_S[SiteID],Site_DB[[#This Row],[Site ID]],Logfile_S[Transaction  Type],"outBOUND")</f>
        <v>167</v>
      </c>
      <c r="AA103" s="227">
        <f>SUMIFS(Logfile_S[Qty],Logfile_S[Material Name],Site_DB[[#Headers],[Pole 9M]],Logfile_S[SiteID],Site_DB[[#This Row],[Site ID]],Logfile_S[Transaction  Type],"outBOUND")</f>
        <v>11</v>
      </c>
      <c r="AB103" s="227"/>
      <c r="AC103" s="227"/>
      <c r="AD103" s="227"/>
      <c r="AE103" s="227"/>
      <c r="AF103" s="227"/>
      <c r="AG103" s="227"/>
      <c r="AH103" s="227"/>
      <c r="AI103" s="227"/>
    </row>
    <row r="104" spans="1:35" ht="14.5">
      <c r="A104" s="508">
        <f t="shared" si="3"/>
        <v>100</v>
      </c>
      <c r="B104" s="241" t="s">
        <v>71</v>
      </c>
      <c r="C104" s="241" t="s">
        <v>24</v>
      </c>
      <c r="D104" s="511" t="s">
        <v>2861</v>
      </c>
      <c r="E104" s="241" t="s">
        <v>2862</v>
      </c>
      <c r="F104" s="241" t="s">
        <v>2862</v>
      </c>
      <c r="G104" s="512">
        <v>45793</v>
      </c>
      <c r="H104" s="241" t="s">
        <v>4543</v>
      </c>
      <c r="I104" s="510">
        <f>_xlfn.XLOOKUP(Site_DB[[#This Row],[Site ID]],Logfile_S[SiteID],Logfile_S[Date],"",0,1)</f>
        <v>45825</v>
      </c>
      <c r="J104" s="262">
        <f>_xlfn.IFNA(VLOOKUP(Site_DB[[#This Row],[Site ID]],SUM_DN!B:X,21,0),0)</f>
        <v>0</v>
      </c>
      <c r="K104" s="262">
        <f>SUMIFS(Logfile_S[Qty],Logfile_S[Material Name],Site_DB[[#Headers],[Pole 7M 4"]],Logfile_S[SiteID],Site_DB[[#This Row],[Site ID]],Logfile_S[Transaction  Type],"outBOUND")</f>
        <v>0</v>
      </c>
      <c r="L104" s="262">
        <f>SUMIFS(Logfile_S[Qty],Logfile_S[Material Name],Site_DB[[#Headers],[Pole 7M 3"]],Logfile_S[SiteID],Site_DB[[#This Row],[Site ID]],Logfile_S[Transaction  Type],"outBOUND")</f>
        <v>0</v>
      </c>
      <c r="M104" s="262">
        <f>SUMIFS(Logfile_S[Qty],Logfile_S[Material Name],Site_DB[[#Headers],[Pole 9M]],Logfile_S[SiteID],Site_DB[[#This Row],[Site ID]],Logfile_S[Transaction  Type],"outBOUND")</f>
        <v>1</v>
      </c>
      <c r="N104" s="262">
        <v>3000</v>
      </c>
      <c r="O104" s="262">
        <v>3000</v>
      </c>
      <c r="P104" s="262">
        <v>0</v>
      </c>
      <c r="Q104" s="262">
        <v>0</v>
      </c>
      <c r="R104" s="262">
        <v>0</v>
      </c>
      <c r="S104" s="262">
        <v>1</v>
      </c>
      <c r="T104" s="262">
        <v>26</v>
      </c>
      <c r="U104" s="262">
        <v>0</v>
      </c>
      <c r="V104" s="265">
        <v>0</v>
      </c>
      <c r="W104" s="262" t="s">
        <v>4638</v>
      </c>
      <c r="X104" s="227">
        <f>SUMIFS(Logfile_S[Qty],Logfile_S[Material Name],Site_DB[[#Headers],[Pole 7M 2.5"]],Logfile_S[SiteID],Site_DB[[#This Row],[Site ID]],Logfile_S[Transaction  Type],"outBOUND")</f>
        <v>0</v>
      </c>
      <c r="Y104" s="227">
        <f>SUMIFS(Logfile_S[Qty],Logfile_S[Material Name],Site_DB[[#Headers],[Pole 7M 4"]],Logfile_S[SiteID],Site_DB[[#This Row],[Site ID]],Logfile_S[Transaction  Type],"outBOUND")</f>
        <v>0</v>
      </c>
      <c r="Z104" s="227">
        <f>SUMIFS(Logfile_S[Qty],Logfile_S[Material Name],Site_DB[[#Headers],[Pole 7M 3"]],Logfile_S[SiteID],Site_DB[[#This Row],[Site ID]],Logfile_S[Transaction  Type],"outBOUND")</f>
        <v>0</v>
      </c>
      <c r="AA104" s="227">
        <f>SUMIFS(Logfile_S[Qty],Logfile_S[Material Name],Site_DB[[#Headers],[Pole 9M]],Logfile_S[SiteID],Site_DB[[#This Row],[Site ID]],Logfile_S[Transaction  Type],"outBOUND")</f>
        <v>1</v>
      </c>
      <c r="AB104" s="227"/>
      <c r="AC104" s="227"/>
      <c r="AD104" s="227"/>
      <c r="AE104" s="227"/>
      <c r="AF104" s="227"/>
      <c r="AG104" s="227"/>
      <c r="AH104" s="227"/>
      <c r="AI104" s="227"/>
    </row>
    <row r="105" spans="1:35" ht="14.5">
      <c r="A105" s="508">
        <f t="shared" si="3"/>
        <v>101</v>
      </c>
      <c r="B105" s="241" t="s">
        <v>71</v>
      </c>
      <c r="C105" s="241" t="s">
        <v>24</v>
      </c>
      <c r="D105" s="511" t="s">
        <v>2992</v>
      </c>
      <c r="E105" s="241" t="s">
        <v>2993</v>
      </c>
      <c r="F105" s="241" t="s">
        <v>2993</v>
      </c>
      <c r="G105" s="512">
        <v>45799</v>
      </c>
      <c r="H105" s="241" t="s">
        <v>4543</v>
      </c>
      <c r="I105" s="510">
        <f>_xlfn.XLOOKUP(Site_DB[[#This Row],[Site ID]],Logfile_S[SiteID],Logfile_S[Date],"",0,1)</f>
        <v>45875</v>
      </c>
      <c r="J105" s="262">
        <f>_xlfn.IFNA(VLOOKUP(Site_DB[[#This Row],[Site ID]],SUM_DN!B:X,21,0),0)</f>
        <v>0</v>
      </c>
      <c r="K105" s="262">
        <f>SUMIFS(Logfile_S[Qty],Logfile_S[Material Name],Site_DB[[#Headers],[Pole 7M 4"]],Logfile_S[SiteID],Site_DB[[#This Row],[Site ID]],Logfile_S[Transaction  Type],"outBOUND")</f>
        <v>0</v>
      </c>
      <c r="L105" s="262">
        <f>SUMIFS(Logfile_S[Qty],Logfile_S[Material Name],Site_DB[[#Headers],[Pole 7M 3"]],Logfile_S[SiteID],Site_DB[[#This Row],[Site ID]],Logfile_S[Transaction  Type],"outBOUND")</f>
        <v>0</v>
      </c>
      <c r="M105" s="262">
        <f>SUMIFS(Logfile_S[Qty],Logfile_S[Material Name],Site_DB[[#Headers],[Pole 9M]],Logfile_S[SiteID],Site_DB[[#This Row],[Site ID]],Logfile_S[Transaction  Type],"outBOUND")</f>
        <v>0</v>
      </c>
      <c r="N105" s="262">
        <v>1440</v>
      </c>
      <c r="O105" s="262">
        <v>0</v>
      </c>
      <c r="P105" s="262">
        <v>0</v>
      </c>
      <c r="Q105" s="262">
        <v>0</v>
      </c>
      <c r="R105" s="262">
        <v>0</v>
      </c>
      <c r="S105" s="262">
        <v>0</v>
      </c>
      <c r="T105" s="262">
        <v>0</v>
      </c>
      <c r="U105" s="262">
        <v>0</v>
      </c>
      <c r="V105" s="265">
        <v>0</v>
      </c>
      <c r="W105" s="262" t="s">
        <v>4636</v>
      </c>
      <c r="X105" s="227">
        <f>SUMIFS(Logfile_S[Qty],Logfile_S[Material Name],Site_DB[[#Headers],[Pole 7M 2.5"]],Logfile_S[SiteID],Site_DB[[#This Row],[Site ID]],Logfile_S[Transaction  Type],"outBOUND")</f>
        <v>0</v>
      </c>
      <c r="Y105" s="227">
        <f>SUMIFS(Logfile_S[Qty],Logfile_S[Material Name],Site_DB[[#Headers],[Pole 7M 4"]],Logfile_S[SiteID],Site_DB[[#This Row],[Site ID]],Logfile_S[Transaction  Type],"outBOUND")</f>
        <v>0</v>
      </c>
      <c r="Z105" s="227">
        <f>SUMIFS(Logfile_S[Qty],Logfile_S[Material Name],Site_DB[[#Headers],[Pole 7M 3"]],Logfile_S[SiteID],Site_DB[[#This Row],[Site ID]],Logfile_S[Transaction  Type],"outBOUND")</f>
        <v>0</v>
      </c>
      <c r="AA105" s="227">
        <f>SUMIFS(Logfile_S[Qty],Logfile_S[Material Name],Site_DB[[#Headers],[Pole 9M]],Logfile_S[SiteID],Site_DB[[#This Row],[Site ID]],Logfile_S[Transaction  Type],"outBOUND")</f>
        <v>0</v>
      </c>
      <c r="AB105" s="227"/>
      <c r="AC105" s="227"/>
      <c r="AD105" s="227"/>
      <c r="AE105" s="227"/>
      <c r="AF105" s="227"/>
      <c r="AG105" s="227"/>
      <c r="AH105" s="227"/>
      <c r="AI105" s="227"/>
    </row>
    <row r="106" spans="1:35" ht="14.5">
      <c r="A106" s="508">
        <f t="shared" si="3"/>
        <v>102</v>
      </c>
      <c r="B106" s="241" t="s">
        <v>71</v>
      </c>
      <c r="C106" s="241" t="s">
        <v>24</v>
      </c>
      <c r="D106" s="511" t="s">
        <v>2996</v>
      </c>
      <c r="E106" s="241" t="s">
        <v>2997</v>
      </c>
      <c r="F106" s="241" t="s">
        <v>2997</v>
      </c>
      <c r="G106" s="512">
        <v>45820</v>
      </c>
      <c r="H106" s="241" t="s">
        <v>4543</v>
      </c>
      <c r="I106" s="510">
        <f>_xlfn.XLOOKUP(Site_DB[[#This Row],[Site ID]],Logfile_S[SiteID],Logfile_S[Date],"",0,1)</f>
        <v>45875</v>
      </c>
      <c r="J106" s="262">
        <f>_xlfn.IFNA(VLOOKUP(Site_DB[[#This Row],[Site ID]],SUM_DN!B:X,21,0),0)</f>
        <v>0</v>
      </c>
      <c r="K106" s="262">
        <f>SUMIFS(Logfile_S[Qty],Logfile_S[Material Name],Site_DB[[#Headers],[Pole 7M 4"]],Logfile_S[SiteID],Site_DB[[#This Row],[Site ID]],Logfile_S[Transaction  Type],"outBOUND")</f>
        <v>17</v>
      </c>
      <c r="L106" s="262">
        <f>SUMIFS(Logfile_S[Qty],Logfile_S[Material Name],Site_DB[[#Headers],[Pole 7M 3"]],Logfile_S[SiteID],Site_DB[[#This Row],[Site ID]],Logfile_S[Transaction  Type],"outBOUND")</f>
        <v>37</v>
      </c>
      <c r="M106" s="262">
        <f>SUMIFS(Logfile_S[Qty],Logfile_S[Material Name],Site_DB[[#Headers],[Pole 9M]],Logfile_S[SiteID],Site_DB[[#This Row],[Site ID]],Logfile_S[Transaction  Type],"outBOUND")</f>
        <v>1</v>
      </c>
      <c r="N106" s="262">
        <v>3000</v>
      </c>
      <c r="O106" s="262">
        <v>0</v>
      </c>
      <c r="P106" s="262">
        <v>0</v>
      </c>
      <c r="Q106" s="262">
        <v>0</v>
      </c>
      <c r="R106" s="262">
        <v>0</v>
      </c>
      <c r="S106" s="262">
        <v>0</v>
      </c>
      <c r="T106" s="262">
        <v>0</v>
      </c>
      <c r="U106" s="262">
        <v>0</v>
      </c>
      <c r="V106" s="265">
        <v>0</v>
      </c>
      <c r="W106" s="262" t="s">
        <v>4635</v>
      </c>
      <c r="X106" s="227">
        <f>SUMIFS(Logfile_S[Qty],Logfile_S[Material Name],Site_DB[[#Headers],[Pole 7M 2.5"]],Logfile_S[SiteID],Site_DB[[#This Row],[Site ID]],Logfile_S[Transaction  Type],"outBOUND")</f>
        <v>0</v>
      </c>
      <c r="Y106" s="227">
        <f>SUMIFS(Logfile_S[Qty],Logfile_S[Material Name],Site_DB[[#Headers],[Pole 7M 4"]],Logfile_S[SiteID],Site_DB[[#This Row],[Site ID]],Logfile_S[Transaction  Type],"outBOUND")</f>
        <v>17</v>
      </c>
      <c r="Z106" s="227">
        <f>SUMIFS(Logfile_S[Qty],Logfile_S[Material Name],Site_DB[[#Headers],[Pole 7M 3"]],Logfile_S[SiteID],Site_DB[[#This Row],[Site ID]],Logfile_S[Transaction  Type],"outBOUND")</f>
        <v>37</v>
      </c>
      <c r="AA106" s="227">
        <f>SUMIFS(Logfile_S[Qty],Logfile_S[Material Name],Site_DB[[#Headers],[Pole 9M]],Logfile_S[SiteID],Site_DB[[#This Row],[Site ID]],Logfile_S[Transaction  Type],"outBOUND")</f>
        <v>1</v>
      </c>
      <c r="AB106" s="227"/>
      <c r="AC106" s="227"/>
      <c r="AD106" s="227"/>
      <c r="AE106" s="227"/>
      <c r="AF106" s="227"/>
      <c r="AG106" s="227"/>
      <c r="AH106" s="227"/>
      <c r="AI106" s="227"/>
    </row>
    <row r="107" spans="1:35" ht="14.5">
      <c r="A107" s="508">
        <f t="shared" si="3"/>
        <v>103</v>
      </c>
      <c r="B107" s="241" t="s">
        <v>71</v>
      </c>
      <c r="C107" s="241" t="s">
        <v>24</v>
      </c>
      <c r="D107" s="511" t="s">
        <v>2925</v>
      </c>
      <c r="E107" s="241" t="s">
        <v>2926</v>
      </c>
      <c r="F107" s="241" t="s">
        <v>2926</v>
      </c>
      <c r="G107" s="512">
        <v>45841</v>
      </c>
      <c r="H107" s="241" t="s">
        <v>4543</v>
      </c>
      <c r="I107" s="510">
        <f>_xlfn.XLOOKUP(Site_DB[[#This Row],[Site ID]],Logfile_S[SiteID],Logfile_S[Date],"",0,1)</f>
        <v>45864</v>
      </c>
      <c r="J107" s="262">
        <f>_xlfn.IFNA(VLOOKUP(Site_DB[[#This Row],[Site ID]],SUM_DN!B:X,21,0),0)</f>
        <v>0</v>
      </c>
      <c r="K107" s="262">
        <f>SUMIFS(Logfile_S[Qty],Logfile_S[Material Name],Site_DB[[#Headers],[Pole 7M 4"]],Logfile_S[SiteID],Site_DB[[#This Row],[Site ID]],Logfile_S[Transaction  Type],"outBOUND")</f>
        <v>0</v>
      </c>
      <c r="L107" s="262">
        <f>SUMIFS(Logfile_S[Qty],Logfile_S[Material Name],Site_DB[[#Headers],[Pole 7M 3"]],Logfile_S[SiteID],Site_DB[[#This Row],[Site ID]],Logfile_S[Transaction  Type],"outBOUND")</f>
        <v>0</v>
      </c>
      <c r="M107" s="262">
        <f>SUMIFS(Logfile_S[Qty],Logfile_S[Material Name],Site_DB[[#Headers],[Pole 9M]],Logfile_S[SiteID],Site_DB[[#This Row],[Site ID]],Logfile_S[Transaction  Type],"outBOUND")</f>
        <v>7</v>
      </c>
      <c r="N107" s="262">
        <v>3000</v>
      </c>
      <c r="O107" s="262">
        <v>0</v>
      </c>
      <c r="P107" s="262">
        <v>0</v>
      </c>
      <c r="Q107" s="262">
        <v>0</v>
      </c>
      <c r="R107" s="262">
        <v>1</v>
      </c>
      <c r="S107" s="262">
        <v>0</v>
      </c>
      <c r="T107" s="262">
        <v>16</v>
      </c>
      <c r="U107" s="262">
        <v>0</v>
      </c>
      <c r="V107" s="265">
        <v>0</v>
      </c>
      <c r="W107" s="262" t="s">
        <v>4636</v>
      </c>
      <c r="X107" s="227">
        <f>SUMIFS(Logfile_S[Qty],Logfile_S[Material Name],Site_DB[[#Headers],[Pole 7M 2.5"]],Logfile_S[SiteID],Site_DB[[#This Row],[Site ID]],Logfile_S[Transaction  Type],"outBOUND")</f>
        <v>0</v>
      </c>
      <c r="Y107" s="227">
        <f>SUMIFS(Logfile_S[Qty],Logfile_S[Material Name],Site_DB[[#Headers],[Pole 7M 4"]],Logfile_S[SiteID],Site_DB[[#This Row],[Site ID]],Logfile_S[Transaction  Type],"outBOUND")</f>
        <v>0</v>
      </c>
      <c r="Z107" s="227">
        <f>SUMIFS(Logfile_S[Qty],Logfile_S[Material Name],Site_DB[[#Headers],[Pole 7M 3"]],Logfile_S[SiteID],Site_DB[[#This Row],[Site ID]],Logfile_S[Transaction  Type],"outBOUND")</f>
        <v>0</v>
      </c>
      <c r="AA107" s="227">
        <f>SUMIFS(Logfile_S[Qty],Logfile_S[Material Name],Site_DB[[#Headers],[Pole 9M]],Logfile_S[SiteID],Site_DB[[#This Row],[Site ID]],Logfile_S[Transaction  Type],"outBOUND")</f>
        <v>7</v>
      </c>
      <c r="AB107" s="227"/>
      <c r="AC107" s="227"/>
      <c r="AD107" s="227"/>
      <c r="AE107" s="227"/>
      <c r="AF107" s="227"/>
      <c r="AG107" s="227"/>
      <c r="AH107" s="227"/>
      <c r="AI107" s="227"/>
    </row>
    <row r="108" spans="1:35" ht="14.5">
      <c r="A108" s="508">
        <f t="shared" si="3"/>
        <v>104</v>
      </c>
      <c r="B108" s="241" t="s">
        <v>71</v>
      </c>
      <c r="C108" s="241" t="s">
        <v>24</v>
      </c>
      <c r="D108" s="241" t="s">
        <v>3668</v>
      </c>
      <c r="E108" s="241" t="s">
        <v>3669</v>
      </c>
      <c r="F108" s="241" t="s">
        <v>3669</v>
      </c>
      <c r="G108" s="512">
        <v>45841</v>
      </c>
      <c r="H108" s="241" t="s">
        <v>4543</v>
      </c>
      <c r="I108" s="510">
        <f>_xlfn.XLOOKUP(Site_DB[[#This Row],[Site ID]],Logfile_S[SiteID],Logfile_S[Date],"",0,1)</f>
        <v>45909</v>
      </c>
      <c r="J108" s="262">
        <f>_xlfn.IFNA(VLOOKUP(Site_DB[[#This Row],[Site ID]],SUM_DN!B:X,21,0),0)</f>
        <v>0</v>
      </c>
      <c r="K108" s="262">
        <f>SUMIFS(Logfile_S[Qty],Logfile_S[Material Name],Site_DB[[#Headers],[Pole 7M 4"]],Logfile_S[SiteID],Site_DB[[#This Row],[Site ID]],Logfile_S[Transaction  Type],"outBOUND")</f>
        <v>11</v>
      </c>
      <c r="L108" s="262">
        <f>SUMIFS(Logfile_S[Qty],Logfile_S[Material Name],Site_DB[[#Headers],[Pole 7M 3"]],Logfile_S[SiteID],Site_DB[[#This Row],[Site ID]],Logfile_S[Transaction  Type],"outBOUND")</f>
        <v>15</v>
      </c>
      <c r="M108" s="262">
        <f>SUMIFS(Logfile_S[Qty],Logfile_S[Material Name],Site_DB[[#Headers],[Pole 9M]],Logfile_S[SiteID],Site_DB[[#This Row],[Site ID]],Logfile_S[Transaction  Type],"outBOUND")</f>
        <v>0</v>
      </c>
      <c r="N108" s="262">
        <v>0</v>
      </c>
      <c r="O108" s="262">
        <v>0</v>
      </c>
      <c r="P108" s="262">
        <v>0</v>
      </c>
      <c r="Q108" s="262">
        <v>0</v>
      </c>
      <c r="R108" s="262">
        <v>0</v>
      </c>
      <c r="S108" s="262">
        <v>0</v>
      </c>
      <c r="T108" s="262">
        <v>0</v>
      </c>
      <c r="U108" s="262">
        <v>0</v>
      </c>
      <c r="V108" s="265">
        <v>0</v>
      </c>
      <c r="W108" s="262" t="s">
        <v>4635</v>
      </c>
      <c r="X108" s="227">
        <f>SUMIFS(Logfile_S[Qty],Logfile_S[Material Name],Site_DB[[#Headers],[Pole 7M 2.5"]],Logfile_S[SiteID],Site_DB[[#This Row],[Site ID]],Logfile_S[Transaction  Type],"outBOUND")</f>
        <v>0</v>
      </c>
      <c r="Y108" s="227">
        <f>SUMIFS(Logfile_S[Qty],Logfile_S[Material Name],Site_DB[[#Headers],[Pole 7M 4"]],Logfile_S[SiteID],Site_DB[[#This Row],[Site ID]],Logfile_S[Transaction  Type],"outBOUND")</f>
        <v>11</v>
      </c>
      <c r="Z108" s="227">
        <f>SUMIFS(Logfile_S[Qty],Logfile_S[Material Name],Site_DB[[#Headers],[Pole 7M 3"]],Logfile_S[SiteID],Site_DB[[#This Row],[Site ID]],Logfile_S[Transaction  Type],"outBOUND")</f>
        <v>15</v>
      </c>
      <c r="AA108" s="227">
        <f>SUMIFS(Logfile_S[Qty],Logfile_S[Material Name],Site_DB[[#Headers],[Pole 9M]],Logfile_S[SiteID],Site_DB[[#This Row],[Site ID]],Logfile_S[Transaction  Type],"outBOUND")</f>
        <v>0</v>
      </c>
      <c r="AB108" s="227"/>
      <c r="AC108" s="227"/>
      <c r="AD108" s="227"/>
      <c r="AE108" s="227"/>
      <c r="AF108" s="227"/>
      <c r="AG108" s="227"/>
      <c r="AH108" s="227"/>
      <c r="AI108" s="227"/>
    </row>
    <row r="109" spans="1:35" ht="14.5">
      <c r="A109" s="508">
        <f t="shared" si="3"/>
        <v>105</v>
      </c>
      <c r="B109" s="241" t="s">
        <v>71</v>
      </c>
      <c r="C109" s="241" t="s">
        <v>24</v>
      </c>
      <c r="D109" s="511" t="s">
        <v>4595</v>
      </c>
      <c r="E109" s="241" t="s">
        <v>4596</v>
      </c>
      <c r="F109" s="241" t="s">
        <v>4596</v>
      </c>
      <c r="G109" s="512">
        <v>45841</v>
      </c>
      <c r="H109" s="241" t="s">
        <v>4543</v>
      </c>
      <c r="I109" s="510">
        <f>_xlfn.XLOOKUP(Site_DB[[#This Row],[Site ID]],Logfile_S[SiteID],Logfile_S[Date],"",0,1)</f>
        <v>45946</v>
      </c>
      <c r="J109" s="262">
        <f>_xlfn.IFNA(VLOOKUP(Site_DB[[#This Row],[Site ID]],SUM_DN!B:X,21,0),0)</f>
        <v>0</v>
      </c>
      <c r="K109" s="262">
        <f>SUMIFS(Logfile_S[Qty],Logfile_S[Material Name],Site_DB[[#Headers],[Pole 7M 4"]],Logfile_S[SiteID],Site_DB[[#This Row],[Site ID]],Logfile_S[Transaction  Type],"outBOUND")</f>
        <v>0</v>
      </c>
      <c r="L109" s="262">
        <f>SUMIFS(Logfile_S[Qty],Logfile_S[Material Name],Site_DB[[#Headers],[Pole 7M 3"]],Logfile_S[SiteID],Site_DB[[#This Row],[Site ID]],Logfile_S[Transaction  Type],"outBOUND")</f>
        <v>19</v>
      </c>
      <c r="M109" s="262">
        <f>SUMIFS(Logfile_S[Qty],Logfile_S[Material Name],Site_DB[[#Headers],[Pole 9M]],Logfile_S[SiteID],Site_DB[[#This Row],[Site ID]],Logfile_S[Transaction  Type],"outBOUND")</f>
        <v>1</v>
      </c>
      <c r="N109" s="262">
        <v>0</v>
      </c>
      <c r="O109" s="262">
        <v>0</v>
      </c>
      <c r="P109" s="262">
        <v>0</v>
      </c>
      <c r="Q109" s="262">
        <v>0</v>
      </c>
      <c r="R109" s="262">
        <v>0</v>
      </c>
      <c r="S109" s="262">
        <v>0</v>
      </c>
      <c r="T109" s="262">
        <v>0</v>
      </c>
      <c r="U109" s="262">
        <v>0</v>
      </c>
      <c r="V109" s="265">
        <v>0</v>
      </c>
      <c r="W109" s="262" t="s">
        <v>4638</v>
      </c>
      <c r="X109" s="227">
        <f>SUMIFS(Logfile_S[Qty],Logfile_S[Material Name],Site_DB[[#Headers],[Pole 7M 2.5"]],Logfile_S[SiteID],Site_DB[[#This Row],[Site ID]],Logfile_S[Transaction  Type],"outBOUND")</f>
        <v>0</v>
      </c>
      <c r="Y109" s="227">
        <f>SUMIFS(Logfile_S[Qty],Logfile_S[Material Name],Site_DB[[#Headers],[Pole 7M 4"]],Logfile_S[SiteID],Site_DB[[#This Row],[Site ID]],Logfile_S[Transaction  Type],"outBOUND")</f>
        <v>0</v>
      </c>
      <c r="Z109" s="227">
        <f>SUMIFS(Logfile_S[Qty],Logfile_S[Material Name],Site_DB[[#Headers],[Pole 7M 3"]],Logfile_S[SiteID],Site_DB[[#This Row],[Site ID]],Logfile_S[Transaction  Type],"outBOUND")</f>
        <v>19</v>
      </c>
      <c r="AA109" s="227">
        <f>SUMIFS(Logfile_S[Qty],Logfile_S[Material Name],Site_DB[[#Headers],[Pole 9M]],Logfile_S[SiteID],Site_DB[[#This Row],[Site ID]],Logfile_S[Transaction  Type],"outBOUND")</f>
        <v>1</v>
      </c>
      <c r="AB109" s="227"/>
      <c r="AC109" s="227"/>
      <c r="AD109" s="227"/>
      <c r="AE109" s="227"/>
      <c r="AF109" s="227"/>
      <c r="AG109" s="227"/>
      <c r="AH109" s="227"/>
      <c r="AI109" s="227"/>
    </row>
    <row r="110" spans="1:35" ht="14.5">
      <c r="A110" s="508">
        <f t="shared" si="3"/>
        <v>106</v>
      </c>
      <c r="B110" s="241" t="s">
        <v>71</v>
      </c>
      <c r="C110" s="241" t="s">
        <v>24</v>
      </c>
      <c r="D110" s="511" t="s">
        <v>4847</v>
      </c>
      <c r="E110" s="241" t="s">
        <v>4846</v>
      </c>
      <c r="F110" s="241"/>
      <c r="G110" s="512"/>
      <c r="H110" s="241" t="s">
        <v>4543</v>
      </c>
      <c r="I110" s="510">
        <f>_xlfn.XLOOKUP(Site_DB[[#This Row],[Site ID]],Logfile_S[SiteID],Logfile_S[Date],"",0,1)</f>
        <v>46133</v>
      </c>
      <c r="J110" s="227">
        <f>_xlfn.IFNA(VLOOKUP(Site_DB[[#This Row],[Site ID]],SUM_DN!B:X,21,0),0)</f>
        <v>0</v>
      </c>
      <c r="K110" s="262">
        <f>VLOOKUP(Site_DB[[#This Row],[Site ID]],SUM_DN!B:Z,8,0)</f>
        <v>0</v>
      </c>
      <c r="L110" s="262">
        <f>SUMIFS(Logfile_S[Qty],Logfile_S[Material Name],Site_DB[[#Headers],[Pole 7M 3"]],Logfile_S[SiteID],Site_DB[[#This Row],[Site ID]],Logfile_S[Transaction  Type],"outBOUND")</f>
        <v>10</v>
      </c>
      <c r="M110" s="262">
        <f>SUMIFS(Logfile_S[Qty],Logfile_S[Material Name],Site_DB[[#Headers],[Pole 9M]],Logfile_S[SiteID],Site_DB[[#This Row],[Site ID]],Logfile_S[Transaction  Type],"outBOUND")</f>
        <v>0</v>
      </c>
      <c r="N110" s="277"/>
      <c r="O110" s="277"/>
      <c r="P110" s="277"/>
      <c r="Q110" s="277"/>
      <c r="R110" s="277">
        <v>1</v>
      </c>
      <c r="S110" s="277"/>
      <c r="T110" s="277">
        <v>14</v>
      </c>
      <c r="U110" s="277"/>
      <c r="V110" s="513"/>
      <c r="W110" s="262" t="s">
        <v>4637</v>
      </c>
      <c r="X110" s="227">
        <f>SUMIFS(Logfile_S[Qty],Logfile_S[Material Name],Site_DB[[#Headers],[Pole 7M 2.5"]],Logfile_S[SiteID],Site_DB[[#This Row],[Site ID]],Logfile_S[Transaction  Type],"outBOUND")</f>
        <v>5</v>
      </c>
      <c r="Y110" s="277">
        <f>SUMIFS(Logfile_S[Qty],Logfile_S[Material Name],Site_DB[[#Headers],[Pole 7M 4"]],Logfile_S[SiteID],Site_DB[[#This Row],[Site ID]],Logfile_S[Transaction  Type],"outBOUND")</f>
        <v>7</v>
      </c>
      <c r="Z110" s="227">
        <f>SUMIFS(Logfile_S[Qty],Logfile_S[Material Name],Site_DB[[#Headers],[Pole 7M 3"]],Logfile_S[SiteID],Site_DB[[#This Row],[Site ID]],Logfile_S[Transaction  Type],"outBOUND")</f>
        <v>10</v>
      </c>
      <c r="AA110" s="227">
        <f>SUMIFS(Logfile_S[Qty],Logfile_S[Material Name],Site_DB[[#Headers],[Pole 9M]],Logfile_S[SiteID],Site_DB[[#This Row],[Site ID]],Logfile_S[Transaction  Type],"outBOUND")</f>
        <v>0</v>
      </c>
      <c r="AB110" s="277"/>
      <c r="AC110" s="277"/>
      <c r="AD110" s="277"/>
      <c r="AE110" s="277"/>
      <c r="AF110" s="227"/>
      <c r="AG110" s="227"/>
      <c r="AH110" s="227"/>
      <c r="AI110" s="227"/>
    </row>
    <row r="111" spans="1:35" ht="14.5">
      <c r="A111" s="508">
        <f t="shared" si="3"/>
        <v>107</v>
      </c>
      <c r="B111" s="241" t="s">
        <v>71</v>
      </c>
      <c r="C111" s="241" t="s">
        <v>24</v>
      </c>
      <c r="D111" s="511" t="s">
        <v>4813</v>
      </c>
      <c r="E111" s="241" t="s">
        <v>4815</v>
      </c>
      <c r="F111" s="241"/>
      <c r="G111" s="512"/>
      <c r="H111" s="241" t="s">
        <v>4543</v>
      </c>
      <c r="I111" s="510">
        <f>_xlfn.XLOOKUP(Site_DB[[#This Row],[Site ID]],Logfile_S[SiteID],Logfile_S[Date],"",0,1)</f>
        <v>46042</v>
      </c>
      <c r="J111" s="277">
        <f>_xlfn.IFNA(VLOOKUP(Site_DB[[#This Row],[Site ID]],SUM_DN!B:X,21,0),0)</f>
        <v>12</v>
      </c>
      <c r="K111" s="262">
        <f>SUMIFS(Logfile_S[Qty],Logfile_S[Material Name],Site_DB[[#Headers],[Pole 7M 4"]],Logfile_S[SiteID],Site_DB[[#This Row],[Site ID]],Logfile_S[Transaction  Type],"outBOUND")</f>
        <v>20</v>
      </c>
      <c r="L111" s="262">
        <f>SUMIFS(Logfile_S[Qty],Logfile_S[Material Name],Site_DB[[#Headers],[Pole 7M 3"]],Logfile_S[SiteID],Site_DB[[#This Row],[Site ID]],Logfile_S[Transaction  Type],"outBOUND")</f>
        <v>45</v>
      </c>
      <c r="M111" s="262">
        <f>SUMIFS(Logfile_S[Qty],Logfile_S[Material Name],Site_DB[[#Headers],[Pole 9M]],Logfile_S[SiteID],Site_DB[[#This Row],[Site ID]],Logfile_S[Transaction  Type],"outBOUND")</f>
        <v>0</v>
      </c>
      <c r="N111" s="277"/>
      <c r="O111" s="277"/>
      <c r="P111" s="277"/>
      <c r="Q111" s="277"/>
      <c r="R111" s="277"/>
      <c r="S111" s="277"/>
      <c r="T111" s="277">
        <v>13</v>
      </c>
      <c r="U111" s="277"/>
      <c r="V111" s="513"/>
      <c r="W111" s="262" t="s">
        <v>4636</v>
      </c>
      <c r="X111" s="227">
        <f>SUMIFS(Logfile_S[Qty],Logfile_S[Material Name],Site_DB[[#Headers],[Pole 7M 2.5"]],Logfile_S[SiteID],Site_DB[[#This Row],[Site ID]],Logfile_S[Transaction  Type],"outBOUND")</f>
        <v>18</v>
      </c>
      <c r="Y111" s="238">
        <f>SUMIFS(Logfile_S[Qty],Logfile_S[Material Name],Site_DB[[#Headers],[Pole 7M 4"]],Logfile_S[SiteID],Site_DB[[#This Row],[Site ID]],Logfile_S[Transaction  Type],"outBOUND")</f>
        <v>20</v>
      </c>
      <c r="Z111" s="227">
        <f>SUMIFS(Logfile_S[Qty],Logfile_S[Material Name],Site_DB[[#Headers],[Pole 7M 3"]],Logfile_S[SiteID],Site_DB[[#This Row],[Site ID]],Logfile_S[Transaction  Type],"outBOUND")</f>
        <v>45</v>
      </c>
      <c r="AA111" s="227">
        <f>SUMIFS(Logfile_S[Qty],Logfile_S[Material Name],Site_DB[[#Headers],[Pole 9M]],Logfile_S[SiteID],Site_DB[[#This Row],[Site ID]],Logfile_S[Transaction  Type],"outBOUND")</f>
        <v>0</v>
      </c>
      <c r="AB111" s="277"/>
      <c r="AC111" s="238"/>
      <c r="AD111" s="238"/>
      <c r="AE111" s="238"/>
      <c r="AF111" s="227"/>
      <c r="AG111" s="227"/>
      <c r="AH111" s="227"/>
      <c r="AI111" s="227"/>
    </row>
    <row r="112" spans="1:35" ht="14.5">
      <c r="A112" s="508">
        <f t="shared" si="3"/>
        <v>108</v>
      </c>
      <c r="B112" s="241" t="s">
        <v>71</v>
      </c>
      <c r="C112" s="241" t="s">
        <v>24</v>
      </c>
      <c r="D112" s="511" t="s">
        <v>4835</v>
      </c>
      <c r="E112" s="241" t="s">
        <v>4836</v>
      </c>
      <c r="F112" s="241"/>
      <c r="G112" s="512"/>
      <c r="H112" s="241" t="s">
        <v>4543</v>
      </c>
      <c r="I112" s="510">
        <f>_xlfn.XLOOKUP(Site_DB[[#This Row],[Site ID]],Logfile_S[SiteID],Logfile_S[Date],"",0,1)</f>
        <v>46087</v>
      </c>
      <c r="J112" s="277">
        <f>_xlfn.IFNA(VLOOKUP(Site_DB[[#This Row],[Site ID]],SUM_DN!B:X,21,0),0)</f>
        <v>13</v>
      </c>
      <c r="K112" s="262">
        <f>SUMIFS(Logfile_S[Qty],Logfile_S[Material Name],Site_DB[[#Headers],[Pole 7M 4"]],Logfile_S[SiteID],Site_DB[[#This Row],[Site ID]],Logfile_S[Transaction  Type],"outBOUND")</f>
        <v>1</v>
      </c>
      <c r="L112" s="262">
        <f>SUMIFS(Logfile_S[Qty],Logfile_S[Material Name],Site_DB[[#Headers],[Pole 7M 3"]],Logfile_S[SiteID],Site_DB[[#This Row],[Site ID]],Logfile_S[Transaction  Type],"outBOUND")</f>
        <v>28</v>
      </c>
      <c r="M112" s="262">
        <f>SUMIFS(Logfile_S[Qty],Logfile_S[Material Name],Site_DB[[#Headers],[Pole 9M]],Logfile_S[SiteID],Site_DB[[#This Row],[Site ID]],Logfile_S[Transaction  Type],"outBOUND")</f>
        <v>0</v>
      </c>
      <c r="N112" s="277"/>
      <c r="O112" s="277"/>
      <c r="P112" s="277"/>
      <c r="Q112" s="277"/>
      <c r="R112" s="277"/>
      <c r="S112" s="277">
        <v>1</v>
      </c>
      <c r="T112" s="277">
        <v>21</v>
      </c>
      <c r="U112" s="277">
        <v>1</v>
      </c>
      <c r="V112" s="513"/>
      <c r="W112" s="262" t="s">
        <v>4636</v>
      </c>
      <c r="X112" s="227">
        <f>SUMIFS(Logfile_S[Qty],Logfile_S[Material Name],Site_DB[[#Headers],[Pole 7M 2.5"]],Logfile_S[SiteID],Site_DB[[#This Row],[Site ID]],Logfile_S[Transaction  Type],"outBOUND")</f>
        <v>16</v>
      </c>
      <c r="Y112" s="277">
        <f>SUMIFS(Logfile_S[Qty],Logfile_S[Material Name],Site_DB[[#Headers],[Pole 7M 4"]],Logfile_S[SiteID],Site_DB[[#This Row],[Site ID]],Logfile_S[Transaction  Type],"outBOUND")</f>
        <v>1</v>
      </c>
      <c r="Z112" s="227">
        <f>SUMIFS(Logfile_S[Qty],Logfile_S[Material Name],Site_DB[[#Headers],[Pole 7M 3"]],Logfile_S[SiteID],Site_DB[[#This Row],[Site ID]],Logfile_S[Transaction  Type],"outBOUND")</f>
        <v>28</v>
      </c>
      <c r="AA112" s="227">
        <f>SUMIFS(Logfile_S[Qty],Logfile_S[Material Name],Site_DB[[#Headers],[Pole 9M]],Logfile_S[SiteID],Site_DB[[#This Row],[Site ID]],Logfile_S[Transaction  Type],"outBOUND")</f>
        <v>0</v>
      </c>
      <c r="AB112" s="277"/>
      <c r="AC112" s="277"/>
      <c r="AD112" s="277"/>
      <c r="AE112" s="277"/>
      <c r="AF112" s="227"/>
      <c r="AG112" s="227"/>
      <c r="AH112" s="227"/>
      <c r="AI112" s="227"/>
    </row>
    <row r="113" spans="1:35" ht="14.5">
      <c r="A113" s="508">
        <f t="shared" si="3"/>
        <v>109</v>
      </c>
      <c r="B113" s="241" t="s">
        <v>71</v>
      </c>
      <c r="C113" s="241" t="s">
        <v>24</v>
      </c>
      <c r="D113" s="511" t="s">
        <v>4663</v>
      </c>
      <c r="E113" s="241" t="s">
        <v>4664</v>
      </c>
      <c r="F113" s="241"/>
      <c r="G113" s="512"/>
      <c r="H113" s="241" t="s">
        <v>4543</v>
      </c>
      <c r="I113" s="510">
        <f>_xlfn.XLOOKUP(Site_DB[[#This Row],[Site ID]],Logfile_S[SiteID],Logfile_S[Date],"",0,1)</f>
        <v>45953</v>
      </c>
      <c r="J113" s="227">
        <f>_xlfn.IFNA(VLOOKUP(Site_DB[[#This Row],[Site ID]],SUM_DN!B:X,21,0),0)</f>
        <v>0</v>
      </c>
      <c r="K113" s="262">
        <f>SUMIFS(Logfile_S[Qty],Logfile_S[Material Name],Site_DB[[#Headers],[Pole 7M 4"]],Logfile_S[SiteID],Site_DB[[#This Row],[Site ID]],Logfile_S[Transaction  Type],"outBOUND")</f>
        <v>39</v>
      </c>
      <c r="L113" s="262">
        <f>SUMIFS(Logfile_S[Qty],Logfile_S[Material Name],Site_DB[[#Headers],[Pole 7M 3"]],Logfile_S[SiteID],Site_DB[[#This Row],[Site ID]],Logfile_S[Transaction  Type],"outBOUND")</f>
        <v>41</v>
      </c>
      <c r="M113" s="262">
        <f>SUMIFS(Logfile_S[Qty],Logfile_S[Material Name],Site_DB[[#Headers],[Pole 9M]],Logfile_S[SiteID],Site_DB[[#This Row],[Site ID]],Logfile_S[Transaction  Type],"outBOUND")</f>
        <v>0</v>
      </c>
      <c r="N113" s="227"/>
      <c r="O113" s="227"/>
      <c r="P113" s="227"/>
      <c r="Q113" s="227"/>
      <c r="R113" s="227"/>
      <c r="S113" s="227"/>
      <c r="T113" s="227"/>
      <c r="U113" s="227"/>
      <c r="V113" s="467"/>
      <c r="W113" s="262" t="s">
        <v>4636</v>
      </c>
      <c r="X113" s="227">
        <f>SUMIFS(Logfile_S[Qty],Logfile_S[Material Name],Site_DB[[#Headers],[Pole 7M 2.5"]],Logfile_S[SiteID],Site_DB[[#This Row],[Site ID]],Logfile_S[Transaction  Type],"outBOUND")</f>
        <v>0</v>
      </c>
      <c r="Y113" s="227">
        <f>SUMIFS(Logfile_S[Qty],Logfile_S[Material Name],Site_DB[[#Headers],[Pole 7M 4"]],Logfile_S[SiteID],Site_DB[[#This Row],[Site ID]],Logfile_S[Transaction  Type],"outBOUND")</f>
        <v>39</v>
      </c>
      <c r="Z113" s="227">
        <f>SUMIFS(Logfile_S[Qty],Logfile_S[Material Name],Site_DB[[#Headers],[Pole 7M 3"]],Logfile_S[SiteID],Site_DB[[#This Row],[Site ID]],Logfile_S[Transaction  Type],"outBOUND")</f>
        <v>41</v>
      </c>
      <c r="AA113" s="227">
        <f>SUMIFS(Logfile_S[Qty],Logfile_S[Material Name],Site_DB[[#Headers],[Pole 9M]],Logfile_S[SiteID],Site_DB[[#This Row],[Site ID]],Logfile_S[Transaction  Type],"outBOUND")</f>
        <v>0</v>
      </c>
      <c r="AB113" s="227"/>
      <c r="AC113" s="227"/>
      <c r="AD113" s="227"/>
      <c r="AE113" s="227"/>
      <c r="AF113" s="227"/>
      <c r="AG113" s="227"/>
      <c r="AH113" s="227"/>
      <c r="AI113" s="227"/>
    </row>
    <row r="114" spans="1:35" ht="14.5">
      <c r="A114" s="508">
        <f t="shared" si="3"/>
        <v>110</v>
      </c>
      <c r="B114" s="241" t="s">
        <v>71</v>
      </c>
      <c r="C114" s="241" t="s">
        <v>24</v>
      </c>
      <c r="D114" s="511" t="s">
        <v>4839</v>
      </c>
      <c r="E114" s="241" t="s">
        <v>4840</v>
      </c>
      <c r="F114" s="241"/>
      <c r="G114" s="512"/>
      <c r="H114" s="241" t="s">
        <v>4543</v>
      </c>
      <c r="I114" s="510">
        <f>_xlfn.XLOOKUP(Site_DB[[#This Row],[Site ID]],Logfile_S[SiteID],Logfile_S[Date],"",0,1)</f>
        <v>46090</v>
      </c>
      <c r="J114" s="277">
        <f>_xlfn.IFNA(VLOOKUP(Site_DB[[#This Row],[Site ID]],SUM_DN!B:X,21,0),0)</f>
        <v>9</v>
      </c>
      <c r="K114" s="262">
        <f>SUMIFS(Logfile_S[Qty],Logfile_S[Material Name],Site_DB[[#Headers],[Pole 7M 4"]],Logfile_S[SiteID],Site_DB[[#This Row],[Site ID]],Logfile_S[Transaction  Type],"outBOUND")</f>
        <v>1</v>
      </c>
      <c r="L114" s="262">
        <f>SUMIFS(Logfile_S[Qty],Logfile_S[Material Name],Site_DB[[#Headers],[Pole 7M 3"]],Logfile_S[SiteID],Site_DB[[#This Row],[Site ID]],Logfile_S[Transaction  Type],"outBOUND")</f>
        <v>11</v>
      </c>
      <c r="M114" s="262">
        <f>SUMIFS(Logfile_S[Qty],Logfile_S[Material Name],Site_DB[[#Headers],[Pole 9M]],Logfile_S[SiteID],Site_DB[[#This Row],[Site ID]],Logfile_S[Transaction  Type],"outBOUND")</f>
        <v>0</v>
      </c>
      <c r="N114" s="277">
        <v>3000</v>
      </c>
      <c r="O114" s="277"/>
      <c r="P114" s="277"/>
      <c r="Q114" s="277"/>
      <c r="R114" s="277"/>
      <c r="S114" s="277"/>
      <c r="T114" s="277"/>
      <c r="U114" s="277"/>
      <c r="V114" s="513"/>
      <c r="W114" s="262" t="s">
        <v>4636</v>
      </c>
      <c r="X114" s="227">
        <f>SUMIFS(Logfile_S[Qty],Logfile_S[Material Name],Site_DB[[#Headers],[Pole 7M 2.5"]],Logfile_S[SiteID],Site_DB[[#This Row],[Site ID]],Logfile_S[Transaction  Type],"outBOUND")</f>
        <v>10</v>
      </c>
      <c r="Y114" s="277">
        <f>SUMIFS(Logfile_S[Qty],Logfile_S[Material Name],Site_DB[[#Headers],[Pole 7M 4"]],Logfile_S[SiteID],Site_DB[[#This Row],[Site ID]],Logfile_S[Transaction  Type],"outBOUND")</f>
        <v>1</v>
      </c>
      <c r="Z114" s="227">
        <f>SUMIFS(Logfile_S[Qty],Logfile_S[Material Name],Site_DB[[#Headers],[Pole 7M 3"]],Logfile_S[SiteID],Site_DB[[#This Row],[Site ID]],Logfile_S[Transaction  Type],"outBOUND")</f>
        <v>11</v>
      </c>
      <c r="AA114" s="227">
        <f>SUMIFS(Logfile_S[Qty],Logfile_S[Material Name],Site_DB[[#Headers],[Pole 9M]],Logfile_S[SiteID],Site_DB[[#This Row],[Site ID]],Logfile_S[Transaction  Type],"outBOUND")</f>
        <v>0</v>
      </c>
      <c r="AB114" s="277"/>
      <c r="AC114" s="277"/>
      <c r="AD114" s="277"/>
      <c r="AE114" s="277"/>
      <c r="AF114" s="227"/>
      <c r="AG114" s="227"/>
      <c r="AH114" s="227"/>
      <c r="AI114" s="227"/>
    </row>
    <row r="115" spans="1:35" ht="14.5">
      <c r="A115" s="508">
        <f t="shared" si="3"/>
        <v>111</v>
      </c>
      <c r="B115" s="241" t="s">
        <v>71</v>
      </c>
      <c r="C115" s="241" t="s">
        <v>24</v>
      </c>
      <c r="D115" s="511" t="s">
        <v>4841</v>
      </c>
      <c r="E115" s="241" t="s">
        <v>4842</v>
      </c>
      <c r="F115" s="241"/>
      <c r="G115" s="512"/>
      <c r="H115" s="241" t="s">
        <v>4543</v>
      </c>
      <c r="I115" s="510">
        <f>_xlfn.XLOOKUP(Site_DB[[#This Row],[Site ID]],Logfile_S[SiteID],Logfile_S[Date],"",0,1)</f>
        <v>46095</v>
      </c>
      <c r="J115" s="277">
        <f>_xlfn.IFNA(VLOOKUP(Site_DB[[#This Row],[Site ID]],SUM_DN!B:X,21,0),0)</f>
        <v>2</v>
      </c>
      <c r="K115" s="262">
        <f>SUMIFS(Logfile_S[Qty],Logfile_S[Material Name],Site_DB[[#Headers],[Pole 7M 4"]],Logfile_S[SiteID],Site_DB[[#This Row],[Site ID]],Logfile_S[Transaction  Type],"outBOUND")</f>
        <v>6</v>
      </c>
      <c r="L115" s="262">
        <f>SUMIFS(Logfile_S[Qty],Logfile_S[Material Name],Site_DB[[#Headers],[Pole 7M 3"]],Logfile_S[SiteID],Site_DB[[#This Row],[Site ID]],Logfile_S[Transaction  Type],"outBOUND")</f>
        <v>0</v>
      </c>
      <c r="M115" s="262">
        <f>SUMIFS(Logfile_S[Qty],Logfile_S[Material Name],Site_DB[[#Headers],[Pole 9M]],Logfile_S[SiteID],Site_DB[[#This Row],[Site ID]],Logfile_S[Transaction  Type],"outBOUND")</f>
        <v>0</v>
      </c>
      <c r="N115" s="277"/>
      <c r="O115" s="277"/>
      <c r="P115" s="277"/>
      <c r="Q115" s="277"/>
      <c r="R115" s="277"/>
      <c r="S115" s="277"/>
      <c r="T115" s="277"/>
      <c r="U115" s="277"/>
      <c r="V115" s="513"/>
      <c r="W115" s="262" t="s">
        <v>4636</v>
      </c>
      <c r="X115" s="227">
        <f>SUMIFS(Logfile_S[Qty],Logfile_S[Material Name],Site_DB[[#Headers],[Pole 7M 2.5"]],Logfile_S[SiteID],Site_DB[[#This Row],[Site ID]],Logfile_S[Transaction  Type],"outBOUND")</f>
        <v>1</v>
      </c>
      <c r="Y115" s="277">
        <f>SUMIFS(Logfile_S[Qty],Logfile_S[Material Name],Site_DB[[#Headers],[Pole 7M 4"]],Logfile_S[SiteID],Site_DB[[#This Row],[Site ID]],Logfile_S[Transaction  Type],"outBOUND")</f>
        <v>6</v>
      </c>
      <c r="Z115" s="227">
        <f>SUMIFS(Logfile_S[Qty],Logfile_S[Material Name],Site_DB[[#Headers],[Pole 7M 3"]],Logfile_S[SiteID],Site_DB[[#This Row],[Site ID]],Logfile_S[Transaction  Type],"outBOUND")</f>
        <v>0</v>
      </c>
      <c r="AA115" s="227">
        <f>SUMIFS(Logfile_S[Qty],Logfile_S[Material Name],Site_DB[[#Headers],[Pole 9M]],Logfile_S[SiteID],Site_DB[[#This Row],[Site ID]],Logfile_S[Transaction  Type],"outBOUND")</f>
        <v>0</v>
      </c>
      <c r="AB115" s="277"/>
      <c r="AC115" s="277"/>
      <c r="AD115" s="277"/>
      <c r="AE115" s="277"/>
      <c r="AF115" s="227"/>
      <c r="AG115" s="227"/>
      <c r="AH115" s="227"/>
      <c r="AI115" s="227"/>
    </row>
    <row r="116" spans="1:35" ht="14.5">
      <c r="A116" s="508">
        <f t="shared" si="3"/>
        <v>112</v>
      </c>
      <c r="B116" s="241" t="s">
        <v>71</v>
      </c>
      <c r="C116" s="241" t="s">
        <v>24</v>
      </c>
      <c r="D116" s="511" t="s">
        <v>4870</v>
      </c>
      <c r="E116" s="241" t="s">
        <v>4871</v>
      </c>
      <c r="F116" s="241"/>
      <c r="G116" s="512"/>
      <c r="H116" s="241" t="s">
        <v>4543</v>
      </c>
      <c r="I116" s="510">
        <f>_xlfn.XLOOKUP(Site_DB[[#This Row],[Site ID]],Logfile_S[SiteID],Logfile_S[Date],"",0,1)</f>
        <v>46164</v>
      </c>
      <c r="J116" s="227">
        <f>_xlfn.IFNA(VLOOKUP(Site_DB[[#This Row],[Site ID]],SUM_DN!B:X,21,0),0)</f>
        <v>8</v>
      </c>
      <c r="K116" s="262">
        <f>SUMIFS(Logfile_S[Qty],Logfile_S[Material Name],Site_DB[[#Headers],[Pole 7M 4"]],Logfile_S[SiteID],Site_DB[[#This Row],[Site ID]],Logfile_S[Transaction  Type],"outBOUND")</f>
        <v>1</v>
      </c>
      <c r="L116" s="262">
        <f>SUMIFS(Logfile_S[Qty],Logfile_S[Material Name],Site_DB[[#Headers],[Pole 7M 3"]],Logfile_S[SiteID],Site_DB[[#This Row],[Site ID]],Logfile_S[Transaction  Type],"outBOUND")</f>
        <v>13</v>
      </c>
      <c r="M116" s="262">
        <f>SUMIFS(Logfile_S[Qty],Logfile_S[Material Name],Site_DB[[#Headers],[Pole 9M]],Logfile_S[SiteID],Site_DB[[#This Row],[Site ID]],Logfile_S[Transaction  Type],"outBOUND")</f>
        <v>0</v>
      </c>
      <c r="N116" s="227"/>
      <c r="O116" s="227"/>
      <c r="P116" s="227"/>
      <c r="Q116" s="227"/>
      <c r="R116" s="227"/>
      <c r="S116" s="227"/>
      <c r="T116" s="227"/>
      <c r="U116" s="227"/>
      <c r="V116" s="467"/>
      <c r="W116" s="262" t="s">
        <v>4637</v>
      </c>
      <c r="X116" s="227">
        <f>SUMIFS(Logfile_S[Qty],Logfile_S[Material Name],Site_DB[[#Headers],[Pole 7M 2.5"]],Logfile_S[SiteID],Site_DB[[#This Row],[Site ID]],Logfile_S[Transaction  Type],"outBOUND")</f>
        <v>8</v>
      </c>
      <c r="Y116" s="227">
        <f>SUMIFS(Logfile_S[Qty],Logfile_S[Material Name],Site_DB[[#Headers],[Pole 7M 4"]],Logfile_S[SiteID],Site_DB[[#This Row],[Site ID]],Logfile_S[Transaction  Type],"outBOUND")</f>
        <v>1</v>
      </c>
      <c r="Z116" s="227">
        <f>SUMIFS(Logfile_S[Qty],Logfile_S[Material Name],Site_DB[[#Headers],[Pole 7M 3"]],Logfile_S[SiteID],Site_DB[[#This Row],[Site ID]],Logfile_S[Transaction  Type],"outBOUND")</f>
        <v>13</v>
      </c>
      <c r="AA116" s="227">
        <f>SUMIFS(Logfile_S[Qty],Logfile_S[Material Name],Site_DB[[#Headers],[Pole 9M]],Logfile_S[SiteID],Site_DB[[#This Row],[Site ID]],Logfile_S[Transaction  Type],"outBOUND")</f>
        <v>0</v>
      </c>
      <c r="AB116" s="227"/>
      <c r="AC116" s="227"/>
      <c r="AD116" s="227"/>
      <c r="AE116" s="227"/>
      <c r="AF116" s="227"/>
      <c r="AG116" s="227"/>
      <c r="AH116" s="227"/>
      <c r="AI116" s="227"/>
    </row>
    <row r="117" spans="1:35" ht="14.5">
      <c r="A117" s="508">
        <f t="shared" si="3"/>
        <v>113</v>
      </c>
      <c r="B117" s="241" t="s">
        <v>71</v>
      </c>
      <c r="C117" s="241" t="s">
        <v>24</v>
      </c>
      <c r="D117" s="241" t="s">
        <v>3203</v>
      </c>
      <c r="E117" s="241" t="s">
        <v>4597</v>
      </c>
      <c r="F117" s="241" t="s">
        <v>4598</v>
      </c>
      <c r="G117" s="512"/>
      <c r="H117" s="241" t="s">
        <v>4543</v>
      </c>
      <c r="I117" s="510">
        <f>_xlfn.XLOOKUP(Site_DB[[#This Row],[Site ID]],Logfile_S[SiteID],Logfile_S[Date],"",0,1)</f>
        <v>45916</v>
      </c>
      <c r="J117" s="262">
        <f>_xlfn.IFNA(VLOOKUP(Site_DB[[#This Row],[Site ID]],SUM_DN!B:X,21,0),0)</f>
        <v>0</v>
      </c>
      <c r="K117" s="262">
        <f>SUMIFS(Logfile_S[Qty],Logfile_S[Material Name],Site_DB[[#Headers],[Pole 7M 4"]],Logfile_S[SiteID],Site_DB[[#This Row],[Site ID]],Logfile_S[Transaction  Type],"outBOUND")</f>
        <v>1</v>
      </c>
      <c r="L117" s="262">
        <f>SUMIFS(Logfile_S[Qty],Logfile_S[Material Name],Site_DB[[#Headers],[Pole 7M 3"]],Logfile_S[SiteID],Site_DB[[#This Row],[Site ID]],Logfile_S[Transaction  Type],"outBOUND")</f>
        <v>44</v>
      </c>
      <c r="M117" s="262">
        <f>SUMIFS(Logfile_S[Qty],Logfile_S[Material Name],Site_DB[[#Headers],[Pole 9M]],Logfile_S[SiteID],Site_DB[[#This Row],[Site ID]],Logfile_S[Transaction  Type],"outBOUND")</f>
        <v>0</v>
      </c>
      <c r="N117" s="262">
        <v>0</v>
      </c>
      <c r="O117" s="262">
        <v>3000</v>
      </c>
      <c r="P117" s="262">
        <v>0</v>
      </c>
      <c r="Q117" s="262">
        <v>0</v>
      </c>
      <c r="R117" s="262">
        <v>1</v>
      </c>
      <c r="S117" s="262">
        <v>0</v>
      </c>
      <c r="T117" s="262">
        <v>19</v>
      </c>
      <c r="U117" s="262">
        <v>1</v>
      </c>
      <c r="V117" s="265">
        <v>0</v>
      </c>
      <c r="W117" s="262" t="s">
        <v>4635</v>
      </c>
      <c r="X117" s="227">
        <f>SUMIFS(Logfile_S[Qty],Logfile_S[Material Name],Site_DB[[#Headers],[Pole 7M 2.5"]],Logfile_S[SiteID],Site_DB[[#This Row],[Site ID]],Logfile_S[Transaction  Type],"outBOUND")</f>
        <v>0</v>
      </c>
      <c r="Y117" s="227">
        <f>SUMIFS(Logfile_S[Qty],Logfile_S[Material Name],Site_DB[[#Headers],[Pole 7M 4"]],Logfile_S[SiteID],Site_DB[[#This Row],[Site ID]],Logfile_S[Transaction  Type],"outBOUND")</f>
        <v>1</v>
      </c>
      <c r="Z117" s="227">
        <f>SUMIFS(Logfile_S[Qty],Logfile_S[Material Name],Site_DB[[#Headers],[Pole 7M 3"]],Logfile_S[SiteID],Site_DB[[#This Row],[Site ID]],Logfile_S[Transaction  Type],"outBOUND")</f>
        <v>44</v>
      </c>
      <c r="AA117" s="227">
        <f>SUMIFS(Logfile_S[Qty],Logfile_S[Material Name],Site_DB[[#Headers],[Pole 9M]],Logfile_S[SiteID],Site_DB[[#This Row],[Site ID]],Logfile_S[Transaction  Type],"outBOUND")</f>
        <v>0</v>
      </c>
      <c r="AB117" s="227"/>
      <c r="AC117" s="227"/>
      <c r="AD117" s="227"/>
      <c r="AE117" s="227"/>
      <c r="AF117" s="227"/>
      <c r="AG117" s="227"/>
      <c r="AH117" s="227"/>
      <c r="AI117" s="227"/>
    </row>
    <row r="118" spans="1:35" ht="14.5">
      <c r="A118" s="508">
        <f t="shared" si="3"/>
        <v>114</v>
      </c>
      <c r="B118" s="241" t="s">
        <v>71</v>
      </c>
      <c r="C118" s="241" t="s">
        <v>24</v>
      </c>
      <c r="D118" s="241" t="s">
        <v>2142</v>
      </c>
      <c r="E118" s="241" t="s">
        <v>2143</v>
      </c>
      <c r="F118" s="241" t="s">
        <v>2143</v>
      </c>
      <c r="G118" s="512"/>
      <c r="H118" s="241" t="s">
        <v>4546</v>
      </c>
      <c r="I118" s="510">
        <f>_xlfn.XLOOKUP(Site_DB[[#This Row],[Site ID]],Logfile_S[SiteID],Logfile_S[Date],"",0,1)</f>
        <v>45531</v>
      </c>
      <c r="J118" s="262">
        <f>_xlfn.IFNA(VLOOKUP(Site_DB[[#This Row],[Site ID]],SUM_DN!B:X,21,0),0)</f>
        <v>0</v>
      </c>
      <c r="K118" s="262">
        <f>SUMIFS(Logfile_S[Qty],Logfile_S[Material Name],Site_DB[[#Headers],[Pole 7M 4"]],Logfile_S[SiteID],Site_DB[[#This Row],[Site ID]],Logfile_S[Transaction  Type],"outBOUND")</f>
        <v>0</v>
      </c>
      <c r="L118" s="262">
        <f>SUMIFS(Logfile_S[Qty],Logfile_S[Material Name],Site_DB[[#Headers],[Pole 7M 3"]],Logfile_S[SiteID],Site_DB[[#This Row],[Site ID]],Logfile_S[Transaction  Type],"outBOUND")</f>
        <v>0</v>
      </c>
      <c r="M118" s="262">
        <f>SUMIFS(Logfile_S[Qty],Logfile_S[Material Name],Site_DB[[#Headers],[Pole 9M]],Logfile_S[SiteID],Site_DB[[#This Row],[Site ID]],Logfile_S[Transaction  Type],"outBOUND")</f>
        <v>0</v>
      </c>
      <c r="N118" s="262">
        <v>0</v>
      </c>
      <c r="O118" s="262">
        <v>0</v>
      </c>
      <c r="P118" s="262">
        <v>0</v>
      </c>
      <c r="Q118" s="262">
        <v>12000</v>
      </c>
      <c r="R118" s="262">
        <v>0</v>
      </c>
      <c r="S118" s="262">
        <v>0</v>
      </c>
      <c r="T118" s="262">
        <v>0</v>
      </c>
      <c r="U118" s="262">
        <v>4</v>
      </c>
      <c r="V118" s="265">
        <v>380</v>
      </c>
      <c r="W118" s="262" t="s">
        <v>4639</v>
      </c>
      <c r="X118" s="227">
        <f>SUMIFS(Logfile_S[Qty],Logfile_S[Material Name],Site_DB[[#Headers],[Pole 7M 2.5"]],Logfile_S[SiteID],Site_DB[[#This Row],[Site ID]],Logfile_S[Transaction  Type],"outBOUND")</f>
        <v>0</v>
      </c>
      <c r="Y118" s="227">
        <f>SUMIFS(Logfile_S[Qty],Logfile_S[Material Name],Site_DB[[#Headers],[Pole 7M 4"]],Logfile_S[SiteID],Site_DB[[#This Row],[Site ID]],Logfile_S[Transaction  Type],"outBOUND")</f>
        <v>0</v>
      </c>
      <c r="Z118" s="227">
        <f>SUMIFS(Logfile_S[Qty],Logfile_S[Material Name],Site_DB[[#Headers],[Pole 7M 3"]],Logfile_S[SiteID],Site_DB[[#This Row],[Site ID]],Logfile_S[Transaction  Type],"outBOUND")</f>
        <v>0</v>
      </c>
      <c r="AA118" s="227">
        <f>SUMIFS(Logfile_S[Qty],Logfile_S[Material Name],Site_DB[[#Headers],[Pole 9M]],Logfile_S[SiteID],Site_DB[[#This Row],[Site ID]],Logfile_S[Transaction  Type],"outBOUND")</f>
        <v>0</v>
      </c>
      <c r="AB118" s="227"/>
      <c r="AC118" s="227"/>
      <c r="AD118" s="227"/>
      <c r="AE118" s="227"/>
      <c r="AF118" s="227"/>
      <c r="AG118" s="227"/>
      <c r="AH118" s="227"/>
      <c r="AI118" s="227"/>
    </row>
    <row r="119" spans="1:35" ht="14.5">
      <c r="A119" s="508">
        <f t="shared" si="3"/>
        <v>115</v>
      </c>
      <c r="B119" s="241" t="s">
        <v>71</v>
      </c>
      <c r="C119" s="241" t="s">
        <v>24</v>
      </c>
      <c r="D119" s="511" t="s">
        <v>4902</v>
      </c>
      <c r="E119" s="241" t="s">
        <v>4903</v>
      </c>
      <c r="F119" s="241"/>
      <c r="G119" s="512"/>
      <c r="H119" s="241" t="s">
        <v>4548</v>
      </c>
      <c r="I119" s="510">
        <f>_xlfn.XLOOKUP(Site_DB[[#This Row],[Site ID]],Logfile_S[SiteID],Logfile_S[Date],"",0,1)</f>
        <v>46198</v>
      </c>
      <c r="J119" s="227">
        <f>_xlfn.IFNA(VLOOKUP(Site_DB[[#This Row],[Site ID]],SUM_DN!B:X,21,0),0)</f>
        <v>24</v>
      </c>
      <c r="K119" s="262">
        <f>SUMIFS(Logfile_S[Qty],Logfile_S[Material Name],Site_DB[[#Headers],[Pole 7M 4"]],Logfile_S[SiteID],Site_DB[[#This Row],[Site ID]],Logfile_S[Transaction  Type],"outBOUND")</f>
        <v>21</v>
      </c>
      <c r="L119" s="262">
        <f>SUMIFS(Logfile_S[Qty],Logfile_S[Material Name],Site_DB[[#Headers],[Pole 7M 3"]],Logfile_S[SiteID],Site_DB[[#This Row],[Site ID]],Logfile_S[Transaction  Type],"outBOUND")</f>
        <v>27</v>
      </c>
      <c r="M119" s="262">
        <f>SUMIFS(Logfile_S[Qty],Logfile_S[Material Name],Site_DB[[#Headers],[Pole 9M]],Logfile_S[SiteID],Site_DB[[#This Row],[Site ID]],Logfile_S[Transaction  Type],"outBOUND")</f>
        <v>1</v>
      </c>
      <c r="N119" s="227"/>
      <c r="O119" s="227"/>
      <c r="P119" s="227"/>
      <c r="Q119" s="227"/>
      <c r="R119" s="227"/>
      <c r="S119" s="227"/>
      <c r="T119" s="227"/>
      <c r="U119" s="227"/>
      <c r="V119" s="467"/>
      <c r="W119" s="238" t="s">
        <v>4639</v>
      </c>
      <c r="X119" s="227">
        <f>SUMIFS(Logfile_S[Qty],Logfile_S[Material Name],Site_DB[[#Headers],[Pole 7M 2.5"]],Logfile_S[SiteID],Site_DB[[#This Row],[Site ID]],Logfile_S[Transaction  Type],"outBOUND")</f>
        <v>26</v>
      </c>
      <c r="Y119" s="227">
        <f>SUMIFS(Logfile_S[Qty],Logfile_S[Material Name],Site_DB[[#Headers],[Pole 7M 4"]],Logfile_S[SiteID],Site_DB[[#This Row],[Site ID]],Logfile_S[Transaction  Type],"outBOUND")</f>
        <v>21</v>
      </c>
      <c r="Z119" s="227">
        <f>SUMIFS(Logfile_S[Qty],Logfile_S[Material Name],Site_DB[[#Headers],[Pole 7M 3"]],Logfile_S[SiteID],Site_DB[[#This Row],[Site ID]],Logfile_S[Transaction  Type],"outBOUND")</f>
        <v>27</v>
      </c>
      <c r="AA119" s="227">
        <f>SUMIFS(Logfile_S[Qty],Logfile_S[Material Name],Site_DB[[#Headers],[Pole 9M]],Logfile_S[SiteID],Site_DB[[#This Row],[Site ID]],Logfile_S[Transaction  Type],"outBOUND")</f>
        <v>1</v>
      </c>
      <c r="AB119" s="227"/>
      <c r="AC119" s="227"/>
      <c r="AD119" s="227"/>
      <c r="AE119" s="227"/>
      <c r="AF119" s="227"/>
      <c r="AG119" s="227"/>
      <c r="AH119" s="227"/>
      <c r="AI119" s="227"/>
    </row>
    <row r="120" spans="1:35" ht="14.5">
      <c r="A120" s="508">
        <f t="shared" si="3"/>
        <v>116</v>
      </c>
      <c r="B120" s="241" t="s">
        <v>71</v>
      </c>
      <c r="C120" s="241" t="s">
        <v>24</v>
      </c>
      <c r="D120" s="511" t="s">
        <v>4866</v>
      </c>
      <c r="E120" s="241" t="s">
        <v>4867</v>
      </c>
      <c r="F120" s="241"/>
      <c r="G120" s="512"/>
      <c r="H120" s="241" t="s">
        <v>4543</v>
      </c>
      <c r="I120" s="510">
        <f>_xlfn.XLOOKUP(Site_DB[[#This Row],[Site ID]],Logfile_S[SiteID],Logfile_S[Date],"",0,1)</f>
        <v>46151</v>
      </c>
      <c r="J120" s="227">
        <f>_xlfn.IFNA(VLOOKUP(Site_DB[[#This Row],[Site ID]],SUM_DN!B:X,21,0),0)</f>
        <v>14</v>
      </c>
      <c r="K120" s="262">
        <f>SUMIFS(Logfile_S[Qty],Logfile_S[Material Name],Site_DB[[#Headers],[Pole 7M 4"]],Logfile_S[SiteID],Site_DB[[#This Row],[Site ID]],Logfile_S[Transaction  Type],"outBOUND")</f>
        <v>1</v>
      </c>
      <c r="L120" s="262">
        <f>SUMIFS(Logfile_S[Qty],Logfile_S[Material Name],Site_DB[[#Headers],[Pole 7M 3"]],Logfile_S[SiteID],Site_DB[[#This Row],[Site ID]],Logfile_S[Transaction  Type],"outBOUND")</f>
        <v>8</v>
      </c>
      <c r="M120" s="262">
        <f>SUMIFS(Logfile_S[Qty],Logfile_S[Material Name],Site_DB[[#Headers],[Pole 9M]],Logfile_S[SiteID],Site_DB[[#This Row],[Site ID]],Logfile_S[Transaction  Type],"outBOUND")</f>
        <v>0</v>
      </c>
      <c r="N120" s="227"/>
      <c r="O120" s="227"/>
      <c r="P120" s="227"/>
      <c r="Q120" s="227"/>
      <c r="R120" s="227"/>
      <c r="S120" s="227"/>
      <c r="T120" s="227"/>
      <c r="U120" s="227"/>
      <c r="V120" s="467"/>
      <c r="W120" s="238" t="s">
        <v>4639</v>
      </c>
      <c r="X120" s="227">
        <f>SUMIFS(Logfile_S[Qty],Logfile_S[Material Name],Site_DB[[#Headers],[Pole 7M 2.5"]],Logfile_S[SiteID],Site_DB[[#This Row],[Site ID]],Logfile_S[Transaction  Type],"outBOUND")</f>
        <v>14</v>
      </c>
      <c r="Y120" s="227">
        <f>SUMIFS(Logfile_S[Qty],Logfile_S[Material Name],Site_DB[[#Headers],[Pole 7M 4"]],Logfile_S[SiteID],Site_DB[[#This Row],[Site ID]],Logfile_S[Transaction  Type],"outBOUND")</f>
        <v>1</v>
      </c>
      <c r="Z120" s="227">
        <f>SUMIFS(Logfile_S[Qty],Logfile_S[Material Name],Site_DB[[#Headers],[Pole 7M 3"]],Logfile_S[SiteID],Site_DB[[#This Row],[Site ID]],Logfile_S[Transaction  Type],"outBOUND")</f>
        <v>8</v>
      </c>
      <c r="AA120" s="227">
        <f>SUMIFS(Logfile_S[Qty],Logfile_S[Material Name],Site_DB[[#Headers],[Pole 9M]],Logfile_S[SiteID],Site_DB[[#This Row],[Site ID]],Logfile_S[Transaction  Type],"outBOUND")</f>
        <v>0</v>
      </c>
      <c r="AB120" s="227"/>
      <c r="AC120" s="227"/>
      <c r="AD120" s="227"/>
      <c r="AE120" s="227"/>
      <c r="AF120" s="227"/>
      <c r="AG120" s="227"/>
      <c r="AH120" s="227"/>
      <c r="AI120" s="227"/>
    </row>
    <row r="121" spans="1:35" ht="14.5">
      <c r="A121" s="508">
        <f t="shared" si="3"/>
        <v>117</v>
      </c>
      <c r="B121" s="241" t="s">
        <v>71</v>
      </c>
      <c r="C121" s="241" t="s">
        <v>24</v>
      </c>
      <c r="D121" s="511" t="s">
        <v>4814</v>
      </c>
      <c r="E121" s="241" t="s">
        <v>4816</v>
      </c>
      <c r="F121" s="241"/>
      <c r="G121" s="512"/>
      <c r="H121" s="241" t="s">
        <v>4543</v>
      </c>
      <c r="I121" s="510">
        <f>_xlfn.XLOOKUP(Site_DB[[#This Row],[Site ID]],Logfile_S[SiteID],Logfile_S[Date],"",0,1)</f>
        <v>46041</v>
      </c>
      <c r="J121" s="277">
        <f>_xlfn.IFNA(VLOOKUP(Site_DB[[#This Row],[Site ID]],SUM_DN!B:X,21,0),0)</f>
        <v>6</v>
      </c>
      <c r="K121" s="262">
        <f>SUMIFS(Logfile_S[Qty],Logfile_S[Material Name],Site_DB[[#Headers],[Pole 7M 4"]],Logfile_S[SiteID],Site_DB[[#This Row],[Site ID]],Logfile_S[Transaction  Type],"outBOUND")</f>
        <v>0</v>
      </c>
      <c r="L121" s="262">
        <f>SUMIFS(Logfile_S[Qty],Logfile_S[Material Name],Site_DB[[#Headers],[Pole 7M 3"]],Logfile_S[SiteID],Site_DB[[#This Row],[Site ID]],Logfile_S[Transaction  Type],"outBOUND")</f>
        <v>0</v>
      </c>
      <c r="M121" s="262">
        <f>SUMIFS(Logfile_S[Qty],Logfile_S[Material Name],Site_DB[[#Headers],[Pole 9M]],Logfile_S[SiteID],Site_DB[[#This Row],[Site ID]],Logfile_S[Transaction  Type],"outBOUND")</f>
        <v>0</v>
      </c>
      <c r="N121" s="277"/>
      <c r="O121" s="277"/>
      <c r="P121" s="277"/>
      <c r="Q121" s="277"/>
      <c r="R121" s="277"/>
      <c r="S121" s="277">
        <v>1</v>
      </c>
      <c r="T121" s="277">
        <v>15</v>
      </c>
      <c r="U121" s="277"/>
      <c r="V121" s="513"/>
      <c r="W121" s="262" t="s">
        <v>4638</v>
      </c>
      <c r="X121" s="227">
        <f>SUMIFS(Logfile_S[Qty],Logfile_S[Material Name],Site_DB[[#Headers],[Pole 7M 2.5"]],Logfile_S[SiteID],Site_DB[[#This Row],[Site ID]],Logfile_S[Transaction  Type],"outBOUND")</f>
        <v>0</v>
      </c>
      <c r="Y121" s="238">
        <f>SUMIFS(Logfile_S[Qty],Logfile_S[Material Name],Site_DB[[#Headers],[Pole 7M 4"]],Logfile_S[SiteID],Site_DB[[#This Row],[Site ID]],Logfile_S[Transaction  Type],"outBOUND")</f>
        <v>0</v>
      </c>
      <c r="Z121" s="227">
        <f>SUMIFS(Logfile_S[Qty],Logfile_S[Material Name],Site_DB[[#Headers],[Pole 7M 3"]],Logfile_S[SiteID],Site_DB[[#This Row],[Site ID]],Logfile_S[Transaction  Type],"outBOUND")</f>
        <v>0</v>
      </c>
      <c r="AA121" s="227">
        <f>SUMIFS(Logfile_S[Qty],Logfile_S[Material Name],Site_DB[[#Headers],[Pole 9M]],Logfile_S[SiteID],Site_DB[[#This Row],[Site ID]],Logfile_S[Transaction  Type],"outBOUND")</f>
        <v>0</v>
      </c>
      <c r="AB121" s="277"/>
      <c r="AC121" s="238"/>
      <c r="AD121" s="238"/>
      <c r="AE121" s="238"/>
      <c r="AF121" s="227"/>
      <c r="AG121" s="227"/>
      <c r="AH121" s="227"/>
      <c r="AI121" s="227"/>
    </row>
    <row r="122" spans="1:35" ht="14.5">
      <c r="A122" s="508">
        <f t="shared" si="3"/>
        <v>118</v>
      </c>
      <c r="B122" s="241" t="s">
        <v>71</v>
      </c>
      <c r="C122" s="241" t="s">
        <v>24</v>
      </c>
      <c r="D122" s="511" t="s">
        <v>4687</v>
      </c>
      <c r="E122" s="241" t="s">
        <v>4599</v>
      </c>
      <c r="F122" s="241"/>
      <c r="G122" s="512"/>
      <c r="H122" s="241" t="s">
        <v>4543</v>
      </c>
      <c r="I122" s="510">
        <f>_xlfn.XLOOKUP(Site_DB[[#This Row],[Site ID]],Logfile_S[SiteID],Logfile_S[Date],"",0,1)</f>
        <v>45955</v>
      </c>
      <c r="J122" s="227">
        <f>_xlfn.IFNA(VLOOKUP(Site_DB[[#This Row],[Site ID]],SUM_DN!B:X,21,0),0)</f>
        <v>0</v>
      </c>
      <c r="K122" s="262">
        <f>SUMIFS(Logfile_S[Qty],Logfile_S[Material Name],Site_DB[[#Headers],[Pole 7M 4"]],Logfile_S[SiteID],Site_DB[[#This Row],[Site ID]],Logfile_S[Transaction  Type],"outBOUND")</f>
        <v>0</v>
      </c>
      <c r="L122" s="262">
        <f>SUMIFS(Logfile_S[Qty],Logfile_S[Material Name],Site_DB[[#Headers],[Pole 7M 3"]],Logfile_S[SiteID],Site_DB[[#This Row],[Site ID]],Logfile_S[Transaction  Type],"outBOUND")</f>
        <v>0</v>
      </c>
      <c r="M122" s="262">
        <f>SUMIFS(Logfile_S[Qty],Logfile_S[Material Name],Site_DB[[#Headers],[Pole 9M]],Logfile_S[SiteID],Site_DB[[#This Row],[Site ID]],Logfile_S[Transaction  Type],"outBOUND")</f>
        <v>0</v>
      </c>
      <c r="N122" s="227"/>
      <c r="O122" s="227"/>
      <c r="P122" s="227"/>
      <c r="Q122" s="227"/>
      <c r="R122" s="227"/>
      <c r="S122" s="227"/>
      <c r="T122" s="227"/>
      <c r="U122" s="227"/>
      <c r="V122" s="467"/>
      <c r="W122" s="262" t="s">
        <v>4638</v>
      </c>
      <c r="X122" s="227">
        <f>SUMIFS(Logfile_S[Qty],Logfile_S[Material Name],Site_DB[[#Headers],[Pole 7M 2.5"]],Logfile_S[SiteID],Site_DB[[#This Row],[Site ID]],Logfile_S[Transaction  Type],"outBOUND")</f>
        <v>0</v>
      </c>
      <c r="Y122" s="227">
        <f>SUMIFS(Logfile_S[Qty],Logfile_S[Material Name],Site_DB[[#Headers],[Pole 7M 4"]],Logfile_S[SiteID],Site_DB[[#This Row],[Site ID]],Logfile_S[Transaction  Type],"outBOUND")</f>
        <v>0</v>
      </c>
      <c r="Z122" s="227">
        <f>SUMIFS(Logfile_S[Qty],Logfile_S[Material Name],Site_DB[[#Headers],[Pole 7M 3"]],Logfile_S[SiteID],Site_DB[[#This Row],[Site ID]],Logfile_S[Transaction  Type],"outBOUND")</f>
        <v>0</v>
      </c>
      <c r="AA122" s="227">
        <f>SUMIFS(Logfile_S[Qty],Logfile_S[Material Name],Site_DB[[#Headers],[Pole 9M]],Logfile_S[SiteID],Site_DB[[#This Row],[Site ID]],Logfile_S[Transaction  Type],"outBOUND")</f>
        <v>0</v>
      </c>
      <c r="AB122" s="227"/>
      <c r="AC122" s="227"/>
      <c r="AD122" s="227"/>
      <c r="AE122" s="227"/>
      <c r="AF122" s="227"/>
      <c r="AG122" s="227"/>
      <c r="AH122" s="227"/>
      <c r="AI122" s="227"/>
    </row>
    <row r="123" spans="1:35" ht="14.5">
      <c r="A123" s="508">
        <f t="shared" si="3"/>
        <v>119</v>
      </c>
      <c r="B123" s="241" t="s">
        <v>71</v>
      </c>
      <c r="C123" s="241" t="s">
        <v>24</v>
      </c>
      <c r="D123" s="511" t="s">
        <v>4692</v>
      </c>
      <c r="E123" s="241" t="s">
        <v>4693</v>
      </c>
      <c r="F123" s="241"/>
      <c r="G123" s="512"/>
      <c r="H123" s="241" t="s">
        <v>4543</v>
      </c>
      <c r="I123" s="510">
        <f>_xlfn.XLOOKUP(Site_DB[[#This Row],[Site ID]],Logfile_S[SiteID],Logfile_S[Date],"",0,1)</f>
        <v>45967</v>
      </c>
      <c r="J123" s="227">
        <f>_xlfn.IFNA(VLOOKUP(Site_DB[[#This Row],[Site ID]],SUM_DN!B:X,21,0),0)</f>
        <v>0</v>
      </c>
      <c r="K123" s="262">
        <f>SUMIFS(Logfile_S[Qty],Logfile_S[Material Name],Site_DB[[#Headers],[Pole 7M 4"]],Logfile_S[SiteID],Site_DB[[#This Row],[Site ID]],Logfile_S[Transaction  Type],"outBOUND")</f>
        <v>40</v>
      </c>
      <c r="L123" s="262">
        <f>SUMIFS(Logfile_S[Qty],Logfile_S[Material Name],Site_DB[[#Headers],[Pole 7M 3"]],Logfile_S[SiteID],Site_DB[[#This Row],[Site ID]],Logfile_S[Transaction  Type],"outBOUND")</f>
        <v>58</v>
      </c>
      <c r="M123" s="262">
        <f>SUMIFS(Logfile_S[Qty],Logfile_S[Material Name],Site_DB[[#Headers],[Pole 9M]],Logfile_S[SiteID],Site_DB[[#This Row],[Site ID]],Logfile_S[Transaction  Type],"outBOUND")</f>
        <v>10</v>
      </c>
      <c r="N123" s="227"/>
      <c r="O123" s="227"/>
      <c r="P123" s="227"/>
      <c r="Q123" s="227"/>
      <c r="R123" s="227"/>
      <c r="S123" s="227"/>
      <c r="T123" s="227"/>
      <c r="U123" s="227"/>
      <c r="V123" s="467"/>
      <c r="W123" s="262" t="s">
        <v>4638</v>
      </c>
      <c r="X123" s="227">
        <f>SUMIFS(Logfile_S[Qty],Logfile_S[Material Name],Site_DB[[#Headers],[Pole 7M 2.5"]],Logfile_S[SiteID],Site_DB[[#This Row],[Site ID]],Logfile_S[Transaction  Type],"outBOUND")</f>
        <v>0</v>
      </c>
      <c r="Y123" s="227">
        <f>SUMIFS(Logfile_S[Qty],Logfile_S[Material Name],Site_DB[[#Headers],[Pole 7M 4"]],Logfile_S[SiteID],Site_DB[[#This Row],[Site ID]],Logfile_S[Transaction  Type],"outBOUND")</f>
        <v>40</v>
      </c>
      <c r="Z123" s="227">
        <f>SUMIFS(Logfile_S[Qty],Logfile_S[Material Name],Site_DB[[#Headers],[Pole 7M 3"]],Logfile_S[SiteID],Site_DB[[#This Row],[Site ID]],Logfile_S[Transaction  Type],"outBOUND")</f>
        <v>58</v>
      </c>
      <c r="AA123" s="227">
        <f>SUMIFS(Logfile_S[Qty],Logfile_S[Material Name],Site_DB[[#Headers],[Pole 9M]],Logfile_S[SiteID],Site_DB[[#This Row],[Site ID]],Logfile_S[Transaction  Type],"outBOUND")</f>
        <v>10</v>
      </c>
      <c r="AB123" s="227"/>
      <c r="AC123" s="227"/>
      <c r="AD123" s="227"/>
      <c r="AE123" s="227"/>
      <c r="AF123" s="227"/>
      <c r="AG123" s="227"/>
      <c r="AH123" s="227"/>
      <c r="AI123" s="227"/>
    </row>
    <row r="124" spans="1:35" ht="14.5">
      <c r="A124" s="508">
        <f t="shared" si="3"/>
        <v>120</v>
      </c>
      <c r="B124" s="241" t="s">
        <v>71</v>
      </c>
      <c r="C124" s="241" t="s">
        <v>24</v>
      </c>
      <c r="D124" s="511" t="s">
        <v>4696</v>
      </c>
      <c r="E124" s="241" t="s">
        <v>4697</v>
      </c>
      <c r="F124" s="241"/>
      <c r="G124" s="512"/>
      <c r="H124" s="241" t="s">
        <v>4543</v>
      </c>
      <c r="I124" s="510">
        <f>_xlfn.XLOOKUP(Site_DB[[#This Row],[Site ID]],Logfile_S[SiteID],Logfile_S[Date],"",0,1)</f>
        <v>45967</v>
      </c>
      <c r="J124" s="227">
        <f>_xlfn.IFNA(VLOOKUP(Site_DB[[#This Row],[Site ID]],SUM_DN!B:X,21,0),0)</f>
        <v>0</v>
      </c>
      <c r="K124" s="262">
        <f>SUMIFS(Logfile_S[Qty],Logfile_S[Material Name],Site_DB[[#Headers],[Pole 7M 4"]],Logfile_S[SiteID],Site_DB[[#This Row],[Site ID]],Logfile_S[Transaction  Type],"outBOUND")</f>
        <v>14</v>
      </c>
      <c r="L124" s="262">
        <f>SUMIFS(Logfile_S[Qty],Logfile_S[Material Name],Site_DB[[#Headers],[Pole 7M 3"]],Logfile_S[SiteID],Site_DB[[#This Row],[Site ID]],Logfile_S[Transaction  Type],"outBOUND")</f>
        <v>50</v>
      </c>
      <c r="M124" s="262">
        <f>SUMIFS(Logfile_S[Qty],Logfile_S[Material Name],Site_DB[[#Headers],[Pole 9M]],Logfile_S[SiteID],Site_DB[[#This Row],[Site ID]],Logfile_S[Transaction  Type],"outBOUND")</f>
        <v>3</v>
      </c>
      <c r="N124" s="227"/>
      <c r="O124" s="227"/>
      <c r="P124" s="227"/>
      <c r="Q124" s="227"/>
      <c r="R124" s="227"/>
      <c r="S124" s="227"/>
      <c r="T124" s="227"/>
      <c r="U124" s="227"/>
      <c r="V124" s="467"/>
      <c r="W124" s="262" t="s">
        <v>4638</v>
      </c>
      <c r="X124" s="227">
        <f>SUMIFS(Logfile_S[Qty],Logfile_S[Material Name],Site_DB[[#Headers],[Pole 7M 2.5"]],Logfile_S[SiteID],Site_DB[[#This Row],[Site ID]],Logfile_S[Transaction  Type],"outBOUND")</f>
        <v>0</v>
      </c>
      <c r="Y124" s="227">
        <f>SUMIFS(Logfile_S[Qty],Logfile_S[Material Name],Site_DB[[#Headers],[Pole 7M 4"]],Logfile_S[SiteID],Site_DB[[#This Row],[Site ID]],Logfile_S[Transaction  Type],"outBOUND")</f>
        <v>14</v>
      </c>
      <c r="Z124" s="227">
        <f>SUMIFS(Logfile_S[Qty],Logfile_S[Material Name],Site_DB[[#Headers],[Pole 7M 3"]],Logfile_S[SiteID],Site_DB[[#This Row],[Site ID]],Logfile_S[Transaction  Type],"outBOUND")</f>
        <v>50</v>
      </c>
      <c r="AA124" s="227">
        <f>SUMIFS(Logfile_S[Qty],Logfile_S[Material Name],Site_DB[[#Headers],[Pole 9M]],Logfile_S[SiteID],Site_DB[[#This Row],[Site ID]],Logfile_S[Transaction  Type],"outBOUND")</f>
        <v>3</v>
      </c>
      <c r="AB124" s="227"/>
      <c r="AC124" s="227"/>
      <c r="AD124" s="227"/>
      <c r="AE124" s="227"/>
      <c r="AF124" s="227"/>
      <c r="AG124" s="227"/>
      <c r="AH124" s="227"/>
      <c r="AI124" s="227"/>
    </row>
    <row r="125" spans="1:35" ht="14.5">
      <c r="A125" s="508">
        <f t="shared" si="3"/>
        <v>121</v>
      </c>
      <c r="B125" s="241" t="s">
        <v>71</v>
      </c>
      <c r="C125" s="241" t="s">
        <v>24</v>
      </c>
      <c r="D125" s="511" t="s">
        <v>4785</v>
      </c>
      <c r="E125" s="241" t="s">
        <v>4786</v>
      </c>
      <c r="F125" s="241"/>
      <c r="G125" s="512"/>
      <c r="H125" s="241" t="s">
        <v>4543</v>
      </c>
      <c r="I125" s="510">
        <f>_xlfn.XLOOKUP(Site_DB[[#This Row],[Site ID]],Logfile_S[SiteID],Logfile_S[Date],"",0,1)</f>
        <v>46003</v>
      </c>
      <c r="J125" s="227">
        <f>_xlfn.IFNA(VLOOKUP(Site_DB[[#This Row],[Site ID]],SUM_DN!B:X,21,0),0)</f>
        <v>0</v>
      </c>
      <c r="K125" s="262">
        <f>SUMIFS(Logfile_S[Qty],Logfile_S[Material Name],Site_DB[[#Headers],[Pole 7M 4"]],Logfile_S[SiteID],Site_DB[[#This Row],[Site ID]],Logfile_S[Transaction  Type],"outBOUND")</f>
        <v>50</v>
      </c>
      <c r="L125" s="262">
        <f>SUMIFS(Logfile_S[Qty],Logfile_S[Material Name],Site_DB[[#Headers],[Pole 7M 3"]],Logfile_S[SiteID],Site_DB[[#This Row],[Site ID]],Logfile_S[Transaction  Type],"outBOUND")</f>
        <v>143</v>
      </c>
      <c r="M125" s="262">
        <f>SUMIFS(Logfile_S[Qty],Logfile_S[Material Name],Site_DB[[#Headers],[Pole 9M]],Logfile_S[SiteID],Site_DB[[#This Row],[Site ID]],Logfile_S[Transaction  Type],"outBOUND")</f>
        <v>9</v>
      </c>
      <c r="N125" s="227"/>
      <c r="O125" s="227"/>
      <c r="P125" s="227"/>
      <c r="Q125" s="227"/>
      <c r="R125" s="227"/>
      <c r="S125" s="227"/>
      <c r="T125" s="227"/>
      <c r="U125" s="227"/>
      <c r="V125" s="467"/>
      <c r="W125" s="262" t="s">
        <v>4638</v>
      </c>
      <c r="X125" s="227">
        <f>SUMIFS(Logfile_S[Qty],Logfile_S[Material Name],Site_DB[[#Headers],[Pole 7M 2.5"]],Logfile_S[SiteID],Site_DB[[#This Row],[Site ID]],Logfile_S[Transaction  Type],"outBOUND")</f>
        <v>210</v>
      </c>
      <c r="Y125" s="227">
        <f>SUMIFS(Logfile_S[Qty],Logfile_S[Material Name],Site_DB[[#Headers],[Pole 7M 4"]],Logfile_S[SiteID],Site_DB[[#This Row],[Site ID]],Logfile_S[Transaction  Type],"outBOUND")</f>
        <v>50</v>
      </c>
      <c r="Z125" s="227">
        <f>SUMIFS(Logfile_S[Qty],Logfile_S[Material Name],Site_DB[[#Headers],[Pole 7M 3"]],Logfile_S[SiteID],Site_DB[[#This Row],[Site ID]],Logfile_S[Transaction  Type],"outBOUND")</f>
        <v>143</v>
      </c>
      <c r="AA125" s="227">
        <f>SUMIFS(Logfile_S[Qty],Logfile_S[Material Name],Site_DB[[#Headers],[Pole 9M]],Logfile_S[SiteID],Site_DB[[#This Row],[Site ID]],Logfile_S[Transaction  Type],"outBOUND")</f>
        <v>9</v>
      </c>
      <c r="AB125" s="238"/>
      <c r="AC125" s="238"/>
      <c r="AD125" s="238"/>
      <c r="AE125" s="238"/>
      <c r="AF125" s="227"/>
      <c r="AG125" s="227"/>
      <c r="AH125" s="227"/>
      <c r="AI125" s="227"/>
    </row>
    <row r="126" spans="1:35" ht="14.5">
      <c r="A126" s="508">
        <f t="shared" si="3"/>
        <v>122</v>
      </c>
      <c r="B126" s="241" t="s">
        <v>71</v>
      </c>
      <c r="C126" s="241" t="s">
        <v>24</v>
      </c>
      <c r="D126" s="511" t="s">
        <v>4801</v>
      </c>
      <c r="E126" s="241" t="s">
        <v>4802</v>
      </c>
      <c r="F126" s="241"/>
      <c r="G126" s="512"/>
      <c r="H126" s="241" t="s">
        <v>4543</v>
      </c>
      <c r="I126" s="510">
        <f>_xlfn.XLOOKUP(Site_DB[[#This Row],[Site ID]],Logfile_S[SiteID],Logfile_S[Date],"",0,1)</f>
        <v>46002</v>
      </c>
      <c r="J126" s="227">
        <f>_xlfn.IFNA(VLOOKUP(Site_DB[[#This Row],[Site ID]],SUM_DN!B:X,21,0),0)</f>
        <v>0</v>
      </c>
      <c r="K126" s="262">
        <f>SUMIFS(Logfile_S[Qty],Logfile_S[Material Name],Site_DB[[#Headers],[Pole 7M 4"]],Logfile_S[SiteID],Site_DB[[#This Row],[Site ID]],Logfile_S[Transaction  Type],"outBOUND")</f>
        <v>52</v>
      </c>
      <c r="L126" s="262">
        <f>SUMIFS(Logfile_S[Qty],Logfile_S[Material Name],Site_DB[[#Headers],[Pole 7M 3"]],Logfile_S[SiteID],Site_DB[[#This Row],[Site ID]],Logfile_S[Transaction  Type],"outBOUND")</f>
        <v>93</v>
      </c>
      <c r="M126" s="262">
        <f>SUMIFS(Logfile_S[Qty],Logfile_S[Material Name],Site_DB[[#Headers],[Pole 9M]],Logfile_S[SiteID],Site_DB[[#This Row],[Site ID]],Logfile_S[Transaction  Type],"outBOUND")</f>
        <v>2</v>
      </c>
      <c r="N126" s="227"/>
      <c r="O126" s="227"/>
      <c r="P126" s="227"/>
      <c r="Q126" s="227"/>
      <c r="R126" s="227"/>
      <c r="S126" s="227"/>
      <c r="T126" s="227"/>
      <c r="U126" s="227"/>
      <c r="V126" s="467"/>
      <c r="W126" s="262" t="s">
        <v>4638</v>
      </c>
      <c r="X126" s="227">
        <f>SUMIFS(Logfile_S[Qty],Logfile_S[Material Name],Site_DB[[#Headers],[Pole 7M 2.5"]],Logfile_S[SiteID],Site_DB[[#This Row],[Site ID]],Logfile_S[Transaction  Type],"outBOUND")</f>
        <v>136</v>
      </c>
      <c r="Y126" s="227">
        <f>SUMIFS(Logfile_S[Qty],Logfile_S[Material Name],Site_DB[[#Headers],[Pole 7M 4"]],Logfile_S[SiteID],Site_DB[[#This Row],[Site ID]],Logfile_S[Transaction  Type],"outBOUND")</f>
        <v>52</v>
      </c>
      <c r="Z126" s="227">
        <f>SUMIFS(Logfile_S[Qty],Logfile_S[Material Name],Site_DB[[#Headers],[Pole 7M 3"]],Logfile_S[SiteID],Site_DB[[#This Row],[Site ID]],Logfile_S[Transaction  Type],"outBOUND")</f>
        <v>93</v>
      </c>
      <c r="AA126" s="227">
        <f>SUMIFS(Logfile_S[Qty],Logfile_S[Material Name],Site_DB[[#Headers],[Pole 9M]],Logfile_S[SiteID],Site_DB[[#This Row],[Site ID]],Logfile_S[Transaction  Type],"outBOUND")</f>
        <v>2</v>
      </c>
      <c r="AB126" s="238"/>
      <c r="AC126" s="238"/>
      <c r="AD126" s="238"/>
      <c r="AE126" s="238"/>
      <c r="AF126" s="227"/>
      <c r="AG126" s="227"/>
      <c r="AH126" s="227"/>
      <c r="AI126" s="227"/>
    </row>
    <row r="127" spans="1:35" ht="14.5">
      <c r="A127" s="508">
        <f t="shared" si="3"/>
        <v>123</v>
      </c>
      <c r="B127" s="241" t="s">
        <v>71</v>
      </c>
      <c r="C127" s="241" t="s">
        <v>24</v>
      </c>
      <c r="D127" s="511" t="s">
        <v>4898</v>
      </c>
      <c r="E127" s="241" t="s">
        <v>4900</v>
      </c>
      <c r="F127" s="241"/>
      <c r="G127" s="512"/>
      <c r="H127" s="241" t="s">
        <v>4548</v>
      </c>
      <c r="I127" s="510">
        <f>_xlfn.XLOOKUP(Site_DB[[#This Row],[Site ID]],Logfile_S[SiteID],Logfile_S[Date],"",0,1)</f>
        <v>46191</v>
      </c>
      <c r="J127" s="227">
        <f>_xlfn.IFNA(VLOOKUP(Site_DB[[#This Row],[Site ID]],SUM_DN!B:X,21,0),0)</f>
        <v>0</v>
      </c>
      <c r="K127" s="262">
        <f>SUMIFS(Logfile_S[Qty],Logfile_S[Material Name],Site_DB[[#Headers],[Pole 7M 4"]],Logfile_S[SiteID],Site_DB[[#This Row],[Site ID]],Logfile_S[Transaction  Type],"outBOUND")</f>
        <v>13</v>
      </c>
      <c r="L127" s="262">
        <f>SUMIFS(Logfile_S[Qty],Logfile_S[Material Name],Site_DB[[#Headers],[Pole 7M 3"]],Logfile_S[SiteID],Site_DB[[#This Row],[Site ID]],Logfile_S[Transaction  Type],"outBOUND")</f>
        <v>28</v>
      </c>
      <c r="M127" s="262">
        <f>SUMIFS(Logfile_S[Qty],Logfile_S[Material Name],Site_DB[[#Headers],[Pole 9M]],Logfile_S[SiteID],Site_DB[[#This Row],[Site ID]],Logfile_S[Transaction  Type],"outBOUND")</f>
        <v>0</v>
      </c>
      <c r="N127" s="227"/>
      <c r="O127" s="227"/>
      <c r="P127" s="227"/>
      <c r="Q127" s="227"/>
      <c r="R127" s="227"/>
      <c r="S127" s="227"/>
      <c r="T127" s="227"/>
      <c r="U127" s="227"/>
      <c r="V127" s="467"/>
      <c r="W127" s="238" t="s">
        <v>4911</v>
      </c>
      <c r="X127" s="227">
        <f>SUMIFS(Logfile_S[Qty],Logfile_S[Material Name],Site_DB[[#Headers],[Pole 7M 2.5"]],Logfile_S[SiteID],Site_DB[[#This Row],[Site ID]],Logfile_S[Transaction  Type],"outBOUND")</f>
        <v>25</v>
      </c>
      <c r="Y127" s="227">
        <f>SUMIFS(Logfile_S[Qty],Logfile_S[Material Name],Site_DB[[#Headers],[Pole 7M 4"]],Logfile_S[SiteID],Site_DB[[#This Row],[Site ID]],Logfile_S[Transaction  Type],"outBOUND")</f>
        <v>13</v>
      </c>
      <c r="Z127" s="227">
        <f>SUMIFS(Logfile_S[Qty],Logfile_S[Material Name],Site_DB[[#Headers],[Pole 7M 3"]],Logfile_S[SiteID],Site_DB[[#This Row],[Site ID]],Logfile_S[Transaction  Type],"outBOUND")</f>
        <v>28</v>
      </c>
      <c r="AA127" s="227">
        <f>SUMIFS(Logfile_S[Qty],Logfile_S[Material Name],Site_DB[[#Headers],[Pole 9M]],Logfile_S[SiteID],Site_DB[[#This Row],[Site ID]],Logfile_S[Transaction  Type],"outBOUND")</f>
        <v>0</v>
      </c>
      <c r="AB127" s="227"/>
      <c r="AC127" s="227"/>
      <c r="AD127" s="227"/>
      <c r="AE127" s="227"/>
      <c r="AF127" s="227"/>
      <c r="AG127" s="227"/>
      <c r="AH127" s="227"/>
      <c r="AI127" s="227"/>
    </row>
    <row r="128" spans="1:35" ht="14.5">
      <c r="A128" s="508">
        <f t="shared" ref="A128:A129" si="4">ROW()-ROW($A$4)</f>
        <v>124</v>
      </c>
      <c r="B128" s="241" t="s">
        <v>71</v>
      </c>
      <c r="C128" s="241" t="s">
        <v>24</v>
      </c>
      <c r="D128" t="s">
        <v>5352</v>
      </c>
      <c r="E128" t="s">
        <v>5353</v>
      </c>
      <c r="F128" s="241"/>
      <c r="G128" s="512"/>
      <c r="H128" s="241"/>
      <c r="I128" s="533">
        <f>_xlfn.XLOOKUP(Site_DB[[#This Row],[Site ID]],Logfile_S[SiteID],Logfile_S[Date],"",0,1)</f>
        <v>46220</v>
      </c>
      <c r="J128" s="529">
        <f>_xlfn.IFNA(VLOOKUP(Site_DB[[#This Row],[Site ID]],SUM_DN!B:X,21,0),0)</f>
        <v>7</v>
      </c>
      <c r="K128" s="227"/>
      <c r="L128" s="227"/>
      <c r="M128" s="227"/>
      <c r="N128" s="227"/>
      <c r="O128" s="227"/>
      <c r="P128" s="227"/>
      <c r="Q128" s="227"/>
      <c r="R128" s="227"/>
      <c r="S128" s="227"/>
      <c r="T128" s="227"/>
      <c r="U128" s="227"/>
      <c r="V128" s="467"/>
      <c r="W128" s="238"/>
      <c r="X128" s="238">
        <f>SUMIFS(Logfile_S[Qty],Logfile_S[Material Name],Site_DB[[#Headers],[Pole 7M 2.5"]],Logfile_S[SiteID],Site_DB[[#This Row],[Site ID]],Logfile_S[Transaction  Type],"outBOUND")</f>
        <v>7</v>
      </c>
      <c r="Y128" s="238">
        <f>SUMIFS(Logfile_S[Qty],Logfile_S[Material Name],Site_DB[[#Headers],[Pole 7M 4"]],Logfile_S[SiteID],Site_DB[[#This Row],[Site ID]],Logfile_S[Transaction  Type],"outBOUND")</f>
        <v>0</v>
      </c>
      <c r="Z128" s="238">
        <f>SUMIFS(Logfile_S[Qty],Logfile_S[Material Name],Site_DB[[#Headers],[Pole 7M 3"]],Logfile_S[SiteID],Site_DB[[#This Row],[Site ID]],Logfile_S[Transaction  Type],"outBOUND")</f>
        <v>14</v>
      </c>
      <c r="AA128" s="238">
        <f>SUMIFS(Logfile_S[Qty],Logfile_S[Material Name],Site_DB[[#Headers],[Pole 9M]],Logfile_S[SiteID],Site_DB[[#This Row],[Site ID]],Logfile_S[Transaction  Type],"outBOUND")</f>
        <v>0</v>
      </c>
      <c r="AB128" s="472"/>
      <c r="AC128" s="472"/>
      <c r="AD128" s="472"/>
      <c r="AE128" s="472"/>
      <c r="AF128" s="227"/>
      <c r="AG128" s="227"/>
      <c r="AH128" s="227"/>
      <c r="AI128" s="227"/>
    </row>
    <row r="129" spans="1:35" ht="14.5">
      <c r="A129" s="530">
        <f t="shared" si="4"/>
        <v>125</v>
      </c>
      <c r="B129" s="241" t="s">
        <v>71</v>
      </c>
      <c r="C129" s="241" t="s">
        <v>24</v>
      </c>
      <c r="D129" s="531" t="s">
        <v>5122</v>
      </c>
      <c r="E129" s="252" t="s">
        <v>5125</v>
      </c>
      <c r="F129" s="252"/>
      <c r="G129" s="532"/>
      <c r="H129" s="252"/>
      <c r="I129" s="533">
        <f>_xlfn.XLOOKUP(Site_DB[[#This Row],[Site ID]],Logfile_S[SiteID],Logfile_S[Date],"",0,1)</f>
        <v>46212</v>
      </c>
      <c r="J129" s="529">
        <f>_xlfn.IFNA(VLOOKUP(Site_DB[[#This Row],[Site ID]],SUM_DN!B:X,21,0),0)</f>
        <v>9</v>
      </c>
      <c r="K129" s="250"/>
      <c r="L129" s="250"/>
      <c r="M129" s="250"/>
      <c r="N129" s="250"/>
      <c r="O129" s="250"/>
      <c r="P129" s="250"/>
      <c r="Q129" s="250"/>
      <c r="R129" s="250"/>
      <c r="S129" s="250"/>
      <c r="T129" s="250"/>
      <c r="U129" s="250"/>
      <c r="V129" s="471"/>
      <c r="W129" s="472"/>
      <c r="X129" s="472">
        <f>SUMIFS(Logfile_S[Qty],Logfile_S[Material Name],Site_DB[[#Headers],[Pole 7M 2.5"]],Logfile_S[SiteID],Site_DB[[#This Row],[Site ID]],Logfile_S[Transaction  Type],"outBOUND")</f>
        <v>19</v>
      </c>
      <c r="Y129" s="472">
        <f>SUMIFS(Logfile_S[Qty],Logfile_S[Material Name],Site_DB[[#Headers],[Pole 7M 4"]],Logfile_S[SiteID],Site_DB[[#This Row],[Site ID]],Logfile_S[Transaction  Type],"outBOUND")</f>
        <v>0</v>
      </c>
      <c r="Z129" s="472">
        <f>SUMIFS(Logfile_S[Qty],Logfile_S[Material Name],Site_DB[[#Headers],[Pole 7M 3"]],Logfile_S[SiteID],Site_DB[[#This Row],[Site ID]],Logfile_S[Transaction  Type],"outBOUND")</f>
        <v>23</v>
      </c>
      <c r="AA129" s="472">
        <f>SUMIFS(Logfile_S[Qty],Logfile_S[Material Name],Site_DB[[#Headers],[Pole 9M]],Logfile_S[SiteID],Site_DB[[#This Row],[Site ID]],Logfile_S[Transaction  Type],"outBOUND")</f>
        <v>4</v>
      </c>
      <c r="AB129" s="472"/>
      <c r="AC129" s="472"/>
      <c r="AD129" s="472"/>
      <c r="AE129" s="472"/>
      <c r="AF129" s="250"/>
      <c r="AG129" s="250"/>
      <c r="AH129" s="250"/>
      <c r="AI129" s="250"/>
    </row>
    <row r="130" spans="1:35" ht="14.5">
      <c r="A130" s="508">
        <f t="shared" ref="A130:A133" si="5">ROW()-ROW($A$4)</f>
        <v>126</v>
      </c>
      <c r="B130" s="241" t="s">
        <v>71</v>
      </c>
      <c r="C130" s="241" t="s">
        <v>24</v>
      </c>
      <c r="D130" s="511" t="s">
        <v>5380</v>
      </c>
      <c r="E130" s="241" t="s">
        <v>5379</v>
      </c>
      <c r="F130" s="241"/>
      <c r="G130" s="512"/>
      <c r="H130" s="241"/>
      <c r="I130" s="510">
        <f>_xlfn.XLOOKUP(Site_DB[[#This Row],[Site ID]],Logfile_S[SiteID],Logfile_S[Date],"",0,1)</f>
        <v>46249</v>
      </c>
      <c r="J130" s="529">
        <f>_xlfn.IFNA(VLOOKUP(Site_DB[[#This Row],[Site ID]],SUM_DN!B:X,21,0),0)</f>
        <v>0</v>
      </c>
      <c r="K130" s="227"/>
      <c r="L130" s="227"/>
      <c r="M130" s="227"/>
      <c r="N130" s="227"/>
      <c r="O130" s="227"/>
      <c r="P130" s="227"/>
      <c r="Q130" s="227"/>
      <c r="R130" s="227"/>
      <c r="S130" s="227"/>
      <c r="T130" s="227"/>
      <c r="U130" s="227"/>
      <c r="V130" s="467"/>
      <c r="W130" s="238"/>
      <c r="X130" s="238">
        <f>SUMIFS(Logfile_S[Qty],Logfile_S[Material Name],Site_DB[[#Headers],[Pole 7M 2.5"]],Logfile_S[SiteID],Site_DB[[#This Row],[Site ID]],Logfile_S[Transaction  Type],"outBOUND")</f>
        <v>13</v>
      </c>
      <c r="Y130" s="238">
        <f>SUMIFS(Logfile_S[Qty],Logfile_S[Material Name],Site_DB[[#Headers],[Pole 7M 4"]],Logfile_S[SiteID],Site_DB[[#This Row],[Site ID]],Logfile_S[Transaction  Type],"outBOUND")</f>
        <v>0</v>
      </c>
      <c r="Z130" s="238">
        <f>SUMIFS(Logfile_S[Qty],Logfile_S[Material Name],Site_DB[[#Headers],[Pole 7M 3"]],Logfile_S[SiteID],Site_DB[[#This Row],[Site ID]],Logfile_S[Transaction  Type],"outBOUND")</f>
        <v>14</v>
      </c>
      <c r="AA130" s="238">
        <f>SUMIFS(Logfile_S[Qty],Logfile_S[Material Name],Site_DB[[#Headers],[Pole 9M]],Logfile_S[SiteID],Site_DB[[#This Row],[Site ID]],Logfile_S[Transaction  Type],"outBOUND")</f>
        <v>0</v>
      </c>
      <c r="AB130" s="472"/>
      <c r="AC130" s="472"/>
      <c r="AD130" s="472"/>
      <c r="AE130" s="472"/>
      <c r="AF130" s="227"/>
      <c r="AG130" s="227"/>
      <c r="AH130" s="227"/>
      <c r="AI130" s="227"/>
    </row>
    <row r="131" spans="1:35" ht="14.5">
      <c r="A131" s="508">
        <f t="shared" si="5"/>
        <v>127</v>
      </c>
      <c r="B131" s="241" t="s">
        <v>71</v>
      </c>
      <c r="C131" s="241" t="s">
        <v>24</v>
      </c>
      <c r="D131" s="511" t="s">
        <v>5381</v>
      </c>
      <c r="E131" s="241" t="s">
        <v>5382</v>
      </c>
      <c r="F131" s="241"/>
      <c r="G131" s="512"/>
      <c r="H131" s="241"/>
      <c r="I131" s="510">
        <f>_xlfn.XLOOKUP(Site_DB[[#This Row],[Site ID]],Logfile_S[SiteID],Logfile_S[Date],"",0,1)</f>
        <v>46260</v>
      </c>
      <c r="J131" s="529">
        <f>_xlfn.IFNA(VLOOKUP(Site_DB[[#This Row],[Site ID]],SUM_DN!B:X,21,0),0)</f>
        <v>0</v>
      </c>
      <c r="K131" s="227"/>
      <c r="L131" s="227"/>
      <c r="M131" s="227"/>
      <c r="N131" s="227"/>
      <c r="O131" s="227"/>
      <c r="P131" s="227"/>
      <c r="Q131" s="227"/>
      <c r="R131" s="227"/>
      <c r="S131" s="227"/>
      <c r="T131" s="227"/>
      <c r="U131" s="227"/>
      <c r="V131" s="467"/>
      <c r="W131" s="238"/>
      <c r="X131" s="238">
        <f>SUMIFS(Logfile_S[Qty],Logfile_S[Material Name],Site_DB[[#Headers],[Pole 7M 2.5"]],Logfile_S[SiteID],Site_DB[[#This Row],[Site ID]],Logfile_S[Transaction  Type],"outBOUND")</f>
        <v>11</v>
      </c>
      <c r="Y131" s="238">
        <f>SUMIFS(Logfile_S[Qty],Logfile_S[Material Name],Site_DB[[#Headers],[Pole 7M 4"]],Logfile_S[SiteID],Site_DB[[#This Row],[Site ID]],Logfile_S[Transaction  Type],"outBOUND")</f>
        <v>7</v>
      </c>
      <c r="Z131" s="238">
        <f>SUMIFS(Logfile_S[Qty],Logfile_S[Material Name],Site_DB[[#Headers],[Pole 7M 3"]],Logfile_S[SiteID],Site_DB[[#This Row],[Site ID]],Logfile_S[Transaction  Type],"outBOUND")</f>
        <v>52</v>
      </c>
      <c r="AA131" s="238">
        <f>SUMIFS(Logfile_S[Qty],Logfile_S[Material Name],Site_DB[[#Headers],[Pole 9M]],Logfile_S[SiteID],Site_DB[[#This Row],[Site ID]],Logfile_S[Transaction  Type],"outBOUND")</f>
        <v>2</v>
      </c>
      <c r="AB131" s="472"/>
      <c r="AC131" s="472"/>
      <c r="AD131" s="472"/>
      <c r="AE131" s="472"/>
      <c r="AF131" s="227"/>
      <c r="AG131" s="227"/>
      <c r="AH131" s="227"/>
      <c r="AI131" s="227"/>
    </row>
    <row r="132" spans="1:35" ht="14.5">
      <c r="A132" s="508">
        <f t="shared" si="5"/>
        <v>128</v>
      </c>
      <c r="B132" s="241" t="s">
        <v>71</v>
      </c>
      <c r="C132" s="241" t="s">
        <v>24</v>
      </c>
      <c r="D132" s="511" t="s">
        <v>5383</v>
      </c>
      <c r="E132" s="241" t="s">
        <v>5386</v>
      </c>
      <c r="F132" s="241"/>
      <c r="G132" s="512"/>
      <c r="H132" s="241"/>
      <c r="I132" s="510">
        <f>_xlfn.XLOOKUP(Site_DB[[#This Row],[Site ID]],Logfile_S[SiteID],Logfile_S[Date],"",0,1)</f>
        <v>46255</v>
      </c>
      <c r="J132" s="529">
        <f>_xlfn.IFNA(VLOOKUP(Site_DB[[#This Row],[Site ID]],SUM_DN!B:X,21,0),0)</f>
        <v>0</v>
      </c>
      <c r="K132" s="227"/>
      <c r="L132" s="227"/>
      <c r="M132" s="227"/>
      <c r="N132" s="227"/>
      <c r="O132" s="227"/>
      <c r="P132" s="227"/>
      <c r="Q132" s="227"/>
      <c r="R132" s="227"/>
      <c r="S132" s="227"/>
      <c r="T132" s="227"/>
      <c r="U132" s="227"/>
      <c r="V132" s="467"/>
      <c r="W132" s="238"/>
      <c r="X132" s="238">
        <f>SUMIFS(Logfile_S[Qty],Logfile_S[Material Name],Site_DB[[#Headers],[Pole 7M 2.5"]],Logfile_S[SiteID],Site_DB[[#This Row],[Site ID]],Logfile_S[Transaction  Type],"outBOUND")</f>
        <v>13</v>
      </c>
      <c r="Y132" s="238">
        <f>SUMIFS(Logfile_S[Qty],Logfile_S[Material Name],Site_DB[[#Headers],[Pole 7M 4"]],Logfile_S[SiteID],Site_DB[[#This Row],[Site ID]],Logfile_S[Transaction  Type],"outBOUND")</f>
        <v>4</v>
      </c>
      <c r="Z132" s="238">
        <f>SUMIFS(Logfile_S[Qty],Logfile_S[Material Name],Site_DB[[#Headers],[Pole 7M 3"]],Logfile_S[SiteID],Site_DB[[#This Row],[Site ID]],Logfile_S[Transaction  Type],"outBOUND")</f>
        <v>12</v>
      </c>
      <c r="AA132" s="238">
        <f>SUMIFS(Logfile_S[Qty],Logfile_S[Material Name],Site_DB[[#Headers],[Pole 9M]],Logfile_S[SiteID],Site_DB[[#This Row],[Site ID]],Logfile_S[Transaction  Type],"outBOUND")</f>
        <v>0</v>
      </c>
      <c r="AB132" s="472"/>
      <c r="AC132" s="472"/>
      <c r="AD132" s="472"/>
      <c r="AE132" s="472"/>
      <c r="AF132" s="227"/>
      <c r="AG132" s="227"/>
      <c r="AH132" s="227"/>
      <c r="AI132" s="227"/>
    </row>
    <row r="133" spans="1:35" ht="14.5">
      <c r="A133" s="508">
        <f t="shared" si="5"/>
        <v>129</v>
      </c>
      <c r="B133" s="241" t="s">
        <v>71</v>
      </c>
      <c r="C133" s="241" t="s">
        <v>24</v>
      </c>
      <c r="D133" s="511" t="s">
        <v>5384</v>
      </c>
      <c r="E133" s="241" t="s">
        <v>5385</v>
      </c>
      <c r="F133" s="241"/>
      <c r="G133" s="512"/>
      <c r="H133" s="241"/>
      <c r="I133" s="510">
        <f>_xlfn.XLOOKUP(Site_DB[[#This Row],[Site ID]],Logfile_S[SiteID],Logfile_S[Date],"",0,1)</f>
        <v>46255</v>
      </c>
      <c r="J133" s="529">
        <f>_xlfn.IFNA(VLOOKUP(Site_DB[[#This Row],[Site ID]],SUM_DN!B:X,21,0),0)</f>
        <v>0</v>
      </c>
      <c r="K133" s="227"/>
      <c r="L133" s="227"/>
      <c r="M133" s="227"/>
      <c r="N133" s="227"/>
      <c r="O133" s="227"/>
      <c r="P133" s="227"/>
      <c r="Q133" s="227"/>
      <c r="R133" s="227"/>
      <c r="S133" s="227"/>
      <c r="T133" s="227"/>
      <c r="U133" s="227"/>
      <c r="V133" s="467"/>
      <c r="W133" s="238"/>
      <c r="X133" s="238">
        <f>SUMIFS(Logfile_S[Qty],Logfile_S[Material Name],Site_DB[[#Headers],[Pole 7M 2.5"]],Logfile_S[SiteID],Site_DB[[#This Row],[Site ID]],Logfile_S[Transaction  Type],"outBOUND")</f>
        <v>5</v>
      </c>
      <c r="Y133" s="238">
        <f>SUMIFS(Logfile_S[Qty],Logfile_S[Material Name],Site_DB[[#Headers],[Pole 7M 4"]],Logfile_S[SiteID],Site_DB[[#This Row],[Site ID]],Logfile_S[Transaction  Type],"outBOUND")</f>
        <v>0</v>
      </c>
      <c r="Z133" s="238">
        <f>SUMIFS(Logfile_S[Qty],Logfile_S[Material Name],Site_DB[[#Headers],[Pole 7M 3"]],Logfile_S[SiteID],Site_DB[[#This Row],[Site ID]],Logfile_S[Transaction  Type],"outBOUND")</f>
        <v>9</v>
      </c>
      <c r="AA133" s="238">
        <f>SUMIFS(Logfile_S[Qty],Logfile_S[Material Name],Site_DB[[#Headers],[Pole 9M]],Logfile_S[SiteID],Site_DB[[#This Row],[Site ID]],Logfile_S[Transaction  Type],"outBOUND")</f>
        <v>0</v>
      </c>
      <c r="AB133" s="472"/>
      <c r="AC133" s="472"/>
      <c r="AD133" s="472"/>
      <c r="AE133" s="472"/>
      <c r="AF133" s="227"/>
      <c r="AG133" s="227"/>
      <c r="AH133" s="227"/>
      <c r="AI133" s="227"/>
    </row>
    <row r="134" spans="1:35" ht="14.5">
      <c r="A134" s="530">
        <f>ROW()-ROW($A$4)</f>
        <v>130</v>
      </c>
      <c r="B134" s="241" t="s">
        <v>71</v>
      </c>
      <c r="C134" s="241" t="s">
        <v>24</v>
      </c>
      <c r="D134" s="531" t="s">
        <v>5388</v>
      </c>
      <c r="E134" s="252" t="s">
        <v>5387</v>
      </c>
      <c r="F134" s="252"/>
      <c r="G134" s="532"/>
      <c r="H134" s="252"/>
      <c r="I134" s="533">
        <f>_xlfn.XLOOKUP(Site_DB[[#This Row],[Site ID]],Logfile_S[SiteID],Logfile_S[Date],"",0,1)</f>
        <v>46254</v>
      </c>
      <c r="J134" s="529">
        <f>_xlfn.IFNA(VLOOKUP(Site_DB[[#This Row],[Site ID]],SUM_DN!B:X,21,0),0)</f>
        <v>0</v>
      </c>
      <c r="K134" s="250"/>
      <c r="L134" s="250"/>
      <c r="M134" s="250"/>
      <c r="N134" s="250"/>
      <c r="O134" s="250"/>
      <c r="P134" s="250"/>
      <c r="Q134" s="250"/>
      <c r="R134" s="250"/>
      <c r="S134" s="250"/>
      <c r="T134" s="250"/>
      <c r="U134" s="250"/>
      <c r="V134" s="471"/>
      <c r="W134" s="472"/>
      <c r="X134" s="472">
        <f>SUMIFS(Logfile_S[Qty],Logfile_S[Material Name],Site_DB[[#Headers],[Pole 7M 2.5"]],Logfile_S[SiteID],Site_DB[[#This Row],[Site ID]],Logfile_S[Transaction  Type],"outBOUND")</f>
        <v>0</v>
      </c>
      <c r="Y134" s="472">
        <f>SUMIFS(Logfile_S[Qty],Logfile_S[Material Name],Site_DB[[#Headers],[Pole 7M 4"]],Logfile_S[SiteID],Site_DB[[#This Row],[Site ID]],Logfile_S[Transaction  Type],"outBOUND")</f>
        <v>0</v>
      </c>
      <c r="Z134" s="472">
        <f>SUMIFS(Logfile_S[Qty],Logfile_S[Material Name],Site_DB[[#Headers],[Pole 7M 3"]],Logfile_S[SiteID],Site_DB[[#This Row],[Site ID]],Logfile_S[Transaction  Type],"outBOUND")</f>
        <v>25</v>
      </c>
      <c r="AA134" s="472">
        <f>SUMIFS(Logfile_S[Qty],Logfile_S[Material Name],Site_DB[[#Headers],[Pole 9M]],Logfile_S[SiteID],Site_DB[[#This Row],[Site ID]],Logfile_S[Transaction  Type],"outBOUND")</f>
        <v>0</v>
      </c>
      <c r="AB134" s="472"/>
      <c r="AC134" s="472"/>
      <c r="AD134" s="472"/>
      <c r="AE134" s="472"/>
      <c r="AF134" s="250"/>
      <c r="AG134" s="250"/>
      <c r="AH134" s="250"/>
      <c r="AI134" s="250"/>
    </row>
  </sheetData>
  <phoneticPr fontId="20" type="noConversion"/>
  <conditionalFormatting sqref="D3">
    <cfRule type="duplicateValues" dxfId="305" priority="509"/>
  </conditionalFormatting>
  <conditionalFormatting sqref="E3">
    <cfRule type="duplicateValues" dxfId="304" priority="508"/>
  </conditionalFormatting>
  <conditionalFormatting sqref="E3">
    <cfRule type="duplicateValues" dxfId="303" priority="656"/>
  </conditionalFormatting>
  <conditionalFormatting sqref="E28">
    <cfRule type="duplicateValues" dxfId="302" priority="177"/>
  </conditionalFormatting>
  <conditionalFormatting sqref="F5:F11">
    <cfRule type="duplicateValues" dxfId="301" priority="187"/>
    <cfRule type="duplicateValues" dxfId="300" priority="188"/>
    <cfRule type="duplicateValues" dxfId="299" priority="189"/>
  </conditionalFormatting>
  <conditionalFormatting sqref="F7:F11">
    <cfRule type="duplicateValues" dxfId="298" priority="184"/>
    <cfRule type="duplicateValues" dxfId="297" priority="185"/>
    <cfRule type="duplicateValues" dxfId="296" priority="186"/>
  </conditionalFormatting>
  <conditionalFormatting sqref="F11">
    <cfRule type="duplicateValues" dxfId="295" priority="181"/>
    <cfRule type="duplicateValues" dxfId="294" priority="182"/>
    <cfRule type="duplicateValues" dxfId="293" priority="183"/>
  </conditionalFormatting>
  <conditionalFormatting sqref="F12">
    <cfRule type="duplicateValues" dxfId="292" priority="153"/>
    <cfRule type="duplicateValues" dxfId="291" priority="154"/>
    <cfRule type="duplicateValues" dxfId="290" priority="155"/>
  </conditionalFormatting>
  <conditionalFormatting sqref="F13">
    <cfRule type="duplicateValues" dxfId="289" priority="123"/>
    <cfRule type="duplicateValues" dxfId="288" priority="124"/>
    <cfRule type="duplicateValues" dxfId="287" priority="125"/>
  </conditionalFormatting>
  <conditionalFormatting sqref="F16:F19">
    <cfRule type="duplicateValues" dxfId="286" priority="272"/>
    <cfRule type="duplicateValues" dxfId="285" priority="273"/>
    <cfRule type="duplicateValues" dxfId="284" priority="274"/>
  </conditionalFormatting>
  <conditionalFormatting sqref="F20">
    <cfRule type="duplicateValues" dxfId="283" priority="178"/>
    <cfRule type="duplicateValues" dxfId="282" priority="179"/>
    <cfRule type="duplicateValues" dxfId="281" priority="180"/>
  </conditionalFormatting>
  <conditionalFormatting sqref="F21:F23">
    <cfRule type="duplicateValues" dxfId="280" priority="138"/>
    <cfRule type="duplicateValues" dxfId="279" priority="139"/>
    <cfRule type="duplicateValues" dxfId="278" priority="140"/>
  </conditionalFormatting>
  <conditionalFormatting sqref="F24:F26">
    <cfRule type="duplicateValues" dxfId="277" priority="162"/>
    <cfRule type="duplicateValues" dxfId="276" priority="163"/>
    <cfRule type="duplicateValues" dxfId="275" priority="164"/>
  </conditionalFormatting>
  <conditionalFormatting sqref="F27">
    <cfRule type="duplicateValues" dxfId="274" priority="132"/>
    <cfRule type="duplicateValues" dxfId="273" priority="133"/>
    <cfRule type="duplicateValues" dxfId="272" priority="134"/>
  </conditionalFormatting>
  <conditionalFormatting sqref="F28">
    <cfRule type="duplicateValues" dxfId="271" priority="171"/>
    <cfRule type="duplicateValues" dxfId="270" priority="172"/>
    <cfRule type="duplicateValues" dxfId="269" priority="173"/>
    <cfRule type="duplicateValues" dxfId="268" priority="174"/>
    <cfRule type="duplicateValues" dxfId="267" priority="175"/>
    <cfRule type="duplicateValues" dxfId="266" priority="176"/>
  </conditionalFormatting>
  <conditionalFormatting sqref="F29">
    <cfRule type="duplicateValues" dxfId="265" priority="159"/>
    <cfRule type="duplicateValues" dxfId="264" priority="160"/>
    <cfRule type="duplicateValues" dxfId="263" priority="161"/>
  </conditionalFormatting>
  <conditionalFormatting sqref="F31">
    <cfRule type="duplicateValues" dxfId="262" priority="107"/>
    <cfRule type="duplicateValues" dxfId="261" priority="108"/>
    <cfRule type="duplicateValues" dxfId="260" priority="109"/>
    <cfRule type="duplicateValues" dxfId="259" priority="110"/>
  </conditionalFormatting>
  <conditionalFormatting sqref="F32">
    <cfRule type="duplicateValues" dxfId="258" priority="103"/>
    <cfRule type="duplicateValues" dxfId="257" priority="104"/>
    <cfRule type="duplicateValues" dxfId="256" priority="105"/>
    <cfRule type="duplicateValues" dxfId="255" priority="106"/>
  </conditionalFormatting>
  <conditionalFormatting sqref="F33:F36">
    <cfRule type="duplicateValues" dxfId="254" priority="156"/>
    <cfRule type="duplicateValues" dxfId="253" priority="157"/>
    <cfRule type="duplicateValues" dxfId="252" priority="158"/>
  </conditionalFormatting>
  <conditionalFormatting sqref="F37:F38 F40:F41">
    <cfRule type="duplicateValues" dxfId="251" priority="150"/>
    <cfRule type="duplicateValues" dxfId="250" priority="151"/>
    <cfRule type="duplicateValues" dxfId="249" priority="152"/>
  </conditionalFormatting>
  <conditionalFormatting sqref="F38 F40:F41">
    <cfRule type="duplicateValues" dxfId="248" priority="147"/>
    <cfRule type="duplicateValues" dxfId="247" priority="148"/>
    <cfRule type="duplicateValues" dxfId="246" priority="149"/>
  </conditionalFormatting>
  <conditionalFormatting sqref="F39">
    <cfRule type="duplicateValues" dxfId="245" priority="141"/>
    <cfRule type="duplicateValues" dxfId="244" priority="142"/>
    <cfRule type="duplicateValues" dxfId="243" priority="143"/>
  </conditionalFormatting>
  <conditionalFormatting sqref="F42">
    <cfRule type="duplicateValues" dxfId="242" priority="144"/>
    <cfRule type="duplicateValues" dxfId="241" priority="145"/>
    <cfRule type="duplicateValues" dxfId="240" priority="146"/>
  </conditionalFormatting>
  <conditionalFormatting sqref="F43">
    <cfRule type="duplicateValues" dxfId="239" priority="111"/>
    <cfRule type="duplicateValues" dxfId="238" priority="112"/>
    <cfRule type="duplicateValues" dxfId="237" priority="113"/>
    <cfRule type="duplicateValues" dxfId="236" priority="114"/>
  </conditionalFormatting>
  <conditionalFormatting sqref="F44">
    <cfRule type="duplicateValues" dxfId="235" priority="135"/>
    <cfRule type="duplicateValues" dxfId="234" priority="136"/>
    <cfRule type="duplicateValues" dxfId="233" priority="137"/>
  </conditionalFormatting>
  <conditionalFormatting sqref="F45">
    <cfRule type="duplicateValues" dxfId="232" priority="129"/>
    <cfRule type="duplicateValues" dxfId="231" priority="130"/>
    <cfRule type="duplicateValues" dxfId="230" priority="131"/>
  </conditionalFormatting>
  <conditionalFormatting sqref="F46">
    <cfRule type="duplicateValues" dxfId="229" priority="126"/>
    <cfRule type="duplicateValues" dxfId="228" priority="127"/>
    <cfRule type="duplicateValues" dxfId="227" priority="128"/>
  </conditionalFormatting>
  <conditionalFormatting sqref="F50">
    <cfRule type="duplicateValues" dxfId="226" priority="117"/>
    <cfRule type="duplicateValues" dxfId="225" priority="118"/>
    <cfRule type="duplicateValues" dxfId="224" priority="119"/>
  </conditionalFormatting>
  <conditionalFormatting sqref="F51:F52">
    <cfRule type="duplicateValues" dxfId="223" priority="120"/>
    <cfRule type="duplicateValues" dxfId="222" priority="121"/>
    <cfRule type="duplicateValues" dxfId="221" priority="122"/>
  </conditionalFormatting>
  <conditionalFormatting sqref="F60">
    <cfRule type="duplicateValues" dxfId="220" priority="95"/>
    <cfRule type="duplicateValues" dxfId="219" priority="96"/>
    <cfRule type="duplicateValues" dxfId="218" priority="97"/>
    <cfRule type="duplicateValues" dxfId="217" priority="98"/>
  </conditionalFormatting>
  <conditionalFormatting sqref="F124">
    <cfRule type="duplicateValues" dxfId="216" priority="22"/>
    <cfRule type="duplicateValues" dxfId="215" priority="23"/>
    <cfRule type="duplicateValues" dxfId="214" priority="24"/>
    <cfRule type="duplicateValues" dxfId="213" priority="25"/>
  </conditionalFormatting>
  <conditionalFormatting sqref="D134:E1048576 D1:E127">
    <cfRule type="duplicateValues" dxfId="212" priority="1"/>
  </conditionalFormatting>
  <conditionalFormatting sqref="F53:F59 F61:F123 F125:F127">
    <cfRule type="duplicateValues" dxfId="211" priority="674"/>
    <cfRule type="duplicateValues" dxfId="210" priority="675"/>
    <cfRule type="duplicateValues" dxfId="209" priority="676"/>
  </conditionalFormatting>
  <conditionalFormatting sqref="F54:F59 F61:F123 F125:F127">
    <cfRule type="duplicateValues" dxfId="208" priority="683"/>
    <cfRule type="duplicateValues" dxfId="207" priority="684"/>
    <cfRule type="duplicateValues" dxfId="206" priority="685"/>
  </conditionalFormatting>
  <conditionalFormatting sqref="D4:D127 D129:D133">
    <cfRule type="duplicateValues" dxfId="205" priority="692"/>
  </conditionalFormatting>
  <conditionalFormatting sqref="D28:D44 D5:D26 D46:D127">
    <cfRule type="duplicateValues" dxfId="204" priority="693"/>
  </conditionalFormatting>
  <conditionalFormatting sqref="E4:E127 E129:E133">
    <cfRule type="duplicateValues" dxfId="203" priority="696"/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9C2A3-233B-4F12-B390-79754FE1C8EB}">
  <sheetPr codeName="Sheet12">
    <tabColor rgb="FFFFFF00"/>
  </sheetPr>
  <dimension ref="A1:Z40"/>
  <sheetViews>
    <sheetView topLeftCell="A3" workbookViewId="0">
      <pane xSplit="3" ySplit="2" topLeftCell="S25" activePane="bottomRight" state="frozen"/>
      <selection activeCell="A3" sqref="A3"/>
      <selection pane="topRight" activeCell="D3" sqref="D3"/>
      <selection pane="bottomLeft" activeCell="A5" sqref="A5"/>
      <selection pane="bottomRight" activeCell="Y14" sqref="Y14"/>
    </sheetView>
  </sheetViews>
  <sheetFormatPr defaultRowHeight="14"/>
  <cols>
    <col min="2" max="2" width="13.5" customWidth="1"/>
    <col min="3" max="3" width="29.9140625" customWidth="1"/>
    <col min="4" max="4" width="12.1640625" customWidth="1"/>
    <col min="5" max="5" width="11.1640625" customWidth="1"/>
    <col min="6" max="6" width="12.1640625" customWidth="1"/>
    <col min="7" max="7" width="11.1640625" customWidth="1"/>
    <col min="8" max="8" width="17.5" customWidth="1"/>
    <col min="9" max="9" width="14.5" customWidth="1"/>
    <col min="10" max="10" width="7.1640625" customWidth="1"/>
    <col min="11" max="11" width="17.5" customWidth="1"/>
    <col min="12" max="12" width="18" customWidth="1"/>
    <col min="13" max="13" width="10.9140625" customWidth="1"/>
    <col min="14" max="14" width="10" customWidth="1"/>
    <col min="15" max="15" width="11.4140625" customWidth="1"/>
    <col min="16" max="16" width="11.1640625" customWidth="1"/>
    <col min="17" max="17" width="9.58203125" customWidth="1"/>
    <col min="18" max="18" width="14.5" customWidth="1"/>
    <col min="19" max="19" width="10.08203125" customWidth="1"/>
    <col min="20" max="22" width="10.5" customWidth="1"/>
    <col min="23" max="24" width="12.9140625" customWidth="1"/>
    <col min="25" max="25" width="23.58203125" customWidth="1"/>
    <col min="26" max="26" width="22.6640625" customWidth="1"/>
  </cols>
  <sheetData>
    <row r="1" spans="1:26" ht="15.5">
      <c r="A1" s="1" t="s">
        <v>4601</v>
      </c>
    </row>
    <row r="2" spans="1:26" ht="14.5">
      <c r="A2" s="149" t="s">
        <v>4602</v>
      </c>
    </row>
    <row r="4" spans="1:26" s="131" customFormat="1" ht="45" customHeight="1">
      <c r="A4" s="156" t="s">
        <v>18</v>
      </c>
      <c r="B4" s="155" t="s">
        <v>4535</v>
      </c>
      <c r="C4" s="155" t="s">
        <v>32</v>
      </c>
      <c r="D4" s="155" t="s">
        <v>4534</v>
      </c>
      <c r="E4" s="155" t="s">
        <v>62</v>
      </c>
      <c r="F4" s="155" t="s">
        <v>4611</v>
      </c>
      <c r="G4" s="155" t="s">
        <v>4612</v>
      </c>
      <c r="H4" s="155" t="s">
        <v>4613</v>
      </c>
      <c r="I4" s="155" t="s">
        <v>28</v>
      </c>
      <c r="J4" s="155" t="s">
        <v>17</v>
      </c>
      <c r="K4" s="158" t="s">
        <v>29</v>
      </c>
      <c r="L4" s="158" t="s">
        <v>27</v>
      </c>
      <c r="M4" s="157" t="s">
        <v>4605</v>
      </c>
      <c r="N4" s="157" t="s">
        <v>4606</v>
      </c>
      <c r="O4" s="157" t="s">
        <v>4608</v>
      </c>
      <c r="P4" s="157" t="s">
        <v>4607</v>
      </c>
      <c r="Q4" s="157" t="s">
        <v>4614</v>
      </c>
      <c r="R4" s="157" t="s">
        <v>4604</v>
      </c>
      <c r="S4" s="157" t="s">
        <v>4629</v>
      </c>
      <c r="T4" s="159" t="s">
        <v>4641</v>
      </c>
      <c r="U4" s="159" t="s">
        <v>4642</v>
      </c>
      <c r="V4" s="159" t="s">
        <v>4643</v>
      </c>
      <c r="W4" s="134" t="s">
        <v>4628</v>
      </c>
      <c r="X4" s="134" t="s">
        <v>4627</v>
      </c>
      <c r="Y4" s="134" t="s">
        <v>4610</v>
      </c>
      <c r="Z4" s="134" t="s">
        <v>4609</v>
      </c>
    </row>
    <row r="5" spans="1:26">
      <c r="A5" s="153" t="str">
        <f t="shared" ref="A5:A16" si="0">CONCATENATE(IF(ROW(A5)-4&lt;10,"00",IF(ROW(A5)-4&lt;100,"0","")),ROW(A5)-4)</f>
        <v>001</v>
      </c>
      <c r="B5" t="s">
        <v>4494</v>
      </c>
      <c r="C5" s="150" t="e">
        <f>IF($B5="","-",_xlfn.XLOOKUP($B5,Site_DB[Site ID],Site_DB[Sitename]))</f>
        <v>#N/A</v>
      </c>
      <c r="D5" s="150" t="e">
        <f>IF($B5="","-",_xlfn.XLOOKUP($B5,Site_DB[Site ID],Site_DB[Region]))</f>
        <v>#N/A</v>
      </c>
      <c r="E5" s="150" t="e">
        <f>IF($B5="","-",_xlfn.XLOOKUP($B5,Site_DB[Site ID],Site_DB[City]))</f>
        <v>#N/A</v>
      </c>
      <c r="F5" s="151" t="e">
        <f>IF($B5="","-",_xlfn.XLOOKUP($B5,Site_DB[Site ID],#REF!))</f>
        <v>#REF!</v>
      </c>
      <c r="G5" s="151" t="e">
        <f>IF($B5="","-",_xlfn.XLOOKUP($B5,Site_DB[Site ID],#REF!))</f>
        <v>#REF!</v>
      </c>
      <c r="H5" s="151" t="e">
        <f>IF($B5="","-",_xlfn.XLOOKUP($B5,Site_DB[Site ID],#REF!))</f>
        <v>#REF!</v>
      </c>
      <c r="I5" s="151" t="str">
        <f>IF($L5="","-",_xlfn.XLOOKUP($L5,Master_S[Material Name],Master_S[Material Code]))</f>
        <v>ZTE1001</v>
      </c>
      <c r="J5" s="151" t="str">
        <f>IF($L5="","-",_xlfn.XLOOKUP($L5,Master_S[Material Name],Master_S[Unit]))</f>
        <v>Pcs</v>
      </c>
      <c r="K5" s="163" t="s">
        <v>37</v>
      </c>
      <c r="L5" s="130" t="s">
        <v>3069</v>
      </c>
      <c r="M5">
        <v>1</v>
      </c>
      <c r="N5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5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5" s="160">
        <v>1</v>
      </c>
      <c r="Q5" s="160"/>
      <c r="R5" s="160"/>
      <c r="S5" s="160"/>
      <c r="T5" s="160">
        <f>Opname[[#This Row],[MOS (Qty)]]-Opname[[#This Row],[APD (Qty)]]</f>
        <v>-1</v>
      </c>
      <c r="U5" s="160">
        <f>Opname[[#This Row],[ABD / Redline (Qty)]]-Opname[[#This Row],[MOS (Qty)]]</f>
        <v>1</v>
      </c>
      <c r="V5" s="160" t="str">
        <f>IF(Opname[[#This Row],[Opname (Qty)]]="","",Opname[[#This Row],[DO (Qty)]]-(Opname[[#This Row],[BA (Qty)]]+Opname[[#This Row],[Opname (Qty)]]))</f>
        <v/>
      </c>
      <c r="W5" s="160"/>
      <c r="X5" s="160" t="s">
        <v>4630</v>
      </c>
      <c r="Y5" t="s">
        <v>4622</v>
      </c>
    </row>
    <row r="6" spans="1:26">
      <c r="A6" s="154" t="str">
        <f t="shared" si="0"/>
        <v>002</v>
      </c>
      <c r="B6" t="s">
        <v>4494</v>
      </c>
      <c r="C6" s="150" t="e">
        <f>IF($B6="","-",_xlfn.XLOOKUP($B6,Site_DB[Site ID],Site_DB[Sitename]))</f>
        <v>#N/A</v>
      </c>
      <c r="D6" s="150" t="e">
        <f>IF($B6="","-",_xlfn.XLOOKUP($B6,Site_DB[Site ID],Site_DB[Region]))</f>
        <v>#N/A</v>
      </c>
      <c r="E6" s="150" t="e">
        <f>IF($B6="","-",_xlfn.XLOOKUP($B6,Site_DB[Site ID],Site_DB[City]))</f>
        <v>#N/A</v>
      </c>
      <c r="F6" s="151" t="e">
        <f>IF($B6="","-",_xlfn.XLOOKUP($B6,Site_DB[Site ID],#REF!))</f>
        <v>#REF!</v>
      </c>
      <c r="G6" s="151" t="e">
        <f>IF($B6="","-",_xlfn.XLOOKUP($B6,Site_DB[Site ID],#REF!))</f>
        <v>#REF!</v>
      </c>
      <c r="H6" s="151" t="e">
        <f>IF($B6="","-",_xlfn.XLOOKUP($B6,Site_DB[Site ID],#REF!))</f>
        <v>#REF!</v>
      </c>
      <c r="I6" s="151" t="str">
        <f>IF($L6="","-",_xlfn.XLOOKUP($L6,Master_S[Material Name],Master_S[Material Code]))</f>
        <v>ZTE1002</v>
      </c>
      <c r="J6" s="151" t="str">
        <f>IF($L6="","-",_xlfn.XLOOKUP($L6,Master_S[Material Name],Master_S[Unit]))</f>
        <v>Pcs</v>
      </c>
      <c r="K6" s="163" t="s">
        <v>37</v>
      </c>
      <c r="L6" s="130" t="s">
        <v>3070</v>
      </c>
      <c r="M6">
        <v>58</v>
      </c>
      <c r="N6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6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6" s="160">
        <v>64</v>
      </c>
      <c r="Q6" s="160"/>
      <c r="R6" s="160"/>
      <c r="S6" s="160"/>
      <c r="T6" s="160">
        <f>Opname[[#This Row],[MOS (Qty)]]-Opname[[#This Row],[APD (Qty)]]</f>
        <v>-58</v>
      </c>
      <c r="U6" s="160">
        <f>Opname[[#This Row],[ABD / Redline (Qty)]]-Opname[[#This Row],[MOS (Qty)]]</f>
        <v>64</v>
      </c>
      <c r="V6" s="160" t="str">
        <f>IF(Opname[[#This Row],[Opname (Qty)]]="","",Opname[[#This Row],[DO (Qty)]]-(Opname[[#This Row],[BA (Qty)]]+Opname[[#This Row],[Opname (Qty)]]))</f>
        <v/>
      </c>
      <c r="W6" s="160"/>
      <c r="X6" s="160" t="s">
        <v>4631</v>
      </c>
      <c r="Y6" t="s">
        <v>4622</v>
      </c>
      <c r="Z6" t="s">
        <v>4640</v>
      </c>
    </row>
    <row r="7" spans="1:26">
      <c r="A7" s="153" t="str">
        <f>CONCATENATE(IF(ROW(A7)-4&lt;10,"00",IF(ROW(A7)-4&lt;100,"0","")),ROW(A7)-4)</f>
        <v>003</v>
      </c>
      <c r="B7" t="s">
        <v>4494</v>
      </c>
      <c r="C7" s="150" t="e">
        <f>IF($B7="","-",_xlfn.XLOOKUP($B7,Site_DB[Site ID],Site_DB[Sitename]))</f>
        <v>#N/A</v>
      </c>
      <c r="D7" s="150" t="e">
        <f>IF($B7="","-",_xlfn.XLOOKUP($B7,Site_DB[Site ID],Site_DB[Region]))</f>
        <v>#N/A</v>
      </c>
      <c r="E7" s="150" t="e">
        <f>IF($B7="","-",_xlfn.XLOOKUP($B7,Site_DB[Site ID],Site_DB[City]))</f>
        <v>#N/A</v>
      </c>
      <c r="F7" s="151" t="e">
        <f>IF($B7="","-",_xlfn.XLOOKUP($B7,Site_DB[Site ID],#REF!))</f>
        <v>#REF!</v>
      </c>
      <c r="G7" s="151" t="e">
        <f>IF($B7="","-",_xlfn.XLOOKUP($B7,Site_DB[Site ID],#REF!))</f>
        <v>#REF!</v>
      </c>
      <c r="H7" s="151" t="e">
        <f>IF($B7="","-",_xlfn.XLOOKUP($B7,Site_DB[Site ID],#REF!))</f>
        <v>#REF!</v>
      </c>
      <c r="I7" s="151" t="str">
        <f>IF($L7="","-",_xlfn.XLOOKUP($L7,Master_S[Material Name],Master_S[Material Code]))</f>
        <v>ZTE1003</v>
      </c>
      <c r="J7" s="151" t="str">
        <f>IF($L7="","-",_xlfn.XLOOKUP($L7,Master_S[Material Name],Master_S[Unit]))</f>
        <v>Pcs</v>
      </c>
      <c r="K7" s="163" t="s">
        <v>37</v>
      </c>
      <c r="L7" s="130" t="s">
        <v>3071</v>
      </c>
      <c r="M7">
        <v>0</v>
      </c>
      <c r="N7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7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7" s="160">
        <v>0</v>
      </c>
      <c r="Q7" s="160"/>
      <c r="R7" s="160"/>
      <c r="S7" s="160"/>
      <c r="T7" s="160">
        <f>Opname[[#This Row],[MOS (Qty)]]-Opname[[#This Row],[APD (Qty)]]</f>
        <v>0</v>
      </c>
      <c r="U7" s="160">
        <f>Opname[[#This Row],[ABD / Redline (Qty)]]-Opname[[#This Row],[MOS (Qty)]]</f>
        <v>0</v>
      </c>
      <c r="V7" s="160" t="str">
        <f>IF(Opname[[#This Row],[Opname (Qty)]]="","",Opname[[#This Row],[DO (Qty)]]-(Opname[[#This Row],[BA (Qty)]]+Opname[[#This Row],[Opname (Qty)]]))</f>
        <v/>
      </c>
      <c r="W7" s="160"/>
      <c r="X7" s="160" t="s">
        <v>4632</v>
      </c>
      <c r="Y7" t="s">
        <v>4622</v>
      </c>
    </row>
    <row r="8" spans="1:26">
      <c r="A8" s="153" t="str">
        <f>CONCATENATE(IF(ROW(A8)-4&lt;10,"00",IF(ROW(A8)-4&lt;100,"0","")),ROW(A8)-4)</f>
        <v>004</v>
      </c>
      <c r="B8" t="s">
        <v>4494</v>
      </c>
      <c r="C8" s="150" t="e">
        <f>IF($B8="","-",_xlfn.XLOOKUP($B8,Site_DB[Site ID],Site_DB[Sitename]))</f>
        <v>#N/A</v>
      </c>
      <c r="D8" s="150" t="e">
        <f>IF($B8="","-",_xlfn.XLOOKUP($B8,Site_DB[Site ID],Site_DB[Region]))</f>
        <v>#N/A</v>
      </c>
      <c r="E8" s="150" t="e">
        <f>IF($B8="","-",_xlfn.XLOOKUP($B8,Site_DB[Site ID],Site_DB[City]))</f>
        <v>#N/A</v>
      </c>
      <c r="F8" s="151" t="e">
        <f>IF($B8="","-",_xlfn.XLOOKUP($B8,Site_DB[Site ID],#REF!))</f>
        <v>#REF!</v>
      </c>
      <c r="G8" s="151" t="e">
        <f>IF($B8="","-",_xlfn.XLOOKUP($B8,Site_DB[Site ID],#REF!))</f>
        <v>#REF!</v>
      </c>
      <c r="H8" s="151" t="e">
        <f>IF($B8="","-",_xlfn.XLOOKUP($B8,Site_DB[Site ID],#REF!))</f>
        <v>#REF!</v>
      </c>
      <c r="I8" s="151" t="str">
        <f>IF($L8="","-",_xlfn.XLOOKUP($L8,Master_S[Material Name],Master_S[Material Code]))</f>
        <v>ZTE2001</v>
      </c>
      <c r="J8" s="151" t="str">
        <f>IF($L8="","-",_xlfn.XLOOKUP($L8,Master_S[Material Name],Master_S[Unit]))</f>
        <v>Meter</v>
      </c>
      <c r="K8" s="163" t="s">
        <v>37</v>
      </c>
      <c r="L8" s="130" t="s">
        <v>3073</v>
      </c>
      <c r="M8">
        <v>0</v>
      </c>
      <c r="N8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8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8" s="160">
        <v>0</v>
      </c>
      <c r="Q8" s="160"/>
      <c r="R8" s="160"/>
      <c r="S8" s="160"/>
      <c r="T8" s="160">
        <f>Opname[[#This Row],[MOS (Qty)]]-Opname[[#This Row],[APD (Qty)]]</f>
        <v>0</v>
      </c>
      <c r="U8" s="160">
        <f>Opname[[#This Row],[ABD / Redline (Qty)]]-Opname[[#This Row],[MOS (Qty)]]</f>
        <v>0</v>
      </c>
      <c r="V8" s="160" t="str">
        <f>IF(Opname[[#This Row],[Opname (Qty)]]="","",Opname[[#This Row],[DO (Qty)]]-(Opname[[#This Row],[BA (Qty)]]+Opname[[#This Row],[Opname (Qty)]]))</f>
        <v/>
      </c>
      <c r="W8" s="160"/>
      <c r="X8" s="160" t="s">
        <v>4633</v>
      </c>
      <c r="Y8" t="s">
        <v>4622</v>
      </c>
    </row>
    <row r="9" spans="1:26">
      <c r="A9" s="153" t="str">
        <f>CONCATENATE(IF(ROW(A9)-4&lt;10,"00",IF(ROW(A9)-4&lt;100,"0","")),ROW(A9)-4)</f>
        <v>005</v>
      </c>
      <c r="B9" t="s">
        <v>4494</v>
      </c>
      <c r="C9" s="150" t="e">
        <f>IF($B9="","-",_xlfn.XLOOKUP($B9,Site_DB[Site ID],Site_DB[Sitename]))</f>
        <v>#N/A</v>
      </c>
      <c r="D9" s="150" t="e">
        <f>IF($B9="","-",_xlfn.XLOOKUP($B9,Site_DB[Site ID],Site_DB[Region]))</f>
        <v>#N/A</v>
      </c>
      <c r="E9" s="150" t="e">
        <f>IF($B9="","-",_xlfn.XLOOKUP($B9,Site_DB[Site ID],Site_DB[City]))</f>
        <v>#N/A</v>
      </c>
      <c r="F9" s="151" t="e">
        <f>IF($B9="","-",_xlfn.XLOOKUP($B9,Site_DB[Site ID],#REF!))</f>
        <v>#REF!</v>
      </c>
      <c r="G9" s="151" t="e">
        <f>IF($B9="","-",_xlfn.XLOOKUP($B9,Site_DB[Site ID],#REF!))</f>
        <v>#REF!</v>
      </c>
      <c r="H9" s="151" t="e">
        <f>IF($B9="","-",_xlfn.XLOOKUP($B9,Site_DB[Site ID],#REF!))</f>
        <v>#REF!</v>
      </c>
      <c r="I9" s="151" t="str">
        <f>IF($L9="","-",_xlfn.XLOOKUP($L9,Master_S[Material Name],Master_S[Material Code]))</f>
        <v>ZTE2002</v>
      </c>
      <c r="J9" s="151" t="str">
        <f>IF($L9="","-",_xlfn.XLOOKUP($L9,Master_S[Material Name],Master_S[Unit]))</f>
        <v>Meter</v>
      </c>
      <c r="K9" s="163" t="s">
        <v>37</v>
      </c>
      <c r="L9" s="130" t="s">
        <v>3074</v>
      </c>
      <c r="M9">
        <v>0</v>
      </c>
      <c r="N9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9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9" s="160">
        <v>0</v>
      </c>
      <c r="Q9" s="160"/>
      <c r="R9" s="160"/>
      <c r="S9" s="160"/>
      <c r="T9" s="160">
        <f>Opname[[#This Row],[MOS (Qty)]]-Opname[[#This Row],[APD (Qty)]]</f>
        <v>0</v>
      </c>
      <c r="U9" s="160">
        <f>Opname[[#This Row],[ABD / Redline (Qty)]]-Opname[[#This Row],[MOS (Qty)]]</f>
        <v>0</v>
      </c>
      <c r="V9" s="160" t="str">
        <f>IF(Opname[[#This Row],[Opname (Qty)]]="","",Opname[[#This Row],[DO (Qty)]]-(Opname[[#This Row],[BA (Qty)]]+Opname[[#This Row],[Opname (Qty)]]))</f>
        <v/>
      </c>
      <c r="W9" s="160"/>
      <c r="X9" s="160"/>
      <c r="Y9" t="s">
        <v>4622</v>
      </c>
    </row>
    <row r="10" spans="1:26">
      <c r="A10" s="154" t="str">
        <f t="shared" si="0"/>
        <v>006</v>
      </c>
      <c r="B10" t="s">
        <v>4494</v>
      </c>
      <c r="C10" s="150" t="e">
        <f>IF($B10="","-",_xlfn.XLOOKUP($B10,Site_DB[Site ID],Site_DB[Sitename]))</f>
        <v>#N/A</v>
      </c>
      <c r="D10" s="150" t="e">
        <f>IF($B10="","-",_xlfn.XLOOKUP($B10,Site_DB[Site ID],Site_DB[Region]))</f>
        <v>#N/A</v>
      </c>
      <c r="E10" s="150" t="e">
        <f>IF($B10="","-",_xlfn.XLOOKUP($B10,Site_DB[Site ID],Site_DB[City]))</f>
        <v>#N/A</v>
      </c>
      <c r="F10" s="151" t="e">
        <f>IF($B10="","-",_xlfn.XLOOKUP($B10,Site_DB[Site ID],#REF!))</f>
        <v>#REF!</v>
      </c>
      <c r="G10" s="151" t="e">
        <f>IF($B10="","-",_xlfn.XLOOKUP($B10,Site_DB[Site ID],#REF!))</f>
        <v>#REF!</v>
      </c>
      <c r="H10" s="151" t="e">
        <f>IF($B10="","-",_xlfn.XLOOKUP($B10,Site_DB[Site ID],#REF!))</f>
        <v>#REF!</v>
      </c>
      <c r="I10" s="151" t="str">
        <f>IF($L10="","-",_xlfn.XLOOKUP($L10,Master_S[Material Name],Master_S[Material Code]))</f>
        <v>ZTE2003</v>
      </c>
      <c r="J10" s="151" t="str">
        <f>IF($L10="","-",_xlfn.XLOOKUP($L10,Master_S[Material Name],Master_S[Unit]))</f>
        <v>Meter</v>
      </c>
      <c r="K10" s="163" t="s">
        <v>37</v>
      </c>
      <c r="L10" s="130" t="s">
        <v>3075</v>
      </c>
      <c r="M10">
        <v>2951</v>
      </c>
      <c r="N10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10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0" s="160">
        <v>2961</v>
      </c>
      <c r="Q10" s="160"/>
      <c r="R10" s="160"/>
      <c r="S10" s="160"/>
      <c r="T10" s="160">
        <f>Opname[[#This Row],[MOS (Qty)]]-Opname[[#This Row],[APD (Qty)]]</f>
        <v>-2951</v>
      </c>
      <c r="U10" s="160">
        <f>Opname[[#This Row],[ABD / Redline (Qty)]]-Opname[[#This Row],[MOS (Qty)]]</f>
        <v>2961</v>
      </c>
      <c r="V10" s="160" t="str">
        <f>IF(Opname[[#This Row],[Opname (Qty)]]="","",Opname[[#This Row],[DO (Qty)]]-(Opname[[#This Row],[BA (Qty)]]+Opname[[#This Row],[Opname (Qty)]]))</f>
        <v/>
      </c>
      <c r="W10" s="160"/>
      <c r="X10" s="160"/>
      <c r="Y10" t="s">
        <v>4622</v>
      </c>
    </row>
    <row r="11" spans="1:26">
      <c r="A11" s="154" t="str">
        <f t="shared" si="0"/>
        <v>007</v>
      </c>
      <c r="B11" t="s">
        <v>4494</v>
      </c>
      <c r="C11" s="150" t="e">
        <f>IF($B11="","-",_xlfn.XLOOKUP($B11,Site_DB[Site ID],Site_DB[Sitename]))</f>
        <v>#N/A</v>
      </c>
      <c r="D11" s="150" t="e">
        <f>IF($B11="","-",_xlfn.XLOOKUP($B11,Site_DB[Site ID],Site_DB[Region]))</f>
        <v>#N/A</v>
      </c>
      <c r="E11" s="150" t="e">
        <f>IF($B11="","-",_xlfn.XLOOKUP($B11,Site_DB[Site ID],Site_DB[City]))</f>
        <v>#N/A</v>
      </c>
      <c r="F11" s="151" t="e">
        <f>IF($B11="","-",_xlfn.XLOOKUP($B11,Site_DB[Site ID],#REF!))</f>
        <v>#REF!</v>
      </c>
      <c r="G11" s="151" t="e">
        <f>IF($B11="","-",_xlfn.XLOOKUP($B11,Site_DB[Site ID],#REF!))</f>
        <v>#REF!</v>
      </c>
      <c r="H11" s="151" t="e">
        <f>IF($B11="","-",_xlfn.XLOOKUP($B11,Site_DB[Site ID],#REF!))</f>
        <v>#REF!</v>
      </c>
      <c r="I11" s="151" t="str">
        <f>IF($L11="","-",_xlfn.XLOOKUP($L11,Master_S[Material Name],Master_S[Material Code]))</f>
        <v>ZTE2005</v>
      </c>
      <c r="J11" s="151" t="str">
        <f>IF($L11="","-",_xlfn.XLOOKUP($L11,Master_S[Material Name],Master_S[Unit]))</f>
        <v>Pcs</v>
      </c>
      <c r="K11" s="163" t="s">
        <v>37</v>
      </c>
      <c r="L11" s="130" t="s">
        <v>14</v>
      </c>
      <c r="M11">
        <v>1</v>
      </c>
      <c r="N11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11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1" s="160">
        <v>1</v>
      </c>
      <c r="Q11" s="160"/>
      <c r="R11" s="160"/>
      <c r="S11" s="160"/>
      <c r="T11" s="160">
        <f>Opname[[#This Row],[MOS (Qty)]]-Opname[[#This Row],[APD (Qty)]]</f>
        <v>-1</v>
      </c>
      <c r="U11" s="160">
        <f>Opname[[#This Row],[ABD / Redline (Qty)]]-Opname[[#This Row],[MOS (Qty)]]</f>
        <v>1</v>
      </c>
      <c r="V11" s="160" t="str">
        <f>IF(Opname[[#This Row],[Opname (Qty)]]="","",Opname[[#This Row],[DO (Qty)]]-(Opname[[#This Row],[BA (Qty)]]+Opname[[#This Row],[Opname (Qty)]]))</f>
        <v/>
      </c>
      <c r="W11" s="160"/>
      <c r="X11" s="160"/>
      <c r="Y11" t="s">
        <v>4622</v>
      </c>
    </row>
    <row r="12" spans="1:26">
      <c r="A12" s="153" t="str">
        <f>CONCATENATE(IF(ROW(A12)-4&lt;10,"00",IF(ROW(A12)-4&lt;100,"0","")),ROW(A12)-4)</f>
        <v>008</v>
      </c>
      <c r="B12" t="s">
        <v>4494</v>
      </c>
      <c r="C12" s="150" t="e">
        <f>IF($B12="","-",_xlfn.XLOOKUP($B12,Site_DB[Site ID],Site_DB[Sitename]))</f>
        <v>#N/A</v>
      </c>
      <c r="D12" s="150" t="e">
        <f>IF($B12="","-",_xlfn.XLOOKUP($B12,Site_DB[Site ID],Site_DB[Region]))</f>
        <v>#N/A</v>
      </c>
      <c r="E12" s="150" t="e">
        <f>IF($B12="","-",_xlfn.XLOOKUP($B12,Site_DB[Site ID],Site_DB[City]))</f>
        <v>#N/A</v>
      </c>
      <c r="F12" s="151" t="e">
        <f>IF($B12="","-",_xlfn.XLOOKUP($B12,Site_DB[Site ID],#REF!))</f>
        <v>#REF!</v>
      </c>
      <c r="G12" s="151" t="e">
        <f>IF($B12="","-",_xlfn.XLOOKUP($B12,Site_DB[Site ID],#REF!))</f>
        <v>#REF!</v>
      </c>
      <c r="H12" s="151" t="e">
        <f>IF($B12="","-",_xlfn.XLOOKUP($B12,Site_DB[Site ID],#REF!))</f>
        <v>#REF!</v>
      </c>
      <c r="I12" s="151" t="str">
        <f>IF($L12="","-",_xlfn.XLOOKUP($L12,Master_S[Material Name],Master_S[Material Code]))</f>
        <v>ZTE2006</v>
      </c>
      <c r="J12" s="151" t="str">
        <f>IF($L12="","-",_xlfn.XLOOKUP($L12,Master_S[Material Name],Master_S[Unit]))</f>
        <v>Pcs</v>
      </c>
      <c r="K12" s="163" t="s">
        <v>37</v>
      </c>
      <c r="L12" s="130" t="s">
        <v>15</v>
      </c>
      <c r="M12">
        <v>0</v>
      </c>
      <c r="N12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12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2" s="160">
        <v>0</v>
      </c>
      <c r="Q12" s="160"/>
      <c r="R12" s="160"/>
      <c r="S12" s="160"/>
      <c r="T12" s="160">
        <f>Opname[[#This Row],[MOS (Qty)]]-Opname[[#This Row],[APD (Qty)]]</f>
        <v>0</v>
      </c>
      <c r="U12" s="160">
        <f>Opname[[#This Row],[ABD / Redline (Qty)]]-Opname[[#This Row],[MOS (Qty)]]</f>
        <v>0</v>
      </c>
      <c r="V12" s="160" t="str">
        <f>IF(Opname[[#This Row],[Opname (Qty)]]="","",Opname[[#This Row],[DO (Qty)]]-(Opname[[#This Row],[BA (Qty)]]+Opname[[#This Row],[Opname (Qty)]]))</f>
        <v/>
      </c>
      <c r="W12" s="160"/>
      <c r="X12" s="160"/>
      <c r="Y12" t="s">
        <v>4622</v>
      </c>
    </row>
    <row r="13" spans="1:26">
      <c r="A13" s="154" t="str">
        <f t="shared" si="0"/>
        <v>009</v>
      </c>
      <c r="B13" t="s">
        <v>4494</v>
      </c>
      <c r="C13" s="150" t="e">
        <f>IF($B13="","-",_xlfn.XLOOKUP($B13,Site_DB[Site ID],Site_DB[Sitename]))</f>
        <v>#N/A</v>
      </c>
      <c r="D13" s="150" t="e">
        <f>IF($B13="","-",_xlfn.XLOOKUP($B13,Site_DB[Site ID],Site_DB[Region]))</f>
        <v>#N/A</v>
      </c>
      <c r="E13" s="150" t="e">
        <f>IF($B13="","-",_xlfn.XLOOKUP($B13,Site_DB[Site ID],Site_DB[City]))</f>
        <v>#N/A</v>
      </c>
      <c r="F13" s="151" t="e">
        <f>IF($B13="","-",_xlfn.XLOOKUP($B13,Site_DB[Site ID],#REF!))</f>
        <v>#REF!</v>
      </c>
      <c r="G13" s="151" t="e">
        <f>IF($B13="","-",_xlfn.XLOOKUP($B13,Site_DB[Site ID],#REF!))</f>
        <v>#REF!</v>
      </c>
      <c r="H13" s="151" t="e">
        <f>IF($B13="","-",_xlfn.XLOOKUP($B13,Site_DB[Site ID],#REF!))</f>
        <v>#REF!</v>
      </c>
      <c r="I13" s="151" t="str">
        <f>IF($L13="","-",_xlfn.XLOOKUP($L13,Master_S[Material Name],Master_S[Material Code]))</f>
        <v>ZTE2008</v>
      </c>
      <c r="J13" s="151" t="str">
        <f>IF($L13="","-",_xlfn.XLOOKUP($L13,Master_S[Material Name],Master_S[Unit]))</f>
        <v>Pcs</v>
      </c>
      <c r="K13" s="163" t="s">
        <v>37</v>
      </c>
      <c r="L13" s="130" t="s">
        <v>13</v>
      </c>
      <c r="M13">
        <v>13</v>
      </c>
      <c r="N13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13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3" s="160">
        <v>13</v>
      </c>
      <c r="Q13" s="160"/>
      <c r="R13" s="160"/>
      <c r="S13" s="160"/>
      <c r="T13" s="160">
        <f>Opname[[#This Row],[MOS (Qty)]]-Opname[[#This Row],[APD (Qty)]]</f>
        <v>-13</v>
      </c>
      <c r="U13" s="160">
        <f>Opname[[#This Row],[ABD / Redline (Qty)]]-Opname[[#This Row],[MOS (Qty)]]</f>
        <v>13</v>
      </c>
      <c r="V13" s="160" t="str">
        <f>IF(Opname[[#This Row],[Opname (Qty)]]="","",Opname[[#This Row],[DO (Qty)]]-(Opname[[#This Row],[BA (Qty)]]+Opname[[#This Row],[Opname (Qty)]]))</f>
        <v/>
      </c>
      <c r="W13" s="160"/>
      <c r="X13" s="160"/>
      <c r="Y13" t="s">
        <v>4622</v>
      </c>
    </row>
    <row r="14" spans="1:26">
      <c r="A14" s="153" t="str">
        <f>CONCATENATE(IF(ROW(A14)-4&lt;10,"00",IF(ROW(A14)-4&lt;100,"0","")),ROW(A14)-4)</f>
        <v>010</v>
      </c>
      <c r="B14" t="s">
        <v>4494</v>
      </c>
      <c r="C14" s="150" t="e">
        <f>IF($B14="","-",_xlfn.XLOOKUP($B14,Site_DB[Site ID],Site_DB[Sitename]))</f>
        <v>#N/A</v>
      </c>
      <c r="D14" s="150" t="e">
        <f>IF($B14="","-",_xlfn.XLOOKUP($B14,Site_DB[Site ID],Site_DB[Region]))</f>
        <v>#N/A</v>
      </c>
      <c r="E14" s="150" t="e">
        <f>IF($B14="","-",_xlfn.XLOOKUP($B14,Site_DB[Site ID],Site_DB[City]))</f>
        <v>#N/A</v>
      </c>
      <c r="F14" s="151" t="e">
        <f>IF($B14="","-",_xlfn.XLOOKUP($B14,Site_DB[Site ID],#REF!))</f>
        <v>#REF!</v>
      </c>
      <c r="G14" s="151" t="e">
        <f>IF($B14="","-",_xlfn.XLOOKUP($B14,Site_DB[Site ID],#REF!))</f>
        <v>#REF!</v>
      </c>
      <c r="H14" s="151" t="e">
        <f>IF($B14="","-",_xlfn.XLOOKUP($B14,Site_DB[Site ID],#REF!))</f>
        <v>#REF!</v>
      </c>
      <c r="I14" s="151" t="str">
        <f>IF($L14="","-",_xlfn.XLOOKUP($L14,Master_S[Material Name],Master_S[Material Code]))</f>
        <v>ZTE1005</v>
      </c>
      <c r="J14" s="151" t="str">
        <f>IF($L14="","-",_xlfn.XLOOKUP($L14,Master_S[Material Name],Master_S[Unit]))</f>
        <v>Pcs</v>
      </c>
      <c r="K14" s="130" t="s">
        <v>38</v>
      </c>
      <c r="L14" s="130" t="s">
        <v>4524</v>
      </c>
      <c r="M14">
        <v>0</v>
      </c>
      <c r="N14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14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4" s="160">
        <v>0</v>
      </c>
      <c r="Q14" s="160"/>
      <c r="R14" s="160"/>
      <c r="S14" s="160"/>
      <c r="T14" s="160">
        <f>Opname[[#This Row],[MOS (Qty)]]-Opname[[#This Row],[APD (Qty)]]</f>
        <v>0</v>
      </c>
      <c r="U14" s="160">
        <f>Opname[[#This Row],[ABD / Redline (Qty)]]-Opname[[#This Row],[MOS (Qty)]]</f>
        <v>0</v>
      </c>
      <c r="V14" s="160" t="str">
        <f>IF(Opname[[#This Row],[Opname (Qty)]]="","",Opname[[#This Row],[DO (Qty)]]-(Opname[[#This Row],[BA (Qty)]]+Opname[[#This Row],[Opname (Qty)]]))</f>
        <v/>
      </c>
      <c r="W14" s="160"/>
      <c r="X14" s="160"/>
      <c r="Y14" t="s">
        <v>4622</v>
      </c>
    </row>
    <row r="15" spans="1:26">
      <c r="A15" s="153" t="str">
        <f>CONCATENATE(IF(ROW(A15)-4&lt;10,"00",IF(ROW(A15)-4&lt;100,"0","")),ROW(A15)-4)</f>
        <v>011</v>
      </c>
      <c r="B15" t="s">
        <v>4494</v>
      </c>
      <c r="C15" s="150" t="e">
        <f>IF($B15="","-",_xlfn.XLOOKUP($B15,Site_DB[Site ID],Site_DB[Sitename]))</f>
        <v>#N/A</v>
      </c>
      <c r="D15" s="150" t="e">
        <f>IF($B15="","-",_xlfn.XLOOKUP($B15,Site_DB[Site ID],Site_DB[Region]))</f>
        <v>#N/A</v>
      </c>
      <c r="E15" s="150" t="e">
        <f>IF($B15="","-",_xlfn.XLOOKUP($B15,Site_DB[Site ID],Site_DB[City]))</f>
        <v>#N/A</v>
      </c>
      <c r="F15" s="151" t="e">
        <f>IF($B15="","-",_xlfn.XLOOKUP($B15,Site_DB[Site ID],#REF!))</f>
        <v>#REF!</v>
      </c>
      <c r="G15" s="151" t="e">
        <f>IF($B15="","-",_xlfn.XLOOKUP($B15,Site_DB[Site ID],#REF!))</f>
        <v>#REF!</v>
      </c>
      <c r="H15" s="151" t="e">
        <f>IF($B15="","-",_xlfn.XLOOKUP($B15,Site_DB[Site ID],#REF!))</f>
        <v>#REF!</v>
      </c>
      <c r="I15" s="151" t="str">
        <f>IF($L15="","-",_xlfn.XLOOKUP($L15,Master_S[Material Name],Master_S[Material Code]))</f>
        <v>ZTE1004</v>
      </c>
      <c r="J15" s="151" t="str">
        <f>IF($L15="","-",_xlfn.XLOOKUP($L15,Master_S[Material Name],Master_S[Unit]))</f>
        <v>Pcs</v>
      </c>
      <c r="K15" s="130" t="s">
        <v>38</v>
      </c>
      <c r="L15" s="130" t="s">
        <v>3072</v>
      </c>
      <c r="M15">
        <v>0</v>
      </c>
      <c r="N15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15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5" s="160">
        <v>0</v>
      </c>
      <c r="Q15" s="160"/>
      <c r="R15" s="160"/>
      <c r="S15" s="160"/>
      <c r="T15" s="160">
        <f>Opname[[#This Row],[MOS (Qty)]]-Opname[[#This Row],[APD (Qty)]]</f>
        <v>0</v>
      </c>
      <c r="U15" s="160">
        <f>Opname[[#This Row],[ABD / Redline (Qty)]]-Opname[[#This Row],[MOS (Qty)]]</f>
        <v>0</v>
      </c>
      <c r="V15" s="160" t="str">
        <f>IF(Opname[[#This Row],[Opname (Qty)]]="","",Opname[[#This Row],[DO (Qty)]]-(Opname[[#This Row],[BA (Qty)]]+Opname[[#This Row],[Opname (Qty)]]))</f>
        <v/>
      </c>
      <c r="W15" s="160"/>
      <c r="X15" s="160"/>
      <c r="Y15" t="s">
        <v>4622</v>
      </c>
    </row>
    <row r="16" spans="1:26">
      <c r="A16" s="154" t="str">
        <f t="shared" si="0"/>
        <v>012</v>
      </c>
      <c r="B16" t="s">
        <v>4494</v>
      </c>
      <c r="C16" s="150" t="e">
        <f>IF($B16="","-",_xlfn.XLOOKUP($B16,Site_DB[Site ID],Site_DB[Sitename]))</f>
        <v>#N/A</v>
      </c>
      <c r="D16" s="150" t="e">
        <f>IF($B16="","-",_xlfn.XLOOKUP($B16,Site_DB[Site ID],Site_DB[Region]))</f>
        <v>#N/A</v>
      </c>
      <c r="E16" s="150" t="e">
        <f>IF($B16="","-",_xlfn.XLOOKUP($B16,Site_DB[Site ID],Site_DB[City]))</f>
        <v>#N/A</v>
      </c>
      <c r="F16" s="151" t="e">
        <f>IF($B16="","-",_xlfn.XLOOKUP($B16,Site_DB[Site ID],#REF!))</f>
        <v>#REF!</v>
      </c>
      <c r="G16" s="151" t="e">
        <f>IF($B16="","-",_xlfn.XLOOKUP($B16,Site_DB[Site ID],#REF!))</f>
        <v>#REF!</v>
      </c>
      <c r="H16" s="151" t="e">
        <f>IF($B16="","-",_xlfn.XLOOKUP($B16,Site_DB[Site ID],#REF!))</f>
        <v>#REF!</v>
      </c>
      <c r="I16" s="151" t="str">
        <f>IF($L16="","-",_xlfn.XLOOKUP($L16,Master_S[Material Name],Master_S[Material Code]))</f>
        <v>GCI1001</v>
      </c>
      <c r="J16" s="151" t="str">
        <f>IF($L16="","-",_xlfn.XLOOKUP($L16,Master_S[Material Name],Master_S[Unit]))</f>
        <v>Pcs</v>
      </c>
      <c r="K16" s="130" t="s">
        <v>38</v>
      </c>
      <c r="L16" s="130" t="s">
        <v>3087</v>
      </c>
      <c r="M16">
        <v>14</v>
      </c>
      <c r="N16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16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6" s="160">
        <v>14</v>
      </c>
      <c r="Q16" s="160"/>
      <c r="R16" s="160"/>
      <c r="S16" s="160"/>
      <c r="T16" s="160">
        <f>Opname[[#This Row],[MOS (Qty)]]-Opname[[#This Row],[APD (Qty)]]</f>
        <v>-14</v>
      </c>
      <c r="U16" s="160">
        <f>Opname[[#This Row],[ABD / Redline (Qty)]]-Opname[[#This Row],[MOS (Qty)]]</f>
        <v>14</v>
      </c>
      <c r="V16" s="160" t="str">
        <f>IF(Opname[[#This Row],[Opname (Qty)]]="","",Opname[[#This Row],[DO (Qty)]]-(Opname[[#This Row],[BA (Qty)]]+Opname[[#This Row],[Opname (Qty)]]))</f>
        <v/>
      </c>
      <c r="W16" s="160"/>
      <c r="X16" s="160"/>
      <c r="Y16" t="s">
        <v>4622</v>
      </c>
    </row>
    <row r="17" spans="1:25">
      <c r="A17" s="153" t="str">
        <f t="shared" ref="A17:A25" si="1">CONCATENATE(IF(ROW(A17)-4&lt;10,"00",IF(ROW(A17)-4&lt;100,"0","")),ROW(A17)-4)</f>
        <v>013</v>
      </c>
      <c r="B17" t="s">
        <v>4494</v>
      </c>
      <c r="C17" s="150" t="e">
        <f>IF($B17="","-",_xlfn.XLOOKUP($B17,Site_DB[Site ID],Site_DB[Sitename]))</f>
        <v>#N/A</v>
      </c>
      <c r="D17" s="150" t="e">
        <f>IF($B17="","-",_xlfn.XLOOKUP($B17,Site_DB[Site ID],Site_DB[Region]))</f>
        <v>#N/A</v>
      </c>
      <c r="E17" s="150" t="e">
        <f>IF($B17="","-",_xlfn.XLOOKUP($B17,Site_DB[Site ID],Site_DB[City]))</f>
        <v>#N/A</v>
      </c>
      <c r="F17" s="151" t="e">
        <f>IF($B17="","-",_xlfn.XLOOKUP($B17,Site_DB[Site ID],#REF!))</f>
        <v>#REF!</v>
      </c>
      <c r="G17" s="151" t="e">
        <f>IF($B17="","-",_xlfn.XLOOKUP($B17,Site_DB[Site ID],#REF!))</f>
        <v>#REF!</v>
      </c>
      <c r="H17" s="151" t="e">
        <f>IF($B17="","-",_xlfn.XLOOKUP($B17,Site_DB[Site ID],#REF!))</f>
        <v>#REF!</v>
      </c>
      <c r="I17" s="151" t="str">
        <f>IF($L17="","-",_xlfn.XLOOKUP($L17,Master_S[Material Name],Master_S[Material Code]))</f>
        <v>GCI1002</v>
      </c>
      <c r="J17" s="151" t="str">
        <f>IF($L17="","-",_xlfn.XLOOKUP($L17,Master_S[Material Name],Master_S[Unit]))</f>
        <v>Pcs</v>
      </c>
      <c r="K17" s="130" t="s">
        <v>38</v>
      </c>
      <c r="L17" s="130" t="s">
        <v>3088</v>
      </c>
      <c r="M17">
        <v>86</v>
      </c>
      <c r="N17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17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7" s="160">
        <v>56</v>
      </c>
      <c r="Q17" s="160"/>
      <c r="R17" s="160"/>
      <c r="S17" s="160"/>
      <c r="T17" s="160">
        <f>Opname[[#This Row],[MOS (Qty)]]-Opname[[#This Row],[APD (Qty)]]</f>
        <v>-86</v>
      </c>
      <c r="U17" s="160">
        <f>Opname[[#This Row],[ABD / Redline (Qty)]]-Opname[[#This Row],[MOS (Qty)]]</f>
        <v>56</v>
      </c>
      <c r="V17" s="160" t="str">
        <f>IF(Opname[[#This Row],[Opname (Qty)]]="","",Opname[[#This Row],[DO (Qty)]]-(Opname[[#This Row],[BA (Qty)]]+Opname[[#This Row],[Opname (Qty)]]))</f>
        <v/>
      </c>
      <c r="W17" s="160"/>
      <c r="X17" s="160"/>
      <c r="Y17" t="s">
        <v>4622</v>
      </c>
    </row>
    <row r="18" spans="1:25">
      <c r="A18" s="153" t="str">
        <f t="shared" si="1"/>
        <v>014</v>
      </c>
      <c r="B18" t="s">
        <v>4494</v>
      </c>
      <c r="C18" s="150" t="e">
        <f>IF($B18="","-",_xlfn.XLOOKUP($B18,Site_DB[Site ID],Site_DB[Sitename]))</f>
        <v>#N/A</v>
      </c>
      <c r="D18" s="150" t="e">
        <f>IF($B18="","-",_xlfn.XLOOKUP($B18,Site_DB[Site ID],Site_DB[Region]))</f>
        <v>#N/A</v>
      </c>
      <c r="E18" s="150" t="e">
        <f>IF($B18="","-",_xlfn.XLOOKUP($B18,Site_DB[Site ID],Site_DB[City]))</f>
        <v>#N/A</v>
      </c>
      <c r="F18" s="151" t="e">
        <f>IF($B18="","-",_xlfn.XLOOKUP($B18,Site_DB[Site ID],#REF!))</f>
        <v>#REF!</v>
      </c>
      <c r="G18" s="151" t="e">
        <f>IF($B18="","-",_xlfn.XLOOKUP($B18,Site_DB[Site ID],#REF!))</f>
        <v>#REF!</v>
      </c>
      <c r="H18" s="151" t="e">
        <f>IF($B18="","-",_xlfn.XLOOKUP($B18,Site_DB[Site ID],#REF!))</f>
        <v>#REF!</v>
      </c>
      <c r="I18" s="151" t="str">
        <f>IF($L18="","-",_xlfn.XLOOKUP($L18,Master_S[Material Name],Master_S[Material Code]))</f>
        <v>GCI1004</v>
      </c>
      <c r="J18" s="151" t="str">
        <f>IF($L18="","-",_xlfn.XLOOKUP($L18,Master_S[Material Name],Master_S[Unit]))</f>
        <v>Pcs</v>
      </c>
      <c r="K18" s="130" t="s">
        <v>38</v>
      </c>
      <c r="L18" s="130" t="s">
        <v>3090</v>
      </c>
      <c r="M18">
        <v>30</v>
      </c>
      <c r="N18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18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8" s="160">
        <v>24</v>
      </c>
      <c r="Q18" s="160"/>
      <c r="R18" s="160"/>
      <c r="S18" s="160"/>
      <c r="T18" s="166">
        <f>Opname[[#This Row],[MOS (Qty)]]-Opname[[#This Row],[APD (Qty)]]</f>
        <v>-30</v>
      </c>
      <c r="U18" s="166">
        <f>Opname[[#This Row],[ABD / Redline (Qty)]]-Opname[[#This Row],[MOS (Qty)]]</f>
        <v>24</v>
      </c>
      <c r="V18" s="160" t="str">
        <f>IF(Opname[[#This Row],[Opname (Qty)]]="","",Opname[[#This Row],[DO (Qty)]]-(Opname[[#This Row],[BA (Qty)]]+Opname[[#This Row],[Opname (Qty)]]))</f>
        <v/>
      </c>
      <c r="W18" s="160"/>
      <c r="X18" s="160"/>
      <c r="Y18" t="s">
        <v>4622</v>
      </c>
    </row>
    <row r="19" spans="1:25">
      <c r="A19" s="153" t="str">
        <f t="shared" si="1"/>
        <v>015</v>
      </c>
      <c r="B19" t="s">
        <v>4494</v>
      </c>
      <c r="C19" s="150" t="e">
        <f>IF($B19="","-",_xlfn.XLOOKUP($B19,Site_DB[Site ID],Site_DB[Sitename]))</f>
        <v>#N/A</v>
      </c>
      <c r="D19" s="150" t="e">
        <f>IF($B19="","-",_xlfn.XLOOKUP($B19,Site_DB[Site ID],Site_DB[Region]))</f>
        <v>#N/A</v>
      </c>
      <c r="E19" s="150" t="e">
        <f>IF($B19="","-",_xlfn.XLOOKUP($B19,Site_DB[Site ID],Site_DB[City]))</f>
        <v>#N/A</v>
      </c>
      <c r="F19" s="151" t="e">
        <f>IF($B19="","-",_xlfn.XLOOKUP($B19,Site_DB[Site ID],#REF!))</f>
        <v>#REF!</v>
      </c>
      <c r="G19" s="151" t="e">
        <f>IF($B19="","-",_xlfn.XLOOKUP($B19,Site_DB[Site ID],#REF!))</f>
        <v>#REF!</v>
      </c>
      <c r="H19" s="151" t="e">
        <f>IF($B19="","-",_xlfn.XLOOKUP($B19,Site_DB[Site ID],#REF!))</f>
        <v>#REF!</v>
      </c>
      <c r="I19" s="151" t="str">
        <f>IF($L19="","-",_xlfn.XLOOKUP($L19,Master_S[Material Name],Master_S[Material Code]))</f>
        <v>GCI1005</v>
      </c>
      <c r="J19" s="151" t="str">
        <f>IF($L19="","-",_xlfn.XLOOKUP($L19,Master_S[Material Name],Master_S[Unit]))</f>
        <v>Pcs</v>
      </c>
      <c r="K19" s="130" t="s">
        <v>38</v>
      </c>
      <c r="L19" s="130" t="s">
        <v>3091</v>
      </c>
      <c r="M19">
        <v>74</v>
      </c>
      <c r="N19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19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9" s="160">
        <v>56</v>
      </c>
      <c r="Q19" s="160"/>
      <c r="R19" s="160"/>
      <c r="S19" s="160"/>
      <c r="T19" s="160">
        <f>Opname[[#This Row],[MOS (Qty)]]-Opname[[#This Row],[APD (Qty)]]</f>
        <v>-74</v>
      </c>
      <c r="U19" s="160">
        <f>Opname[[#This Row],[ABD / Redline (Qty)]]-Opname[[#This Row],[MOS (Qty)]]</f>
        <v>56</v>
      </c>
      <c r="V19" s="160" t="str">
        <f>IF(Opname[[#This Row],[Opname (Qty)]]="","",Opname[[#This Row],[DO (Qty)]]-(Opname[[#This Row],[BA (Qty)]]+Opname[[#This Row],[Opname (Qty)]]))</f>
        <v/>
      </c>
      <c r="W19" s="160"/>
      <c r="X19" s="160"/>
      <c r="Y19" t="s">
        <v>4622</v>
      </c>
    </row>
    <row r="20" spans="1:25">
      <c r="A20" s="153" t="str">
        <f t="shared" si="1"/>
        <v>016</v>
      </c>
      <c r="B20" t="s">
        <v>4494</v>
      </c>
      <c r="C20" s="150" t="e">
        <f>IF($B20="","-",_xlfn.XLOOKUP($B20,Site_DB[Site ID],Site_DB[Sitename]))</f>
        <v>#N/A</v>
      </c>
      <c r="D20" s="150" t="e">
        <f>IF($B20="","-",_xlfn.XLOOKUP($B20,Site_DB[Site ID],Site_DB[Region]))</f>
        <v>#N/A</v>
      </c>
      <c r="E20" s="150" t="e">
        <f>IF($B20="","-",_xlfn.XLOOKUP($B20,Site_DB[Site ID],Site_DB[City]))</f>
        <v>#N/A</v>
      </c>
      <c r="F20" s="151" t="e">
        <f>IF($B20="","-",_xlfn.XLOOKUP($B20,Site_DB[Site ID],#REF!))</f>
        <v>#REF!</v>
      </c>
      <c r="G20" s="151" t="e">
        <f>IF($B20="","-",_xlfn.XLOOKUP($B20,Site_DB[Site ID],#REF!))</f>
        <v>#REF!</v>
      </c>
      <c r="H20" s="151" t="e">
        <f>IF($B20="","-",_xlfn.XLOOKUP($B20,Site_DB[Site ID],#REF!))</f>
        <v>#REF!</v>
      </c>
      <c r="I20" s="151" t="e">
        <f>IF($L20="","-",_xlfn.XLOOKUP($L20,Master_S[Material Name],Master_S[Material Code]))</f>
        <v>#N/A</v>
      </c>
      <c r="J20" s="151" t="e">
        <f>IF($L20="","-",_xlfn.XLOOKUP($L20,Master_S[Material Name],Master_S[Unit]))</f>
        <v>#N/A</v>
      </c>
      <c r="K20" s="130" t="s">
        <v>38</v>
      </c>
      <c r="L20" s="130" t="s">
        <v>3095</v>
      </c>
      <c r="M20">
        <v>91</v>
      </c>
      <c r="N20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20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0" s="160">
        <v>96</v>
      </c>
      <c r="Q20" s="160"/>
      <c r="R20" s="160"/>
      <c r="S20" s="160"/>
      <c r="T20" s="160">
        <f>Opname[[#This Row],[MOS (Qty)]]-Opname[[#This Row],[APD (Qty)]]</f>
        <v>-91</v>
      </c>
      <c r="U20" s="160">
        <f>Opname[[#This Row],[ABD / Redline (Qty)]]-Opname[[#This Row],[MOS (Qty)]]</f>
        <v>96</v>
      </c>
      <c r="V20" s="160" t="str">
        <f>IF(Opname[[#This Row],[Opname (Qty)]]="","",Opname[[#This Row],[DO (Qty)]]-(Opname[[#This Row],[BA (Qty)]]+Opname[[#This Row],[Opname (Qty)]]))</f>
        <v/>
      </c>
      <c r="W20" s="160"/>
      <c r="X20" s="160"/>
      <c r="Y20" t="s">
        <v>4622</v>
      </c>
    </row>
    <row r="21" spans="1:25">
      <c r="A21" s="153" t="str">
        <f t="shared" si="1"/>
        <v>017</v>
      </c>
      <c r="B21" t="s">
        <v>4494</v>
      </c>
      <c r="C21" s="150" t="e">
        <f>IF($B21="","-",_xlfn.XLOOKUP($B21,Site_DB[Site ID],Site_DB[Sitename]))</f>
        <v>#N/A</v>
      </c>
      <c r="D21" s="150" t="e">
        <f>IF($B21="","-",_xlfn.XLOOKUP($B21,Site_DB[Site ID],Site_DB[Region]))</f>
        <v>#N/A</v>
      </c>
      <c r="E21" s="150" t="e">
        <f>IF($B21="","-",_xlfn.XLOOKUP($B21,Site_DB[Site ID],Site_DB[City]))</f>
        <v>#N/A</v>
      </c>
      <c r="F21" s="151" t="e">
        <f>IF($B21="","-",_xlfn.XLOOKUP($B21,Site_DB[Site ID],#REF!))</f>
        <v>#REF!</v>
      </c>
      <c r="G21" s="151" t="e">
        <f>IF($B21="","-",_xlfn.XLOOKUP($B21,Site_DB[Site ID],#REF!))</f>
        <v>#REF!</v>
      </c>
      <c r="H21" s="151" t="e">
        <f>IF($B21="","-",_xlfn.XLOOKUP($B21,Site_DB[Site ID],#REF!))</f>
        <v>#REF!</v>
      </c>
      <c r="I21" s="151" t="str">
        <f>IF($L21="","-",_xlfn.XLOOKUP($L21,Master_S[Material Name],Master_S[Material Code]))</f>
        <v>GCI1008</v>
      </c>
      <c r="J21" s="151" t="str">
        <f>IF($L21="","-",_xlfn.XLOOKUP($L21,Master_S[Material Name],Master_S[Unit]))</f>
        <v>Pcs</v>
      </c>
      <c r="K21" s="130" t="s">
        <v>38</v>
      </c>
      <c r="L21" s="130" t="s">
        <v>3094</v>
      </c>
      <c r="M21">
        <v>83</v>
      </c>
      <c r="N21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21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1" s="160">
        <v>70</v>
      </c>
      <c r="Q21" s="160"/>
      <c r="R21" s="160"/>
      <c r="S21" s="160"/>
      <c r="T21" s="160">
        <f>Opname[[#This Row],[MOS (Qty)]]-Opname[[#This Row],[APD (Qty)]]</f>
        <v>-83</v>
      </c>
      <c r="U21" s="160">
        <f>Opname[[#This Row],[ABD / Redline (Qty)]]-Opname[[#This Row],[MOS (Qty)]]</f>
        <v>70</v>
      </c>
      <c r="V21" s="160" t="str">
        <f>IF(Opname[[#This Row],[Opname (Qty)]]="","",Opname[[#This Row],[DO (Qty)]]-(Opname[[#This Row],[BA (Qty)]]+Opname[[#This Row],[Opname (Qty)]]))</f>
        <v/>
      </c>
      <c r="W21" s="160"/>
      <c r="X21" s="160"/>
      <c r="Y21" t="s">
        <v>4622</v>
      </c>
    </row>
    <row r="22" spans="1:25">
      <c r="A22" s="153" t="str">
        <f t="shared" si="1"/>
        <v>018</v>
      </c>
      <c r="B22" t="s">
        <v>4494</v>
      </c>
      <c r="C22" s="150" t="e">
        <f>IF($B22="","-",_xlfn.XLOOKUP($B22,Site_DB[Site ID],Site_DB[Sitename]))</f>
        <v>#N/A</v>
      </c>
      <c r="D22" s="150" t="e">
        <f>IF($B22="","-",_xlfn.XLOOKUP($B22,Site_DB[Site ID],Site_DB[Region]))</f>
        <v>#N/A</v>
      </c>
      <c r="E22" s="150" t="e">
        <f>IF($B22="","-",_xlfn.XLOOKUP($B22,Site_DB[Site ID],Site_DB[City]))</f>
        <v>#N/A</v>
      </c>
      <c r="F22" s="151" t="e">
        <f>IF($B22="","-",_xlfn.XLOOKUP($B22,Site_DB[Site ID],#REF!))</f>
        <v>#REF!</v>
      </c>
      <c r="G22" s="151" t="e">
        <f>IF($B22="","-",_xlfn.XLOOKUP($B22,Site_DB[Site ID],#REF!))</f>
        <v>#REF!</v>
      </c>
      <c r="H22" s="151" t="e">
        <f>IF($B22="","-",_xlfn.XLOOKUP($B22,Site_DB[Site ID],#REF!))</f>
        <v>#REF!</v>
      </c>
      <c r="I22" s="151" t="str">
        <f>IF($L22="","-",_xlfn.XLOOKUP($L22,Master_S[Material Name],Master_S[Material Code]))</f>
        <v>GCI1011</v>
      </c>
      <c r="J22" s="151" t="str">
        <f>IF($L22="","-",_xlfn.XLOOKUP($L22,Master_S[Material Name],Master_S[Unit]))</f>
        <v>Pcs</v>
      </c>
      <c r="K22" s="130" t="s">
        <v>38</v>
      </c>
      <c r="L22" s="130" t="s">
        <v>3097</v>
      </c>
      <c r="M22">
        <v>490</v>
      </c>
      <c r="N22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22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2" s="160">
        <v>490</v>
      </c>
      <c r="Q22" s="160"/>
      <c r="R22" s="160"/>
      <c r="S22" s="160"/>
      <c r="T22" s="160">
        <f>Opname[[#This Row],[MOS (Qty)]]-Opname[[#This Row],[APD (Qty)]]</f>
        <v>-490</v>
      </c>
      <c r="U22" s="160">
        <f>Opname[[#This Row],[ABD / Redline (Qty)]]-Opname[[#This Row],[MOS (Qty)]]</f>
        <v>490</v>
      </c>
      <c r="V22" s="160" t="str">
        <f>IF(Opname[[#This Row],[Opname (Qty)]]="","",Opname[[#This Row],[DO (Qty)]]-(Opname[[#This Row],[BA (Qty)]]+Opname[[#This Row],[Opname (Qty)]]))</f>
        <v/>
      </c>
      <c r="W22" s="160"/>
      <c r="X22" s="160"/>
      <c r="Y22" t="s">
        <v>4622</v>
      </c>
    </row>
    <row r="23" spans="1:25">
      <c r="A23" s="153" t="str">
        <f t="shared" si="1"/>
        <v>019</v>
      </c>
      <c r="B23" t="s">
        <v>4493</v>
      </c>
      <c r="C23" s="150" t="e">
        <f>IF($B23="","-",_xlfn.XLOOKUP($B23,Site_DB[Site ID],Site_DB[Sitename]))</f>
        <v>#N/A</v>
      </c>
      <c r="D23" s="150" t="e">
        <f>IF($B23="","-",_xlfn.XLOOKUP($B23,Site_DB[Site ID],Site_DB[Region]))</f>
        <v>#N/A</v>
      </c>
      <c r="E23" s="150" t="e">
        <f>IF($B23="","-",_xlfn.XLOOKUP($B23,Site_DB[Site ID],Site_DB[City]))</f>
        <v>#N/A</v>
      </c>
      <c r="F23" s="151" t="e">
        <f>IF($B23="","-",_xlfn.XLOOKUP($B23,Site_DB[Site ID],#REF!))</f>
        <v>#REF!</v>
      </c>
      <c r="G23" s="151" t="e">
        <f>IF($B23="","-",_xlfn.XLOOKUP($B23,Site_DB[Site ID],#REF!))</f>
        <v>#REF!</v>
      </c>
      <c r="H23" s="151" t="e">
        <f>IF($B23="","-",_xlfn.XLOOKUP($B23,Site_DB[Site ID],#REF!))</f>
        <v>#REF!</v>
      </c>
      <c r="I23" s="151" t="str">
        <f>IF($L23="","-",_xlfn.XLOOKUP($L23,Master_S[Material Name],Master_S[Material Code]))</f>
        <v>ZTE1001</v>
      </c>
      <c r="J23" s="151" t="str">
        <f>IF($L23="","-",_xlfn.XLOOKUP($L23,Master_S[Material Name],Master_S[Unit]))</f>
        <v>Pcs</v>
      </c>
      <c r="K23" s="130" t="s">
        <v>37</v>
      </c>
      <c r="L23" s="130" t="s">
        <v>3069</v>
      </c>
      <c r="M23">
        <v>1</v>
      </c>
      <c r="N23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23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3" s="160"/>
      <c r="Q23" s="160"/>
      <c r="R23" s="160"/>
      <c r="S23" s="160"/>
      <c r="T23" s="160">
        <f>Opname[[#This Row],[MOS (Qty)]]-Opname[[#This Row],[APD (Qty)]]</f>
        <v>-1</v>
      </c>
      <c r="U23" s="160">
        <f>Opname[[#This Row],[ABD / Redline (Qty)]]-Opname[[#This Row],[MOS (Qty)]]</f>
        <v>0</v>
      </c>
      <c r="V23" s="160" t="str">
        <f>IF(Opname[[#This Row],[Opname (Qty)]]="","",Opname[[#This Row],[DO (Qty)]]-(Opname[[#This Row],[BA (Qty)]]+Opname[[#This Row],[Opname (Qty)]]))</f>
        <v/>
      </c>
      <c r="W23" s="160"/>
      <c r="X23" s="160"/>
      <c r="Y23" t="s">
        <v>4618</v>
      </c>
    </row>
    <row r="24" spans="1:25">
      <c r="A24" s="153" t="str">
        <f t="shared" si="1"/>
        <v>020</v>
      </c>
      <c r="B24" t="s">
        <v>4493</v>
      </c>
      <c r="C24" s="150" t="e">
        <f>IF($B24="","-",_xlfn.XLOOKUP($B24,Site_DB[Site ID],Site_DB[Sitename]))</f>
        <v>#N/A</v>
      </c>
      <c r="D24" s="150" t="e">
        <f>IF($B24="","-",_xlfn.XLOOKUP($B24,Site_DB[Site ID],Site_DB[Region]))</f>
        <v>#N/A</v>
      </c>
      <c r="E24" s="150" t="e">
        <f>IF($B24="","-",_xlfn.XLOOKUP($B24,Site_DB[Site ID],Site_DB[City]))</f>
        <v>#N/A</v>
      </c>
      <c r="F24" s="151" t="e">
        <f>IF($B24="","-",_xlfn.XLOOKUP($B24,Site_DB[Site ID],#REF!))</f>
        <v>#REF!</v>
      </c>
      <c r="G24" s="151" t="e">
        <f>IF($B24="","-",_xlfn.XLOOKUP($B24,Site_DB[Site ID],#REF!))</f>
        <v>#REF!</v>
      </c>
      <c r="H24" s="151" t="e">
        <f>IF($B24="","-",_xlfn.XLOOKUP($B24,Site_DB[Site ID],#REF!))</f>
        <v>#REF!</v>
      </c>
      <c r="I24" s="151" t="str">
        <f>IF($L24="","-",_xlfn.XLOOKUP($L24,Master_S[Material Name],Master_S[Material Code]))</f>
        <v>ZTE1002</v>
      </c>
      <c r="J24" s="151" t="str">
        <f>IF($L24="","-",_xlfn.XLOOKUP($L24,Master_S[Material Name],Master_S[Unit]))</f>
        <v>Pcs</v>
      </c>
      <c r="K24" s="130" t="s">
        <v>37</v>
      </c>
      <c r="L24" s="130" t="s">
        <v>3070</v>
      </c>
      <c r="M24">
        <v>33</v>
      </c>
      <c r="N24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24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4" s="160"/>
      <c r="Q24" s="160"/>
      <c r="R24" s="160"/>
      <c r="S24" s="160"/>
      <c r="T24" s="160">
        <f>Opname[[#This Row],[MOS (Qty)]]-Opname[[#This Row],[APD (Qty)]]</f>
        <v>-33</v>
      </c>
      <c r="U24" s="160">
        <f>Opname[[#This Row],[ABD / Redline (Qty)]]-Opname[[#This Row],[MOS (Qty)]]</f>
        <v>0</v>
      </c>
      <c r="V24" s="160" t="str">
        <f>IF(Opname[[#This Row],[Opname (Qty)]]="","",Opname[[#This Row],[DO (Qty)]]-(Opname[[#This Row],[BA (Qty)]]+Opname[[#This Row],[Opname (Qty)]]))</f>
        <v/>
      </c>
      <c r="W24" s="160"/>
      <c r="X24" s="160"/>
      <c r="Y24" t="s">
        <v>4618</v>
      </c>
    </row>
    <row r="25" spans="1:25">
      <c r="A25" s="154" t="str">
        <f t="shared" si="1"/>
        <v>021</v>
      </c>
      <c r="B25" t="s">
        <v>4493</v>
      </c>
      <c r="C25" s="150" t="e">
        <f>IF($B25="","-",_xlfn.XLOOKUP($B25,Site_DB[Site ID],Site_DB[Sitename]))</f>
        <v>#N/A</v>
      </c>
      <c r="D25" s="150" t="e">
        <f>IF($B25="","-",_xlfn.XLOOKUP($B25,Site_DB[Site ID],Site_DB[Region]))</f>
        <v>#N/A</v>
      </c>
      <c r="E25" s="150" t="e">
        <f>IF($B25="","-",_xlfn.XLOOKUP($B25,Site_DB[Site ID],Site_DB[City]))</f>
        <v>#N/A</v>
      </c>
      <c r="F25" s="151" t="e">
        <f>IF($B25="","-",_xlfn.XLOOKUP($B25,Site_DB[Site ID],#REF!))</f>
        <v>#REF!</v>
      </c>
      <c r="G25" s="151" t="e">
        <f>IF($B25="","-",_xlfn.XLOOKUP($B25,Site_DB[Site ID],#REF!))</f>
        <v>#REF!</v>
      </c>
      <c r="H25" s="151" t="e">
        <f>IF($B25="","-",_xlfn.XLOOKUP($B25,Site_DB[Site ID],#REF!))</f>
        <v>#REF!</v>
      </c>
      <c r="I25" s="151" t="str">
        <f>IF($L25="","-",_xlfn.XLOOKUP($L25,Master_S[Material Name],Master_S[Material Code]))</f>
        <v>ZTE1003</v>
      </c>
      <c r="J25" s="151" t="str">
        <f>IF($L25="","-",_xlfn.XLOOKUP($L25,Master_S[Material Name],Master_S[Unit]))</f>
        <v>Pcs</v>
      </c>
      <c r="K25" s="130" t="s">
        <v>37</v>
      </c>
      <c r="L25" s="130" t="s">
        <v>3071</v>
      </c>
      <c r="M25">
        <v>0</v>
      </c>
      <c r="N25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25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5" s="160"/>
      <c r="Q25" s="160"/>
      <c r="R25" s="160"/>
      <c r="S25" s="160"/>
      <c r="T25" s="160">
        <f>Opname[[#This Row],[MOS (Qty)]]-Opname[[#This Row],[APD (Qty)]]</f>
        <v>0</v>
      </c>
      <c r="U25" s="160">
        <f>Opname[[#This Row],[ABD / Redline (Qty)]]-Opname[[#This Row],[MOS (Qty)]]</f>
        <v>0</v>
      </c>
      <c r="V25" s="160" t="str">
        <f>IF(Opname[[#This Row],[Opname (Qty)]]="","",Opname[[#This Row],[DO (Qty)]]-(Opname[[#This Row],[BA (Qty)]]+Opname[[#This Row],[Opname (Qty)]]))</f>
        <v/>
      </c>
      <c r="W25" s="160"/>
      <c r="X25" s="160"/>
      <c r="Y25" t="s">
        <v>4618</v>
      </c>
    </row>
    <row r="26" spans="1:25">
      <c r="A26" s="153" t="str">
        <f t="shared" ref="A26:A40" si="2">CONCATENATE(IF(ROW(A26)-4&lt;10,"00",IF(ROW(A26)-4&lt;100,"0","")),ROW(A26)-4)</f>
        <v>022</v>
      </c>
      <c r="B26" t="s">
        <v>4493</v>
      </c>
      <c r="C26" s="150" t="e">
        <f>IF($B26="","-",_xlfn.XLOOKUP($B26,Site_DB[Site ID],Site_DB[Sitename]))</f>
        <v>#N/A</v>
      </c>
      <c r="D26" s="150" t="e">
        <f>IF($B26="","-",_xlfn.XLOOKUP($B26,Site_DB[Site ID],Site_DB[Region]))</f>
        <v>#N/A</v>
      </c>
      <c r="E26" s="150" t="e">
        <f>IF($B26="","-",_xlfn.XLOOKUP($B26,Site_DB[Site ID],Site_DB[City]))</f>
        <v>#N/A</v>
      </c>
      <c r="F26" s="151" t="e">
        <f>IF($B26="","-",_xlfn.XLOOKUP($B26,Site_DB[Site ID],#REF!))</f>
        <v>#REF!</v>
      </c>
      <c r="G26" s="151" t="e">
        <f>IF($B26="","-",_xlfn.XLOOKUP($B26,Site_DB[Site ID],#REF!))</f>
        <v>#REF!</v>
      </c>
      <c r="H26" s="151" t="e">
        <f>IF($B26="","-",_xlfn.XLOOKUP($B26,Site_DB[Site ID],#REF!))</f>
        <v>#REF!</v>
      </c>
      <c r="I26" s="151" t="str">
        <f>IF($L26="","-",_xlfn.XLOOKUP($L26,Master_S[Material Name],Master_S[Material Code]))</f>
        <v>ZTE2001</v>
      </c>
      <c r="J26" s="151" t="str">
        <f>IF($L26="","-",_xlfn.XLOOKUP($L26,Master_S[Material Name],Master_S[Unit]))</f>
        <v>Meter</v>
      </c>
      <c r="K26" s="130" t="s">
        <v>37</v>
      </c>
      <c r="L26" s="130" t="s">
        <v>3073</v>
      </c>
      <c r="M26">
        <v>2254</v>
      </c>
      <c r="N26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26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6" s="160"/>
      <c r="Q26" s="160"/>
      <c r="R26" s="160"/>
      <c r="S26" s="160"/>
      <c r="T26" s="160">
        <f>Opname[[#This Row],[MOS (Qty)]]-Opname[[#This Row],[APD (Qty)]]</f>
        <v>-2254</v>
      </c>
      <c r="U26" s="160">
        <f>Opname[[#This Row],[ABD / Redline (Qty)]]-Opname[[#This Row],[MOS (Qty)]]</f>
        <v>0</v>
      </c>
      <c r="V26" s="160" t="str">
        <f>IF(Opname[[#This Row],[Opname (Qty)]]="","",Opname[[#This Row],[DO (Qty)]]-(Opname[[#This Row],[BA (Qty)]]+Opname[[#This Row],[Opname (Qty)]]))</f>
        <v/>
      </c>
      <c r="W26" s="160"/>
      <c r="X26" s="160"/>
      <c r="Y26" t="s">
        <v>4618</v>
      </c>
    </row>
    <row r="27" spans="1:25">
      <c r="A27" s="153" t="str">
        <f t="shared" si="2"/>
        <v>023</v>
      </c>
      <c r="B27" t="s">
        <v>4493</v>
      </c>
      <c r="C27" s="150" t="e">
        <f>IF($B27="","-",_xlfn.XLOOKUP($B27,Site_DB[Site ID],Site_DB[Sitename]))</f>
        <v>#N/A</v>
      </c>
      <c r="D27" s="150" t="e">
        <f>IF($B27="","-",_xlfn.XLOOKUP($B27,Site_DB[Site ID],Site_DB[Region]))</f>
        <v>#N/A</v>
      </c>
      <c r="E27" s="150" t="e">
        <f>IF($B27="","-",_xlfn.XLOOKUP($B27,Site_DB[Site ID],Site_DB[City]))</f>
        <v>#N/A</v>
      </c>
      <c r="F27" s="151" t="e">
        <f>IF($B27="","-",_xlfn.XLOOKUP($B27,Site_DB[Site ID],#REF!))</f>
        <v>#REF!</v>
      </c>
      <c r="G27" s="151" t="e">
        <f>IF($B27="","-",_xlfn.XLOOKUP($B27,Site_DB[Site ID],#REF!))</f>
        <v>#REF!</v>
      </c>
      <c r="H27" s="151" t="e">
        <f>IF($B27="","-",_xlfn.XLOOKUP($B27,Site_DB[Site ID],#REF!))</f>
        <v>#REF!</v>
      </c>
      <c r="I27" s="151" t="str">
        <f>IF($L27="","-",_xlfn.XLOOKUP($L27,Master_S[Material Name],Master_S[Material Code]))</f>
        <v>ZTE2002</v>
      </c>
      <c r="J27" s="151" t="str">
        <f>IF($L27="","-",_xlfn.XLOOKUP($L27,Master_S[Material Name],Master_S[Unit]))</f>
        <v>Meter</v>
      </c>
      <c r="K27" s="130" t="s">
        <v>37</v>
      </c>
      <c r="L27" s="130" t="s">
        <v>3074</v>
      </c>
      <c r="M27">
        <v>0</v>
      </c>
      <c r="N27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27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7" s="160"/>
      <c r="Q27" s="160"/>
      <c r="R27" s="160"/>
      <c r="S27" s="160"/>
      <c r="T27" s="160">
        <f>Opname[[#This Row],[MOS (Qty)]]-Opname[[#This Row],[APD (Qty)]]</f>
        <v>0</v>
      </c>
      <c r="U27" s="160">
        <f>Opname[[#This Row],[ABD / Redline (Qty)]]-Opname[[#This Row],[MOS (Qty)]]</f>
        <v>0</v>
      </c>
      <c r="V27" s="160" t="str">
        <f>IF(Opname[[#This Row],[Opname (Qty)]]="","",Opname[[#This Row],[DO (Qty)]]-(Opname[[#This Row],[BA (Qty)]]+Opname[[#This Row],[Opname (Qty)]]))</f>
        <v/>
      </c>
      <c r="W27" s="160"/>
      <c r="X27" s="160"/>
      <c r="Y27" t="s">
        <v>4618</v>
      </c>
    </row>
    <row r="28" spans="1:25">
      <c r="A28" s="153" t="str">
        <f t="shared" si="2"/>
        <v>024</v>
      </c>
      <c r="B28" t="s">
        <v>4493</v>
      </c>
      <c r="C28" s="150" t="e">
        <f>IF($B28="","-",_xlfn.XLOOKUP($B28,Site_DB[Site ID],Site_DB[Sitename]))</f>
        <v>#N/A</v>
      </c>
      <c r="D28" s="150" t="e">
        <f>IF($B28="","-",_xlfn.XLOOKUP($B28,Site_DB[Site ID],Site_DB[Region]))</f>
        <v>#N/A</v>
      </c>
      <c r="E28" s="150" t="e">
        <f>IF($B28="","-",_xlfn.XLOOKUP($B28,Site_DB[Site ID],Site_DB[City]))</f>
        <v>#N/A</v>
      </c>
      <c r="F28" s="151" t="e">
        <f>IF($B28="","-",_xlfn.XLOOKUP($B28,Site_DB[Site ID],#REF!))</f>
        <v>#REF!</v>
      </c>
      <c r="G28" s="151" t="e">
        <f>IF($B28="","-",_xlfn.XLOOKUP($B28,Site_DB[Site ID],#REF!))</f>
        <v>#REF!</v>
      </c>
      <c r="H28" s="151" t="e">
        <f>IF($B28="","-",_xlfn.XLOOKUP($B28,Site_DB[Site ID],#REF!))</f>
        <v>#REF!</v>
      </c>
      <c r="I28" s="151" t="str">
        <f>IF($L28="","-",_xlfn.XLOOKUP($L28,Master_S[Material Name],Master_S[Material Code]))</f>
        <v>ZTE2003</v>
      </c>
      <c r="J28" s="151" t="str">
        <f>IF($L28="","-",_xlfn.XLOOKUP($L28,Master_S[Material Name],Master_S[Unit]))</f>
        <v>Meter</v>
      </c>
      <c r="K28" s="130" t="s">
        <v>37</v>
      </c>
      <c r="L28" s="130" t="s">
        <v>3075</v>
      </c>
      <c r="M28">
        <v>0</v>
      </c>
      <c r="N28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28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8" s="160"/>
      <c r="Q28" s="160"/>
      <c r="R28" s="160"/>
      <c r="S28" s="160"/>
      <c r="T28" s="160">
        <f>Opname[[#This Row],[MOS (Qty)]]-Opname[[#This Row],[APD (Qty)]]</f>
        <v>0</v>
      </c>
      <c r="U28" s="160">
        <f>Opname[[#This Row],[ABD / Redline (Qty)]]-Opname[[#This Row],[MOS (Qty)]]</f>
        <v>0</v>
      </c>
      <c r="V28" s="160" t="str">
        <f>IF(Opname[[#This Row],[Opname (Qty)]]="","",Opname[[#This Row],[DO (Qty)]]-(Opname[[#This Row],[BA (Qty)]]+Opname[[#This Row],[Opname (Qty)]]))</f>
        <v/>
      </c>
      <c r="W28" s="160"/>
      <c r="X28" s="160"/>
      <c r="Y28" t="s">
        <v>4618</v>
      </c>
    </row>
    <row r="29" spans="1:25">
      <c r="A29" s="153" t="str">
        <f t="shared" si="2"/>
        <v>025</v>
      </c>
      <c r="B29" t="s">
        <v>4493</v>
      </c>
      <c r="C29" s="150" t="e">
        <f>IF($B29="","-",_xlfn.XLOOKUP($B29,Site_DB[Site ID],Site_DB[Sitename]))</f>
        <v>#N/A</v>
      </c>
      <c r="D29" s="150" t="e">
        <f>IF($B29="","-",_xlfn.XLOOKUP($B29,Site_DB[Site ID],Site_DB[Region]))</f>
        <v>#N/A</v>
      </c>
      <c r="E29" s="150" t="e">
        <f>IF($B29="","-",_xlfn.XLOOKUP($B29,Site_DB[Site ID],Site_DB[City]))</f>
        <v>#N/A</v>
      </c>
      <c r="F29" s="151" t="e">
        <f>IF($B29="","-",_xlfn.XLOOKUP($B29,Site_DB[Site ID],#REF!))</f>
        <v>#REF!</v>
      </c>
      <c r="G29" s="151" t="e">
        <f>IF($B29="","-",_xlfn.XLOOKUP($B29,Site_DB[Site ID],#REF!))</f>
        <v>#REF!</v>
      </c>
      <c r="H29" s="151" t="e">
        <f>IF($B29="","-",_xlfn.XLOOKUP($B29,Site_DB[Site ID],#REF!))</f>
        <v>#REF!</v>
      </c>
      <c r="I29" s="151" t="str">
        <f>IF($L29="","-",_xlfn.XLOOKUP($L29,Master_S[Material Name],Master_S[Material Code]))</f>
        <v>ZTE2005</v>
      </c>
      <c r="J29" s="151" t="str">
        <f>IF($L29="","-",_xlfn.XLOOKUP($L29,Master_S[Material Name],Master_S[Unit]))</f>
        <v>Pcs</v>
      </c>
      <c r="K29" s="130" t="s">
        <v>37</v>
      </c>
      <c r="L29" s="130" t="s">
        <v>14</v>
      </c>
      <c r="M29">
        <v>1</v>
      </c>
      <c r="N29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29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9" s="160"/>
      <c r="Q29" s="160"/>
      <c r="R29" s="160"/>
      <c r="S29" s="160"/>
      <c r="T29" s="160">
        <f>Opname[[#This Row],[MOS (Qty)]]-Opname[[#This Row],[APD (Qty)]]</f>
        <v>-1</v>
      </c>
      <c r="U29" s="160">
        <f>Opname[[#This Row],[ABD / Redline (Qty)]]-Opname[[#This Row],[MOS (Qty)]]</f>
        <v>0</v>
      </c>
      <c r="V29" s="160" t="str">
        <f>IF(Opname[[#This Row],[Opname (Qty)]]="","",Opname[[#This Row],[DO (Qty)]]-(Opname[[#This Row],[BA (Qty)]]+Opname[[#This Row],[Opname (Qty)]]))</f>
        <v/>
      </c>
      <c r="W29" s="160"/>
      <c r="X29" s="160"/>
      <c r="Y29" t="s">
        <v>4618</v>
      </c>
    </row>
    <row r="30" spans="1:25">
      <c r="A30" s="153" t="str">
        <f t="shared" si="2"/>
        <v>026</v>
      </c>
      <c r="B30" t="s">
        <v>4493</v>
      </c>
      <c r="C30" s="150" t="e">
        <f>IF($B30="","-",_xlfn.XLOOKUP($B30,Site_DB[Site ID],Site_DB[Sitename]))</f>
        <v>#N/A</v>
      </c>
      <c r="D30" s="150" t="e">
        <f>IF($B30="","-",_xlfn.XLOOKUP($B30,Site_DB[Site ID],Site_DB[Region]))</f>
        <v>#N/A</v>
      </c>
      <c r="E30" s="150" t="e">
        <f>IF($B30="","-",_xlfn.XLOOKUP($B30,Site_DB[Site ID],Site_DB[City]))</f>
        <v>#N/A</v>
      </c>
      <c r="F30" s="151" t="e">
        <f>IF($B30="","-",_xlfn.XLOOKUP($B30,Site_DB[Site ID],#REF!))</f>
        <v>#REF!</v>
      </c>
      <c r="G30" s="151" t="e">
        <f>IF($B30="","-",_xlfn.XLOOKUP($B30,Site_DB[Site ID],#REF!))</f>
        <v>#REF!</v>
      </c>
      <c r="H30" s="151" t="e">
        <f>IF($B30="","-",_xlfn.XLOOKUP($B30,Site_DB[Site ID],#REF!))</f>
        <v>#REF!</v>
      </c>
      <c r="I30" s="151" t="str">
        <f>IF($L30="","-",_xlfn.XLOOKUP($L30,Master_S[Material Name],Master_S[Material Code]))</f>
        <v>ZTE2006</v>
      </c>
      <c r="J30" s="151" t="str">
        <f>IF($L30="","-",_xlfn.XLOOKUP($L30,Master_S[Material Name],Master_S[Unit]))</f>
        <v>Pcs</v>
      </c>
      <c r="K30" s="130" t="s">
        <v>37</v>
      </c>
      <c r="L30" s="130" t="s">
        <v>15</v>
      </c>
      <c r="M30">
        <v>0</v>
      </c>
      <c r="N30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30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0" s="160"/>
      <c r="Q30" s="160"/>
      <c r="R30" s="160"/>
      <c r="S30" s="160"/>
      <c r="T30" s="160">
        <f>Opname[[#This Row],[MOS (Qty)]]-Opname[[#This Row],[APD (Qty)]]</f>
        <v>0</v>
      </c>
      <c r="U30" s="160">
        <f>Opname[[#This Row],[ABD / Redline (Qty)]]-Opname[[#This Row],[MOS (Qty)]]</f>
        <v>0</v>
      </c>
      <c r="V30" s="160" t="str">
        <f>IF(Opname[[#This Row],[Opname (Qty)]]="","",Opname[[#This Row],[DO (Qty)]]-(Opname[[#This Row],[BA (Qty)]]+Opname[[#This Row],[Opname (Qty)]]))</f>
        <v/>
      </c>
      <c r="W30" s="160"/>
      <c r="X30" s="160"/>
      <c r="Y30" t="s">
        <v>4618</v>
      </c>
    </row>
    <row r="31" spans="1:25">
      <c r="A31" s="153" t="str">
        <f t="shared" si="2"/>
        <v>027</v>
      </c>
      <c r="B31" t="s">
        <v>4493</v>
      </c>
      <c r="C31" s="150" t="e">
        <f>IF($B31="","-",_xlfn.XLOOKUP($B31,Site_DB[Site ID],Site_DB[Sitename]))</f>
        <v>#N/A</v>
      </c>
      <c r="D31" s="150" t="e">
        <f>IF($B31="","-",_xlfn.XLOOKUP($B31,Site_DB[Site ID],Site_DB[Region]))</f>
        <v>#N/A</v>
      </c>
      <c r="E31" s="150" t="e">
        <f>IF($B31="","-",_xlfn.XLOOKUP($B31,Site_DB[Site ID],Site_DB[City]))</f>
        <v>#N/A</v>
      </c>
      <c r="F31" s="151" t="e">
        <f>IF($B31="","-",_xlfn.XLOOKUP($B31,Site_DB[Site ID],#REF!))</f>
        <v>#REF!</v>
      </c>
      <c r="G31" s="151" t="e">
        <f>IF($B31="","-",_xlfn.XLOOKUP($B31,Site_DB[Site ID],#REF!))</f>
        <v>#REF!</v>
      </c>
      <c r="H31" s="151" t="e">
        <f>IF($B31="","-",_xlfn.XLOOKUP($B31,Site_DB[Site ID],#REF!))</f>
        <v>#REF!</v>
      </c>
      <c r="I31" s="151" t="str">
        <f>IF($L31="","-",_xlfn.XLOOKUP($L31,Master_S[Material Name],Master_S[Material Code]))</f>
        <v>ZTE2008</v>
      </c>
      <c r="J31" s="151" t="str">
        <f>IF($L31="","-",_xlfn.XLOOKUP($L31,Master_S[Material Name],Master_S[Unit]))</f>
        <v>Pcs</v>
      </c>
      <c r="K31" s="130" t="s">
        <v>37</v>
      </c>
      <c r="L31" s="130" t="s">
        <v>13</v>
      </c>
      <c r="M31">
        <v>14</v>
      </c>
      <c r="N31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31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1" s="160"/>
      <c r="Q31" s="160"/>
      <c r="R31" s="160"/>
      <c r="S31" s="160"/>
      <c r="T31" s="160">
        <f>Opname[[#This Row],[MOS (Qty)]]-Opname[[#This Row],[APD (Qty)]]</f>
        <v>-14</v>
      </c>
      <c r="U31" s="160">
        <f>Opname[[#This Row],[ABD / Redline (Qty)]]-Opname[[#This Row],[MOS (Qty)]]</f>
        <v>0</v>
      </c>
      <c r="V31" s="160" t="str">
        <f>IF(Opname[[#This Row],[Opname (Qty)]]="","",Opname[[#This Row],[DO (Qty)]]-(Opname[[#This Row],[BA (Qty)]]+Opname[[#This Row],[Opname (Qty)]]))</f>
        <v/>
      </c>
      <c r="W31" s="160"/>
      <c r="X31" s="160"/>
      <c r="Y31" t="s">
        <v>4618</v>
      </c>
    </row>
    <row r="32" spans="1:25">
      <c r="A32" s="153" t="str">
        <f t="shared" si="2"/>
        <v>028</v>
      </c>
      <c r="B32" t="s">
        <v>4493</v>
      </c>
      <c r="C32" s="150" t="e">
        <f>IF($B32="","-",_xlfn.XLOOKUP($B32,Site_DB[Site ID],Site_DB[Sitename]))</f>
        <v>#N/A</v>
      </c>
      <c r="D32" s="150" t="e">
        <f>IF($B32="","-",_xlfn.XLOOKUP($B32,Site_DB[Site ID],Site_DB[Region]))</f>
        <v>#N/A</v>
      </c>
      <c r="E32" s="150" t="e">
        <f>IF($B32="","-",_xlfn.XLOOKUP($B32,Site_DB[Site ID],Site_DB[City]))</f>
        <v>#N/A</v>
      </c>
      <c r="F32" s="151" t="e">
        <f>IF($B32="","-",_xlfn.XLOOKUP($B32,Site_DB[Site ID],#REF!))</f>
        <v>#REF!</v>
      </c>
      <c r="G32" s="151" t="e">
        <f>IF($B32="","-",_xlfn.XLOOKUP($B32,Site_DB[Site ID],#REF!))</f>
        <v>#REF!</v>
      </c>
      <c r="H32" s="151" t="e">
        <f>IF($B32="","-",_xlfn.XLOOKUP($B32,Site_DB[Site ID],#REF!))</f>
        <v>#REF!</v>
      </c>
      <c r="I32" s="151" t="str">
        <f>IF($L32="","-",_xlfn.XLOOKUP($L32,Master_S[Material Name],Master_S[Material Code]))</f>
        <v>ZTE1005</v>
      </c>
      <c r="J32" s="151" t="str">
        <f>IF($L32="","-",_xlfn.XLOOKUP($L32,Master_S[Material Name],Master_S[Unit]))</f>
        <v>Pcs</v>
      </c>
      <c r="K32" s="130" t="s">
        <v>38</v>
      </c>
      <c r="L32" s="130" t="s">
        <v>4524</v>
      </c>
      <c r="M32">
        <v>0</v>
      </c>
      <c r="N32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32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2" s="160"/>
      <c r="Q32" s="160"/>
      <c r="R32" s="160"/>
      <c r="S32" s="160"/>
      <c r="T32" s="160">
        <f>Opname[[#This Row],[MOS (Qty)]]-Opname[[#This Row],[APD (Qty)]]</f>
        <v>0</v>
      </c>
      <c r="U32" s="160">
        <f>Opname[[#This Row],[ABD / Redline (Qty)]]-Opname[[#This Row],[MOS (Qty)]]</f>
        <v>0</v>
      </c>
      <c r="V32" s="160" t="str">
        <f>IF(Opname[[#This Row],[Opname (Qty)]]="","",Opname[[#This Row],[DO (Qty)]]-(Opname[[#This Row],[BA (Qty)]]+Opname[[#This Row],[Opname (Qty)]]))</f>
        <v/>
      </c>
      <c r="W32" s="160"/>
      <c r="X32" s="160"/>
      <c r="Y32" t="s">
        <v>4618</v>
      </c>
    </row>
    <row r="33" spans="1:25">
      <c r="A33" s="153" t="str">
        <f t="shared" si="2"/>
        <v>029</v>
      </c>
      <c r="B33" t="s">
        <v>4493</v>
      </c>
      <c r="C33" s="150" t="e">
        <f>IF($B33="","-",_xlfn.XLOOKUP($B33,Site_DB[Site ID],Site_DB[Sitename]))</f>
        <v>#N/A</v>
      </c>
      <c r="D33" s="150" t="e">
        <f>IF($B33="","-",_xlfn.XLOOKUP($B33,Site_DB[Site ID],Site_DB[Region]))</f>
        <v>#N/A</v>
      </c>
      <c r="E33" s="150" t="e">
        <f>IF($B33="","-",_xlfn.XLOOKUP($B33,Site_DB[Site ID],Site_DB[City]))</f>
        <v>#N/A</v>
      </c>
      <c r="F33" s="151" t="e">
        <f>IF($B33="","-",_xlfn.XLOOKUP($B33,Site_DB[Site ID],#REF!))</f>
        <v>#REF!</v>
      </c>
      <c r="G33" s="151" t="e">
        <f>IF($B33="","-",_xlfn.XLOOKUP($B33,Site_DB[Site ID],#REF!))</f>
        <v>#REF!</v>
      </c>
      <c r="H33" s="151" t="e">
        <f>IF($B33="","-",_xlfn.XLOOKUP($B33,Site_DB[Site ID],#REF!))</f>
        <v>#REF!</v>
      </c>
      <c r="I33" s="151" t="str">
        <f>IF($L33="","-",_xlfn.XLOOKUP($L33,Master_S[Material Name],Master_S[Material Code]))</f>
        <v>ZTE1004</v>
      </c>
      <c r="J33" s="151" t="str">
        <f>IF($L33="","-",_xlfn.XLOOKUP($L33,Master_S[Material Name],Master_S[Unit]))</f>
        <v>Pcs</v>
      </c>
      <c r="K33" s="130" t="s">
        <v>38</v>
      </c>
      <c r="L33" s="130" t="s">
        <v>3072</v>
      </c>
      <c r="M33">
        <v>0</v>
      </c>
      <c r="N33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33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3" s="160"/>
      <c r="Q33" s="160"/>
      <c r="R33" s="160"/>
      <c r="S33" s="160"/>
      <c r="T33" s="160">
        <f>Opname[[#This Row],[MOS (Qty)]]-Opname[[#This Row],[APD (Qty)]]</f>
        <v>0</v>
      </c>
      <c r="U33" s="160">
        <f>Opname[[#This Row],[ABD / Redline (Qty)]]-Opname[[#This Row],[MOS (Qty)]]</f>
        <v>0</v>
      </c>
      <c r="V33" s="160" t="str">
        <f>IF(Opname[[#This Row],[Opname (Qty)]]="","",Opname[[#This Row],[DO (Qty)]]-(Opname[[#This Row],[BA (Qty)]]+Opname[[#This Row],[Opname (Qty)]]))</f>
        <v/>
      </c>
      <c r="W33" s="160"/>
      <c r="X33" s="160"/>
      <c r="Y33" t="s">
        <v>4618</v>
      </c>
    </row>
    <row r="34" spans="1:25">
      <c r="A34" s="153" t="str">
        <f t="shared" si="2"/>
        <v>030</v>
      </c>
      <c r="B34" t="s">
        <v>4493</v>
      </c>
      <c r="C34" s="150" t="e">
        <f>IF($B34="","-",_xlfn.XLOOKUP($B34,Site_DB[Site ID],Site_DB[Sitename]))</f>
        <v>#N/A</v>
      </c>
      <c r="D34" s="150" t="e">
        <f>IF($B34="","-",_xlfn.XLOOKUP($B34,Site_DB[Site ID],Site_DB[Region]))</f>
        <v>#N/A</v>
      </c>
      <c r="E34" s="150" t="e">
        <f>IF($B34="","-",_xlfn.XLOOKUP($B34,Site_DB[Site ID],Site_DB[City]))</f>
        <v>#N/A</v>
      </c>
      <c r="F34" s="151" t="e">
        <f>IF($B34="","-",_xlfn.XLOOKUP($B34,Site_DB[Site ID],#REF!))</f>
        <v>#REF!</v>
      </c>
      <c r="G34" s="151" t="e">
        <f>IF($B34="","-",_xlfn.XLOOKUP($B34,Site_DB[Site ID],#REF!))</f>
        <v>#REF!</v>
      </c>
      <c r="H34" s="151" t="e">
        <f>IF($B34="","-",_xlfn.XLOOKUP($B34,Site_DB[Site ID],#REF!))</f>
        <v>#REF!</v>
      </c>
      <c r="I34" s="151" t="str">
        <f>IF($L34="","-",_xlfn.XLOOKUP($L34,Master_S[Material Name],Master_S[Material Code]))</f>
        <v>GCI1001</v>
      </c>
      <c r="J34" s="151" t="str">
        <f>IF($L34="","-",_xlfn.XLOOKUP($L34,Master_S[Material Name],Master_S[Unit]))</f>
        <v>Pcs</v>
      </c>
      <c r="K34" s="130" t="s">
        <v>38</v>
      </c>
      <c r="L34" s="130" t="s">
        <v>3087</v>
      </c>
      <c r="M34">
        <v>16</v>
      </c>
      <c r="N34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34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4" s="160"/>
      <c r="Q34" s="160"/>
      <c r="R34" s="160"/>
      <c r="S34" s="160"/>
      <c r="T34" s="160">
        <f>Opname[[#This Row],[MOS (Qty)]]-Opname[[#This Row],[APD (Qty)]]</f>
        <v>-16</v>
      </c>
      <c r="U34" s="160">
        <f>Opname[[#This Row],[ABD / Redline (Qty)]]-Opname[[#This Row],[MOS (Qty)]]</f>
        <v>0</v>
      </c>
      <c r="V34" s="160" t="str">
        <f>IF(Opname[[#This Row],[Opname (Qty)]]="","",Opname[[#This Row],[DO (Qty)]]-(Opname[[#This Row],[BA (Qty)]]+Opname[[#This Row],[Opname (Qty)]]))</f>
        <v/>
      </c>
      <c r="W34" s="160"/>
      <c r="X34" s="160"/>
      <c r="Y34" t="s">
        <v>4618</v>
      </c>
    </row>
    <row r="35" spans="1:25">
      <c r="A35" s="153" t="str">
        <f t="shared" si="2"/>
        <v>031</v>
      </c>
      <c r="B35" t="s">
        <v>4493</v>
      </c>
      <c r="C35" s="150" t="e">
        <f>IF($B35="","-",_xlfn.XLOOKUP($B35,Site_DB[Site ID],Site_DB[Sitename]))</f>
        <v>#N/A</v>
      </c>
      <c r="D35" s="150" t="e">
        <f>IF($B35="","-",_xlfn.XLOOKUP($B35,Site_DB[Site ID],Site_DB[Region]))</f>
        <v>#N/A</v>
      </c>
      <c r="E35" s="150" t="e">
        <f>IF($B35="","-",_xlfn.XLOOKUP($B35,Site_DB[Site ID],Site_DB[City]))</f>
        <v>#N/A</v>
      </c>
      <c r="F35" s="151" t="e">
        <f>IF($B35="","-",_xlfn.XLOOKUP($B35,Site_DB[Site ID],#REF!))</f>
        <v>#REF!</v>
      </c>
      <c r="G35" s="151" t="e">
        <f>IF($B35="","-",_xlfn.XLOOKUP($B35,Site_DB[Site ID],#REF!))</f>
        <v>#REF!</v>
      </c>
      <c r="H35" s="151" t="e">
        <f>IF($B35="","-",_xlfn.XLOOKUP($B35,Site_DB[Site ID],#REF!))</f>
        <v>#REF!</v>
      </c>
      <c r="I35" s="151" t="str">
        <f>IF($L35="","-",_xlfn.XLOOKUP($L35,Master_S[Material Name],Master_S[Material Code]))</f>
        <v>GCI1002</v>
      </c>
      <c r="J35" s="151" t="str">
        <f>IF($L35="","-",_xlfn.XLOOKUP($L35,Master_S[Material Name],Master_S[Unit]))</f>
        <v>Pcs</v>
      </c>
      <c r="K35" s="130" t="s">
        <v>38</v>
      </c>
      <c r="L35" s="130" t="s">
        <v>3088</v>
      </c>
      <c r="M35">
        <v>82</v>
      </c>
      <c r="N35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35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5" s="160"/>
      <c r="Q35" s="160"/>
      <c r="R35" s="160"/>
      <c r="S35" s="160"/>
      <c r="T35" s="160">
        <f>Opname[[#This Row],[MOS (Qty)]]-Opname[[#This Row],[APD (Qty)]]</f>
        <v>-82</v>
      </c>
      <c r="U35" s="160">
        <f>Opname[[#This Row],[ABD / Redline (Qty)]]-Opname[[#This Row],[MOS (Qty)]]</f>
        <v>0</v>
      </c>
      <c r="V35" s="160" t="str">
        <f>IF(Opname[[#This Row],[Opname (Qty)]]="","",Opname[[#This Row],[DO (Qty)]]-(Opname[[#This Row],[BA (Qty)]]+Opname[[#This Row],[Opname (Qty)]]))</f>
        <v/>
      </c>
      <c r="W35" s="160"/>
      <c r="X35" s="160"/>
      <c r="Y35" t="s">
        <v>4618</v>
      </c>
    </row>
    <row r="36" spans="1:25">
      <c r="A36" s="153" t="str">
        <f t="shared" si="2"/>
        <v>032</v>
      </c>
      <c r="B36" t="s">
        <v>4493</v>
      </c>
      <c r="C36" s="150" t="e">
        <f>IF($B36="","-",_xlfn.XLOOKUP($B36,Site_DB[Site ID],Site_DB[Sitename]))</f>
        <v>#N/A</v>
      </c>
      <c r="D36" s="150" t="e">
        <f>IF($B36="","-",_xlfn.XLOOKUP($B36,Site_DB[Site ID],Site_DB[Region]))</f>
        <v>#N/A</v>
      </c>
      <c r="E36" s="150" t="e">
        <f>IF($B36="","-",_xlfn.XLOOKUP($B36,Site_DB[Site ID],Site_DB[City]))</f>
        <v>#N/A</v>
      </c>
      <c r="F36" s="151" t="e">
        <f>IF($B36="","-",_xlfn.XLOOKUP($B36,Site_DB[Site ID],#REF!))</f>
        <v>#REF!</v>
      </c>
      <c r="G36" s="151" t="e">
        <f>IF($B36="","-",_xlfn.XLOOKUP($B36,Site_DB[Site ID],#REF!))</f>
        <v>#REF!</v>
      </c>
      <c r="H36" s="151" t="e">
        <f>IF($B36="","-",_xlfn.XLOOKUP($B36,Site_DB[Site ID],#REF!))</f>
        <v>#REF!</v>
      </c>
      <c r="I36" s="151" t="str">
        <f>IF($L36="","-",_xlfn.XLOOKUP($L36,Master_S[Material Name],Master_S[Material Code]))</f>
        <v>GCI1004</v>
      </c>
      <c r="J36" s="151" t="str">
        <f>IF($L36="","-",_xlfn.XLOOKUP($L36,Master_S[Material Name],Master_S[Unit]))</f>
        <v>Pcs</v>
      </c>
      <c r="K36" s="130" t="s">
        <v>38</v>
      </c>
      <c r="L36" s="130" t="s">
        <v>3090</v>
      </c>
      <c r="M36">
        <v>22</v>
      </c>
      <c r="N36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36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6" s="160"/>
      <c r="Q36" s="160"/>
      <c r="R36" s="160"/>
      <c r="S36" s="160"/>
      <c r="T36" s="160">
        <f>Opname[[#This Row],[MOS (Qty)]]-Opname[[#This Row],[APD (Qty)]]</f>
        <v>-22</v>
      </c>
      <c r="U36" s="160">
        <f>Opname[[#This Row],[ABD / Redline (Qty)]]-Opname[[#This Row],[MOS (Qty)]]</f>
        <v>0</v>
      </c>
      <c r="V36" s="160" t="str">
        <f>IF(Opname[[#This Row],[Opname (Qty)]]="","",Opname[[#This Row],[DO (Qty)]]-(Opname[[#This Row],[BA (Qty)]]+Opname[[#This Row],[Opname (Qty)]]))</f>
        <v/>
      </c>
      <c r="W36" s="160"/>
      <c r="X36" s="160"/>
      <c r="Y36" t="s">
        <v>4618</v>
      </c>
    </row>
    <row r="37" spans="1:25">
      <c r="A37" s="153" t="str">
        <f t="shared" si="2"/>
        <v>033</v>
      </c>
      <c r="B37" t="s">
        <v>4493</v>
      </c>
      <c r="C37" s="150" t="e">
        <f>IF($B37="","-",_xlfn.XLOOKUP($B37,Site_DB[Site ID],Site_DB[Sitename]))</f>
        <v>#N/A</v>
      </c>
      <c r="D37" s="150" t="e">
        <f>IF($B37="","-",_xlfn.XLOOKUP($B37,Site_DB[Site ID],Site_DB[Region]))</f>
        <v>#N/A</v>
      </c>
      <c r="E37" s="150" t="e">
        <f>IF($B37="","-",_xlfn.XLOOKUP($B37,Site_DB[Site ID],Site_DB[City]))</f>
        <v>#N/A</v>
      </c>
      <c r="F37" s="151" t="e">
        <f>IF($B37="","-",_xlfn.XLOOKUP($B37,Site_DB[Site ID],#REF!))</f>
        <v>#REF!</v>
      </c>
      <c r="G37" s="151" t="e">
        <f>IF($B37="","-",_xlfn.XLOOKUP($B37,Site_DB[Site ID],#REF!))</f>
        <v>#REF!</v>
      </c>
      <c r="H37" s="151" t="e">
        <f>IF($B37="","-",_xlfn.XLOOKUP($B37,Site_DB[Site ID],#REF!))</f>
        <v>#REF!</v>
      </c>
      <c r="I37" s="151" t="str">
        <f>IF($L37="","-",_xlfn.XLOOKUP($L37,Master_S[Material Name],Master_S[Material Code]))</f>
        <v>GCI1005</v>
      </c>
      <c r="J37" s="151" t="str">
        <f>IF($L37="","-",_xlfn.XLOOKUP($L37,Master_S[Material Name],Master_S[Unit]))</f>
        <v>Pcs</v>
      </c>
      <c r="K37" s="130" t="s">
        <v>38</v>
      </c>
      <c r="L37" s="130" t="s">
        <v>3091</v>
      </c>
      <c r="M37">
        <v>43</v>
      </c>
      <c r="N37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37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7" s="160"/>
      <c r="Q37" s="160"/>
      <c r="R37" s="160"/>
      <c r="S37" s="160"/>
      <c r="T37" s="160">
        <f>Opname[[#This Row],[MOS (Qty)]]-Opname[[#This Row],[APD (Qty)]]</f>
        <v>-43</v>
      </c>
      <c r="U37" s="160">
        <f>Opname[[#This Row],[ABD / Redline (Qty)]]-Opname[[#This Row],[MOS (Qty)]]</f>
        <v>0</v>
      </c>
      <c r="V37" s="160" t="str">
        <f>IF(Opname[[#This Row],[Opname (Qty)]]="","",Opname[[#This Row],[DO (Qty)]]-(Opname[[#This Row],[BA (Qty)]]+Opname[[#This Row],[Opname (Qty)]]))</f>
        <v/>
      </c>
      <c r="W37" s="160"/>
      <c r="X37" s="160"/>
      <c r="Y37" t="s">
        <v>4618</v>
      </c>
    </row>
    <row r="38" spans="1:25">
      <c r="A38" s="153" t="str">
        <f t="shared" si="2"/>
        <v>034</v>
      </c>
      <c r="B38" t="s">
        <v>4493</v>
      </c>
      <c r="C38" s="150" t="e">
        <f>IF($B38="","-",_xlfn.XLOOKUP($B38,Site_DB[Site ID],Site_DB[Sitename]))</f>
        <v>#N/A</v>
      </c>
      <c r="D38" s="150" t="e">
        <f>IF($B38="","-",_xlfn.XLOOKUP($B38,Site_DB[Site ID],Site_DB[Region]))</f>
        <v>#N/A</v>
      </c>
      <c r="E38" s="150" t="e">
        <f>IF($B38="","-",_xlfn.XLOOKUP($B38,Site_DB[Site ID],Site_DB[City]))</f>
        <v>#N/A</v>
      </c>
      <c r="F38" s="151" t="e">
        <f>IF($B38="","-",_xlfn.XLOOKUP($B38,Site_DB[Site ID],#REF!))</f>
        <v>#REF!</v>
      </c>
      <c r="G38" s="151" t="e">
        <f>IF($B38="","-",_xlfn.XLOOKUP($B38,Site_DB[Site ID],#REF!))</f>
        <v>#REF!</v>
      </c>
      <c r="H38" s="151" t="e">
        <f>IF($B38="","-",_xlfn.XLOOKUP($B38,Site_DB[Site ID],#REF!))</f>
        <v>#REF!</v>
      </c>
      <c r="I38" s="151" t="e">
        <f>IF($L38="","-",_xlfn.XLOOKUP($L38,Master_S[Material Name],Master_S[Material Code]))</f>
        <v>#N/A</v>
      </c>
      <c r="J38" s="151" t="e">
        <f>IF($L38="","-",_xlfn.XLOOKUP($L38,Master_S[Material Name],Master_S[Unit]))</f>
        <v>#N/A</v>
      </c>
      <c r="K38" s="130" t="s">
        <v>38</v>
      </c>
      <c r="L38" s="130" t="s">
        <v>3095</v>
      </c>
      <c r="M38">
        <v>68</v>
      </c>
      <c r="N38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38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8" s="160"/>
      <c r="Q38" s="160"/>
      <c r="R38" s="160"/>
      <c r="S38" s="160"/>
      <c r="T38" s="160">
        <f>Opname[[#This Row],[MOS (Qty)]]-Opname[[#This Row],[APD (Qty)]]</f>
        <v>-68</v>
      </c>
      <c r="U38" s="160">
        <f>Opname[[#This Row],[ABD / Redline (Qty)]]-Opname[[#This Row],[MOS (Qty)]]</f>
        <v>0</v>
      </c>
      <c r="V38" s="160" t="str">
        <f>IF(Opname[[#This Row],[Opname (Qty)]]="","",Opname[[#This Row],[DO (Qty)]]-(Opname[[#This Row],[BA (Qty)]]+Opname[[#This Row],[Opname (Qty)]]))</f>
        <v/>
      </c>
      <c r="W38" s="160"/>
      <c r="X38" s="160"/>
      <c r="Y38" t="s">
        <v>4618</v>
      </c>
    </row>
    <row r="39" spans="1:25">
      <c r="A39" s="153" t="str">
        <f t="shared" si="2"/>
        <v>035</v>
      </c>
      <c r="B39" t="s">
        <v>4493</v>
      </c>
      <c r="C39" s="150" t="e">
        <f>IF($B39="","-",_xlfn.XLOOKUP($B39,Site_DB[Site ID],Site_DB[Sitename]))</f>
        <v>#N/A</v>
      </c>
      <c r="D39" s="150" t="e">
        <f>IF($B39="","-",_xlfn.XLOOKUP($B39,Site_DB[Site ID],Site_DB[Region]))</f>
        <v>#N/A</v>
      </c>
      <c r="E39" s="150" t="e">
        <f>IF($B39="","-",_xlfn.XLOOKUP($B39,Site_DB[Site ID],Site_DB[City]))</f>
        <v>#N/A</v>
      </c>
      <c r="F39" s="151" t="e">
        <f>IF($B39="","-",_xlfn.XLOOKUP($B39,Site_DB[Site ID],#REF!))</f>
        <v>#REF!</v>
      </c>
      <c r="G39" s="151" t="e">
        <f>IF($B39="","-",_xlfn.XLOOKUP($B39,Site_DB[Site ID],#REF!))</f>
        <v>#REF!</v>
      </c>
      <c r="H39" s="151" t="e">
        <f>IF($B39="","-",_xlfn.XLOOKUP($B39,Site_DB[Site ID],#REF!))</f>
        <v>#REF!</v>
      </c>
      <c r="I39" s="151" t="str">
        <f>IF($L39="","-",_xlfn.XLOOKUP($L39,Master_S[Material Name],Master_S[Material Code]))</f>
        <v>GCI1008</v>
      </c>
      <c r="J39" s="151" t="str">
        <f>IF($L39="","-",_xlfn.XLOOKUP($L39,Master_S[Material Name],Master_S[Unit]))</f>
        <v>Pcs</v>
      </c>
      <c r="K39" s="130" t="s">
        <v>38</v>
      </c>
      <c r="L39" s="130" t="s">
        <v>3094</v>
      </c>
      <c r="M39">
        <v>62</v>
      </c>
      <c r="N39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39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9" s="160"/>
      <c r="Q39" s="160"/>
      <c r="R39" s="160"/>
      <c r="S39" s="160"/>
      <c r="T39" s="160">
        <f>Opname[[#This Row],[MOS (Qty)]]-Opname[[#This Row],[APD (Qty)]]</f>
        <v>-62</v>
      </c>
      <c r="U39" s="160">
        <f>Opname[[#This Row],[ABD / Redline (Qty)]]-Opname[[#This Row],[MOS (Qty)]]</f>
        <v>0</v>
      </c>
      <c r="V39" s="160" t="str">
        <f>IF(Opname[[#This Row],[Opname (Qty)]]="","",Opname[[#This Row],[DO (Qty)]]-(Opname[[#This Row],[BA (Qty)]]+Opname[[#This Row],[Opname (Qty)]]))</f>
        <v/>
      </c>
      <c r="W39" s="160"/>
      <c r="X39" s="160"/>
      <c r="Y39" t="s">
        <v>4618</v>
      </c>
    </row>
    <row r="40" spans="1:25">
      <c r="A40" s="153" t="str">
        <f t="shared" si="2"/>
        <v>036</v>
      </c>
      <c r="B40" t="s">
        <v>4493</v>
      </c>
      <c r="C40" s="150" t="e">
        <f>IF($B40="","-",_xlfn.XLOOKUP($B40,Site_DB[Site ID],Site_DB[Sitename]))</f>
        <v>#N/A</v>
      </c>
      <c r="D40" s="150" t="e">
        <f>IF($B40="","-",_xlfn.XLOOKUP($B40,Site_DB[Site ID],Site_DB[Region]))</f>
        <v>#N/A</v>
      </c>
      <c r="E40" s="150" t="e">
        <f>IF($B40="","-",_xlfn.XLOOKUP($B40,Site_DB[Site ID],Site_DB[City]))</f>
        <v>#N/A</v>
      </c>
      <c r="F40" s="151" t="e">
        <f>IF($B40="","-",_xlfn.XLOOKUP($B40,Site_DB[Site ID],#REF!))</f>
        <v>#REF!</v>
      </c>
      <c r="G40" s="151" t="e">
        <f>IF($B40="","-",_xlfn.XLOOKUP($B40,Site_DB[Site ID],#REF!))</f>
        <v>#REF!</v>
      </c>
      <c r="H40" s="151" t="e">
        <f>IF($B40="","-",_xlfn.XLOOKUP($B40,Site_DB[Site ID],#REF!))</f>
        <v>#REF!</v>
      </c>
      <c r="I40" s="151" t="str">
        <f>IF($L40="","-",_xlfn.XLOOKUP($L40,Master_S[Material Name],Master_S[Material Code]))</f>
        <v>GCI1011</v>
      </c>
      <c r="J40" s="151" t="str">
        <f>IF($L40="","-",_xlfn.XLOOKUP($L40,Master_S[Material Name],Master_S[Unit]))</f>
        <v>Pcs</v>
      </c>
      <c r="K40" s="130" t="s">
        <v>38</v>
      </c>
      <c r="L40" s="130" t="s">
        <v>3097</v>
      </c>
      <c r="M40">
        <v>284</v>
      </c>
      <c r="N40" s="150">
        <f>IF(Opname[[#This Row],[Material Name]]="","",SUMIFS(Logfile_S[Qty],Logfile_S[SiteID],Opname[[#This Row],[Site ID]],Logfile_S[Material Name],Opname[[#This Row],[Material Name]],Logfile_S[Transaction  Type],"INBOUND"))</f>
        <v>0</v>
      </c>
      <c r="O40" s="150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40" s="160"/>
      <c r="Q40" s="160"/>
      <c r="R40" s="160"/>
      <c r="S40" s="160"/>
      <c r="T40" s="160">
        <f>Opname[[#This Row],[MOS (Qty)]]-Opname[[#This Row],[APD (Qty)]]</f>
        <v>-284</v>
      </c>
      <c r="U40" s="160">
        <f>Opname[[#This Row],[ABD / Redline (Qty)]]-Opname[[#This Row],[MOS (Qty)]]</f>
        <v>0</v>
      </c>
      <c r="V40" s="160" t="str">
        <f>IF(Opname[[#This Row],[Opname (Qty)]]="","",Opname[[#This Row],[DO (Qty)]]-(Opname[[#This Row],[BA (Qty)]]+Opname[[#This Row],[Opname (Qty)]]))</f>
        <v/>
      </c>
      <c r="W40" s="160"/>
      <c r="X40" s="160"/>
      <c r="Y40" t="s">
        <v>4618</v>
      </c>
    </row>
  </sheetData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88FDE0E-BB76-438A-87C9-BA8AE7F52AF8}">
          <x14:formula1>
            <xm:f>DV!$Q$10:$Q$55</xm:f>
          </x14:formula1>
          <xm:sqref>Y5:Y40</xm:sqref>
        </x14:dataValidation>
        <x14:dataValidation type="list" allowBlank="1" showInputMessage="1" showErrorMessage="1" xr:uid="{347A8FED-B517-477D-AB03-BE0A6D6A4BF0}">
          <x14:formula1>
            <xm:f>Sum_WH!$E$5:$E$53</xm:f>
          </x14:formula1>
          <xm:sqref>L5:L40</xm:sqref>
        </x14:dataValidation>
        <x14:dataValidation type="list" allowBlank="1" showInputMessage="1" showErrorMessage="1" xr:uid="{9C3D96CC-1D53-469E-8157-ECFA3B2FC855}">
          <x14:formula1>
            <xm:f>Sum_WH!$C$5:$C$53</xm:f>
          </x14:formula1>
          <xm:sqref>K5:K40</xm:sqref>
        </x14:dataValidation>
        <x14:dataValidation type="list" allowBlank="1" showInputMessage="1" showErrorMessage="1" xr:uid="{E8220841-E954-4B41-A4DF-6EE3A41D9227}">
          <x14:formula1>
            <xm:f>Site_DB!$D$5:$D$172</xm:f>
          </x14:formula1>
          <xm:sqref>B5:B40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98C71-1599-4FE0-81E0-2A3156F0D128}">
  <sheetPr codeName="Sheet4">
    <tabColor rgb="FFFFC000"/>
  </sheetPr>
  <dimension ref="B1:AC29"/>
  <sheetViews>
    <sheetView showGridLines="0" topLeftCell="A10" zoomScaleNormal="100" workbookViewId="0">
      <selection activeCell="C15" sqref="C15"/>
    </sheetView>
  </sheetViews>
  <sheetFormatPr defaultRowHeight="14"/>
  <cols>
    <col min="2" max="2" width="32.1640625" customWidth="1"/>
    <col min="3" max="3" width="63.5" customWidth="1"/>
    <col min="4" max="4" width="29" customWidth="1"/>
    <col min="7" max="7" width="9.6640625" bestFit="1" customWidth="1"/>
    <col min="8" max="8" width="19.58203125" bestFit="1" customWidth="1"/>
    <col min="9" max="9" width="19.4140625" customWidth="1"/>
    <col min="10" max="10" width="16.1640625" customWidth="1"/>
    <col min="11" max="11" width="25.1640625" customWidth="1"/>
    <col min="12" max="12" width="13.5" bestFit="1" customWidth="1"/>
    <col min="13" max="13" width="13.9140625" bestFit="1" customWidth="1"/>
    <col min="14" max="14" width="15.1640625" customWidth="1"/>
    <col min="15" max="15" width="20.9140625" bestFit="1" customWidth="1"/>
    <col min="16" max="16" width="22.08203125" bestFit="1" customWidth="1"/>
    <col min="17" max="17" width="15.5" bestFit="1" customWidth="1"/>
    <col min="18" max="18" width="7.1640625" bestFit="1" customWidth="1"/>
    <col min="19" max="19" width="6.5" bestFit="1" customWidth="1"/>
    <col min="20" max="20" width="14.1640625" bestFit="1" customWidth="1"/>
    <col min="21" max="21" width="27.58203125" bestFit="1" customWidth="1"/>
    <col min="22" max="22" width="16.1640625" customWidth="1"/>
    <col min="23" max="23" width="22" customWidth="1"/>
    <col min="24" max="24" width="27.58203125" bestFit="1" customWidth="1"/>
    <col min="25" max="25" width="15" bestFit="1" customWidth="1"/>
    <col min="26" max="26" width="20.9140625" bestFit="1" customWidth="1"/>
    <col min="27" max="27" width="9.6640625" bestFit="1" customWidth="1"/>
    <col min="28" max="28" width="11.4140625" bestFit="1" customWidth="1"/>
    <col min="29" max="29" width="11.08203125" bestFit="1" customWidth="1"/>
  </cols>
  <sheetData>
    <row r="1" spans="2:29" s="56" customFormat="1" ht="25.25" customHeight="1">
      <c r="B1" s="581" t="s">
        <v>3159</v>
      </c>
      <c r="C1" s="581"/>
      <c r="G1" s="57" t="s">
        <v>3026</v>
      </c>
    </row>
    <row r="2" spans="2:29">
      <c r="C2" s="26"/>
    </row>
    <row r="3" spans="2:29" s="33" customFormat="1" ht="33" customHeight="1">
      <c r="B3" s="60" t="s">
        <v>3263</v>
      </c>
      <c r="C3" s="37"/>
      <c r="G3" s="34" t="s">
        <v>3178</v>
      </c>
      <c r="H3" s="34" t="s">
        <v>3027</v>
      </c>
      <c r="I3" s="34" t="s">
        <v>59</v>
      </c>
      <c r="J3" s="34" t="s">
        <v>23</v>
      </c>
      <c r="K3" s="34" t="s">
        <v>56</v>
      </c>
      <c r="L3" s="34" t="s">
        <v>54</v>
      </c>
      <c r="M3" s="34" t="s">
        <v>42</v>
      </c>
      <c r="N3" s="34" t="s">
        <v>3025</v>
      </c>
      <c r="O3" s="34" t="s">
        <v>30</v>
      </c>
      <c r="P3" s="34" t="s">
        <v>27</v>
      </c>
      <c r="Q3" s="34" t="s">
        <v>28</v>
      </c>
      <c r="R3" s="34" t="s">
        <v>17</v>
      </c>
      <c r="S3" s="34" t="s">
        <v>35</v>
      </c>
      <c r="T3" s="34" t="s">
        <v>31</v>
      </c>
      <c r="U3" s="34" t="s">
        <v>32</v>
      </c>
      <c r="V3" s="34" t="s">
        <v>33</v>
      </c>
      <c r="W3" s="34" t="s">
        <v>34</v>
      </c>
      <c r="X3" s="34" t="s">
        <v>22</v>
      </c>
      <c r="Y3" s="34" t="s">
        <v>3018</v>
      </c>
      <c r="Z3" s="34" t="s">
        <v>51</v>
      </c>
      <c r="AA3" s="34" t="s">
        <v>52</v>
      </c>
      <c r="AB3" s="34" t="s">
        <v>53</v>
      </c>
      <c r="AC3" s="34" t="s">
        <v>36</v>
      </c>
    </row>
    <row r="4" spans="2:29" ht="25.25" customHeight="1">
      <c r="B4" s="60" t="s">
        <v>57</v>
      </c>
      <c r="C4" s="37"/>
      <c r="G4" s="34"/>
      <c r="H4" s="34"/>
      <c r="I4" s="34"/>
      <c r="J4" s="34"/>
      <c r="K4" s="34"/>
      <c r="L4" s="171"/>
      <c r="M4" s="39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</row>
    <row r="5" spans="2:29" ht="25.25" customHeight="1">
      <c r="B5" s="60" t="s">
        <v>59</v>
      </c>
      <c r="C5" s="534"/>
      <c r="F5" s="116"/>
      <c r="L5" s="35"/>
      <c r="M5" s="40"/>
    </row>
    <row r="6" spans="2:29" ht="25.25" customHeight="1">
      <c r="B6" s="60" t="s">
        <v>23</v>
      </c>
      <c r="C6" s="38"/>
      <c r="F6" s="116"/>
      <c r="L6" s="35"/>
      <c r="M6" s="40"/>
    </row>
    <row r="7" spans="2:29" ht="25.25" customHeight="1">
      <c r="B7" s="60" t="s">
        <v>56</v>
      </c>
      <c r="C7" s="58" t="str">
        <f>IF($C$6="","-",INDEX(DV_S[PIC WH],MATCH($C$6,DV_S[WH GCI],0)))</f>
        <v>-</v>
      </c>
      <c r="L7" s="35"/>
      <c r="M7" s="40"/>
    </row>
    <row r="8" spans="2:29" ht="25.25" customHeight="1">
      <c r="B8" s="60" t="s">
        <v>54</v>
      </c>
      <c r="C8" s="161"/>
      <c r="L8" s="35"/>
      <c r="M8" s="40"/>
    </row>
    <row r="9" spans="2:29" ht="27.65" customHeight="1">
      <c r="B9" s="60" t="s">
        <v>42</v>
      </c>
      <c r="C9" s="162"/>
      <c r="L9" s="35"/>
      <c r="M9" s="40"/>
    </row>
    <row r="10" spans="2:29" ht="25.25" customHeight="1">
      <c r="B10" s="61" t="s">
        <v>3025</v>
      </c>
      <c r="C10" s="38"/>
      <c r="L10" s="35"/>
      <c r="M10" s="40"/>
    </row>
    <row r="11" spans="2:29" ht="25.25" customHeight="1">
      <c r="B11" s="61" t="s">
        <v>30</v>
      </c>
      <c r="C11" s="58" t="str">
        <f>IF($C$12="","-",INDEX(Master_S[Type Material],MATCH($C$12,Master_S[Material Name],0)))</f>
        <v>-</v>
      </c>
      <c r="L11" s="35"/>
      <c r="M11" s="40"/>
    </row>
    <row r="12" spans="2:29" ht="25.25" customHeight="1">
      <c r="B12" s="62" t="s">
        <v>27</v>
      </c>
      <c r="C12" s="38"/>
      <c r="L12" s="35"/>
      <c r="M12" s="40"/>
    </row>
    <row r="13" spans="2:29" ht="25.25" customHeight="1">
      <c r="B13" s="62" t="s">
        <v>28</v>
      </c>
      <c r="C13" s="58" t="str">
        <f>IF($C$12="","-",INDEX(Master_S[Material Code],MATCH($C$12,Master_S[Material Name],0)))</f>
        <v>-</v>
      </c>
      <c r="L13" s="35"/>
      <c r="M13" s="40"/>
    </row>
    <row r="14" spans="2:29" ht="25.25" customHeight="1">
      <c r="B14" s="62" t="s">
        <v>17</v>
      </c>
      <c r="C14" s="58" t="str">
        <f>IF($C$12="","-",INDEX(Master_S[Unit],MATCH($C$12,Master_S[Material Name],0)))</f>
        <v>-</v>
      </c>
      <c r="L14" s="35"/>
      <c r="M14" s="40"/>
    </row>
    <row r="15" spans="2:29" ht="25.25" customHeight="1">
      <c r="B15" s="62" t="s">
        <v>35</v>
      </c>
      <c r="C15" s="70"/>
      <c r="L15" s="35"/>
      <c r="M15" s="36"/>
    </row>
    <row r="16" spans="2:29" ht="25.25" customHeight="1">
      <c r="B16" s="61" t="s">
        <v>31</v>
      </c>
      <c r="C16" s="58" t="str">
        <f>IF($C$17="","-",INDEX(DO_DB[SiteID],MATCH($C$17,DO_DB[SiteName],0)))</f>
        <v>-</v>
      </c>
      <c r="L16" s="35"/>
      <c r="M16" s="36"/>
    </row>
    <row r="17" spans="2:13" ht="25.25" customHeight="1">
      <c r="B17" s="61" t="s">
        <v>32</v>
      </c>
      <c r="C17" s="38"/>
      <c r="L17" s="35"/>
      <c r="M17" s="36"/>
    </row>
    <row r="18" spans="2:13" ht="25.25" customHeight="1">
      <c r="B18" s="61" t="s">
        <v>33</v>
      </c>
      <c r="C18" s="58" t="str">
        <f>IF($C$17="","-",INDEX(DO_DB[DO Number],MATCH($C$17,DO_DB[SiteName],0)))</f>
        <v>-</v>
      </c>
      <c r="L18" s="35"/>
      <c r="M18" s="36"/>
    </row>
    <row r="19" spans="2:13" ht="25.25" customHeight="1">
      <c r="B19" s="61" t="s">
        <v>34</v>
      </c>
      <c r="C19" s="58" t="str">
        <f>IF($C$17="","-",INDEX(DO_DB[DN Number],MATCH($C$17,DO_DB[SiteName],0)))</f>
        <v>-</v>
      </c>
      <c r="L19" s="35"/>
      <c r="M19" s="36"/>
    </row>
    <row r="20" spans="2:13" ht="25.25" customHeight="1">
      <c r="B20" s="62" t="s">
        <v>22</v>
      </c>
      <c r="C20" s="38"/>
      <c r="L20" s="35"/>
      <c r="M20" s="36"/>
    </row>
    <row r="21" spans="2:13" ht="25.25" customHeight="1">
      <c r="B21" s="62" t="s">
        <v>3018</v>
      </c>
      <c r="C21" s="70"/>
      <c r="L21" s="35"/>
      <c r="M21" s="36"/>
    </row>
    <row r="22" spans="2:13" ht="25.25" customHeight="1">
      <c r="B22" s="62" t="s">
        <v>51</v>
      </c>
      <c r="C22" s="70"/>
      <c r="L22" s="35"/>
      <c r="M22" s="36"/>
    </row>
    <row r="23" spans="2:13" ht="25.25" customHeight="1">
      <c r="B23" s="62" t="s">
        <v>52</v>
      </c>
      <c r="C23" s="184"/>
      <c r="L23" s="35"/>
      <c r="M23" s="36"/>
    </row>
    <row r="24" spans="2:13" ht="25.25" customHeight="1">
      <c r="B24" s="62" t="s">
        <v>53</v>
      </c>
      <c r="C24" s="70"/>
      <c r="L24" s="35"/>
      <c r="M24" s="36"/>
    </row>
    <row r="25" spans="2:13" ht="26" customHeight="1">
      <c r="B25" s="62" t="s">
        <v>36</v>
      </c>
      <c r="C25" s="128"/>
      <c r="L25" s="35"/>
      <c r="M25" s="36"/>
    </row>
    <row r="26" spans="2:13" ht="15.5">
      <c r="B26" s="32"/>
      <c r="C26" s="32"/>
      <c r="L26" s="35"/>
      <c r="M26" s="36"/>
    </row>
    <row r="27" spans="2:13" ht="15.5">
      <c r="B27" s="32"/>
      <c r="C27" s="32"/>
      <c r="L27" s="35"/>
      <c r="M27" s="36"/>
    </row>
    <row r="28" spans="2:13" ht="15.5">
      <c r="B28" s="32"/>
      <c r="C28" t="s">
        <v>4739</v>
      </c>
    </row>
    <row r="29" spans="2:13" ht="15.5">
      <c r="B29" s="32"/>
      <c r="C29" s="58" t="str">
        <f>IF($C$17="","-",INDEX(DO_DB[SiteID],MATCH($C$17,DO_DB[SiteName],0)))</f>
        <v>-</v>
      </c>
    </row>
  </sheetData>
  <mergeCells count="1">
    <mergeCell ref="B1:C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1" r:id="rId4" name="Button 25">
              <controlPr defaultSize="0" print="0" autoFill="0" autoPict="0" macro="[0]!InputData">
                <anchor moveWithCells="1" sizeWithCells="1">
                  <from>
                    <xdr:col>3</xdr:col>
                    <xdr:colOff>488950</xdr:colOff>
                    <xdr:row>6</xdr:row>
                    <xdr:rowOff>82550</xdr:rowOff>
                  </from>
                  <to>
                    <xdr:col>3</xdr:col>
                    <xdr:colOff>1663700</xdr:colOff>
                    <xdr:row>8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5" name="Button 30">
              <controlPr defaultSize="0" print="0" autoFill="0" autoPict="0" macro="[0]!ClearData">
                <anchor moveWithCells="1" sizeWithCells="1">
                  <from>
                    <xdr:col>3</xdr:col>
                    <xdr:colOff>495300</xdr:colOff>
                    <xdr:row>10</xdr:row>
                    <xdr:rowOff>107950</xdr:rowOff>
                  </from>
                  <to>
                    <xdr:col>3</xdr:col>
                    <xdr:colOff>1701800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6" name="Button 31">
              <controlPr defaultSize="0" print="0" autoFill="0" autoPict="0" macro="[0]!ProcessData">
                <anchor moveWithCells="1" sizeWithCells="1">
                  <from>
                    <xdr:col>3</xdr:col>
                    <xdr:colOff>501650</xdr:colOff>
                    <xdr:row>14</xdr:row>
                    <xdr:rowOff>215900</xdr:rowOff>
                  </from>
                  <to>
                    <xdr:col>3</xdr:col>
                    <xdr:colOff>1739900</xdr:colOff>
                    <xdr:row>16</xdr:row>
                    <xdr:rowOff>234950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97002814-AA9D-4951-806D-B5DEA1D7757D}">
          <x14:formula1>
            <xm:f>DV!$M$10:$M$11</xm:f>
          </x14:formula1>
          <xm:sqref>C3</xm:sqref>
        </x14:dataValidation>
        <x14:dataValidation type="list" allowBlank="1" showInputMessage="1" showErrorMessage="1" xr:uid="{B0CA9F57-EC4F-408A-960C-31276DACDF17}">
          <x14:formula1>
            <xm:f>DV!$C$10:$C$17</xm:f>
          </x14:formula1>
          <xm:sqref>C4</xm:sqref>
        </x14:dataValidation>
        <x14:dataValidation type="list" allowBlank="1" showInputMessage="1" showErrorMessage="1" xr:uid="{1D637A96-59E8-40AA-8B06-6DD5211B8918}">
          <x14:formula1>
            <xm:f>DV!$E$10:$E$21</xm:f>
          </x14:formula1>
          <xm:sqref>C6</xm:sqref>
        </x14:dataValidation>
        <x14:dataValidation type="list" allowBlank="1" showInputMessage="1" showErrorMessage="1" xr:uid="{2646383C-BD5E-4016-902C-017B0D9BE436}">
          <x14:formula1>
            <xm:f>DV!$H$10:$H$24</xm:f>
          </x14:formula1>
          <xm:sqref>C10</xm:sqref>
        </x14:dataValidation>
        <x14:dataValidation type="list" allowBlank="1" showInputMessage="1" showErrorMessage="1" xr:uid="{054E16BA-974E-484C-A924-A95F23CFC2F4}">
          <x14:formula1>
            <xm:f>DV!$J$10:$J$55</xm:f>
          </x14:formula1>
          <xm:sqref>C20</xm:sqref>
        </x14:dataValidation>
        <x14:dataValidation type="list" allowBlank="1" showInputMessage="1" showErrorMessage="1" xr:uid="{81E50264-BA22-473C-8822-33B25603F189}">
          <x14:formula1>
            <xm:f>Sum_WH!$E$5:$E$53</xm:f>
          </x14:formula1>
          <xm:sqref>C12</xm:sqref>
        </x14:dataValidation>
        <x14:dataValidation type="list" allowBlank="1" showInputMessage="1" showErrorMessage="1" xr:uid="{09ACF233-3938-48C7-9B67-A42DF424BECD}">
          <x14:formula1>
            <xm:f>Deliver!$A$3:$A$8</xm:f>
          </x14:formula1>
          <xm:sqref>C21</xm:sqref>
        </x14:dataValidation>
        <x14:dataValidation type="list" allowBlank="1" showInputMessage="1" showErrorMessage="1" xr:uid="{E80870BE-AC4A-454E-BD89-C386CFFBBC20}">
          <x14:formula1>
            <xm:f>DO_DB!$B$5:$B$2438</xm:f>
          </x14:formula1>
          <xm:sqref>C17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8960E-4B86-491E-9CB7-7C859BC16F6F}">
  <sheetPr codeName="Sheet16">
    <tabColor rgb="FFFFC000"/>
  </sheetPr>
  <dimension ref="A2:D8"/>
  <sheetViews>
    <sheetView workbookViewId="0">
      <selection activeCell="A5" sqref="A5:D5"/>
    </sheetView>
  </sheetViews>
  <sheetFormatPr defaultRowHeight="14"/>
  <cols>
    <col min="1" max="4" width="31.1640625" customWidth="1"/>
  </cols>
  <sheetData>
    <row r="2" spans="1:4" ht="18">
      <c r="A2" s="62" t="s">
        <v>3018</v>
      </c>
      <c r="B2" s="62" t="s">
        <v>51</v>
      </c>
      <c r="C2" s="62" t="s">
        <v>52</v>
      </c>
      <c r="D2" s="62" t="s">
        <v>53</v>
      </c>
    </row>
    <row r="3" spans="1:4">
      <c r="A3" t="s">
        <v>3258</v>
      </c>
      <c r="B3" t="s">
        <v>4811</v>
      </c>
      <c r="C3" t="s">
        <v>3337</v>
      </c>
      <c r="D3" t="s">
        <v>3338</v>
      </c>
    </row>
    <row r="4" spans="1:4">
      <c r="A4" t="s">
        <v>3356</v>
      </c>
      <c r="C4" s="91" t="s">
        <v>3357</v>
      </c>
      <c r="D4" t="s">
        <v>4681</v>
      </c>
    </row>
    <row r="5" spans="1:4">
      <c r="A5" s="180" t="s">
        <v>3471</v>
      </c>
      <c r="B5" t="s">
        <v>4811</v>
      </c>
      <c r="C5" s="180" t="s">
        <v>3472</v>
      </c>
      <c r="D5" s="180" t="s">
        <v>3545</v>
      </c>
    </row>
    <row r="6" spans="1:4">
      <c r="A6" s="181" t="s">
        <v>3241</v>
      </c>
      <c r="B6" s="181"/>
      <c r="C6" s="182" t="s">
        <v>3368</v>
      </c>
      <c r="D6" s="181" t="s">
        <v>3242</v>
      </c>
    </row>
    <row r="7" spans="1:4">
      <c r="A7" s="181" t="s">
        <v>3231</v>
      </c>
      <c r="B7" s="181">
        <v>0</v>
      </c>
      <c r="C7" s="181" t="s">
        <v>3232</v>
      </c>
      <c r="D7" s="181" t="s">
        <v>3254</v>
      </c>
    </row>
    <row r="8" spans="1:4">
      <c r="A8" s="183" t="s">
        <v>3247</v>
      </c>
      <c r="B8" s="183">
        <v>0</v>
      </c>
      <c r="C8" s="183" t="s">
        <v>3375</v>
      </c>
      <c r="D8" s="183" t="s">
        <v>3249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5BB72-28C6-4C7D-9EC9-985BDBEB1E4A}">
  <sheetPr codeName="Sheet17">
    <tabColor rgb="FFFFC000"/>
  </sheetPr>
  <dimension ref="A1:J287"/>
  <sheetViews>
    <sheetView zoomScale="70" zoomScaleNormal="70" workbookViewId="0">
      <pane xSplit="1" ySplit="12" topLeftCell="B13" activePane="bottomRight" state="frozen"/>
      <selection pane="topRight" activeCell="B1" sqref="B1"/>
      <selection pane="bottomLeft" activeCell="A8" sqref="A8"/>
      <selection pane="bottomRight" activeCell="G16" sqref="G16"/>
    </sheetView>
  </sheetViews>
  <sheetFormatPr defaultRowHeight="14"/>
  <cols>
    <col min="1" max="1" width="16" style="116" bestFit="1" customWidth="1"/>
    <col min="2" max="2" width="24.08203125" hidden="1" customWidth="1"/>
    <col min="3" max="3" width="26.08203125" bestFit="1" customWidth="1"/>
    <col min="4" max="5" width="4.33203125" customWidth="1"/>
    <col min="6" max="6" width="16" bestFit="1" customWidth="1"/>
    <col min="7" max="7" width="22" bestFit="1" customWidth="1"/>
    <col min="8" max="8" width="26.08203125" bestFit="1" customWidth="1"/>
    <col min="9" max="9" width="3.9140625" customWidth="1"/>
    <col min="10" max="10" width="11.5" bestFit="1" customWidth="1"/>
    <col min="11" max="11" width="11.4140625" bestFit="1" customWidth="1"/>
    <col min="12" max="12" width="10.4140625" bestFit="1" customWidth="1"/>
    <col min="13" max="13" width="11.6640625" bestFit="1" customWidth="1"/>
    <col min="14" max="15" width="10.1640625" bestFit="1" customWidth="1"/>
    <col min="16" max="16" width="7.83203125" bestFit="1" customWidth="1"/>
    <col min="17" max="18" width="11" bestFit="1" customWidth="1"/>
    <col min="19" max="19" width="13.9140625" bestFit="1" customWidth="1"/>
    <col min="20" max="20" width="15.83203125" bestFit="1" customWidth="1"/>
    <col min="21" max="21" width="11.4140625" bestFit="1" customWidth="1"/>
    <col min="22" max="22" width="10.4140625" bestFit="1" customWidth="1"/>
    <col min="23" max="23" width="12.83203125" bestFit="1" customWidth="1"/>
    <col min="24" max="24" width="6.1640625" bestFit="1" customWidth="1"/>
    <col min="25" max="25" width="12.83203125" bestFit="1" customWidth="1"/>
    <col min="26" max="26" width="16.5" bestFit="1" customWidth="1"/>
    <col min="27" max="27" width="11.6640625" bestFit="1" customWidth="1"/>
    <col min="28" max="29" width="10.1640625" bestFit="1" customWidth="1"/>
    <col min="30" max="30" width="7.83203125" bestFit="1" customWidth="1"/>
    <col min="31" max="31" width="17.08203125" bestFit="1" customWidth="1"/>
    <col min="32" max="32" width="19" bestFit="1" customWidth="1"/>
    <col min="33" max="33" width="19.4140625" bestFit="1" customWidth="1"/>
    <col min="34" max="34" width="18.08203125" bestFit="1" customWidth="1"/>
    <col min="35" max="35" width="14.5" bestFit="1" customWidth="1"/>
    <col min="36" max="36" width="8" bestFit="1" customWidth="1"/>
    <col min="37" max="37" width="17.5" bestFit="1" customWidth="1"/>
    <col min="38" max="38" width="11" bestFit="1" customWidth="1"/>
  </cols>
  <sheetData>
    <row r="1" spans="1:10" ht="15.5">
      <c r="B1" s="200">
        <f>SUBTOTAL(9,B9:B110)</f>
        <v>0</v>
      </c>
      <c r="C1" s="201">
        <f>SUBTOTAL(9,C4:C110)</f>
        <v>3107</v>
      </c>
      <c r="D1" s="200">
        <f>SUBTOTAL(9,D4:D110)</f>
        <v>0</v>
      </c>
      <c r="E1" s="201">
        <f>SUBTOTAL(9,E4:E110)</f>
        <v>0</v>
      </c>
      <c r="F1" s="200">
        <f>SUBTOTAL(9,F4:F110)</f>
        <v>0</v>
      </c>
      <c r="G1" s="201">
        <f>SUBTOTAL(9,G4:G110)</f>
        <v>0</v>
      </c>
    </row>
    <row r="2" spans="1:10" ht="18">
      <c r="C2" s="206">
        <f>B1-C1</f>
        <v>-3107</v>
      </c>
      <c r="D2" s="205"/>
      <c r="E2" s="206">
        <f>D1-E1</f>
        <v>0</v>
      </c>
      <c r="F2" s="205"/>
      <c r="G2" s="206">
        <f>F1-G1</f>
        <v>0</v>
      </c>
      <c r="H2" s="203">
        <f>SUM(F1,D1)-SUM(G1,E1)</f>
        <v>0</v>
      </c>
    </row>
    <row r="4" spans="1:10">
      <c r="C4">
        <f>SUBTOTAL(9,C13:C16)</f>
        <v>61</v>
      </c>
      <c r="D4">
        <f>SUBTOTAL(9,D13:D16)</f>
        <v>0</v>
      </c>
    </row>
    <row r="7" spans="1:10" s="204" customFormat="1" ht="17.5">
      <c r="A7" s="212" t="s">
        <v>30</v>
      </c>
      <c r="B7" t="s">
        <v>5258</v>
      </c>
      <c r="F7" s="124" t="s">
        <v>30</v>
      </c>
      <c r="G7" t="s">
        <v>3622</v>
      </c>
      <c r="H7"/>
      <c r="I7"/>
      <c r="J7"/>
    </row>
    <row r="8" spans="1:10">
      <c r="A8" s="124" t="s">
        <v>57</v>
      </c>
      <c r="B8" t="s">
        <v>49</v>
      </c>
      <c r="F8" s="124" t="s">
        <v>57</v>
      </c>
      <c r="G8" t="s">
        <v>49</v>
      </c>
    </row>
    <row r="10" spans="1:10">
      <c r="A10" s="212" t="s">
        <v>3633</v>
      </c>
      <c r="B10" s="116"/>
      <c r="C10" s="124" t="s">
        <v>32</v>
      </c>
      <c r="F10" s="124" t="s">
        <v>3633</v>
      </c>
      <c r="H10" s="124" t="s">
        <v>32</v>
      </c>
    </row>
    <row r="11" spans="1:10">
      <c r="A11" s="124" t="s">
        <v>27</v>
      </c>
      <c r="B11" s="124" t="s">
        <v>4945</v>
      </c>
      <c r="C11" t="s">
        <v>5125</v>
      </c>
      <c r="F11" s="124" t="s">
        <v>27</v>
      </c>
      <c r="G11" s="124" t="s">
        <v>4945</v>
      </c>
      <c r="H11" t="s">
        <v>5125</v>
      </c>
    </row>
    <row r="12" spans="1:10">
      <c r="A12" t="s">
        <v>3073</v>
      </c>
      <c r="B12" t="s">
        <v>5130</v>
      </c>
      <c r="C12" s="174">
        <v>3000</v>
      </c>
      <c r="F12" t="s">
        <v>3073</v>
      </c>
      <c r="G12" t="s">
        <v>5040</v>
      </c>
      <c r="H12" s="174">
        <v>1300</v>
      </c>
      <c r="J12">
        <f>C12-H12</f>
        <v>1700</v>
      </c>
    </row>
    <row r="13" spans="1:10">
      <c r="A13" t="s">
        <v>13</v>
      </c>
      <c r="B13" t="s">
        <v>4559</v>
      </c>
      <c r="C13" s="174">
        <v>15</v>
      </c>
      <c r="J13">
        <f>C13-H13</f>
        <v>15</v>
      </c>
    </row>
    <row r="14" spans="1:10">
      <c r="A14" t="s">
        <v>4731</v>
      </c>
      <c r="C14" s="174">
        <v>19</v>
      </c>
    </row>
    <row r="15" spans="1:10">
      <c r="A15" t="s">
        <v>3070</v>
      </c>
      <c r="C15" s="174">
        <v>23</v>
      </c>
    </row>
    <row r="16" spans="1:10">
      <c r="A16" t="s">
        <v>3071</v>
      </c>
      <c r="B16" t="s">
        <v>4559</v>
      </c>
      <c r="C16" s="174">
        <v>4</v>
      </c>
    </row>
    <row r="17" spans="1:3">
      <c r="A17"/>
    </row>
    <row r="18" spans="1:3">
      <c r="A18"/>
    </row>
    <row r="19" spans="1:3">
      <c r="A19"/>
    </row>
    <row r="20" spans="1:3">
      <c r="A20"/>
    </row>
    <row r="21" spans="1:3">
      <c r="A21"/>
    </row>
    <row r="22" spans="1:3">
      <c r="A22"/>
      <c r="C22">
        <f>SUM(C14:C18)</f>
        <v>46</v>
      </c>
    </row>
    <row r="23" spans="1:3">
      <c r="A23"/>
    </row>
    <row r="24" spans="1:3">
      <c r="A24"/>
    </row>
    <row r="25" spans="1:3">
      <c r="A25"/>
    </row>
    <row r="26" spans="1:3">
      <c r="A26"/>
    </row>
    <row r="27" spans="1:3">
      <c r="A27"/>
    </row>
    <row r="28" spans="1:3">
      <c r="A28"/>
    </row>
    <row r="29" spans="1:3">
      <c r="A29"/>
    </row>
    <row r="30" spans="1:3">
      <c r="A30"/>
    </row>
    <row r="31" spans="1:3">
      <c r="A31"/>
    </row>
    <row r="32" spans="1:3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</sheetData>
  <conditionalFormatting sqref="A7:B7 I7:XFD7 C2:H2">
    <cfRule type="cellIs" dxfId="202" priority="1" operator="lessThan">
      <formula>0</formula>
    </cfRule>
  </conditionalFormatting>
  <pageMargins left="0.7" right="0.7" top="0.75" bottom="0.75" header="0.3" footer="0.3"/>
  <pageSetup orientation="portrait" horizontalDpi="203" verticalDpi="203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9DF61-64F2-4A9D-8AC6-4F2EFFE3EB87}">
  <sheetPr codeName="Sheet5">
    <tabColor rgb="FFFFC000"/>
  </sheetPr>
  <dimension ref="A1:AC2651"/>
  <sheetViews>
    <sheetView tabSelected="1" zoomScale="85" zoomScaleNormal="85" workbookViewId="0">
      <pane xSplit="3" ySplit="4" topLeftCell="N2597" activePane="bottomRight" state="frozen"/>
      <selection pane="topRight" activeCell="D1" sqref="D1"/>
      <selection pane="bottomLeft" activeCell="A5" sqref="A5"/>
      <selection pane="bottomRight" activeCell="O2604" sqref="O2604"/>
    </sheetView>
  </sheetViews>
  <sheetFormatPr defaultColWidth="8.9140625" defaultRowHeight="14" outlineLevelCol="1"/>
  <cols>
    <col min="1" max="1" width="4.1640625" style="3" customWidth="1"/>
    <col min="2" max="2" width="6" style="3" customWidth="1"/>
    <col min="3" max="3" width="13.9140625" style="3" customWidth="1"/>
    <col min="4" max="4" width="18.5" style="3" bestFit="1" customWidth="1"/>
    <col min="5" max="5" width="14.5" style="3" hidden="1" customWidth="1"/>
    <col min="6" max="6" width="15.1640625" style="3" hidden="1" customWidth="1"/>
    <col min="7" max="7" width="11" style="3" customWidth="1"/>
    <col min="8" max="8" width="11.58203125" style="3" customWidth="1"/>
    <col min="9" max="9" width="6.58203125" style="3" customWidth="1" outlineLevel="1"/>
    <col min="10" max="10" width="9.83203125" style="3" customWidth="1" outlineLevel="1"/>
    <col min="11" max="11" width="25" style="3" customWidth="1" outlineLevel="1"/>
    <col min="12" max="12" width="6.83203125" style="3" customWidth="1" outlineLevel="1"/>
    <col min="13" max="13" width="5.4140625" style="3" customWidth="1" outlineLevel="1"/>
    <col min="14" max="14" width="5.58203125" style="3" customWidth="1" outlineLevel="1"/>
    <col min="15" max="15" width="18.5" style="3" customWidth="1" outlineLevel="1"/>
    <col min="16" max="16" width="30" style="3" customWidth="1" outlineLevel="1"/>
    <col min="17" max="17" width="18.5" style="3" hidden="1" customWidth="1" outlineLevel="1"/>
    <col min="18" max="18" width="23" style="3" hidden="1" customWidth="1" outlineLevel="1"/>
    <col min="19" max="19" width="19" style="3" hidden="1" customWidth="1" outlineLevel="1"/>
    <col min="20" max="20" width="21.4140625" style="3" hidden="1" customWidth="1" outlineLevel="1"/>
    <col min="21" max="21" width="16.5" style="3" hidden="1" customWidth="1" outlineLevel="1"/>
    <col min="22" max="22" width="21.1640625" style="3" hidden="1" customWidth="1" outlineLevel="1"/>
    <col min="23" max="23" width="17.9140625" style="3" hidden="1" customWidth="1" outlineLevel="1"/>
    <col min="24" max="24" width="25" style="3" customWidth="1"/>
    <col min="25" max="25" width="21.6640625" style="3" customWidth="1"/>
    <col min="26" max="26" width="46.33203125" style="3" bestFit="1" customWidth="1"/>
    <col min="27" max="27" width="8.9140625" style="196"/>
    <col min="28" max="16384" width="8.9140625" style="3"/>
  </cols>
  <sheetData>
    <row r="1" spans="1:29" ht="15.5">
      <c r="A1" s="1" t="s">
        <v>58</v>
      </c>
      <c r="Y1" s="344" t="e">
        <f>"H-"&amp;Logfile_S[[#This Row],[Material Name]]&amp;"-"&amp;YEAR(Logfile_S[[#This Row],[Date]])&amp;MONTH(Logfile_S[[#This Row],[Date]])&amp;DAY(Logfile_S[[#This Row],[Date]])&amp;"-01"</f>
        <v>#VALUE!</v>
      </c>
    </row>
    <row r="3" spans="1:29" s="556" customFormat="1">
      <c r="A3" s="556">
        <v>1</v>
      </c>
      <c r="B3" s="556">
        <v>2</v>
      </c>
      <c r="C3" s="556">
        <v>3</v>
      </c>
      <c r="D3" s="556">
        <v>4</v>
      </c>
      <c r="E3" s="556">
        <v>5</v>
      </c>
      <c r="F3" s="556">
        <v>6</v>
      </c>
      <c r="G3" s="556">
        <v>7</v>
      </c>
      <c r="H3" s="556">
        <v>8</v>
      </c>
      <c r="I3" s="556">
        <v>9</v>
      </c>
      <c r="J3" s="556">
        <v>10</v>
      </c>
      <c r="K3" s="556">
        <v>11</v>
      </c>
      <c r="L3" s="556">
        <v>12</v>
      </c>
      <c r="M3" s="556">
        <v>13</v>
      </c>
      <c r="N3" s="556">
        <v>14</v>
      </c>
      <c r="O3" s="556">
        <v>15</v>
      </c>
      <c r="P3" s="556">
        <v>16</v>
      </c>
      <c r="Q3" s="556">
        <v>17</v>
      </c>
      <c r="R3" s="556">
        <v>18</v>
      </c>
      <c r="S3" s="556">
        <v>19</v>
      </c>
      <c r="T3" s="556">
        <v>20</v>
      </c>
      <c r="U3" s="556">
        <v>21</v>
      </c>
      <c r="V3" s="556">
        <v>22</v>
      </c>
      <c r="W3" s="556">
        <v>23</v>
      </c>
      <c r="X3" s="556">
        <v>24</v>
      </c>
      <c r="Y3" s="556">
        <v>25</v>
      </c>
      <c r="Z3" s="556">
        <v>26</v>
      </c>
      <c r="AA3" s="556">
        <v>27</v>
      </c>
      <c r="AB3" s="556">
        <v>28</v>
      </c>
      <c r="AC3" s="556">
        <v>29</v>
      </c>
    </row>
    <row r="4" spans="1:29" s="2" customFormat="1" ht="38" customHeight="1">
      <c r="A4" s="216" t="s">
        <v>18</v>
      </c>
      <c r="B4" s="217" t="s">
        <v>3178</v>
      </c>
      <c r="C4" s="218" t="s">
        <v>57</v>
      </c>
      <c r="D4" s="217" t="s">
        <v>59</v>
      </c>
      <c r="E4" s="217" t="s">
        <v>23</v>
      </c>
      <c r="F4" s="217" t="s">
        <v>56</v>
      </c>
      <c r="G4" s="217" t="s">
        <v>54</v>
      </c>
      <c r="H4" s="217" t="s">
        <v>42</v>
      </c>
      <c r="I4" s="217" t="s">
        <v>3025</v>
      </c>
      <c r="J4" s="217" t="s">
        <v>30</v>
      </c>
      <c r="K4" s="217" t="s">
        <v>27</v>
      </c>
      <c r="L4" s="217" t="s">
        <v>28</v>
      </c>
      <c r="M4" s="217" t="s">
        <v>17</v>
      </c>
      <c r="N4" s="217" t="s">
        <v>35</v>
      </c>
      <c r="O4" s="217" t="s">
        <v>31</v>
      </c>
      <c r="P4" s="217" t="s">
        <v>32</v>
      </c>
      <c r="Q4" s="217" t="s">
        <v>33</v>
      </c>
      <c r="R4" s="217" t="s">
        <v>34</v>
      </c>
      <c r="S4" s="217" t="s">
        <v>22</v>
      </c>
      <c r="T4" s="217" t="s">
        <v>3018</v>
      </c>
      <c r="U4" s="217" t="s">
        <v>51</v>
      </c>
      <c r="V4" s="217" t="s">
        <v>52</v>
      </c>
      <c r="W4" s="217" t="s">
        <v>53</v>
      </c>
      <c r="X4" s="219" t="s">
        <v>36</v>
      </c>
      <c r="Y4" s="217" t="s">
        <v>4945</v>
      </c>
      <c r="Z4" s="217" t="s">
        <v>5108</v>
      </c>
      <c r="AA4" s="329" t="s">
        <v>5118</v>
      </c>
      <c r="AB4" s="217" t="s">
        <v>5119</v>
      </c>
      <c r="AC4" s="217" t="s">
        <v>5143</v>
      </c>
    </row>
    <row r="5" spans="1:29" ht="14.5">
      <c r="A5" s="220" t="str">
        <f>TEXT(ROW(A5)-ROW($A$4),"000")</f>
        <v>001</v>
      </c>
      <c r="B5" s="221"/>
      <c r="C5" s="221" t="s">
        <v>49</v>
      </c>
      <c r="D5" s="221" t="s">
        <v>3783</v>
      </c>
      <c r="E5" s="221" t="s">
        <v>3295</v>
      </c>
      <c r="F5" s="221" t="s">
        <v>3299</v>
      </c>
      <c r="G5" s="222">
        <v>45220</v>
      </c>
      <c r="H5" s="223">
        <v>0.97499999999999998</v>
      </c>
      <c r="I5" s="221" t="s">
        <v>4916</v>
      </c>
      <c r="J5" s="221" t="s">
        <v>3024</v>
      </c>
      <c r="K5" s="224" t="s">
        <v>3097</v>
      </c>
      <c r="L5" s="225" t="str">
        <f>VLOOKUP(Logfile_S[[#This Row],[Material Name]],Sheet2!B:C,2,0)</f>
        <v>GCI1011</v>
      </c>
      <c r="M5" s="225" t="str">
        <f>_xlfn.XLOOKUP(Logfile_S[[#This Row],[Material Name]],Sum_WH!E:E,Sum_WH!F:F,"",0)</f>
        <v>Pcs</v>
      </c>
      <c r="N5" s="221">
        <v>1</v>
      </c>
      <c r="O5" s="221">
        <v>0</v>
      </c>
      <c r="P5" s="221">
        <v>0</v>
      </c>
      <c r="Q5" s="221"/>
      <c r="R5" s="221"/>
      <c r="S5" s="221"/>
      <c r="T5" s="221" t="s">
        <v>3332</v>
      </c>
      <c r="U5" s="221">
        <v>0</v>
      </c>
      <c r="V5" s="221" t="s">
        <v>3333</v>
      </c>
      <c r="W5" s="221" t="s">
        <v>3334</v>
      </c>
      <c r="X5" s="221"/>
      <c r="Y5" s="227"/>
      <c r="Z5" s="226">
        <f>P5</f>
        <v>0</v>
      </c>
      <c r="AA5" s="330" t="e">
        <f>VLOOKUP(Logfile_S[[#This Row],[DO number]],DO_DB!G:I,3,0)</f>
        <v>#N/A</v>
      </c>
      <c r="AB5" s="331" t="e">
        <f>EXACT(Logfile_S[[#This Row],[date pick]],Logfile_S[[#This Row],[Date]])</f>
        <v>#N/A</v>
      </c>
      <c r="AC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" spans="1:29" ht="14.5">
      <c r="A6" s="220" t="str">
        <f>TEXT(ROW(A6)-ROW($A$4),"000")</f>
        <v>002</v>
      </c>
      <c r="B6" s="221"/>
      <c r="C6" s="221" t="s">
        <v>49</v>
      </c>
      <c r="D6" s="221" t="s">
        <v>3771</v>
      </c>
      <c r="E6" s="221" t="s">
        <v>3295</v>
      </c>
      <c r="F6" s="221" t="s">
        <v>3299</v>
      </c>
      <c r="G6" s="222">
        <v>45220</v>
      </c>
      <c r="H6" s="223">
        <v>0.97499999999999998</v>
      </c>
      <c r="I6" s="221" t="s">
        <v>4916</v>
      </c>
      <c r="J6" s="221" t="s">
        <v>3024</v>
      </c>
      <c r="K6" s="224" t="s">
        <v>3098</v>
      </c>
      <c r="L6" s="225" t="str">
        <f>VLOOKUP(Logfile_S[[#This Row],[Material Name]],Sheet2!B:C,2,0)</f>
        <v>GCI1012</v>
      </c>
      <c r="M6" s="225" t="str">
        <f>_xlfn.XLOOKUP(Logfile_S[[#This Row],[Material Name]],Sum_WH!E:E,Sum_WH!F:F,"",0)</f>
        <v>Pcs</v>
      </c>
      <c r="N6" s="221">
        <v>82</v>
      </c>
      <c r="O6" s="221">
        <v>0</v>
      </c>
      <c r="P6" s="221">
        <v>0</v>
      </c>
      <c r="Q6" s="221"/>
      <c r="R6" s="221"/>
      <c r="S6" s="221"/>
      <c r="T6" s="221" t="s">
        <v>3332</v>
      </c>
      <c r="U6" s="221">
        <v>0</v>
      </c>
      <c r="V6" s="221" t="s">
        <v>3333</v>
      </c>
      <c r="W6" s="221" t="s">
        <v>3334</v>
      </c>
      <c r="X6" s="221"/>
      <c r="Y6" s="227"/>
      <c r="Z6" s="227">
        <f>P6</f>
        <v>0</v>
      </c>
      <c r="AA6" s="276" t="e">
        <f>VLOOKUP(Logfile_S[[#This Row],[DO number]],DO_DB!G:I,3,0)</f>
        <v>#N/A</v>
      </c>
      <c r="AB6" s="331" t="e">
        <f>EXACT(Logfile_S[[#This Row],[date pick]],Logfile_S[[#This Row],[Date]])</f>
        <v>#N/A</v>
      </c>
      <c r="AC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" spans="1:29" ht="14.5">
      <c r="A7" s="220" t="str">
        <f>TEXT(ROW(A7)-ROW($A$4),"000")</f>
        <v>003</v>
      </c>
      <c r="B7" s="221"/>
      <c r="C7" s="221" t="s">
        <v>49</v>
      </c>
      <c r="D7" s="221" t="s">
        <v>3771</v>
      </c>
      <c r="E7" s="221" t="s">
        <v>3295</v>
      </c>
      <c r="F7" s="221" t="s">
        <v>3299</v>
      </c>
      <c r="G7" s="222">
        <v>45220</v>
      </c>
      <c r="H7" s="223">
        <v>0.97499999999999998</v>
      </c>
      <c r="I7" s="221" t="s">
        <v>4916</v>
      </c>
      <c r="J7" s="221" t="s">
        <v>3024</v>
      </c>
      <c r="K7" s="224" t="s">
        <v>3096</v>
      </c>
      <c r="L7" s="225" t="str">
        <f>VLOOKUP(Logfile_S[[#This Row],[Material Name]],Sheet2!B:C,2,0)</f>
        <v>GCI1014</v>
      </c>
      <c r="M7" s="225" t="str">
        <f>_xlfn.XLOOKUP(Logfile_S[[#This Row],[Material Name]],Sum_WH!E:E,Sum_WH!F:F,"",0)</f>
        <v>Pcs</v>
      </c>
      <c r="N7" s="221">
        <v>186</v>
      </c>
      <c r="O7" s="221">
        <v>0</v>
      </c>
      <c r="P7" s="221">
        <v>0</v>
      </c>
      <c r="Q7" s="221"/>
      <c r="R7" s="221"/>
      <c r="S7" s="221"/>
      <c r="T7" s="221" t="s">
        <v>3332</v>
      </c>
      <c r="U7" s="221">
        <v>0</v>
      </c>
      <c r="V7" s="221" t="s">
        <v>3333</v>
      </c>
      <c r="W7" s="221" t="s">
        <v>3334</v>
      </c>
      <c r="X7" s="221"/>
      <c r="Y7" s="227"/>
      <c r="Z7" s="227">
        <f>P7</f>
        <v>0</v>
      </c>
      <c r="AA7" s="276" t="e">
        <f>VLOOKUP(Logfile_S[[#This Row],[DO number]],DO_DB!G:I,3,0)</f>
        <v>#N/A</v>
      </c>
      <c r="AB7" s="331" t="e">
        <f>EXACT(Logfile_S[[#This Row],[date pick]],Logfile_S[[#This Row],[Date]])</f>
        <v>#N/A</v>
      </c>
      <c r="AC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" spans="1:29" ht="14.5">
      <c r="A8" s="220" t="str">
        <f>TEXT(ROW(A8)-ROW($A$4),"000")</f>
        <v>004</v>
      </c>
      <c r="B8" s="221"/>
      <c r="C8" s="221" t="s">
        <v>49</v>
      </c>
      <c r="D8" s="221" t="s">
        <v>3773</v>
      </c>
      <c r="E8" s="221" t="s">
        <v>3295</v>
      </c>
      <c r="F8" s="221" t="s">
        <v>3299</v>
      </c>
      <c r="G8" s="222">
        <v>45220</v>
      </c>
      <c r="H8" s="223">
        <v>0.97499999999999998</v>
      </c>
      <c r="I8" s="221" t="s">
        <v>4916</v>
      </c>
      <c r="J8" s="221" t="s">
        <v>3024</v>
      </c>
      <c r="K8" s="224" t="s">
        <v>3087</v>
      </c>
      <c r="L8" s="225" t="str">
        <f>VLOOKUP(Logfile_S[[#This Row],[Material Name]],Sheet2!B:C,2,0)</f>
        <v>GCI1001</v>
      </c>
      <c r="M8" s="225" t="str">
        <f>_xlfn.XLOOKUP(Logfile_S[[#This Row],[Material Name]],Sum_WH!E:E,Sum_WH!F:F,"",0)</f>
        <v>Pcs</v>
      </c>
      <c r="N8" s="221">
        <v>2</v>
      </c>
      <c r="O8" s="221">
        <v>0</v>
      </c>
      <c r="P8" s="221">
        <v>0</v>
      </c>
      <c r="Q8" s="221"/>
      <c r="R8" s="221"/>
      <c r="S8" s="221"/>
      <c r="T8" s="221" t="s">
        <v>3332</v>
      </c>
      <c r="U8" s="221">
        <v>0</v>
      </c>
      <c r="V8" s="221" t="s">
        <v>3333</v>
      </c>
      <c r="W8" s="221" t="s">
        <v>3334</v>
      </c>
      <c r="X8" s="221"/>
      <c r="Y8" s="227"/>
      <c r="Z8" s="227">
        <f>P8</f>
        <v>0</v>
      </c>
      <c r="AA8" s="276" t="e">
        <f>VLOOKUP(Logfile_S[[#This Row],[DO number]],DO_DB!G:I,3,0)</f>
        <v>#N/A</v>
      </c>
      <c r="AB8" s="331" t="e">
        <f>EXACT(Logfile_S[[#This Row],[date pick]],Logfile_S[[#This Row],[Date]])</f>
        <v>#N/A</v>
      </c>
      <c r="AC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" spans="1:29" ht="14.5">
      <c r="A9" s="220" t="str">
        <f>TEXT(ROW(A9)-ROW($A$4),"000")</f>
        <v>005</v>
      </c>
      <c r="B9" s="221"/>
      <c r="C9" s="221" t="s">
        <v>49</v>
      </c>
      <c r="D9" s="221" t="s">
        <v>3775</v>
      </c>
      <c r="E9" s="221" t="s">
        <v>3295</v>
      </c>
      <c r="F9" s="221" t="s">
        <v>3299</v>
      </c>
      <c r="G9" s="222">
        <v>45220</v>
      </c>
      <c r="H9" s="223">
        <v>0.97499999999999998</v>
      </c>
      <c r="I9" s="221" t="s">
        <v>4916</v>
      </c>
      <c r="J9" s="221" t="s">
        <v>3024</v>
      </c>
      <c r="K9" s="224" t="s">
        <v>5137</v>
      </c>
      <c r="L9" s="225" t="str">
        <f>VLOOKUP(Logfile_S[[#This Row],[Material Name]],Sheet2!B:C,2,0)</f>
        <v>GCI1009</v>
      </c>
      <c r="M9" s="225" t="str">
        <f>_xlfn.XLOOKUP(Logfile_S[[#This Row],[Material Name]],Sum_WH!E:E,Sum_WH!F:F,"",0)</f>
        <v>Pcs</v>
      </c>
      <c r="N9" s="221">
        <v>136</v>
      </c>
      <c r="O9" s="221">
        <v>0</v>
      </c>
      <c r="P9" s="221">
        <v>0</v>
      </c>
      <c r="Q9" s="221"/>
      <c r="R9" s="221"/>
      <c r="S9" s="221"/>
      <c r="T9" s="221" t="s">
        <v>3332</v>
      </c>
      <c r="U9" s="221">
        <v>0</v>
      </c>
      <c r="V9" s="221" t="s">
        <v>3333</v>
      </c>
      <c r="W9" s="221" t="s">
        <v>3334</v>
      </c>
      <c r="X9" s="221"/>
      <c r="Y9" s="227"/>
      <c r="Z9" s="227">
        <f>P9</f>
        <v>0</v>
      </c>
      <c r="AA9" s="276" t="e">
        <f>VLOOKUP(Logfile_S[[#This Row],[DO number]],DO_DB!G:I,3,0)</f>
        <v>#N/A</v>
      </c>
      <c r="AB9" s="331" t="e">
        <f>EXACT(Logfile_S[[#This Row],[date pick]],Logfile_S[[#This Row],[Date]])</f>
        <v>#N/A</v>
      </c>
      <c r="AC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" spans="1:29" ht="14.5">
      <c r="A10" s="220" t="str">
        <f>TEXT(ROW(A10)-ROW($A$4),"000")</f>
        <v>006</v>
      </c>
      <c r="B10" s="221"/>
      <c r="C10" s="221" t="s">
        <v>49</v>
      </c>
      <c r="D10" s="221" t="s">
        <v>3778</v>
      </c>
      <c r="E10" s="221" t="s">
        <v>3295</v>
      </c>
      <c r="F10" s="221" t="s">
        <v>3299</v>
      </c>
      <c r="G10" s="222">
        <v>45220</v>
      </c>
      <c r="H10" s="223">
        <v>0.97499999999999998</v>
      </c>
      <c r="I10" s="221" t="s">
        <v>4916</v>
      </c>
      <c r="J10" s="221" t="s">
        <v>3023</v>
      </c>
      <c r="K10" s="224" t="s">
        <v>14</v>
      </c>
      <c r="L10" s="225" t="str">
        <f>VLOOKUP(Logfile_S[[#This Row],[Material Name]],Sheet2!B:C,2,0)</f>
        <v>ZTE2005</v>
      </c>
      <c r="M10" s="225" t="str">
        <f>_xlfn.XLOOKUP(Logfile_S[[#This Row],[Material Name]],Sum_WH!E:E,Sum_WH!F:F,"",0)</f>
        <v>Pcs</v>
      </c>
      <c r="N10" s="221">
        <v>0</v>
      </c>
      <c r="O10" s="221">
        <v>0</v>
      </c>
      <c r="P10" s="221">
        <v>0</v>
      </c>
      <c r="Q10" s="221"/>
      <c r="R10" s="221"/>
      <c r="S10" s="221"/>
      <c r="T10" s="221" t="s">
        <v>3332</v>
      </c>
      <c r="U10" s="221">
        <v>0</v>
      </c>
      <c r="V10" s="221" t="s">
        <v>3333</v>
      </c>
      <c r="W10" s="221" t="s">
        <v>3334</v>
      </c>
      <c r="X10" s="221"/>
      <c r="Y10" s="227"/>
      <c r="Z10" s="227">
        <f>P10</f>
        <v>0</v>
      </c>
      <c r="AA10" s="276" t="e">
        <f>VLOOKUP(Logfile_S[[#This Row],[DO number]],DO_DB!G:I,3,0)</f>
        <v>#N/A</v>
      </c>
      <c r="AB10" s="331" t="e">
        <f>EXACT(Logfile_S[[#This Row],[date pick]],Logfile_S[[#This Row],[Date]])</f>
        <v>#N/A</v>
      </c>
      <c r="AC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" spans="1:29" ht="14.5">
      <c r="A11" s="220" t="str">
        <f>TEXT(ROW(A11)-ROW($A$4),"000")</f>
        <v>007</v>
      </c>
      <c r="B11" s="221"/>
      <c r="C11" s="221" t="s">
        <v>49</v>
      </c>
      <c r="D11" s="221" t="s">
        <v>3781</v>
      </c>
      <c r="E11" s="221" t="s">
        <v>3295</v>
      </c>
      <c r="F11" s="221" t="s">
        <v>3299</v>
      </c>
      <c r="G11" s="222">
        <v>45220</v>
      </c>
      <c r="H11" s="223">
        <v>0.97499999999999998</v>
      </c>
      <c r="I11" s="221" t="s">
        <v>4916</v>
      </c>
      <c r="J11" s="221" t="s">
        <v>3024</v>
      </c>
      <c r="K11" s="224" t="s">
        <v>3094</v>
      </c>
      <c r="L11" s="225" t="str">
        <f>VLOOKUP(Logfile_S[[#This Row],[Material Name]],Sheet2!B:C,2,0)</f>
        <v>GCI1008</v>
      </c>
      <c r="M11" s="225" t="str">
        <f>_xlfn.XLOOKUP(Logfile_S[[#This Row],[Material Name]],Sum_WH!E:E,Sum_WH!F:F,"",0)</f>
        <v>Pcs</v>
      </c>
      <c r="N11" s="221">
        <v>106</v>
      </c>
      <c r="O11" s="221">
        <v>0</v>
      </c>
      <c r="P11" s="221">
        <v>0</v>
      </c>
      <c r="Q11" s="221"/>
      <c r="R11" s="221"/>
      <c r="S11" s="221"/>
      <c r="T11" s="221" t="s">
        <v>3332</v>
      </c>
      <c r="U11" s="221">
        <v>0</v>
      </c>
      <c r="V11" s="221" t="s">
        <v>3333</v>
      </c>
      <c r="W11" s="221" t="s">
        <v>3334</v>
      </c>
      <c r="X11" s="221"/>
      <c r="Y11" s="227"/>
      <c r="Z11" s="227">
        <f>P11</f>
        <v>0</v>
      </c>
      <c r="AA11" s="276" t="e">
        <f>VLOOKUP(Logfile_S[[#This Row],[DO number]],DO_DB!G:I,3,0)</f>
        <v>#N/A</v>
      </c>
      <c r="AB11" s="331" t="e">
        <f>EXACT(Logfile_S[[#This Row],[date pick]],Logfile_S[[#This Row],[Date]])</f>
        <v>#N/A</v>
      </c>
      <c r="AC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" spans="1:29" ht="14.5">
      <c r="A12" s="220" t="str">
        <f>TEXT(ROW(A12)-ROW($A$4),"000")</f>
        <v>008</v>
      </c>
      <c r="B12" s="221"/>
      <c r="C12" s="221" t="s">
        <v>49</v>
      </c>
      <c r="D12" s="221" t="s">
        <v>3783</v>
      </c>
      <c r="E12" s="221" t="s">
        <v>3295</v>
      </c>
      <c r="F12" s="221" t="s">
        <v>3299</v>
      </c>
      <c r="G12" s="222">
        <v>45220</v>
      </c>
      <c r="H12" s="223">
        <v>0.97499999999999998</v>
      </c>
      <c r="I12" s="221" t="s">
        <v>4916</v>
      </c>
      <c r="J12" s="221" t="s">
        <v>3024</v>
      </c>
      <c r="K12" s="224" t="s">
        <v>3093</v>
      </c>
      <c r="L12" s="225" t="str">
        <f>VLOOKUP(Logfile_S[[#This Row],[Material Name]],Sheet2!B:C,2,0)</f>
        <v>GCI1007</v>
      </c>
      <c r="M12" s="225" t="str">
        <f>_xlfn.XLOOKUP(Logfile_S[[#This Row],[Material Name]],Sum_WH!E:E,Sum_WH!F:F,"",0)</f>
        <v>Pcs</v>
      </c>
      <c r="N12" s="221">
        <v>0</v>
      </c>
      <c r="O12" s="221">
        <v>0</v>
      </c>
      <c r="P12" s="221">
        <v>0</v>
      </c>
      <c r="Q12" s="221"/>
      <c r="R12" s="221"/>
      <c r="S12" s="221"/>
      <c r="T12" s="221" t="s">
        <v>3332</v>
      </c>
      <c r="U12" s="221">
        <v>0</v>
      </c>
      <c r="V12" s="221" t="s">
        <v>3333</v>
      </c>
      <c r="W12" s="221" t="s">
        <v>3334</v>
      </c>
      <c r="X12" s="221"/>
      <c r="Y12" s="227"/>
      <c r="Z12" s="227">
        <f>P12</f>
        <v>0</v>
      </c>
      <c r="AA12" s="276" t="e">
        <f>VLOOKUP(Logfile_S[[#This Row],[DO number]],DO_DB!G:I,3,0)</f>
        <v>#N/A</v>
      </c>
      <c r="AB12" s="331" t="e">
        <f>EXACT(Logfile_S[[#This Row],[date pick]],Logfile_S[[#This Row],[Date]])</f>
        <v>#N/A</v>
      </c>
      <c r="AC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" spans="1:29" ht="14.5">
      <c r="A13" s="220" t="str">
        <f>TEXT(ROW(A13)-ROW($A$4),"000")</f>
        <v>009</v>
      </c>
      <c r="B13" s="221"/>
      <c r="C13" s="221" t="s">
        <v>49</v>
      </c>
      <c r="D13" s="221" t="s">
        <v>3783</v>
      </c>
      <c r="E13" s="221" t="s">
        <v>3295</v>
      </c>
      <c r="F13" s="221" t="s">
        <v>3299</v>
      </c>
      <c r="G13" s="222">
        <v>45220</v>
      </c>
      <c r="H13" s="223">
        <v>0.97499999999999998</v>
      </c>
      <c r="I13" s="221" t="s">
        <v>4916</v>
      </c>
      <c r="J13" s="221" t="s">
        <v>3024</v>
      </c>
      <c r="K13" s="224" t="s">
        <v>3092</v>
      </c>
      <c r="L13" s="225" t="str">
        <f>VLOOKUP(Logfile_S[[#This Row],[Material Name]],Sheet2!B:C,2,0)</f>
        <v>GCI1006</v>
      </c>
      <c r="M13" s="225" t="str">
        <f>_xlfn.XLOOKUP(Logfile_S[[#This Row],[Material Name]],Sum_WH!E:E,Sum_WH!F:F,"",0)</f>
        <v>Pcs</v>
      </c>
      <c r="N13" s="221">
        <v>46</v>
      </c>
      <c r="O13" s="221">
        <v>0</v>
      </c>
      <c r="P13" s="221">
        <v>0</v>
      </c>
      <c r="Q13" s="221"/>
      <c r="R13" s="221"/>
      <c r="S13" s="221"/>
      <c r="T13" s="221" t="s">
        <v>3332</v>
      </c>
      <c r="U13" s="221">
        <v>0</v>
      </c>
      <c r="V13" s="221" t="s">
        <v>3333</v>
      </c>
      <c r="W13" s="221" t="s">
        <v>3334</v>
      </c>
      <c r="X13" s="221"/>
      <c r="Y13" s="227"/>
      <c r="Z13" s="227">
        <f>P13</f>
        <v>0</v>
      </c>
      <c r="AA13" s="276" t="e">
        <f>VLOOKUP(Logfile_S[[#This Row],[DO number]],DO_DB!G:I,3,0)</f>
        <v>#N/A</v>
      </c>
      <c r="AB13" s="331" t="e">
        <f>EXACT(Logfile_S[[#This Row],[date pick]],Logfile_S[[#This Row],[Date]])</f>
        <v>#N/A</v>
      </c>
      <c r="AC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" spans="1:29" ht="14.5">
      <c r="A14" s="220" t="str">
        <f>TEXT(ROW(A14)-ROW($A$4),"000")</f>
        <v>010</v>
      </c>
      <c r="B14" s="221"/>
      <c r="C14" s="221" t="s">
        <v>49</v>
      </c>
      <c r="D14" s="221" t="s">
        <v>3783</v>
      </c>
      <c r="E14" s="221" t="s">
        <v>3295</v>
      </c>
      <c r="F14" s="221" t="s">
        <v>3299</v>
      </c>
      <c r="G14" s="222">
        <v>45220</v>
      </c>
      <c r="H14" s="223">
        <v>0.97499999999999998</v>
      </c>
      <c r="I14" s="221" t="s">
        <v>4916</v>
      </c>
      <c r="J14" s="221" t="s">
        <v>3024</v>
      </c>
      <c r="K14" s="224" t="s">
        <v>3089</v>
      </c>
      <c r="L14" s="225" t="str">
        <f>VLOOKUP(Logfile_S[[#This Row],[Material Name]],Sheet2!B:C,2,0)</f>
        <v>GCI1003</v>
      </c>
      <c r="M14" s="225" t="str">
        <f>_xlfn.XLOOKUP(Logfile_S[[#This Row],[Material Name]],Sum_WH!E:E,Sum_WH!F:F,"",0)</f>
        <v>Pcs</v>
      </c>
      <c r="N14" s="221">
        <v>0</v>
      </c>
      <c r="O14" s="221">
        <v>0</v>
      </c>
      <c r="P14" s="221">
        <v>0</v>
      </c>
      <c r="Q14" s="221"/>
      <c r="R14" s="221"/>
      <c r="S14" s="221"/>
      <c r="T14" s="221" t="s">
        <v>3332</v>
      </c>
      <c r="U14" s="221">
        <v>0</v>
      </c>
      <c r="V14" s="221" t="s">
        <v>3333</v>
      </c>
      <c r="W14" s="221" t="s">
        <v>3334</v>
      </c>
      <c r="X14" s="221"/>
      <c r="Y14" s="227"/>
      <c r="Z14" s="227">
        <f>P14</f>
        <v>0</v>
      </c>
      <c r="AA14" s="276" t="e">
        <f>VLOOKUP(Logfile_S[[#This Row],[DO number]],DO_DB!G:I,3,0)</f>
        <v>#N/A</v>
      </c>
      <c r="AB14" s="331" t="e">
        <f>EXACT(Logfile_S[[#This Row],[date pick]],Logfile_S[[#This Row],[Date]])</f>
        <v>#N/A</v>
      </c>
      <c r="AC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" spans="1:29" ht="14.5">
      <c r="A15" s="220" t="str">
        <f>TEXT(ROW(A15)-ROW($A$4),"000")</f>
        <v>011</v>
      </c>
      <c r="B15" s="221"/>
      <c r="C15" s="221" t="s">
        <v>49</v>
      </c>
      <c r="D15" s="221" t="s">
        <v>3785</v>
      </c>
      <c r="E15" s="221" t="s">
        <v>3295</v>
      </c>
      <c r="F15" s="221" t="s">
        <v>3299</v>
      </c>
      <c r="G15" s="222">
        <v>45220</v>
      </c>
      <c r="H15" s="223">
        <v>0.97499999999999998</v>
      </c>
      <c r="I15" s="221" t="s">
        <v>4916</v>
      </c>
      <c r="J15" s="221" t="s">
        <v>3024</v>
      </c>
      <c r="K15" s="224" t="s">
        <v>3090</v>
      </c>
      <c r="L15" s="225" t="str">
        <f>VLOOKUP(Logfile_S[[#This Row],[Material Name]],Sheet2!B:C,2,0)</f>
        <v>GCI1004</v>
      </c>
      <c r="M15" s="225" t="str">
        <f>_xlfn.XLOOKUP(Logfile_S[[#This Row],[Material Name]],Sum_WH!E:E,Sum_WH!F:F,"",0)</f>
        <v>Pcs</v>
      </c>
      <c r="N15" s="221">
        <v>0</v>
      </c>
      <c r="O15" s="221">
        <v>0</v>
      </c>
      <c r="P15" s="221">
        <v>0</v>
      </c>
      <c r="Q15" s="221"/>
      <c r="R15" s="221"/>
      <c r="S15" s="221"/>
      <c r="T15" s="221" t="s">
        <v>3231</v>
      </c>
      <c r="U15" s="221">
        <v>0</v>
      </c>
      <c r="V15" s="221" t="s">
        <v>3375</v>
      </c>
      <c r="W15" s="221" t="s">
        <v>3249</v>
      </c>
      <c r="X15" s="221"/>
      <c r="Y15" s="227"/>
      <c r="Z15" s="227">
        <f>P15</f>
        <v>0</v>
      </c>
      <c r="AA15" s="276" t="e">
        <f>VLOOKUP(Logfile_S[[#This Row],[DO number]],DO_DB!G:I,3,0)</f>
        <v>#N/A</v>
      </c>
      <c r="AB15" s="331" t="e">
        <f>EXACT(Logfile_S[[#This Row],[date pick]],Logfile_S[[#This Row],[Date]])</f>
        <v>#N/A</v>
      </c>
      <c r="AC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" spans="1:29" ht="14.5">
      <c r="A16" s="220" t="str">
        <f>TEXT(ROW(A16)-ROW($A$4),"000")</f>
        <v>012</v>
      </c>
      <c r="B16" s="221"/>
      <c r="C16" s="221" t="s">
        <v>48</v>
      </c>
      <c r="D16" s="221" t="s">
        <v>3803</v>
      </c>
      <c r="E16" s="221" t="s">
        <v>3295</v>
      </c>
      <c r="F16" s="221" t="s">
        <v>3299</v>
      </c>
      <c r="G16" s="222">
        <v>45235</v>
      </c>
      <c r="H16" s="223">
        <v>15.291666666666666</v>
      </c>
      <c r="I16" s="221" t="s">
        <v>38</v>
      </c>
      <c r="J16" s="221" t="s">
        <v>3024</v>
      </c>
      <c r="K16" s="224" t="s">
        <v>3106</v>
      </c>
      <c r="L16" s="225" t="str">
        <f>VLOOKUP(Logfile_S[[#This Row],[Material Name]],Sheet2!B:C,2,0)</f>
        <v>GCI1018</v>
      </c>
      <c r="M16" s="225" t="str">
        <f>_xlfn.XLOOKUP(Logfile_S[[#This Row],[Material Name]],Sum_WH!E:E,Sum_WH!F:F,"",0)</f>
        <v>Pcs</v>
      </c>
      <c r="N16" s="221">
        <v>60</v>
      </c>
      <c r="O16" s="221">
        <v>0</v>
      </c>
      <c r="P16" s="221">
        <v>0</v>
      </c>
      <c r="Q16" s="221">
        <v>0</v>
      </c>
      <c r="R16" s="221">
        <v>0</v>
      </c>
      <c r="S16" s="221"/>
      <c r="T16" s="221"/>
      <c r="U16" s="221"/>
      <c r="V16" s="221"/>
      <c r="W16" s="221"/>
      <c r="X16" s="221"/>
      <c r="Y16" s="227"/>
      <c r="Z16" s="227">
        <f>P16</f>
        <v>0</v>
      </c>
      <c r="AA16" s="276" t="e">
        <f>VLOOKUP(Logfile_S[[#This Row],[DO number]],DO_DB!G:I,3,0)</f>
        <v>#N/A</v>
      </c>
      <c r="AB16" s="331" t="e">
        <f>EXACT(Logfile_S[[#This Row],[date pick]],Logfile_S[[#This Row],[Date]])</f>
        <v>#N/A</v>
      </c>
      <c r="AC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" spans="1:29" ht="14.5">
      <c r="A17" s="220" t="str">
        <f>TEXT(ROW(A17)-ROW($A$4),"000")</f>
        <v>013</v>
      </c>
      <c r="B17" s="221"/>
      <c r="C17" s="221" t="s">
        <v>48</v>
      </c>
      <c r="D17" s="221" t="s">
        <v>3803</v>
      </c>
      <c r="E17" s="221" t="s">
        <v>3295</v>
      </c>
      <c r="F17" s="221" t="s">
        <v>3299</v>
      </c>
      <c r="G17" s="222">
        <v>45235</v>
      </c>
      <c r="H17" s="223">
        <v>15.291666666666666</v>
      </c>
      <c r="I17" s="221" t="s">
        <v>38</v>
      </c>
      <c r="J17" s="221" t="s">
        <v>3024</v>
      </c>
      <c r="K17" s="224" t="s">
        <v>3090</v>
      </c>
      <c r="L17" s="225" t="str">
        <f>VLOOKUP(Logfile_S[[#This Row],[Material Name]],Sheet2!B:C,2,0)</f>
        <v>GCI1004</v>
      </c>
      <c r="M17" s="225" t="str">
        <f>_xlfn.XLOOKUP(Logfile_S[[#This Row],[Material Name]],Sum_WH!E:E,Sum_WH!F:F,"",0)</f>
        <v>Pcs</v>
      </c>
      <c r="N17" s="221">
        <v>30</v>
      </c>
      <c r="O17" s="221">
        <v>0</v>
      </c>
      <c r="P17" s="221">
        <v>0</v>
      </c>
      <c r="Q17" s="221">
        <v>0</v>
      </c>
      <c r="R17" s="221">
        <v>0</v>
      </c>
      <c r="S17" s="221"/>
      <c r="T17" s="221"/>
      <c r="U17" s="221"/>
      <c r="V17" s="221"/>
      <c r="W17" s="221"/>
      <c r="X17" s="221"/>
      <c r="Y17" s="227"/>
      <c r="Z17" s="227">
        <f>P17</f>
        <v>0</v>
      </c>
      <c r="AA17" s="276" t="e">
        <f>VLOOKUP(Logfile_S[[#This Row],[DO number]],DO_DB!G:I,3,0)</f>
        <v>#N/A</v>
      </c>
      <c r="AB17" s="331" t="e">
        <f>EXACT(Logfile_S[[#This Row],[date pick]],Logfile_S[[#This Row],[Date]])</f>
        <v>#N/A</v>
      </c>
      <c r="AC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" spans="1:29" ht="14.5">
      <c r="A18" s="220" t="str">
        <f>TEXT(ROW(A18)-ROW($A$4),"000")</f>
        <v>014</v>
      </c>
      <c r="B18" s="221"/>
      <c r="C18" s="221" t="s">
        <v>48</v>
      </c>
      <c r="D18" s="221" t="s">
        <v>4001</v>
      </c>
      <c r="E18" s="221" t="s">
        <v>3295</v>
      </c>
      <c r="F18" s="221" t="s">
        <v>3299</v>
      </c>
      <c r="G18" s="222">
        <v>45383</v>
      </c>
      <c r="H18" s="223">
        <v>15.291666666666666</v>
      </c>
      <c r="I18" s="221" t="s">
        <v>38</v>
      </c>
      <c r="J18" s="221" t="s">
        <v>3024</v>
      </c>
      <c r="K18" s="224" t="s">
        <v>3094</v>
      </c>
      <c r="L18" s="225" t="str">
        <f>VLOOKUP(Logfile_S[[#This Row],[Material Name]],Sheet2!B:C,2,0)</f>
        <v>GCI1008</v>
      </c>
      <c r="M18" s="225" t="str">
        <f>_xlfn.XLOOKUP(Logfile_S[[#This Row],[Material Name]],Sum_WH!E:E,Sum_WH!F:F,"",0)</f>
        <v>Pcs</v>
      </c>
      <c r="N18" s="221">
        <v>8</v>
      </c>
      <c r="O18" s="221">
        <v>0</v>
      </c>
      <c r="P18" s="221">
        <v>0</v>
      </c>
      <c r="Q18" s="221">
        <v>0</v>
      </c>
      <c r="R18" s="221">
        <v>0</v>
      </c>
      <c r="S18" s="221"/>
      <c r="T18" s="221"/>
      <c r="U18" s="221"/>
      <c r="V18" s="221"/>
      <c r="W18" s="221"/>
      <c r="X18" s="221"/>
      <c r="Y18" s="227"/>
      <c r="Z18" s="227">
        <f>P18</f>
        <v>0</v>
      </c>
      <c r="AA18" s="276" t="e">
        <f>VLOOKUP(Logfile_S[[#This Row],[DO number]],DO_DB!G:I,3,0)</f>
        <v>#N/A</v>
      </c>
      <c r="AB18" s="331" t="e">
        <f>EXACT(Logfile_S[[#This Row],[date pick]],Logfile_S[[#This Row],[Date]])</f>
        <v>#N/A</v>
      </c>
      <c r="AC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" spans="1:29" ht="14.5">
      <c r="A19" s="220" t="str">
        <f>TEXT(ROW(A19)-ROW($A$4),"000")</f>
        <v>015</v>
      </c>
      <c r="B19" s="221"/>
      <c r="C19" s="221" t="s">
        <v>48</v>
      </c>
      <c r="D19" s="221" t="s">
        <v>4029</v>
      </c>
      <c r="E19" s="221" t="s">
        <v>3295</v>
      </c>
      <c r="F19" s="221" t="s">
        <v>3299</v>
      </c>
      <c r="G19" s="222">
        <v>45407</v>
      </c>
      <c r="H19" s="223">
        <v>15.291666666666666</v>
      </c>
      <c r="I19" s="221" t="s">
        <v>38</v>
      </c>
      <c r="J19" s="221" t="s">
        <v>3024</v>
      </c>
      <c r="K19" s="224" t="s">
        <v>3091</v>
      </c>
      <c r="L19" s="225" t="str">
        <f>VLOOKUP(Logfile_S[[#This Row],[Material Name]],Sheet2!B:C,2,0)</f>
        <v>GCI1005</v>
      </c>
      <c r="M19" s="225" t="str">
        <f>_xlfn.XLOOKUP(Logfile_S[[#This Row],[Material Name]],Sum_WH!E:E,Sum_WH!F:F,"",0)</f>
        <v>Pcs</v>
      </c>
      <c r="N19" s="221">
        <v>84</v>
      </c>
      <c r="O19" s="221">
        <v>0</v>
      </c>
      <c r="P19" s="221">
        <v>0</v>
      </c>
      <c r="Q19" s="221">
        <v>0</v>
      </c>
      <c r="R19" s="221">
        <v>0</v>
      </c>
      <c r="S19" s="221"/>
      <c r="T19" s="221"/>
      <c r="U19" s="221"/>
      <c r="V19" s="221"/>
      <c r="W19" s="221"/>
      <c r="X19" s="221"/>
      <c r="Y19" s="227"/>
      <c r="Z19" s="227">
        <f>P19</f>
        <v>0</v>
      </c>
      <c r="AA19" s="276" t="e">
        <f>VLOOKUP(Logfile_S[[#This Row],[DO number]],DO_DB!G:I,3,0)</f>
        <v>#N/A</v>
      </c>
      <c r="AB19" s="331" t="e">
        <f>EXACT(Logfile_S[[#This Row],[date pick]],Logfile_S[[#This Row],[Date]])</f>
        <v>#N/A</v>
      </c>
      <c r="AC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" spans="1:29" ht="14.5">
      <c r="A20" s="220" t="str">
        <f>TEXT(ROW(A20)-ROW($A$4),"000")</f>
        <v>016</v>
      </c>
      <c r="B20" s="221"/>
      <c r="C20" s="221" t="s">
        <v>48</v>
      </c>
      <c r="D20" s="221" t="s">
        <v>4029</v>
      </c>
      <c r="E20" s="221" t="s">
        <v>3295</v>
      </c>
      <c r="F20" s="221" t="s">
        <v>3299</v>
      </c>
      <c r="G20" s="222">
        <v>45407</v>
      </c>
      <c r="H20" s="223">
        <v>15.291666666666666</v>
      </c>
      <c r="I20" s="221" t="s">
        <v>38</v>
      </c>
      <c r="J20" s="221" t="s">
        <v>3024</v>
      </c>
      <c r="K20" s="224" t="s">
        <v>3094</v>
      </c>
      <c r="L20" s="225" t="str">
        <f>VLOOKUP(Logfile_S[[#This Row],[Material Name]],Sheet2!B:C,2,0)</f>
        <v>GCI1008</v>
      </c>
      <c r="M20" s="225" t="str">
        <f>_xlfn.XLOOKUP(Logfile_S[[#This Row],[Material Name]],Sum_WH!E:E,Sum_WH!F:F,"",0)</f>
        <v>Pcs</v>
      </c>
      <c r="N20" s="221">
        <v>84</v>
      </c>
      <c r="O20" s="221">
        <v>0</v>
      </c>
      <c r="P20" s="221">
        <v>0</v>
      </c>
      <c r="Q20" s="221">
        <v>0</v>
      </c>
      <c r="R20" s="221">
        <v>0</v>
      </c>
      <c r="S20" s="221"/>
      <c r="T20" s="221"/>
      <c r="U20" s="221"/>
      <c r="V20" s="221"/>
      <c r="W20" s="221"/>
      <c r="X20" s="221"/>
      <c r="Y20" s="227"/>
      <c r="Z20" s="227">
        <f>P20</f>
        <v>0</v>
      </c>
      <c r="AA20" s="276" t="e">
        <f>VLOOKUP(Logfile_S[[#This Row],[DO number]],DO_DB!G:I,3,0)</f>
        <v>#N/A</v>
      </c>
      <c r="AB20" s="331" t="e">
        <f>EXACT(Logfile_S[[#This Row],[date pick]],Logfile_S[[#This Row],[Date]])</f>
        <v>#N/A</v>
      </c>
      <c r="AC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" spans="1:29" ht="14.5">
      <c r="A21" s="220" t="str">
        <f>TEXT(ROW(A21)-ROW($A$4),"000")</f>
        <v>017</v>
      </c>
      <c r="B21" s="221"/>
      <c r="C21" s="221" t="s">
        <v>48</v>
      </c>
      <c r="D21" s="221" t="s">
        <v>4029</v>
      </c>
      <c r="E21" s="221" t="s">
        <v>3295</v>
      </c>
      <c r="F21" s="221" t="s">
        <v>3299</v>
      </c>
      <c r="G21" s="222">
        <v>45407</v>
      </c>
      <c r="H21" s="223">
        <v>15.291666666666666</v>
      </c>
      <c r="I21" s="221" t="s">
        <v>38</v>
      </c>
      <c r="J21" s="221" t="s">
        <v>3024</v>
      </c>
      <c r="K21" s="224" t="s">
        <v>3089</v>
      </c>
      <c r="L21" s="225" t="str">
        <f>VLOOKUP(Logfile_S[[#This Row],[Material Name]],Sheet2!B:C,2,0)</f>
        <v>GCI1003</v>
      </c>
      <c r="M21" s="225" t="str">
        <f>_xlfn.XLOOKUP(Logfile_S[[#This Row],[Material Name]],Sum_WH!E:E,Sum_WH!F:F,"",0)</f>
        <v>Pcs</v>
      </c>
      <c r="N21" s="221">
        <v>121</v>
      </c>
      <c r="O21" s="221">
        <v>0</v>
      </c>
      <c r="P21" s="221">
        <v>0</v>
      </c>
      <c r="Q21" s="221">
        <v>0</v>
      </c>
      <c r="R21" s="221">
        <v>0</v>
      </c>
      <c r="S21" s="221"/>
      <c r="T21" s="221"/>
      <c r="U21" s="221"/>
      <c r="V21" s="221"/>
      <c r="W21" s="221"/>
      <c r="X21" s="221"/>
      <c r="Y21" s="227"/>
      <c r="Z21" s="227">
        <f>P21</f>
        <v>0</v>
      </c>
      <c r="AA21" s="276" t="e">
        <f>VLOOKUP(Logfile_S[[#This Row],[DO number]],DO_DB!G:I,3,0)</f>
        <v>#N/A</v>
      </c>
      <c r="AB21" s="331" t="e">
        <f>EXACT(Logfile_S[[#This Row],[date pick]],Logfile_S[[#This Row],[Date]])</f>
        <v>#N/A</v>
      </c>
      <c r="AC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" spans="1:29" ht="14.5">
      <c r="A22" s="220" t="str">
        <f>TEXT(ROW(A22)-ROW($A$4),"000")</f>
        <v>018</v>
      </c>
      <c r="B22" s="221"/>
      <c r="C22" s="221" t="s">
        <v>48</v>
      </c>
      <c r="D22" s="221" t="s">
        <v>4029</v>
      </c>
      <c r="E22" s="221" t="s">
        <v>3295</v>
      </c>
      <c r="F22" s="221" t="s">
        <v>3299</v>
      </c>
      <c r="G22" s="222">
        <v>45407</v>
      </c>
      <c r="H22" s="223">
        <v>15.291666666666666</v>
      </c>
      <c r="I22" s="221" t="s">
        <v>38</v>
      </c>
      <c r="J22" s="221" t="s">
        <v>3024</v>
      </c>
      <c r="K22" s="224" t="s">
        <v>3090</v>
      </c>
      <c r="L22" s="225" t="str">
        <f>VLOOKUP(Logfile_S[[#This Row],[Material Name]],Sheet2!B:C,2,0)</f>
        <v>GCI1004</v>
      </c>
      <c r="M22" s="225" t="str">
        <f>_xlfn.XLOOKUP(Logfile_S[[#This Row],[Material Name]],Sum_WH!E:E,Sum_WH!F:F,"",0)</f>
        <v>Pcs</v>
      </c>
      <c r="N22" s="221">
        <v>42</v>
      </c>
      <c r="O22" s="221">
        <v>0</v>
      </c>
      <c r="P22" s="221">
        <v>0</v>
      </c>
      <c r="Q22" s="221">
        <v>0</v>
      </c>
      <c r="R22" s="221">
        <v>0</v>
      </c>
      <c r="S22" s="221"/>
      <c r="T22" s="221"/>
      <c r="U22" s="221"/>
      <c r="V22" s="221"/>
      <c r="W22" s="221"/>
      <c r="X22" s="221"/>
      <c r="Y22" s="227"/>
      <c r="Z22" s="227">
        <f>P22</f>
        <v>0</v>
      </c>
      <c r="AA22" s="276" t="e">
        <f>VLOOKUP(Logfile_S[[#This Row],[DO number]],DO_DB!G:I,3,0)</f>
        <v>#N/A</v>
      </c>
      <c r="AB22" s="331" t="e">
        <f>EXACT(Logfile_S[[#This Row],[date pick]],Logfile_S[[#This Row],[Date]])</f>
        <v>#N/A</v>
      </c>
      <c r="AC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" spans="1:29" ht="14.5">
      <c r="A23" s="220" t="str">
        <f>TEXT(ROW(A23)-ROW($A$4),"000")</f>
        <v>019</v>
      </c>
      <c r="B23" s="221"/>
      <c r="C23" s="221" t="s">
        <v>48</v>
      </c>
      <c r="D23" s="221" t="s">
        <v>4034</v>
      </c>
      <c r="E23" s="221" t="s">
        <v>3295</v>
      </c>
      <c r="F23" s="221" t="s">
        <v>3299</v>
      </c>
      <c r="G23" s="222">
        <v>45412</v>
      </c>
      <c r="H23" s="223">
        <v>15.291666666666666</v>
      </c>
      <c r="I23" s="221" t="s">
        <v>38</v>
      </c>
      <c r="J23" s="221" t="s">
        <v>3024</v>
      </c>
      <c r="K23" s="224" t="s">
        <v>3097</v>
      </c>
      <c r="L23" s="225" t="str">
        <f>VLOOKUP(Logfile_S[[#This Row],[Material Name]],Sheet2!B:C,2,0)</f>
        <v>GCI1011</v>
      </c>
      <c r="M23" s="225" t="str">
        <f>_xlfn.XLOOKUP(Logfile_S[[#This Row],[Material Name]],Sum_WH!E:E,Sum_WH!F:F,"",0)</f>
        <v>Pcs</v>
      </c>
      <c r="N23" s="221">
        <v>1</v>
      </c>
      <c r="O23" s="221">
        <v>0</v>
      </c>
      <c r="P23" s="221">
        <v>0</v>
      </c>
      <c r="Q23" s="221">
        <v>0</v>
      </c>
      <c r="R23" s="221">
        <v>0</v>
      </c>
      <c r="S23" s="221"/>
      <c r="T23" s="221"/>
      <c r="U23" s="221"/>
      <c r="V23" s="221"/>
      <c r="W23" s="221"/>
      <c r="X23" s="221"/>
      <c r="Y23" s="227"/>
      <c r="Z23" s="227">
        <f>P23</f>
        <v>0</v>
      </c>
      <c r="AA23" s="276" t="e">
        <f>VLOOKUP(Logfile_S[[#This Row],[DO number]],DO_DB!G:I,3,0)</f>
        <v>#N/A</v>
      </c>
      <c r="AB23" s="331" t="e">
        <f>EXACT(Logfile_S[[#This Row],[date pick]],Logfile_S[[#This Row],[Date]])</f>
        <v>#N/A</v>
      </c>
      <c r="AC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" spans="1:29" ht="14.5">
      <c r="A24" s="220" t="str">
        <f>TEXT(ROW(A24)-ROW($A$4),"000")</f>
        <v>020</v>
      </c>
      <c r="B24" s="221"/>
      <c r="C24" s="221" t="s">
        <v>48</v>
      </c>
      <c r="D24" s="221" t="s">
        <v>4034</v>
      </c>
      <c r="E24" s="221" t="s">
        <v>3295</v>
      </c>
      <c r="F24" s="221" t="s">
        <v>3299</v>
      </c>
      <c r="G24" s="222">
        <v>45412</v>
      </c>
      <c r="H24" s="223">
        <v>15.291666666666666</v>
      </c>
      <c r="I24" s="221" t="s">
        <v>38</v>
      </c>
      <c r="J24" s="221" t="s">
        <v>3024</v>
      </c>
      <c r="K24" s="224" t="s">
        <v>3094</v>
      </c>
      <c r="L24" s="225" t="str">
        <f>VLOOKUP(Logfile_S[[#This Row],[Material Name]],Sheet2!B:C,2,0)</f>
        <v>GCI1008</v>
      </c>
      <c r="M24" s="225" t="str">
        <f>_xlfn.XLOOKUP(Logfile_S[[#This Row],[Material Name]],Sum_WH!E:E,Sum_WH!F:F,"",0)</f>
        <v>Pcs</v>
      </c>
      <c r="N24" s="221">
        <v>100</v>
      </c>
      <c r="O24" s="221">
        <v>0</v>
      </c>
      <c r="P24" s="221">
        <v>0</v>
      </c>
      <c r="Q24" s="221">
        <v>0</v>
      </c>
      <c r="R24" s="221">
        <v>0</v>
      </c>
      <c r="S24" s="221"/>
      <c r="T24" s="221"/>
      <c r="U24" s="221"/>
      <c r="V24" s="221"/>
      <c r="W24" s="221"/>
      <c r="X24" s="221"/>
      <c r="Y24" s="227"/>
      <c r="Z24" s="227">
        <f>P24</f>
        <v>0</v>
      </c>
      <c r="AA24" s="276" t="e">
        <f>VLOOKUP(Logfile_S[[#This Row],[DO number]],DO_DB!G:I,3,0)</f>
        <v>#N/A</v>
      </c>
      <c r="AB24" s="331" t="e">
        <f>EXACT(Logfile_S[[#This Row],[date pick]],Logfile_S[[#This Row],[Date]])</f>
        <v>#N/A</v>
      </c>
      <c r="AC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" spans="1:29" ht="14.5">
      <c r="A25" s="220" t="str">
        <f>TEXT(ROW(A25)-ROW($A$4),"000")</f>
        <v>021</v>
      </c>
      <c r="B25" s="221"/>
      <c r="C25" s="221" t="s">
        <v>48</v>
      </c>
      <c r="D25" s="221" t="s">
        <v>4038</v>
      </c>
      <c r="E25" s="221" t="s">
        <v>3295</v>
      </c>
      <c r="F25" s="221" t="s">
        <v>3299</v>
      </c>
      <c r="G25" s="222">
        <v>45420</v>
      </c>
      <c r="H25" s="223">
        <v>15.291666666666666</v>
      </c>
      <c r="I25" s="221" t="s">
        <v>38</v>
      </c>
      <c r="J25" s="221" t="s">
        <v>3024</v>
      </c>
      <c r="K25" s="224" t="s">
        <v>3091</v>
      </c>
      <c r="L25" s="225" t="str">
        <f>VLOOKUP(Logfile_S[[#This Row],[Material Name]],Sheet2!B:C,2,0)</f>
        <v>GCI1005</v>
      </c>
      <c r="M25" s="225" t="str">
        <f>_xlfn.XLOOKUP(Logfile_S[[#This Row],[Material Name]],Sum_WH!E:E,Sum_WH!F:F,"",0)</f>
        <v>Pcs</v>
      </c>
      <c r="N25" s="221">
        <v>52</v>
      </c>
      <c r="O25" s="221">
        <v>0</v>
      </c>
      <c r="P25" s="221">
        <v>0</v>
      </c>
      <c r="Q25" s="221">
        <v>0</v>
      </c>
      <c r="R25" s="221">
        <v>0</v>
      </c>
      <c r="S25" s="221"/>
      <c r="T25" s="221"/>
      <c r="U25" s="221"/>
      <c r="V25" s="221"/>
      <c r="W25" s="221"/>
      <c r="X25" s="221"/>
      <c r="Y25" s="227"/>
      <c r="Z25" s="227">
        <f>P25</f>
        <v>0</v>
      </c>
      <c r="AA25" s="276" t="e">
        <f>VLOOKUP(Logfile_S[[#This Row],[DO number]],DO_DB!G:I,3,0)</f>
        <v>#N/A</v>
      </c>
      <c r="AB25" s="331" t="e">
        <f>EXACT(Logfile_S[[#This Row],[date pick]],Logfile_S[[#This Row],[Date]])</f>
        <v>#N/A</v>
      </c>
      <c r="AC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" spans="1:29" ht="14.5">
      <c r="A26" s="220" t="str">
        <f>TEXT(ROW(A26)-ROW($A$4),"000")</f>
        <v>022</v>
      </c>
      <c r="B26" s="221"/>
      <c r="C26" s="221" t="s">
        <v>48</v>
      </c>
      <c r="D26" s="221" t="s">
        <v>4038</v>
      </c>
      <c r="E26" s="221" t="s">
        <v>3295</v>
      </c>
      <c r="F26" s="221" t="s">
        <v>3299</v>
      </c>
      <c r="G26" s="222">
        <v>45420</v>
      </c>
      <c r="H26" s="223">
        <v>15.291666666666666</v>
      </c>
      <c r="I26" s="221" t="s">
        <v>38</v>
      </c>
      <c r="J26" s="221" t="s">
        <v>3024</v>
      </c>
      <c r="K26" s="224" t="s">
        <v>5137</v>
      </c>
      <c r="L26" s="225" t="str">
        <f>VLOOKUP(Logfile_S[[#This Row],[Material Name]],Sheet2!B:C,2,0)</f>
        <v>GCI1009</v>
      </c>
      <c r="M26" s="225" t="str">
        <f>_xlfn.XLOOKUP(Logfile_S[[#This Row],[Material Name]],Sum_WH!E:E,Sum_WH!F:F,"",0)</f>
        <v>Pcs</v>
      </c>
      <c r="N26" s="221">
        <v>310</v>
      </c>
      <c r="O26" s="221">
        <v>0</v>
      </c>
      <c r="P26" s="221">
        <v>0</v>
      </c>
      <c r="Q26" s="221">
        <v>0</v>
      </c>
      <c r="R26" s="221">
        <v>0</v>
      </c>
      <c r="S26" s="221"/>
      <c r="T26" s="221"/>
      <c r="U26" s="221"/>
      <c r="V26" s="221"/>
      <c r="W26" s="221"/>
      <c r="X26" s="221"/>
      <c r="Y26" s="227"/>
      <c r="Z26" s="227">
        <f>P26</f>
        <v>0</v>
      </c>
      <c r="AA26" s="276" t="e">
        <f>VLOOKUP(Logfile_S[[#This Row],[DO number]],DO_DB!G:I,3,0)</f>
        <v>#N/A</v>
      </c>
      <c r="AB26" s="331" t="e">
        <f>EXACT(Logfile_S[[#This Row],[date pick]],Logfile_S[[#This Row],[Date]])</f>
        <v>#N/A</v>
      </c>
      <c r="AC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7" spans="1:29" ht="14.5">
      <c r="A27" s="220" t="str">
        <f>TEXT(ROW(A27)-ROW($A$4),"000")</f>
        <v>023</v>
      </c>
      <c r="B27" s="221"/>
      <c r="C27" s="221" t="s">
        <v>48</v>
      </c>
      <c r="D27" s="221" t="s">
        <v>4038</v>
      </c>
      <c r="E27" s="221" t="s">
        <v>3295</v>
      </c>
      <c r="F27" s="221" t="s">
        <v>3299</v>
      </c>
      <c r="G27" s="222">
        <v>45420</v>
      </c>
      <c r="H27" s="223">
        <v>15.291666666666666</v>
      </c>
      <c r="I27" s="221" t="s">
        <v>38</v>
      </c>
      <c r="J27" s="221" t="s">
        <v>3024</v>
      </c>
      <c r="K27" s="224" t="s">
        <v>3088</v>
      </c>
      <c r="L27" s="225" t="str">
        <f>VLOOKUP(Logfile_S[[#This Row],[Material Name]],Sheet2!B:C,2,0)</f>
        <v>GCI1002</v>
      </c>
      <c r="M27" s="225" t="str">
        <f>_xlfn.XLOOKUP(Logfile_S[[#This Row],[Material Name]],Sum_WH!E:E,Sum_WH!F:F,"",0)</f>
        <v>Pcs</v>
      </c>
      <c r="N27" s="221">
        <v>1</v>
      </c>
      <c r="O27" s="221">
        <v>0</v>
      </c>
      <c r="P27" s="221">
        <v>0</v>
      </c>
      <c r="Q27" s="221">
        <v>0</v>
      </c>
      <c r="R27" s="221">
        <v>0</v>
      </c>
      <c r="S27" s="221"/>
      <c r="T27" s="221"/>
      <c r="U27" s="221"/>
      <c r="V27" s="221"/>
      <c r="W27" s="221"/>
      <c r="X27" s="221"/>
      <c r="Y27" s="227"/>
      <c r="Z27" s="227">
        <f>P27</f>
        <v>0</v>
      </c>
      <c r="AA27" s="276" t="e">
        <f>VLOOKUP(Logfile_S[[#This Row],[DO number]],DO_DB!G:I,3,0)</f>
        <v>#N/A</v>
      </c>
      <c r="AB27" s="331" t="e">
        <f>EXACT(Logfile_S[[#This Row],[date pick]],Logfile_S[[#This Row],[Date]])</f>
        <v>#N/A</v>
      </c>
      <c r="AC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8" spans="1:29" ht="14.5">
      <c r="A28" s="220" t="str">
        <f>TEXT(ROW(A28)-ROW($A$4),"000")</f>
        <v>024</v>
      </c>
      <c r="B28" s="221"/>
      <c r="C28" s="221" t="s">
        <v>48</v>
      </c>
      <c r="D28" s="221" t="s">
        <v>4038</v>
      </c>
      <c r="E28" s="221" t="s">
        <v>3295</v>
      </c>
      <c r="F28" s="221" t="s">
        <v>3299</v>
      </c>
      <c r="G28" s="222">
        <v>45420</v>
      </c>
      <c r="H28" s="223">
        <v>15.291666666666666</v>
      </c>
      <c r="I28" s="221" t="s">
        <v>38</v>
      </c>
      <c r="J28" s="221" t="s">
        <v>3024</v>
      </c>
      <c r="K28" s="224" t="s">
        <v>3094</v>
      </c>
      <c r="L28" s="225" t="str">
        <f>VLOOKUP(Logfile_S[[#This Row],[Material Name]],Sheet2!B:C,2,0)</f>
        <v>GCI1008</v>
      </c>
      <c r="M28" s="225" t="str">
        <f>_xlfn.XLOOKUP(Logfile_S[[#This Row],[Material Name]],Sum_WH!E:E,Sum_WH!F:F,"",0)</f>
        <v>Pcs</v>
      </c>
      <c r="N28" s="221">
        <v>55</v>
      </c>
      <c r="O28" s="221">
        <v>0</v>
      </c>
      <c r="P28" s="221">
        <v>0</v>
      </c>
      <c r="Q28" s="221">
        <v>0</v>
      </c>
      <c r="R28" s="221">
        <v>0</v>
      </c>
      <c r="S28" s="221"/>
      <c r="T28" s="221"/>
      <c r="U28" s="221"/>
      <c r="V28" s="221"/>
      <c r="W28" s="221"/>
      <c r="X28" s="221"/>
      <c r="Y28" s="227"/>
      <c r="Z28" s="227">
        <f>P28</f>
        <v>0</v>
      </c>
      <c r="AA28" s="276" t="e">
        <f>VLOOKUP(Logfile_S[[#This Row],[DO number]],DO_DB!G:I,3,0)</f>
        <v>#N/A</v>
      </c>
      <c r="AB28" s="331" t="e">
        <f>EXACT(Logfile_S[[#This Row],[date pick]],Logfile_S[[#This Row],[Date]])</f>
        <v>#N/A</v>
      </c>
      <c r="AC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9" spans="1:29" ht="14.5">
      <c r="A29" s="220" t="str">
        <f>TEXT(ROW(A29)-ROW($A$4),"000")</f>
        <v>025</v>
      </c>
      <c r="B29" s="221"/>
      <c r="C29" s="221" t="s">
        <v>48</v>
      </c>
      <c r="D29" s="221" t="s">
        <v>4038</v>
      </c>
      <c r="E29" s="221" t="s">
        <v>3295</v>
      </c>
      <c r="F29" s="221" t="s">
        <v>3299</v>
      </c>
      <c r="G29" s="222">
        <v>45420</v>
      </c>
      <c r="H29" s="223">
        <v>15.291666666666666</v>
      </c>
      <c r="I29" s="221" t="s">
        <v>38</v>
      </c>
      <c r="J29" s="221" t="s">
        <v>3024</v>
      </c>
      <c r="K29" s="224" t="s">
        <v>3089</v>
      </c>
      <c r="L29" s="225" t="str">
        <f>VLOOKUP(Logfile_S[[#This Row],[Material Name]],Sheet2!B:C,2,0)</f>
        <v>GCI1003</v>
      </c>
      <c r="M29" s="225" t="str">
        <f>_xlfn.XLOOKUP(Logfile_S[[#This Row],[Material Name]],Sum_WH!E:E,Sum_WH!F:F,"",0)</f>
        <v>Pcs</v>
      </c>
      <c r="N29" s="221">
        <v>46</v>
      </c>
      <c r="O29" s="221">
        <v>0</v>
      </c>
      <c r="P29" s="221">
        <v>0</v>
      </c>
      <c r="Q29" s="221">
        <v>0</v>
      </c>
      <c r="R29" s="221">
        <v>0</v>
      </c>
      <c r="S29" s="221"/>
      <c r="T29" s="221"/>
      <c r="U29" s="221"/>
      <c r="V29" s="221"/>
      <c r="W29" s="221"/>
      <c r="X29" s="221"/>
      <c r="Y29" s="227"/>
      <c r="Z29" s="227">
        <f>P29</f>
        <v>0</v>
      </c>
      <c r="AA29" s="276" t="e">
        <f>VLOOKUP(Logfile_S[[#This Row],[DO number]],DO_DB!G:I,3,0)</f>
        <v>#N/A</v>
      </c>
      <c r="AB29" s="331" t="e">
        <f>EXACT(Logfile_S[[#This Row],[date pick]],Logfile_S[[#This Row],[Date]])</f>
        <v>#N/A</v>
      </c>
      <c r="AC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0" spans="1:29" ht="14.5">
      <c r="A30" s="220" t="str">
        <f>TEXT(ROW(A30)-ROW($A$4),"000")</f>
        <v>026</v>
      </c>
      <c r="B30" s="221"/>
      <c r="C30" s="221" t="s">
        <v>48</v>
      </c>
      <c r="D30" s="221" t="s">
        <v>4038</v>
      </c>
      <c r="E30" s="221" t="s">
        <v>3295</v>
      </c>
      <c r="F30" s="221" t="s">
        <v>3299</v>
      </c>
      <c r="G30" s="222">
        <v>45420</v>
      </c>
      <c r="H30" s="223">
        <v>15.291666666666666</v>
      </c>
      <c r="I30" s="221" t="s">
        <v>38</v>
      </c>
      <c r="J30" s="221" t="s">
        <v>3024</v>
      </c>
      <c r="K30" s="224" t="s">
        <v>3090</v>
      </c>
      <c r="L30" s="225" t="str">
        <f>VLOOKUP(Logfile_S[[#This Row],[Material Name]],Sheet2!B:C,2,0)</f>
        <v>GCI1004</v>
      </c>
      <c r="M30" s="225" t="str">
        <f>_xlfn.XLOOKUP(Logfile_S[[#This Row],[Material Name]],Sum_WH!E:E,Sum_WH!F:F,"",0)</f>
        <v>Pcs</v>
      </c>
      <c r="N30" s="221">
        <v>78</v>
      </c>
      <c r="O30" s="221">
        <v>0</v>
      </c>
      <c r="P30" s="221">
        <v>0</v>
      </c>
      <c r="Q30" s="221">
        <v>0</v>
      </c>
      <c r="R30" s="221">
        <v>0</v>
      </c>
      <c r="S30" s="221"/>
      <c r="T30" s="221"/>
      <c r="U30" s="221"/>
      <c r="V30" s="221"/>
      <c r="W30" s="221"/>
      <c r="X30" s="221"/>
      <c r="Y30" s="227"/>
      <c r="Z30" s="227">
        <f>P30</f>
        <v>0</v>
      </c>
      <c r="AA30" s="276" t="e">
        <f>VLOOKUP(Logfile_S[[#This Row],[DO number]],DO_DB!G:I,3,0)</f>
        <v>#N/A</v>
      </c>
      <c r="AB30" s="331" t="e">
        <f>EXACT(Logfile_S[[#This Row],[date pick]],Logfile_S[[#This Row],[Date]])</f>
        <v>#N/A</v>
      </c>
      <c r="AC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1" spans="1:29" ht="14.5">
      <c r="A31" s="220" t="str">
        <f>TEXT(ROW(A31)-ROW($A$4),"000")</f>
        <v>027</v>
      </c>
      <c r="B31" s="221"/>
      <c r="C31" s="221" t="s">
        <v>48</v>
      </c>
      <c r="D31" s="221" t="s">
        <v>4045</v>
      </c>
      <c r="E31" s="221" t="s">
        <v>3295</v>
      </c>
      <c r="F31" s="221" t="s">
        <v>3299</v>
      </c>
      <c r="G31" s="222">
        <v>45429</v>
      </c>
      <c r="H31" s="223">
        <v>15.291666666666666</v>
      </c>
      <c r="I31" s="221" t="s">
        <v>38</v>
      </c>
      <c r="J31" s="221" t="s">
        <v>3024</v>
      </c>
      <c r="K31" s="224" t="s">
        <v>3087</v>
      </c>
      <c r="L31" s="225" t="str">
        <f>VLOOKUP(Logfile_S[[#This Row],[Material Name]],Sheet2!B:C,2,0)</f>
        <v>GCI1001</v>
      </c>
      <c r="M31" s="225" t="str">
        <f>_xlfn.XLOOKUP(Logfile_S[[#This Row],[Material Name]],Sum_WH!E:E,Sum_WH!F:F,"",0)</f>
        <v>Pcs</v>
      </c>
      <c r="N31" s="221">
        <v>16</v>
      </c>
      <c r="O31" s="221">
        <v>0</v>
      </c>
      <c r="P31" s="221">
        <v>0</v>
      </c>
      <c r="Q31" s="221">
        <v>0</v>
      </c>
      <c r="R31" s="221">
        <v>0</v>
      </c>
      <c r="S31" s="221"/>
      <c r="T31" s="221"/>
      <c r="U31" s="221"/>
      <c r="V31" s="221"/>
      <c r="W31" s="221"/>
      <c r="X31" s="221"/>
      <c r="Y31" s="227"/>
      <c r="Z31" s="227">
        <f>P31</f>
        <v>0</v>
      </c>
      <c r="AA31" s="276" t="e">
        <f>VLOOKUP(Logfile_S[[#This Row],[DO number]],DO_DB!G:I,3,0)</f>
        <v>#N/A</v>
      </c>
      <c r="AB31" s="331" t="e">
        <f>EXACT(Logfile_S[[#This Row],[date pick]],Logfile_S[[#This Row],[Date]])</f>
        <v>#N/A</v>
      </c>
      <c r="AC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2" spans="1:29" ht="14.5">
      <c r="A32" s="220" t="str">
        <f>TEXT(ROW(A32)-ROW($A$4),"000")</f>
        <v>028</v>
      </c>
      <c r="B32" s="221"/>
      <c r="C32" s="221" t="s">
        <v>48</v>
      </c>
      <c r="D32" s="221" t="s">
        <v>4045</v>
      </c>
      <c r="E32" s="221" t="s">
        <v>3295</v>
      </c>
      <c r="F32" s="221" t="s">
        <v>3299</v>
      </c>
      <c r="G32" s="222">
        <v>45429</v>
      </c>
      <c r="H32" s="223">
        <v>15.291666666666666</v>
      </c>
      <c r="I32" s="221" t="s">
        <v>38</v>
      </c>
      <c r="J32" s="221" t="s">
        <v>3024</v>
      </c>
      <c r="K32" s="224" t="s">
        <v>3108</v>
      </c>
      <c r="L32" s="225" t="str">
        <f>VLOOKUP(Logfile_S[[#This Row],[Material Name]],Sheet2!B:C,2,0)</f>
        <v>GCI1020</v>
      </c>
      <c r="M32" s="225" t="str">
        <f>_xlfn.XLOOKUP(Logfile_S[[#This Row],[Material Name]],Sum_WH!E:E,Sum_WH!F:F,"",0)</f>
        <v>Pcs</v>
      </c>
      <c r="N32" s="221">
        <v>206</v>
      </c>
      <c r="O32" s="221">
        <v>0</v>
      </c>
      <c r="P32" s="221">
        <v>0</v>
      </c>
      <c r="Q32" s="221">
        <v>0</v>
      </c>
      <c r="R32" s="221">
        <v>0</v>
      </c>
      <c r="S32" s="221"/>
      <c r="T32" s="221"/>
      <c r="U32" s="221"/>
      <c r="V32" s="221"/>
      <c r="W32" s="221"/>
      <c r="X32" s="221"/>
      <c r="Y32" s="227"/>
      <c r="Z32" s="227">
        <f>P32</f>
        <v>0</v>
      </c>
      <c r="AA32" s="276" t="e">
        <f>VLOOKUP(Logfile_S[[#This Row],[DO number]],DO_DB!G:I,3,0)</f>
        <v>#N/A</v>
      </c>
      <c r="AB32" s="331" t="e">
        <f>EXACT(Logfile_S[[#This Row],[date pick]],Logfile_S[[#This Row],[Date]])</f>
        <v>#N/A</v>
      </c>
      <c r="AC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3" spans="1:29" ht="14.5">
      <c r="A33" s="220" t="str">
        <f>TEXT(ROW(A33)-ROW($A$4),"000")</f>
        <v>029</v>
      </c>
      <c r="B33" s="221"/>
      <c r="C33" s="221" t="s">
        <v>48</v>
      </c>
      <c r="D33" s="221" t="s">
        <v>4045</v>
      </c>
      <c r="E33" s="221" t="s">
        <v>3295</v>
      </c>
      <c r="F33" s="221" t="s">
        <v>3299</v>
      </c>
      <c r="G33" s="222">
        <v>45429</v>
      </c>
      <c r="H33" s="223">
        <v>15.291666666666666</v>
      </c>
      <c r="I33" s="221" t="s">
        <v>38</v>
      </c>
      <c r="J33" s="221" t="s">
        <v>3024</v>
      </c>
      <c r="K33" s="224" t="s">
        <v>3088</v>
      </c>
      <c r="L33" s="225" t="str">
        <f>VLOOKUP(Logfile_S[[#This Row],[Material Name]],Sheet2!B:C,2,0)</f>
        <v>GCI1002</v>
      </c>
      <c r="M33" s="225" t="str">
        <f>_xlfn.XLOOKUP(Logfile_S[[#This Row],[Material Name]],Sum_WH!E:E,Sum_WH!F:F,"",0)</f>
        <v>Pcs</v>
      </c>
      <c r="N33" s="221">
        <v>1</v>
      </c>
      <c r="O33" s="221">
        <v>0</v>
      </c>
      <c r="P33" s="221">
        <v>0</v>
      </c>
      <c r="Q33" s="221">
        <v>0</v>
      </c>
      <c r="R33" s="221">
        <v>0</v>
      </c>
      <c r="S33" s="221"/>
      <c r="T33" s="221"/>
      <c r="U33" s="221"/>
      <c r="V33" s="221"/>
      <c r="W33" s="221"/>
      <c r="X33" s="221"/>
      <c r="Y33" s="227"/>
      <c r="Z33" s="227">
        <f>P33</f>
        <v>0</v>
      </c>
      <c r="AA33" s="276" t="e">
        <f>VLOOKUP(Logfile_S[[#This Row],[DO number]],DO_DB!G:I,3,0)</f>
        <v>#N/A</v>
      </c>
      <c r="AB33" s="331" t="e">
        <f>EXACT(Logfile_S[[#This Row],[date pick]],Logfile_S[[#This Row],[Date]])</f>
        <v>#N/A</v>
      </c>
      <c r="AC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4" spans="1:29" ht="14.5">
      <c r="A34" s="220" t="str">
        <f>TEXT(ROW(A34)-ROW($A$4),"000")</f>
        <v>030</v>
      </c>
      <c r="B34" s="221"/>
      <c r="C34" s="221" t="s">
        <v>48</v>
      </c>
      <c r="D34" s="221" t="s">
        <v>4045</v>
      </c>
      <c r="E34" s="221" t="s">
        <v>3295</v>
      </c>
      <c r="F34" s="221" t="s">
        <v>3299</v>
      </c>
      <c r="G34" s="222">
        <v>45429</v>
      </c>
      <c r="H34" s="223">
        <v>15.291666666666666</v>
      </c>
      <c r="I34" s="221" t="s">
        <v>38</v>
      </c>
      <c r="J34" s="221" t="s">
        <v>3024</v>
      </c>
      <c r="K34" s="224" t="s">
        <v>3094</v>
      </c>
      <c r="L34" s="225" t="str">
        <f>VLOOKUP(Logfile_S[[#This Row],[Material Name]],Sheet2!B:C,2,0)</f>
        <v>GCI1008</v>
      </c>
      <c r="M34" s="225" t="str">
        <f>_xlfn.XLOOKUP(Logfile_S[[#This Row],[Material Name]],Sum_WH!E:E,Sum_WH!F:F,"",0)</f>
        <v>Pcs</v>
      </c>
      <c r="N34" s="221">
        <v>150</v>
      </c>
      <c r="O34" s="221">
        <v>0</v>
      </c>
      <c r="P34" s="221">
        <v>0</v>
      </c>
      <c r="Q34" s="221">
        <v>0</v>
      </c>
      <c r="R34" s="221">
        <v>0</v>
      </c>
      <c r="S34" s="221"/>
      <c r="T34" s="221"/>
      <c r="U34" s="221"/>
      <c r="V34" s="221"/>
      <c r="W34" s="221"/>
      <c r="X34" s="221"/>
      <c r="Y34" s="227"/>
      <c r="Z34" s="227">
        <f>P34</f>
        <v>0</v>
      </c>
      <c r="AA34" s="276" t="e">
        <f>VLOOKUP(Logfile_S[[#This Row],[DO number]],DO_DB!G:I,3,0)</f>
        <v>#N/A</v>
      </c>
      <c r="AB34" s="331" t="e">
        <f>EXACT(Logfile_S[[#This Row],[date pick]],Logfile_S[[#This Row],[Date]])</f>
        <v>#N/A</v>
      </c>
      <c r="AC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5" spans="1:29" ht="14.5">
      <c r="A35" s="220" t="str">
        <f>TEXT(ROW(A35)-ROW($A$4),"000")</f>
        <v>031</v>
      </c>
      <c r="B35" s="221"/>
      <c r="C35" s="221" t="s">
        <v>48</v>
      </c>
      <c r="D35" s="221" t="s">
        <v>4045</v>
      </c>
      <c r="E35" s="221" t="s">
        <v>3295</v>
      </c>
      <c r="F35" s="221" t="s">
        <v>3299</v>
      </c>
      <c r="G35" s="222">
        <v>45429</v>
      </c>
      <c r="H35" s="223">
        <v>15.291666666666666</v>
      </c>
      <c r="I35" s="221" t="s">
        <v>38</v>
      </c>
      <c r="J35" s="221" t="s">
        <v>3024</v>
      </c>
      <c r="K35" s="224" t="s">
        <v>3089</v>
      </c>
      <c r="L35" s="225" t="str">
        <f>VLOOKUP(Logfile_S[[#This Row],[Material Name]],Sheet2!B:C,2,0)</f>
        <v>GCI1003</v>
      </c>
      <c r="M35" s="225" t="str">
        <f>_xlfn.XLOOKUP(Logfile_S[[#This Row],[Material Name]],Sum_WH!E:E,Sum_WH!F:F,"",0)</f>
        <v>Pcs</v>
      </c>
      <c r="N35" s="221">
        <v>112</v>
      </c>
      <c r="O35" s="221">
        <v>0</v>
      </c>
      <c r="P35" s="221">
        <v>0</v>
      </c>
      <c r="Q35" s="221">
        <v>0</v>
      </c>
      <c r="R35" s="221">
        <v>0</v>
      </c>
      <c r="S35" s="221"/>
      <c r="T35" s="221"/>
      <c r="U35" s="221"/>
      <c r="V35" s="221"/>
      <c r="W35" s="221"/>
      <c r="X35" s="221"/>
      <c r="Y35" s="227"/>
      <c r="Z35" s="227">
        <f>P35</f>
        <v>0</v>
      </c>
      <c r="AA35" s="276" t="e">
        <f>VLOOKUP(Logfile_S[[#This Row],[DO number]],DO_DB!G:I,3,0)</f>
        <v>#N/A</v>
      </c>
      <c r="AB35" s="331" t="e">
        <f>EXACT(Logfile_S[[#This Row],[date pick]],Logfile_S[[#This Row],[Date]])</f>
        <v>#N/A</v>
      </c>
      <c r="AC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6" spans="1:29" ht="14.5">
      <c r="A36" s="220" t="str">
        <f>TEXT(ROW(A36)-ROW($A$4),"000")</f>
        <v>032</v>
      </c>
      <c r="B36" s="221"/>
      <c r="C36" s="221" t="s">
        <v>48</v>
      </c>
      <c r="D36" s="221" t="s">
        <v>4045</v>
      </c>
      <c r="E36" s="221" t="s">
        <v>3295</v>
      </c>
      <c r="F36" s="221" t="s">
        <v>3299</v>
      </c>
      <c r="G36" s="222">
        <v>45429</v>
      </c>
      <c r="H36" s="223">
        <v>15.291666666666666</v>
      </c>
      <c r="I36" s="221" t="s">
        <v>38</v>
      </c>
      <c r="J36" s="221" t="s">
        <v>3024</v>
      </c>
      <c r="K36" s="224" t="s">
        <v>3089</v>
      </c>
      <c r="L36" s="225" t="str">
        <f>VLOOKUP(Logfile_S[[#This Row],[Material Name]],Sheet2!B:C,2,0)</f>
        <v>GCI1003</v>
      </c>
      <c r="M36" s="225" t="str">
        <f>_xlfn.XLOOKUP(Logfile_S[[#This Row],[Material Name]],Sum_WH!E:E,Sum_WH!F:F,"",0)</f>
        <v>Pcs</v>
      </c>
      <c r="N36" s="221">
        <v>125</v>
      </c>
      <c r="O36" s="221">
        <v>0</v>
      </c>
      <c r="P36" s="221">
        <v>0</v>
      </c>
      <c r="Q36" s="221">
        <v>0</v>
      </c>
      <c r="R36" s="221">
        <v>0</v>
      </c>
      <c r="S36" s="221"/>
      <c r="T36" s="221"/>
      <c r="U36" s="221"/>
      <c r="V36" s="221"/>
      <c r="W36" s="221"/>
      <c r="X36" s="221"/>
      <c r="Y36" s="227"/>
      <c r="Z36" s="227">
        <f>P36</f>
        <v>0</v>
      </c>
      <c r="AA36" s="276" t="e">
        <f>VLOOKUP(Logfile_S[[#This Row],[DO number]],DO_DB!G:I,3,0)</f>
        <v>#N/A</v>
      </c>
      <c r="AB36" s="331" t="e">
        <f>EXACT(Logfile_S[[#This Row],[date pick]],Logfile_S[[#This Row],[Date]])</f>
        <v>#N/A</v>
      </c>
      <c r="AC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7" spans="1:29" ht="14.5">
      <c r="A37" s="220" t="str">
        <f>TEXT(ROW(A37)-ROW($A$4),"000")</f>
        <v>033</v>
      </c>
      <c r="B37" s="221"/>
      <c r="C37" s="221" t="s">
        <v>48</v>
      </c>
      <c r="D37" s="221" t="s">
        <v>4045</v>
      </c>
      <c r="E37" s="221" t="s">
        <v>3295</v>
      </c>
      <c r="F37" s="221" t="s">
        <v>3299</v>
      </c>
      <c r="G37" s="222">
        <v>45429</v>
      </c>
      <c r="H37" s="223">
        <v>15.291666666666666</v>
      </c>
      <c r="I37" s="221" t="s">
        <v>38</v>
      </c>
      <c r="J37" s="221" t="s">
        <v>3024</v>
      </c>
      <c r="K37" s="224" t="s">
        <v>3090</v>
      </c>
      <c r="L37" s="225" t="str">
        <f>VLOOKUP(Logfile_S[[#This Row],[Material Name]],Sheet2!B:C,2,0)</f>
        <v>GCI1004</v>
      </c>
      <c r="M37" s="225" t="str">
        <f>_xlfn.XLOOKUP(Logfile_S[[#This Row],[Material Name]],Sum_WH!E:E,Sum_WH!F:F,"",0)</f>
        <v>Pcs</v>
      </c>
      <c r="N37" s="221">
        <v>35</v>
      </c>
      <c r="O37" s="221">
        <v>0</v>
      </c>
      <c r="P37" s="221">
        <v>0</v>
      </c>
      <c r="Q37" s="221">
        <v>0</v>
      </c>
      <c r="R37" s="221">
        <v>0</v>
      </c>
      <c r="S37" s="221"/>
      <c r="T37" s="221"/>
      <c r="U37" s="221"/>
      <c r="V37" s="221"/>
      <c r="W37" s="221"/>
      <c r="X37" s="221"/>
      <c r="Y37" s="227"/>
      <c r="Z37" s="227">
        <f>P37</f>
        <v>0</v>
      </c>
      <c r="AA37" s="276" t="e">
        <f>VLOOKUP(Logfile_S[[#This Row],[DO number]],DO_DB!G:I,3,0)</f>
        <v>#N/A</v>
      </c>
      <c r="AB37" s="331" t="e">
        <f>EXACT(Logfile_S[[#This Row],[date pick]],Logfile_S[[#This Row],[Date]])</f>
        <v>#N/A</v>
      </c>
      <c r="AC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8" spans="1:29" ht="14.5">
      <c r="A38" s="220" t="str">
        <f>TEXT(ROW(A38)-ROW($A$4),"000")</f>
        <v>034</v>
      </c>
      <c r="B38" s="221"/>
      <c r="C38" s="221" t="s">
        <v>48</v>
      </c>
      <c r="D38" s="221" t="s">
        <v>4045</v>
      </c>
      <c r="E38" s="221" t="s">
        <v>3295</v>
      </c>
      <c r="F38" s="221" t="s">
        <v>3299</v>
      </c>
      <c r="G38" s="222">
        <v>45429</v>
      </c>
      <c r="H38" s="223">
        <v>15.291666666666666</v>
      </c>
      <c r="I38" s="221" t="s">
        <v>38</v>
      </c>
      <c r="J38" s="221" t="s">
        <v>3024</v>
      </c>
      <c r="K38" s="224" t="s">
        <v>3090</v>
      </c>
      <c r="L38" s="225" t="str">
        <f>VLOOKUP(Logfile_S[[#This Row],[Material Name]],Sheet2!B:C,2,0)</f>
        <v>GCI1004</v>
      </c>
      <c r="M38" s="225" t="str">
        <f>_xlfn.XLOOKUP(Logfile_S[[#This Row],[Material Name]],Sum_WH!E:E,Sum_WH!F:F,"",0)</f>
        <v>Pcs</v>
      </c>
      <c r="N38" s="221">
        <v>52</v>
      </c>
      <c r="O38" s="221">
        <v>0</v>
      </c>
      <c r="P38" s="221">
        <v>0</v>
      </c>
      <c r="Q38" s="221">
        <v>0</v>
      </c>
      <c r="R38" s="221">
        <v>0</v>
      </c>
      <c r="S38" s="221"/>
      <c r="T38" s="221"/>
      <c r="U38" s="221"/>
      <c r="V38" s="221"/>
      <c r="W38" s="221"/>
      <c r="X38" s="221"/>
      <c r="Y38" s="227"/>
      <c r="Z38" s="227">
        <f>P38</f>
        <v>0</v>
      </c>
      <c r="AA38" s="276" t="e">
        <f>VLOOKUP(Logfile_S[[#This Row],[DO number]],DO_DB!G:I,3,0)</f>
        <v>#N/A</v>
      </c>
      <c r="AB38" s="331" t="e">
        <f>EXACT(Logfile_S[[#This Row],[date pick]],Logfile_S[[#This Row],[Date]])</f>
        <v>#N/A</v>
      </c>
      <c r="AC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9" spans="1:29" ht="14.5">
      <c r="A39" s="220" t="str">
        <f>TEXT(ROW(A39)-ROW($A$4),"000")</f>
        <v>035</v>
      </c>
      <c r="B39" s="221"/>
      <c r="C39" s="221" t="s">
        <v>48</v>
      </c>
      <c r="D39" s="221" t="s">
        <v>4072</v>
      </c>
      <c r="E39" s="221" t="s">
        <v>3295</v>
      </c>
      <c r="F39" s="221" t="s">
        <v>3299</v>
      </c>
      <c r="G39" s="222">
        <v>45447</v>
      </c>
      <c r="H39" s="223">
        <v>15.291666666666666</v>
      </c>
      <c r="I39" s="221" t="s">
        <v>38</v>
      </c>
      <c r="J39" s="221" t="s">
        <v>3024</v>
      </c>
      <c r="K39" s="224" t="s">
        <v>3087</v>
      </c>
      <c r="L39" s="225" t="str">
        <f>VLOOKUP(Logfile_S[[#This Row],[Material Name]],Sheet2!B:C,2,0)</f>
        <v>GCI1001</v>
      </c>
      <c r="M39" s="225" t="str">
        <f>_xlfn.XLOOKUP(Logfile_S[[#This Row],[Material Name]],Sum_WH!E:E,Sum_WH!F:F,"",0)</f>
        <v>Pcs</v>
      </c>
      <c r="N39" s="221">
        <v>58</v>
      </c>
      <c r="O39" s="221">
        <v>0</v>
      </c>
      <c r="P39" s="221">
        <v>0</v>
      </c>
      <c r="Q39" s="221">
        <v>0</v>
      </c>
      <c r="R39" s="221">
        <v>0</v>
      </c>
      <c r="S39" s="221"/>
      <c r="T39" s="221"/>
      <c r="U39" s="221"/>
      <c r="V39" s="221"/>
      <c r="W39" s="221"/>
      <c r="X39" s="221"/>
      <c r="Y39" s="227"/>
      <c r="Z39" s="227">
        <f>P39</f>
        <v>0</v>
      </c>
      <c r="AA39" s="276" t="e">
        <f>VLOOKUP(Logfile_S[[#This Row],[DO number]],DO_DB!G:I,3,0)</f>
        <v>#N/A</v>
      </c>
      <c r="AB39" s="331" t="e">
        <f>EXACT(Logfile_S[[#This Row],[date pick]],Logfile_S[[#This Row],[Date]])</f>
        <v>#N/A</v>
      </c>
      <c r="AC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0" spans="1:29" ht="14.5">
      <c r="A40" s="220" t="str">
        <f>TEXT(ROW(A40)-ROW($A$4),"000")</f>
        <v>036</v>
      </c>
      <c r="B40" s="221"/>
      <c r="C40" s="221" t="s">
        <v>48</v>
      </c>
      <c r="D40" s="221" t="s">
        <v>4072</v>
      </c>
      <c r="E40" s="221" t="s">
        <v>3295</v>
      </c>
      <c r="F40" s="221" t="s">
        <v>3299</v>
      </c>
      <c r="G40" s="222">
        <v>45447</v>
      </c>
      <c r="H40" s="223">
        <v>15.291666666666666</v>
      </c>
      <c r="I40" s="221" t="s">
        <v>38</v>
      </c>
      <c r="J40" s="221" t="s">
        <v>3024</v>
      </c>
      <c r="K40" s="224" t="s">
        <v>5137</v>
      </c>
      <c r="L40" s="225" t="str">
        <f>VLOOKUP(Logfile_S[[#This Row],[Material Name]],Sheet2!B:C,2,0)</f>
        <v>GCI1009</v>
      </c>
      <c r="M40" s="225" t="str">
        <f>_xlfn.XLOOKUP(Logfile_S[[#This Row],[Material Name]],Sum_WH!E:E,Sum_WH!F:F,"",0)</f>
        <v>Pcs</v>
      </c>
      <c r="N40" s="221">
        <v>202</v>
      </c>
      <c r="O40" s="221">
        <v>0</v>
      </c>
      <c r="P40" s="221">
        <v>0</v>
      </c>
      <c r="Q40" s="221">
        <v>0</v>
      </c>
      <c r="R40" s="221">
        <v>0</v>
      </c>
      <c r="S40" s="221"/>
      <c r="T40" s="221"/>
      <c r="U40" s="221"/>
      <c r="V40" s="221"/>
      <c r="W40" s="221"/>
      <c r="X40" s="221"/>
      <c r="Y40" s="227"/>
      <c r="Z40" s="227">
        <f>P40</f>
        <v>0</v>
      </c>
      <c r="AA40" s="276" t="e">
        <f>VLOOKUP(Logfile_S[[#This Row],[DO number]],DO_DB!G:I,3,0)</f>
        <v>#N/A</v>
      </c>
      <c r="AB40" s="331" t="e">
        <f>EXACT(Logfile_S[[#This Row],[date pick]],Logfile_S[[#This Row],[Date]])</f>
        <v>#N/A</v>
      </c>
      <c r="AC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1" spans="1:29" ht="14.5">
      <c r="A41" s="220" t="str">
        <f>TEXT(ROW(A41)-ROW($A$4),"000")</f>
        <v>037</v>
      </c>
      <c r="B41" s="221"/>
      <c r="C41" s="221" t="s">
        <v>48</v>
      </c>
      <c r="D41" s="221" t="s">
        <v>4072</v>
      </c>
      <c r="E41" s="221" t="s">
        <v>3295</v>
      </c>
      <c r="F41" s="221" t="s">
        <v>3299</v>
      </c>
      <c r="G41" s="222">
        <v>45447</v>
      </c>
      <c r="H41" s="223">
        <v>15.291666666666666</v>
      </c>
      <c r="I41" s="221" t="s">
        <v>38</v>
      </c>
      <c r="J41" s="221" t="s">
        <v>3024</v>
      </c>
      <c r="K41" s="224" t="s">
        <v>3088</v>
      </c>
      <c r="L41" s="225" t="str">
        <f>VLOOKUP(Logfile_S[[#This Row],[Material Name]],Sheet2!B:C,2,0)</f>
        <v>GCI1002</v>
      </c>
      <c r="M41" s="225" t="str">
        <f>_xlfn.XLOOKUP(Logfile_S[[#This Row],[Material Name]],Sum_WH!E:E,Sum_WH!F:F,"",0)</f>
        <v>Pcs</v>
      </c>
      <c r="N41" s="221">
        <v>5</v>
      </c>
      <c r="O41" s="221">
        <v>0</v>
      </c>
      <c r="P41" s="221">
        <v>0</v>
      </c>
      <c r="Q41" s="221">
        <v>0</v>
      </c>
      <c r="R41" s="221">
        <v>0</v>
      </c>
      <c r="S41" s="221"/>
      <c r="T41" s="221"/>
      <c r="U41" s="221"/>
      <c r="V41" s="221"/>
      <c r="W41" s="221"/>
      <c r="X41" s="221"/>
      <c r="Y41" s="227"/>
      <c r="Z41" s="227">
        <f>P41</f>
        <v>0</v>
      </c>
      <c r="AA41" s="276" t="e">
        <f>VLOOKUP(Logfile_S[[#This Row],[DO number]],DO_DB!G:I,3,0)</f>
        <v>#N/A</v>
      </c>
      <c r="AB41" s="331" t="e">
        <f>EXACT(Logfile_S[[#This Row],[date pick]],Logfile_S[[#This Row],[Date]])</f>
        <v>#N/A</v>
      </c>
      <c r="AC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2" spans="1:29" ht="14.5">
      <c r="A42" s="220" t="str">
        <f>TEXT(ROW(A42)-ROW($A$4),"000")</f>
        <v>038</v>
      </c>
      <c r="B42" s="221"/>
      <c r="C42" s="221" t="s">
        <v>48</v>
      </c>
      <c r="D42" s="221" t="s">
        <v>4082</v>
      </c>
      <c r="E42" s="221" t="s">
        <v>3295</v>
      </c>
      <c r="F42" s="221" t="s">
        <v>3299</v>
      </c>
      <c r="G42" s="222">
        <v>45449</v>
      </c>
      <c r="H42" s="223">
        <v>15.291666666666666</v>
      </c>
      <c r="I42" s="221" t="s">
        <v>38</v>
      </c>
      <c r="J42" s="221" t="s">
        <v>3024</v>
      </c>
      <c r="K42" s="224" t="s">
        <v>3097</v>
      </c>
      <c r="L42" s="225" t="str">
        <f>VLOOKUP(Logfile_S[[#This Row],[Material Name]],Sheet2!B:C,2,0)</f>
        <v>GCI1011</v>
      </c>
      <c r="M42" s="225" t="str">
        <f>_xlfn.XLOOKUP(Logfile_S[[#This Row],[Material Name]],Sum_WH!E:E,Sum_WH!F:F,"",0)</f>
        <v>Pcs</v>
      </c>
      <c r="N42" s="221">
        <v>1</v>
      </c>
      <c r="O42" s="221">
        <v>0</v>
      </c>
      <c r="P42" s="221">
        <v>0</v>
      </c>
      <c r="Q42" s="221">
        <v>0</v>
      </c>
      <c r="R42" s="221">
        <v>0</v>
      </c>
      <c r="S42" s="221"/>
      <c r="T42" s="221"/>
      <c r="U42" s="221"/>
      <c r="V42" s="221"/>
      <c r="W42" s="221"/>
      <c r="X42" s="221"/>
      <c r="Y42" s="227"/>
      <c r="Z42" s="227">
        <f>P42</f>
        <v>0</v>
      </c>
      <c r="AA42" s="276" t="e">
        <f>VLOOKUP(Logfile_S[[#This Row],[DO number]],DO_DB!G:I,3,0)</f>
        <v>#N/A</v>
      </c>
      <c r="AB42" s="331" t="e">
        <f>EXACT(Logfile_S[[#This Row],[date pick]],Logfile_S[[#This Row],[Date]])</f>
        <v>#N/A</v>
      </c>
      <c r="AC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3" spans="1:29" ht="14.5">
      <c r="A43" s="220" t="str">
        <f>TEXT(ROW(A43)-ROW($A$4),"000")</f>
        <v>039</v>
      </c>
      <c r="B43" s="221"/>
      <c r="C43" s="221" t="s">
        <v>48</v>
      </c>
      <c r="D43" s="221" t="s">
        <v>4082</v>
      </c>
      <c r="E43" s="221" t="s">
        <v>3295</v>
      </c>
      <c r="F43" s="221" t="s">
        <v>3299</v>
      </c>
      <c r="G43" s="222">
        <v>45449</v>
      </c>
      <c r="H43" s="223">
        <v>15.291666666666666</v>
      </c>
      <c r="I43" s="221" t="s">
        <v>38</v>
      </c>
      <c r="J43" s="221" t="s">
        <v>3024</v>
      </c>
      <c r="K43" s="224" t="s">
        <v>3091</v>
      </c>
      <c r="L43" s="225" t="str">
        <f>VLOOKUP(Logfile_S[[#This Row],[Material Name]],Sheet2!B:C,2,0)</f>
        <v>GCI1005</v>
      </c>
      <c r="M43" s="225" t="str">
        <f>_xlfn.XLOOKUP(Logfile_S[[#This Row],[Material Name]],Sum_WH!E:E,Sum_WH!F:F,"",0)</f>
        <v>Pcs</v>
      </c>
      <c r="N43" s="221">
        <v>145</v>
      </c>
      <c r="O43" s="221">
        <v>0</v>
      </c>
      <c r="P43" s="221">
        <v>0</v>
      </c>
      <c r="Q43" s="221">
        <v>0</v>
      </c>
      <c r="R43" s="221">
        <v>0</v>
      </c>
      <c r="S43" s="221"/>
      <c r="T43" s="221"/>
      <c r="U43" s="221"/>
      <c r="V43" s="221"/>
      <c r="W43" s="221"/>
      <c r="X43" s="221"/>
      <c r="Y43" s="227"/>
      <c r="Z43" s="227">
        <f>P43</f>
        <v>0</v>
      </c>
      <c r="AA43" s="276" t="e">
        <f>VLOOKUP(Logfile_S[[#This Row],[DO number]],DO_DB!G:I,3,0)</f>
        <v>#N/A</v>
      </c>
      <c r="AB43" s="331" t="e">
        <f>EXACT(Logfile_S[[#This Row],[date pick]],Logfile_S[[#This Row],[Date]])</f>
        <v>#N/A</v>
      </c>
      <c r="AC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4" spans="1:29" ht="14.5">
      <c r="A44" s="220" t="str">
        <f>TEXT(ROW(A44)-ROW($A$4),"000")</f>
        <v>040</v>
      </c>
      <c r="B44" s="221"/>
      <c r="C44" s="221" t="s">
        <v>48</v>
      </c>
      <c r="D44" s="221" t="s">
        <v>4082</v>
      </c>
      <c r="E44" s="221" t="s">
        <v>3295</v>
      </c>
      <c r="F44" s="221" t="s">
        <v>3299</v>
      </c>
      <c r="G44" s="222">
        <v>45449</v>
      </c>
      <c r="H44" s="223">
        <v>15.291666666666666</v>
      </c>
      <c r="I44" s="221" t="s">
        <v>38</v>
      </c>
      <c r="J44" s="221" t="s">
        <v>3024</v>
      </c>
      <c r="K44" s="224" t="s">
        <v>3094</v>
      </c>
      <c r="L44" s="225" t="str">
        <f>VLOOKUP(Logfile_S[[#This Row],[Material Name]],Sheet2!B:C,2,0)</f>
        <v>GCI1008</v>
      </c>
      <c r="M44" s="225" t="str">
        <f>_xlfn.XLOOKUP(Logfile_S[[#This Row],[Material Name]],Sum_WH!E:E,Sum_WH!F:F,"",0)</f>
        <v>Pcs</v>
      </c>
      <c r="N44" s="221">
        <v>212</v>
      </c>
      <c r="O44" s="221">
        <v>0</v>
      </c>
      <c r="P44" s="221">
        <v>0</v>
      </c>
      <c r="Q44" s="221">
        <v>0</v>
      </c>
      <c r="R44" s="221">
        <v>0</v>
      </c>
      <c r="S44" s="221"/>
      <c r="T44" s="221"/>
      <c r="U44" s="221"/>
      <c r="V44" s="221"/>
      <c r="W44" s="221"/>
      <c r="X44" s="221"/>
      <c r="Y44" s="227"/>
      <c r="Z44" s="227">
        <f>P44</f>
        <v>0</v>
      </c>
      <c r="AA44" s="276" t="e">
        <f>VLOOKUP(Logfile_S[[#This Row],[DO number]],DO_DB!G:I,3,0)</f>
        <v>#N/A</v>
      </c>
      <c r="AB44" s="331" t="e">
        <f>EXACT(Logfile_S[[#This Row],[date pick]],Logfile_S[[#This Row],[Date]])</f>
        <v>#N/A</v>
      </c>
      <c r="AC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5" spans="1:29" ht="14.5">
      <c r="A45" s="220" t="str">
        <f>TEXT(ROW(A45)-ROW($A$4),"000")</f>
        <v>041</v>
      </c>
      <c r="B45" s="221"/>
      <c r="C45" s="221" t="s">
        <v>48</v>
      </c>
      <c r="D45" s="221" t="s">
        <v>4082</v>
      </c>
      <c r="E45" s="221" t="s">
        <v>3295</v>
      </c>
      <c r="F45" s="221" t="s">
        <v>3299</v>
      </c>
      <c r="G45" s="222">
        <v>45449</v>
      </c>
      <c r="H45" s="223">
        <v>15.291666666666666</v>
      </c>
      <c r="I45" s="221" t="s">
        <v>38</v>
      </c>
      <c r="J45" s="221" t="s">
        <v>3024</v>
      </c>
      <c r="K45" s="224" t="s">
        <v>3089</v>
      </c>
      <c r="L45" s="225" t="str">
        <f>VLOOKUP(Logfile_S[[#This Row],[Material Name]],Sheet2!B:C,2,0)</f>
        <v>GCI1003</v>
      </c>
      <c r="M45" s="225" t="str">
        <f>_xlfn.XLOOKUP(Logfile_S[[#This Row],[Material Name]],Sum_WH!E:E,Sum_WH!F:F,"",0)</f>
        <v>Pcs</v>
      </c>
      <c r="N45" s="221">
        <v>228</v>
      </c>
      <c r="O45" s="221">
        <v>0</v>
      </c>
      <c r="P45" s="221">
        <v>0</v>
      </c>
      <c r="Q45" s="221">
        <v>0</v>
      </c>
      <c r="R45" s="221">
        <v>0</v>
      </c>
      <c r="S45" s="221"/>
      <c r="T45" s="221"/>
      <c r="U45" s="221"/>
      <c r="V45" s="221"/>
      <c r="W45" s="221"/>
      <c r="X45" s="221"/>
      <c r="Y45" s="227"/>
      <c r="Z45" s="227">
        <f>P45</f>
        <v>0</v>
      </c>
      <c r="AA45" s="276" t="e">
        <f>VLOOKUP(Logfile_S[[#This Row],[DO number]],DO_DB!G:I,3,0)</f>
        <v>#N/A</v>
      </c>
      <c r="AB45" s="331" t="e">
        <f>EXACT(Logfile_S[[#This Row],[date pick]],Logfile_S[[#This Row],[Date]])</f>
        <v>#N/A</v>
      </c>
      <c r="AC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6" spans="1:29" ht="14.5">
      <c r="A46" s="220" t="str">
        <f>TEXT(ROW(A46)-ROW($A$4),"000")</f>
        <v>042</v>
      </c>
      <c r="B46" s="221"/>
      <c r="C46" s="221" t="s">
        <v>48</v>
      </c>
      <c r="D46" s="221" t="s">
        <v>4082</v>
      </c>
      <c r="E46" s="221" t="s">
        <v>3295</v>
      </c>
      <c r="F46" s="221" t="s">
        <v>3299</v>
      </c>
      <c r="G46" s="222">
        <v>45449</v>
      </c>
      <c r="H46" s="223">
        <v>15.291666666666666</v>
      </c>
      <c r="I46" s="221" t="s">
        <v>38</v>
      </c>
      <c r="J46" s="221" t="s">
        <v>3024</v>
      </c>
      <c r="K46" s="224" t="s">
        <v>3090</v>
      </c>
      <c r="L46" s="225" t="str">
        <f>VLOOKUP(Logfile_S[[#This Row],[Material Name]],Sheet2!B:C,2,0)</f>
        <v>GCI1004</v>
      </c>
      <c r="M46" s="225" t="str">
        <f>_xlfn.XLOOKUP(Logfile_S[[#This Row],[Material Name]],Sum_WH!E:E,Sum_WH!F:F,"",0)</f>
        <v>Pcs</v>
      </c>
      <c r="N46" s="221">
        <v>106</v>
      </c>
      <c r="O46" s="221">
        <v>0</v>
      </c>
      <c r="P46" s="221">
        <v>0</v>
      </c>
      <c r="Q46" s="221">
        <v>0</v>
      </c>
      <c r="R46" s="221">
        <v>0</v>
      </c>
      <c r="S46" s="221"/>
      <c r="T46" s="221"/>
      <c r="U46" s="221"/>
      <c r="V46" s="221"/>
      <c r="W46" s="221"/>
      <c r="X46" s="221"/>
      <c r="Y46" s="227"/>
      <c r="Z46" s="227">
        <f>P46</f>
        <v>0</v>
      </c>
      <c r="AA46" s="276" t="e">
        <f>VLOOKUP(Logfile_S[[#This Row],[DO number]],DO_DB!G:I,3,0)</f>
        <v>#N/A</v>
      </c>
      <c r="AB46" s="331" t="e">
        <f>EXACT(Logfile_S[[#This Row],[date pick]],Logfile_S[[#This Row],[Date]])</f>
        <v>#N/A</v>
      </c>
      <c r="AC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7" spans="1:29" ht="14.5">
      <c r="A47" s="220" t="str">
        <f>TEXT(ROW(A47)-ROW($A$4),"000")</f>
        <v>043</v>
      </c>
      <c r="B47" s="221"/>
      <c r="C47" s="221" t="s">
        <v>48</v>
      </c>
      <c r="D47" s="221" t="s">
        <v>4103</v>
      </c>
      <c r="E47" s="221" t="s">
        <v>3295</v>
      </c>
      <c r="F47" s="221" t="s">
        <v>3299</v>
      </c>
      <c r="G47" s="222">
        <v>45468</v>
      </c>
      <c r="H47" s="223">
        <v>15.291666666666666</v>
      </c>
      <c r="I47" s="221" t="s">
        <v>38</v>
      </c>
      <c r="J47" s="221" t="s">
        <v>3024</v>
      </c>
      <c r="K47" s="224" t="s">
        <v>3097</v>
      </c>
      <c r="L47" s="225" t="str">
        <f>VLOOKUP(Logfile_S[[#This Row],[Material Name]],Sheet2!B:C,2,0)</f>
        <v>GCI1011</v>
      </c>
      <c r="M47" s="225" t="str">
        <f>_xlfn.XLOOKUP(Logfile_S[[#This Row],[Material Name]],Sum_WH!E:E,Sum_WH!F:F,"",0)</f>
        <v>Pcs</v>
      </c>
      <c r="N47" s="221">
        <v>2.8</v>
      </c>
      <c r="O47" s="221">
        <v>0</v>
      </c>
      <c r="P47" s="221">
        <v>0</v>
      </c>
      <c r="Q47" s="221">
        <v>0</v>
      </c>
      <c r="R47" s="221">
        <v>0</v>
      </c>
      <c r="S47" s="221"/>
      <c r="T47" s="221"/>
      <c r="U47" s="221"/>
      <c r="V47" s="221"/>
      <c r="W47" s="221"/>
      <c r="X47" s="221"/>
      <c r="Y47" s="227"/>
      <c r="Z47" s="227">
        <f>P47</f>
        <v>0</v>
      </c>
      <c r="AA47" s="276" t="e">
        <f>VLOOKUP(Logfile_S[[#This Row],[DO number]],DO_DB!G:I,3,0)</f>
        <v>#N/A</v>
      </c>
      <c r="AB47" s="331" t="e">
        <f>EXACT(Logfile_S[[#This Row],[date pick]],Logfile_S[[#This Row],[Date]])</f>
        <v>#N/A</v>
      </c>
      <c r="AC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8" spans="1:29" ht="14.5">
      <c r="A48" s="220" t="str">
        <f>TEXT(ROW(A48)-ROW($A$4),"000")</f>
        <v>044</v>
      </c>
      <c r="B48" s="221"/>
      <c r="C48" s="221" t="s">
        <v>48</v>
      </c>
      <c r="D48" s="221" t="s">
        <v>4103</v>
      </c>
      <c r="E48" s="221" t="s">
        <v>3295</v>
      </c>
      <c r="F48" s="221" t="s">
        <v>3299</v>
      </c>
      <c r="G48" s="222">
        <v>45468</v>
      </c>
      <c r="H48" s="223">
        <v>15.291666666666666</v>
      </c>
      <c r="I48" s="221" t="s">
        <v>38</v>
      </c>
      <c r="J48" s="221" t="s">
        <v>3024</v>
      </c>
      <c r="K48" s="224" t="s">
        <v>3091</v>
      </c>
      <c r="L48" s="225" t="str">
        <f>VLOOKUP(Logfile_S[[#This Row],[Material Name]],Sheet2!B:C,2,0)</f>
        <v>GCI1005</v>
      </c>
      <c r="M48" s="225" t="str">
        <f>_xlfn.XLOOKUP(Logfile_S[[#This Row],[Material Name]],Sum_WH!E:E,Sum_WH!F:F,"",0)</f>
        <v>Pcs</v>
      </c>
      <c r="N48" s="221">
        <v>288</v>
      </c>
      <c r="O48" s="221">
        <v>0</v>
      </c>
      <c r="P48" s="221">
        <v>0</v>
      </c>
      <c r="Q48" s="221">
        <v>0</v>
      </c>
      <c r="R48" s="221">
        <v>0</v>
      </c>
      <c r="S48" s="221"/>
      <c r="T48" s="221"/>
      <c r="U48" s="221"/>
      <c r="V48" s="221"/>
      <c r="W48" s="221"/>
      <c r="X48" s="221"/>
      <c r="Y48" s="227"/>
      <c r="Z48" s="227">
        <f>P48</f>
        <v>0</v>
      </c>
      <c r="AA48" s="276" t="e">
        <f>VLOOKUP(Logfile_S[[#This Row],[DO number]],DO_DB!G:I,3,0)</f>
        <v>#N/A</v>
      </c>
      <c r="AB48" s="331" t="e">
        <f>EXACT(Logfile_S[[#This Row],[date pick]],Logfile_S[[#This Row],[Date]])</f>
        <v>#N/A</v>
      </c>
      <c r="AC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9" spans="1:29" ht="14.5">
      <c r="A49" s="220" t="str">
        <f>TEXT(ROW(A49)-ROW($A$4),"000")</f>
        <v>045</v>
      </c>
      <c r="B49" s="221"/>
      <c r="C49" s="221" t="s">
        <v>48</v>
      </c>
      <c r="D49" s="221" t="s">
        <v>4103</v>
      </c>
      <c r="E49" s="221" t="s">
        <v>3295</v>
      </c>
      <c r="F49" s="221" t="s">
        <v>3299</v>
      </c>
      <c r="G49" s="222">
        <v>45468</v>
      </c>
      <c r="H49" s="223">
        <v>15.291666666666666</v>
      </c>
      <c r="I49" s="221" t="s">
        <v>38</v>
      </c>
      <c r="J49" s="221" t="s">
        <v>3024</v>
      </c>
      <c r="K49" s="224" t="s">
        <v>5137</v>
      </c>
      <c r="L49" s="225" t="str">
        <f>VLOOKUP(Logfile_S[[#This Row],[Material Name]],Sheet2!B:C,2,0)</f>
        <v>GCI1009</v>
      </c>
      <c r="M49" s="225" t="str">
        <f>_xlfn.XLOOKUP(Logfile_S[[#This Row],[Material Name]],Sum_WH!E:E,Sum_WH!F:F,"",0)</f>
        <v>Pcs</v>
      </c>
      <c r="N49" s="221">
        <v>680</v>
      </c>
      <c r="O49" s="221">
        <v>0</v>
      </c>
      <c r="P49" s="221">
        <v>0</v>
      </c>
      <c r="Q49" s="221">
        <v>0</v>
      </c>
      <c r="R49" s="221">
        <v>0</v>
      </c>
      <c r="S49" s="221"/>
      <c r="T49" s="221"/>
      <c r="U49" s="221"/>
      <c r="V49" s="221"/>
      <c r="W49" s="221"/>
      <c r="X49" s="221"/>
      <c r="Y49" s="227"/>
      <c r="Z49" s="227">
        <f>P49</f>
        <v>0</v>
      </c>
      <c r="AA49" s="276" t="e">
        <f>VLOOKUP(Logfile_S[[#This Row],[DO number]],DO_DB!G:I,3,0)</f>
        <v>#N/A</v>
      </c>
      <c r="AB49" s="331" t="e">
        <f>EXACT(Logfile_S[[#This Row],[date pick]],Logfile_S[[#This Row],[Date]])</f>
        <v>#N/A</v>
      </c>
      <c r="AC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0" spans="1:29" ht="14.5">
      <c r="A50" s="220" t="str">
        <f>TEXT(ROW(A50)-ROW($A$4),"000")</f>
        <v>046</v>
      </c>
      <c r="B50" s="221"/>
      <c r="C50" s="221" t="s">
        <v>48</v>
      </c>
      <c r="D50" s="221" t="s">
        <v>4103</v>
      </c>
      <c r="E50" s="221" t="s">
        <v>3295</v>
      </c>
      <c r="F50" s="221" t="s">
        <v>3299</v>
      </c>
      <c r="G50" s="222">
        <v>45468</v>
      </c>
      <c r="H50" s="223">
        <v>15.291666666666666</v>
      </c>
      <c r="I50" s="221" t="s">
        <v>38</v>
      </c>
      <c r="J50" s="221" t="s">
        <v>3024</v>
      </c>
      <c r="K50" s="224" t="s">
        <v>3088</v>
      </c>
      <c r="L50" s="225" t="str">
        <f>VLOOKUP(Logfile_S[[#This Row],[Material Name]],Sheet2!B:C,2,0)</f>
        <v>GCI1002</v>
      </c>
      <c r="M50" s="225" t="str">
        <f>_xlfn.XLOOKUP(Logfile_S[[#This Row],[Material Name]],Sum_WH!E:E,Sum_WH!F:F,"",0)</f>
        <v>Pcs</v>
      </c>
      <c r="N50" s="221">
        <v>31</v>
      </c>
      <c r="O50" s="221">
        <v>0</v>
      </c>
      <c r="P50" s="221">
        <v>0</v>
      </c>
      <c r="Q50" s="221">
        <v>0</v>
      </c>
      <c r="R50" s="221">
        <v>0</v>
      </c>
      <c r="S50" s="221"/>
      <c r="T50" s="221"/>
      <c r="U50" s="221"/>
      <c r="V50" s="221"/>
      <c r="W50" s="221"/>
      <c r="X50" s="221"/>
      <c r="Y50" s="227"/>
      <c r="Z50" s="227">
        <f>P50</f>
        <v>0</v>
      </c>
      <c r="AA50" s="276" t="e">
        <f>VLOOKUP(Logfile_S[[#This Row],[DO number]],DO_DB!G:I,3,0)</f>
        <v>#N/A</v>
      </c>
      <c r="AB50" s="331" t="e">
        <f>EXACT(Logfile_S[[#This Row],[date pick]],Logfile_S[[#This Row],[Date]])</f>
        <v>#N/A</v>
      </c>
      <c r="AC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1" spans="1:29" ht="14.5">
      <c r="A51" s="220" t="str">
        <f>TEXT(ROW(A51)-ROW($A$4),"000")</f>
        <v>047</v>
      </c>
      <c r="B51" s="221"/>
      <c r="C51" s="221" t="s">
        <v>48</v>
      </c>
      <c r="D51" s="221" t="s">
        <v>4103</v>
      </c>
      <c r="E51" s="221" t="s">
        <v>3295</v>
      </c>
      <c r="F51" s="221" t="s">
        <v>3299</v>
      </c>
      <c r="G51" s="222">
        <v>45468</v>
      </c>
      <c r="H51" s="223">
        <v>15.291666666666666</v>
      </c>
      <c r="I51" s="221" t="s">
        <v>38</v>
      </c>
      <c r="J51" s="221" t="s">
        <v>3024</v>
      </c>
      <c r="K51" s="224" t="s">
        <v>3094</v>
      </c>
      <c r="L51" s="225" t="str">
        <f>VLOOKUP(Logfile_S[[#This Row],[Material Name]],Sheet2!B:C,2,0)</f>
        <v>GCI1008</v>
      </c>
      <c r="M51" s="225" t="str">
        <f>_xlfn.XLOOKUP(Logfile_S[[#This Row],[Material Name]],Sum_WH!E:E,Sum_WH!F:F,"",0)</f>
        <v>Pcs</v>
      </c>
      <c r="N51" s="221">
        <v>63</v>
      </c>
      <c r="O51" s="221">
        <v>0</v>
      </c>
      <c r="P51" s="221">
        <v>0</v>
      </c>
      <c r="Q51" s="221">
        <v>0</v>
      </c>
      <c r="R51" s="221">
        <v>0</v>
      </c>
      <c r="S51" s="221"/>
      <c r="T51" s="221"/>
      <c r="U51" s="221"/>
      <c r="V51" s="221"/>
      <c r="W51" s="221"/>
      <c r="X51" s="221"/>
      <c r="Y51" s="227"/>
      <c r="Z51" s="227">
        <f>P51</f>
        <v>0</v>
      </c>
      <c r="AA51" s="276" t="e">
        <f>VLOOKUP(Logfile_S[[#This Row],[DO number]],DO_DB!G:I,3,0)</f>
        <v>#N/A</v>
      </c>
      <c r="AB51" s="331" t="e">
        <f>EXACT(Logfile_S[[#This Row],[date pick]],Logfile_S[[#This Row],[Date]])</f>
        <v>#N/A</v>
      </c>
      <c r="AC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2" spans="1:29" ht="14.5">
      <c r="A52" s="220" t="str">
        <f>TEXT(ROW(A52)-ROW($A$4),"000")</f>
        <v>048</v>
      </c>
      <c r="B52" s="221"/>
      <c r="C52" s="221" t="s">
        <v>48</v>
      </c>
      <c r="D52" s="221" t="s">
        <v>4103</v>
      </c>
      <c r="E52" s="221" t="s">
        <v>3295</v>
      </c>
      <c r="F52" s="221" t="s">
        <v>3299</v>
      </c>
      <c r="G52" s="222">
        <v>45468</v>
      </c>
      <c r="H52" s="223">
        <v>15.291666666666666</v>
      </c>
      <c r="I52" s="221" t="s">
        <v>38</v>
      </c>
      <c r="J52" s="221" t="s">
        <v>3024</v>
      </c>
      <c r="K52" s="224" t="s">
        <v>3089</v>
      </c>
      <c r="L52" s="225" t="str">
        <f>VLOOKUP(Logfile_S[[#This Row],[Material Name]],Sheet2!B:C,2,0)</f>
        <v>GCI1003</v>
      </c>
      <c r="M52" s="225" t="str">
        <f>_xlfn.XLOOKUP(Logfile_S[[#This Row],[Material Name]],Sum_WH!E:E,Sum_WH!F:F,"",0)</f>
        <v>Pcs</v>
      </c>
      <c r="N52" s="221">
        <v>163</v>
      </c>
      <c r="O52" s="221">
        <v>0</v>
      </c>
      <c r="P52" s="221">
        <v>0</v>
      </c>
      <c r="Q52" s="221">
        <v>0</v>
      </c>
      <c r="R52" s="221">
        <v>0</v>
      </c>
      <c r="S52" s="221"/>
      <c r="T52" s="221"/>
      <c r="U52" s="221"/>
      <c r="V52" s="221"/>
      <c r="W52" s="221"/>
      <c r="X52" s="221"/>
      <c r="Y52" s="227"/>
      <c r="Z52" s="227">
        <f>P52</f>
        <v>0</v>
      </c>
      <c r="AA52" s="276" t="e">
        <f>VLOOKUP(Logfile_S[[#This Row],[DO number]],DO_DB!G:I,3,0)</f>
        <v>#N/A</v>
      </c>
      <c r="AB52" s="331" t="e">
        <f>EXACT(Logfile_S[[#This Row],[date pick]],Logfile_S[[#This Row],[Date]])</f>
        <v>#N/A</v>
      </c>
      <c r="AC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3" spans="1:29" ht="14.5">
      <c r="A53" s="220" t="str">
        <f>TEXT(ROW(A53)-ROW($A$4),"000")</f>
        <v>049</v>
      </c>
      <c r="B53" s="221"/>
      <c r="C53" s="221" t="s">
        <v>48</v>
      </c>
      <c r="D53" s="221" t="s">
        <v>4103</v>
      </c>
      <c r="E53" s="221" t="s">
        <v>3295</v>
      </c>
      <c r="F53" s="221" t="s">
        <v>3299</v>
      </c>
      <c r="G53" s="222">
        <v>45468</v>
      </c>
      <c r="H53" s="223">
        <v>15.291666666666666</v>
      </c>
      <c r="I53" s="221" t="s">
        <v>38</v>
      </c>
      <c r="J53" s="221" t="s">
        <v>3024</v>
      </c>
      <c r="K53" s="224" t="s">
        <v>3090</v>
      </c>
      <c r="L53" s="225" t="str">
        <f>VLOOKUP(Logfile_S[[#This Row],[Material Name]],Sheet2!B:C,2,0)</f>
        <v>GCI1004</v>
      </c>
      <c r="M53" s="225" t="str">
        <f>_xlfn.XLOOKUP(Logfile_S[[#This Row],[Material Name]],Sum_WH!E:E,Sum_WH!F:F,"",0)</f>
        <v>Pcs</v>
      </c>
      <c r="N53" s="221">
        <v>127</v>
      </c>
      <c r="O53" s="221">
        <v>0</v>
      </c>
      <c r="P53" s="221">
        <v>0</v>
      </c>
      <c r="Q53" s="221">
        <v>0</v>
      </c>
      <c r="R53" s="221">
        <v>0</v>
      </c>
      <c r="S53" s="221"/>
      <c r="T53" s="221"/>
      <c r="U53" s="221"/>
      <c r="V53" s="221"/>
      <c r="W53" s="221"/>
      <c r="X53" s="221"/>
      <c r="Y53" s="227"/>
      <c r="Z53" s="227">
        <f>P53</f>
        <v>0</v>
      </c>
      <c r="AA53" s="276" t="e">
        <f>VLOOKUP(Logfile_S[[#This Row],[DO number]],DO_DB!G:I,3,0)</f>
        <v>#N/A</v>
      </c>
      <c r="AB53" s="331" t="e">
        <f>EXACT(Logfile_S[[#This Row],[date pick]],Logfile_S[[#This Row],[Date]])</f>
        <v>#N/A</v>
      </c>
      <c r="AC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4" spans="1:29" ht="14.5">
      <c r="A54" s="220" t="str">
        <f>TEXT(ROW(A54)-ROW($A$4),"000")</f>
        <v>050</v>
      </c>
      <c r="B54" s="221"/>
      <c r="C54" s="221" t="s">
        <v>48</v>
      </c>
      <c r="D54" s="221" t="s">
        <v>4112</v>
      </c>
      <c r="E54" s="221" t="s">
        <v>3295</v>
      </c>
      <c r="F54" s="221" t="s">
        <v>3299</v>
      </c>
      <c r="G54" s="222">
        <v>45478</v>
      </c>
      <c r="H54" s="223">
        <v>15.291666666666666</v>
      </c>
      <c r="I54" s="221" t="s">
        <v>38</v>
      </c>
      <c r="J54" s="221" t="s">
        <v>3024</v>
      </c>
      <c r="K54" s="224" t="s">
        <v>3087</v>
      </c>
      <c r="L54" s="225" t="str">
        <f>VLOOKUP(Logfile_S[[#This Row],[Material Name]],Sheet2!B:C,2,0)</f>
        <v>GCI1001</v>
      </c>
      <c r="M54" s="225" t="str">
        <f>_xlfn.XLOOKUP(Logfile_S[[#This Row],[Material Name]],Sum_WH!E:E,Sum_WH!F:F,"",0)</f>
        <v>Pcs</v>
      </c>
      <c r="N54" s="221">
        <v>133</v>
      </c>
      <c r="O54" s="221">
        <v>0</v>
      </c>
      <c r="P54" s="221">
        <v>0</v>
      </c>
      <c r="Q54" s="221">
        <v>0</v>
      </c>
      <c r="R54" s="221">
        <v>0</v>
      </c>
      <c r="S54" s="221"/>
      <c r="T54" s="221"/>
      <c r="U54" s="221"/>
      <c r="V54" s="221"/>
      <c r="W54" s="221"/>
      <c r="X54" s="221"/>
      <c r="Y54" s="227"/>
      <c r="Z54" s="227">
        <f>P54</f>
        <v>0</v>
      </c>
      <c r="AA54" s="276" t="e">
        <f>VLOOKUP(Logfile_S[[#This Row],[DO number]],DO_DB!G:I,3,0)</f>
        <v>#N/A</v>
      </c>
      <c r="AB54" s="331" t="e">
        <f>EXACT(Logfile_S[[#This Row],[date pick]],Logfile_S[[#This Row],[Date]])</f>
        <v>#N/A</v>
      </c>
      <c r="AC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5" spans="1:29" ht="14.5">
      <c r="A55" s="220" t="str">
        <f>TEXT(ROW(A55)-ROW($A$4),"000")</f>
        <v>051</v>
      </c>
      <c r="B55" s="221"/>
      <c r="C55" s="221" t="s">
        <v>48</v>
      </c>
      <c r="D55" s="221" t="s">
        <v>4112</v>
      </c>
      <c r="E55" s="221" t="s">
        <v>3295</v>
      </c>
      <c r="F55" s="221" t="s">
        <v>3299</v>
      </c>
      <c r="G55" s="222">
        <v>45478</v>
      </c>
      <c r="H55" s="223">
        <v>15.291666666666666</v>
      </c>
      <c r="I55" s="221" t="s">
        <v>38</v>
      </c>
      <c r="J55" s="221" t="s">
        <v>3024</v>
      </c>
      <c r="K55" s="224" t="s">
        <v>5137</v>
      </c>
      <c r="L55" s="225" t="str">
        <f>VLOOKUP(Logfile_S[[#This Row],[Material Name]],Sheet2!B:C,2,0)</f>
        <v>GCI1009</v>
      </c>
      <c r="M55" s="225" t="str">
        <f>_xlfn.XLOOKUP(Logfile_S[[#This Row],[Material Name]],Sum_WH!E:E,Sum_WH!F:F,"",0)</f>
        <v>Pcs</v>
      </c>
      <c r="N55" s="221">
        <v>628</v>
      </c>
      <c r="O55" s="221">
        <v>0</v>
      </c>
      <c r="P55" s="221">
        <v>0</v>
      </c>
      <c r="Q55" s="221">
        <v>0</v>
      </c>
      <c r="R55" s="221">
        <v>0</v>
      </c>
      <c r="S55" s="221"/>
      <c r="T55" s="221"/>
      <c r="U55" s="221"/>
      <c r="V55" s="221"/>
      <c r="W55" s="221"/>
      <c r="X55" s="221"/>
      <c r="Y55" s="227"/>
      <c r="Z55" s="227">
        <f>P55</f>
        <v>0</v>
      </c>
      <c r="AA55" s="276" t="e">
        <f>VLOOKUP(Logfile_S[[#This Row],[DO number]],DO_DB!G:I,3,0)</f>
        <v>#N/A</v>
      </c>
      <c r="AB55" s="331" t="e">
        <f>EXACT(Logfile_S[[#This Row],[date pick]],Logfile_S[[#This Row],[Date]])</f>
        <v>#N/A</v>
      </c>
      <c r="AC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6" spans="1:29" ht="14.5">
      <c r="A56" s="220" t="str">
        <f>TEXT(ROW(A56)-ROW($A$4),"000")</f>
        <v>052</v>
      </c>
      <c r="B56" s="221"/>
      <c r="C56" s="221" t="s">
        <v>48</v>
      </c>
      <c r="D56" s="221" t="s">
        <v>4112</v>
      </c>
      <c r="E56" s="221" t="s">
        <v>3295</v>
      </c>
      <c r="F56" s="221" t="s">
        <v>3299</v>
      </c>
      <c r="G56" s="222">
        <v>45478</v>
      </c>
      <c r="H56" s="223">
        <v>15.291666666666666</v>
      </c>
      <c r="I56" s="221" t="s">
        <v>38</v>
      </c>
      <c r="J56" s="221" t="s">
        <v>3024</v>
      </c>
      <c r="K56" s="224" t="s">
        <v>3088</v>
      </c>
      <c r="L56" s="225" t="str">
        <f>VLOOKUP(Logfile_S[[#This Row],[Material Name]],Sheet2!B:C,2,0)</f>
        <v>GCI1002</v>
      </c>
      <c r="M56" s="225" t="str">
        <f>_xlfn.XLOOKUP(Logfile_S[[#This Row],[Material Name]],Sum_WH!E:E,Sum_WH!F:F,"",0)</f>
        <v>Pcs</v>
      </c>
      <c r="N56" s="221">
        <v>9</v>
      </c>
      <c r="O56" s="221">
        <v>0</v>
      </c>
      <c r="P56" s="221">
        <v>0</v>
      </c>
      <c r="Q56" s="221">
        <v>0</v>
      </c>
      <c r="R56" s="221">
        <v>0</v>
      </c>
      <c r="S56" s="221"/>
      <c r="T56" s="221"/>
      <c r="U56" s="221"/>
      <c r="V56" s="221"/>
      <c r="W56" s="221"/>
      <c r="X56" s="221"/>
      <c r="Y56" s="227"/>
      <c r="Z56" s="227">
        <f>P56</f>
        <v>0</v>
      </c>
      <c r="AA56" s="276" t="e">
        <f>VLOOKUP(Logfile_S[[#This Row],[DO number]],DO_DB!G:I,3,0)</f>
        <v>#N/A</v>
      </c>
      <c r="AB56" s="331" t="e">
        <f>EXACT(Logfile_S[[#This Row],[date pick]],Logfile_S[[#This Row],[Date]])</f>
        <v>#N/A</v>
      </c>
      <c r="AC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7" spans="1:29" ht="14.5">
      <c r="A57" s="220" t="str">
        <f>TEXT(ROW(A57)-ROW($A$4),"000")</f>
        <v>053</v>
      </c>
      <c r="B57" s="221"/>
      <c r="C57" s="221" t="s">
        <v>48</v>
      </c>
      <c r="D57" s="221" t="s">
        <v>4126</v>
      </c>
      <c r="E57" s="221" t="s">
        <v>3295</v>
      </c>
      <c r="F57" s="221" t="s">
        <v>3299</v>
      </c>
      <c r="G57" s="222">
        <v>45496</v>
      </c>
      <c r="H57" s="223">
        <v>15.291666666666666</v>
      </c>
      <c r="I57" s="221" t="s">
        <v>38</v>
      </c>
      <c r="J57" s="221" t="s">
        <v>3024</v>
      </c>
      <c r="K57" s="224" t="s">
        <v>5137</v>
      </c>
      <c r="L57" s="225" t="str">
        <f>VLOOKUP(Logfile_S[[#This Row],[Material Name]],Sheet2!B:C,2,0)</f>
        <v>GCI1009</v>
      </c>
      <c r="M57" s="225" t="str">
        <f>_xlfn.XLOOKUP(Logfile_S[[#This Row],[Material Name]],Sum_WH!E:E,Sum_WH!F:F,"",0)</f>
        <v>Pcs</v>
      </c>
      <c r="N57" s="221">
        <v>400</v>
      </c>
      <c r="O57" s="221">
        <v>0</v>
      </c>
      <c r="P57" s="221">
        <v>0</v>
      </c>
      <c r="Q57" s="221">
        <v>0</v>
      </c>
      <c r="R57" s="221">
        <v>0</v>
      </c>
      <c r="S57" s="221"/>
      <c r="T57" s="221"/>
      <c r="U57" s="221"/>
      <c r="V57" s="221"/>
      <c r="W57" s="221"/>
      <c r="X57" s="221"/>
      <c r="Y57" s="227"/>
      <c r="Z57" s="227">
        <f>P57</f>
        <v>0</v>
      </c>
      <c r="AA57" s="276" t="e">
        <f>VLOOKUP(Logfile_S[[#This Row],[DO number]],DO_DB!G:I,3,0)</f>
        <v>#N/A</v>
      </c>
      <c r="AB57" s="331" t="e">
        <f>EXACT(Logfile_S[[#This Row],[date pick]],Logfile_S[[#This Row],[Date]])</f>
        <v>#N/A</v>
      </c>
      <c r="AC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8" spans="1:29" ht="14.5">
      <c r="A58" s="220" t="str">
        <f>TEXT(ROW(A58)-ROW($A$4),"000")</f>
        <v>054</v>
      </c>
      <c r="B58" s="221"/>
      <c r="C58" s="221" t="s">
        <v>48</v>
      </c>
      <c r="D58" s="221" t="s">
        <v>4126</v>
      </c>
      <c r="E58" s="221" t="s">
        <v>3295</v>
      </c>
      <c r="F58" s="221" t="s">
        <v>3299</v>
      </c>
      <c r="G58" s="222">
        <v>45496</v>
      </c>
      <c r="H58" s="223">
        <v>15.291666666666666</v>
      </c>
      <c r="I58" s="221" t="s">
        <v>38</v>
      </c>
      <c r="J58" s="221" t="s">
        <v>3024</v>
      </c>
      <c r="K58" s="224" t="s">
        <v>3108</v>
      </c>
      <c r="L58" s="225" t="str">
        <f>VLOOKUP(Logfile_S[[#This Row],[Material Name]],Sheet2!B:C,2,0)</f>
        <v>GCI1020</v>
      </c>
      <c r="M58" s="225" t="str">
        <f>_xlfn.XLOOKUP(Logfile_S[[#This Row],[Material Name]],Sum_WH!E:E,Sum_WH!F:F,"",0)</f>
        <v>Pcs</v>
      </c>
      <c r="N58" s="221">
        <v>18</v>
      </c>
      <c r="O58" s="221">
        <v>0</v>
      </c>
      <c r="P58" s="221">
        <v>0</v>
      </c>
      <c r="Q58" s="221">
        <v>0</v>
      </c>
      <c r="R58" s="221">
        <v>0</v>
      </c>
      <c r="S58" s="221"/>
      <c r="T58" s="221"/>
      <c r="U58" s="221"/>
      <c r="V58" s="221"/>
      <c r="W58" s="221"/>
      <c r="X58" s="221"/>
      <c r="Y58" s="227"/>
      <c r="Z58" s="227">
        <f>P58</f>
        <v>0</v>
      </c>
      <c r="AA58" s="276" t="e">
        <f>VLOOKUP(Logfile_S[[#This Row],[DO number]],DO_DB!G:I,3,0)</f>
        <v>#N/A</v>
      </c>
      <c r="AB58" s="331" t="e">
        <f>EXACT(Logfile_S[[#This Row],[date pick]],Logfile_S[[#This Row],[Date]])</f>
        <v>#N/A</v>
      </c>
      <c r="AC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9" spans="1:29" ht="14.5">
      <c r="A59" s="220" t="str">
        <f>TEXT(ROW(A59)-ROW($A$4),"000")</f>
        <v>055</v>
      </c>
      <c r="B59" s="221"/>
      <c r="C59" s="221" t="s">
        <v>48</v>
      </c>
      <c r="D59" s="221" t="s">
        <v>4126</v>
      </c>
      <c r="E59" s="221" t="s">
        <v>3295</v>
      </c>
      <c r="F59" s="221" t="s">
        <v>3299</v>
      </c>
      <c r="G59" s="222">
        <v>45496</v>
      </c>
      <c r="H59" s="223">
        <v>15.291666666666666</v>
      </c>
      <c r="I59" s="221" t="s">
        <v>38</v>
      </c>
      <c r="J59" s="221" t="s">
        <v>3024</v>
      </c>
      <c r="K59" s="224" t="s">
        <v>3088</v>
      </c>
      <c r="L59" s="225" t="str">
        <f>VLOOKUP(Logfile_S[[#This Row],[Material Name]],Sheet2!B:C,2,0)</f>
        <v>GCI1002</v>
      </c>
      <c r="M59" s="225" t="str">
        <f>_xlfn.XLOOKUP(Logfile_S[[#This Row],[Material Name]],Sum_WH!E:E,Sum_WH!F:F,"",0)</f>
        <v>Pcs</v>
      </c>
      <c r="N59" s="221">
        <v>8</v>
      </c>
      <c r="O59" s="221">
        <v>0</v>
      </c>
      <c r="P59" s="221">
        <v>0</v>
      </c>
      <c r="Q59" s="221">
        <v>0</v>
      </c>
      <c r="R59" s="221">
        <v>0</v>
      </c>
      <c r="S59" s="221"/>
      <c r="T59" s="221"/>
      <c r="U59" s="221"/>
      <c r="V59" s="221"/>
      <c r="W59" s="221"/>
      <c r="X59" s="221"/>
      <c r="Y59" s="227"/>
      <c r="Z59" s="227">
        <f>P59</f>
        <v>0</v>
      </c>
      <c r="AA59" s="276" t="e">
        <f>VLOOKUP(Logfile_S[[#This Row],[DO number]],DO_DB!G:I,3,0)</f>
        <v>#N/A</v>
      </c>
      <c r="AB59" s="331" t="e">
        <f>EXACT(Logfile_S[[#This Row],[date pick]],Logfile_S[[#This Row],[Date]])</f>
        <v>#N/A</v>
      </c>
      <c r="AC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0" spans="1:29" ht="14.5">
      <c r="A60" s="220" t="str">
        <f>TEXT(ROW(A60)-ROW($A$4),"000")</f>
        <v>056</v>
      </c>
      <c r="B60" s="221"/>
      <c r="C60" s="221" t="s">
        <v>48</v>
      </c>
      <c r="D60" s="221" t="s">
        <v>4141</v>
      </c>
      <c r="E60" s="221" t="s">
        <v>3295</v>
      </c>
      <c r="F60" s="221" t="s">
        <v>3299</v>
      </c>
      <c r="G60" s="222">
        <v>45506</v>
      </c>
      <c r="H60" s="223">
        <v>15.291666666666666</v>
      </c>
      <c r="I60" s="221" t="s">
        <v>38</v>
      </c>
      <c r="J60" s="221" t="s">
        <v>3024</v>
      </c>
      <c r="K60" s="224" t="s">
        <v>3097</v>
      </c>
      <c r="L60" s="225" t="str">
        <f>VLOOKUP(Logfile_S[[#This Row],[Material Name]],Sheet2!B:C,2,0)</f>
        <v>GCI1011</v>
      </c>
      <c r="M60" s="225" t="str">
        <f>_xlfn.XLOOKUP(Logfile_S[[#This Row],[Material Name]],Sum_WH!E:E,Sum_WH!F:F,"",0)</f>
        <v>Pcs</v>
      </c>
      <c r="N60" s="221">
        <v>1</v>
      </c>
      <c r="O60" s="221">
        <v>0</v>
      </c>
      <c r="P60" s="221">
        <v>0</v>
      </c>
      <c r="Q60" s="221">
        <v>0</v>
      </c>
      <c r="R60" s="221">
        <v>0</v>
      </c>
      <c r="S60" s="221"/>
      <c r="T60" s="221"/>
      <c r="U60" s="221"/>
      <c r="V60" s="221"/>
      <c r="W60" s="221"/>
      <c r="X60" s="221"/>
      <c r="Y60" s="227"/>
      <c r="Z60" s="227">
        <f>P60</f>
        <v>0</v>
      </c>
      <c r="AA60" s="276" t="e">
        <f>VLOOKUP(Logfile_S[[#This Row],[DO number]],DO_DB!G:I,3,0)</f>
        <v>#N/A</v>
      </c>
      <c r="AB60" s="331" t="e">
        <f>EXACT(Logfile_S[[#This Row],[date pick]],Logfile_S[[#This Row],[Date]])</f>
        <v>#N/A</v>
      </c>
      <c r="AC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1" spans="1:29" ht="14.5">
      <c r="A61" s="220" t="str">
        <f>TEXT(ROW(A61)-ROW($A$4),"000")</f>
        <v>057</v>
      </c>
      <c r="B61" s="221"/>
      <c r="C61" s="221" t="s">
        <v>48</v>
      </c>
      <c r="D61" s="221" t="s">
        <v>4141</v>
      </c>
      <c r="E61" s="221" t="s">
        <v>3295</v>
      </c>
      <c r="F61" s="221" t="s">
        <v>3299</v>
      </c>
      <c r="G61" s="222">
        <v>45506</v>
      </c>
      <c r="H61" s="223">
        <v>15.291666666666666</v>
      </c>
      <c r="I61" s="221" t="s">
        <v>38</v>
      </c>
      <c r="J61" s="221" t="s">
        <v>3024</v>
      </c>
      <c r="K61" s="224" t="s">
        <v>3091</v>
      </c>
      <c r="L61" s="225" t="str">
        <f>VLOOKUP(Logfile_S[[#This Row],[Material Name]],Sheet2!B:C,2,0)</f>
        <v>GCI1005</v>
      </c>
      <c r="M61" s="225" t="str">
        <f>_xlfn.XLOOKUP(Logfile_S[[#This Row],[Material Name]],Sum_WH!E:E,Sum_WH!F:F,"",0)</f>
        <v>Pcs</v>
      </c>
      <c r="N61" s="221">
        <v>193</v>
      </c>
      <c r="O61" s="221">
        <v>0</v>
      </c>
      <c r="P61" s="221">
        <v>0</v>
      </c>
      <c r="Q61" s="221">
        <v>0</v>
      </c>
      <c r="R61" s="221">
        <v>0</v>
      </c>
      <c r="S61" s="221"/>
      <c r="T61" s="221"/>
      <c r="U61" s="221"/>
      <c r="V61" s="221"/>
      <c r="W61" s="221"/>
      <c r="X61" s="221"/>
      <c r="Y61" s="227"/>
      <c r="Z61" s="227">
        <f>P61</f>
        <v>0</v>
      </c>
      <c r="AA61" s="276" t="e">
        <f>VLOOKUP(Logfile_S[[#This Row],[DO number]],DO_DB!G:I,3,0)</f>
        <v>#N/A</v>
      </c>
      <c r="AB61" s="331" t="e">
        <f>EXACT(Logfile_S[[#This Row],[date pick]],Logfile_S[[#This Row],[Date]])</f>
        <v>#N/A</v>
      </c>
      <c r="AC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2" spans="1:29" ht="14.5">
      <c r="A62" s="220" t="str">
        <f>TEXT(ROW(A62)-ROW($A$4),"000")</f>
        <v>058</v>
      </c>
      <c r="B62" s="221"/>
      <c r="C62" s="221" t="s">
        <v>48</v>
      </c>
      <c r="D62" s="221" t="s">
        <v>4141</v>
      </c>
      <c r="E62" s="221" t="s">
        <v>3295</v>
      </c>
      <c r="F62" s="221" t="s">
        <v>3299</v>
      </c>
      <c r="G62" s="222">
        <v>45506</v>
      </c>
      <c r="H62" s="223">
        <v>15.291666666666666</v>
      </c>
      <c r="I62" s="221" t="s">
        <v>38</v>
      </c>
      <c r="J62" s="221" t="s">
        <v>3024</v>
      </c>
      <c r="K62" s="224" t="s">
        <v>3087</v>
      </c>
      <c r="L62" s="225" t="str">
        <f>VLOOKUP(Logfile_S[[#This Row],[Material Name]],Sheet2!B:C,2,0)</f>
        <v>GCI1001</v>
      </c>
      <c r="M62" s="225" t="str">
        <f>_xlfn.XLOOKUP(Logfile_S[[#This Row],[Material Name]],Sum_WH!E:E,Sum_WH!F:F,"",0)</f>
        <v>Pcs</v>
      </c>
      <c r="N62" s="221">
        <v>158</v>
      </c>
      <c r="O62" s="221">
        <v>0</v>
      </c>
      <c r="P62" s="221">
        <v>0</v>
      </c>
      <c r="Q62" s="221">
        <v>0</v>
      </c>
      <c r="R62" s="221">
        <v>0</v>
      </c>
      <c r="S62" s="221"/>
      <c r="T62" s="221"/>
      <c r="U62" s="221"/>
      <c r="V62" s="221"/>
      <c r="W62" s="221"/>
      <c r="X62" s="221"/>
      <c r="Y62" s="227"/>
      <c r="Z62" s="227">
        <f>P62</f>
        <v>0</v>
      </c>
      <c r="AA62" s="276" t="e">
        <f>VLOOKUP(Logfile_S[[#This Row],[DO number]],DO_DB!G:I,3,0)</f>
        <v>#N/A</v>
      </c>
      <c r="AB62" s="331" t="e">
        <f>EXACT(Logfile_S[[#This Row],[date pick]],Logfile_S[[#This Row],[Date]])</f>
        <v>#N/A</v>
      </c>
      <c r="AC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3" spans="1:29" ht="14.5">
      <c r="A63" s="220" t="str">
        <f>TEXT(ROW(A63)-ROW($A$4),"000")</f>
        <v>059</v>
      </c>
      <c r="B63" s="221"/>
      <c r="C63" s="221" t="s">
        <v>48</v>
      </c>
      <c r="D63" s="221" t="s">
        <v>4141</v>
      </c>
      <c r="E63" s="221" t="s">
        <v>3295</v>
      </c>
      <c r="F63" s="221" t="s">
        <v>3299</v>
      </c>
      <c r="G63" s="222">
        <v>45506</v>
      </c>
      <c r="H63" s="223">
        <v>15.291666666666666</v>
      </c>
      <c r="I63" s="221" t="s">
        <v>38</v>
      </c>
      <c r="J63" s="221" t="s">
        <v>3024</v>
      </c>
      <c r="K63" s="224" t="s">
        <v>3094</v>
      </c>
      <c r="L63" s="225" t="str">
        <f>VLOOKUP(Logfile_S[[#This Row],[Material Name]],Sheet2!B:C,2,0)</f>
        <v>GCI1008</v>
      </c>
      <c r="M63" s="225" t="str">
        <f>_xlfn.XLOOKUP(Logfile_S[[#This Row],[Material Name]],Sum_WH!E:E,Sum_WH!F:F,"",0)</f>
        <v>Pcs</v>
      </c>
      <c r="N63" s="221">
        <v>290</v>
      </c>
      <c r="O63" s="221">
        <v>0</v>
      </c>
      <c r="P63" s="221">
        <v>0</v>
      </c>
      <c r="Q63" s="221">
        <v>0</v>
      </c>
      <c r="R63" s="221">
        <v>0</v>
      </c>
      <c r="S63" s="221"/>
      <c r="T63" s="221"/>
      <c r="U63" s="221"/>
      <c r="V63" s="221"/>
      <c r="W63" s="221"/>
      <c r="X63" s="221"/>
      <c r="Y63" s="227"/>
      <c r="Z63" s="227">
        <f>P63</f>
        <v>0</v>
      </c>
      <c r="AA63" s="276" t="e">
        <f>VLOOKUP(Logfile_S[[#This Row],[DO number]],DO_DB!G:I,3,0)</f>
        <v>#N/A</v>
      </c>
      <c r="AB63" s="331" t="e">
        <f>EXACT(Logfile_S[[#This Row],[date pick]],Logfile_S[[#This Row],[Date]])</f>
        <v>#N/A</v>
      </c>
      <c r="AC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4" spans="1:29" ht="14.5">
      <c r="A64" s="220" t="str">
        <f>TEXT(ROW(A64)-ROW($A$4),"000")</f>
        <v>060</v>
      </c>
      <c r="B64" s="221"/>
      <c r="C64" s="221" t="s">
        <v>48</v>
      </c>
      <c r="D64" s="221" t="s">
        <v>4141</v>
      </c>
      <c r="E64" s="221" t="s">
        <v>3295</v>
      </c>
      <c r="F64" s="221" t="s">
        <v>3299</v>
      </c>
      <c r="G64" s="222">
        <v>45506</v>
      </c>
      <c r="H64" s="223">
        <v>15.291666666666666</v>
      </c>
      <c r="I64" s="221" t="s">
        <v>38</v>
      </c>
      <c r="J64" s="221" t="s">
        <v>3024</v>
      </c>
      <c r="K64" s="224" t="s">
        <v>3089</v>
      </c>
      <c r="L64" s="225" t="str">
        <f>VLOOKUP(Logfile_S[[#This Row],[Material Name]],Sheet2!B:C,2,0)</f>
        <v>GCI1003</v>
      </c>
      <c r="M64" s="225" t="str">
        <f>_xlfn.XLOOKUP(Logfile_S[[#This Row],[Material Name]],Sum_WH!E:E,Sum_WH!F:F,"",0)</f>
        <v>Pcs</v>
      </c>
      <c r="N64" s="221">
        <v>401</v>
      </c>
      <c r="O64" s="221">
        <v>0</v>
      </c>
      <c r="P64" s="221">
        <v>0</v>
      </c>
      <c r="Q64" s="221">
        <v>0</v>
      </c>
      <c r="R64" s="221">
        <v>0</v>
      </c>
      <c r="S64" s="221"/>
      <c r="T64" s="221"/>
      <c r="U64" s="221"/>
      <c r="V64" s="221"/>
      <c r="W64" s="221"/>
      <c r="X64" s="221"/>
      <c r="Y64" s="227"/>
      <c r="Z64" s="227">
        <f>P64</f>
        <v>0</v>
      </c>
      <c r="AA64" s="276" t="e">
        <f>VLOOKUP(Logfile_S[[#This Row],[DO number]],DO_DB!G:I,3,0)</f>
        <v>#N/A</v>
      </c>
      <c r="AB64" s="331" t="e">
        <f>EXACT(Logfile_S[[#This Row],[date pick]],Logfile_S[[#This Row],[Date]])</f>
        <v>#N/A</v>
      </c>
      <c r="AC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5" spans="1:29" ht="14.5">
      <c r="A65" s="220" t="str">
        <f>TEXT(ROW(A65)-ROW($A$4),"000")</f>
        <v>061</v>
      </c>
      <c r="B65" s="221"/>
      <c r="C65" s="221" t="s">
        <v>48</v>
      </c>
      <c r="D65" s="221" t="s">
        <v>4141</v>
      </c>
      <c r="E65" s="221" t="s">
        <v>3295</v>
      </c>
      <c r="F65" s="221" t="s">
        <v>3299</v>
      </c>
      <c r="G65" s="222">
        <v>45506</v>
      </c>
      <c r="H65" s="223">
        <v>15.291666666666666</v>
      </c>
      <c r="I65" s="221" t="s">
        <v>38</v>
      </c>
      <c r="J65" s="221" t="s">
        <v>3024</v>
      </c>
      <c r="K65" s="224" t="s">
        <v>3090</v>
      </c>
      <c r="L65" s="225" t="str">
        <f>VLOOKUP(Logfile_S[[#This Row],[Material Name]],Sheet2!B:C,2,0)</f>
        <v>GCI1004</v>
      </c>
      <c r="M65" s="225" t="str">
        <f>_xlfn.XLOOKUP(Logfile_S[[#This Row],[Material Name]],Sum_WH!E:E,Sum_WH!F:F,"",0)</f>
        <v>Pcs</v>
      </c>
      <c r="N65" s="221">
        <v>145</v>
      </c>
      <c r="O65" s="221">
        <v>0</v>
      </c>
      <c r="P65" s="221">
        <v>0</v>
      </c>
      <c r="Q65" s="221">
        <v>0</v>
      </c>
      <c r="R65" s="221">
        <v>0</v>
      </c>
      <c r="S65" s="221"/>
      <c r="T65" s="221"/>
      <c r="U65" s="221"/>
      <c r="V65" s="221"/>
      <c r="W65" s="221"/>
      <c r="X65" s="221"/>
      <c r="Y65" s="227"/>
      <c r="Z65" s="227">
        <f>P65</f>
        <v>0</v>
      </c>
      <c r="AA65" s="276" t="e">
        <f>VLOOKUP(Logfile_S[[#This Row],[DO number]],DO_DB!G:I,3,0)</f>
        <v>#N/A</v>
      </c>
      <c r="AB65" s="331" t="e">
        <f>EXACT(Logfile_S[[#This Row],[date pick]],Logfile_S[[#This Row],[Date]])</f>
        <v>#N/A</v>
      </c>
      <c r="AC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6" spans="1:29" ht="14.5">
      <c r="A66" s="220" t="str">
        <f>TEXT(ROW(A66)-ROW($A$4),"000")</f>
        <v>062</v>
      </c>
      <c r="B66" s="221"/>
      <c r="C66" s="221" t="s">
        <v>48</v>
      </c>
      <c r="D66" s="221" t="s">
        <v>4212</v>
      </c>
      <c r="E66" s="221" t="s">
        <v>3295</v>
      </c>
      <c r="F66" s="221" t="s">
        <v>3299</v>
      </c>
      <c r="G66" s="222">
        <v>45541</v>
      </c>
      <c r="H66" s="223">
        <v>15.291666666666666</v>
      </c>
      <c r="I66" s="221" t="s">
        <v>38</v>
      </c>
      <c r="J66" s="221" t="s">
        <v>3024</v>
      </c>
      <c r="K66" s="224" t="s">
        <v>3091</v>
      </c>
      <c r="L66" s="225" t="str">
        <f>VLOOKUP(Logfile_S[[#This Row],[Material Name]],Sheet2!B:C,2,0)</f>
        <v>GCI1005</v>
      </c>
      <c r="M66" s="225" t="str">
        <f>_xlfn.XLOOKUP(Logfile_S[[#This Row],[Material Name]],Sum_WH!E:E,Sum_WH!F:F,"",0)</f>
        <v>Pcs</v>
      </c>
      <c r="N66" s="221">
        <v>189</v>
      </c>
      <c r="O66" s="221">
        <v>0</v>
      </c>
      <c r="P66" s="221">
        <v>0</v>
      </c>
      <c r="Q66" s="221">
        <v>0</v>
      </c>
      <c r="R66" s="221">
        <v>0</v>
      </c>
      <c r="S66" s="221"/>
      <c r="T66" s="221"/>
      <c r="U66" s="221"/>
      <c r="V66" s="221"/>
      <c r="W66" s="221"/>
      <c r="X66" s="221"/>
      <c r="Y66" s="227"/>
      <c r="Z66" s="227">
        <f>P66</f>
        <v>0</v>
      </c>
      <c r="AA66" s="276" t="e">
        <f>VLOOKUP(Logfile_S[[#This Row],[DO number]],DO_DB!G:I,3,0)</f>
        <v>#N/A</v>
      </c>
      <c r="AB66" s="331" t="e">
        <f>EXACT(Logfile_S[[#This Row],[date pick]],Logfile_S[[#This Row],[Date]])</f>
        <v>#N/A</v>
      </c>
      <c r="AC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7" spans="1:29" ht="14.5">
      <c r="A67" s="220" t="str">
        <f>TEXT(ROW(A67)-ROW($A$4),"000")</f>
        <v>063</v>
      </c>
      <c r="B67" s="221"/>
      <c r="C67" s="221" t="s">
        <v>48</v>
      </c>
      <c r="D67" s="221" t="s">
        <v>4212</v>
      </c>
      <c r="E67" s="221" t="s">
        <v>3295</v>
      </c>
      <c r="F67" s="221" t="s">
        <v>3299</v>
      </c>
      <c r="G67" s="222">
        <v>45541</v>
      </c>
      <c r="H67" s="223">
        <v>15.291666666666666</v>
      </c>
      <c r="I67" s="221" t="s">
        <v>38</v>
      </c>
      <c r="J67" s="221" t="s">
        <v>3024</v>
      </c>
      <c r="K67" s="224" t="s">
        <v>3087</v>
      </c>
      <c r="L67" s="225" t="str">
        <f>VLOOKUP(Logfile_S[[#This Row],[Material Name]],Sheet2!B:C,2,0)</f>
        <v>GCI1001</v>
      </c>
      <c r="M67" s="225" t="str">
        <f>_xlfn.XLOOKUP(Logfile_S[[#This Row],[Material Name]],Sum_WH!E:E,Sum_WH!F:F,"",0)</f>
        <v>Pcs</v>
      </c>
      <c r="N67" s="221">
        <v>107</v>
      </c>
      <c r="O67" s="221">
        <v>0</v>
      </c>
      <c r="P67" s="221">
        <v>0</v>
      </c>
      <c r="Q67" s="221">
        <v>0</v>
      </c>
      <c r="R67" s="221">
        <v>0</v>
      </c>
      <c r="S67" s="221"/>
      <c r="T67" s="221"/>
      <c r="U67" s="221"/>
      <c r="V67" s="221"/>
      <c r="W67" s="221"/>
      <c r="X67" s="221"/>
      <c r="Y67" s="227"/>
      <c r="Z67" s="227">
        <f>P67</f>
        <v>0</v>
      </c>
      <c r="AA67" s="276" t="e">
        <f>VLOOKUP(Logfile_S[[#This Row],[DO number]],DO_DB!G:I,3,0)</f>
        <v>#N/A</v>
      </c>
      <c r="AB67" s="331" t="e">
        <f>EXACT(Logfile_S[[#This Row],[date pick]],Logfile_S[[#This Row],[Date]])</f>
        <v>#N/A</v>
      </c>
      <c r="AC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8" spans="1:29" ht="14.5">
      <c r="A68" s="220" t="str">
        <f>TEXT(ROW(A68)-ROW($A$4),"000")</f>
        <v>064</v>
      </c>
      <c r="B68" s="221"/>
      <c r="C68" s="221" t="s">
        <v>48</v>
      </c>
      <c r="D68" s="221" t="s">
        <v>4212</v>
      </c>
      <c r="E68" s="221" t="s">
        <v>3295</v>
      </c>
      <c r="F68" s="221" t="s">
        <v>3299</v>
      </c>
      <c r="G68" s="222">
        <v>45541</v>
      </c>
      <c r="H68" s="223">
        <v>15.291666666666666</v>
      </c>
      <c r="I68" s="221" t="s">
        <v>38</v>
      </c>
      <c r="J68" s="221" t="s">
        <v>3024</v>
      </c>
      <c r="K68" s="224" t="s">
        <v>5137</v>
      </c>
      <c r="L68" s="225" t="str">
        <f>VLOOKUP(Logfile_S[[#This Row],[Material Name]],Sheet2!B:C,2,0)</f>
        <v>GCI1009</v>
      </c>
      <c r="M68" s="225" t="str">
        <f>_xlfn.XLOOKUP(Logfile_S[[#This Row],[Material Name]],Sum_WH!E:E,Sum_WH!F:F,"",0)</f>
        <v>Pcs</v>
      </c>
      <c r="N68" s="221">
        <v>482</v>
      </c>
      <c r="O68" s="221">
        <v>0</v>
      </c>
      <c r="P68" s="221">
        <v>0</v>
      </c>
      <c r="Q68" s="221">
        <v>0</v>
      </c>
      <c r="R68" s="221">
        <v>0</v>
      </c>
      <c r="S68" s="221"/>
      <c r="T68" s="221"/>
      <c r="U68" s="221"/>
      <c r="V68" s="221"/>
      <c r="W68" s="221"/>
      <c r="X68" s="221"/>
      <c r="Y68" s="227"/>
      <c r="Z68" s="227">
        <f>P68</f>
        <v>0</v>
      </c>
      <c r="AA68" s="276" t="e">
        <f>VLOOKUP(Logfile_S[[#This Row],[DO number]],DO_DB!G:I,3,0)</f>
        <v>#N/A</v>
      </c>
      <c r="AB68" s="331" t="e">
        <f>EXACT(Logfile_S[[#This Row],[date pick]],Logfile_S[[#This Row],[Date]])</f>
        <v>#N/A</v>
      </c>
      <c r="AC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9" spans="1:29" ht="14.5">
      <c r="A69" s="220" t="str">
        <f>TEXT(ROW(A69)-ROW($A$4),"000")</f>
        <v>065</v>
      </c>
      <c r="B69" s="221"/>
      <c r="C69" s="221" t="s">
        <v>48</v>
      </c>
      <c r="D69" s="221" t="s">
        <v>4212</v>
      </c>
      <c r="E69" s="221" t="s">
        <v>3295</v>
      </c>
      <c r="F69" s="221" t="s">
        <v>3299</v>
      </c>
      <c r="G69" s="222">
        <v>45541</v>
      </c>
      <c r="H69" s="223">
        <v>15.291666666666666</v>
      </c>
      <c r="I69" s="221" t="s">
        <v>38</v>
      </c>
      <c r="J69" s="221" t="s">
        <v>3024</v>
      </c>
      <c r="K69" s="224" t="s">
        <v>3108</v>
      </c>
      <c r="L69" s="225" t="str">
        <f>VLOOKUP(Logfile_S[[#This Row],[Material Name]],Sheet2!B:C,2,0)</f>
        <v>GCI1020</v>
      </c>
      <c r="M69" s="225" t="str">
        <f>_xlfn.XLOOKUP(Logfile_S[[#This Row],[Material Name]],Sum_WH!E:E,Sum_WH!F:F,"",0)</f>
        <v>Pcs</v>
      </c>
      <c r="N69" s="221">
        <v>310</v>
      </c>
      <c r="O69" s="221">
        <v>0</v>
      </c>
      <c r="P69" s="221">
        <v>0</v>
      </c>
      <c r="Q69" s="221">
        <v>0</v>
      </c>
      <c r="R69" s="221">
        <v>0</v>
      </c>
      <c r="S69" s="221"/>
      <c r="T69" s="221"/>
      <c r="U69" s="221"/>
      <c r="V69" s="221"/>
      <c r="W69" s="221"/>
      <c r="X69" s="221"/>
      <c r="Y69" s="227"/>
      <c r="Z69" s="227">
        <f>P69</f>
        <v>0</v>
      </c>
      <c r="AA69" s="276" t="e">
        <f>VLOOKUP(Logfile_S[[#This Row],[DO number]],DO_DB!G:I,3,0)</f>
        <v>#N/A</v>
      </c>
      <c r="AB69" s="331" t="e">
        <f>EXACT(Logfile_S[[#This Row],[date pick]],Logfile_S[[#This Row],[Date]])</f>
        <v>#N/A</v>
      </c>
      <c r="AC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0" spans="1:29" ht="14.5">
      <c r="A70" s="220" t="str">
        <f>TEXT(ROW(A70)-ROW($A$4),"000")</f>
        <v>066</v>
      </c>
      <c r="B70" s="221"/>
      <c r="C70" s="221" t="s">
        <v>48</v>
      </c>
      <c r="D70" s="221" t="s">
        <v>4212</v>
      </c>
      <c r="E70" s="221" t="s">
        <v>3295</v>
      </c>
      <c r="F70" s="221" t="s">
        <v>3299</v>
      </c>
      <c r="G70" s="222">
        <v>45541</v>
      </c>
      <c r="H70" s="223">
        <v>15.291666666666666</v>
      </c>
      <c r="I70" s="221" t="s">
        <v>38</v>
      </c>
      <c r="J70" s="221" t="s">
        <v>3024</v>
      </c>
      <c r="K70" s="224" t="s">
        <v>3088</v>
      </c>
      <c r="L70" s="225" t="str">
        <f>VLOOKUP(Logfile_S[[#This Row],[Material Name]],Sheet2!B:C,2,0)</f>
        <v>GCI1002</v>
      </c>
      <c r="M70" s="225" t="str">
        <f>_xlfn.XLOOKUP(Logfile_S[[#This Row],[Material Name]],Sum_WH!E:E,Sum_WH!F:F,"",0)</f>
        <v>Pcs</v>
      </c>
      <c r="N70" s="221">
        <v>7</v>
      </c>
      <c r="O70" s="221">
        <v>0</v>
      </c>
      <c r="P70" s="221">
        <v>0</v>
      </c>
      <c r="Q70" s="221">
        <v>0</v>
      </c>
      <c r="R70" s="221">
        <v>0</v>
      </c>
      <c r="S70" s="221"/>
      <c r="T70" s="221"/>
      <c r="U70" s="221"/>
      <c r="V70" s="221"/>
      <c r="W70" s="221"/>
      <c r="X70" s="221"/>
      <c r="Y70" s="227"/>
      <c r="Z70" s="227">
        <f>P70</f>
        <v>0</v>
      </c>
      <c r="AA70" s="276" t="e">
        <f>VLOOKUP(Logfile_S[[#This Row],[DO number]],DO_DB!G:I,3,0)</f>
        <v>#N/A</v>
      </c>
      <c r="AB70" s="331" t="e">
        <f>EXACT(Logfile_S[[#This Row],[date pick]],Logfile_S[[#This Row],[Date]])</f>
        <v>#N/A</v>
      </c>
      <c r="AC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1" spans="1:29" ht="14.5">
      <c r="A71" s="220" t="str">
        <f>TEXT(ROW(A71)-ROW($A$4),"000")</f>
        <v>067</v>
      </c>
      <c r="B71" s="221"/>
      <c r="C71" s="221" t="s">
        <v>48</v>
      </c>
      <c r="D71" s="221" t="s">
        <v>4212</v>
      </c>
      <c r="E71" s="221" t="s">
        <v>3295</v>
      </c>
      <c r="F71" s="221" t="s">
        <v>3299</v>
      </c>
      <c r="G71" s="222">
        <v>45541</v>
      </c>
      <c r="H71" s="223">
        <v>15.291666666666666</v>
      </c>
      <c r="I71" s="221" t="s">
        <v>38</v>
      </c>
      <c r="J71" s="221" t="s">
        <v>3024</v>
      </c>
      <c r="K71" s="224" t="s">
        <v>3094</v>
      </c>
      <c r="L71" s="225" t="str">
        <f>VLOOKUP(Logfile_S[[#This Row],[Material Name]],Sheet2!B:C,2,0)</f>
        <v>GCI1008</v>
      </c>
      <c r="M71" s="225" t="str">
        <f>_xlfn.XLOOKUP(Logfile_S[[#This Row],[Material Name]],Sum_WH!E:E,Sum_WH!F:F,"",0)</f>
        <v>Pcs</v>
      </c>
      <c r="N71" s="221">
        <v>396</v>
      </c>
      <c r="O71" s="221">
        <v>0</v>
      </c>
      <c r="P71" s="221">
        <v>0</v>
      </c>
      <c r="Q71" s="221">
        <v>0</v>
      </c>
      <c r="R71" s="221">
        <v>0</v>
      </c>
      <c r="S71" s="221"/>
      <c r="T71" s="221"/>
      <c r="U71" s="221"/>
      <c r="V71" s="221"/>
      <c r="W71" s="221"/>
      <c r="X71" s="221"/>
      <c r="Y71" s="227"/>
      <c r="Z71" s="227">
        <f>P71</f>
        <v>0</v>
      </c>
      <c r="AA71" s="276" t="e">
        <f>VLOOKUP(Logfile_S[[#This Row],[DO number]],DO_DB!G:I,3,0)</f>
        <v>#N/A</v>
      </c>
      <c r="AB71" s="331" t="e">
        <f>EXACT(Logfile_S[[#This Row],[date pick]],Logfile_S[[#This Row],[Date]])</f>
        <v>#N/A</v>
      </c>
      <c r="AC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2" spans="1:29" ht="14.5">
      <c r="A72" s="220" t="str">
        <f>TEXT(ROW(A72)-ROW($A$4),"000")</f>
        <v>068</v>
      </c>
      <c r="B72" s="221"/>
      <c r="C72" s="221" t="s">
        <v>48</v>
      </c>
      <c r="D72" s="221" t="s">
        <v>4212</v>
      </c>
      <c r="E72" s="221" t="s">
        <v>3295</v>
      </c>
      <c r="F72" s="221" t="s">
        <v>3299</v>
      </c>
      <c r="G72" s="222">
        <v>45541</v>
      </c>
      <c r="H72" s="223">
        <v>15.291666666666666</v>
      </c>
      <c r="I72" s="221" t="s">
        <v>38</v>
      </c>
      <c r="J72" s="221" t="s">
        <v>3024</v>
      </c>
      <c r="K72" s="224" t="s">
        <v>3089</v>
      </c>
      <c r="L72" s="225" t="str">
        <f>VLOOKUP(Logfile_S[[#This Row],[Material Name]],Sheet2!B:C,2,0)</f>
        <v>GCI1003</v>
      </c>
      <c r="M72" s="225" t="str">
        <f>_xlfn.XLOOKUP(Logfile_S[[#This Row],[Material Name]],Sum_WH!E:E,Sum_WH!F:F,"",0)</f>
        <v>Pcs</v>
      </c>
      <c r="N72" s="221">
        <v>340</v>
      </c>
      <c r="O72" s="221">
        <v>0</v>
      </c>
      <c r="P72" s="221">
        <v>0</v>
      </c>
      <c r="Q72" s="221">
        <v>0</v>
      </c>
      <c r="R72" s="221">
        <v>0</v>
      </c>
      <c r="S72" s="221"/>
      <c r="T72" s="221"/>
      <c r="U72" s="221"/>
      <c r="V72" s="221"/>
      <c r="W72" s="221"/>
      <c r="X72" s="221"/>
      <c r="Y72" s="227"/>
      <c r="Z72" s="227">
        <f>P72</f>
        <v>0</v>
      </c>
      <c r="AA72" s="276" t="e">
        <f>VLOOKUP(Logfile_S[[#This Row],[DO number]],DO_DB!G:I,3,0)</f>
        <v>#N/A</v>
      </c>
      <c r="AB72" s="331" t="e">
        <f>EXACT(Logfile_S[[#This Row],[date pick]],Logfile_S[[#This Row],[Date]])</f>
        <v>#N/A</v>
      </c>
      <c r="AC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3" spans="1:29" ht="14.5">
      <c r="A73" s="220" t="str">
        <f>TEXT(ROW(A73)-ROW($A$4),"000")</f>
        <v>069</v>
      </c>
      <c r="B73" s="221"/>
      <c r="C73" s="221" t="s">
        <v>48</v>
      </c>
      <c r="D73" s="221" t="s">
        <v>4212</v>
      </c>
      <c r="E73" s="221" t="s">
        <v>3295</v>
      </c>
      <c r="F73" s="221" t="s">
        <v>3299</v>
      </c>
      <c r="G73" s="222">
        <v>45541</v>
      </c>
      <c r="H73" s="223">
        <v>15.291666666666666</v>
      </c>
      <c r="I73" s="221" t="s">
        <v>38</v>
      </c>
      <c r="J73" s="221" t="s">
        <v>3024</v>
      </c>
      <c r="K73" s="224" t="s">
        <v>3090</v>
      </c>
      <c r="L73" s="225" t="str">
        <f>VLOOKUP(Logfile_S[[#This Row],[Material Name]],Sheet2!B:C,2,0)</f>
        <v>GCI1004</v>
      </c>
      <c r="M73" s="225" t="str">
        <f>_xlfn.XLOOKUP(Logfile_S[[#This Row],[Material Name]],Sum_WH!E:E,Sum_WH!F:F,"",0)</f>
        <v>Pcs</v>
      </c>
      <c r="N73" s="221">
        <v>198</v>
      </c>
      <c r="O73" s="221">
        <v>0</v>
      </c>
      <c r="P73" s="221">
        <v>0</v>
      </c>
      <c r="Q73" s="221">
        <v>0</v>
      </c>
      <c r="R73" s="221">
        <v>0</v>
      </c>
      <c r="S73" s="221"/>
      <c r="T73" s="221"/>
      <c r="U73" s="221"/>
      <c r="V73" s="221"/>
      <c r="W73" s="221"/>
      <c r="X73" s="221"/>
      <c r="Y73" s="227"/>
      <c r="Z73" s="227">
        <f>P73</f>
        <v>0</v>
      </c>
      <c r="AA73" s="276" t="e">
        <f>VLOOKUP(Logfile_S[[#This Row],[DO number]],DO_DB!G:I,3,0)</f>
        <v>#N/A</v>
      </c>
      <c r="AB73" s="331" t="e">
        <f>EXACT(Logfile_S[[#This Row],[date pick]],Logfile_S[[#This Row],[Date]])</f>
        <v>#N/A</v>
      </c>
      <c r="AC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4" spans="1:29" ht="14.5">
      <c r="A74" s="220" t="str">
        <f>TEXT(ROW(A74)-ROW($A$4),"000")</f>
        <v>070</v>
      </c>
      <c r="B74" s="221"/>
      <c r="C74" s="221" t="s">
        <v>48</v>
      </c>
      <c r="D74" s="221" t="s">
        <v>4222</v>
      </c>
      <c r="E74" s="221" t="s">
        <v>3295</v>
      </c>
      <c r="F74" s="221" t="s">
        <v>3299</v>
      </c>
      <c r="G74" s="222">
        <v>45554</v>
      </c>
      <c r="H74" s="223">
        <v>15.291666666666666</v>
      </c>
      <c r="I74" s="221" t="s">
        <v>38</v>
      </c>
      <c r="J74" s="221" t="s">
        <v>3024</v>
      </c>
      <c r="K74" s="224" t="s">
        <v>3089</v>
      </c>
      <c r="L74" s="225" t="str">
        <f>VLOOKUP(Logfile_S[[#This Row],[Material Name]],Sheet2!B:C,2,0)</f>
        <v>GCI1003</v>
      </c>
      <c r="M74" s="225" t="str">
        <f>_xlfn.XLOOKUP(Logfile_S[[#This Row],[Material Name]],Sum_WH!E:E,Sum_WH!F:F,"",0)</f>
        <v>Pcs</v>
      </c>
      <c r="N74" s="221">
        <v>46</v>
      </c>
      <c r="O74" s="221">
        <v>0</v>
      </c>
      <c r="P74" s="221">
        <v>0</v>
      </c>
      <c r="Q74" s="221">
        <v>0</v>
      </c>
      <c r="R74" s="221">
        <v>0</v>
      </c>
      <c r="S74" s="221"/>
      <c r="T74" s="221"/>
      <c r="U74" s="221"/>
      <c r="V74" s="221"/>
      <c r="W74" s="221"/>
      <c r="X74" s="221"/>
      <c r="Y74" s="227"/>
      <c r="Z74" s="227">
        <f>P74</f>
        <v>0</v>
      </c>
      <c r="AA74" s="276" t="e">
        <f>VLOOKUP(Logfile_S[[#This Row],[DO number]],DO_DB!G:I,3,0)</f>
        <v>#N/A</v>
      </c>
      <c r="AB74" s="331" t="e">
        <f>EXACT(Logfile_S[[#This Row],[date pick]],Logfile_S[[#This Row],[Date]])</f>
        <v>#N/A</v>
      </c>
      <c r="AC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5" spans="1:29" ht="14.5">
      <c r="A75" s="220" t="str">
        <f>TEXT(ROW(A75)-ROW($A$4),"000")</f>
        <v>071</v>
      </c>
      <c r="B75" s="221"/>
      <c r="C75" s="221" t="s">
        <v>48</v>
      </c>
      <c r="D75" s="221" t="s">
        <v>4228</v>
      </c>
      <c r="E75" s="221" t="s">
        <v>3295</v>
      </c>
      <c r="F75" s="221" t="s">
        <v>3299</v>
      </c>
      <c r="G75" s="222">
        <v>45555</v>
      </c>
      <c r="H75" s="223">
        <v>15.291666666666666</v>
      </c>
      <c r="I75" s="221" t="s">
        <v>37</v>
      </c>
      <c r="J75" s="221" t="s">
        <v>3024</v>
      </c>
      <c r="K75" s="224" t="s">
        <v>16</v>
      </c>
      <c r="L75" s="225" t="str">
        <f>VLOOKUP(Logfile_S[[#This Row],[Material Name]],Sheet2!B:C,2,0)</f>
        <v>ZTE2020</v>
      </c>
      <c r="M75" s="225" t="str">
        <f>_xlfn.XLOOKUP(Logfile_S[[#This Row],[Material Name]],Sum_WH!E:E,Sum_WH!F:F,"",0)</f>
        <v>Meter</v>
      </c>
      <c r="N75" s="221">
        <v>328</v>
      </c>
      <c r="O75" s="221">
        <v>0</v>
      </c>
      <c r="P75" s="221">
        <v>0</v>
      </c>
      <c r="Q75" s="221">
        <v>0</v>
      </c>
      <c r="R75" s="221">
        <v>0</v>
      </c>
      <c r="S75" s="221"/>
      <c r="T75" s="221"/>
      <c r="U75" s="221"/>
      <c r="V75" s="221"/>
      <c r="W75" s="221"/>
      <c r="X75" s="221"/>
      <c r="Y75" s="227"/>
      <c r="Z75" s="227">
        <f>P75</f>
        <v>0</v>
      </c>
      <c r="AA75" s="276" t="e">
        <f>VLOOKUP(Logfile_S[[#This Row],[DO number]],DO_DB!G:I,3,0)</f>
        <v>#N/A</v>
      </c>
      <c r="AB75" s="331" t="e">
        <f>EXACT(Logfile_S[[#This Row],[date pick]],Logfile_S[[#This Row],[Date]])</f>
        <v>#N/A</v>
      </c>
      <c r="AC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6" spans="1:29" ht="14.5">
      <c r="A76" s="220" t="str">
        <f>TEXT(ROW(A76)-ROW($A$4),"000")</f>
        <v>072</v>
      </c>
      <c r="B76" s="221"/>
      <c r="C76" s="221" t="s">
        <v>48</v>
      </c>
      <c r="D76" s="221" t="s">
        <v>4251</v>
      </c>
      <c r="E76" s="221" t="s">
        <v>3295</v>
      </c>
      <c r="F76" s="221" t="s">
        <v>3299</v>
      </c>
      <c r="G76" s="222">
        <v>45583</v>
      </c>
      <c r="H76" s="223">
        <v>15.291666666666666</v>
      </c>
      <c r="I76" s="221" t="s">
        <v>38</v>
      </c>
      <c r="J76" s="221" t="s">
        <v>3024</v>
      </c>
      <c r="K76" s="224" t="s">
        <v>3094</v>
      </c>
      <c r="L76" s="225" t="str">
        <f>VLOOKUP(Logfile_S[[#This Row],[Material Name]],Sheet2!B:C,2,0)</f>
        <v>GCI1008</v>
      </c>
      <c r="M76" s="225" t="str">
        <f>_xlfn.XLOOKUP(Logfile_S[[#This Row],[Material Name]],Sum_WH!E:E,Sum_WH!F:F,"",0)</f>
        <v>Pcs</v>
      </c>
      <c r="N76" s="221">
        <v>136</v>
      </c>
      <c r="O76" s="221">
        <v>0</v>
      </c>
      <c r="P76" s="221">
        <v>0</v>
      </c>
      <c r="Q76" s="221">
        <v>0</v>
      </c>
      <c r="R76" s="221">
        <v>0</v>
      </c>
      <c r="S76" s="221"/>
      <c r="T76" s="221"/>
      <c r="U76" s="221"/>
      <c r="V76" s="221"/>
      <c r="W76" s="221"/>
      <c r="X76" s="221"/>
      <c r="Y76" s="227"/>
      <c r="Z76" s="227">
        <f>P76</f>
        <v>0</v>
      </c>
      <c r="AA76" s="276" t="e">
        <f>VLOOKUP(Logfile_S[[#This Row],[DO number]],DO_DB!G:I,3,0)</f>
        <v>#N/A</v>
      </c>
      <c r="AB76" s="331" t="e">
        <f>EXACT(Logfile_S[[#This Row],[date pick]],Logfile_S[[#This Row],[Date]])</f>
        <v>#N/A</v>
      </c>
      <c r="AC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7" spans="1:29" ht="14.5">
      <c r="A77" s="220" t="str">
        <f>TEXT(ROW(A77)-ROW($A$4),"000")</f>
        <v>073</v>
      </c>
      <c r="B77" s="221"/>
      <c r="C77" s="221" t="s">
        <v>48</v>
      </c>
      <c r="D77" s="221" t="s">
        <v>4251</v>
      </c>
      <c r="E77" s="221" t="s">
        <v>3295</v>
      </c>
      <c r="F77" s="221" t="s">
        <v>3299</v>
      </c>
      <c r="G77" s="222">
        <v>45583</v>
      </c>
      <c r="H77" s="223">
        <v>15.291666666666666</v>
      </c>
      <c r="I77" s="221" t="s">
        <v>38</v>
      </c>
      <c r="J77" s="221" t="s">
        <v>3024</v>
      </c>
      <c r="K77" s="224" t="s">
        <v>3089</v>
      </c>
      <c r="L77" s="225" t="str">
        <f>VLOOKUP(Logfile_S[[#This Row],[Material Name]],Sheet2!B:C,2,0)</f>
        <v>GCI1003</v>
      </c>
      <c r="M77" s="225" t="str">
        <f>_xlfn.XLOOKUP(Logfile_S[[#This Row],[Material Name]],Sum_WH!E:E,Sum_WH!F:F,"",0)</f>
        <v>Pcs</v>
      </c>
      <c r="N77" s="221">
        <v>137</v>
      </c>
      <c r="O77" s="221">
        <v>0</v>
      </c>
      <c r="P77" s="221">
        <v>0</v>
      </c>
      <c r="Q77" s="221">
        <v>0</v>
      </c>
      <c r="R77" s="221">
        <v>0</v>
      </c>
      <c r="S77" s="221"/>
      <c r="T77" s="221"/>
      <c r="U77" s="221"/>
      <c r="V77" s="221"/>
      <c r="W77" s="221"/>
      <c r="X77" s="221"/>
      <c r="Y77" s="227"/>
      <c r="Z77" s="227">
        <f>P77</f>
        <v>0</v>
      </c>
      <c r="AA77" s="276" t="e">
        <f>VLOOKUP(Logfile_S[[#This Row],[DO number]],DO_DB!G:I,3,0)</f>
        <v>#N/A</v>
      </c>
      <c r="AB77" s="331" t="e">
        <f>EXACT(Logfile_S[[#This Row],[date pick]],Logfile_S[[#This Row],[Date]])</f>
        <v>#N/A</v>
      </c>
      <c r="AC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8" spans="1:29" ht="14.5">
      <c r="A78" s="220" t="str">
        <f>TEXT(ROW(A78)-ROW($A$4),"000")</f>
        <v>074</v>
      </c>
      <c r="B78" s="221"/>
      <c r="C78" s="221" t="s">
        <v>48</v>
      </c>
      <c r="D78" s="221" t="s">
        <v>4251</v>
      </c>
      <c r="E78" s="221" t="s">
        <v>3295</v>
      </c>
      <c r="F78" s="221" t="s">
        <v>3299</v>
      </c>
      <c r="G78" s="222">
        <v>45583</v>
      </c>
      <c r="H78" s="223">
        <v>15.291666666666666</v>
      </c>
      <c r="I78" s="221" t="s">
        <v>38</v>
      </c>
      <c r="J78" s="221" t="s">
        <v>3024</v>
      </c>
      <c r="K78" s="224" t="s">
        <v>3090</v>
      </c>
      <c r="L78" s="225" t="str">
        <f>VLOOKUP(Logfile_S[[#This Row],[Material Name]],Sheet2!B:C,2,0)</f>
        <v>GCI1004</v>
      </c>
      <c r="M78" s="225" t="str">
        <f>_xlfn.XLOOKUP(Logfile_S[[#This Row],[Material Name]],Sum_WH!E:E,Sum_WH!F:F,"",0)</f>
        <v>Pcs</v>
      </c>
      <c r="N78" s="221">
        <v>68</v>
      </c>
      <c r="O78" s="221">
        <v>0</v>
      </c>
      <c r="P78" s="221">
        <v>0</v>
      </c>
      <c r="Q78" s="221">
        <v>0</v>
      </c>
      <c r="R78" s="221">
        <v>0</v>
      </c>
      <c r="S78" s="221"/>
      <c r="T78" s="221"/>
      <c r="U78" s="221"/>
      <c r="V78" s="221"/>
      <c r="W78" s="221"/>
      <c r="X78" s="221"/>
      <c r="Y78" s="227"/>
      <c r="Z78" s="227">
        <f>P78</f>
        <v>0</v>
      </c>
      <c r="AA78" s="276" t="e">
        <f>VLOOKUP(Logfile_S[[#This Row],[DO number]],DO_DB!G:I,3,0)</f>
        <v>#N/A</v>
      </c>
      <c r="AB78" s="331" t="e">
        <f>EXACT(Logfile_S[[#This Row],[date pick]],Logfile_S[[#This Row],[Date]])</f>
        <v>#N/A</v>
      </c>
      <c r="AC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9" spans="1:29" ht="14.5">
      <c r="A79" s="220" t="str">
        <f>TEXT(ROW(A79)-ROW($A$4),"000")</f>
        <v>075</v>
      </c>
      <c r="B79" s="221"/>
      <c r="C79" s="221" t="s">
        <v>48</v>
      </c>
      <c r="D79" s="221" t="s">
        <v>4266</v>
      </c>
      <c r="E79" s="221" t="s">
        <v>3295</v>
      </c>
      <c r="F79" s="221" t="s">
        <v>3299</v>
      </c>
      <c r="G79" s="222">
        <v>45595</v>
      </c>
      <c r="H79" s="223">
        <v>15.291666666666666</v>
      </c>
      <c r="I79" s="221" t="s">
        <v>38</v>
      </c>
      <c r="J79" s="221" t="s">
        <v>3024</v>
      </c>
      <c r="K79" s="224" t="s">
        <v>3087</v>
      </c>
      <c r="L79" s="225" t="str">
        <f>VLOOKUP(Logfile_S[[#This Row],[Material Name]],Sheet2!B:C,2,0)</f>
        <v>GCI1001</v>
      </c>
      <c r="M79" s="225" t="str">
        <f>_xlfn.XLOOKUP(Logfile_S[[#This Row],[Material Name]],Sum_WH!E:E,Sum_WH!F:F,"",0)</f>
        <v>Pcs</v>
      </c>
      <c r="N79" s="221">
        <v>7</v>
      </c>
      <c r="O79" s="221">
        <v>0</v>
      </c>
      <c r="P79" s="221">
        <v>0</v>
      </c>
      <c r="Q79" s="221">
        <v>0</v>
      </c>
      <c r="R79" s="221">
        <v>0</v>
      </c>
      <c r="S79" s="221"/>
      <c r="T79" s="221"/>
      <c r="U79" s="221"/>
      <c r="V79" s="221"/>
      <c r="W79" s="221"/>
      <c r="X79" s="221"/>
      <c r="Y79" s="227"/>
      <c r="Z79" s="227">
        <f>P79</f>
        <v>0</v>
      </c>
      <c r="AA79" s="276" t="e">
        <f>VLOOKUP(Logfile_S[[#This Row],[DO number]],DO_DB!G:I,3,0)</f>
        <v>#N/A</v>
      </c>
      <c r="AB79" s="331" t="e">
        <f>EXACT(Logfile_S[[#This Row],[date pick]],Logfile_S[[#This Row],[Date]])</f>
        <v>#N/A</v>
      </c>
      <c r="AC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0" spans="1:29" ht="14.5">
      <c r="A80" s="220" t="str">
        <f>TEXT(ROW(A80)-ROW($A$4),"000")</f>
        <v>076</v>
      </c>
      <c r="B80" s="221"/>
      <c r="C80" s="221" t="s">
        <v>48</v>
      </c>
      <c r="D80" s="221" t="s">
        <v>4266</v>
      </c>
      <c r="E80" s="221" t="s">
        <v>3295</v>
      </c>
      <c r="F80" s="221" t="s">
        <v>3299</v>
      </c>
      <c r="G80" s="222">
        <v>45595</v>
      </c>
      <c r="H80" s="223">
        <v>15.291666666666666</v>
      </c>
      <c r="I80" s="221" t="s">
        <v>38</v>
      </c>
      <c r="J80" s="221" t="s">
        <v>3024</v>
      </c>
      <c r="K80" s="224" t="s">
        <v>3087</v>
      </c>
      <c r="L80" s="225" t="str">
        <f>VLOOKUP(Logfile_S[[#This Row],[Material Name]],Sheet2!B:C,2,0)</f>
        <v>GCI1001</v>
      </c>
      <c r="M80" s="225" t="str">
        <f>_xlfn.XLOOKUP(Logfile_S[[#This Row],[Material Name]],Sum_WH!E:E,Sum_WH!F:F,"",0)</f>
        <v>Pcs</v>
      </c>
      <c r="N80" s="221">
        <v>25</v>
      </c>
      <c r="O80" s="221">
        <v>0</v>
      </c>
      <c r="P80" s="221">
        <v>0</v>
      </c>
      <c r="Q80" s="221">
        <v>0</v>
      </c>
      <c r="R80" s="221">
        <v>0</v>
      </c>
      <c r="S80" s="221"/>
      <c r="T80" s="221"/>
      <c r="U80" s="221"/>
      <c r="V80" s="221"/>
      <c r="W80" s="221"/>
      <c r="X80" s="221"/>
      <c r="Y80" s="227"/>
      <c r="Z80" s="227">
        <f>P80</f>
        <v>0</v>
      </c>
      <c r="AA80" s="276" t="e">
        <f>VLOOKUP(Logfile_S[[#This Row],[DO number]],DO_DB!G:I,3,0)</f>
        <v>#N/A</v>
      </c>
      <c r="AB80" s="331" t="e">
        <f>EXACT(Logfile_S[[#This Row],[date pick]],Logfile_S[[#This Row],[Date]])</f>
        <v>#N/A</v>
      </c>
      <c r="AC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1" spans="1:29" ht="14.5">
      <c r="A81" s="220" t="str">
        <f>TEXT(ROW(A81)-ROW($A$4),"000")</f>
        <v>077</v>
      </c>
      <c r="B81" s="221"/>
      <c r="C81" s="221" t="s">
        <v>48</v>
      </c>
      <c r="D81" s="221" t="s">
        <v>4266</v>
      </c>
      <c r="E81" s="221" t="s">
        <v>3295</v>
      </c>
      <c r="F81" s="221" t="s">
        <v>3299</v>
      </c>
      <c r="G81" s="222">
        <v>45595</v>
      </c>
      <c r="H81" s="223">
        <v>15.291666666666666</v>
      </c>
      <c r="I81" s="221" t="s">
        <v>38</v>
      </c>
      <c r="J81" s="221" t="s">
        <v>3024</v>
      </c>
      <c r="K81" s="224" t="s">
        <v>3108</v>
      </c>
      <c r="L81" s="225" t="str">
        <f>VLOOKUP(Logfile_S[[#This Row],[Material Name]],Sheet2!B:C,2,0)</f>
        <v>GCI1020</v>
      </c>
      <c r="M81" s="225" t="str">
        <f>_xlfn.XLOOKUP(Logfile_S[[#This Row],[Material Name]],Sum_WH!E:E,Sum_WH!F:F,"",0)</f>
        <v>Pcs</v>
      </c>
      <c r="N81" s="221">
        <v>400</v>
      </c>
      <c r="O81" s="221">
        <v>0</v>
      </c>
      <c r="P81" s="221">
        <v>0</v>
      </c>
      <c r="Q81" s="221">
        <v>0</v>
      </c>
      <c r="R81" s="221">
        <v>0</v>
      </c>
      <c r="S81" s="221"/>
      <c r="T81" s="221"/>
      <c r="U81" s="221"/>
      <c r="V81" s="221"/>
      <c r="W81" s="221"/>
      <c r="X81" s="221"/>
      <c r="Y81" s="227"/>
      <c r="Z81" s="227">
        <f>P81</f>
        <v>0</v>
      </c>
      <c r="AA81" s="276" t="e">
        <f>VLOOKUP(Logfile_S[[#This Row],[DO number]],DO_DB!G:I,3,0)</f>
        <v>#N/A</v>
      </c>
      <c r="AB81" s="331" t="e">
        <f>EXACT(Logfile_S[[#This Row],[date pick]],Logfile_S[[#This Row],[Date]])</f>
        <v>#N/A</v>
      </c>
      <c r="AC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2" spans="1:29" ht="14.5">
      <c r="A82" s="220" t="str">
        <f>TEXT(ROW(A82)-ROW($A$4),"000")</f>
        <v>078</v>
      </c>
      <c r="B82" s="221"/>
      <c r="C82" s="221" t="s">
        <v>48</v>
      </c>
      <c r="D82" s="221" t="s">
        <v>4266</v>
      </c>
      <c r="E82" s="221" t="s">
        <v>3295</v>
      </c>
      <c r="F82" s="221" t="s">
        <v>3299</v>
      </c>
      <c r="G82" s="222">
        <v>45595</v>
      </c>
      <c r="H82" s="223">
        <v>15.291666666666666</v>
      </c>
      <c r="I82" s="221" t="s">
        <v>38</v>
      </c>
      <c r="J82" s="221" t="s">
        <v>3024</v>
      </c>
      <c r="K82" s="224" t="s">
        <v>3088</v>
      </c>
      <c r="L82" s="225" t="str">
        <f>VLOOKUP(Logfile_S[[#This Row],[Material Name]],Sheet2!B:C,2,0)</f>
        <v>GCI1002</v>
      </c>
      <c r="M82" s="225" t="str">
        <f>_xlfn.XLOOKUP(Logfile_S[[#This Row],[Material Name]],Sum_WH!E:E,Sum_WH!F:F,"",0)</f>
        <v>Pcs</v>
      </c>
      <c r="N82" s="221">
        <v>1</v>
      </c>
      <c r="O82" s="221">
        <v>0</v>
      </c>
      <c r="P82" s="221">
        <v>0</v>
      </c>
      <c r="Q82" s="221">
        <v>0</v>
      </c>
      <c r="R82" s="221">
        <v>0</v>
      </c>
      <c r="S82" s="221"/>
      <c r="T82" s="221"/>
      <c r="U82" s="221"/>
      <c r="V82" s="221"/>
      <c r="W82" s="221"/>
      <c r="X82" s="221"/>
      <c r="Y82" s="227"/>
      <c r="Z82" s="227">
        <f>P82</f>
        <v>0</v>
      </c>
      <c r="AA82" s="276" t="e">
        <f>VLOOKUP(Logfile_S[[#This Row],[DO number]],DO_DB!G:I,3,0)</f>
        <v>#N/A</v>
      </c>
      <c r="AB82" s="331" t="e">
        <f>EXACT(Logfile_S[[#This Row],[date pick]],Logfile_S[[#This Row],[Date]])</f>
        <v>#N/A</v>
      </c>
      <c r="AC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3" spans="1:29" ht="14.5">
      <c r="A83" s="220" t="str">
        <f>TEXT(ROW(A83)-ROW($A$4),"000")</f>
        <v>079</v>
      </c>
      <c r="B83" s="221"/>
      <c r="C83" s="221" t="s">
        <v>48</v>
      </c>
      <c r="D83" s="221" t="s">
        <v>4266</v>
      </c>
      <c r="E83" s="221" t="s">
        <v>3295</v>
      </c>
      <c r="F83" s="221" t="s">
        <v>3299</v>
      </c>
      <c r="G83" s="222">
        <v>45595</v>
      </c>
      <c r="H83" s="223">
        <v>15.291666666666666</v>
      </c>
      <c r="I83" s="221" t="s">
        <v>38</v>
      </c>
      <c r="J83" s="221" t="s">
        <v>3024</v>
      </c>
      <c r="K83" s="224" t="s">
        <v>3094</v>
      </c>
      <c r="L83" s="225" t="str">
        <f>VLOOKUP(Logfile_S[[#This Row],[Material Name]],Sheet2!B:C,2,0)</f>
        <v>GCI1008</v>
      </c>
      <c r="M83" s="225" t="str">
        <f>_xlfn.XLOOKUP(Logfile_S[[#This Row],[Material Name]],Sum_WH!E:E,Sum_WH!F:F,"",0)</f>
        <v>Pcs</v>
      </c>
      <c r="N83" s="221">
        <v>34</v>
      </c>
      <c r="O83" s="221">
        <v>0</v>
      </c>
      <c r="P83" s="221">
        <v>0</v>
      </c>
      <c r="Q83" s="221">
        <v>0</v>
      </c>
      <c r="R83" s="221">
        <v>0</v>
      </c>
      <c r="S83" s="221"/>
      <c r="T83" s="221"/>
      <c r="U83" s="221"/>
      <c r="V83" s="221"/>
      <c r="W83" s="221"/>
      <c r="X83" s="221"/>
      <c r="Y83" s="227"/>
      <c r="Z83" s="227">
        <f>P83</f>
        <v>0</v>
      </c>
      <c r="AA83" s="276" t="e">
        <f>VLOOKUP(Logfile_S[[#This Row],[DO number]],DO_DB!G:I,3,0)</f>
        <v>#N/A</v>
      </c>
      <c r="AB83" s="331" t="e">
        <f>EXACT(Logfile_S[[#This Row],[date pick]],Logfile_S[[#This Row],[Date]])</f>
        <v>#N/A</v>
      </c>
      <c r="AC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4" spans="1:29" ht="14.5">
      <c r="A84" s="220" t="str">
        <f>TEXT(ROW(A84)-ROW($A$4),"000")</f>
        <v>080</v>
      </c>
      <c r="B84" s="221"/>
      <c r="C84" s="221" t="s">
        <v>48</v>
      </c>
      <c r="D84" s="221" t="s">
        <v>4266</v>
      </c>
      <c r="E84" s="221" t="s">
        <v>3295</v>
      </c>
      <c r="F84" s="221" t="s">
        <v>3299</v>
      </c>
      <c r="G84" s="222">
        <v>45595</v>
      </c>
      <c r="H84" s="223">
        <v>15.291666666666666</v>
      </c>
      <c r="I84" s="221" t="s">
        <v>38</v>
      </c>
      <c r="J84" s="221" t="s">
        <v>3024</v>
      </c>
      <c r="K84" s="224" t="s">
        <v>3094</v>
      </c>
      <c r="L84" s="225" t="str">
        <f>VLOOKUP(Logfile_S[[#This Row],[Material Name]],Sheet2!B:C,2,0)</f>
        <v>GCI1008</v>
      </c>
      <c r="M84" s="225" t="str">
        <f>_xlfn.XLOOKUP(Logfile_S[[#This Row],[Material Name]],Sum_WH!E:E,Sum_WH!F:F,"",0)</f>
        <v>Pcs</v>
      </c>
      <c r="N84" s="221">
        <v>150</v>
      </c>
      <c r="O84" s="221">
        <v>0</v>
      </c>
      <c r="P84" s="221">
        <v>0</v>
      </c>
      <c r="Q84" s="221">
        <v>0</v>
      </c>
      <c r="R84" s="221">
        <v>0</v>
      </c>
      <c r="S84" s="221"/>
      <c r="T84" s="221"/>
      <c r="U84" s="221"/>
      <c r="V84" s="221"/>
      <c r="W84" s="221"/>
      <c r="X84" s="221"/>
      <c r="Y84" s="227"/>
      <c r="Z84" s="227">
        <f>P84</f>
        <v>0</v>
      </c>
      <c r="AA84" s="276" t="e">
        <f>VLOOKUP(Logfile_S[[#This Row],[DO number]],DO_DB!G:I,3,0)</f>
        <v>#N/A</v>
      </c>
      <c r="AB84" s="331" t="e">
        <f>EXACT(Logfile_S[[#This Row],[date pick]],Logfile_S[[#This Row],[Date]])</f>
        <v>#N/A</v>
      </c>
      <c r="AC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5" spans="1:29" ht="14.5">
      <c r="A85" s="220" t="str">
        <f>TEXT(ROW(A85)-ROW($A$4),"000")</f>
        <v>081</v>
      </c>
      <c r="B85" s="221"/>
      <c r="C85" s="221" t="s">
        <v>48</v>
      </c>
      <c r="D85" s="221" t="s">
        <v>4266</v>
      </c>
      <c r="E85" s="221" t="s">
        <v>3295</v>
      </c>
      <c r="F85" s="221" t="s">
        <v>3299</v>
      </c>
      <c r="G85" s="222">
        <v>45595</v>
      </c>
      <c r="H85" s="223">
        <v>15.291666666666666</v>
      </c>
      <c r="I85" s="221" t="s">
        <v>38</v>
      </c>
      <c r="J85" s="221" t="s">
        <v>3024</v>
      </c>
      <c r="K85" s="224" t="s">
        <v>3089</v>
      </c>
      <c r="L85" s="225" t="str">
        <f>VLOOKUP(Logfile_S[[#This Row],[Material Name]],Sheet2!B:C,2,0)</f>
        <v>GCI1003</v>
      </c>
      <c r="M85" s="225" t="str">
        <f>_xlfn.XLOOKUP(Logfile_S[[#This Row],[Material Name]],Sum_WH!E:E,Sum_WH!F:F,"",0)</f>
        <v>Pcs</v>
      </c>
      <c r="N85" s="221">
        <v>79</v>
      </c>
      <c r="O85" s="221">
        <v>0</v>
      </c>
      <c r="P85" s="221">
        <v>0</v>
      </c>
      <c r="Q85" s="221">
        <v>0</v>
      </c>
      <c r="R85" s="221">
        <v>0</v>
      </c>
      <c r="S85" s="221"/>
      <c r="T85" s="221"/>
      <c r="U85" s="221"/>
      <c r="V85" s="221"/>
      <c r="W85" s="221"/>
      <c r="X85" s="221"/>
      <c r="Y85" s="227"/>
      <c r="Z85" s="227">
        <f>P85</f>
        <v>0</v>
      </c>
      <c r="AA85" s="276" t="e">
        <f>VLOOKUP(Logfile_S[[#This Row],[DO number]],DO_DB!G:I,3,0)</f>
        <v>#N/A</v>
      </c>
      <c r="AB85" s="331" t="e">
        <f>EXACT(Logfile_S[[#This Row],[date pick]],Logfile_S[[#This Row],[Date]])</f>
        <v>#N/A</v>
      </c>
      <c r="AC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6" spans="1:29" ht="14.5">
      <c r="A86" s="220" t="str">
        <f>TEXT(ROW(A86)-ROW($A$4),"000")</f>
        <v>082</v>
      </c>
      <c r="B86" s="221"/>
      <c r="C86" s="221" t="s">
        <v>48</v>
      </c>
      <c r="D86" s="221" t="s">
        <v>4266</v>
      </c>
      <c r="E86" s="221" t="s">
        <v>3295</v>
      </c>
      <c r="F86" s="221" t="s">
        <v>3299</v>
      </c>
      <c r="G86" s="222">
        <v>45595</v>
      </c>
      <c r="H86" s="223">
        <v>15.291666666666666</v>
      </c>
      <c r="I86" s="221" t="s">
        <v>38</v>
      </c>
      <c r="J86" s="221" t="s">
        <v>3024</v>
      </c>
      <c r="K86" s="224" t="s">
        <v>3090</v>
      </c>
      <c r="L86" s="225" t="str">
        <f>VLOOKUP(Logfile_S[[#This Row],[Material Name]],Sheet2!B:C,2,0)</f>
        <v>GCI1004</v>
      </c>
      <c r="M86" s="225" t="str">
        <f>_xlfn.XLOOKUP(Logfile_S[[#This Row],[Material Name]],Sum_WH!E:E,Sum_WH!F:F,"",0)</f>
        <v>Pcs</v>
      </c>
      <c r="N86" s="221">
        <v>17</v>
      </c>
      <c r="O86" s="221">
        <v>0</v>
      </c>
      <c r="P86" s="221">
        <v>0</v>
      </c>
      <c r="Q86" s="221">
        <v>0</v>
      </c>
      <c r="R86" s="221">
        <v>0</v>
      </c>
      <c r="S86" s="221"/>
      <c r="T86" s="221"/>
      <c r="U86" s="221"/>
      <c r="V86" s="221"/>
      <c r="W86" s="221"/>
      <c r="X86" s="221"/>
      <c r="Y86" s="227"/>
      <c r="Z86" s="227">
        <f>P86</f>
        <v>0</v>
      </c>
      <c r="AA86" s="276" t="e">
        <f>VLOOKUP(Logfile_S[[#This Row],[DO number]],DO_DB!G:I,3,0)</f>
        <v>#N/A</v>
      </c>
      <c r="AB86" s="331" t="e">
        <f>EXACT(Logfile_S[[#This Row],[date pick]],Logfile_S[[#This Row],[Date]])</f>
        <v>#N/A</v>
      </c>
      <c r="AC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7" spans="1:29" ht="14.5">
      <c r="A87" s="220" t="str">
        <f>TEXT(ROW(A87)-ROW($A$4),"000")</f>
        <v>083</v>
      </c>
      <c r="B87" s="221"/>
      <c r="C87" s="221" t="s">
        <v>48</v>
      </c>
      <c r="D87" s="221" t="s">
        <v>4266</v>
      </c>
      <c r="E87" s="221" t="s">
        <v>3295</v>
      </c>
      <c r="F87" s="221" t="s">
        <v>3299</v>
      </c>
      <c r="G87" s="222">
        <v>45595</v>
      </c>
      <c r="H87" s="223">
        <v>15.291666666666666</v>
      </c>
      <c r="I87" s="221" t="s">
        <v>38</v>
      </c>
      <c r="J87" s="221" t="s">
        <v>3024</v>
      </c>
      <c r="K87" s="224" t="s">
        <v>3090</v>
      </c>
      <c r="L87" s="225" t="str">
        <f>VLOOKUP(Logfile_S[[#This Row],[Material Name]],Sheet2!B:C,2,0)</f>
        <v>GCI1004</v>
      </c>
      <c r="M87" s="225" t="str">
        <f>_xlfn.XLOOKUP(Logfile_S[[#This Row],[Material Name]],Sum_WH!E:E,Sum_WH!F:F,"",0)</f>
        <v>Pcs</v>
      </c>
      <c r="N87" s="221">
        <v>75</v>
      </c>
      <c r="O87" s="221">
        <v>0</v>
      </c>
      <c r="P87" s="221">
        <v>0</v>
      </c>
      <c r="Q87" s="221">
        <v>0</v>
      </c>
      <c r="R87" s="221">
        <v>0</v>
      </c>
      <c r="S87" s="221"/>
      <c r="T87" s="221"/>
      <c r="U87" s="221"/>
      <c r="V87" s="221"/>
      <c r="W87" s="221"/>
      <c r="X87" s="221"/>
      <c r="Y87" s="227"/>
      <c r="Z87" s="227">
        <f>P87</f>
        <v>0</v>
      </c>
      <c r="AA87" s="276" t="e">
        <f>VLOOKUP(Logfile_S[[#This Row],[DO number]],DO_DB!G:I,3,0)</f>
        <v>#N/A</v>
      </c>
      <c r="AB87" s="331" t="e">
        <f>EXACT(Logfile_S[[#This Row],[date pick]],Logfile_S[[#This Row],[Date]])</f>
        <v>#N/A</v>
      </c>
      <c r="AC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8" spans="1:29" ht="14.5">
      <c r="A88" s="220" t="str">
        <f>TEXT(ROW(A88)-ROW($A$4),"000")</f>
        <v>084</v>
      </c>
      <c r="B88" s="221"/>
      <c r="C88" s="221" t="s">
        <v>48</v>
      </c>
      <c r="D88" s="221" t="s">
        <v>4295</v>
      </c>
      <c r="E88" s="221" t="s">
        <v>3295</v>
      </c>
      <c r="F88" s="221" t="s">
        <v>3299</v>
      </c>
      <c r="G88" s="222">
        <v>45626</v>
      </c>
      <c r="H88" s="223">
        <v>15.291666666666666</v>
      </c>
      <c r="I88" s="221" t="s">
        <v>38</v>
      </c>
      <c r="J88" s="221" t="s">
        <v>3024</v>
      </c>
      <c r="K88" s="224" t="s">
        <v>3097</v>
      </c>
      <c r="L88" s="225" t="str">
        <f>VLOOKUP(Logfile_S[[#This Row],[Material Name]],Sheet2!B:C,2,0)</f>
        <v>GCI1011</v>
      </c>
      <c r="M88" s="225" t="str">
        <f>_xlfn.XLOOKUP(Logfile_S[[#This Row],[Material Name]],Sum_WH!E:E,Sum_WH!F:F,"",0)</f>
        <v>Pcs</v>
      </c>
      <c r="N88" s="221">
        <v>1</v>
      </c>
      <c r="O88" s="221">
        <v>0</v>
      </c>
      <c r="P88" s="221">
        <v>0</v>
      </c>
      <c r="Q88" s="221">
        <v>0</v>
      </c>
      <c r="R88" s="221">
        <v>0</v>
      </c>
      <c r="S88" s="221"/>
      <c r="T88" s="221"/>
      <c r="U88" s="221"/>
      <c r="V88" s="221"/>
      <c r="W88" s="221"/>
      <c r="X88" s="221"/>
      <c r="Y88" s="227"/>
      <c r="Z88" s="227">
        <f>P88</f>
        <v>0</v>
      </c>
      <c r="AA88" s="276" t="e">
        <f>VLOOKUP(Logfile_S[[#This Row],[DO number]],DO_DB!G:I,3,0)</f>
        <v>#N/A</v>
      </c>
      <c r="AB88" s="331" t="e">
        <f>EXACT(Logfile_S[[#This Row],[date pick]],Logfile_S[[#This Row],[Date]])</f>
        <v>#N/A</v>
      </c>
      <c r="AC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9" spans="1:29" ht="14.5">
      <c r="A89" s="220" t="str">
        <f>TEXT(ROW(A89)-ROW($A$4),"000")</f>
        <v>085</v>
      </c>
      <c r="B89" s="221"/>
      <c r="C89" s="221" t="s">
        <v>48</v>
      </c>
      <c r="D89" s="221" t="s">
        <v>4295</v>
      </c>
      <c r="E89" s="221" t="s">
        <v>3295</v>
      </c>
      <c r="F89" s="221" t="s">
        <v>3299</v>
      </c>
      <c r="G89" s="222">
        <v>45626</v>
      </c>
      <c r="H89" s="223">
        <v>15.291666666666666</v>
      </c>
      <c r="I89" s="221" t="s">
        <v>38</v>
      </c>
      <c r="J89" s="221" t="s">
        <v>3024</v>
      </c>
      <c r="K89" s="224" t="s">
        <v>3091</v>
      </c>
      <c r="L89" s="225" t="str">
        <f>VLOOKUP(Logfile_S[[#This Row],[Material Name]],Sheet2!B:C,2,0)</f>
        <v>GCI1005</v>
      </c>
      <c r="M89" s="225" t="str">
        <f>_xlfn.XLOOKUP(Logfile_S[[#This Row],[Material Name]],Sum_WH!E:E,Sum_WH!F:F,"",0)</f>
        <v>Pcs</v>
      </c>
      <c r="N89" s="221">
        <v>96</v>
      </c>
      <c r="O89" s="221">
        <v>0</v>
      </c>
      <c r="P89" s="221">
        <v>0</v>
      </c>
      <c r="Q89" s="221">
        <v>0</v>
      </c>
      <c r="R89" s="221">
        <v>0</v>
      </c>
      <c r="S89" s="221"/>
      <c r="T89" s="221"/>
      <c r="U89" s="221"/>
      <c r="V89" s="221"/>
      <c r="W89" s="221"/>
      <c r="X89" s="221"/>
      <c r="Y89" s="227"/>
      <c r="Z89" s="227">
        <f>P89</f>
        <v>0</v>
      </c>
      <c r="AA89" s="276" t="e">
        <f>VLOOKUP(Logfile_S[[#This Row],[DO number]],DO_DB!G:I,3,0)</f>
        <v>#N/A</v>
      </c>
      <c r="AB89" s="331" t="e">
        <f>EXACT(Logfile_S[[#This Row],[date pick]],Logfile_S[[#This Row],[Date]])</f>
        <v>#N/A</v>
      </c>
      <c r="AC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0" spans="1:29" ht="14.5">
      <c r="A90" s="220" t="str">
        <f>TEXT(ROW(A90)-ROW($A$4),"000")</f>
        <v>086</v>
      </c>
      <c r="B90" s="221"/>
      <c r="C90" s="221" t="s">
        <v>48</v>
      </c>
      <c r="D90" s="221" t="s">
        <v>4295</v>
      </c>
      <c r="E90" s="221" t="s">
        <v>3295</v>
      </c>
      <c r="F90" s="221" t="s">
        <v>3299</v>
      </c>
      <c r="G90" s="222">
        <v>45626</v>
      </c>
      <c r="H90" s="223">
        <v>15.291666666666666</v>
      </c>
      <c r="I90" s="221" t="s">
        <v>38</v>
      </c>
      <c r="J90" s="221" t="s">
        <v>3024</v>
      </c>
      <c r="K90" s="224" t="s">
        <v>3087</v>
      </c>
      <c r="L90" s="225" t="str">
        <f>VLOOKUP(Logfile_S[[#This Row],[Material Name]],Sheet2!B:C,2,0)</f>
        <v>GCI1001</v>
      </c>
      <c r="M90" s="225" t="str">
        <f>_xlfn.XLOOKUP(Logfile_S[[#This Row],[Material Name]],Sum_WH!E:E,Sum_WH!F:F,"",0)</f>
        <v>Pcs</v>
      </c>
      <c r="N90" s="221">
        <v>52</v>
      </c>
      <c r="O90" s="221">
        <v>0</v>
      </c>
      <c r="P90" s="221">
        <v>0</v>
      </c>
      <c r="Q90" s="221">
        <v>0</v>
      </c>
      <c r="R90" s="221">
        <v>0</v>
      </c>
      <c r="S90" s="221"/>
      <c r="T90" s="221"/>
      <c r="U90" s="221"/>
      <c r="V90" s="221"/>
      <c r="W90" s="221"/>
      <c r="X90" s="221"/>
      <c r="Y90" s="227"/>
      <c r="Z90" s="227">
        <f>P90</f>
        <v>0</v>
      </c>
      <c r="AA90" s="276" t="e">
        <f>VLOOKUP(Logfile_S[[#This Row],[DO number]],DO_DB!G:I,3,0)</f>
        <v>#N/A</v>
      </c>
      <c r="AB90" s="331" t="e">
        <f>EXACT(Logfile_S[[#This Row],[date pick]],Logfile_S[[#This Row],[Date]])</f>
        <v>#N/A</v>
      </c>
      <c r="AC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1" spans="1:29" ht="14.5">
      <c r="A91" s="220" t="str">
        <f>TEXT(ROW(A91)-ROW($A$4),"000")</f>
        <v>087</v>
      </c>
      <c r="B91" s="221"/>
      <c r="C91" s="221" t="s">
        <v>48</v>
      </c>
      <c r="D91" s="221" t="s">
        <v>4295</v>
      </c>
      <c r="E91" s="221" t="s">
        <v>3295</v>
      </c>
      <c r="F91" s="221" t="s">
        <v>3299</v>
      </c>
      <c r="G91" s="222">
        <v>45626</v>
      </c>
      <c r="H91" s="223">
        <v>15.291666666666666</v>
      </c>
      <c r="I91" s="221" t="s">
        <v>38</v>
      </c>
      <c r="J91" s="221" t="s">
        <v>3024</v>
      </c>
      <c r="K91" s="224" t="s">
        <v>3094</v>
      </c>
      <c r="L91" s="225" t="str">
        <f>VLOOKUP(Logfile_S[[#This Row],[Material Name]],Sheet2!B:C,2,0)</f>
        <v>GCI1008</v>
      </c>
      <c r="M91" s="225" t="str">
        <f>_xlfn.XLOOKUP(Logfile_S[[#This Row],[Material Name]],Sum_WH!E:E,Sum_WH!F:F,"",0)</f>
        <v>Pcs</v>
      </c>
      <c r="N91" s="221">
        <v>96</v>
      </c>
      <c r="O91" s="221">
        <v>0</v>
      </c>
      <c r="P91" s="221">
        <v>0</v>
      </c>
      <c r="Q91" s="221">
        <v>0</v>
      </c>
      <c r="R91" s="221">
        <v>0</v>
      </c>
      <c r="S91" s="221"/>
      <c r="T91" s="221"/>
      <c r="U91" s="221"/>
      <c r="V91" s="221"/>
      <c r="W91" s="221"/>
      <c r="X91" s="221"/>
      <c r="Y91" s="227"/>
      <c r="Z91" s="227">
        <f>P91</f>
        <v>0</v>
      </c>
      <c r="AA91" s="276" t="e">
        <f>VLOOKUP(Logfile_S[[#This Row],[DO number]],DO_DB!G:I,3,0)</f>
        <v>#N/A</v>
      </c>
      <c r="AB91" s="331" t="e">
        <f>EXACT(Logfile_S[[#This Row],[date pick]],Logfile_S[[#This Row],[Date]])</f>
        <v>#N/A</v>
      </c>
      <c r="AC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2" spans="1:29" ht="14.5">
      <c r="A92" s="220" t="str">
        <f>TEXT(ROW(A92)-ROW($A$4),"000")</f>
        <v>088</v>
      </c>
      <c r="B92" s="221"/>
      <c r="C92" s="221" t="s">
        <v>48</v>
      </c>
      <c r="D92" s="221" t="s">
        <v>4295</v>
      </c>
      <c r="E92" s="221" t="s">
        <v>3295</v>
      </c>
      <c r="F92" s="221" t="s">
        <v>3299</v>
      </c>
      <c r="G92" s="222">
        <v>45626</v>
      </c>
      <c r="H92" s="223">
        <v>15.291666666666666</v>
      </c>
      <c r="I92" s="221" t="s">
        <v>38</v>
      </c>
      <c r="J92" s="221" t="s">
        <v>3024</v>
      </c>
      <c r="K92" s="224" t="s">
        <v>3089</v>
      </c>
      <c r="L92" s="225" t="str">
        <f>VLOOKUP(Logfile_S[[#This Row],[Material Name]],Sheet2!B:C,2,0)</f>
        <v>GCI1003</v>
      </c>
      <c r="M92" s="225" t="str">
        <f>_xlfn.XLOOKUP(Logfile_S[[#This Row],[Material Name]],Sum_WH!E:E,Sum_WH!F:F,"",0)</f>
        <v>Pcs</v>
      </c>
      <c r="N92" s="221">
        <v>96</v>
      </c>
      <c r="O92" s="221">
        <v>0</v>
      </c>
      <c r="P92" s="221">
        <v>0</v>
      </c>
      <c r="Q92" s="221">
        <v>0</v>
      </c>
      <c r="R92" s="221">
        <v>0</v>
      </c>
      <c r="S92" s="221"/>
      <c r="T92" s="221"/>
      <c r="U92" s="221"/>
      <c r="V92" s="221"/>
      <c r="W92" s="221"/>
      <c r="X92" s="221"/>
      <c r="Y92" s="227"/>
      <c r="Z92" s="227">
        <f>P92</f>
        <v>0</v>
      </c>
      <c r="AA92" s="276" t="e">
        <f>VLOOKUP(Logfile_S[[#This Row],[DO number]],DO_DB!G:I,3,0)</f>
        <v>#N/A</v>
      </c>
      <c r="AB92" s="331" t="e">
        <f>EXACT(Logfile_S[[#This Row],[date pick]],Logfile_S[[#This Row],[Date]])</f>
        <v>#N/A</v>
      </c>
      <c r="AC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3" spans="1:29" ht="14.5">
      <c r="A93" s="220" t="str">
        <f>TEXT(ROW(A93)-ROW($A$4),"000")</f>
        <v>089</v>
      </c>
      <c r="B93" s="221"/>
      <c r="C93" s="221" t="s">
        <v>48</v>
      </c>
      <c r="D93" s="221" t="s">
        <v>4295</v>
      </c>
      <c r="E93" s="221" t="s">
        <v>3295</v>
      </c>
      <c r="F93" s="221" t="s">
        <v>3299</v>
      </c>
      <c r="G93" s="222">
        <v>45626</v>
      </c>
      <c r="H93" s="223">
        <v>15.291666666666666</v>
      </c>
      <c r="I93" s="221" t="s">
        <v>38</v>
      </c>
      <c r="J93" s="221" t="s">
        <v>3024</v>
      </c>
      <c r="K93" s="224" t="s">
        <v>3090</v>
      </c>
      <c r="L93" s="225" t="str">
        <f>VLOOKUP(Logfile_S[[#This Row],[Material Name]],Sheet2!B:C,2,0)</f>
        <v>GCI1004</v>
      </c>
      <c r="M93" s="225" t="str">
        <f>_xlfn.XLOOKUP(Logfile_S[[#This Row],[Material Name]],Sum_WH!E:E,Sum_WH!F:F,"",0)</f>
        <v>Pcs</v>
      </c>
      <c r="N93" s="221">
        <v>101</v>
      </c>
      <c r="O93" s="221">
        <v>0</v>
      </c>
      <c r="P93" s="221">
        <v>0</v>
      </c>
      <c r="Q93" s="221">
        <v>0</v>
      </c>
      <c r="R93" s="221">
        <v>0</v>
      </c>
      <c r="S93" s="221"/>
      <c r="T93" s="221"/>
      <c r="U93" s="221"/>
      <c r="V93" s="221"/>
      <c r="W93" s="221"/>
      <c r="X93" s="221"/>
      <c r="Y93" s="227"/>
      <c r="Z93" s="227">
        <f>P93</f>
        <v>0</v>
      </c>
      <c r="AA93" s="276" t="e">
        <f>VLOOKUP(Logfile_S[[#This Row],[DO number]],DO_DB!G:I,3,0)</f>
        <v>#N/A</v>
      </c>
      <c r="AB93" s="331" t="e">
        <f>EXACT(Logfile_S[[#This Row],[date pick]],Logfile_S[[#This Row],[Date]])</f>
        <v>#N/A</v>
      </c>
      <c r="AC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4" spans="1:29" ht="14.5">
      <c r="A94" s="220" t="str">
        <f>TEXT(ROW(A94)-ROW($A$4),"000")</f>
        <v>090</v>
      </c>
      <c r="B94" s="221"/>
      <c r="C94" s="221" t="s">
        <v>48</v>
      </c>
      <c r="D94" s="221" t="s">
        <v>4318</v>
      </c>
      <c r="E94" s="221" t="s">
        <v>3295</v>
      </c>
      <c r="F94" s="221" t="s">
        <v>3299</v>
      </c>
      <c r="G94" s="222">
        <v>45656</v>
      </c>
      <c r="H94" s="223">
        <v>15.291666666666666</v>
      </c>
      <c r="I94" s="221" t="s">
        <v>38</v>
      </c>
      <c r="J94" s="221" t="s">
        <v>3024</v>
      </c>
      <c r="K94" s="224" t="s">
        <v>3097</v>
      </c>
      <c r="L94" s="225" t="str">
        <f>VLOOKUP(Logfile_S[[#This Row],[Material Name]],Sheet2!B:C,2,0)</f>
        <v>GCI1011</v>
      </c>
      <c r="M94" s="225" t="str">
        <f>_xlfn.XLOOKUP(Logfile_S[[#This Row],[Material Name]],Sum_WH!E:E,Sum_WH!F:F,"",0)</f>
        <v>Pcs</v>
      </c>
      <c r="N94" s="221">
        <v>2</v>
      </c>
      <c r="O94" s="221">
        <v>0</v>
      </c>
      <c r="P94" s="221">
        <v>0</v>
      </c>
      <c r="Q94" s="221">
        <v>0</v>
      </c>
      <c r="R94" s="221">
        <v>0</v>
      </c>
      <c r="S94" s="221"/>
      <c r="T94" s="221"/>
      <c r="U94" s="221"/>
      <c r="V94" s="221"/>
      <c r="W94" s="221"/>
      <c r="X94" s="221"/>
      <c r="Y94" s="227"/>
      <c r="Z94" s="227">
        <f>P94</f>
        <v>0</v>
      </c>
      <c r="AA94" s="276" t="e">
        <f>VLOOKUP(Logfile_S[[#This Row],[DO number]],DO_DB!G:I,3,0)</f>
        <v>#N/A</v>
      </c>
      <c r="AB94" s="331" t="e">
        <f>EXACT(Logfile_S[[#This Row],[date pick]],Logfile_S[[#This Row],[Date]])</f>
        <v>#N/A</v>
      </c>
      <c r="AC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5" spans="1:29" ht="14.5">
      <c r="A95" s="220" t="str">
        <f>TEXT(ROW(A95)-ROW($A$4),"000")</f>
        <v>091</v>
      </c>
      <c r="B95" s="221"/>
      <c r="C95" s="221" t="s">
        <v>48</v>
      </c>
      <c r="D95" s="221" t="s">
        <v>4318</v>
      </c>
      <c r="E95" s="221" t="s">
        <v>3295</v>
      </c>
      <c r="F95" s="221" t="s">
        <v>3299</v>
      </c>
      <c r="G95" s="222">
        <v>45656</v>
      </c>
      <c r="H95" s="223">
        <v>15.291666666666666</v>
      </c>
      <c r="I95" s="221" t="s">
        <v>38</v>
      </c>
      <c r="J95" s="221" t="s">
        <v>3024</v>
      </c>
      <c r="K95" s="224" t="s">
        <v>3091</v>
      </c>
      <c r="L95" s="225" t="str">
        <f>VLOOKUP(Logfile_S[[#This Row],[Material Name]],Sheet2!B:C,2,0)</f>
        <v>GCI1005</v>
      </c>
      <c r="M95" s="225" t="str">
        <f>_xlfn.XLOOKUP(Logfile_S[[#This Row],[Material Name]],Sum_WH!E:E,Sum_WH!F:F,"",0)</f>
        <v>Pcs</v>
      </c>
      <c r="N95" s="221">
        <v>69</v>
      </c>
      <c r="O95" s="221">
        <v>0</v>
      </c>
      <c r="P95" s="221">
        <v>0</v>
      </c>
      <c r="Q95" s="221">
        <v>0</v>
      </c>
      <c r="R95" s="221">
        <v>0</v>
      </c>
      <c r="S95" s="221"/>
      <c r="T95" s="221"/>
      <c r="U95" s="221"/>
      <c r="V95" s="221"/>
      <c r="W95" s="221"/>
      <c r="X95" s="221"/>
      <c r="Y95" s="227"/>
      <c r="Z95" s="227">
        <f>P95</f>
        <v>0</v>
      </c>
      <c r="AA95" s="276" t="e">
        <f>VLOOKUP(Logfile_S[[#This Row],[DO number]],DO_DB!G:I,3,0)</f>
        <v>#N/A</v>
      </c>
      <c r="AB95" s="331" t="e">
        <f>EXACT(Logfile_S[[#This Row],[date pick]],Logfile_S[[#This Row],[Date]])</f>
        <v>#N/A</v>
      </c>
      <c r="AC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6" spans="1:29" ht="14.5">
      <c r="A96" s="220" t="str">
        <f>TEXT(ROW(A96)-ROW($A$4),"000")</f>
        <v>092</v>
      </c>
      <c r="B96" s="221"/>
      <c r="C96" s="221" t="s">
        <v>48</v>
      </c>
      <c r="D96" s="221" t="s">
        <v>4318</v>
      </c>
      <c r="E96" s="221" t="s">
        <v>3295</v>
      </c>
      <c r="F96" s="221" t="s">
        <v>3299</v>
      </c>
      <c r="G96" s="222">
        <v>45656</v>
      </c>
      <c r="H96" s="223">
        <v>15.291666666666666</v>
      </c>
      <c r="I96" s="221" t="s">
        <v>38</v>
      </c>
      <c r="J96" s="221" t="s">
        <v>3024</v>
      </c>
      <c r="K96" s="224" t="s">
        <v>3087</v>
      </c>
      <c r="L96" s="225" t="str">
        <f>VLOOKUP(Logfile_S[[#This Row],[Material Name]],Sheet2!B:C,2,0)</f>
        <v>GCI1001</v>
      </c>
      <c r="M96" s="225" t="str">
        <f>_xlfn.XLOOKUP(Logfile_S[[#This Row],[Material Name]],Sum_WH!E:E,Sum_WH!F:F,"",0)</f>
        <v>Pcs</v>
      </c>
      <c r="N96" s="221">
        <v>123</v>
      </c>
      <c r="O96" s="221">
        <v>0</v>
      </c>
      <c r="P96" s="221">
        <v>0</v>
      </c>
      <c r="Q96" s="221">
        <v>0</v>
      </c>
      <c r="R96" s="221">
        <v>0</v>
      </c>
      <c r="S96" s="221"/>
      <c r="T96" s="221"/>
      <c r="U96" s="221"/>
      <c r="V96" s="221"/>
      <c r="W96" s="221"/>
      <c r="X96" s="221"/>
      <c r="Y96" s="227"/>
      <c r="Z96" s="227">
        <f>P96</f>
        <v>0</v>
      </c>
      <c r="AA96" s="276" t="e">
        <f>VLOOKUP(Logfile_S[[#This Row],[DO number]],DO_DB!G:I,3,0)</f>
        <v>#N/A</v>
      </c>
      <c r="AB96" s="331" t="e">
        <f>EXACT(Logfile_S[[#This Row],[date pick]],Logfile_S[[#This Row],[Date]])</f>
        <v>#N/A</v>
      </c>
      <c r="AC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7" spans="1:29" ht="14.5">
      <c r="A97" s="220" t="str">
        <f>TEXT(ROW(A97)-ROW($A$4),"000")</f>
        <v>093</v>
      </c>
      <c r="B97" s="221"/>
      <c r="C97" s="221" t="s">
        <v>48</v>
      </c>
      <c r="D97" s="221" t="s">
        <v>4318</v>
      </c>
      <c r="E97" s="221" t="s">
        <v>3295</v>
      </c>
      <c r="F97" s="221" t="s">
        <v>3299</v>
      </c>
      <c r="G97" s="222">
        <v>45656</v>
      </c>
      <c r="H97" s="223">
        <v>15.291666666666666</v>
      </c>
      <c r="I97" s="221" t="s">
        <v>38</v>
      </c>
      <c r="J97" s="221" t="s">
        <v>3024</v>
      </c>
      <c r="K97" s="224" t="s">
        <v>5137</v>
      </c>
      <c r="L97" s="225" t="str">
        <f>VLOOKUP(Logfile_S[[#This Row],[Material Name]],Sheet2!B:C,2,0)</f>
        <v>GCI1009</v>
      </c>
      <c r="M97" s="225" t="str">
        <f>_xlfn.XLOOKUP(Logfile_S[[#This Row],[Material Name]],Sum_WH!E:E,Sum_WH!F:F,"",0)</f>
        <v>Pcs</v>
      </c>
      <c r="N97" s="221">
        <v>304</v>
      </c>
      <c r="O97" s="221">
        <v>0</v>
      </c>
      <c r="P97" s="221">
        <v>0</v>
      </c>
      <c r="Q97" s="221">
        <v>0</v>
      </c>
      <c r="R97" s="221">
        <v>0</v>
      </c>
      <c r="S97" s="221"/>
      <c r="T97" s="221"/>
      <c r="U97" s="221"/>
      <c r="V97" s="221"/>
      <c r="W97" s="221"/>
      <c r="X97" s="221"/>
      <c r="Y97" s="227"/>
      <c r="Z97" s="227">
        <f>P97</f>
        <v>0</v>
      </c>
      <c r="AA97" s="276" t="e">
        <f>VLOOKUP(Logfile_S[[#This Row],[DO number]],DO_DB!G:I,3,0)</f>
        <v>#N/A</v>
      </c>
      <c r="AB97" s="331" t="e">
        <f>EXACT(Logfile_S[[#This Row],[date pick]],Logfile_S[[#This Row],[Date]])</f>
        <v>#N/A</v>
      </c>
      <c r="AC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8" spans="1:29" ht="14.5">
      <c r="A98" s="220" t="str">
        <f>TEXT(ROW(A98)-ROW($A$4),"000")</f>
        <v>094</v>
      </c>
      <c r="B98" s="221"/>
      <c r="C98" s="221" t="s">
        <v>48</v>
      </c>
      <c r="D98" s="221" t="s">
        <v>4318</v>
      </c>
      <c r="E98" s="221" t="s">
        <v>3295</v>
      </c>
      <c r="F98" s="221" t="s">
        <v>3299</v>
      </c>
      <c r="G98" s="222">
        <v>45656</v>
      </c>
      <c r="H98" s="223">
        <v>15.291666666666666</v>
      </c>
      <c r="I98" s="221" t="s">
        <v>38</v>
      </c>
      <c r="J98" s="221" t="s">
        <v>3024</v>
      </c>
      <c r="K98" s="224" t="s">
        <v>3094</v>
      </c>
      <c r="L98" s="225" t="str">
        <f>VLOOKUP(Logfile_S[[#This Row],[Material Name]],Sheet2!B:C,2,0)</f>
        <v>GCI1008</v>
      </c>
      <c r="M98" s="225" t="str">
        <f>_xlfn.XLOOKUP(Logfile_S[[#This Row],[Material Name]],Sum_WH!E:E,Sum_WH!F:F,"",0)</f>
        <v>Pcs</v>
      </c>
      <c r="N98" s="221">
        <v>301</v>
      </c>
      <c r="O98" s="221">
        <v>0</v>
      </c>
      <c r="P98" s="221">
        <v>0</v>
      </c>
      <c r="Q98" s="221">
        <v>0</v>
      </c>
      <c r="R98" s="221">
        <v>0</v>
      </c>
      <c r="S98" s="221"/>
      <c r="T98" s="221"/>
      <c r="U98" s="221"/>
      <c r="V98" s="221"/>
      <c r="W98" s="221"/>
      <c r="X98" s="221"/>
      <c r="Y98" s="227"/>
      <c r="Z98" s="227">
        <f>P98</f>
        <v>0</v>
      </c>
      <c r="AA98" s="276" t="e">
        <f>VLOOKUP(Logfile_S[[#This Row],[DO number]],DO_DB!G:I,3,0)</f>
        <v>#N/A</v>
      </c>
      <c r="AB98" s="331" t="e">
        <f>EXACT(Logfile_S[[#This Row],[date pick]],Logfile_S[[#This Row],[Date]])</f>
        <v>#N/A</v>
      </c>
      <c r="AC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9" spans="1:29" ht="14.5">
      <c r="A99" s="220" t="str">
        <f>TEXT(ROW(A99)-ROW($A$4),"000")</f>
        <v>095</v>
      </c>
      <c r="B99" s="221"/>
      <c r="C99" s="221" t="s">
        <v>48</v>
      </c>
      <c r="D99" s="221" t="s">
        <v>4318</v>
      </c>
      <c r="E99" s="221" t="s">
        <v>3295</v>
      </c>
      <c r="F99" s="221" t="s">
        <v>3299</v>
      </c>
      <c r="G99" s="222">
        <v>45656</v>
      </c>
      <c r="H99" s="223">
        <v>15.291666666666666</v>
      </c>
      <c r="I99" s="221" t="s">
        <v>38</v>
      </c>
      <c r="J99" s="221" t="s">
        <v>3024</v>
      </c>
      <c r="K99" s="224" t="s">
        <v>3089</v>
      </c>
      <c r="L99" s="225" t="str">
        <f>VLOOKUP(Logfile_S[[#This Row],[Material Name]],Sheet2!B:C,2,0)</f>
        <v>GCI1003</v>
      </c>
      <c r="M99" s="225" t="str">
        <f>_xlfn.XLOOKUP(Logfile_S[[#This Row],[Material Name]],Sum_WH!E:E,Sum_WH!F:F,"",0)</f>
        <v>Pcs</v>
      </c>
      <c r="N99" s="221">
        <v>703</v>
      </c>
      <c r="O99" s="221">
        <v>0</v>
      </c>
      <c r="P99" s="221">
        <v>0</v>
      </c>
      <c r="Q99" s="221">
        <v>0</v>
      </c>
      <c r="R99" s="221">
        <v>0</v>
      </c>
      <c r="S99" s="221"/>
      <c r="T99" s="221"/>
      <c r="U99" s="221"/>
      <c r="V99" s="221"/>
      <c r="W99" s="221"/>
      <c r="X99" s="221"/>
      <c r="Y99" s="227"/>
      <c r="Z99" s="227">
        <f>P99</f>
        <v>0</v>
      </c>
      <c r="AA99" s="276" t="e">
        <f>VLOOKUP(Logfile_S[[#This Row],[DO number]],DO_DB!G:I,3,0)</f>
        <v>#N/A</v>
      </c>
      <c r="AB99" s="331" t="e">
        <f>EXACT(Logfile_S[[#This Row],[date pick]],Logfile_S[[#This Row],[Date]])</f>
        <v>#N/A</v>
      </c>
      <c r="AC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0" spans="1:29" ht="14.5">
      <c r="A100" s="220" t="str">
        <f>TEXT(ROW(A100)-ROW($A$4),"000")</f>
        <v>096</v>
      </c>
      <c r="B100" s="221"/>
      <c r="C100" s="221" t="s">
        <v>48</v>
      </c>
      <c r="D100" s="221" t="s">
        <v>4318</v>
      </c>
      <c r="E100" s="221" t="s">
        <v>3295</v>
      </c>
      <c r="F100" s="221" t="s">
        <v>3299</v>
      </c>
      <c r="G100" s="222">
        <v>45656</v>
      </c>
      <c r="H100" s="223">
        <v>15.291666666666666</v>
      </c>
      <c r="I100" s="221" t="s">
        <v>38</v>
      </c>
      <c r="J100" s="221" t="s">
        <v>3024</v>
      </c>
      <c r="K100" s="224" t="s">
        <v>3090</v>
      </c>
      <c r="L100" s="225" t="str">
        <f>VLOOKUP(Logfile_S[[#This Row],[Material Name]],Sheet2!B:C,2,0)</f>
        <v>GCI1004</v>
      </c>
      <c r="M100" s="225" t="str">
        <f>_xlfn.XLOOKUP(Logfile_S[[#This Row],[Material Name]],Sum_WH!E:E,Sum_WH!F:F,"",0)</f>
        <v>Pcs</v>
      </c>
      <c r="N100" s="221">
        <v>156</v>
      </c>
      <c r="O100" s="221">
        <v>0</v>
      </c>
      <c r="P100" s="221">
        <v>0</v>
      </c>
      <c r="Q100" s="221">
        <v>0</v>
      </c>
      <c r="R100" s="221">
        <v>0</v>
      </c>
      <c r="S100" s="221"/>
      <c r="T100" s="221"/>
      <c r="U100" s="221"/>
      <c r="V100" s="221"/>
      <c r="W100" s="221"/>
      <c r="X100" s="221"/>
      <c r="Y100" s="227"/>
      <c r="Z100" s="227">
        <f>P100</f>
        <v>0</v>
      </c>
      <c r="AA100" s="276" t="e">
        <f>VLOOKUP(Logfile_S[[#This Row],[DO number]],DO_DB!G:I,3,0)</f>
        <v>#N/A</v>
      </c>
      <c r="AB100" s="331" t="e">
        <f>EXACT(Logfile_S[[#This Row],[date pick]],Logfile_S[[#This Row],[Date]])</f>
        <v>#N/A</v>
      </c>
      <c r="AC1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1" spans="1:29" ht="14.5">
      <c r="A101" s="220" t="str">
        <f>TEXT(ROW(A101)-ROW($A$4),"000")</f>
        <v>097</v>
      </c>
      <c r="B101" s="221"/>
      <c r="C101" s="221" t="s">
        <v>48</v>
      </c>
      <c r="D101" s="221" t="s">
        <v>4380</v>
      </c>
      <c r="E101" s="221" t="s">
        <v>3295</v>
      </c>
      <c r="F101" s="221" t="s">
        <v>3299</v>
      </c>
      <c r="G101" s="222">
        <v>45831</v>
      </c>
      <c r="H101" s="223">
        <v>15.291666666666666</v>
      </c>
      <c r="I101" s="221" t="s">
        <v>38</v>
      </c>
      <c r="J101" s="221" t="s">
        <v>3024</v>
      </c>
      <c r="K101" s="224" t="s">
        <v>3097</v>
      </c>
      <c r="L101" s="225" t="str">
        <f>VLOOKUP(Logfile_S[[#This Row],[Material Name]],Sheet2!B:C,2,0)</f>
        <v>GCI1011</v>
      </c>
      <c r="M101" s="225" t="str">
        <f>_xlfn.XLOOKUP(Logfile_S[[#This Row],[Material Name]],Sum_WH!E:E,Sum_WH!F:F,"",0)</f>
        <v>Pcs</v>
      </c>
      <c r="N101" s="221">
        <v>2</v>
      </c>
      <c r="O101" s="221">
        <v>0</v>
      </c>
      <c r="P101" s="221">
        <v>0</v>
      </c>
      <c r="Q101" s="221">
        <v>0</v>
      </c>
      <c r="R101" s="221">
        <v>0</v>
      </c>
      <c r="S101" s="221"/>
      <c r="T101" s="221"/>
      <c r="U101" s="221"/>
      <c r="V101" s="221"/>
      <c r="W101" s="221"/>
      <c r="X101" s="221"/>
      <c r="Y101" s="227"/>
      <c r="Z101" s="227">
        <f>P101</f>
        <v>0</v>
      </c>
      <c r="AA101" s="276" t="e">
        <f>VLOOKUP(Logfile_S[[#This Row],[DO number]],DO_DB!G:I,3,0)</f>
        <v>#N/A</v>
      </c>
      <c r="AB101" s="331" t="e">
        <f>EXACT(Logfile_S[[#This Row],[date pick]],Logfile_S[[#This Row],[Date]])</f>
        <v>#N/A</v>
      </c>
      <c r="AC1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2" spans="1:29" ht="14.5">
      <c r="A102" s="220" t="str">
        <f>TEXT(ROW(A102)-ROW($A$4),"000")</f>
        <v>098</v>
      </c>
      <c r="B102" s="221"/>
      <c r="C102" s="221" t="s">
        <v>48</v>
      </c>
      <c r="D102" s="221" t="s">
        <v>4380</v>
      </c>
      <c r="E102" s="221" t="s">
        <v>3295</v>
      </c>
      <c r="F102" s="221" t="s">
        <v>3299</v>
      </c>
      <c r="G102" s="222">
        <v>45831</v>
      </c>
      <c r="H102" s="223">
        <v>15.291666666666666</v>
      </c>
      <c r="I102" s="221" t="s">
        <v>38</v>
      </c>
      <c r="J102" s="221" t="s">
        <v>3024</v>
      </c>
      <c r="K102" s="224" t="s">
        <v>3091</v>
      </c>
      <c r="L102" s="225" t="str">
        <f>VLOOKUP(Logfile_S[[#This Row],[Material Name]],Sheet2!B:C,2,0)</f>
        <v>GCI1005</v>
      </c>
      <c r="M102" s="225" t="str">
        <f>_xlfn.XLOOKUP(Logfile_S[[#This Row],[Material Name]],Sum_WH!E:E,Sum_WH!F:F,"",0)</f>
        <v>Pcs</v>
      </c>
      <c r="N102" s="221">
        <v>381</v>
      </c>
      <c r="O102" s="221">
        <v>0</v>
      </c>
      <c r="P102" s="221">
        <v>0</v>
      </c>
      <c r="Q102" s="221">
        <v>0</v>
      </c>
      <c r="R102" s="221">
        <v>0</v>
      </c>
      <c r="S102" s="221"/>
      <c r="T102" s="221"/>
      <c r="U102" s="221"/>
      <c r="V102" s="221"/>
      <c r="W102" s="221"/>
      <c r="X102" s="221"/>
      <c r="Y102" s="227"/>
      <c r="Z102" s="227">
        <f>P102</f>
        <v>0</v>
      </c>
      <c r="AA102" s="276" t="e">
        <f>VLOOKUP(Logfile_S[[#This Row],[DO number]],DO_DB!G:I,3,0)</f>
        <v>#N/A</v>
      </c>
      <c r="AB102" s="331" t="e">
        <f>EXACT(Logfile_S[[#This Row],[date pick]],Logfile_S[[#This Row],[Date]])</f>
        <v>#N/A</v>
      </c>
      <c r="AC1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3" spans="1:29" ht="14.5">
      <c r="A103" s="220" t="str">
        <f>TEXT(ROW(A103)-ROW($A$4),"000")</f>
        <v>099</v>
      </c>
      <c r="B103" s="221"/>
      <c r="C103" s="221" t="s">
        <v>48</v>
      </c>
      <c r="D103" s="221" t="s">
        <v>4380</v>
      </c>
      <c r="E103" s="221" t="s">
        <v>3295</v>
      </c>
      <c r="F103" s="221" t="s">
        <v>3299</v>
      </c>
      <c r="G103" s="222">
        <v>45831</v>
      </c>
      <c r="H103" s="223">
        <v>15.291666666666666</v>
      </c>
      <c r="I103" s="221" t="s">
        <v>38</v>
      </c>
      <c r="J103" s="221" t="s">
        <v>3024</v>
      </c>
      <c r="K103" s="224" t="s">
        <v>3087</v>
      </c>
      <c r="L103" s="225" t="str">
        <f>VLOOKUP(Logfile_S[[#This Row],[Material Name]],Sheet2!B:C,2,0)</f>
        <v>GCI1001</v>
      </c>
      <c r="M103" s="225" t="str">
        <f>_xlfn.XLOOKUP(Logfile_S[[#This Row],[Material Name]],Sum_WH!E:E,Sum_WH!F:F,"",0)</f>
        <v>Pcs</v>
      </c>
      <c r="N103" s="221">
        <v>147</v>
      </c>
      <c r="O103" s="221">
        <v>0</v>
      </c>
      <c r="P103" s="221">
        <v>0</v>
      </c>
      <c r="Q103" s="221">
        <v>0</v>
      </c>
      <c r="R103" s="221">
        <v>0</v>
      </c>
      <c r="S103" s="221"/>
      <c r="T103" s="221"/>
      <c r="U103" s="221"/>
      <c r="V103" s="221"/>
      <c r="W103" s="221"/>
      <c r="X103" s="221"/>
      <c r="Y103" s="227"/>
      <c r="Z103" s="227">
        <f>P103</f>
        <v>0</v>
      </c>
      <c r="AA103" s="276" t="e">
        <f>VLOOKUP(Logfile_S[[#This Row],[DO number]],DO_DB!G:I,3,0)</f>
        <v>#N/A</v>
      </c>
      <c r="AB103" s="331" t="e">
        <f>EXACT(Logfile_S[[#This Row],[date pick]],Logfile_S[[#This Row],[Date]])</f>
        <v>#N/A</v>
      </c>
      <c r="AC1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4" spans="1:29" ht="14.5">
      <c r="A104" s="220" t="str">
        <f>TEXT(ROW(A104)-ROW($A$4),"000")</f>
        <v>100</v>
      </c>
      <c r="B104" s="221"/>
      <c r="C104" s="221" t="s">
        <v>48</v>
      </c>
      <c r="D104" s="221" t="s">
        <v>4380</v>
      </c>
      <c r="E104" s="221" t="s">
        <v>3295</v>
      </c>
      <c r="F104" s="221" t="s">
        <v>3299</v>
      </c>
      <c r="G104" s="222">
        <v>45831</v>
      </c>
      <c r="H104" s="223">
        <v>15.291666666666666</v>
      </c>
      <c r="I104" s="221" t="s">
        <v>38</v>
      </c>
      <c r="J104" s="221" t="s">
        <v>3024</v>
      </c>
      <c r="K104" s="224" t="s">
        <v>3094</v>
      </c>
      <c r="L104" s="225" t="str">
        <f>VLOOKUP(Logfile_S[[#This Row],[Material Name]],Sheet2!B:C,2,0)</f>
        <v>GCI1008</v>
      </c>
      <c r="M104" s="225" t="str">
        <f>_xlfn.XLOOKUP(Logfile_S[[#This Row],[Material Name]],Sum_WH!E:E,Sum_WH!F:F,"",0)</f>
        <v>Pcs</v>
      </c>
      <c r="N104" s="221">
        <v>397</v>
      </c>
      <c r="O104" s="221">
        <v>0</v>
      </c>
      <c r="P104" s="221">
        <v>0</v>
      </c>
      <c r="Q104" s="221">
        <v>0</v>
      </c>
      <c r="R104" s="221">
        <v>0</v>
      </c>
      <c r="S104" s="221"/>
      <c r="T104" s="221"/>
      <c r="U104" s="221"/>
      <c r="V104" s="221"/>
      <c r="W104" s="221"/>
      <c r="X104" s="221"/>
      <c r="Y104" s="227"/>
      <c r="Z104" s="227">
        <f>P104</f>
        <v>0</v>
      </c>
      <c r="AA104" s="276" t="e">
        <f>VLOOKUP(Logfile_S[[#This Row],[DO number]],DO_DB!G:I,3,0)</f>
        <v>#N/A</v>
      </c>
      <c r="AB104" s="331" t="e">
        <f>EXACT(Logfile_S[[#This Row],[date pick]],Logfile_S[[#This Row],[Date]])</f>
        <v>#N/A</v>
      </c>
      <c r="AC1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5" spans="1:29" ht="14.5">
      <c r="A105" s="220" t="str">
        <f>TEXT(ROW(A105)-ROW($A$4),"000")</f>
        <v>101</v>
      </c>
      <c r="B105" s="221"/>
      <c r="C105" s="221" t="s">
        <v>48</v>
      </c>
      <c r="D105" s="221" t="s">
        <v>4380</v>
      </c>
      <c r="E105" s="221" t="s">
        <v>3295</v>
      </c>
      <c r="F105" s="221" t="s">
        <v>3299</v>
      </c>
      <c r="G105" s="222">
        <v>45831</v>
      </c>
      <c r="H105" s="223">
        <v>15.291666666666666</v>
      </c>
      <c r="I105" s="221" t="s">
        <v>38</v>
      </c>
      <c r="J105" s="221" t="s">
        <v>3024</v>
      </c>
      <c r="K105" s="224" t="s">
        <v>3089</v>
      </c>
      <c r="L105" s="225" t="str">
        <f>VLOOKUP(Logfile_S[[#This Row],[Material Name]],Sheet2!B:C,2,0)</f>
        <v>GCI1003</v>
      </c>
      <c r="M105" s="225" t="str">
        <f>_xlfn.XLOOKUP(Logfile_S[[#This Row],[Material Name]],Sum_WH!E:E,Sum_WH!F:F,"",0)</f>
        <v>Pcs</v>
      </c>
      <c r="N105" s="221">
        <v>558</v>
      </c>
      <c r="O105" s="221">
        <v>0</v>
      </c>
      <c r="P105" s="221">
        <v>0</v>
      </c>
      <c r="Q105" s="221">
        <v>0</v>
      </c>
      <c r="R105" s="221">
        <v>0</v>
      </c>
      <c r="S105" s="221"/>
      <c r="T105" s="221"/>
      <c r="U105" s="221"/>
      <c r="V105" s="221"/>
      <c r="W105" s="221"/>
      <c r="X105" s="221"/>
      <c r="Y105" s="227"/>
      <c r="Z105" s="227">
        <f>P105</f>
        <v>0</v>
      </c>
      <c r="AA105" s="276" t="e">
        <f>VLOOKUP(Logfile_S[[#This Row],[DO number]],DO_DB!G:I,3,0)</f>
        <v>#N/A</v>
      </c>
      <c r="AB105" s="331" t="e">
        <f>EXACT(Logfile_S[[#This Row],[date pick]],Logfile_S[[#This Row],[Date]])</f>
        <v>#N/A</v>
      </c>
      <c r="AC1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6" spans="1:29" ht="14.5">
      <c r="A106" s="220" t="str">
        <f>TEXT(ROW(A106)-ROW($A$4),"000")</f>
        <v>102</v>
      </c>
      <c r="B106" s="221"/>
      <c r="C106" s="221" t="s">
        <v>48</v>
      </c>
      <c r="D106" s="221" t="s">
        <v>4380</v>
      </c>
      <c r="E106" s="221" t="s">
        <v>3295</v>
      </c>
      <c r="F106" s="221" t="s">
        <v>3299</v>
      </c>
      <c r="G106" s="222">
        <v>45831</v>
      </c>
      <c r="H106" s="223">
        <v>15.291666666666666</v>
      </c>
      <c r="I106" s="221" t="s">
        <v>38</v>
      </c>
      <c r="J106" s="221" t="s">
        <v>3024</v>
      </c>
      <c r="K106" s="224" t="s">
        <v>3090</v>
      </c>
      <c r="L106" s="225" t="str">
        <f>VLOOKUP(Logfile_S[[#This Row],[Material Name]],Sheet2!B:C,2,0)</f>
        <v>GCI1004</v>
      </c>
      <c r="M106" s="225" t="str">
        <f>_xlfn.XLOOKUP(Logfile_S[[#This Row],[Material Name]],Sum_WH!E:E,Sum_WH!F:F,"",0)</f>
        <v>Pcs</v>
      </c>
      <c r="N106" s="221">
        <v>109</v>
      </c>
      <c r="O106" s="221">
        <v>0</v>
      </c>
      <c r="P106" s="221">
        <v>0</v>
      </c>
      <c r="Q106" s="221">
        <v>0</v>
      </c>
      <c r="R106" s="221">
        <v>0</v>
      </c>
      <c r="S106" s="221"/>
      <c r="T106" s="221"/>
      <c r="U106" s="221"/>
      <c r="V106" s="221"/>
      <c r="W106" s="221"/>
      <c r="X106" s="221"/>
      <c r="Y106" s="227"/>
      <c r="Z106" s="227">
        <f>P106</f>
        <v>0</v>
      </c>
      <c r="AA106" s="276" t="e">
        <f>VLOOKUP(Logfile_S[[#This Row],[DO number]],DO_DB!G:I,3,0)</f>
        <v>#N/A</v>
      </c>
      <c r="AB106" s="331" t="e">
        <f>EXACT(Logfile_S[[#This Row],[date pick]],Logfile_S[[#This Row],[Date]])</f>
        <v>#N/A</v>
      </c>
      <c r="AC1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7" spans="1:29" ht="14.5">
      <c r="A107" s="220" t="str">
        <f>TEXT(ROW(A107)-ROW($A$4),"000")</f>
        <v>103</v>
      </c>
      <c r="B107" s="221"/>
      <c r="C107" s="221" t="s">
        <v>48</v>
      </c>
      <c r="D107" s="221" t="s">
        <v>4392</v>
      </c>
      <c r="E107" s="221" t="s">
        <v>3295</v>
      </c>
      <c r="F107" s="221" t="s">
        <v>3299</v>
      </c>
      <c r="G107" s="222">
        <v>45849</v>
      </c>
      <c r="H107" s="223">
        <v>15.291666666666666</v>
      </c>
      <c r="I107" s="221" t="s">
        <v>38</v>
      </c>
      <c r="J107" s="221" t="s">
        <v>3024</v>
      </c>
      <c r="K107" s="224" t="s">
        <v>3236</v>
      </c>
      <c r="L107" s="225" t="str">
        <f>VLOOKUP(Logfile_S[[#This Row],[Material Name]],Sheet2!B:C,2,0)</f>
        <v>GCI1008</v>
      </c>
      <c r="M107" s="225" t="str">
        <f>_xlfn.XLOOKUP(Logfile_S[[#This Row],[Material Name]],Sum_WH!E:E,Sum_WH!F:F,"",0)</f>
        <v>Pcs</v>
      </c>
      <c r="N107" s="221">
        <v>129</v>
      </c>
      <c r="O107" s="221">
        <v>0</v>
      </c>
      <c r="P107" s="221">
        <v>0</v>
      </c>
      <c r="Q107" s="221">
        <v>0</v>
      </c>
      <c r="R107" s="221">
        <v>0</v>
      </c>
      <c r="S107" s="221"/>
      <c r="T107" s="221"/>
      <c r="U107" s="221"/>
      <c r="V107" s="221"/>
      <c r="W107" s="221"/>
      <c r="X107" s="221"/>
      <c r="Y107" s="227"/>
      <c r="Z107" s="227">
        <f>P107</f>
        <v>0</v>
      </c>
      <c r="AA107" s="276" t="e">
        <f>VLOOKUP(Logfile_S[[#This Row],[DO number]],DO_DB!G:I,3,0)</f>
        <v>#N/A</v>
      </c>
      <c r="AB107" s="331" t="e">
        <f>EXACT(Logfile_S[[#This Row],[date pick]],Logfile_S[[#This Row],[Date]])</f>
        <v>#N/A</v>
      </c>
      <c r="AC1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8" spans="1:29" ht="14.5">
      <c r="A108" s="220" t="str">
        <f>TEXT(ROW(A108)-ROW($A$4),"000")</f>
        <v>104</v>
      </c>
      <c r="B108" s="221"/>
      <c r="C108" s="221" t="s">
        <v>48</v>
      </c>
      <c r="D108" s="221" t="s">
        <v>4392</v>
      </c>
      <c r="E108" s="221" t="s">
        <v>3295</v>
      </c>
      <c r="F108" s="221" t="s">
        <v>3299</v>
      </c>
      <c r="G108" s="222">
        <v>45849</v>
      </c>
      <c r="H108" s="223">
        <v>15.291666666666666</v>
      </c>
      <c r="I108" s="221" t="s">
        <v>38</v>
      </c>
      <c r="J108" s="221" t="s">
        <v>3024</v>
      </c>
      <c r="K108" s="224" t="s">
        <v>3089</v>
      </c>
      <c r="L108" s="225" t="str">
        <f>VLOOKUP(Logfile_S[[#This Row],[Material Name]],Sheet2!B:C,2,0)</f>
        <v>GCI1003</v>
      </c>
      <c r="M108" s="225" t="str">
        <f>_xlfn.XLOOKUP(Logfile_S[[#This Row],[Material Name]],Sum_WH!E:E,Sum_WH!F:F,"",0)</f>
        <v>Pcs</v>
      </c>
      <c r="N108" s="221">
        <v>45</v>
      </c>
      <c r="O108" s="221">
        <v>0</v>
      </c>
      <c r="P108" s="221">
        <v>0</v>
      </c>
      <c r="Q108" s="221">
        <v>0</v>
      </c>
      <c r="R108" s="221">
        <v>0</v>
      </c>
      <c r="S108" s="221"/>
      <c r="T108" s="221"/>
      <c r="U108" s="221"/>
      <c r="V108" s="221"/>
      <c r="W108" s="221"/>
      <c r="X108" s="221"/>
      <c r="Y108" s="227"/>
      <c r="Z108" s="227">
        <f>P108</f>
        <v>0</v>
      </c>
      <c r="AA108" s="276" t="e">
        <f>VLOOKUP(Logfile_S[[#This Row],[DO number]],DO_DB!G:I,3,0)</f>
        <v>#N/A</v>
      </c>
      <c r="AB108" s="331" t="e">
        <f>EXACT(Logfile_S[[#This Row],[date pick]],Logfile_S[[#This Row],[Date]])</f>
        <v>#N/A</v>
      </c>
      <c r="AC1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9" spans="1:29" ht="14.5">
      <c r="A109" s="220" t="str">
        <f>TEXT(ROW(A109)-ROW($A$4),"000")</f>
        <v>105</v>
      </c>
      <c r="B109" s="221"/>
      <c r="C109" s="221" t="s">
        <v>48</v>
      </c>
      <c r="D109" s="221" t="s">
        <v>4392</v>
      </c>
      <c r="E109" s="221" t="s">
        <v>3295</v>
      </c>
      <c r="F109" s="221" t="s">
        <v>3299</v>
      </c>
      <c r="G109" s="222">
        <v>45849</v>
      </c>
      <c r="H109" s="223">
        <v>15.291666666666666</v>
      </c>
      <c r="I109" s="221" t="s">
        <v>38</v>
      </c>
      <c r="J109" s="221" t="s">
        <v>3024</v>
      </c>
      <c r="K109" s="224" t="s">
        <v>3090</v>
      </c>
      <c r="L109" s="225" t="str">
        <f>VLOOKUP(Logfile_S[[#This Row],[Material Name]],Sheet2!B:C,2,0)</f>
        <v>GCI1004</v>
      </c>
      <c r="M109" s="225" t="str">
        <f>_xlfn.XLOOKUP(Logfile_S[[#This Row],[Material Name]],Sum_WH!E:E,Sum_WH!F:F,"",0)</f>
        <v>Pcs</v>
      </c>
      <c r="N109" s="221">
        <v>82</v>
      </c>
      <c r="O109" s="221">
        <v>0</v>
      </c>
      <c r="P109" s="221">
        <v>0</v>
      </c>
      <c r="Q109" s="221">
        <v>0</v>
      </c>
      <c r="R109" s="221">
        <v>0</v>
      </c>
      <c r="S109" s="221"/>
      <c r="T109" s="221"/>
      <c r="U109" s="221"/>
      <c r="V109" s="221"/>
      <c r="W109" s="221"/>
      <c r="X109" s="221"/>
      <c r="Y109" s="227"/>
      <c r="Z109" s="227">
        <f>P109</f>
        <v>0</v>
      </c>
      <c r="AA109" s="276" t="e">
        <f>VLOOKUP(Logfile_S[[#This Row],[DO number]],DO_DB!G:I,3,0)</f>
        <v>#N/A</v>
      </c>
      <c r="AB109" s="331" t="e">
        <f>EXACT(Logfile_S[[#This Row],[date pick]],Logfile_S[[#This Row],[Date]])</f>
        <v>#N/A</v>
      </c>
      <c r="AC1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0" spans="1:29" ht="14.5">
      <c r="A110" s="220" t="str">
        <f>TEXT(ROW(A110)-ROW($A$4),"000")</f>
        <v>106</v>
      </c>
      <c r="B110" s="221"/>
      <c r="C110" s="221" t="s">
        <v>48</v>
      </c>
      <c r="D110" s="221" t="s">
        <v>4398</v>
      </c>
      <c r="E110" s="221" t="s">
        <v>3295</v>
      </c>
      <c r="F110" s="221" t="s">
        <v>3299</v>
      </c>
      <c r="G110" s="222">
        <v>45863</v>
      </c>
      <c r="H110" s="223">
        <v>15.291666666666666</v>
      </c>
      <c r="I110" s="221" t="s">
        <v>38</v>
      </c>
      <c r="J110" s="221" t="s">
        <v>3024</v>
      </c>
      <c r="K110" s="224" t="s">
        <v>5137</v>
      </c>
      <c r="L110" s="225" t="str">
        <f>VLOOKUP(Logfile_S[[#This Row],[Material Name]],Sheet2!B:C,2,0)</f>
        <v>GCI1009</v>
      </c>
      <c r="M110" s="225" t="str">
        <f>_xlfn.XLOOKUP(Logfile_S[[#This Row],[Material Name]],Sum_WH!E:E,Sum_WH!F:F,"",0)</f>
        <v>Pcs</v>
      </c>
      <c r="N110" s="221">
        <v>165</v>
      </c>
      <c r="O110" s="221">
        <v>0</v>
      </c>
      <c r="P110" s="221">
        <v>0</v>
      </c>
      <c r="Q110" s="221">
        <v>0</v>
      </c>
      <c r="R110" s="221">
        <v>0</v>
      </c>
      <c r="S110" s="221"/>
      <c r="T110" s="221"/>
      <c r="U110" s="221"/>
      <c r="V110" s="221"/>
      <c r="W110" s="221"/>
      <c r="X110" s="221"/>
      <c r="Y110" s="227"/>
      <c r="Z110" s="227">
        <f>P110</f>
        <v>0</v>
      </c>
      <c r="AA110" s="276" t="e">
        <f>VLOOKUP(Logfile_S[[#This Row],[DO number]],DO_DB!G:I,3,0)</f>
        <v>#N/A</v>
      </c>
      <c r="AB110" s="331" t="e">
        <f>EXACT(Logfile_S[[#This Row],[date pick]],Logfile_S[[#This Row],[Date]])</f>
        <v>#N/A</v>
      </c>
      <c r="AC1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1" spans="1:29" ht="14.5">
      <c r="A111" s="220" t="str">
        <f>TEXT(ROW(A111)-ROW($A$4),"000")</f>
        <v>107</v>
      </c>
      <c r="B111" s="221"/>
      <c r="C111" s="221" t="s">
        <v>48</v>
      </c>
      <c r="D111" s="221" t="s">
        <v>4401</v>
      </c>
      <c r="E111" s="221" t="s">
        <v>3295</v>
      </c>
      <c r="F111" s="221" t="s">
        <v>3299</v>
      </c>
      <c r="G111" s="222">
        <v>45868</v>
      </c>
      <c r="H111" s="223">
        <v>15.291666666666666</v>
      </c>
      <c r="I111" s="221" t="s">
        <v>38</v>
      </c>
      <c r="J111" s="221" t="s">
        <v>3024</v>
      </c>
      <c r="K111" s="224" t="s">
        <v>3087</v>
      </c>
      <c r="L111" s="225" t="str">
        <f>VLOOKUP(Logfile_S[[#This Row],[Material Name]],Sheet2!B:C,2,0)</f>
        <v>GCI1001</v>
      </c>
      <c r="M111" s="225" t="str">
        <f>_xlfn.XLOOKUP(Logfile_S[[#This Row],[Material Name]],Sum_WH!E:E,Sum_WH!F:F,"",0)</f>
        <v>Pcs</v>
      </c>
      <c r="N111" s="221">
        <v>39</v>
      </c>
      <c r="O111" s="221">
        <v>0</v>
      </c>
      <c r="P111" s="221">
        <v>0</v>
      </c>
      <c r="Q111" s="221">
        <v>0</v>
      </c>
      <c r="R111" s="221">
        <v>0</v>
      </c>
      <c r="S111" s="221"/>
      <c r="T111" s="221"/>
      <c r="U111" s="221"/>
      <c r="V111" s="221"/>
      <c r="W111" s="221"/>
      <c r="X111" s="221"/>
      <c r="Y111" s="227"/>
      <c r="Z111" s="227">
        <f>P111</f>
        <v>0</v>
      </c>
      <c r="AA111" s="276" t="e">
        <f>VLOOKUP(Logfile_S[[#This Row],[DO number]],DO_DB!G:I,3,0)</f>
        <v>#N/A</v>
      </c>
      <c r="AB111" s="331" t="e">
        <f>EXACT(Logfile_S[[#This Row],[date pick]],Logfile_S[[#This Row],[Date]])</f>
        <v>#N/A</v>
      </c>
      <c r="AC1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2" spans="1:29" ht="14.5">
      <c r="A112" s="220" t="str">
        <f>TEXT(ROW(A112)-ROW($A$4),"000")</f>
        <v>108</v>
      </c>
      <c r="B112" s="221"/>
      <c r="C112" s="221" t="s">
        <v>48</v>
      </c>
      <c r="D112" s="221" t="s">
        <v>4401</v>
      </c>
      <c r="E112" s="221" t="s">
        <v>3295</v>
      </c>
      <c r="F112" s="221" t="s">
        <v>3299</v>
      </c>
      <c r="G112" s="222">
        <v>45868</v>
      </c>
      <c r="H112" s="223">
        <v>15.291666666666666</v>
      </c>
      <c r="I112" s="221" t="s">
        <v>38</v>
      </c>
      <c r="J112" s="221" t="s">
        <v>3024</v>
      </c>
      <c r="K112" s="224" t="s">
        <v>3088</v>
      </c>
      <c r="L112" s="225" t="str">
        <f>VLOOKUP(Logfile_S[[#This Row],[Material Name]],Sheet2!B:C,2,0)</f>
        <v>GCI1002</v>
      </c>
      <c r="M112" s="225" t="str">
        <f>_xlfn.XLOOKUP(Logfile_S[[#This Row],[Material Name]],Sum_WH!E:E,Sum_WH!F:F,"",0)</f>
        <v>Pcs</v>
      </c>
      <c r="N112" s="221">
        <v>1</v>
      </c>
      <c r="O112" s="221">
        <v>0</v>
      </c>
      <c r="P112" s="221">
        <v>0</v>
      </c>
      <c r="Q112" s="221">
        <v>0</v>
      </c>
      <c r="R112" s="221">
        <v>0</v>
      </c>
      <c r="S112" s="221"/>
      <c r="T112" s="221"/>
      <c r="U112" s="221"/>
      <c r="V112" s="221"/>
      <c r="W112" s="221"/>
      <c r="X112" s="221"/>
      <c r="Y112" s="227"/>
      <c r="Z112" s="227">
        <f>P112</f>
        <v>0</v>
      </c>
      <c r="AA112" s="276" t="e">
        <f>VLOOKUP(Logfile_S[[#This Row],[DO number]],DO_DB!G:I,3,0)</f>
        <v>#N/A</v>
      </c>
      <c r="AB112" s="331" t="e">
        <f>EXACT(Logfile_S[[#This Row],[date pick]],Logfile_S[[#This Row],[Date]])</f>
        <v>#N/A</v>
      </c>
      <c r="AC1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3" spans="1:29" ht="14.5">
      <c r="A113" s="220" t="str">
        <f>TEXT(ROW(A113)-ROW($A$4),"000")</f>
        <v>109</v>
      </c>
      <c r="B113" s="221"/>
      <c r="C113" s="221" t="s">
        <v>48</v>
      </c>
      <c r="D113" s="221" t="s">
        <v>4401</v>
      </c>
      <c r="E113" s="221" t="s">
        <v>3295</v>
      </c>
      <c r="F113" s="221" t="s">
        <v>3299</v>
      </c>
      <c r="G113" s="222">
        <v>45868</v>
      </c>
      <c r="H113" s="223">
        <v>15.291666666666666</v>
      </c>
      <c r="I113" s="221" t="s">
        <v>38</v>
      </c>
      <c r="J113" s="221" t="s">
        <v>3024</v>
      </c>
      <c r="K113" s="224" t="s">
        <v>3236</v>
      </c>
      <c r="L113" s="225" t="str">
        <f>VLOOKUP(Logfile_S[[#This Row],[Material Name]],Sheet2!B:C,2,0)</f>
        <v>GCI1008</v>
      </c>
      <c r="M113" s="225" t="str">
        <f>_xlfn.XLOOKUP(Logfile_S[[#This Row],[Material Name]],Sum_WH!E:E,Sum_WH!F:F,"",0)</f>
        <v>Pcs</v>
      </c>
      <c r="N113" s="221">
        <v>200</v>
      </c>
      <c r="O113" s="221">
        <v>0</v>
      </c>
      <c r="P113" s="221">
        <v>0</v>
      </c>
      <c r="Q113" s="221">
        <v>0</v>
      </c>
      <c r="R113" s="221">
        <v>0</v>
      </c>
      <c r="S113" s="221"/>
      <c r="T113" s="221"/>
      <c r="U113" s="221"/>
      <c r="V113" s="221"/>
      <c r="W113" s="221"/>
      <c r="X113" s="221"/>
      <c r="Y113" s="227"/>
      <c r="Z113" s="227">
        <f>P113</f>
        <v>0</v>
      </c>
      <c r="AA113" s="276" t="e">
        <f>VLOOKUP(Logfile_S[[#This Row],[DO number]],DO_DB!G:I,3,0)</f>
        <v>#N/A</v>
      </c>
      <c r="AB113" s="331" t="e">
        <f>EXACT(Logfile_S[[#This Row],[date pick]],Logfile_S[[#This Row],[Date]])</f>
        <v>#N/A</v>
      </c>
      <c r="AC1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4" spans="1:29" ht="14.5">
      <c r="A114" s="220" t="str">
        <f>TEXT(ROW(A114)-ROW($A$4),"000")</f>
        <v>110</v>
      </c>
      <c r="B114" s="221"/>
      <c r="C114" s="221" t="s">
        <v>48</v>
      </c>
      <c r="D114" s="221" t="s">
        <v>4401</v>
      </c>
      <c r="E114" s="221" t="s">
        <v>3295</v>
      </c>
      <c r="F114" s="221" t="s">
        <v>3299</v>
      </c>
      <c r="G114" s="222">
        <v>45868</v>
      </c>
      <c r="H114" s="223">
        <v>15.291666666666666</v>
      </c>
      <c r="I114" s="221" t="s">
        <v>38</v>
      </c>
      <c r="J114" s="221" t="s">
        <v>3024</v>
      </c>
      <c r="K114" s="224" t="s">
        <v>3089</v>
      </c>
      <c r="L114" s="225" t="str">
        <f>VLOOKUP(Logfile_S[[#This Row],[Material Name]],Sheet2!B:C,2,0)</f>
        <v>GCI1003</v>
      </c>
      <c r="M114" s="225" t="str">
        <f>_xlfn.XLOOKUP(Logfile_S[[#This Row],[Material Name]],Sum_WH!E:E,Sum_WH!F:F,"",0)</f>
        <v>Pcs</v>
      </c>
      <c r="N114" s="221">
        <v>245</v>
      </c>
      <c r="O114" s="221">
        <v>0</v>
      </c>
      <c r="P114" s="221">
        <v>0</v>
      </c>
      <c r="Q114" s="221">
        <v>0</v>
      </c>
      <c r="R114" s="221">
        <v>0</v>
      </c>
      <c r="S114" s="221"/>
      <c r="T114" s="221"/>
      <c r="U114" s="221"/>
      <c r="V114" s="221"/>
      <c r="W114" s="221"/>
      <c r="X114" s="221"/>
      <c r="Y114" s="227"/>
      <c r="Z114" s="227">
        <f>P114</f>
        <v>0</v>
      </c>
      <c r="AA114" s="276" t="e">
        <f>VLOOKUP(Logfile_S[[#This Row],[DO number]],DO_DB!G:I,3,0)</f>
        <v>#N/A</v>
      </c>
      <c r="AB114" s="331" t="e">
        <f>EXACT(Logfile_S[[#This Row],[date pick]],Logfile_S[[#This Row],[Date]])</f>
        <v>#N/A</v>
      </c>
      <c r="AC1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5" spans="1:29" ht="14.5">
      <c r="A115" s="220" t="str">
        <f>TEXT(ROW(A115)-ROW($A$4),"000")</f>
        <v>111</v>
      </c>
      <c r="B115" s="221"/>
      <c r="C115" s="221" t="s">
        <v>48</v>
      </c>
      <c r="D115" s="221" t="s">
        <v>4401</v>
      </c>
      <c r="E115" s="221" t="s">
        <v>3295</v>
      </c>
      <c r="F115" s="221" t="s">
        <v>3299</v>
      </c>
      <c r="G115" s="222">
        <v>45868</v>
      </c>
      <c r="H115" s="223">
        <v>15.291666666666666</v>
      </c>
      <c r="I115" s="221" t="s">
        <v>38</v>
      </c>
      <c r="J115" s="221" t="s">
        <v>3024</v>
      </c>
      <c r="K115" s="224" t="s">
        <v>3090</v>
      </c>
      <c r="L115" s="225" t="str">
        <f>VLOOKUP(Logfile_S[[#This Row],[Material Name]],Sheet2!B:C,2,0)</f>
        <v>GCI1004</v>
      </c>
      <c r="M115" s="225" t="str">
        <f>_xlfn.XLOOKUP(Logfile_S[[#This Row],[Material Name]],Sum_WH!E:E,Sum_WH!F:F,"",0)</f>
        <v>Pcs</v>
      </c>
      <c r="N115" s="221">
        <v>180</v>
      </c>
      <c r="O115" s="221">
        <v>0</v>
      </c>
      <c r="P115" s="221">
        <v>0</v>
      </c>
      <c r="Q115" s="221">
        <v>0</v>
      </c>
      <c r="R115" s="221">
        <v>0</v>
      </c>
      <c r="S115" s="221"/>
      <c r="T115" s="221"/>
      <c r="U115" s="221"/>
      <c r="V115" s="221"/>
      <c r="W115" s="221"/>
      <c r="X115" s="221"/>
      <c r="Y115" s="227"/>
      <c r="Z115" s="227">
        <f>P115</f>
        <v>0</v>
      </c>
      <c r="AA115" s="276" t="e">
        <f>VLOOKUP(Logfile_S[[#This Row],[DO number]],DO_DB!G:I,3,0)</f>
        <v>#N/A</v>
      </c>
      <c r="AB115" s="331" t="e">
        <f>EXACT(Logfile_S[[#This Row],[date pick]],Logfile_S[[#This Row],[Date]])</f>
        <v>#N/A</v>
      </c>
      <c r="AC1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6" spans="1:29" ht="14.5">
      <c r="A116" s="220" t="str">
        <f>TEXT(ROW(A116)-ROW($A$4),"000")</f>
        <v>112</v>
      </c>
      <c r="B116" s="221"/>
      <c r="C116" s="221" t="s">
        <v>48</v>
      </c>
      <c r="D116" s="221" t="s">
        <v>4418</v>
      </c>
      <c r="E116" s="221" t="s">
        <v>3295</v>
      </c>
      <c r="F116" s="221" t="s">
        <v>3299</v>
      </c>
      <c r="G116" s="222">
        <v>45890</v>
      </c>
      <c r="H116" s="223">
        <v>15.291666666666666</v>
      </c>
      <c r="I116" s="221" t="s">
        <v>38</v>
      </c>
      <c r="J116" s="221" t="s">
        <v>3024</v>
      </c>
      <c r="K116" s="224" t="s">
        <v>3097</v>
      </c>
      <c r="L116" s="225" t="str">
        <f>VLOOKUP(Logfile_S[[#This Row],[Material Name]],Sheet2!B:C,2,0)</f>
        <v>GCI1011</v>
      </c>
      <c r="M116" s="225" t="str">
        <f>_xlfn.XLOOKUP(Logfile_S[[#This Row],[Material Name]],Sum_WH!E:E,Sum_WH!F:F,"",0)</f>
        <v>Pcs</v>
      </c>
      <c r="N116" s="221">
        <v>1</v>
      </c>
      <c r="O116" s="221">
        <v>0</v>
      </c>
      <c r="P116" s="221">
        <v>0</v>
      </c>
      <c r="Q116" s="221">
        <v>0</v>
      </c>
      <c r="R116" s="221">
        <v>0</v>
      </c>
      <c r="S116" s="221"/>
      <c r="T116" s="221"/>
      <c r="U116" s="221"/>
      <c r="V116" s="221"/>
      <c r="W116" s="221"/>
      <c r="X116" s="221"/>
      <c r="Y116" s="227"/>
      <c r="Z116" s="227">
        <f>P116</f>
        <v>0</v>
      </c>
      <c r="AA116" s="276" t="e">
        <f>VLOOKUP(Logfile_S[[#This Row],[DO number]],DO_DB!G:I,3,0)</f>
        <v>#N/A</v>
      </c>
      <c r="AB116" s="331" t="e">
        <f>EXACT(Logfile_S[[#This Row],[date pick]],Logfile_S[[#This Row],[Date]])</f>
        <v>#N/A</v>
      </c>
      <c r="AC1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7" spans="1:29" ht="14.5">
      <c r="A117" s="220" t="str">
        <f>TEXT(ROW(A117)-ROW($A$4),"000")</f>
        <v>113</v>
      </c>
      <c r="B117" s="221"/>
      <c r="C117" s="221" t="s">
        <v>48</v>
      </c>
      <c r="D117" s="221" t="s">
        <v>4418</v>
      </c>
      <c r="E117" s="221" t="s">
        <v>3295</v>
      </c>
      <c r="F117" s="221" t="s">
        <v>3299</v>
      </c>
      <c r="G117" s="222">
        <v>45890</v>
      </c>
      <c r="H117" s="223">
        <v>15.291666666666666</v>
      </c>
      <c r="I117" s="221" t="s">
        <v>38</v>
      </c>
      <c r="J117" s="221" t="s">
        <v>3024</v>
      </c>
      <c r="K117" s="224" t="s">
        <v>3091</v>
      </c>
      <c r="L117" s="225" t="str">
        <f>VLOOKUP(Logfile_S[[#This Row],[Material Name]],Sheet2!B:C,2,0)</f>
        <v>GCI1005</v>
      </c>
      <c r="M117" s="225" t="str">
        <f>_xlfn.XLOOKUP(Logfile_S[[#This Row],[Material Name]],Sum_WH!E:E,Sum_WH!F:F,"",0)</f>
        <v>Pcs</v>
      </c>
      <c r="N117" s="221">
        <v>131</v>
      </c>
      <c r="O117" s="221">
        <v>0</v>
      </c>
      <c r="P117" s="221">
        <v>0</v>
      </c>
      <c r="Q117" s="221">
        <v>0</v>
      </c>
      <c r="R117" s="221">
        <v>0</v>
      </c>
      <c r="S117" s="221"/>
      <c r="T117" s="221"/>
      <c r="U117" s="221"/>
      <c r="V117" s="221"/>
      <c r="W117" s="221"/>
      <c r="X117" s="221"/>
      <c r="Y117" s="227"/>
      <c r="Z117" s="227">
        <f>P117</f>
        <v>0</v>
      </c>
      <c r="AA117" s="276" t="e">
        <f>VLOOKUP(Logfile_S[[#This Row],[DO number]],DO_DB!G:I,3,0)</f>
        <v>#N/A</v>
      </c>
      <c r="AB117" s="331" t="e">
        <f>EXACT(Logfile_S[[#This Row],[date pick]],Logfile_S[[#This Row],[Date]])</f>
        <v>#N/A</v>
      </c>
      <c r="AC1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8" spans="1:29" ht="14.5">
      <c r="A118" s="220" t="str">
        <f>TEXT(ROW(A118)-ROW($A$4),"000")</f>
        <v>114</v>
      </c>
      <c r="B118" s="221"/>
      <c r="C118" s="221" t="s">
        <v>48</v>
      </c>
      <c r="D118" s="221" t="s">
        <v>4418</v>
      </c>
      <c r="E118" s="221" t="s">
        <v>3295</v>
      </c>
      <c r="F118" s="221" t="s">
        <v>3299</v>
      </c>
      <c r="G118" s="222">
        <v>45890</v>
      </c>
      <c r="H118" s="223">
        <v>15.291666666666666</v>
      </c>
      <c r="I118" s="221" t="s">
        <v>38</v>
      </c>
      <c r="J118" s="221" t="s">
        <v>3024</v>
      </c>
      <c r="K118" s="224" t="s">
        <v>3087</v>
      </c>
      <c r="L118" s="225" t="str">
        <f>VLOOKUP(Logfile_S[[#This Row],[Material Name]],Sheet2!B:C,2,0)</f>
        <v>GCI1001</v>
      </c>
      <c r="M118" s="225" t="str">
        <f>_xlfn.XLOOKUP(Logfile_S[[#This Row],[Material Name]],Sum_WH!E:E,Sum_WH!F:F,"",0)</f>
        <v>Pcs</v>
      </c>
      <c r="N118" s="221">
        <v>35</v>
      </c>
      <c r="O118" s="221">
        <v>0</v>
      </c>
      <c r="P118" s="221">
        <v>0</v>
      </c>
      <c r="Q118" s="221">
        <v>0</v>
      </c>
      <c r="R118" s="221">
        <v>0</v>
      </c>
      <c r="S118" s="221"/>
      <c r="T118" s="221"/>
      <c r="U118" s="221"/>
      <c r="V118" s="221"/>
      <c r="W118" s="221"/>
      <c r="X118" s="221"/>
      <c r="Y118" s="227"/>
      <c r="Z118" s="227">
        <f>P118</f>
        <v>0</v>
      </c>
      <c r="AA118" s="276" t="e">
        <f>VLOOKUP(Logfile_S[[#This Row],[DO number]],DO_DB!G:I,3,0)</f>
        <v>#N/A</v>
      </c>
      <c r="AB118" s="331" t="e">
        <f>EXACT(Logfile_S[[#This Row],[date pick]],Logfile_S[[#This Row],[Date]])</f>
        <v>#N/A</v>
      </c>
      <c r="AC1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9" spans="1:29" ht="14.5">
      <c r="A119" s="220" t="str">
        <f>TEXT(ROW(A119)-ROW($A$4),"000")</f>
        <v>115</v>
      </c>
      <c r="B119" s="221"/>
      <c r="C119" s="221" t="s">
        <v>48</v>
      </c>
      <c r="D119" s="221" t="s">
        <v>4418</v>
      </c>
      <c r="E119" s="221" t="s">
        <v>3295</v>
      </c>
      <c r="F119" s="221" t="s">
        <v>3299</v>
      </c>
      <c r="G119" s="222">
        <v>45890</v>
      </c>
      <c r="H119" s="223">
        <v>15.291666666666666</v>
      </c>
      <c r="I119" s="221" t="s">
        <v>38</v>
      </c>
      <c r="J119" s="221" t="s">
        <v>3024</v>
      </c>
      <c r="K119" s="224" t="s">
        <v>5137</v>
      </c>
      <c r="L119" s="225" t="str">
        <f>VLOOKUP(Logfile_S[[#This Row],[Material Name]],Sheet2!B:C,2,0)</f>
        <v>GCI1009</v>
      </c>
      <c r="M119" s="225" t="str">
        <f>_xlfn.XLOOKUP(Logfile_S[[#This Row],[Material Name]],Sum_WH!E:E,Sum_WH!F:F,"",0)</f>
        <v>Pcs</v>
      </c>
      <c r="N119" s="221">
        <v>226</v>
      </c>
      <c r="O119" s="221">
        <v>0</v>
      </c>
      <c r="P119" s="221">
        <v>0</v>
      </c>
      <c r="Q119" s="221">
        <v>0</v>
      </c>
      <c r="R119" s="221">
        <v>0</v>
      </c>
      <c r="S119" s="221"/>
      <c r="T119" s="221"/>
      <c r="U119" s="221"/>
      <c r="V119" s="221"/>
      <c r="W119" s="221"/>
      <c r="X119" s="221"/>
      <c r="Y119" s="227"/>
      <c r="Z119" s="227">
        <f>P119</f>
        <v>0</v>
      </c>
      <c r="AA119" s="276" t="e">
        <f>VLOOKUP(Logfile_S[[#This Row],[DO number]],DO_DB!G:I,3,0)</f>
        <v>#N/A</v>
      </c>
      <c r="AB119" s="331" t="e">
        <f>EXACT(Logfile_S[[#This Row],[date pick]],Logfile_S[[#This Row],[Date]])</f>
        <v>#N/A</v>
      </c>
      <c r="AC1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0" spans="1:29" ht="14.5">
      <c r="A120" s="220" t="str">
        <f>TEXT(ROW(A120)-ROW($A$4),"000")</f>
        <v>116</v>
      </c>
      <c r="B120" s="221"/>
      <c r="C120" s="221" t="s">
        <v>48</v>
      </c>
      <c r="D120" s="221" t="s">
        <v>4418</v>
      </c>
      <c r="E120" s="221" t="s">
        <v>3295</v>
      </c>
      <c r="F120" s="221" t="s">
        <v>3299</v>
      </c>
      <c r="G120" s="222">
        <v>45890</v>
      </c>
      <c r="H120" s="223">
        <v>15.291666666666666</v>
      </c>
      <c r="I120" s="221" t="s">
        <v>38</v>
      </c>
      <c r="J120" s="221" t="s">
        <v>3024</v>
      </c>
      <c r="K120" s="224" t="s">
        <v>3236</v>
      </c>
      <c r="L120" s="225" t="str">
        <f>VLOOKUP(Logfile_S[[#This Row],[Material Name]],Sheet2!B:C,2,0)</f>
        <v>GCI1008</v>
      </c>
      <c r="M120" s="225" t="str">
        <f>_xlfn.XLOOKUP(Logfile_S[[#This Row],[Material Name]],Sum_WH!E:E,Sum_WH!F:F,"",0)</f>
        <v>Pcs</v>
      </c>
      <c r="N120" s="221">
        <v>196</v>
      </c>
      <c r="O120" s="221">
        <v>0</v>
      </c>
      <c r="P120" s="221">
        <v>0</v>
      </c>
      <c r="Q120" s="221">
        <v>0</v>
      </c>
      <c r="R120" s="221">
        <v>0</v>
      </c>
      <c r="S120" s="221"/>
      <c r="T120" s="221"/>
      <c r="U120" s="221"/>
      <c r="V120" s="221"/>
      <c r="W120" s="221"/>
      <c r="X120" s="221"/>
      <c r="Y120" s="227"/>
      <c r="Z120" s="227">
        <f>P120</f>
        <v>0</v>
      </c>
      <c r="AA120" s="276" t="e">
        <f>VLOOKUP(Logfile_S[[#This Row],[DO number]],DO_DB!G:I,3,0)</f>
        <v>#N/A</v>
      </c>
      <c r="AB120" s="331" t="e">
        <f>EXACT(Logfile_S[[#This Row],[date pick]],Logfile_S[[#This Row],[Date]])</f>
        <v>#N/A</v>
      </c>
      <c r="AC1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1" spans="1:29" ht="14.5">
      <c r="A121" s="220" t="str">
        <f>TEXT(ROW(A121)-ROW($A$4),"000")</f>
        <v>117</v>
      </c>
      <c r="B121" s="221"/>
      <c r="C121" s="221" t="s">
        <v>48</v>
      </c>
      <c r="D121" s="221" t="s">
        <v>4418</v>
      </c>
      <c r="E121" s="221" t="s">
        <v>3295</v>
      </c>
      <c r="F121" s="221" t="s">
        <v>3299</v>
      </c>
      <c r="G121" s="222">
        <v>45890</v>
      </c>
      <c r="H121" s="223">
        <v>15.291666666666666</v>
      </c>
      <c r="I121" s="221" t="s">
        <v>38</v>
      </c>
      <c r="J121" s="221" t="s">
        <v>3024</v>
      </c>
      <c r="K121" s="224" t="s">
        <v>3089</v>
      </c>
      <c r="L121" s="225" t="str">
        <f>VLOOKUP(Logfile_S[[#This Row],[Material Name]],Sheet2!B:C,2,0)</f>
        <v>GCI1003</v>
      </c>
      <c r="M121" s="225" t="str">
        <f>_xlfn.XLOOKUP(Logfile_S[[#This Row],[Material Name]],Sum_WH!E:E,Sum_WH!F:F,"",0)</f>
        <v>Pcs</v>
      </c>
      <c r="N121" s="221">
        <v>128</v>
      </c>
      <c r="O121" s="221">
        <v>0</v>
      </c>
      <c r="P121" s="221">
        <v>0</v>
      </c>
      <c r="Q121" s="221">
        <v>0</v>
      </c>
      <c r="R121" s="221">
        <v>0</v>
      </c>
      <c r="S121" s="221"/>
      <c r="T121" s="221"/>
      <c r="U121" s="221"/>
      <c r="V121" s="221"/>
      <c r="W121" s="221"/>
      <c r="X121" s="221"/>
      <c r="Y121" s="227"/>
      <c r="Z121" s="227">
        <f>P121</f>
        <v>0</v>
      </c>
      <c r="AA121" s="276" t="e">
        <f>VLOOKUP(Logfile_S[[#This Row],[DO number]],DO_DB!G:I,3,0)</f>
        <v>#N/A</v>
      </c>
      <c r="AB121" s="331" t="e">
        <f>EXACT(Logfile_S[[#This Row],[date pick]],Logfile_S[[#This Row],[Date]])</f>
        <v>#N/A</v>
      </c>
      <c r="AC1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2" spans="1:29" ht="14.5">
      <c r="A122" s="220" t="str">
        <f>TEXT(ROW(A122)-ROW($A$4),"000")</f>
        <v>118</v>
      </c>
      <c r="B122" s="221"/>
      <c r="C122" s="221" t="s">
        <v>48</v>
      </c>
      <c r="D122" s="221" t="s">
        <v>4418</v>
      </c>
      <c r="E122" s="221" t="s">
        <v>3295</v>
      </c>
      <c r="F122" s="221" t="s">
        <v>3299</v>
      </c>
      <c r="G122" s="222">
        <v>45890</v>
      </c>
      <c r="H122" s="223">
        <v>15.291666666666666</v>
      </c>
      <c r="I122" s="221" t="s">
        <v>38</v>
      </c>
      <c r="J122" s="221" t="s">
        <v>3024</v>
      </c>
      <c r="K122" s="224" t="s">
        <v>3090</v>
      </c>
      <c r="L122" s="225" t="str">
        <f>VLOOKUP(Logfile_S[[#This Row],[Material Name]],Sheet2!B:C,2,0)</f>
        <v>GCI1004</v>
      </c>
      <c r="M122" s="225" t="str">
        <f>_xlfn.XLOOKUP(Logfile_S[[#This Row],[Material Name]],Sum_WH!E:E,Sum_WH!F:F,"",0)</f>
        <v>Pcs</v>
      </c>
      <c r="N122" s="221">
        <v>155</v>
      </c>
      <c r="O122" s="221">
        <v>0</v>
      </c>
      <c r="P122" s="221">
        <v>0</v>
      </c>
      <c r="Q122" s="221">
        <v>0</v>
      </c>
      <c r="R122" s="221">
        <v>0</v>
      </c>
      <c r="S122" s="221"/>
      <c r="T122" s="221"/>
      <c r="U122" s="221"/>
      <c r="V122" s="221"/>
      <c r="W122" s="221"/>
      <c r="X122" s="221"/>
      <c r="Y122" s="227"/>
      <c r="Z122" s="227">
        <f>P122</f>
        <v>0</v>
      </c>
      <c r="AA122" s="276" t="e">
        <f>VLOOKUP(Logfile_S[[#This Row],[DO number]],DO_DB!G:I,3,0)</f>
        <v>#N/A</v>
      </c>
      <c r="AB122" s="331" t="e">
        <f>EXACT(Logfile_S[[#This Row],[date pick]],Logfile_S[[#This Row],[Date]])</f>
        <v>#N/A</v>
      </c>
      <c r="AC1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3" spans="1:29" ht="14.5">
      <c r="A123" s="220" t="str">
        <f>TEXT(ROW(A123)-ROW($A$4),"000")</f>
        <v>119</v>
      </c>
      <c r="B123" s="221"/>
      <c r="C123" s="221" t="s">
        <v>49</v>
      </c>
      <c r="D123" s="221" t="s">
        <v>4379</v>
      </c>
      <c r="E123" s="221" t="s">
        <v>3295</v>
      </c>
      <c r="F123" s="221" t="s">
        <v>3299</v>
      </c>
      <c r="G123" s="222">
        <v>45831</v>
      </c>
      <c r="H123" s="223">
        <v>0.64583333333333337</v>
      </c>
      <c r="I123" s="221" t="s">
        <v>4916</v>
      </c>
      <c r="J123" s="221" t="s">
        <v>3024</v>
      </c>
      <c r="K123" s="224" t="s">
        <v>3097</v>
      </c>
      <c r="L123" s="225" t="str">
        <f>VLOOKUP(Logfile_S[[#This Row],[Material Name]],Sheet2!B:C,2,0)</f>
        <v>GCI1011</v>
      </c>
      <c r="M123" s="225" t="str">
        <f>_xlfn.XLOOKUP(Logfile_S[[#This Row],[Material Name]],Sum_WH!E:E,Sum_WH!F:F,"",0)</f>
        <v>Pcs</v>
      </c>
      <c r="N123" s="221">
        <v>1</v>
      </c>
      <c r="O123" s="221">
        <v>0</v>
      </c>
      <c r="P123" s="221" t="s">
        <v>3383</v>
      </c>
      <c r="Q123" s="221"/>
      <c r="R123" s="221"/>
      <c r="S123" s="221"/>
      <c r="T123" s="221"/>
      <c r="U123" s="221"/>
      <c r="V123" s="221"/>
      <c r="W123" s="221"/>
      <c r="X123" s="221"/>
      <c r="Y123" s="227"/>
      <c r="Z123" s="227" t="str">
        <f>P123</f>
        <v>Bululawang</v>
      </c>
      <c r="AA123" s="276" t="e">
        <f>VLOOKUP(Logfile_S[[#This Row],[DO number]],DO_DB!G:I,3,0)</f>
        <v>#N/A</v>
      </c>
      <c r="AB123" s="331" t="e">
        <f>EXACT(Logfile_S[[#This Row],[date pick]],Logfile_S[[#This Row],[Date]])</f>
        <v>#N/A</v>
      </c>
      <c r="AC1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4" spans="1:29" ht="14.5">
      <c r="A124" s="220" t="str">
        <f>TEXT(ROW(A124)-ROW($A$4),"000")</f>
        <v>120</v>
      </c>
      <c r="B124" s="221"/>
      <c r="C124" s="221" t="s">
        <v>49</v>
      </c>
      <c r="D124" s="221" t="s">
        <v>4388</v>
      </c>
      <c r="E124" s="221" t="s">
        <v>3295</v>
      </c>
      <c r="F124" s="221" t="s">
        <v>3299</v>
      </c>
      <c r="G124" s="222">
        <v>45835</v>
      </c>
      <c r="H124" s="223">
        <v>0.5395833333333333</v>
      </c>
      <c r="I124" s="221" t="s">
        <v>4916</v>
      </c>
      <c r="J124" s="221" t="s">
        <v>3024</v>
      </c>
      <c r="K124" s="224" t="s">
        <v>3087</v>
      </c>
      <c r="L124" s="225" t="str">
        <f>VLOOKUP(Logfile_S[[#This Row],[Material Name]],Sheet2!B:C,2,0)</f>
        <v>GCI1001</v>
      </c>
      <c r="M124" s="225" t="str">
        <f>_xlfn.XLOOKUP(Logfile_S[[#This Row],[Material Name]],Sum_WH!E:E,Sum_WH!F:F,"",0)</f>
        <v>Pcs</v>
      </c>
      <c r="N124" s="221">
        <v>72</v>
      </c>
      <c r="O124" s="221">
        <v>0</v>
      </c>
      <c r="P124" s="221" t="s">
        <v>3383</v>
      </c>
      <c r="Q124" s="221"/>
      <c r="R124" s="221"/>
      <c r="S124" s="221"/>
      <c r="T124" s="221" t="s">
        <v>3258</v>
      </c>
      <c r="U124" s="221">
        <v>0</v>
      </c>
      <c r="V124" s="221" t="s">
        <v>3337</v>
      </c>
      <c r="W124" s="221" t="s">
        <v>3338</v>
      </c>
      <c r="X124" s="221"/>
      <c r="Y124" s="227"/>
      <c r="Z124" s="227" t="str">
        <f>P124</f>
        <v>Bululawang</v>
      </c>
      <c r="AA124" s="276" t="e">
        <f>VLOOKUP(Logfile_S[[#This Row],[DO number]],DO_DB!G:I,3,0)</f>
        <v>#N/A</v>
      </c>
      <c r="AB124" s="331" t="e">
        <f>EXACT(Logfile_S[[#This Row],[date pick]],Logfile_S[[#This Row],[Date]])</f>
        <v>#N/A</v>
      </c>
      <c r="AC1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5" spans="1:29" ht="14.5">
      <c r="A125" s="220" t="str">
        <f>TEXT(ROW(A125)-ROW($A$4),"000")</f>
        <v>121</v>
      </c>
      <c r="B125" s="221"/>
      <c r="C125" s="221" t="s">
        <v>49</v>
      </c>
      <c r="D125" s="221" t="s">
        <v>4388</v>
      </c>
      <c r="E125" s="221" t="s">
        <v>3295</v>
      </c>
      <c r="F125" s="221" t="s">
        <v>3299</v>
      </c>
      <c r="G125" s="222">
        <v>45835</v>
      </c>
      <c r="H125" s="223">
        <v>0.5395833333333333</v>
      </c>
      <c r="I125" s="221" t="s">
        <v>4916</v>
      </c>
      <c r="J125" s="221" t="s">
        <v>3024</v>
      </c>
      <c r="K125" s="224" t="s">
        <v>5137</v>
      </c>
      <c r="L125" s="225" t="str">
        <f>VLOOKUP(Logfile_S[[#This Row],[Material Name]],Sheet2!B:C,2,0)</f>
        <v>GCI1009</v>
      </c>
      <c r="M125" s="225" t="str">
        <f>_xlfn.XLOOKUP(Logfile_S[[#This Row],[Material Name]],Sum_WH!E:E,Sum_WH!F:F,"",0)</f>
        <v>Pcs</v>
      </c>
      <c r="N125" s="221">
        <v>250</v>
      </c>
      <c r="O125" s="221">
        <v>0</v>
      </c>
      <c r="P125" s="221" t="s">
        <v>3383</v>
      </c>
      <c r="Q125" s="221"/>
      <c r="R125" s="221"/>
      <c r="S125" s="221"/>
      <c r="T125" s="221" t="s">
        <v>3258</v>
      </c>
      <c r="U125" s="221">
        <v>0</v>
      </c>
      <c r="V125" s="221" t="s">
        <v>3337</v>
      </c>
      <c r="W125" s="221" t="s">
        <v>3338</v>
      </c>
      <c r="X125" s="221"/>
      <c r="Y125" s="227"/>
      <c r="Z125" s="227" t="str">
        <f>P125</f>
        <v>Bululawang</v>
      </c>
      <c r="AA125" s="276" t="e">
        <f>VLOOKUP(Logfile_S[[#This Row],[DO number]],DO_DB!G:I,3,0)</f>
        <v>#N/A</v>
      </c>
      <c r="AB125" s="331" t="e">
        <f>EXACT(Logfile_S[[#This Row],[date pick]],Logfile_S[[#This Row],[Date]])</f>
        <v>#N/A</v>
      </c>
      <c r="AC1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6" spans="1:29" ht="14.5">
      <c r="A126" s="220" t="str">
        <f>TEXT(ROW(A126)-ROW($A$4),"000")</f>
        <v>122</v>
      </c>
      <c r="B126" s="221"/>
      <c r="C126" s="221" t="s">
        <v>49</v>
      </c>
      <c r="D126" s="221" t="s">
        <v>4388</v>
      </c>
      <c r="E126" s="221" t="s">
        <v>3295</v>
      </c>
      <c r="F126" s="221" t="s">
        <v>3299</v>
      </c>
      <c r="G126" s="222">
        <v>45835</v>
      </c>
      <c r="H126" s="223">
        <v>0.5395833333333333</v>
      </c>
      <c r="I126" s="221" t="s">
        <v>4916</v>
      </c>
      <c r="J126" s="221" t="s">
        <v>3024</v>
      </c>
      <c r="K126" s="224" t="s">
        <v>3094</v>
      </c>
      <c r="L126" s="225" t="str">
        <f>VLOOKUP(Logfile_S[[#This Row],[Material Name]],Sheet2!B:C,2,0)</f>
        <v>GCI1008</v>
      </c>
      <c r="M126" s="225" t="str">
        <f>_xlfn.XLOOKUP(Logfile_S[[#This Row],[Material Name]],Sum_WH!E:E,Sum_WH!F:F,"",0)</f>
        <v>Pcs</v>
      </c>
      <c r="N126" s="221">
        <v>135</v>
      </c>
      <c r="O126" s="221">
        <v>0</v>
      </c>
      <c r="P126" s="221" t="s">
        <v>3383</v>
      </c>
      <c r="Q126" s="221"/>
      <c r="R126" s="221"/>
      <c r="S126" s="221"/>
      <c r="T126" s="221" t="s">
        <v>3258</v>
      </c>
      <c r="U126" s="221">
        <v>0</v>
      </c>
      <c r="V126" s="221" t="s">
        <v>3337</v>
      </c>
      <c r="W126" s="221" t="s">
        <v>3338</v>
      </c>
      <c r="X126" s="221"/>
      <c r="Y126" s="227"/>
      <c r="Z126" s="227" t="str">
        <f>P126</f>
        <v>Bululawang</v>
      </c>
      <c r="AA126" s="276" t="e">
        <f>VLOOKUP(Logfile_S[[#This Row],[DO number]],DO_DB!G:I,3,0)</f>
        <v>#N/A</v>
      </c>
      <c r="AB126" s="331" t="e">
        <f>EXACT(Logfile_S[[#This Row],[date pick]],Logfile_S[[#This Row],[Date]])</f>
        <v>#N/A</v>
      </c>
      <c r="AC1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7" spans="1:29" ht="14.5">
      <c r="A127" s="220" t="str">
        <f>TEXT(ROW(A127)-ROW($A$4),"000")</f>
        <v>123</v>
      </c>
      <c r="B127" s="221"/>
      <c r="C127" s="221" t="s">
        <v>49</v>
      </c>
      <c r="D127" s="221" t="s">
        <v>4388</v>
      </c>
      <c r="E127" s="221" t="s">
        <v>3295</v>
      </c>
      <c r="F127" s="221" t="s">
        <v>3299</v>
      </c>
      <c r="G127" s="222">
        <v>45835</v>
      </c>
      <c r="H127" s="223">
        <v>0.5395833333333333</v>
      </c>
      <c r="I127" s="221" t="s">
        <v>4916</v>
      </c>
      <c r="J127" s="221" t="s">
        <v>3024</v>
      </c>
      <c r="K127" s="224" t="s">
        <v>3089</v>
      </c>
      <c r="L127" s="225" t="str">
        <f>VLOOKUP(Logfile_S[[#This Row],[Material Name]],Sheet2!B:C,2,0)</f>
        <v>GCI1003</v>
      </c>
      <c r="M127" s="225" t="str">
        <f>_xlfn.XLOOKUP(Logfile_S[[#This Row],[Material Name]],Sum_WH!E:E,Sum_WH!F:F,"",0)</f>
        <v>Pcs</v>
      </c>
      <c r="N127" s="221">
        <v>170</v>
      </c>
      <c r="O127" s="221">
        <v>0</v>
      </c>
      <c r="P127" s="221" t="s">
        <v>3383</v>
      </c>
      <c r="Q127" s="221"/>
      <c r="R127" s="221"/>
      <c r="S127" s="221"/>
      <c r="T127" s="221" t="s">
        <v>3258</v>
      </c>
      <c r="U127" s="221">
        <v>0</v>
      </c>
      <c r="V127" s="221" t="s">
        <v>3337</v>
      </c>
      <c r="W127" s="221" t="s">
        <v>3338</v>
      </c>
      <c r="X127" s="221"/>
      <c r="Y127" s="227"/>
      <c r="Z127" s="227" t="str">
        <f>P127</f>
        <v>Bululawang</v>
      </c>
      <c r="AA127" s="276" t="e">
        <f>VLOOKUP(Logfile_S[[#This Row],[DO number]],DO_DB!G:I,3,0)</f>
        <v>#N/A</v>
      </c>
      <c r="AB127" s="331" t="e">
        <f>EXACT(Logfile_S[[#This Row],[date pick]],Logfile_S[[#This Row],[Date]])</f>
        <v>#N/A</v>
      </c>
      <c r="AC1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8" spans="1:29" ht="14.5">
      <c r="A128" s="220" t="str">
        <f>TEXT(ROW(A128)-ROW($A$4),"000")</f>
        <v>124</v>
      </c>
      <c r="B128" s="221"/>
      <c r="C128" s="221" t="s">
        <v>49</v>
      </c>
      <c r="D128" s="221" t="s">
        <v>4391</v>
      </c>
      <c r="E128" s="221" t="s">
        <v>3295</v>
      </c>
      <c r="F128" s="221" t="s">
        <v>3299</v>
      </c>
      <c r="G128" s="222">
        <v>45849</v>
      </c>
      <c r="H128" s="223">
        <v>0.60833333333333328</v>
      </c>
      <c r="I128" s="221" t="s">
        <v>4916</v>
      </c>
      <c r="J128" s="221" t="s">
        <v>3024</v>
      </c>
      <c r="K128" s="224" t="s">
        <v>3088</v>
      </c>
      <c r="L128" s="225" t="str">
        <f>VLOOKUP(Logfile_S[[#This Row],[Material Name]],Sheet2!B:C,2,0)</f>
        <v>GCI1002</v>
      </c>
      <c r="M128" s="225" t="str">
        <f>_xlfn.XLOOKUP(Logfile_S[[#This Row],[Material Name]],Sum_WH!E:E,Sum_WH!F:F,"",0)</f>
        <v>Pcs</v>
      </c>
      <c r="N128" s="221">
        <v>1</v>
      </c>
      <c r="O128" s="221">
        <v>0</v>
      </c>
      <c r="P128" s="221" t="s">
        <v>3383</v>
      </c>
      <c r="Q128" s="221"/>
      <c r="R128" s="221"/>
      <c r="S128" s="221"/>
      <c r="T128" s="221" t="s">
        <v>3356</v>
      </c>
      <c r="U128" s="221">
        <v>0</v>
      </c>
      <c r="V128" s="221">
        <v>0</v>
      </c>
      <c r="W128" s="221" t="s">
        <v>3358</v>
      </c>
      <c r="X128" s="221"/>
      <c r="Y128" s="227"/>
      <c r="Z128" s="227" t="str">
        <f>P128</f>
        <v>Bululawang</v>
      </c>
      <c r="AA128" s="276" t="e">
        <f>VLOOKUP(Logfile_S[[#This Row],[DO number]],DO_DB!G:I,3,0)</f>
        <v>#N/A</v>
      </c>
      <c r="AB128" s="331" t="e">
        <f>EXACT(Logfile_S[[#This Row],[date pick]],Logfile_S[[#This Row],[Date]])</f>
        <v>#N/A</v>
      </c>
      <c r="AC1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9" spans="1:29" ht="14.5">
      <c r="A129" s="220" t="str">
        <f>TEXT(ROW(A129)-ROW($A$4),"000")</f>
        <v>125</v>
      </c>
      <c r="B129" s="221"/>
      <c r="C129" s="221" t="s">
        <v>49</v>
      </c>
      <c r="D129" s="221" t="s">
        <v>4391</v>
      </c>
      <c r="E129" s="221" t="s">
        <v>3295</v>
      </c>
      <c r="F129" s="221" t="s">
        <v>3299</v>
      </c>
      <c r="G129" s="222">
        <v>45849</v>
      </c>
      <c r="H129" s="223">
        <v>0.60833333333333328</v>
      </c>
      <c r="I129" s="221" t="s">
        <v>4916</v>
      </c>
      <c r="J129" s="221" t="s">
        <v>3024</v>
      </c>
      <c r="K129" s="224" t="s">
        <v>3236</v>
      </c>
      <c r="L129" s="225" t="str">
        <f>VLOOKUP(Logfile_S[[#This Row],[Material Name]],Sheet2!B:C,2,0)</f>
        <v>GCI1008</v>
      </c>
      <c r="M129" s="225" t="str">
        <f>_xlfn.XLOOKUP(Logfile_S[[#This Row],[Material Name]],Sum_WH!E:E,Sum_WH!F:F,"",0)</f>
        <v>Pcs</v>
      </c>
      <c r="N129" s="221">
        <v>129</v>
      </c>
      <c r="O129" s="221">
        <v>0</v>
      </c>
      <c r="P129" s="221" t="s">
        <v>3383</v>
      </c>
      <c r="Q129" s="221"/>
      <c r="R129" s="221"/>
      <c r="S129" s="221"/>
      <c r="T129" s="221" t="s">
        <v>3356</v>
      </c>
      <c r="U129" s="221">
        <v>0</v>
      </c>
      <c r="V129" s="221">
        <v>0</v>
      </c>
      <c r="W129" s="221" t="s">
        <v>3358</v>
      </c>
      <c r="X129" s="221"/>
      <c r="Y129" s="227"/>
      <c r="Z129" s="227" t="str">
        <f>P129</f>
        <v>Bululawang</v>
      </c>
      <c r="AA129" s="276" t="e">
        <f>VLOOKUP(Logfile_S[[#This Row],[DO number]],DO_DB!G:I,3,0)</f>
        <v>#N/A</v>
      </c>
      <c r="AB129" s="331" t="e">
        <f>EXACT(Logfile_S[[#This Row],[date pick]],Logfile_S[[#This Row],[Date]])</f>
        <v>#N/A</v>
      </c>
      <c r="AC1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0" spans="1:29" ht="14.5">
      <c r="A130" s="220" t="str">
        <f>TEXT(ROW(A130)-ROW($A$4),"000")</f>
        <v>126</v>
      </c>
      <c r="B130" s="221"/>
      <c r="C130" s="221" t="s">
        <v>49</v>
      </c>
      <c r="D130" s="221" t="s">
        <v>4391</v>
      </c>
      <c r="E130" s="221" t="s">
        <v>3295</v>
      </c>
      <c r="F130" s="221" t="s">
        <v>3299</v>
      </c>
      <c r="G130" s="222">
        <v>45849</v>
      </c>
      <c r="H130" s="223">
        <v>0.60833333333333328</v>
      </c>
      <c r="I130" s="221" t="s">
        <v>4916</v>
      </c>
      <c r="J130" s="221" t="s">
        <v>3024</v>
      </c>
      <c r="K130" s="224" t="s">
        <v>3089</v>
      </c>
      <c r="L130" s="225" t="str">
        <f>VLOOKUP(Logfile_S[[#This Row],[Material Name]],Sheet2!B:C,2,0)</f>
        <v>GCI1003</v>
      </c>
      <c r="M130" s="225" t="str">
        <f>_xlfn.XLOOKUP(Logfile_S[[#This Row],[Material Name]],Sum_WH!E:E,Sum_WH!F:F,"",0)</f>
        <v>Pcs</v>
      </c>
      <c r="N130" s="221">
        <v>45</v>
      </c>
      <c r="O130" s="221">
        <v>0</v>
      </c>
      <c r="P130" s="221" t="s">
        <v>3383</v>
      </c>
      <c r="Q130" s="221"/>
      <c r="R130" s="221"/>
      <c r="S130" s="221"/>
      <c r="T130" s="221" t="s">
        <v>3356</v>
      </c>
      <c r="U130" s="221">
        <v>0</v>
      </c>
      <c r="V130" s="221">
        <v>0</v>
      </c>
      <c r="W130" s="221" t="s">
        <v>3358</v>
      </c>
      <c r="X130" s="221"/>
      <c r="Y130" s="227"/>
      <c r="Z130" s="227" t="str">
        <f>P130</f>
        <v>Bululawang</v>
      </c>
      <c r="AA130" s="276" t="e">
        <f>VLOOKUP(Logfile_S[[#This Row],[DO number]],DO_DB!G:I,3,0)</f>
        <v>#N/A</v>
      </c>
      <c r="AB130" s="331" t="e">
        <f>EXACT(Logfile_S[[#This Row],[date pick]],Logfile_S[[#This Row],[Date]])</f>
        <v>#N/A</v>
      </c>
      <c r="AC1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1" spans="1:29" ht="14.5">
      <c r="A131" s="220" t="str">
        <f>TEXT(ROW(A131)-ROW($A$4),"000")</f>
        <v>127</v>
      </c>
      <c r="B131" s="221"/>
      <c r="C131" s="221" t="s">
        <v>49</v>
      </c>
      <c r="D131" s="221" t="s">
        <v>4391</v>
      </c>
      <c r="E131" s="221" t="s">
        <v>3295</v>
      </c>
      <c r="F131" s="221" t="s">
        <v>3299</v>
      </c>
      <c r="G131" s="222">
        <v>45849</v>
      </c>
      <c r="H131" s="223">
        <v>0.60833333333333328</v>
      </c>
      <c r="I131" s="221" t="s">
        <v>4916</v>
      </c>
      <c r="J131" s="221" t="s">
        <v>3024</v>
      </c>
      <c r="K131" s="224" t="s">
        <v>3089</v>
      </c>
      <c r="L131" s="225" t="str">
        <f>VLOOKUP(Logfile_S[[#This Row],[Material Name]],Sheet2!B:C,2,0)</f>
        <v>GCI1003</v>
      </c>
      <c r="M131" s="225" t="str">
        <f>_xlfn.XLOOKUP(Logfile_S[[#This Row],[Material Name]],Sum_WH!E:E,Sum_WH!F:F,"",0)</f>
        <v>Pcs</v>
      </c>
      <c r="N131" s="221">
        <v>150</v>
      </c>
      <c r="O131" s="221">
        <v>0</v>
      </c>
      <c r="P131" s="221" t="s">
        <v>3383</v>
      </c>
      <c r="Q131" s="221"/>
      <c r="R131" s="221"/>
      <c r="S131" s="221"/>
      <c r="T131" s="221" t="s">
        <v>3356</v>
      </c>
      <c r="U131" s="221">
        <v>0</v>
      </c>
      <c r="V131" s="221">
        <v>0</v>
      </c>
      <c r="W131" s="221" t="s">
        <v>3358</v>
      </c>
      <c r="X131" s="221"/>
      <c r="Y131" s="227"/>
      <c r="Z131" s="227" t="str">
        <f>P131</f>
        <v>Bululawang</v>
      </c>
      <c r="AA131" s="276" t="e">
        <f>VLOOKUP(Logfile_S[[#This Row],[DO number]],DO_DB!G:I,3,0)</f>
        <v>#N/A</v>
      </c>
      <c r="AB131" s="331" t="e">
        <f>EXACT(Logfile_S[[#This Row],[date pick]],Logfile_S[[#This Row],[Date]])</f>
        <v>#N/A</v>
      </c>
      <c r="AC1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2" spans="1:29" ht="14.5">
      <c r="A132" s="220" t="str">
        <f>TEXT(ROW(A132)-ROW($A$4),"000")</f>
        <v>128</v>
      </c>
      <c r="B132" s="221"/>
      <c r="C132" s="221" t="s">
        <v>49</v>
      </c>
      <c r="D132" s="221" t="s">
        <v>4391</v>
      </c>
      <c r="E132" s="221" t="s">
        <v>3295</v>
      </c>
      <c r="F132" s="221" t="s">
        <v>3299</v>
      </c>
      <c r="G132" s="222">
        <v>45849</v>
      </c>
      <c r="H132" s="223">
        <v>0.60833333333333328</v>
      </c>
      <c r="I132" s="221" t="s">
        <v>4916</v>
      </c>
      <c r="J132" s="221" t="s">
        <v>3024</v>
      </c>
      <c r="K132" s="224" t="s">
        <v>3090</v>
      </c>
      <c r="L132" s="225" t="str">
        <f>VLOOKUP(Logfile_S[[#This Row],[Material Name]],Sheet2!B:C,2,0)</f>
        <v>GCI1004</v>
      </c>
      <c r="M132" s="225" t="str">
        <f>_xlfn.XLOOKUP(Logfile_S[[#This Row],[Material Name]],Sum_WH!E:E,Sum_WH!F:F,"",0)</f>
        <v>Pcs</v>
      </c>
      <c r="N132" s="221">
        <v>82</v>
      </c>
      <c r="O132" s="221">
        <v>0</v>
      </c>
      <c r="P132" s="221" t="s">
        <v>3383</v>
      </c>
      <c r="Q132" s="221"/>
      <c r="R132" s="221"/>
      <c r="S132" s="221"/>
      <c r="T132" s="221" t="s">
        <v>3356</v>
      </c>
      <c r="U132" s="221">
        <v>0</v>
      </c>
      <c r="V132" s="221">
        <v>0</v>
      </c>
      <c r="W132" s="221" t="s">
        <v>3358</v>
      </c>
      <c r="X132" s="221"/>
      <c r="Y132" s="227"/>
      <c r="Z132" s="227" t="str">
        <f>P132</f>
        <v>Bululawang</v>
      </c>
      <c r="AA132" s="276" t="e">
        <f>VLOOKUP(Logfile_S[[#This Row],[DO number]],DO_DB!G:I,3,0)</f>
        <v>#N/A</v>
      </c>
      <c r="AB132" s="331" t="e">
        <f>EXACT(Logfile_S[[#This Row],[date pick]],Logfile_S[[#This Row],[Date]])</f>
        <v>#N/A</v>
      </c>
      <c r="AC1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3" spans="1:29" ht="14.5">
      <c r="A133" s="220" t="str">
        <f>TEXT(ROW(A133)-ROW($A$4),"000")</f>
        <v>129</v>
      </c>
      <c r="B133" s="221"/>
      <c r="C133" s="221" t="s">
        <v>49</v>
      </c>
      <c r="D133" s="221" t="s">
        <v>4397</v>
      </c>
      <c r="E133" s="221" t="s">
        <v>3295</v>
      </c>
      <c r="F133" s="221" t="s">
        <v>3299</v>
      </c>
      <c r="G133" s="222">
        <v>45861</v>
      </c>
      <c r="H133" s="223">
        <v>0.46805555555555556</v>
      </c>
      <c r="I133" s="221" t="s">
        <v>4916</v>
      </c>
      <c r="J133" s="221" t="s">
        <v>3024</v>
      </c>
      <c r="K133" s="224" t="s">
        <v>3091</v>
      </c>
      <c r="L133" s="225" t="str">
        <f>VLOOKUP(Logfile_S[[#This Row],[Material Name]],Sheet2!B:C,2,0)</f>
        <v>GCI1005</v>
      </c>
      <c r="M133" s="225" t="str">
        <f>_xlfn.XLOOKUP(Logfile_S[[#This Row],[Material Name]],Sum_WH!E:E,Sum_WH!F:F,"",0)</f>
        <v>Pcs</v>
      </c>
      <c r="N133" s="221">
        <v>300</v>
      </c>
      <c r="O133" s="221">
        <v>0</v>
      </c>
      <c r="P133" s="221" t="s">
        <v>3383</v>
      </c>
      <c r="Q133" s="221"/>
      <c r="R133" s="221"/>
      <c r="S133" s="221"/>
      <c r="T133" s="221" t="s">
        <v>3258</v>
      </c>
      <c r="U133" s="221">
        <v>0</v>
      </c>
      <c r="V133" s="221" t="s">
        <v>3375</v>
      </c>
      <c r="W133" s="221" t="s">
        <v>3249</v>
      </c>
      <c r="X133" s="221"/>
      <c r="Y133" s="227"/>
      <c r="Z133" s="227" t="str">
        <f>P133</f>
        <v>Bululawang</v>
      </c>
      <c r="AA133" s="276" t="e">
        <f>VLOOKUP(Logfile_S[[#This Row],[DO number]],DO_DB!G:I,3,0)</f>
        <v>#N/A</v>
      </c>
      <c r="AB133" s="331" t="e">
        <f>EXACT(Logfile_S[[#This Row],[date pick]],Logfile_S[[#This Row],[Date]])</f>
        <v>#N/A</v>
      </c>
      <c r="AC1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4" spans="1:29" ht="14.5">
      <c r="A134" s="220" t="str">
        <f>TEXT(ROW(A134)-ROW($A$4),"000")</f>
        <v>130</v>
      </c>
      <c r="B134" s="221"/>
      <c r="C134" s="221" t="s">
        <v>49</v>
      </c>
      <c r="D134" s="221" t="s">
        <v>4399</v>
      </c>
      <c r="E134" s="221" t="s">
        <v>3295</v>
      </c>
      <c r="F134" s="221" t="s">
        <v>3299</v>
      </c>
      <c r="G134" s="222">
        <v>45864</v>
      </c>
      <c r="H134" s="223">
        <v>0.46805555555555556</v>
      </c>
      <c r="I134" s="221" t="s">
        <v>4916</v>
      </c>
      <c r="J134" s="221" t="s">
        <v>3024</v>
      </c>
      <c r="K134" s="224" t="s">
        <v>5137</v>
      </c>
      <c r="L134" s="225" t="str">
        <f>VLOOKUP(Logfile_S[[#This Row],[Material Name]],Sheet2!B:C,2,0)</f>
        <v>GCI1009</v>
      </c>
      <c r="M134" s="225" t="str">
        <f>_xlfn.XLOOKUP(Logfile_S[[#This Row],[Material Name]],Sum_WH!E:E,Sum_WH!F:F,"",0)</f>
        <v>Pcs</v>
      </c>
      <c r="N134" s="221">
        <v>165</v>
      </c>
      <c r="O134" s="221">
        <v>0</v>
      </c>
      <c r="P134" s="221" t="s">
        <v>3424</v>
      </c>
      <c r="Q134" s="221"/>
      <c r="R134" s="221"/>
      <c r="S134" s="221"/>
      <c r="T134" s="221" t="s">
        <v>3258</v>
      </c>
      <c r="U134" s="221">
        <v>0</v>
      </c>
      <c r="V134" s="221" t="s">
        <v>3337</v>
      </c>
      <c r="W134" s="221" t="s">
        <v>3338</v>
      </c>
      <c r="X134" s="221"/>
      <c r="Y134" s="227"/>
      <c r="Z134" s="227" t="str">
        <f>P134</f>
        <v>Bululawang 7</v>
      </c>
      <c r="AA134" s="276" t="e">
        <f>VLOOKUP(Logfile_S[[#This Row],[DO number]],DO_DB!G:I,3,0)</f>
        <v>#N/A</v>
      </c>
      <c r="AB134" s="331" t="e">
        <f>EXACT(Logfile_S[[#This Row],[date pick]],Logfile_S[[#This Row],[Date]])</f>
        <v>#N/A</v>
      </c>
      <c r="AC1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5" spans="1:29" ht="14.5">
      <c r="A135" s="220" t="str">
        <f>TEXT(ROW(A135)-ROW($A$4),"000")</f>
        <v>131</v>
      </c>
      <c r="B135" s="221"/>
      <c r="C135" s="221" t="s">
        <v>49</v>
      </c>
      <c r="D135" s="221" t="s">
        <v>4419</v>
      </c>
      <c r="E135" s="221" t="s">
        <v>3295</v>
      </c>
      <c r="F135" s="221" t="s">
        <v>3299</v>
      </c>
      <c r="G135" s="222">
        <v>45892</v>
      </c>
      <c r="H135" s="223">
        <v>0.4284722222222222</v>
      </c>
      <c r="I135" s="221" t="s">
        <v>4916</v>
      </c>
      <c r="J135" s="221" t="s">
        <v>3024</v>
      </c>
      <c r="K135" s="224" t="s">
        <v>3097</v>
      </c>
      <c r="L135" s="225" t="str">
        <f>VLOOKUP(Logfile_S[[#This Row],[Material Name]],Sheet2!B:C,2,0)</f>
        <v>GCI1011</v>
      </c>
      <c r="M135" s="225" t="str">
        <f>_xlfn.XLOOKUP(Logfile_S[[#This Row],[Material Name]],Sum_WH!E:E,Sum_WH!F:F,"",0)</f>
        <v>Pcs</v>
      </c>
      <c r="N135" s="221">
        <v>1</v>
      </c>
      <c r="O135" s="221">
        <v>0</v>
      </c>
      <c r="P135" s="221" t="s">
        <v>3385</v>
      </c>
      <c r="Q135" s="221"/>
      <c r="R135" s="221"/>
      <c r="S135" s="221"/>
      <c r="T135" s="221" t="s">
        <v>3258</v>
      </c>
      <c r="U135" s="221">
        <v>0</v>
      </c>
      <c r="V135" s="221" t="s">
        <v>3337</v>
      </c>
      <c r="W135" s="221" t="s">
        <v>3338</v>
      </c>
      <c r="X135" s="221"/>
      <c r="Y135" s="227"/>
      <c r="Z135" s="227" t="str">
        <f>P135</f>
        <v>Bululawang Permai</v>
      </c>
      <c r="AA135" s="276" t="e">
        <f>VLOOKUP(Logfile_S[[#This Row],[DO number]],DO_DB!G:I,3,0)</f>
        <v>#N/A</v>
      </c>
      <c r="AB135" s="331" t="e">
        <f>EXACT(Logfile_S[[#This Row],[date pick]],Logfile_S[[#This Row],[Date]])</f>
        <v>#N/A</v>
      </c>
      <c r="AC1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6" spans="1:29" ht="14.5">
      <c r="A136" s="220" t="str">
        <f>TEXT(ROW(A136)-ROW($A$4),"000")</f>
        <v>132</v>
      </c>
      <c r="B136" s="221"/>
      <c r="C136" s="221" t="s">
        <v>49</v>
      </c>
      <c r="D136" s="221" t="s">
        <v>4419</v>
      </c>
      <c r="E136" s="221" t="s">
        <v>3295</v>
      </c>
      <c r="F136" s="221" t="s">
        <v>3299</v>
      </c>
      <c r="G136" s="222">
        <v>45892</v>
      </c>
      <c r="H136" s="223">
        <v>0.4284722222222222</v>
      </c>
      <c r="I136" s="221" t="s">
        <v>4916</v>
      </c>
      <c r="J136" s="221" t="s">
        <v>3024</v>
      </c>
      <c r="K136" s="224" t="s">
        <v>3091</v>
      </c>
      <c r="L136" s="225" t="str">
        <f>VLOOKUP(Logfile_S[[#This Row],[Material Name]],Sheet2!B:C,2,0)</f>
        <v>GCI1005</v>
      </c>
      <c r="M136" s="225" t="str">
        <f>_xlfn.XLOOKUP(Logfile_S[[#This Row],[Material Name]],Sum_WH!E:E,Sum_WH!F:F,"",0)</f>
        <v>Pcs</v>
      </c>
      <c r="N136" s="221">
        <v>131</v>
      </c>
      <c r="O136" s="221">
        <v>0</v>
      </c>
      <c r="P136" s="221" t="s">
        <v>3385</v>
      </c>
      <c r="Q136" s="221"/>
      <c r="R136" s="221"/>
      <c r="S136" s="221"/>
      <c r="T136" s="221" t="s">
        <v>3258</v>
      </c>
      <c r="U136" s="221">
        <v>0</v>
      </c>
      <c r="V136" s="221" t="s">
        <v>3337</v>
      </c>
      <c r="W136" s="221" t="s">
        <v>3338</v>
      </c>
      <c r="X136" s="221"/>
      <c r="Y136" s="227"/>
      <c r="Z136" s="227" t="str">
        <f>P136</f>
        <v>Bululawang Permai</v>
      </c>
      <c r="AA136" s="276" t="e">
        <f>VLOOKUP(Logfile_S[[#This Row],[DO number]],DO_DB!G:I,3,0)</f>
        <v>#N/A</v>
      </c>
      <c r="AB136" s="331" t="e">
        <f>EXACT(Logfile_S[[#This Row],[date pick]],Logfile_S[[#This Row],[Date]])</f>
        <v>#N/A</v>
      </c>
      <c r="AC1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7" spans="1:29" ht="14.5">
      <c r="A137" s="220" t="str">
        <f>TEXT(ROW(A137)-ROW($A$4),"000")</f>
        <v>133</v>
      </c>
      <c r="B137" s="221"/>
      <c r="C137" s="221" t="s">
        <v>49</v>
      </c>
      <c r="D137" s="221" t="s">
        <v>4419</v>
      </c>
      <c r="E137" s="221" t="s">
        <v>3295</v>
      </c>
      <c r="F137" s="221" t="s">
        <v>3299</v>
      </c>
      <c r="G137" s="222">
        <v>45892</v>
      </c>
      <c r="H137" s="223">
        <v>0.4284722222222222</v>
      </c>
      <c r="I137" s="221" t="s">
        <v>4916</v>
      </c>
      <c r="J137" s="221" t="s">
        <v>3024</v>
      </c>
      <c r="K137" s="224" t="s">
        <v>3239</v>
      </c>
      <c r="L137" s="225" t="str">
        <f>VLOOKUP(Logfile_S[[#This Row],[Material Name]],Sheet2!B:C,2,0)</f>
        <v>GCI1001</v>
      </c>
      <c r="M137" s="225" t="str">
        <f>_xlfn.XLOOKUP(Logfile_S[[#This Row],[Material Name]],Sum_WH!E:E,Sum_WH!F:F,"",0)</f>
        <v>Pcs</v>
      </c>
      <c r="N137" s="221">
        <v>15</v>
      </c>
      <c r="O137" s="221">
        <v>0</v>
      </c>
      <c r="P137" s="221" t="s">
        <v>3385</v>
      </c>
      <c r="Q137" s="221"/>
      <c r="R137" s="221"/>
      <c r="S137" s="221"/>
      <c r="T137" s="221" t="s">
        <v>3258</v>
      </c>
      <c r="U137" s="221">
        <v>0</v>
      </c>
      <c r="V137" s="221" t="s">
        <v>3337</v>
      </c>
      <c r="W137" s="221" t="s">
        <v>3338</v>
      </c>
      <c r="X137" s="221"/>
      <c r="Y137" s="227"/>
      <c r="Z137" s="227" t="str">
        <f>P137</f>
        <v>Bululawang Permai</v>
      </c>
      <c r="AA137" s="276" t="e">
        <f>VLOOKUP(Logfile_S[[#This Row],[DO number]],DO_DB!G:I,3,0)</f>
        <v>#N/A</v>
      </c>
      <c r="AB137" s="331" t="e">
        <f>EXACT(Logfile_S[[#This Row],[date pick]],Logfile_S[[#This Row],[Date]])</f>
        <v>#N/A</v>
      </c>
      <c r="AC1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8" spans="1:29" ht="14.5">
      <c r="A138" s="220" t="str">
        <f>TEXT(ROW(A138)-ROW($A$4),"000")</f>
        <v>134</v>
      </c>
      <c r="B138" s="221"/>
      <c r="C138" s="221" t="s">
        <v>49</v>
      </c>
      <c r="D138" s="221" t="s">
        <v>4419</v>
      </c>
      <c r="E138" s="221" t="s">
        <v>3295</v>
      </c>
      <c r="F138" s="221" t="s">
        <v>3299</v>
      </c>
      <c r="G138" s="222">
        <v>45892</v>
      </c>
      <c r="H138" s="223">
        <v>0.4284722222222222</v>
      </c>
      <c r="I138" s="221" t="s">
        <v>4916</v>
      </c>
      <c r="J138" s="221" t="s">
        <v>3024</v>
      </c>
      <c r="K138" s="224" t="s">
        <v>5137</v>
      </c>
      <c r="L138" s="225" t="str">
        <f>VLOOKUP(Logfile_S[[#This Row],[Material Name]],Sheet2!B:C,2,0)</f>
        <v>GCI1009</v>
      </c>
      <c r="M138" s="225" t="str">
        <f>_xlfn.XLOOKUP(Logfile_S[[#This Row],[Material Name]],Sum_WH!E:E,Sum_WH!F:F,"",0)</f>
        <v>Pcs</v>
      </c>
      <c r="N138" s="221">
        <v>226</v>
      </c>
      <c r="O138" s="221">
        <v>0</v>
      </c>
      <c r="P138" s="221" t="s">
        <v>3385</v>
      </c>
      <c r="Q138" s="221"/>
      <c r="R138" s="221"/>
      <c r="S138" s="221"/>
      <c r="T138" s="221" t="s">
        <v>3258</v>
      </c>
      <c r="U138" s="221">
        <v>0</v>
      </c>
      <c r="V138" s="221" t="s">
        <v>3337</v>
      </c>
      <c r="W138" s="221" t="s">
        <v>3338</v>
      </c>
      <c r="X138" s="221"/>
      <c r="Y138" s="227"/>
      <c r="Z138" s="227" t="str">
        <f>P138</f>
        <v>Bululawang Permai</v>
      </c>
      <c r="AA138" s="276" t="e">
        <f>VLOOKUP(Logfile_S[[#This Row],[DO number]],DO_DB!G:I,3,0)</f>
        <v>#N/A</v>
      </c>
      <c r="AB138" s="331" t="e">
        <f>EXACT(Logfile_S[[#This Row],[date pick]],Logfile_S[[#This Row],[Date]])</f>
        <v>#N/A</v>
      </c>
      <c r="AC1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9" spans="1:29" ht="14.5">
      <c r="A139" s="220" t="str">
        <f>TEXT(ROW(A139)-ROW($A$4),"000")</f>
        <v>135</v>
      </c>
      <c r="B139" s="221"/>
      <c r="C139" s="221" t="s">
        <v>49</v>
      </c>
      <c r="D139" s="221" t="s">
        <v>4419</v>
      </c>
      <c r="E139" s="221" t="s">
        <v>3295</v>
      </c>
      <c r="F139" s="221" t="s">
        <v>3299</v>
      </c>
      <c r="G139" s="222">
        <v>45892</v>
      </c>
      <c r="H139" s="223">
        <v>0.4284722222222222</v>
      </c>
      <c r="I139" s="221" t="s">
        <v>4916</v>
      </c>
      <c r="J139" s="221" t="s">
        <v>3024</v>
      </c>
      <c r="K139" s="224" t="s">
        <v>3088</v>
      </c>
      <c r="L139" s="225" t="str">
        <f>VLOOKUP(Logfile_S[[#This Row],[Material Name]],Sheet2!B:C,2,0)</f>
        <v>GCI1002</v>
      </c>
      <c r="M139" s="225" t="str">
        <f>_xlfn.XLOOKUP(Logfile_S[[#This Row],[Material Name]],Sum_WH!E:E,Sum_WH!F:F,"",0)</f>
        <v>Pcs</v>
      </c>
      <c r="N139" s="221">
        <v>2</v>
      </c>
      <c r="O139" s="221">
        <v>0</v>
      </c>
      <c r="P139" s="221" t="s">
        <v>3385</v>
      </c>
      <c r="Q139" s="221"/>
      <c r="R139" s="221"/>
      <c r="S139" s="221"/>
      <c r="T139" s="221" t="s">
        <v>3258</v>
      </c>
      <c r="U139" s="221">
        <v>0</v>
      </c>
      <c r="V139" s="221" t="s">
        <v>3337</v>
      </c>
      <c r="W139" s="221" t="s">
        <v>3338</v>
      </c>
      <c r="X139" s="221"/>
      <c r="Y139" s="227"/>
      <c r="Z139" s="227" t="str">
        <f>P139</f>
        <v>Bululawang Permai</v>
      </c>
      <c r="AA139" s="276" t="e">
        <f>VLOOKUP(Logfile_S[[#This Row],[DO number]],DO_DB!G:I,3,0)</f>
        <v>#N/A</v>
      </c>
      <c r="AB139" s="331" t="e">
        <f>EXACT(Logfile_S[[#This Row],[date pick]],Logfile_S[[#This Row],[Date]])</f>
        <v>#N/A</v>
      </c>
      <c r="AC1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0" spans="1:29" ht="14.5">
      <c r="A140" s="220" t="str">
        <f>TEXT(ROW(A140)-ROW($A$4),"000")</f>
        <v>136</v>
      </c>
      <c r="B140" s="221"/>
      <c r="C140" s="221" t="s">
        <v>49</v>
      </c>
      <c r="D140" s="221" t="s">
        <v>4419</v>
      </c>
      <c r="E140" s="221" t="s">
        <v>3295</v>
      </c>
      <c r="F140" s="221" t="s">
        <v>3299</v>
      </c>
      <c r="G140" s="222">
        <v>45892</v>
      </c>
      <c r="H140" s="223">
        <v>0.4284722222222222</v>
      </c>
      <c r="I140" s="221" t="s">
        <v>4916</v>
      </c>
      <c r="J140" s="221" t="s">
        <v>3024</v>
      </c>
      <c r="K140" s="224" t="s">
        <v>3215</v>
      </c>
      <c r="L140" s="225" t="str">
        <f>VLOOKUP(Logfile_S[[#This Row],[Material Name]],Sheet2!B:C,2,0)</f>
        <v>GCI1008</v>
      </c>
      <c r="M140" s="225" t="str">
        <f>_xlfn.XLOOKUP(Logfile_S[[#This Row],[Material Name]],Sum_WH!E:E,Sum_WH!F:F,"",0)</f>
        <v>Pcs</v>
      </c>
      <c r="N140" s="221">
        <v>196</v>
      </c>
      <c r="O140" s="221">
        <v>0</v>
      </c>
      <c r="P140" s="221" t="s">
        <v>3385</v>
      </c>
      <c r="Q140" s="221"/>
      <c r="R140" s="221"/>
      <c r="S140" s="221"/>
      <c r="T140" s="221" t="s">
        <v>3258</v>
      </c>
      <c r="U140" s="221">
        <v>0</v>
      </c>
      <c r="V140" s="221" t="s">
        <v>3337</v>
      </c>
      <c r="W140" s="221" t="s">
        <v>3338</v>
      </c>
      <c r="X140" s="221"/>
      <c r="Y140" s="227"/>
      <c r="Z140" s="227" t="str">
        <f>P140</f>
        <v>Bululawang Permai</v>
      </c>
      <c r="AA140" s="276" t="e">
        <f>VLOOKUP(Logfile_S[[#This Row],[DO number]],DO_DB!G:I,3,0)</f>
        <v>#N/A</v>
      </c>
      <c r="AB140" s="331" t="e">
        <f>EXACT(Logfile_S[[#This Row],[date pick]],Logfile_S[[#This Row],[Date]])</f>
        <v>#N/A</v>
      </c>
      <c r="AC1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1" spans="1:29" ht="14.5">
      <c r="A141" s="220" t="str">
        <f>TEXT(ROW(A141)-ROW($A$4),"000")</f>
        <v>137</v>
      </c>
      <c r="B141" s="221"/>
      <c r="C141" s="221" t="s">
        <v>49</v>
      </c>
      <c r="D141" s="221" t="s">
        <v>4419</v>
      </c>
      <c r="E141" s="221" t="s">
        <v>3295</v>
      </c>
      <c r="F141" s="221" t="s">
        <v>3299</v>
      </c>
      <c r="G141" s="222">
        <v>45892</v>
      </c>
      <c r="H141" s="223">
        <v>0.4284722222222222</v>
      </c>
      <c r="I141" s="221" t="s">
        <v>4916</v>
      </c>
      <c r="J141" s="221" t="s">
        <v>3024</v>
      </c>
      <c r="K141" s="224" t="s">
        <v>3089</v>
      </c>
      <c r="L141" s="225" t="str">
        <f>VLOOKUP(Logfile_S[[#This Row],[Material Name]],Sheet2!B:C,2,0)</f>
        <v>GCI1003</v>
      </c>
      <c r="M141" s="225" t="str">
        <f>_xlfn.XLOOKUP(Logfile_S[[#This Row],[Material Name]],Sum_WH!E:E,Sum_WH!F:F,"",0)</f>
        <v>Pcs</v>
      </c>
      <c r="N141" s="221">
        <v>128</v>
      </c>
      <c r="O141" s="221">
        <v>0</v>
      </c>
      <c r="P141" s="221" t="s">
        <v>3385</v>
      </c>
      <c r="Q141" s="221"/>
      <c r="R141" s="221"/>
      <c r="S141" s="221"/>
      <c r="T141" s="221" t="s">
        <v>3258</v>
      </c>
      <c r="U141" s="221">
        <v>0</v>
      </c>
      <c r="V141" s="221" t="s">
        <v>3337</v>
      </c>
      <c r="W141" s="221" t="s">
        <v>3338</v>
      </c>
      <c r="X141" s="221"/>
      <c r="Y141" s="227"/>
      <c r="Z141" s="227" t="str">
        <f>P141</f>
        <v>Bululawang Permai</v>
      </c>
      <c r="AA141" s="276" t="e">
        <f>VLOOKUP(Logfile_S[[#This Row],[DO number]],DO_DB!G:I,3,0)</f>
        <v>#N/A</v>
      </c>
      <c r="AB141" s="331" t="e">
        <f>EXACT(Logfile_S[[#This Row],[date pick]],Logfile_S[[#This Row],[Date]])</f>
        <v>#N/A</v>
      </c>
      <c r="AC1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2" spans="1:29" ht="14.5">
      <c r="A142" s="220" t="str">
        <f>TEXT(ROW(A142)-ROW($A$4),"000")</f>
        <v>138</v>
      </c>
      <c r="B142" s="221"/>
      <c r="C142" s="221" t="s">
        <v>49</v>
      </c>
      <c r="D142" s="221" t="s">
        <v>4419</v>
      </c>
      <c r="E142" s="221" t="s">
        <v>3295</v>
      </c>
      <c r="F142" s="221" t="s">
        <v>3299</v>
      </c>
      <c r="G142" s="222">
        <v>45892</v>
      </c>
      <c r="H142" s="223">
        <v>0.4284722222222222</v>
      </c>
      <c r="I142" s="221" t="s">
        <v>4916</v>
      </c>
      <c r="J142" s="221" t="s">
        <v>3024</v>
      </c>
      <c r="K142" s="224" t="s">
        <v>3090</v>
      </c>
      <c r="L142" s="225" t="str">
        <f>VLOOKUP(Logfile_S[[#This Row],[Material Name]],Sheet2!B:C,2,0)</f>
        <v>GCI1004</v>
      </c>
      <c r="M142" s="225" t="str">
        <f>_xlfn.XLOOKUP(Logfile_S[[#This Row],[Material Name]],Sum_WH!E:E,Sum_WH!F:F,"",0)</f>
        <v>Pcs</v>
      </c>
      <c r="N142" s="221">
        <v>155</v>
      </c>
      <c r="O142" s="221">
        <v>0</v>
      </c>
      <c r="P142" s="221" t="s">
        <v>3385</v>
      </c>
      <c r="Q142" s="221"/>
      <c r="R142" s="221"/>
      <c r="S142" s="221"/>
      <c r="T142" s="221" t="s">
        <v>3258</v>
      </c>
      <c r="U142" s="221">
        <v>0</v>
      </c>
      <c r="V142" s="221" t="s">
        <v>3337</v>
      </c>
      <c r="W142" s="221" t="s">
        <v>3338</v>
      </c>
      <c r="X142" s="221"/>
      <c r="Y142" s="227"/>
      <c r="Z142" s="227" t="str">
        <f>P142</f>
        <v>Bululawang Permai</v>
      </c>
      <c r="AA142" s="276" t="e">
        <f>VLOOKUP(Logfile_S[[#This Row],[DO number]],DO_DB!G:I,3,0)</f>
        <v>#N/A</v>
      </c>
      <c r="AB142" s="331" t="e">
        <f>EXACT(Logfile_S[[#This Row],[date pick]],Logfile_S[[#This Row],[Date]])</f>
        <v>#N/A</v>
      </c>
      <c r="AC1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3" spans="1:29" ht="14.5">
      <c r="A143" s="220" t="str">
        <f>TEXT(ROW(A143)-ROW($A$4),"000")</f>
        <v>139</v>
      </c>
      <c r="B143" s="221"/>
      <c r="C143" s="221" t="s">
        <v>48</v>
      </c>
      <c r="D143" s="221" t="s">
        <v>4405</v>
      </c>
      <c r="E143" s="221" t="s">
        <v>3295</v>
      </c>
      <c r="F143" s="221" t="s">
        <v>3299</v>
      </c>
      <c r="G143" s="222">
        <v>45875</v>
      </c>
      <c r="H143" s="223">
        <v>15.291666666666666</v>
      </c>
      <c r="I143" s="221" t="s">
        <v>38</v>
      </c>
      <c r="J143" s="221" t="s">
        <v>3024</v>
      </c>
      <c r="K143" s="224" t="s">
        <v>3091</v>
      </c>
      <c r="L143" s="225" t="str">
        <f>VLOOKUP(Logfile_S[[#This Row],[Material Name]],Sheet2!B:C,2,0)</f>
        <v>GCI1005</v>
      </c>
      <c r="M143" s="225" t="str">
        <f>_xlfn.XLOOKUP(Logfile_S[[#This Row],[Material Name]],Sum_WH!E:E,Sum_WH!F:F,"",0)</f>
        <v>Pcs</v>
      </c>
      <c r="N143" s="221">
        <v>111</v>
      </c>
      <c r="O143" s="221">
        <v>0</v>
      </c>
      <c r="P143" s="221" t="s">
        <v>3384</v>
      </c>
      <c r="Q143" s="221">
        <v>0</v>
      </c>
      <c r="R143" s="221">
        <v>0</v>
      </c>
      <c r="S143" s="221"/>
      <c r="T143" s="221"/>
      <c r="U143" s="221"/>
      <c r="V143" s="221"/>
      <c r="W143" s="221"/>
      <c r="X143" s="221"/>
      <c r="Y143" s="227"/>
      <c r="Z143" s="227" t="str">
        <f>P143</f>
        <v>GRESIK</v>
      </c>
      <c r="AA143" s="276" t="e">
        <f>VLOOKUP(Logfile_S[[#This Row],[DO number]],DO_DB!G:I,3,0)</f>
        <v>#N/A</v>
      </c>
      <c r="AB143" s="331" t="e">
        <f>EXACT(Logfile_S[[#This Row],[date pick]],Logfile_S[[#This Row],[Date]])</f>
        <v>#N/A</v>
      </c>
      <c r="AC1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4" spans="1:29" ht="14.5">
      <c r="A144" s="220" t="str">
        <f>TEXT(ROW(A144)-ROW($A$4),"000")</f>
        <v>140</v>
      </c>
      <c r="B144" s="221"/>
      <c r="C144" s="221" t="s">
        <v>48</v>
      </c>
      <c r="D144" s="221" t="s">
        <v>4405</v>
      </c>
      <c r="E144" s="221" t="s">
        <v>3295</v>
      </c>
      <c r="F144" s="221" t="s">
        <v>3299</v>
      </c>
      <c r="G144" s="222">
        <v>45875</v>
      </c>
      <c r="H144" s="223">
        <v>15.291666666666666</v>
      </c>
      <c r="I144" s="221" t="s">
        <v>38</v>
      </c>
      <c r="J144" s="221" t="s">
        <v>3024</v>
      </c>
      <c r="K144" s="224" t="s">
        <v>3087</v>
      </c>
      <c r="L144" s="225" t="str">
        <f>VLOOKUP(Logfile_S[[#This Row],[Material Name]],Sheet2!B:C,2,0)</f>
        <v>GCI1001</v>
      </c>
      <c r="M144" s="225" t="str">
        <f>_xlfn.XLOOKUP(Logfile_S[[#This Row],[Material Name]],Sum_WH!E:E,Sum_WH!F:F,"",0)</f>
        <v>Pcs</v>
      </c>
      <c r="N144" s="221">
        <v>50</v>
      </c>
      <c r="O144" s="221">
        <v>0</v>
      </c>
      <c r="P144" s="221" t="s">
        <v>3384</v>
      </c>
      <c r="Q144" s="221">
        <v>0</v>
      </c>
      <c r="R144" s="221">
        <v>0</v>
      </c>
      <c r="S144" s="221"/>
      <c r="T144" s="221"/>
      <c r="U144" s="221"/>
      <c r="V144" s="221"/>
      <c r="W144" s="221"/>
      <c r="X144" s="221"/>
      <c r="Y144" s="227"/>
      <c r="Z144" s="227" t="str">
        <f>P144</f>
        <v>GRESIK</v>
      </c>
      <c r="AA144" s="276" t="e">
        <f>VLOOKUP(Logfile_S[[#This Row],[DO number]],DO_DB!G:I,3,0)</f>
        <v>#N/A</v>
      </c>
      <c r="AB144" s="331" t="e">
        <f>EXACT(Logfile_S[[#This Row],[date pick]],Logfile_S[[#This Row],[Date]])</f>
        <v>#N/A</v>
      </c>
      <c r="AC1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5" spans="1:29" ht="14.5">
      <c r="A145" s="220" t="str">
        <f>TEXT(ROW(A145)-ROW($A$4),"000")</f>
        <v>141</v>
      </c>
      <c r="B145" s="221"/>
      <c r="C145" s="221" t="s">
        <v>48</v>
      </c>
      <c r="D145" s="221" t="s">
        <v>4405</v>
      </c>
      <c r="E145" s="221" t="s">
        <v>3295</v>
      </c>
      <c r="F145" s="221" t="s">
        <v>3299</v>
      </c>
      <c r="G145" s="222">
        <v>45875</v>
      </c>
      <c r="H145" s="223">
        <v>15.291666666666666</v>
      </c>
      <c r="I145" s="221" t="s">
        <v>38</v>
      </c>
      <c r="J145" s="221" t="s">
        <v>3024</v>
      </c>
      <c r="K145" s="224" t="s">
        <v>3088</v>
      </c>
      <c r="L145" s="225" t="str">
        <f>VLOOKUP(Logfile_S[[#This Row],[Material Name]],Sheet2!B:C,2,0)</f>
        <v>GCI1002</v>
      </c>
      <c r="M145" s="225" t="str">
        <f>_xlfn.XLOOKUP(Logfile_S[[#This Row],[Material Name]],Sum_WH!E:E,Sum_WH!F:F,"",0)</f>
        <v>Pcs</v>
      </c>
      <c r="N145" s="221">
        <v>4</v>
      </c>
      <c r="O145" s="221">
        <v>0</v>
      </c>
      <c r="P145" s="221" t="s">
        <v>3384</v>
      </c>
      <c r="Q145" s="221">
        <v>0</v>
      </c>
      <c r="R145" s="221">
        <v>0</v>
      </c>
      <c r="S145" s="221"/>
      <c r="T145" s="221"/>
      <c r="U145" s="221"/>
      <c r="V145" s="221"/>
      <c r="W145" s="221"/>
      <c r="X145" s="221"/>
      <c r="Y145" s="227"/>
      <c r="Z145" s="227" t="str">
        <f>P145</f>
        <v>GRESIK</v>
      </c>
      <c r="AA145" s="276" t="e">
        <f>VLOOKUP(Logfile_S[[#This Row],[DO number]],DO_DB!G:I,3,0)</f>
        <v>#N/A</v>
      </c>
      <c r="AB145" s="331" t="e">
        <f>EXACT(Logfile_S[[#This Row],[date pick]],Logfile_S[[#This Row],[Date]])</f>
        <v>#N/A</v>
      </c>
      <c r="AC1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6" spans="1:29" ht="14.5">
      <c r="A146" s="220" t="str">
        <f>TEXT(ROW(A146)-ROW($A$4),"000")</f>
        <v>142</v>
      </c>
      <c r="B146" s="221"/>
      <c r="C146" s="221" t="s">
        <v>48</v>
      </c>
      <c r="D146" s="221" t="s">
        <v>4405</v>
      </c>
      <c r="E146" s="221" t="s">
        <v>3295</v>
      </c>
      <c r="F146" s="221" t="s">
        <v>3299</v>
      </c>
      <c r="G146" s="222">
        <v>45875</v>
      </c>
      <c r="H146" s="223">
        <v>15.291666666666666</v>
      </c>
      <c r="I146" s="221" t="s">
        <v>38</v>
      </c>
      <c r="J146" s="221" t="s">
        <v>3024</v>
      </c>
      <c r="K146" s="224" t="s">
        <v>3089</v>
      </c>
      <c r="L146" s="225" t="str">
        <f>VLOOKUP(Logfile_S[[#This Row],[Material Name]],Sheet2!B:C,2,0)</f>
        <v>GCI1003</v>
      </c>
      <c r="M146" s="225" t="str">
        <f>_xlfn.XLOOKUP(Logfile_S[[#This Row],[Material Name]],Sum_WH!E:E,Sum_WH!F:F,"",0)</f>
        <v>Pcs</v>
      </c>
      <c r="N146" s="221">
        <v>200</v>
      </c>
      <c r="O146" s="221">
        <v>0</v>
      </c>
      <c r="P146" s="221" t="s">
        <v>3384</v>
      </c>
      <c r="Q146" s="221">
        <v>0</v>
      </c>
      <c r="R146" s="221">
        <v>0</v>
      </c>
      <c r="S146" s="221"/>
      <c r="T146" s="221"/>
      <c r="U146" s="221"/>
      <c r="V146" s="221"/>
      <c r="W146" s="221"/>
      <c r="X146" s="221"/>
      <c r="Y146" s="227"/>
      <c r="Z146" s="227" t="str">
        <f>P146</f>
        <v>GRESIK</v>
      </c>
      <c r="AA146" s="276" t="e">
        <f>VLOOKUP(Logfile_S[[#This Row],[DO number]],DO_DB!G:I,3,0)</f>
        <v>#N/A</v>
      </c>
      <c r="AB146" s="331" t="e">
        <f>EXACT(Logfile_S[[#This Row],[date pick]],Logfile_S[[#This Row],[Date]])</f>
        <v>#N/A</v>
      </c>
      <c r="AC1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7" spans="1:29" ht="14.5">
      <c r="A147" s="220" t="str">
        <f>TEXT(ROW(A147)-ROW($A$4),"000")</f>
        <v>143</v>
      </c>
      <c r="B147" s="221"/>
      <c r="C147" s="221" t="s">
        <v>48</v>
      </c>
      <c r="D147" s="221" t="s">
        <v>4108</v>
      </c>
      <c r="E147" s="221" t="s">
        <v>3295</v>
      </c>
      <c r="F147" s="221" t="s">
        <v>3299</v>
      </c>
      <c r="G147" s="222">
        <v>45476</v>
      </c>
      <c r="H147" s="223">
        <v>15.291666666666666</v>
      </c>
      <c r="I147" s="221" t="s">
        <v>38</v>
      </c>
      <c r="J147" s="221" t="s">
        <v>3024</v>
      </c>
      <c r="K147" s="224" t="s">
        <v>3097</v>
      </c>
      <c r="L147" s="225" t="str">
        <f>VLOOKUP(Logfile_S[[#This Row],[Material Name]],Sheet2!B:C,2,0)</f>
        <v>GCI1011</v>
      </c>
      <c r="M147" s="225" t="str">
        <f>_xlfn.XLOOKUP(Logfile_S[[#This Row],[Material Name]],Sum_WH!E:E,Sum_WH!F:F,"",0)</f>
        <v>Pcs</v>
      </c>
      <c r="N147" s="221">
        <v>1</v>
      </c>
      <c r="O147" s="221">
        <v>0</v>
      </c>
      <c r="P147" s="221" t="s">
        <v>3373</v>
      </c>
      <c r="Q147" s="221">
        <v>0</v>
      </c>
      <c r="R147" s="221">
        <v>0</v>
      </c>
      <c r="S147" s="221"/>
      <c r="T147" s="221"/>
      <c r="U147" s="221"/>
      <c r="V147" s="221"/>
      <c r="W147" s="221"/>
      <c r="X147" s="221"/>
      <c r="Y147" s="227"/>
      <c r="Z147" s="227" t="str">
        <f>P147</f>
        <v>HALIM JAYA</v>
      </c>
      <c r="AA147" s="276" t="e">
        <f>VLOOKUP(Logfile_S[[#This Row],[DO number]],DO_DB!G:I,3,0)</f>
        <v>#N/A</v>
      </c>
      <c r="AB147" s="331" t="e">
        <f>EXACT(Logfile_S[[#This Row],[date pick]],Logfile_S[[#This Row],[Date]])</f>
        <v>#N/A</v>
      </c>
      <c r="AC1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8" spans="1:29" ht="14.5">
      <c r="A148" s="220" t="str">
        <f>TEXT(ROW(A148)-ROW($A$4),"000")</f>
        <v>144</v>
      </c>
      <c r="B148" s="221"/>
      <c r="C148" s="221" t="s">
        <v>48</v>
      </c>
      <c r="D148" s="221" t="s">
        <v>4108</v>
      </c>
      <c r="E148" s="221" t="s">
        <v>3295</v>
      </c>
      <c r="F148" s="221" t="s">
        <v>3299</v>
      </c>
      <c r="G148" s="222">
        <v>45476</v>
      </c>
      <c r="H148" s="223">
        <v>15.291666666666666</v>
      </c>
      <c r="I148" s="221" t="s">
        <v>38</v>
      </c>
      <c r="J148" s="221" t="s">
        <v>3024</v>
      </c>
      <c r="K148" s="224" t="s">
        <v>3091</v>
      </c>
      <c r="L148" s="225" t="str">
        <f>VLOOKUP(Logfile_S[[#This Row],[Material Name]],Sheet2!B:C,2,0)</f>
        <v>GCI1005</v>
      </c>
      <c r="M148" s="225" t="str">
        <f>_xlfn.XLOOKUP(Logfile_S[[#This Row],[Material Name]],Sum_WH!E:E,Sum_WH!F:F,"",0)</f>
        <v>Pcs</v>
      </c>
      <c r="N148" s="221">
        <v>287</v>
      </c>
      <c r="O148" s="221">
        <v>0</v>
      </c>
      <c r="P148" s="221" t="s">
        <v>3373</v>
      </c>
      <c r="Q148" s="221">
        <v>0</v>
      </c>
      <c r="R148" s="221">
        <v>0</v>
      </c>
      <c r="S148" s="221"/>
      <c r="T148" s="221"/>
      <c r="U148" s="221"/>
      <c r="V148" s="221"/>
      <c r="W148" s="221"/>
      <c r="X148" s="221"/>
      <c r="Y148" s="227"/>
      <c r="Z148" s="227" t="str">
        <f>P148</f>
        <v>HALIM JAYA</v>
      </c>
      <c r="AA148" s="276" t="e">
        <f>VLOOKUP(Logfile_S[[#This Row],[DO number]],DO_DB!G:I,3,0)</f>
        <v>#N/A</v>
      </c>
      <c r="AB148" s="331" t="e">
        <f>EXACT(Logfile_S[[#This Row],[date pick]],Logfile_S[[#This Row],[Date]])</f>
        <v>#N/A</v>
      </c>
      <c r="AC1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9" spans="1:29" ht="14.5">
      <c r="A149" s="220" t="str">
        <f>TEXT(ROW(A149)-ROW($A$4),"000")</f>
        <v>145</v>
      </c>
      <c r="B149" s="221"/>
      <c r="C149" s="221" t="s">
        <v>48</v>
      </c>
      <c r="D149" s="221" t="s">
        <v>4108</v>
      </c>
      <c r="E149" s="221" t="s">
        <v>3295</v>
      </c>
      <c r="F149" s="221" t="s">
        <v>3299</v>
      </c>
      <c r="G149" s="222">
        <v>45476</v>
      </c>
      <c r="H149" s="223">
        <v>15.291666666666666</v>
      </c>
      <c r="I149" s="221" t="s">
        <v>38</v>
      </c>
      <c r="J149" s="221" t="s">
        <v>3024</v>
      </c>
      <c r="K149" s="224" t="s">
        <v>3094</v>
      </c>
      <c r="L149" s="225" t="str">
        <f>VLOOKUP(Logfile_S[[#This Row],[Material Name]],Sheet2!B:C,2,0)</f>
        <v>GCI1008</v>
      </c>
      <c r="M149" s="225" t="str">
        <f>_xlfn.XLOOKUP(Logfile_S[[#This Row],[Material Name]],Sum_WH!E:E,Sum_WH!F:F,"",0)</f>
        <v>Pcs</v>
      </c>
      <c r="N149" s="221">
        <v>314</v>
      </c>
      <c r="O149" s="221">
        <v>0</v>
      </c>
      <c r="P149" s="221" t="s">
        <v>3373</v>
      </c>
      <c r="Q149" s="221">
        <v>0</v>
      </c>
      <c r="R149" s="221">
        <v>0</v>
      </c>
      <c r="S149" s="221"/>
      <c r="T149" s="221"/>
      <c r="U149" s="221"/>
      <c r="V149" s="221"/>
      <c r="W149" s="221"/>
      <c r="X149" s="221"/>
      <c r="Y149" s="227"/>
      <c r="Z149" s="227" t="str">
        <f>P149</f>
        <v>HALIM JAYA</v>
      </c>
      <c r="AA149" s="276" t="e">
        <f>VLOOKUP(Logfile_S[[#This Row],[DO number]],DO_DB!G:I,3,0)</f>
        <v>#N/A</v>
      </c>
      <c r="AB149" s="331" t="e">
        <f>EXACT(Logfile_S[[#This Row],[date pick]],Logfile_S[[#This Row],[Date]])</f>
        <v>#N/A</v>
      </c>
      <c r="AC1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0" spans="1:29" ht="14.5">
      <c r="A150" s="220" t="str">
        <f>TEXT(ROW(A150)-ROW($A$4),"000")</f>
        <v>146</v>
      </c>
      <c r="B150" s="221"/>
      <c r="C150" s="221" t="s">
        <v>48</v>
      </c>
      <c r="D150" s="221" t="s">
        <v>4108</v>
      </c>
      <c r="E150" s="221" t="s">
        <v>3295</v>
      </c>
      <c r="F150" s="221" t="s">
        <v>3299</v>
      </c>
      <c r="G150" s="222">
        <v>45476</v>
      </c>
      <c r="H150" s="223">
        <v>15.291666666666666</v>
      </c>
      <c r="I150" s="221" t="s">
        <v>38</v>
      </c>
      <c r="J150" s="221" t="s">
        <v>3024</v>
      </c>
      <c r="K150" s="224" t="s">
        <v>3089</v>
      </c>
      <c r="L150" s="225" t="str">
        <f>VLOOKUP(Logfile_S[[#This Row],[Material Name]],Sheet2!B:C,2,0)</f>
        <v>GCI1003</v>
      </c>
      <c r="M150" s="225" t="str">
        <f>_xlfn.XLOOKUP(Logfile_S[[#This Row],[Material Name]],Sum_WH!E:E,Sum_WH!F:F,"",0)</f>
        <v>Pcs</v>
      </c>
      <c r="N150" s="221">
        <v>430</v>
      </c>
      <c r="O150" s="221">
        <v>0</v>
      </c>
      <c r="P150" s="221" t="s">
        <v>3373</v>
      </c>
      <c r="Q150" s="221">
        <v>0</v>
      </c>
      <c r="R150" s="221">
        <v>0</v>
      </c>
      <c r="S150" s="221"/>
      <c r="T150" s="221"/>
      <c r="U150" s="221"/>
      <c r="V150" s="221"/>
      <c r="W150" s="221"/>
      <c r="X150" s="221"/>
      <c r="Y150" s="227"/>
      <c r="Z150" s="227" t="str">
        <f>P150</f>
        <v>HALIM JAYA</v>
      </c>
      <c r="AA150" s="276" t="e">
        <f>VLOOKUP(Logfile_S[[#This Row],[DO number]],DO_DB!G:I,3,0)</f>
        <v>#N/A</v>
      </c>
      <c r="AB150" s="331" t="e">
        <f>EXACT(Logfile_S[[#This Row],[date pick]],Logfile_S[[#This Row],[Date]])</f>
        <v>#N/A</v>
      </c>
      <c r="AC1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1" spans="1:29" ht="14.5">
      <c r="A151" s="220" t="str">
        <f>TEXT(ROW(A151)-ROW($A$4),"000")</f>
        <v>147</v>
      </c>
      <c r="B151" s="221"/>
      <c r="C151" s="221" t="s">
        <v>48</v>
      </c>
      <c r="D151" s="221" t="s">
        <v>4108</v>
      </c>
      <c r="E151" s="221" t="s">
        <v>3295</v>
      </c>
      <c r="F151" s="221" t="s">
        <v>3299</v>
      </c>
      <c r="G151" s="222">
        <v>45476</v>
      </c>
      <c r="H151" s="223">
        <v>15.291666666666666</v>
      </c>
      <c r="I151" s="221" t="s">
        <v>38</v>
      </c>
      <c r="J151" s="221" t="s">
        <v>3024</v>
      </c>
      <c r="K151" s="224" t="s">
        <v>3090</v>
      </c>
      <c r="L151" s="225" t="str">
        <f>VLOOKUP(Logfile_S[[#This Row],[Material Name]],Sheet2!B:C,2,0)</f>
        <v>GCI1004</v>
      </c>
      <c r="M151" s="225" t="str">
        <f>_xlfn.XLOOKUP(Logfile_S[[#This Row],[Material Name]],Sum_WH!E:E,Sum_WH!F:F,"",0)</f>
        <v>Pcs</v>
      </c>
      <c r="N151" s="221">
        <v>157</v>
      </c>
      <c r="O151" s="221">
        <v>0</v>
      </c>
      <c r="P151" s="221" t="s">
        <v>3373</v>
      </c>
      <c r="Q151" s="221">
        <v>0</v>
      </c>
      <c r="R151" s="221">
        <v>0</v>
      </c>
      <c r="S151" s="221"/>
      <c r="T151" s="221"/>
      <c r="U151" s="221"/>
      <c r="V151" s="221"/>
      <c r="W151" s="221"/>
      <c r="X151" s="221"/>
      <c r="Y151" s="227"/>
      <c r="Z151" s="227" t="str">
        <f>P151</f>
        <v>HALIM JAYA</v>
      </c>
      <c r="AA151" s="276" t="e">
        <f>VLOOKUP(Logfile_S[[#This Row],[DO number]],DO_DB!G:I,3,0)</f>
        <v>#N/A</v>
      </c>
      <c r="AB151" s="331" t="e">
        <f>EXACT(Logfile_S[[#This Row],[date pick]],Logfile_S[[#This Row],[Date]])</f>
        <v>#N/A</v>
      </c>
      <c r="AC1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2" spans="1:29" ht="14.5">
      <c r="A152" s="220" t="str">
        <f>TEXT(ROW(A152)-ROW($A$4),"000")</f>
        <v>148</v>
      </c>
      <c r="B152" s="221"/>
      <c r="C152" s="221" t="s">
        <v>49</v>
      </c>
      <c r="D152" s="221" t="s">
        <v>4372</v>
      </c>
      <c r="E152" s="221" t="s">
        <v>3295</v>
      </c>
      <c r="F152" s="221" t="s">
        <v>3299</v>
      </c>
      <c r="G152" s="222">
        <v>45822</v>
      </c>
      <c r="H152" s="223">
        <v>0.5395833333333333</v>
      </c>
      <c r="I152" s="221" t="s">
        <v>4916</v>
      </c>
      <c r="J152" s="221" t="s">
        <v>3024</v>
      </c>
      <c r="K152" s="224" t="s">
        <v>3239</v>
      </c>
      <c r="L152" s="225" t="str">
        <f>VLOOKUP(Logfile_S[[#This Row],[Material Name]],Sheet2!B:C,2,0)</f>
        <v>GCI1001</v>
      </c>
      <c r="M152" s="225" t="str">
        <f>_xlfn.XLOOKUP(Logfile_S[[#This Row],[Material Name]],Sum_WH!E:E,Sum_WH!F:F,"",0)</f>
        <v>Pcs</v>
      </c>
      <c r="N152" s="221">
        <v>20</v>
      </c>
      <c r="O152" s="221">
        <v>0</v>
      </c>
      <c r="P152" s="221" t="s">
        <v>3381</v>
      </c>
      <c r="Q152" s="221"/>
      <c r="R152" s="221"/>
      <c r="S152" s="221"/>
      <c r="T152" s="221" t="s">
        <v>3258</v>
      </c>
      <c r="U152" s="221">
        <v>0</v>
      </c>
      <c r="V152" s="221" t="s">
        <v>3337</v>
      </c>
      <c r="W152" s="221" t="s">
        <v>3338</v>
      </c>
      <c r="X152" s="221"/>
      <c r="Y152" s="227"/>
      <c r="Z152" s="227" t="str">
        <f>P152</f>
        <v>Kebonagung RW 01</v>
      </c>
      <c r="AA152" s="276" t="e">
        <f>VLOOKUP(Logfile_S[[#This Row],[DO number]],DO_DB!G:I,3,0)</f>
        <v>#N/A</v>
      </c>
      <c r="AB152" s="331" t="e">
        <f>EXACT(Logfile_S[[#This Row],[date pick]],Logfile_S[[#This Row],[Date]])</f>
        <v>#N/A</v>
      </c>
      <c r="AC1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3" spans="1:29" ht="14.5">
      <c r="A153" s="220" t="str">
        <f>TEXT(ROW(A153)-ROW($A$4),"000")</f>
        <v>149</v>
      </c>
      <c r="B153" s="221"/>
      <c r="C153" s="221" t="s">
        <v>49</v>
      </c>
      <c r="D153" s="221" t="s">
        <v>4372</v>
      </c>
      <c r="E153" s="221" t="s">
        <v>3295</v>
      </c>
      <c r="F153" s="221" t="s">
        <v>3299</v>
      </c>
      <c r="G153" s="222">
        <v>45822</v>
      </c>
      <c r="H153" s="223">
        <v>0.5395833333333333</v>
      </c>
      <c r="I153" s="221" t="s">
        <v>4916</v>
      </c>
      <c r="J153" s="221" t="s">
        <v>3024</v>
      </c>
      <c r="K153" s="224" t="s">
        <v>5137</v>
      </c>
      <c r="L153" s="225" t="str">
        <f>VLOOKUP(Logfile_S[[#This Row],[Material Name]],Sheet2!B:C,2,0)</f>
        <v>GCI1009</v>
      </c>
      <c r="M153" s="225" t="str">
        <f>_xlfn.XLOOKUP(Logfile_S[[#This Row],[Material Name]],Sum_WH!E:E,Sum_WH!F:F,"",0)</f>
        <v>Pcs</v>
      </c>
      <c r="N153" s="221">
        <v>150</v>
      </c>
      <c r="O153" s="221">
        <v>0</v>
      </c>
      <c r="P153" s="221" t="s">
        <v>3381</v>
      </c>
      <c r="Q153" s="221"/>
      <c r="R153" s="221"/>
      <c r="S153" s="221"/>
      <c r="T153" s="221" t="s">
        <v>3258</v>
      </c>
      <c r="U153" s="221">
        <v>0</v>
      </c>
      <c r="V153" s="221" t="s">
        <v>3337</v>
      </c>
      <c r="W153" s="221" t="s">
        <v>3338</v>
      </c>
      <c r="X153" s="221"/>
      <c r="Y153" s="227"/>
      <c r="Z153" s="227" t="str">
        <f>P153</f>
        <v>Kebonagung RW 01</v>
      </c>
      <c r="AA153" s="276" t="e">
        <f>VLOOKUP(Logfile_S[[#This Row],[DO number]],DO_DB!G:I,3,0)</f>
        <v>#N/A</v>
      </c>
      <c r="AB153" s="331" t="e">
        <f>EXACT(Logfile_S[[#This Row],[date pick]],Logfile_S[[#This Row],[Date]])</f>
        <v>#N/A</v>
      </c>
      <c r="AC1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4" spans="1:29" ht="14.5">
      <c r="A154" s="220" t="str">
        <f>TEXT(ROW(A154)-ROW($A$4),"000")</f>
        <v>150</v>
      </c>
      <c r="B154" s="221"/>
      <c r="C154" s="221" t="s">
        <v>49</v>
      </c>
      <c r="D154" s="221" t="s">
        <v>4372</v>
      </c>
      <c r="E154" s="221" t="s">
        <v>3295</v>
      </c>
      <c r="F154" s="221" t="s">
        <v>3299</v>
      </c>
      <c r="G154" s="222">
        <v>45822</v>
      </c>
      <c r="H154" s="223">
        <v>0.5395833333333333</v>
      </c>
      <c r="I154" s="221" t="s">
        <v>4916</v>
      </c>
      <c r="J154" s="221" t="s">
        <v>3024</v>
      </c>
      <c r="K154" s="224" t="s">
        <v>3088</v>
      </c>
      <c r="L154" s="225" t="str">
        <f>VLOOKUP(Logfile_S[[#This Row],[Material Name]],Sheet2!B:C,2,0)</f>
        <v>GCI1002</v>
      </c>
      <c r="M154" s="225" t="str">
        <f>_xlfn.XLOOKUP(Logfile_S[[#This Row],[Material Name]],Sum_WH!E:E,Sum_WH!F:F,"",0)</f>
        <v>Pcs</v>
      </c>
      <c r="N154" s="221">
        <v>1</v>
      </c>
      <c r="O154" s="221">
        <v>0</v>
      </c>
      <c r="P154" s="221" t="s">
        <v>3381</v>
      </c>
      <c r="Q154" s="221"/>
      <c r="R154" s="221"/>
      <c r="S154" s="221"/>
      <c r="T154" s="221" t="s">
        <v>3258</v>
      </c>
      <c r="U154" s="221">
        <v>0</v>
      </c>
      <c r="V154" s="221" t="s">
        <v>3337</v>
      </c>
      <c r="W154" s="221" t="s">
        <v>3338</v>
      </c>
      <c r="X154" s="221"/>
      <c r="Y154" s="227"/>
      <c r="Z154" s="227" t="str">
        <f>P154</f>
        <v>Kebonagung RW 01</v>
      </c>
      <c r="AA154" s="276" t="e">
        <f>VLOOKUP(Logfile_S[[#This Row],[DO number]],DO_DB!G:I,3,0)</f>
        <v>#N/A</v>
      </c>
      <c r="AB154" s="331" t="e">
        <f>EXACT(Logfile_S[[#This Row],[date pick]],Logfile_S[[#This Row],[Date]])</f>
        <v>#N/A</v>
      </c>
      <c r="AC1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5" spans="1:29" ht="14.5">
      <c r="A155" s="220" t="str">
        <f>TEXT(ROW(A155)-ROW($A$4),"000")</f>
        <v>151</v>
      </c>
      <c r="B155" s="221"/>
      <c r="C155" s="221" t="s">
        <v>49</v>
      </c>
      <c r="D155" s="221" t="s">
        <v>4372</v>
      </c>
      <c r="E155" s="221" t="s">
        <v>3295</v>
      </c>
      <c r="F155" s="221" t="s">
        <v>3299</v>
      </c>
      <c r="G155" s="222">
        <v>45822</v>
      </c>
      <c r="H155" s="223">
        <v>0.5395833333333333</v>
      </c>
      <c r="I155" s="221" t="s">
        <v>4916</v>
      </c>
      <c r="J155" s="221" t="s">
        <v>3024</v>
      </c>
      <c r="K155" s="224" t="s">
        <v>3089</v>
      </c>
      <c r="L155" s="225" t="str">
        <f>VLOOKUP(Logfile_S[[#This Row],[Material Name]],Sheet2!B:C,2,0)</f>
        <v>GCI1003</v>
      </c>
      <c r="M155" s="225" t="str">
        <f>_xlfn.XLOOKUP(Logfile_S[[#This Row],[Material Name]],Sum_WH!E:E,Sum_WH!F:F,"",0)</f>
        <v>Pcs</v>
      </c>
      <c r="N155" s="221">
        <v>100</v>
      </c>
      <c r="O155" s="221">
        <v>0</v>
      </c>
      <c r="P155" s="221" t="s">
        <v>3381</v>
      </c>
      <c r="Q155" s="221"/>
      <c r="R155" s="221"/>
      <c r="S155" s="221"/>
      <c r="T155" s="221" t="s">
        <v>3258</v>
      </c>
      <c r="U155" s="221">
        <v>0</v>
      </c>
      <c r="V155" s="221" t="s">
        <v>3337</v>
      </c>
      <c r="W155" s="221" t="s">
        <v>3338</v>
      </c>
      <c r="X155" s="221"/>
      <c r="Y155" s="227"/>
      <c r="Z155" s="227" t="str">
        <f>P155</f>
        <v>Kebonagung RW 01</v>
      </c>
      <c r="AA155" s="276" t="e">
        <f>VLOOKUP(Logfile_S[[#This Row],[DO number]],DO_DB!G:I,3,0)</f>
        <v>#N/A</v>
      </c>
      <c r="AB155" s="331" t="e">
        <f>EXACT(Logfile_S[[#This Row],[date pick]],Logfile_S[[#This Row],[Date]])</f>
        <v>#N/A</v>
      </c>
      <c r="AC1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6" spans="1:29" ht="14.5">
      <c r="A156" s="220" t="str">
        <f>TEXT(ROW(A156)-ROW($A$4),"000")</f>
        <v>152</v>
      </c>
      <c r="B156" s="221"/>
      <c r="C156" s="221" t="s">
        <v>49</v>
      </c>
      <c r="D156" s="221" t="s">
        <v>4372</v>
      </c>
      <c r="E156" s="221" t="s">
        <v>3295</v>
      </c>
      <c r="F156" s="221" t="s">
        <v>3299</v>
      </c>
      <c r="G156" s="222">
        <v>45822</v>
      </c>
      <c r="H156" s="223">
        <v>0.5395833333333333</v>
      </c>
      <c r="I156" s="221" t="s">
        <v>4916</v>
      </c>
      <c r="J156" s="221" t="s">
        <v>3024</v>
      </c>
      <c r="K156" s="224" t="s">
        <v>3090</v>
      </c>
      <c r="L156" s="225" t="str">
        <f>VLOOKUP(Logfile_S[[#This Row],[Material Name]],Sheet2!B:C,2,0)</f>
        <v>GCI1004</v>
      </c>
      <c r="M156" s="225" t="str">
        <f>_xlfn.XLOOKUP(Logfile_S[[#This Row],[Material Name]],Sum_WH!E:E,Sum_WH!F:F,"",0)</f>
        <v>Pcs</v>
      </c>
      <c r="N156" s="221">
        <v>75</v>
      </c>
      <c r="O156" s="221">
        <v>0</v>
      </c>
      <c r="P156" s="221" t="s">
        <v>3381</v>
      </c>
      <c r="Q156" s="221"/>
      <c r="R156" s="221"/>
      <c r="S156" s="221"/>
      <c r="T156" s="221" t="s">
        <v>3258</v>
      </c>
      <c r="U156" s="221">
        <v>0</v>
      </c>
      <c r="V156" s="221" t="s">
        <v>3337</v>
      </c>
      <c r="W156" s="221" t="s">
        <v>3338</v>
      </c>
      <c r="X156" s="221"/>
      <c r="Y156" s="227"/>
      <c r="Z156" s="227" t="str">
        <f>P156</f>
        <v>Kebonagung RW 01</v>
      </c>
      <c r="AA156" s="276" t="e">
        <f>VLOOKUP(Logfile_S[[#This Row],[DO number]],DO_DB!G:I,3,0)</f>
        <v>#N/A</v>
      </c>
      <c r="AB156" s="331" t="e">
        <f>EXACT(Logfile_S[[#This Row],[date pick]],Logfile_S[[#This Row],[Date]])</f>
        <v>#N/A</v>
      </c>
      <c r="AC1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7" spans="1:29" ht="14.5">
      <c r="A157" s="220" t="str">
        <f>TEXT(ROW(A157)-ROW($A$4),"000")</f>
        <v>153</v>
      </c>
      <c r="B157" s="221"/>
      <c r="C157" s="221" t="s">
        <v>49</v>
      </c>
      <c r="D157" s="221" t="s">
        <v>4402</v>
      </c>
      <c r="E157" s="221" t="s">
        <v>3295</v>
      </c>
      <c r="F157" s="221" t="s">
        <v>3299</v>
      </c>
      <c r="G157" s="222">
        <v>45869</v>
      </c>
      <c r="H157" s="223">
        <v>0.47291666666666665</v>
      </c>
      <c r="I157" s="221" t="s">
        <v>4916</v>
      </c>
      <c r="J157" s="221" t="s">
        <v>3024</v>
      </c>
      <c r="K157" s="224" t="s">
        <v>3087</v>
      </c>
      <c r="L157" s="225" t="str">
        <f>VLOOKUP(Logfile_S[[#This Row],[Material Name]],Sheet2!B:C,2,0)</f>
        <v>GCI1001</v>
      </c>
      <c r="M157" s="225" t="str">
        <f>_xlfn.XLOOKUP(Logfile_S[[#This Row],[Material Name]],Sum_WH!E:E,Sum_WH!F:F,"",0)</f>
        <v>Pcs</v>
      </c>
      <c r="N157" s="221">
        <v>39</v>
      </c>
      <c r="O157" s="221">
        <v>0</v>
      </c>
      <c r="P157" s="221" t="s">
        <v>3413</v>
      </c>
      <c r="Q157" s="221"/>
      <c r="R157" s="221"/>
      <c r="S157" s="221"/>
      <c r="T157" s="221" t="s">
        <v>3258</v>
      </c>
      <c r="U157" s="221">
        <v>0</v>
      </c>
      <c r="V157" s="221" t="s">
        <v>3337</v>
      </c>
      <c r="W157" s="221" t="s">
        <v>3338</v>
      </c>
      <c r="X157" s="221"/>
      <c r="Y157" s="227"/>
      <c r="Z157" s="227" t="str">
        <f>P157</f>
        <v>Krebet</v>
      </c>
      <c r="AA157" s="276" t="e">
        <f>VLOOKUP(Logfile_S[[#This Row],[DO number]],DO_DB!G:I,3,0)</f>
        <v>#N/A</v>
      </c>
      <c r="AB157" s="331" t="e">
        <f>EXACT(Logfile_S[[#This Row],[date pick]],Logfile_S[[#This Row],[Date]])</f>
        <v>#N/A</v>
      </c>
      <c r="AC1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8" spans="1:29" s="202" customFormat="1" ht="14.5">
      <c r="A158" s="220" t="str">
        <f>TEXT(ROW(A158)-ROW($A$4),"000")</f>
        <v>154</v>
      </c>
      <c r="B158" s="221"/>
      <c r="C158" s="221" t="s">
        <v>49</v>
      </c>
      <c r="D158" s="221" t="s">
        <v>4402</v>
      </c>
      <c r="E158" s="221" t="s">
        <v>3295</v>
      </c>
      <c r="F158" s="221" t="s">
        <v>3299</v>
      </c>
      <c r="G158" s="222">
        <v>45869</v>
      </c>
      <c r="H158" s="223">
        <v>0.47291666666666665</v>
      </c>
      <c r="I158" s="221" t="s">
        <v>4916</v>
      </c>
      <c r="J158" s="221" t="s">
        <v>3024</v>
      </c>
      <c r="K158" s="224" t="s">
        <v>3088</v>
      </c>
      <c r="L158" s="225" t="str">
        <f>VLOOKUP(Logfile_S[[#This Row],[Material Name]],Sheet2!B:C,2,0)</f>
        <v>GCI1002</v>
      </c>
      <c r="M158" s="225" t="str">
        <f>_xlfn.XLOOKUP(Logfile_S[[#This Row],[Material Name]],Sum_WH!E:E,Sum_WH!F:F,"",0)</f>
        <v>Pcs</v>
      </c>
      <c r="N158" s="221">
        <v>1</v>
      </c>
      <c r="O158" s="221">
        <v>0</v>
      </c>
      <c r="P158" s="221" t="s">
        <v>3413</v>
      </c>
      <c r="Q158" s="221"/>
      <c r="R158" s="221"/>
      <c r="S158" s="221"/>
      <c r="T158" s="221" t="s">
        <v>3258</v>
      </c>
      <c r="U158" s="221">
        <v>0</v>
      </c>
      <c r="V158" s="221" t="s">
        <v>3337</v>
      </c>
      <c r="W158" s="221" t="s">
        <v>3338</v>
      </c>
      <c r="X158" s="221"/>
      <c r="Y158" s="227"/>
      <c r="Z158" s="227" t="str">
        <f>P158</f>
        <v>Krebet</v>
      </c>
      <c r="AA158" s="276" t="e">
        <f>VLOOKUP(Logfile_S[[#This Row],[DO number]],DO_DB!G:I,3,0)</f>
        <v>#N/A</v>
      </c>
      <c r="AB158" s="331" t="e">
        <f>EXACT(Logfile_S[[#This Row],[date pick]],Logfile_S[[#This Row],[Date]])</f>
        <v>#N/A</v>
      </c>
      <c r="AC1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9" spans="1:29" ht="14.5">
      <c r="A159" s="220" t="str">
        <f>TEXT(ROW(A159)-ROW($A$4),"000")</f>
        <v>155</v>
      </c>
      <c r="B159" s="221"/>
      <c r="C159" s="221" t="s">
        <v>49</v>
      </c>
      <c r="D159" s="221" t="s">
        <v>4402</v>
      </c>
      <c r="E159" s="221" t="s">
        <v>3295</v>
      </c>
      <c r="F159" s="221" t="s">
        <v>3299</v>
      </c>
      <c r="G159" s="222">
        <v>45869</v>
      </c>
      <c r="H159" s="223">
        <v>0.47291666666666665</v>
      </c>
      <c r="I159" s="221" t="s">
        <v>4916</v>
      </c>
      <c r="J159" s="221" t="s">
        <v>3024</v>
      </c>
      <c r="K159" s="224" t="s">
        <v>3236</v>
      </c>
      <c r="L159" s="225" t="str">
        <f>VLOOKUP(Logfile_S[[#This Row],[Material Name]],Sheet2!B:C,2,0)</f>
        <v>GCI1008</v>
      </c>
      <c r="M159" s="225" t="str">
        <f>_xlfn.XLOOKUP(Logfile_S[[#This Row],[Material Name]],Sum_WH!E:E,Sum_WH!F:F,"",0)</f>
        <v>Pcs</v>
      </c>
      <c r="N159" s="221">
        <v>200</v>
      </c>
      <c r="O159" s="221">
        <v>0</v>
      </c>
      <c r="P159" s="221" t="s">
        <v>3413</v>
      </c>
      <c r="Q159" s="221"/>
      <c r="R159" s="221"/>
      <c r="S159" s="221"/>
      <c r="T159" s="221" t="s">
        <v>3258</v>
      </c>
      <c r="U159" s="221">
        <v>0</v>
      </c>
      <c r="V159" s="221" t="s">
        <v>3337</v>
      </c>
      <c r="W159" s="221" t="s">
        <v>3338</v>
      </c>
      <c r="X159" s="221"/>
      <c r="Y159" s="227"/>
      <c r="Z159" s="227" t="str">
        <f>P159</f>
        <v>Krebet</v>
      </c>
      <c r="AA159" s="276" t="e">
        <f>VLOOKUP(Logfile_S[[#This Row],[DO number]],DO_DB!G:I,3,0)</f>
        <v>#N/A</v>
      </c>
      <c r="AB159" s="331" t="e">
        <f>EXACT(Logfile_S[[#This Row],[date pick]],Logfile_S[[#This Row],[Date]])</f>
        <v>#N/A</v>
      </c>
      <c r="AC1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0" spans="1:29" ht="14.5">
      <c r="A160" s="220" t="str">
        <f>TEXT(ROW(A160)-ROW($A$4),"000")</f>
        <v>156</v>
      </c>
      <c r="B160" s="221"/>
      <c r="C160" s="221" t="s">
        <v>49</v>
      </c>
      <c r="D160" s="221" t="s">
        <v>4402</v>
      </c>
      <c r="E160" s="221" t="s">
        <v>3295</v>
      </c>
      <c r="F160" s="221" t="s">
        <v>3299</v>
      </c>
      <c r="G160" s="222">
        <v>45869</v>
      </c>
      <c r="H160" s="223">
        <v>0.47291666666666665</v>
      </c>
      <c r="I160" s="221" t="s">
        <v>4916</v>
      </c>
      <c r="J160" s="221" t="s">
        <v>3024</v>
      </c>
      <c r="K160" s="224" t="s">
        <v>3089</v>
      </c>
      <c r="L160" s="225" t="str">
        <f>VLOOKUP(Logfile_S[[#This Row],[Material Name]],Sheet2!B:C,2,0)</f>
        <v>GCI1003</v>
      </c>
      <c r="M160" s="225" t="str">
        <f>_xlfn.XLOOKUP(Logfile_S[[#This Row],[Material Name]],Sum_WH!E:E,Sum_WH!F:F,"",0)</f>
        <v>Pcs</v>
      </c>
      <c r="N160" s="221">
        <v>245</v>
      </c>
      <c r="O160" s="221">
        <v>0</v>
      </c>
      <c r="P160" s="221" t="s">
        <v>3413</v>
      </c>
      <c r="Q160" s="221"/>
      <c r="R160" s="221"/>
      <c r="S160" s="221"/>
      <c r="T160" s="221" t="s">
        <v>3258</v>
      </c>
      <c r="U160" s="221">
        <v>0</v>
      </c>
      <c r="V160" s="221" t="s">
        <v>3337</v>
      </c>
      <c r="W160" s="221" t="s">
        <v>3338</v>
      </c>
      <c r="X160" s="221"/>
      <c r="Y160" s="227"/>
      <c r="Z160" s="227" t="str">
        <f>P160</f>
        <v>Krebet</v>
      </c>
      <c r="AA160" s="276" t="e">
        <f>VLOOKUP(Logfile_S[[#This Row],[DO number]],DO_DB!G:I,3,0)</f>
        <v>#N/A</v>
      </c>
      <c r="AB160" s="331" t="e">
        <f>EXACT(Logfile_S[[#This Row],[date pick]],Logfile_S[[#This Row],[Date]])</f>
        <v>#N/A</v>
      </c>
      <c r="AC1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1" spans="1:29" ht="14.5">
      <c r="A161" s="220" t="str">
        <f>TEXT(ROW(A161)-ROW($A$4),"000")</f>
        <v>157</v>
      </c>
      <c r="B161" s="221"/>
      <c r="C161" s="221" t="s">
        <v>49</v>
      </c>
      <c r="D161" s="221" t="s">
        <v>4402</v>
      </c>
      <c r="E161" s="221" t="s">
        <v>3295</v>
      </c>
      <c r="F161" s="221" t="s">
        <v>3299</v>
      </c>
      <c r="G161" s="222">
        <v>45869</v>
      </c>
      <c r="H161" s="223">
        <v>0.47291666666666665</v>
      </c>
      <c r="I161" s="221" t="s">
        <v>4916</v>
      </c>
      <c r="J161" s="221" t="s">
        <v>3024</v>
      </c>
      <c r="K161" s="224" t="s">
        <v>3090</v>
      </c>
      <c r="L161" s="225" t="str">
        <f>VLOOKUP(Logfile_S[[#This Row],[Material Name]],Sheet2!B:C,2,0)</f>
        <v>GCI1004</v>
      </c>
      <c r="M161" s="225" t="str">
        <f>_xlfn.XLOOKUP(Logfile_S[[#This Row],[Material Name]],Sum_WH!E:E,Sum_WH!F:F,"",0)</f>
        <v>Pcs</v>
      </c>
      <c r="N161" s="221">
        <v>180</v>
      </c>
      <c r="O161" s="221">
        <v>0</v>
      </c>
      <c r="P161" s="221" t="s">
        <v>3413</v>
      </c>
      <c r="Q161" s="221"/>
      <c r="R161" s="221"/>
      <c r="S161" s="221"/>
      <c r="T161" s="221" t="s">
        <v>3258</v>
      </c>
      <c r="U161" s="221">
        <v>0</v>
      </c>
      <c r="V161" s="221" t="s">
        <v>3337</v>
      </c>
      <c r="W161" s="221" t="s">
        <v>3338</v>
      </c>
      <c r="X161" s="221"/>
      <c r="Y161" s="227"/>
      <c r="Z161" s="227" t="str">
        <f>P161</f>
        <v>Krebet</v>
      </c>
      <c r="AA161" s="276" t="e">
        <f>VLOOKUP(Logfile_S[[#This Row],[DO number]],DO_DB!G:I,3,0)</f>
        <v>#N/A</v>
      </c>
      <c r="AB161" s="331" t="e">
        <f>EXACT(Logfile_S[[#This Row],[date pick]],Logfile_S[[#This Row],[Date]])</f>
        <v>#N/A</v>
      </c>
      <c r="AC1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2" spans="1:29" ht="14.5">
      <c r="A162" s="220" t="str">
        <f>TEXT(ROW(A162)-ROW($A$4),"000")</f>
        <v>158</v>
      </c>
      <c r="B162" s="221"/>
      <c r="C162" s="221" t="s">
        <v>49</v>
      </c>
      <c r="D162" s="221" t="s">
        <v>4375</v>
      </c>
      <c r="E162" s="221" t="s">
        <v>3295</v>
      </c>
      <c r="F162" s="221" t="s">
        <v>3299</v>
      </c>
      <c r="G162" s="222">
        <v>45827</v>
      </c>
      <c r="H162" s="223">
        <v>0.53541666666666665</v>
      </c>
      <c r="I162" s="221" t="s">
        <v>4916</v>
      </c>
      <c r="J162" s="221" t="s">
        <v>3024</v>
      </c>
      <c r="K162" s="224" t="s">
        <v>5137</v>
      </c>
      <c r="L162" s="225" t="str">
        <f>VLOOKUP(Logfile_S[[#This Row],[Material Name]],Sheet2!B:C,2,0)</f>
        <v>GCI1009</v>
      </c>
      <c r="M162" s="225" t="str">
        <f>_xlfn.XLOOKUP(Logfile_S[[#This Row],[Material Name]],Sum_WH!E:E,Sum_WH!F:F,"",0)</f>
        <v>Pcs</v>
      </c>
      <c r="N162" s="221">
        <v>42</v>
      </c>
      <c r="O162" s="221">
        <v>0</v>
      </c>
      <c r="P162" s="221" t="s">
        <v>3382</v>
      </c>
      <c r="Q162" s="221"/>
      <c r="R162" s="221"/>
      <c r="S162" s="221"/>
      <c r="T162" s="221" t="s">
        <v>3231</v>
      </c>
      <c r="U162" s="221">
        <v>0</v>
      </c>
      <c r="V162" s="221" t="s">
        <v>3375</v>
      </c>
      <c r="W162" s="221" t="s">
        <v>3249</v>
      </c>
      <c r="X162" s="221"/>
      <c r="Y162" s="227"/>
      <c r="Z162" s="227" t="str">
        <f>P162</f>
        <v>Pncokusumo</v>
      </c>
      <c r="AA162" s="276" t="e">
        <f>VLOOKUP(Logfile_S[[#This Row],[DO number]],DO_DB!G:I,3,0)</f>
        <v>#N/A</v>
      </c>
      <c r="AB162" s="331" t="e">
        <f>EXACT(Logfile_S[[#This Row],[date pick]],Logfile_S[[#This Row],[Date]])</f>
        <v>#N/A</v>
      </c>
      <c r="AC1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3" spans="1:29" ht="14.5">
      <c r="A163" s="220" t="str">
        <f>TEXT(ROW(A163)-ROW($A$4),"000")</f>
        <v>159</v>
      </c>
      <c r="B163" s="221"/>
      <c r="C163" s="221" t="s">
        <v>49</v>
      </c>
      <c r="D163" s="221" t="s">
        <v>4379</v>
      </c>
      <c r="E163" s="221" t="s">
        <v>3295</v>
      </c>
      <c r="F163" s="221" t="s">
        <v>3299</v>
      </c>
      <c r="G163" s="222">
        <v>45831</v>
      </c>
      <c r="H163" s="223">
        <v>0.64583333333333337</v>
      </c>
      <c r="I163" s="221" t="s">
        <v>4916</v>
      </c>
      <c r="J163" s="221" t="s">
        <v>3024</v>
      </c>
      <c r="K163" s="224" t="s">
        <v>3097</v>
      </c>
      <c r="L163" s="225" t="str">
        <f>VLOOKUP(Logfile_S[[#This Row],[Material Name]],Sheet2!B:C,2,0)</f>
        <v>GCI1011</v>
      </c>
      <c r="M163" s="225" t="str">
        <f>_xlfn.XLOOKUP(Logfile_S[[#This Row],[Material Name]],Sum_WH!E:E,Sum_WH!F:F,"",0)</f>
        <v>Pcs</v>
      </c>
      <c r="N163" s="221">
        <v>2</v>
      </c>
      <c r="O163" s="221">
        <v>0</v>
      </c>
      <c r="P163" s="221" t="s">
        <v>3382</v>
      </c>
      <c r="Q163" s="221"/>
      <c r="R163" s="221"/>
      <c r="S163" s="221"/>
      <c r="T163" s="221" t="s">
        <v>3231</v>
      </c>
      <c r="U163" s="221">
        <v>0</v>
      </c>
      <c r="V163" s="221" t="s">
        <v>3375</v>
      </c>
      <c r="W163" s="221" t="s">
        <v>3249</v>
      </c>
      <c r="X163" s="221"/>
      <c r="Y163" s="227"/>
      <c r="Z163" s="227" t="str">
        <f>P163</f>
        <v>Pncokusumo</v>
      </c>
      <c r="AA163" s="276" t="e">
        <f>VLOOKUP(Logfile_S[[#This Row],[DO number]],DO_DB!G:I,3,0)</f>
        <v>#N/A</v>
      </c>
      <c r="AB163" s="331" t="e">
        <f>EXACT(Logfile_S[[#This Row],[date pick]],Logfile_S[[#This Row],[Date]])</f>
        <v>#N/A</v>
      </c>
      <c r="AC1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4" spans="1:29" ht="14.5">
      <c r="A164" s="220" t="str">
        <f>TEXT(ROW(A164)-ROW($A$4),"000")</f>
        <v>160</v>
      </c>
      <c r="B164" s="221"/>
      <c r="C164" s="221" t="s">
        <v>49</v>
      </c>
      <c r="D164" s="221" t="s">
        <v>4379</v>
      </c>
      <c r="E164" s="221" t="s">
        <v>3295</v>
      </c>
      <c r="F164" s="221" t="s">
        <v>3299</v>
      </c>
      <c r="G164" s="222">
        <v>45831</v>
      </c>
      <c r="H164" s="223">
        <v>0.64583333333333337</v>
      </c>
      <c r="I164" s="221" t="s">
        <v>4916</v>
      </c>
      <c r="J164" s="221" t="s">
        <v>3024</v>
      </c>
      <c r="K164" s="224" t="s">
        <v>3091</v>
      </c>
      <c r="L164" s="225" t="str">
        <f>VLOOKUP(Logfile_S[[#This Row],[Material Name]],Sheet2!B:C,2,0)</f>
        <v>GCI1005</v>
      </c>
      <c r="M164" s="225" t="str">
        <f>_xlfn.XLOOKUP(Logfile_S[[#This Row],[Material Name]],Sum_WH!E:E,Sum_WH!F:F,"",0)</f>
        <v>Pcs</v>
      </c>
      <c r="N164" s="221">
        <v>381</v>
      </c>
      <c r="O164" s="221">
        <v>0</v>
      </c>
      <c r="P164" s="221" t="s">
        <v>3382</v>
      </c>
      <c r="Q164" s="221"/>
      <c r="R164" s="221"/>
      <c r="S164" s="221"/>
      <c r="T164" s="221" t="s">
        <v>3231</v>
      </c>
      <c r="U164" s="221">
        <v>0</v>
      </c>
      <c r="V164" s="221" t="s">
        <v>3375</v>
      </c>
      <c r="W164" s="221" t="s">
        <v>3249</v>
      </c>
      <c r="X164" s="221"/>
      <c r="Y164" s="227"/>
      <c r="Z164" s="227" t="str">
        <f>P164</f>
        <v>Pncokusumo</v>
      </c>
      <c r="AA164" s="276" t="e">
        <f>VLOOKUP(Logfile_S[[#This Row],[DO number]],DO_DB!G:I,3,0)</f>
        <v>#N/A</v>
      </c>
      <c r="AB164" s="331" t="e">
        <f>EXACT(Logfile_S[[#This Row],[date pick]],Logfile_S[[#This Row],[Date]])</f>
        <v>#N/A</v>
      </c>
      <c r="AC1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5" spans="1:29" ht="14.5">
      <c r="A165" s="220" t="str">
        <f>TEXT(ROW(A165)-ROW($A$4),"000")</f>
        <v>161</v>
      </c>
      <c r="B165" s="221"/>
      <c r="C165" s="221" t="s">
        <v>49</v>
      </c>
      <c r="D165" s="221" t="s">
        <v>4379</v>
      </c>
      <c r="E165" s="221" t="s">
        <v>3295</v>
      </c>
      <c r="F165" s="221" t="s">
        <v>3299</v>
      </c>
      <c r="G165" s="222">
        <v>45831</v>
      </c>
      <c r="H165" s="223">
        <v>0.64583333333333337</v>
      </c>
      <c r="I165" s="221" t="s">
        <v>4916</v>
      </c>
      <c r="J165" s="221" t="s">
        <v>3024</v>
      </c>
      <c r="K165" s="224" t="s">
        <v>3087</v>
      </c>
      <c r="L165" s="225" t="str">
        <f>VLOOKUP(Logfile_S[[#This Row],[Material Name]],Sheet2!B:C,2,0)</f>
        <v>GCI1001</v>
      </c>
      <c r="M165" s="225" t="str">
        <f>_xlfn.XLOOKUP(Logfile_S[[#This Row],[Material Name]],Sum_WH!E:E,Sum_WH!F:F,"",0)</f>
        <v>Pcs</v>
      </c>
      <c r="N165" s="221">
        <v>75</v>
      </c>
      <c r="O165" s="221">
        <v>0</v>
      </c>
      <c r="P165" s="221" t="s">
        <v>3382</v>
      </c>
      <c r="Q165" s="221"/>
      <c r="R165" s="221"/>
      <c r="S165" s="221"/>
      <c r="T165" s="221" t="s">
        <v>3231</v>
      </c>
      <c r="U165" s="221">
        <v>0</v>
      </c>
      <c r="V165" s="221" t="s">
        <v>3375</v>
      </c>
      <c r="W165" s="221" t="s">
        <v>3249</v>
      </c>
      <c r="X165" s="221"/>
      <c r="Y165" s="227"/>
      <c r="Z165" s="227" t="str">
        <f>P165</f>
        <v>Pncokusumo</v>
      </c>
      <c r="AA165" s="276" t="e">
        <f>VLOOKUP(Logfile_S[[#This Row],[DO number]],DO_DB!G:I,3,0)</f>
        <v>#N/A</v>
      </c>
      <c r="AB165" s="331" t="e">
        <f>EXACT(Logfile_S[[#This Row],[date pick]],Logfile_S[[#This Row],[Date]])</f>
        <v>#N/A</v>
      </c>
      <c r="AC1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6" spans="1:29" ht="14.5">
      <c r="A166" s="220" t="str">
        <f>TEXT(ROW(A166)-ROW($A$4),"000")</f>
        <v>162</v>
      </c>
      <c r="B166" s="221"/>
      <c r="C166" s="221" t="s">
        <v>49</v>
      </c>
      <c r="D166" s="221" t="s">
        <v>4379</v>
      </c>
      <c r="E166" s="221" t="s">
        <v>3295</v>
      </c>
      <c r="F166" s="221" t="s">
        <v>3299</v>
      </c>
      <c r="G166" s="222">
        <v>45831</v>
      </c>
      <c r="H166" s="223">
        <v>0.64583333333333337</v>
      </c>
      <c r="I166" s="221" t="s">
        <v>4916</v>
      </c>
      <c r="J166" s="221" t="s">
        <v>3024</v>
      </c>
      <c r="K166" s="224" t="s">
        <v>3094</v>
      </c>
      <c r="L166" s="225" t="str">
        <f>VLOOKUP(Logfile_S[[#This Row],[Material Name]],Sheet2!B:C,2,0)</f>
        <v>GCI1008</v>
      </c>
      <c r="M166" s="225" t="str">
        <f>_xlfn.XLOOKUP(Logfile_S[[#This Row],[Material Name]],Sum_WH!E:E,Sum_WH!F:F,"",0)</f>
        <v>Pcs</v>
      </c>
      <c r="N166" s="221">
        <v>262</v>
      </c>
      <c r="O166" s="221">
        <v>0</v>
      </c>
      <c r="P166" s="221" t="s">
        <v>3382</v>
      </c>
      <c r="Q166" s="221"/>
      <c r="R166" s="221"/>
      <c r="S166" s="221"/>
      <c r="T166" s="221" t="s">
        <v>3231</v>
      </c>
      <c r="U166" s="221">
        <v>0</v>
      </c>
      <c r="V166" s="221" t="s">
        <v>3375</v>
      </c>
      <c r="W166" s="221" t="s">
        <v>3249</v>
      </c>
      <c r="X166" s="221"/>
      <c r="Y166" s="227"/>
      <c r="Z166" s="227" t="str">
        <f>P166</f>
        <v>Pncokusumo</v>
      </c>
      <c r="AA166" s="276" t="e">
        <f>VLOOKUP(Logfile_S[[#This Row],[DO number]],DO_DB!G:I,3,0)</f>
        <v>#N/A</v>
      </c>
      <c r="AB166" s="331" t="e">
        <f>EXACT(Logfile_S[[#This Row],[date pick]],Logfile_S[[#This Row],[Date]])</f>
        <v>#N/A</v>
      </c>
      <c r="AC1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7" spans="1:29" ht="14.5">
      <c r="A167" s="220" t="str">
        <f>TEXT(ROW(A167)-ROW($A$4),"000")</f>
        <v>163</v>
      </c>
      <c r="B167" s="221"/>
      <c r="C167" s="221" t="s">
        <v>49</v>
      </c>
      <c r="D167" s="221" t="s">
        <v>4379</v>
      </c>
      <c r="E167" s="221" t="s">
        <v>3295</v>
      </c>
      <c r="F167" s="221" t="s">
        <v>3299</v>
      </c>
      <c r="G167" s="222">
        <v>45831</v>
      </c>
      <c r="H167" s="223">
        <v>0.64583333333333337</v>
      </c>
      <c r="I167" s="221" t="s">
        <v>4916</v>
      </c>
      <c r="J167" s="221" t="s">
        <v>3024</v>
      </c>
      <c r="K167" s="224" t="s">
        <v>3089</v>
      </c>
      <c r="L167" s="225" t="str">
        <f>VLOOKUP(Logfile_S[[#This Row],[Material Name]],Sheet2!B:C,2,0)</f>
        <v>GCI1003</v>
      </c>
      <c r="M167" s="225" t="str">
        <f>_xlfn.XLOOKUP(Logfile_S[[#This Row],[Material Name]],Sum_WH!E:E,Sum_WH!F:F,"",0)</f>
        <v>Pcs</v>
      </c>
      <c r="N167" s="221">
        <v>388</v>
      </c>
      <c r="O167" s="221">
        <v>0</v>
      </c>
      <c r="P167" s="221" t="s">
        <v>3382</v>
      </c>
      <c r="Q167" s="221"/>
      <c r="R167" s="221"/>
      <c r="S167" s="221"/>
      <c r="T167" s="221" t="s">
        <v>3231</v>
      </c>
      <c r="U167" s="221">
        <v>0</v>
      </c>
      <c r="V167" s="221" t="s">
        <v>3375</v>
      </c>
      <c r="W167" s="221" t="s">
        <v>3249</v>
      </c>
      <c r="X167" s="221"/>
      <c r="Y167" s="227"/>
      <c r="Z167" s="227" t="str">
        <f>P167</f>
        <v>Pncokusumo</v>
      </c>
      <c r="AA167" s="276" t="e">
        <f>VLOOKUP(Logfile_S[[#This Row],[DO number]],DO_DB!G:I,3,0)</f>
        <v>#N/A</v>
      </c>
      <c r="AB167" s="331" t="e">
        <f>EXACT(Logfile_S[[#This Row],[date pick]],Logfile_S[[#This Row],[Date]])</f>
        <v>#N/A</v>
      </c>
      <c r="AC1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8" spans="1:29" ht="14.5">
      <c r="A168" s="220" t="str">
        <f>TEXT(ROW(A168)-ROW($A$4),"000")</f>
        <v>164</v>
      </c>
      <c r="B168" s="221"/>
      <c r="C168" s="221" t="s">
        <v>49</v>
      </c>
      <c r="D168" s="221" t="s">
        <v>4379</v>
      </c>
      <c r="E168" s="221" t="s">
        <v>3295</v>
      </c>
      <c r="F168" s="221" t="s">
        <v>3299</v>
      </c>
      <c r="G168" s="222">
        <v>45831</v>
      </c>
      <c r="H168" s="223">
        <v>0.64583333333333337</v>
      </c>
      <c r="I168" s="221" t="s">
        <v>4916</v>
      </c>
      <c r="J168" s="221" t="s">
        <v>3024</v>
      </c>
      <c r="K168" s="224" t="s">
        <v>3090</v>
      </c>
      <c r="L168" s="225" t="str">
        <f>VLOOKUP(Logfile_S[[#This Row],[Material Name]],Sheet2!B:C,2,0)</f>
        <v>GCI1004</v>
      </c>
      <c r="M168" s="225" t="str">
        <f>_xlfn.XLOOKUP(Logfile_S[[#This Row],[Material Name]],Sum_WH!E:E,Sum_WH!F:F,"",0)</f>
        <v>Pcs</v>
      </c>
      <c r="N168" s="221">
        <v>109</v>
      </c>
      <c r="O168" s="221">
        <v>0</v>
      </c>
      <c r="P168" s="221" t="s">
        <v>3382</v>
      </c>
      <c r="Q168" s="221"/>
      <c r="R168" s="221"/>
      <c r="S168" s="221"/>
      <c r="T168" s="221" t="s">
        <v>3231</v>
      </c>
      <c r="U168" s="221">
        <v>0</v>
      </c>
      <c r="V168" s="221" t="s">
        <v>3375</v>
      </c>
      <c r="W168" s="221" t="s">
        <v>3249</v>
      </c>
      <c r="X168" s="221"/>
      <c r="Y168" s="227"/>
      <c r="Z168" s="227" t="str">
        <f>P168</f>
        <v>Pncokusumo</v>
      </c>
      <c r="AA168" s="276" t="e">
        <f>VLOOKUP(Logfile_S[[#This Row],[DO number]],DO_DB!G:I,3,0)</f>
        <v>#N/A</v>
      </c>
      <c r="AB168" s="331" t="e">
        <f>EXACT(Logfile_S[[#This Row],[date pick]],Logfile_S[[#This Row],[Date]])</f>
        <v>#N/A</v>
      </c>
      <c r="AC1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9" spans="1:29" ht="14.5">
      <c r="A169" s="220" t="str">
        <f>TEXT(ROW(A169)-ROW($A$4),"000")</f>
        <v>165</v>
      </c>
      <c r="B169" s="221"/>
      <c r="C169" s="221" t="s">
        <v>49</v>
      </c>
      <c r="D169" s="221" t="s">
        <v>4382</v>
      </c>
      <c r="E169" s="221" t="s">
        <v>3295</v>
      </c>
      <c r="F169" s="221" t="s">
        <v>3299</v>
      </c>
      <c r="G169" s="222">
        <v>45832</v>
      </c>
      <c r="H169" s="223">
        <v>0.64583333333333337</v>
      </c>
      <c r="I169" s="221" t="s">
        <v>4916</v>
      </c>
      <c r="J169" s="221" t="s">
        <v>3024</v>
      </c>
      <c r="K169" s="224" t="s">
        <v>5137</v>
      </c>
      <c r="L169" s="225" t="str">
        <f>VLOOKUP(Logfile_S[[#This Row],[Material Name]],Sheet2!B:C,2,0)</f>
        <v>GCI1009</v>
      </c>
      <c r="M169" s="225" t="str">
        <f>_xlfn.XLOOKUP(Logfile_S[[#This Row],[Material Name]],Sum_WH!E:E,Sum_WH!F:F,"",0)</f>
        <v>Pcs</v>
      </c>
      <c r="N169" s="221">
        <v>250</v>
      </c>
      <c r="O169" s="221">
        <v>0</v>
      </c>
      <c r="P169" s="221" t="s">
        <v>3382</v>
      </c>
      <c r="Q169" s="221"/>
      <c r="R169" s="221"/>
      <c r="S169" s="221"/>
      <c r="T169" s="221" t="s">
        <v>3231</v>
      </c>
      <c r="U169" s="221">
        <v>0</v>
      </c>
      <c r="V169" s="221" t="s">
        <v>3375</v>
      </c>
      <c r="W169" s="221" t="s">
        <v>3249</v>
      </c>
      <c r="X169" s="221"/>
      <c r="Y169" s="227"/>
      <c r="Z169" s="227" t="str">
        <f>P169</f>
        <v>Pncokusumo</v>
      </c>
      <c r="AA169" s="276" t="e">
        <f>VLOOKUP(Logfile_S[[#This Row],[DO number]],DO_DB!G:I,3,0)</f>
        <v>#N/A</v>
      </c>
      <c r="AB169" s="331" t="e">
        <f>EXACT(Logfile_S[[#This Row],[date pick]],Logfile_S[[#This Row],[Date]])</f>
        <v>#N/A</v>
      </c>
      <c r="AC1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0" spans="1:29" ht="14.5">
      <c r="A170" s="220" t="str">
        <f>TEXT(ROW(A170)-ROW($A$4),"000")</f>
        <v>166</v>
      </c>
      <c r="B170" s="221"/>
      <c r="C170" s="221" t="s">
        <v>49</v>
      </c>
      <c r="D170" s="221" t="s">
        <v>4382</v>
      </c>
      <c r="E170" s="221" t="s">
        <v>3295</v>
      </c>
      <c r="F170" s="221" t="s">
        <v>3299</v>
      </c>
      <c r="G170" s="222">
        <v>45832</v>
      </c>
      <c r="H170" s="223">
        <v>0.64583333333333337</v>
      </c>
      <c r="I170" s="221" t="s">
        <v>4916</v>
      </c>
      <c r="J170" s="221" t="s">
        <v>3024</v>
      </c>
      <c r="K170" s="224" t="s">
        <v>3088</v>
      </c>
      <c r="L170" s="225" t="str">
        <f>VLOOKUP(Logfile_S[[#This Row],[Material Name]],Sheet2!B:C,2,0)</f>
        <v>GCI1002</v>
      </c>
      <c r="M170" s="225" t="str">
        <f>_xlfn.XLOOKUP(Logfile_S[[#This Row],[Material Name]],Sum_WH!E:E,Sum_WH!F:F,"",0)</f>
        <v>Pcs</v>
      </c>
      <c r="N170" s="221">
        <v>3</v>
      </c>
      <c r="O170" s="221">
        <v>0</v>
      </c>
      <c r="P170" s="221" t="s">
        <v>3382</v>
      </c>
      <c r="Q170" s="221"/>
      <c r="R170" s="221"/>
      <c r="S170" s="221"/>
      <c r="T170" s="221" t="s">
        <v>3231</v>
      </c>
      <c r="U170" s="221">
        <v>0</v>
      </c>
      <c r="V170" s="221" t="s">
        <v>3375</v>
      </c>
      <c r="W170" s="221" t="s">
        <v>3249</v>
      </c>
      <c r="X170" s="221"/>
      <c r="Y170" s="227"/>
      <c r="Z170" s="227" t="str">
        <f>P170</f>
        <v>Pncokusumo</v>
      </c>
      <c r="AA170" s="276" t="e">
        <f>VLOOKUP(Logfile_S[[#This Row],[DO number]],DO_DB!G:I,3,0)</f>
        <v>#N/A</v>
      </c>
      <c r="AB170" s="331" t="e">
        <f>EXACT(Logfile_S[[#This Row],[date pick]],Logfile_S[[#This Row],[Date]])</f>
        <v>#N/A</v>
      </c>
      <c r="AC1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1" spans="1:29" ht="14.5">
      <c r="A171" s="220" t="str">
        <f>TEXT(ROW(A171)-ROW($A$4),"000")</f>
        <v>167</v>
      </c>
      <c r="B171" s="221"/>
      <c r="C171" s="221" t="s">
        <v>49</v>
      </c>
      <c r="D171" s="221" t="s">
        <v>4389</v>
      </c>
      <c r="E171" s="221" t="s">
        <v>3295</v>
      </c>
      <c r="F171" s="221" t="s">
        <v>3299</v>
      </c>
      <c r="G171" s="222">
        <v>45835</v>
      </c>
      <c r="H171" s="223">
        <v>0.59583333333333333</v>
      </c>
      <c r="I171" s="221" t="s">
        <v>4916</v>
      </c>
      <c r="J171" s="221" t="s">
        <v>3024</v>
      </c>
      <c r="K171" s="224" t="s">
        <v>3088</v>
      </c>
      <c r="L171" s="225" t="str">
        <f>VLOOKUP(Logfile_S[[#This Row],[Material Name]],Sheet2!B:C,2,0)</f>
        <v>GCI1002</v>
      </c>
      <c r="M171" s="225" t="str">
        <f>_xlfn.XLOOKUP(Logfile_S[[#This Row],[Material Name]],Sum_WH!E:E,Sum_WH!F:F,"",0)</f>
        <v>Pcs</v>
      </c>
      <c r="N171" s="221">
        <v>1</v>
      </c>
      <c r="O171" s="221">
        <v>0</v>
      </c>
      <c r="P171" s="221" t="s">
        <v>3382</v>
      </c>
      <c r="Q171" s="221"/>
      <c r="R171" s="221"/>
      <c r="S171" s="221"/>
      <c r="T171" s="221" t="s">
        <v>3231</v>
      </c>
      <c r="U171" s="221">
        <v>0</v>
      </c>
      <c r="V171" s="221" t="s">
        <v>3375</v>
      </c>
      <c r="W171" s="221" t="s">
        <v>3249</v>
      </c>
      <c r="X171" s="221"/>
      <c r="Y171" s="227"/>
      <c r="Z171" s="227" t="str">
        <f>P171</f>
        <v>Pncokusumo</v>
      </c>
      <c r="AA171" s="276" t="e">
        <f>VLOOKUP(Logfile_S[[#This Row],[DO number]],DO_DB!G:I,3,0)</f>
        <v>#N/A</v>
      </c>
      <c r="AB171" s="331" t="e">
        <f>EXACT(Logfile_S[[#This Row],[date pick]],Logfile_S[[#This Row],[Date]])</f>
        <v>#N/A</v>
      </c>
      <c r="AC1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2" spans="1:29" ht="14.5">
      <c r="A172" s="220" t="str">
        <f>TEXT(ROW(A172)-ROW($A$4),"000")</f>
        <v>168</v>
      </c>
      <c r="B172" s="221"/>
      <c r="C172" s="221" t="s">
        <v>48</v>
      </c>
      <c r="D172" s="221" t="s">
        <v>3990</v>
      </c>
      <c r="E172" s="221" t="s">
        <v>3295</v>
      </c>
      <c r="F172" s="221" t="s">
        <v>3299</v>
      </c>
      <c r="G172" s="222">
        <v>45376</v>
      </c>
      <c r="H172" s="223">
        <v>15.291666666666666</v>
      </c>
      <c r="I172" s="221" t="s">
        <v>38</v>
      </c>
      <c r="J172" s="221" t="s">
        <v>3024</v>
      </c>
      <c r="K172" s="224" t="s">
        <v>3087</v>
      </c>
      <c r="L172" s="225" t="str">
        <f>VLOOKUP(Logfile_S[[#This Row],[Material Name]],Sheet2!B:C,2,0)</f>
        <v>GCI1001</v>
      </c>
      <c r="M172" s="225" t="str">
        <f>_xlfn.XLOOKUP(Logfile_S[[#This Row],[Material Name]],Sum_WH!E:E,Sum_WH!F:F,"",0)</f>
        <v>Pcs</v>
      </c>
      <c r="N172" s="221">
        <v>53</v>
      </c>
      <c r="O172" s="221">
        <v>0</v>
      </c>
      <c r="P172" s="221" t="s">
        <v>3393</v>
      </c>
      <c r="Q172" s="221">
        <v>0</v>
      </c>
      <c r="R172" s="221">
        <v>0</v>
      </c>
      <c r="S172" s="221"/>
      <c r="T172" s="221"/>
      <c r="U172" s="221"/>
      <c r="V172" s="221"/>
      <c r="W172" s="221"/>
      <c r="X172" s="221"/>
      <c r="Y172" s="227"/>
      <c r="Z172" s="227" t="str">
        <f>P172</f>
        <v>TEGAL</v>
      </c>
      <c r="AA172" s="276" t="e">
        <f>VLOOKUP(Logfile_S[[#This Row],[DO number]],DO_DB!G:I,3,0)</f>
        <v>#N/A</v>
      </c>
      <c r="AB172" s="331" t="e">
        <f>EXACT(Logfile_S[[#This Row],[date pick]],Logfile_S[[#This Row],[Date]])</f>
        <v>#N/A</v>
      </c>
      <c r="AC1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3" spans="1:29" ht="14.5">
      <c r="A173" s="220" t="str">
        <f>TEXT(ROW(A173)-ROW($A$4),"000")</f>
        <v>169</v>
      </c>
      <c r="B173" s="221"/>
      <c r="C173" s="221" t="s">
        <v>48</v>
      </c>
      <c r="D173" s="221" t="s">
        <v>3990</v>
      </c>
      <c r="E173" s="221" t="s">
        <v>3295</v>
      </c>
      <c r="F173" s="221" t="s">
        <v>3299</v>
      </c>
      <c r="G173" s="222">
        <v>45376</v>
      </c>
      <c r="H173" s="223">
        <v>15.291666666666666</v>
      </c>
      <c r="I173" s="221" t="s">
        <v>38</v>
      </c>
      <c r="J173" s="221" t="s">
        <v>3024</v>
      </c>
      <c r="K173" s="224" t="s">
        <v>5137</v>
      </c>
      <c r="L173" s="225" t="str">
        <f>VLOOKUP(Logfile_S[[#This Row],[Material Name]],Sheet2!B:C,2,0)</f>
        <v>GCI1009</v>
      </c>
      <c r="M173" s="225" t="str">
        <f>_xlfn.XLOOKUP(Logfile_S[[#This Row],[Material Name]],Sum_WH!E:E,Sum_WH!F:F,"",0)</f>
        <v>Pcs</v>
      </c>
      <c r="N173" s="221">
        <v>412</v>
      </c>
      <c r="O173" s="221">
        <v>0</v>
      </c>
      <c r="P173" s="221" t="s">
        <v>3393</v>
      </c>
      <c r="Q173" s="221">
        <v>0</v>
      </c>
      <c r="R173" s="221">
        <v>0</v>
      </c>
      <c r="S173" s="221"/>
      <c r="T173" s="221"/>
      <c r="U173" s="221"/>
      <c r="V173" s="221"/>
      <c r="W173" s="221"/>
      <c r="X173" s="221"/>
      <c r="Y173" s="227"/>
      <c r="Z173" s="227" t="str">
        <f>P173</f>
        <v>TEGAL</v>
      </c>
      <c r="AA173" s="276" t="e">
        <f>VLOOKUP(Logfile_S[[#This Row],[DO number]],DO_DB!G:I,3,0)</f>
        <v>#N/A</v>
      </c>
      <c r="AB173" s="331" t="e">
        <f>EXACT(Logfile_S[[#This Row],[date pick]],Logfile_S[[#This Row],[Date]])</f>
        <v>#N/A</v>
      </c>
      <c r="AC1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4" spans="1:29" ht="14.5">
      <c r="A174" s="220" t="str">
        <f>TEXT(ROW(A174)-ROW($A$4),"000")</f>
        <v>170</v>
      </c>
      <c r="B174" s="221"/>
      <c r="C174" s="221" t="s">
        <v>48</v>
      </c>
      <c r="D174" s="221" t="s">
        <v>3990</v>
      </c>
      <c r="E174" s="221" t="s">
        <v>3295</v>
      </c>
      <c r="F174" s="221" t="s">
        <v>3299</v>
      </c>
      <c r="G174" s="222">
        <v>45376</v>
      </c>
      <c r="H174" s="223">
        <v>15.291666666666666</v>
      </c>
      <c r="I174" s="221" t="s">
        <v>38</v>
      </c>
      <c r="J174" s="221" t="s">
        <v>3024</v>
      </c>
      <c r="K174" s="224" t="s">
        <v>3088</v>
      </c>
      <c r="L174" s="225" t="str">
        <f>VLOOKUP(Logfile_S[[#This Row],[Material Name]],Sheet2!B:C,2,0)</f>
        <v>GCI1002</v>
      </c>
      <c r="M174" s="225" t="str">
        <f>_xlfn.XLOOKUP(Logfile_S[[#This Row],[Material Name]],Sum_WH!E:E,Sum_WH!F:F,"",0)</f>
        <v>Pcs</v>
      </c>
      <c r="N174" s="221">
        <v>5</v>
      </c>
      <c r="O174" s="221">
        <v>0</v>
      </c>
      <c r="P174" s="221" t="s">
        <v>3393</v>
      </c>
      <c r="Q174" s="221">
        <v>0</v>
      </c>
      <c r="R174" s="221">
        <v>0</v>
      </c>
      <c r="S174" s="221"/>
      <c r="T174" s="221"/>
      <c r="U174" s="221"/>
      <c r="V174" s="221"/>
      <c r="W174" s="221"/>
      <c r="X174" s="221"/>
      <c r="Y174" s="227"/>
      <c r="Z174" s="227" t="str">
        <f>P174</f>
        <v>TEGAL</v>
      </c>
      <c r="AA174" s="276" t="e">
        <f>VLOOKUP(Logfile_S[[#This Row],[DO number]],DO_DB!G:I,3,0)</f>
        <v>#N/A</v>
      </c>
      <c r="AB174" s="331" t="e">
        <f>EXACT(Logfile_S[[#This Row],[date pick]],Logfile_S[[#This Row],[Date]])</f>
        <v>#N/A</v>
      </c>
      <c r="AC1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5" spans="1:29" ht="14.5">
      <c r="A175" s="220" t="str">
        <f>TEXT(ROW(A175)-ROW($A$4),"000")</f>
        <v>171</v>
      </c>
      <c r="B175" s="221"/>
      <c r="C175" s="221" t="s">
        <v>3388</v>
      </c>
      <c r="D175" s="221" t="s">
        <v>3984</v>
      </c>
      <c r="E175" s="221" t="s">
        <v>3295</v>
      </c>
      <c r="F175" s="221" t="s">
        <v>3299</v>
      </c>
      <c r="G175" s="222">
        <v>45372</v>
      </c>
      <c r="H175" s="223">
        <v>0.87569444444444444</v>
      </c>
      <c r="I175" s="221" t="s">
        <v>4916</v>
      </c>
      <c r="J175" s="221" t="s">
        <v>3023</v>
      </c>
      <c r="K175" s="224" t="s">
        <v>3075</v>
      </c>
      <c r="L175" s="225" t="str">
        <f>VLOOKUP(Logfile_S[[#This Row],[Material Name]],Sheet2!B:C,2,0)</f>
        <v>ZTE2003</v>
      </c>
      <c r="M175" s="225" t="str">
        <f>_xlfn.XLOOKUP(Logfile_S[[#This Row],[Material Name]],Sum_WH!E:E,Sum_WH!F:F,"",0)</f>
        <v>Meter</v>
      </c>
      <c r="N175" s="221">
        <v>3000</v>
      </c>
      <c r="O175" s="221">
        <v>0</v>
      </c>
      <c r="P175" s="221" t="s">
        <v>3223</v>
      </c>
      <c r="Q175" s="221"/>
      <c r="R175" s="221"/>
      <c r="S175" s="221"/>
      <c r="T175" s="221" t="s">
        <v>3500</v>
      </c>
      <c r="U175" s="221">
        <v>0</v>
      </c>
      <c r="V175" s="221">
        <v>0</v>
      </c>
      <c r="W175" s="221">
        <v>0</v>
      </c>
      <c r="X175" s="221"/>
      <c r="Y175" s="227"/>
      <c r="Z175" s="227" t="str">
        <f>P175</f>
        <v>Transfer Gudang</v>
      </c>
      <c r="AA175" s="276" t="e">
        <f>VLOOKUP(Logfile_S[[#This Row],[DO number]],DO_DB!G:I,3,0)</f>
        <v>#N/A</v>
      </c>
      <c r="AB175" s="331" t="e">
        <f>EXACT(Logfile_S[[#This Row],[date pick]],Logfile_S[[#This Row],[Date]])</f>
        <v>#N/A</v>
      </c>
      <c r="AC1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76" spans="1:29" ht="14.5">
      <c r="A176" s="237" t="str">
        <f>TEXT(ROW(A176)-ROW($A$4),"000")</f>
        <v>172</v>
      </c>
      <c r="B176" s="221"/>
      <c r="C176" s="221" t="s">
        <v>3388</v>
      </c>
      <c r="D176" s="221" t="s">
        <v>3984</v>
      </c>
      <c r="E176" s="221" t="s">
        <v>3295</v>
      </c>
      <c r="F176" s="221" t="s">
        <v>3299</v>
      </c>
      <c r="G176" s="222">
        <v>45372</v>
      </c>
      <c r="H176" s="223">
        <v>0.87569444444444444</v>
      </c>
      <c r="I176" s="221" t="s">
        <v>4916</v>
      </c>
      <c r="J176" s="221" t="s">
        <v>3023</v>
      </c>
      <c r="K176" s="224" t="s">
        <v>3075</v>
      </c>
      <c r="L176" s="225" t="str">
        <f>VLOOKUP(Logfile_S[[#This Row],[Material Name]],Sheet2!B:C,2,0)</f>
        <v>ZTE2003</v>
      </c>
      <c r="M176" s="225" t="str">
        <f>_xlfn.XLOOKUP(Logfile_S[[#This Row],[Material Name]],Sum_WH!E:E,Sum_WH!F:F,"",0)</f>
        <v>Meter</v>
      </c>
      <c r="N176" s="221">
        <v>3000</v>
      </c>
      <c r="O176" s="221">
        <v>0</v>
      </c>
      <c r="P176" s="221" t="s">
        <v>3223</v>
      </c>
      <c r="Q176" s="221"/>
      <c r="R176" s="227"/>
      <c r="S176" s="227"/>
      <c r="T176" s="221" t="s">
        <v>3500</v>
      </c>
      <c r="U176" s="221">
        <v>0</v>
      </c>
      <c r="V176" s="221">
        <v>0</v>
      </c>
      <c r="W176" s="221">
        <v>0</v>
      </c>
      <c r="X176" s="221"/>
      <c r="Y176" s="238"/>
      <c r="Z176" s="227" t="str">
        <f>P176</f>
        <v>Transfer Gudang</v>
      </c>
      <c r="AA176" s="276" t="e">
        <f>VLOOKUP(Logfile_S[[#This Row],[DO number]],DO_DB!G:I,3,0)</f>
        <v>#N/A</v>
      </c>
      <c r="AB176" s="331" t="e">
        <f>EXACT(Logfile_S[[#This Row],[date pick]],Logfile_S[[#This Row],[Date]])</f>
        <v>#N/A</v>
      </c>
      <c r="AC1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77" spans="1:29" ht="14.5">
      <c r="A177" s="220" t="str">
        <f>TEXT(ROW(A177)-ROW($A$4),"000")</f>
        <v>173</v>
      </c>
      <c r="B177" s="221"/>
      <c r="C177" s="221" t="s">
        <v>3388</v>
      </c>
      <c r="D177" s="221" t="s">
        <v>4047</v>
      </c>
      <c r="E177" s="221" t="s">
        <v>3295</v>
      </c>
      <c r="F177" s="221" t="s">
        <v>3299</v>
      </c>
      <c r="G177" s="222">
        <v>45431</v>
      </c>
      <c r="H177" s="223">
        <v>0.72291666666666676</v>
      </c>
      <c r="I177" s="221" t="s">
        <v>4918</v>
      </c>
      <c r="J177" s="221" t="s">
        <v>3023</v>
      </c>
      <c r="K177" s="224" t="s">
        <v>13</v>
      </c>
      <c r="L177" s="225" t="str">
        <f>VLOOKUP(Logfile_S[[#This Row],[Material Name]],Sheet2!B:C,2,0)</f>
        <v>ZTE2008</v>
      </c>
      <c r="M177" s="225" t="str">
        <f>_xlfn.XLOOKUP(Logfile_S[[#This Row],[Material Name]],Sum_WH!E:E,Sum_WH!F:F,"",0)</f>
        <v>Pcs</v>
      </c>
      <c r="N177" s="221">
        <v>12</v>
      </c>
      <c r="O177" s="221">
        <v>0</v>
      </c>
      <c r="P177" s="221" t="s">
        <v>3223</v>
      </c>
      <c r="Q177" s="221"/>
      <c r="R177" s="221"/>
      <c r="S177" s="221"/>
      <c r="T177" s="221" t="s">
        <v>3241</v>
      </c>
      <c r="U177" s="221">
        <v>0</v>
      </c>
      <c r="V177" s="221" t="s">
        <v>3368</v>
      </c>
      <c r="W177" s="221" t="s">
        <v>3242</v>
      </c>
      <c r="X177" s="221" t="s">
        <v>3536</v>
      </c>
      <c r="Y177" s="227"/>
      <c r="Z177" s="227" t="str">
        <f>P177</f>
        <v>Transfer Gudang</v>
      </c>
      <c r="AA177" s="276" t="e">
        <f>VLOOKUP(Logfile_S[[#This Row],[DO number]],DO_DB!G:I,3,0)</f>
        <v>#N/A</v>
      </c>
      <c r="AB177" s="331" t="e">
        <f>EXACT(Logfile_S[[#This Row],[date pick]],Logfile_S[[#This Row],[Date]])</f>
        <v>#N/A</v>
      </c>
      <c r="AC1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78" spans="1:29" ht="14.5">
      <c r="A178" s="220" t="str">
        <f>TEXT(ROW(A178)-ROW($A$4),"000")</f>
        <v>174</v>
      </c>
      <c r="B178" s="221"/>
      <c r="C178" s="221" t="s">
        <v>3388</v>
      </c>
      <c r="D178" s="221" t="s">
        <v>4050</v>
      </c>
      <c r="E178" s="221" t="s">
        <v>3295</v>
      </c>
      <c r="F178" s="221" t="s">
        <v>3299</v>
      </c>
      <c r="G178" s="222">
        <v>45432</v>
      </c>
      <c r="H178" s="223">
        <v>0.72291666666666676</v>
      </c>
      <c r="I178" s="221" t="s">
        <v>4921</v>
      </c>
      <c r="J178" s="221" t="s">
        <v>3023</v>
      </c>
      <c r="K178" s="224" t="s">
        <v>13</v>
      </c>
      <c r="L178" s="225" t="str">
        <f>VLOOKUP(Logfile_S[[#This Row],[Material Name]],Sheet2!B:C,2,0)</f>
        <v>ZTE2008</v>
      </c>
      <c r="M178" s="225" t="str">
        <f>_xlfn.XLOOKUP(Logfile_S[[#This Row],[Material Name]],Sum_WH!E:E,Sum_WH!F:F,"",0)</f>
        <v>Pcs</v>
      </c>
      <c r="N178" s="221">
        <v>6</v>
      </c>
      <c r="O178" s="221">
        <v>0</v>
      </c>
      <c r="P178" s="221" t="s">
        <v>3223</v>
      </c>
      <c r="Q178" s="221"/>
      <c r="R178" s="221"/>
      <c r="S178" s="221"/>
      <c r="T178" s="221" t="s">
        <v>3241</v>
      </c>
      <c r="U178" s="221">
        <v>0</v>
      </c>
      <c r="V178" s="221" t="s">
        <v>3368</v>
      </c>
      <c r="W178" s="221" t="s">
        <v>3242</v>
      </c>
      <c r="X178" s="221" t="s">
        <v>3537</v>
      </c>
      <c r="Y178" s="227"/>
      <c r="Z178" s="227" t="str">
        <f>P178</f>
        <v>Transfer Gudang</v>
      </c>
      <c r="AA178" s="276" t="e">
        <f>VLOOKUP(Logfile_S[[#This Row],[DO number]],DO_DB!G:I,3,0)</f>
        <v>#N/A</v>
      </c>
      <c r="AB178" s="331" t="e">
        <f>EXACT(Logfile_S[[#This Row],[date pick]],Logfile_S[[#This Row],[Date]])</f>
        <v>#N/A</v>
      </c>
      <c r="AC1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79" spans="1:29" ht="14.5">
      <c r="A179" s="220" t="str">
        <f>TEXT(ROW(A179)-ROW($A$4),"000")</f>
        <v>175</v>
      </c>
      <c r="B179" s="221"/>
      <c r="C179" s="221" t="s">
        <v>3388</v>
      </c>
      <c r="D179" s="221" t="s">
        <v>4881</v>
      </c>
      <c r="E179" s="221" t="s">
        <v>3295</v>
      </c>
      <c r="F179" s="221" t="s">
        <v>3299</v>
      </c>
      <c r="G179" s="222">
        <v>45462</v>
      </c>
      <c r="H179" s="223">
        <v>0.52986111111111112</v>
      </c>
      <c r="I179" s="221" t="s">
        <v>4916</v>
      </c>
      <c r="J179" s="221" t="s">
        <v>3023</v>
      </c>
      <c r="K179" s="224" t="s">
        <v>3069</v>
      </c>
      <c r="L179" s="225" t="str">
        <f>VLOOKUP(Logfile_S[[#This Row],[Material Name]],Sheet2!B:C,2,0)</f>
        <v>ZTE1001</v>
      </c>
      <c r="M179" s="225" t="str">
        <f>_xlfn.XLOOKUP(Logfile_S[[#This Row],[Material Name]],Sum_WH!E:E,Sum_WH!F:F,"",0)</f>
        <v>Pcs</v>
      </c>
      <c r="N179" s="221">
        <v>25</v>
      </c>
      <c r="O179" s="221">
        <v>0</v>
      </c>
      <c r="P179" s="221" t="s">
        <v>3223</v>
      </c>
      <c r="Q179" s="221"/>
      <c r="R179" s="221"/>
      <c r="S179" s="221"/>
      <c r="T179" s="221">
        <v>0</v>
      </c>
      <c r="U179" s="221">
        <v>0</v>
      </c>
      <c r="V179" s="221">
        <v>0</v>
      </c>
      <c r="W179" s="221">
        <v>0</v>
      </c>
      <c r="X179" s="221"/>
      <c r="Y179" s="227"/>
      <c r="Z179" s="227" t="str">
        <f>P179</f>
        <v>Transfer Gudang</v>
      </c>
      <c r="AA179" s="276" t="e">
        <f>VLOOKUP(Logfile_S[[#This Row],[DO number]],DO_DB!G:I,3,0)</f>
        <v>#N/A</v>
      </c>
      <c r="AB179" s="331" t="e">
        <f>EXACT(Logfile_S[[#This Row],[date pick]],Logfile_S[[#This Row],[Date]])</f>
        <v>#N/A</v>
      </c>
      <c r="AC1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80" spans="1:29" ht="14.5">
      <c r="A180" s="220" t="str">
        <f>TEXT(ROW(A180)-ROW($A$4),"000")</f>
        <v>176</v>
      </c>
      <c r="B180" s="221"/>
      <c r="C180" s="221" t="s">
        <v>3388</v>
      </c>
      <c r="D180" s="221" t="s">
        <v>4244</v>
      </c>
      <c r="E180" s="221" t="s">
        <v>3295</v>
      </c>
      <c r="F180" s="221" t="s">
        <v>3299</v>
      </c>
      <c r="G180" s="222">
        <v>45565</v>
      </c>
      <c r="H180" s="223">
        <v>0.73263888888888884</v>
      </c>
      <c r="I180" s="221" t="s">
        <v>4922</v>
      </c>
      <c r="J180" s="221" t="s">
        <v>3023</v>
      </c>
      <c r="K180" s="224" t="s">
        <v>14</v>
      </c>
      <c r="L180" s="225" t="str">
        <f>VLOOKUP(Logfile_S[[#This Row],[Material Name]],Sheet2!B:C,2,0)</f>
        <v>ZTE2005</v>
      </c>
      <c r="M180" s="225" t="str">
        <f>_xlfn.XLOOKUP(Logfile_S[[#This Row],[Material Name]],Sum_WH!E:E,Sum_WH!F:F,"",0)</f>
        <v>Pcs</v>
      </c>
      <c r="N180" s="221">
        <v>1</v>
      </c>
      <c r="O180" s="221">
        <v>0</v>
      </c>
      <c r="P180" s="221" t="s">
        <v>3223</v>
      </c>
      <c r="Q180" s="221"/>
      <c r="R180" s="221"/>
      <c r="S180" s="221"/>
      <c r="T180" s="221" t="s">
        <v>3247</v>
      </c>
      <c r="U180" s="221">
        <v>0</v>
      </c>
      <c r="V180" s="221" t="s">
        <v>3375</v>
      </c>
      <c r="W180" s="221" t="s">
        <v>3376</v>
      </c>
      <c r="X180" s="221" t="s">
        <v>3477</v>
      </c>
      <c r="Y180" s="227"/>
      <c r="Z180" s="227" t="str">
        <f>P180</f>
        <v>Transfer Gudang</v>
      </c>
      <c r="AA180" s="276" t="e">
        <f>VLOOKUP(Logfile_S[[#This Row],[DO number]],DO_DB!G:I,3,0)</f>
        <v>#N/A</v>
      </c>
      <c r="AB180" s="331" t="e">
        <f>EXACT(Logfile_S[[#This Row],[date pick]],Logfile_S[[#This Row],[Date]])</f>
        <v>#N/A</v>
      </c>
      <c r="AC1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81" spans="1:29" ht="14.5">
      <c r="A181" s="220" t="str">
        <f>TEXT(ROW(A181)-ROW($A$4),"000")</f>
        <v>177</v>
      </c>
      <c r="B181" s="221"/>
      <c r="C181" s="221" t="s">
        <v>3388</v>
      </c>
      <c r="D181" s="221" t="s">
        <v>4876</v>
      </c>
      <c r="E181" s="221" t="s">
        <v>3295</v>
      </c>
      <c r="F181" s="221" t="s">
        <v>3299</v>
      </c>
      <c r="G181" s="222">
        <v>45652</v>
      </c>
      <c r="H181" s="223">
        <v>0.83611111111111114</v>
      </c>
      <c r="I181" s="221" t="s">
        <v>4919</v>
      </c>
      <c r="J181" s="221" t="s">
        <v>3024</v>
      </c>
      <c r="K181" s="224" t="s">
        <v>5136</v>
      </c>
      <c r="L181" s="225" t="str">
        <f>VLOOKUP(Logfile_S[[#This Row],[Material Name]],Sheet2!B:C,2,0)</f>
        <v>GCI1010</v>
      </c>
      <c r="M181" s="225" t="str">
        <f>_xlfn.XLOOKUP(Logfile_S[[#This Row],[Material Name]],Sum_WH!E:E,Sum_WH!F:F,"",0)</f>
        <v>Pcs</v>
      </c>
      <c r="N181" s="221">
        <v>50</v>
      </c>
      <c r="O181" s="221">
        <v>0</v>
      </c>
      <c r="P181" s="221" t="s">
        <v>3223</v>
      </c>
      <c r="Q181" s="221"/>
      <c r="R181" s="221"/>
      <c r="S181" s="221"/>
      <c r="T181" s="221" t="s">
        <v>3231</v>
      </c>
      <c r="U181" s="221">
        <v>0</v>
      </c>
      <c r="V181" s="221" t="s">
        <v>3375</v>
      </c>
      <c r="W181" s="221" t="s">
        <v>3256</v>
      </c>
      <c r="X181" s="221" t="s">
        <v>3425</v>
      </c>
      <c r="Y181" s="227"/>
      <c r="Z181" s="227" t="str">
        <f>P181</f>
        <v>Transfer Gudang</v>
      </c>
      <c r="AA181" s="276" t="e">
        <f>VLOOKUP(Logfile_S[[#This Row],[DO number]],DO_DB!G:I,3,0)</f>
        <v>#N/A</v>
      </c>
      <c r="AB181" s="331" t="e">
        <f>EXACT(Logfile_S[[#This Row],[date pick]],Logfile_S[[#This Row],[Date]])</f>
        <v>#N/A</v>
      </c>
      <c r="AC1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82" spans="1:29" ht="14.5">
      <c r="A182" s="220" t="str">
        <f>TEXT(ROW(A182)-ROW($A$4),"000")</f>
        <v>178</v>
      </c>
      <c r="B182" s="221"/>
      <c r="C182" s="221" t="s">
        <v>3388</v>
      </c>
      <c r="D182" s="221" t="s">
        <v>4877</v>
      </c>
      <c r="E182" s="221" t="s">
        <v>3295</v>
      </c>
      <c r="F182" s="221" t="s">
        <v>3299</v>
      </c>
      <c r="G182" s="222">
        <v>45723</v>
      </c>
      <c r="H182" s="223">
        <v>0.64583333333333337</v>
      </c>
      <c r="I182" s="221" t="s">
        <v>4916</v>
      </c>
      <c r="J182" s="221" t="s">
        <v>3024</v>
      </c>
      <c r="K182" s="224" t="s">
        <v>5139</v>
      </c>
      <c r="L182" s="225" t="str">
        <f>VLOOKUP(Logfile_S[[#This Row],[Material Name]],Sheet2!B:C,2,0)</f>
        <v>GCI1010</v>
      </c>
      <c r="M182" s="225" t="str">
        <f>_xlfn.XLOOKUP(Logfile_S[[#This Row],[Material Name]],Sum_WH!E:E,Sum_WH!F:F,"",0)</f>
        <v>Pcs</v>
      </c>
      <c r="N182" s="221">
        <v>84</v>
      </c>
      <c r="O182" s="221">
        <v>0</v>
      </c>
      <c r="P182" s="221" t="s">
        <v>3223</v>
      </c>
      <c r="Q182" s="221"/>
      <c r="R182" s="221"/>
      <c r="S182" s="221"/>
      <c r="T182" s="221" t="s">
        <v>3231</v>
      </c>
      <c r="U182" s="221">
        <v>0</v>
      </c>
      <c r="V182" s="221" t="s">
        <v>3375</v>
      </c>
      <c r="W182" s="221" t="s">
        <v>3249</v>
      </c>
      <c r="X182" s="221"/>
      <c r="Y182" s="227"/>
      <c r="Z182" s="227" t="str">
        <f>P182</f>
        <v>Transfer Gudang</v>
      </c>
      <c r="AA182" s="276" t="e">
        <f>VLOOKUP(Logfile_S[[#This Row],[DO number]],DO_DB!G:I,3,0)</f>
        <v>#N/A</v>
      </c>
      <c r="AB182" s="331" t="e">
        <f>EXACT(Logfile_S[[#This Row],[date pick]],Logfile_S[[#This Row],[Date]])</f>
        <v>#N/A</v>
      </c>
      <c r="AC1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83" spans="1:29" ht="14.5">
      <c r="A183" s="220" t="str">
        <f>TEXT(ROW(A183)-ROW($A$4),"000")</f>
        <v>179</v>
      </c>
      <c r="B183" s="221"/>
      <c r="C183" s="221" t="s">
        <v>3388</v>
      </c>
      <c r="D183" s="221" t="s">
        <v>4417</v>
      </c>
      <c r="E183" s="221" t="s">
        <v>3295</v>
      </c>
      <c r="F183" s="221" t="s">
        <v>3299</v>
      </c>
      <c r="G183" s="222">
        <v>45890</v>
      </c>
      <c r="H183" s="223">
        <v>0.63958333333333328</v>
      </c>
      <c r="I183" s="221" t="s">
        <v>4918</v>
      </c>
      <c r="J183" s="221" t="s">
        <v>3023</v>
      </c>
      <c r="K183" s="224" t="s">
        <v>13</v>
      </c>
      <c r="L183" s="225" t="str">
        <f>VLOOKUP(Logfile_S[[#This Row],[Material Name]],Sheet2!B:C,2,0)</f>
        <v>ZTE2008</v>
      </c>
      <c r="M183" s="225" t="str">
        <f>_xlfn.XLOOKUP(Logfile_S[[#This Row],[Material Name]],Sum_WH!E:E,Sum_WH!F:F,"",0)</f>
        <v>Pcs</v>
      </c>
      <c r="N183" s="221">
        <v>6</v>
      </c>
      <c r="O183" s="221">
        <v>0</v>
      </c>
      <c r="P183" s="221" t="s">
        <v>3223</v>
      </c>
      <c r="Q183" s="221"/>
      <c r="R183" s="221"/>
      <c r="S183" s="221"/>
      <c r="T183" s="221" t="s">
        <v>3241</v>
      </c>
      <c r="U183" s="221">
        <v>0</v>
      </c>
      <c r="V183" s="221" t="s">
        <v>3368</v>
      </c>
      <c r="W183" s="221" t="s">
        <v>3242</v>
      </c>
      <c r="X183" s="221" t="s">
        <v>3544</v>
      </c>
      <c r="Y183" s="227"/>
      <c r="Z183" s="227" t="str">
        <f>P183</f>
        <v>Transfer Gudang</v>
      </c>
      <c r="AA183" s="276" t="e">
        <f>VLOOKUP(Logfile_S[[#This Row],[DO number]],DO_DB!G:I,3,0)</f>
        <v>#N/A</v>
      </c>
      <c r="AB183" s="331" t="e">
        <f>EXACT(Logfile_S[[#This Row],[date pick]],Logfile_S[[#This Row],[Date]])</f>
        <v>#N/A</v>
      </c>
      <c r="AC1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84" spans="1:29" ht="14.5">
      <c r="A184" s="220" t="str">
        <f>TEXT(ROW(A184)-ROW($A$4),"000")</f>
        <v>180</v>
      </c>
      <c r="B184" s="221"/>
      <c r="C184" s="221" t="s">
        <v>3388</v>
      </c>
      <c r="D184" s="221" t="s">
        <v>4417</v>
      </c>
      <c r="E184" s="221" t="s">
        <v>3295</v>
      </c>
      <c r="F184" s="221" t="s">
        <v>3299</v>
      </c>
      <c r="G184" s="222">
        <v>45890</v>
      </c>
      <c r="H184" s="223">
        <v>0.63958333333333328</v>
      </c>
      <c r="I184" s="221" t="s">
        <v>4918</v>
      </c>
      <c r="J184" s="221" t="s">
        <v>3024</v>
      </c>
      <c r="K184" s="224" t="s">
        <v>3108</v>
      </c>
      <c r="L184" s="225" t="str">
        <f>VLOOKUP(Logfile_S[[#This Row],[Material Name]],Sheet2!B:C,2,0)</f>
        <v>GCI1020</v>
      </c>
      <c r="M184" s="225" t="str">
        <f>_xlfn.XLOOKUP(Logfile_S[[#This Row],[Material Name]],Sum_WH!E:E,Sum_WH!F:F,"",0)</f>
        <v>Pcs</v>
      </c>
      <c r="N184" s="221">
        <v>400</v>
      </c>
      <c r="O184" s="221">
        <v>0</v>
      </c>
      <c r="P184" s="221" t="s">
        <v>3223</v>
      </c>
      <c r="Q184" s="221"/>
      <c r="R184" s="221"/>
      <c r="S184" s="221"/>
      <c r="T184" s="221" t="s">
        <v>3241</v>
      </c>
      <c r="U184" s="221">
        <v>0</v>
      </c>
      <c r="V184" s="221" t="s">
        <v>3368</v>
      </c>
      <c r="W184" s="221" t="s">
        <v>3242</v>
      </c>
      <c r="X184" s="221" t="s">
        <v>3440</v>
      </c>
      <c r="Y184" s="227"/>
      <c r="Z184" s="227" t="str">
        <f>P184</f>
        <v>Transfer Gudang</v>
      </c>
      <c r="AA184" s="276" t="e">
        <f>VLOOKUP(Logfile_S[[#This Row],[DO number]],DO_DB!G:I,3,0)</f>
        <v>#N/A</v>
      </c>
      <c r="AB184" s="331" t="e">
        <f>EXACT(Logfile_S[[#This Row],[date pick]],Logfile_S[[#This Row],[Date]])</f>
        <v>#N/A</v>
      </c>
      <c r="AC1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85" spans="1:29" ht="14.5">
      <c r="A185" s="237" t="str">
        <f>TEXT(ROW(A185)-ROW($A$4),"000")</f>
        <v>181</v>
      </c>
      <c r="B185" s="221">
        <v>1</v>
      </c>
      <c r="C185" s="227" t="s">
        <v>3388</v>
      </c>
      <c r="D185" s="227" t="s">
        <v>4656</v>
      </c>
      <c r="E185" s="227" t="s">
        <v>3295</v>
      </c>
      <c r="F185" s="227" t="s">
        <v>3299</v>
      </c>
      <c r="G185" s="239">
        <v>45931</v>
      </c>
      <c r="H185" s="240">
        <v>0.63958333333333328</v>
      </c>
      <c r="I185" s="227" t="s">
        <v>4918</v>
      </c>
      <c r="J185" s="227" t="s">
        <v>3024</v>
      </c>
      <c r="K185" s="241" t="s">
        <v>3108</v>
      </c>
      <c r="L185" s="225" t="str">
        <f>VLOOKUP(Logfile_S[[#This Row],[Material Name]],Sheet2!B:C,2,0)</f>
        <v>GCI1020</v>
      </c>
      <c r="M185" s="225" t="str">
        <f>_xlfn.XLOOKUP(Logfile_S[[#This Row],[Material Name]],Sum_WH!E:E,Sum_WH!F:F,"",0)</f>
        <v>Pcs</v>
      </c>
      <c r="N185" s="227">
        <v>600</v>
      </c>
      <c r="O185" s="227">
        <v>0</v>
      </c>
      <c r="P185" s="227" t="s">
        <v>3223</v>
      </c>
      <c r="Q185" s="227"/>
      <c r="R185" s="227"/>
      <c r="S185" s="227"/>
      <c r="T185" s="227" t="s">
        <v>3241</v>
      </c>
      <c r="U185" s="227">
        <v>0</v>
      </c>
      <c r="V185" s="227" t="s">
        <v>3368</v>
      </c>
      <c r="W185" s="227" t="s">
        <v>3242</v>
      </c>
      <c r="X185" s="227" t="s">
        <v>3440</v>
      </c>
      <c r="Y185" s="227"/>
      <c r="Z185" s="227" t="str">
        <f>P185</f>
        <v>Transfer Gudang</v>
      </c>
      <c r="AA185" s="276" t="e">
        <f>VLOOKUP(Logfile_S[[#This Row],[DO number]],DO_DB!G:I,3,0)</f>
        <v>#N/A</v>
      </c>
      <c r="AB185" s="331" t="e">
        <f>EXACT(Logfile_S[[#This Row],[date pick]],Logfile_S[[#This Row],[Date]])</f>
        <v>#N/A</v>
      </c>
      <c r="AC1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86" spans="1:29" ht="14.5">
      <c r="A186" s="220" t="str">
        <f>TEXT(ROW(A186)-ROW($A$4),"000")</f>
        <v>182</v>
      </c>
      <c r="B186" s="221"/>
      <c r="C186" s="221" t="s">
        <v>48</v>
      </c>
      <c r="D186" s="221" t="s">
        <v>3985</v>
      </c>
      <c r="E186" s="221" t="s">
        <v>3295</v>
      </c>
      <c r="F186" s="221" t="s">
        <v>3299</v>
      </c>
      <c r="G186" s="222">
        <v>45373</v>
      </c>
      <c r="H186" s="223">
        <v>15.291666666666666</v>
      </c>
      <c r="I186" s="221" t="s">
        <v>38</v>
      </c>
      <c r="J186" s="221" t="s">
        <v>3024</v>
      </c>
      <c r="K186" s="224" t="s">
        <v>3097</v>
      </c>
      <c r="L186" s="225" t="str">
        <f>VLOOKUP(Logfile_S[[#This Row],[Material Name]],Sheet2!B:C,2,0)</f>
        <v>GCI1011</v>
      </c>
      <c r="M186" s="225" t="str">
        <f>_xlfn.XLOOKUP(Logfile_S[[#This Row],[Material Name]],Sum_WH!E:E,Sum_WH!F:F,"",0)</f>
        <v>Pcs</v>
      </c>
      <c r="N186" s="221">
        <v>1</v>
      </c>
      <c r="O186" s="221">
        <v>0</v>
      </c>
      <c r="P186" s="221" t="s">
        <v>3366</v>
      </c>
      <c r="Q186" s="221">
        <v>0</v>
      </c>
      <c r="R186" s="221">
        <v>0</v>
      </c>
      <c r="S186" s="221"/>
      <c r="T186" s="221"/>
      <c r="U186" s="221"/>
      <c r="V186" s="221"/>
      <c r="W186" s="221"/>
      <c r="X186" s="221"/>
      <c r="Y186" s="227"/>
      <c r="Z186" s="227" t="str">
        <f>P186</f>
        <v>UD HALIM</v>
      </c>
      <c r="AA186" s="276" t="e">
        <f>VLOOKUP(Logfile_S[[#This Row],[DO number]],DO_DB!G:I,3,0)</f>
        <v>#N/A</v>
      </c>
      <c r="AB186" s="331" t="e">
        <f>EXACT(Logfile_S[[#This Row],[date pick]],Logfile_S[[#This Row],[Date]])</f>
        <v>#N/A</v>
      </c>
      <c r="AC1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7" spans="1:29" ht="14.5">
      <c r="A187" s="220" t="str">
        <f>TEXT(ROW(A187)-ROW($A$4),"000")</f>
        <v>183</v>
      </c>
      <c r="B187" s="221"/>
      <c r="C187" s="221" t="s">
        <v>48</v>
      </c>
      <c r="D187" s="221" t="s">
        <v>3985</v>
      </c>
      <c r="E187" s="221" t="s">
        <v>3295</v>
      </c>
      <c r="F187" s="221" t="s">
        <v>3299</v>
      </c>
      <c r="G187" s="222">
        <v>45373</v>
      </c>
      <c r="H187" s="223">
        <v>15.291666666666666</v>
      </c>
      <c r="I187" s="221" t="s">
        <v>38</v>
      </c>
      <c r="J187" s="221" t="s">
        <v>3024</v>
      </c>
      <c r="K187" s="224" t="s">
        <v>3091</v>
      </c>
      <c r="L187" s="225" t="str">
        <f>VLOOKUP(Logfile_S[[#This Row],[Material Name]],Sheet2!B:C,2,0)</f>
        <v>GCI1005</v>
      </c>
      <c r="M187" s="225" t="str">
        <f>_xlfn.XLOOKUP(Logfile_S[[#This Row],[Material Name]],Sum_WH!E:E,Sum_WH!F:F,"",0)</f>
        <v>Pcs</v>
      </c>
      <c r="N187" s="221">
        <v>230</v>
      </c>
      <c r="O187" s="221">
        <v>0</v>
      </c>
      <c r="P187" s="221" t="s">
        <v>3366</v>
      </c>
      <c r="Q187" s="221">
        <v>0</v>
      </c>
      <c r="R187" s="221">
        <v>0</v>
      </c>
      <c r="S187" s="221"/>
      <c r="T187" s="221"/>
      <c r="U187" s="221"/>
      <c r="V187" s="221"/>
      <c r="W187" s="221"/>
      <c r="X187" s="221"/>
      <c r="Y187" s="227"/>
      <c r="Z187" s="227" t="str">
        <f>P187</f>
        <v>UD HALIM</v>
      </c>
      <c r="AA187" s="276" t="e">
        <f>VLOOKUP(Logfile_S[[#This Row],[DO number]],DO_DB!G:I,3,0)</f>
        <v>#N/A</v>
      </c>
      <c r="AB187" s="331" t="e">
        <f>EXACT(Logfile_S[[#This Row],[date pick]],Logfile_S[[#This Row],[Date]])</f>
        <v>#N/A</v>
      </c>
      <c r="AC1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8" spans="1:29" ht="14.5">
      <c r="A188" s="220" t="str">
        <f>TEXT(ROW(A188)-ROW($A$4),"000")</f>
        <v>184</v>
      </c>
      <c r="B188" s="221"/>
      <c r="C188" s="221" t="s">
        <v>48</v>
      </c>
      <c r="D188" s="221" t="s">
        <v>3985</v>
      </c>
      <c r="E188" s="221" t="s">
        <v>3295</v>
      </c>
      <c r="F188" s="221" t="s">
        <v>3299</v>
      </c>
      <c r="G188" s="222">
        <v>45373</v>
      </c>
      <c r="H188" s="223">
        <v>15.291666666666666</v>
      </c>
      <c r="I188" s="221" t="s">
        <v>38</v>
      </c>
      <c r="J188" s="221" t="s">
        <v>3024</v>
      </c>
      <c r="K188" s="224" t="s">
        <v>3094</v>
      </c>
      <c r="L188" s="225" t="str">
        <f>VLOOKUP(Logfile_S[[#This Row],[Material Name]],Sheet2!B:C,2,0)</f>
        <v>GCI1008</v>
      </c>
      <c r="M188" s="225" t="str">
        <f>_xlfn.XLOOKUP(Logfile_S[[#This Row],[Material Name]],Sum_WH!E:E,Sum_WH!F:F,"",0)</f>
        <v>Pcs</v>
      </c>
      <c r="N188" s="221">
        <v>248</v>
      </c>
      <c r="O188" s="221">
        <v>0</v>
      </c>
      <c r="P188" s="221" t="s">
        <v>3366</v>
      </c>
      <c r="Q188" s="221">
        <v>0</v>
      </c>
      <c r="R188" s="221">
        <v>0</v>
      </c>
      <c r="S188" s="221"/>
      <c r="T188" s="221"/>
      <c r="U188" s="221"/>
      <c r="V188" s="221"/>
      <c r="W188" s="221"/>
      <c r="X188" s="221"/>
      <c r="Y188" s="227"/>
      <c r="Z188" s="227" t="str">
        <f>P188</f>
        <v>UD HALIM</v>
      </c>
      <c r="AA188" s="276" t="e">
        <f>VLOOKUP(Logfile_S[[#This Row],[DO number]],DO_DB!G:I,3,0)</f>
        <v>#N/A</v>
      </c>
      <c r="AB188" s="331" t="e">
        <f>EXACT(Logfile_S[[#This Row],[date pick]],Logfile_S[[#This Row],[Date]])</f>
        <v>#N/A</v>
      </c>
      <c r="AC1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9" spans="1:29" ht="14.5">
      <c r="A189" s="220" t="str">
        <f>TEXT(ROW(A189)-ROW($A$4),"000")</f>
        <v>185</v>
      </c>
      <c r="B189" s="221"/>
      <c r="C189" s="221" t="s">
        <v>48</v>
      </c>
      <c r="D189" s="221" t="s">
        <v>3985</v>
      </c>
      <c r="E189" s="221" t="s">
        <v>3295</v>
      </c>
      <c r="F189" s="221" t="s">
        <v>3299</v>
      </c>
      <c r="G189" s="222">
        <v>45373</v>
      </c>
      <c r="H189" s="223">
        <v>15.291666666666666</v>
      </c>
      <c r="I189" s="221" t="s">
        <v>38</v>
      </c>
      <c r="J189" s="221" t="s">
        <v>3024</v>
      </c>
      <c r="K189" s="224" t="s">
        <v>3089</v>
      </c>
      <c r="L189" s="225" t="str">
        <f>VLOOKUP(Logfile_S[[#This Row],[Material Name]],Sheet2!B:C,2,0)</f>
        <v>GCI1003</v>
      </c>
      <c r="M189" s="225" t="str">
        <f>_xlfn.XLOOKUP(Logfile_S[[#This Row],[Material Name]],Sum_WH!E:E,Sum_WH!F:F,"",0)</f>
        <v>Pcs</v>
      </c>
      <c r="N189" s="221">
        <v>359</v>
      </c>
      <c r="O189" s="221">
        <v>0</v>
      </c>
      <c r="P189" s="221" t="s">
        <v>3366</v>
      </c>
      <c r="Q189" s="221">
        <v>0</v>
      </c>
      <c r="R189" s="221">
        <v>0</v>
      </c>
      <c r="S189" s="221"/>
      <c r="T189" s="221"/>
      <c r="U189" s="221"/>
      <c r="V189" s="221"/>
      <c r="W189" s="221"/>
      <c r="X189" s="221"/>
      <c r="Y189" s="227"/>
      <c r="Z189" s="227" t="str">
        <f>P189</f>
        <v>UD HALIM</v>
      </c>
      <c r="AA189" s="276" t="e">
        <f>VLOOKUP(Logfile_S[[#This Row],[DO number]],DO_DB!G:I,3,0)</f>
        <v>#N/A</v>
      </c>
      <c r="AB189" s="331" t="e">
        <f>EXACT(Logfile_S[[#This Row],[date pick]],Logfile_S[[#This Row],[Date]])</f>
        <v>#N/A</v>
      </c>
      <c r="AC1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0" spans="1:29" ht="14.5">
      <c r="A190" s="220" t="str">
        <f>TEXT(ROW(A190)-ROW($A$4),"000")</f>
        <v>186</v>
      </c>
      <c r="B190" s="221"/>
      <c r="C190" s="221" t="s">
        <v>48</v>
      </c>
      <c r="D190" s="221" t="s">
        <v>3985</v>
      </c>
      <c r="E190" s="221" t="s">
        <v>3295</v>
      </c>
      <c r="F190" s="221" t="s">
        <v>3299</v>
      </c>
      <c r="G190" s="222">
        <v>45373</v>
      </c>
      <c r="H190" s="223">
        <v>15.291666666666666</v>
      </c>
      <c r="I190" s="221" t="s">
        <v>38</v>
      </c>
      <c r="J190" s="221" t="s">
        <v>3024</v>
      </c>
      <c r="K190" s="224" t="s">
        <v>3090</v>
      </c>
      <c r="L190" s="225" t="str">
        <f>VLOOKUP(Logfile_S[[#This Row],[Material Name]],Sheet2!B:C,2,0)</f>
        <v>GCI1004</v>
      </c>
      <c r="M190" s="225" t="str">
        <f>_xlfn.XLOOKUP(Logfile_S[[#This Row],[Material Name]],Sum_WH!E:E,Sum_WH!F:F,"",0)</f>
        <v>Pcs</v>
      </c>
      <c r="N190" s="221">
        <v>103</v>
      </c>
      <c r="O190" s="221">
        <v>0</v>
      </c>
      <c r="P190" s="221" t="s">
        <v>3366</v>
      </c>
      <c r="Q190" s="221">
        <v>0</v>
      </c>
      <c r="R190" s="221">
        <v>0</v>
      </c>
      <c r="S190" s="221"/>
      <c r="T190" s="221"/>
      <c r="U190" s="221"/>
      <c r="V190" s="221"/>
      <c r="W190" s="221"/>
      <c r="X190" s="221"/>
      <c r="Y190" s="227"/>
      <c r="Z190" s="227" t="str">
        <f>P190</f>
        <v>UD HALIM</v>
      </c>
      <c r="AA190" s="276" t="e">
        <f>VLOOKUP(Logfile_S[[#This Row],[DO number]],DO_DB!G:I,3,0)</f>
        <v>#N/A</v>
      </c>
      <c r="AB190" s="331" t="e">
        <f>EXACT(Logfile_S[[#This Row],[date pick]],Logfile_S[[#This Row],[Date]])</f>
        <v>#N/A</v>
      </c>
      <c r="AC1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1" spans="1:29" ht="14.5">
      <c r="A191" s="220" t="str">
        <f>TEXT(ROW(A191)-ROW($A$4),"000")</f>
        <v>187</v>
      </c>
      <c r="B191" s="221"/>
      <c r="C191" s="221" t="s">
        <v>48</v>
      </c>
      <c r="D191" s="221" t="s">
        <v>3953</v>
      </c>
      <c r="E191" s="221" t="s">
        <v>3295</v>
      </c>
      <c r="F191" s="221" t="s">
        <v>3299</v>
      </c>
      <c r="G191" s="222">
        <v>45349</v>
      </c>
      <c r="H191" s="223">
        <v>15.291666666666666</v>
      </c>
      <c r="I191" s="221" t="s">
        <v>38</v>
      </c>
      <c r="J191" s="221" t="s">
        <v>3024</v>
      </c>
      <c r="K191" s="224" t="s">
        <v>3097</v>
      </c>
      <c r="L191" s="225" t="str">
        <f>VLOOKUP(Logfile_S[[#This Row],[Material Name]],Sheet2!B:C,2,0)</f>
        <v>GCI1011</v>
      </c>
      <c r="M191" s="225" t="str">
        <f>_xlfn.XLOOKUP(Logfile_S[[#This Row],[Material Name]],Sum_WH!E:E,Sum_WH!F:F,"",0)</f>
        <v>Pcs</v>
      </c>
      <c r="N191" s="221">
        <v>1</v>
      </c>
      <c r="O191" s="221">
        <v>0</v>
      </c>
      <c r="P191" s="221" t="s">
        <v>3362</v>
      </c>
      <c r="Q191" s="221">
        <v>0</v>
      </c>
      <c r="R191" s="221">
        <v>0</v>
      </c>
      <c r="S191" s="221"/>
      <c r="T191" s="221"/>
      <c r="U191" s="221"/>
      <c r="V191" s="221"/>
      <c r="W191" s="221"/>
      <c r="X191" s="221"/>
      <c r="Y191" s="227"/>
      <c r="Z191" s="227" t="str">
        <f>P191</f>
        <v xml:space="preserve">UD RIZQI JAYA PRATAMA </v>
      </c>
      <c r="AA191" s="276" t="e">
        <f>VLOOKUP(Logfile_S[[#This Row],[DO number]],DO_DB!G:I,3,0)</f>
        <v>#N/A</v>
      </c>
      <c r="AB191" s="331" t="e">
        <f>EXACT(Logfile_S[[#This Row],[date pick]],Logfile_S[[#This Row],[Date]])</f>
        <v>#N/A</v>
      </c>
      <c r="AC1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2" spans="1:29" ht="14.5">
      <c r="A192" s="220" t="str">
        <f>TEXT(ROW(A192)-ROW($A$4),"000")</f>
        <v>188</v>
      </c>
      <c r="B192" s="221"/>
      <c r="C192" s="221" t="s">
        <v>48</v>
      </c>
      <c r="D192" s="221" t="s">
        <v>3953</v>
      </c>
      <c r="E192" s="221" t="s">
        <v>3295</v>
      </c>
      <c r="F192" s="221" t="s">
        <v>3299</v>
      </c>
      <c r="G192" s="222">
        <v>45349</v>
      </c>
      <c r="H192" s="223">
        <v>15.291666666666666</v>
      </c>
      <c r="I192" s="221" t="s">
        <v>38</v>
      </c>
      <c r="J192" s="221" t="s">
        <v>3024</v>
      </c>
      <c r="K192" s="224" t="s">
        <v>3091</v>
      </c>
      <c r="L192" s="225" t="str">
        <f>VLOOKUP(Logfile_S[[#This Row],[Material Name]],Sheet2!B:C,2,0)</f>
        <v>GCI1005</v>
      </c>
      <c r="M192" s="225" t="str">
        <f>_xlfn.XLOOKUP(Logfile_S[[#This Row],[Material Name]],Sum_WH!E:E,Sum_WH!F:F,"",0)</f>
        <v>Pcs</v>
      </c>
      <c r="N192" s="221">
        <v>141</v>
      </c>
      <c r="O192" s="221">
        <v>0</v>
      </c>
      <c r="P192" s="221" t="s">
        <v>3362</v>
      </c>
      <c r="Q192" s="221">
        <v>0</v>
      </c>
      <c r="R192" s="221">
        <v>0</v>
      </c>
      <c r="S192" s="221"/>
      <c r="T192" s="221"/>
      <c r="U192" s="221"/>
      <c r="V192" s="221"/>
      <c r="W192" s="221"/>
      <c r="X192" s="221"/>
      <c r="Y192" s="227"/>
      <c r="Z192" s="227" t="str">
        <f>P192</f>
        <v xml:space="preserve">UD RIZQI JAYA PRATAMA </v>
      </c>
      <c r="AA192" s="276" t="e">
        <f>VLOOKUP(Logfile_S[[#This Row],[DO number]],DO_DB!G:I,3,0)</f>
        <v>#N/A</v>
      </c>
      <c r="AB192" s="331" t="e">
        <f>EXACT(Logfile_S[[#This Row],[date pick]],Logfile_S[[#This Row],[Date]])</f>
        <v>#N/A</v>
      </c>
      <c r="AC1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3" spans="1:29" ht="14.5">
      <c r="A193" s="220" t="str">
        <f>TEXT(ROW(A193)-ROW($A$4),"000")</f>
        <v>189</v>
      </c>
      <c r="B193" s="221"/>
      <c r="C193" s="221" t="s">
        <v>48</v>
      </c>
      <c r="D193" s="221" t="s">
        <v>3953</v>
      </c>
      <c r="E193" s="221" t="s">
        <v>3295</v>
      </c>
      <c r="F193" s="221" t="s">
        <v>3299</v>
      </c>
      <c r="G193" s="222">
        <v>45349</v>
      </c>
      <c r="H193" s="223">
        <v>15.291666666666666</v>
      </c>
      <c r="I193" s="221" t="s">
        <v>38</v>
      </c>
      <c r="J193" s="221" t="s">
        <v>3024</v>
      </c>
      <c r="K193" s="224" t="s">
        <v>3087</v>
      </c>
      <c r="L193" s="225" t="str">
        <f>VLOOKUP(Logfile_S[[#This Row],[Material Name]],Sheet2!B:C,2,0)</f>
        <v>GCI1001</v>
      </c>
      <c r="M193" s="225" t="str">
        <f>_xlfn.XLOOKUP(Logfile_S[[#This Row],[Material Name]],Sum_WH!E:E,Sum_WH!F:F,"",0)</f>
        <v>Pcs</v>
      </c>
      <c r="N193" s="221">
        <v>83</v>
      </c>
      <c r="O193" s="221">
        <v>0</v>
      </c>
      <c r="P193" s="221" t="s">
        <v>3362</v>
      </c>
      <c r="Q193" s="221">
        <v>0</v>
      </c>
      <c r="R193" s="221">
        <v>0</v>
      </c>
      <c r="S193" s="221"/>
      <c r="T193" s="221"/>
      <c r="U193" s="221"/>
      <c r="V193" s="221"/>
      <c r="W193" s="221"/>
      <c r="X193" s="221"/>
      <c r="Y193" s="227"/>
      <c r="Z193" s="227" t="str">
        <f>P193</f>
        <v xml:space="preserve">UD RIZQI JAYA PRATAMA </v>
      </c>
      <c r="AA193" s="276" t="e">
        <f>VLOOKUP(Logfile_S[[#This Row],[DO number]],DO_DB!G:I,3,0)</f>
        <v>#N/A</v>
      </c>
      <c r="AB193" s="331" t="e">
        <f>EXACT(Logfile_S[[#This Row],[date pick]],Logfile_S[[#This Row],[Date]])</f>
        <v>#N/A</v>
      </c>
      <c r="AC1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4" spans="1:29" ht="14.5">
      <c r="A194" s="220" t="str">
        <f>TEXT(ROW(A194)-ROW($A$4),"000")</f>
        <v>190</v>
      </c>
      <c r="B194" s="221"/>
      <c r="C194" s="221" t="s">
        <v>48</v>
      </c>
      <c r="D194" s="221" t="s">
        <v>3953</v>
      </c>
      <c r="E194" s="221" t="s">
        <v>3295</v>
      </c>
      <c r="F194" s="221" t="s">
        <v>3299</v>
      </c>
      <c r="G194" s="222">
        <v>45349</v>
      </c>
      <c r="H194" s="223">
        <v>15.291666666666666</v>
      </c>
      <c r="I194" s="221" t="s">
        <v>38</v>
      </c>
      <c r="J194" s="221" t="s">
        <v>3024</v>
      </c>
      <c r="K194" s="224" t="s">
        <v>5137</v>
      </c>
      <c r="L194" s="225" t="str">
        <f>VLOOKUP(Logfile_S[[#This Row],[Material Name]],Sheet2!B:C,2,0)</f>
        <v>GCI1009</v>
      </c>
      <c r="M194" s="225" t="str">
        <f>_xlfn.XLOOKUP(Logfile_S[[#This Row],[Material Name]],Sum_WH!E:E,Sum_WH!F:F,"",0)</f>
        <v>Pcs</v>
      </c>
      <c r="N194" s="221">
        <v>314</v>
      </c>
      <c r="O194" s="221">
        <v>0</v>
      </c>
      <c r="P194" s="221" t="s">
        <v>3362</v>
      </c>
      <c r="Q194" s="221">
        <v>0</v>
      </c>
      <c r="R194" s="221">
        <v>0</v>
      </c>
      <c r="S194" s="221"/>
      <c r="T194" s="221"/>
      <c r="U194" s="221"/>
      <c r="V194" s="221"/>
      <c r="W194" s="221"/>
      <c r="X194" s="221"/>
      <c r="Y194" s="227"/>
      <c r="Z194" s="227" t="str">
        <f>P194</f>
        <v xml:space="preserve">UD RIZQI JAYA PRATAMA </v>
      </c>
      <c r="AA194" s="276" t="e">
        <f>VLOOKUP(Logfile_S[[#This Row],[DO number]],DO_DB!G:I,3,0)</f>
        <v>#N/A</v>
      </c>
      <c r="AB194" s="331" t="e">
        <f>EXACT(Logfile_S[[#This Row],[date pick]],Logfile_S[[#This Row],[Date]])</f>
        <v>#N/A</v>
      </c>
      <c r="AC1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5" spans="1:29" ht="14.5">
      <c r="A195" s="220" t="str">
        <f>TEXT(ROW(A195)-ROW($A$4),"000")</f>
        <v>191</v>
      </c>
      <c r="B195" s="221"/>
      <c r="C195" s="221" t="s">
        <v>48</v>
      </c>
      <c r="D195" s="221" t="s">
        <v>3953</v>
      </c>
      <c r="E195" s="221" t="s">
        <v>3295</v>
      </c>
      <c r="F195" s="221" t="s">
        <v>3299</v>
      </c>
      <c r="G195" s="222">
        <v>45349</v>
      </c>
      <c r="H195" s="223">
        <v>15.291666666666666</v>
      </c>
      <c r="I195" s="221" t="s">
        <v>38</v>
      </c>
      <c r="J195" s="221" t="s">
        <v>3024</v>
      </c>
      <c r="K195" s="224" t="s">
        <v>3094</v>
      </c>
      <c r="L195" s="225" t="str">
        <f>VLOOKUP(Logfile_S[[#This Row],[Material Name]],Sheet2!B:C,2,0)</f>
        <v>GCI1008</v>
      </c>
      <c r="M195" s="225" t="str">
        <f>_xlfn.XLOOKUP(Logfile_S[[#This Row],[Material Name]],Sum_WH!E:E,Sum_WH!F:F,"",0)</f>
        <v>Pcs</v>
      </c>
      <c r="N195" s="221">
        <v>183</v>
      </c>
      <c r="O195" s="221">
        <v>0</v>
      </c>
      <c r="P195" s="221" t="s">
        <v>3362</v>
      </c>
      <c r="Q195" s="221">
        <v>0</v>
      </c>
      <c r="R195" s="221">
        <v>0</v>
      </c>
      <c r="S195" s="221"/>
      <c r="T195" s="221"/>
      <c r="U195" s="221"/>
      <c r="V195" s="221"/>
      <c r="W195" s="221"/>
      <c r="X195" s="221"/>
      <c r="Y195" s="227"/>
      <c r="Z195" s="227" t="str">
        <f>P195</f>
        <v xml:space="preserve">UD RIZQI JAYA PRATAMA </v>
      </c>
      <c r="AA195" s="276" t="e">
        <f>VLOOKUP(Logfile_S[[#This Row],[DO number]],DO_DB!G:I,3,0)</f>
        <v>#N/A</v>
      </c>
      <c r="AB195" s="331" t="e">
        <f>EXACT(Logfile_S[[#This Row],[date pick]],Logfile_S[[#This Row],[Date]])</f>
        <v>#N/A</v>
      </c>
      <c r="AC1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6" spans="1:29" ht="14.5">
      <c r="A196" s="220" t="str">
        <f>TEXT(ROW(A196)-ROW($A$4),"000")</f>
        <v>192</v>
      </c>
      <c r="B196" s="221"/>
      <c r="C196" s="221" t="s">
        <v>48</v>
      </c>
      <c r="D196" s="221" t="s">
        <v>3953</v>
      </c>
      <c r="E196" s="221" t="s">
        <v>3295</v>
      </c>
      <c r="F196" s="221" t="s">
        <v>3299</v>
      </c>
      <c r="G196" s="222">
        <v>45349</v>
      </c>
      <c r="H196" s="223">
        <v>15.291666666666666</v>
      </c>
      <c r="I196" s="221" t="s">
        <v>38</v>
      </c>
      <c r="J196" s="221" t="s">
        <v>3024</v>
      </c>
      <c r="K196" s="224" t="s">
        <v>3089</v>
      </c>
      <c r="L196" s="225" t="str">
        <f>VLOOKUP(Logfile_S[[#This Row],[Material Name]],Sheet2!B:C,2,0)</f>
        <v>GCI1003</v>
      </c>
      <c r="M196" s="225" t="str">
        <f>_xlfn.XLOOKUP(Logfile_S[[#This Row],[Material Name]],Sum_WH!E:E,Sum_WH!F:F,"",0)</f>
        <v>Pcs</v>
      </c>
      <c r="N196" s="221">
        <v>301</v>
      </c>
      <c r="O196" s="221">
        <v>0</v>
      </c>
      <c r="P196" s="221" t="s">
        <v>3362</v>
      </c>
      <c r="Q196" s="221">
        <v>0</v>
      </c>
      <c r="R196" s="221">
        <v>0</v>
      </c>
      <c r="S196" s="221"/>
      <c r="T196" s="221"/>
      <c r="U196" s="221"/>
      <c r="V196" s="221"/>
      <c r="W196" s="221"/>
      <c r="X196" s="221"/>
      <c r="Y196" s="227"/>
      <c r="Z196" s="227" t="str">
        <f>P196</f>
        <v xml:space="preserve">UD RIZQI JAYA PRATAMA </v>
      </c>
      <c r="AA196" s="276" t="e">
        <f>VLOOKUP(Logfile_S[[#This Row],[DO number]],DO_DB!G:I,3,0)</f>
        <v>#N/A</v>
      </c>
      <c r="AB196" s="331" t="e">
        <f>EXACT(Logfile_S[[#This Row],[date pick]],Logfile_S[[#This Row],[Date]])</f>
        <v>#N/A</v>
      </c>
      <c r="AC1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7" spans="1:29" ht="14.5">
      <c r="A197" s="220" t="str">
        <f>TEXT(ROW(A197)-ROW($A$4),"000")</f>
        <v>193</v>
      </c>
      <c r="B197" s="221"/>
      <c r="C197" s="221" t="s">
        <v>48</v>
      </c>
      <c r="D197" s="221" t="s">
        <v>3953</v>
      </c>
      <c r="E197" s="221" t="s">
        <v>3295</v>
      </c>
      <c r="F197" s="221" t="s">
        <v>3299</v>
      </c>
      <c r="G197" s="222">
        <v>45349</v>
      </c>
      <c r="H197" s="223">
        <v>15.291666666666666</v>
      </c>
      <c r="I197" s="221" t="s">
        <v>38</v>
      </c>
      <c r="J197" s="221" t="s">
        <v>3024</v>
      </c>
      <c r="K197" s="224" t="s">
        <v>3090</v>
      </c>
      <c r="L197" s="225" t="str">
        <f>VLOOKUP(Logfile_S[[#This Row],[Material Name]],Sheet2!B:C,2,0)</f>
        <v>GCI1004</v>
      </c>
      <c r="M197" s="225" t="str">
        <f>_xlfn.XLOOKUP(Logfile_S[[#This Row],[Material Name]],Sum_WH!E:E,Sum_WH!F:F,"",0)</f>
        <v>Pcs</v>
      </c>
      <c r="N197" s="221">
        <v>91</v>
      </c>
      <c r="O197" s="221">
        <v>0</v>
      </c>
      <c r="P197" s="221" t="s">
        <v>3362</v>
      </c>
      <c r="Q197" s="221">
        <v>0</v>
      </c>
      <c r="R197" s="221">
        <v>0</v>
      </c>
      <c r="S197" s="221"/>
      <c r="T197" s="221"/>
      <c r="U197" s="221"/>
      <c r="V197" s="221"/>
      <c r="W197" s="221"/>
      <c r="X197" s="221"/>
      <c r="Y197" s="227"/>
      <c r="Z197" s="227" t="str">
        <f>P197</f>
        <v xml:space="preserve">UD RIZQI JAYA PRATAMA </v>
      </c>
      <c r="AA197" s="276" t="e">
        <f>VLOOKUP(Logfile_S[[#This Row],[DO number]],DO_DB!G:I,3,0)</f>
        <v>#N/A</v>
      </c>
      <c r="AB197" s="331" t="e">
        <f>EXACT(Logfile_S[[#This Row],[date pick]],Logfile_S[[#This Row],[Date]])</f>
        <v>#N/A</v>
      </c>
      <c r="AC1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8" spans="1:29" ht="14.5">
      <c r="A198" s="237" t="str">
        <f>TEXT(ROW(A198)-ROW($A$4),"000")</f>
        <v>194</v>
      </c>
      <c r="B198" s="221">
        <v>2</v>
      </c>
      <c r="C198" s="227" t="s">
        <v>49</v>
      </c>
      <c r="D198" s="227" t="s">
        <v>4686</v>
      </c>
      <c r="E198" s="227" t="s">
        <v>3295</v>
      </c>
      <c r="F198" s="227" t="s">
        <v>3299</v>
      </c>
      <c r="G198" s="239">
        <v>45970</v>
      </c>
      <c r="H198" s="240">
        <v>0.80555555555555558</v>
      </c>
      <c r="I198" s="227" t="s">
        <v>3295</v>
      </c>
      <c r="J198" s="227" t="s">
        <v>3024</v>
      </c>
      <c r="K198" s="241" t="s">
        <v>3087</v>
      </c>
      <c r="L198" s="225" t="str">
        <f>VLOOKUP(Logfile_S[[#This Row],[Material Name]],Sheet2!B:C,2,0)</f>
        <v>GCI1001</v>
      </c>
      <c r="M198" s="242" t="s">
        <v>19</v>
      </c>
      <c r="N198" s="227">
        <v>53</v>
      </c>
      <c r="O198" s="227" t="s">
        <v>3260</v>
      </c>
      <c r="P198" s="227"/>
      <c r="Q198" s="227" t="s">
        <v>3260</v>
      </c>
      <c r="R198" s="227" t="s">
        <v>3260</v>
      </c>
      <c r="S198" s="227"/>
      <c r="T198" s="221" t="s">
        <v>3258</v>
      </c>
      <c r="U198" s="221">
        <v>0</v>
      </c>
      <c r="V198" s="221" t="s">
        <v>3337</v>
      </c>
      <c r="W198" s="221" t="s">
        <v>3338</v>
      </c>
      <c r="X198" s="227"/>
      <c r="Y198" s="227"/>
      <c r="Z198" s="227">
        <f>P198</f>
        <v>0</v>
      </c>
      <c r="AA198" s="276" t="e">
        <f>VLOOKUP(Logfile_S[[#This Row],[DO number]],DO_DB!G:I,3,0)</f>
        <v>#N/A</v>
      </c>
      <c r="AB198" s="331" t="e">
        <f>EXACT(Logfile_S[[#This Row],[date pick]],Logfile_S[[#This Row],[Date]])</f>
        <v>#N/A</v>
      </c>
      <c r="AC1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9" spans="1:29" ht="14.5">
      <c r="A199" s="237" t="str">
        <f>TEXT(ROW(A199)-ROW($A$4),"000")</f>
        <v>195</v>
      </c>
      <c r="B199" s="221">
        <v>3</v>
      </c>
      <c r="C199" s="227" t="s">
        <v>49</v>
      </c>
      <c r="D199" s="227" t="s">
        <v>4686</v>
      </c>
      <c r="E199" s="227" t="s">
        <v>3295</v>
      </c>
      <c r="F199" s="227" t="s">
        <v>3299</v>
      </c>
      <c r="G199" s="239">
        <v>45970</v>
      </c>
      <c r="H199" s="240">
        <v>0.80555555555555558</v>
      </c>
      <c r="I199" s="227" t="s">
        <v>3295</v>
      </c>
      <c r="J199" s="227" t="s">
        <v>3024</v>
      </c>
      <c r="K199" s="241" t="s">
        <v>3088</v>
      </c>
      <c r="L199" s="225" t="str">
        <f>VLOOKUP(Logfile_S[[#This Row],[Material Name]],Sheet2!B:C,2,0)</f>
        <v>GCI1002</v>
      </c>
      <c r="M199" s="242" t="s">
        <v>19</v>
      </c>
      <c r="N199" s="227">
        <v>2</v>
      </c>
      <c r="O199" s="227" t="s">
        <v>3260</v>
      </c>
      <c r="P199" s="227"/>
      <c r="Q199" s="227" t="s">
        <v>3260</v>
      </c>
      <c r="R199" s="227" t="s">
        <v>3260</v>
      </c>
      <c r="S199" s="227"/>
      <c r="T199" s="221" t="s">
        <v>3258</v>
      </c>
      <c r="U199" s="221">
        <v>0</v>
      </c>
      <c r="V199" s="221" t="s">
        <v>3337</v>
      </c>
      <c r="W199" s="221" t="s">
        <v>3338</v>
      </c>
      <c r="X199" s="227"/>
      <c r="Y199" s="227"/>
      <c r="Z199" s="227">
        <f>P199</f>
        <v>0</v>
      </c>
      <c r="AA199" s="276" t="e">
        <f>VLOOKUP(Logfile_S[[#This Row],[DO number]],DO_DB!G:I,3,0)</f>
        <v>#N/A</v>
      </c>
      <c r="AB199" s="331" t="e">
        <f>EXACT(Logfile_S[[#This Row],[date pick]],Logfile_S[[#This Row],[Date]])</f>
        <v>#N/A</v>
      </c>
      <c r="AC1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0" spans="1:29" ht="14.5">
      <c r="A200" s="237" t="str">
        <f>TEXT(ROW(A200)-ROW($A$4),"000")</f>
        <v>196</v>
      </c>
      <c r="B200" s="221">
        <v>7</v>
      </c>
      <c r="C200" s="227" t="s">
        <v>48</v>
      </c>
      <c r="D200" s="227" t="s">
        <v>4727</v>
      </c>
      <c r="E200" s="227" t="s">
        <v>3295</v>
      </c>
      <c r="F200" s="227" t="s">
        <v>3299</v>
      </c>
      <c r="G200" s="239">
        <v>45987</v>
      </c>
      <c r="H200" s="240">
        <v>0.66736111111111107</v>
      </c>
      <c r="I200" s="227" t="s">
        <v>38</v>
      </c>
      <c r="J200" s="227" t="s">
        <v>3024</v>
      </c>
      <c r="K200" s="241" t="s">
        <v>3097</v>
      </c>
      <c r="L200" s="225" t="str">
        <f>VLOOKUP(Logfile_S[[#This Row],[Material Name]],Sheet2!B:C,2,0)</f>
        <v>GCI1011</v>
      </c>
      <c r="M200" s="242" t="s">
        <v>19</v>
      </c>
      <c r="N200" s="227">
        <v>1</v>
      </c>
      <c r="O200" s="227" t="s">
        <v>3260</v>
      </c>
      <c r="P200" s="227"/>
      <c r="Q200" s="227" t="s">
        <v>3260</v>
      </c>
      <c r="R200" s="227" t="s">
        <v>3260</v>
      </c>
      <c r="S200" s="227"/>
      <c r="T200" s="227"/>
      <c r="U200" s="227"/>
      <c r="V200" s="227"/>
      <c r="W200" s="227"/>
      <c r="X200" s="227"/>
      <c r="Y200" s="227"/>
      <c r="Z200" s="227">
        <f>P200</f>
        <v>0</v>
      </c>
      <c r="AA200" s="276" t="e">
        <f>VLOOKUP(Logfile_S[[#This Row],[DO number]],DO_DB!G:I,3,0)</f>
        <v>#N/A</v>
      </c>
      <c r="AB200" s="331" t="e">
        <f>EXACT(Logfile_S[[#This Row],[date pick]],Logfile_S[[#This Row],[Date]])</f>
        <v>#N/A</v>
      </c>
      <c r="AC2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1" spans="1:29" ht="14.5">
      <c r="A201" s="237" t="str">
        <f>TEXT(ROW(A201)-ROW($A$4),"000")</f>
        <v>197</v>
      </c>
      <c r="B201" s="221">
        <v>5</v>
      </c>
      <c r="C201" s="227" t="s">
        <v>48</v>
      </c>
      <c r="D201" s="227" t="s">
        <v>4727</v>
      </c>
      <c r="E201" s="227" t="s">
        <v>3295</v>
      </c>
      <c r="F201" s="227" t="s">
        <v>3299</v>
      </c>
      <c r="G201" s="239">
        <v>45987</v>
      </c>
      <c r="H201" s="240">
        <v>0.66736111111111107</v>
      </c>
      <c r="I201" s="227" t="s">
        <v>38</v>
      </c>
      <c r="J201" s="227" t="s">
        <v>3024</v>
      </c>
      <c r="K201" s="241" t="s">
        <v>3091</v>
      </c>
      <c r="L201" s="225" t="str">
        <f>VLOOKUP(Logfile_S[[#This Row],[Material Name]],Sheet2!B:C,2,0)</f>
        <v>GCI1005</v>
      </c>
      <c r="M201" s="242" t="s">
        <v>19</v>
      </c>
      <c r="N201" s="227">
        <v>199</v>
      </c>
      <c r="O201" s="227" t="s">
        <v>3260</v>
      </c>
      <c r="P201" s="227"/>
      <c r="Q201" s="227" t="s">
        <v>3260</v>
      </c>
      <c r="R201" s="227" t="s">
        <v>3260</v>
      </c>
      <c r="S201" s="227"/>
      <c r="T201" s="227"/>
      <c r="U201" s="227"/>
      <c r="V201" s="227"/>
      <c r="W201" s="227"/>
      <c r="X201" s="227"/>
      <c r="Y201" s="227"/>
      <c r="Z201" s="227">
        <f>P201</f>
        <v>0</v>
      </c>
      <c r="AA201" s="276" t="e">
        <f>VLOOKUP(Logfile_S[[#This Row],[DO number]],DO_DB!G:I,3,0)</f>
        <v>#N/A</v>
      </c>
      <c r="AB201" s="331" t="e">
        <f>EXACT(Logfile_S[[#This Row],[date pick]],Logfile_S[[#This Row],[Date]])</f>
        <v>#N/A</v>
      </c>
      <c r="AC2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2" spans="1:29" ht="14.5">
      <c r="A202" s="237" t="str">
        <f>TEXT(ROW(A202)-ROW($A$4),"000")</f>
        <v>198</v>
      </c>
      <c r="B202" s="221">
        <v>2</v>
      </c>
      <c r="C202" s="227" t="s">
        <v>48</v>
      </c>
      <c r="D202" s="227" t="s">
        <v>4727</v>
      </c>
      <c r="E202" s="227" t="s">
        <v>3295</v>
      </c>
      <c r="F202" s="227" t="s">
        <v>3299</v>
      </c>
      <c r="G202" s="239">
        <v>45987</v>
      </c>
      <c r="H202" s="240">
        <v>0.66736111111111107</v>
      </c>
      <c r="I202" s="227" t="s">
        <v>38</v>
      </c>
      <c r="J202" s="227" t="s">
        <v>3024</v>
      </c>
      <c r="K202" s="241" t="s">
        <v>3087</v>
      </c>
      <c r="L202" s="225" t="str">
        <f>VLOOKUP(Logfile_S[[#This Row],[Material Name]],Sheet2!B:C,2,0)</f>
        <v>GCI1001</v>
      </c>
      <c r="M202" s="242" t="s">
        <v>19</v>
      </c>
      <c r="N202" s="227">
        <v>52</v>
      </c>
      <c r="O202" s="227" t="s">
        <v>3260</v>
      </c>
      <c r="P202" s="227"/>
      <c r="Q202" s="227" t="s">
        <v>3260</v>
      </c>
      <c r="R202" s="227" t="s">
        <v>3260</v>
      </c>
      <c r="S202" s="227"/>
      <c r="T202" s="227"/>
      <c r="U202" s="227"/>
      <c r="V202" s="227"/>
      <c r="W202" s="227"/>
      <c r="X202" s="227"/>
      <c r="Y202" s="227"/>
      <c r="Z202" s="227">
        <f>P202</f>
        <v>0</v>
      </c>
      <c r="AA202" s="276" t="e">
        <f>VLOOKUP(Logfile_S[[#This Row],[DO number]],DO_DB!G:I,3,0)</f>
        <v>#N/A</v>
      </c>
      <c r="AB202" s="331" t="e">
        <f>EXACT(Logfile_S[[#This Row],[date pick]],Logfile_S[[#This Row],[Date]])</f>
        <v>#N/A</v>
      </c>
      <c r="AC2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3" spans="1:29" ht="14.5">
      <c r="A203" s="237" t="str">
        <f>TEXT(ROW(A203)-ROW($A$4),"000")</f>
        <v>199</v>
      </c>
      <c r="B203" s="221">
        <v>6</v>
      </c>
      <c r="C203" s="227" t="s">
        <v>48</v>
      </c>
      <c r="D203" s="227" t="s">
        <v>4727</v>
      </c>
      <c r="E203" s="227" t="s">
        <v>3295</v>
      </c>
      <c r="F203" s="227" t="s">
        <v>3299</v>
      </c>
      <c r="G203" s="239">
        <v>45987</v>
      </c>
      <c r="H203" s="240">
        <v>0.66736111111111107</v>
      </c>
      <c r="I203" s="227" t="s">
        <v>38</v>
      </c>
      <c r="J203" s="227" t="s">
        <v>3024</v>
      </c>
      <c r="K203" s="224" t="s">
        <v>5137</v>
      </c>
      <c r="L203" s="225" t="str">
        <f>VLOOKUP(Logfile_S[[#This Row],[Material Name]],Sheet2!B:C,2,0)</f>
        <v>GCI1009</v>
      </c>
      <c r="M203" s="242" t="s">
        <v>19</v>
      </c>
      <c r="N203" s="227">
        <v>267</v>
      </c>
      <c r="O203" s="227" t="s">
        <v>3260</v>
      </c>
      <c r="P203" s="227"/>
      <c r="Q203" s="227" t="s">
        <v>3260</v>
      </c>
      <c r="R203" s="227" t="s">
        <v>3260</v>
      </c>
      <c r="S203" s="227"/>
      <c r="T203" s="227"/>
      <c r="U203" s="227"/>
      <c r="V203" s="227"/>
      <c r="W203" s="227"/>
      <c r="X203" s="227"/>
      <c r="Y203" s="227"/>
      <c r="Z203" s="227">
        <f>P203</f>
        <v>0</v>
      </c>
      <c r="AA203" s="276" t="e">
        <f>VLOOKUP(Logfile_S[[#This Row],[DO number]],DO_DB!G:I,3,0)</f>
        <v>#N/A</v>
      </c>
      <c r="AB203" s="331" t="e">
        <f>EXACT(Logfile_S[[#This Row],[date pick]],Logfile_S[[#This Row],[Date]])</f>
        <v>#N/A</v>
      </c>
      <c r="AC2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4" spans="1:29" ht="14.5">
      <c r="A204" s="237" t="str">
        <f>TEXT(ROW(A204)-ROW($A$4),"000")</f>
        <v>200</v>
      </c>
      <c r="B204" s="221">
        <v>1</v>
      </c>
      <c r="C204" s="227" t="s">
        <v>48</v>
      </c>
      <c r="D204" s="227" t="s">
        <v>4727</v>
      </c>
      <c r="E204" s="227" t="s">
        <v>3295</v>
      </c>
      <c r="F204" s="227" t="s">
        <v>3299</v>
      </c>
      <c r="G204" s="239">
        <v>45987</v>
      </c>
      <c r="H204" s="240">
        <v>0.66736111111111107</v>
      </c>
      <c r="I204" s="227" t="s">
        <v>38</v>
      </c>
      <c r="J204" s="227" t="s">
        <v>3024</v>
      </c>
      <c r="K204" s="241" t="s">
        <v>3094</v>
      </c>
      <c r="L204" s="225" t="str">
        <f>VLOOKUP(Logfile_S[[#This Row],[Material Name]],Sheet2!B:C,2,0)</f>
        <v>GCI1008</v>
      </c>
      <c r="M204" s="242" t="s">
        <v>19</v>
      </c>
      <c r="N204" s="227">
        <v>245</v>
      </c>
      <c r="O204" s="227" t="s">
        <v>3260</v>
      </c>
      <c r="P204" s="227"/>
      <c r="Q204" s="227" t="s">
        <v>3260</v>
      </c>
      <c r="R204" s="227" t="s">
        <v>3260</v>
      </c>
      <c r="S204" s="227"/>
      <c r="T204" s="227"/>
      <c r="U204" s="227"/>
      <c r="V204" s="227"/>
      <c r="W204" s="227"/>
      <c r="X204" s="227"/>
      <c r="Y204" s="227"/>
      <c r="Z204" s="227">
        <f>P204</f>
        <v>0</v>
      </c>
      <c r="AA204" s="276" t="e">
        <f>VLOOKUP(Logfile_S[[#This Row],[DO number]],DO_DB!G:I,3,0)</f>
        <v>#N/A</v>
      </c>
      <c r="AB204" s="331" t="e">
        <f>EXACT(Logfile_S[[#This Row],[date pick]],Logfile_S[[#This Row],[Date]])</f>
        <v>#N/A</v>
      </c>
      <c r="AC2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5" spans="1:29" ht="14.5">
      <c r="A205" s="237" t="str">
        <f>TEXT(ROW(A205)-ROW($A$4),"000")</f>
        <v>201</v>
      </c>
      <c r="B205" s="221">
        <v>3</v>
      </c>
      <c r="C205" s="227" t="s">
        <v>48</v>
      </c>
      <c r="D205" s="227" t="s">
        <v>4727</v>
      </c>
      <c r="E205" s="227" t="s">
        <v>3295</v>
      </c>
      <c r="F205" s="227" t="s">
        <v>3299</v>
      </c>
      <c r="G205" s="239">
        <v>45987</v>
      </c>
      <c r="H205" s="240">
        <v>0.66736111111111107</v>
      </c>
      <c r="I205" s="227" t="s">
        <v>38</v>
      </c>
      <c r="J205" s="227" t="s">
        <v>3024</v>
      </c>
      <c r="K205" s="241" t="s">
        <v>3089</v>
      </c>
      <c r="L205" s="225" t="str">
        <f>VLOOKUP(Logfile_S[[#This Row],[Material Name]],Sheet2!B:C,2,0)</f>
        <v>GCI1003</v>
      </c>
      <c r="M205" s="242" t="s">
        <v>19</v>
      </c>
      <c r="N205" s="227">
        <v>50</v>
      </c>
      <c r="O205" s="227" t="s">
        <v>3260</v>
      </c>
      <c r="P205" s="227"/>
      <c r="Q205" s="227" t="s">
        <v>3260</v>
      </c>
      <c r="R205" s="227" t="s">
        <v>3260</v>
      </c>
      <c r="S205" s="227"/>
      <c r="T205" s="227"/>
      <c r="U205" s="227"/>
      <c r="V205" s="227"/>
      <c r="W205" s="227"/>
      <c r="X205" s="227"/>
      <c r="Y205" s="227"/>
      <c r="Z205" s="227">
        <f>P205</f>
        <v>0</v>
      </c>
      <c r="AA205" s="276" t="e">
        <f>VLOOKUP(Logfile_S[[#This Row],[DO number]],DO_DB!G:I,3,0)</f>
        <v>#N/A</v>
      </c>
      <c r="AB205" s="331" t="e">
        <f>EXACT(Logfile_S[[#This Row],[date pick]],Logfile_S[[#This Row],[Date]])</f>
        <v>#N/A</v>
      </c>
      <c r="AC2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6" spans="1:29" ht="14.5">
      <c r="A206" s="237" t="str">
        <f>TEXT(ROW(A206)-ROW($A$4),"000")</f>
        <v>202</v>
      </c>
      <c r="B206" s="221">
        <v>4</v>
      </c>
      <c r="C206" s="227" t="s">
        <v>48</v>
      </c>
      <c r="D206" s="227" t="s">
        <v>4727</v>
      </c>
      <c r="E206" s="227" t="s">
        <v>3295</v>
      </c>
      <c r="F206" s="227" t="s">
        <v>3299</v>
      </c>
      <c r="G206" s="239">
        <v>45987</v>
      </c>
      <c r="H206" s="240">
        <v>0.66736111111111107</v>
      </c>
      <c r="I206" s="227" t="s">
        <v>38</v>
      </c>
      <c r="J206" s="227" t="s">
        <v>3024</v>
      </c>
      <c r="K206" s="241" t="s">
        <v>3090</v>
      </c>
      <c r="L206" s="225" t="str">
        <f>VLOOKUP(Logfile_S[[#This Row],[Material Name]],Sheet2!B:C,2,0)</f>
        <v>GCI1004</v>
      </c>
      <c r="M206" s="242" t="s">
        <v>19</v>
      </c>
      <c r="N206" s="227">
        <v>97</v>
      </c>
      <c r="O206" s="227" t="s">
        <v>3260</v>
      </c>
      <c r="P206" s="227"/>
      <c r="Q206" s="227" t="s">
        <v>3260</v>
      </c>
      <c r="R206" s="227" t="s">
        <v>3260</v>
      </c>
      <c r="S206" s="227"/>
      <c r="T206" s="227"/>
      <c r="U206" s="227"/>
      <c r="V206" s="227"/>
      <c r="W206" s="227"/>
      <c r="X206" s="227"/>
      <c r="Y206" s="227"/>
      <c r="Z206" s="227">
        <f>P206</f>
        <v>0</v>
      </c>
      <c r="AA206" s="276" t="e">
        <f>VLOOKUP(Logfile_S[[#This Row],[DO number]],DO_DB!G:I,3,0)</f>
        <v>#N/A</v>
      </c>
      <c r="AB206" s="331" t="e">
        <f>EXACT(Logfile_S[[#This Row],[date pick]],Logfile_S[[#This Row],[Date]])</f>
        <v>#N/A</v>
      </c>
      <c r="AC2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7" spans="1:29" ht="14.5">
      <c r="A207" s="237" t="str">
        <f>TEXT(ROW(A207)-ROW($A$4),"000")</f>
        <v>203</v>
      </c>
      <c r="B207" s="221">
        <v>10</v>
      </c>
      <c r="C207" s="227" t="s">
        <v>49</v>
      </c>
      <c r="D207" s="227" t="s">
        <v>4740</v>
      </c>
      <c r="E207" s="227" t="s">
        <v>3295</v>
      </c>
      <c r="F207" s="227" t="s">
        <v>3299</v>
      </c>
      <c r="G207" s="239">
        <v>46006</v>
      </c>
      <c r="H207" s="240">
        <v>0.49305555555555558</v>
      </c>
      <c r="I207" s="227" t="s">
        <v>3295</v>
      </c>
      <c r="J207" s="221" t="s">
        <v>3023</v>
      </c>
      <c r="K207" s="241" t="s">
        <v>3074</v>
      </c>
      <c r="L207" s="225" t="str">
        <f>VLOOKUP(Logfile_S[[#This Row],[Material Name]],Sheet2!B:C,2,0)</f>
        <v>ZTE2002</v>
      </c>
      <c r="M207" s="242" t="s">
        <v>20</v>
      </c>
      <c r="N207" s="227">
        <v>3000</v>
      </c>
      <c r="O207" s="227" t="s">
        <v>3260</v>
      </c>
      <c r="P207" s="227"/>
      <c r="Q207" s="227"/>
      <c r="R207" s="227"/>
      <c r="S207" s="227"/>
      <c r="T207" s="221" t="s">
        <v>3258</v>
      </c>
      <c r="U207" s="221" t="s">
        <v>4811</v>
      </c>
      <c r="V207" s="221" t="s">
        <v>3337</v>
      </c>
      <c r="W207" s="221" t="s">
        <v>3338</v>
      </c>
      <c r="X207" s="227"/>
      <c r="Y207" s="227"/>
      <c r="Z207" s="227">
        <f>P207</f>
        <v>0</v>
      </c>
      <c r="AA207" s="276" t="e">
        <f>VLOOKUP(Logfile_S[[#This Row],[DO number]],DO_DB!G:I,3,0)</f>
        <v>#N/A</v>
      </c>
      <c r="AB207" s="331" t="e">
        <f>EXACT(Logfile_S[[#This Row],[date pick]],Logfile_S[[#This Row],[Date]])</f>
        <v>#N/A</v>
      </c>
      <c r="AC2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8" spans="1:29" ht="14.5">
      <c r="A208" s="237" t="str">
        <f>TEXT(ROW(A208)-ROW($A$4),"000")</f>
        <v>204</v>
      </c>
      <c r="B208" s="221">
        <v>1</v>
      </c>
      <c r="C208" s="227" t="s">
        <v>49</v>
      </c>
      <c r="D208" s="227" t="s">
        <v>4737</v>
      </c>
      <c r="E208" s="227" t="s">
        <v>3295</v>
      </c>
      <c r="F208" s="227" t="s">
        <v>3299</v>
      </c>
      <c r="G208" s="239">
        <v>46006</v>
      </c>
      <c r="H208" s="240">
        <v>0.36805555555555558</v>
      </c>
      <c r="I208" s="227" t="s">
        <v>3295</v>
      </c>
      <c r="J208" s="221" t="s">
        <v>3023</v>
      </c>
      <c r="K208" s="241" t="s">
        <v>3075</v>
      </c>
      <c r="L208" s="225" t="str">
        <f>VLOOKUP(Logfile_S[[#This Row],[Material Name]],Sheet2!B:C,2,0)</f>
        <v>ZTE2003</v>
      </c>
      <c r="M208" s="242" t="s">
        <v>20</v>
      </c>
      <c r="N208" s="227">
        <v>3000</v>
      </c>
      <c r="O208" s="227" t="s">
        <v>3260</v>
      </c>
      <c r="P208" s="227"/>
      <c r="Q208" s="227" t="s">
        <v>3260</v>
      </c>
      <c r="R208" s="227" t="s">
        <v>3260</v>
      </c>
      <c r="S208" s="227"/>
      <c r="T208" s="221" t="s">
        <v>3258</v>
      </c>
      <c r="U208" s="221" t="s">
        <v>4811</v>
      </c>
      <c r="V208" s="221" t="s">
        <v>3337</v>
      </c>
      <c r="W208" s="221" t="s">
        <v>3338</v>
      </c>
      <c r="X208" s="227"/>
      <c r="Y208" s="227"/>
      <c r="Z208" s="227">
        <f>P208</f>
        <v>0</v>
      </c>
      <c r="AA208" s="276" t="e">
        <f>VLOOKUP(Logfile_S[[#This Row],[DO number]],DO_DB!G:I,3,0)</f>
        <v>#N/A</v>
      </c>
      <c r="AB208" s="331" t="e">
        <f>EXACT(Logfile_S[[#This Row],[date pick]],Logfile_S[[#This Row],[Date]])</f>
        <v>#N/A</v>
      </c>
      <c r="AC2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9" spans="1:29" ht="14.5">
      <c r="A209" s="237" t="str">
        <f>TEXT(ROW(A209)-ROW($A$4),"000")</f>
        <v>205</v>
      </c>
      <c r="B209" s="221">
        <v>9</v>
      </c>
      <c r="C209" s="227" t="s">
        <v>49</v>
      </c>
      <c r="D209" s="227" t="s">
        <v>4737</v>
      </c>
      <c r="E209" s="227" t="s">
        <v>3295</v>
      </c>
      <c r="F209" s="227" t="s">
        <v>3299</v>
      </c>
      <c r="G209" s="239">
        <v>46006</v>
      </c>
      <c r="H209" s="240">
        <v>0.36805555555555558</v>
      </c>
      <c r="I209" s="227" t="s">
        <v>3295</v>
      </c>
      <c r="J209" s="227" t="s">
        <v>3024</v>
      </c>
      <c r="K209" s="241" t="s">
        <v>3097</v>
      </c>
      <c r="L209" s="225" t="str">
        <f>VLOOKUP(Logfile_S[[#This Row],[Material Name]],Sheet2!B:C,2,0)</f>
        <v>GCI1011</v>
      </c>
      <c r="M209" s="242" t="s">
        <v>19</v>
      </c>
      <c r="N209" s="227">
        <v>1</v>
      </c>
      <c r="O209" s="227" t="s">
        <v>3260</v>
      </c>
      <c r="P209" s="227"/>
      <c r="Q209" s="227" t="s">
        <v>3260</v>
      </c>
      <c r="R209" s="227" t="s">
        <v>3260</v>
      </c>
      <c r="S209" s="227"/>
      <c r="T209" s="221" t="s">
        <v>3258</v>
      </c>
      <c r="U209" s="221" t="s">
        <v>4811</v>
      </c>
      <c r="V209" s="221" t="s">
        <v>3337</v>
      </c>
      <c r="W209" s="221" t="s">
        <v>3338</v>
      </c>
      <c r="X209" s="227"/>
      <c r="Y209" s="227"/>
      <c r="Z209" s="227">
        <f>P209</f>
        <v>0</v>
      </c>
      <c r="AA209" s="276" t="e">
        <f>VLOOKUP(Logfile_S[[#This Row],[DO number]],DO_DB!G:I,3,0)</f>
        <v>#N/A</v>
      </c>
      <c r="AB209" s="331" t="e">
        <f>EXACT(Logfile_S[[#This Row],[date pick]],Logfile_S[[#This Row],[Date]])</f>
        <v>#N/A</v>
      </c>
      <c r="AC2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0" spans="1:29" ht="14.5">
      <c r="A210" s="237" t="str">
        <f>TEXT(ROW(A210)-ROW($A$4),"000")</f>
        <v>206</v>
      </c>
      <c r="B210" s="221">
        <v>7</v>
      </c>
      <c r="C210" s="227" t="s">
        <v>49</v>
      </c>
      <c r="D210" s="227" t="s">
        <v>4737</v>
      </c>
      <c r="E210" s="227" t="s">
        <v>3295</v>
      </c>
      <c r="F210" s="227" t="s">
        <v>3299</v>
      </c>
      <c r="G210" s="239">
        <v>46006</v>
      </c>
      <c r="H210" s="240">
        <v>0.36805555555555558</v>
      </c>
      <c r="I210" s="227" t="s">
        <v>3295</v>
      </c>
      <c r="J210" s="227" t="s">
        <v>3024</v>
      </c>
      <c r="K210" s="241" t="s">
        <v>3091</v>
      </c>
      <c r="L210" s="225" t="str">
        <f>VLOOKUP(Logfile_S[[#This Row],[Material Name]],Sheet2!B:C,2,0)</f>
        <v>GCI1005</v>
      </c>
      <c r="M210" s="242" t="s">
        <v>19</v>
      </c>
      <c r="N210" s="227">
        <v>339</v>
      </c>
      <c r="O210" s="227" t="s">
        <v>3260</v>
      </c>
      <c r="P210" s="227"/>
      <c r="Q210" s="227" t="s">
        <v>3260</v>
      </c>
      <c r="R210" s="227" t="s">
        <v>3260</v>
      </c>
      <c r="S210" s="227"/>
      <c r="T210" s="221" t="s">
        <v>3258</v>
      </c>
      <c r="U210" s="221" t="s">
        <v>4811</v>
      </c>
      <c r="V210" s="221" t="s">
        <v>3337</v>
      </c>
      <c r="W210" s="221" t="s">
        <v>3338</v>
      </c>
      <c r="X210" s="227"/>
      <c r="Y210" s="227"/>
      <c r="Z210" s="227">
        <f>P210</f>
        <v>0</v>
      </c>
      <c r="AA210" s="276" t="e">
        <f>VLOOKUP(Logfile_S[[#This Row],[DO number]],DO_DB!G:I,3,0)</f>
        <v>#N/A</v>
      </c>
      <c r="AB210" s="331" t="e">
        <f>EXACT(Logfile_S[[#This Row],[date pick]],Logfile_S[[#This Row],[Date]])</f>
        <v>#N/A</v>
      </c>
      <c r="AC2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1" spans="1:29" ht="14.5">
      <c r="A211" s="237" t="str">
        <f>TEXT(ROW(A211)-ROW($A$4),"000")</f>
        <v>207</v>
      </c>
      <c r="B211" s="221">
        <v>3</v>
      </c>
      <c r="C211" s="227" t="s">
        <v>49</v>
      </c>
      <c r="D211" s="227" t="s">
        <v>4737</v>
      </c>
      <c r="E211" s="227" t="s">
        <v>3295</v>
      </c>
      <c r="F211" s="227" t="s">
        <v>3299</v>
      </c>
      <c r="G211" s="239">
        <v>46006</v>
      </c>
      <c r="H211" s="240">
        <v>0.36805555555555558</v>
      </c>
      <c r="I211" s="227" t="s">
        <v>3295</v>
      </c>
      <c r="J211" s="227" t="s">
        <v>3024</v>
      </c>
      <c r="K211" s="241" t="s">
        <v>3087</v>
      </c>
      <c r="L211" s="225" t="str">
        <f>VLOOKUP(Logfile_S[[#This Row],[Material Name]],Sheet2!B:C,2,0)</f>
        <v>GCI1001</v>
      </c>
      <c r="M211" s="242" t="s">
        <v>19</v>
      </c>
      <c r="N211" s="227">
        <v>52</v>
      </c>
      <c r="O211" s="227" t="s">
        <v>3260</v>
      </c>
      <c r="P211" s="227"/>
      <c r="Q211" s="227" t="s">
        <v>3260</v>
      </c>
      <c r="R211" s="227" t="s">
        <v>3260</v>
      </c>
      <c r="S211" s="227"/>
      <c r="T211" s="221" t="s">
        <v>3258</v>
      </c>
      <c r="U211" s="221" t="s">
        <v>4811</v>
      </c>
      <c r="V211" s="221" t="s">
        <v>3337</v>
      </c>
      <c r="W211" s="221" t="s">
        <v>3338</v>
      </c>
      <c r="X211" s="227"/>
      <c r="Y211" s="227"/>
      <c r="Z211" s="227">
        <f>P211</f>
        <v>0</v>
      </c>
      <c r="AA211" s="276" t="e">
        <f>VLOOKUP(Logfile_S[[#This Row],[DO number]],DO_DB!G:I,3,0)</f>
        <v>#N/A</v>
      </c>
      <c r="AB211" s="331" t="e">
        <f>EXACT(Logfile_S[[#This Row],[date pick]],Logfile_S[[#This Row],[Date]])</f>
        <v>#N/A</v>
      </c>
      <c r="AC2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2" spans="1:29" ht="14.5">
      <c r="A212" s="237" t="str">
        <f>TEXT(ROW(A212)-ROW($A$4),"000")</f>
        <v>208</v>
      </c>
      <c r="B212" s="221">
        <v>8</v>
      </c>
      <c r="C212" s="227" t="s">
        <v>49</v>
      </c>
      <c r="D212" s="227" t="s">
        <v>4737</v>
      </c>
      <c r="E212" s="227" t="s">
        <v>3295</v>
      </c>
      <c r="F212" s="227" t="s">
        <v>3299</v>
      </c>
      <c r="G212" s="239">
        <v>46006</v>
      </c>
      <c r="H212" s="240">
        <v>0.36805555555555558</v>
      </c>
      <c r="I212" s="227" t="s">
        <v>3295</v>
      </c>
      <c r="J212" s="227" t="s">
        <v>3024</v>
      </c>
      <c r="K212" s="224" t="s">
        <v>5137</v>
      </c>
      <c r="L212" s="225" t="str">
        <f>VLOOKUP(Logfile_S[[#This Row],[Material Name]],Sheet2!B:C,2,0)</f>
        <v>GCI1009</v>
      </c>
      <c r="M212" s="242" t="s">
        <v>19</v>
      </c>
      <c r="N212" s="227">
        <v>267</v>
      </c>
      <c r="O212" s="227" t="s">
        <v>3260</v>
      </c>
      <c r="P212" s="227"/>
      <c r="Q212" s="227" t="s">
        <v>3260</v>
      </c>
      <c r="R212" s="227" t="s">
        <v>3260</v>
      </c>
      <c r="S212" s="227"/>
      <c r="T212" s="221" t="s">
        <v>3258</v>
      </c>
      <c r="U212" s="221" t="s">
        <v>4811</v>
      </c>
      <c r="V212" s="221" t="s">
        <v>3337</v>
      </c>
      <c r="W212" s="221" t="s">
        <v>3338</v>
      </c>
      <c r="X212" s="227"/>
      <c r="Y212" s="227"/>
      <c r="Z212" s="227">
        <f>P212</f>
        <v>0</v>
      </c>
      <c r="AA212" s="276" t="e">
        <f>VLOOKUP(Logfile_S[[#This Row],[DO number]],DO_DB!G:I,3,0)</f>
        <v>#N/A</v>
      </c>
      <c r="AB212" s="331" t="e">
        <f>EXACT(Logfile_S[[#This Row],[date pick]],Logfile_S[[#This Row],[Date]])</f>
        <v>#N/A</v>
      </c>
      <c r="AC2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3" spans="1:29" ht="14.5">
      <c r="A213" s="237" t="str">
        <f>TEXT(ROW(A213)-ROW($A$4),"000")</f>
        <v>209</v>
      </c>
      <c r="B213" s="221">
        <v>6</v>
      </c>
      <c r="C213" s="227" t="s">
        <v>49</v>
      </c>
      <c r="D213" s="227" t="s">
        <v>4737</v>
      </c>
      <c r="E213" s="227" t="s">
        <v>3295</v>
      </c>
      <c r="F213" s="227" t="s">
        <v>3299</v>
      </c>
      <c r="G213" s="239">
        <v>46006</v>
      </c>
      <c r="H213" s="240">
        <v>0.36805555555555558</v>
      </c>
      <c r="I213" s="227" t="s">
        <v>3295</v>
      </c>
      <c r="J213" s="227" t="s">
        <v>3024</v>
      </c>
      <c r="K213" s="241" t="s">
        <v>3088</v>
      </c>
      <c r="L213" s="225" t="str">
        <f>VLOOKUP(Logfile_S[[#This Row],[Material Name]],Sheet2!B:C,2,0)</f>
        <v>GCI1002</v>
      </c>
      <c r="M213" s="242" t="s">
        <v>19</v>
      </c>
      <c r="N213" s="227">
        <v>5</v>
      </c>
      <c r="O213" s="227" t="s">
        <v>3260</v>
      </c>
      <c r="P213" s="227"/>
      <c r="Q213" s="227" t="s">
        <v>3260</v>
      </c>
      <c r="R213" s="227" t="s">
        <v>3260</v>
      </c>
      <c r="S213" s="227"/>
      <c r="T213" s="221" t="s">
        <v>3258</v>
      </c>
      <c r="U213" s="221" t="s">
        <v>4811</v>
      </c>
      <c r="V213" s="221" t="s">
        <v>3337</v>
      </c>
      <c r="W213" s="221" t="s">
        <v>3338</v>
      </c>
      <c r="X213" s="227"/>
      <c r="Y213" s="227"/>
      <c r="Z213" s="227">
        <f>P213</f>
        <v>0</v>
      </c>
      <c r="AA213" s="276" t="e">
        <f>VLOOKUP(Logfile_S[[#This Row],[DO number]],DO_DB!G:I,3,0)</f>
        <v>#N/A</v>
      </c>
      <c r="AB213" s="331" t="e">
        <f>EXACT(Logfile_S[[#This Row],[date pick]],Logfile_S[[#This Row],[Date]])</f>
        <v>#N/A</v>
      </c>
      <c r="AC2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4" spans="1:29" ht="14.5">
      <c r="A214" s="237" t="str">
        <f>TEXT(ROW(A214)-ROW($A$4),"000")</f>
        <v>210</v>
      </c>
      <c r="B214" s="221">
        <v>2</v>
      </c>
      <c r="C214" s="227" t="s">
        <v>49</v>
      </c>
      <c r="D214" s="227" t="s">
        <v>4737</v>
      </c>
      <c r="E214" s="227" t="s">
        <v>3295</v>
      </c>
      <c r="F214" s="227" t="s">
        <v>3299</v>
      </c>
      <c r="G214" s="239">
        <v>46006</v>
      </c>
      <c r="H214" s="240">
        <v>0.36805555555555558</v>
      </c>
      <c r="I214" s="227" t="s">
        <v>3295</v>
      </c>
      <c r="J214" s="227" t="s">
        <v>3024</v>
      </c>
      <c r="K214" s="241" t="s">
        <v>3094</v>
      </c>
      <c r="L214" s="225" t="str">
        <f>VLOOKUP(Logfile_S[[#This Row],[Material Name]],Sheet2!B:C,2,0)</f>
        <v>GCI1008</v>
      </c>
      <c r="M214" s="242" t="s">
        <v>19</v>
      </c>
      <c r="N214" s="227">
        <v>245</v>
      </c>
      <c r="O214" s="227" t="s">
        <v>3260</v>
      </c>
      <c r="P214" s="227"/>
      <c r="Q214" s="227" t="s">
        <v>3260</v>
      </c>
      <c r="R214" s="227" t="s">
        <v>3260</v>
      </c>
      <c r="S214" s="227"/>
      <c r="T214" s="221" t="s">
        <v>3258</v>
      </c>
      <c r="U214" s="221" t="s">
        <v>4811</v>
      </c>
      <c r="V214" s="221" t="s">
        <v>3337</v>
      </c>
      <c r="W214" s="221" t="s">
        <v>3338</v>
      </c>
      <c r="X214" s="227"/>
      <c r="Y214" s="227"/>
      <c r="Z214" s="227">
        <f>P214</f>
        <v>0</v>
      </c>
      <c r="AA214" s="276" t="e">
        <f>VLOOKUP(Logfile_S[[#This Row],[DO number]],DO_DB!G:I,3,0)</f>
        <v>#N/A</v>
      </c>
      <c r="AB214" s="331" t="e">
        <f>EXACT(Logfile_S[[#This Row],[date pick]],Logfile_S[[#This Row],[Date]])</f>
        <v>#N/A</v>
      </c>
      <c r="AC2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5" spans="1:29" ht="14.5">
      <c r="A215" s="237" t="str">
        <f>TEXT(ROW(A215)-ROW($A$4),"000")</f>
        <v>211</v>
      </c>
      <c r="B215" s="221">
        <v>4</v>
      </c>
      <c r="C215" s="227" t="s">
        <v>49</v>
      </c>
      <c r="D215" s="227" t="s">
        <v>4737</v>
      </c>
      <c r="E215" s="227" t="s">
        <v>3295</v>
      </c>
      <c r="F215" s="227" t="s">
        <v>3299</v>
      </c>
      <c r="G215" s="239">
        <v>46006</v>
      </c>
      <c r="H215" s="240">
        <v>0.36805555555555558</v>
      </c>
      <c r="I215" s="227" t="s">
        <v>3295</v>
      </c>
      <c r="J215" s="227" t="s">
        <v>3024</v>
      </c>
      <c r="K215" s="241" t="s">
        <v>3089</v>
      </c>
      <c r="L215" s="225" t="str">
        <f>VLOOKUP(Logfile_S[[#This Row],[Material Name]],Sheet2!B:C,2,0)</f>
        <v>GCI1003</v>
      </c>
      <c r="M215" s="242" t="s">
        <v>19</v>
      </c>
      <c r="N215" s="227">
        <v>144</v>
      </c>
      <c r="O215" s="227" t="s">
        <v>3260</v>
      </c>
      <c r="P215" s="227"/>
      <c r="Q215" s="227" t="s">
        <v>3260</v>
      </c>
      <c r="R215" s="227" t="s">
        <v>3260</v>
      </c>
      <c r="S215" s="227"/>
      <c r="T215" s="221" t="s">
        <v>3258</v>
      </c>
      <c r="U215" s="221" t="s">
        <v>4811</v>
      </c>
      <c r="V215" s="221" t="s">
        <v>3337</v>
      </c>
      <c r="W215" s="221" t="s">
        <v>3338</v>
      </c>
      <c r="X215" s="227"/>
      <c r="Y215" s="227"/>
      <c r="Z215" s="227">
        <f>P215</f>
        <v>0</v>
      </c>
      <c r="AA215" s="276" t="e">
        <f>VLOOKUP(Logfile_S[[#This Row],[DO number]],DO_DB!G:I,3,0)</f>
        <v>#N/A</v>
      </c>
      <c r="AB215" s="331" t="e">
        <f>EXACT(Logfile_S[[#This Row],[date pick]],Logfile_S[[#This Row],[Date]])</f>
        <v>#N/A</v>
      </c>
      <c r="AC2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6" spans="1:29" ht="14.5">
      <c r="A216" s="237" t="str">
        <f>TEXT(ROW(A216)-ROW($A$4),"000")</f>
        <v>212</v>
      </c>
      <c r="B216" s="221">
        <v>5</v>
      </c>
      <c r="C216" s="227" t="s">
        <v>49</v>
      </c>
      <c r="D216" s="227" t="s">
        <v>4737</v>
      </c>
      <c r="E216" s="227" t="s">
        <v>3295</v>
      </c>
      <c r="F216" s="227" t="s">
        <v>3299</v>
      </c>
      <c r="G216" s="239">
        <v>46006</v>
      </c>
      <c r="H216" s="240">
        <v>0.36805555555555558</v>
      </c>
      <c r="I216" s="227" t="s">
        <v>3295</v>
      </c>
      <c r="J216" s="227" t="s">
        <v>3024</v>
      </c>
      <c r="K216" s="241" t="s">
        <v>3090</v>
      </c>
      <c r="L216" s="225" t="str">
        <f>VLOOKUP(Logfile_S[[#This Row],[Material Name]],Sheet2!B:C,2,0)</f>
        <v>GCI1004</v>
      </c>
      <c r="M216" s="242" t="s">
        <v>19</v>
      </c>
      <c r="N216" s="227">
        <v>97</v>
      </c>
      <c r="O216" s="227" t="s">
        <v>3260</v>
      </c>
      <c r="P216" s="227"/>
      <c r="Q216" s="227" t="s">
        <v>3260</v>
      </c>
      <c r="R216" s="227" t="s">
        <v>3260</v>
      </c>
      <c r="S216" s="227"/>
      <c r="T216" s="221" t="s">
        <v>3258</v>
      </c>
      <c r="U216" s="221" t="s">
        <v>4811</v>
      </c>
      <c r="V216" s="221" t="s">
        <v>3337</v>
      </c>
      <c r="W216" s="221" t="s">
        <v>3338</v>
      </c>
      <c r="X216" s="227"/>
      <c r="Y216" s="227"/>
      <c r="Z216" s="227">
        <f>P216</f>
        <v>0</v>
      </c>
      <c r="AA216" s="276" t="e">
        <f>VLOOKUP(Logfile_S[[#This Row],[DO number]],DO_DB!G:I,3,0)</f>
        <v>#N/A</v>
      </c>
      <c r="AB216" s="331" t="e">
        <f>EXACT(Logfile_S[[#This Row],[date pick]],Logfile_S[[#This Row],[Date]])</f>
        <v>#N/A</v>
      </c>
      <c r="AC2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7" spans="1:29" ht="14.5">
      <c r="A217" s="244" t="str">
        <f>TEXT(ROW(A217)-ROW($A$4),"000")</f>
        <v>213</v>
      </c>
      <c r="B217" s="229"/>
      <c r="C217" s="229" t="s">
        <v>49</v>
      </c>
      <c r="D217" s="229" t="s">
        <v>4428</v>
      </c>
      <c r="E217" s="229" t="s">
        <v>3295</v>
      </c>
      <c r="F217" s="229" t="s">
        <v>3299</v>
      </c>
      <c r="G217" s="245">
        <v>45900</v>
      </c>
      <c r="H217" s="246">
        <v>0.90028935185185188</v>
      </c>
      <c r="I217" s="229" t="s">
        <v>3295</v>
      </c>
      <c r="J217" s="229" t="s">
        <v>3024</v>
      </c>
      <c r="K217" s="233" t="s">
        <v>3091</v>
      </c>
      <c r="L217" s="234" t="str">
        <f>VLOOKUP(Logfile_S[[#This Row],[Material Name]],Sheet2!B:C,2,0)</f>
        <v>GCI1005</v>
      </c>
      <c r="M217" s="234" t="str">
        <f>_xlfn.XLOOKUP(Logfile_S[[#This Row],[Material Name]],Sum_WH!E:E,Sum_WH!F:F,"",0)</f>
        <v>Pcs</v>
      </c>
      <c r="N217" s="229">
        <v>230</v>
      </c>
      <c r="O217" s="230" t="s">
        <v>4429</v>
      </c>
      <c r="P217" s="230" t="s">
        <v>4429</v>
      </c>
      <c r="Q217" s="229"/>
      <c r="R217" s="229"/>
      <c r="S217" s="229"/>
      <c r="T217" s="229"/>
      <c r="U217" s="229"/>
      <c r="V217" s="229"/>
      <c r="W217" s="229"/>
      <c r="X217" s="229" t="s">
        <v>4429</v>
      </c>
      <c r="Y217" s="227"/>
      <c r="Z217" s="227" t="str">
        <f>P217</f>
        <v>ADJUSTMENT</v>
      </c>
      <c r="AA217" s="276" t="e">
        <f>VLOOKUP(Logfile_S[[#This Row],[DO number]],DO_DB!G:I,3,0)</f>
        <v>#N/A</v>
      </c>
      <c r="AB217" s="331" t="e">
        <f>EXACT(Logfile_S[[#This Row],[date pick]],Logfile_S[[#This Row],[Date]])</f>
        <v>#N/A</v>
      </c>
      <c r="AC2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8" spans="1:29" ht="14.5">
      <c r="A218" s="244" t="str">
        <f>TEXT(ROW(A218)-ROW($A$4),"000")</f>
        <v>214</v>
      </c>
      <c r="B218" s="229"/>
      <c r="C218" s="229" t="s">
        <v>49</v>
      </c>
      <c r="D218" s="229" t="s">
        <v>4428</v>
      </c>
      <c r="E218" s="229" t="s">
        <v>3295</v>
      </c>
      <c r="F218" s="229" t="s">
        <v>3299</v>
      </c>
      <c r="G218" s="245">
        <v>45900</v>
      </c>
      <c r="H218" s="246">
        <v>0.90028935185185188</v>
      </c>
      <c r="I218" s="229" t="s">
        <v>3295</v>
      </c>
      <c r="J218" s="229" t="s">
        <v>3024</v>
      </c>
      <c r="K218" s="233" t="s">
        <v>3087</v>
      </c>
      <c r="L218" s="234" t="str">
        <f>VLOOKUP(Logfile_S[[#This Row],[Material Name]],Sheet2!B:C,2,0)</f>
        <v>GCI1001</v>
      </c>
      <c r="M218" s="234" t="str">
        <f>_xlfn.XLOOKUP(Logfile_S[[#This Row],[Material Name]],Sum_WH!E:E,Sum_WH!F:F,"",0)</f>
        <v>Pcs</v>
      </c>
      <c r="N218" s="229">
        <v>7</v>
      </c>
      <c r="O218" s="230" t="s">
        <v>4429</v>
      </c>
      <c r="P218" s="230" t="s">
        <v>4429</v>
      </c>
      <c r="Q218" s="229"/>
      <c r="R218" s="229"/>
      <c r="S218" s="229"/>
      <c r="T218" s="229"/>
      <c r="U218" s="229"/>
      <c r="V218" s="229"/>
      <c r="W218" s="229"/>
      <c r="X218" s="229" t="s">
        <v>4429</v>
      </c>
      <c r="Y218" s="227"/>
      <c r="Z218" s="227" t="str">
        <f>P218</f>
        <v>ADJUSTMENT</v>
      </c>
      <c r="AA218" s="276" t="e">
        <f>VLOOKUP(Logfile_S[[#This Row],[DO number]],DO_DB!G:I,3,0)</f>
        <v>#N/A</v>
      </c>
      <c r="AB218" s="331" t="e">
        <f>EXACT(Logfile_S[[#This Row],[date pick]],Logfile_S[[#This Row],[Date]])</f>
        <v>#N/A</v>
      </c>
      <c r="AC2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9" spans="1:29" ht="14.5">
      <c r="A219" s="244" t="str">
        <f>TEXT(ROW(A219)-ROW($A$4),"000")</f>
        <v>215</v>
      </c>
      <c r="B219" s="229"/>
      <c r="C219" s="229" t="s">
        <v>49</v>
      </c>
      <c r="D219" s="229" t="s">
        <v>4428</v>
      </c>
      <c r="E219" s="229" t="s">
        <v>3295</v>
      </c>
      <c r="F219" s="229" t="s">
        <v>3299</v>
      </c>
      <c r="G219" s="245">
        <v>45900</v>
      </c>
      <c r="H219" s="246">
        <v>0.90028935185185188</v>
      </c>
      <c r="I219" s="229" t="s">
        <v>3295</v>
      </c>
      <c r="J219" s="229" t="s">
        <v>3024</v>
      </c>
      <c r="K219" s="224" t="s">
        <v>5137</v>
      </c>
      <c r="L219" s="234" t="str">
        <f>VLOOKUP(Logfile_S[[#This Row],[Material Name]],Sheet2!B:C,2,0)</f>
        <v>GCI1009</v>
      </c>
      <c r="M219" s="234" t="str">
        <f>_xlfn.XLOOKUP(Logfile_S[[#This Row],[Material Name]],Sum_WH!E:E,Sum_WH!F:F,"",0)</f>
        <v>Pcs</v>
      </c>
      <c r="N219" s="229">
        <v>15</v>
      </c>
      <c r="O219" s="230" t="s">
        <v>4429</v>
      </c>
      <c r="P219" s="230" t="s">
        <v>4429</v>
      </c>
      <c r="Q219" s="229"/>
      <c r="R219" s="229"/>
      <c r="S219" s="229"/>
      <c r="T219" s="229"/>
      <c r="U219" s="229"/>
      <c r="V219" s="229"/>
      <c r="W219" s="229"/>
      <c r="X219" s="229" t="s">
        <v>4429</v>
      </c>
      <c r="Y219" s="227"/>
      <c r="Z219" s="227" t="str">
        <f>P219</f>
        <v>ADJUSTMENT</v>
      </c>
      <c r="AA219" s="276" t="e">
        <f>VLOOKUP(Logfile_S[[#This Row],[DO number]],DO_DB!G:I,3,0)</f>
        <v>#N/A</v>
      </c>
      <c r="AB219" s="331" t="e">
        <f>EXACT(Logfile_S[[#This Row],[date pick]],Logfile_S[[#This Row],[Date]])</f>
        <v>#N/A</v>
      </c>
      <c r="AC2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0" spans="1:29" ht="14.5">
      <c r="A220" s="244" t="str">
        <f>TEXT(ROW(A220)-ROW($A$4),"000")</f>
        <v>216</v>
      </c>
      <c r="B220" s="229"/>
      <c r="C220" s="229" t="s">
        <v>49</v>
      </c>
      <c r="D220" s="229" t="s">
        <v>4428</v>
      </c>
      <c r="E220" s="229" t="s">
        <v>3295</v>
      </c>
      <c r="F220" s="229" t="s">
        <v>3299</v>
      </c>
      <c r="G220" s="245">
        <v>45900</v>
      </c>
      <c r="H220" s="246">
        <v>0.90028935185185188</v>
      </c>
      <c r="I220" s="229" t="s">
        <v>3295</v>
      </c>
      <c r="J220" s="229" t="s">
        <v>3024</v>
      </c>
      <c r="K220" s="233" t="s">
        <v>3101</v>
      </c>
      <c r="L220" s="234" t="str">
        <f>VLOOKUP(Logfile_S[[#This Row],[Material Name]],Sheet2!B:C,2,0)</f>
        <v>GCI1015</v>
      </c>
      <c r="M220" s="234" t="str">
        <f>_xlfn.XLOOKUP(Logfile_S[[#This Row],[Material Name]],Sum_WH!E:E,Sum_WH!F:F,"",0)</f>
        <v>Pcs</v>
      </c>
      <c r="N220" s="229">
        <v>15</v>
      </c>
      <c r="O220" s="230" t="s">
        <v>4429</v>
      </c>
      <c r="P220" s="230" t="s">
        <v>4429</v>
      </c>
      <c r="Q220" s="229"/>
      <c r="R220" s="229"/>
      <c r="S220" s="229"/>
      <c r="T220" s="229"/>
      <c r="U220" s="229"/>
      <c r="V220" s="229"/>
      <c r="W220" s="229"/>
      <c r="X220" s="229" t="s">
        <v>4429</v>
      </c>
      <c r="Y220" s="227"/>
      <c r="Z220" s="227" t="str">
        <f>P220</f>
        <v>ADJUSTMENT</v>
      </c>
      <c r="AA220" s="276" t="e">
        <f>VLOOKUP(Logfile_S[[#This Row],[DO number]],DO_DB!G:I,3,0)</f>
        <v>#N/A</v>
      </c>
      <c r="AB220" s="331" t="e">
        <f>EXACT(Logfile_S[[#This Row],[date pick]],Logfile_S[[#This Row],[Date]])</f>
        <v>#N/A</v>
      </c>
      <c r="AC2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1" spans="1:29" ht="14.5">
      <c r="A221" s="244" t="str">
        <f>TEXT(ROW(A221)-ROW($A$4),"000")</f>
        <v>217</v>
      </c>
      <c r="B221" s="229"/>
      <c r="C221" s="229" t="s">
        <v>48</v>
      </c>
      <c r="D221" s="229" t="s">
        <v>4430</v>
      </c>
      <c r="E221" s="229" t="s">
        <v>3295</v>
      </c>
      <c r="F221" s="229" t="s">
        <v>3299</v>
      </c>
      <c r="G221" s="245">
        <v>45900</v>
      </c>
      <c r="H221" s="246">
        <v>0.90028935185185188</v>
      </c>
      <c r="I221" s="229" t="s">
        <v>37</v>
      </c>
      <c r="J221" s="229" t="s">
        <v>3023</v>
      </c>
      <c r="K221" s="233" t="s">
        <v>13</v>
      </c>
      <c r="L221" s="234" t="str">
        <f>VLOOKUP(Logfile_S[[#This Row],[Material Name]],Sheet2!B:C,2,0)</f>
        <v>ZTE2008</v>
      </c>
      <c r="M221" s="234" t="str">
        <f>_xlfn.XLOOKUP(Logfile_S[[#This Row],[Material Name]],Sum_WH!E:E,Sum_WH!F:F,"",0)</f>
        <v>Pcs</v>
      </c>
      <c r="N221" s="229">
        <v>22</v>
      </c>
      <c r="O221" s="230" t="s">
        <v>4429</v>
      </c>
      <c r="P221" s="230" t="s">
        <v>4429</v>
      </c>
      <c r="Q221" s="229"/>
      <c r="R221" s="229"/>
      <c r="S221" s="229"/>
      <c r="T221" s="229"/>
      <c r="U221" s="229"/>
      <c r="V221" s="229"/>
      <c r="W221" s="229"/>
      <c r="X221" s="229" t="s">
        <v>4429</v>
      </c>
      <c r="Y221" s="227"/>
      <c r="Z221" s="227" t="str">
        <f>P221</f>
        <v>ADJUSTMENT</v>
      </c>
      <c r="AA221" s="276" t="e">
        <f>VLOOKUP(Logfile_S[[#This Row],[DO number]],DO_DB!G:I,3,0)</f>
        <v>#N/A</v>
      </c>
      <c r="AB221" s="331" t="e">
        <f>EXACT(Logfile_S[[#This Row],[date pick]],Logfile_S[[#This Row],[Date]])</f>
        <v>#N/A</v>
      </c>
      <c r="AC2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2" spans="1:29" ht="14.5">
      <c r="A222" s="244" t="str">
        <f>TEXT(ROW(A222)-ROW($A$4),"000")</f>
        <v>218</v>
      </c>
      <c r="B222" s="229"/>
      <c r="C222" s="229" t="s">
        <v>49</v>
      </c>
      <c r="D222" s="229" t="s">
        <v>4428</v>
      </c>
      <c r="E222" s="229" t="s">
        <v>3295</v>
      </c>
      <c r="F222" s="229" t="s">
        <v>3299</v>
      </c>
      <c r="G222" s="245">
        <v>45900</v>
      </c>
      <c r="H222" s="246">
        <v>0.90028935185185188</v>
      </c>
      <c r="I222" s="229" t="s">
        <v>3295</v>
      </c>
      <c r="J222" s="229" t="s">
        <v>3024</v>
      </c>
      <c r="K222" s="233" t="s">
        <v>3107</v>
      </c>
      <c r="L222" s="234" t="str">
        <f>VLOOKUP(Logfile_S[[#This Row],[Material Name]],Sheet2!B:C,2,0)</f>
        <v>GCI1019</v>
      </c>
      <c r="M222" s="234" t="str">
        <f>_xlfn.XLOOKUP(Logfile_S[[#This Row],[Material Name]],Sum_WH!E:E,Sum_WH!F:F,"",0)</f>
        <v>Pcs</v>
      </c>
      <c r="N222" s="229">
        <v>175</v>
      </c>
      <c r="O222" s="230" t="s">
        <v>4429</v>
      </c>
      <c r="P222" s="230" t="s">
        <v>4429</v>
      </c>
      <c r="Q222" s="229"/>
      <c r="R222" s="229"/>
      <c r="S222" s="229"/>
      <c r="T222" s="229"/>
      <c r="U222" s="229"/>
      <c r="V222" s="229"/>
      <c r="W222" s="229"/>
      <c r="X222" s="229" t="s">
        <v>4429</v>
      </c>
      <c r="Y222" s="227"/>
      <c r="Z222" s="227" t="str">
        <f>P222</f>
        <v>ADJUSTMENT</v>
      </c>
      <c r="AA222" s="276" t="e">
        <f>VLOOKUP(Logfile_S[[#This Row],[DO number]],DO_DB!G:I,3,0)</f>
        <v>#N/A</v>
      </c>
      <c r="AB222" s="331" t="e">
        <f>EXACT(Logfile_S[[#This Row],[date pick]],Logfile_S[[#This Row],[Date]])</f>
        <v>#N/A</v>
      </c>
      <c r="AC2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3" spans="1:29" ht="14.5">
      <c r="A223" s="244" t="str">
        <f>TEXT(ROW(A223)-ROW($A$4),"000")</f>
        <v>219</v>
      </c>
      <c r="B223" s="229"/>
      <c r="C223" s="229" t="s">
        <v>49</v>
      </c>
      <c r="D223" s="229" t="s">
        <v>4428</v>
      </c>
      <c r="E223" s="229" t="s">
        <v>3295</v>
      </c>
      <c r="F223" s="229" t="s">
        <v>3299</v>
      </c>
      <c r="G223" s="245">
        <v>45900</v>
      </c>
      <c r="H223" s="246">
        <v>0.90028935185185188</v>
      </c>
      <c r="I223" s="229" t="s">
        <v>3295</v>
      </c>
      <c r="J223" s="229" t="s">
        <v>3024</v>
      </c>
      <c r="K223" s="233" t="s">
        <v>3094</v>
      </c>
      <c r="L223" s="234" t="str">
        <f>VLOOKUP(Logfile_S[[#This Row],[Material Name]],Sheet2!B:C,2,0)</f>
        <v>GCI1008</v>
      </c>
      <c r="M223" s="234" t="str">
        <f>_xlfn.XLOOKUP(Logfile_S[[#This Row],[Material Name]],Sum_WH!E:E,Sum_WH!F:F,"",0)</f>
        <v>Pcs</v>
      </c>
      <c r="N223" s="229">
        <v>7</v>
      </c>
      <c r="O223" s="230" t="s">
        <v>4429</v>
      </c>
      <c r="P223" s="230" t="s">
        <v>4429</v>
      </c>
      <c r="Q223" s="229" t="s">
        <v>3260</v>
      </c>
      <c r="R223" s="229" t="s">
        <v>3260</v>
      </c>
      <c r="S223" s="229"/>
      <c r="T223" s="229"/>
      <c r="U223" s="229"/>
      <c r="V223" s="229"/>
      <c r="W223" s="229"/>
      <c r="X223" s="229" t="s">
        <v>4429</v>
      </c>
      <c r="Y223" s="227"/>
      <c r="Z223" s="227" t="str">
        <f>P223</f>
        <v>ADJUSTMENT</v>
      </c>
      <c r="AA223" s="276" t="e">
        <f>VLOOKUP(Logfile_S[[#This Row],[DO number]],DO_DB!G:I,3,0)</f>
        <v>#N/A</v>
      </c>
      <c r="AB223" s="331" t="e">
        <f>EXACT(Logfile_S[[#This Row],[date pick]],Logfile_S[[#This Row],[Date]])</f>
        <v>#N/A</v>
      </c>
      <c r="AC2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4" spans="1:29" ht="14.5">
      <c r="A224" s="244" t="str">
        <f>TEXT(ROW(A224)-ROW($A$4),"000")</f>
        <v>220</v>
      </c>
      <c r="B224" s="229"/>
      <c r="C224" s="229" t="s">
        <v>49</v>
      </c>
      <c r="D224" s="229" t="s">
        <v>4428</v>
      </c>
      <c r="E224" s="229" t="s">
        <v>3295</v>
      </c>
      <c r="F224" s="229" t="s">
        <v>3299</v>
      </c>
      <c r="G224" s="245">
        <v>45900</v>
      </c>
      <c r="H224" s="246">
        <v>0.90028935185185188</v>
      </c>
      <c r="I224" s="229" t="s">
        <v>3295</v>
      </c>
      <c r="J224" s="229" t="s">
        <v>3024</v>
      </c>
      <c r="K224" s="233" t="s">
        <v>3106</v>
      </c>
      <c r="L224" s="234" t="str">
        <f>VLOOKUP(Logfile_S[[#This Row],[Material Name]],Sheet2!B:C,2,0)</f>
        <v>GCI1018</v>
      </c>
      <c r="M224" s="234" t="str">
        <f>_xlfn.XLOOKUP(Logfile_S[[#This Row],[Material Name]],Sum_WH!E:E,Sum_WH!F:F,"",0)</f>
        <v>Pcs</v>
      </c>
      <c r="N224" s="229">
        <v>25</v>
      </c>
      <c r="O224" s="230" t="s">
        <v>4429</v>
      </c>
      <c r="P224" s="230" t="s">
        <v>4429</v>
      </c>
      <c r="Q224" s="229"/>
      <c r="R224" s="229"/>
      <c r="S224" s="229"/>
      <c r="T224" s="229"/>
      <c r="U224" s="229"/>
      <c r="V224" s="229"/>
      <c r="W224" s="229"/>
      <c r="X224" s="229" t="s">
        <v>4429</v>
      </c>
      <c r="Y224" s="227"/>
      <c r="Z224" s="227" t="str">
        <f>P224</f>
        <v>ADJUSTMENT</v>
      </c>
      <c r="AA224" s="276" t="e">
        <f>VLOOKUP(Logfile_S[[#This Row],[DO number]],DO_DB!G:I,3,0)</f>
        <v>#N/A</v>
      </c>
      <c r="AB224" s="331" t="e">
        <f>EXACT(Logfile_S[[#This Row],[date pick]],Logfile_S[[#This Row],[Date]])</f>
        <v>#N/A</v>
      </c>
      <c r="AC2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5" spans="1:29" ht="14.5">
      <c r="A225" s="244" t="str">
        <f>TEXT(ROW(A225)-ROW($A$4),"000")</f>
        <v>221</v>
      </c>
      <c r="B225" s="229"/>
      <c r="C225" s="229" t="s">
        <v>49</v>
      </c>
      <c r="D225" s="229" t="s">
        <v>4428</v>
      </c>
      <c r="E225" s="229" t="s">
        <v>3295</v>
      </c>
      <c r="F225" s="229" t="s">
        <v>3299</v>
      </c>
      <c r="G225" s="245">
        <v>45900</v>
      </c>
      <c r="H225" s="246">
        <v>0.90028935185185188</v>
      </c>
      <c r="I225" s="229" t="s">
        <v>3295</v>
      </c>
      <c r="J225" s="229" t="s">
        <v>3024</v>
      </c>
      <c r="K225" s="233" t="s">
        <v>3089</v>
      </c>
      <c r="L225" s="234" t="str">
        <f>VLOOKUP(Logfile_S[[#This Row],[Material Name]],Sheet2!B:C,2,0)</f>
        <v>GCI1003</v>
      </c>
      <c r="M225" s="234" t="str">
        <f>_xlfn.XLOOKUP(Logfile_S[[#This Row],[Material Name]],Sum_WH!E:E,Sum_WH!F:F,"",0)</f>
        <v>Pcs</v>
      </c>
      <c r="N225" s="229">
        <v>182</v>
      </c>
      <c r="O225" s="230" t="s">
        <v>4429</v>
      </c>
      <c r="P225" s="230" t="s">
        <v>4429</v>
      </c>
      <c r="Q225" s="229"/>
      <c r="R225" s="229"/>
      <c r="S225" s="229"/>
      <c r="T225" s="229"/>
      <c r="U225" s="229"/>
      <c r="V225" s="229"/>
      <c r="W225" s="229"/>
      <c r="X225" s="229" t="s">
        <v>4429</v>
      </c>
      <c r="Y225" s="227"/>
      <c r="Z225" s="227" t="str">
        <f>P225</f>
        <v>ADJUSTMENT</v>
      </c>
      <c r="AA225" s="276" t="e">
        <f>VLOOKUP(Logfile_S[[#This Row],[DO number]],DO_DB!G:I,3,0)</f>
        <v>#N/A</v>
      </c>
      <c r="AB225" s="331" t="e">
        <f>EXACT(Logfile_S[[#This Row],[date pick]],Logfile_S[[#This Row],[Date]])</f>
        <v>#N/A</v>
      </c>
      <c r="AC2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6" spans="1:29" ht="14.5">
      <c r="A226" s="244" t="str">
        <f>TEXT(ROW(A226)-ROW($A$4),"000")</f>
        <v>222</v>
      </c>
      <c r="B226" s="229">
        <v>2</v>
      </c>
      <c r="C226" s="229" t="s">
        <v>49</v>
      </c>
      <c r="D226" s="229" t="s">
        <v>4486</v>
      </c>
      <c r="E226" s="229" t="s">
        <v>3295</v>
      </c>
      <c r="F226" s="229" t="s">
        <v>3299</v>
      </c>
      <c r="G226" s="245">
        <v>45902</v>
      </c>
      <c r="H226" s="246">
        <v>0.64307870370370368</v>
      </c>
      <c r="I226" s="229" t="s">
        <v>37</v>
      </c>
      <c r="J226" s="229" t="s">
        <v>3023</v>
      </c>
      <c r="K226" s="233" t="s">
        <v>3072</v>
      </c>
      <c r="L226" s="234" t="str">
        <f>VLOOKUP(Logfile_S[[#This Row],[Material Name]],Sheet2!B:C,2,0)</f>
        <v>ZTE1004</v>
      </c>
      <c r="M226" s="234" t="str">
        <f>_xlfn.XLOOKUP(Logfile_S[[#This Row],[Material Name]],Sum_WH!E:E,Sum_WH!F:F,"",0)</f>
        <v>Pcs</v>
      </c>
      <c r="N226" s="229">
        <v>1</v>
      </c>
      <c r="O226" s="230" t="s">
        <v>4429</v>
      </c>
      <c r="P226" s="230" t="s">
        <v>4429</v>
      </c>
      <c r="Q226" s="229"/>
      <c r="R226" s="229"/>
      <c r="S226" s="229"/>
      <c r="T226" s="229"/>
      <c r="U226" s="229"/>
      <c r="V226" s="229"/>
      <c r="W226" s="229"/>
      <c r="X226" s="229" t="s">
        <v>4429</v>
      </c>
      <c r="Y226" s="227"/>
      <c r="Z226" s="227" t="str">
        <f>P226</f>
        <v>ADJUSTMENT</v>
      </c>
      <c r="AA226" s="276" t="e">
        <f>VLOOKUP(Logfile_S[[#This Row],[DO number]],DO_DB!G:I,3,0)</f>
        <v>#N/A</v>
      </c>
      <c r="AB226" s="331" t="e">
        <f>EXACT(Logfile_S[[#This Row],[date pick]],Logfile_S[[#This Row],[Date]])</f>
        <v>#N/A</v>
      </c>
      <c r="AC2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7" spans="1:29" ht="14.5">
      <c r="A227" s="228" t="str">
        <f>TEXT(ROW(A227)-ROW($A$4),"000")</f>
        <v>223</v>
      </c>
      <c r="B227" s="229">
        <v>3</v>
      </c>
      <c r="C227" s="230" t="s">
        <v>48</v>
      </c>
      <c r="D227" s="230" t="s">
        <v>4678</v>
      </c>
      <c r="E227" s="230" t="s">
        <v>3295</v>
      </c>
      <c r="F227" s="230" t="s">
        <v>3299</v>
      </c>
      <c r="G227" s="231">
        <v>45956</v>
      </c>
      <c r="H227" s="232">
        <v>0.33333333333333331</v>
      </c>
      <c r="I227" s="229" t="s">
        <v>38</v>
      </c>
      <c r="J227" s="230" t="s">
        <v>3024</v>
      </c>
      <c r="K227" s="233" t="s">
        <v>3087</v>
      </c>
      <c r="L227" s="234" t="str">
        <f>VLOOKUP(Logfile_S[[#This Row],[Material Name]],Sheet2!B:C,2,0)</f>
        <v>GCI1001</v>
      </c>
      <c r="M227" s="234" t="s">
        <v>19</v>
      </c>
      <c r="N227" s="230">
        <v>23</v>
      </c>
      <c r="O227" s="230" t="s">
        <v>4429</v>
      </c>
      <c r="P227" s="230" t="s">
        <v>4429</v>
      </c>
      <c r="Q227" s="230"/>
      <c r="R227" s="230"/>
      <c r="S227" s="230"/>
      <c r="T227" s="230"/>
      <c r="U227" s="230"/>
      <c r="V227" s="230"/>
      <c r="W227" s="230"/>
      <c r="X227" s="230" t="s">
        <v>4429</v>
      </c>
      <c r="Y227" s="227"/>
      <c r="Z227" s="227" t="str">
        <f>P227</f>
        <v>ADJUSTMENT</v>
      </c>
      <c r="AA227" s="276" t="e">
        <f>VLOOKUP(Logfile_S[[#This Row],[DO number]],DO_DB!G:I,3,0)</f>
        <v>#N/A</v>
      </c>
      <c r="AB227" s="331" t="e">
        <f>EXACT(Logfile_S[[#This Row],[date pick]],Logfile_S[[#This Row],[Date]])</f>
        <v>#N/A</v>
      </c>
      <c r="AC2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8" spans="1:29" ht="14.5">
      <c r="A228" s="228" t="str">
        <f>TEXT(ROW(A228)-ROW($A$4),"000")</f>
        <v>224</v>
      </c>
      <c r="B228" s="229">
        <v>1</v>
      </c>
      <c r="C228" s="230" t="s">
        <v>48</v>
      </c>
      <c r="D228" s="230" t="s">
        <v>4678</v>
      </c>
      <c r="E228" s="230" t="s">
        <v>3295</v>
      </c>
      <c r="F228" s="230" t="s">
        <v>3299</v>
      </c>
      <c r="G228" s="231">
        <v>45956</v>
      </c>
      <c r="H228" s="232">
        <v>0.33333333333333331</v>
      </c>
      <c r="I228" s="230" t="s">
        <v>37</v>
      </c>
      <c r="J228" s="229" t="s">
        <v>3023</v>
      </c>
      <c r="K228" s="233" t="s">
        <v>13</v>
      </c>
      <c r="L228" s="234" t="str">
        <f>VLOOKUP(Logfile_S[[#This Row],[Material Name]],Sheet2!B:C,2,0)</f>
        <v>ZTE2008</v>
      </c>
      <c r="M228" s="234" t="s">
        <v>19</v>
      </c>
      <c r="N228" s="230">
        <v>21</v>
      </c>
      <c r="O228" s="230" t="s">
        <v>4429</v>
      </c>
      <c r="P228" s="230" t="s">
        <v>4429</v>
      </c>
      <c r="Q228" s="230"/>
      <c r="R228" s="230"/>
      <c r="S228" s="230"/>
      <c r="T228" s="230"/>
      <c r="U228" s="230"/>
      <c r="V228" s="230"/>
      <c r="W228" s="230"/>
      <c r="X228" s="230" t="s">
        <v>4429</v>
      </c>
      <c r="Y228" s="227"/>
      <c r="Z228" s="227" t="str">
        <f>P228</f>
        <v>ADJUSTMENT</v>
      </c>
      <c r="AA228" s="276" t="e">
        <f>VLOOKUP(Logfile_S[[#This Row],[DO number]],DO_DB!G:I,3,0)</f>
        <v>#N/A</v>
      </c>
      <c r="AB228" s="331" t="e">
        <f>EXACT(Logfile_S[[#This Row],[date pick]],Logfile_S[[#This Row],[Date]])</f>
        <v>#N/A</v>
      </c>
      <c r="AC2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9" spans="1:29" ht="14.5">
      <c r="A229" s="228" t="str">
        <f>TEXT(ROW(A229)-ROW($A$4),"000")</f>
        <v>225</v>
      </c>
      <c r="B229" s="229">
        <v>2</v>
      </c>
      <c r="C229" s="230" t="s">
        <v>48</v>
      </c>
      <c r="D229" s="230" t="s">
        <v>4678</v>
      </c>
      <c r="E229" s="230" t="s">
        <v>3295</v>
      </c>
      <c r="F229" s="230" t="s">
        <v>3299</v>
      </c>
      <c r="G229" s="231">
        <v>45956</v>
      </c>
      <c r="H229" s="232">
        <v>0.33333333333333331</v>
      </c>
      <c r="I229" s="229" t="s">
        <v>38</v>
      </c>
      <c r="J229" s="230" t="s">
        <v>3024</v>
      </c>
      <c r="K229" s="233" t="s">
        <v>3090</v>
      </c>
      <c r="L229" s="234" t="str">
        <f>VLOOKUP(Logfile_S[[#This Row],[Material Name]],Sheet2!B:C,2,0)</f>
        <v>GCI1004</v>
      </c>
      <c r="M229" s="234" t="s">
        <v>19</v>
      </c>
      <c r="N229" s="230">
        <v>84</v>
      </c>
      <c r="O229" s="230" t="s">
        <v>4429</v>
      </c>
      <c r="P229" s="230" t="s">
        <v>4429</v>
      </c>
      <c r="Q229" s="230"/>
      <c r="R229" s="230"/>
      <c r="S229" s="230"/>
      <c r="T229" s="230"/>
      <c r="U229" s="230"/>
      <c r="V229" s="230"/>
      <c r="W229" s="230"/>
      <c r="X229" s="230" t="s">
        <v>4429</v>
      </c>
      <c r="Y229" s="227"/>
      <c r="Z229" s="227" t="str">
        <f>P229</f>
        <v>ADJUSTMENT</v>
      </c>
      <c r="AA229" s="276" t="e">
        <f>VLOOKUP(Logfile_S[[#This Row],[DO number]],DO_DB!G:I,3,0)</f>
        <v>#N/A</v>
      </c>
      <c r="AB229" s="331" t="e">
        <f>EXACT(Logfile_S[[#This Row],[date pick]],Logfile_S[[#This Row],[Date]])</f>
        <v>#N/A</v>
      </c>
      <c r="AC2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0" spans="1:29" ht="14.5">
      <c r="A230" s="228" t="str">
        <f>TEXT(ROW(A230)-ROW($A$4),"000")</f>
        <v>226</v>
      </c>
      <c r="B230" s="229">
        <v>1</v>
      </c>
      <c r="C230" s="230" t="s">
        <v>48</v>
      </c>
      <c r="D230" s="230" t="s">
        <v>4769</v>
      </c>
      <c r="E230" s="230" t="s">
        <v>3295</v>
      </c>
      <c r="F230" s="230" t="s">
        <v>3299</v>
      </c>
      <c r="G230" s="231">
        <v>45967</v>
      </c>
      <c r="H230" s="232">
        <v>0.33333333333333331</v>
      </c>
      <c r="I230" s="229" t="s">
        <v>38</v>
      </c>
      <c r="J230" s="230" t="s">
        <v>3024</v>
      </c>
      <c r="K230" s="233" t="s">
        <v>3087</v>
      </c>
      <c r="L230" s="234" t="str">
        <f>VLOOKUP(Logfile_S[[#This Row],[Material Name]],Sheet2!B:C,2,0)</f>
        <v>GCI1001</v>
      </c>
      <c r="M230" s="234" t="s">
        <v>19</v>
      </c>
      <c r="N230" s="230">
        <v>2</v>
      </c>
      <c r="O230" s="230" t="s">
        <v>4429</v>
      </c>
      <c r="P230" s="230" t="s">
        <v>4429</v>
      </c>
      <c r="Q230" s="230"/>
      <c r="R230" s="230"/>
      <c r="S230" s="230"/>
      <c r="T230" s="230"/>
      <c r="U230" s="230"/>
      <c r="V230" s="230"/>
      <c r="W230" s="230"/>
      <c r="X230" s="230" t="s">
        <v>4429</v>
      </c>
      <c r="Y230" s="227"/>
      <c r="Z230" s="227" t="str">
        <f>P230</f>
        <v>ADJUSTMENT</v>
      </c>
      <c r="AA230" s="276" t="e">
        <f>VLOOKUP(Logfile_S[[#This Row],[DO number]],DO_DB!G:I,3,0)</f>
        <v>#N/A</v>
      </c>
      <c r="AB230" s="331" t="e">
        <f>EXACT(Logfile_S[[#This Row],[date pick]],Logfile_S[[#This Row],[Date]])</f>
        <v>#N/A</v>
      </c>
      <c r="AC2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1" spans="1:29" ht="14.5">
      <c r="A231" s="228" t="str">
        <f>TEXT(ROW(A231)-ROW($A$4),"000")</f>
        <v>227</v>
      </c>
      <c r="B231" s="229">
        <v>1</v>
      </c>
      <c r="C231" s="230" t="s">
        <v>48</v>
      </c>
      <c r="D231" s="230" t="s">
        <v>4684</v>
      </c>
      <c r="E231" s="230" t="s">
        <v>3295</v>
      </c>
      <c r="F231" s="230" t="s">
        <v>3299</v>
      </c>
      <c r="G231" s="231">
        <v>45967</v>
      </c>
      <c r="H231" s="232">
        <v>0.33333333333333331</v>
      </c>
      <c r="I231" s="229" t="s">
        <v>38</v>
      </c>
      <c r="J231" s="230" t="s">
        <v>3024</v>
      </c>
      <c r="K231" s="233" t="s">
        <v>3087</v>
      </c>
      <c r="L231" s="234" t="str">
        <f>VLOOKUP(Logfile_S[[#This Row],[Material Name]],Sheet2!B:C,2,0)</f>
        <v>GCI1001</v>
      </c>
      <c r="M231" s="234" t="s">
        <v>19</v>
      </c>
      <c r="N231" s="230">
        <v>51</v>
      </c>
      <c r="O231" s="230" t="s">
        <v>4429</v>
      </c>
      <c r="P231" s="230" t="s">
        <v>4429</v>
      </c>
      <c r="Q231" s="230"/>
      <c r="R231" s="230"/>
      <c r="S231" s="230"/>
      <c r="T231" s="230"/>
      <c r="U231" s="230"/>
      <c r="V231" s="230"/>
      <c r="W231" s="230"/>
      <c r="X231" s="230" t="s">
        <v>4429</v>
      </c>
      <c r="Y231" s="227"/>
      <c r="Z231" s="227" t="str">
        <f>P231</f>
        <v>ADJUSTMENT</v>
      </c>
      <c r="AA231" s="276" t="e">
        <f>VLOOKUP(Logfile_S[[#This Row],[DO number]],DO_DB!G:I,3,0)</f>
        <v>#N/A</v>
      </c>
      <c r="AB231" s="331" t="e">
        <f>EXACT(Logfile_S[[#This Row],[date pick]],Logfile_S[[#This Row],[Date]])</f>
        <v>#N/A</v>
      </c>
      <c r="AC2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2" spans="1:29" ht="14.5">
      <c r="A232" s="228" t="str">
        <f>TEXT(ROW(A232)-ROW($A$4),"000")</f>
        <v>228</v>
      </c>
      <c r="B232" s="229">
        <v>3</v>
      </c>
      <c r="C232" s="230" t="s">
        <v>48</v>
      </c>
      <c r="D232" s="230" t="s">
        <v>4769</v>
      </c>
      <c r="E232" s="230" t="s">
        <v>3295</v>
      </c>
      <c r="F232" s="230" t="s">
        <v>3299</v>
      </c>
      <c r="G232" s="231">
        <v>46013</v>
      </c>
      <c r="H232" s="232">
        <v>0.33333333333333331</v>
      </c>
      <c r="I232" s="229" t="s">
        <v>38</v>
      </c>
      <c r="J232" s="230" t="s">
        <v>3024</v>
      </c>
      <c r="K232" s="233" t="s">
        <v>3091</v>
      </c>
      <c r="L232" s="234" t="str">
        <f>VLOOKUP(Logfile_S[[#This Row],[Material Name]],Sheet2!B:C,2,0)</f>
        <v>GCI1005</v>
      </c>
      <c r="M232" s="234" t="s">
        <v>19</v>
      </c>
      <c r="N232" s="230">
        <v>111</v>
      </c>
      <c r="O232" s="230" t="s">
        <v>4429</v>
      </c>
      <c r="P232" s="230" t="s">
        <v>4429</v>
      </c>
      <c r="Q232" s="230"/>
      <c r="R232" s="230"/>
      <c r="S232" s="230"/>
      <c r="T232" s="230"/>
      <c r="U232" s="230"/>
      <c r="V232" s="230"/>
      <c r="W232" s="230"/>
      <c r="X232" s="230" t="s">
        <v>4429</v>
      </c>
      <c r="Y232" s="227"/>
      <c r="Z232" s="227" t="str">
        <f>P232</f>
        <v>ADJUSTMENT</v>
      </c>
      <c r="AA232" s="276" t="e">
        <f>VLOOKUP(Logfile_S[[#This Row],[DO number]],DO_DB!G:I,3,0)</f>
        <v>#N/A</v>
      </c>
      <c r="AB232" s="331" t="e">
        <f>EXACT(Logfile_S[[#This Row],[date pick]],Logfile_S[[#This Row],[Date]])</f>
        <v>#N/A</v>
      </c>
      <c r="AC2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3" spans="1:29" ht="14.5">
      <c r="A233" s="228" t="str">
        <f>TEXT(ROW(A233)-ROW($A$4),"000")</f>
        <v>229</v>
      </c>
      <c r="B233" s="229">
        <v>2</v>
      </c>
      <c r="C233" s="230" t="s">
        <v>48</v>
      </c>
      <c r="D233" s="230" t="s">
        <v>4769</v>
      </c>
      <c r="E233" s="230" t="s">
        <v>3295</v>
      </c>
      <c r="F233" s="230" t="s">
        <v>3299</v>
      </c>
      <c r="G233" s="231">
        <v>46013</v>
      </c>
      <c r="H233" s="232">
        <v>0.33333333333333331</v>
      </c>
      <c r="I233" s="229" t="s">
        <v>38</v>
      </c>
      <c r="J233" s="230" t="s">
        <v>3024</v>
      </c>
      <c r="K233" s="233" t="s">
        <v>3089</v>
      </c>
      <c r="L233" s="234" t="str">
        <f>VLOOKUP(Logfile_S[[#This Row],[Material Name]],Sheet2!B:C,2,0)</f>
        <v>GCI1003</v>
      </c>
      <c r="M233" s="234" t="s">
        <v>19</v>
      </c>
      <c r="N233" s="230">
        <v>94</v>
      </c>
      <c r="O233" s="230" t="s">
        <v>4429</v>
      </c>
      <c r="P233" s="230" t="s">
        <v>4429</v>
      </c>
      <c r="Q233" s="230"/>
      <c r="R233" s="230"/>
      <c r="S233" s="230"/>
      <c r="T233" s="230"/>
      <c r="U233" s="230"/>
      <c r="V233" s="230"/>
      <c r="W233" s="230"/>
      <c r="X233" s="230" t="s">
        <v>4429</v>
      </c>
      <c r="Y233" s="227"/>
      <c r="Z233" s="227" t="str">
        <f>P233</f>
        <v>ADJUSTMENT</v>
      </c>
      <c r="AA233" s="276" t="e">
        <f>VLOOKUP(Logfile_S[[#This Row],[DO number]],DO_DB!G:I,3,0)</f>
        <v>#N/A</v>
      </c>
      <c r="AB233" s="331" t="e">
        <f>EXACT(Logfile_S[[#This Row],[date pick]],Logfile_S[[#This Row],[Date]])</f>
        <v>#N/A</v>
      </c>
      <c r="AC2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4" spans="1:29" ht="14.5">
      <c r="A234" s="228" t="str">
        <f>TEXT(ROW(A234)-ROW($A$4),"000")</f>
        <v>230</v>
      </c>
      <c r="B234" s="229">
        <v>2</v>
      </c>
      <c r="C234" s="230" t="s">
        <v>48</v>
      </c>
      <c r="D234" s="230" t="s">
        <v>4848</v>
      </c>
      <c r="E234" s="230" t="s">
        <v>3295</v>
      </c>
      <c r="F234" s="230" t="s">
        <v>3299</v>
      </c>
      <c r="G234" s="231">
        <v>46134</v>
      </c>
      <c r="H234" s="232">
        <v>0.25</v>
      </c>
      <c r="I234" s="229" t="s">
        <v>37</v>
      </c>
      <c r="J234" s="229" t="s">
        <v>3023</v>
      </c>
      <c r="K234" s="233" t="s">
        <v>3080</v>
      </c>
      <c r="L234" s="234" t="str">
        <f>VLOOKUP(Logfile_S[[#This Row],[Material Name]],Sheet2!B:C,2,0)</f>
        <v>ZTE2010</v>
      </c>
      <c r="M234" s="234" t="s">
        <v>19</v>
      </c>
      <c r="N234" s="230">
        <v>9</v>
      </c>
      <c r="O234" s="230" t="s">
        <v>4429</v>
      </c>
      <c r="P234" s="230" t="s">
        <v>4429</v>
      </c>
      <c r="Q234" s="230"/>
      <c r="R234" s="230"/>
      <c r="S234" s="230"/>
      <c r="T234" s="230"/>
      <c r="U234" s="230"/>
      <c r="V234" s="230"/>
      <c r="W234" s="230"/>
      <c r="X234" s="230" t="s">
        <v>4429</v>
      </c>
      <c r="Y234" s="227"/>
      <c r="Z234" s="227" t="str">
        <f>P234</f>
        <v>ADJUSTMENT</v>
      </c>
      <c r="AA234" s="276" t="e">
        <f>VLOOKUP(Logfile_S[[#This Row],[DO number]],DO_DB!G:I,3,0)</f>
        <v>#N/A</v>
      </c>
      <c r="AB234" s="331" t="e">
        <f>EXACT(Logfile_S[[#This Row],[date pick]],Logfile_S[[#This Row],[Date]])</f>
        <v>#N/A</v>
      </c>
      <c r="AC2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5" spans="1:29" ht="14.5">
      <c r="A235" s="228" t="str">
        <f>TEXT(ROW(A235)-ROW($A$4),"000")</f>
        <v>231</v>
      </c>
      <c r="B235" s="229">
        <v>1</v>
      </c>
      <c r="C235" s="230" t="s">
        <v>48</v>
      </c>
      <c r="D235" s="230" t="s">
        <v>4848</v>
      </c>
      <c r="E235" s="230" t="s">
        <v>3295</v>
      </c>
      <c r="F235" s="230" t="s">
        <v>3299</v>
      </c>
      <c r="G235" s="231">
        <v>46134</v>
      </c>
      <c r="H235" s="232">
        <v>0.25</v>
      </c>
      <c r="I235" s="229" t="s">
        <v>37</v>
      </c>
      <c r="J235" s="229" t="s">
        <v>3023</v>
      </c>
      <c r="K235" s="233" t="s">
        <v>13</v>
      </c>
      <c r="L235" s="234" t="str">
        <f>VLOOKUP(Logfile_S[[#This Row],[Material Name]],Sheet2!B:C,2,0)</f>
        <v>ZTE2008</v>
      </c>
      <c r="M235" s="234" t="str">
        <f>_xlfn.XLOOKUP(Logfile_S[[#This Row],[Material Name]],Sum_WH!E:E,Sum_WH!F:F,"",0)</f>
        <v>Pcs</v>
      </c>
      <c r="N235" s="229">
        <v>19</v>
      </c>
      <c r="O235" s="230" t="s">
        <v>4429</v>
      </c>
      <c r="P235" s="230" t="s">
        <v>4429</v>
      </c>
      <c r="Q235" s="230"/>
      <c r="R235" s="230"/>
      <c r="S235" s="230"/>
      <c r="T235" s="230"/>
      <c r="U235" s="230"/>
      <c r="V235" s="230"/>
      <c r="W235" s="230"/>
      <c r="X235" s="230" t="s">
        <v>4429</v>
      </c>
      <c r="Y235" s="227"/>
      <c r="Z235" s="227" t="str">
        <f>P235</f>
        <v>ADJUSTMENT</v>
      </c>
      <c r="AA235" s="276" t="e">
        <f>VLOOKUP(Logfile_S[[#This Row],[DO number]],DO_DB!G:I,3,0)</f>
        <v>#N/A</v>
      </c>
      <c r="AB235" s="331" t="e">
        <f>EXACT(Logfile_S[[#This Row],[date pick]],Logfile_S[[#This Row],[Date]])</f>
        <v>#N/A</v>
      </c>
      <c r="AC2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6" spans="1:29" ht="14.5">
      <c r="A236" s="228" t="str">
        <f>TEXT(ROW(A236)-ROW($A$4),"000")</f>
        <v>232</v>
      </c>
      <c r="B236" s="229">
        <v>3</v>
      </c>
      <c r="C236" s="230" t="s">
        <v>48</v>
      </c>
      <c r="D236" s="230" t="s">
        <v>4848</v>
      </c>
      <c r="E236" s="230" t="s">
        <v>3295</v>
      </c>
      <c r="F236" s="230" t="s">
        <v>3299</v>
      </c>
      <c r="G236" s="231">
        <v>46134</v>
      </c>
      <c r="H236" s="232">
        <v>0.25</v>
      </c>
      <c r="I236" s="230" t="s">
        <v>37</v>
      </c>
      <c r="J236" s="229" t="s">
        <v>3023</v>
      </c>
      <c r="K236" s="233" t="s">
        <v>4731</v>
      </c>
      <c r="L236" s="234" t="str">
        <f>VLOOKUP(Logfile_S[[#This Row],[Material Name]],Sheet2!B:C,2,0)</f>
        <v>ZTE1007</v>
      </c>
      <c r="M236" s="234" t="s">
        <v>19</v>
      </c>
      <c r="N236" s="230">
        <v>0</v>
      </c>
      <c r="O236" s="230" t="s">
        <v>4429</v>
      </c>
      <c r="P236" s="230" t="s">
        <v>4429</v>
      </c>
      <c r="Q236" s="230"/>
      <c r="R236" s="230"/>
      <c r="S236" s="230"/>
      <c r="T236" s="230"/>
      <c r="U236" s="230"/>
      <c r="V236" s="230"/>
      <c r="W236" s="230"/>
      <c r="X236" s="230" t="s">
        <v>4429</v>
      </c>
      <c r="Y236" s="227"/>
      <c r="Z236" s="227" t="str">
        <f>P236</f>
        <v>ADJUSTMENT</v>
      </c>
      <c r="AA236" s="276" t="e">
        <f>VLOOKUP(Logfile_S[[#This Row],[DO number]],DO_DB!G:I,3,0)</f>
        <v>#N/A</v>
      </c>
      <c r="AB236" s="331" t="e">
        <f>EXACT(Logfile_S[[#This Row],[date pick]],Logfile_S[[#This Row],[Date]])</f>
        <v>#N/A</v>
      </c>
      <c r="AC2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7" spans="1:29" ht="14.5">
      <c r="A237" s="228" t="str">
        <f>TEXT(ROW(A237)-ROW($A$4),"000")</f>
        <v>233</v>
      </c>
      <c r="B237" s="229">
        <v>3</v>
      </c>
      <c r="C237" s="230" t="s">
        <v>49</v>
      </c>
      <c r="D237" s="230" t="s">
        <v>4858</v>
      </c>
      <c r="E237" s="230" t="s">
        <v>3295</v>
      </c>
      <c r="F237" s="230" t="s">
        <v>3299</v>
      </c>
      <c r="G237" s="231">
        <v>46134</v>
      </c>
      <c r="H237" s="232">
        <v>0.25</v>
      </c>
      <c r="I237" s="230" t="s">
        <v>3295</v>
      </c>
      <c r="J237" s="229" t="s">
        <v>3023</v>
      </c>
      <c r="K237" s="233" t="s">
        <v>3070</v>
      </c>
      <c r="L237" s="234" t="str">
        <f>VLOOKUP(Logfile_S[[#This Row],[Material Name]],Sheet2!B:C,2,0)</f>
        <v>ZTE1002</v>
      </c>
      <c r="M237" s="234" t="s">
        <v>19</v>
      </c>
      <c r="N237" s="230">
        <v>1</v>
      </c>
      <c r="O237" s="230" t="s">
        <v>4429</v>
      </c>
      <c r="P237" s="230" t="s">
        <v>4429</v>
      </c>
      <c r="Q237" s="230"/>
      <c r="R237" s="230"/>
      <c r="S237" s="230"/>
      <c r="T237" s="221" t="s">
        <v>3231</v>
      </c>
      <c r="U237" s="221" t="s">
        <v>4811</v>
      </c>
      <c r="V237" s="221" t="s">
        <v>3232</v>
      </c>
      <c r="W237" s="221" t="s">
        <v>3254</v>
      </c>
      <c r="X237" s="230" t="s">
        <v>4429</v>
      </c>
      <c r="Y237" s="227"/>
      <c r="Z237" s="227" t="str">
        <f>P237</f>
        <v>ADJUSTMENT</v>
      </c>
      <c r="AA237" s="276" t="e">
        <f>VLOOKUP(Logfile_S[[#This Row],[DO number]],DO_DB!G:I,3,0)</f>
        <v>#N/A</v>
      </c>
      <c r="AB237" s="331" t="e">
        <f>EXACT(Logfile_S[[#This Row],[date pick]],Logfile_S[[#This Row],[Date]])</f>
        <v>#N/A</v>
      </c>
      <c r="AC2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8" spans="1:29" ht="14.5">
      <c r="A238" s="220" t="str">
        <f>TEXT(ROW(A238)-ROW($A$4),"000")</f>
        <v>234</v>
      </c>
      <c r="B238" s="221"/>
      <c r="C238" s="221" t="s">
        <v>3449</v>
      </c>
      <c r="D238" s="221" t="s">
        <v>4253</v>
      </c>
      <c r="E238" s="221" t="s">
        <v>3295</v>
      </c>
      <c r="F238" s="221" t="s">
        <v>3299</v>
      </c>
      <c r="G238" s="222">
        <v>45588</v>
      </c>
      <c r="H238" s="223">
        <v>0.79791666666666672</v>
      </c>
      <c r="I238" s="221" t="s">
        <v>3193</v>
      </c>
      <c r="J238" s="221" t="s">
        <v>3023</v>
      </c>
      <c r="K238" s="224" t="s">
        <v>3071</v>
      </c>
      <c r="L238" s="225" t="str">
        <f>VLOOKUP(Logfile_S[[#This Row],[Material Name]],Sheet2!B:C,2,0)</f>
        <v>ZTE1003</v>
      </c>
      <c r="M238" s="225" t="str">
        <f>_xlfn.XLOOKUP(Logfile_S[[#This Row],[Material Name]],Sum_WH!E:E,Sum_WH!F:F,"",0)</f>
        <v>Pcs</v>
      </c>
      <c r="N238" s="221">
        <v>7</v>
      </c>
      <c r="O238" s="221" t="s">
        <v>3433</v>
      </c>
      <c r="P238" s="221" t="s">
        <v>3450</v>
      </c>
      <c r="Q238" s="221"/>
      <c r="R238" s="221"/>
      <c r="S238" s="221"/>
      <c r="T238" s="221">
        <v>0</v>
      </c>
      <c r="U238" s="221">
        <v>0</v>
      </c>
      <c r="V238" s="221">
        <v>0</v>
      </c>
      <c r="W238" s="221">
        <v>0</v>
      </c>
      <c r="X238" s="221" t="s">
        <v>3601</v>
      </c>
      <c r="Y238" s="227"/>
      <c r="Z238" s="227" t="str">
        <f>P238</f>
        <v>BEAUT</v>
      </c>
      <c r="AA238" s="276" t="e">
        <f>VLOOKUP(Logfile_S[[#This Row],[DO number]],DO_DB!G:I,3,0)</f>
        <v>#N/A</v>
      </c>
      <c r="AB238" s="331" t="e">
        <f>EXACT(Logfile_S[[#This Row],[date pick]],Logfile_S[[#This Row],[Date]])</f>
        <v>#N/A</v>
      </c>
      <c r="AC2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39" spans="1:29" ht="14.5">
      <c r="A239" s="220" t="str">
        <f>TEXT(ROW(A239)-ROW($A$4),"000")</f>
        <v>235</v>
      </c>
      <c r="B239" s="221"/>
      <c r="C239" s="221" t="s">
        <v>3449</v>
      </c>
      <c r="D239" s="221" t="s">
        <v>4275</v>
      </c>
      <c r="E239" s="221" t="s">
        <v>3295</v>
      </c>
      <c r="F239" s="221" t="s">
        <v>3299</v>
      </c>
      <c r="G239" s="222">
        <v>45609</v>
      </c>
      <c r="H239" s="223">
        <v>0.5625</v>
      </c>
      <c r="I239" s="221" t="s">
        <v>3193</v>
      </c>
      <c r="J239" s="221" t="s">
        <v>3023</v>
      </c>
      <c r="K239" s="224" t="s">
        <v>3072</v>
      </c>
      <c r="L239" s="225" t="str">
        <f>VLOOKUP(Logfile_S[[#This Row],[Material Name]],Sheet2!B:C,2,0)</f>
        <v>ZTE1004</v>
      </c>
      <c r="M239" s="225" t="str">
        <f>_xlfn.XLOOKUP(Logfile_S[[#This Row],[Material Name]],Sum_WH!E:E,Sum_WH!F:F,"",0)</f>
        <v>Pcs</v>
      </c>
      <c r="N239" s="221">
        <v>2</v>
      </c>
      <c r="O239" s="221" t="s">
        <v>3433</v>
      </c>
      <c r="P239" s="221" t="s">
        <v>3450</v>
      </c>
      <c r="Q239" s="221"/>
      <c r="R239" s="221"/>
      <c r="S239" s="221"/>
      <c r="T239" s="221" t="s">
        <v>3451</v>
      </c>
      <c r="U239" s="221">
        <v>0</v>
      </c>
      <c r="V239" s="221" t="s">
        <v>3452</v>
      </c>
      <c r="W239" s="221" t="s">
        <v>3453</v>
      </c>
      <c r="X239" s="221" t="s">
        <v>3454</v>
      </c>
      <c r="Y239" s="227"/>
      <c r="Z239" s="227" t="str">
        <f>P239</f>
        <v>BEAUT</v>
      </c>
      <c r="AA239" s="276" t="e">
        <f>VLOOKUP(Logfile_S[[#This Row],[DO number]],DO_DB!G:I,3,0)</f>
        <v>#N/A</v>
      </c>
      <c r="AB239" s="331" t="e">
        <f>EXACT(Logfile_S[[#This Row],[date pick]],Logfile_S[[#This Row],[Date]])</f>
        <v>#N/A</v>
      </c>
      <c r="AC2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40" spans="1:29" ht="14.5">
      <c r="A240" s="220" t="str">
        <f>TEXT(ROW(A240)-ROW($A$4),"000")</f>
        <v>236</v>
      </c>
      <c r="B240" s="221"/>
      <c r="C240" s="221" t="s">
        <v>3449</v>
      </c>
      <c r="D240" s="221" t="s">
        <v>4275</v>
      </c>
      <c r="E240" s="221" t="s">
        <v>3295</v>
      </c>
      <c r="F240" s="221" t="s">
        <v>3299</v>
      </c>
      <c r="G240" s="222">
        <v>45609</v>
      </c>
      <c r="H240" s="223">
        <v>0.5625</v>
      </c>
      <c r="I240" s="221" t="s">
        <v>3193</v>
      </c>
      <c r="J240" s="221" t="s">
        <v>3024</v>
      </c>
      <c r="K240" s="224" t="s">
        <v>3094</v>
      </c>
      <c r="L240" s="225" t="str">
        <f>VLOOKUP(Logfile_S[[#This Row],[Material Name]],Sheet2!B:C,2,0)</f>
        <v>GCI1008</v>
      </c>
      <c r="M240" s="225" t="str">
        <f>_xlfn.XLOOKUP(Logfile_S[[#This Row],[Material Name]],Sum_WH!E:E,Sum_WH!F:F,"",0)</f>
        <v>Pcs</v>
      </c>
      <c r="N240" s="221">
        <v>10</v>
      </c>
      <c r="O240" s="221" t="s">
        <v>3433</v>
      </c>
      <c r="P240" s="221" t="s">
        <v>3450</v>
      </c>
      <c r="Q240" s="221"/>
      <c r="R240" s="221"/>
      <c r="S240" s="221"/>
      <c r="T240" s="221" t="s">
        <v>3451</v>
      </c>
      <c r="U240" s="221">
        <v>0</v>
      </c>
      <c r="V240" s="221" t="s">
        <v>3452</v>
      </c>
      <c r="W240" s="221" t="s">
        <v>3453</v>
      </c>
      <c r="X240" s="221" t="s">
        <v>3454</v>
      </c>
      <c r="Y240" s="227"/>
      <c r="Z240" s="227" t="str">
        <f>P240</f>
        <v>BEAUT</v>
      </c>
      <c r="AA240" s="276" t="e">
        <f>VLOOKUP(Logfile_S[[#This Row],[DO number]],DO_DB!G:I,3,0)</f>
        <v>#N/A</v>
      </c>
      <c r="AB240" s="331" t="e">
        <f>EXACT(Logfile_S[[#This Row],[date pick]],Logfile_S[[#This Row],[Date]])</f>
        <v>#N/A</v>
      </c>
      <c r="AC2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41" spans="1:29" ht="14.5">
      <c r="A241" s="220" t="str">
        <f>TEXT(ROW(A241)-ROW($A$4),"000")</f>
        <v>237</v>
      </c>
      <c r="B241" s="221"/>
      <c r="C241" s="221" t="s">
        <v>3429</v>
      </c>
      <c r="D241" s="221" t="s">
        <v>4287</v>
      </c>
      <c r="E241" s="221" t="s">
        <v>3295</v>
      </c>
      <c r="F241" s="221" t="s">
        <v>3299</v>
      </c>
      <c r="G241" s="222">
        <v>45621</v>
      </c>
      <c r="H241" s="223">
        <v>15.291666666666666</v>
      </c>
      <c r="I241" s="221" t="s">
        <v>3193</v>
      </c>
      <c r="J241" s="221" t="s">
        <v>3023</v>
      </c>
      <c r="K241" s="224" t="s">
        <v>3072</v>
      </c>
      <c r="L241" s="225" t="str">
        <f>VLOOKUP(Logfile_S[[#This Row],[Material Name]],Sheet2!B:C,2,0)</f>
        <v>ZTE1004</v>
      </c>
      <c r="M241" s="225" t="str">
        <f>_xlfn.XLOOKUP(Logfile_S[[#This Row],[Material Name]],Sum_WH!E:E,Sum_WH!F:F,"",0)</f>
        <v>Pcs</v>
      </c>
      <c r="N241" s="221">
        <v>1</v>
      </c>
      <c r="O241" s="221" t="s">
        <v>3433</v>
      </c>
      <c r="P241" s="221" t="s">
        <v>3450</v>
      </c>
      <c r="Q241" s="221">
        <v>0</v>
      </c>
      <c r="R241" s="221">
        <v>0</v>
      </c>
      <c r="S241" s="221"/>
      <c r="T241" s="221"/>
      <c r="U241" s="221"/>
      <c r="V241" s="221"/>
      <c r="W241" s="221"/>
      <c r="X241" s="221" t="s">
        <v>3455</v>
      </c>
      <c r="Y241" s="227"/>
      <c r="Z241" s="227" t="str">
        <f>P241</f>
        <v>BEAUT</v>
      </c>
      <c r="AA241" s="276" t="e">
        <f>VLOOKUP(Logfile_S[[#This Row],[DO number]],DO_DB!G:I,3,0)</f>
        <v>#N/A</v>
      </c>
      <c r="AB241" s="331" t="e">
        <f>EXACT(Logfile_S[[#This Row],[date pick]],Logfile_S[[#This Row],[Date]])</f>
        <v>#N/A</v>
      </c>
      <c r="AC2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2" spans="1:29" ht="14.5">
      <c r="A242" s="220" t="str">
        <f>TEXT(ROW(A242)-ROW($A$4),"000")</f>
        <v>238</v>
      </c>
      <c r="B242" s="221"/>
      <c r="C242" s="221" t="s">
        <v>3429</v>
      </c>
      <c r="D242" s="221" t="s">
        <v>4291</v>
      </c>
      <c r="E242" s="221" t="s">
        <v>3295</v>
      </c>
      <c r="F242" s="221" t="s">
        <v>3299</v>
      </c>
      <c r="G242" s="222">
        <v>45622</v>
      </c>
      <c r="H242" s="223">
        <v>15.291666666666666</v>
      </c>
      <c r="I242" s="221" t="s">
        <v>3193</v>
      </c>
      <c r="J242" s="221" t="s">
        <v>3023</v>
      </c>
      <c r="K242" s="224" t="s">
        <v>3071</v>
      </c>
      <c r="L242" s="225" t="str">
        <f>VLOOKUP(Logfile_S[[#This Row],[Material Name]],Sheet2!B:C,2,0)</f>
        <v>ZTE1003</v>
      </c>
      <c r="M242" s="225" t="str">
        <f>_xlfn.XLOOKUP(Logfile_S[[#This Row],[Material Name]],Sum_WH!E:E,Sum_WH!F:F,"",0)</f>
        <v>Pcs</v>
      </c>
      <c r="N242" s="221">
        <v>7</v>
      </c>
      <c r="O242" s="221" t="s">
        <v>3433</v>
      </c>
      <c r="P242" s="221" t="s">
        <v>3450</v>
      </c>
      <c r="Q242" s="221">
        <v>0</v>
      </c>
      <c r="R242" s="221">
        <v>0</v>
      </c>
      <c r="S242" s="221"/>
      <c r="T242" s="221"/>
      <c r="U242" s="221"/>
      <c r="V242" s="221"/>
      <c r="W242" s="221"/>
      <c r="X242" s="221" t="s">
        <v>3455</v>
      </c>
      <c r="Y242" s="227"/>
      <c r="Z242" s="227" t="str">
        <f>P242</f>
        <v>BEAUT</v>
      </c>
      <c r="AA242" s="276" t="e">
        <f>VLOOKUP(Logfile_S[[#This Row],[DO number]],DO_DB!G:I,3,0)</f>
        <v>#N/A</v>
      </c>
      <c r="AB242" s="331" t="e">
        <f>EXACT(Logfile_S[[#This Row],[date pick]],Logfile_S[[#This Row],[Date]])</f>
        <v>#N/A</v>
      </c>
      <c r="AC2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3" spans="1:29" ht="14.5">
      <c r="A243" s="220" t="str">
        <f>TEXT(ROW(A243)-ROW($A$4),"000")</f>
        <v>239</v>
      </c>
      <c r="B243" s="221"/>
      <c r="C243" s="221" t="s">
        <v>3429</v>
      </c>
      <c r="D243" s="221" t="s">
        <v>4296</v>
      </c>
      <c r="E243" s="221" t="s">
        <v>3295</v>
      </c>
      <c r="F243" s="221" t="s">
        <v>3299</v>
      </c>
      <c r="G243" s="222">
        <v>45626</v>
      </c>
      <c r="H243" s="223">
        <v>15.291666666666666</v>
      </c>
      <c r="I243" s="221" t="s">
        <v>3193</v>
      </c>
      <c r="J243" s="221" t="s">
        <v>3023</v>
      </c>
      <c r="K243" s="224" t="s">
        <v>3072</v>
      </c>
      <c r="L243" s="225" t="str">
        <f>VLOOKUP(Logfile_S[[#This Row],[Material Name]],Sheet2!B:C,2,0)</f>
        <v>ZTE1004</v>
      </c>
      <c r="M243" s="225" t="str">
        <f>_xlfn.XLOOKUP(Logfile_S[[#This Row],[Material Name]],Sum_WH!E:E,Sum_WH!F:F,"",0)</f>
        <v>Pcs</v>
      </c>
      <c r="N243" s="221">
        <v>1</v>
      </c>
      <c r="O243" s="221" t="s">
        <v>3433</v>
      </c>
      <c r="P243" s="221" t="s">
        <v>3450</v>
      </c>
      <c r="Q243" s="221">
        <v>0</v>
      </c>
      <c r="R243" s="221">
        <v>0</v>
      </c>
      <c r="S243" s="221"/>
      <c r="T243" s="221"/>
      <c r="U243" s="221"/>
      <c r="V243" s="221"/>
      <c r="W243" s="221"/>
      <c r="X243" s="221" t="s">
        <v>3455</v>
      </c>
      <c r="Y243" s="227"/>
      <c r="Z243" s="227" t="str">
        <f>P243</f>
        <v>BEAUT</v>
      </c>
      <c r="AA243" s="276" t="e">
        <f>VLOOKUP(Logfile_S[[#This Row],[DO number]],DO_DB!G:I,3,0)</f>
        <v>#N/A</v>
      </c>
      <c r="AB243" s="331" t="e">
        <f>EXACT(Logfile_S[[#This Row],[date pick]],Logfile_S[[#This Row],[Date]])</f>
        <v>#N/A</v>
      </c>
      <c r="AC2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4" spans="1:29" ht="14.5">
      <c r="A244" s="220" t="str">
        <f>TEXT(ROW(A244)-ROW($A$4),"000")</f>
        <v>240</v>
      </c>
      <c r="B244" s="221"/>
      <c r="C244" s="221" t="s">
        <v>3429</v>
      </c>
      <c r="D244" s="221" t="s">
        <v>4296</v>
      </c>
      <c r="E244" s="221" t="s">
        <v>3295</v>
      </c>
      <c r="F244" s="221" t="s">
        <v>3299</v>
      </c>
      <c r="G244" s="222">
        <v>45626</v>
      </c>
      <c r="H244" s="223">
        <v>15.291666666666666</v>
      </c>
      <c r="I244" s="221" t="s">
        <v>3193</v>
      </c>
      <c r="J244" s="221" t="s">
        <v>3024</v>
      </c>
      <c r="K244" s="224" t="s">
        <v>3094</v>
      </c>
      <c r="L244" s="225" t="str">
        <f>VLOOKUP(Logfile_S[[#This Row],[Material Name]],Sheet2!B:C,2,0)</f>
        <v>GCI1008</v>
      </c>
      <c r="M244" s="225" t="str">
        <f>_xlfn.XLOOKUP(Logfile_S[[#This Row],[Material Name]],Sum_WH!E:E,Sum_WH!F:F,"",0)</f>
        <v>Pcs</v>
      </c>
      <c r="N244" s="221">
        <v>10</v>
      </c>
      <c r="O244" s="221" t="s">
        <v>3433</v>
      </c>
      <c r="P244" s="221" t="s">
        <v>3450</v>
      </c>
      <c r="Q244" s="221">
        <v>0</v>
      </c>
      <c r="R244" s="221">
        <v>0</v>
      </c>
      <c r="S244" s="221"/>
      <c r="T244" s="221"/>
      <c r="U244" s="221"/>
      <c r="V244" s="221"/>
      <c r="W244" s="221"/>
      <c r="X244" s="221" t="s">
        <v>3455</v>
      </c>
      <c r="Y244" s="227"/>
      <c r="Z244" s="227" t="str">
        <f>P244</f>
        <v>BEAUT</v>
      </c>
      <c r="AA244" s="276" t="e">
        <f>VLOOKUP(Logfile_S[[#This Row],[DO number]],DO_DB!G:I,3,0)</f>
        <v>#N/A</v>
      </c>
      <c r="AB244" s="331" t="e">
        <f>EXACT(Logfile_S[[#This Row],[date pick]],Logfile_S[[#This Row],[Date]])</f>
        <v>#N/A</v>
      </c>
      <c r="AC2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5" spans="1:29" ht="14.5">
      <c r="A245" s="220" t="str">
        <f>TEXT(ROW(A245)-ROW($A$4),"000")</f>
        <v>241</v>
      </c>
      <c r="B245" s="221"/>
      <c r="C245" s="221" t="s">
        <v>3449</v>
      </c>
      <c r="D245" s="221" t="s">
        <v>4326</v>
      </c>
      <c r="E245" s="221" t="s">
        <v>3295</v>
      </c>
      <c r="F245" s="221" t="s">
        <v>3299</v>
      </c>
      <c r="G245" s="222">
        <v>45682</v>
      </c>
      <c r="H245" s="223">
        <v>0.45902777777777776</v>
      </c>
      <c r="I245" s="221" t="s">
        <v>3193</v>
      </c>
      <c r="J245" s="221" t="s">
        <v>3023</v>
      </c>
      <c r="K245" s="224" t="s">
        <v>3072</v>
      </c>
      <c r="L245" s="225" t="str">
        <f>VLOOKUP(Logfile_S[[#This Row],[Material Name]],Sheet2!B:C,2,0)</f>
        <v>ZTE1004</v>
      </c>
      <c r="M245" s="225" t="str">
        <f>_xlfn.XLOOKUP(Logfile_S[[#This Row],[Material Name]],Sum_WH!E:E,Sum_WH!F:F,"",0)</f>
        <v>Pcs</v>
      </c>
      <c r="N245" s="221">
        <v>1</v>
      </c>
      <c r="O245" s="221" t="s">
        <v>3433</v>
      </c>
      <c r="P245" s="221" t="s">
        <v>3450</v>
      </c>
      <c r="Q245" s="221"/>
      <c r="R245" s="221"/>
      <c r="S245" s="221"/>
      <c r="T245" s="221" t="s">
        <v>3411</v>
      </c>
      <c r="U245" s="221">
        <v>0</v>
      </c>
      <c r="V245" s="221">
        <v>0</v>
      </c>
      <c r="W245" s="221" t="s">
        <v>3558</v>
      </c>
      <c r="X245" s="221" t="s">
        <v>3559</v>
      </c>
      <c r="Y245" s="227"/>
      <c r="Z245" s="227" t="str">
        <f>P245</f>
        <v>BEAUT</v>
      </c>
      <c r="AA245" s="276" t="e">
        <f>VLOOKUP(Logfile_S[[#This Row],[DO number]],DO_DB!G:I,3,0)</f>
        <v>#N/A</v>
      </c>
      <c r="AB245" s="331" t="e">
        <f>EXACT(Logfile_S[[#This Row],[date pick]],Logfile_S[[#This Row],[Date]])</f>
        <v>#N/A</v>
      </c>
      <c r="AC2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46" spans="1:29" ht="14.5">
      <c r="A246" s="220" t="str">
        <f>TEXT(ROW(A246)-ROW($A$4),"000")</f>
        <v>242</v>
      </c>
      <c r="B246" s="221"/>
      <c r="C246" s="221" t="s">
        <v>3429</v>
      </c>
      <c r="D246" s="221" t="s">
        <v>4355</v>
      </c>
      <c r="E246" s="221" t="s">
        <v>3295</v>
      </c>
      <c r="F246" s="221" t="s">
        <v>3299</v>
      </c>
      <c r="G246" s="222">
        <v>45737</v>
      </c>
      <c r="H246" s="223">
        <v>0.78472222222222221</v>
      </c>
      <c r="I246" s="221" t="s">
        <v>3193</v>
      </c>
      <c r="J246" s="221" t="s">
        <v>3023</v>
      </c>
      <c r="K246" s="224" t="s">
        <v>3072</v>
      </c>
      <c r="L246" s="225" t="str">
        <f>VLOOKUP(Logfile_S[[#This Row],[Material Name]],Sheet2!B:C,2,0)</f>
        <v>ZTE1004</v>
      </c>
      <c r="M246" s="225" t="str">
        <f>_xlfn.XLOOKUP(Logfile_S[[#This Row],[Material Name]],Sum_WH!E:E,Sum_WH!F:F,"",0)</f>
        <v>Pcs</v>
      </c>
      <c r="N246" s="221">
        <v>1</v>
      </c>
      <c r="O246" s="221" t="s">
        <v>3433</v>
      </c>
      <c r="P246" s="221" t="s">
        <v>3450</v>
      </c>
      <c r="Q246" s="221"/>
      <c r="R246" s="221"/>
      <c r="S246" s="221"/>
      <c r="T246" s="221"/>
      <c r="U246" s="221"/>
      <c r="V246" s="221"/>
      <c r="W246" s="221"/>
      <c r="X246" s="221" t="s">
        <v>3560</v>
      </c>
      <c r="Y246" s="227"/>
      <c r="Z246" s="227" t="str">
        <f>P246</f>
        <v>BEAUT</v>
      </c>
      <c r="AA246" s="276" t="e">
        <f>VLOOKUP(Logfile_S[[#This Row],[DO number]],DO_DB!G:I,3,0)</f>
        <v>#N/A</v>
      </c>
      <c r="AB246" s="331" t="e">
        <f>EXACT(Logfile_S[[#This Row],[date pick]],Logfile_S[[#This Row],[Date]])</f>
        <v>#N/A</v>
      </c>
      <c r="AC2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7" spans="1:29" ht="14.5">
      <c r="A247" s="220" t="str">
        <f>TEXT(ROW(A247)-ROW($A$4),"000")</f>
        <v>243</v>
      </c>
      <c r="B247" s="221"/>
      <c r="C247" s="221" t="s">
        <v>3449</v>
      </c>
      <c r="D247" s="221" t="s">
        <v>4362</v>
      </c>
      <c r="E247" s="221" t="s">
        <v>3295</v>
      </c>
      <c r="F247" s="221" t="s">
        <v>3299</v>
      </c>
      <c r="G247" s="222">
        <v>45776</v>
      </c>
      <c r="H247" s="223">
        <v>0.40069444444444446</v>
      </c>
      <c r="I247" s="221" t="s">
        <v>3193</v>
      </c>
      <c r="J247" s="221" t="s">
        <v>3023</v>
      </c>
      <c r="K247" s="224" t="s">
        <v>3070</v>
      </c>
      <c r="L247" s="225" t="str">
        <f>VLOOKUP(Logfile_S[[#This Row],[Material Name]],Sheet2!B:C,2,0)</f>
        <v>ZTE1002</v>
      </c>
      <c r="M247" s="225" t="str">
        <f>_xlfn.XLOOKUP(Logfile_S[[#This Row],[Material Name]],Sum_WH!E:E,Sum_WH!F:F,"",0)</f>
        <v>Pcs</v>
      </c>
      <c r="N247" s="221">
        <v>23</v>
      </c>
      <c r="O247" s="221" t="s">
        <v>3433</v>
      </c>
      <c r="P247" s="221" t="s">
        <v>3450</v>
      </c>
      <c r="Q247" s="221"/>
      <c r="R247" s="221"/>
      <c r="S247" s="221"/>
      <c r="T247" s="221" t="s">
        <v>3540</v>
      </c>
      <c r="U247" s="221">
        <v>0</v>
      </c>
      <c r="V247" s="221">
        <v>0</v>
      </c>
      <c r="W247" s="221" t="s">
        <v>3581</v>
      </c>
      <c r="X247" s="221" t="s">
        <v>3580</v>
      </c>
      <c r="Y247" s="227"/>
      <c r="Z247" s="227" t="str">
        <f>P247</f>
        <v>BEAUT</v>
      </c>
      <c r="AA247" s="276" t="e">
        <f>VLOOKUP(Logfile_S[[#This Row],[DO number]],DO_DB!G:I,3,0)</f>
        <v>#N/A</v>
      </c>
      <c r="AB247" s="331" t="e">
        <f>EXACT(Logfile_S[[#This Row],[date pick]],Logfile_S[[#This Row],[Date]])</f>
        <v>#N/A</v>
      </c>
      <c r="AC2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48" spans="1:29" ht="14.5">
      <c r="A248" s="220" t="str">
        <f>TEXT(ROW(A248)-ROW($A$4),"000")</f>
        <v>244</v>
      </c>
      <c r="B248" s="221"/>
      <c r="C248" s="221" t="s">
        <v>3429</v>
      </c>
      <c r="D248" s="221" t="s">
        <v>4363</v>
      </c>
      <c r="E248" s="221" t="s">
        <v>3295</v>
      </c>
      <c r="F248" s="221" t="s">
        <v>3299</v>
      </c>
      <c r="G248" s="222">
        <v>45795</v>
      </c>
      <c r="H248" s="223">
        <v>15.291666666666666</v>
      </c>
      <c r="I248" s="221" t="s">
        <v>3193</v>
      </c>
      <c r="J248" s="221" t="s">
        <v>3023</v>
      </c>
      <c r="K248" s="224" t="s">
        <v>3070</v>
      </c>
      <c r="L248" s="225" t="str">
        <f>VLOOKUP(Logfile_S[[#This Row],[Material Name]],Sheet2!B:C,2,0)</f>
        <v>ZTE1002</v>
      </c>
      <c r="M248" s="225" t="str">
        <f>_xlfn.XLOOKUP(Logfile_S[[#This Row],[Material Name]],Sum_WH!E:E,Sum_WH!F:F,"",0)</f>
        <v>Pcs</v>
      </c>
      <c r="N248" s="221">
        <v>23</v>
      </c>
      <c r="O248" s="221" t="s">
        <v>3433</v>
      </c>
      <c r="P248" s="221" t="s">
        <v>3450</v>
      </c>
      <c r="Q248" s="221">
        <v>0</v>
      </c>
      <c r="R248" s="221">
        <v>0</v>
      </c>
      <c r="S248" s="221"/>
      <c r="T248" s="221"/>
      <c r="U248" s="221"/>
      <c r="V248" s="221"/>
      <c r="W248" s="221"/>
      <c r="X248" s="221"/>
      <c r="Y248" s="227"/>
      <c r="Z248" s="227" t="str">
        <f>P248</f>
        <v>BEAUT</v>
      </c>
      <c r="AA248" s="276" t="e">
        <f>VLOOKUP(Logfile_S[[#This Row],[DO number]],DO_DB!G:I,3,0)</f>
        <v>#N/A</v>
      </c>
      <c r="AB248" s="331" t="e">
        <f>EXACT(Logfile_S[[#This Row],[date pick]],Logfile_S[[#This Row],[Date]])</f>
        <v>#N/A</v>
      </c>
      <c r="AC2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9" spans="1:29" ht="14.5">
      <c r="A249" s="220" t="str">
        <f>TEXT(ROW(A249)-ROW($A$4),"000")</f>
        <v>245</v>
      </c>
      <c r="B249" s="221"/>
      <c r="C249" s="221" t="s">
        <v>3449</v>
      </c>
      <c r="D249" s="221" t="s">
        <v>4364</v>
      </c>
      <c r="E249" s="221" t="s">
        <v>3295</v>
      </c>
      <c r="F249" s="221" t="s">
        <v>3299</v>
      </c>
      <c r="G249" s="222">
        <v>45802</v>
      </c>
      <c r="H249" s="223">
        <v>0.40069444444444446</v>
      </c>
      <c r="I249" s="221" t="s">
        <v>3193</v>
      </c>
      <c r="J249" s="221" t="s">
        <v>3023</v>
      </c>
      <c r="K249" s="224" t="s">
        <v>3075</v>
      </c>
      <c r="L249" s="225" t="str">
        <f>VLOOKUP(Logfile_S[[#This Row],[Material Name]],Sheet2!B:C,2,0)</f>
        <v>ZTE2003</v>
      </c>
      <c r="M249" s="225" t="str">
        <f>_xlfn.XLOOKUP(Logfile_S[[#This Row],[Material Name]],Sum_WH!E:E,Sum_WH!F:F,"",0)</f>
        <v>Meter</v>
      </c>
      <c r="N249" s="221">
        <v>3000</v>
      </c>
      <c r="O249" s="221" t="s">
        <v>4923</v>
      </c>
      <c r="P249" s="221" t="s">
        <v>3596</v>
      </c>
      <c r="Q249" s="221"/>
      <c r="R249" s="221"/>
      <c r="S249" s="221"/>
      <c r="T249" s="221" t="s">
        <v>3540</v>
      </c>
      <c r="U249" s="221">
        <v>0</v>
      </c>
      <c r="V249" s="221" t="s">
        <v>3324</v>
      </c>
      <c r="W249" s="221" t="s">
        <v>3325</v>
      </c>
      <c r="X249" s="221" t="s">
        <v>3570</v>
      </c>
      <c r="Y249" s="227"/>
      <c r="Z249" s="227" t="str">
        <f>P249</f>
        <v>AIA</v>
      </c>
      <c r="AA249" s="276" t="e">
        <f>VLOOKUP(Logfile_S[[#This Row],[DO number]],DO_DB!G:I,3,0)</f>
        <v>#N/A</v>
      </c>
      <c r="AB249" s="331" t="e">
        <f>EXACT(Logfile_S[[#This Row],[date pick]],Logfile_S[[#This Row],[Date]])</f>
        <v>#N/A</v>
      </c>
      <c r="AC2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50" spans="1:29" ht="14.5">
      <c r="A250" s="220" t="str">
        <f>TEXT(ROW(A250)-ROW($A$4),"000")</f>
        <v>246</v>
      </c>
      <c r="B250" s="221"/>
      <c r="C250" s="221" t="s">
        <v>3449</v>
      </c>
      <c r="D250" s="221" t="s">
        <v>4364</v>
      </c>
      <c r="E250" s="221" t="s">
        <v>3295</v>
      </c>
      <c r="F250" s="221" t="s">
        <v>3299</v>
      </c>
      <c r="G250" s="222">
        <v>45802</v>
      </c>
      <c r="H250" s="223">
        <v>0.40069444444444446</v>
      </c>
      <c r="I250" s="221" t="s">
        <v>3193</v>
      </c>
      <c r="J250" s="221" t="s">
        <v>3023</v>
      </c>
      <c r="K250" s="224" t="s">
        <v>3069</v>
      </c>
      <c r="L250" s="225" t="str">
        <f>VLOOKUP(Logfile_S[[#This Row],[Material Name]],Sheet2!B:C,2,0)</f>
        <v>ZTE1001</v>
      </c>
      <c r="M250" s="225" t="str">
        <f>_xlfn.XLOOKUP(Logfile_S[[#This Row],[Material Name]],Sum_WH!E:E,Sum_WH!F:F,"",0)</f>
        <v>Pcs</v>
      </c>
      <c r="N250" s="221">
        <v>10</v>
      </c>
      <c r="O250" s="221" t="s">
        <v>4923</v>
      </c>
      <c r="P250" s="221" t="s">
        <v>3596</v>
      </c>
      <c r="Q250" s="221"/>
      <c r="R250" s="221"/>
      <c r="S250" s="221"/>
      <c r="T250" s="221" t="s">
        <v>3540</v>
      </c>
      <c r="U250" s="221">
        <v>0</v>
      </c>
      <c r="V250" s="221" t="s">
        <v>3324</v>
      </c>
      <c r="W250" s="221" t="s">
        <v>3325</v>
      </c>
      <c r="X250" s="221" t="s">
        <v>3570</v>
      </c>
      <c r="Y250" s="227"/>
      <c r="Z250" s="227" t="str">
        <f>P250</f>
        <v>AIA</v>
      </c>
      <c r="AA250" s="276" t="e">
        <f>VLOOKUP(Logfile_S[[#This Row],[DO number]],DO_DB!G:I,3,0)</f>
        <v>#N/A</v>
      </c>
      <c r="AB250" s="331" t="e">
        <f>EXACT(Logfile_S[[#This Row],[date pick]],Logfile_S[[#This Row],[Date]])</f>
        <v>#N/A</v>
      </c>
      <c r="AC2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51" spans="1:29" ht="14.5">
      <c r="A251" s="220" t="str">
        <f>TEXT(ROW(A251)-ROW($A$4),"000")</f>
        <v>247</v>
      </c>
      <c r="B251" s="221"/>
      <c r="C251" s="221" t="s">
        <v>3429</v>
      </c>
      <c r="D251" s="221" t="s">
        <v>4410</v>
      </c>
      <c r="E251" s="221" t="s">
        <v>3295</v>
      </c>
      <c r="F251" s="221" t="s">
        <v>3299</v>
      </c>
      <c r="G251" s="222">
        <v>45881</v>
      </c>
      <c r="H251" s="223">
        <v>0.34861111111111109</v>
      </c>
      <c r="I251" s="221" t="s">
        <v>3193</v>
      </c>
      <c r="J251" s="221" t="s">
        <v>3023</v>
      </c>
      <c r="K251" s="224" t="s">
        <v>3069</v>
      </c>
      <c r="L251" s="225" t="str">
        <f>VLOOKUP(Logfile_S[[#This Row],[Material Name]],Sheet2!B:C,2,0)</f>
        <v>ZTE1001</v>
      </c>
      <c r="M251" s="225" t="str">
        <f>_xlfn.XLOOKUP(Logfile_S[[#This Row],[Material Name]],Sum_WH!E:E,Sum_WH!F:F,"",0)</f>
        <v>Pcs</v>
      </c>
      <c r="N251" s="221">
        <v>2</v>
      </c>
      <c r="O251" s="221" t="s">
        <v>4923</v>
      </c>
      <c r="P251" s="221" t="s">
        <v>3596</v>
      </c>
      <c r="Q251" s="221"/>
      <c r="R251" s="221"/>
      <c r="S251" s="221"/>
      <c r="T251" s="221"/>
      <c r="U251" s="221"/>
      <c r="V251" s="221"/>
      <c r="W251" s="221"/>
      <c r="X251" s="221" t="s">
        <v>3597</v>
      </c>
      <c r="Y251" s="227"/>
      <c r="Z251" s="227" t="str">
        <f>P251</f>
        <v>AIA</v>
      </c>
      <c r="AA251" s="276" t="e">
        <f>VLOOKUP(Logfile_S[[#This Row],[DO number]],DO_DB!G:I,3,0)</f>
        <v>#N/A</v>
      </c>
      <c r="AB251" s="331" t="e">
        <f>EXACT(Logfile_S[[#This Row],[date pick]],Logfile_S[[#This Row],[Date]])</f>
        <v>#N/A</v>
      </c>
      <c r="AC2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2" spans="1:29" ht="14.5">
      <c r="A252" s="237" t="str">
        <f>TEXT(ROW(A252)-ROW($A$4),"000")</f>
        <v>248</v>
      </c>
      <c r="B252" s="221">
        <v>1</v>
      </c>
      <c r="C252" s="221" t="s">
        <v>3449</v>
      </c>
      <c r="D252" s="227" t="s">
        <v>4649</v>
      </c>
      <c r="E252" s="227" t="s">
        <v>3295</v>
      </c>
      <c r="F252" s="227" t="s">
        <v>3299</v>
      </c>
      <c r="G252" s="239">
        <v>45912</v>
      </c>
      <c r="H252" s="240">
        <v>0.40709490740740739</v>
      </c>
      <c r="I252" s="221" t="s">
        <v>3193</v>
      </c>
      <c r="J252" s="227" t="s">
        <v>3023</v>
      </c>
      <c r="K252" s="241" t="s">
        <v>3069</v>
      </c>
      <c r="L252" s="225" t="str">
        <f>VLOOKUP(Logfile_S[[#This Row],[Material Name]],Sheet2!B:C,2,0)</f>
        <v>ZTE1001</v>
      </c>
      <c r="M252" s="225" t="str">
        <f>_xlfn.XLOOKUP(Logfile_S[[#This Row],[Material Name]],Sum_WH!E:E,Sum_WH!F:F,"",0)</f>
        <v>Pcs</v>
      </c>
      <c r="N252" s="227">
        <v>1</v>
      </c>
      <c r="O252" s="221" t="s">
        <v>4923</v>
      </c>
      <c r="P252" s="221" t="s">
        <v>3596</v>
      </c>
      <c r="Q252" s="227" t="s">
        <v>3260</v>
      </c>
      <c r="R252" s="227" t="s">
        <v>3260</v>
      </c>
      <c r="S252" s="227"/>
      <c r="T252" s="227"/>
      <c r="U252" s="227"/>
      <c r="V252" s="227"/>
      <c r="W252" s="227"/>
      <c r="X252" s="227" t="s">
        <v>3570</v>
      </c>
      <c r="Y252" s="227"/>
      <c r="Z252" s="227" t="str">
        <f>P252</f>
        <v>AIA</v>
      </c>
      <c r="AA252" s="276" t="e">
        <f>VLOOKUP(Logfile_S[[#This Row],[DO number]],DO_DB!G:I,3,0)</f>
        <v>#N/A</v>
      </c>
      <c r="AB252" s="331" t="e">
        <f>EXACT(Logfile_S[[#This Row],[date pick]],Logfile_S[[#This Row],[Date]])</f>
        <v>#N/A</v>
      </c>
      <c r="AC2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53" spans="1:29" ht="14.5">
      <c r="A253" s="237" t="str">
        <f>TEXT(ROW(A253)-ROW($A$4),"000")</f>
        <v>249</v>
      </c>
      <c r="B253" s="221">
        <v>1</v>
      </c>
      <c r="C253" s="221" t="s">
        <v>3429</v>
      </c>
      <c r="D253" s="227" t="s">
        <v>4723</v>
      </c>
      <c r="E253" s="227" t="s">
        <v>3295</v>
      </c>
      <c r="F253" s="227" t="s">
        <v>3299</v>
      </c>
      <c r="G253" s="239">
        <v>45954</v>
      </c>
      <c r="H253" s="240">
        <v>0.60763888888888884</v>
      </c>
      <c r="I253" s="227" t="s">
        <v>3193</v>
      </c>
      <c r="J253" s="221" t="s">
        <v>3023</v>
      </c>
      <c r="K253" s="241" t="s">
        <v>3069</v>
      </c>
      <c r="L253" s="225" t="str">
        <f>VLOOKUP(Logfile_S[[#This Row],[Material Name]],Sheet2!B:C,2,0)</f>
        <v>ZTE1001</v>
      </c>
      <c r="M253" s="242" t="s">
        <v>19</v>
      </c>
      <c r="N253" s="227">
        <v>9</v>
      </c>
      <c r="O253" s="221" t="s">
        <v>4923</v>
      </c>
      <c r="P253" s="221" t="s">
        <v>3596</v>
      </c>
      <c r="Q253" s="227"/>
      <c r="R253" s="227"/>
      <c r="S253" s="227"/>
      <c r="T253" s="227"/>
      <c r="U253" s="227"/>
      <c r="V253" s="227"/>
      <c r="W253" s="227"/>
      <c r="X253" s="227" t="s">
        <v>4676</v>
      </c>
      <c r="Y253" s="227"/>
      <c r="Z253" s="227" t="str">
        <f>P253</f>
        <v>AIA</v>
      </c>
      <c r="AA253" s="276" t="e">
        <f>VLOOKUP(Logfile_S[[#This Row],[DO number]],DO_DB!G:I,3,0)</f>
        <v>#N/A</v>
      </c>
      <c r="AB253" s="331" t="e">
        <f>EXACT(Logfile_S[[#This Row],[date pick]],Logfile_S[[#This Row],[Date]])</f>
        <v>#N/A</v>
      </c>
      <c r="AC2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4" spans="1:29" ht="14.5">
      <c r="A254" s="220" t="str">
        <f>TEXT(ROW(A254)-ROW($A$4),"000")</f>
        <v>250</v>
      </c>
      <c r="B254" s="221"/>
      <c r="C254" s="221" t="s">
        <v>3449</v>
      </c>
      <c r="D254" s="221" t="s">
        <v>4408</v>
      </c>
      <c r="E254" s="221" t="s">
        <v>3295</v>
      </c>
      <c r="F254" s="221" t="s">
        <v>3299</v>
      </c>
      <c r="G254" s="222">
        <v>45878</v>
      </c>
      <c r="H254" s="223">
        <v>0.64027777777777772</v>
      </c>
      <c r="I254" s="221" t="s">
        <v>3193</v>
      </c>
      <c r="J254" s="221" t="s">
        <v>3023</v>
      </c>
      <c r="K254" s="224" t="s">
        <v>3069</v>
      </c>
      <c r="L254" s="225" t="str">
        <f>VLOOKUP(Logfile_S[[#This Row],[Material Name]],Sheet2!B:C,2,0)</f>
        <v>ZTE1001</v>
      </c>
      <c r="M254" s="225" t="str">
        <f>_xlfn.XLOOKUP(Logfile_S[[#This Row],[Material Name]],Sum_WH!E:E,Sum_WH!F:F,"",0)</f>
        <v>Pcs</v>
      </c>
      <c r="N254" s="221">
        <v>1</v>
      </c>
      <c r="O254" s="221" t="s">
        <v>4924</v>
      </c>
      <c r="P254" s="221" t="s">
        <v>3592</v>
      </c>
      <c r="Q254" s="221"/>
      <c r="R254" s="221"/>
      <c r="S254" s="221"/>
      <c r="T254" s="221" t="s">
        <v>3593</v>
      </c>
      <c r="U254" s="221">
        <v>0</v>
      </c>
      <c r="V254" s="221">
        <v>0</v>
      </c>
      <c r="W254" s="221" t="s">
        <v>3594</v>
      </c>
      <c r="X254" s="221" t="s">
        <v>3595</v>
      </c>
      <c r="Y254" s="227"/>
      <c r="Z254" s="227" t="str">
        <f>P254</f>
        <v>DCIT</v>
      </c>
      <c r="AA254" s="276" t="e">
        <f>VLOOKUP(Logfile_S[[#This Row],[DO number]],DO_DB!G:I,3,0)</f>
        <v>#N/A</v>
      </c>
      <c r="AB254" s="331" t="e">
        <f>EXACT(Logfile_S[[#This Row],[date pick]],Logfile_S[[#This Row],[Date]])</f>
        <v>#N/A</v>
      </c>
      <c r="AC2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55" spans="1:29" ht="14.5">
      <c r="A255" s="237" t="str">
        <f>TEXT(ROW(A255)-ROW($A$4),"000")</f>
        <v>251</v>
      </c>
      <c r="B255" s="221">
        <v>1</v>
      </c>
      <c r="C255" s="221" t="s">
        <v>3429</v>
      </c>
      <c r="D255" s="227" t="s">
        <v>4650</v>
      </c>
      <c r="E255" s="227" t="s">
        <v>3295</v>
      </c>
      <c r="F255" s="227" t="s">
        <v>3299</v>
      </c>
      <c r="G255" s="239">
        <v>45912</v>
      </c>
      <c r="H255" s="240">
        <v>0.40709490740740739</v>
      </c>
      <c r="I255" s="221" t="s">
        <v>3193</v>
      </c>
      <c r="J255" s="227" t="s">
        <v>3023</v>
      </c>
      <c r="K255" s="241" t="s">
        <v>3075</v>
      </c>
      <c r="L255" s="225" t="str">
        <f>VLOOKUP(Logfile_S[[#This Row],[Material Name]],Sheet2!B:C,2,0)</f>
        <v>ZTE2003</v>
      </c>
      <c r="M255" s="225" t="str">
        <f>_xlfn.XLOOKUP(Logfile_S[[#This Row],[Material Name]],Sum_WH!E:E,Sum_WH!F:F,"",0)</f>
        <v>Meter</v>
      </c>
      <c r="N255" s="227">
        <v>3000</v>
      </c>
      <c r="O255" s="221" t="s">
        <v>4924</v>
      </c>
      <c r="P255" s="221" t="s">
        <v>3592</v>
      </c>
      <c r="Q255" s="227" t="s">
        <v>3260</v>
      </c>
      <c r="R255" s="227" t="s">
        <v>3260</v>
      </c>
      <c r="S255" s="227"/>
      <c r="T255" s="227"/>
      <c r="U255" s="227"/>
      <c r="V255" s="227"/>
      <c r="W255" s="227"/>
      <c r="X255" s="227" t="s">
        <v>3595</v>
      </c>
      <c r="Y255" s="227" t="s">
        <v>5094</v>
      </c>
      <c r="Z255" s="227" t="str">
        <f>P255</f>
        <v>DCIT</v>
      </c>
      <c r="AA255" s="276" t="e">
        <f>VLOOKUP(Logfile_S[[#This Row],[DO number]],DO_DB!G:I,3,0)</f>
        <v>#N/A</v>
      </c>
      <c r="AB255" s="331" t="e">
        <f>EXACT(Logfile_S[[#This Row],[date pick]],Logfile_S[[#This Row],[Date]])</f>
        <v>#N/A</v>
      </c>
      <c r="AC2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48C-2025912-01</v>
      </c>
    </row>
    <row r="256" spans="1:29" ht="14.5">
      <c r="A256" s="237" t="str">
        <f>TEXT(ROW(A256)-ROW($A$4),"000")</f>
        <v>252</v>
      </c>
      <c r="B256" s="221">
        <v>1</v>
      </c>
      <c r="C256" s="221" t="s">
        <v>3449</v>
      </c>
      <c r="D256" s="227" t="s">
        <v>4651</v>
      </c>
      <c r="E256" s="227" t="s">
        <v>3295</v>
      </c>
      <c r="F256" s="227" t="s">
        <v>3299</v>
      </c>
      <c r="G256" s="239">
        <v>45913</v>
      </c>
      <c r="H256" s="240">
        <v>0.4142824074074074</v>
      </c>
      <c r="I256" s="221" t="s">
        <v>3193</v>
      </c>
      <c r="J256" s="227" t="s">
        <v>3023</v>
      </c>
      <c r="K256" s="241" t="s">
        <v>3069</v>
      </c>
      <c r="L256" s="225" t="str">
        <f>VLOOKUP(Logfile_S[[#This Row],[Material Name]],Sheet2!B:C,2,0)</f>
        <v>ZTE1001</v>
      </c>
      <c r="M256" s="225" t="str">
        <f>_xlfn.XLOOKUP(Logfile_S[[#This Row],[Material Name]],Sum_WH!E:E,Sum_WH!F:F,"",0)</f>
        <v>Pcs</v>
      </c>
      <c r="N256" s="227">
        <v>1</v>
      </c>
      <c r="O256" s="221" t="s">
        <v>4924</v>
      </c>
      <c r="P256" s="221" t="s">
        <v>3592</v>
      </c>
      <c r="Q256" s="227"/>
      <c r="R256" s="227"/>
      <c r="S256" s="227"/>
      <c r="T256" s="227"/>
      <c r="U256" s="227"/>
      <c r="V256" s="227"/>
      <c r="W256" s="227"/>
      <c r="X256" s="227" t="s">
        <v>3595</v>
      </c>
      <c r="Y256" s="227"/>
      <c r="Z256" s="227" t="str">
        <f>P256</f>
        <v>DCIT</v>
      </c>
      <c r="AA256" s="276" t="e">
        <f>VLOOKUP(Logfile_S[[#This Row],[DO number]],DO_DB!G:I,3,0)</f>
        <v>#N/A</v>
      </c>
      <c r="AB256" s="331" t="e">
        <f>EXACT(Logfile_S[[#This Row],[date pick]],Logfile_S[[#This Row],[Date]])</f>
        <v>#N/A</v>
      </c>
      <c r="AC2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57" spans="1:29" ht="14.5">
      <c r="A257" s="237" t="str">
        <f>TEXT(ROW(A257)-ROW($A$4),"000")</f>
        <v>253</v>
      </c>
      <c r="B257" s="221">
        <v>1</v>
      </c>
      <c r="C257" s="221" t="s">
        <v>3429</v>
      </c>
      <c r="D257" s="227" t="s">
        <v>4722</v>
      </c>
      <c r="E257" s="227" t="s">
        <v>3295</v>
      </c>
      <c r="F257" s="227" t="s">
        <v>3299</v>
      </c>
      <c r="G257" s="239">
        <v>45960</v>
      </c>
      <c r="H257" s="240">
        <v>0.60763888888888884</v>
      </c>
      <c r="I257" s="221" t="s">
        <v>3193</v>
      </c>
      <c r="J257" s="221" t="s">
        <v>3023</v>
      </c>
      <c r="K257" s="241" t="s">
        <v>3069</v>
      </c>
      <c r="L257" s="225" t="str">
        <f>VLOOKUP(Logfile_S[[#This Row],[Material Name]],Sheet2!B:C,2,0)</f>
        <v>ZTE1001</v>
      </c>
      <c r="M257" s="242" t="s">
        <v>19</v>
      </c>
      <c r="N257" s="227">
        <v>1</v>
      </c>
      <c r="O257" s="221" t="s">
        <v>4924</v>
      </c>
      <c r="P257" s="221" t="s">
        <v>3592</v>
      </c>
      <c r="Q257" s="227"/>
      <c r="R257" s="227"/>
      <c r="S257" s="227"/>
      <c r="T257" s="227"/>
      <c r="U257" s="227"/>
      <c r="V257" s="227"/>
      <c r="W257" s="227"/>
      <c r="X257" s="227" t="s">
        <v>4682</v>
      </c>
      <c r="Y257" s="227"/>
      <c r="Z257" s="227" t="str">
        <f>P257</f>
        <v>DCIT</v>
      </c>
      <c r="AA257" s="276" t="e">
        <f>VLOOKUP(Logfile_S[[#This Row],[DO number]],DO_DB!G:I,3,0)</f>
        <v>#N/A</v>
      </c>
      <c r="AB257" s="331" t="e">
        <f>EXACT(Logfile_S[[#This Row],[date pick]],Logfile_S[[#This Row],[Date]])</f>
        <v>#N/A</v>
      </c>
      <c r="AC2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8" spans="1:29" ht="14.5">
      <c r="A258" s="237" t="str">
        <f>TEXT(ROW(A258)-ROW($A$4),"000")</f>
        <v>254</v>
      </c>
      <c r="B258" s="221">
        <v>3</v>
      </c>
      <c r="C258" s="227" t="s">
        <v>3429</v>
      </c>
      <c r="D258" s="227" t="s">
        <v>4721</v>
      </c>
      <c r="E258" s="227" t="s">
        <v>3295</v>
      </c>
      <c r="F258" s="227" t="s">
        <v>3299</v>
      </c>
      <c r="G258" s="239">
        <v>45982</v>
      </c>
      <c r="H258" s="240">
        <v>0.33333333333333331</v>
      </c>
      <c r="I258" s="221" t="s">
        <v>3193</v>
      </c>
      <c r="J258" s="221" t="s">
        <v>3023</v>
      </c>
      <c r="K258" s="241" t="s">
        <v>3069</v>
      </c>
      <c r="L258" s="225" t="str">
        <f>VLOOKUP(Logfile_S[[#This Row],[Material Name]],Sheet2!B:C,2,0)</f>
        <v>ZTE1001</v>
      </c>
      <c r="M258" s="242" t="s">
        <v>19</v>
      </c>
      <c r="N258" s="227">
        <v>1</v>
      </c>
      <c r="O258" s="221" t="s">
        <v>4924</v>
      </c>
      <c r="P258" s="221" t="s">
        <v>3592</v>
      </c>
      <c r="Q258" s="227"/>
      <c r="R258" s="227"/>
      <c r="S258" s="227"/>
      <c r="T258" s="227"/>
      <c r="U258" s="227"/>
      <c r="V258" s="227"/>
      <c r="W258" s="227"/>
      <c r="X258" s="227"/>
      <c r="Y258" s="227"/>
      <c r="Z258" s="227" t="str">
        <f>P258</f>
        <v>DCIT</v>
      </c>
      <c r="AA258" s="276" t="e">
        <f>VLOOKUP(Logfile_S[[#This Row],[DO number]],DO_DB!G:I,3,0)</f>
        <v>#N/A</v>
      </c>
      <c r="AB258" s="331" t="e">
        <f>EXACT(Logfile_S[[#This Row],[date pick]],Logfile_S[[#This Row],[Date]])</f>
        <v>#N/A</v>
      </c>
      <c r="AC2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9" spans="1:29" ht="14.5">
      <c r="A259" s="220" t="str">
        <f>TEXT(ROW(A259)-ROW($A$4),"000")</f>
        <v>255</v>
      </c>
      <c r="B259" s="221"/>
      <c r="C259" s="221" t="s">
        <v>3429</v>
      </c>
      <c r="D259" s="221" t="s">
        <v>3844</v>
      </c>
      <c r="E259" s="221" t="s">
        <v>3295</v>
      </c>
      <c r="F259" s="221" t="s">
        <v>3299</v>
      </c>
      <c r="G259" s="222">
        <v>45285</v>
      </c>
      <c r="H259" s="223">
        <v>15.291666666666666</v>
      </c>
      <c r="I259" s="221" t="s">
        <v>3193</v>
      </c>
      <c r="J259" s="221" t="s">
        <v>3023</v>
      </c>
      <c r="K259" s="224" t="s">
        <v>3069</v>
      </c>
      <c r="L259" s="225" t="str">
        <f>VLOOKUP(Logfile_S[[#This Row],[Material Name]],Sheet2!B:C,2,0)</f>
        <v>ZTE1001</v>
      </c>
      <c r="M259" s="225" t="str">
        <f>_xlfn.XLOOKUP(Logfile_S[[#This Row],[Material Name]],Sum_WH!E:E,Sum_WH!F:F,"",0)</f>
        <v>Pcs</v>
      </c>
      <c r="N259" s="221">
        <v>25</v>
      </c>
      <c r="O259" s="221" t="s">
        <v>4925</v>
      </c>
      <c r="P259" s="221" t="s">
        <v>3266</v>
      </c>
      <c r="Q259" s="221">
        <v>0</v>
      </c>
      <c r="R259" s="221">
        <v>0</v>
      </c>
      <c r="S259" s="221"/>
      <c r="T259" s="221"/>
      <c r="U259" s="221"/>
      <c r="V259" s="221"/>
      <c r="W259" s="221"/>
      <c r="X259" s="221" t="s">
        <v>3491</v>
      </c>
      <c r="Y259" s="227"/>
      <c r="Z259" s="227" t="str">
        <f>P259</f>
        <v>YPTT</v>
      </c>
      <c r="AA259" s="276" t="e">
        <f>VLOOKUP(Logfile_S[[#This Row],[DO number]],DO_DB!G:I,3,0)</f>
        <v>#N/A</v>
      </c>
      <c r="AB259" s="331" t="e">
        <f>EXACT(Logfile_S[[#This Row],[date pick]],Logfile_S[[#This Row],[Date]])</f>
        <v>#N/A</v>
      </c>
      <c r="AC2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0" spans="1:29" ht="14.5">
      <c r="A260" s="220" t="str">
        <f>TEXT(ROW(A260)-ROW($A$4),"000")</f>
        <v>256</v>
      </c>
      <c r="B260" s="221"/>
      <c r="C260" s="221" t="s">
        <v>3429</v>
      </c>
      <c r="D260" s="221" t="s">
        <v>3845</v>
      </c>
      <c r="E260" s="221" t="s">
        <v>3295</v>
      </c>
      <c r="F260" s="221" t="s">
        <v>3299</v>
      </c>
      <c r="G260" s="222">
        <v>45286</v>
      </c>
      <c r="H260" s="223">
        <v>15.291666666666666</v>
      </c>
      <c r="I260" s="221" t="s">
        <v>3193</v>
      </c>
      <c r="J260" s="221" t="s">
        <v>3023</v>
      </c>
      <c r="K260" s="224" t="s">
        <v>3073</v>
      </c>
      <c r="L260" s="225" t="str">
        <f>VLOOKUP(Logfile_S[[#This Row],[Material Name]],Sheet2!B:C,2,0)</f>
        <v>ZTE2001</v>
      </c>
      <c r="M260" s="225" t="str">
        <f>_xlfn.XLOOKUP(Logfile_S[[#This Row],[Material Name]],Sum_WH!E:E,Sum_WH!F:F,"",0)</f>
        <v>Meter</v>
      </c>
      <c r="N260" s="221">
        <v>3000</v>
      </c>
      <c r="O260" s="221" t="s">
        <v>4925</v>
      </c>
      <c r="P260" s="221" t="s">
        <v>3266</v>
      </c>
      <c r="Q260" s="221" t="s">
        <v>3490</v>
      </c>
      <c r="R260" s="221">
        <v>0</v>
      </c>
      <c r="S260" s="221"/>
      <c r="T260" s="221" t="s">
        <v>3258</v>
      </c>
      <c r="U260" s="221" t="s">
        <v>3228</v>
      </c>
      <c r="V260" s="221" t="s">
        <v>3337</v>
      </c>
      <c r="W260" s="221" t="s">
        <v>3338</v>
      </c>
      <c r="X260" s="221" t="s">
        <v>3491</v>
      </c>
      <c r="Y260" s="236" t="s">
        <v>5090</v>
      </c>
      <c r="Z260" s="227" t="str">
        <f>P260</f>
        <v>YPTT</v>
      </c>
      <c r="AA260" s="276" t="e">
        <f>VLOOKUP(Logfile_S[[#This Row],[DO number]],DO_DB!G:I,3,0)</f>
        <v>#N/A</v>
      </c>
      <c r="AB260" s="331" t="e">
        <f>EXACT(Logfile_S[[#This Row],[date pick]],Logfile_S[[#This Row],[Date]])</f>
        <v>#N/A</v>
      </c>
      <c r="AC2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24C-20231226-01</v>
      </c>
    </row>
    <row r="261" spans="1:29" ht="14.5">
      <c r="A261" s="220" t="str">
        <f>TEXT(ROW(A261)-ROW($A$4),"000")</f>
        <v>257</v>
      </c>
      <c r="B261" s="221"/>
      <c r="C261" s="221" t="s">
        <v>3449</v>
      </c>
      <c r="D261" s="221" t="s">
        <v>3850</v>
      </c>
      <c r="E261" s="221" t="s">
        <v>3295</v>
      </c>
      <c r="F261" s="221" t="s">
        <v>3299</v>
      </c>
      <c r="G261" s="222">
        <v>45287</v>
      </c>
      <c r="H261" s="223">
        <v>0.33333333333333331</v>
      </c>
      <c r="I261" s="221" t="s">
        <v>3193</v>
      </c>
      <c r="J261" s="221" t="s">
        <v>3023</v>
      </c>
      <c r="K261" s="224" t="s">
        <v>3073</v>
      </c>
      <c r="L261" s="225" t="str">
        <f>VLOOKUP(Logfile_S[[#This Row],[Material Name]],Sheet2!B:C,2,0)</f>
        <v>ZTE2001</v>
      </c>
      <c r="M261" s="225" t="str">
        <f>_xlfn.XLOOKUP(Logfile_S[[#This Row],[Material Name]],Sum_WH!E:E,Sum_WH!F:F,"",0)</f>
        <v>Meter</v>
      </c>
      <c r="N261" s="221">
        <v>3000</v>
      </c>
      <c r="O261" s="221" t="s">
        <v>4925</v>
      </c>
      <c r="P261" s="221" t="s">
        <v>3266</v>
      </c>
      <c r="Q261" s="221"/>
      <c r="R261" s="221"/>
      <c r="S261" s="221"/>
      <c r="T261" s="221" t="s">
        <v>3492</v>
      </c>
      <c r="U261" s="221">
        <v>0</v>
      </c>
      <c r="V261" s="221">
        <v>0</v>
      </c>
      <c r="W261" s="221">
        <v>0</v>
      </c>
      <c r="X261" s="221" t="s">
        <v>3493</v>
      </c>
      <c r="Y261" s="227" t="s">
        <v>4991</v>
      </c>
      <c r="Z261" s="227" t="str">
        <f>P261</f>
        <v>YPTT</v>
      </c>
      <c r="AA261" s="276" t="e">
        <f>VLOOKUP(Logfile_S[[#This Row],[DO number]],DO_DB!G:I,3,0)</f>
        <v>#N/A</v>
      </c>
      <c r="AB261" s="331" t="e">
        <f>EXACT(Logfile_S[[#This Row],[date pick]],Logfile_S[[#This Row],[Date]])</f>
        <v>#N/A</v>
      </c>
      <c r="AC2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OUT_H-ADSS 24C-20231227-01</v>
      </c>
    </row>
    <row r="262" spans="1:29" ht="14.5">
      <c r="A262" s="220" t="str">
        <f>TEXT(ROW(A262)-ROW($A$4),"000")</f>
        <v>258</v>
      </c>
      <c r="B262" s="221"/>
      <c r="C262" s="221" t="s">
        <v>3449</v>
      </c>
      <c r="D262" s="221" t="s">
        <v>3850</v>
      </c>
      <c r="E262" s="221" t="s">
        <v>3295</v>
      </c>
      <c r="F262" s="221" t="s">
        <v>3299</v>
      </c>
      <c r="G262" s="222">
        <v>45287</v>
      </c>
      <c r="H262" s="223">
        <v>0.33333333333333331</v>
      </c>
      <c r="I262" s="221" t="s">
        <v>3193</v>
      </c>
      <c r="J262" s="221" t="s">
        <v>3023</v>
      </c>
      <c r="K262" s="224" t="s">
        <v>3069</v>
      </c>
      <c r="L262" s="225" t="str">
        <f>VLOOKUP(Logfile_S[[#This Row],[Material Name]],Sheet2!B:C,2,0)</f>
        <v>ZTE1001</v>
      </c>
      <c r="M262" s="225" t="str">
        <f>_xlfn.XLOOKUP(Logfile_S[[#This Row],[Material Name]],Sum_WH!E:E,Sum_WH!F:F,"",0)</f>
        <v>Pcs</v>
      </c>
      <c r="N262" s="221">
        <v>25</v>
      </c>
      <c r="O262" s="221" t="s">
        <v>4925</v>
      </c>
      <c r="P262" s="221" t="s">
        <v>3266</v>
      </c>
      <c r="Q262" s="221"/>
      <c r="R262" s="221"/>
      <c r="S262" s="221"/>
      <c r="T262" s="221" t="s">
        <v>3492</v>
      </c>
      <c r="U262" s="221">
        <v>0</v>
      </c>
      <c r="V262" s="221">
        <v>0</v>
      </c>
      <c r="W262" s="221">
        <v>0</v>
      </c>
      <c r="X262" s="221" t="s">
        <v>3493</v>
      </c>
      <c r="Y262" s="227"/>
      <c r="Z262" s="227" t="str">
        <f>P262</f>
        <v>YPTT</v>
      </c>
      <c r="AA262" s="276" t="e">
        <f>VLOOKUP(Logfile_S[[#This Row],[DO number]],DO_DB!G:I,3,0)</f>
        <v>#N/A</v>
      </c>
      <c r="AB262" s="331" t="e">
        <f>EXACT(Logfile_S[[#This Row],[date pick]],Logfile_S[[#This Row],[Date]])</f>
        <v>#N/A</v>
      </c>
      <c r="AC2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63" spans="1:29" ht="14.5">
      <c r="A263" s="220" t="str">
        <f>TEXT(ROW(A263)-ROW($A$4),"000")</f>
        <v>259</v>
      </c>
      <c r="B263" s="221"/>
      <c r="C263" s="221" t="s">
        <v>3429</v>
      </c>
      <c r="D263" s="221" t="s">
        <v>3869</v>
      </c>
      <c r="E263" s="221" t="s">
        <v>3295</v>
      </c>
      <c r="F263" s="221" t="s">
        <v>3299</v>
      </c>
      <c r="G263" s="222">
        <v>45307</v>
      </c>
      <c r="H263" s="223">
        <v>15.291666666666666</v>
      </c>
      <c r="I263" s="221" t="s">
        <v>3193</v>
      </c>
      <c r="J263" s="221" t="s">
        <v>3023</v>
      </c>
      <c r="K263" s="224" t="s">
        <v>3069</v>
      </c>
      <c r="L263" s="225" t="str">
        <f>VLOOKUP(Logfile_S[[#This Row],[Material Name]],Sheet2!B:C,2,0)</f>
        <v>ZTE1001</v>
      </c>
      <c r="M263" s="225" t="str">
        <f>_xlfn.XLOOKUP(Logfile_S[[#This Row],[Material Name]],Sum_WH!E:E,Sum_WH!F:F,"",0)</f>
        <v>Pcs</v>
      </c>
      <c r="N263" s="221">
        <v>25</v>
      </c>
      <c r="O263" s="221" t="s">
        <v>4925</v>
      </c>
      <c r="P263" s="221" t="s">
        <v>3266</v>
      </c>
      <c r="Q263" s="221">
        <v>0</v>
      </c>
      <c r="R263" s="221">
        <v>0</v>
      </c>
      <c r="S263" s="221"/>
      <c r="T263" s="221"/>
      <c r="U263" s="221"/>
      <c r="V263" s="221"/>
      <c r="W263" s="221"/>
      <c r="X263" s="221" t="s">
        <v>3491</v>
      </c>
      <c r="Y263" s="227"/>
      <c r="Z263" s="227" t="str">
        <f>P263</f>
        <v>YPTT</v>
      </c>
      <c r="AA263" s="276" t="e">
        <f>VLOOKUP(Logfile_S[[#This Row],[DO number]],DO_DB!G:I,3,0)</f>
        <v>#N/A</v>
      </c>
      <c r="AB263" s="331" t="e">
        <f>EXACT(Logfile_S[[#This Row],[date pick]],Logfile_S[[#This Row],[Date]])</f>
        <v>#N/A</v>
      </c>
      <c r="AC2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4" spans="1:29" ht="14.5">
      <c r="A264" s="220" t="str">
        <f>TEXT(ROW(A264)-ROW($A$4),"000")</f>
        <v>260</v>
      </c>
      <c r="B264" s="221"/>
      <c r="C264" s="221" t="s">
        <v>3449</v>
      </c>
      <c r="D264" s="221" t="s">
        <v>3875</v>
      </c>
      <c r="E264" s="221" t="s">
        <v>3295</v>
      </c>
      <c r="F264" s="221" t="s">
        <v>3299</v>
      </c>
      <c r="G264" s="222">
        <v>45309</v>
      </c>
      <c r="H264" s="223">
        <v>0.74444444444444446</v>
      </c>
      <c r="I264" s="221" t="s">
        <v>3193</v>
      </c>
      <c r="J264" s="221" t="s">
        <v>3023</v>
      </c>
      <c r="K264" s="224" t="s">
        <v>3069</v>
      </c>
      <c r="L264" s="225" t="str">
        <f>VLOOKUP(Logfile_S[[#This Row],[Material Name]],Sheet2!B:C,2,0)</f>
        <v>ZTE1001</v>
      </c>
      <c r="M264" s="225" t="str">
        <f>_xlfn.XLOOKUP(Logfile_S[[#This Row],[Material Name]],Sum_WH!E:E,Sum_WH!F:F,"",0)</f>
        <v>Pcs</v>
      </c>
      <c r="N264" s="221">
        <v>4</v>
      </c>
      <c r="O264" s="221" t="s">
        <v>4925</v>
      </c>
      <c r="P264" s="221" t="s">
        <v>3266</v>
      </c>
      <c r="Q264" s="221"/>
      <c r="R264" s="221"/>
      <c r="S264" s="221"/>
      <c r="T264" s="221" t="s">
        <v>3302</v>
      </c>
      <c r="U264" s="221">
        <v>0</v>
      </c>
      <c r="V264" s="221">
        <v>0</v>
      </c>
      <c r="W264" s="221">
        <v>0</v>
      </c>
      <c r="X264" s="221" t="s">
        <v>3493</v>
      </c>
      <c r="Y264" s="227"/>
      <c r="Z264" s="227" t="str">
        <f>P264</f>
        <v>YPTT</v>
      </c>
      <c r="AA264" s="276" t="e">
        <f>VLOOKUP(Logfile_S[[#This Row],[DO number]],DO_DB!G:I,3,0)</f>
        <v>#N/A</v>
      </c>
      <c r="AB264" s="331" t="e">
        <f>EXACT(Logfile_S[[#This Row],[date pick]],Logfile_S[[#This Row],[Date]])</f>
        <v>#N/A</v>
      </c>
      <c r="AC2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65" spans="1:29" ht="14.5">
      <c r="A265" s="220" t="str">
        <f>TEXT(ROW(A265)-ROW($A$4),"000")</f>
        <v>261</v>
      </c>
      <c r="B265" s="221"/>
      <c r="C265" s="221" t="s">
        <v>3449</v>
      </c>
      <c r="D265" s="221" t="s">
        <v>3878</v>
      </c>
      <c r="E265" s="221" t="s">
        <v>3295</v>
      </c>
      <c r="F265" s="221" t="s">
        <v>3299</v>
      </c>
      <c r="G265" s="222">
        <v>45310</v>
      </c>
      <c r="H265" s="223">
        <v>0.55138888888888882</v>
      </c>
      <c r="I265" s="221" t="s">
        <v>3193</v>
      </c>
      <c r="J265" s="221" t="s">
        <v>3023</v>
      </c>
      <c r="K265" s="224" t="s">
        <v>3069</v>
      </c>
      <c r="L265" s="225" t="str">
        <f>VLOOKUP(Logfile_S[[#This Row],[Material Name]],Sheet2!B:C,2,0)</f>
        <v>ZTE1001</v>
      </c>
      <c r="M265" s="225" t="str">
        <f>_xlfn.XLOOKUP(Logfile_S[[#This Row],[Material Name]],Sum_WH!E:E,Sum_WH!F:F,"",0)</f>
        <v>Pcs</v>
      </c>
      <c r="N265" s="221">
        <v>2</v>
      </c>
      <c r="O265" s="221" t="s">
        <v>4925</v>
      </c>
      <c r="P265" s="221" t="s">
        <v>3266</v>
      </c>
      <c r="Q265" s="221"/>
      <c r="R265" s="221"/>
      <c r="S265" s="221"/>
      <c r="T265" s="221" t="s">
        <v>3573</v>
      </c>
      <c r="U265" s="221">
        <v>0</v>
      </c>
      <c r="V265" s="221">
        <v>0</v>
      </c>
      <c r="W265" s="221">
        <v>0</v>
      </c>
      <c r="X265" s="221" t="s">
        <v>3493</v>
      </c>
      <c r="Y265" s="227"/>
      <c r="Z265" s="227" t="str">
        <f>P265</f>
        <v>YPTT</v>
      </c>
      <c r="AA265" s="276" t="e">
        <f>VLOOKUP(Logfile_S[[#This Row],[DO number]],DO_DB!G:I,3,0)</f>
        <v>#N/A</v>
      </c>
      <c r="AB265" s="331" t="e">
        <f>EXACT(Logfile_S[[#This Row],[date pick]],Logfile_S[[#This Row],[Date]])</f>
        <v>#N/A</v>
      </c>
      <c r="AC2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66" spans="1:29" ht="14.5">
      <c r="A266" s="220" t="str">
        <f>TEXT(ROW(A266)-ROW($A$4),"000")</f>
        <v>262</v>
      </c>
      <c r="B266" s="221"/>
      <c r="C266" s="221" t="s">
        <v>3449</v>
      </c>
      <c r="D266" s="221" t="s">
        <v>3897</v>
      </c>
      <c r="E266" s="221" t="s">
        <v>3295</v>
      </c>
      <c r="F266" s="221" t="s">
        <v>3299</v>
      </c>
      <c r="G266" s="222">
        <v>45315</v>
      </c>
      <c r="H266" s="223">
        <v>0.94861111111111107</v>
      </c>
      <c r="I266" s="221" t="s">
        <v>3193</v>
      </c>
      <c r="J266" s="221" t="s">
        <v>3023</v>
      </c>
      <c r="K266" s="224" t="s">
        <v>3072</v>
      </c>
      <c r="L266" s="225" t="str">
        <f>VLOOKUP(Logfile_S[[#This Row],[Material Name]],Sheet2!B:C,2,0)</f>
        <v>ZTE1004</v>
      </c>
      <c r="M266" s="225" t="str">
        <f>_xlfn.XLOOKUP(Logfile_S[[#This Row],[Material Name]],Sum_WH!E:E,Sum_WH!F:F,"",0)</f>
        <v>Pcs</v>
      </c>
      <c r="N266" s="221">
        <v>1</v>
      </c>
      <c r="O266" s="221" t="s">
        <v>4925</v>
      </c>
      <c r="P266" s="221" t="s">
        <v>3266</v>
      </c>
      <c r="Q266" s="221"/>
      <c r="R266" s="221"/>
      <c r="S266" s="221"/>
      <c r="T266" s="221" t="s">
        <v>3302</v>
      </c>
      <c r="U266" s="221">
        <v>0</v>
      </c>
      <c r="V266" s="221">
        <v>0</v>
      </c>
      <c r="W266" s="221">
        <v>0</v>
      </c>
      <c r="X266" s="221" t="s">
        <v>3251</v>
      </c>
      <c r="Y266" s="227"/>
      <c r="Z266" s="227" t="str">
        <f>P266</f>
        <v>YPTT</v>
      </c>
      <c r="AA266" s="276" t="e">
        <f>VLOOKUP(Logfile_S[[#This Row],[DO number]],DO_DB!G:I,3,0)</f>
        <v>#N/A</v>
      </c>
      <c r="AB266" s="331" t="e">
        <f>EXACT(Logfile_S[[#This Row],[date pick]],Logfile_S[[#This Row],[Date]])</f>
        <v>#N/A</v>
      </c>
      <c r="AC2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67" spans="1:29" ht="14.5">
      <c r="A267" s="220" t="str">
        <f>TEXT(ROW(A267)-ROW($A$4),"000")</f>
        <v>263</v>
      </c>
      <c r="B267" s="221"/>
      <c r="C267" s="221" t="s">
        <v>3449</v>
      </c>
      <c r="D267" s="221" t="s">
        <v>3896</v>
      </c>
      <c r="E267" s="221" t="s">
        <v>3295</v>
      </c>
      <c r="F267" s="221" t="s">
        <v>3299</v>
      </c>
      <c r="G267" s="222">
        <v>45315</v>
      </c>
      <c r="H267" s="223">
        <v>0.45902777777777781</v>
      </c>
      <c r="I267" s="221" t="s">
        <v>3193</v>
      </c>
      <c r="J267" s="221" t="s">
        <v>3023</v>
      </c>
      <c r="K267" s="224" t="s">
        <v>3069</v>
      </c>
      <c r="L267" s="225" t="str">
        <f>VLOOKUP(Logfile_S[[#This Row],[Material Name]],Sheet2!B:C,2,0)</f>
        <v>ZTE1001</v>
      </c>
      <c r="M267" s="225" t="str">
        <f>_xlfn.XLOOKUP(Logfile_S[[#This Row],[Material Name]],Sum_WH!E:E,Sum_WH!F:F,"",0)</f>
        <v>Pcs</v>
      </c>
      <c r="N267" s="221">
        <v>17</v>
      </c>
      <c r="O267" s="221" t="s">
        <v>4925</v>
      </c>
      <c r="P267" s="221" t="s">
        <v>3266</v>
      </c>
      <c r="Q267" s="221"/>
      <c r="R267" s="221"/>
      <c r="S267" s="221"/>
      <c r="T267" s="221" t="s">
        <v>3302</v>
      </c>
      <c r="U267" s="221">
        <v>0</v>
      </c>
      <c r="V267" s="221">
        <v>0</v>
      </c>
      <c r="W267" s="221">
        <v>0</v>
      </c>
      <c r="X267" s="221" t="s">
        <v>3493</v>
      </c>
      <c r="Y267" s="227"/>
      <c r="Z267" s="227" t="str">
        <f>P267</f>
        <v>YPTT</v>
      </c>
      <c r="AA267" s="276" t="e">
        <f>VLOOKUP(Logfile_S[[#This Row],[DO number]],DO_DB!G:I,3,0)</f>
        <v>#N/A</v>
      </c>
      <c r="AB267" s="331" t="e">
        <f>EXACT(Logfile_S[[#This Row],[date pick]],Logfile_S[[#This Row],[Date]])</f>
        <v>#N/A</v>
      </c>
      <c r="AC2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68" spans="1:29" ht="14.5">
      <c r="A268" s="220" t="str">
        <f>TEXT(ROW(A268)-ROW($A$4),"000")</f>
        <v>264</v>
      </c>
      <c r="B268" s="221"/>
      <c r="C268" s="221" t="s">
        <v>3449</v>
      </c>
      <c r="D268" s="221" t="s">
        <v>3904</v>
      </c>
      <c r="E268" s="221" t="s">
        <v>3295</v>
      </c>
      <c r="F268" s="221" t="s">
        <v>3299</v>
      </c>
      <c r="G268" s="222">
        <v>45317</v>
      </c>
      <c r="H268" s="223">
        <v>0.94861111111111107</v>
      </c>
      <c r="I268" s="221" t="s">
        <v>3193</v>
      </c>
      <c r="J268" s="221" t="s">
        <v>3023</v>
      </c>
      <c r="K268" s="224" t="s">
        <v>13</v>
      </c>
      <c r="L268" s="225" t="str">
        <f>VLOOKUP(Logfile_S[[#This Row],[Material Name]],Sheet2!B:C,2,0)</f>
        <v>ZTE2008</v>
      </c>
      <c r="M268" s="225" t="str">
        <f>_xlfn.XLOOKUP(Logfile_S[[#This Row],[Material Name]],Sum_WH!E:E,Sum_WH!F:F,"",0)</f>
        <v>Pcs</v>
      </c>
      <c r="N268" s="221">
        <v>5</v>
      </c>
      <c r="O268" s="221" t="s">
        <v>4925</v>
      </c>
      <c r="P268" s="221" t="s">
        <v>3266</v>
      </c>
      <c r="Q268" s="221"/>
      <c r="R268" s="221"/>
      <c r="S268" s="221"/>
      <c r="T268" s="221" t="s">
        <v>3302</v>
      </c>
      <c r="U268" s="221">
        <v>0</v>
      </c>
      <c r="V268" s="221">
        <v>0</v>
      </c>
      <c r="W268" s="221">
        <v>0</v>
      </c>
      <c r="X268" s="221" t="s">
        <v>3251</v>
      </c>
      <c r="Y268" s="227"/>
      <c r="Z268" s="227" t="str">
        <f>P268</f>
        <v>YPTT</v>
      </c>
      <c r="AA268" s="276" t="e">
        <f>VLOOKUP(Logfile_S[[#This Row],[DO number]],DO_DB!G:I,3,0)</f>
        <v>#N/A</v>
      </c>
      <c r="AB268" s="331" t="e">
        <f>EXACT(Logfile_S[[#This Row],[date pick]],Logfile_S[[#This Row],[Date]])</f>
        <v>#N/A</v>
      </c>
      <c r="AC2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69" spans="1:29" ht="14.5">
      <c r="A269" s="220" t="str">
        <f>TEXT(ROW(A269)-ROW($A$4),"000")</f>
        <v>265</v>
      </c>
      <c r="B269" s="221"/>
      <c r="C269" s="221" t="s">
        <v>3449</v>
      </c>
      <c r="D269" s="221" t="s">
        <v>3904</v>
      </c>
      <c r="E269" s="221" t="s">
        <v>3295</v>
      </c>
      <c r="F269" s="221" t="s">
        <v>3299</v>
      </c>
      <c r="G269" s="222">
        <v>45317</v>
      </c>
      <c r="H269" s="223">
        <v>0.94861111111111107</v>
      </c>
      <c r="I269" s="221" t="s">
        <v>3193</v>
      </c>
      <c r="J269" s="221" t="s">
        <v>3023</v>
      </c>
      <c r="K269" s="224" t="s">
        <v>14</v>
      </c>
      <c r="L269" s="225" t="str">
        <f>VLOOKUP(Logfile_S[[#This Row],[Material Name]],Sheet2!B:C,2,0)</f>
        <v>ZTE2005</v>
      </c>
      <c r="M269" s="225" t="str">
        <f>_xlfn.XLOOKUP(Logfile_S[[#This Row],[Material Name]],Sum_WH!E:E,Sum_WH!F:F,"",0)</f>
        <v>Pcs</v>
      </c>
      <c r="N269" s="221">
        <v>1</v>
      </c>
      <c r="O269" s="221" t="s">
        <v>4925</v>
      </c>
      <c r="P269" s="221" t="s">
        <v>3266</v>
      </c>
      <c r="Q269" s="221"/>
      <c r="R269" s="221"/>
      <c r="S269" s="221"/>
      <c r="T269" s="221" t="s">
        <v>3302</v>
      </c>
      <c r="U269" s="221">
        <v>0</v>
      </c>
      <c r="V269" s="221">
        <v>0</v>
      </c>
      <c r="W269" s="221">
        <v>0</v>
      </c>
      <c r="X269" s="221" t="s">
        <v>3251</v>
      </c>
      <c r="Y269" s="227"/>
      <c r="Z269" s="227" t="str">
        <f>P269</f>
        <v>YPTT</v>
      </c>
      <c r="AA269" s="276" t="e">
        <f>VLOOKUP(Logfile_S[[#This Row],[DO number]],DO_DB!G:I,3,0)</f>
        <v>#N/A</v>
      </c>
      <c r="AB269" s="331" t="e">
        <f>EXACT(Logfile_S[[#This Row],[date pick]],Logfile_S[[#This Row],[Date]])</f>
        <v>#N/A</v>
      </c>
      <c r="AC2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70" spans="1:29" ht="14.5">
      <c r="A270" s="220" t="str">
        <f>TEXT(ROW(A270)-ROW($A$4),"000")</f>
        <v>266</v>
      </c>
      <c r="B270" s="221"/>
      <c r="C270" s="221" t="s">
        <v>3449</v>
      </c>
      <c r="D270" s="221" t="s">
        <v>3910</v>
      </c>
      <c r="E270" s="221" t="s">
        <v>3295</v>
      </c>
      <c r="F270" s="221" t="s">
        <v>3299</v>
      </c>
      <c r="G270" s="222">
        <v>45323</v>
      </c>
      <c r="H270" s="223">
        <v>0.35416666666666669</v>
      </c>
      <c r="I270" s="221" t="s">
        <v>3193</v>
      </c>
      <c r="J270" s="221" t="s">
        <v>3023</v>
      </c>
      <c r="K270" s="224" t="s">
        <v>3070</v>
      </c>
      <c r="L270" s="225" t="str">
        <f>VLOOKUP(Logfile_S[[#This Row],[Material Name]],Sheet2!B:C,2,0)</f>
        <v>ZTE1002</v>
      </c>
      <c r="M270" s="225" t="str">
        <f>_xlfn.XLOOKUP(Logfile_S[[#This Row],[Material Name]],Sum_WH!E:E,Sum_WH!F:F,"",0)</f>
        <v>Pcs</v>
      </c>
      <c r="N270" s="221">
        <v>3</v>
      </c>
      <c r="O270" s="221" t="s">
        <v>4925</v>
      </c>
      <c r="P270" s="221" t="s">
        <v>3266</v>
      </c>
      <c r="Q270" s="221"/>
      <c r="R270" s="221"/>
      <c r="S270" s="221"/>
      <c r="T270" s="221" t="s">
        <v>3573</v>
      </c>
      <c r="U270" s="221">
        <v>0</v>
      </c>
      <c r="V270" s="221">
        <v>0</v>
      </c>
      <c r="W270" s="221">
        <v>0</v>
      </c>
      <c r="X270" s="221" t="s">
        <v>3266</v>
      </c>
      <c r="Y270" s="227"/>
      <c r="Z270" s="227" t="str">
        <f>P270</f>
        <v>YPTT</v>
      </c>
      <c r="AA270" s="276" t="e">
        <f>VLOOKUP(Logfile_S[[#This Row],[DO number]],DO_DB!G:I,3,0)</f>
        <v>#N/A</v>
      </c>
      <c r="AB270" s="331" t="e">
        <f>EXACT(Logfile_S[[#This Row],[date pick]],Logfile_S[[#This Row],[Date]])</f>
        <v>#N/A</v>
      </c>
      <c r="AC2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71" spans="1:29" ht="14.5">
      <c r="A271" s="220" t="str">
        <f>TEXT(ROW(A271)-ROW($A$4),"000")</f>
        <v>267</v>
      </c>
      <c r="B271" s="221"/>
      <c r="C271" s="221" t="s">
        <v>3449</v>
      </c>
      <c r="D271" s="221" t="s">
        <v>3910</v>
      </c>
      <c r="E271" s="221" t="s">
        <v>3295</v>
      </c>
      <c r="F271" s="221" t="s">
        <v>3299</v>
      </c>
      <c r="G271" s="222">
        <v>45323</v>
      </c>
      <c r="H271" s="223">
        <v>0.35416666666666669</v>
      </c>
      <c r="I271" s="221" t="s">
        <v>3193</v>
      </c>
      <c r="J271" s="221" t="s">
        <v>3023</v>
      </c>
      <c r="K271" s="224" t="s">
        <v>3069</v>
      </c>
      <c r="L271" s="225" t="str">
        <f>VLOOKUP(Logfile_S[[#This Row],[Material Name]],Sheet2!B:C,2,0)</f>
        <v>ZTE1001</v>
      </c>
      <c r="M271" s="225" t="str">
        <f>_xlfn.XLOOKUP(Logfile_S[[#This Row],[Material Name]],Sum_WH!E:E,Sum_WH!F:F,"",0)</f>
        <v>Pcs</v>
      </c>
      <c r="N271" s="221">
        <v>2</v>
      </c>
      <c r="O271" s="221" t="s">
        <v>4925</v>
      </c>
      <c r="P271" s="221" t="s">
        <v>3266</v>
      </c>
      <c r="Q271" s="221"/>
      <c r="R271" s="221"/>
      <c r="S271" s="221"/>
      <c r="T271" s="221" t="s">
        <v>3573</v>
      </c>
      <c r="U271" s="221">
        <v>0</v>
      </c>
      <c r="V271" s="221">
        <v>0</v>
      </c>
      <c r="W271" s="221">
        <v>0</v>
      </c>
      <c r="X271" s="221" t="s">
        <v>3493</v>
      </c>
      <c r="Y271" s="227"/>
      <c r="Z271" s="227" t="str">
        <f>P271</f>
        <v>YPTT</v>
      </c>
      <c r="AA271" s="276" t="e">
        <f>VLOOKUP(Logfile_S[[#This Row],[DO number]],DO_DB!G:I,3,0)</f>
        <v>#N/A</v>
      </c>
      <c r="AB271" s="331" t="e">
        <f>EXACT(Logfile_S[[#This Row],[date pick]],Logfile_S[[#This Row],[Date]])</f>
        <v>#N/A</v>
      </c>
      <c r="AC2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72" spans="1:29" ht="14.5">
      <c r="A272" s="220" t="str">
        <f>TEXT(ROW(A272)-ROW($A$4),"000")</f>
        <v>268</v>
      </c>
      <c r="B272" s="221"/>
      <c r="C272" s="221" t="s">
        <v>3449</v>
      </c>
      <c r="D272" s="221" t="s">
        <v>3910</v>
      </c>
      <c r="E272" s="221" t="s">
        <v>3295</v>
      </c>
      <c r="F272" s="221" t="s">
        <v>3299</v>
      </c>
      <c r="G272" s="222">
        <v>45323</v>
      </c>
      <c r="H272" s="223">
        <v>0.35416666666666669</v>
      </c>
      <c r="I272" s="221" t="s">
        <v>3193</v>
      </c>
      <c r="J272" s="221" t="s">
        <v>3023</v>
      </c>
      <c r="K272" s="224" t="s">
        <v>3069</v>
      </c>
      <c r="L272" s="225" t="str">
        <f>VLOOKUP(Logfile_S[[#This Row],[Material Name]],Sheet2!B:C,2,0)</f>
        <v>ZTE1001</v>
      </c>
      <c r="M272" s="225" t="str">
        <f>_xlfn.XLOOKUP(Logfile_S[[#This Row],[Material Name]],Sum_WH!E:E,Sum_WH!F:F,"",0)</f>
        <v>Pcs</v>
      </c>
      <c r="N272" s="221">
        <v>6</v>
      </c>
      <c r="O272" s="221" t="s">
        <v>4925</v>
      </c>
      <c r="P272" s="221" t="s">
        <v>3266</v>
      </c>
      <c r="Q272" s="221"/>
      <c r="R272" s="221"/>
      <c r="S272" s="221"/>
      <c r="T272" s="221" t="s">
        <v>3573</v>
      </c>
      <c r="U272" s="221">
        <v>0</v>
      </c>
      <c r="V272" s="221">
        <v>0</v>
      </c>
      <c r="W272" s="221">
        <v>0</v>
      </c>
      <c r="X272" s="221" t="s">
        <v>3251</v>
      </c>
      <c r="Y272" s="227"/>
      <c r="Z272" s="227" t="str">
        <f>P272</f>
        <v>YPTT</v>
      </c>
      <c r="AA272" s="276" t="e">
        <f>VLOOKUP(Logfile_S[[#This Row],[DO number]],DO_DB!G:I,3,0)</f>
        <v>#N/A</v>
      </c>
      <c r="AB272" s="331" t="e">
        <f>EXACT(Logfile_S[[#This Row],[date pick]],Logfile_S[[#This Row],[Date]])</f>
        <v>#N/A</v>
      </c>
      <c r="AC2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73" spans="1:29" ht="14.5">
      <c r="A273" s="220" t="str">
        <f>TEXT(ROW(A273)-ROW($A$4),"000")</f>
        <v>269</v>
      </c>
      <c r="B273" s="221"/>
      <c r="C273" s="221" t="s">
        <v>3429</v>
      </c>
      <c r="D273" s="221" t="s">
        <v>3942</v>
      </c>
      <c r="E273" s="221" t="s">
        <v>3295</v>
      </c>
      <c r="F273" s="221" t="s">
        <v>3299</v>
      </c>
      <c r="G273" s="222">
        <v>45344</v>
      </c>
      <c r="H273" s="223">
        <v>15.291666666666666</v>
      </c>
      <c r="I273" s="221" t="s">
        <v>3193</v>
      </c>
      <c r="J273" s="221" t="s">
        <v>3023</v>
      </c>
      <c r="K273" s="224" t="s">
        <v>13</v>
      </c>
      <c r="L273" s="225" t="str">
        <f>VLOOKUP(Logfile_S[[#This Row],[Material Name]],Sheet2!B:C,2,0)</f>
        <v>ZTE2008</v>
      </c>
      <c r="M273" s="225" t="str">
        <f>_xlfn.XLOOKUP(Logfile_S[[#This Row],[Material Name]],Sum_WH!E:E,Sum_WH!F:F,"",0)</f>
        <v>Pcs</v>
      </c>
      <c r="N273" s="221">
        <v>5</v>
      </c>
      <c r="O273" s="221" t="s">
        <v>4925</v>
      </c>
      <c r="P273" s="221" t="s">
        <v>3266</v>
      </c>
      <c r="Q273" s="221" t="s">
        <v>3533</v>
      </c>
      <c r="R273" s="221">
        <v>0</v>
      </c>
      <c r="S273" s="221"/>
      <c r="T273" s="221"/>
      <c r="U273" s="221"/>
      <c r="V273" s="221"/>
      <c r="W273" s="221"/>
      <c r="X273" s="221" t="s">
        <v>3534</v>
      </c>
      <c r="Y273" s="227"/>
      <c r="Z273" s="227" t="str">
        <f>P273</f>
        <v>YPTT</v>
      </c>
      <c r="AA273" s="276" t="e">
        <f>VLOOKUP(Logfile_S[[#This Row],[DO number]],DO_DB!G:I,3,0)</f>
        <v>#N/A</v>
      </c>
      <c r="AB273" s="331" t="e">
        <f>EXACT(Logfile_S[[#This Row],[date pick]],Logfile_S[[#This Row],[Date]])</f>
        <v>#N/A</v>
      </c>
      <c r="AC2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74" spans="1:29" ht="14.5">
      <c r="A274" s="220" t="str">
        <f>TEXT(ROW(A274)-ROW($A$4),"000")</f>
        <v>270</v>
      </c>
      <c r="B274" s="221"/>
      <c r="C274" s="221" t="s">
        <v>3429</v>
      </c>
      <c r="D274" s="221" t="s">
        <v>3942</v>
      </c>
      <c r="E274" s="221" t="s">
        <v>3295</v>
      </c>
      <c r="F274" s="221" t="s">
        <v>3299</v>
      </c>
      <c r="G274" s="222">
        <v>45344</v>
      </c>
      <c r="H274" s="223">
        <v>15.291666666666666</v>
      </c>
      <c r="I274" s="221" t="s">
        <v>3193</v>
      </c>
      <c r="J274" s="221" t="s">
        <v>3023</v>
      </c>
      <c r="K274" s="224" t="s">
        <v>14</v>
      </c>
      <c r="L274" s="225" t="str">
        <f>VLOOKUP(Logfile_S[[#This Row],[Material Name]],Sheet2!B:C,2,0)</f>
        <v>ZTE2005</v>
      </c>
      <c r="M274" s="225" t="str">
        <f>_xlfn.XLOOKUP(Logfile_S[[#This Row],[Material Name]],Sum_WH!E:E,Sum_WH!F:F,"",0)</f>
        <v>Pcs</v>
      </c>
      <c r="N274" s="221">
        <v>1</v>
      </c>
      <c r="O274" s="221" t="s">
        <v>4925</v>
      </c>
      <c r="P274" s="221" t="s">
        <v>3266</v>
      </c>
      <c r="Q274" s="221" t="s">
        <v>3533</v>
      </c>
      <c r="R274" s="221">
        <v>0</v>
      </c>
      <c r="S274" s="221"/>
      <c r="T274" s="221"/>
      <c r="U274" s="221"/>
      <c r="V274" s="221"/>
      <c r="W274" s="221"/>
      <c r="X274" s="221" t="s">
        <v>3552</v>
      </c>
      <c r="Y274" s="227"/>
      <c r="Z274" s="227" t="str">
        <f>P274</f>
        <v>YPTT</v>
      </c>
      <c r="AA274" s="276" t="e">
        <f>VLOOKUP(Logfile_S[[#This Row],[DO number]],DO_DB!G:I,3,0)</f>
        <v>#N/A</v>
      </c>
      <c r="AB274" s="331" t="e">
        <f>EXACT(Logfile_S[[#This Row],[date pick]],Logfile_S[[#This Row],[Date]])</f>
        <v>#N/A</v>
      </c>
      <c r="AC2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75" spans="1:29" ht="14.5">
      <c r="A275" s="220" t="str">
        <f>TEXT(ROW(A275)-ROW($A$4),"000")</f>
        <v>271</v>
      </c>
      <c r="B275" s="221"/>
      <c r="C275" s="221" t="s">
        <v>3429</v>
      </c>
      <c r="D275" s="221" t="s">
        <v>3979</v>
      </c>
      <c r="E275" s="221" t="s">
        <v>3295</v>
      </c>
      <c r="F275" s="221" t="s">
        <v>3299</v>
      </c>
      <c r="G275" s="222">
        <v>45366</v>
      </c>
      <c r="H275" s="223">
        <v>15.291666666666666</v>
      </c>
      <c r="I275" s="221" t="s">
        <v>3193</v>
      </c>
      <c r="J275" s="221" t="s">
        <v>3023</v>
      </c>
      <c r="K275" s="224" t="s">
        <v>3070</v>
      </c>
      <c r="L275" s="225" t="str">
        <f>VLOOKUP(Logfile_S[[#This Row],[Material Name]],Sheet2!B:C,2,0)</f>
        <v>ZTE1002</v>
      </c>
      <c r="M275" s="225" t="str">
        <f>_xlfn.XLOOKUP(Logfile_S[[#This Row],[Material Name]],Sum_WH!E:E,Sum_WH!F:F,"",0)</f>
        <v>Pcs</v>
      </c>
      <c r="N275" s="221">
        <v>3</v>
      </c>
      <c r="O275" s="221" t="s">
        <v>4925</v>
      </c>
      <c r="P275" s="221" t="s">
        <v>3266</v>
      </c>
      <c r="Q275" s="221">
        <v>0</v>
      </c>
      <c r="R275" s="221"/>
      <c r="S275" s="221"/>
      <c r="T275" s="221"/>
      <c r="U275" s="221"/>
      <c r="V275" s="221"/>
      <c r="W275" s="221"/>
      <c r="X275" s="221" t="s">
        <v>3534</v>
      </c>
      <c r="Y275" s="227"/>
      <c r="Z275" s="227" t="str">
        <f>P275</f>
        <v>YPTT</v>
      </c>
      <c r="AA275" s="276" t="e">
        <f>VLOOKUP(Logfile_S[[#This Row],[DO number]],DO_DB!G:I,3,0)</f>
        <v>#N/A</v>
      </c>
      <c r="AB275" s="331" t="e">
        <f>EXACT(Logfile_S[[#This Row],[date pick]],Logfile_S[[#This Row],[Date]])</f>
        <v>#N/A</v>
      </c>
      <c r="AC2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76" spans="1:29" ht="14.5">
      <c r="A276" s="220" t="str">
        <f>TEXT(ROW(A276)-ROW($A$4),"000")</f>
        <v>272</v>
      </c>
      <c r="B276" s="221"/>
      <c r="C276" s="221" t="s">
        <v>3429</v>
      </c>
      <c r="D276" s="221" t="s">
        <v>3979</v>
      </c>
      <c r="E276" s="221" t="s">
        <v>3295</v>
      </c>
      <c r="F276" s="221" t="s">
        <v>3299</v>
      </c>
      <c r="G276" s="222">
        <v>45366</v>
      </c>
      <c r="H276" s="223">
        <v>15.291666666666666</v>
      </c>
      <c r="I276" s="221" t="s">
        <v>3193</v>
      </c>
      <c r="J276" s="221" t="s">
        <v>3023</v>
      </c>
      <c r="K276" s="224" t="s">
        <v>3069</v>
      </c>
      <c r="L276" s="225" t="str">
        <f>VLOOKUP(Logfile_S[[#This Row],[Material Name]],Sheet2!B:C,2,0)</f>
        <v>ZTE1001</v>
      </c>
      <c r="M276" s="225" t="str">
        <f>_xlfn.XLOOKUP(Logfile_S[[#This Row],[Material Name]],Sum_WH!E:E,Sum_WH!F:F,"",0)</f>
        <v>Pcs</v>
      </c>
      <c r="N276" s="221">
        <v>6</v>
      </c>
      <c r="O276" s="221" t="s">
        <v>4925</v>
      </c>
      <c r="P276" s="221" t="s">
        <v>3266</v>
      </c>
      <c r="Q276" s="221">
        <v>0</v>
      </c>
      <c r="R276" s="221" t="s">
        <v>3147</v>
      </c>
      <c r="S276" s="221"/>
      <c r="T276" s="221"/>
      <c r="U276" s="221"/>
      <c r="V276" s="221"/>
      <c r="W276" s="221"/>
      <c r="X276" s="221" t="s">
        <v>3534</v>
      </c>
      <c r="Y276" s="227"/>
      <c r="Z276" s="227" t="str">
        <f>P276</f>
        <v>YPTT</v>
      </c>
      <c r="AA276" s="276" t="e">
        <f>VLOOKUP(Logfile_S[[#This Row],[DO number]],DO_DB!G:I,3,0)</f>
        <v>#N/A</v>
      </c>
      <c r="AB276" s="331" t="e">
        <f>EXACT(Logfile_S[[#This Row],[date pick]],Logfile_S[[#This Row],[Date]])</f>
        <v>#N/A</v>
      </c>
      <c r="AC2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77" spans="1:29" ht="14.5">
      <c r="A277" s="220" t="str">
        <f>TEXT(ROW(A277)-ROW($A$4),"000")</f>
        <v>273</v>
      </c>
      <c r="B277" s="221"/>
      <c r="C277" s="221" t="s">
        <v>3429</v>
      </c>
      <c r="D277" s="221" t="s">
        <v>4127</v>
      </c>
      <c r="E277" s="221" t="s">
        <v>3295</v>
      </c>
      <c r="F277" s="221" t="s">
        <v>3299</v>
      </c>
      <c r="G277" s="222">
        <v>45496</v>
      </c>
      <c r="H277" s="223">
        <v>15.291666666666666</v>
      </c>
      <c r="I277" s="221" t="s">
        <v>3193</v>
      </c>
      <c r="J277" s="221" t="s">
        <v>3023</v>
      </c>
      <c r="K277" s="224" t="s">
        <v>3072</v>
      </c>
      <c r="L277" s="225" t="str">
        <f>VLOOKUP(Logfile_S[[#This Row],[Material Name]],Sheet2!B:C,2,0)</f>
        <v>ZTE1004</v>
      </c>
      <c r="M277" s="225" t="str">
        <f>_xlfn.XLOOKUP(Logfile_S[[#This Row],[Material Name]],Sum_WH!E:E,Sum_WH!F:F,"",0)</f>
        <v>Pcs</v>
      </c>
      <c r="N277" s="221">
        <v>1</v>
      </c>
      <c r="O277" s="221" t="s">
        <v>4925</v>
      </c>
      <c r="P277" s="221" t="s">
        <v>3266</v>
      </c>
      <c r="Q277" s="221">
        <v>0</v>
      </c>
      <c r="R277" s="221">
        <v>0</v>
      </c>
      <c r="S277" s="221"/>
      <c r="T277" s="221"/>
      <c r="U277" s="221"/>
      <c r="V277" s="221"/>
      <c r="W277" s="221"/>
      <c r="X277" s="221" t="s">
        <v>3221</v>
      </c>
      <c r="Y277" s="227"/>
      <c r="Z277" s="227" t="str">
        <f>P277</f>
        <v>YPTT</v>
      </c>
      <c r="AA277" s="276" t="e">
        <f>VLOOKUP(Logfile_S[[#This Row],[DO number]],DO_DB!G:I,3,0)</f>
        <v>#N/A</v>
      </c>
      <c r="AB277" s="331" t="e">
        <f>EXACT(Logfile_S[[#This Row],[date pick]],Logfile_S[[#This Row],[Date]])</f>
        <v>#N/A</v>
      </c>
      <c r="AC2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78" spans="1:29" ht="14.5">
      <c r="A278" s="220" t="str">
        <f>TEXT(ROW(A278)-ROW($A$4),"000")</f>
        <v>274</v>
      </c>
      <c r="B278" s="221"/>
      <c r="C278" s="221" t="s">
        <v>3429</v>
      </c>
      <c r="D278" s="221" t="s">
        <v>3822</v>
      </c>
      <c r="E278" s="221" t="s">
        <v>3295</v>
      </c>
      <c r="F278" s="221" t="s">
        <v>3299</v>
      </c>
      <c r="G278" s="222">
        <v>45257</v>
      </c>
      <c r="H278" s="223">
        <v>15.291666666666666</v>
      </c>
      <c r="I278" s="221" t="s">
        <v>3193</v>
      </c>
      <c r="J278" s="221" t="s">
        <v>3023</v>
      </c>
      <c r="K278" s="224" t="s">
        <v>13</v>
      </c>
      <c r="L278" s="225" t="str">
        <f>VLOOKUP(Logfile_S[[#This Row],[Material Name]],Sheet2!B:C,2,0)</f>
        <v>ZTE2008</v>
      </c>
      <c r="M278" s="225" t="str">
        <f>_xlfn.XLOOKUP(Logfile_S[[#This Row],[Material Name]],Sum_WH!E:E,Sum_WH!F:F,"",0)</f>
        <v>Pcs</v>
      </c>
      <c r="N278" s="221">
        <v>15</v>
      </c>
      <c r="O278" s="221" t="s">
        <v>4926</v>
      </c>
      <c r="P278" s="221" t="s">
        <v>3478</v>
      </c>
      <c r="Q278" s="221">
        <v>0</v>
      </c>
      <c r="R278" s="221" t="s">
        <v>3147</v>
      </c>
      <c r="S278" s="221"/>
      <c r="T278" s="221"/>
      <c r="U278" s="221"/>
      <c r="V278" s="221"/>
      <c r="W278" s="221"/>
      <c r="X278" s="221" t="s">
        <v>3531</v>
      </c>
      <c r="Y278" s="227"/>
      <c r="Z278" s="227" t="str">
        <f>P278</f>
        <v>MORASHA</v>
      </c>
      <c r="AA278" s="276" t="e">
        <f>VLOOKUP(Logfile_S[[#This Row],[DO number]],DO_DB!G:I,3,0)</f>
        <v>#N/A</v>
      </c>
      <c r="AB278" s="331" t="e">
        <f>EXACT(Logfile_S[[#This Row],[date pick]],Logfile_S[[#This Row],[Date]])</f>
        <v>#N/A</v>
      </c>
      <c r="AC2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79" spans="1:29" ht="14.5">
      <c r="A279" s="220" t="str">
        <f>TEXT(ROW(A279)-ROW($A$4),"000")</f>
        <v>275</v>
      </c>
      <c r="B279" s="221"/>
      <c r="C279" s="221" t="s">
        <v>3449</v>
      </c>
      <c r="D279" s="221" t="s">
        <v>3829</v>
      </c>
      <c r="E279" s="221" t="s">
        <v>3295</v>
      </c>
      <c r="F279" s="221" t="s">
        <v>3299</v>
      </c>
      <c r="G279" s="222">
        <v>45264</v>
      </c>
      <c r="H279" s="223">
        <v>15.291666666666666</v>
      </c>
      <c r="I279" s="221" t="s">
        <v>3193</v>
      </c>
      <c r="J279" s="221" t="s">
        <v>3023</v>
      </c>
      <c r="K279" s="224" t="s">
        <v>13</v>
      </c>
      <c r="L279" s="225" t="str">
        <f>VLOOKUP(Logfile_S[[#This Row],[Material Name]],Sheet2!B:C,2,0)</f>
        <v>ZTE2008</v>
      </c>
      <c r="M279" s="225" t="str">
        <f>_xlfn.XLOOKUP(Logfile_S[[#This Row],[Material Name]],Sum_WH!E:E,Sum_WH!F:F,"",0)</f>
        <v>Pcs</v>
      </c>
      <c r="N279" s="221">
        <v>15</v>
      </c>
      <c r="O279" s="221" t="s">
        <v>4926</v>
      </c>
      <c r="P279" s="221" t="s">
        <v>3478</v>
      </c>
      <c r="Q279" s="221">
        <v>0</v>
      </c>
      <c r="R279" s="221" t="s">
        <v>3147</v>
      </c>
      <c r="S279" s="221"/>
      <c r="T279" s="221"/>
      <c r="U279" s="221"/>
      <c r="V279" s="221"/>
      <c r="W279" s="221"/>
      <c r="X279" s="221" t="s">
        <v>3532</v>
      </c>
      <c r="Y279" s="227"/>
      <c r="Z279" s="227" t="str">
        <f>P279</f>
        <v>MORASHA</v>
      </c>
      <c r="AA279" s="276" t="e">
        <f>VLOOKUP(Logfile_S[[#This Row],[DO number]],DO_DB!G:I,3,0)</f>
        <v>#N/A</v>
      </c>
      <c r="AB279" s="331" t="e">
        <f>EXACT(Logfile_S[[#This Row],[date pick]],Logfile_S[[#This Row],[Date]])</f>
        <v>#N/A</v>
      </c>
      <c r="AC2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80" spans="1:29" ht="14.5">
      <c r="A280" s="220" t="str">
        <f>TEXT(ROW(A280)-ROW($A$4),"000")</f>
        <v>276</v>
      </c>
      <c r="B280" s="221"/>
      <c r="C280" s="221" t="s">
        <v>3429</v>
      </c>
      <c r="D280" s="221" t="s">
        <v>3944</v>
      </c>
      <c r="E280" s="221" t="s">
        <v>3295</v>
      </c>
      <c r="F280" s="221" t="s">
        <v>3299</v>
      </c>
      <c r="G280" s="222">
        <v>45345</v>
      </c>
      <c r="H280" s="223">
        <v>15.291666666666666</v>
      </c>
      <c r="I280" s="221" t="s">
        <v>3193</v>
      </c>
      <c r="J280" s="221" t="s">
        <v>3023</v>
      </c>
      <c r="K280" s="224" t="s">
        <v>3075</v>
      </c>
      <c r="L280" s="225" t="str">
        <f>VLOOKUP(Logfile_S[[#This Row],[Material Name]],Sheet2!B:C,2,0)</f>
        <v>ZTE2003</v>
      </c>
      <c r="M280" s="225" t="str">
        <f>_xlfn.XLOOKUP(Logfile_S[[#This Row],[Material Name]],Sum_WH!E:E,Sum_WH!F:F,"",0)</f>
        <v>Meter</v>
      </c>
      <c r="N280" s="221">
        <v>3000</v>
      </c>
      <c r="O280" s="221" t="s">
        <v>4926</v>
      </c>
      <c r="P280" s="221" t="s">
        <v>3478</v>
      </c>
      <c r="Q280" s="221" t="s">
        <v>3547</v>
      </c>
      <c r="R280" s="221">
        <v>0</v>
      </c>
      <c r="S280" s="221"/>
      <c r="T280" s="221"/>
      <c r="U280" s="221"/>
      <c r="V280" s="221"/>
      <c r="W280" s="221"/>
      <c r="X280" s="221" t="s">
        <v>3479</v>
      </c>
      <c r="Y280" s="227" t="s">
        <v>5093</v>
      </c>
      <c r="Z280" s="227" t="str">
        <f>P280</f>
        <v>MORASHA</v>
      </c>
      <c r="AA280" s="276" t="e">
        <f>VLOOKUP(Logfile_S[[#This Row],[DO number]],DO_DB!G:I,3,0)</f>
        <v>#N/A</v>
      </c>
      <c r="AB280" s="331" t="e">
        <f>EXACT(Logfile_S[[#This Row],[date pick]],Logfile_S[[#This Row],[Date]])</f>
        <v>#N/A</v>
      </c>
      <c r="AC2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48C-2024223-01</v>
      </c>
    </row>
    <row r="281" spans="1:29" ht="14.5">
      <c r="A281" s="237" t="str">
        <f>TEXT(ROW(A281)-ROW($A$4),"000")</f>
        <v>277</v>
      </c>
      <c r="B281" s="221"/>
      <c r="C281" s="221" t="s">
        <v>3429</v>
      </c>
      <c r="D281" s="221" t="s">
        <v>3944</v>
      </c>
      <c r="E281" s="221" t="s">
        <v>3295</v>
      </c>
      <c r="F281" s="221" t="s">
        <v>3299</v>
      </c>
      <c r="G281" s="222">
        <v>45345</v>
      </c>
      <c r="H281" s="223">
        <v>15.291666666666666</v>
      </c>
      <c r="I281" s="221" t="s">
        <v>3193</v>
      </c>
      <c r="J281" s="221" t="s">
        <v>3023</v>
      </c>
      <c r="K281" s="224" t="s">
        <v>3075</v>
      </c>
      <c r="L281" s="225" t="str">
        <f>VLOOKUP(Logfile_S[[#This Row],[Material Name]],Sheet2!B:C,2,0)</f>
        <v>ZTE2003</v>
      </c>
      <c r="M281" s="225" t="s">
        <v>20</v>
      </c>
      <c r="N281" s="221">
        <v>3000</v>
      </c>
      <c r="O281" s="221" t="s">
        <v>4926</v>
      </c>
      <c r="P281" s="221" t="s">
        <v>3478</v>
      </c>
      <c r="Q281" s="221" t="s">
        <v>3547</v>
      </c>
      <c r="R281" s="221">
        <v>0</v>
      </c>
      <c r="S281" s="227"/>
      <c r="T281" s="227"/>
      <c r="U281" s="227"/>
      <c r="V281" s="227"/>
      <c r="W281" s="227"/>
      <c r="X281" s="227"/>
      <c r="Y281" s="238" t="s">
        <v>5260</v>
      </c>
      <c r="Z281" s="227" t="str">
        <f>P281</f>
        <v>MORASHA</v>
      </c>
      <c r="AA281" s="276" t="e">
        <f>VLOOKUP(Logfile_S[[#This Row],[DO number]],DO_DB!G:I,3,0)</f>
        <v>#N/A</v>
      </c>
      <c r="AB281" s="331" t="e">
        <f>EXACT(Logfile_S[[#This Row],[date pick]],Logfile_S[[#This Row],[Date]])</f>
        <v>#N/A</v>
      </c>
      <c r="AC2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48C-2024223-02</v>
      </c>
    </row>
    <row r="282" spans="1:29" ht="14.5">
      <c r="A282" s="220" t="str">
        <f>TEXT(ROW(A282)-ROW($A$4),"000")</f>
        <v>278</v>
      </c>
      <c r="B282" s="221"/>
      <c r="C282" s="221" t="s">
        <v>3449</v>
      </c>
      <c r="D282" s="221" t="s">
        <v>4076</v>
      </c>
      <c r="E282" s="221" t="s">
        <v>3295</v>
      </c>
      <c r="F282" s="221" t="s">
        <v>3299</v>
      </c>
      <c r="G282" s="222">
        <v>45448</v>
      </c>
      <c r="H282" s="223">
        <v>0.74375000000000002</v>
      </c>
      <c r="I282" s="221" t="s">
        <v>3193</v>
      </c>
      <c r="J282" s="221" t="s">
        <v>3023</v>
      </c>
      <c r="K282" s="224" t="s">
        <v>3075</v>
      </c>
      <c r="L282" s="225" t="str">
        <f>VLOOKUP(Logfile_S[[#This Row],[Material Name]],Sheet2!B:C,2,0)</f>
        <v>ZTE2003</v>
      </c>
      <c r="M282" s="225" t="str">
        <f>_xlfn.XLOOKUP(Logfile_S[[#This Row],[Material Name]],Sum_WH!E:E,Sum_WH!F:F,"",0)</f>
        <v>Meter</v>
      </c>
      <c r="N282" s="221">
        <v>3000</v>
      </c>
      <c r="O282" s="221" t="s">
        <v>4926</v>
      </c>
      <c r="P282" s="221" t="s">
        <v>3478</v>
      </c>
      <c r="Q282" s="221"/>
      <c r="R282" s="221"/>
      <c r="S282" s="221"/>
      <c r="T282" s="221" t="s">
        <v>3258</v>
      </c>
      <c r="U282" s="221" t="s">
        <v>3228</v>
      </c>
      <c r="V282" s="221" t="s">
        <v>3337</v>
      </c>
      <c r="W282" s="221" t="s">
        <v>3507</v>
      </c>
      <c r="X282" s="221" t="s">
        <v>3563</v>
      </c>
      <c r="Y282" s="227"/>
      <c r="Z282" s="227" t="str">
        <f>P282</f>
        <v>MORASHA</v>
      </c>
      <c r="AA282" s="276" t="e">
        <f>VLOOKUP(Logfile_S[[#This Row],[DO number]],DO_DB!G:I,3,0)</f>
        <v>#N/A</v>
      </c>
      <c r="AB282" s="331" t="e">
        <f>EXACT(Logfile_S[[#This Row],[date pick]],Logfile_S[[#This Row],[Date]])</f>
        <v>#N/A</v>
      </c>
      <c r="AC2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83" spans="1:29" ht="14.5">
      <c r="A283" s="237" t="str">
        <f>TEXT(ROW(A283)-ROW($A$4),"000")</f>
        <v>279</v>
      </c>
      <c r="B283" s="221"/>
      <c r="C283" s="221" t="s">
        <v>3449</v>
      </c>
      <c r="D283" s="221" t="s">
        <v>4076</v>
      </c>
      <c r="E283" s="221" t="s">
        <v>3295</v>
      </c>
      <c r="F283" s="221" t="s">
        <v>3299</v>
      </c>
      <c r="G283" s="222">
        <v>45448</v>
      </c>
      <c r="H283" s="223">
        <v>0.74375000000000002</v>
      </c>
      <c r="I283" s="221" t="s">
        <v>3193</v>
      </c>
      <c r="J283" s="221" t="s">
        <v>3023</v>
      </c>
      <c r="K283" s="224" t="s">
        <v>3075</v>
      </c>
      <c r="L283" s="225" t="str">
        <f>VLOOKUP(Logfile_S[[#This Row],[Material Name]],Sheet2!B:C,2,0)</f>
        <v>ZTE2003</v>
      </c>
      <c r="M283" s="225" t="str">
        <f>_xlfn.XLOOKUP(Logfile_S[[#This Row],[Material Name]],Sum_WH!E:E,Sum_WH!F:F,"",0)</f>
        <v>Meter</v>
      </c>
      <c r="N283" s="221">
        <v>3000</v>
      </c>
      <c r="O283" s="221" t="s">
        <v>4926</v>
      </c>
      <c r="P283" s="221" t="s">
        <v>3478</v>
      </c>
      <c r="Q283" s="221"/>
      <c r="R283" s="227"/>
      <c r="S283" s="227"/>
      <c r="T283" s="221" t="s">
        <v>3258</v>
      </c>
      <c r="U283" s="221" t="s">
        <v>3228</v>
      </c>
      <c r="V283" s="221" t="s">
        <v>3337</v>
      </c>
      <c r="W283" s="221" t="s">
        <v>3507</v>
      </c>
      <c r="X283" s="221" t="s">
        <v>3563</v>
      </c>
      <c r="Y283" s="238"/>
      <c r="Z283" s="227" t="str">
        <f>P283</f>
        <v>MORASHA</v>
      </c>
      <c r="AA283" s="276" t="e">
        <f>VLOOKUP(Logfile_S[[#This Row],[DO number]],DO_DB!G:I,3,0)</f>
        <v>#N/A</v>
      </c>
      <c r="AB283" s="331" t="e">
        <f>EXACT(Logfile_S[[#This Row],[date pick]],Logfile_S[[#This Row],[Date]])</f>
        <v>#N/A</v>
      </c>
      <c r="AC2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84" spans="1:29" ht="14.5">
      <c r="A284" s="220" t="str">
        <f>TEXT(ROW(A284)-ROW($A$4),"000")</f>
        <v>280</v>
      </c>
      <c r="B284" s="221"/>
      <c r="C284" s="221" t="s">
        <v>3449</v>
      </c>
      <c r="D284" s="221" t="s">
        <v>4090</v>
      </c>
      <c r="E284" s="221" t="s">
        <v>3295</v>
      </c>
      <c r="F284" s="221" t="s">
        <v>3299</v>
      </c>
      <c r="G284" s="222">
        <v>45462</v>
      </c>
      <c r="H284" s="223">
        <v>0.52986111111111112</v>
      </c>
      <c r="I284" s="221" t="s">
        <v>3193</v>
      </c>
      <c r="J284" s="221" t="s">
        <v>3023</v>
      </c>
      <c r="K284" s="224" t="s">
        <v>14</v>
      </c>
      <c r="L284" s="225" t="str">
        <f>VLOOKUP(Logfile_S[[#This Row],[Material Name]],Sheet2!B:C,2,0)</f>
        <v>ZTE2005</v>
      </c>
      <c r="M284" s="225" t="str">
        <f>_xlfn.XLOOKUP(Logfile_S[[#This Row],[Material Name]],Sum_WH!E:E,Sum_WH!F:F,"",0)</f>
        <v>Pcs</v>
      </c>
      <c r="N284" s="221">
        <v>1</v>
      </c>
      <c r="O284" s="221" t="s">
        <v>4926</v>
      </c>
      <c r="P284" s="221" t="s">
        <v>3478</v>
      </c>
      <c r="Q284" s="221"/>
      <c r="R284" s="221"/>
      <c r="S284" s="221"/>
      <c r="T284" s="221">
        <v>0</v>
      </c>
      <c r="U284" s="221">
        <v>0</v>
      </c>
      <c r="V284" s="221">
        <v>0</v>
      </c>
      <c r="W284" s="221">
        <v>0</v>
      </c>
      <c r="X284" s="221" t="s">
        <v>3554</v>
      </c>
      <c r="Y284" s="227"/>
      <c r="Z284" s="227" t="str">
        <f>P284</f>
        <v>MORASHA</v>
      </c>
      <c r="AA284" s="276" t="e">
        <f>VLOOKUP(Logfile_S[[#This Row],[DO number]],DO_DB!G:I,3,0)</f>
        <v>#N/A</v>
      </c>
      <c r="AB284" s="331" t="e">
        <f>EXACT(Logfile_S[[#This Row],[date pick]],Logfile_S[[#This Row],[Date]])</f>
        <v>#N/A</v>
      </c>
      <c r="AC2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85" spans="1:29" ht="14.5">
      <c r="A285" s="220" t="str">
        <f>TEXT(ROW(A285)-ROW($A$4),"000")</f>
        <v>281</v>
      </c>
      <c r="B285" s="221"/>
      <c r="C285" s="221" t="s">
        <v>3429</v>
      </c>
      <c r="D285" s="221" t="s">
        <v>4121</v>
      </c>
      <c r="E285" s="221" t="s">
        <v>3295</v>
      </c>
      <c r="F285" s="221" t="s">
        <v>3299</v>
      </c>
      <c r="G285" s="222">
        <v>45495</v>
      </c>
      <c r="H285" s="223">
        <v>15.291666666666666</v>
      </c>
      <c r="I285" s="221" t="s">
        <v>3193</v>
      </c>
      <c r="J285" s="221" t="s">
        <v>3023</v>
      </c>
      <c r="K285" s="224" t="s">
        <v>3077</v>
      </c>
      <c r="L285" s="225" t="str">
        <f>VLOOKUP(Logfile_S[[#This Row],[Material Name]],Sheet2!B:C,2,0)</f>
        <v>ZTE2004</v>
      </c>
      <c r="M285" s="225" t="str">
        <f>_xlfn.XLOOKUP(Logfile_S[[#This Row],[Material Name]],Sum_WH!E:E,Sum_WH!F:F,"",0)</f>
        <v>Meter</v>
      </c>
      <c r="N285" s="221">
        <v>3000</v>
      </c>
      <c r="O285" s="221" t="s">
        <v>4926</v>
      </c>
      <c r="P285" s="221" t="s">
        <v>3478</v>
      </c>
      <c r="Q285" s="221">
        <v>0</v>
      </c>
      <c r="R285" s="221">
        <v>0</v>
      </c>
      <c r="S285" s="221"/>
      <c r="T285" s="221"/>
      <c r="U285" s="221"/>
      <c r="V285" s="221"/>
      <c r="W285" s="221"/>
      <c r="X285" s="221" t="s">
        <v>3479</v>
      </c>
      <c r="Y285" s="236" t="s">
        <v>4970</v>
      </c>
      <c r="Z285" s="227" t="str">
        <f>P285</f>
        <v>MORASHA</v>
      </c>
      <c r="AA285" s="276" t="e">
        <f>VLOOKUP(Logfile_S[[#This Row],[DO number]],DO_DB!G:I,3,0)</f>
        <v>#N/A</v>
      </c>
      <c r="AB285" s="331" t="e">
        <f>EXACT(Logfile_S[[#This Row],[date pick]],Logfile_S[[#This Row],[Date]])</f>
        <v>#N/A</v>
      </c>
      <c r="AC2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144C-2024722-01</v>
      </c>
    </row>
    <row r="286" spans="1:29" ht="14.5">
      <c r="A286" s="237" t="str">
        <f>TEXT(ROW(A286)-ROW($A$4),"000")</f>
        <v>282</v>
      </c>
      <c r="B286" s="221"/>
      <c r="C286" s="221" t="s">
        <v>3429</v>
      </c>
      <c r="D286" s="221" t="s">
        <v>4121</v>
      </c>
      <c r="E286" s="221" t="s">
        <v>3295</v>
      </c>
      <c r="F286" s="221" t="s">
        <v>3299</v>
      </c>
      <c r="G286" s="222">
        <v>45495</v>
      </c>
      <c r="H286" s="223">
        <v>15.291666666666666</v>
      </c>
      <c r="I286" s="221" t="s">
        <v>3193</v>
      </c>
      <c r="J286" s="221" t="s">
        <v>3023</v>
      </c>
      <c r="K286" s="224" t="s">
        <v>3077</v>
      </c>
      <c r="L286" s="225" t="str">
        <f>VLOOKUP(Logfile_S[[#This Row],[Material Name]],Sheet2!B:C,2,0)</f>
        <v>ZTE2004</v>
      </c>
      <c r="M286" s="225" t="s">
        <v>20</v>
      </c>
      <c r="N286" s="221">
        <v>3000</v>
      </c>
      <c r="O286" s="221" t="s">
        <v>4926</v>
      </c>
      <c r="P286" s="221" t="s">
        <v>3478</v>
      </c>
      <c r="Q286" s="221">
        <v>0</v>
      </c>
      <c r="R286" s="221">
        <v>0</v>
      </c>
      <c r="S286" s="227"/>
      <c r="T286" s="227"/>
      <c r="U286" s="227"/>
      <c r="V286" s="227"/>
      <c r="W286" s="227"/>
      <c r="X286" s="227"/>
      <c r="Y286" s="243" t="s">
        <v>4971</v>
      </c>
      <c r="Z286" s="227" t="str">
        <f>P286</f>
        <v>MORASHA</v>
      </c>
      <c r="AA286" s="276" t="e">
        <f>VLOOKUP(Logfile_S[[#This Row],[DO number]],DO_DB!G:I,3,0)</f>
        <v>#N/A</v>
      </c>
      <c r="AB286" s="331" t="e">
        <f>EXACT(Logfile_S[[#This Row],[date pick]],Logfile_S[[#This Row],[Date]])</f>
        <v>#N/A</v>
      </c>
      <c r="AC2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144C-2024722-02</v>
      </c>
    </row>
    <row r="287" spans="1:29" ht="14.5">
      <c r="A287" s="220" t="str">
        <f>TEXT(ROW(A287)-ROW($A$4),"000")</f>
        <v>283</v>
      </c>
      <c r="B287" s="221"/>
      <c r="C287" s="221" t="s">
        <v>3449</v>
      </c>
      <c r="D287" s="221" t="s">
        <v>4136</v>
      </c>
      <c r="E287" s="221" t="s">
        <v>3295</v>
      </c>
      <c r="F287" s="221" t="s">
        <v>3299</v>
      </c>
      <c r="G287" s="222">
        <v>45503</v>
      </c>
      <c r="H287" s="223">
        <v>0.75</v>
      </c>
      <c r="I287" s="221" t="s">
        <v>3193</v>
      </c>
      <c r="J287" s="221" t="s">
        <v>3023</v>
      </c>
      <c r="K287" s="224" t="s">
        <v>3077</v>
      </c>
      <c r="L287" s="225" t="str">
        <f>VLOOKUP(Logfile_S[[#This Row],[Material Name]],Sheet2!B:C,2,0)</f>
        <v>ZTE2004</v>
      </c>
      <c r="M287" s="225" t="str">
        <f>_xlfn.XLOOKUP(Logfile_S[[#This Row],[Material Name]],Sum_WH!E:E,Sum_WH!F:F,"",0)</f>
        <v>Meter</v>
      </c>
      <c r="N287" s="221">
        <v>3000</v>
      </c>
      <c r="O287" s="221" t="s">
        <v>4926</v>
      </c>
      <c r="P287" s="221" t="s">
        <v>3478</v>
      </c>
      <c r="Q287" s="221"/>
      <c r="R287" s="221"/>
      <c r="S287" s="221"/>
      <c r="T287" s="221" t="s">
        <v>3244</v>
      </c>
      <c r="U287" s="221">
        <v>0</v>
      </c>
      <c r="V287" s="221" t="s">
        <v>3248</v>
      </c>
      <c r="W287" s="221" t="s">
        <v>3252</v>
      </c>
      <c r="X287" s="221" t="s">
        <v>3480</v>
      </c>
      <c r="Y287" s="236" t="s">
        <v>4972</v>
      </c>
      <c r="Z287" s="227" t="str">
        <f>P287</f>
        <v>MORASHA</v>
      </c>
      <c r="AA287" s="276" t="e">
        <f>VLOOKUP(Logfile_S[[#This Row],[DO number]],DO_DB!G:I,3,0)</f>
        <v>#N/A</v>
      </c>
      <c r="AB287" s="331" t="e">
        <f>EXACT(Logfile_S[[#This Row],[date pick]],Logfile_S[[#This Row],[Date]])</f>
        <v>#N/A</v>
      </c>
      <c r="AC2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OUT_H-ADSS 144C-2024730-01</v>
      </c>
    </row>
    <row r="288" spans="1:29" ht="14.5">
      <c r="A288" s="237" t="str">
        <f>TEXT(ROW(A288)-ROW($A$4),"000")</f>
        <v>284</v>
      </c>
      <c r="B288" s="221"/>
      <c r="C288" s="221" t="s">
        <v>3449</v>
      </c>
      <c r="D288" s="221" t="s">
        <v>4136</v>
      </c>
      <c r="E288" s="221" t="s">
        <v>3295</v>
      </c>
      <c r="F288" s="221" t="s">
        <v>3299</v>
      </c>
      <c r="G288" s="222">
        <v>45503</v>
      </c>
      <c r="H288" s="223">
        <v>0.75</v>
      </c>
      <c r="I288" s="221" t="s">
        <v>3193</v>
      </c>
      <c r="J288" s="221" t="s">
        <v>3023</v>
      </c>
      <c r="K288" s="224" t="s">
        <v>3077</v>
      </c>
      <c r="L288" s="225" t="str">
        <f>VLOOKUP(Logfile_S[[#This Row],[Material Name]],Sheet2!B:C,2,0)</f>
        <v>ZTE2004</v>
      </c>
      <c r="M288" s="225" t="str">
        <f>_xlfn.XLOOKUP(Logfile_S[[#This Row],[Material Name]],Sum_WH!E:E,Sum_WH!F:F,"",0)</f>
        <v>Meter</v>
      </c>
      <c r="N288" s="221">
        <v>3000</v>
      </c>
      <c r="O288" s="221" t="s">
        <v>4926</v>
      </c>
      <c r="P288" s="221" t="s">
        <v>3478</v>
      </c>
      <c r="Q288" s="221"/>
      <c r="R288" s="227"/>
      <c r="S288" s="227"/>
      <c r="T288" s="221" t="s">
        <v>3244</v>
      </c>
      <c r="U288" s="221">
        <v>0</v>
      </c>
      <c r="V288" s="221" t="s">
        <v>3248</v>
      </c>
      <c r="W288" s="221" t="s">
        <v>3252</v>
      </c>
      <c r="X288" s="221" t="s">
        <v>3480</v>
      </c>
      <c r="Y288" s="243" t="s">
        <v>4973</v>
      </c>
      <c r="Z288" s="227" t="str">
        <f>P288</f>
        <v>MORASHA</v>
      </c>
      <c r="AA288" s="276" t="e">
        <f>VLOOKUP(Logfile_S[[#This Row],[DO number]],DO_DB!G:I,3,0)</f>
        <v>#N/A</v>
      </c>
      <c r="AB288" s="331" t="e">
        <f>EXACT(Logfile_S[[#This Row],[date pick]],Logfile_S[[#This Row],[Date]])</f>
        <v>#N/A</v>
      </c>
      <c r="AC2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OUT_H-ADSS 144C-2024730-02</v>
      </c>
    </row>
    <row r="289" spans="1:29" ht="14.5">
      <c r="A289" s="220" t="str">
        <f>TEXT(ROW(A289)-ROW($A$4),"000")</f>
        <v>285</v>
      </c>
      <c r="B289" s="221"/>
      <c r="C289" s="221" t="s">
        <v>3429</v>
      </c>
      <c r="D289" s="221" t="s">
        <v>4171</v>
      </c>
      <c r="E289" s="221" t="s">
        <v>3295</v>
      </c>
      <c r="F289" s="221" t="s">
        <v>3299</v>
      </c>
      <c r="G289" s="222">
        <v>45526</v>
      </c>
      <c r="H289" s="223">
        <v>15.291666666666666</v>
      </c>
      <c r="I289" s="221" t="s">
        <v>3193</v>
      </c>
      <c r="J289" s="221" t="s">
        <v>3023</v>
      </c>
      <c r="K289" s="224" t="s">
        <v>14</v>
      </c>
      <c r="L289" s="225" t="str">
        <f>VLOOKUP(Logfile_S[[#This Row],[Material Name]],Sheet2!B:C,2,0)</f>
        <v>ZTE2005</v>
      </c>
      <c r="M289" s="225" t="str">
        <f>_xlfn.XLOOKUP(Logfile_S[[#This Row],[Material Name]],Sum_WH!E:E,Sum_WH!F:F,"",0)</f>
        <v>Pcs</v>
      </c>
      <c r="N289" s="221">
        <v>1</v>
      </c>
      <c r="O289" s="221" t="s">
        <v>4926</v>
      </c>
      <c r="P289" s="221" t="s">
        <v>3478</v>
      </c>
      <c r="Q289" s="221">
        <v>0</v>
      </c>
      <c r="R289" s="221">
        <v>0</v>
      </c>
      <c r="S289" s="221"/>
      <c r="T289" s="221"/>
      <c r="U289" s="221"/>
      <c r="V289" s="221"/>
      <c r="W289" s="221"/>
      <c r="X289" s="221" t="s">
        <v>3555</v>
      </c>
      <c r="Y289" s="227"/>
      <c r="Z289" s="227" t="str">
        <f>P289</f>
        <v>MORASHA</v>
      </c>
      <c r="AA289" s="276" t="e">
        <f>VLOOKUP(Logfile_S[[#This Row],[DO number]],DO_DB!G:I,3,0)</f>
        <v>#N/A</v>
      </c>
      <c r="AB289" s="331" t="e">
        <f>EXACT(Logfile_S[[#This Row],[date pick]],Logfile_S[[#This Row],[Date]])</f>
        <v>#N/A</v>
      </c>
      <c r="AC2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90" spans="1:29" ht="14.5">
      <c r="A290" s="220" t="str">
        <f>TEXT(ROW(A290)-ROW($A$4),"000")</f>
        <v>286</v>
      </c>
      <c r="B290" s="221"/>
      <c r="C290" s="221" t="s">
        <v>3449</v>
      </c>
      <c r="D290" s="221" t="s">
        <v>4276</v>
      </c>
      <c r="E290" s="221" t="s">
        <v>3295</v>
      </c>
      <c r="F290" s="221" t="s">
        <v>3299</v>
      </c>
      <c r="G290" s="222">
        <v>45609</v>
      </c>
      <c r="H290" s="223">
        <v>0.77152777777777781</v>
      </c>
      <c r="I290" s="221" t="s">
        <v>3193</v>
      </c>
      <c r="J290" s="221" t="s">
        <v>3024</v>
      </c>
      <c r="K290" s="224" t="s">
        <v>16</v>
      </c>
      <c r="L290" s="225" t="str">
        <f>VLOOKUP(Logfile_S[[#This Row],[Material Name]],Sheet2!B:C,2,0)</f>
        <v>ZTE2020</v>
      </c>
      <c r="M290" s="225" t="str">
        <f>_xlfn.XLOOKUP(Logfile_S[[#This Row],[Material Name]],Sum_WH!E:E,Sum_WH!F:F,"",0)</f>
        <v>Meter</v>
      </c>
      <c r="N290" s="221">
        <v>100</v>
      </c>
      <c r="O290" s="221" t="s">
        <v>4926</v>
      </c>
      <c r="P290" s="221" t="s">
        <v>3478</v>
      </c>
      <c r="Q290" s="221"/>
      <c r="R290" s="221"/>
      <c r="S290" s="221"/>
      <c r="T290" s="221" t="s">
        <v>3434</v>
      </c>
      <c r="U290" s="221">
        <v>0</v>
      </c>
      <c r="V290" s="221" t="s">
        <v>3435</v>
      </c>
      <c r="W290" s="221" t="s">
        <v>3436</v>
      </c>
      <c r="X290" s="221" t="s">
        <v>3437</v>
      </c>
      <c r="Y290" s="227"/>
      <c r="Z290" s="227" t="str">
        <f>P290</f>
        <v>MORASHA</v>
      </c>
      <c r="AA290" s="276" t="e">
        <f>VLOOKUP(Logfile_S[[#This Row],[DO number]],DO_DB!G:I,3,0)</f>
        <v>#N/A</v>
      </c>
      <c r="AB290" s="331" t="e">
        <f>EXACT(Logfile_S[[#This Row],[date pick]],Logfile_S[[#This Row],[Date]])</f>
        <v>#N/A</v>
      </c>
      <c r="AC2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91" spans="1:29" ht="14.5">
      <c r="A291" s="220" t="str">
        <f>TEXT(ROW(A291)-ROW($A$4),"000")</f>
        <v>287</v>
      </c>
      <c r="B291" s="221"/>
      <c r="C291" s="221" t="s">
        <v>3429</v>
      </c>
      <c r="D291" s="221" t="s">
        <v>4175</v>
      </c>
      <c r="E291" s="221" t="s">
        <v>3295</v>
      </c>
      <c r="F291" s="221" t="s">
        <v>3299</v>
      </c>
      <c r="G291" s="222">
        <v>45530</v>
      </c>
      <c r="H291" s="223">
        <v>15.291666666666666</v>
      </c>
      <c r="I291" s="221" t="s">
        <v>3193</v>
      </c>
      <c r="J291" s="221" t="s">
        <v>3023</v>
      </c>
      <c r="K291" s="224" t="s">
        <v>3077</v>
      </c>
      <c r="L291" s="225" t="str">
        <f>VLOOKUP(Logfile_S[[#This Row],[Material Name]],Sheet2!B:C,2,0)</f>
        <v>ZTE2004</v>
      </c>
      <c r="M291" s="225" t="str">
        <f>_xlfn.XLOOKUP(Logfile_S[[#This Row],[Material Name]],Sum_WH!E:E,Sum_WH!F:F,"",0)</f>
        <v>Meter</v>
      </c>
      <c r="N291" s="221">
        <v>3000</v>
      </c>
      <c r="O291" s="221" t="s">
        <v>4928</v>
      </c>
      <c r="P291" s="221" t="s">
        <v>3430</v>
      </c>
      <c r="Q291" s="221">
        <v>0</v>
      </c>
      <c r="R291" s="221">
        <v>0</v>
      </c>
      <c r="S291" s="221"/>
      <c r="T291" s="221"/>
      <c r="U291" s="221"/>
      <c r="V291" s="221"/>
      <c r="W291" s="221"/>
      <c r="X291" s="221" t="s">
        <v>3481</v>
      </c>
      <c r="Y291" s="236" t="s">
        <v>4977</v>
      </c>
      <c r="Z291" s="227" t="str">
        <f>P291</f>
        <v>MIDGO</v>
      </c>
      <c r="AA291" s="276" t="e">
        <f>VLOOKUP(Logfile_S[[#This Row],[DO number]],DO_DB!G:I,3,0)</f>
        <v>#N/A</v>
      </c>
      <c r="AB291" s="331" t="e">
        <f>EXACT(Logfile_S[[#This Row],[date pick]],Logfile_S[[#This Row],[Date]])</f>
        <v>#N/A</v>
      </c>
      <c r="AC2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144C-2024826-01</v>
      </c>
    </row>
    <row r="292" spans="1:29" ht="14.5">
      <c r="A292" s="220" t="str">
        <f>TEXT(ROW(A292)-ROW($A$4),"000")</f>
        <v>288</v>
      </c>
      <c r="B292" s="221"/>
      <c r="C292" s="221" t="s">
        <v>3429</v>
      </c>
      <c r="D292" s="221" t="s">
        <v>4175</v>
      </c>
      <c r="E292" s="221" t="s">
        <v>3295</v>
      </c>
      <c r="F292" s="221" t="s">
        <v>3299</v>
      </c>
      <c r="G292" s="222">
        <v>45530</v>
      </c>
      <c r="H292" s="223">
        <v>15.291666666666666</v>
      </c>
      <c r="I292" s="221" t="s">
        <v>3193</v>
      </c>
      <c r="J292" s="221" t="s">
        <v>3024</v>
      </c>
      <c r="K292" s="224" t="s">
        <v>16</v>
      </c>
      <c r="L292" s="225" t="str">
        <f>VLOOKUP(Logfile_S[[#This Row],[Material Name]],Sheet2!B:C,2,0)</f>
        <v>ZTE2020</v>
      </c>
      <c r="M292" s="225" t="str">
        <f>_xlfn.XLOOKUP(Logfile_S[[#This Row],[Material Name]],Sum_WH!E:E,Sum_WH!F:F,"",0)</f>
        <v>Meter</v>
      </c>
      <c r="N292" s="221">
        <v>200</v>
      </c>
      <c r="O292" s="221" t="s">
        <v>4928</v>
      </c>
      <c r="P292" s="221" t="s">
        <v>3430</v>
      </c>
      <c r="Q292" s="221">
        <v>0</v>
      </c>
      <c r="R292" s="221">
        <v>0</v>
      </c>
      <c r="S292" s="221"/>
      <c r="T292" s="221"/>
      <c r="U292" s="221"/>
      <c r="V292" s="221"/>
      <c r="W292" s="221"/>
      <c r="X292" s="221" t="s">
        <v>3431</v>
      </c>
      <c r="Y292" s="227"/>
      <c r="Z292" s="227" t="str">
        <f>P292</f>
        <v>MIDGO</v>
      </c>
      <c r="AA292" s="276" t="e">
        <f>VLOOKUP(Logfile_S[[#This Row],[DO number]],DO_DB!G:I,3,0)</f>
        <v>#N/A</v>
      </c>
      <c r="AB292" s="331" t="e">
        <f>EXACT(Logfile_S[[#This Row],[date pick]],Logfile_S[[#This Row],[Date]])</f>
        <v>#N/A</v>
      </c>
      <c r="AC2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93" spans="1:29" ht="14.5">
      <c r="A293" s="220" t="str">
        <f>TEXT(ROW(A293)-ROW($A$4),"000")</f>
        <v>289</v>
      </c>
      <c r="B293" s="221"/>
      <c r="C293" s="221" t="s">
        <v>3449</v>
      </c>
      <c r="D293" s="221" t="s">
        <v>4253</v>
      </c>
      <c r="E293" s="221" t="s">
        <v>3295</v>
      </c>
      <c r="F293" s="221" t="s">
        <v>3299</v>
      </c>
      <c r="G293" s="222">
        <v>45588</v>
      </c>
      <c r="H293" s="223">
        <v>0.79791666666666672</v>
      </c>
      <c r="I293" s="221" t="s">
        <v>3193</v>
      </c>
      <c r="J293" s="221" t="s">
        <v>3024</v>
      </c>
      <c r="K293" s="224" t="s">
        <v>16</v>
      </c>
      <c r="L293" s="225" t="str">
        <f>VLOOKUP(Logfile_S[[#This Row],[Material Name]],Sheet2!B:C,2,0)</f>
        <v>ZTE2020</v>
      </c>
      <c r="M293" s="225" t="str">
        <f>_xlfn.XLOOKUP(Logfile_S[[#This Row],[Material Name]],Sum_WH!E:E,Sum_WH!F:F,"",0)</f>
        <v>Meter</v>
      </c>
      <c r="N293" s="221">
        <v>200</v>
      </c>
      <c r="O293" s="221" t="s">
        <v>4928</v>
      </c>
      <c r="P293" s="221" t="s">
        <v>3430</v>
      </c>
      <c r="Q293" s="221"/>
      <c r="R293" s="221"/>
      <c r="S293" s="221"/>
      <c r="T293" s="221">
        <v>0</v>
      </c>
      <c r="U293" s="221">
        <v>0</v>
      </c>
      <c r="V293" s="221">
        <v>0</v>
      </c>
      <c r="W293" s="221">
        <v>0</v>
      </c>
      <c r="X293" s="221" t="s">
        <v>3432</v>
      </c>
      <c r="Y293" s="227"/>
      <c r="Z293" s="227" t="str">
        <f>P293</f>
        <v>MIDGO</v>
      </c>
      <c r="AA293" s="276" t="e">
        <f>VLOOKUP(Logfile_S[[#This Row],[DO number]],DO_DB!G:I,3,0)</f>
        <v>#N/A</v>
      </c>
      <c r="AB293" s="331" t="e">
        <f>EXACT(Logfile_S[[#This Row],[date pick]],Logfile_S[[#This Row],[Date]])</f>
        <v>#N/A</v>
      </c>
      <c r="AC2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94" spans="1:29" ht="14.5">
      <c r="A294" s="220" t="str">
        <f>TEXT(ROW(A294)-ROW($A$4),"000")</f>
        <v>290</v>
      </c>
      <c r="B294" s="221"/>
      <c r="C294" s="221" t="s">
        <v>3449</v>
      </c>
      <c r="D294" s="221" t="s">
        <v>4337</v>
      </c>
      <c r="E294" s="221" t="s">
        <v>3295</v>
      </c>
      <c r="F294" s="221" t="s">
        <v>3299</v>
      </c>
      <c r="G294" s="222">
        <v>45709</v>
      </c>
      <c r="H294" s="223">
        <v>0.27430555555555558</v>
      </c>
      <c r="I294" s="221" t="s">
        <v>3193</v>
      </c>
      <c r="J294" s="221" t="s">
        <v>3023</v>
      </c>
      <c r="K294" s="224" t="s">
        <v>3070</v>
      </c>
      <c r="L294" s="225" t="str">
        <f>VLOOKUP(Logfile_S[[#This Row],[Material Name]],Sheet2!B:C,2,0)</f>
        <v>ZTE1002</v>
      </c>
      <c r="M294" s="225" t="str">
        <f>_xlfn.XLOOKUP(Logfile_S[[#This Row],[Material Name]],Sum_WH!E:E,Sum_WH!F:F,"",0)</f>
        <v>Pcs</v>
      </c>
      <c r="N294" s="221">
        <v>62</v>
      </c>
      <c r="O294" s="221" t="s">
        <v>4927</v>
      </c>
      <c r="P294" s="221" t="s">
        <v>3579</v>
      </c>
      <c r="Q294" s="221"/>
      <c r="R294" s="221"/>
      <c r="S294" s="221"/>
      <c r="T294" s="221" t="s">
        <v>3574</v>
      </c>
      <c r="U294" s="221">
        <v>0</v>
      </c>
      <c r="V294" s="221" t="s">
        <v>3575</v>
      </c>
      <c r="W294" s="221" t="s">
        <v>3576</v>
      </c>
      <c r="X294" s="221" t="s">
        <v>3577</v>
      </c>
      <c r="Y294" s="227"/>
      <c r="Z294" s="227" t="str">
        <f>P294</f>
        <v>MDP</v>
      </c>
      <c r="AA294" s="276" t="e">
        <f>VLOOKUP(Logfile_S[[#This Row],[DO number]],DO_DB!G:I,3,0)</f>
        <v>#N/A</v>
      </c>
      <c r="AB294" s="331" t="e">
        <f>EXACT(Logfile_S[[#This Row],[date pick]],Logfile_S[[#This Row],[Date]])</f>
        <v>#N/A</v>
      </c>
      <c r="AC2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95" spans="1:29" ht="14.5">
      <c r="A295" s="220" t="str">
        <f>TEXT(ROW(A295)-ROW($A$4),"000")</f>
        <v>291</v>
      </c>
      <c r="B295" s="221"/>
      <c r="C295" s="221" t="s">
        <v>3429</v>
      </c>
      <c r="D295" s="221" t="s">
        <v>4348</v>
      </c>
      <c r="E295" s="221" t="s">
        <v>3295</v>
      </c>
      <c r="F295" s="221" t="s">
        <v>3299</v>
      </c>
      <c r="G295" s="222">
        <v>45723</v>
      </c>
      <c r="H295" s="223">
        <v>15.291666666666666</v>
      </c>
      <c r="I295" s="221" t="s">
        <v>3193</v>
      </c>
      <c r="J295" s="221" t="s">
        <v>3023</v>
      </c>
      <c r="K295" s="224" t="s">
        <v>3070</v>
      </c>
      <c r="L295" s="225" t="str">
        <f>VLOOKUP(Logfile_S[[#This Row],[Material Name]],Sheet2!B:C,2,0)</f>
        <v>ZTE1002</v>
      </c>
      <c r="M295" s="225" t="str">
        <f>_xlfn.XLOOKUP(Logfile_S[[#This Row],[Material Name]],Sum_WH!E:E,Sum_WH!F:F,"",0)</f>
        <v>Pcs</v>
      </c>
      <c r="N295" s="221">
        <v>62</v>
      </c>
      <c r="O295" s="221" t="s">
        <v>4927</v>
      </c>
      <c r="P295" s="221" t="s">
        <v>3579</v>
      </c>
      <c r="Q295" s="221">
        <v>0</v>
      </c>
      <c r="R295" s="221">
        <v>0</v>
      </c>
      <c r="S295" s="221"/>
      <c r="T295" s="221"/>
      <c r="U295" s="221"/>
      <c r="V295" s="221"/>
      <c r="W295" s="221"/>
      <c r="X295" s="221"/>
      <c r="Y295" s="227"/>
      <c r="Z295" s="227" t="str">
        <f>P295</f>
        <v>MDP</v>
      </c>
      <c r="AA295" s="276" t="e">
        <f>VLOOKUP(Logfile_S[[#This Row],[DO number]],DO_DB!G:I,3,0)</f>
        <v>#N/A</v>
      </c>
      <c r="AB295" s="331" t="e">
        <f>EXACT(Logfile_S[[#This Row],[date pick]],Logfile_S[[#This Row],[Date]])</f>
        <v>#N/A</v>
      </c>
      <c r="AC2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96" spans="1:29" ht="14.5">
      <c r="A296" s="220" t="str">
        <f>TEXT(ROW(A296)-ROW($A$4),"000")</f>
        <v>292</v>
      </c>
      <c r="B296" s="221"/>
      <c r="C296" s="221" t="s">
        <v>49</v>
      </c>
      <c r="D296" s="221" t="s">
        <v>3861</v>
      </c>
      <c r="E296" s="221" t="s">
        <v>3295</v>
      </c>
      <c r="F296" s="221" t="s">
        <v>3299</v>
      </c>
      <c r="G296" s="222">
        <v>45305</v>
      </c>
      <c r="H296" s="223">
        <v>0.375</v>
      </c>
      <c r="I296" s="221" t="s">
        <v>4916</v>
      </c>
      <c r="J296" s="221" t="s">
        <v>3023</v>
      </c>
      <c r="K296" s="224" t="s">
        <v>3227</v>
      </c>
      <c r="L296" s="225" t="str">
        <f>VLOOKUP(Logfile_S[[#This Row],[Material Name]],Sheet2!B:C,2,0)</f>
        <v>ZTE1001</v>
      </c>
      <c r="M296" s="225" t="str">
        <f>_xlfn.XLOOKUP(Logfile_S[[#This Row],[Material Name]],Sum_WH!E:E,Sum_WH!F:F,"",0)</f>
        <v>Pcs</v>
      </c>
      <c r="N296" s="221">
        <v>25</v>
      </c>
      <c r="O296" s="221" t="s">
        <v>828</v>
      </c>
      <c r="P296" s="221" t="s">
        <v>829</v>
      </c>
      <c r="Q296" s="221"/>
      <c r="R296" s="221"/>
      <c r="S296" s="221"/>
      <c r="T296" s="221" t="s">
        <v>3339</v>
      </c>
      <c r="U296" s="221" t="s">
        <v>3228</v>
      </c>
      <c r="V296" s="221" t="s">
        <v>3340</v>
      </c>
      <c r="W296" s="221" t="s">
        <v>3245</v>
      </c>
      <c r="X296" s="221"/>
      <c r="Y296" s="227"/>
      <c r="Z296" s="227" t="str">
        <f>P296</f>
        <v>Perumahan Pondok Mutiara Malang</v>
      </c>
      <c r="AA296" s="276" t="e">
        <f>VLOOKUP(Logfile_S[[#This Row],[DO number]],DO_DB!G:I,3,0)</f>
        <v>#N/A</v>
      </c>
      <c r="AB296" s="331" t="e">
        <f>EXACT(Logfile_S[[#This Row],[date pick]],Logfile_S[[#This Row],[Date]])</f>
        <v>#N/A</v>
      </c>
      <c r="AC2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97" spans="1:29" ht="14.5">
      <c r="A297" s="220" t="str">
        <f>TEXT(ROW(A297)-ROW($A$4),"000")</f>
        <v>293</v>
      </c>
      <c r="B297" s="221"/>
      <c r="C297" s="221" t="s">
        <v>49</v>
      </c>
      <c r="D297" s="221" t="s">
        <v>3862</v>
      </c>
      <c r="E297" s="221" t="s">
        <v>3295</v>
      </c>
      <c r="F297" s="221" t="s">
        <v>3299</v>
      </c>
      <c r="G297" s="222">
        <v>45306</v>
      </c>
      <c r="H297" s="223">
        <v>0.375</v>
      </c>
      <c r="I297" s="221" t="s">
        <v>4916</v>
      </c>
      <c r="J297" s="221" t="s">
        <v>3023</v>
      </c>
      <c r="K297" s="224" t="s">
        <v>3070</v>
      </c>
      <c r="L297" s="225" t="str">
        <f>VLOOKUP(Logfile_S[[#This Row],[Material Name]],Sheet2!B:C,2,0)</f>
        <v>ZTE1002</v>
      </c>
      <c r="M297" s="225" t="str">
        <f>_xlfn.XLOOKUP(Logfile_S[[#This Row],[Material Name]],Sum_WH!E:E,Sum_WH!F:F,"",0)</f>
        <v>Pcs</v>
      </c>
      <c r="N297" s="221">
        <v>1</v>
      </c>
      <c r="O297" s="221" t="s">
        <v>828</v>
      </c>
      <c r="P297" s="221" t="s">
        <v>829</v>
      </c>
      <c r="Q297" s="221"/>
      <c r="R297" s="221"/>
      <c r="S297" s="221"/>
      <c r="T297" s="221" t="s">
        <v>3339</v>
      </c>
      <c r="U297" s="221" t="s">
        <v>3228</v>
      </c>
      <c r="V297" s="221" t="s">
        <v>3340</v>
      </c>
      <c r="W297" s="221" t="s">
        <v>3245</v>
      </c>
      <c r="X297" s="221"/>
      <c r="Y297" s="227"/>
      <c r="Z297" s="227" t="str">
        <f>P297</f>
        <v>Perumahan Pondok Mutiara Malang</v>
      </c>
      <c r="AA297" s="276" t="e">
        <f>VLOOKUP(Logfile_S[[#This Row],[DO number]],DO_DB!G:I,3,0)</f>
        <v>#N/A</v>
      </c>
      <c r="AB297" s="331" t="e">
        <f>EXACT(Logfile_S[[#This Row],[date pick]],Logfile_S[[#This Row],[Date]])</f>
        <v>#N/A</v>
      </c>
      <c r="AC2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98" spans="1:29" ht="14.5">
      <c r="A298" s="220" t="str">
        <f>TEXT(ROW(A298)-ROW($A$4),"000")</f>
        <v>294</v>
      </c>
      <c r="B298" s="221"/>
      <c r="C298" s="221" t="s">
        <v>49</v>
      </c>
      <c r="D298" s="221" t="s">
        <v>3862</v>
      </c>
      <c r="E298" s="221" t="s">
        <v>3295</v>
      </c>
      <c r="F298" s="221" t="s">
        <v>3299</v>
      </c>
      <c r="G298" s="222">
        <v>45306</v>
      </c>
      <c r="H298" s="223">
        <v>0.375</v>
      </c>
      <c r="I298" s="221" t="s">
        <v>4916</v>
      </c>
      <c r="J298" s="221" t="s">
        <v>3023</v>
      </c>
      <c r="K298" s="224" t="s">
        <v>3227</v>
      </c>
      <c r="L298" s="225" t="str">
        <f>VLOOKUP(Logfile_S[[#This Row],[Material Name]],Sheet2!B:C,2,0)</f>
        <v>ZTE1001</v>
      </c>
      <c r="M298" s="225" t="str">
        <f>_xlfn.XLOOKUP(Logfile_S[[#This Row],[Material Name]],Sum_WH!E:E,Sum_WH!F:F,"",0)</f>
        <v>Pcs</v>
      </c>
      <c r="N298" s="221">
        <v>24</v>
      </c>
      <c r="O298" s="221" t="s">
        <v>828</v>
      </c>
      <c r="P298" s="221" t="s">
        <v>829</v>
      </c>
      <c r="Q298" s="221"/>
      <c r="R298" s="221"/>
      <c r="S298" s="221"/>
      <c r="T298" s="221" t="s">
        <v>3339</v>
      </c>
      <c r="U298" s="221" t="s">
        <v>3228</v>
      </c>
      <c r="V298" s="221" t="s">
        <v>3340</v>
      </c>
      <c r="W298" s="221" t="s">
        <v>3245</v>
      </c>
      <c r="X298" s="221"/>
      <c r="Y298" s="227"/>
      <c r="Z298" s="227" t="str">
        <f>P298</f>
        <v>Perumahan Pondok Mutiara Malang</v>
      </c>
      <c r="AA298" s="276" t="e">
        <f>VLOOKUP(Logfile_S[[#This Row],[DO number]],DO_DB!G:I,3,0)</f>
        <v>#N/A</v>
      </c>
      <c r="AB298" s="331" t="e">
        <f>EXACT(Logfile_S[[#This Row],[date pick]],Logfile_S[[#This Row],[Date]])</f>
        <v>#N/A</v>
      </c>
      <c r="AC2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99" spans="1:29" ht="14.5">
      <c r="A299" s="220" t="str">
        <f>TEXT(ROW(A299)-ROW($A$4),"000")</f>
        <v>295</v>
      </c>
      <c r="B299" s="221"/>
      <c r="C299" s="221" t="s">
        <v>48</v>
      </c>
      <c r="D299" s="221" t="s">
        <v>3863</v>
      </c>
      <c r="E299" s="221" t="s">
        <v>3295</v>
      </c>
      <c r="F299" s="221" t="s">
        <v>3299</v>
      </c>
      <c r="G299" s="222">
        <v>45307</v>
      </c>
      <c r="H299" s="223">
        <v>15.291666666666666</v>
      </c>
      <c r="I299" s="221" t="s">
        <v>37</v>
      </c>
      <c r="J299" s="221" t="s">
        <v>3023</v>
      </c>
      <c r="K299" s="224" t="s">
        <v>3073</v>
      </c>
      <c r="L299" s="225" t="str">
        <f>VLOOKUP(Logfile_S[[#This Row],[Material Name]],Sheet2!B:C,2,0)</f>
        <v>ZTE2001</v>
      </c>
      <c r="M299" s="225" t="str">
        <f>_xlfn.XLOOKUP(Logfile_S[[#This Row],[Material Name]],Sum_WH!E:E,Sum_WH!F:F,"",0)</f>
        <v>Meter</v>
      </c>
      <c r="N299" s="227">
        <v>3000</v>
      </c>
      <c r="O299" s="221" t="s">
        <v>828</v>
      </c>
      <c r="P299" s="221" t="s">
        <v>829</v>
      </c>
      <c r="Q299" s="221" t="s">
        <v>852</v>
      </c>
      <c r="R299" s="221" t="s">
        <v>853</v>
      </c>
      <c r="S299" s="221"/>
      <c r="T299" s="221"/>
      <c r="U299" s="221"/>
      <c r="V299" s="221"/>
      <c r="W299" s="221"/>
      <c r="X299" s="221" t="s">
        <v>3217</v>
      </c>
      <c r="Y299" s="227" t="s">
        <v>4947</v>
      </c>
      <c r="Z299" s="227" t="str">
        <f>P299</f>
        <v>Perumahan Pondok Mutiara Malang</v>
      </c>
      <c r="AA299" s="276">
        <f>VLOOKUP(Logfile_S[[#This Row],[DO number]],DO_DB!G:I,3,0)</f>
        <v>45307</v>
      </c>
      <c r="AB299" s="331" t="b">
        <f>EXACT(Logfile_S[[#This Row],[date pick]],Logfile_S[[#This Row],[Date]])</f>
        <v>1</v>
      </c>
      <c r="AC2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24C-2024116-01</v>
      </c>
    </row>
    <row r="300" spans="1:29" ht="14.5">
      <c r="A300" s="237" t="str">
        <f>TEXT(ROW(A300)-ROW($A$4),"000")</f>
        <v>296</v>
      </c>
      <c r="B300" s="221"/>
      <c r="C300" s="227" t="s">
        <v>48</v>
      </c>
      <c r="D300" s="227" t="s">
        <v>3863</v>
      </c>
      <c r="E300" s="227" t="s">
        <v>3295</v>
      </c>
      <c r="F300" s="227" t="s">
        <v>3299</v>
      </c>
      <c r="G300" s="239">
        <v>45307</v>
      </c>
      <c r="H300" s="240">
        <v>15.291666666666666</v>
      </c>
      <c r="I300" s="227" t="s">
        <v>37</v>
      </c>
      <c r="J300" s="227" t="s">
        <v>3023</v>
      </c>
      <c r="K300" s="241" t="s">
        <v>3073</v>
      </c>
      <c r="L300" s="225" t="str">
        <f>VLOOKUP(Logfile_S[[#This Row],[Material Name]],Sheet2!B:C,2,0)</f>
        <v>ZTE2001</v>
      </c>
      <c r="M300" s="242" t="s">
        <v>20</v>
      </c>
      <c r="N300" s="227">
        <v>3000</v>
      </c>
      <c r="O300" s="227" t="s">
        <v>828</v>
      </c>
      <c r="P300" s="227" t="s">
        <v>829</v>
      </c>
      <c r="Q300" s="227" t="s">
        <v>852</v>
      </c>
      <c r="R300" s="227" t="s">
        <v>853</v>
      </c>
      <c r="S300" s="227"/>
      <c r="T300" s="227"/>
      <c r="U300" s="227"/>
      <c r="V300" s="227"/>
      <c r="W300" s="227"/>
      <c r="X300" s="227" t="s">
        <v>3217</v>
      </c>
      <c r="Y300" s="227" t="s">
        <v>4994</v>
      </c>
      <c r="Z300" s="227" t="str">
        <f>P300</f>
        <v>Perumahan Pondok Mutiara Malang</v>
      </c>
      <c r="AA300" s="276">
        <f>VLOOKUP(Logfile_S[[#This Row],[DO number]],DO_DB!G:I,3,0)</f>
        <v>45307</v>
      </c>
      <c r="AB300" s="331" t="b">
        <f>EXACT(Logfile_S[[#This Row],[date pick]],Logfile_S[[#This Row],[Date]])</f>
        <v>1</v>
      </c>
      <c r="AC3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24C-2024116-02</v>
      </c>
    </row>
    <row r="301" spans="1:29" ht="14.5">
      <c r="A301" s="220" t="str">
        <f>TEXT(ROW(A301)-ROW($A$4),"000")</f>
        <v>297</v>
      </c>
      <c r="B301" s="221"/>
      <c r="C301" s="221" t="s">
        <v>48</v>
      </c>
      <c r="D301" s="221" t="s">
        <v>3863</v>
      </c>
      <c r="E301" s="221" t="s">
        <v>3295</v>
      </c>
      <c r="F301" s="221" t="s">
        <v>3299</v>
      </c>
      <c r="G301" s="222">
        <v>45307</v>
      </c>
      <c r="H301" s="223">
        <v>15.291666666666666</v>
      </c>
      <c r="I301" s="221" t="s">
        <v>37</v>
      </c>
      <c r="J301" s="221" t="s">
        <v>3023</v>
      </c>
      <c r="K301" s="224" t="s">
        <v>3075</v>
      </c>
      <c r="L301" s="225" t="str">
        <f>VLOOKUP(Logfile_S[[#This Row],[Material Name]],Sheet2!B:C,2,0)</f>
        <v>ZTE2003</v>
      </c>
      <c r="M301" s="225" t="str">
        <f>_xlfn.XLOOKUP(Logfile_S[[#This Row],[Material Name]],Sum_WH!E:E,Sum_WH!F:F,"",0)</f>
        <v>Meter</v>
      </c>
      <c r="N301" s="221">
        <v>3000</v>
      </c>
      <c r="O301" s="221" t="s">
        <v>828</v>
      </c>
      <c r="P301" s="221" t="s">
        <v>829</v>
      </c>
      <c r="Q301" s="221" t="s">
        <v>852</v>
      </c>
      <c r="R301" s="221" t="s">
        <v>853</v>
      </c>
      <c r="S301" s="221"/>
      <c r="T301" s="221"/>
      <c r="U301" s="221"/>
      <c r="V301" s="221"/>
      <c r="W301" s="221"/>
      <c r="X301" s="221" t="s">
        <v>3217</v>
      </c>
      <c r="Y301" s="227" t="s">
        <v>5057</v>
      </c>
      <c r="Z301" s="227" t="str">
        <f>P301</f>
        <v>Perumahan Pondok Mutiara Malang</v>
      </c>
      <c r="AA301" s="276">
        <f>VLOOKUP(Logfile_S[[#This Row],[DO number]],DO_DB!G:I,3,0)</f>
        <v>45307</v>
      </c>
      <c r="AB301" s="331" t="b">
        <f>EXACT(Logfile_S[[#This Row],[date pick]],Logfile_S[[#This Row],[Date]])</f>
        <v>1</v>
      </c>
      <c r="AC3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48C-2024116-01</v>
      </c>
    </row>
    <row r="302" spans="1:29" ht="14.5">
      <c r="A302" s="220" t="str">
        <f>TEXT(ROW(A302)-ROW($A$4),"000")</f>
        <v>298</v>
      </c>
      <c r="B302" s="221"/>
      <c r="C302" s="221" t="s">
        <v>48</v>
      </c>
      <c r="D302" s="221" t="s">
        <v>3867</v>
      </c>
      <c r="E302" s="221" t="s">
        <v>3295</v>
      </c>
      <c r="F302" s="221" t="s">
        <v>3299</v>
      </c>
      <c r="G302" s="222">
        <v>45307</v>
      </c>
      <c r="H302" s="223">
        <v>15.291666666666666</v>
      </c>
      <c r="I302" s="221" t="s">
        <v>37</v>
      </c>
      <c r="J302" s="221" t="s">
        <v>3023</v>
      </c>
      <c r="K302" s="224" t="s">
        <v>13</v>
      </c>
      <c r="L302" s="225" t="str">
        <f>VLOOKUP(Logfile_S[[#This Row],[Material Name]],Sheet2!B:C,2,0)</f>
        <v>ZTE2008</v>
      </c>
      <c r="M302" s="225" t="str">
        <f>_xlfn.XLOOKUP(Logfile_S[[#This Row],[Material Name]],Sum_WH!E:E,Sum_WH!F:F,"",0)</f>
        <v>Pcs</v>
      </c>
      <c r="N302" s="221">
        <v>65</v>
      </c>
      <c r="O302" s="221" t="s">
        <v>828</v>
      </c>
      <c r="P302" s="221" t="s">
        <v>829</v>
      </c>
      <c r="Q302" s="221" t="s">
        <v>852</v>
      </c>
      <c r="R302" s="221" t="s">
        <v>853</v>
      </c>
      <c r="S302" s="221"/>
      <c r="T302" s="221"/>
      <c r="U302" s="221"/>
      <c r="V302" s="221"/>
      <c r="W302" s="221"/>
      <c r="X302" s="221" t="s">
        <v>3217</v>
      </c>
      <c r="Y302" s="227"/>
      <c r="Z302" s="227" t="str">
        <f>P302</f>
        <v>Perumahan Pondok Mutiara Malang</v>
      </c>
      <c r="AA302" s="276">
        <f>VLOOKUP(Logfile_S[[#This Row],[DO number]],DO_DB!G:I,3,0)</f>
        <v>45307</v>
      </c>
      <c r="AB302" s="331" t="b">
        <f>EXACT(Logfile_S[[#This Row],[date pick]],Logfile_S[[#This Row],[Date]])</f>
        <v>1</v>
      </c>
      <c r="AC3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03" spans="1:29" ht="14.5">
      <c r="A303" s="220" t="str">
        <f>TEXT(ROW(A303)-ROW($A$4),"000")</f>
        <v>299</v>
      </c>
      <c r="B303" s="221"/>
      <c r="C303" s="221" t="s">
        <v>48</v>
      </c>
      <c r="D303" s="221" t="s">
        <v>3867</v>
      </c>
      <c r="E303" s="221" t="s">
        <v>3295</v>
      </c>
      <c r="F303" s="221" t="s">
        <v>3299</v>
      </c>
      <c r="G303" s="222">
        <v>45307</v>
      </c>
      <c r="H303" s="223">
        <v>15.291666666666666</v>
      </c>
      <c r="I303" s="221" t="s">
        <v>37</v>
      </c>
      <c r="J303" s="221" t="s">
        <v>3023</v>
      </c>
      <c r="K303" s="224" t="s">
        <v>14</v>
      </c>
      <c r="L303" s="225" t="str">
        <f>VLOOKUP(Logfile_S[[#This Row],[Material Name]],Sheet2!B:C,2,0)</f>
        <v>ZTE2005</v>
      </c>
      <c r="M303" s="225" t="str">
        <f>_xlfn.XLOOKUP(Logfile_S[[#This Row],[Material Name]],Sum_WH!E:E,Sum_WH!F:F,"",0)</f>
        <v>Pcs</v>
      </c>
      <c r="N303" s="221">
        <v>3</v>
      </c>
      <c r="O303" s="221" t="s">
        <v>828</v>
      </c>
      <c r="P303" s="221" t="s">
        <v>829</v>
      </c>
      <c r="Q303" s="221" t="s">
        <v>852</v>
      </c>
      <c r="R303" s="221" t="s">
        <v>853</v>
      </c>
      <c r="S303" s="221"/>
      <c r="T303" s="221"/>
      <c r="U303" s="221"/>
      <c r="V303" s="221"/>
      <c r="W303" s="221"/>
      <c r="X303" s="221" t="s">
        <v>3217</v>
      </c>
      <c r="Y303" s="227"/>
      <c r="Z303" s="227" t="str">
        <f>P303</f>
        <v>Perumahan Pondok Mutiara Malang</v>
      </c>
      <c r="AA303" s="276">
        <f>VLOOKUP(Logfile_S[[#This Row],[DO number]],DO_DB!G:I,3,0)</f>
        <v>45307</v>
      </c>
      <c r="AB303" s="331" t="b">
        <f>EXACT(Logfile_S[[#This Row],[date pick]],Logfile_S[[#This Row],[Date]])</f>
        <v>1</v>
      </c>
      <c r="AC3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04" spans="1:29" ht="14.5">
      <c r="A304" s="220" t="str">
        <f>TEXT(ROW(A304)-ROW($A$4),"000")</f>
        <v>300</v>
      </c>
      <c r="B304" s="221"/>
      <c r="C304" s="221" t="s">
        <v>48</v>
      </c>
      <c r="D304" s="221" t="s">
        <v>3867</v>
      </c>
      <c r="E304" s="221" t="s">
        <v>3295</v>
      </c>
      <c r="F304" s="221" t="s">
        <v>3299</v>
      </c>
      <c r="G304" s="222">
        <v>45307</v>
      </c>
      <c r="H304" s="223">
        <v>15.291666666666666</v>
      </c>
      <c r="I304" s="221" t="s">
        <v>37</v>
      </c>
      <c r="J304" s="221" t="s">
        <v>3023</v>
      </c>
      <c r="K304" s="224" t="s">
        <v>3072</v>
      </c>
      <c r="L304" s="225" t="str">
        <f>VLOOKUP(Logfile_S[[#This Row],[Material Name]],Sheet2!B:C,2,0)</f>
        <v>ZTE1004</v>
      </c>
      <c r="M304" s="225" t="str">
        <f>_xlfn.XLOOKUP(Logfile_S[[#This Row],[Material Name]],Sum_WH!E:E,Sum_WH!F:F,"",0)</f>
        <v>Pcs</v>
      </c>
      <c r="N304" s="221">
        <v>1</v>
      </c>
      <c r="O304" s="221" t="s">
        <v>828</v>
      </c>
      <c r="P304" s="221" t="s">
        <v>829</v>
      </c>
      <c r="Q304" s="221"/>
      <c r="R304" s="221"/>
      <c r="S304" s="221"/>
      <c r="T304" s="221"/>
      <c r="U304" s="221"/>
      <c r="V304" s="221"/>
      <c r="W304" s="221"/>
      <c r="X304" s="221"/>
      <c r="Y304" s="227"/>
      <c r="Z304" s="227" t="str">
        <f>P304</f>
        <v>Perumahan Pondok Mutiara Malang</v>
      </c>
      <c r="AA304" s="276" t="e">
        <f>VLOOKUP(Logfile_S[[#This Row],[DO number]],DO_DB!G:I,3,0)</f>
        <v>#N/A</v>
      </c>
      <c r="AB304" s="331" t="e">
        <f>EXACT(Logfile_S[[#This Row],[date pick]],Logfile_S[[#This Row],[Date]])</f>
        <v>#N/A</v>
      </c>
      <c r="AC3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05" spans="1:29" ht="14.5">
      <c r="A305" s="220" t="str">
        <f>TEXT(ROW(A305)-ROW($A$4),"000")</f>
        <v>301</v>
      </c>
      <c r="B305" s="221"/>
      <c r="C305" s="221" t="s">
        <v>48</v>
      </c>
      <c r="D305" s="221" t="s">
        <v>3867</v>
      </c>
      <c r="E305" s="221" t="s">
        <v>3295</v>
      </c>
      <c r="F305" s="221" t="s">
        <v>3299</v>
      </c>
      <c r="G305" s="222">
        <v>45307</v>
      </c>
      <c r="H305" s="223">
        <v>15.291666666666666</v>
      </c>
      <c r="I305" s="221" t="s">
        <v>37</v>
      </c>
      <c r="J305" s="221" t="s">
        <v>3023</v>
      </c>
      <c r="K305" s="224" t="s">
        <v>3070</v>
      </c>
      <c r="L305" s="225" t="str">
        <f>VLOOKUP(Logfile_S[[#This Row],[Material Name]],Sheet2!B:C,2,0)</f>
        <v>ZTE1002</v>
      </c>
      <c r="M305" s="225" t="str">
        <f>_xlfn.XLOOKUP(Logfile_S[[#This Row],[Material Name]],Sum_WH!E:E,Sum_WH!F:F,"",0)</f>
        <v>Pcs</v>
      </c>
      <c r="N305" s="221">
        <v>21</v>
      </c>
      <c r="O305" s="221" t="s">
        <v>828</v>
      </c>
      <c r="P305" s="221" t="s">
        <v>829</v>
      </c>
      <c r="Q305" s="221" t="s">
        <v>830</v>
      </c>
      <c r="R305" s="221" t="s">
        <v>831</v>
      </c>
      <c r="S305" s="221"/>
      <c r="T305" s="221"/>
      <c r="U305" s="221"/>
      <c r="V305" s="221"/>
      <c r="W305" s="221"/>
      <c r="X305" s="221"/>
      <c r="Y305" s="227"/>
      <c r="Z305" s="227" t="str">
        <f>P305</f>
        <v>Perumahan Pondok Mutiara Malang</v>
      </c>
      <c r="AA305" s="276">
        <f>VLOOKUP(Logfile_S[[#This Row],[DO number]],DO_DB!G:I,3,0)</f>
        <v>45307</v>
      </c>
      <c r="AB305" s="331" t="b">
        <f>EXACT(Logfile_S[[#This Row],[date pick]],Logfile_S[[#This Row],[Date]])</f>
        <v>1</v>
      </c>
      <c r="AC3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06" spans="1:29" ht="14.5">
      <c r="A306" s="220" t="str">
        <f>TEXT(ROW(A306)-ROW($A$4),"000")</f>
        <v>302</v>
      </c>
      <c r="B306" s="221"/>
      <c r="C306" s="221" t="s">
        <v>49</v>
      </c>
      <c r="D306" s="221" t="s">
        <v>3865</v>
      </c>
      <c r="E306" s="221" t="s">
        <v>3295</v>
      </c>
      <c r="F306" s="221" t="s">
        <v>3299</v>
      </c>
      <c r="G306" s="222">
        <v>45307</v>
      </c>
      <c r="H306" s="223">
        <v>0.375</v>
      </c>
      <c r="I306" s="221" t="s">
        <v>4916</v>
      </c>
      <c r="J306" s="221" t="s">
        <v>3023</v>
      </c>
      <c r="K306" s="224" t="s">
        <v>3070</v>
      </c>
      <c r="L306" s="225" t="str">
        <f>VLOOKUP(Logfile_S[[#This Row],[Material Name]],Sheet2!B:C,2,0)</f>
        <v>ZTE1002</v>
      </c>
      <c r="M306" s="225" t="str">
        <f>_xlfn.XLOOKUP(Logfile_S[[#This Row],[Material Name]],Sum_WH!E:E,Sum_WH!F:F,"",0)</f>
        <v>Pcs</v>
      </c>
      <c r="N306" s="221">
        <v>2</v>
      </c>
      <c r="O306" s="221" t="s">
        <v>828</v>
      </c>
      <c r="P306" s="221" t="s">
        <v>829</v>
      </c>
      <c r="Q306" s="221"/>
      <c r="R306" s="221"/>
      <c r="S306" s="221"/>
      <c r="T306" s="221" t="s">
        <v>3339</v>
      </c>
      <c r="U306" s="221" t="s">
        <v>3228</v>
      </c>
      <c r="V306" s="221" t="s">
        <v>3340</v>
      </c>
      <c r="W306" s="221" t="s">
        <v>3245</v>
      </c>
      <c r="X306" s="221"/>
      <c r="Y306" s="227"/>
      <c r="Z306" s="227" t="str">
        <f>P306</f>
        <v>Perumahan Pondok Mutiara Malang</v>
      </c>
      <c r="AA306" s="276" t="e">
        <f>VLOOKUP(Logfile_S[[#This Row],[DO number]],DO_DB!G:I,3,0)</f>
        <v>#N/A</v>
      </c>
      <c r="AB306" s="331" t="e">
        <f>EXACT(Logfile_S[[#This Row],[date pick]],Logfile_S[[#This Row],[Date]])</f>
        <v>#N/A</v>
      </c>
      <c r="AC3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07" spans="1:29" ht="14.5">
      <c r="A307" s="220" t="str">
        <f>TEXT(ROW(A307)-ROW($A$4),"000")</f>
        <v>303</v>
      </c>
      <c r="B307" s="221"/>
      <c r="C307" s="221" t="s">
        <v>48</v>
      </c>
      <c r="D307" s="221" t="s">
        <v>3867</v>
      </c>
      <c r="E307" s="221" t="s">
        <v>3295</v>
      </c>
      <c r="F307" s="221" t="s">
        <v>3299</v>
      </c>
      <c r="G307" s="222">
        <v>45307</v>
      </c>
      <c r="H307" s="223">
        <v>15.291666666666666</v>
      </c>
      <c r="I307" s="221" t="s">
        <v>37</v>
      </c>
      <c r="J307" s="221" t="s">
        <v>3023</v>
      </c>
      <c r="K307" s="224" t="s">
        <v>3069</v>
      </c>
      <c r="L307" s="225" t="str">
        <f>VLOOKUP(Logfile_S[[#This Row],[Material Name]],Sheet2!B:C,2,0)</f>
        <v>ZTE1001</v>
      </c>
      <c r="M307" s="225" t="str">
        <f>_xlfn.XLOOKUP(Logfile_S[[#This Row],[Material Name]],Sum_WH!E:E,Sum_WH!F:F,"",0)</f>
        <v>Pcs</v>
      </c>
      <c r="N307" s="221">
        <v>173</v>
      </c>
      <c r="O307" s="221" t="s">
        <v>828</v>
      </c>
      <c r="P307" s="221" t="s">
        <v>829</v>
      </c>
      <c r="Q307" s="221" t="s">
        <v>830</v>
      </c>
      <c r="R307" s="221" t="s">
        <v>831</v>
      </c>
      <c r="S307" s="221"/>
      <c r="T307" s="221"/>
      <c r="U307" s="221"/>
      <c r="V307" s="221"/>
      <c r="W307" s="221"/>
      <c r="X307" s="221"/>
      <c r="Y307" s="227"/>
      <c r="Z307" s="227" t="str">
        <f>P307</f>
        <v>Perumahan Pondok Mutiara Malang</v>
      </c>
      <c r="AA307" s="276">
        <f>VLOOKUP(Logfile_S[[#This Row],[DO number]],DO_DB!G:I,3,0)</f>
        <v>45307</v>
      </c>
      <c r="AB307" s="331" t="b">
        <f>EXACT(Logfile_S[[#This Row],[date pick]],Logfile_S[[#This Row],[Date]])</f>
        <v>1</v>
      </c>
      <c r="AC3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08" spans="1:29" ht="14.5">
      <c r="A308" s="220" t="str">
        <f>TEXT(ROW(A308)-ROW($A$4),"000")</f>
        <v>304</v>
      </c>
      <c r="B308" s="221"/>
      <c r="C308" s="221" t="s">
        <v>49</v>
      </c>
      <c r="D308" s="221" t="s">
        <v>3865</v>
      </c>
      <c r="E308" s="221" t="s">
        <v>3295</v>
      </c>
      <c r="F308" s="221" t="s">
        <v>3299</v>
      </c>
      <c r="G308" s="222">
        <v>45307</v>
      </c>
      <c r="H308" s="223">
        <v>0.375</v>
      </c>
      <c r="I308" s="221" t="s">
        <v>4916</v>
      </c>
      <c r="J308" s="221" t="s">
        <v>3023</v>
      </c>
      <c r="K308" s="224" t="s">
        <v>3227</v>
      </c>
      <c r="L308" s="225" t="str">
        <f>VLOOKUP(Logfile_S[[#This Row],[Material Name]],Sheet2!B:C,2,0)</f>
        <v>ZTE1001</v>
      </c>
      <c r="M308" s="225" t="str">
        <f>_xlfn.XLOOKUP(Logfile_S[[#This Row],[Material Name]],Sum_WH!E:E,Sum_WH!F:F,"",0)</f>
        <v>Pcs</v>
      </c>
      <c r="N308" s="221">
        <v>23</v>
      </c>
      <c r="O308" s="221" t="s">
        <v>828</v>
      </c>
      <c r="P308" s="221" t="s">
        <v>829</v>
      </c>
      <c r="Q308" s="221"/>
      <c r="R308" s="221"/>
      <c r="S308" s="221"/>
      <c r="T308" s="221" t="s">
        <v>3339</v>
      </c>
      <c r="U308" s="221" t="s">
        <v>3228</v>
      </c>
      <c r="V308" s="221" t="s">
        <v>3340</v>
      </c>
      <c r="W308" s="221" t="s">
        <v>3245</v>
      </c>
      <c r="X308" s="221"/>
      <c r="Y308" s="227"/>
      <c r="Z308" s="227" t="str">
        <f>P308</f>
        <v>Perumahan Pondok Mutiara Malang</v>
      </c>
      <c r="AA308" s="276" t="e">
        <f>VLOOKUP(Logfile_S[[#This Row],[DO number]],DO_DB!G:I,3,0)</f>
        <v>#N/A</v>
      </c>
      <c r="AB308" s="331" t="e">
        <f>EXACT(Logfile_S[[#This Row],[date pick]],Logfile_S[[#This Row],[Date]])</f>
        <v>#N/A</v>
      </c>
      <c r="AC3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09" spans="1:29" ht="14.5">
      <c r="A309" s="220" t="str">
        <f>TEXT(ROW(A309)-ROW($A$4),"000")</f>
        <v>305</v>
      </c>
      <c r="B309" s="221"/>
      <c r="C309" s="221" t="s">
        <v>49</v>
      </c>
      <c r="D309" s="221" t="s">
        <v>3870</v>
      </c>
      <c r="E309" s="221" t="s">
        <v>3295</v>
      </c>
      <c r="F309" s="221" t="s">
        <v>3299</v>
      </c>
      <c r="G309" s="222">
        <v>45308</v>
      </c>
      <c r="H309" s="223">
        <v>0.35416666666666669</v>
      </c>
      <c r="I309" s="221" t="s">
        <v>4916</v>
      </c>
      <c r="J309" s="221" t="s">
        <v>3023</v>
      </c>
      <c r="K309" s="224" t="s">
        <v>3227</v>
      </c>
      <c r="L309" s="225" t="str">
        <f>VLOOKUP(Logfile_S[[#This Row],[Material Name]],Sheet2!B:C,2,0)</f>
        <v>ZTE1001</v>
      </c>
      <c r="M309" s="225" t="str">
        <f>_xlfn.XLOOKUP(Logfile_S[[#This Row],[Material Name]],Sum_WH!E:E,Sum_WH!F:F,"",0)</f>
        <v>Pcs</v>
      </c>
      <c r="N309" s="221">
        <v>20</v>
      </c>
      <c r="O309" s="221" t="s">
        <v>828</v>
      </c>
      <c r="P309" s="221" t="s">
        <v>829</v>
      </c>
      <c r="Q309" s="221"/>
      <c r="R309" s="221"/>
      <c r="S309" s="221"/>
      <c r="T309" s="221" t="s">
        <v>3243</v>
      </c>
      <c r="U309" s="221" t="s">
        <v>3228</v>
      </c>
      <c r="V309" s="221" t="s">
        <v>3584</v>
      </c>
      <c r="W309" s="221" t="s">
        <v>3245</v>
      </c>
      <c r="X309" s="221"/>
      <c r="Y309" s="227"/>
      <c r="Z309" s="227" t="str">
        <f>P309</f>
        <v>Perumahan Pondok Mutiara Malang</v>
      </c>
      <c r="AA309" s="276" t="e">
        <f>VLOOKUP(Logfile_S[[#This Row],[DO number]],DO_DB!G:I,3,0)</f>
        <v>#N/A</v>
      </c>
      <c r="AB309" s="331" t="e">
        <f>EXACT(Logfile_S[[#This Row],[date pick]],Logfile_S[[#This Row],[Date]])</f>
        <v>#N/A</v>
      </c>
      <c r="AC3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10" spans="1:29" ht="14.5">
      <c r="A310" s="220" t="str">
        <f>TEXT(ROW(A310)-ROW($A$4),"000")</f>
        <v>306</v>
      </c>
      <c r="B310" s="221"/>
      <c r="C310" s="221" t="s">
        <v>49</v>
      </c>
      <c r="D310" s="221" t="s">
        <v>3870</v>
      </c>
      <c r="E310" s="221" t="s">
        <v>3295</v>
      </c>
      <c r="F310" s="221" t="s">
        <v>3299</v>
      </c>
      <c r="G310" s="222">
        <v>45308</v>
      </c>
      <c r="H310" s="223">
        <v>0.35416666666666669</v>
      </c>
      <c r="I310" s="221" t="s">
        <v>4916</v>
      </c>
      <c r="J310" s="221" t="s">
        <v>3023</v>
      </c>
      <c r="K310" s="224" t="s">
        <v>3227</v>
      </c>
      <c r="L310" s="225" t="str">
        <f>VLOOKUP(Logfile_S[[#This Row],[Material Name]],Sheet2!B:C,2,0)</f>
        <v>ZTE1001</v>
      </c>
      <c r="M310" s="225" t="str">
        <f>_xlfn.XLOOKUP(Logfile_S[[#This Row],[Material Name]],Sum_WH!E:E,Sum_WH!F:F,"",0)</f>
        <v>Pcs</v>
      </c>
      <c r="N310" s="221">
        <v>26</v>
      </c>
      <c r="O310" s="221" t="s">
        <v>828</v>
      </c>
      <c r="P310" s="221" t="s">
        <v>829</v>
      </c>
      <c r="Q310" s="221"/>
      <c r="R310" s="221"/>
      <c r="S310" s="221"/>
      <c r="T310" s="221" t="s">
        <v>3243</v>
      </c>
      <c r="U310" s="221" t="s">
        <v>3228</v>
      </c>
      <c r="V310" s="221" t="s">
        <v>3584</v>
      </c>
      <c r="W310" s="221" t="s">
        <v>3245</v>
      </c>
      <c r="X310" s="221"/>
      <c r="Y310" s="227"/>
      <c r="Z310" s="227" t="str">
        <f>P310</f>
        <v>Perumahan Pondok Mutiara Malang</v>
      </c>
      <c r="AA310" s="276" t="e">
        <f>VLOOKUP(Logfile_S[[#This Row],[DO number]],DO_DB!G:I,3,0)</f>
        <v>#N/A</v>
      </c>
      <c r="AB310" s="331" t="e">
        <f>EXACT(Logfile_S[[#This Row],[date pick]],Logfile_S[[#This Row],[Date]])</f>
        <v>#N/A</v>
      </c>
      <c r="AC3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11" spans="1:29" ht="14.5">
      <c r="A311" s="220" t="str">
        <f>TEXT(ROW(A311)-ROW($A$4),"000")</f>
        <v>307</v>
      </c>
      <c r="B311" s="221"/>
      <c r="C311" s="221" t="s">
        <v>49</v>
      </c>
      <c r="D311" s="221" t="s">
        <v>3873</v>
      </c>
      <c r="E311" s="221" t="s">
        <v>3295</v>
      </c>
      <c r="F311" s="221" t="s">
        <v>3299</v>
      </c>
      <c r="G311" s="222">
        <v>45309</v>
      </c>
      <c r="H311" s="223">
        <v>0.47569444444444442</v>
      </c>
      <c r="I311" s="221" t="s">
        <v>4916</v>
      </c>
      <c r="J311" s="221" t="s">
        <v>3023</v>
      </c>
      <c r="K311" s="224" t="s">
        <v>3070</v>
      </c>
      <c r="L311" s="225" t="str">
        <f>VLOOKUP(Logfile_S[[#This Row],[Material Name]],Sheet2!B:C,2,0)</f>
        <v>ZTE1002</v>
      </c>
      <c r="M311" s="225" t="str">
        <f>_xlfn.XLOOKUP(Logfile_S[[#This Row],[Material Name]],Sum_WH!E:E,Sum_WH!F:F,"",0)</f>
        <v>Pcs</v>
      </c>
      <c r="N311" s="221">
        <v>6</v>
      </c>
      <c r="O311" s="221" t="s">
        <v>828</v>
      </c>
      <c r="P311" s="221" t="s">
        <v>829</v>
      </c>
      <c r="Q311" s="221"/>
      <c r="R311" s="221"/>
      <c r="S311" s="221"/>
      <c r="T311" s="221" t="s">
        <v>3339</v>
      </c>
      <c r="U311" s="221" t="s">
        <v>3228</v>
      </c>
      <c r="V311" s="221" t="s">
        <v>3340</v>
      </c>
      <c r="W311" s="221" t="s">
        <v>3245</v>
      </c>
      <c r="X311" s="221"/>
      <c r="Y311" s="227"/>
      <c r="Z311" s="227" t="str">
        <f>P311</f>
        <v>Perumahan Pondok Mutiara Malang</v>
      </c>
      <c r="AA311" s="276" t="e">
        <f>VLOOKUP(Logfile_S[[#This Row],[DO number]],DO_DB!G:I,3,0)</f>
        <v>#N/A</v>
      </c>
      <c r="AB311" s="331" t="e">
        <f>EXACT(Logfile_S[[#This Row],[date pick]],Logfile_S[[#This Row],[Date]])</f>
        <v>#N/A</v>
      </c>
      <c r="AC3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12" spans="1:29" ht="14.5">
      <c r="A312" s="220" t="str">
        <f>TEXT(ROW(A312)-ROW($A$4),"000")</f>
        <v>308</v>
      </c>
      <c r="B312" s="221"/>
      <c r="C312" s="221" t="s">
        <v>49</v>
      </c>
      <c r="D312" s="221" t="s">
        <v>3874</v>
      </c>
      <c r="E312" s="221" t="s">
        <v>3295</v>
      </c>
      <c r="F312" s="221" t="s">
        <v>3299</v>
      </c>
      <c r="G312" s="222">
        <v>45309</v>
      </c>
      <c r="H312" s="223">
        <v>0.67986111111111114</v>
      </c>
      <c r="I312" s="221" t="s">
        <v>4916</v>
      </c>
      <c r="J312" s="221" t="s">
        <v>3023</v>
      </c>
      <c r="K312" s="224" t="s">
        <v>3070</v>
      </c>
      <c r="L312" s="225" t="str">
        <f>VLOOKUP(Logfile_S[[#This Row],[Material Name]],Sheet2!B:C,2,0)</f>
        <v>ZTE1002</v>
      </c>
      <c r="M312" s="225" t="str">
        <f>_xlfn.XLOOKUP(Logfile_S[[#This Row],[Material Name]],Sum_WH!E:E,Sum_WH!F:F,"",0)</f>
        <v>Pcs</v>
      </c>
      <c r="N312" s="221">
        <v>9</v>
      </c>
      <c r="O312" s="221" t="s">
        <v>828</v>
      </c>
      <c r="P312" s="221" t="s">
        <v>829</v>
      </c>
      <c r="Q312" s="221"/>
      <c r="R312" s="221"/>
      <c r="S312" s="221"/>
      <c r="T312" s="221" t="s">
        <v>3339</v>
      </c>
      <c r="U312" s="221" t="s">
        <v>3228</v>
      </c>
      <c r="V312" s="221" t="s">
        <v>3340</v>
      </c>
      <c r="W312" s="221" t="s">
        <v>3245</v>
      </c>
      <c r="X312" s="221"/>
      <c r="Y312" s="227"/>
      <c r="Z312" s="227" t="str">
        <f>P312</f>
        <v>Perumahan Pondok Mutiara Malang</v>
      </c>
      <c r="AA312" s="276" t="e">
        <f>VLOOKUP(Logfile_S[[#This Row],[DO number]],DO_DB!G:I,3,0)</f>
        <v>#N/A</v>
      </c>
      <c r="AB312" s="331" t="e">
        <f>EXACT(Logfile_S[[#This Row],[date pick]],Logfile_S[[#This Row],[Date]])</f>
        <v>#N/A</v>
      </c>
      <c r="AC3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13" spans="1:29" ht="14.5">
      <c r="A313" s="220" t="str">
        <f>TEXT(ROW(A313)-ROW($A$4),"000")</f>
        <v>309</v>
      </c>
      <c r="B313" s="221"/>
      <c r="C313" s="221" t="s">
        <v>49</v>
      </c>
      <c r="D313" s="221" t="s">
        <v>3874</v>
      </c>
      <c r="E313" s="221" t="s">
        <v>3295</v>
      </c>
      <c r="F313" s="221" t="s">
        <v>3299</v>
      </c>
      <c r="G313" s="222">
        <v>45309</v>
      </c>
      <c r="H313" s="223">
        <v>0.67986111111111114</v>
      </c>
      <c r="I313" s="221" t="s">
        <v>4916</v>
      </c>
      <c r="J313" s="221" t="s">
        <v>3023</v>
      </c>
      <c r="K313" s="224" t="s">
        <v>3227</v>
      </c>
      <c r="L313" s="225" t="str">
        <f>VLOOKUP(Logfile_S[[#This Row],[Material Name]],Sheet2!B:C,2,0)</f>
        <v>ZTE1001</v>
      </c>
      <c r="M313" s="225" t="str">
        <f>_xlfn.XLOOKUP(Logfile_S[[#This Row],[Material Name]],Sum_WH!E:E,Sum_WH!F:F,"",0)</f>
        <v>Pcs</v>
      </c>
      <c r="N313" s="221">
        <v>10</v>
      </c>
      <c r="O313" s="221" t="s">
        <v>828</v>
      </c>
      <c r="P313" s="221" t="s">
        <v>829</v>
      </c>
      <c r="Q313" s="221"/>
      <c r="R313" s="221"/>
      <c r="S313" s="221"/>
      <c r="T313" s="221" t="s">
        <v>3339</v>
      </c>
      <c r="U313" s="221" t="s">
        <v>3228</v>
      </c>
      <c r="V313" s="221" t="s">
        <v>3340</v>
      </c>
      <c r="W313" s="221" t="s">
        <v>3245</v>
      </c>
      <c r="X313" s="221"/>
      <c r="Y313" s="227"/>
      <c r="Z313" s="227" t="str">
        <f>P313</f>
        <v>Perumahan Pondok Mutiara Malang</v>
      </c>
      <c r="AA313" s="276" t="e">
        <f>VLOOKUP(Logfile_S[[#This Row],[DO number]],DO_DB!G:I,3,0)</f>
        <v>#N/A</v>
      </c>
      <c r="AB313" s="331" t="e">
        <f>EXACT(Logfile_S[[#This Row],[date pick]],Logfile_S[[#This Row],[Date]])</f>
        <v>#N/A</v>
      </c>
      <c r="AC3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14" spans="1:29" ht="14.5">
      <c r="A314" s="220" t="str">
        <f>TEXT(ROW(A314)-ROW($A$4),"000")</f>
        <v>310</v>
      </c>
      <c r="B314" s="221"/>
      <c r="C314" s="221" t="s">
        <v>49</v>
      </c>
      <c r="D314" s="221" t="s">
        <v>3873</v>
      </c>
      <c r="E314" s="221" t="s">
        <v>3295</v>
      </c>
      <c r="F314" s="221" t="s">
        <v>3299</v>
      </c>
      <c r="G314" s="222">
        <v>45309</v>
      </c>
      <c r="H314" s="223">
        <v>0.47569444444444442</v>
      </c>
      <c r="I314" s="221" t="s">
        <v>4916</v>
      </c>
      <c r="J314" s="221" t="s">
        <v>3023</v>
      </c>
      <c r="K314" s="224" t="s">
        <v>3227</v>
      </c>
      <c r="L314" s="225" t="str">
        <f>VLOOKUP(Logfile_S[[#This Row],[Material Name]],Sheet2!B:C,2,0)</f>
        <v>ZTE1001</v>
      </c>
      <c r="M314" s="225" t="str">
        <f>_xlfn.XLOOKUP(Logfile_S[[#This Row],[Material Name]],Sum_WH!E:E,Sum_WH!F:F,"",0)</f>
        <v>Pcs</v>
      </c>
      <c r="N314" s="221">
        <v>19</v>
      </c>
      <c r="O314" s="221" t="s">
        <v>828</v>
      </c>
      <c r="P314" s="221" t="s">
        <v>829</v>
      </c>
      <c r="Q314" s="221"/>
      <c r="R314" s="221"/>
      <c r="S314" s="221"/>
      <c r="T314" s="221" t="s">
        <v>3339</v>
      </c>
      <c r="U314" s="221" t="s">
        <v>3228</v>
      </c>
      <c r="V314" s="221" t="s">
        <v>3340</v>
      </c>
      <c r="W314" s="221" t="s">
        <v>3245</v>
      </c>
      <c r="X314" s="221"/>
      <c r="Y314" s="227"/>
      <c r="Z314" s="227" t="str">
        <f>P314</f>
        <v>Perumahan Pondok Mutiara Malang</v>
      </c>
      <c r="AA314" s="276" t="e">
        <f>VLOOKUP(Logfile_S[[#This Row],[DO number]],DO_DB!G:I,3,0)</f>
        <v>#N/A</v>
      </c>
      <c r="AB314" s="331" t="e">
        <f>EXACT(Logfile_S[[#This Row],[date pick]],Logfile_S[[#This Row],[Date]])</f>
        <v>#N/A</v>
      </c>
      <c r="AC3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15" spans="1:29" ht="14.5">
      <c r="A315" s="220" t="str">
        <f>TEXT(ROW(A315)-ROW($A$4),"000")</f>
        <v>311</v>
      </c>
      <c r="B315" s="221"/>
      <c r="C315" s="221" t="s">
        <v>49</v>
      </c>
      <c r="D315" s="221" t="s">
        <v>3877</v>
      </c>
      <c r="E315" s="221" t="s">
        <v>3295</v>
      </c>
      <c r="F315" s="221" t="s">
        <v>3299</v>
      </c>
      <c r="G315" s="222">
        <v>45310</v>
      </c>
      <c r="H315" s="223">
        <v>0.35416666666666669</v>
      </c>
      <c r="I315" s="221" t="s">
        <v>4916</v>
      </c>
      <c r="J315" s="221" t="s">
        <v>3023</v>
      </c>
      <c r="K315" s="224" t="s">
        <v>3075</v>
      </c>
      <c r="L315" s="225" t="str">
        <f>VLOOKUP(Logfile_S[[#This Row],[Material Name]],Sheet2!B:C,2,0)</f>
        <v>ZTE2003</v>
      </c>
      <c r="M315" s="225" t="str">
        <f>_xlfn.XLOOKUP(Logfile_S[[#This Row],[Material Name]],Sum_WH!E:E,Sum_WH!F:F,"",0)</f>
        <v>Meter</v>
      </c>
      <c r="N315" s="221">
        <v>3000</v>
      </c>
      <c r="O315" s="221" t="s">
        <v>828</v>
      </c>
      <c r="P315" s="221" t="s">
        <v>829</v>
      </c>
      <c r="Q315" s="221"/>
      <c r="R315" s="221"/>
      <c r="S315" s="221"/>
      <c r="T315" s="221" t="s">
        <v>3339</v>
      </c>
      <c r="U315" s="221" t="s">
        <v>3228</v>
      </c>
      <c r="V315" s="221" t="s">
        <v>3340</v>
      </c>
      <c r="W315" s="221" t="s">
        <v>3245</v>
      </c>
      <c r="X315" s="221"/>
      <c r="Y315" s="227"/>
      <c r="Z315" s="227" t="str">
        <f>P315</f>
        <v>Perumahan Pondok Mutiara Malang</v>
      </c>
      <c r="AA315" s="276" t="e">
        <f>VLOOKUP(Logfile_S[[#This Row],[DO number]],DO_DB!G:I,3,0)</f>
        <v>#N/A</v>
      </c>
      <c r="AB315" s="331" t="e">
        <f>EXACT(Logfile_S[[#This Row],[date pick]],Logfile_S[[#This Row],[Date]])</f>
        <v>#N/A</v>
      </c>
      <c r="AC3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16" spans="1:29" ht="14.5">
      <c r="A316" s="220" t="str">
        <f>TEXT(ROW(A316)-ROW($A$4),"000")</f>
        <v>312</v>
      </c>
      <c r="B316" s="221"/>
      <c r="C316" s="221" t="s">
        <v>49</v>
      </c>
      <c r="D316" s="221" t="s">
        <v>3882</v>
      </c>
      <c r="E316" s="221" t="s">
        <v>3295</v>
      </c>
      <c r="F316" s="221" t="s">
        <v>3299</v>
      </c>
      <c r="G316" s="222">
        <v>45311</v>
      </c>
      <c r="H316" s="223">
        <v>0.34583333333333338</v>
      </c>
      <c r="I316" s="221" t="s">
        <v>4916</v>
      </c>
      <c r="J316" s="221" t="s">
        <v>3023</v>
      </c>
      <c r="K316" s="224" t="s">
        <v>3073</v>
      </c>
      <c r="L316" s="225" t="str">
        <f>VLOOKUP(Logfile_S[[#This Row],[Material Name]],Sheet2!B:C,2,0)</f>
        <v>ZTE2001</v>
      </c>
      <c r="M316" s="225" t="str">
        <f>_xlfn.XLOOKUP(Logfile_S[[#This Row],[Material Name]],Sum_WH!E:E,Sum_WH!F:F,"",0)</f>
        <v>Meter</v>
      </c>
      <c r="N316" s="221">
        <v>3000</v>
      </c>
      <c r="O316" s="221" t="s">
        <v>828</v>
      </c>
      <c r="P316" s="221" t="s">
        <v>829</v>
      </c>
      <c r="Q316" s="221"/>
      <c r="R316" s="221"/>
      <c r="S316" s="221"/>
      <c r="T316" s="221" t="s">
        <v>3339</v>
      </c>
      <c r="U316" s="221" t="s">
        <v>3228</v>
      </c>
      <c r="V316" s="221" t="s">
        <v>3340</v>
      </c>
      <c r="W316" s="221" t="s">
        <v>3245</v>
      </c>
      <c r="X316" s="221" t="s">
        <v>3497</v>
      </c>
      <c r="Y316" s="227" t="s">
        <v>4947</v>
      </c>
      <c r="Z316" s="227" t="str">
        <f>P316</f>
        <v>Perumahan Pondok Mutiara Malang</v>
      </c>
      <c r="AA316" s="276" t="e">
        <f>VLOOKUP(Logfile_S[[#This Row],[DO number]],DO_DB!G:I,3,0)</f>
        <v>#N/A</v>
      </c>
      <c r="AB316" s="331" t="e">
        <f>EXACT(Logfile_S[[#This Row],[date pick]],Logfile_S[[#This Row],[Date]])</f>
        <v>#N/A</v>
      </c>
      <c r="AC3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24C-2024116-01</v>
      </c>
    </row>
    <row r="317" spans="1:29" ht="14.5">
      <c r="A317" s="220" t="str">
        <f>TEXT(ROW(A317)-ROW($A$4),"000")</f>
        <v>313</v>
      </c>
      <c r="B317" s="221"/>
      <c r="C317" s="221" t="s">
        <v>49</v>
      </c>
      <c r="D317" s="221" t="s">
        <v>3884</v>
      </c>
      <c r="E317" s="221" t="s">
        <v>3295</v>
      </c>
      <c r="F317" s="221" t="s">
        <v>3299</v>
      </c>
      <c r="G317" s="222">
        <v>45312</v>
      </c>
      <c r="H317" s="223">
        <v>0.35694444444444445</v>
      </c>
      <c r="I317" s="221" t="s">
        <v>4916</v>
      </c>
      <c r="J317" s="221" t="s">
        <v>3023</v>
      </c>
      <c r="K317" s="224" t="s">
        <v>3073</v>
      </c>
      <c r="L317" s="225" t="str">
        <f>VLOOKUP(Logfile_S[[#This Row],[Material Name]],Sheet2!B:C,2,0)</f>
        <v>ZTE2001</v>
      </c>
      <c r="M317" s="225" t="str">
        <f>_xlfn.XLOOKUP(Logfile_S[[#This Row],[Material Name]],Sum_WH!E:E,Sum_WH!F:F,"",0)</f>
        <v>Meter</v>
      </c>
      <c r="N317" s="221">
        <v>3000</v>
      </c>
      <c r="O317" s="221" t="s">
        <v>828</v>
      </c>
      <c r="P317" s="221" t="s">
        <v>829</v>
      </c>
      <c r="Q317" s="221"/>
      <c r="R317" s="221"/>
      <c r="S317" s="221"/>
      <c r="T317" s="221" t="s">
        <v>3339</v>
      </c>
      <c r="U317" s="221" t="s">
        <v>3228</v>
      </c>
      <c r="V317" s="221" t="s">
        <v>3340</v>
      </c>
      <c r="W317" s="221" t="s">
        <v>3245</v>
      </c>
      <c r="X317" s="221" t="s">
        <v>3498</v>
      </c>
      <c r="Y317" s="227" t="s">
        <v>4994</v>
      </c>
      <c r="Z317" s="227" t="str">
        <f>P317</f>
        <v>Perumahan Pondok Mutiara Malang</v>
      </c>
      <c r="AA317" s="276" t="e">
        <f>VLOOKUP(Logfile_S[[#This Row],[DO number]],DO_DB!G:I,3,0)</f>
        <v>#N/A</v>
      </c>
      <c r="AB317" s="331" t="e">
        <f>EXACT(Logfile_S[[#This Row],[date pick]],Logfile_S[[#This Row],[Date]])</f>
        <v>#N/A</v>
      </c>
      <c r="AC3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24C-2024116-02</v>
      </c>
    </row>
    <row r="318" spans="1:29" ht="14.5">
      <c r="A318" s="220" t="str">
        <f>TEXT(ROW(A318)-ROW($A$4),"000")</f>
        <v>314</v>
      </c>
      <c r="B318" s="221"/>
      <c r="C318" s="221" t="s">
        <v>49</v>
      </c>
      <c r="D318" s="221" t="s">
        <v>3883</v>
      </c>
      <c r="E318" s="221" t="s">
        <v>3295</v>
      </c>
      <c r="F318" s="221" t="s">
        <v>3299</v>
      </c>
      <c r="G318" s="222">
        <v>45312</v>
      </c>
      <c r="H318" s="223">
        <v>0.35694444444444445</v>
      </c>
      <c r="I318" s="221" t="s">
        <v>4916</v>
      </c>
      <c r="J318" s="221" t="s">
        <v>3023</v>
      </c>
      <c r="K318" s="224" t="s">
        <v>3075</v>
      </c>
      <c r="L318" s="225" t="str">
        <f>VLOOKUP(Logfile_S[[#This Row],[Material Name]],Sheet2!B:C,2,0)</f>
        <v>ZTE2003</v>
      </c>
      <c r="M318" s="225" t="str">
        <f>_xlfn.XLOOKUP(Logfile_S[[#This Row],[Material Name]],Sum_WH!E:E,Sum_WH!F:F,"",0)</f>
        <v>Meter</v>
      </c>
      <c r="N318" s="221">
        <v>3000</v>
      </c>
      <c r="O318" s="221" t="s">
        <v>828</v>
      </c>
      <c r="P318" s="221" t="s">
        <v>829</v>
      </c>
      <c r="Q318" s="221"/>
      <c r="R318" s="221"/>
      <c r="S318" s="221"/>
      <c r="T318" s="221" t="s">
        <v>3339</v>
      </c>
      <c r="U318" s="221" t="s">
        <v>3228</v>
      </c>
      <c r="V318" s="221" t="s">
        <v>3340</v>
      </c>
      <c r="W318" s="221" t="s">
        <v>3245</v>
      </c>
      <c r="X318" s="221"/>
      <c r="Y318" s="227"/>
      <c r="Z318" s="227" t="str">
        <f>P318</f>
        <v>Perumahan Pondok Mutiara Malang</v>
      </c>
      <c r="AA318" s="276" t="e">
        <f>VLOOKUP(Logfile_S[[#This Row],[DO number]],DO_DB!G:I,3,0)</f>
        <v>#N/A</v>
      </c>
      <c r="AB318" s="331" t="e">
        <f>EXACT(Logfile_S[[#This Row],[date pick]],Logfile_S[[#This Row],[Date]])</f>
        <v>#N/A</v>
      </c>
      <c r="AC3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19" spans="1:29" ht="14.5">
      <c r="A319" s="220" t="str">
        <f>TEXT(ROW(A319)-ROW($A$4),"000")</f>
        <v>315</v>
      </c>
      <c r="B319" s="221"/>
      <c r="C319" s="221" t="s">
        <v>49</v>
      </c>
      <c r="D319" s="221" t="s">
        <v>3884</v>
      </c>
      <c r="E319" s="221" t="s">
        <v>3295</v>
      </c>
      <c r="F319" s="221" t="s">
        <v>3299</v>
      </c>
      <c r="G319" s="222">
        <v>45312</v>
      </c>
      <c r="H319" s="223">
        <v>0.35694444444444445</v>
      </c>
      <c r="I319" s="221" t="s">
        <v>4916</v>
      </c>
      <c r="J319" s="221" t="s">
        <v>3023</v>
      </c>
      <c r="K319" s="224" t="s">
        <v>3070</v>
      </c>
      <c r="L319" s="225" t="str">
        <f>VLOOKUP(Logfile_S[[#This Row],[Material Name]],Sheet2!B:C,2,0)</f>
        <v>ZTE1002</v>
      </c>
      <c r="M319" s="225" t="str">
        <f>_xlfn.XLOOKUP(Logfile_S[[#This Row],[Material Name]],Sum_WH!E:E,Sum_WH!F:F,"",0)</f>
        <v>Pcs</v>
      </c>
      <c r="N319" s="221">
        <v>3</v>
      </c>
      <c r="O319" s="221" t="s">
        <v>828</v>
      </c>
      <c r="P319" s="221" t="s">
        <v>829</v>
      </c>
      <c r="Q319" s="221"/>
      <c r="R319" s="221"/>
      <c r="S319" s="221"/>
      <c r="T319" s="221" t="s">
        <v>3339</v>
      </c>
      <c r="U319" s="221" t="s">
        <v>3228</v>
      </c>
      <c r="V319" s="221" t="s">
        <v>3340</v>
      </c>
      <c r="W319" s="221" t="s">
        <v>3245</v>
      </c>
      <c r="X319" s="221"/>
      <c r="Y319" s="227"/>
      <c r="Z319" s="227" t="str">
        <f>P319</f>
        <v>Perumahan Pondok Mutiara Malang</v>
      </c>
      <c r="AA319" s="276" t="e">
        <f>VLOOKUP(Logfile_S[[#This Row],[DO number]],DO_DB!G:I,3,0)</f>
        <v>#N/A</v>
      </c>
      <c r="AB319" s="331" t="e">
        <f>EXACT(Logfile_S[[#This Row],[date pick]],Logfile_S[[#This Row],[Date]])</f>
        <v>#N/A</v>
      </c>
      <c r="AC3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20" spans="1:29" ht="14.5">
      <c r="A320" s="220" t="str">
        <f>TEXT(ROW(A320)-ROW($A$4),"000")</f>
        <v>316</v>
      </c>
      <c r="B320" s="221"/>
      <c r="C320" s="221" t="s">
        <v>49</v>
      </c>
      <c r="D320" s="221" t="s">
        <v>3884</v>
      </c>
      <c r="E320" s="221" t="s">
        <v>3295</v>
      </c>
      <c r="F320" s="221" t="s">
        <v>3299</v>
      </c>
      <c r="G320" s="222">
        <v>45312</v>
      </c>
      <c r="H320" s="223">
        <v>0.35694444444444445</v>
      </c>
      <c r="I320" s="221" t="s">
        <v>4916</v>
      </c>
      <c r="J320" s="221" t="s">
        <v>3023</v>
      </c>
      <c r="K320" s="224" t="s">
        <v>3069</v>
      </c>
      <c r="L320" s="225" t="str">
        <f>VLOOKUP(Logfile_S[[#This Row],[Material Name]],Sheet2!B:C,2,0)</f>
        <v>ZTE1001</v>
      </c>
      <c r="M320" s="225" t="str">
        <f>_xlfn.XLOOKUP(Logfile_S[[#This Row],[Material Name]],Sum_WH!E:E,Sum_WH!F:F,"",0)</f>
        <v>Pcs</v>
      </c>
      <c r="N320" s="221">
        <v>4</v>
      </c>
      <c r="O320" s="221" t="s">
        <v>828</v>
      </c>
      <c r="P320" s="221" t="s">
        <v>829</v>
      </c>
      <c r="Q320" s="221"/>
      <c r="R320" s="221"/>
      <c r="S320" s="221"/>
      <c r="T320" s="221" t="s">
        <v>3339</v>
      </c>
      <c r="U320" s="221" t="s">
        <v>3228</v>
      </c>
      <c r="V320" s="221" t="s">
        <v>3340</v>
      </c>
      <c r="W320" s="221" t="s">
        <v>3245</v>
      </c>
      <c r="X320" s="221"/>
      <c r="Y320" s="227"/>
      <c r="Z320" s="227" t="str">
        <f>P320</f>
        <v>Perumahan Pondok Mutiara Malang</v>
      </c>
      <c r="AA320" s="276" t="e">
        <f>VLOOKUP(Logfile_S[[#This Row],[DO number]],DO_DB!G:I,3,0)</f>
        <v>#N/A</v>
      </c>
      <c r="AB320" s="331" t="e">
        <f>EXACT(Logfile_S[[#This Row],[date pick]],Logfile_S[[#This Row],[Date]])</f>
        <v>#N/A</v>
      </c>
      <c r="AC3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21" spans="1:29" ht="14.5">
      <c r="A321" s="220" t="str">
        <f>TEXT(ROW(A321)-ROW($A$4),"000")</f>
        <v>317</v>
      </c>
      <c r="B321" s="221"/>
      <c r="C321" s="221" t="s">
        <v>49</v>
      </c>
      <c r="D321" s="221" t="s">
        <v>3886</v>
      </c>
      <c r="E321" s="221" t="s">
        <v>3295</v>
      </c>
      <c r="F321" s="221" t="s">
        <v>3299</v>
      </c>
      <c r="G321" s="222">
        <v>45313</v>
      </c>
      <c r="H321" s="223">
        <v>0.38750000000000001</v>
      </c>
      <c r="I321" s="221" t="s">
        <v>4916</v>
      </c>
      <c r="J321" s="221" t="s">
        <v>3024</v>
      </c>
      <c r="K321" s="224" t="s">
        <v>3087</v>
      </c>
      <c r="L321" s="225" t="str">
        <f>VLOOKUP(Logfile_S[[#This Row],[Material Name]],Sheet2!B:C,2,0)</f>
        <v>GCI1001</v>
      </c>
      <c r="M321" s="225" t="str">
        <f>_xlfn.XLOOKUP(Logfile_S[[#This Row],[Material Name]],Sum_WH!E:E,Sum_WH!F:F,"",0)</f>
        <v>Pcs</v>
      </c>
      <c r="N321" s="221">
        <v>51</v>
      </c>
      <c r="O321" s="221" t="s">
        <v>828</v>
      </c>
      <c r="P321" s="221" t="s">
        <v>829</v>
      </c>
      <c r="Q321" s="221"/>
      <c r="R321" s="221"/>
      <c r="S321" s="221"/>
      <c r="T321" s="221" t="s">
        <v>3339</v>
      </c>
      <c r="U321" s="221" t="s">
        <v>3228</v>
      </c>
      <c r="V321" s="221" t="s">
        <v>3340</v>
      </c>
      <c r="W321" s="221" t="s">
        <v>3245</v>
      </c>
      <c r="X321" s="221"/>
      <c r="Y321" s="227"/>
      <c r="Z321" s="227" t="str">
        <f>P321</f>
        <v>Perumahan Pondok Mutiara Malang</v>
      </c>
      <c r="AA321" s="276" t="e">
        <f>VLOOKUP(Logfile_S[[#This Row],[DO number]],DO_DB!G:I,3,0)</f>
        <v>#N/A</v>
      </c>
      <c r="AB321" s="331" t="e">
        <f>EXACT(Logfile_S[[#This Row],[date pick]],Logfile_S[[#This Row],[Date]])</f>
        <v>#N/A</v>
      </c>
      <c r="AC3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22" spans="1:29" ht="14.5">
      <c r="A322" s="220" t="str">
        <f>TEXT(ROW(A322)-ROW($A$4),"000")</f>
        <v>318</v>
      </c>
      <c r="B322" s="221"/>
      <c r="C322" s="221" t="s">
        <v>49</v>
      </c>
      <c r="D322" s="221" t="s">
        <v>3886</v>
      </c>
      <c r="E322" s="221" t="s">
        <v>3295</v>
      </c>
      <c r="F322" s="221" t="s">
        <v>3299</v>
      </c>
      <c r="G322" s="222">
        <v>45313</v>
      </c>
      <c r="H322" s="223">
        <v>0.38750000000000001</v>
      </c>
      <c r="I322" s="221" t="s">
        <v>4916</v>
      </c>
      <c r="J322" s="221" t="s">
        <v>3024</v>
      </c>
      <c r="K322" s="224" t="s">
        <v>5137</v>
      </c>
      <c r="L322" s="225" t="str">
        <f>VLOOKUP(Logfile_S[[#This Row],[Material Name]],Sheet2!B:C,2,0)</f>
        <v>GCI1009</v>
      </c>
      <c r="M322" s="225" t="str">
        <f>_xlfn.XLOOKUP(Logfile_S[[#This Row],[Material Name]],Sum_WH!E:E,Sum_WH!F:F,"",0)</f>
        <v>Pcs</v>
      </c>
      <c r="N322" s="221">
        <v>200</v>
      </c>
      <c r="O322" s="221" t="s">
        <v>828</v>
      </c>
      <c r="P322" s="221" t="s">
        <v>829</v>
      </c>
      <c r="Q322" s="221"/>
      <c r="R322" s="221"/>
      <c r="S322" s="221"/>
      <c r="T322" s="221" t="s">
        <v>3339</v>
      </c>
      <c r="U322" s="221" t="s">
        <v>3228</v>
      </c>
      <c r="V322" s="221" t="s">
        <v>3340</v>
      </c>
      <c r="W322" s="221" t="s">
        <v>3245</v>
      </c>
      <c r="X322" s="221"/>
      <c r="Y322" s="227"/>
      <c r="Z322" s="227" t="str">
        <f>P322</f>
        <v>Perumahan Pondok Mutiara Malang</v>
      </c>
      <c r="AA322" s="276" t="e">
        <f>VLOOKUP(Logfile_S[[#This Row],[DO number]],DO_DB!G:I,3,0)</f>
        <v>#N/A</v>
      </c>
      <c r="AB322" s="331" t="e">
        <f>EXACT(Logfile_S[[#This Row],[date pick]],Logfile_S[[#This Row],[Date]])</f>
        <v>#N/A</v>
      </c>
      <c r="AC3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23" spans="1:29" ht="14.5">
      <c r="A323" s="220" t="str">
        <f>TEXT(ROW(A323)-ROW($A$4),"000")</f>
        <v>319</v>
      </c>
      <c r="B323" s="221"/>
      <c r="C323" s="221" t="s">
        <v>49</v>
      </c>
      <c r="D323" s="221" t="s">
        <v>3887</v>
      </c>
      <c r="E323" s="221" t="s">
        <v>3295</v>
      </c>
      <c r="F323" s="221" t="s">
        <v>3299</v>
      </c>
      <c r="G323" s="222">
        <v>45313</v>
      </c>
      <c r="H323" s="223">
        <v>0.62291666666666667</v>
      </c>
      <c r="I323" s="221" t="s">
        <v>4916</v>
      </c>
      <c r="J323" s="221" t="s">
        <v>3023</v>
      </c>
      <c r="K323" s="224" t="s">
        <v>13</v>
      </c>
      <c r="L323" s="225" t="str">
        <f>VLOOKUP(Logfile_S[[#This Row],[Material Name]],Sheet2!B:C,2,0)</f>
        <v>ZTE2008</v>
      </c>
      <c r="M323" s="225" t="str">
        <f>_xlfn.XLOOKUP(Logfile_S[[#This Row],[Material Name]],Sum_WH!E:E,Sum_WH!F:F,"",0)</f>
        <v>Pcs</v>
      </c>
      <c r="N323" s="221">
        <v>60</v>
      </c>
      <c r="O323" s="221" t="s">
        <v>828</v>
      </c>
      <c r="P323" s="221" t="s">
        <v>829</v>
      </c>
      <c r="Q323" s="221"/>
      <c r="R323" s="221"/>
      <c r="S323" s="221"/>
      <c r="T323" s="221" t="s">
        <v>3231</v>
      </c>
      <c r="U323" s="221" t="s">
        <v>3228</v>
      </c>
      <c r="V323" s="221" t="s">
        <v>3232</v>
      </c>
      <c r="W323" s="221" t="s">
        <v>3246</v>
      </c>
      <c r="X323" s="221"/>
      <c r="Y323" s="227"/>
      <c r="Z323" s="227" t="str">
        <f>P323</f>
        <v>Perumahan Pondok Mutiara Malang</v>
      </c>
      <c r="AA323" s="276" t="e">
        <f>VLOOKUP(Logfile_S[[#This Row],[DO number]],DO_DB!G:I,3,0)</f>
        <v>#N/A</v>
      </c>
      <c r="AB323" s="331" t="e">
        <f>EXACT(Logfile_S[[#This Row],[date pick]],Logfile_S[[#This Row],[Date]])</f>
        <v>#N/A</v>
      </c>
      <c r="AC3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24" spans="1:29" ht="14.5">
      <c r="A324" s="220" t="str">
        <f>TEXT(ROW(A324)-ROW($A$4),"000")</f>
        <v>320</v>
      </c>
      <c r="B324" s="221"/>
      <c r="C324" s="221" t="s">
        <v>49</v>
      </c>
      <c r="D324" s="221" t="s">
        <v>3887</v>
      </c>
      <c r="E324" s="221" t="s">
        <v>3295</v>
      </c>
      <c r="F324" s="221" t="s">
        <v>3299</v>
      </c>
      <c r="G324" s="222">
        <v>45313</v>
      </c>
      <c r="H324" s="223">
        <v>0.62291666666666667</v>
      </c>
      <c r="I324" s="221" t="s">
        <v>4916</v>
      </c>
      <c r="J324" s="221" t="s">
        <v>3023</v>
      </c>
      <c r="K324" s="224" t="s">
        <v>14</v>
      </c>
      <c r="L324" s="225" t="str">
        <f>VLOOKUP(Logfile_S[[#This Row],[Material Name]],Sheet2!B:C,2,0)</f>
        <v>ZTE2005</v>
      </c>
      <c r="M324" s="225" t="str">
        <f>_xlfn.XLOOKUP(Logfile_S[[#This Row],[Material Name]],Sum_WH!E:E,Sum_WH!F:F,"",0)</f>
        <v>Pcs</v>
      </c>
      <c r="N324" s="221">
        <v>3</v>
      </c>
      <c r="O324" s="221" t="s">
        <v>828</v>
      </c>
      <c r="P324" s="221" t="s">
        <v>829</v>
      </c>
      <c r="Q324" s="221"/>
      <c r="R324" s="221"/>
      <c r="S324" s="221"/>
      <c r="T324" s="221" t="s">
        <v>3231</v>
      </c>
      <c r="U324" s="221" t="s">
        <v>3228</v>
      </c>
      <c r="V324" s="221" t="s">
        <v>3232</v>
      </c>
      <c r="W324" s="221" t="s">
        <v>3246</v>
      </c>
      <c r="X324" s="221"/>
      <c r="Y324" s="227"/>
      <c r="Z324" s="227" t="str">
        <f>P324</f>
        <v>Perumahan Pondok Mutiara Malang</v>
      </c>
      <c r="AA324" s="276" t="e">
        <f>VLOOKUP(Logfile_S[[#This Row],[DO number]],DO_DB!G:I,3,0)</f>
        <v>#N/A</v>
      </c>
      <c r="AB324" s="331" t="e">
        <f>EXACT(Logfile_S[[#This Row],[date pick]],Logfile_S[[#This Row],[Date]])</f>
        <v>#N/A</v>
      </c>
      <c r="AC3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25" spans="1:29" ht="14.5">
      <c r="A325" s="220" t="str">
        <f>TEXT(ROW(A325)-ROW($A$4),"000")</f>
        <v>321</v>
      </c>
      <c r="B325" s="221"/>
      <c r="C325" s="221" t="s">
        <v>49</v>
      </c>
      <c r="D325" s="221" t="s">
        <v>3887</v>
      </c>
      <c r="E325" s="221" t="s">
        <v>3295</v>
      </c>
      <c r="F325" s="221" t="s">
        <v>3299</v>
      </c>
      <c r="G325" s="222">
        <v>45313</v>
      </c>
      <c r="H325" s="223">
        <v>0.62291666666666667</v>
      </c>
      <c r="I325" s="221" t="s">
        <v>4916</v>
      </c>
      <c r="J325" s="221" t="s">
        <v>3023</v>
      </c>
      <c r="K325" s="224" t="s">
        <v>3072</v>
      </c>
      <c r="L325" s="225" t="str">
        <f>VLOOKUP(Logfile_S[[#This Row],[Material Name]],Sheet2!B:C,2,0)</f>
        <v>ZTE1004</v>
      </c>
      <c r="M325" s="225" t="str">
        <f>_xlfn.XLOOKUP(Logfile_S[[#This Row],[Material Name]],Sum_WH!E:E,Sum_WH!F:F,"",0)</f>
        <v>Pcs</v>
      </c>
      <c r="N325" s="221">
        <v>1</v>
      </c>
      <c r="O325" s="221" t="s">
        <v>828</v>
      </c>
      <c r="P325" s="221" t="s">
        <v>829</v>
      </c>
      <c r="Q325" s="221"/>
      <c r="R325" s="221"/>
      <c r="S325" s="221"/>
      <c r="T325" s="221" t="s">
        <v>3231</v>
      </c>
      <c r="U325" s="221" t="s">
        <v>3228</v>
      </c>
      <c r="V325" s="221" t="s">
        <v>3232</v>
      </c>
      <c r="W325" s="221" t="s">
        <v>3246</v>
      </c>
      <c r="X325" s="221"/>
      <c r="Y325" s="227"/>
      <c r="Z325" s="227" t="str">
        <f>P325</f>
        <v>Perumahan Pondok Mutiara Malang</v>
      </c>
      <c r="AA325" s="276" t="e">
        <f>VLOOKUP(Logfile_S[[#This Row],[DO number]],DO_DB!G:I,3,0)</f>
        <v>#N/A</v>
      </c>
      <c r="AB325" s="331" t="e">
        <f>EXACT(Logfile_S[[#This Row],[date pick]],Logfile_S[[#This Row],[Date]])</f>
        <v>#N/A</v>
      </c>
      <c r="AC3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26" spans="1:29" ht="14.5">
      <c r="A326" s="220" t="str">
        <f>TEXT(ROW(A326)-ROW($A$4),"000")</f>
        <v>322</v>
      </c>
      <c r="B326" s="221"/>
      <c r="C326" s="221" t="s">
        <v>49</v>
      </c>
      <c r="D326" s="221" t="s">
        <v>3886</v>
      </c>
      <c r="E326" s="221" t="s">
        <v>3295</v>
      </c>
      <c r="F326" s="221" t="s">
        <v>3299</v>
      </c>
      <c r="G326" s="222">
        <v>45313</v>
      </c>
      <c r="H326" s="223">
        <v>0.38750000000000001</v>
      </c>
      <c r="I326" s="221" t="s">
        <v>4916</v>
      </c>
      <c r="J326" s="221" t="s">
        <v>3024</v>
      </c>
      <c r="K326" s="224" t="s">
        <v>3088</v>
      </c>
      <c r="L326" s="225" t="str">
        <f>VLOOKUP(Logfile_S[[#This Row],[Material Name]],Sheet2!B:C,2,0)</f>
        <v>GCI1002</v>
      </c>
      <c r="M326" s="225" t="str">
        <f>_xlfn.XLOOKUP(Logfile_S[[#This Row],[Material Name]],Sum_WH!E:E,Sum_WH!F:F,"",0)</f>
        <v>Pcs</v>
      </c>
      <c r="N326" s="221">
        <v>5</v>
      </c>
      <c r="O326" s="221" t="s">
        <v>828</v>
      </c>
      <c r="P326" s="221" t="s">
        <v>829</v>
      </c>
      <c r="Q326" s="221"/>
      <c r="R326" s="221"/>
      <c r="S326" s="221"/>
      <c r="T326" s="221" t="s">
        <v>3339</v>
      </c>
      <c r="U326" s="221" t="s">
        <v>3228</v>
      </c>
      <c r="V326" s="221" t="s">
        <v>3340</v>
      </c>
      <c r="W326" s="221" t="s">
        <v>3245</v>
      </c>
      <c r="X326" s="221"/>
      <c r="Y326" s="227"/>
      <c r="Z326" s="227" t="str">
        <f>P326</f>
        <v>Perumahan Pondok Mutiara Malang</v>
      </c>
      <c r="AA326" s="276" t="e">
        <f>VLOOKUP(Logfile_S[[#This Row],[DO number]],DO_DB!G:I,3,0)</f>
        <v>#N/A</v>
      </c>
      <c r="AB326" s="331" t="e">
        <f>EXACT(Logfile_S[[#This Row],[date pick]],Logfile_S[[#This Row],[Date]])</f>
        <v>#N/A</v>
      </c>
      <c r="AC3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27" spans="1:29" ht="14.5">
      <c r="A327" s="220" t="str">
        <f>TEXT(ROW(A327)-ROW($A$4),"000")</f>
        <v>323</v>
      </c>
      <c r="B327" s="221"/>
      <c r="C327" s="221" t="s">
        <v>49</v>
      </c>
      <c r="D327" s="221" t="s">
        <v>3886</v>
      </c>
      <c r="E327" s="221" t="s">
        <v>3295</v>
      </c>
      <c r="F327" s="221" t="s">
        <v>3299</v>
      </c>
      <c r="G327" s="222">
        <v>45313</v>
      </c>
      <c r="H327" s="223">
        <v>0.38750000000000001</v>
      </c>
      <c r="I327" s="221" t="s">
        <v>4916</v>
      </c>
      <c r="J327" s="221" t="s">
        <v>3024</v>
      </c>
      <c r="K327" s="224" t="s">
        <v>3094</v>
      </c>
      <c r="L327" s="225" t="str">
        <f>VLOOKUP(Logfile_S[[#This Row],[Material Name]],Sheet2!B:C,2,0)</f>
        <v>GCI1008</v>
      </c>
      <c r="M327" s="225" t="str">
        <f>_xlfn.XLOOKUP(Logfile_S[[#This Row],[Material Name]],Sum_WH!E:E,Sum_WH!F:F,"",0)</f>
        <v>Pcs</v>
      </c>
      <c r="N327" s="221">
        <v>150</v>
      </c>
      <c r="O327" s="221" t="s">
        <v>828</v>
      </c>
      <c r="P327" s="221" t="s">
        <v>829</v>
      </c>
      <c r="Q327" s="221"/>
      <c r="R327" s="221"/>
      <c r="S327" s="221"/>
      <c r="T327" s="221" t="s">
        <v>3339</v>
      </c>
      <c r="U327" s="221" t="s">
        <v>3228</v>
      </c>
      <c r="V327" s="221" t="s">
        <v>3340</v>
      </c>
      <c r="W327" s="221" t="s">
        <v>3245</v>
      </c>
      <c r="X327" s="221"/>
      <c r="Y327" s="227"/>
      <c r="Z327" s="227" t="str">
        <f>P327</f>
        <v>Perumahan Pondok Mutiara Malang</v>
      </c>
      <c r="AA327" s="276" t="e">
        <f>VLOOKUP(Logfile_S[[#This Row],[DO number]],DO_DB!G:I,3,0)</f>
        <v>#N/A</v>
      </c>
      <c r="AB327" s="331" t="e">
        <f>EXACT(Logfile_S[[#This Row],[date pick]],Logfile_S[[#This Row],[Date]])</f>
        <v>#N/A</v>
      </c>
      <c r="AC3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28" spans="1:29" ht="14.5">
      <c r="A328" s="220" t="str">
        <f>TEXT(ROW(A328)-ROW($A$4),"000")</f>
        <v>324</v>
      </c>
      <c r="B328" s="221"/>
      <c r="C328" s="221" t="s">
        <v>49</v>
      </c>
      <c r="D328" s="221" t="s">
        <v>3886</v>
      </c>
      <c r="E328" s="221" t="s">
        <v>3295</v>
      </c>
      <c r="F328" s="221" t="s">
        <v>3299</v>
      </c>
      <c r="G328" s="222">
        <v>45313</v>
      </c>
      <c r="H328" s="223">
        <v>0.38750000000000001</v>
      </c>
      <c r="I328" s="221" t="s">
        <v>4916</v>
      </c>
      <c r="J328" s="221" t="s">
        <v>3024</v>
      </c>
      <c r="K328" s="224" t="s">
        <v>3089</v>
      </c>
      <c r="L328" s="225" t="str">
        <f>VLOOKUP(Logfile_S[[#This Row],[Material Name]],Sheet2!B:C,2,0)</f>
        <v>GCI1003</v>
      </c>
      <c r="M328" s="225" t="str">
        <f>_xlfn.XLOOKUP(Logfile_S[[#This Row],[Material Name]],Sum_WH!E:E,Sum_WH!F:F,"",0)</f>
        <v>Pcs</v>
      </c>
      <c r="N328" s="221">
        <v>300</v>
      </c>
      <c r="O328" s="221" t="s">
        <v>828</v>
      </c>
      <c r="P328" s="221" t="s">
        <v>829</v>
      </c>
      <c r="Q328" s="221"/>
      <c r="R328" s="221"/>
      <c r="S328" s="221"/>
      <c r="T328" s="221" t="s">
        <v>3339</v>
      </c>
      <c r="U328" s="221" t="s">
        <v>3228</v>
      </c>
      <c r="V328" s="221" t="s">
        <v>3340</v>
      </c>
      <c r="W328" s="221" t="s">
        <v>3245</v>
      </c>
      <c r="X328" s="221"/>
      <c r="Y328" s="227"/>
      <c r="Z328" s="227" t="str">
        <f>P328</f>
        <v>Perumahan Pondok Mutiara Malang</v>
      </c>
      <c r="AA328" s="276" t="e">
        <f>VLOOKUP(Logfile_S[[#This Row],[DO number]],DO_DB!G:I,3,0)</f>
        <v>#N/A</v>
      </c>
      <c r="AB328" s="331" t="e">
        <f>EXACT(Logfile_S[[#This Row],[date pick]],Logfile_S[[#This Row],[Date]])</f>
        <v>#N/A</v>
      </c>
      <c r="AC3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29" spans="1:29" ht="14.5">
      <c r="A329" s="220" t="str">
        <f>TEXT(ROW(A329)-ROW($A$4),"000")</f>
        <v>325</v>
      </c>
      <c r="B329" s="221"/>
      <c r="C329" s="221" t="s">
        <v>49</v>
      </c>
      <c r="D329" s="221" t="s">
        <v>3886</v>
      </c>
      <c r="E329" s="221" t="s">
        <v>3295</v>
      </c>
      <c r="F329" s="221" t="s">
        <v>3299</v>
      </c>
      <c r="G329" s="222">
        <v>45313</v>
      </c>
      <c r="H329" s="223">
        <v>0.38750000000000001</v>
      </c>
      <c r="I329" s="221" t="s">
        <v>4916</v>
      </c>
      <c r="J329" s="221" t="s">
        <v>3024</v>
      </c>
      <c r="K329" s="224" t="s">
        <v>3090</v>
      </c>
      <c r="L329" s="225" t="str">
        <f>VLOOKUP(Logfile_S[[#This Row],[Material Name]],Sheet2!B:C,2,0)</f>
        <v>GCI1004</v>
      </c>
      <c r="M329" s="225" t="str">
        <f>_xlfn.XLOOKUP(Logfile_S[[#This Row],[Material Name]],Sum_WH!E:E,Sum_WH!F:F,"",0)</f>
        <v>Pcs</v>
      </c>
      <c r="N329" s="221">
        <v>100</v>
      </c>
      <c r="O329" s="221" t="s">
        <v>828</v>
      </c>
      <c r="P329" s="221" t="s">
        <v>829</v>
      </c>
      <c r="Q329" s="221"/>
      <c r="R329" s="221"/>
      <c r="S329" s="221"/>
      <c r="T329" s="221" t="s">
        <v>3339</v>
      </c>
      <c r="U329" s="221" t="s">
        <v>3228</v>
      </c>
      <c r="V329" s="221" t="s">
        <v>3340</v>
      </c>
      <c r="W329" s="221" t="s">
        <v>3245</v>
      </c>
      <c r="X329" s="221"/>
      <c r="Y329" s="227"/>
      <c r="Z329" s="227" t="str">
        <f>P329</f>
        <v>Perumahan Pondok Mutiara Malang</v>
      </c>
      <c r="AA329" s="276" t="e">
        <f>VLOOKUP(Logfile_S[[#This Row],[DO number]],DO_DB!G:I,3,0)</f>
        <v>#N/A</v>
      </c>
      <c r="AB329" s="331" t="e">
        <f>EXACT(Logfile_S[[#This Row],[date pick]],Logfile_S[[#This Row],[Date]])</f>
        <v>#N/A</v>
      </c>
      <c r="AC3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30" spans="1:29" ht="14.5">
      <c r="A330" s="220" t="str">
        <f>TEXT(ROW(A330)-ROW($A$4),"000")</f>
        <v>326</v>
      </c>
      <c r="B330" s="221"/>
      <c r="C330" s="221" t="s">
        <v>49</v>
      </c>
      <c r="D330" s="221" t="s">
        <v>3894</v>
      </c>
      <c r="E330" s="221" t="s">
        <v>3295</v>
      </c>
      <c r="F330" s="221" t="s">
        <v>3299</v>
      </c>
      <c r="G330" s="222">
        <v>45314</v>
      </c>
      <c r="H330" s="223">
        <v>0.59652777777777777</v>
      </c>
      <c r="I330" s="221" t="s">
        <v>4916</v>
      </c>
      <c r="J330" s="221" t="s">
        <v>3024</v>
      </c>
      <c r="K330" s="224" t="s">
        <v>3097</v>
      </c>
      <c r="L330" s="225" t="str">
        <f>VLOOKUP(Logfile_S[[#This Row],[Material Name]],Sheet2!B:C,2,0)</f>
        <v>GCI1011</v>
      </c>
      <c r="M330" s="225" t="str">
        <f>_xlfn.XLOOKUP(Logfile_S[[#This Row],[Material Name]],Sum_WH!E:E,Sum_WH!F:F,"",0)</f>
        <v>Pcs</v>
      </c>
      <c r="N330" s="221">
        <v>1</v>
      </c>
      <c r="O330" s="221" t="s">
        <v>828</v>
      </c>
      <c r="P330" s="221" t="s">
        <v>829</v>
      </c>
      <c r="Q330" s="221"/>
      <c r="R330" s="221"/>
      <c r="S330" s="221"/>
      <c r="T330" s="221" t="s">
        <v>3339</v>
      </c>
      <c r="U330" s="221" t="s">
        <v>3228</v>
      </c>
      <c r="V330" s="221" t="s">
        <v>3340</v>
      </c>
      <c r="W330" s="221" t="s">
        <v>3245</v>
      </c>
      <c r="X330" s="221"/>
      <c r="Y330" s="227"/>
      <c r="Z330" s="227" t="str">
        <f>P330</f>
        <v>Perumahan Pondok Mutiara Malang</v>
      </c>
      <c r="AA330" s="276" t="e">
        <f>VLOOKUP(Logfile_S[[#This Row],[DO number]],DO_DB!G:I,3,0)</f>
        <v>#N/A</v>
      </c>
      <c r="AB330" s="331" t="e">
        <f>EXACT(Logfile_S[[#This Row],[date pick]],Logfile_S[[#This Row],[Date]])</f>
        <v>#N/A</v>
      </c>
      <c r="AC3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31" spans="1:29" ht="14.5">
      <c r="A331" s="220" t="str">
        <f>TEXT(ROW(A331)-ROW($A$4),"000")</f>
        <v>327</v>
      </c>
      <c r="B331" s="221"/>
      <c r="C331" s="221" t="s">
        <v>49</v>
      </c>
      <c r="D331" s="221" t="s">
        <v>3894</v>
      </c>
      <c r="E331" s="221" t="s">
        <v>3295</v>
      </c>
      <c r="F331" s="221" t="s">
        <v>3299</v>
      </c>
      <c r="G331" s="222">
        <v>45314</v>
      </c>
      <c r="H331" s="223">
        <v>0.59652777777777777</v>
      </c>
      <c r="I331" s="221" t="s">
        <v>4916</v>
      </c>
      <c r="J331" s="221" t="s">
        <v>3024</v>
      </c>
      <c r="K331" s="224" t="s">
        <v>3091</v>
      </c>
      <c r="L331" s="225" t="str">
        <f>VLOOKUP(Logfile_S[[#This Row],[Material Name]],Sheet2!B:C,2,0)</f>
        <v>GCI1005</v>
      </c>
      <c r="M331" s="225" t="str">
        <f>_xlfn.XLOOKUP(Logfile_S[[#This Row],[Material Name]],Sum_WH!E:E,Sum_WH!F:F,"",0)</f>
        <v>Pcs</v>
      </c>
      <c r="N331" s="221">
        <v>160</v>
      </c>
      <c r="O331" s="221" t="s">
        <v>828</v>
      </c>
      <c r="P331" s="221" t="s">
        <v>829</v>
      </c>
      <c r="Q331" s="221"/>
      <c r="R331" s="221"/>
      <c r="S331" s="221"/>
      <c r="T331" s="221" t="s">
        <v>3339</v>
      </c>
      <c r="U331" s="221" t="s">
        <v>3228</v>
      </c>
      <c r="V331" s="221" t="s">
        <v>3340</v>
      </c>
      <c r="W331" s="221" t="s">
        <v>3245</v>
      </c>
      <c r="X331" s="221"/>
      <c r="Y331" s="227"/>
      <c r="Z331" s="227" t="str">
        <f>P331</f>
        <v>Perumahan Pondok Mutiara Malang</v>
      </c>
      <c r="AA331" s="276" t="e">
        <f>VLOOKUP(Logfile_S[[#This Row],[DO number]],DO_DB!G:I,3,0)</f>
        <v>#N/A</v>
      </c>
      <c r="AB331" s="331" t="e">
        <f>EXACT(Logfile_S[[#This Row],[date pick]],Logfile_S[[#This Row],[Date]])</f>
        <v>#N/A</v>
      </c>
      <c r="AC3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32" spans="1:29" ht="14.5">
      <c r="A332" s="220" t="str">
        <f>TEXT(ROW(A332)-ROW($A$4),"000")</f>
        <v>328</v>
      </c>
      <c r="B332" s="221"/>
      <c r="C332" s="221" t="s">
        <v>49</v>
      </c>
      <c r="D332" s="221" t="s">
        <v>3894</v>
      </c>
      <c r="E332" s="221" t="s">
        <v>3295</v>
      </c>
      <c r="F332" s="221" t="s">
        <v>3299</v>
      </c>
      <c r="G332" s="222">
        <v>45314</v>
      </c>
      <c r="H332" s="223">
        <v>0.59652777777777777</v>
      </c>
      <c r="I332" s="221" t="s">
        <v>4916</v>
      </c>
      <c r="J332" s="221" t="s">
        <v>3024</v>
      </c>
      <c r="K332" s="224" t="s">
        <v>3087</v>
      </c>
      <c r="L332" s="225" t="str">
        <f>VLOOKUP(Logfile_S[[#This Row],[Material Name]],Sheet2!B:C,2,0)</f>
        <v>GCI1001</v>
      </c>
      <c r="M332" s="225" t="str">
        <f>_xlfn.XLOOKUP(Logfile_S[[#This Row],[Material Name]],Sum_WH!E:E,Sum_WH!F:F,"",0)</f>
        <v>Pcs</v>
      </c>
      <c r="N332" s="221">
        <v>32</v>
      </c>
      <c r="O332" s="221" t="s">
        <v>828</v>
      </c>
      <c r="P332" s="221" t="s">
        <v>829</v>
      </c>
      <c r="Q332" s="221"/>
      <c r="R332" s="221"/>
      <c r="S332" s="221"/>
      <c r="T332" s="221" t="s">
        <v>3339</v>
      </c>
      <c r="U332" s="221" t="s">
        <v>3228</v>
      </c>
      <c r="V332" s="221" t="s">
        <v>3340</v>
      </c>
      <c r="W332" s="221" t="s">
        <v>3245</v>
      </c>
      <c r="X332" s="221"/>
      <c r="Y332" s="227"/>
      <c r="Z332" s="227" t="str">
        <f>P332</f>
        <v>Perumahan Pondok Mutiara Malang</v>
      </c>
      <c r="AA332" s="276" t="e">
        <f>VLOOKUP(Logfile_S[[#This Row],[DO number]],DO_DB!G:I,3,0)</f>
        <v>#N/A</v>
      </c>
      <c r="AB332" s="331" t="e">
        <f>EXACT(Logfile_S[[#This Row],[date pick]],Logfile_S[[#This Row],[Date]])</f>
        <v>#N/A</v>
      </c>
      <c r="AC3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33" spans="1:29" ht="14.5">
      <c r="A333" s="220" t="str">
        <f>TEXT(ROW(A333)-ROW($A$4),"000")</f>
        <v>329</v>
      </c>
      <c r="B333" s="221"/>
      <c r="C333" s="221" t="s">
        <v>49</v>
      </c>
      <c r="D333" s="221" t="s">
        <v>3894</v>
      </c>
      <c r="E333" s="221" t="s">
        <v>3295</v>
      </c>
      <c r="F333" s="221" t="s">
        <v>3299</v>
      </c>
      <c r="G333" s="222">
        <v>45314</v>
      </c>
      <c r="H333" s="223">
        <v>0.59652777777777777</v>
      </c>
      <c r="I333" s="221" t="s">
        <v>4916</v>
      </c>
      <c r="J333" s="221" t="s">
        <v>3024</v>
      </c>
      <c r="K333" s="224" t="s">
        <v>5137</v>
      </c>
      <c r="L333" s="225" t="str">
        <f>VLOOKUP(Logfile_S[[#This Row],[Material Name]],Sheet2!B:C,2,0)</f>
        <v>GCI1009</v>
      </c>
      <c r="M333" s="225" t="str">
        <f>_xlfn.XLOOKUP(Logfile_S[[#This Row],[Material Name]],Sum_WH!E:E,Sum_WH!F:F,"",0)</f>
        <v>Pcs</v>
      </c>
      <c r="N333" s="221">
        <v>50</v>
      </c>
      <c r="O333" s="221" t="s">
        <v>828</v>
      </c>
      <c r="P333" s="221" t="s">
        <v>829</v>
      </c>
      <c r="Q333" s="221"/>
      <c r="R333" s="221"/>
      <c r="S333" s="221"/>
      <c r="T333" s="221" t="s">
        <v>3339</v>
      </c>
      <c r="U333" s="221" t="s">
        <v>3228</v>
      </c>
      <c r="V333" s="221" t="s">
        <v>3340</v>
      </c>
      <c r="W333" s="221" t="s">
        <v>3245</v>
      </c>
      <c r="X333" s="221"/>
      <c r="Y333" s="227"/>
      <c r="Z333" s="227" t="str">
        <f>P333</f>
        <v>Perumahan Pondok Mutiara Malang</v>
      </c>
      <c r="AA333" s="276" t="e">
        <f>VLOOKUP(Logfile_S[[#This Row],[DO number]],DO_DB!G:I,3,0)</f>
        <v>#N/A</v>
      </c>
      <c r="AB333" s="331" t="e">
        <f>EXACT(Logfile_S[[#This Row],[date pick]],Logfile_S[[#This Row],[Date]])</f>
        <v>#N/A</v>
      </c>
      <c r="AC3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34" spans="1:29" ht="14.5">
      <c r="A334" s="220" t="str">
        <f>TEXT(ROW(A334)-ROW($A$4),"000")</f>
        <v>330</v>
      </c>
      <c r="B334" s="221"/>
      <c r="C334" s="221" t="s">
        <v>49</v>
      </c>
      <c r="D334" s="221" t="s">
        <v>3894</v>
      </c>
      <c r="E334" s="221" t="s">
        <v>3295</v>
      </c>
      <c r="F334" s="221" t="s">
        <v>3299</v>
      </c>
      <c r="G334" s="222">
        <v>45314</v>
      </c>
      <c r="H334" s="223">
        <v>0.59652777777777777</v>
      </c>
      <c r="I334" s="221" t="s">
        <v>4916</v>
      </c>
      <c r="J334" s="221" t="s">
        <v>3024</v>
      </c>
      <c r="K334" s="224" t="s">
        <v>3094</v>
      </c>
      <c r="L334" s="225" t="str">
        <f>VLOOKUP(Logfile_S[[#This Row],[Material Name]],Sheet2!B:C,2,0)</f>
        <v>GCI1008</v>
      </c>
      <c r="M334" s="225" t="str">
        <f>_xlfn.XLOOKUP(Logfile_S[[#This Row],[Material Name]],Sum_WH!E:E,Sum_WH!F:F,"",0)</f>
        <v>Pcs</v>
      </c>
      <c r="N334" s="221">
        <v>50</v>
      </c>
      <c r="O334" s="221" t="s">
        <v>828</v>
      </c>
      <c r="P334" s="221" t="s">
        <v>829</v>
      </c>
      <c r="Q334" s="221"/>
      <c r="R334" s="221"/>
      <c r="S334" s="221"/>
      <c r="T334" s="221" t="s">
        <v>3339</v>
      </c>
      <c r="U334" s="221" t="s">
        <v>3228</v>
      </c>
      <c r="V334" s="221" t="s">
        <v>3340</v>
      </c>
      <c r="W334" s="221" t="s">
        <v>3245</v>
      </c>
      <c r="X334" s="221"/>
      <c r="Y334" s="227"/>
      <c r="Z334" s="227" t="str">
        <f>P334</f>
        <v>Perumahan Pondok Mutiara Malang</v>
      </c>
      <c r="AA334" s="276" t="e">
        <f>VLOOKUP(Logfile_S[[#This Row],[DO number]],DO_DB!G:I,3,0)</f>
        <v>#N/A</v>
      </c>
      <c r="AB334" s="331" t="e">
        <f>EXACT(Logfile_S[[#This Row],[date pick]],Logfile_S[[#This Row],[Date]])</f>
        <v>#N/A</v>
      </c>
      <c r="AC3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35" spans="1:29" ht="14.5">
      <c r="A335" s="220" t="str">
        <f>TEXT(ROW(A335)-ROW($A$4),"000")</f>
        <v>331</v>
      </c>
      <c r="B335" s="221"/>
      <c r="C335" s="221" t="s">
        <v>49</v>
      </c>
      <c r="D335" s="221" t="s">
        <v>3898</v>
      </c>
      <c r="E335" s="221" t="s">
        <v>3295</v>
      </c>
      <c r="F335" s="221" t="s">
        <v>3299</v>
      </c>
      <c r="G335" s="222">
        <v>45316</v>
      </c>
      <c r="H335" s="223">
        <v>0.47569444444444442</v>
      </c>
      <c r="I335" s="221" t="s">
        <v>4916</v>
      </c>
      <c r="J335" s="221" t="s">
        <v>3023</v>
      </c>
      <c r="K335" s="224" t="s">
        <v>13</v>
      </c>
      <c r="L335" s="225" t="str">
        <f>VLOOKUP(Logfile_S[[#This Row],[Material Name]],Sheet2!B:C,2,0)</f>
        <v>ZTE2008</v>
      </c>
      <c r="M335" s="225" t="str">
        <f>_xlfn.XLOOKUP(Logfile_S[[#This Row],[Material Name]],Sum_WH!E:E,Sum_WH!F:F,"",0)</f>
        <v>Pcs</v>
      </c>
      <c r="N335" s="221">
        <v>5</v>
      </c>
      <c r="O335" s="221" t="s">
        <v>828</v>
      </c>
      <c r="P335" s="221" t="s">
        <v>829</v>
      </c>
      <c r="Q335" s="221"/>
      <c r="R335" s="221"/>
      <c r="S335" s="221"/>
      <c r="T335" s="221" t="s">
        <v>3231</v>
      </c>
      <c r="U335" s="221" t="s">
        <v>3228</v>
      </c>
      <c r="V335" s="221" t="s">
        <v>3232</v>
      </c>
      <c r="W335" s="221" t="s">
        <v>3246</v>
      </c>
      <c r="X335" s="221"/>
      <c r="Y335" s="227"/>
      <c r="Z335" s="227" t="str">
        <f>P335</f>
        <v>Perumahan Pondok Mutiara Malang</v>
      </c>
      <c r="AA335" s="276" t="e">
        <f>VLOOKUP(Logfile_S[[#This Row],[DO number]],DO_DB!G:I,3,0)</f>
        <v>#N/A</v>
      </c>
      <c r="AB335" s="331" t="e">
        <f>EXACT(Logfile_S[[#This Row],[date pick]],Logfile_S[[#This Row],[Date]])</f>
        <v>#N/A</v>
      </c>
      <c r="AC3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36" spans="1:29" ht="14.5">
      <c r="A336" s="220" t="str">
        <f>TEXT(ROW(A336)-ROW($A$4),"000")</f>
        <v>332</v>
      </c>
      <c r="B336" s="221"/>
      <c r="C336" s="221" t="s">
        <v>49</v>
      </c>
      <c r="D336" s="221" t="s">
        <v>3899</v>
      </c>
      <c r="E336" s="221" t="s">
        <v>3295</v>
      </c>
      <c r="F336" s="221" t="s">
        <v>3299</v>
      </c>
      <c r="G336" s="222">
        <v>45316</v>
      </c>
      <c r="H336" s="223">
        <v>0.59652777777777777</v>
      </c>
      <c r="I336" s="221" t="s">
        <v>4916</v>
      </c>
      <c r="J336" s="221" t="s">
        <v>3023</v>
      </c>
      <c r="K336" s="224" t="s">
        <v>3069</v>
      </c>
      <c r="L336" s="225" t="str">
        <f>VLOOKUP(Logfile_S[[#This Row],[Material Name]],Sheet2!B:C,2,0)</f>
        <v>ZTE1001</v>
      </c>
      <c r="M336" s="225" t="str">
        <f>_xlfn.XLOOKUP(Logfile_S[[#This Row],[Material Name]],Sum_WH!E:E,Sum_WH!F:F,"",0)</f>
        <v>Pcs</v>
      </c>
      <c r="N336" s="221">
        <v>1</v>
      </c>
      <c r="O336" s="221" t="s">
        <v>828</v>
      </c>
      <c r="P336" s="221" t="s">
        <v>829</v>
      </c>
      <c r="Q336" s="221"/>
      <c r="R336" s="221"/>
      <c r="S336" s="221"/>
      <c r="T336" s="221" t="s">
        <v>3339</v>
      </c>
      <c r="U336" s="221" t="s">
        <v>3228</v>
      </c>
      <c r="V336" s="221" t="s">
        <v>3340</v>
      </c>
      <c r="W336" s="221" t="s">
        <v>3245</v>
      </c>
      <c r="X336" s="221"/>
      <c r="Y336" s="227"/>
      <c r="Z336" s="227" t="str">
        <f>P336</f>
        <v>Perumahan Pondok Mutiara Malang</v>
      </c>
      <c r="AA336" s="276" t="e">
        <f>VLOOKUP(Logfile_S[[#This Row],[DO number]],DO_DB!G:I,3,0)</f>
        <v>#N/A</v>
      </c>
      <c r="AB336" s="331" t="e">
        <f>EXACT(Logfile_S[[#This Row],[date pick]],Logfile_S[[#This Row],[Date]])</f>
        <v>#N/A</v>
      </c>
      <c r="AC3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37" spans="1:29" ht="14.5">
      <c r="A337" s="220" t="str">
        <f>TEXT(ROW(A337)-ROW($A$4),"000")</f>
        <v>333</v>
      </c>
      <c r="B337" s="221"/>
      <c r="C337" s="221" t="s">
        <v>49</v>
      </c>
      <c r="D337" s="221" t="s">
        <v>3902</v>
      </c>
      <c r="E337" s="221" t="s">
        <v>3295</v>
      </c>
      <c r="F337" s="221" t="s">
        <v>3299</v>
      </c>
      <c r="G337" s="222">
        <v>45317</v>
      </c>
      <c r="H337" s="223">
        <v>0.35416666666666669</v>
      </c>
      <c r="I337" s="221" t="s">
        <v>4916</v>
      </c>
      <c r="J337" s="221" t="s">
        <v>3023</v>
      </c>
      <c r="K337" s="224" t="s">
        <v>3069</v>
      </c>
      <c r="L337" s="225" t="str">
        <f>VLOOKUP(Logfile_S[[#This Row],[Material Name]],Sheet2!B:C,2,0)</f>
        <v>ZTE1001</v>
      </c>
      <c r="M337" s="225" t="str">
        <f>_xlfn.XLOOKUP(Logfile_S[[#This Row],[Material Name]],Sum_WH!E:E,Sum_WH!F:F,"",0)</f>
        <v>Pcs</v>
      </c>
      <c r="N337" s="221">
        <v>1</v>
      </c>
      <c r="O337" s="221" t="s">
        <v>828</v>
      </c>
      <c r="P337" s="221" t="s">
        <v>829</v>
      </c>
      <c r="Q337" s="221"/>
      <c r="R337" s="221"/>
      <c r="S337" s="221"/>
      <c r="T337" s="221" t="s">
        <v>3339</v>
      </c>
      <c r="U337" s="221" t="s">
        <v>3228</v>
      </c>
      <c r="V337" s="221" t="s">
        <v>3340</v>
      </c>
      <c r="W337" s="221" t="s">
        <v>3245</v>
      </c>
      <c r="X337" s="221"/>
      <c r="Y337" s="227"/>
      <c r="Z337" s="227" t="str">
        <f>P337</f>
        <v>Perumahan Pondok Mutiara Malang</v>
      </c>
      <c r="AA337" s="276" t="e">
        <f>VLOOKUP(Logfile_S[[#This Row],[DO number]],DO_DB!G:I,3,0)</f>
        <v>#N/A</v>
      </c>
      <c r="AB337" s="331" t="e">
        <f>EXACT(Logfile_S[[#This Row],[date pick]],Logfile_S[[#This Row],[Date]])</f>
        <v>#N/A</v>
      </c>
      <c r="AC3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38" spans="1:29" ht="14.5">
      <c r="A338" s="220" t="str">
        <f>TEXT(ROW(A338)-ROW($A$4),"000")</f>
        <v>334</v>
      </c>
      <c r="B338" s="221"/>
      <c r="C338" s="221" t="s">
        <v>48</v>
      </c>
      <c r="D338" s="221" t="s">
        <v>3906</v>
      </c>
      <c r="E338" s="221" t="s">
        <v>3295</v>
      </c>
      <c r="F338" s="221" t="s">
        <v>3299</v>
      </c>
      <c r="G338" s="222">
        <v>45318</v>
      </c>
      <c r="H338" s="223">
        <v>15.291666666666666</v>
      </c>
      <c r="I338" s="221" t="s">
        <v>3017</v>
      </c>
      <c r="J338" s="221" t="s">
        <v>3024</v>
      </c>
      <c r="K338" s="224" t="s">
        <v>3091</v>
      </c>
      <c r="L338" s="225" t="str">
        <f>VLOOKUP(Logfile_S[[#This Row],[Material Name]],Sheet2!B:C,2,0)</f>
        <v>GCI1005</v>
      </c>
      <c r="M338" s="225" t="str">
        <f>_xlfn.XLOOKUP(Logfile_S[[#This Row],[Material Name]],Sum_WH!E:E,Sum_WH!F:F,"",0)</f>
        <v>Pcs</v>
      </c>
      <c r="N338" s="221">
        <v>30</v>
      </c>
      <c r="O338" s="221" t="s">
        <v>828</v>
      </c>
      <c r="P338" s="221" t="s">
        <v>829</v>
      </c>
      <c r="Q338" s="221" t="s">
        <v>3359</v>
      </c>
      <c r="R338" s="221">
        <v>0</v>
      </c>
      <c r="S338" s="221"/>
      <c r="T338" s="221"/>
      <c r="U338" s="221"/>
      <c r="V338" s="221"/>
      <c r="W338" s="221"/>
      <c r="X338" s="221"/>
      <c r="Y338" s="227"/>
      <c r="Z338" s="227" t="str">
        <f>P338</f>
        <v>Perumahan Pondok Mutiara Malang</v>
      </c>
      <c r="AA338" s="276" t="e">
        <f>VLOOKUP(Logfile_S[[#This Row],[DO number]],DO_DB!G:I,3,0)</f>
        <v>#N/A</v>
      </c>
      <c r="AB338" s="331" t="e">
        <f>EXACT(Logfile_S[[#This Row],[date pick]],Logfile_S[[#This Row],[Date]])</f>
        <v>#N/A</v>
      </c>
      <c r="AC3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39" spans="1:29" ht="14.5">
      <c r="A339" s="220" t="str">
        <f>TEXT(ROW(A339)-ROW($A$4),"000")</f>
        <v>335</v>
      </c>
      <c r="B339" s="221"/>
      <c r="C339" s="221" t="s">
        <v>48</v>
      </c>
      <c r="D339" s="221" t="s">
        <v>3906</v>
      </c>
      <c r="E339" s="221" t="s">
        <v>3295</v>
      </c>
      <c r="F339" s="221" t="s">
        <v>3299</v>
      </c>
      <c r="G339" s="222">
        <v>45318</v>
      </c>
      <c r="H339" s="223">
        <v>15.291666666666666</v>
      </c>
      <c r="I339" s="221" t="s">
        <v>3017</v>
      </c>
      <c r="J339" s="221" t="s">
        <v>3024</v>
      </c>
      <c r="K339" s="224" t="s">
        <v>3087</v>
      </c>
      <c r="L339" s="225" t="str">
        <f>VLOOKUP(Logfile_S[[#This Row],[Material Name]],Sheet2!B:C,2,0)</f>
        <v>GCI1001</v>
      </c>
      <c r="M339" s="225" t="str">
        <f>_xlfn.XLOOKUP(Logfile_S[[#This Row],[Material Name]],Sum_WH!E:E,Sum_WH!F:F,"",0)</f>
        <v>Pcs</v>
      </c>
      <c r="N339" s="221">
        <v>12</v>
      </c>
      <c r="O339" s="221" t="s">
        <v>828</v>
      </c>
      <c r="P339" s="221" t="s">
        <v>829</v>
      </c>
      <c r="Q339" s="221" t="s">
        <v>3359</v>
      </c>
      <c r="R339" s="221">
        <v>0</v>
      </c>
      <c r="S339" s="221"/>
      <c r="T339" s="221"/>
      <c r="U339" s="221"/>
      <c r="V339" s="221"/>
      <c r="W339" s="221"/>
      <c r="X339" s="221"/>
      <c r="Y339" s="227"/>
      <c r="Z339" s="227" t="str">
        <f>P339</f>
        <v>Perumahan Pondok Mutiara Malang</v>
      </c>
      <c r="AA339" s="276" t="e">
        <f>VLOOKUP(Logfile_S[[#This Row],[DO number]],DO_DB!G:I,3,0)</f>
        <v>#N/A</v>
      </c>
      <c r="AB339" s="331" t="e">
        <f>EXACT(Logfile_S[[#This Row],[date pick]],Logfile_S[[#This Row],[Date]])</f>
        <v>#N/A</v>
      </c>
      <c r="AC3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40" spans="1:29" ht="14.5">
      <c r="A340" s="220" t="str">
        <f>TEXT(ROW(A340)-ROW($A$4),"000")</f>
        <v>336</v>
      </c>
      <c r="B340" s="221"/>
      <c r="C340" s="221" t="s">
        <v>48</v>
      </c>
      <c r="D340" s="221" t="s">
        <v>3906</v>
      </c>
      <c r="E340" s="221" t="s">
        <v>3295</v>
      </c>
      <c r="F340" s="221" t="s">
        <v>3299</v>
      </c>
      <c r="G340" s="222">
        <v>45318</v>
      </c>
      <c r="H340" s="223">
        <v>15.291666666666666</v>
      </c>
      <c r="I340" s="221" t="s">
        <v>3017</v>
      </c>
      <c r="J340" s="221" t="s">
        <v>3024</v>
      </c>
      <c r="K340" s="224" t="s">
        <v>5137</v>
      </c>
      <c r="L340" s="225" t="str">
        <f>VLOOKUP(Logfile_S[[#This Row],[Material Name]],Sheet2!B:C,2,0)</f>
        <v>GCI1009</v>
      </c>
      <c r="M340" s="225" t="str">
        <f>_xlfn.XLOOKUP(Logfile_S[[#This Row],[Material Name]],Sum_WH!E:E,Sum_WH!F:F,"",0)</f>
        <v>Pcs</v>
      </c>
      <c r="N340" s="221">
        <v>22</v>
      </c>
      <c r="O340" s="221" t="s">
        <v>828</v>
      </c>
      <c r="P340" s="221" t="s">
        <v>829</v>
      </c>
      <c r="Q340" s="221" t="s">
        <v>3359</v>
      </c>
      <c r="R340" s="221">
        <v>0</v>
      </c>
      <c r="S340" s="221"/>
      <c r="T340" s="221"/>
      <c r="U340" s="221"/>
      <c r="V340" s="221"/>
      <c r="W340" s="221"/>
      <c r="X340" s="221"/>
      <c r="Y340" s="227"/>
      <c r="Z340" s="227" t="str">
        <f>P340</f>
        <v>Perumahan Pondok Mutiara Malang</v>
      </c>
      <c r="AA340" s="276" t="e">
        <f>VLOOKUP(Logfile_S[[#This Row],[DO number]],DO_DB!G:I,3,0)</f>
        <v>#N/A</v>
      </c>
      <c r="AB340" s="331" t="e">
        <f>EXACT(Logfile_S[[#This Row],[date pick]],Logfile_S[[#This Row],[Date]])</f>
        <v>#N/A</v>
      </c>
      <c r="AC3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41" spans="1:29" ht="14.5">
      <c r="A341" s="220" t="str">
        <f>TEXT(ROW(A341)-ROW($A$4),"000")</f>
        <v>337</v>
      </c>
      <c r="B341" s="221"/>
      <c r="C341" s="221" t="s">
        <v>48</v>
      </c>
      <c r="D341" s="221" t="s">
        <v>3906</v>
      </c>
      <c r="E341" s="221" t="s">
        <v>3295</v>
      </c>
      <c r="F341" s="221" t="s">
        <v>3299</v>
      </c>
      <c r="G341" s="222">
        <v>45318</v>
      </c>
      <c r="H341" s="223">
        <v>15.291666666666666</v>
      </c>
      <c r="I341" s="221" t="s">
        <v>3017</v>
      </c>
      <c r="J341" s="221" t="s">
        <v>3024</v>
      </c>
      <c r="K341" s="224" t="s">
        <v>3088</v>
      </c>
      <c r="L341" s="225" t="str">
        <f>VLOOKUP(Logfile_S[[#This Row],[Material Name]],Sheet2!B:C,2,0)</f>
        <v>GCI1002</v>
      </c>
      <c r="M341" s="225" t="str">
        <f>_xlfn.XLOOKUP(Logfile_S[[#This Row],[Material Name]],Sum_WH!E:E,Sum_WH!F:F,"",0)</f>
        <v>Pcs</v>
      </c>
      <c r="N341" s="221">
        <v>2</v>
      </c>
      <c r="O341" s="221" t="s">
        <v>828</v>
      </c>
      <c r="P341" s="221" t="s">
        <v>829</v>
      </c>
      <c r="Q341" s="221" t="s">
        <v>3359</v>
      </c>
      <c r="R341" s="221">
        <v>0</v>
      </c>
      <c r="S341" s="221"/>
      <c r="T341" s="221"/>
      <c r="U341" s="221"/>
      <c r="V341" s="221"/>
      <c r="W341" s="221"/>
      <c r="X341" s="221"/>
      <c r="Y341" s="227"/>
      <c r="Z341" s="227" t="str">
        <f>P341</f>
        <v>Perumahan Pondok Mutiara Malang</v>
      </c>
      <c r="AA341" s="276" t="e">
        <f>VLOOKUP(Logfile_S[[#This Row],[DO number]],DO_DB!G:I,3,0)</f>
        <v>#N/A</v>
      </c>
      <c r="AB341" s="331" t="e">
        <f>EXACT(Logfile_S[[#This Row],[date pick]],Logfile_S[[#This Row],[Date]])</f>
        <v>#N/A</v>
      </c>
      <c r="AC3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42" spans="1:29" ht="14.5">
      <c r="A342" s="220" t="str">
        <f>TEXT(ROW(A342)-ROW($A$4),"000")</f>
        <v>338</v>
      </c>
      <c r="B342" s="221"/>
      <c r="C342" s="221" t="s">
        <v>48</v>
      </c>
      <c r="D342" s="221" t="s">
        <v>3906</v>
      </c>
      <c r="E342" s="221" t="s">
        <v>3295</v>
      </c>
      <c r="F342" s="221" t="s">
        <v>3299</v>
      </c>
      <c r="G342" s="222">
        <v>45318</v>
      </c>
      <c r="H342" s="223">
        <v>15.291666666666666</v>
      </c>
      <c r="I342" s="221" t="s">
        <v>3017</v>
      </c>
      <c r="J342" s="221" t="s">
        <v>3024</v>
      </c>
      <c r="K342" s="224" t="s">
        <v>3094</v>
      </c>
      <c r="L342" s="225" t="str">
        <f>VLOOKUP(Logfile_S[[#This Row],[Material Name]],Sheet2!B:C,2,0)</f>
        <v>GCI1008</v>
      </c>
      <c r="M342" s="225" t="str">
        <f>_xlfn.XLOOKUP(Logfile_S[[#This Row],[Material Name]],Sum_WH!E:E,Sum_WH!F:F,"",0)</f>
        <v>Pcs</v>
      </c>
      <c r="N342" s="221">
        <v>21</v>
      </c>
      <c r="O342" s="221" t="s">
        <v>828</v>
      </c>
      <c r="P342" s="221" t="s">
        <v>829</v>
      </c>
      <c r="Q342" s="221" t="s">
        <v>3359</v>
      </c>
      <c r="R342" s="221">
        <v>0</v>
      </c>
      <c r="S342" s="221"/>
      <c r="T342" s="221"/>
      <c r="U342" s="221"/>
      <c r="V342" s="221"/>
      <c r="W342" s="221"/>
      <c r="X342" s="221"/>
      <c r="Y342" s="227"/>
      <c r="Z342" s="227" t="str">
        <f>P342</f>
        <v>Perumahan Pondok Mutiara Malang</v>
      </c>
      <c r="AA342" s="276" t="e">
        <f>VLOOKUP(Logfile_S[[#This Row],[DO number]],DO_DB!G:I,3,0)</f>
        <v>#N/A</v>
      </c>
      <c r="AB342" s="331" t="e">
        <f>EXACT(Logfile_S[[#This Row],[date pick]],Logfile_S[[#This Row],[Date]])</f>
        <v>#N/A</v>
      </c>
      <c r="AC3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43" spans="1:29" ht="14.5">
      <c r="A343" s="220" t="str">
        <f>TEXT(ROW(A343)-ROW($A$4),"000")</f>
        <v>339</v>
      </c>
      <c r="B343" s="221"/>
      <c r="C343" s="221" t="s">
        <v>48</v>
      </c>
      <c r="D343" s="221" t="s">
        <v>3906</v>
      </c>
      <c r="E343" s="221" t="s">
        <v>3295</v>
      </c>
      <c r="F343" s="221" t="s">
        <v>3299</v>
      </c>
      <c r="G343" s="222">
        <v>45318</v>
      </c>
      <c r="H343" s="223">
        <v>15.291666666666666</v>
      </c>
      <c r="I343" s="221" t="s">
        <v>3017</v>
      </c>
      <c r="J343" s="221" t="s">
        <v>3024</v>
      </c>
      <c r="K343" s="224" t="s">
        <v>3089</v>
      </c>
      <c r="L343" s="225" t="str">
        <f>VLOOKUP(Logfile_S[[#This Row],[Material Name]],Sheet2!B:C,2,0)</f>
        <v>GCI1003</v>
      </c>
      <c r="M343" s="225" t="str">
        <f>_xlfn.XLOOKUP(Logfile_S[[#This Row],[Material Name]],Sum_WH!E:E,Sum_WH!F:F,"",0)</f>
        <v>Pcs</v>
      </c>
      <c r="N343" s="221">
        <v>32</v>
      </c>
      <c r="O343" s="221" t="s">
        <v>828</v>
      </c>
      <c r="P343" s="221" t="s">
        <v>829</v>
      </c>
      <c r="Q343" s="221" t="s">
        <v>3359</v>
      </c>
      <c r="R343" s="221">
        <v>0</v>
      </c>
      <c r="S343" s="221"/>
      <c r="T343" s="221"/>
      <c r="U343" s="221"/>
      <c r="V343" s="221"/>
      <c r="W343" s="221"/>
      <c r="X343" s="221"/>
      <c r="Y343" s="227"/>
      <c r="Z343" s="227" t="str">
        <f>P343</f>
        <v>Perumahan Pondok Mutiara Malang</v>
      </c>
      <c r="AA343" s="276" t="e">
        <f>VLOOKUP(Logfile_S[[#This Row],[DO number]],DO_DB!G:I,3,0)</f>
        <v>#N/A</v>
      </c>
      <c r="AB343" s="331" t="e">
        <f>EXACT(Logfile_S[[#This Row],[date pick]],Logfile_S[[#This Row],[Date]])</f>
        <v>#N/A</v>
      </c>
      <c r="AC3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44" spans="1:29" ht="14.5">
      <c r="A344" s="220" t="str">
        <f>TEXT(ROW(A344)-ROW($A$4),"000")</f>
        <v>340</v>
      </c>
      <c r="B344" s="221"/>
      <c r="C344" s="221" t="s">
        <v>48</v>
      </c>
      <c r="D344" s="221" t="s">
        <v>3906</v>
      </c>
      <c r="E344" s="221" t="s">
        <v>3295</v>
      </c>
      <c r="F344" s="221" t="s">
        <v>3299</v>
      </c>
      <c r="G344" s="222">
        <v>45318</v>
      </c>
      <c r="H344" s="223">
        <v>15.291666666666666</v>
      </c>
      <c r="I344" s="221" t="s">
        <v>3017</v>
      </c>
      <c r="J344" s="221" t="s">
        <v>3024</v>
      </c>
      <c r="K344" s="224" t="s">
        <v>3090</v>
      </c>
      <c r="L344" s="225" t="str">
        <f>VLOOKUP(Logfile_S[[#This Row],[Material Name]],Sheet2!B:C,2,0)</f>
        <v>GCI1004</v>
      </c>
      <c r="M344" s="225" t="str">
        <f>_xlfn.XLOOKUP(Logfile_S[[#This Row],[Material Name]],Sum_WH!E:E,Sum_WH!F:F,"",0)</f>
        <v>Pcs</v>
      </c>
      <c r="N344" s="221">
        <v>24</v>
      </c>
      <c r="O344" s="221" t="s">
        <v>828</v>
      </c>
      <c r="P344" s="221" t="s">
        <v>829</v>
      </c>
      <c r="Q344" s="221" t="s">
        <v>3359</v>
      </c>
      <c r="R344" s="221">
        <v>0</v>
      </c>
      <c r="S344" s="221"/>
      <c r="T344" s="221"/>
      <c r="U344" s="221"/>
      <c r="V344" s="221"/>
      <c r="W344" s="221"/>
      <c r="X344" s="221"/>
      <c r="Y344" s="227"/>
      <c r="Z344" s="227" t="str">
        <f>P344</f>
        <v>Perumahan Pondok Mutiara Malang</v>
      </c>
      <c r="AA344" s="276" t="e">
        <f>VLOOKUP(Logfile_S[[#This Row],[DO number]],DO_DB!G:I,3,0)</f>
        <v>#N/A</v>
      </c>
      <c r="AB344" s="331" t="e">
        <f>EXACT(Logfile_S[[#This Row],[date pick]],Logfile_S[[#This Row],[Date]])</f>
        <v>#N/A</v>
      </c>
      <c r="AC3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45" spans="1:29" ht="14.5">
      <c r="A345" s="220" t="str">
        <f>TEXT(ROW(A345)-ROW($A$4),"000")</f>
        <v>341</v>
      </c>
      <c r="B345" s="221"/>
      <c r="C345" s="221" t="s">
        <v>49</v>
      </c>
      <c r="D345" s="221" t="s">
        <v>3916</v>
      </c>
      <c r="E345" s="221" t="s">
        <v>3295</v>
      </c>
      <c r="F345" s="221" t="s">
        <v>3299</v>
      </c>
      <c r="G345" s="222">
        <v>45330</v>
      </c>
      <c r="H345" s="223">
        <v>0.44097222222222227</v>
      </c>
      <c r="I345" s="221" t="s">
        <v>4916</v>
      </c>
      <c r="J345" s="221" t="s">
        <v>3023</v>
      </c>
      <c r="K345" s="224" t="s">
        <v>3069</v>
      </c>
      <c r="L345" s="225" t="str">
        <f>VLOOKUP(Logfile_S[[#This Row],[Material Name]],Sheet2!B:C,2,0)</f>
        <v>ZTE1001</v>
      </c>
      <c r="M345" s="225" t="str">
        <f>_xlfn.XLOOKUP(Logfile_S[[#This Row],[Material Name]],Sum_WH!E:E,Sum_WH!F:F,"",0)</f>
        <v>Pcs</v>
      </c>
      <c r="N345" s="221">
        <v>19</v>
      </c>
      <c r="O345" s="221" t="s">
        <v>828</v>
      </c>
      <c r="P345" s="221" t="s">
        <v>829</v>
      </c>
      <c r="Q345" s="221"/>
      <c r="R345" s="221"/>
      <c r="S345" s="221"/>
      <c r="T345" s="221" t="s">
        <v>3258</v>
      </c>
      <c r="U345" s="221" t="s">
        <v>3228</v>
      </c>
      <c r="V345" s="221" t="s">
        <v>3337</v>
      </c>
      <c r="W345" s="221" t="s">
        <v>3338</v>
      </c>
      <c r="X345" s="221"/>
      <c r="Y345" s="227"/>
      <c r="Z345" s="227" t="str">
        <f>P345</f>
        <v>Perumahan Pondok Mutiara Malang</v>
      </c>
      <c r="AA345" s="276" t="e">
        <f>VLOOKUP(Logfile_S[[#This Row],[DO number]],DO_DB!G:I,3,0)</f>
        <v>#N/A</v>
      </c>
      <c r="AB345" s="331" t="e">
        <f>EXACT(Logfile_S[[#This Row],[date pick]],Logfile_S[[#This Row],[Date]])</f>
        <v>#N/A</v>
      </c>
      <c r="AC3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46" spans="1:29" ht="14.5">
      <c r="A346" s="220" t="str">
        <f>TEXT(ROW(A346)-ROW($A$4),"000")</f>
        <v>342</v>
      </c>
      <c r="B346" s="221"/>
      <c r="C346" s="221" t="s">
        <v>49</v>
      </c>
      <c r="D346" s="221" t="s">
        <v>3918</v>
      </c>
      <c r="E346" s="221" t="s">
        <v>3295</v>
      </c>
      <c r="F346" s="221" t="s">
        <v>3299</v>
      </c>
      <c r="G346" s="222">
        <v>45331</v>
      </c>
      <c r="H346" s="223">
        <v>0.63402777777777775</v>
      </c>
      <c r="I346" s="221" t="s">
        <v>4916</v>
      </c>
      <c r="J346" s="221" t="s">
        <v>3024</v>
      </c>
      <c r="K346" s="224" t="s">
        <v>5137</v>
      </c>
      <c r="L346" s="225" t="str">
        <f>VLOOKUP(Logfile_S[[#This Row],[Material Name]],Sheet2!B:C,2,0)</f>
        <v>GCI1009</v>
      </c>
      <c r="M346" s="225" t="str">
        <f>_xlfn.XLOOKUP(Logfile_S[[#This Row],[Material Name]],Sum_WH!E:E,Sum_WH!F:F,"",0)</f>
        <v>Pcs</v>
      </c>
      <c r="N346" s="221">
        <v>11</v>
      </c>
      <c r="O346" s="221" t="s">
        <v>828</v>
      </c>
      <c r="P346" s="221" t="s">
        <v>829</v>
      </c>
      <c r="Q346" s="221"/>
      <c r="R346" s="221"/>
      <c r="S346" s="221"/>
      <c r="T346" s="221" t="s">
        <v>3258</v>
      </c>
      <c r="U346" s="221" t="s">
        <v>3228</v>
      </c>
      <c r="V346" s="221" t="s">
        <v>3337</v>
      </c>
      <c r="W346" s="221" t="s">
        <v>3338</v>
      </c>
      <c r="X346" s="221"/>
      <c r="Y346" s="227"/>
      <c r="Z346" s="227" t="str">
        <f>P346</f>
        <v>Perumahan Pondok Mutiara Malang</v>
      </c>
      <c r="AA346" s="276" t="e">
        <f>VLOOKUP(Logfile_S[[#This Row],[DO number]],DO_DB!G:I,3,0)</f>
        <v>#N/A</v>
      </c>
      <c r="AB346" s="331" t="e">
        <f>EXACT(Logfile_S[[#This Row],[date pick]],Logfile_S[[#This Row],[Date]])</f>
        <v>#N/A</v>
      </c>
      <c r="AC3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47" spans="1:29" ht="14.5">
      <c r="A347" s="220" t="str">
        <f>TEXT(ROW(A347)-ROW($A$4),"000")</f>
        <v>343</v>
      </c>
      <c r="B347" s="221"/>
      <c r="C347" s="221" t="s">
        <v>49</v>
      </c>
      <c r="D347" s="221" t="s">
        <v>3919</v>
      </c>
      <c r="E347" s="221" t="s">
        <v>3295</v>
      </c>
      <c r="F347" s="221" t="s">
        <v>3299</v>
      </c>
      <c r="G347" s="222">
        <v>45331</v>
      </c>
      <c r="H347" s="223">
        <v>0.70763888888888893</v>
      </c>
      <c r="I347" s="221" t="s">
        <v>4916</v>
      </c>
      <c r="J347" s="221" t="s">
        <v>3023</v>
      </c>
      <c r="K347" s="224" t="s">
        <v>3069</v>
      </c>
      <c r="L347" s="225" t="str">
        <f>VLOOKUP(Logfile_S[[#This Row],[Material Name]],Sheet2!B:C,2,0)</f>
        <v>ZTE1001</v>
      </c>
      <c r="M347" s="225" t="str">
        <f>_xlfn.XLOOKUP(Logfile_S[[#This Row],[Material Name]],Sum_WH!E:E,Sum_WH!F:F,"",0)</f>
        <v>Pcs</v>
      </c>
      <c r="N347" s="221">
        <v>1</v>
      </c>
      <c r="O347" s="221" t="s">
        <v>828</v>
      </c>
      <c r="P347" s="221" t="s">
        <v>829</v>
      </c>
      <c r="Q347" s="221"/>
      <c r="R347" s="221"/>
      <c r="S347" s="221"/>
      <c r="T347" s="221" t="s">
        <v>3258</v>
      </c>
      <c r="U347" s="221" t="s">
        <v>3228</v>
      </c>
      <c r="V347" s="221" t="s">
        <v>3337</v>
      </c>
      <c r="W347" s="221" t="s">
        <v>3338</v>
      </c>
      <c r="X347" s="221"/>
      <c r="Y347" s="227"/>
      <c r="Z347" s="227" t="str">
        <f>P347</f>
        <v>Perumahan Pondok Mutiara Malang</v>
      </c>
      <c r="AA347" s="276" t="e">
        <f>VLOOKUP(Logfile_S[[#This Row],[DO number]],DO_DB!G:I,3,0)</f>
        <v>#N/A</v>
      </c>
      <c r="AB347" s="331" t="e">
        <f>EXACT(Logfile_S[[#This Row],[date pick]],Logfile_S[[#This Row],[Date]])</f>
        <v>#N/A</v>
      </c>
      <c r="AC3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48" spans="1:29" ht="14.5">
      <c r="A348" s="220" t="str">
        <f>TEXT(ROW(A348)-ROW($A$4),"000")</f>
        <v>344</v>
      </c>
      <c r="B348" s="221"/>
      <c r="C348" s="221" t="s">
        <v>49</v>
      </c>
      <c r="D348" s="221" t="s">
        <v>3918</v>
      </c>
      <c r="E348" s="221" t="s">
        <v>3295</v>
      </c>
      <c r="F348" s="221" t="s">
        <v>3299</v>
      </c>
      <c r="G348" s="222">
        <v>45331</v>
      </c>
      <c r="H348" s="223">
        <v>0.63402777777777775</v>
      </c>
      <c r="I348" s="221" t="s">
        <v>4916</v>
      </c>
      <c r="J348" s="221" t="s">
        <v>3024</v>
      </c>
      <c r="K348" s="224" t="s">
        <v>3094</v>
      </c>
      <c r="L348" s="225" t="str">
        <f>VLOOKUP(Logfile_S[[#This Row],[Material Name]],Sheet2!B:C,2,0)</f>
        <v>GCI1008</v>
      </c>
      <c r="M348" s="225" t="str">
        <f>_xlfn.XLOOKUP(Logfile_S[[#This Row],[Material Name]],Sum_WH!E:E,Sum_WH!F:F,"",0)</f>
        <v>Pcs</v>
      </c>
      <c r="N348" s="221">
        <v>20</v>
      </c>
      <c r="O348" s="221" t="s">
        <v>828</v>
      </c>
      <c r="P348" s="221" t="s">
        <v>829</v>
      </c>
      <c r="Q348" s="221"/>
      <c r="R348" s="221"/>
      <c r="S348" s="221"/>
      <c r="T348" s="221" t="s">
        <v>3258</v>
      </c>
      <c r="U348" s="221" t="s">
        <v>3228</v>
      </c>
      <c r="V348" s="221" t="s">
        <v>3337</v>
      </c>
      <c r="W348" s="221" t="s">
        <v>3338</v>
      </c>
      <c r="X348" s="221"/>
      <c r="Y348" s="227"/>
      <c r="Z348" s="227" t="str">
        <f>P348</f>
        <v>Perumahan Pondok Mutiara Malang</v>
      </c>
      <c r="AA348" s="276" t="e">
        <f>VLOOKUP(Logfile_S[[#This Row],[DO number]],DO_DB!G:I,3,0)</f>
        <v>#N/A</v>
      </c>
      <c r="AB348" s="331" t="e">
        <f>EXACT(Logfile_S[[#This Row],[date pick]],Logfile_S[[#This Row],[Date]])</f>
        <v>#N/A</v>
      </c>
      <c r="AC3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49" spans="1:29" ht="14.5">
      <c r="A349" s="220" t="str">
        <f>TEXT(ROW(A349)-ROW($A$4),"000")</f>
        <v>345</v>
      </c>
      <c r="B349" s="221"/>
      <c r="C349" s="221" t="s">
        <v>49</v>
      </c>
      <c r="D349" s="221" t="s">
        <v>3918</v>
      </c>
      <c r="E349" s="221" t="s">
        <v>3295</v>
      </c>
      <c r="F349" s="221" t="s">
        <v>3299</v>
      </c>
      <c r="G349" s="222">
        <v>45331</v>
      </c>
      <c r="H349" s="223">
        <v>0.63402777777777775</v>
      </c>
      <c r="I349" s="221" t="s">
        <v>4916</v>
      </c>
      <c r="J349" s="221" t="s">
        <v>3024</v>
      </c>
      <c r="K349" s="224" t="s">
        <v>3090</v>
      </c>
      <c r="L349" s="225" t="str">
        <f>VLOOKUP(Logfile_S[[#This Row],[Material Name]],Sheet2!B:C,2,0)</f>
        <v>GCI1004</v>
      </c>
      <c r="M349" s="225" t="str">
        <f>_xlfn.XLOOKUP(Logfile_S[[#This Row],[Material Name]],Sum_WH!E:E,Sum_WH!F:F,"",0)</f>
        <v>Pcs</v>
      </c>
      <c r="N349" s="221">
        <v>23</v>
      </c>
      <c r="O349" s="221" t="s">
        <v>828</v>
      </c>
      <c r="P349" s="221" t="s">
        <v>829</v>
      </c>
      <c r="Q349" s="221"/>
      <c r="R349" s="221"/>
      <c r="S349" s="221"/>
      <c r="T349" s="221" t="s">
        <v>3258</v>
      </c>
      <c r="U349" s="221" t="s">
        <v>3228</v>
      </c>
      <c r="V349" s="221" t="s">
        <v>3337</v>
      </c>
      <c r="W349" s="221" t="s">
        <v>3338</v>
      </c>
      <c r="X349" s="221"/>
      <c r="Y349" s="227"/>
      <c r="Z349" s="227" t="str">
        <f>P349</f>
        <v>Perumahan Pondok Mutiara Malang</v>
      </c>
      <c r="AA349" s="276" t="e">
        <f>VLOOKUP(Logfile_S[[#This Row],[DO number]],DO_DB!G:I,3,0)</f>
        <v>#N/A</v>
      </c>
      <c r="AB349" s="331" t="e">
        <f>EXACT(Logfile_S[[#This Row],[date pick]],Logfile_S[[#This Row],[Date]])</f>
        <v>#N/A</v>
      </c>
      <c r="AC3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50" spans="1:29" ht="14.5">
      <c r="A350" s="220" t="str">
        <f>TEXT(ROW(A350)-ROW($A$4),"000")</f>
        <v>346</v>
      </c>
      <c r="B350" s="221"/>
      <c r="C350" s="221" t="s">
        <v>49</v>
      </c>
      <c r="D350" s="221" t="s">
        <v>3971</v>
      </c>
      <c r="E350" s="221" t="s">
        <v>3295</v>
      </c>
      <c r="F350" s="221" t="s">
        <v>3299</v>
      </c>
      <c r="G350" s="222">
        <v>45357</v>
      </c>
      <c r="H350" s="223">
        <v>0.39166666666666666</v>
      </c>
      <c r="I350" s="221" t="s">
        <v>4916</v>
      </c>
      <c r="J350" s="221" t="s">
        <v>3024</v>
      </c>
      <c r="K350" s="224" t="s">
        <v>5137</v>
      </c>
      <c r="L350" s="225" t="str">
        <f>VLOOKUP(Logfile_S[[#This Row],[Material Name]],Sheet2!B:C,2,0)</f>
        <v>GCI1009</v>
      </c>
      <c r="M350" s="225" t="str">
        <f>_xlfn.XLOOKUP(Logfile_S[[#This Row],[Material Name]],Sum_WH!E:E,Sum_WH!F:F,"",0)</f>
        <v>Pcs</v>
      </c>
      <c r="N350" s="221">
        <v>10</v>
      </c>
      <c r="O350" s="221" t="s">
        <v>828</v>
      </c>
      <c r="P350" s="221" t="s">
        <v>829</v>
      </c>
      <c r="Q350" s="221"/>
      <c r="R350" s="221"/>
      <c r="S350" s="221"/>
      <c r="T350" s="221" t="s">
        <v>3258</v>
      </c>
      <c r="U350" s="221" t="s">
        <v>3228</v>
      </c>
      <c r="V350" s="221" t="s">
        <v>3337</v>
      </c>
      <c r="W350" s="221" t="s">
        <v>3338</v>
      </c>
      <c r="X350" s="221"/>
      <c r="Y350" s="227"/>
      <c r="Z350" s="227" t="str">
        <f>P350</f>
        <v>Perumahan Pondok Mutiara Malang</v>
      </c>
      <c r="AA350" s="276" t="e">
        <f>VLOOKUP(Logfile_S[[#This Row],[DO number]],DO_DB!G:I,3,0)</f>
        <v>#N/A</v>
      </c>
      <c r="AB350" s="331" t="e">
        <f>EXACT(Logfile_S[[#This Row],[date pick]],Logfile_S[[#This Row],[Date]])</f>
        <v>#N/A</v>
      </c>
      <c r="AC3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51" spans="1:29" ht="14.5">
      <c r="A351" s="220" t="str">
        <f>TEXT(ROW(A351)-ROW($A$4),"000")</f>
        <v>347</v>
      </c>
      <c r="B351" s="221"/>
      <c r="C351" s="221" t="s">
        <v>49</v>
      </c>
      <c r="D351" s="221" t="s">
        <v>3973</v>
      </c>
      <c r="E351" s="221" t="s">
        <v>3295</v>
      </c>
      <c r="F351" s="221" t="s">
        <v>3299</v>
      </c>
      <c r="G351" s="222">
        <v>45357</v>
      </c>
      <c r="H351" s="223">
        <v>0.39166666666666666</v>
      </c>
      <c r="I351" s="221" t="s">
        <v>4916</v>
      </c>
      <c r="J351" s="221" t="s">
        <v>3024</v>
      </c>
      <c r="K351" s="224" t="s">
        <v>3094</v>
      </c>
      <c r="L351" s="225" t="str">
        <f>VLOOKUP(Logfile_S[[#This Row],[Material Name]],Sheet2!B:C,2,0)</f>
        <v>GCI1008</v>
      </c>
      <c r="M351" s="225" t="str">
        <f>_xlfn.XLOOKUP(Logfile_S[[#This Row],[Material Name]],Sum_WH!E:E,Sum_WH!F:F,"",0)</f>
        <v>Pcs</v>
      </c>
      <c r="N351" s="221">
        <v>5</v>
      </c>
      <c r="O351" s="221" t="s">
        <v>828</v>
      </c>
      <c r="P351" s="221" t="s">
        <v>829</v>
      </c>
      <c r="Q351" s="221"/>
      <c r="R351" s="221"/>
      <c r="S351" s="221"/>
      <c r="T351" s="221" t="s">
        <v>3258</v>
      </c>
      <c r="U351" s="221" t="s">
        <v>3228</v>
      </c>
      <c r="V351" s="221" t="s">
        <v>3337</v>
      </c>
      <c r="W351" s="221" t="s">
        <v>3338</v>
      </c>
      <c r="X351" s="221"/>
      <c r="Y351" s="227"/>
      <c r="Z351" s="227" t="str">
        <f>P351</f>
        <v>Perumahan Pondok Mutiara Malang</v>
      </c>
      <c r="AA351" s="276" t="e">
        <f>VLOOKUP(Logfile_S[[#This Row],[DO number]],DO_DB!G:I,3,0)</f>
        <v>#N/A</v>
      </c>
      <c r="AB351" s="331" t="e">
        <f>EXACT(Logfile_S[[#This Row],[date pick]],Logfile_S[[#This Row],[Date]])</f>
        <v>#N/A</v>
      </c>
      <c r="AC3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52" spans="1:29" ht="14.5">
      <c r="A352" s="220" t="str">
        <f>TEXT(ROW(A352)-ROW($A$4),"000")</f>
        <v>348</v>
      </c>
      <c r="B352" s="221"/>
      <c r="C352" s="221" t="s">
        <v>49</v>
      </c>
      <c r="D352" s="221" t="s">
        <v>3973</v>
      </c>
      <c r="E352" s="221" t="s">
        <v>3295</v>
      </c>
      <c r="F352" s="221" t="s">
        <v>3299</v>
      </c>
      <c r="G352" s="222">
        <v>45357</v>
      </c>
      <c r="H352" s="223">
        <v>0.39166666666666666</v>
      </c>
      <c r="I352" s="221" t="s">
        <v>4916</v>
      </c>
      <c r="J352" s="221" t="s">
        <v>3024</v>
      </c>
      <c r="K352" s="224" t="s">
        <v>3089</v>
      </c>
      <c r="L352" s="225" t="str">
        <f>VLOOKUP(Logfile_S[[#This Row],[Material Name]],Sheet2!B:C,2,0)</f>
        <v>GCI1003</v>
      </c>
      <c r="M352" s="225" t="str">
        <f>_xlfn.XLOOKUP(Logfile_S[[#This Row],[Material Name]],Sum_WH!E:E,Sum_WH!F:F,"",0)</f>
        <v>Pcs</v>
      </c>
      <c r="N352" s="221">
        <v>50</v>
      </c>
      <c r="O352" s="221" t="s">
        <v>828</v>
      </c>
      <c r="P352" s="221" t="s">
        <v>829</v>
      </c>
      <c r="Q352" s="221"/>
      <c r="R352" s="221"/>
      <c r="S352" s="221"/>
      <c r="T352" s="221" t="s">
        <v>3258</v>
      </c>
      <c r="U352" s="221" t="s">
        <v>3228</v>
      </c>
      <c r="V352" s="221" t="s">
        <v>3337</v>
      </c>
      <c r="W352" s="221" t="s">
        <v>3338</v>
      </c>
      <c r="X352" s="221"/>
      <c r="Y352" s="227"/>
      <c r="Z352" s="227" t="str">
        <f>P352</f>
        <v>Perumahan Pondok Mutiara Malang</v>
      </c>
      <c r="AA352" s="276" t="e">
        <f>VLOOKUP(Logfile_S[[#This Row],[DO number]],DO_DB!G:I,3,0)</f>
        <v>#N/A</v>
      </c>
      <c r="AB352" s="331" t="e">
        <f>EXACT(Logfile_S[[#This Row],[date pick]],Logfile_S[[#This Row],[Date]])</f>
        <v>#N/A</v>
      </c>
      <c r="AC3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53" spans="1:29" ht="14.5">
      <c r="A353" s="220" t="str">
        <f>TEXT(ROW(A353)-ROW($A$4),"000")</f>
        <v>349</v>
      </c>
      <c r="B353" s="221"/>
      <c r="C353" s="221" t="s">
        <v>49</v>
      </c>
      <c r="D353" s="221" t="s">
        <v>3973</v>
      </c>
      <c r="E353" s="221" t="s">
        <v>3295</v>
      </c>
      <c r="F353" s="221" t="s">
        <v>3299</v>
      </c>
      <c r="G353" s="222">
        <v>45357</v>
      </c>
      <c r="H353" s="223">
        <v>0.39166666666666666</v>
      </c>
      <c r="I353" s="221" t="s">
        <v>4916</v>
      </c>
      <c r="J353" s="221" t="s">
        <v>3024</v>
      </c>
      <c r="K353" s="224" t="s">
        <v>3090</v>
      </c>
      <c r="L353" s="225" t="str">
        <f>VLOOKUP(Logfile_S[[#This Row],[Material Name]],Sheet2!B:C,2,0)</f>
        <v>GCI1004</v>
      </c>
      <c r="M353" s="225" t="str">
        <f>_xlfn.XLOOKUP(Logfile_S[[#This Row],[Material Name]],Sum_WH!E:E,Sum_WH!F:F,"",0)</f>
        <v>Pcs</v>
      </c>
      <c r="N353" s="221">
        <v>5</v>
      </c>
      <c r="O353" s="221" t="s">
        <v>828</v>
      </c>
      <c r="P353" s="221" t="s">
        <v>829</v>
      </c>
      <c r="Q353" s="221"/>
      <c r="R353" s="221"/>
      <c r="S353" s="221"/>
      <c r="T353" s="221" t="s">
        <v>3258</v>
      </c>
      <c r="U353" s="221" t="s">
        <v>3228</v>
      </c>
      <c r="V353" s="221" t="s">
        <v>3337</v>
      </c>
      <c r="W353" s="221" t="s">
        <v>3338</v>
      </c>
      <c r="X353" s="221"/>
      <c r="Y353" s="227"/>
      <c r="Z353" s="227" t="str">
        <f>P353</f>
        <v>Perumahan Pondok Mutiara Malang</v>
      </c>
      <c r="AA353" s="276" t="e">
        <f>VLOOKUP(Logfile_S[[#This Row],[DO number]],DO_DB!G:I,3,0)</f>
        <v>#N/A</v>
      </c>
      <c r="AB353" s="331" t="e">
        <f>EXACT(Logfile_S[[#This Row],[date pick]],Logfile_S[[#This Row],[Date]])</f>
        <v>#N/A</v>
      </c>
      <c r="AC3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54" spans="1:29" ht="14.5">
      <c r="A354" s="220" t="str">
        <f>TEXT(ROW(A354)-ROW($A$4),"000")</f>
        <v>350</v>
      </c>
      <c r="B354" s="221"/>
      <c r="C354" s="221" t="s">
        <v>49</v>
      </c>
      <c r="D354" s="221" t="s">
        <v>3839</v>
      </c>
      <c r="E354" s="221" t="s">
        <v>3295</v>
      </c>
      <c r="F354" s="221" t="s">
        <v>3299</v>
      </c>
      <c r="G354" s="222">
        <v>45282</v>
      </c>
      <c r="H354" s="223">
        <v>0.56041666666666667</v>
      </c>
      <c r="I354" s="221" t="s">
        <v>4916</v>
      </c>
      <c r="J354" s="221" t="s">
        <v>3024</v>
      </c>
      <c r="K354" s="224" t="s">
        <v>3087</v>
      </c>
      <c r="L354" s="225" t="str">
        <f>VLOOKUP(Logfile_S[[#This Row],[Material Name]],Sheet2!B:C,2,0)</f>
        <v>GCI1001</v>
      </c>
      <c r="M354" s="225" t="str">
        <f>_xlfn.XLOOKUP(Logfile_S[[#This Row],[Material Name]],Sum_WH!E:E,Sum_WH!F:F,"",0)</f>
        <v>Pcs</v>
      </c>
      <c r="N354" s="221">
        <v>17</v>
      </c>
      <c r="O354" s="221" t="s">
        <v>732</v>
      </c>
      <c r="P354" s="221" t="s">
        <v>733</v>
      </c>
      <c r="Q354" s="221"/>
      <c r="R354" s="221"/>
      <c r="S354" s="221"/>
      <c r="T354" s="221" t="s">
        <v>3258</v>
      </c>
      <c r="U354" s="221" t="s">
        <v>3228</v>
      </c>
      <c r="V354" s="221" t="s">
        <v>3337</v>
      </c>
      <c r="W354" s="221" t="s">
        <v>3338</v>
      </c>
      <c r="X354" s="221"/>
      <c r="Y354" s="227"/>
      <c r="Z354" s="227" t="str">
        <f>P354</f>
        <v>Sitirejo RW 01 Wagir</v>
      </c>
      <c r="AA354" s="276" t="e">
        <f>VLOOKUP(Logfile_S[[#This Row],[DO number]],DO_DB!G:I,3,0)</f>
        <v>#N/A</v>
      </c>
      <c r="AB354" s="331" t="e">
        <f>EXACT(Logfile_S[[#This Row],[date pick]],Logfile_S[[#This Row],[Date]])</f>
        <v>#N/A</v>
      </c>
      <c r="AC3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55" spans="1:29" ht="14.5">
      <c r="A355" s="220" t="str">
        <f>TEXT(ROW(A355)-ROW($A$4),"000")</f>
        <v>351</v>
      </c>
      <c r="B355" s="221"/>
      <c r="C355" s="221" t="s">
        <v>49</v>
      </c>
      <c r="D355" s="221" t="s">
        <v>3839</v>
      </c>
      <c r="E355" s="221" t="s">
        <v>3295</v>
      </c>
      <c r="F355" s="221" t="s">
        <v>3299</v>
      </c>
      <c r="G355" s="222">
        <v>45282</v>
      </c>
      <c r="H355" s="223">
        <v>0.56041666666666667</v>
      </c>
      <c r="I355" s="221" t="s">
        <v>4916</v>
      </c>
      <c r="J355" s="221" t="s">
        <v>3024</v>
      </c>
      <c r="K355" s="224" t="s">
        <v>5137</v>
      </c>
      <c r="L355" s="225" t="str">
        <f>VLOOKUP(Logfile_S[[#This Row],[Material Name]],Sheet2!B:C,2,0)</f>
        <v>GCI1009</v>
      </c>
      <c r="M355" s="225" t="str">
        <f>_xlfn.XLOOKUP(Logfile_S[[#This Row],[Material Name]],Sum_WH!E:E,Sum_WH!F:F,"",0)</f>
        <v>Pcs</v>
      </c>
      <c r="N355" s="221">
        <v>40</v>
      </c>
      <c r="O355" s="221" t="s">
        <v>732</v>
      </c>
      <c r="P355" s="221" t="s">
        <v>733</v>
      </c>
      <c r="Q355" s="221"/>
      <c r="R355" s="221"/>
      <c r="S355" s="221"/>
      <c r="T355" s="221" t="s">
        <v>3258</v>
      </c>
      <c r="U355" s="221" t="s">
        <v>3228</v>
      </c>
      <c r="V355" s="221" t="s">
        <v>3337</v>
      </c>
      <c r="W355" s="221" t="s">
        <v>3338</v>
      </c>
      <c r="X355" s="221"/>
      <c r="Y355" s="227"/>
      <c r="Z355" s="227" t="str">
        <f>P355</f>
        <v>Sitirejo RW 01 Wagir</v>
      </c>
      <c r="AA355" s="276" t="e">
        <f>VLOOKUP(Logfile_S[[#This Row],[DO number]],DO_DB!G:I,3,0)</f>
        <v>#N/A</v>
      </c>
      <c r="AB355" s="331" t="e">
        <f>EXACT(Logfile_S[[#This Row],[date pick]],Logfile_S[[#This Row],[Date]])</f>
        <v>#N/A</v>
      </c>
      <c r="AC3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56" spans="1:29" ht="14.5">
      <c r="A356" s="220" t="str">
        <f>TEXT(ROW(A356)-ROW($A$4),"000")</f>
        <v>352</v>
      </c>
      <c r="B356" s="221"/>
      <c r="C356" s="221" t="s">
        <v>49</v>
      </c>
      <c r="D356" s="221" t="s">
        <v>3839</v>
      </c>
      <c r="E356" s="221" t="s">
        <v>3295</v>
      </c>
      <c r="F356" s="221" t="s">
        <v>3299</v>
      </c>
      <c r="G356" s="222">
        <v>45282</v>
      </c>
      <c r="H356" s="223">
        <v>0.56041666666666667</v>
      </c>
      <c r="I356" s="221" t="s">
        <v>4916</v>
      </c>
      <c r="J356" s="221" t="s">
        <v>3024</v>
      </c>
      <c r="K356" s="224" t="s">
        <v>3088</v>
      </c>
      <c r="L356" s="225" t="str">
        <f>VLOOKUP(Logfile_S[[#This Row],[Material Name]],Sheet2!B:C,2,0)</f>
        <v>GCI1002</v>
      </c>
      <c r="M356" s="225" t="str">
        <f>_xlfn.XLOOKUP(Logfile_S[[#This Row],[Material Name]],Sum_WH!E:E,Sum_WH!F:F,"",0)</f>
        <v>Pcs</v>
      </c>
      <c r="N356" s="221">
        <v>1</v>
      </c>
      <c r="O356" s="221" t="s">
        <v>732</v>
      </c>
      <c r="P356" s="221" t="s">
        <v>733</v>
      </c>
      <c r="Q356" s="221"/>
      <c r="R356" s="221"/>
      <c r="S356" s="221"/>
      <c r="T356" s="221" t="s">
        <v>3258</v>
      </c>
      <c r="U356" s="221" t="s">
        <v>3228</v>
      </c>
      <c r="V356" s="221" t="s">
        <v>3337</v>
      </c>
      <c r="W356" s="221" t="s">
        <v>3338</v>
      </c>
      <c r="X356" s="221"/>
      <c r="Y356" s="227"/>
      <c r="Z356" s="227" t="str">
        <f>P356</f>
        <v>Sitirejo RW 01 Wagir</v>
      </c>
      <c r="AA356" s="276" t="e">
        <f>VLOOKUP(Logfile_S[[#This Row],[DO number]],DO_DB!G:I,3,0)</f>
        <v>#N/A</v>
      </c>
      <c r="AB356" s="331" t="e">
        <f>EXACT(Logfile_S[[#This Row],[date pick]],Logfile_S[[#This Row],[Date]])</f>
        <v>#N/A</v>
      </c>
      <c r="AC3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57" spans="1:29" ht="14.5">
      <c r="A357" s="220" t="str">
        <f>TEXT(ROW(A357)-ROW($A$4),"000")</f>
        <v>353</v>
      </c>
      <c r="B357" s="221"/>
      <c r="C357" s="221" t="s">
        <v>49</v>
      </c>
      <c r="D357" s="221" t="s">
        <v>3839</v>
      </c>
      <c r="E357" s="221" t="s">
        <v>3295</v>
      </c>
      <c r="F357" s="221" t="s">
        <v>3299</v>
      </c>
      <c r="G357" s="222">
        <v>45282</v>
      </c>
      <c r="H357" s="223">
        <v>0.56041666666666667</v>
      </c>
      <c r="I357" s="221" t="s">
        <v>4916</v>
      </c>
      <c r="J357" s="221" t="s">
        <v>3024</v>
      </c>
      <c r="K357" s="224" t="s">
        <v>3088</v>
      </c>
      <c r="L357" s="225" t="str">
        <f>VLOOKUP(Logfile_S[[#This Row],[Material Name]],Sheet2!B:C,2,0)</f>
        <v>GCI1002</v>
      </c>
      <c r="M357" s="225" t="str">
        <f>_xlfn.XLOOKUP(Logfile_S[[#This Row],[Material Name]],Sum_WH!E:E,Sum_WH!F:F,"",0)</f>
        <v>Pcs</v>
      </c>
      <c r="N357" s="221">
        <v>1</v>
      </c>
      <c r="O357" s="221" t="s">
        <v>732</v>
      </c>
      <c r="P357" s="221" t="s">
        <v>733</v>
      </c>
      <c r="Q357" s="221"/>
      <c r="R357" s="221"/>
      <c r="S357" s="221"/>
      <c r="T357" s="221" t="s">
        <v>3258</v>
      </c>
      <c r="U357" s="221" t="s">
        <v>3228</v>
      </c>
      <c r="V357" s="221" t="s">
        <v>3337</v>
      </c>
      <c r="W357" s="221" t="s">
        <v>3338</v>
      </c>
      <c r="X357" s="221"/>
      <c r="Y357" s="227"/>
      <c r="Z357" s="227" t="str">
        <f>P357</f>
        <v>Sitirejo RW 01 Wagir</v>
      </c>
      <c r="AA357" s="276" t="e">
        <f>VLOOKUP(Logfile_S[[#This Row],[DO number]],DO_DB!G:I,3,0)</f>
        <v>#N/A</v>
      </c>
      <c r="AB357" s="331" t="e">
        <f>EXACT(Logfile_S[[#This Row],[date pick]],Logfile_S[[#This Row],[Date]])</f>
        <v>#N/A</v>
      </c>
      <c r="AC3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58" spans="1:29" ht="14.5">
      <c r="A358" s="220" t="str">
        <f>TEXT(ROW(A358)-ROW($A$4),"000")</f>
        <v>354</v>
      </c>
      <c r="B358" s="221"/>
      <c r="C358" s="221" t="s">
        <v>49</v>
      </c>
      <c r="D358" s="221" t="s">
        <v>3839</v>
      </c>
      <c r="E358" s="221" t="s">
        <v>3295</v>
      </c>
      <c r="F358" s="221" t="s">
        <v>3299</v>
      </c>
      <c r="G358" s="222">
        <v>45282</v>
      </c>
      <c r="H358" s="223">
        <v>0.56041666666666667</v>
      </c>
      <c r="I358" s="221" t="s">
        <v>4916</v>
      </c>
      <c r="J358" s="221" t="s">
        <v>3023</v>
      </c>
      <c r="K358" s="224" t="s">
        <v>3070</v>
      </c>
      <c r="L358" s="225" t="str">
        <f>VLOOKUP(Logfile_S[[#This Row],[Material Name]],Sheet2!B:C,2,0)</f>
        <v>ZTE1002</v>
      </c>
      <c r="M358" s="225" t="str">
        <f>_xlfn.XLOOKUP(Logfile_S[[#This Row],[Material Name]],Sum_WH!E:E,Sum_WH!F:F,"",0)</f>
        <v>Pcs</v>
      </c>
      <c r="N358" s="221">
        <v>5</v>
      </c>
      <c r="O358" s="221" t="s">
        <v>732</v>
      </c>
      <c r="P358" s="221" t="s">
        <v>733</v>
      </c>
      <c r="Q358" s="221"/>
      <c r="R358" s="221"/>
      <c r="S358" s="221"/>
      <c r="T358" s="221" t="s">
        <v>3258</v>
      </c>
      <c r="U358" s="221" t="s">
        <v>3228</v>
      </c>
      <c r="V358" s="221" t="s">
        <v>3337</v>
      </c>
      <c r="W358" s="221" t="s">
        <v>3338</v>
      </c>
      <c r="X358" s="221"/>
      <c r="Y358" s="227"/>
      <c r="Z358" s="227" t="str">
        <f>P358</f>
        <v>Sitirejo RW 01 Wagir</v>
      </c>
      <c r="AA358" s="276" t="e">
        <f>VLOOKUP(Logfile_S[[#This Row],[DO number]],DO_DB!G:I,3,0)</f>
        <v>#N/A</v>
      </c>
      <c r="AB358" s="331" t="e">
        <f>EXACT(Logfile_S[[#This Row],[date pick]],Logfile_S[[#This Row],[Date]])</f>
        <v>#N/A</v>
      </c>
      <c r="AC3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59" spans="1:29" ht="14.5">
      <c r="A359" s="220" t="str">
        <f>TEXT(ROW(A359)-ROW($A$4),"000")</f>
        <v>355</v>
      </c>
      <c r="B359" s="221"/>
      <c r="C359" s="221" t="s">
        <v>49</v>
      </c>
      <c r="D359" s="221" t="s">
        <v>3839</v>
      </c>
      <c r="E359" s="221" t="s">
        <v>3295</v>
      </c>
      <c r="F359" s="221" t="s">
        <v>3299</v>
      </c>
      <c r="G359" s="222">
        <v>45282</v>
      </c>
      <c r="H359" s="223">
        <v>0.56041666666666667</v>
      </c>
      <c r="I359" s="221" t="s">
        <v>4916</v>
      </c>
      <c r="J359" s="221" t="s">
        <v>3023</v>
      </c>
      <c r="K359" s="224" t="s">
        <v>3069</v>
      </c>
      <c r="L359" s="225" t="str">
        <f>VLOOKUP(Logfile_S[[#This Row],[Material Name]],Sheet2!B:C,2,0)</f>
        <v>ZTE1001</v>
      </c>
      <c r="M359" s="225" t="str">
        <f>_xlfn.XLOOKUP(Logfile_S[[#This Row],[Material Name]],Sum_WH!E:E,Sum_WH!F:F,"",0)</f>
        <v>Pcs</v>
      </c>
      <c r="N359" s="221">
        <v>8</v>
      </c>
      <c r="O359" s="221" t="s">
        <v>732</v>
      </c>
      <c r="P359" s="221" t="s">
        <v>733</v>
      </c>
      <c r="Q359" s="221"/>
      <c r="R359" s="221"/>
      <c r="S359" s="221"/>
      <c r="T359" s="221" t="s">
        <v>3258</v>
      </c>
      <c r="U359" s="221" t="s">
        <v>3228</v>
      </c>
      <c r="V359" s="221" t="s">
        <v>3337</v>
      </c>
      <c r="W359" s="221" t="s">
        <v>3338</v>
      </c>
      <c r="X359" s="221"/>
      <c r="Y359" s="227"/>
      <c r="Z359" s="227" t="str">
        <f>P359</f>
        <v>Sitirejo RW 01 Wagir</v>
      </c>
      <c r="AA359" s="276" t="e">
        <f>VLOOKUP(Logfile_S[[#This Row],[DO number]],DO_DB!G:I,3,0)</f>
        <v>#N/A</v>
      </c>
      <c r="AB359" s="331" t="e">
        <f>EXACT(Logfile_S[[#This Row],[date pick]],Logfile_S[[#This Row],[Date]])</f>
        <v>#N/A</v>
      </c>
      <c r="AC3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60" spans="1:29" ht="14.5">
      <c r="A360" s="220" t="str">
        <f>TEXT(ROW(A360)-ROW($A$4),"000")</f>
        <v>356</v>
      </c>
      <c r="B360" s="221"/>
      <c r="C360" s="221" t="s">
        <v>49</v>
      </c>
      <c r="D360" s="221" t="s">
        <v>3839</v>
      </c>
      <c r="E360" s="221" t="s">
        <v>3295</v>
      </c>
      <c r="F360" s="221" t="s">
        <v>3299</v>
      </c>
      <c r="G360" s="222">
        <v>45282</v>
      </c>
      <c r="H360" s="223">
        <v>0.56041666666666667</v>
      </c>
      <c r="I360" s="221" t="s">
        <v>4916</v>
      </c>
      <c r="J360" s="221" t="s">
        <v>3024</v>
      </c>
      <c r="K360" s="224" t="s">
        <v>3094</v>
      </c>
      <c r="L360" s="225" t="str">
        <f>VLOOKUP(Logfile_S[[#This Row],[Material Name]],Sheet2!B:C,2,0)</f>
        <v>GCI1008</v>
      </c>
      <c r="M360" s="225" t="str">
        <f>_xlfn.XLOOKUP(Logfile_S[[#This Row],[Material Name]],Sum_WH!E:E,Sum_WH!F:F,"",0)</f>
        <v>Pcs</v>
      </c>
      <c r="N360" s="221">
        <v>25</v>
      </c>
      <c r="O360" s="221" t="s">
        <v>732</v>
      </c>
      <c r="P360" s="221" t="s">
        <v>733</v>
      </c>
      <c r="Q360" s="221"/>
      <c r="R360" s="221"/>
      <c r="S360" s="221"/>
      <c r="T360" s="221" t="s">
        <v>3258</v>
      </c>
      <c r="U360" s="221" t="s">
        <v>3228</v>
      </c>
      <c r="V360" s="221" t="s">
        <v>3337</v>
      </c>
      <c r="W360" s="221" t="s">
        <v>3338</v>
      </c>
      <c r="X360" s="221"/>
      <c r="Y360" s="227"/>
      <c r="Z360" s="227" t="str">
        <f>P360</f>
        <v>Sitirejo RW 01 Wagir</v>
      </c>
      <c r="AA360" s="276" t="e">
        <f>VLOOKUP(Logfile_S[[#This Row],[DO number]],DO_DB!G:I,3,0)</f>
        <v>#N/A</v>
      </c>
      <c r="AB360" s="331" t="e">
        <f>EXACT(Logfile_S[[#This Row],[date pick]],Logfile_S[[#This Row],[Date]])</f>
        <v>#N/A</v>
      </c>
      <c r="AC3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61" spans="1:29" ht="14.5">
      <c r="A361" s="220" t="str">
        <f>TEXT(ROW(A361)-ROW($A$4),"000")</f>
        <v>357</v>
      </c>
      <c r="B361" s="221"/>
      <c r="C361" s="221" t="s">
        <v>49</v>
      </c>
      <c r="D361" s="221" t="s">
        <v>3839</v>
      </c>
      <c r="E361" s="221" t="s">
        <v>3295</v>
      </c>
      <c r="F361" s="221" t="s">
        <v>3299</v>
      </c>
      <c r="G361" s="222">
        <v>45282</v>
      </c>
      <c r="H361" s="223">
        <v>0.56041666666666667</v>
      </c>
      <c r="I361" s="221" t="s">
        <v>4916</v>
      </c>
      <c r="J361" s="221" t="s">
        <v>3024</v>
      </c>
      <c r="K361" s="224" t="s">
        <v>3089</v>
      </c>
      <c r="L361" s="225" t="str">
        <f>VLOOKUP(Logfile_S[[#This Row],[Material Name]],Sheet2!B:C,2,0)</f>
        <v>GCI1003</v>
      </c>
      <c r="M361" s="225" t="str">
        <f>_xlfn.XLOOKUP(Logfile_S[[#This Row],[Material Name]],Sum_WH!E:E,Sum_WH!F:F,"",0)</f>
        <v>Pcs</v>
      </c>
      <c r="N361" s="221">
        <v>100</v>
      </c>
      <c r="O361" s="221" t="s">
        <v>732</v>
      </c>
      <c r="P361" s="221" t="s">
        <v>733</v>
      </c>
      <c r="Q361" s="221"/>
      <c r="R361" s="221"/>
      <c r="S361" s="221"/>
      <c r="T361" s="221" t="s">
        <v>3258</v>
      </c>
      <c r="U361" s="221" t="s">
        <v>3228</v>
      </c>
      <c r="V361" s="221" t="s">
        <v>3337</v>
      </c>
      <c r="W361" s="221" t="s">
        <v>3338</v>
      </c>
      <c r="X361" s="221"/>
      <c r="Y361" s="227"/>
      <c r="Z361" s="227" t="str">
        <f>P361</f>
        <v>Sitirejo RW 01 Wagir</v>
      </c>
      <c r="AA361" s="276" t="e">
        <f>VLOOKUP(Logfile_S[[#This Row],[DO number]],DO_DB!G:I,3,0)</f>
        <v>#N/A</v>
      </c>
      <c r="AB361" s="331" t="e">
        <f>EXACT(Logfile_S[[#This Row],[date pick]],Logfile_S[[#This Row],[Date]])</f>
        <v>#N/A</v>
      </c>
      <c r="AC3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62" spans="1:29" ht="14.5">
      <c r="A362" s="220" t="str">
        <f>TEXT(ROW(A362)-ROW($A$4),"000")</f>
        <v>358</v>
      </c>
      <c r="B362" s="221"/>
      <c r="C362" s="221" t="s">
        <v>49</v>
      </c>
      <c r="D362" s="221" t="s">
        <v>3839</v>
      </c>
      <c r="E362" s="221" t="s">
        <v>3295</v>
      </c>
      <c r="F362" s="221" t="s">
        <v>3299</v>
      </c>
      <c r="G362" s="222">
        <v>45282</v>
      </c>
      <c r="H362" s="223">
        <v>0.56041666666666667</v>
      </c>
      <c r="I362" s="221" t="s">
        <v>4916</v>
      </c>
      <c r="J362" s="221" t="s">
        <v>3024</v>
      </c>
      <c r="K362" s="224" t="s">
        <v>3090</v>
      </c>
      <c r="L362" s="225" t="str">
        <f>VLOOKUP(Logfile_S[[#This Row],[Material Name]],Sheet2!B:C,2,0)</f>
        <v>GCI1004</v>
      </c>
      <c r="M362" s="225" t="str">
        <f>_xlfn.XLOOKUP(Logfile_S[[#This Row],[Material Name]],Sum_WH!E:E,Sum_WH!F:F,"",0)</f>
        <v>Pcs</v>
      </c>
      <c r="N362" s="221">
        <v>30</v>
      </c>
      <c r="O362" s="221" t="s">
        <v>732</v>
      </c>
      <c r="P362" s="221" t="s">
        <v>733</v>
      </c>
      <c r="Q362" s="221"/>
      <c r="R362" s="221"/>
      <c r="S362" s="221"/>
      <c r="T362" s="221" t="s">
        <v>3258</v>
      </c>
      <c r="U362" s="221" t="s">
        <v>3228</v>
      </c>
      <c r="V362" s="221" t="s">
        <v>3337</v>
      </c>
      <c r="W362" s="221" t="s">
        <v>3338</v>
      </c>
      <c r="X362" s="221"/>
      <c r="Y362" s="227"/>
      <c r="Z362" s="227" t="str">
        <f>P362</f>
        <v>Sitirejo RW 01 Wagir</v>
      </c>
      <c r="AA362" s="276" t="e">
        <f>VLOOKUP(Logfile_S[[#This Row],[DO number]],DO_DB!G:I,3,0)</f>
        <v>#N/A</v>
      </c>
      <c r="AB362" s="331" t="e">
        <f>EXACT(Logfile_S[[#This Row],[date pick]],Logfile_S[[#This Row],[Date]])</f>
        <v>#N/A</v>
      </c>
      <c r="AC3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63" spans="1:29" ht="14.5">
      <c r="A363" s="220" t="str">
        <f>TEXT(ROW(A363)-ROW($A$4),"000")</f>
        <v>359</v>
      </c>
      <c r="B363" s="221"/>
      <c r="C363" s="221" t="s">
        <v>49</v>
      </c>
      <c r="D363" s="221" t="s">
        <v>3842</v>
      </c>
      <c r="E363" s="221" t="s">
        <v>3295</v>
      </c>
      <c r="F363" s="221" t="s">
        <v>3299</v>
      </c>
      <c r="G363" s="222">
        <v>45285</v>
      </c>
      <c r="H363" s="223">
        <v>0.3923611111111111</v>
      </c>
      <c r="I363" s="221" t="s">
        <v>4916</v>
      </c>
      <c r="J363" s="221" t="s">
        <v>3024</v>
      </c>
      <c r="K363" s="224" t="s">
        <v>5137</v>
      </c>
      <c r="L363" s="225" t="str">
        <f>VLOOKUP(Logfile_S[[#This Row],[Material Name]],Sheet2!B:C,2,0)</f>
        <v>GCI1009</v>
      </c>
      <c r="M363" s="225" t="str">
        <f>_xlfn.XLOOKUP(Logfile_S[[#This Row],[Material Name]],Sum_WH!E:E,Sum_WH!F:F,"",0)</f>
        <v>Pcs</v>
      </c>
      <c r="N363" s="221">
        <v>10</v>
      </c>
      <c r="O363" s="221" t="s">
        <v>732</v>
      </c>
      <c r="P363" s="221" t="s">
        <v>733</v>
      </c>
      <c r="Q363" s="221"/>
      <c r="R363" s="221"/>
      <c r="S363" s="221"/>
      <c r="T363" s="221" t="s">
        <v>3258</v>
      </c>
      <c r="U363" s="221" t="s">
        <v>3228</v>
      </c>
      <c r="V363" s="221" t="s">
        <v>3337</v>
      </c>
      <c r="W363" s="221" t="s">
        <v>3338</v>
      </c>
      <c r="X363" s="221"/>
      <c r="Y363" s="227"/>
      <c r="Z363" s="227" t="str">
        <f>P363</f>
        <v>Sitirejo RW 01 Wagir</v>
      </c>
      <c r="AA363" s="276" t="e">
        <f>VLOOKUP(Logfile_S[[#This Row],[DO number]],DO_DB!G:I,3,0)</f>
        <v>#N/A</v>
      </c>
      <c r="AB363" s="331" t="e">
        <f>EXACT(Logfile_S[[#This Row],[date pick]],Logfile_S[[#This Row],[Date]])</f>
        <v>#N/A</v>
      </c>
      <c r="AC3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64" spans="1:29" ht="14.5">
      <c r="A364" s="220" t="str">
        <f>TEXT(ROW(A364)-ROW($A$4),"000")</f>
        <v>360</v>
      </c>
      <c r="B364" s="221"/>
      <c r="C364" s="221" t="s">
        <v>49</v>
      </c>
      <c r="D364" s="221" t="s">
        <v>3841</v>
      </c>
      <c r="E364" s="221" t="s">
        <v>3295</v>
      </c>
      <c r="F364" s="221" t="s">
        <v>3299</v>
      </c>
      <c r="G364" s="222">
        <v>45285</v>
      </c>
      <c r="H364" s="223">
        <v>0.3520833333333333</v>
      </c>
      <c r="I364" s="221" t="s">
        <v>4916</v>
      </c>
      <c r="J364" s="221" t="s">
        <v>3023</v>
      </c>
      <c r="K364" s="224" t="s">
        <v>3069</v>
      </c>
      <c r="L364" s="225" t="str">
        <f>VLOOKUP(Logfile_S[[#This Row],[Material Name]],Sheet2!B:C,2,0)</f>
        <v>ZTE1001</v>
      </c>
      <c r="M364" s="225" t="str">
        <f>_xlfn.XLOOKUP(Logfile_S[[#This Row],[Material Name]],Sum_WH!E:E,Sum_WH!F:F,"",0)</f>
        <v>Pcs</v>
      </c>
      <c r="N364" s="221">
        <v>25</v>
      </c>
      <c r="O364" s="221" t="s">
        <v>732</v>
      </c>
      <c r="P364" s="221" t="s">
        <v>733</v>
      </c>
      <c r="Q364" s="221"/>
      <c r="R364" s="221"/>
      <c r="S364" s="221"/>
      <c r="T364" s="221" t="s">
        <v>3258</v>
      </c>
      <c r="U364" s="221" t="s">
        <v>3228</v>
      </c>
      <c r="V364" s="221" t="s">
        <v>3337</v>
      </c>
      <c r="W364" s="221" t="s">
        <v>3338</v>
      </c>
      <c r="X364" s="221"/>
      <c r="Y364" s="227"/>
      <c r="Z364" s="227" t="str">
        <f>P364</f>
        <v>Sitirejo RW 01 Wagir</v>
      </c>
      <c r="AA364" s="276" t="e">
        <f>VLOOKUP(Logfile_S[[#This Row],[DO number]],DO_DB!G:I,3,0)</f>
        <v>#N/A</v>
      </c>
      <c r="AB364" s="331" t="e">
        <f>EXACT(Logfile_S[[#This Row],[date pick]],Logfile_S[[#This Row],[Date]])</f>
        <v>#N/A</v>
      </c>
      <c r="AC3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65" spans="1:29" ht="14.5">
      <c r="A365" s="220" t="str">
        <f>TEXT(ROW(A365)-ROW($A$4),"000")</f>
        <v>361</v>
      </c>
      <c r="B365" s="221"/>
      <c r="C365" s="221" t="s">
        <v>49</v>
      </c>
      <c r="D365" s="221" t="s">
        <v>3842</v>
      </c>
      <c r="E365" s="221" t="s">
        <v>3295</v>
      </c>
      <c r="F365" s="221" t="s">
        <v>3299</v>
      </c>
      <c r="G365" s="222">
        <v>45285</v>
      </c>
      <c r="H365" s="223">
        <v>0.3923611111111111</v>
      </c>
      <c r="I365" s="221" t="s">
        <v>4916</v>
      </c>
      <c r="J365" s="221" t="s">
        <v>3024</v>
      </c>
      <c r="K365" s="224" t="s">
        <v>3094</v>
      </c>
      <c r="L365" s="225" t="str">
        <f>VLOOKUP(Logfile_S[[#This Row],[Material Name]],Sheet2!B:C,2,0)</f>
        <v>GCI1008</v>
      </c>
      <c r="M365" s="225" t="str">
        <f>_xlfn.XLOOKUP(Logfile_S[[#This Row],[Material Name]],Sum_WH!E:E,Sum_WH!F:F,"",0)</f>
        <v>Pcs</v>
      </c>
      <c r="N365" s="221">
        <v>9</v>
      </c>
      <c r="O365" s="221" t="s">
        <v>732</v>
      </c>
      <c r="P365" s="221" t="s">
        <v>733</v>
      </c>
      <c r="Q365" s="221"/>
      <c r="R365" s="221"/>
      <c r="S365" s="221"/>
      <c r="T365" s="221" t="s">
        <v>3258</v>
      </c>
      <c r="U365" s="221" t="s">
        <v>3228</v>
      </c>
      <c r="V365" s="221" t="s">
        <v>3337</v>
      </c>
      <c r="W365" s="221" t="s">
        <v>3338</v>
      </c>
      <c r="X365" s="221"/>
      <c r="Y365" s="227"/>
      <c r="Z365" s="227" t="str">
        <f>P365</f>
        <v>Sitirejo RW 01 Wagir</v>
      </c>
      <c r="AA365" s="276" t="e">
        <f>VLOOKUP(Logfile_S[[#This Row],[DO number]],DO_DB!G:I,3,0)</f>
        <v>#N/A</v>
      </c>
      <c r="AB365" s="331" t="e">
        <f>EXACT(Logfile_S[[#This Row],[date pick]],Logfile_S[[#This Row],[Date]])</f>
        <v>#N/A</v>
      </c>
      <c r="AC3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66" spans="1:29" ht="14.5">
      <c r="A366" s="220" t="str">
        <f>TEXT(ROW(A366)-ROW($A$4),"000")</f>
        <v>362</v>
      </c>
      <c r="B366" s="221"/>
      <c r="C366" s="221" t="s">
        <v>49</v>
      </c>
      <c r="D366" s="221" t="s">
        <v>3842</v>
      </c>
      <c r="E366" s="221" t="s">
        <v>3295</v>
      </c>
      <c r="F366" s="221" t="s">
        <v>3299</v>
      </c>
      <c r="G366" s="222">
        <v>45285</v>
      </c>
      <c r="H366" s="223">
        <v>0.3923611111111111</v>
      </c>
      <c r="I366" s="221" t="s">
        <v>4916</v>
      </c>
      <c r="J366" s="221" t="s">
        <v>3024</v>
      </c>
      <c r="K366" s="224" t="s">
        <v>3090</v>
      </c>
      <c r="L366" s="225" t="str">
        <f>VLOOKUP(Logfile_S[[#This Row],[Material Name]],Sheet2!B:C,2,0)</f>
        <v>GCI1004</v>
      </c>
      <c r="M366" s="225" t="str">
        <f>_xlfn.XLOOKUP(Logfile_S[[#This Row],[Material Name]],Sum_WH!E:E,Sum_WH!F:F,"",0)</f>
        <v>Pcs</v>
      </c>
      <c r="N366" s="221">
        <v>10</v>
      </c>
      <c r="O366" s="221" t="s">
        <v>732</v>
      </c>
      <c r="P366" s="221" t="s">
        <v>733</v>
      </c>
      <c r="Q366" s="221"/>
      <c r="R366" s="221"/>
      <c r="S366" s="221"/>
      <c r="T366" s="221" t="s">
        <v>3258</v>
      </c>
      <c r="U366" s="221" t="s">
        <v>3228</v>
      </c>
      <c r="V366" s="221" t="s">
        <v>3337</v>
      </c>
      <c r="W366" s="221" t="s">
        <v>3338</v>
      </c>
      <c r="X366" s="221"/>
      <c r="Y366" s="227"/>
      <c r="Z366" s="227" t="str">
        <f>P366</f>
        <v>Sitirejo RW 01 Wagir</v>
      </c>
      <c r="AA366" s="276" t="e">
        <f>VLOOKUP(Logfile_S[[#This Row],[DO number]],DO_DB!G:I,3,0)</f>
        <v>#N/A</v>
      </c>
      <c r="AB366" s="331" t="e">
        <f>EXACT(Logfile_S[[#This Row],[date pick]],Logfile_S[[#This Row],[Date]])</f>
        <v>#N/A</v>
      </c>
      <c r="AC3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67" spans="1:29" ht="14.5">
      <c r="A367" s="220" t="str">
        <f>TEXT(ROW(A367)-ROW($A$4),"000")</f>
        <v>363</v>
      </c>
      <c r="B367" s="221"/>
      <c r="C367" s="221" t="s">
        <v>49</v>
      </c>
      <c r="D367" s="221" t="s">
        <v>3847</v>
      </c>
      <c r="E367" s="221" t="s">
        <v>3295</v>
      </c>
      <c r="F367" s="221" t="s">
        <v>3299</v>
      </c>
      <c r="G367" s="222">
        <v>45286</v>
      </c>
      <c r="H367" s="223">
        <v>0.3923611111111111</v>
      </c>
      <c r="I367" s="221" t="s">
        <v>4916</v>
      </c>
      <c r="J367" s="221" t="s">
        <v>3023</v>
      </c>
      <c r="K367" s="224" t="s">
        <v>3073</v>
      </c>
      <c r="L367" s="225" t="str">
        <f>VLOOKUP(Logfile_S[[#This Row],[Material Name]],Sheet2!B:C,2,0)</f>
        <v>ZTE2001</v>
      </c>
      <c r="M367" s="225" t="str">
        <f>_xlfn.XLOOKUP(Logfile_S[[#This Row],[Material Name]],Sum_WH!E:E,Sum_WH!F:F,"",0)</f>
        <v>Meter</v>
      </c>
      <c r="N367" s="221">
        <v>3000</v>
      </c>
      <c r="O367" s="221" t="s">
        <v>732</v>
      </c>
      <c r="P367" s="221" t="s">
        <v>733</v>
      </c>
      <c r="Q367" s="221"/>
      <c r="R367" s="221"/>
      <c r="S367" s="221"/>
      <c r="T367" s="221" t="s">
        <v>3258</v>
      </c>
      <c r="U367" s="221" t="s">
        <v>3228</v>
      </c>
      <c r="V367" s="221" t="s">
        <v>3337</v>
      </c>
      <c r="W367" s="221" t="s">
        <v>3338</v>
      </c>
      <c r="X367" s="221" t="s">
        <v>3848</v>
      </c>
      <c r="Y367" s="236" t="s">
        <v>5090</v>
      </c>
      <c r="Z367" s="227" t="str">
        <f>P367</f>
        <v>Sitirejo RW 01 Wagir</v>
      </c>
      <c r="AA367" s="276" t="e">
        <f>VLOOKUP(Logfile_S[[#This Row],[DO number]],DO_DB!G:I,3,0)</f>
        <v>#N/A</v>
      </c>
      <c r="AB367" s="331" t="e">
        <f>EXACT(Logfile_S[[#This Row],[date pick]],Logfile_S[[#This Row],[Date]])</f>
        <v>#N/A</v>
      </c>
      <c r="AC3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24C-20231226-01</v>
      </c>
    </row>
    <row r="368" spans="1:29" ht="14.5">
      <c r="A368" s="220" t="str">
        <f>TEXT(ROW(A368)-ROW($A$4),"000")</f>
        <v>364</v>
      </c>
      <c r="B368" s="221"/>
      <c r="C368" s="221" t="s">
        <v>49</v>
      </c>
      <c r="D368" s="221" t="s">
        <v>3846</v>
      </c>
      <c r="E368" s="221" t="s">
        <v>3295</v>
      </c>
      <c r="F368" s="221" t="s">
        <v>3299</v>
      </c>
      <c r="G368" s="222">
        <v>45286</v>
      </c>
      <c r="H368" s="223">
        <v>0.3923611111111111</v>
      </c>
      <c r="I368" s="221" t="s">
        <v>4916</v>
      </c>
      <c r="J368" s="221" t="s">
        <v>3024</v>
      </c>
      <c r="K368" s="224" t="s">
        <v>3091</v>
      </c>
      <c r="L368" s="225" t="str">
        <f>VLOOKUP(Logfile_S[[#This Row],[Material Name]],Sheet2!B:C,2,0)</f>
        <v>GCI1005</v>
      </c>
      <c r="M368" s="225" t="str">
        <f>_xlfn.XLOOKUP(Logfile_S[[#This Row],[Material Name]],Sum_WH!E:E,Sum_WH!F:F,"",0)</f>
        <v>Pcs</v>
      </c>
      <c r="N368" s="221">
        <v>22</v>
      </c>
      <c r="O368" s="221" t="s">
        <v>732</v>
      </c>
      <c r="P368" s="221" t="s">
        <v>733</v>
      </c>
      <c r="Q368" s="221"/>
      <c r="R368" s="221"/>
      <c r="S368" s="221"/>
      <c r="T368" s="221" t="s">
        <v>3231</v>
      </c>
      <c r="U368" s="221" t="s">
        <v>3228</v>
      </c>
      <c r="V368" s="221" t="s">
        <v>3232</v>
      </c>
      <c r="W368" s="221" t="s">
        <v>3355</v>
      </c>
      <c r="X368" s="221"/>
      <c r="Y368" s="227"/>
      <c r="Z368" s="227" t="str">
        <f>P368</f>
        <v>Sitirejo RW 01 Wagir</v>
      </c>
      <c r="AA368" s="276" t="e">
        <f>VLOOKUP(Logfile_S[[#This Row],[DO number]],DO_DB!G:I,3,0)</f>
        <v>#N/A</v>
      </c>
      <c r="AB368" s="331" t="e">
        <f>EXACT(Logfile_S[[#This Row],[date pick]],Logfile_S[[#This Row],[Date]])</f>
        <v>#N/A</v>
      </c>
      <c r="AC3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69" spans="1:29" ht="14.5">
      <c r="A369" s="220" t="str">
        <f>TEXT(ROW(A369)-ROW($A$4),"000")</f>
        <v>365</v>
      </c>
      <c r="B369" s="221"/>
      <c r="C369" s="221" t="s">
        <v>49</v>
      </c>
      <c r="D369" s="221" t="s">
        <v>3846</v>
      </c>
      <c r="E369" s="221" t="s">
        <v>3295</v>
      </c>
      <c r="F369" s="221" t="s">
        <v>3299</v>
      </c>
      <c r="G369" s="222">
        <v>45286</v>
      </c>
      <c r="H369" s="223">
        <v>0.3923611111111111</v>
      </c>
      <c r="I369" s="221" t="s">
        <v>4916</v>
      </c>
      <c r="J369" s="221" t="s">
        <v>3024</v>
      </c>
      <c r="K369" s="224" t="s">
        <v>5137</v>
      </c>
      <c r="L369" s="225" t="str">
        <f>VLOOKUP(Logfile_S[[#This Row],[Material Name]],Sheet2!B:C,2,0)</f>
        <v>GCI1009</v>
      </c>
      <c r="M369" s="225" t="str">
        <f>_xlfn.XLOOKUP(Logfile_S[[#This Row],[Material Name]],Sum_WH!E:E,Sum_WH!F:F,"",0)</f>
        <v>Pcs</v>
      </c>
      <c r="N369" s="221">
        <v>6</v>
      </c>
      <c r="O369" s="221" t="s">
        <v>732</v>
      </c>
      <c r="P369" s="221" t="s">
        <v>733</v>
      </c>
      <c r="Q369" s="221"/>
      <c r="R369" s="221"/>
      <c r="S369" s="221"/>
      <c r="T369" s="221" t="s">
        <v>3231</v>
      </c>
      <c r="U369" s="221" t="s">
        <v>3228</v>
      </c>
      <c r="V369" s="221" t="s">
        <v>3232</v>
      </c>
      <c r="W369" s="221" t="s">
        <v>3355</v>
      </c>
      <c r="X369" s="221"/>
      <c r="Y369" s="227"/>
      <c r="Z369" s="227" t="str">
        <f>P369</f>
        <v>Sitirejo RW 01 Wagir</v>
      </c>
      <c r="AA369" s="276" t="e">
        <f>VLOOKUP(Logfile_S[[#This Row],[DO number]],DO_DB!G:I,3,0)</f>
        <v>#N/A</v>
      </c>
      <c r="AB369" s="331" t="e">
        <f>EXACT(Logfile_S[[#This Row],[date pick]],Logfile_S[[#This Row],[Date]])</f>
        <v>#N/A</v>
      </c>
      <c r="AC3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70" spans="1:29" ht="14.5">
      <c r="A370" s="220" t="str">
        <f>TEXT(ROW(A370)-ROW($A$4),"000")</f>
        <v>366</v>
      </c>
      <c r="B370" s="221"/>
      <c r="C370" s="221" t="s">
        <v>49</v>
      </c>
      <c r="D370" s="221" t="s">
        <v>3846</v>
      </c>
      <c r="E370" s="221" t="s">
        <v>3295</v>
      </c>
      <c r="F370" s="221" t="s">
        <v>3299</v>
      </c>
      <c r="G370" s="222">
        <v>45286</v>
      </c>
      <c r="H370" s="223">
        <v>0.3923611111111111</v>
      </c>
      <c r="I370" s="221" t="s">
        <v>4916</v>
      </c>
      <c r="J370" s="221" t="s">
        <v>3023</v>
      </c>
      <c r="K370" s="224" t="s">
        <v>13</v>
      </c>
      <c r="L370" s="225" t="str">
        <f>VLOOKUP(Logfile_S[[#This Row],[Material Name]],Sheet2!B:C,2,0)</f>
        <v>ZTE2008</v>
      </c>
      <c r="M370" s="225" t="str">
        <f>_xlfn.XLOOKUP(Logfile_S[[#This Row],[Material Name]],Sum_WH!E:E,Sum_WH!F:F,"",0)</f>
        <v>Pcs</v>
      </c>
      <c r="N370" s="221">
        <v>16</v>
      </c>
      <c r="O370" s="221" t="s">
        <v>732</v>
      </c>
      <c r="P370" s="221" t="s">
        <v>733</v>
      </c>
      <c r="Q370" s="221"/>
      <c r="R370" s="221"/>
      <c r="S370" s="221"/>
      <c r="T370" s="221" t="s">
        <v>3231</v>
      </c>
      <c r="U370" s="221" t="s">
        <v>3228</v>
      </c>
      <c r="V370" s="221" t="s">
        <v>3232</v>
      </c>
      <c r="W370" s="221" t="s">
        <v>3355</v>
      </c>
      <c r="X370" s="221"/>
      <c r="Y370" s="227"/>
      <c r="Z370" s="227" t="str">
        <f>P370</f>
        <v>Sitirejo RW 01 Wagir</v>
      </c>
      <c r="AA370" s="276" t="e">
        <f>VLOOKUP(Logfile_S[[#This Row],[DO number]],DO_DB!G:I,3,0)</f>
        <v>#N/A</v>
      </c>
      <c r="AB370" s="331" t="e">
        <f>EXACT(Logfile_S[[#This Row],[date pick]],Logfile_S[[#This Row],[Date]])</f>
        <v>#N/A</v>
      </c>
      <c r="AC3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71" spans="1:29" ht="14.5">
      <c r="A371" s="220" t="str">
        <f>TEXT(ROW(A371)-ROW($A$4),"000")</f>
        <v>367</v>
      </c>
      <c r="B371" s="221"/>
      <c r="C371" s="221" t="s">
        <v>49</v>
      </c>
      <c r="D371" s="221" t="s">
        <v>3846</v>
      </c>
      <c r="E371" s="221" t="s">
        <v>3295</v>
      </c>
      <c r="F371" s="221" t="s">
        <v>3299</v>
      </c>
      <c r="G371" s="222">
        <v>45286</v>
      </c>
      <c r="H371" s="223">
        <v>0.3923611111111111</v>
      </c>
      <c r="I371" s="221" t="s">
        <v>4916</v>
      </c>
      <c r="J371" s="221" t="s">
        <v>3023</v>
      </c>
      <c r="K371" s="224" t="s">
        <v>14</v>
      </c>
      <c r="L371" s="225" t="str">
        <f>VLOOKUP(Logfile_S[[#This Row],[Material Name]],Sheet2!B:C,2,0)</f>
        <v>ZTE2005</v>
      </c>
      <c r="M371" s="225" t="str">
        <f>_xlfn.XLOOKUP(Logfile_S[[#This Row],[Material Name]],Sum_WH!E:E,Sum_WH!F:F,"",0)</f>
        <v>Pcs</v>
      </c>
      <c r="N371" s="221">
        <v>1</v>
      </c>
      <c r="O371" s="221" t="s">
        <v>732</v>
      </c>
      <c r="P371" s="221" t="s">
        <v>733</v>
      </c>
      <c r="Q371" s="221"/>
      <c r="R371" s="221"/>
      <c r="S371" s="221"/>
      <c r="T371" s="221" t="s">
        <v>3231</v>
      </c>
      <c r="U371" s="221" t="s">
        <v>3228</v>
      </c>
      <c r="V371" s="221" t="s">
        <v>3232</v>
      </c>
      <c r="W371" s="221" t="s">
        <v>3355</v>
      </c>
      <c r="X371" s="221"/>
      <c r="Y371" s="227"/>
      <c r="Z371" s="227" t="str">
        <f>P371</f>
        <v>Sitirejo RW 01 Wagir</v>
      </c>
      <c r="AA371" s="276" t="e">
        <f>VLOOKUP(Logfile_S[[#This Row],[DO number]],DO_DB!G:I,3,0)</f>
        <v>#N/A</v>
      </c>
      <c r="AB371" s="331" t="e">
        <f>EXACT(Logfile_S[[#This Row],[date pick]],Logfile_S[[#This Row],[Date]])</f>
        <v>#N/A</v>
      </c>
      <c r="AC3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72" spans="1:29" ht="14.5">
      <c r="A372" s="220" t="str">
        <f>TEXT(ROW(A372)-ROW($A$4),"000")</f>
        <v>368</v>
      </c>
      <c r="B372" s="221"/>
      <c r="C372" s="221" t="s">
        <v>49</v>
      </c>
      <c r="D372" s="221" t="s">
        <v>3846</v>
      </c>
      <c r="E372" s="221" t="s">
        <v>3295</v>
      </c>
      <c r="F372" s="221" t="s">
        <v>3299</v>
      </c>
      <c r="G372" s="222">
        <v>45286</v>
      </c>
      <c r="H372" s="223">
        <v>0.3923611111111111</v>
      </c>
      <c r="I372" s="221" t="s">
        <v>4916</v>
      </c>
      <c r="J372" s="221" t="s">
        <v>3023</v>
      </c>
      <c r="K372" s="224" t="s">
        <v>3072</v>
      </c>
      <c r="L372" s="225" t="str">
        <f>VLOOKUP(Logfile_S[[#This Row],[Material Name]],Sheet2!B:C,2,0)</f>
        <v>ZTE1004</v>
      </c>
      <c r="M372" s="225" t="str">
        <f>_xlfn.XLOOKUP(Logfile_S[[#This Row],[Material Name]],Sum_WH!E:E,Sum_WH!F:F,"",0)</f>
        <v>Pcs</v>
      </c>
      <c r="N372" s="221">
        <v>1</v>
      </c>
      <c r="O372" s="221" t="s">
        <v>732</v>
      </c>
      <c r="P372" s="221" t="s">
        <v>733</v>
      </c>
      <c r="Q372" s="221"/>
      <c r="R372" s="221"/>
      <c r="S372" s="221"/>
      <c r="T372" s="221" t="s">
        <v>3231</v>
      </c>
      <c r="U372" s="221" t="s">
        <v>3228</v>
      </c>
      <c r="V372" s="221" t="s">
        <v>3232</v>
      </c>
      <c r="W372" s="221" t="s">
        <v>3355</v>
      </c>
      <c r="X372" s="221"/>
      <c r="Y372" s="227"/>
      <c r="Z372" s="227" t="str">
        <f>P372</f>
        <v>Sitirejo RW 01 Wagir</v>
      </c>
      <c r="AA372" s="276" t="e">
        <f>VLOOKUP(Logfile_S[[#This Row],[DO number]],DO_DB!G:I,3,0)</f>
        <v>#N/A</v>
      </c>
      <c r="AB372" s="331" t="e">
        <f>EXACT(Logfile_S[[#This Row],[date pick]],Logfile_S[[#This Row],[Date]])</f>
        <v>#N/A</v>
      </c>
      <c r="AC3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73" spans="1:29" ht="14.5">
      <c r="A373" s="220" t="str">
        <f>TEXT(ROW(A373)-ROW($A$4),"000")</f>
        <v>369</v>
      </c>
      <c r="B373" s="221"/>
      <c r="C373" s="221" t="s">
        <v>49</v>
      </c>
      <c r="D373" s="221" t="s">
        <v>3866</v>
      </c>
      <c r="E373" s="221" t="s">
        <v>3295</v>
      </c>
      <c r="F373" s="221" t="s">
        <v>3299</v>
      </c>
      <c r="G373" s="222">
        <v>45307</v>
      </c>
      <c r="H373" s="223">
        <v>0.3923611111111111</v>
      </c>
      <c r="I373" s="221" t="s">
        <v>4916</v>
      </c>
      <c r="J373" s="221" t="s">
        <v>3024</v>
      </c>
      <c r="K373" s="224" t="s">
        <v>3091</v>
      </c>
      <c r="L373" s="225" t="str">
        <f>VLOOKUP(Logfile_S[[#This Row],[Material Name]],Sheet2!B:C,2,0)</f>
        <v>GCI1005</v>
      </c>
      <c r="M373" s="225" t="str">
        <f>_xlfn.XLOOKUP(Logfile_S[[#This Row],[Material Name]],Sum_WH!E:E,Sum_WH!F:F,"",0)</f>
        <v>Pcs</v>
      </c>
      <c r="N373" s="221">
        <v>30</v>
      </c>
      <c r="O373" s="221" t="s">
        <v>732</v>
      </c>
      <c r="P373" s="221" t="s">
        <v>733</v>
      </c>
      <c r="Q373" s="221"/>
      <c r="R373" s="221"/>
      <c r="S373" s="221"/>
      <c r="T373" s="221" t="s">
        <v>3356</v>
      </c>
      <c r="U373" s="221" t="s">
        <v>3228</v>
      </c>
      <c r="V373" s="221" t="s">
        <v>3357</v>
      </c>
      <c r="W373" s="221" t="s">
        <v>3358</v>
      </c>
      <c r="X373" s="221"/>
      <c r="Y373" s="227"/>
      <c r="Z373" s="227" t="str">
        <f>P373</f>
        <v>Sitirejo RW 01 Wagir</v>
      </c>
      <c r="AA373" s="276" t="e">
        <f>VLOOKUP(Logfile_S[[#This Row],[DO number]],DO_DB!G:I,3,0)</f>
        <v>#N/A</v>
      </c>
      <c r="AB373" s="331" t="e">
        <f>EXACT(Logfile_S[[#This Row],[date pick]],Logfile_S[[#This Row],[Date]])</f>
        <v>#N/A</v>
      </c>
      <c r="AC3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74" spans="1:29" ht="14.5">
      <c r="A374" s="220" t="str">
        <f>TEXT(ROW(A374)-ROW($A$4),"000")</f>
        <v>370</v>
      </c>
      <c r="B374" s="221"/>
      <c r="C374" s="221" t="s">
        <v>48</v>
      </c>
      <c r="D374" s="221" t="s">
        <v>3867</v>
      </c>
      <c r="E374" s="221" t="s">
        <v>3295</v>
      </c>
      <c r="F374" s="221" t="s">
        <v>3299</v>
      </c>
      <c r="G374" s="222">
        <v>45307</v>
      </c>
      <c r="H374" s="223">
        <v>15.291666666666666</v>
      </c>
      <c r="I374" s="221" t="s">
        <v>3586</v>
      </c>
      <c r="J374" s="221" t="s">
        <v>3024</v>
      </c>
      <c r="K374" s="224" t="s">
        <v>3090</v>
      </c>
      <c r="L374" s="225" t="str">
        <f>VLOOKUP(Logfile_S[[#This Row],[Material Name]],Sheet2!B:C,2,0)</f>
        <v>GCI1004</v>
      </c>
      <c r="M374" s="225" t="str">
        <f>_xlfn.XLOOKUP(Logfile_S[[#This Row],[Material Name]],Sum_WH!E:E,Sum_WH!F:F,"",0)</f>
        <v>Pcs</v>
      </c>
      <c r="N374" s="221">
        <v>15</v>
      </c>
      <c r="O374" s="221" t="s">
        <v>732</v>
      </c>
      <c r="P374" s="221" t="s">
        <v>733</v>
      </c>
      <c r="Q374" s="221">
        <v>0</v>
      </c>
      <c r="R374" s="221">
        <v>0</v>
      </c>
      <c r="S374" s="221"/>
      <c r="T374" s="221"/>
      <c r="U374" s="221"/>
      <c r="V374" s="221"/>
      <c r="W374" s="221"/>
      <c r="X374" s="221" t="s">
        <v>3359</v>
      </c>
      <c r="Y374" s="227"/>
      <c r="Z374" s="227" t="str">
        <f>P374</f>
        <v>Sitirejo RW 01 Wagir</v>
      </c>
      <c r="AA374" s="276" t="e">
        <f>VLOOKUP(Logfile_S[[#This Row],[DO number]],DO_DB!G:I,3,0)</f>
        <v>#N/A</v>
      </c>
      <c r="AB374" s="331" t="e">
        <f>EXACT(Logfile_S[[#This Row],[date pick]],Logfile_S[[#This Row],[Date]])</f>
        <v>#N/A</v>
      </c>
      <c r="AC3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75" spans="1:29" ht="14.5">
      <c r="A375" s="237" t="str">
        <f>TEXT(ROW(A375)-ROW($A$4),"000")</f>
        <v>371</v>
      </c>
      <c r="B375" s="221">
        <v>2</v>
      </c>
      <c r="C375" s="227" t="s">
        <v>49</v>
      </c>
      <c r="D375" s="227" t="s">
        <v>4823</v>
      </c>
      <c r="E375" s="227" t="s">
        <v>3295</v>
      </c>
      <c r="F375" s="227" t="s">
        <v>3299</v>
      </c>
      <c r="G375" s="239">
        <v>46042</v>
      </c>
      <c r="H375" s="240">
        <v>0.68888888888888899</v>
      </c>
      <c r="I375" s="227" t="s">
        <v>3295</v>
      </c>
      <c r="J375" s="221" t="s">
        <v>3023</v>
      </c>
      <c r="K375" s="241" t="s">
        <v>4731</v>
      </c>
      <c r="L375" s="225" t="str">
        <f>VLOOKUP(Logfile_S[[#This Row],[Material Name]],Sheet2!B:C,2,0)</f>
        <v>ZTE1007</v>
      </c>
      <c r="M375" s="242" t="s">
        <v>19</v>
      </c>
      <c r="N375" s="227">
        <v>6</v>
      </c>
      <c r="O375" s="227" t="s">
        <v>4813</v>
      </c>
      <c r="P375" s="227" t="s">
        <v>4816</v>
      </c>
      <c r="Q375" s="227" t="s">
        <v>4818</v>
      </c>
      <c r="R375" s="227" t="s">
        <v>4819</v>
      </c>
      <c r="S375" s="227"/>
      <c r="T375" s="227" t="s">
        <v>3258</v>
      </c>
      <c r="U375" s="227" t="s">
        <v>4811</v>
      </c>
      <c r="V375" s="227" t="s">
        <v>3337</v>
      </c>
      <c r="W375" s="227" t="s">
        <v>3338</v>
      </c>
      <c r="X375" s="227"/>
      <c r="Y375" s="227"/>
      <c r="Z375" s="227" t="str">
        <f>P375</f>
        <v>Griya Kebon Agung Indah</v>
      </c>
      <c r="AA375" s="276">
        <f>VLOOKUP(Logfile_S[[#This Row],[DO number]],DO_DB!G:I,3,0)</f>
        <v>46041</v>
      </c>
      <c r="AB375" s="331" t="b">
        <f>EXACT(Logfile_S[[#This Row],[date pick]],Logfile_S[[#This Row],[Date]])</f>
        <v>0</v>
      </c>
      <c r="AC3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76" spans="1:29" ht="14.5">
      <c r="A376" s="237" t="str">
        <f>TEXT(ROW(A376)-ROW($A$4),"000")</f>
        <v>372</v>
      </c>
      <c r="B376" s="221">
        <v>1</v>
      </c>
      <c r="C376" s="227" t="s">
        <v>49</v>
      </c>
      <c r="D376" s="227" t="s">
        <v>4823</v>
      </c>
      <c r="E376" s="227" t="s">
        <v>3295</v>
      </c>
      <c r="F376" s="227" t="s">
        <v>3299</v>
      </c>
      <c r="G376" s="239">
        <v>46042</v>
      </c>
      <c r="H376" s="240">
        <v>0.68888888888888899</v>
      </c>
      <c r="I376" s="227" t="s">
        <v>3295</v>
      </c>
      <c r="J376" s="221" t="s">
        <v>3023</v>
      </c>
      <c r="K376" s="241" t="s">
        <v>3070</v>
      </c>
      <c r="L376" s="225" t="str">
        <f>VLOOKUP(Logfile_S[[#This Row],[Material Name]],Sheet2!B:C,2,0)</f>
        <v>ZTE1002</v>
      </c>
      <c r="M376" s="242" t="s">
        <v>19</v>
      </c>
      <c r="N376" s="227">
        <v>25</v>
      </c>
      <c r="O376" s="227" t="s">
        <v>4813</v>
      </c>
      <c r="P376" s="227" t="s">
        <v>4816</v>
      </c>
      <c r="Q376" s="227" t="s">
        <v>4818</v>
      </c>
      <c r="R376" s="227" t="s">
        <v>4819</v>
      </c>
      <c r="S376" s="227"/>
      <c r="T376" s="227" t="s">
        <v>3258</v>
      </c>
      <c r="U376" s="227" t="s">
        <v>4811</v>
      </c>
      <c r="V376" s="227" t="s">
        <v>3337</v>
      </c>
      <c r="W376" s="227" t="s">
        <v>3338</v>
      </c>
      <c r="X376" s="227"/>
      <c r="Y376" s="227"/>
      <c r="Z376" s="227" t="str">
        <f>P376</f>
        <v>Griya Kebon Agung Indah</v>
      </c>
      <c r="AA376" s="276">
        <f>VLOOKUP(Logfile_S[[#This Row],[DO number]],DO_DB!G:I,3,0)</f>
        <v>46041</v>
      </c>
      <c r="AB376" s="331" t="b">
        <f>EXACT(Logfile_S[[#This Row],[date pick]],Logfile_S[[#This Row],[Date]])</f>
        <v>0</v>
      </c>
      <c r="AC3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77" spans="1:29" ht="14.5">
      <c r="A377" s="237" t="str">
        <f>TEXT(ROW(A377)-ROW($A$4),"000")</f>
        <v>373</v>
      </c>
      <c r="B377" s="221">
        <v>4</v>
      </c>
      <c r="C377" s="227" t="s">
        <v>48</v>
      </c>
      <c r="D377" s="227" t="s">
        <v>4812</v>
      </c>
      <c r="E377" s="227" t="s">
        <v>3295</v>
      </c>
      <c r="F377" s="227" t="s">
        <v>3299</v>
      </c>
      <c r="G377" s="239">
        <v>46041</v>
      </c>
      <c r="H377" s="240">
        <v>0.25138888888888888</v>
      </c>
      <c r="I377" s="227" t="s">
        <v>37</v>
      </c>
      <c r="J377" s="221" t="s">
        <v>3023</v>
      </c>
      <c r="K377" s="241" t="s">
        <v>13</v>
      </c>
      <c r="L377" s="225" t="str">
        <f>VLOOKUP(Logfile_S[[#This Row],[Material Name]],Sheet2!B:C,2,0)</f>
        <v>ZTE2008</v>
      </c>
      <c r="M377" s="242" t="s">
        <v>19</v>
      </c>
      <c r="N377" s="227">
        <v>13</v>
      </c>
      <c r="O377" s="227" t="s">
        <v>4813</v>
      </c>
      <c r="P377" s="227" t="s">
        <v>4815</v>
      </c>
      <c r="Q377" s="227" t="s">
        <v>4820</v>
      </c>
      <c r="R377" s="227" t="s">
        <v>4819</v>
      </c>
      <c r="S377" s="227"/>
      <c r="T377" s="227" t="s">
        <v>3258</v>
      </c>
      <c r="U377" s="227" t="s">
        <v>4811</v>
      </c>
      <c r="V377" s="221" t="s">
        <v>3337</v>
      </c>
      <c r="W377" s="227" t="s">
        <v>3338</v>
      </c>
      <c r="X377" s="227"/>
      <c r="Y377" s="227"/>
      <c r="Z377" s="227" t="str">
        <f>P377</f>
        <v>KEBONAGUNG RW 06 PAKISAJI</v>
      </c>
      <c r="AA377" s="276">
        <f>VLOOKUP(Logfile_S[[#This Row],[DO number]],DO_DB!G:I,3,0)</f>
        <v>46041</v>
      </c>
      <c r="AB377" s="331" t="b">
        <f>EXACT(Logfile_S[[#This Row],[date pick]],Logfile_S[[#This Row],[Date]])</f>
        <v>1</v>
      </c>
      <c r="AC3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78" spans="1:29" ht="14.5">
      <c r="A378" s="237" t="str">
        <f>TEXT(ROW(A378)-ROW($A$4),"000")</f>
        <v>374</v>
      </c>
      <c r="B378" s="221">
        <v>3</v>
      </c>
      <c r="C378" s="227" t="s">
        <v>48</v>
      </c>
      <c r="D378" s="227" t="s">
        <v>4812</v>
      </c>
      <c r="E378" s="227" t="s">
        <v>3295</v>
      </c>
      <c r="F378" s="227" t="s">
        <v>3299</v>
      </c>
      <c r="G378" s="239">
        <v>46041</v>
      </c>
      <c r="H378" s="240">
        <v>0.25138888888888888</v>
      </c>
      <c r="I378" s="227" t="s">
        <v>37</v>
      </c>
      <c r="J378" s="221" t="s">
        <v>3023</v>
      </c>
      <c r="K378" s="241" t="s">
        <v>4731</v>
      </c>
      <c r="L378" s="225" t="str">
        <f>VLOOKUP(Logfile_S[[#This Row],[Material Name]],Sheet2!B:C,2,0)</f>
        <v>ZTE1007</v>
      </c>
      <c r="M378" s="242" t="s">
        <v>19</v>
      </c>
      <c r="N378" s="227">
        <v>12</v>
      </c>
      <c r="O378" s="227" t="s">
        <v>4813</v>
      </c>
      <c r="P378" s="227" t="s">
        <v>4815</v>
      </c>
      <c r="Q378" s="227" t="s">
        <v>4820</v>
      </c>
      <c r="R378" s="227" t="s">
        <v>4819</v>
      </c>
      <c r="S378" s="227"/>
      <c r="T378" s="227" t="s">
        <v>3258</v>
      </c>
      <c r="U378" s="227" t="s">
        <v>4811</v>
      </c>
      <c r="V378" s="221" t="s">
        <v>3337</v>
      </c>
      <c r="W378" s="227" t="s">
        <v>3338</v>
      </c>
      <c r="X378" s="227"/>
      <c r="Y378" s="227"/>
      <c r="Z378" s="227" t="str">
        <f>P378</f>
        <v>KEBONAGUNG RW 06 PAKISAJI</v>
      </c>
      <c r="AA378" s="276">
        <f>VLOOKUP(Logfile_S[[#This Row],[DO number]],DO_DB!G:I,3,0)</f>
        <v>46041</v>
      </c>
      <c r="AB378" s="331" t="b">
        <f>EXACT(Logfile_S[[#This Row],[date pick]],Logfile_S[[#This Row],[Date]])</f>
        <v>1</v>
      </c>
      <c r="AC3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79" spans="1:29" ht="14.5">
      <c r="A379" s="237" t="str">
        <f>TEXT(ROW(A379)-ROW($A$4),"000")</f>
        <v>375</v>
      </c>
      <c r="B379" s="221">
        <v>2</v>
      </c>
      <c r="C379" s="227" t="s">
        <v>48</v>
      </c>
      <c r="D379" s="227" t="s">
        <v>4812</v>
      </c>
      <c r="E379" s="227" t="s">
        <v>3295</v>
      </c>
      <c r="F379" s="227" t="s">
        <v>3299</v>
      </c>
      <c r="G379" s="239">
        <v>46041</v>
      </c>
      <c r="H379" s="240">
        <v>0.25138888888888888</v>
      </c>
      <c r="I379" s="227" t="s">
        <v>37</v>
      </c>
      <c r="J379" s="221" t="s">
        <v>3023</v>
      </c>
      <c r="K379" s="241" t="s">
        <v>3070</v>
      </c>
      <c r="L379" s="225" t="str">
        <f>VLOOKUP(Logfile_S[[#This Row],[Material Name]],Sheet2!B:C,2,0)</f>
        <v>ZTE1002</v>
      </c>
      <c r="M379" s="242" t="s">
        <v>19</v>
      </c>
      <c r="N379" s="227">
        <v>13</v>
      </c>
      <c r="O379" s="227" t="s">
        <v>4813</v>
      </c>
      <c r="P379" s="227" t="s">
        <v>4815</v>
      </c>
      <c r="Q379" s="227" t="s">
        <v>4820</v>
      </c>
      <c r="R379" s="227" t="s">
        <v>4819</v>
      </c>
      <c r="S379" s="227"/>
      <c r="T379" s="227" t="s">
        <v>3258</v>
      </c>
      <c r="U379" s="227" t="s">
        <v>4811</v>
      </c>
      <c r="V379" s="221" t="s">
        <v>3337</v>
      </c>
      <c r="W379" s="227" t="s">
        <v>3338</v>
      </c>
      <c r="X379" s="227"/>
      <c r="Y379" s="227"/>
      <c r="Z379" s="227" t="str">
        <f>P379</f>
        <v>KEBONAGUNG RW 06 PAKISAJI</v>
      </c>
      <c r="AA379" s="276">
        <f>VLOOKUP(Logfile_S[[#This Row],[DO number]],DO_DB!G:I,3,0)</f>
        <v>46041</v>
      </c>
      <c r="AB379" s="331" t="b">
        <f>EXACT(Logfile_S[[#This Row],[date pick]],Logfile_S[[#This Row],[Date]])</f>
        <v>1</v>
      </c>
      <c r="AC3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80" spans="1:29" ht="14.5">
      <c r="A380" s="237" t="str">
        <f>TEXT(ROW(A380)-ROW($A$4),"000")</f>
        <v>376</v>
      </c>
      <c r="B380" s="221">
        <v>1</v>
      </c>
      <c r="C380" s="227" t="s">
        <v>48</v>
      </c>
      <c r="D380" s="227" t="s">
        <v>4812</v>
      </c>
      <c r="E380" s="227" t="s">
        <v>3295</v>
      </c>
      <c r="F380" s="227" t="s">
        <v>3299</v>
      </c>
      <c r="G380" s="239">
        <v>46041</v>
      </c>
      <c r="H380" s="240">
        <v>0.25138888888888888</v>
      </c>
      <c r="I380" s="227" t="s">
        <v>37</v>
      </c>
      <c r="J380" s="221" t="s">
        <v>3023</v>
      </c>
      <c r="K380" s="241" t="s">
        <v>3069</v>
      </c>
      <c r="L380" s="225" t="str">
        <f>VLOOKUP(Logfile_S[[#This Row],[Material Name]],Sheet2!B:C,2,0)</f>
        <v>ZTE1001</v>
      </c>
      <c r="M380" s="242" t="s">
        <v>19</v>
      </c>
      <c r="N380" s="227">
        <v>1</v>
      </c>
      <c r="O380" s="227" t="s">
        <v>4813</v>
      </c>
      <c r="P380" s="227" t="s">
        <v>4815</v>
      </c>
      <c r="Q380" s="227" t="s">
        <v>4820</v>
      </c>
      <c r="R380" s="227" t="s">
        <v>4819</v>
      </c>
      <c r="S380" s="227"/>
      <c r="T380" s="227" t="s">
        <v>3258</v>
      </c>
      <c r="U380" s="227" t="s">
        <v>4811</v>
      </c>
      <c r="V380" s="221" t="s">
        <v>3337</v>
      </c>
      <c r="W380" s="227" t="s">
        <v>3338</v>
      </c>
      <c r="X380" s="227"/>
      <c r="Y380" s="227"/>
      <c r="Z380" s="227" t="str">
        <f>P380</f>
        <v>KEBONAGUNG RW 06 PAKISAJI</v>
      </c>
      <c r="AA380" s="276">
        <f>VLOOKUP(Logfile_S[[#This Row],[DO number]],DO_DB!G:I,3,0)</f>
        <v>46041</v>
      </c>
      <c r="AB380" s="331" t="b">
        <f>EXACT(Logfile_S[[#This Row],[date pick]],Logfile_S[[#This Row],[Date]])</f>
        <v>1</v>
      </c>
      <c r="AC3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81" spans="1:29" ht="14.5">
      <c r="A381" s="237" t="str">
        <f>TEXT(ROW(A381)-ROW($A$4),"000")</f>
        <v>377</v>
      </c>
      <c r="B381" s="221">
        <v>3</v>
      </c>
      <c r="C381" s="227" t="s">
        <v>49</v>
      </c>
      <c r="D381" s="227" t="s">
        <v>4823</v>
      </c>
      <c r="E381" s="227" t="s">
        <v>3295</v>
      </c>
      <c r="F381" s="227" t="s">
        <v>3299</v>
      </c>
      <c r="G381" s="239">
        <v>46042</v>
      </c>
      <c r="H381" s="240">
        <v>0.68888888888888899</v>
      </c>
      <c r="I381" s="227" t="s">
        <v>3295</v>
      </c>
      <c r="J381" s="221" t="s">
        <v>3023</v>
      </c>
      <c r="K381" s="241" t="s">
        <v>3073</v>
      </c>
      <c r="L381" s="225" t="str">
        <f>VLOOKUP(Logfile_S[[#This Row],[Material Name]],Sheet2!B:C,2,0)</f>
        <v>ZTE2001</v>
      </c>
      <c r="M381" s="242" t="s">
        <v>20</v>
      </c>
      <c r="N381" s="227">
        <v>3000</v>
      </c>
      <c r="O381" s="227" t="s">
        <v>4813</v>
      </c>
      <c r="P381" s="227" t="s">
        <v>4815</v>
      </c>
      <c r="Q381" s="227" t="s">
        <v>4820</v>
      </c>
      <c r="R381" s="227" t="s">
        <v>4819</v>
      </c>
      <c r="S381" s="227"/>
      <c r="T381" s="227" t="s">
        <v>3258</v>
      </c>
      <c r="U381" s="227" t="s">
        <v>4811</v>
      </c>
      <c r="V381" s="227" t="s">
        <v>3337</v>
      </c>
      <c r="W381" s="227" t="s">
        <v>3338</v>
      </c>
      <c r="X381" s="227"/>
      <c r="Y381" s="227"/>
      <c r="Z381" s="227" t="str">
        <f>P381</f>
        <v>KEBONAGUNG RW 06 PAKISAJI</v>
      </c>
      <c r="AA381" s="276">
        <f>VLOOKUP(Logfile_S[[#This Row],[DO number]],DO_DB!G:I,3,0)</f>
        <v>46041</v>
      </c>
      <c r="AB381" s="331" t="b">
        <f>EXACT(Logfile_S[[#This Row],[date pick]],Logfile_S[[#This Row],[Date]])</f>
        <v>0</v>
      </c>
      <c r="AC3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82" spans="1:29" ht="14.5">
      <c r="A382" s="237" t="str">
        <f>TEXT(ROW(A382)-ROW($A$4),"000")</f>
        <v>378</v>
      </c>
      <c r="B382" s="221">
        <v>4</v>
      </c>
      <c r="C382" s="227" t="s">
        <v>49</v>
      </c>
      <c r="D382" s="227" t="s">
        <v>4822</v>
      </c>
      <c r="E382" s="227" t="s">
        <v>3295</v>
      </c>
      <c r="F382" s="227" t="s">
        <v>3299</v>
      </c>
      <c r="G382" s="239">
        <v>46042</v>
      </c>
      <c r="H382" s="240">
        <v>0.68888888888888899</v>
      </c>
      <c r="I382" s="227" t="s">
        <v>3295</v>
      </c>
      <c r="J382" s="221" t="s">
        <v>3023</v>
      </c>
      <c r="K382" s="241" t="s">
        <v>3074</v>
      </c>
      <c r="L382" s="225" t="str">
        <f>VLOOKUP(Logfile_S[[#This Row],[Material Name]],Sheet2!B:C,2,0)</f>
        <v>ZTE2002</v>
      </c>
      <c r="M382" s="242" t="s">
        <v>20</v>
      </c>
      <c r="N382" s="227">
        <v>3000</v>
      </c>
      <c r="O382" s="227" t="s">
        <v>4813</v>
      </c>
      <c r="P382" s="227" t="s">
        <v>4815</v>
      </c>
      <c r="Q382" s="227" t="s">
        <v>4820</v>
      </c>
      <c r="R382" s="227" t="s">
        <v>4819</v>
      </c>
      <c r="S382" s="227"/>
      <c r="T382" s="227" t="s">
        <v>3258</v>
      </c>
      <c r="U382" s="227" t="s">
        <v>4811</v>
      </c>
      <c r="V382" s="221" t="s">
        <v>3337</v>
      </c>
      <c r="W382" s="227" t="s">
        <v>3338</v>
      </c>
      <c r="X382" s="227"/>
      <c r="Y382" s="227"/>
      <c r="Z382" s="227" t="str">
        <f>P382</f>
        <v>KEBONAGUNG RW 06 PAKISAJI</v>
      </c>
      <c r="AA382" s="276">
        <f>VLOOKUP(Logfile_S[[#This Row],[DO number]],DO_DB!G:I,3,0)</f>
        <v>46041</v>
      </c>
      <c r="AB382" s="331" t="b">
        <f>EXACT(Logfile_S[[#This Row],[date pick]],Logfile_S[[#This Row],[Date]])</f>
        <v>0</v>
      </c>
      <c r="AC3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83" spans="1:29" ht="14.5">
      <c r="A383" s="237" t="str">
        <f>TEXT(ROW(A383)-ROW($A$4),"000")</f>
        <v>379</v>
      </c>
      <c r="B383" s="221"/>
      <c r="C383" s="227" t="s">
        <v>48</v>
      </c>
      <c r="D383" s="227" t="s">
        <v>4832</v>
      </c>
      <c r="E383" s="227" t="s">
        <v>3295</v>
      </c>
      <c r="F383" s="227" t="s">
        <v>3299</v>
      </c>
      <c r="G383" s="239">
        <v>46042</v>
      </c>
      <c r="H383" s="240">
        <v>0.25138888888888888</v>
      </c>
      <c r="I383" s="227" t="s">
        <v>3586</v>
      </c>
      <c r="J383" s="227" t="s">
        <v>3023</v>
      </c>
      <c r="K383" s="241" t="s">
        <v>4731</v>
      </c>
      <c r="L383" s="242" t="str">
        <f>VLOOKUP(Logfile_S[[#This Row],[Material Name]],Sheet2!B:C,2,0)</f>
        <v>ZTE1007</v>
      </c>
      <c r="M383" s="242" t="s">
        <v>19</v>
      </c>
      <c r="N383" s="227">
        <v>6</v>
      </c>
      <c r="O383" s="227" t="s">
        <v>4813</v>
      </c>
      <c r="P383" s="227" t="s">
        <v>4815</v>
      </c>
      <c r="Q383" s="227"/>
      <c r="R383" s="227"/>
      <c r="S383" s="227"/>
      <c r="T383" s="227"/>
      <c r="U383" s="227"/>
      <c r="V383" s="227"/>
      <c r="W383" s="227"/>
      <c r="X383" s="227"/>
      <c r="Y383" s="227"/>
      <c r="Z383" s="227" t="str">
        <f>P383</f>
        <v>KEBONAGUNG RW 06 PAKISAJI</v>
      </c>
      <c r="AA383" s="276" t="e">
        <f>VLOOKUP(Logfile_S[[#This Row],[DO number]],DO_DB!G:I,3,0)</f>
        <v>#N/A</v>
      </c>
      <c r="AB383" s="331" t="e">
        <f>EXACT(Logfile_S[[#This Row],[date pick]],Logfile_S[[#This Row],[Date]])</f>
        <v>#N/A</v>
      </c>
      <c r="AC3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84" spans="1:29" ht="14.5">
      <c r="A384" s="237" t="str">
        <f>TEXT(ROW(A384)-ROW($A$4),"000")</f>
        <v>380</v>
      </c>
      <c r="B384" s="221">
        <v>2</v>
      </c>
      <c r="C384" s="227" t="s">
        <v>49</v>
      </c>
      <c r="D384" s="227" t="s">
        <v>4822</v>
      </c>
      <c r="E384" s="227" t="s">
        <v>3295</v>
      </c>
      <c r="F384" s="227" t="s">
        <v>3299</v>
      </c>
      <c r="G384" s="239">
        <v>46042</v>
      </c>
      <c r="H384" s="240">
        <v>0.68888888888888899</v>
      </c>
      <c r="I384" s="227" t="s">
        <v>3295</v>
      </c>
      <c r="J384" s="221" t="s">
        <v>3023</v>
      </c>
      <c r="K384" s="241" t="s">
        <v>4731</v>
      </c>
      <c r="L384" s="225" t="str">
        <f>VLOOKUP(Logfile_S[[#This Row],[Material Name]],Sheet2!B:C,2,0)</f>
        <v>ZTE1007</v>
      </c>
      <c r="M384" s="242" t="s">
        <v>19</v>
      </c>
      <c r="N384" s="227">
        <v>12</v>
      </c>
      <c r="O384" s="227" t="s">
        <v>4813</v>
      </c>
      <c r="P384" s="227" t="s">
        <v>4815</v>
      </c>
      <c r="Q384" s="227" t="s">
        <v>4820</v>
      </c>
      <c r="R384" s="227" t="s">
        <v>4819</v>
      </c>
      <c r="S384" s="227"/>
      <c r="T384" s="227" t="s">
        <v>3258</v>
      </c>
      <c r="U384" s="227" t="s">
        <v>4811</v>
      </c>
      <c r="V384" s="221" t="s">
        <v>3337</v>
      </c>
      <c r="W384" s="227" t="s">
        <v>3338</v>
      </c>
      <c r="X384" s="227"/>
      <c r="Y384" s="227"/>
      <c r="Z384" s="227" t="str">
        <f>P384</f>
        <v>KEBONAGUNG RW 06 PAKISAJI</v>
      </c>
      <c r="AA384" s="276">
        <f>VLOOKUP(Logfile_S[[#This Row],[DO number]],DO_DB!G:I,3,0)</f>
        <v>46041</v>
      </c>
      <c r="AB384" s="331" t="b">
        <f>EXACT(Logfile_S[[#This Row],[date pick]],Logfile_S[[#This Row],[Date]])</f>
        <v>0</v>
      </c>
      <c r="AC3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85" spans="1:29" ht="14.5">
      <c r="A385" s="237" t="str">
        <f>TEXT(ROW(A385)-ROW($A$4),"000")</f>
        <v>381</v>
      </c>
      <c r="B385" s="221"/>
      <c r="C385" s="227" t="s">
        <v>48</v>
      </c>
      <c r="D385" s="227" t="s">
        <v>4832</v>
      </c>
      <c r="E385" s="227" t="s">
        <v>3295</v>
      </c>
      <c r="F385" s="227" t="s">
        <v>3299</v>
      </c>
      <c r="G385" s="239">
        <v>46042</v>
      </c>
      <c r="H385" s="240">
        <v>0.25138888888888888</v>
      </c>
      <c r="I385" s="227" t="s">
        <v>3586</v>
      </c>
      <c r="J385" s="227" t="s">
        <v>3023</v>
      </c>
      <c r="K385" s="241" t="s">
        <v>3070</v>
      </c>
      <c r="L385" s="242" t="str">
        <f>VLOOKUP(Logfile_S[[#This Row],[Material Name]],Sheet2!B:C,2,0)</f>
        <v>ZTE1002</v>
      </c>
      <c r="M385" s="242" t="s">
        <v>19</v>
      </c>
      <c r="N385" s="227">
        <v>8</v>
      </c>
      <c r="O385" s="227" t="s">
        <v>4813</v>
      </c>
      <c r="P385" s="227" t="s">
        <v>4815</v>
      </c>
      <c r="Q385" s="227"/>
      <c r="R385" s="227"/>
      <c r="S385" s="227"/>
      <c r="T385" s="227"/>
      <c r="U385" s="227"/>
      <c r="V385" s="227"/>
      <c r="W385" s="227"/>
      <c r="X385" s="227"/>
      <c r="Y385" s="227"/>
      <c r="Z385" s="227" t="str">
        <f>P385</f>
        <v>KEBONAGUNG RW 06 PAKISAJI</v>
      </c>
      <c r="AA385" s="276" t="e">
        <f>VLOOKUP(Logfile_S[[#This Row],[DO number]],DO_DB!G:I,3,0)</f>
        <v>#N/A</v>
      </c>
      <c r="AB385" s="331" t="e">
        <f>EXACT(Logfile_S[[#This Row],[date pick]],Logfile_S[[#This Row],[Date]])</f>
        <v>#N/A</v>
      </c>
      <c r="AC3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86" spans="1:29" ht="14.5">
      <c r="A386" s="237" t="str">
        <f>TEXT(ROW(A386)-ROW($A$4),"000")</f>
        <v>382</v>
      </c>
      <c r="B386" s="221">
        <v>1</v>
      </c>
      <c r="C386" s="227" t="s">
        <v>49</v>
      </c>
      <c r="D386" s="227" t="s">
        <v>4822</v>
      </c>
      <c r="E386" s="227" t="s">
        <v>3295</v>
      </c>
      <c r="F386" s="227" t="s">
        <v>3299</v>
      </c>
      <c r="G386" s="239">
        <v>46042</v>
      </c>
      <c r="H386" s="240">
        <v>0.68888888888888899</v>
      </c>
      <c r="I386" s="227" t="s">
        <v>3295</v>
      </c>
      <c r="J386" s="221" t="s">
        <v>3023</v>
      </c>
      <c r="K386" s="241" t="s">
        <v>3070</v>
      </c>
      <c r="L386" s="225" t="str">
        <f>VLOOKUP(Logfile_S[[#This Row],[Material Name]],Sheet2!B:C,2,0)</f>
        <v>ZTE1002</v>
      </c>
      <c r="M386" s="242" t="s">
        <v>19</v>
      </c>
      <c r="N386" s="227">
        <v>20</v>
      </c>
      <c r="O386" s="227" t="s">
        <v>4813</v>
      </c>
      <c r="P386" s="227" t="s">
        <v>4815</v>
      </c>
      <c r="Q386" s="227" t="s">
        <v>4820</v>
      </c>
      <c r="R386" s="227" t="s">
        <v>4819</v>
      </c>
      <c r="S386" s="227"/>
      <c r="T386" s="227" t="s">
        <v>3258</v>
      </c>
      <c r="U386" s="227" t="s">
        <v>4811</v>
      </c>
      <c r="V386" s="221" t="s">
        <v>3337</v>
      </c>
      <c r="W386" s="227" t="s">
        <v>3338</v>
      </c>
      <c r="X386" s="227"/>
      <c r="Y386" s="227"/>
      <c r="Z386" s="227" t="str">
        <f>P386</f>
        <v>KEBONAGUNG RW 06 PAKISAJI</v>
      </c>
      <c r="AA386" s="276">
        <f>VLOOKUP(Logfile_S[[#This Row],[DO number]],DO_DB!G:I,3,0)</f>
        <v>46041</v>
      </c>
      <c r="AB386" s="331" t="b">
        <f>EXACT(Logfile_S[[#This Row],[date pick]],Logfile_S[[#This Row],[Date]])</f>
        <v>0</v>
      </c>
      <c r="AC3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87" spans="1:29" ht="14.5">
      <c r="A387" s="237" t="str">
        <f>TEXT(ROW(A387)-ROW($A$4),"000")</f>
        <v>383</v>
      </c>
      <c r="B387" s="221">
        <v>3</v>
      </c>
      <c r="C387" s="227" t="s">
        <v>49</v>
      </c>
      <c r="D387" s="227" t="s">
        <v>4822</v>
      </c>
      <c r="E387" s="227" t="s">
        <v>3295</v>
      </c>
      <c r="F387" s="227" t="s">
        <v>3299</v>
      </c>
      <c r="G387" s="239">
        <v>46042</v>
      </c>
      <c r="H387" s="240">
        <v>0.68888888888888899</v>
      </c>
      <c r="I387" s="227" t="s">
        <v>3295</v>
      </c>
      <c r="J387" s="221" t="s">
        <v>3023</v>
      </c>
      <c r="K387" s="241" t="s">
        <v>3069</v>
      </c>
      <c r="L387" s="225" t="str">
        <f>VLOOKUP(Logfile_S[[#This Row],[Material Name]],Sheet2!B:C,2,0)</f>
        <v>ZTE1001</v>
      </c>
      <c r="M387" s="242" t="s">
        <v>19</v>
      </c>
      <c r="N387" s="227">
        <v>2</v>
      </c>
      <c r="O387" s="227" t="s">
        <v>4813</v>
      </c>
      <c r="P387" s="227" t="s">
        <v>4815</v>
      </c>
      <c r="Q387" s="227" t="s">
        <v>4820</v>
      </c>
      <c r="R387" s="227" t="s">
        <v>4819</v>
      </c>
      <c r="S387" s="227"/>
      <c r="T387" s="227" t="s">
        <v>3258</v>
      </c>
      <c r="U387" s="227" t="s">
        <v>4811</v>
      </c>
      <c r="V387" s="221" t="s">
        <v>3337</v>
      </c>
      <c r="W387" s="227" t="s">
        <v>3338</v>
      </c>
      <c r="X387" s="227"/>
      <c r="Y387" s="227"/>
      <c r="Z387" s="227" t="str">
        <f>P387</f>
        <v>KEBONAGUNG RW 06 PAKISAJI</v>
      </c>
      <c r="AA387" s="276">
        <f>VLOOKUP(Logfile_S[[#This Row],[DO number]],DO_DB!G:I,3,0)</f>
        <v>46041</v>
      </c>
      <c r="AB387" s="331" t="b">
        <f>EXACT(Logfile_S[[#This Row],[date pick]],Logfile_S[[#This Row],[Date]])</f>
        <v>0</v>
      </c>
      <c r="AC3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88" spans="1:29" ht="14.5">
      <c r="A388" s="237" t="str">
        <f>TEXT(ROW(A388)-ROW($A$4),"000")</f>
        <v>384</v>
      </c>
      <c r="B388" s="221">
        <v>3</v>
      </c>
      <c r="C388" s="227" t="s">
        <v>49</v>
      </c>
      <c r="D388" s="227" t="s">
        <v>4823</v>
      </c>
      <c r="E388" s="227" t="s">
        <v>3295</v>
      </c>
      <c r="F388" s="227" t="s">
        <v>3299</v>
      </c>
      <c r="G388" s="239">
        <v>46042</v>
      </c>
      <c r="H388" s="240">
        <v>0.68888888888888899</v>
      </c>
      <c r="I388" s="227" t="s">
        <v>3295</v>
      </c>
      <c r="J388" s="221" t="s">
        <v>3023</v>
      </c>
      <c r="K388" s="241" t="s">
        <v>3069</v>
      </c>
      <c r="L388" s="225" t="str">
        <f>VLOOKUP(Logfile_S[[#This Row],[Material Name]],Sheet2!B:C,2,0)</f>
        <v>ZTE1001</v>
      </c>
      <c r="M388" s="242" t="s">
        <v>19</v>
      </c>
      <c r="N388" s="227">
        <v>18</v>
      </c>
      <c r="O388" s="227" t="s">
        <v>4813</v>
      </c>
      <c r="P388" s="227" t="s">
        <v>4815</v>
      </c>
      <c r="Q388" s="227" t="s">
        <v>4820</v>
      </c>
      <c r="R388" s="227" t="s">
        <v>4819</v>
      </c>
      <c r="S388" s="227"/>
      <c r="T388" s="227" t="s">
        <v>3258</v>
      </c>
      <c r="U388" s="227" t="s">
        <v>4811</v>
      </c>
      <c r="V388" s="227" t="s">
        <v>3337</v>
      </c>
      <c r="W388" s="227" t="s">
        <v>3338</v>
      </c>
      <c r="X388" s="227"/>
      <c r="Y388" s="227"/>
      <c r="Z388" s="227" t="str">
        <f>P388</f>
        <v>KEBONAGUNG RW 06 PAKISAJI</v>
      </c>
      <c r="AA388" s="276">
        <f>VLOOKUP(Logfile_S[[#This Row],[DO number]],DO_DB!G:I,3,0)</f>
        <v>46041</v>
      </c>
      <c r="AB388" s="331" t="b">
        <f>EXACT(Logfile_S[[#This Row],[date pick]],Logfile_S[[#This Row],[Date]])</f>
        <v>0</v>
      </c>
      <c r="AC3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89" spans="1:29" ht="14.5">
      <c r="A389" s="237" t="str">
        <f>TEXT(ROW(A389)-ROW($A$4),"000")</f>
        <v>385</v>
      </c>
      <c r="B389" s="221">
        <v>1</v>
      </c>
      <c r="C389" s="227" t="s">
        <v>49</v>
      </c>
      <c r="D389" s="227" t="s">
        <v>4824</v>
      </c>
      <c r="E389" s="227" t="s">
        <v>3295</v>
      </c>
      <c r="F389" s="227" t="s">
        <v>3299</v>
      </c>
      <c r="G389" s="239">
        <v>46045</v>
      </c>
      <c r="H389" s="240">
        <v>0.69097222222222221</v>
      </c>
      <c r="I389" s="227" t="s">
        <v>3295</v>
      </c>
      <c r="J389" s="221" t="s">
        <v>3023</v>
      </c>
      <c r="K389" s="241" t="s">
        <v>13</v>
      </c>
      <c r="L389" s="225" t="str">
        <f>VLOOKUP(Logfile_S[[#This Row],[Material Name]],Sheet2!B:C,2,0)</f>
        <v>ZTE2008</v>
      </c>
      <c r="M389" s="242" t="s">
        <v>19</v>
      </c>
      <c r="N389" s="227">
        <v>27</v>
      </c>
      <c r="O389" s="227" t="s">
        <v>4813</v>
      </c>
      <c r="P389" s="227" t="s">
        <v>4815</v>
      </c>
      <c r="Q389" s="227" t="s">
        <v>4820</v>
      </c>
      <c r="R389" s="227" t="s">
        <v>4819</v>
      </c>
      <c r="S389" s="227"/>
      <c r="T389" s="248" t="s">
        <v>3471</v>
      </c>
      <c r="U389" s="221" t="s">
        <v>4811</v>
      </c>
      <c r="V389" s="248" t="s">
        <v>3472</v>
      </c>
      <c r="W389" s="248" t="s">
        <v>3473</v>
      </c>
      <c r="X389" s="227"/>
      <c r="Y389" s="227"/>
      <c r="Z389" s="227" t="str">
        <f>P389</f>
        <v>KEBONAGUNG RW 06 PAKISAJI</v>
      </c>
      <c r="AA389" s="276">
        <f>VLOOKUP(Logfile_S[[#This Row],[DO number]],DO_DB!G:I,3,0)</f>
        <v>46041</v>
      </c>
      <c r="AB389" s="331" t="b">
        <f>EXACT(Logfile_S[[#This Row],[date pick]],Logfile_S[[#This Row],[Date]])</f>
        <v>0</v>
      </c>
      <c r="AC3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90" spans="1:29" ht="14.5">
      <c r="A390" s="237" t="str">
        <f>TEXT(ROW(A390)-ROW($A$4),"000")</f>
        <v>386</v>
      </c>
      <c r="B390" s="221">
        <v>2</v>
      </c>
      <c r="C390" s="227" t="s">
        <v>49</v>
      </c>
      <c r="D390" s="227" t="s">
        <v>4824</v>
      </c>
      <c r="E390" s="227" t="s">
        <v>3295</v>
      </c>
      <c r="F390" s="227" t="s">
        <v>3299</v>
      </c>
      <c r="G390" s="239">
        <v>46045</v>
      </c>
      <c r="H390" s="240">
        <v>0.69097222222222221</v>
      </c>
      <c r="I390" s="227" t="s">
        <v>3295</v>
      </c>
      <c r="J390" s="221" t="s">
        <v>3023</v>
      </c>
      <c r="K390" s="241" t="s">
        <v>15</v>
      </c>
      <c r="L390" s="225" t="str">
        <f>VLOOKUP(Logfile_S[[#This Row],[Material Name]],Sheet2!B:C,2,0)</f>
        <v>ZTE2006</v>
      </c>
      <c r="M390" s="242" t="s">
        <v>19</v>
      </c>
      <c r="N390" s="227">
        <v>1</v>
      </c>
      <c r="O390" s="227" t="s">
        <v>4813</v>
      </c>
      <c r="P390" s="227" t="s">
        <v>4815</v>
      </c>
      <c r="Q390" s="227" t="s">
        <v>4820</v>
      </c>
      <c r="R390" s="227" t="s">
        <v>4819</v>
      </c>
      <c r="S390" s="227"/>
      <c r="T390" s="248" t="s">
        <v>3471</v>
      </c>
      <c r="U390" s="221" t="s">
        <v>4811</v>
      </c>
      <c r="V390" s="248" t="s">
        <v>3472</v>
      </c>
      <c r="W390" s="248" t="s">
        <v>3473</v>
      </c>
      <c r="X390" s="227"/>
      <c r="Y390" s="227"/>
      <c r="Z390" s="227" t="str">
        <f>P390</f>
        <v>KEBONAGUNG RW 06 PAKISAJI</v>
      </c>
      <c r="AA390" s="276">
        <f>VLOOKUP(Logfile_S[[#This Row],[DO number]],DO_DB!G:I,3,0)</f>
        <v>46041</v>
      </c>
      <c r="AB390" s="331" t="b">
        <f>EXACT(Logfile_S[[#This Row],[date pick]],Logfile_S[[#This Row],[Date]])</f>
        <v>0</v>
      </c>
      <c r="AC3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91" spans="1:29" ht="14.5">
      <c r="A391" s="237" t="str">
        <f>TEXT(ROW(A391)-ROW($A$4),"000")</f>
        <v>387</v>
      </c>
      <c r="B391" s="221">
        <v>1</v>
      </c>
      <c r="C391" s="227" t="s">
        <v>3313</v>
      </c>
      <c r="D391" s="227" t="s">
        <v>4821</v>
      </c>
      <c r="E391" s="227" t="s">
        <v>3295</v>
      </c>
      <c r="F391" s="227" t="s">
        <v>3299</v>
      </c>
      <c r="G391" s="239">
        <v>46045</v>
      </c>
      <c r="H391" s="240">
        <v>0.58194444444444449</v>
      </c>
      <c r="I391" s="227" t="s">
        <v>3297</v>
      </c>
      <c r="J391" s="221" t="s">
        <v>3023</v>
      </c>
      <c r="K391" s="241" t="s">
        <v>3069</v>
      </c>
      <c r="L391" s="225" t="str">
        <f>VLOOKUP(Logfile_S[[#This Row],[Material Name]],Sheet2!B:C,2,0)</f>
        <v>ZTE1001</v>
      </c>
      <c r="M391" s="242" t="s">
        <v>19</v>
      </c>
      <c r="N391" s="227">
        <v>16</v>
      </c>
      <c r="O391" s="227" t="s">
        <v>4813</v>
      </c>
      <c r="P391" s="227" t="s">
        <v>4815</v>
      </c>
      <c r="Q391" s="227" t="s">
        <v>4820</v>
      </c>
      <c r="R391" s="227" t="s">
        <v>4819</v>
      </c>
      <c r="S391" s="227"/>
      <c r="T391" s="227" t="s">
        <v>3258</v>
      </c>
      <c r="U391" s="227" t="s">
        <v>4811</v>
      </c>
      <c r="V391" s="221" t="s">
        <v>3337</v>
      </c>
      <c r="W391" s="227" t="s">
        <v>3338</v>
      </c>
      <c r="X391" s="227"/>
      <c r="Y391" s="227"/>
      <c r="Z391" s="227" t="str">
        <f>P391</f>
        <v>KEBONAGUNG RW 06 PAKISAJI</v>
      </c>
      <c r="AA391" s="276">
        <f>VLOOKUP(Logfile_S[[#This Row],[DO number]],DO_DB!G:I,3,0)</f>
        <v>46041</v>
      </c>
      <c r="AB391" s="331" t="b">
        <f>EXACT(Logfile_S[[#This Row],[date pick]],Logfile_S[[#This Row],[Date]])</f>
        <v>0</v>
      </c>
      <c r="AC3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92" spans="1:29" ht="14.5">
      <c r="A392" s="220" t="str">
        <f>TEXT(ROW(A392)-ROW($A$4),"000")</f>
        <v>388</v>
      </c>
      <c r="B392" s="221"/>
      <c r="C392" s="221" t="s">
        <v>48</v>
      </c>
      <c r="D392" s="221" t="s">
        <v>3851</v>
      </c>
      <c r="E392" s="221" t="s">
        <v>3295</v>
      </c>
      <c r="F392" s="221" t="s">
        <v>3299</v>
      </c>
      <c r="G392" s="222">
        <v>45287</v>
      </c>
      <c r="H392" s="223">
        <v>15.291666666666666</v>
      </c>
      <c r="I392" s="221" t="s">
        <v>37</v>
      </c>
      <c r="J392" s="221" t="s">
        <v>3023</v>
      </c>
      <c r="K392" s="224" t="s">
        <v>14</v>
      </c>
      <c r="L392" s="225" t="str">
        <f>VLOOKUP(Logfile_S[[#This Row],[Material Name]],Sheet2!B:C,2,0)</f>
        <v>ZTE2005</v>
      </c>
      <c r="M392" s="225" t="str">
        <f>_xlfn.XLOOKUP(Logfile_S[[#This Row],[Material Name]],Sum_WH!E:E,Sum_WH!F:F,"",0)</f>
        <v>Pcs</v>
      </c>
      <c r="N392" s="221">
        <v>3</v>
      </c>
      <c r="O392" s="221" t="s">
        <v>738</v>
      </c>
      <c r="P392" s="221" t="s">
        <v>3392</v>
      </c>
      <c r="Q392" s="221" t="s">
        <v>740</v>
      </c>
      <c r="R392" s="221" t="s">
        <v>741</v>
      </c>
      <c r="S392" s="221"/>
      <c r="T392" s="221"/>
      <c r="U392" s="221"/>
      <c r="V392" s="221"/>
      <c r="W392" s="221"/>
      <c r="X392" s="221" t="s">
        <v>3217</v>
      </c>
      <c r="Y392" s="227"/>
      <c r="Z392" s="227" t="str">
        <f>P392</f>
        <v xml:space="preserve">Baturetno RW 02 Singosari </v>
      </c>
      <c r="AA392" s="276">
        <f>VLOOKUP(Logfile_S[[#This Row],[DO number]],DO_DB!G:I,3,0)</f>
        <v>45287</v>
      </c>
      <c r="AB392" s="331" t="b">
        <f>EXACT(Logfile_S[[#This Row],[date pick]],Logfile_S[[#This Row],[Date]])</f>
        <v>1</v>
      </c>
      <c r="AC3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93" spans="1:29" ht="14.5">
      <c r="A393" s="220" t="str">
        <f>TEXT(ROW(A393)-ROW($A$4),"000")</f>
        <v>389</v>
      </c>
      <c r="B393" s="221"/>
      <c r="C393" s="221" t="s">
        <v>48</v>
      </c>
      <c r="D393" s="221" t="s">
        <v>3851</v>
      </c>
      <c r="E393" s="221" t="s">
        <v>3295</v>
      </c>
      <c r="F393" s="221" t="s">
        <v>3299</v>
      </c>
      <c r="G393" s="222">
        <v>45287</v>
      </c>
      <c r="H393" s="223">
        <v>15.291666666666666</v>
      </c>
      <c r="I393" s="221" t="s">
        <v>37</v>
      </c>
      <c r="J393" s="221" t="s">
        <v>3023</v>
      </c>
      <c r="K393" s="224" t="s">
        <v>3072</v>
      </c>
      <c r="L393" s="225" t="str">
        <f>VLOOKUP(Logfile_S[[#This Row],[Material Name]],Sheet2!B:C,2,0)</f>
        <v>ZTE1004</v>
      </c>
      <c r="M393" s="225" t="str">
        <f>_xlfn.XLOOKUP(Logfile_S[[#This Row],[Material Name]],Sum_WH!E:E,Sum_WH!F:F,"",0)</f>
        <v>Pcs</v>
      </c>
      <c r="N393" s="221">
        <v>2</v>
      </c>
      <c r="O393" s="221" t="s">
        <v>738</v>
      </c>
      <c r="P393" s="221" t="s">
        <v>3392</v>
      </c>
      <c r="Q393" s="221"/>
      <c r="R393" s="221"/>
      <c r="S393" s="221"/>
      <c r="T393" s="221"/>
      <c r="U393" s="221"/>
      <c r="V393" s="221"/>
      <c r="W393" s="221"/>
      <c r="X393" s="221" t="s">
        <v>3217</v>
      </c>
      <c r="Y393" s="227"/>
      <c r="Z393" s="227" t="str">
        <f>P393</f>
        <v xml:space="preserve">Baturetno RW 02 Singosari </v>
      </c>
      <c r="AA393" s="276" t="e">
        <f>VLOOKUP(Logfile_S[[#This Row],[DO number]],DO_DB!G:I,3,0)</f>
        <v>#N/A</v>
      </c>
      <c r="AB393" s="331" t="e">
        <f>EXACT(Logfile_S[[#This Row],[date pick]],Logfile_S[[#This Row],[Date]])</f>
        <v>#N/A</v>
      </c>
      <c r="AC3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94" spans="1:29" ht="14.5">
      <c r="A394" s="220" t="str">
        <f>TEXT(ROW(A394)-ROW($A$4),"000")</f>
        <v>390</v>
      </c>
      <c r="B394" s="221"/>
      <c r="C394" s="221" t="s">
        <v>48</v>
      </c>
      <c r="D394" s="221" t="s">
        <v>3851</v>
      </c>
      <c r="E394" s="221" t="s">
        <v>3295</v>
      </c>
      <c r="F394" s="221" t="s">
        <v>3299</v>
      </c>
      <c r="G394" s="222">
        <v>45287</v>
      </c>
      <c r="H394" s="223">
        <v>15.291666666666666</v>
      </c>
      <c r="I394" s="221" t="s">
        <v>37</v>
      </c>
      <c r="J394" s="221" t="s">
        <v>3023</v>
      </c>
      <c r="K394" s="224" t="s">
        <v>3069</v>
      </c>
      <c r="L394" s="225" t="str">
        <f>VLOOKUP(Logfile_S[[#This Row],[Material Name]],Sheet2!B:C,2,0)</f>
        <v>ZTE1001</v>
      </c>
      <c r="M394" s="225" t="str">
        <f>_xlfn.XLOOKUP(Logfile_S[[#This Row],[Material Name]],Sum_WH!E:E,Sum_WH!F:F,"",0)</f>
        <v>Pcs</v>
      </c>
      <c r="N394" s="221">
        <v>165</v>
      </c>
      <c r="O394" s="221" t="s">
        <v>738</v>
      </c>
      <c r="P394" s="221" t="s">
        <v>3392</v>
      </c>
      <c r="Q394" s="221" t="s">
        <v>748</v>
      </c>
      <c r="R394" s="221" t="s">
        <v>749</v>
      </c>
      <c r="S394" s="221"/>
      <c r="T394" s="221"/>
      <c r="U394" s="221"/>
      <c r="V394" s="221"/>
      <c r="W394" s="221"/>
      <c r="X394" s="221" t="s">
        <v>3217</v>
      </c>
      <c r="Y394" s="227"/>
      <c r="Z394" s="227" t="str">
        <f>P394</f>
        <v xml:space="preserve">Baturetno RW 02 Singosari </v>
      </c>
      <c r="AA394" s="276">
        <f>VLOOKUP(Logfile_S[[#This Row],[DO number]],DO_DB!G:I,3,0)</f>
        <v>45287</v>
      </c>
      <c r="AB394" s="331" t="b">
        <f>EXACT(Logfile_S[[#This Row],[date pick]],Logfile_S[[#This Row],[Date]])</f>
        <v>1</v>
      </c>
      <c r="AC3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95" spans="1:29" ht="14.5">
      <c r="A395" s="220" t="str">
        <f>TEXT(ROW(A395)-ROW($A$4),"000")</f>
        <v>391</v>
      </c>
      <c r="B395" s="221"/>
      <c r="C395" s="221" t="s">
        <v>49</v>
      </c>
      <c r="D395" s="221" t="s">
        <v>3852</v>
      </c>
      <c r="E395" s="221" t="s">
        <v>3295</v>
      </c>
      <c r="F395" s="221" t="s">
        <v>3299</v>
      </c>
      <c r="G395" s="222">
        <v>45294</v>
      </c>
      <c r="H395" s="223">
        <v>0.56944444444444442</v>
      </c>
      <c r="I395" s="221" t="s">
        <v>4916</v>
      </c>
      <c r="J395" s="221" t="s">
        <v>3023</v>
      </c>
      <c r="K395" s="224" t="s">
        <v>3070</v>
      </c>
      <c r="L395" s="225" t="str">
        <f>VLOOKUP(Logfile_S[[#This Row],[Material Name]],Sheet2!B:C,2,0)</f>
        <v>ZTE1002</v>
      </c>
      <c r="M395" s="225" t="str">
        <f>_xlfn.XLOOKUP(Logfile_S[[#This Row],[Material Name]],Sum_WH!E:E,Sum_WH!F:F,"",0)</f>
        <v>Pcs</v>
      </c>
      <c r="N395" s="221">
        <v>3</v>
      </c>
      <c r="O395" s="221" t="s">
        <v>738</v>
      </c>
      <c r="P395" s="221" t="s">
        <v>3392</v>
      </c>
      <c r="Q395" s="221"/>
      <c r="R395" s="221"/>
      <c r="S395" s="221"/>
      <c r="T395" s="221" t="s">
        <v>3258</v>
      </c>
      <c r="U395" s="221" t="s">
        <v>3228</v>
      </c>
      <c r="V395" s="221" t="s">
        <v>3337</v>
      </c>
      <c r="W395" s="221" t="s">
        <v>3338</v>
      </c>
      <c r="X395" s="221"/>
      <c r="Y395" s="227"/>
      <c r="Z395" s="227" t="str">
        <f>P395</f>
        <v xml:space="preserve">Baturetno RW 02 Singosari </v>
      </c>
      <c r="AA395" s="276" t="e">
        <f>VLOOKUP(Logfile_S[[#This Row],[DO number]],DO_DB!G:I,3,0)</f>
        <v>#N/A</v>
      </c>
      <c r="AB395" s="331" t="e">
        <f>EXACT(Logfile_S[[#This Row],[date pick]],Logfile_S[[#This Row],[Date]])</f>
        <v>#N/A</v>
      </c>
      <c r="AC3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96" spans="1:29" ht="14.5">
      <c r="A396" s="220" t="str">
        <f>TEXT(ROW(A396)-ROW($A$4),"000")</f>
        <v>392</v>
      </c>
      <c r="B396" s="221"/>
      <c r="C396" s="221" t="s">
        <v>49</v>
      </c>
      <c r="D396" s="221" t="s">
        <v>3852</v>
      </c>
      <c r="E396" s="221" t="s">
        <v>3295</v>
      </c>
      <c r="F396" s="221" t="s">
        <v>3299</v>
      </c>
      <c r="G396" s="222">
        <v>45294</v>
      </c>
      <c r="H396" s="223">
        <v>0.56944444444444442</v>
      </c>
      <c r="I396" s="221" t="s">
        <v>4916</v>
      </c>
      <c r="J396" s="221" t="s">
        <v>3023</v>
      </c>
      <c r="K396" s="224" t="s">
        <v>3069</v>
      </c>
      <c r="L396" s="225" t="str">
        <f>VLOOKUP(Logfile_S[[#This Row],[Material Name]],Sheet2!B:C,2,0)</f>
        <v>ZTE1001</v>
      </c>
      <c r="M396" s="225" t="str">
        <f>_xlfn.XLOOKUP(Logfile_S[[#This Row],[Material Name]],Sum_WH!E:E,Sum_WH!F:F,"",0)</f>
        <v>Pcs</v>
      </c>
      <c r="N396" s="221">
        <v>23</v>
      </c>
      <c r="O396" s="221" t="s">
        <v>738</v>
      </c>
      <c r="P396" s="221" t="s">
        <v>3392</v>
      </c>
      <c r="Q396" s="221"/>
      <c r="R396" s="221"/>
      <c r="S396" s="221"/>
      <c r="T396" s="221" t="s">
        <v>3258</v>
      </c>
      <c r="U396" s="221" t="s">
        <v>3228</v>
      </c>
      <c r="V396" s="221" t="s">
        <v>3337</v>
      </c>
      <c r="W396" s="221" t="s">
        <v>3338</v>
      </c>
      <c r="X396" s="221"/>
      <c r="Y396" s="227"/>
      <c r="Z396" s="227" t="str">
        <f>P396</f>
        <v xml:space="preserve">Baturetno RW 02 Singosari </v>
      </c>
      <c r="AA396" s="276" t="e">
        <f>VLOOKUP(Logfile_S[[#This Row],[DO number]],DO_DB!G:I,3,0)</f>
        <v>#N/A</v>
      </c>
      <c r="AB396" s="331" t="e">
        <f>EXACT(Logfile_S[[#This Row],[date pick]],Logfile_S[[#This Row],[Date]])</f>
        <v>#N/A</v>
      </c>
      <c r="AC3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97" spans="1:29" ht="14.5">
      <c r="A397" s="220" t="str">
        <f>TEXT(ROW(A397)-ROW($A$4),"000")</f>
        <v>393</v>
      </c>
      <c r="B397" s="221"/>
      <c r="C397" s="221" t="s">
        <v>49</v>
      </c>
      <c r="D397" s="221" t="s">
        <v>3864</v>
      </c>
      <c r="E397" s="221" t="s">
        <v>3295</v>
      </c>
      <c r="F397" s="221" t="s">
        <v>3299</v>
      </c>
      <c r="G397" s="222">
        <v>45307</v>
      </c>
      <c r="H397" s="223">
        <v>0.3520833333333333</v>
      </c>
      <c r="I397" s="221" t="s">
        <v>4916</v>
      </c>
      <c r="J397" s="221" t="s">
        <v>3023</v>
      </c>
      <c r="K397" s="224" t="s">
        <v>3070</v>
      </c>
      <c r="L397" s="225" t="str">
        <f>VLOOKUP(Logfile_S[[#This Row],[Material Name]],Sheet2!B:C,2,0)</f>
        <v>ZTE1002</v>
      </c>
      <c r="M397" s="225" t="str">
        <f>_xlfn.XLOOKUP(Logfile_S[[#This Row],[Material Name]],Sum_WH!E:E,Sum_WH!F:F,"",0)</f>
        <v>Pcs</v>
      </c>
      <c r="N397" s="221">
        <v>6</v>
      </c>
      <c r="O397" s="221" t="s">
        <v>738</v>
      </c>
      <c r="P397" s="221" t="s">
        <v>3392</v>
      </c>
      <c r="Q397" s="221"/>
      <c r="R397" s="221"/>
      <c r="S397" s="221"/>
      <c r="T397" s="221" t="s">
        <v>3258</v>
      </c>
      <c r="U397" s="221" t="s">
        <v>3228</v>
      </c>
      <c r="V397" s="221" t="s">
        <v>3337</v>
      </c>
      <c r="W397" s="221" t="s">
        <v>3338</v>
      </c>
      <c r="X397" s="221"/>
      <c r="Y397" s="227"/>
      <c r="Z397" s="227" t="str">
        <f>P397</f>
        <v xml:space="preserve">Baturetno RW 02 Singosari </v>
      </c>
      <c r="AA397" s="276" t="e">
        <f>VLOOKUP(Logfile_S[[#This Row],[DO number]],DO_DB!G:I,3,0)</f>
        <v>#N/A</v>
      </c>
      <c r="AB397" s="331" t="e">
        <f>EXACT(Logfile_S[[#This Row],[date pick]],Logfile_S[[#This Row],[Date]])</f>
        <v>#N/A</v>
      </c>
      <c r="AC3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98" spans="1:29" ht="14.5">
      <c r="A398" s="220" t="str">
        <f>TEXT(ROW(A398)-ROW($A$4),"000")</f>
        <v>394</v>
      </c>
      <c r="B398" s="221"/>
      <c r="C398" s="221" t="s">
        <v>49</v>
      </c>
      <c r="D398" s="221" t="s">
        <v>3864</v>
      </c>
      <c r="E398" s="221" t="s">
        <v>3295</v>
      </c>
      <c r="F398" s="221" t="s">
        <v>3299</v>
      </c>
      <c r="G398" s="222">
        <v>45307</v>
      </c>
      <c r="H398" s="223">
        <v>0.3520833333333333</v>
      </c>
      <c r="I398" s="221" t="s">
        <v>4916</v>
      </c>
      <c r="J398" s="221" t="s">
        <v>3023</v>
      </c>
      <c r="K398" s="224" t="s">
        <v>3069</v>
      </c>
      <c r="L398" s="225" t="str">
        <f>VLOOKUP(Logfile_S[[#This Row],[Material Name]],Sheet2!B:C,2,0)</f>
        <v>ZTE1001</v>
      </c>
      <c r="M398" s="225" t="str">
        <f>_xlfn.XLOOKUP(Logfile_S[[#This Row],[Material Name]],Sum_WH!E:E,Sum_WH!F:F,"",0)</f>
        <v>Pcs</v>
      </c>
      <c r="N398" s="221">
        <v>25</v>
      </c>
      <c r="O398" s="221" t="s">
        <v>738</v>
      </c>
      <c r="P398" s="221" t="s">
        <v>3392</v>
      </c>
      <c r="Q398" s="221"/>
      <c r="R398" s="221"/>
      <c r="S398" s="221"/>
      <c r="T398" s="221" t="s">
        <v>3258</v>
      </c>
      <c r="U398" s="221" t="s">
        <v>3228</v>
      </c>
      <c r="V398" s="221" t="s">
        <v>3337</v>
      </c>
      <c r="W398" s="221" t="s">
        <v>3338</v>
      </c>
      <c r="X398" s="221"/>
      <c r="Y398" s="227"/>
      <c r="Z398" s="227" t="str">
        <f>P398</f>
        <v xml:space="preserve">Baturetno RW 02 Singosari </v>
      </c>
      <c r="AA398" s="276" t="e">
        <f>VLOOKUP(Logfile_S[[#This Row],[DO number]],DO_DB!G:I,3,0)</f>
        <v>#N/A</v>
      </c>
      <c r="AB398" s="331" t="e">
        <f>EXACT(Logfile_S[[#This Row],[date pick]],Logfile_S[[#This Row],[Date]])</f>
        <v>#N/A</v>
      </c>
      <c r="AC3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399" spans="1:29" ht="14.5">
      <c r="A399" s="220" t="str">
        <f>TEXT(ROW(A399)-ROW($A$4),"000")</f>
        <v>395</v>
      </c>
      <c r="B399" s="221"/>
      <c r="C399" s="221" t="s">
        <v>48</v>
      </c>
      <c r="D399" s="221" t="s">
        <v>3872</v>
      </c>
      <c r="E399" s="221" t="s">
        <v>3295</v>
      </c>
      <c r="F399" s="221" t="s">
        <v>3299</v>
      </c>
      <c r="G399" s="222">
        <v>45308</v>
      </c>
      <c r="H399" s="223">
        <v>15.291666666666666</v>
      </c>
      <c r="I399" s="221" t="s">
        <v>37</v>
      </c>
      <c r="J399" s="221" t="s">
        <v>3023</v>
      </c>
      <c r="K399" s="224" t="s">
        <v>3070</v>
      </c>
      <c r="L399" s="225" t="str">
        <f>VLOOKUP(Logfile_S[[#This Row],[Material Name]],Sheet2!B:C,2,0)</f>
        <v>ZTE1002</v>
      </c>
      <c r="M399" s="225" t="str">
        <f>_xlfn.XLOOKUP(Logfile_S[[#This Row],[Material Name]],Sum_WH!E:E,Sum_WH!F:F,"",0)</f>
        <v>Pcs</v>
      </c>
      <c r="N399" s="221">
        <v>2</v>
      </c>
      <c r="O399" s="221" t="s">
        <v>738</v>
      </c>
      <c r="P399" s="221" t="s">
        <v>3392</v>
      </c>
      <c r="Q399" s="221" t="s">
        <v>748</v>
      </c>
      <c r="R399" s="221" t="s">
        <v>749</v>
      </c>
      <c r="S399" s="221"/>
      <c r="T399" s="221"/>
      <c r="U399" s="221"/>
      <c r="V399" s="221"/>
      <c r="W399" s="221"/>
      <c r="X399" s="221"/>
      <c r="Y399" s="227"/>
      <c r="Z399" s="227" t="str">
        <f>P399</f>
        <v xml:space="preserve">Baturetno RW 02 Singosari </v>
      </c>
      <c r="AA399" s="276">
        <f>VLOOKUP(Logfile_S[[#This Row],[DO number]],DO_DB!G:I,3,0)</f>
        <v>45287</v>
      </c>
      <c r="AB399" s="331" t="b">
        <f>EXACT(Logfile_S[[#This Row],[date pick]],Logfile_S[[#This Row],[Date]])</f>
        <v>0</v>
      </c>
      <c r="AC3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00" spans="1:29" ht="14.5">
      <c r="A400" s="220" t="str">
        <f>TEXT(ROW(A400)-ROW($A$4),"000")</f>
        <v>396</v>
      </c>
      <c r="B400" s="221"/>
      <c r="C400" s="221" t="s">
        <v>49</v>
      </c>
      <c r="D400" s="221" t="s">
        <v>3871</v>
      </c>
      <c r="E400" s="221" t="s">
        <v>3295</v>
      </c>
      <c r="F400" s="221" t="s">
        <v>3299</v>
      </c>
      <c r="G400" s="222">
        <v>45308</v>
      </c>
      <c r="H400" s="223">
        <v>0.43541666666666662</v>
      </c>
      <c r="I400" s="221" t="s">
        <v>4916</v>
      </c>
      <c r="J400" s="221" t="s">
        <v>3023</v>
      </c>
      <c r="K400" s="224" t="s">
        <v>3071</v>
      </c>
      <c r="L400" s="225" t="str">
        <f>VLOOKUP(Logfile_S[[#This Row],[Material Name]],Sheet2!B:C,2,0)</f>
        <v>ZTE1003</v>
      </c>
      <c r="M400" s="225" t="str">
        <f>_xlfn.XLOOKUP(Logfile_S[[#This Row],[Material Name]],Sum_WH!E:E,Sum_WH!F:F,"",0)</f>
        <v>Pcs</v>
      </c>
      <c r="N400" s="221">
        <v>2</v>
      </c>
      <c r="O400" s="221" t="s">
        <v>738</v>
      </c>
      <c r="P400" s="221" t="s">
        <v>3392</v>
      </c>
      <c r="Q400" s="221"/>
      <c r="R400" s="221"/>
      <c r="S400" s="221"/>
      <c r="T400" s="221" t="s">
        <v>3258</v>
      </c>
      <c r="U400" s="221" t="s">
        <v>3228</v>
      </c>
      <c r="V400" s="221" t="s">
        <v>3337</v>
      </c>
      <c r="W400" s="221" t="s">
        <v>3338</v>
      </c>
      <c r="X400" s="221"/>
      <c r="Y400" s="227"/>
      <c r="Z400" s="227" t="str">
        <f>P400</f>
        <v xml:space="preserve">Baturetno RW 02 Singosari </v>
      </c>
      <c r="AA400" s="276" t="e">
        <f>VLOOKUP(Logfile_S[[#This Row],[DO number]],DO_DB!G:I,3,0)</f>
        <v>#N/A</v>
      </c>
      <c r="AB400" s="331" t="e">
        <f>EXACT(Logfile_S[[#This Row],[date pick]],Logfile_S[[#This Row],[Date]])</f>
        <v>#N/A</v>
      </c>
      <c r="AC4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01" spans="1:29" ht="14.5">
      <c r="A401" s="220" t="str">
        <f>TEXT(ROW(A401)-ROW($A$4),"000")</f>
        <v>397</v>
      </c>
      <c r="B401" s="221"/>
      <c r="C401" s="221" t="s">
        <v>49</v>
      </c>
      <c r="D401" s="221" t="s">
        <v>3887</v>
      </c>
      <c r="E401" s="221" t="s">
        <v>3295</v>
      </c>
      <c r="F401" s="221" t="s">
        <v>3299</v>
      </c>
      <c r="G401" s="222">
        <v>45313</v>
      </c>
      <c r="H401" s="223">
        <v>0.62291666666666667</v>
      </c>
      <c r="I401" s="221" t="s">
        <v>4916</v>
      </c>
      <c r="J401" s="221" t="s">
        <v>3023</v>
      </c>
      <c r="K401" s="224" t="s">
        <v>14</v>
      </c>
      <c r="L401" s="225" t="str">
        <f>VLOOKUP(Logfile_S[[#This Row],[Material Name]],Sheet2!B:C,2,0)</f>
        <v>ZTE2005</v>
      </c>
      <c r="M401" s="225" t="str">
        <f>_xlfn.XLOOKUP(Logfile_S[[#This Row],[Material Name]],Sum_WH!E:E,Sum_WH!F:F,"",0)</f>
        <v>Pcs</v>
      </c>
      <c r="N401" s="221">
        <v>1</v>
      </c>
      <c r="O401" s="221" t="s">
        <v>738</v>
      </c>
      <c r="P401" s="221" t="s">
        <v>3392</v>
      </c>
      <c r="Q401" s="221"/>
      <c r="R401" s="221"/>
      <c r="S401" s="221"/>
      <c r="T401" s="221" t="s">
        <v>3231</v>
      </c>
      <c r="U401" s="221" t="s">
        <v>3228</v>
      </c>
      <c r="V401" s="221" t="s">
        <v>3232</v>
      </c>
      <c r="W401" s="221" t="s">
        <v>3246</v>
      </c>
      <c r="X401" s="221"/>
      <c r="Y401" s="227"/>
      <c r="Z401" s="227" t="str">
        <f>P401</f>
        <v xml:space="preserve">Baturetno RW 02 Singosari </v>
      </c>
      <c r="AA401" s="276" t="e">
        <f>VLOOKUP(Logfile_S[[#This Row],[DO number]],DO_DB!G:I,3,0)</f>
        <v>#N/A</v>
      </c>
      <c r="AB401" s="331" t="e">
        <f>EXACT(Logfile_S[[#This Row],[date pick]],Logfile_S[[#This Row],[Date]])</f>
        <v>#N/A</v>
      </c>
      <c r="AC4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02" spans="1:29" ht="14.5">
      <c r="A402" s="220" t="str">
        <f>TEXT(ROW(A402)-ROW($A$4),"000")</f>
        <v>398</v>
      </c>
      <c r="B402" s="221"/>
      <c r="C402" s="221" t="s">
        <v>48</v>
      </c>
      <c r="D402" s="221" t="s">
        <v>3892</v>
      </c>
      <c r="E402" s="221" t="s">
        <v>3295</v>
      </c>
      <c r="F402" s="221" t="s">
        <v>3299</v>
      </c>
      <c r="G402" s="222">
        <v>45313</v>
      </c>
      <c r="H402" s="223">
        <v>15.291666666666666</v>
      </c>
      <c r="I402" s="221" t="s">
        <v>37</v>
      </c>
      <c r="J402" s="221" t="s">
        <v>3023</v>
      </c>
      <c r="K402" s="224" t="s">
        <v>3070</v>
      </c>
      <c r="L402" s="225" t="str">
        <f>VLOOKUP(Logfile_S[[#This Row],[Material Name]],Sheet2!B:C,2,0)</f>
        <v>ZTE1002</v>
      </c>
      <c r="M402" s="225" t="str">
        <f>_xlfn.XLOOKUP(Logfile_S[[#This Row],[Material Name]],Sum_WH!E:E,Sum_WH!F:F,"",0)</f>
        <v>Pcs</v>
      </c>
      <c r="N402" s="221">
        <v>1</v>
      </c>
      <c r="O402" s="221" t="s">
        <v>738</v>
      </c>
      <c r="P402" s="221" t="s">
        <v>3392</v>
      </c>
      <c r="Q402" s="221" t="s">
        <v>748</v>
      </c>
      <c r="R402" s="221" t="s">
        <v>749</v>
      </c>
      <c r="S402" s="221"/>
      <c r="T402" s="221"/>
      <c r="U402" s="221"/>
      <c r="V402" s="221"/>
      <c r="W402" s="221"/>
      <c r="X402" s="221"/>
      <c r="Y402" s="227"/>
      <c r="Z402" s="227" t="str">
        <f>P402</f>
        <v xml:space="preserve">Baturetno RW 02 Singosari </v>
      </c>
      <c r="AA402" s="276">
        <f>VLOOKUP(Logfile_S[[#This Row],[DO number]],DO_DB!G:I,3,0)</f>
        <v>45287</v>
      </c>
      <c r="AB402" s="331" t="b">
        <f>EXACT(Logfile_S[[#This Row],[date pick]],Logfile_S[[#This Row],[Date]])</f>
        <v>0</v>
      </c>
      <c r="AC4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03" spans="1:29" ht="14.5">
      <c r="A403" s="220" t="str">
        <f>TEXT(ROW(A403)-ROW($A$4),"000")</f>
        <v>399</v>
      </c>
      <c r="B403" s="221"/>
      <c r="C403" s="221" t="s">
        <v>49</v>
      </c>
      <c r="D403" s="221" t="s">
        <v>3900</v>
      </c>
      <c r="E403" s="221" t="s">
        <v>3295</v>
      </c>
      <c r="F403" s="221" t="s">
        <v>3299</v>
      </c>
      <c r="G403" s="222">
        <v>45316</v>
      </c>
      <c r="H403" s="223">
        <v>0.62361111111111112</v>
      </c>
      <c r="I403" s="221" t="s">
        <v>4916</v>
      </c>
      <c r="J403" s="221" t="s">
        <v>3024</v>
      </c>
      <c r="K403" s="224" t="s">
        <v>5137</v>
      </c>
      <c r="L403" s="225" t="str">
        <f>VLOOKUP(Logfile_S[[#This Row],[Material Name]],Sheet2!B:C,2,0)</f>
        <v>GCI1009</v>
      </c>
      <c r="M403" s="225" t="str">
        <f>_xlfn.XLOOKUP(Logfile_S[[#This Row],[Material Name]],Sum_WH!E:E,Sum_WH!F:F,"",0)</f>
        <v>Pcs</v>
      </c>
      <c r="N403" s="221">
        <v>4</v>
      </c>
      <c r="O403" s="221" t="s">
        <v>738</v>
      </c>
      <c r="P403" s="221" t="s">
        <v>3392</v>
      </c>
      <c r="Q403" s="221"/>
      <c r="R403" s="221"/>
      <c r="S403" s="221"/>
      <c r="T403" s="221" t="s">
        <v>3258</v>
      </c>
      <c r="U403" s="221" t="s">
        <v>3228</v>
      </c>
      <c r="V403" s="221" t="s">
        <v>3337</v>
      </c>
      <c r="W403" s="221" t="s">
        <v>3338</v>
      </c>
      <c r="X403" s="221"/>
      <c r="Y403" s="227"/>
      <c r="Z403" s="227" t="str">
        <f>P403</f>
        <v xml:space="preserve">Baturetno RW 02 Singosari </v>
      </c>
      <c r="AA403" s="276" t="e">
        <f>VLOOKUP(Logfile_S[[#This Row],[DO number]],DO_DB!G:I,3,0)</f>
        <v>#N/A</v>
      </c>
      <c r="AB403" s="331" t="e">
        <f>EXACT(Logfile_S[[#This Row],[date pick]],Logfile_S[[#This Row],[Date]])</f>
        <v>#N/A</v>
      </c>
      <c r="AC4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04" spans="1:29" ht="14.5">
      <c r="A404" s="220" t="str">
        <f>TEXT(ROW(A404)-ROW($A$4),"000")</f>
        <v>400</v>
      </c>
      <c r="B404" s="221"/>
      <c r="C404" s="221" t="s">
        <v>49</v>
      </c>
      <c r="D404" s="221" t="s">
        <v>3898</v>
      </c>
      <c r="E404" s="221" t="s">
        <v>3295</v>
      </c>
      <c r="F404" s="221" t="s">
        <v>3299</v>
      </c>
      <c r="G404" s="222">
        <v>45316</v>
      </c>
      <c r="H404" s="223">
        <v>0.47569444444444442</v>
      </c>
      <c r="I404" s="221" t="s">
        <v>4916</v>
      </c>
      <c r="J404" s="221" t="s">
        <v>3023</v>
      </c>
      <c r="K404" s="224" t="s">
        <v>13</v>
      </c>
      <c r="L404" s="225" t="str">
        <f>VLOOKUP(Logfile_S[[#This Row],[Material Name]],Sheet2!B:C,2,0)</f>
        <v>ZTE2008</v>
      </c>
      <c r="M404" s="225" t="str">
        <f>_xlfn.XLOOKUP(Logfile_S[[#This Row],[Material Name]],Sum_WH!E:E,Sum_WH!F:F,"",0)</f>
        <v>Pcs</v>
      </c>
      <c r="N404" s="221">
        <v>16</v>
      </c>
      <c r="O404" s="221" t="s">
        <v>738</v>
      </c>
      <c r="P404" s="221" t="s">
        <v>3392</v>
      </c>
      <c r="Q404" s="221"/>
      <c r="R404" s="221"/>
      <c r="S404" s="221"/>
      <c r="T404" s="221" t="s">
        <v>3231</v>
      </c>
      <c r="U404" s="221" t="s">
        <v>3228</v>
      </c>
      <c r="V404" s="221" t="s">
        <v>3232</v>
      </c>
      <c r="W404" s="221" t="s">
        <v>3246</v>
      </c>
      <c r="X404" s="221"/>
      <c r="Y404" s="227"/>
      <c r="Z404" s="227" t="str">
        <f>P404</f>
        <v xml:space="preserve">Baturetno RW 02 Singosari </v>
      </c>
      <c r="AA404" s="276" t="e">
        <f>VLOOKUP(Logfile_S[[#This Row],[DO number]],DO_DB!G:I,3,0)</f>
        <v>#N/A</v>
      </c>
      <c r="AB404" s="331" t="e">
        <f>EXACT(Logfile_S[[#This Row],[date pick]],Logfile_S[[#This Row],[Date]])</f>
        <v>#N/A</v>
      </c>
      <c r="AC4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05" spans="1:29" ht="14.5">
      <c r="A405" s="220" t="str">
        <f>TEXT(ROW(A405)-ROW($A$4),"000")</f>
        <v>401</v>
      </c>
      <c r="B405" s="221"/>
      <c r="C405" s="221" t="s">
        <v>49</v>
      </c>
      <c r="D405" s="221" t="s">
        <v>3900</v>
      </c>
      <c r="E405" s="221" t="s">
        <v>3295</v>
      </c>
      <c r="F405" s="221" t="s">
        <v>3299</v>
      </c>
      <c r="G405" s="222">
        <v>45316</v>
      </c>
      <c r="H405" s="223">
        <v>0.62361111111111112</v>
      </c>
      <c r="I405" s="221" t="s">
        <v>4916</v>
      </c>
      <c r="J405" s="221" t="s">
        <v>3024</v>
      </c>
      <c r="K405" s="224" t="s">
        <v>3094</v>
      </c>
      <c r="L405" s="225" t="str">
        <f>VLOOKUP(Logfile_S[[#This Row],[Material Name]],Sheet2!B:C,2,0)</f>
        <v>GCI1008</v>
      </c>
      <c r="M405" s="225" t="str">
        <f>_xlfn.XLOOKUP(Logfile_S[[#This Row],[Material Name]],Sum_WH!E:E,Sum_WH!F:F,"",0)</f>
        <v>Pcs</v>
      </c>
      <c r="N405" s="221">
        <v>2</v>
      </c>
      <c r="O405" s="221" t="s">
        <v>738</v>
      </c>
      <c r="P405" s="221" t="s">
        <v>3392</v>
      </c>
      <c r="Q405" s="221"/>
      <c r="R405" s="221"/>
      <c r="S405" s="221"/>
      <c r="T405" s="221" t="s">
        <v>3258</v>
      </c>
      <c r="U405" s="221" t="s">
        <v>3228</v>
      </c>
      <c r="V405" s="221" t="s">
        <v>3337</v>
      </c>
      <c r="W405" s="221" t="s">
        <v>3338</v>
      </c>
      <c r="X405" s="221"/>
      <c r="Y405" s="227"/>
      <c r="Z405" s="227" t="str">
        <f>P405</f>
        <v xml:space="preserve">Baturetno RW 02 Singosari </v>
      </c>
      <c r="AA405" s="276" t="e">
        <f>VLOOKUP(Logfile_S[[#This Row],[DO number]],DO_DB!G:I,3,0)</f>
        <v>#N/A</v>
      </c>
      <c r="AB405" s="331" t="e">
        <f>EXACT(Logfile_S[[#This Row],[date pick]],Logfile_S[[#This Row],[Date]])</f>
        <v>#N/A</v>
      </c>
      <c r="AC4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06" spans="1:29" ht="14.5">
      <c r="A406" s="220" t="str">
        <f>TEXT(ROW(A406)-ROW($A$4),"000")</f>
        <v>402</v>
      </c>
      <c r="B406" s="221"/>
      <c r="C406" s="221" t="s">
        <v>49</v>
      </c>
      <c r="D406" s="221" t="s">
        <v>3900</v>
      </c>
      <c r="E406" s="221" t="s">
        <v>3295</v>
      </c>
      <c r="F406" s="221" t="s">
        <v>3299</v>
      </c>
      <c r="G406" s="222">
        <v>45316</v>
      </c>
      <c r="H406" s="223">
        <v>0.62361111111111112</v>
      </c>
      <c r="I406" s="221" t="s">
        <v>4916</v>
      </c>
      <c r="J406" s="221" t="s">
        <v>3024</v>
      </c>
      <c r="K406" s="224" t="s">
        <v>3090</v>
      </c>
      <c r="L406" s="225" t="str">
        <f>VLOOKUP(Logfile_S[[#This Row],[Material Name]],Sheet2!B:C,2,0)</f>
        <v>GCI1004</v>
      </c>
      <c r="M406" s="225" t="str">
        <f>_xlfn.XLOOKUP(Logfile_S[[#This Row],[Material Name]],Sum_WH!E:E,Sum_WH!F:F,"",0)</f>
        <v>Pcs</v>
      </c>
      <c r="N406" s="221">
        <v>5</v>
      </c>
      <c r="O406" s="221" t="s">
        <v>738</v>
      </c>
      <c r="P406" s="221" t="s">
        <v>3392</v>
      </c>
      <c r="Q406" s="221"/>
      <c r="R406" s="221"/>
      <c r="S406" s="221"/>
      <c r="T406" s="221" t="s">
        <v>3258</v>
      </c>
      <c r="U406" s="221" t="s">
        <v>3228</v>
      </c>
      <c r="V406" s="221" t="s">
        <v>3337</v>
      </c>
      <c r="W406" s="221" t="s">
        <v>3338</v>
      </c>
      <c r="X406" s="221"/>
      <c r="Y406" s="227"/>
      <c r="Z406" s="227" t="str">
        <f>P406</f>
        <v xml:space="preserve">Baturetno RW 02 Singosari </v>
      </c>
      <c r="AA406" s="276" t="e">
        <f>VLOOKUP(Logfile_S[[#This Row],[DO number]],DO_DB!G:I,3,0)</f>
        <v>#N/A</v>
      </c>
      <c r="AB406" s="331" t="e">
        <f>EXACT(Logfile_S[[#This Row],[date pick]],Logfile_S[[#This Row],[Date]])</f>
        <v>#N/A</v>
      </c>
      <c r="AC4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07" spans="1:29" ht="14.5">
      <c r="A407" s="220" t="str">
        <f>TEXT(ROW(A407)-ROW($A$4),"000")</f>
        <v>403</v>
      </c>
      <c r="B407" s="221"/>
      <c r="C407" s="221" t="s">
        <v>49</v>
      </c>
      <c r="D407" s="221" t="s">
        <v>3905</v>
      </c>
      <c r="E407" s="221" t="s">
        <v>3295</v>
      </c>
      <c r="F407" s="221" t="s">
        <v>3299</v>
      </c>
      <c r="G407" s="222">
        <v>45317</v>
      </c>
      <c r="H407" s="223">
        <v>0.40902777777777777</v>
      </c>
      <c r="I407" s="221" t="s">
        <v>4916</v>
      </c>
      <c r="J407" s="221" t="s">
        <v>3023</v>
      </c>
      <c r="K407" s="224" t="s">
        <v>3073</v>
      </c>
      <c r="L407" s="225" t="str">
        <f>VLOOKUP(Logfile_S[[#This Row],[Material Name]],Sheet2!B:C,2,0)</f>
        <v>ZTE2001</v>
      </c>
      <c r="M407" s="225" t="str">
        <f>_xlfn.XLOOKUP(Logfile_S[[#This Row],[Material Name]],Sum_WH!E:E,Sum_WH!F:F,"",0)</f>
        <v>Meter</v>
      </c>
      <c r="N407" s="221">
        <v>3000</v>
      </c>
      <c r="O407" s="221" t="s">
        <v>738</v>
      </c>
      <c r="P407" s="221" t="s">
        <v>3392</v>
      </c>
      <c r="Q407" s="221"/>
      <c r="R407" s="221"/>
      <c r="S407" s="221"/>
      <c r="T407" s="221" t="s">
        <v>3258</v>
      </c>
      <c r="U407" s="221" t="s">
        <v>3228</v>
      </c>
      <c r="V407" s="221" t="s">
        <v>3337</v>
      </c>
      <c r="W407" s="221" t="s">
        <v>3338</v>
      </c>
      <c r="X407" s="221" t="s">
        <v>3610</v>
      </c>
      <c r="Y407" s="227" t="s">
        <v>5090</v>
      </c>
      <c r="Z407" s="227" t="str">
        <f>P407</f>
        <v xml:space="preserve">Baturetno RW 02 Singosari </v>
      </c>
      <c r="AA407" s="276" t="e">
        <f>VLOOKUP(Logfile_S[[#This Row],[DO number]],DO_DB!G:I,3,0)</f>
        <v>#N/A</v>
      </c>
      <c r="AB407" s="331" t="e">
        <f>EXACT(Logfile_S[[#This Row],[date pick]],Logfile_S[[#This Row],[Date]])</f>
        <v>#N/A</v>
      </c>
      <c r="AC4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24C-20231226-01</v>
      </c>
    </row>
    <row r="408" spans="1:29" ht="14.5">
      <c r="A408" s="220" t="str">
        <f>TEXT(ROW(A408)-ROW($A$4),"000")</f>
        <v>404</v>
      </c>
      <c r="B408" s="221"/>
      <c r="C408" s="221" t="s">
        <v>49</v>
      </c>
      <c r="D408" s="221" t="s">
        <v>3903</v>
      </c>
      <c r="E408" s="221" t="s">
        <v>3295</v>
      </c>
      <c r="F408" s="221" t="s">
        <v>3299</v>
      </c>
      <c r="G408" s="222">
        <v>45317</v>
      </c>
      <c r="H408" s="223">
        <v>0.40902777777777777</v>
      </c>
      <c r="I408" s="221" t="s">
        <v>4916</v>
      </c>
      <c r="J408" s="221" t="s">
        <v>3024</v>
      </c>
      <c r="K408" s="224" t="s">
        <v>3087</v>
      </c>
      <c r="L408" s="225" t="str">
        <f>VLOOKUP(Logfile_S[[#This Row],[Material Name]],Sheet2!B:C,2,0)</f>
        <v>GCI1001</v>
      </c>
      <c r="M408" s="225" t="str">
        <f>_xlfn.XLOOKUP(Logfile_S[[#This Row],[Material Name]],Sum_WH!E:E,Sum_WH!F:F,"",0)</f>
        <v>Pcs</v>
      </c>
      <c r="N408" s="221">
        <v>15</v>
      </c>
      <c r="O408" s="221" t="s">
        <v>738</v>
      </c>
      <c r="P408" s="221" t="s">
        <v>3392</v>
      </c>
      <c r="Q408" s="221"/>
      <c r="R408" s="221"/>
      <c r="S408" s="221"/>
      <c r="T408" s="221" t="s">
        <v>3258</v>
      </c>
      <c r="U408" s="221" t="s">
        <v>3228</v>
      </c>
      <c r="V408" s="221" t="s">
        <v>3337</v>
      </c>
      <c r="W408" s="221" t="s">
        <v>3338</v>
      </c>
      <c r="X408" s="221"/>
      <c r="Y408" s="227"/>
      <c r="Z408" s="227" t="str">
        <f>P408</f>
        <v xml:space="preserve">Baturetno RW 02 Singosari </v>
      </c>
      <c r="AA408" s="276" t="e">
        <f>VLOOKUP(Logfile_S[[#This Row],[DO number]],DO_DB!G:I,3,0)</f>
        <v>#N/A</v>
      </c>
      <c r="AB408" s="331" t="e">
        <f>EXACT(Logfile_S[[#This Row],[date pick]],Logfile_S[[#This Row],[Date]])</f>
        <v>#N/A</v>
      </c>
      <c r="AC4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09" spans="1:29" ht="14.5">
      <c r="A409" s="220" t="str">
        <f>TEXT(ROW(A409)-ROW($A$4),"000")</f>
        <v>405</v>
      </c>
      <c r="B409" s="221"/>
      <c r="C409" s="221" t="s">
        <v>49</v>
      </c>
      <c r="D409" s="221" t="s">
        <v>3903</v>
      </c>
      <c r="E409" s="221" t="s">
        <v>3295</v>
      </c>
      <c r="F409" s="221" t="s">
        <v>3299</v>
      </c>
      <c r="G409" s="222">
        <v>45317</v>
      </c>
      <c r="H409" s="223">
        <v>0.40902777777777777</v>
      </c>
      <c r="I409" s="221" t="s">
        <v>4916</v>
      </c>
      <c r="J409" s="221" t="s">
        <v>3024</v>
      </c>
      <c r="K409" s="224" t="s">
        <v>5137</v>
      </c>
      <c r="L409" s="225" t="str">
        <f>VLOOKUP(Logfile_S[[#This Row],[Material Name]],Sheet2!B:C,2,0)</f>
        <v>GCI1009</v>
      </c>
      <c r="M409" s="225" t="str">
        <f>_xlfn.XLOOKUP(Logfile_S[[#This Row],[Material Name]],Sum_WH!E:E,Sum_WH!F:F,"",0)</f>
        <v>Pcs</v>
      </c>
      <c r="N409" s="221">
        <v>50</v>
      </c>
      <c r="O409" s="221" t="s">
        <v>738</v>
      </c>
      <c r="P409" s="221" t="s">
        <v>3392</v>
      </c>
      <c r="Q409" s="221"/>
      <c r="R409" s="221"/>
      <c r="S409" s="221"/>
      <c r="T409" s="221" t="s">
        <v>3258</v>
      </c>
      <c r="U409" s="221" t="s">
        <v>3228</v>
      </c>
      <c r="V409" s="221" t="s">
        <v>3337</v>
      </c>
      <c r="W409" s="221" t="s">
        <v>3338</v>
      </c>
      <c r="X409" s="221"/>
      <c r="Y409" s="227"/>
      <c r="Z409" s="227" t="str">
        <f>P409</f>
        <v xml:space="preserve">Baturetno RW 02 Singosari </v>
      </c>
      <c r="AA409" s="276" t="e">
        <f>VLOOKUP(Logfile_S[[#This Row],[DO number]],DO_DB!G:I,3,0)</f>
        <v>#N/A</v>
      </c>
      <c r="AB409" s="331" t="e">
        <f>EXACT(Logfile_S[[#This Row],[date pick]],Logfile_S[[#This Row],[Date]])</f>
        <v>#N/A</v>
      </c>
      <c r="AC4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10" spans="1:29" ht="14.5">
      <c r="A410" s="220" t="str">
        <f>TEXT(ROW(A410)-ROW($A$4),"000")</f>
        <v>406</v>
      </c>
      <c r="B410" s="221"/>
      <c r="C410" s="221" t="s">
        <v>49</v>
      </c>
      <c r="D410" s="221" t="s">
        <v>3903</v>
      </c>
      <c r="E410" s="221" t="s">
        <v>3295</v>
      </c>
      <c r="F410" s="221" t="s">
        <v>3299</v>
      </c>
      <c r="G410" s="222">
        <v>45317</v>
      </c>
      <c r="H410" s="223">
        <v>0.40902777777777777</v>
      </c>
      <c r="I410" s="221" t="s">
        <v>4916</v>
      </c>
      <c r="J410" s="221" t="s">
        <v>3024</v>
      </c>
      <c r="K410" s="224" t="s">
        <v>3088</v>
      </c>
      <c r="L410" s="225" t="str">
        <f>VLOOKUP(Logfile_S[[#This Row],[Material Name]],Sheet2!B:C,2,0)</f>
        <v>GCI1002</v>
      </c>
      <c r="M410" s="225" t="str">
        <f>_xlfn.XLOOKUP(Logfile_S[[#This Row],[Material Name]],Sum_WH!E:E,Sum_WH!F:F,"",0)</f>
        <v>Pcs</v>
      </c>
      <c r="N410" s="221">
        <v>1</v>
      </c>
      <c r="O410" s="221" t="s">
        <v>738</v>
      </c>
      <c r="P410" s="221" t="s">
        <v>3392</v>
      </c>
      <c r="Q410" s="221"/>
      <c r="R410" s="221"/>
      <c r="S410" s="221"/>
      <c r="T410" s="221" t="s">
        <v>3258</v>
      </c>
      <c r="U410" s="221" t="s">
        <v>3228</v>
      </c>
      <c r="V410" s="221" t="s">
        <v>3337</v>
      </c>
      <c r="W410" s="221" t="s">
        <v>3338</v>
      </c>
      <c r="X410" s="221"/>
      <c r="Y410" s="227"/>
      <c r="Z410" s="227" t="str">
        <f>P410</f>
        <v xml:space="preserve">Baturetno RW 02 Singosari </v>
      </c>
      <c r="AA410" s="276" t="e">
        <f>VLOOKUP(Logfile_S[[#This Row],[DO number]],DO_DB!G:I,3,0)</f>
        <v>#N/A</v>
      </c>
      <c r="AB410" s="331" t="e">
        <f>EXACT(Logfile_S[[#This Row],[date pick]],Logfile_S[[#This Row],[Date]])</f>
        <v>#N/A</v>
      </c>
      <c r="AC4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11" spans="1:29" ht="14.5">
      <c r="A411" s="220" t="str">
        <f>TEXT(ROW(A411)-ROW($A$4),"000")</f>
        <v>407</v>
      </c>
      <c r="B411" s="221"/>
      <c r="C411" s="221" t="s">
        <v>49</v>
      </c>
      <c r="D411" s="221" t="s">
        <v>3903</v>
      </c>
      <c r="E411" s="221" t="s">
        <v>3295</v>
      </c>
      <c r="F411" s="221" t="s">
        <v>3299</v>
      </c>
      <c r="G411" s="222">
        <v>45317</v>
      </c>
      <c r="H411" s="223">
        <v>0.40902777777777777</v>
      </c>
      <c r="I411" s="221" t="s">
        <v>4916</v>
      </c>
      <c r="J411" s="221" t="s">
        <v>3024</v>
      </c>
      <c r="K411" s="224" t="s">
        <v>3094</v>
      </c>
      <c r="L411" s="225" t="str">
        <f>VLOOKUP(Logfile_S[[#This Row],[Material Name]],Sheet2!B:C,2,0)</f>
        <v>GCI1008</v>
      </c>
      <c r="M411" s="225" t="str">
        <f>_xlfn.XLOOKUP(Logfile_S[[#This Row],[Material Name]],Sum_WH!E:E,Sum_WH!F:F,"",0)</f>
        <v>Pcs</v>
      </c>
      <c r="N411" s="221">
        <v>32</v>
      </c>
      <c r="O411" s="221" t="s">
        <v>738</v>
      </c>
      <c r="P411" s="221" t="s">
        <v>3392</v>
      </c>
      <c r="Q411" s="221"/>
      <c r="R411" s="221"/>
      <c r="S411" s="221"/>
      <c r="T411" s="221" t="s">
        <v>3258</v>
      </c>
      <c r="U411" s="221" t="s">
        <v>3228</v>
      </c>
      <c r="V411" s="221" t="s">
        <v>3337</v>
      </c>
      <c r="W411" s="221" t="s">
        <v>3338</v>
      </c>
      <c r="X411" s="221"/>
      <c r="Y411" s="227"/>
      <c r="Z411" s="227" t="str">
        <f>P411</f>
        <v xml:space="preserve">Baturetno RW 02 Singosari </v>
      </c>
      <c r="AA411" s="276" t="e">
        <f>VLOOKUP(Logfile_S[[#This Row],[DO number]],DO_DB!G:I,3,0)</f>
        <v>#N/A</v>
      </c>
      <c r="AB411" s="331" t="e">
        <f>EXACT(Logfile_S[[#This Row],[date pick]],Logfile_S[[#This Row],[Date]])</f>
        <v>#N/A</v>
      </c>
      <c r="AC4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12" spans="1:29" ht="14.5">
      <c r="A412" s="220" t="str">
        <f>TEXT(ROW(A412)-ROW($A$4),"000")</f>
        <v>408</v>
      </c>
      <c r="B412" s="221"/>
      <c r="C412" s="221" t="s">
        <v>49</v>
      </c>
      <c r="D412" s="221" t="s">
        <v>3903</v>
      </c>
      <c r="E412" s="221" t="s">
        <v>3295</v>
      </c>
      <c r="F412" s="221" t="s">
        <v>3299</v>
      </c>
      <c r="G412" s="222">
        <v>45317</v>
      </c>
      <c r="H412" s="223">
        <v>0.40902777777777777</v>
      </c>
      <c r="I412" s="221" t="s">
        <v>4916</v>
      </c>
      <c r="J412" s="221" t="s">
        <v>3024</v>
      </c>
      <c r="K412" s="224" t="s">
        <v>3089</v>
      </c>
      <c r="L412" s="225" t="str">
        <f>VLOOKUP(Logfile_S[[#This Row],[Material Name]],Sheet2!B:C,2,0)</f>
        <v>GCI1003</v>
      </c>
      <c r="M412" s="225" t="str">
        <f>_xlfn.XLOOKUP(Logfile_S[[#This Row],[Material Name]],Sum_WH!E:E,Sum_WH!F:F,"",0)</f>
        <v>Pcs</v>
      </c>
      <c r="N412" s="221">
        <v>100</v>
      </c>
      <c r="O412" s="221" t="s">
        <v>738</v>
      </c>
      <c r="P412" s="221" t="s">
        <v>3392</v>
      </c>
      <c r="Q412" s="221"/>
      <c r="R412" s="221"/>
      <c r="S412" s="221"/>
      <c r="T412" s="221" t="s">
        <v>3258</v>
      </c>
      <c r="U412" s="221" t="s">
        <v>3228</v>
      </c>
      <c r="V412" s="221" t="s">
        <v>3337</v>
      </c>
      <c r="W412" s="221" t="s">
        <v>3338</v>
      </c>
      <c r="X412" s="221"/>
      <c r="Y412" s="227"/>
      <c r="Z412" s="227" t="str">
        <f>P412</f>
        <v xml:space="preserve">Baturetno RW 02 Singosari </v>
      </c>
      <c r="AA412" s="276" t="e">
        <f>VLOOKUP(Logfile_S[[#This Row],[DO number]],DO_DB!G:I,3,0)</f>
        <v>#N/A</v>
      </c>
      <c r="AB412" s="331" t="e">
        <f>EXACT(Logfile_S[[#This Row],[date pick]],Logfile_S[[#This Row],[Date]])</f>
        <v>#N/A</v>
      </c>
      <c r="AC4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13" spans="1:29" ht="14.5">
      <c r="A413" s="220" t="str">
        <f>TEXT(ROW(A413)-ROW($A$4),"000")</f>
        <v>409</v>
      </c>
      <c r="B413" s="221"/>
      <c r="C413" s="221" t="s">
        <v>49</v>
      </c>
      <c r="D413" s="221" t="s">
        <v>3903</v>
      </c>
      <c r="E413" s="221" t="s">
        <v>3295</v>
      </c>
      <c r="F413" s="221" t="s">
        <v>3299</v>
      </c>
      <c r="G413" s="222">
        <v>45317</v>
      </c>
      <c r="H413" s="223">
        <v>0.40902777777777777</v>
      </c>
      <c r="I413" s="221" t="s">
        <v>4916</v>
      </c>
      <c r="J413" s="221" t="s">
        <v>3024</v>
      </c>
      <c r="K413" s="224" t="s">
        <v>3090</v>
      </c>
      <c r="L413" s="225" t="str">
        <f>VLOOKUP(Logfile_S[[#This Row],[Material Name]],Sheet2!B:C,2,0)</f>
        <v>GCI1004</v>
      </c>
      <c r="M413" s="225" t="str">
        <f>_xlfn.XLOOKUP(Logfile_S[[#This Row],[Material Name]],Sum_WH!E:E,Sum_WH!F:F,"",0)</f>
        <v>Pcs</v>
      </c>
      <c r="N413" s="221">
        <v>14</v>
      </c>
      <c r="O413" s="221" t="s">
        <v>738</v>
      </c>
      <c r="P413" s="221" t="s">
        <v>3392</v>
      </c>
      <c r="Q413" s="221"/>
      <c r="R413" s="221"/>
      <c r="S413" s="221"/>
      <c r="T413" s="221" t="s">
        <v>3258</v>
      </c>
      <c r="U413" s="221" t="s">
        <v>3228</v>
      </c>
      <c r="V413" s="221" t="s">
        <v>3337</v>
      </c>
      <c r="W413" s="221" t="s">
        <v>3338</v>
      </c>
      <c r="X413" s="221"/>
      <c r="Y413" s="227"/>
      <c r="Z413" s="227" t="str">
        <f>P413</f>
        <v xml:space="preserve">Baturetno RW 02 Singosari </v>
      </c>
      <c r="AA413" s="276" t="e">
        <f>VLOOKUP(Logfile_S[[#This Row],[DO number]],DO_DB!G:I,3,0)</f>
        <v>#N/A</v>
      </c>
      <c r="AB413" s="331" t="e">
        <f>EXACT(Logfile_S[[#This Row],[date pick]],Logfile_S[[#This Row],[Date]])</f>
        <v>#N/A</v>
      </c>
      <c r="AC4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14" spans="1:29" ht="14.5">
      <c r="A414" s="220" t="str">
        <f>TEXT(ROW(A414)-ROW($A$4),"000")</f>
        <v>410</v>
      </c>
      <c r="B414" s="221"/>
      <c r="C414" s="221" t="s">
        <v>49</v>
      </c>
      <c r="D414" s="221" t="s">
        <v>3911</v>
      </c>
      <c r="E414" s="221" t="s">
        <v>3295</v>
      </c>
      <c r="F414" s="221" t="s">
        <v>3299</v>
      </c>
      <c r="G414" s="222">
        <v>45324</v>
      </c>
      <c r="H414" s="223">
        <v>0.63194444444444442</v>
      </c>
      <c r="I414" s="221" t="s">
        <v>4916</v>
      </c>
      <c r="J414" s="221" t="s">
        <v>3024</v>
      </c>
      <c r="K414" s="224" t="s">
        <v>5137</v>
      </c>
      <c r="L414" s="225" t="str">
        <f>VLOOKUP(Logfile_S[[#This Row],[Material Name]],Sheet2!B:C,2,0)</f>
        <v>GCI1009</v>
      </c>
      <c r="M414" s="225" t="str">
        <f>_xlfn.XLOOKUP(Logfile_S[[#This Row],[Material Name]],Sum_WH!E:E,Sum_WH!F:F,"",0)</f>
        <v>Pcs</v>
      </c>
      <c r="N414" s="221">
        <v>10</v>
      </c>
      <c r="O414" s="221" t="s">
        <v>738</v>
      </c>
      <c r="P414" s="221" t="s">
        <v>3392</v>
      </c>
      <c r="Q414" s="221"/>
      <c r="R414" s="221"/>
      <c r="S414" s="221"/>
      <c r="T414" s="221" t="s">
        <v>3258</v>
      </c>
      <c r="U414" s="221" t="s">
        <v>3228</v>
      </c>
      <c r="V414" s="221" t="s">
        <v>3337</v>
      </c>
      <c r="W414" s="221" t="s">
        <v>3338</v>
      </c>
      <c r="X414" s="221"/>
      <c r="Y414" s="227"/>
      <c r="Z414" s="227" t="str">
        <f>P414</f>
        <v xml:space="preserve">Baturetno RW 02 Singosari </v>
      </c>
      <c r="AA414" s="276" t="e">
        <f>VLOOKUP(Logfile_S[[#This Row],[DO number]],DO_DB!G:I,3,0)</f>
        <v>#N/A</v>
      </c>
      <c r="AB414" s="331" t="e">
        <f>EXACT(Logfile_S[[#This Row],[date pick]],Logfile_S[[#This Row],[Date]])</f>
        <v>#N/A</v>
      </c>
      <c r="AC4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15" spans="1:29" ht="14.5">
      <c r="A415" s="220" t="str">
        <f>TEXT(ROW(A415)-ROW($A$4),"000")</f>
        <v>411</v>
      </c>
      <c r="B415" s="221"/>
      <c r="C415" s="221" t="s">
        <v>49</v>
      </c>
      <c r="D415" s="221" t="s">
        <v>3911</v>
      </c>
      <c r="E415" s="221" t="s">
        <v>3295</v>
      </c>
      <c r="F415" s="221" t="s">
        <v>3299</v>
      </c>
      <c r="G415" s="222">
        <v>45324</v>
      </c>
      <c r="H415" s="223">
        <v>0.63194444444444442</v>
      </c>
      <c r="I415" s="221" t="s">
        <v>4916</v>
      </c>
      <c r="J415" s="221" t="s">
        <v>3024</v>
      </c>
      <c r="K415" s="224" t="s">
        <v>3094</v>
      </c>
      <c r="L415" s="225" t="str">
        <f>VLOOKUP(Logfile_S[[#This Row],[Material Name]],Sheet2!B:C,2,0)</f>
        <v>GCI1008</v>
      </c>
      <c r="M415" s="225" t="str">
        <f>_xlfn.XLOOKUP(Logfile_S[[#This Row],[Material Name]],Sum_WH!E:E,Sum_WH!F:F,"",0)</f>
        <v>Pcs</v>
      </c>
      <c r="N415" s="221">
        <v>5</v>
      </c>
      <c r="O415" s="221" t="s">
        <v>738</v>
      </c>
      <c r="P415" s="221" t="s">
        <v>3392</v>
      </c>
      <c r="Q415" s="221"/>
      <c r="R415" s="221"/>
      <c r="S415" s="221"/>
      <c r="T415" s="221" t="s">
        <v>3258</v>
      </c>
      <c r="U415" s="221" t="s">
        <v>3228</v>
      </c>
      <c r="V415" s="221" t="s">
        <v>3337</v>
      </c>
      <c r="W415" s="221" t="s">
        <v>3338</v>
      </c>
      <c r="X415" s="221"/>
      <c r="Y415" s="227"/>
      <c r="Z415" s="227" t="str">
        <f>P415</f>
        <v xml:space="preserve">Baturetno RW 02 Singosari </v>
      </c>
      <c r="AA415" s="276" t="e">
        <f>VLOOKUP(Logfile_S[[#This Row],[DO number]],DO_DB!G:I,3,0)</f>
        <v>#N/A</v>
      </c>
      <c r="AB415" s="331" t="e">
        <f>EXACT(Logfile_S[[#This Row],[date pick]],Logfile_S[[#This Row],[Date]])</f>
        <v>#N/A</v>
      </c>
      <c r="AC4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16" spans="1:29" ht="14.5">
      <c r="A416" s="220" t="str">
        <f>TEXT(ROW(A416)-ROW($A$4),"000")</f>
        <v>412</v>
      </c>
      <c r="B416" s="221"/>
      <c r="C416" s="221" t="s">
        <v>48</v>
      </c>
      <c r="D416" s="221" t="s">
        <v>3924</v>
      </c>
      <c r="E416" s="221" t="s">
        <v>3295</v>
      </c>
      <c r="F416" s="221" t="s">
        <v>3299</v>
      </c>
      <c r="G416" s="222">
        <v>45337</v>
      </c>
      <c r="H416" s="223">
        <v>15.291666666666666</v>
      </c>
      <c r="I416" s="221" t="s">
        <v>3017</v>
      </c>
      <c r="J416" s="221" t="s">
        <v>3024</v>
      </c>
      <c r="K416" s="224" t="s">
        <v>3089</v>
      </c>
      <c r="L416" s="225" t="str">
        <f>VLOOKUP(Logfile_S[[#This Row],[Material Name]],Sheet2!B:C,2,0)</f>
        <v>GCI1003</v>
      </c>
      <c r="M416" s="225" t="str">
        <f>_xlfn.XLOOKUP(Logfile_S[[#This Row],[Material Name]],Sum_WH!E:E,Sum_WH!F:F,"",0)</f>
        <v>Pcs</v>
      </c>
      <c r="N416" s="221">
        <v>67</v>
      </c>
      <c r="O416" s="221" t="s">
        <v>738</v>
      </c>
      <c r="P416" s="221" t="s">
        <v>3392</v>
      </c>
      <c r="Q416" s="221" t="s">
        <v>3359</v>
      </c>
      <c r="R416" s="221">
        <v>0</v>
      </c>
      <c r="S416" s="221"/>
      <c r="T416" s="221"/>
      <c r="U416" s="221"/>
      <c r="V416" s="221"/>
      <c r="W416" s="221"/>
      <c r="X416" s="221"/>
      <c r="Y416" s="227"/>
      <c r="Z416" s="227" t="str">
        <f>P416</f>
        <v xml:space="preserve">Baturetno RW 02 Singosari </v>
      </c>
      <c r="AA416" s="276" t="e">
        <f>VLOOKUP(Logfile_S[[#This Row],[DO number]],DO_DB!G:I,3,0)</f>
        <v>#N/A</v>
      </c>
      <c r="AB416" s="331" t="e">
        <f>EXACT(Logfile_S[[#This Row],[date pick]],Logfile_S[[#This Row],[Date]])</f>
        <v>#N/A</v>
      </c>
      <c r="AC4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17" spans="1:29" ht="14.5">
      <c r="A417" s="220" t="str">
        <f>TEXT(ROW(A417)-ROW($A$4),"000")</f>
        <v>413</v>
      </c>
      <c r="B417" s="221"/>
      <c r="C417" s="221" t="s">
        <v>49</v>
      </c>
      <c r="D417" s="221" t="s">
        <v>3887</v>
      </c>
      <c r="E417" s="221" t="s">
        <v>3295</v>
      </c>
      <c r="F417" s="221" t="s">
        <v>3299</v>
      </c>
      <c r="G417" s="222">
        <v>45313</v>
      </c>
      <c r="H417" s="223">
        <v>0.62291666666666667</v>
      </c>
      <c r="I417" s="221" t="s">
        <v>4916</v>
      </c>
      <c r="J417" s="221" t="s">
        <v>3023</v>
      </c>
      <c r="K417" s="224" t="s">
        <v>3072</v>
      </c>
      <c r="L417" s="225" t="str">
        <f>VLOOKUP(Logfile_S[[#This Row],[Material Name]],Sheet2!B:C,2,0)</f>
        <v>ZTE1004</v>
      </c>
      <c r="M417" s="225" t="str">
        <f>_xlfn.XLOOKUP(Logfile_S[[#This Row],[Material Name]],Sum_WH!E:E,Sum_WH!F:F,"",0)</f>
        <v>Pcs</v>
      </c>
      <c r="N417" s="221">
        <v>1</v>
      </c>
      <c r="O417" s="221" t="s">
        <v>738</v>
      </c>
      <c r="P417" s="221" t="s">
        <v>739</v>
      </c>
      <c r="Q417" s="221"/>
      <c r="R417" s="221"/>
      <c r="S417" s="221"/>
      <c r="T417" s="221" t="s">
        <v>3231</v>
      </c>
      <c r="U417" s="221" t="s">
        <v>3228</v>
      </c>
      <c r="V417" s="221" t="s">
        <v>3232</v>
      </c>
      <c r="W417" s="221" t="s">
        <v>3246</v>
      </c>
      <c r="X417" s="221"/>
      <c r="Y417" s="227"/>
      <c r="Z417" s="227" t="str">
        <f>P417</f>
        <v>Baturetno RW 02 Singosari Malang</v>
      </c>
      <c r="AA417" s="276" t="e">
        <f>VLOOKUP(Logfile_S[[#This Row],[DO number]],DO_DB!G:I,3,0)</f>
        <v>#N/A</v>
      </c>
      <c r="AB417" s="331" t="e">
        <f>EXACT(Logfile_S[[#This Row],[date pick]],Logfile_S[[#This Row],[Date]])</f>
        <v>#N/A</v>
      </c>
      <c r="AC4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18" spans="1:29" ht="14.5">
      <c r="A418" s="220" t="str">
        <f>TEXT(ROW(A418)-ROW($A$4),"000")</f>
        <v>414</v>
      </c>
      <c r="B418" s="221"/>
      <c r="C418" s="221" t="s">
        <v>48</v>
      </c>
      <c r="D418" s="221" t="s">
        <v>4272</v>
      </c>
      <c r="E418" s="221" t="s">
        <v>3295</v>
      </c>
      <c r="F418" s="221" t="s">
        <v>3299</v>
      </c>
      <c r="G418" s="222">
        <v>45602</v>
      </c>
      <c r="H418" s="223">
        <v>15.291666666666666</v>
      </c>
      <c r="I418" s="221" t="s">
        <v>37</v>
      </c>
      <c r="J418" s="221" t="s">
        <v>3023</v>
      </c>
      <c r="K418" s="224" t="s">
        <v>3073</v>
      </c>
      <c r="L418" s="225" t="str">
        <f>VLOOKUP(Logfile_S[[#This Row],[Material Name]],Sheet2!B:C,2,0)</f>
        <v>ZTE2001</v>
      </c>
      <c r="M418" s="225" t="str">
        <f>_xlfn.XLOOKUP(Logfile_S[[#This Row],[Material Name]],Sum_WH!E:E,Sum_WH!F:F,"",0)</f>
        <v>Meter</v>
      </c>
      <c r="N418" s="221">
        <v>3000</v>
      </c>
      <c r="O418" s="221" t="s">
        <v>2350</v>
      </c>
      <c r="P418" s="221" t="s">
        <v>3470</v>
      </c>
      <c r="Q418" s="221" t="s">
        <v>2358</v>
      </c>
      <c r="R418" s="221" t="s">
        <v>2359</v>
      </c>
      <c r="S418" s="221"/>
      <c r="T418" s="221"/>
      <c r="U418" s="221"/>
      <c r="V418" s="221"/>
      <c r="W418" s="221"/>
      <c r="X418" s="221"/>
      <c r="Y418" s="227" t="s">
        <v>5338</v>
      </c>
      <c r="Z418" s="227" t="str">
        <f>P418</f>
        <v>Kalirejo RW 13 Lawang</v>
      </c>
      <c r="AA418" s="276">
        <f>VLOOKUP(Logfile_S[[#This Row],[DO number]],DO_DB!G:I,3,0)</f>
        <v>45602</v>
      </c>
      <c r="AB418" s="331" t="b">
        <f>EXACT(Logfile_S[[#This Row],[date pick]],Logfile_S[[#This Row],[Date]])</f>
        <v>1</v>
      </c>
      <c r="AC4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24C-2024116-03</v>
      </c>
    </row>
    <row r="419" spans="1:29" ht="14.5">
      <c r="A419" s="220" t="str">
        <f>TEXT(ROW(A419)-ROW($A$4),"000")</f>
        <v>415</v>
      </c>
      <c r="B419" s="221"/>
      <c r="C419" s="221" t="s">
        <v>48</v>
      </c>
      <c r="D419" s="221" t="s">
        <v>4272</v>
      </c>
      <c r="E419" s="221" t="s">
        <v>3295</v>
      </c>
      <c r="F419" s="221" t="s">
        <v>3299</v>
      </c>
      <c r="G419" s="222">
        <v>45602</v>
      </c>
      <c r="H419" s="223">
        <v>15.291666666666666</v>
      </c>
      <c r="I419" s="221" t="s">
        <v>37</v>
      </c>
      <c r="J419" s="221" t="s">
        <v>3023</v>
      </c>
      <c r="K419" s="224" t="s">
        <v>3075</v>
      </c>
      <c r="L419" s="225" t="str">
        <f>VLOOKUP(Logfile_S[[#This Row],[Material Name]],Sheet2!B:C,2,0)</f>
        <v>ZTE2003</v>
      </c>
      <c r="M419" s="225" t="str">
        <f>_xlfn.XLOOKUP(Logfile_S[[#This Row],[Material Name]],Sum_WH!E:E,Sum_WH!F:F,"",0)</f>
        <v>Meter</v>
      </c>
      <c r="N419" s="221">
        <v>3000</v>
      </c>
      <c r="O419" s="221" t="s">
        <v>2350</v>
      </c>
      <c r="P419" s="221" t="s">
        <v>3470</v>
      </c>
      <c r="Q419" s="221" t="s">
        <v>2358</v>
      </c>
      <c r="R419" s="221" t="s">
        <v>2359</v>
      </c>
      <c r="S419" s="221"/>
      <c r="T419" s="221"/>
      <c r="U419" s="221"/>
      <c r="V419" s="221"/>
      <c r="W419" s="221"/>
      <c r="X419" s="221"/>
      <c r="Y419" s="227" t="s">
        <v>5340</v>
      </c>
      <c r="Z419" s="227" t="str">
        <f>P419</f>
        <v>Kalirejo RW 13 Lawang</v>
      </c>
      <c r="AA419" s="276">
        <f>VLOOKUP(Logfile_S[[#This Row],[DO number]],DO_DB!G:I,3,0)</f>
        <v>45602</v>
      </c>
      <c r="AB419" s="331" t="b">
        <f>EXACT(Logfile_S[[#This Row],[date pick]],Logfile_S[[#This Row],[Date]])</f>
        <v>1</v>
      </c>
      <c r="AC4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48C-2024116-03</v>
      </c>
    </row>
    <row r="420" spans="1:29" ht="14.5">
      <c r="A420" s="237" t="str">
        <f>TEXT(ROW(A420)-ROW($A$4),"000")</f>
        <v>416</v>
      </c>
      <c r="B420" s="221"/>
      <c r="C420" s="221" t="s">
        <v>48</v>
      </c>
      <c r="D420" s="221" t="s">
        <v>4272</v>
      </c>
      <c r="E420" s="221" t="s">
        <v>3295</v>
      </c>
      <c r="F420" s="221" t="s">
        <v>3299</v>
      </c>
      <c r="G420" s="222">
        <v>45602</v>
      </c>
      <c r="H420" s="223">
        <v>15.291666666666666</v>
      </c>
      <c r="I420" s="221" t="s">
        <v>37</v>
      </c>
      <c r="J420" s="221" t="s">
        <v>3023</v>
      </c>
      <c r="K420" s="224" t="s">
        <v>3075</v>
      </c>
      <c r="L420" s="225" t="str">
        <f>VLOOKUP(Logfile_S[[#This Row],[Material Name]],Sheet2!B:C,2,0)</f>
        <v>ZTE2003</v>
      </c>
      <c r="M420" s="225" t="str">
        <f>_xlfn.XLOOKUP(Logfile_S[[#This Row],[Material Name]],Sum_WH!E:E,Sum_WH!F:F,"",0)</f>
        <v>Meter</v>
      </c>
      <c r="N420" s="221">
        <v>3000</v>
      </c>
      <c r="O420" s="221" t="s">
        <v>2350</v>
      </c>
      <c r="P420" s="221" t="s">
        <v>3470</v>
      </c>
      <c r="Q420" s="221" t="s">
        <v>2358</v>
      </c>
      <c r="R420" s="221" t="s">
        <v>2359</v>
      </c>
      <c r="S420" s="227"/>
      <c r="T420" s="227"/>
      <c r="U420" s="227"/>
      <c r="V420" s="227"/>
      <c r="W420" s="227"/>
      <c r="X420" s="227"/>
      <c r="Y420" s="238" t="s">
        <v>5341</v>
      </c>
      <c r="Z420" s="227" t="str">
        <f>P420</f>
        <v>Kalirejo RW 13 Lawang</v>
      </c>
      <c r="AA420" s="276">
        <f>VLOOKUP(Logfile_S[[#This Row],[DO number]],DO_DB!G:I,3,0)</f>
        <v>45602</v>
      </c>
      <c r="AB420" s="331" t="b">
        <f>EXACT(Logfile_S[[#This Row],[date pick]],Logfile_S[[#This Row],[Date]])</f>
        <v>1</v>
      </c>
      <c r="AC4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48C-2024116-04</v>
      </c>
    </row>
    <row r="421" spans="1:29" ht="14.5">
      <c r="A421" s="220" t="str">
        <f>TEXT(ROW(A421)-ROW($A$4),"000")</f>
        <v>417</v>
      </c>
      <c r="B421" s="221"/>
      <c r="C421" s="221" t="s">
        <v>48</v>
      </c>
      <c r="D421" s="221" t="s">
        <v>4272</v>
      </c>
      <c r="E421" s="221" t="s">
        <v>3295</v>
      </c>
      <c r="F421" s="221" t="s">
        <v>3299</v>
      </c>
      <c r="G421" s="222">
        <v>45602</v>
      </c>
      <c r="H421" s="223">
        <v>15.291666666666666</v>
      </c>
      <c r="I421" s="221" t="s">
        <v>37</v>
      </c>
      <c r="J421" s="221" t="s">
        <v>3023</v>
      </c>
      <c r="K421" s="224" t="s">
        <v>13</v>
      </c>
      <c r="L421" s="225" t="str">
        <f>VLOOKUP(Logfile_S[[#This Row],[Material Name]],Sheet2!B:C,2,0)</f>
        <v>ZTE2008</v>
      </c>
      <c r="M421" s="225" t="str">
        <f>_xlfn.XLOOKUP(Logfile_S[[#This Row],[Material Name]],Sum_WH!E:E,Sum_WH!F:F,"",0)</f>
        <v>Pcs</v>
      </c>
      <c r="N421" s="221">
        <v>10</v>
      </c>
      <c r="O421" s="221" t="s">
        <v>2350</v>
      </c>
      <c r="P421" s="221" t="s">
        <v>3470</v>
      </c>
      <c r="Q421" s="221" t="s">
        <v>2358</v>
      </c>
      <c r="R421" s="221" t="s">
        <v>2359</v>
      </c>
      <c r="S421" s="221"/>
      <c r="T421" s="221"/>
      <c r="U421" s="221"/>
      <c r="V421" s="221"/>
      <c r="W421" s="221"/>
      <c r="X421" s="221"/>
      <c r="Y421" s="227"/>
      <c r="Z421" s="227" t="str">
        <f>P421</f>
        <v>Kalirejo RW 13 Lawang</v>
      </c>
      <c r="AA421" s="276">
        <f>VLOOKUP(Logfile_S[[#This Row],[DO number]],DO_DB!G:I,3,0)</f>
        <v>45602</v>
      </c>
      <c r="AB421" s="331" t="b">
        <f>EXACT(Logfile_S[[#This Row],[date pick]],Logfile_S[[#This Row],[Date]])</f>
        <v>1</v>
      </c>
      <c r="AC4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22" spans="1:29" ht="14.5">
      <c r="A422" s="220" t="str">
        <f>TEXT(ROW(A422)-ROW($A$4),"000")</f>
        <v>418</v>
      </c>
      <c r="B422" s="221"/>
      <c r="C422" s="221" t="s">
        <v>48</v>
      </c>
      <c r="D422" s="221" t="s">
        <v>4272</v>
      </c>
      <c r="E422" s="221" t="s">
        <v>3295</v>
      </c>
      <c r="F422" s="221" t="s">
        <v>3299</v>
      </c>
      <c r="G422" s="222">
        <v>45602</v>
      </c>
      <c r="H422" s="223">
        <v>15.291666666666666</v>
      </c>
      <c r="I422" s="221" t="s">
        <v>37</v>
      </c>
      <c r="J422" s="221" t="s">
        <v>3023</v>
      </c>
      <c r="K422" s="224" t="s">
        <v>3070</v>
      </c>
      <c r="L422" s="225" t="str">
        <f>VLOOKUP(Logfile_S[[#This Row],[Material Name]],Sheet2!B:C,2,0)</f>
        <v>ZTE1002</v>
      </c>
      <c r="M422" s="225" t="str">
        <f>_xlfn.XLOOKUP(Logfile_S[[#This Row],[Material Name]],Sum_WH!E:E,Sum_WH!F:F,"",0)</f>
        <v>Pcs</v>
      </c>
      <c r="N422" s="221">
        <v>5</v>
      </c>
      <c r="O422" s="221" t="s">
        <v>2350</v>
      </c>
      <c r="P422" s="221" t="s">
        <v>3470</v>
      </c>
      <c r="Q422" s="221" t="s">
        <v>2358</v>
      </c>
      <c r="R422" s="221" t="s">
        <v>2359</v>
      </c>
      <c r="S422" s="221"/>
      <c r="T422" s="221"/>
      <c r="U422" s="221"/>
      <c r="V422" s="221"/>
      <c r="W422" s="221"/>
      <c r="X422" s="221"/>
      <c r="Y422" s="227"/>
      <c r="Z422" s="227" t="str">
        <f>P422</f>
        <v>Kalirejo RW 13 Lawang</v>
      </c>
      <c r="AA422" s="276">
        <f>VLOOKUP(Logfile_S[[#This Row],[DO number]],DO_DB!G:I,3,0)</f>
        <v>45602</v>
      </c>
      <c r="AB422" s="331" t="b">
        <f>EXACT(Logfile_S[[#This Row],[date pick]],Logfile_S[[#This Row],[Date]])</f>
        <v>1</v>
      </c>
      <c r="AC4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23" spans="1:29" ht="14.5">
      <c r="A423" s="220" t="str">
        <f>TEXT(ROW(A423)-ROW($A$4),"000")</f>
        <v>419</v>
      </c>
      <c r="B423" s="221"/>
      <c r="C423" s="221" t="s">
        <v>48</v>
      </c>
      <c r="D423" s="221" t="s">
        <v>4272</v>
      </c>
      <c r="E423" s="221" t="s">
        <v>3295</v>
      </c>
      <c r="F423" s="221" t="s">
        <v>3299</v>
      </c>
      <c r="G423" s="222">
        <v>45602</v>
      </c>
      <c r="H423" s="223">
        <v>15.291666666666666</v>
      </c>
      <c r="I423" s="221" t="s">
        <v>37</v>
      </c>
      <c r="J423" s="221" t="s">
        <v>3023</v>
      </c>
      <c r="K423" s="224" t="s">
        <v>3069</v>
      </c>
      <c r="L423" s="225" t="str">
        <f>VLOOKUP(Logfile_S[[#This Row],[Material Name]],Sheet2!B:C,2,0)</f>
        <v>ZTE1001</v>
      </c>
      <c r="M423" s="225" t="str">
        <f>_xlfn.XLOOKUP(Logfile_S[[#This Row],[Material Name]],Sum_WH!E:E,Sum_WH!F:F,"",0)</f>
        <v>Pcs</v>
      </c>
      <c r="N423" s="221">
        <v>20</v>
      </c>
      <c r="O423" s="221" t="s">
        <v>2350</v>
      </c>
      <c r="P423" s="221" t="s">
        <v>3470</v>
      </c>
      <c r="Q423" s="221" t="s">
        <v>2358</v>
      </c>
      <c r="R423" s="221" t="s">
        <v>2359</v>
      </c>
      <c r="S423" s="221"/>
      <c r="T423" s="221"/>
      <c r="U423" s="221"/>
      <c r="V423" s="221"/>
      <c r="W423" s="221"/>
      <c r="X423" s="221"/>
      <c r="Y423" s="227"/>
      <c r="Z423" s="227" t="str">
        <f>P423</f>
        <v>Kalirejo RW 13 Lawang</v>
      </c>
      <c r="AA423" s="276">
        <f>VLOOKUP(Logfile_S[[#This Row],[DO number]],DO_DB!G:I,3,0)</f>
        <v>45602</v>
      </c>
      <c r="AB423" s="331" t="b">
        <f>EXACT(Logfile_S[[#This Row],[date pick]],Logfile_S[[#This Row],[Date]])</f>
        <v>1</v>
      </c>
      <c r="AC4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24" spans="1:29" ht="14.5">
      <c r="A424" s="220" t="str">
        <f>TEXT(ROW(A424)-ROW($A$4),"000")</f>
        <v>420</v>
      </c>
      <c r="B424" s="221"/>
      <c r="C424" s="221" t="s">
        <v>49</v>
      </c>
      <c r="D424" s="221" t="s">
        <v>4277</v>
      </c>
      <c r="E424" s="221" t="s">
        <v>3295</v>
      </c>
      <c r="F424" s="221" t="s">
        <v>3299</v>
      </c>
      <c r="G424" s="222">
        <v>45616</v>
      </c>
      <c r="H424" s="223">
        <v>0.55902777777777779</v>
      </c>
      <c r="I424" s="221" t="s">
        <v>4916</v>
      </c>
      <c r="J424" s="221" t="s">
        <v>3024</v>
      </c>
      <c r="K424" s="224" t="s">
        <v>3097</v>
      </c>
      <c r="L424" s="225" t="str">
        <f>VLOOKUP(Logfile_S[[#This Row],[Material Name]],Sheet2!B:C,2,0)</f>
        <v>GCI1011</v>
      </c>
      <c r="M424" s="225" t="str">
        <f>_xlfn.XLOOKUP(Logfile_S[[#This Row],[Material Name]],Sum_WH!E:E,Sum_WH!F:F,"",0)</f>
        <v>Pcs</v>
      </c>
      <c r="N424" s="221">
        <v>1</v>
      </c>
      <c r="O424" s="221" t="s">
        <v>2350</v>
      </c>
      <c r="P424" s="221" t="s">
        <v>3409</v>
      </c>
      <c r="Q424" s="221"/>
      <c r="R424" s="221"/>
      <c r="S424" s="221"/>
      <c r="T424" s="221" t="s">
        <v>3258</v>
      </c>
      <c r="U424" s="221">
        <v>0</v>
      </c>
      <c r="V424" s="221" t="s">
        <v>3337</v>
      </c>
      <c r="W424" s="221" t="s">
        <v>3338</v>
      </c>
      <c r="X424" s="221"/>
      <c r="Y424" s="227"/>
      <c r="Z424" s="227" t="str">
        <f>P424</f>
        <v>Kalirejo RW 13 Lawang Malang</v>
      </c>
      <c r="AA424" s="276" t="e">
        <f>VLOOKUP(Logfile_S[[#This Row],[DO number]],DO_DB!G:I,3,0)</f>
        <v>#N/A</v>
      </c>
      <c r="AB424" s="331" t="e">
        <f>EXACT(Logfile_S[[#This Row],[date pick]],Logfile_S[[#This Row],[Date]])</f>
        <v>#N/A</v>
      </c>
      <c r="AC4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25" spans="1:29" ht="14.5">
      <c r="A425" s="220" t="str">
        <f>TEXT(ROW(A425)-ROW($A$4),"000")</f>
        <v>421</v>
      </c>
      <c r="B425" s="221"/>
      <c r="C425" s="221" t="s">
        <v>49</v>
      </c>
      <c r="D425" s="221" t="s">
        <v>4277</v>
      </c>
      <c r="E425" s="221" t="s">
        <v>3295</v>
      </c>
      <c r="F425" s="221" t="s">
        <v>3299</v>
      </c>
      <c r="G425" s="222">
        <v>45616</v>
      </c>
      <c r="H425" s="223">
        <v>0.55902777777777779</v>
      </c>
      <c r="I425" s="221" t="s">
        <v>4916</v>
      </c>
      <c r="J425" s="221" t="s">
        <v>3024</v>
      </c>
      <c r="K425" s="224" t="s">
        <v>5137</v>
      </c>
      <c r="L425" s="225" t="str">
        <f>VLOOKUP(Logfile_S[[#This Row],[Material Name]],Sheet2!B:C,2,0)</f>
        <v>GCI1009</v>
      </c>
      <c r="M425" s="225" t="str">
        <f>_xlfn.XLOOKUP(Logfile_S[[#This Row],[Material Name]],Sum_WH!E:E,Sum_WH!F:F,"",0)</f>
        <v>Pcs</v>
      </c>
      <c r="N425" s="221">
        <v>30</v>
      </c>
      <c r="O425" s="221" t="s">
        <v>2350</v>
      </c>
      <c r="P425" s="221" t="s">
        <v>3409</v>
      </c>
      <c r="Q425" s="221"/>
      <c r="R425" s="221"/>
      <c r="S425" s="221"/>
      <c r="T425" s="221" t="s">
        <v>3258</v>
      </c>
      <c r="U425" s="221">
        <v>0</v>
      </c>
      <c r="V425" s="221" t="s">
        <v>3337</v>
      </c>
      <c r="W425" s="221" t="s">
        <v>3338</v>
      </c>
      <c r="X425" s="221"/>
      <c r="Y425" s="227"/>
      <c r="Z425" s="227" t="str">
        <f>P425</f>
        <v>Kalirejo RW 13 Lawang Malang</v>
      </c>
      <c r="AA425" s="276" t="e">
        <f>VLOOKUP(Logfile_S[[#This Row],[DO number]],DO_DB!G:I,3,0)</f>
        <v>#N/A</v>
      </c>
      <c r="AB425" s="331" t="e">
        <f>EXACT(Logfile_S[[#This Row],[date pick]],Logfile_S[[#This Row],[Date]])</f>
        <v>#N/A</v>
      </c>
      <c r="AC4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26" spans="1:29" ht="14.5">
      <c r="A426" s="220" t="str">
        <f>TEXT(ROW(A426)-ROW($A$4),"000")</f>
        <v>422</v>
      </c>
      <c r="B426" s="221"/>
      <c r="C426" s="221" t="s">
        <v>49</v>
      </c>
      <c r="D426" s="221" t="s">
        <v>4277</v>
      </c>
      <c r="E426" s="221" t="s">
        <v>3295</v>
      </c>
      <c r="F426" s="221" t="s">
        <v>3299</v>
      </c>
      <c r="G426" s="222">
        <v>45616</v>
      </c>
      <c r="H426" s="223">
        <v>0.55902777777777779</v>
      </c>
      <c r="I426" s="221" t="s">
        <v>4916</v>
      </c>
      <c r="J426" s="221" t="s">
        <v>3023</v>
      </c>
      <c r="K426" s="224" t="s">
        <v>3070</v>
      </c>
      <c r="L426" s="225" t="str">
        <f>VLOOKUP(Logfile_S[[#This Row],[Material Name]],Sheet2!B:C,2,0)</f>
        <v>ZTE1002</v>
      </c>
      <c r="M426" s="225" t="str">
        <f>_xlfn.XLOOKUP(Logfile_S[[#This Row],[Material Name]],Sum_WH!E:E,Sum_WH!F:F,"",0)</f>
        <v>Pcs</v>
      </c>
      <c r="N426" s="221">
        <v>2</v>
      </c>
      <c r="O426" s="221" t="s">
        <v>2350</v>
      </c>
      <c r="P426" s="221" t="s">
        <v>3409</v>
      </c>
      <c r="Q426" s="221"/>
      <c r="R426" s="221"/>
      <c r="S426" s="221"/>
      <c r="T426" s="221" t="s">
        <v>3258</v>
      </c>
      <c r="U426" s="221">
        <v>0</v>
      </c>
      <c r="V426" s="221" t="s">
        <v>3337</v>
      </c>
      <c r="W426" s="221" t="s">
        <v>3338</v>
      </c>
      <c r="X426" s="221"/>
      <c r="Y426" s="227"/>
      <c r="Z426" s="227" t="str">
        <f>P426</f>
        <v>Kalirejo RW 13 Lawang Malang</v>
      </c>
      <c r="AA426" s="276" t="e">
        <f>VLOOKUP(Logfile_S[[#This Row],[DO number]],DO_DB!G:I,3,0)</f>
        <v>#N/A</v>
      </c>
      <c r="AB426" s="331" t="e">
        <f>EXACT(Logfile_S[[#This Row],[date pick]],Logfile_S[[#This Row],[Date]])</f>
        <v>#N/A</v>
      </c>
      <c r="AC4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27" spans="1:29" ht="14.5">
      <c r="A427" s="220" t="str">
        <f>TEXT(ROW(A427)-ROW($A$4),"000")</f>
        <v>423</v>
      </c>
      <c r="B427" s="221"/>
      <c r="C427" s="221" t="s">
        <v>49</v>
      </c>
      <c r="D427" s="221" t="s">
        <v>4277</v>
      </c>
      <c r="E427" s="221" t="s">
        <v>3295</v>
      </c>
      <c r="F427" s="221" t="s">
        <v>3299</v>
      </c>
      <c r="G427" s="222">
        <v>45616</v>
      </c>
      <c r="H427" s="223">
        <v>0.55902777777777779</v>
      </c>
      <c r="I427" s="221" t="s">
        <v>4916</v>
      </c>
      <c r="J427" s="221" t="s">
        <v>3023</v>
      </c>
      <c r="K427" s="224" t="s">
        <v>3069</v>
      </c>
      <c r="L427" s="225" t="str">
        <f>VLOOKUP(Logfile_S[[#This Row],[Material Name]],Sheet2!B:C,2,0)</f>
        <v>ZTE1001</v>
      </c>
      <c r="M427" s="225" t="str">
        <f>_xlfn.XLOOKUP(Logfile_S[[#This Row],[Material Name]],Sum_WH!E:E,Sum_WH!F:F,"",0)</f>
        <v>Pcs</v>
      </c>
      <c r="N427" s="221">
        <v>14</v>
      </c>
      <c r="O427" s="221" t="s">
        <v>2350</v>
      </c>
      <c r="P427" s="221" t="s">
        <v>3409</v>
      </c>
      <c r="Q427" s="221"/>
      <c r="R427" s="221"/>
      <c r="S427" s="221"/>
      <c r="T427" s="221" t="s">
        <v>3258</v>
      </c>
      <c r="U427" s="221">
        <v>0</v>
      </c>
      <c r="V427" s="221" t="s">
        <v>3337</v>
      </c>
      <c r="W427" s="221" t="s">
        <v>3338</v>
      </c>
      <c r="X427" s="221"/>
      <c r="Y427" s="227"/>
      <c r="Z427" s="227" t="str">
        <f>P427</f>
        <v>Kalirejo RW 13 Lawang Malang</v>
      </c>
      <c r="AA427" s="276" t="e">
        <f>VLOOKUP(Logfile_S[[#This Row],[DO number]],DO_DB!G:I,3,0)</f>
        <v>#N/A</v>
      </c>
      <c r="AB427" s="331" t="e">
        <f>EXACT(Logfile_S[[#This Row],[date pick]],Logfile_S[[#This Row],[Date]])</f>
        <v>#N/A</v>
      </c>
      <c r="AC4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28" spans="1:29" ht="14.5">
      <c r="A428" s="220" t="str">
        <f>TEXT(ROW(A428)-ROW($A$4),"000")</f>
        <v>424</v>
      </c>
      <c r="B428" s="221"/>
      <c r="C428" s="221" t="s">
        <v>49</v>
      </c>
      <c r="D428" s="221" t="s">
        <v>4277</v>
      </c>
      <c r="E428" s="221" t="s">
        <v>3295</v>
      </c>
      <c r="F428" s="221" t="s">
        <v>3299</v>
      </c>
      <c r="G428" s="222">
        <v>45616</v>
      </c>
      <c r="H428" s="223">
        <v>0.55902777777777779</v>
      </c>
      <c r="I428" s="221" t="s">
        <v>4916</v>
      </c>
      <c r="J428" s="221" t="s">
        <v>3024</v>
      </c>
      <c r="K428" s="224" t="s">
        <v>3094</v>
      </c>
      <c r="L428" s="225" t="str">
        <f>VLOOKUP(Logfile_S[[#This Row],[Material Name]],Sheet2!B:C,2,0)</f>
        <v>GCI1008</v>
      </c>
      <c r="M428" s="225" t="str">
        <f>_xlfn.XLOOKUP(Logfile_S[[#This Row],[Material Name]],Sum_WH!E:E,Sum_WH!F:F,"",0)</f>
        <v>Pcs</v>
      </c>
      <c r="N428" s="221">
        <v>25</v>
      </c>
      <c r="O428" s="221" t="s">
        <v>2350</v>
      </c>
      <c r="P428" s="221" t="s">
        <v>3409</v>
      </c>
      <c r="Q428" s="221"/>
      <c r="R428" s="221"/>
      <c r="S428" s="221"/>
      <c r="T428" s="221" t="s">
        <v>3258</v>
      </c>
      <c r="U428" s="221">
        <v>0</v>
      </c>
      <c r="V428" s="221" t="s">
        <v>3337</v>
      </c>
      <c r="W428" s="221" t="s">
        <v>3338</v>
      </c>
      <c r="X428" s="221"/>
      <c r="Y428" s="227"/>
      <c r="Z428" s="227" t="str">
        <f>P428</f>
        <v>Kalirejo RW 13 Lawang Malang</v>
      </c>
      <c r="AA428" s="276" t="e">
        <f>VLOOKUP(Logfile_S[[#This Row],[DO number]],DO_DB!G:I,3,0)</f>
        <v>#N/A</v>
      </c>
      <c r="AB428" s="331" t="e">
        <f>EXACT(Logfile_S[[#This Row],[date pick]],Logfile_S[[#This Row],[Date]])</f>
        <v>#N/A</v>
      </c>
      <c r="AC4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29" spans="1:29" ht="14.5">
      <c r="A429" s="220" t="str">
        <f>TEXT(ROW(A429)-ROW($A$4),"000")</f>
        <v>425</v>
      </c>
      <c r="B429" s="221"/>
      <c r="C429" s="221" t="s">
        <v>49</v>
      </c>
      <c r="D429" s="221" t="s">
        <v>4277</v>
      </c>
      <c r="E429" s="221" t="s">
        <v>3295</v>
      </c>
      <c r="F429" s="221" t="s">
        <v>3299</v>
      </c>
      <c r="G429" s="222">
        <v>45616</v>
      </c>
      <c r="H429" s="223">
        <v>0.55902777777777779</v>
      </c>
      <c r="I429" s="221" t="s">
        <v>4916</v>
      </c>
      <c r="J429" s="221" t="s">
        <v>3024</v>
      </c>
      <c r="K429" s="224" t="s">
        <v>3090</v>
      </c>
      <c r="L429" s="225" t="str">
        <f>VLOOKUP(Logfile_S[[#This Row],[Material Name]],Sheet2!B:C,2,0)</f>
        <v>GCI1004</v>
      </c>
      <c r="M429" s="225" t="str">
        <f>_xlfn.XLOOKUP(Logfile_S[[#This Row],[Material Name]],Sum_WH!E:E,Sum_WH!F:F,"",0)</f>
        <v>Pcs</v>
      </c>
      <c r="N429" s="221">
        <v>10</v>
      </c>
      <c r="O429" s="221" t="s">
        <v>2350</v>
      </c>
      <c r="P429" s="221" t="s">
        <v>3409</v>
      </c>
      <c r="Q429" s="221"/>
      <c r="R429" s="221"/>
      <c r="S429" s="221"/>
      <c r="T429" s="221" t="s">
        <v>3258</v>
      </c>
      <c r="U429" s="221">
        <v>0</v>
      </c>
      <c r="V429" s="221" t="s">
        <v>3337</v>
      </c>
      <c r="W429" s="221" t="s">
        <v>3338</v>
      </c>
      <c r="X429" s="221"/>
      <c r="Y429" s="227"/>
      <c r="Z429" s="227" t="str">
        <f>P429</f>
        <v>Kalirejo RW 13 Lawang Malang</v>
      </c>
      <c r="AA429" s="276" t="e">
        <f>VLOOKUP(Logfile_S[[#This Row],[DO number]],DO_DB!G:I,3,0)</f>
        <v>#N/A</v>
      </c>
      <c r="AB429" s="331" t="e">
        <f>EXACT(Logfile_S[[#This Row],[date pick]],Logfile_S[[#This Row],[Date]])</f>
        <v>#N/A</v>
      </c>
      <c r="AC4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30" spans="1:29" ht="14.5">
      <c r="A430" s="220" t="str">
        <f>TEXT(ROW(A430)-ROW($A$4),"000")</f>
        <v>426</v>
      </c>
      <c r="B430" s="221"/>
      <c r="C430" s="221" t="s">
        <v>49</v>
      </c>
      <c r="D430" s="221" t="s">
        <v>4282</v>
      </c>
      <c r="E430" s="221" t="s">
        <v>3295</v>
      </c>
      <c r="F430" s="221" t="s">
        <v>3299</v>
      </c>
      <c r="G430" s="222">
        <v>45617</v>
      </c>
      <c r="H430" s="223">
        <v>0.58819444444444446</v>
      </c>
      <c r="I430" s="221" t="s">
        <v>4916</v>
      </c>
      <c r="J430" s="221" t="s">
        <v>3023</v>
      </c>
      <c r="K430" s="224" t="s">
        <v>3073</v>
      </c>
      <c r="L430" s="225" t="str">
        <f>VLOOKUP(Logfile_S[[#This Row],[Material Name]],Sheet2!B:C,2,0)</f>
        <v>ZTE2001</v>
      </c>
      <c r="M430" s="225" t="str">
        <f>_xlfn.XLOOKUP(Logfile_S[[#This Row],[Material Name]],Sum_WH!E:E,Sum_WH!F:F,"",0)</f>
        <v>Meter</v>
      </c>
      <c r="N430" s="221">
        <v>3000</v>
      </c>
      <c r="O430" s="221" t="s">
        <v>2350</v>
      </c>
      <c r="P430" s="221" t="s">
        <v>3409</v>
      </c>
      <c r="Q430" s="221"/>
      <c r="R430" s="221"/>
      <c r="S430" s="221"/>
      <c r="T430" s="221" t="s">
        <v>3258</v>
      </c>
      <c r="U430" s="221" t="s">
        <v>5107</v>
      </c>
      <c r="V430" s="221" t="s">
        <v>3337</v>
      </c>
      <c r="W430" s="221" t="s">
        <v>3338</v>
      </c>
      <c r="X430" s="221"/>
      <c r="Y430" s="227"/>
      <c r="Z430" s="227" t="str">
        <f>P430</f>
        <v>Kalirejo RW 13 Lawang Malang</v>
      </c>
      <c r="AA430" s="276" t="e">
        <f>VLOOKUP(Logfile_S[[#This Row],[DO number]],DO_DB!G:I,3,0)</f>
        <v>#N/A</v>
      </c>
      <c r="AB430" s="331" t="e">
        <f>EXACT(Logfile_S[[#This Row],[date pick]],Logfile_S[[#This Row],[Date]])</f>
        <v>#N/A</v>
      </c>
      <c r="AC4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31" spans="1:29" ht="14.5">
      <c r="A431" s="220" t="str">
        <f>TEXT(ROW(A431)-ROW($A$4),"000")</f>
        <v>427</v>
      </c>
      <c r="B431" s="221"/>
      <c r="C431" s="221" t="s">
        <v>49</v>
      </c>
      <c r="D431" s="221" t="s">
        <v>4282</v>
      </c>
      <c r="E431" s="221" t="s">
        <v>3295</v>
      </c>
      <c r="F431" s="221" t="s">
        <v>3299</v>
      </c>
      <c r="G431" s="222">
        <v>45617</v>
      </c>
      <c r="H431" s="223">
        <v>0.58819444444444446</v>
      </c>
      <c r="I431" s="221" t="s">
        <v>4916</v>
      </c>
      <c r="J431" s="221" t="s">
        <v>3023</v>
      </c>
      <c r="K431" s="224" t="s">
        <v>3070</v>
      </c>
      <c r="L431" s="225" t="str">
        <f>VLOOKUP(Logfile_S[[#This Row],[Material Name]],Sheet2!B:C,2,0)</f>
        <v>ZTE1002</v>
      </c>
      <c r="M431" s="225" t="str">
        <f>_xlfn.XLOOKUP(Logfile_S[[#This Row],[Material Name]],Sum_WH!E:E,Sum_WH!F:F,"",0)</f>
        <v>Pcs</v>
      </c>
      <c r="N431" s="221">
        <v>3</v>
      </c>
      <c r="O431" s="221" t="s">
        <v>2350</v>
      </c>
      <c r="P431" s="221" t="s">
        <v>3409</v>
      </c>
      <c r="Q431" s="221"/>
      <c r="R431" s="221"/>
      <c r="S431" s="221"/>
      <c r="T431" s="221" t="s">
        <v>3258</v>
      </c>
      <c r="U431" s="221">
        <v>0</v>
      </c>
      <c r="V431" s="221" t="s">
        <v>3337</v>
      </c>
      <c r="W431" s="221" t="s">
        <v>3338</v>
      </c>
      <c r="X431" s="221"/>
      <c r="Y431" s="227"/>
      <c r="Z431" s="227" t="str">
        <f>P431</f>
        <v>Kalirejo RW 13 Lawang Malang</v>
      </c>
      <c r="AA431" s="276" t="e">
        <f>VLOOKUP(Logfile_S[[#This Row],[DO number]],DO_DB!G:I,3,0)</f>
        <v>#N/A</v>
      </c>
      <c r="AB431" s="331" t="e">
        <f>EXACT(Logfile_S[[#This Row],[date pick]],Logfile_S[[#This Row],[Date]])</f>
        <v>#N/A</v>
      </c>
      <c r="AC4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32" spans="1:29" ht="14.5">
      <c r="A432" s="220" t="str">
        <f>TEXT(ROW(A432)-ROW($A$4),"000")</f>
        <v>428</v>
      </c>
      <c r="B432" s="221"/>
      <c r="C432" s="221" t="s">
        <v>49</v>
      </c>
      <c r="D432" s="221" t="s">
        <v>4282</v>
      </c>
      <c r="E432" s="221" t="s">
        <v>3295</v>
      </c>
      <c r="F432" s="221" t="s">
        <v>3299</v>
      </c>
      <c r="G432" s="222">
        <v>45617</v>
      </c>
      <c r="H432" s="223">
        <v>0.58819444444444446</v>
      </c>
      <c r="I432" s="221" t="s">
        <v>4916</v>
      </c>
      <c r="J432" s="221" t="s">
        <v>3023</v>
      </c>
      <c r="K432" s="224" t="s">
        <v>3069</v>
      </c>
      <c r="L432" s="225" t="str">
        <f>VLOOKUP(Logfile_S[[#This Row],[Material Name]],Sheet2!B:C,2,0)</f>
        <v>ZTE1001</v>
      </c>
      <c r="M432" s="225" t="str">
        <f>_xlfn.XLOOKUP(Logfile_S[[#This Row],[Material Name]],Sum_WH!E:E,Sum_WH!F:F,"",0)</f>
        <v>Pcs</v>
      </c>
      <c r="N432" s="221">
        <v>7</v>
      </c>
      <c r="O432" s="221" t="s">
        <v>2350</v>
      </c>
      <c r="P432" s="221" t="s">
        <v>3409</v>
      </c>
      <c r="Q432" s="221"/>
      <c r="R432" s="221"/>
      <c r="S432" s="221"/>
      <c r="T432" s="221" t="s">
        <v>3258</v>
      </c>
      <c r="U432" s="221">
        <v>0</v>
      </c>
      <c r="V432" s="221" t="s">
        <v>3337</v>
      </c>
      <c r="W432" s="221" t="s">
        <v>3338</v>
      </c>
      <c r="X432" s="221"/>
      <c r="Y432" s="227"/>
      <c r="Z432" s="227" t="str">
        <f>P432</f>
        <v>Kalirejo RW 13 Lawang Malang</v>
      </c>
      <c r="AA432" s="276" t="e">
        <f>VLOOKUP(Logfile_S[[#This Row],[DO number]],DO_DB!G:I,3,0)</f>
        <v>#N/A</v>
      </c>
      <c r="AB432" s="331" t="e">
        <f>EXACT(Logfile_S[[#This Row],[date pick]],Logfile_S[[#This Row],[Date]])</f>
        <v>#N/A</v>
      </c>
      <c r="AC4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33" spans="1:29" ht="14.5">
      <c r="A433" s="220" t="str">
        <f>TEXT(ROW(A433)-ROW($A$4),"000")</f>
        <v>429</v>
      </c>
      <c r="B433" s="221"/>
      <c r="C433" s="221" t="s">
        <v>49</v>
      </c>
      <c r="D433" s="221" t="s">
        <v>4300</v>
      </c>
      <c r="E433" s="221" t="s">
        <v>3295</v>
      </c>
      <c r="F433" s="221" t="s">
        <v>3299</v>
      </c>
      <c r="G433" s="222">
        <v>45637</v>
      </c>
      <c r="H433" s="223">
        <v>0.57847222222222228</v>
      </c>
      <c r="I433" s="221" t="s">
        <v>4916</v>
      </c>
      <c r="J433" s="221" t="s">
        <v>3024</v>
      </c>
      <c r="K433" s="224" t="s">
        <v>3087</v>
      </c>
      <c r="L433" s="225" t="str">
        <f>VLOOKUP(Logfile_S[[#This Row],[Material Name]],Sheet2!B:C,2,0)</f>
        <v>GCI1001</v>
      </c>
      <c r="M433" s="225" t="str">
        <f>_xlfn.XLOOKUP(Logfile_S[[#This Row],[Material Name]],Sum_WH!E:E,Sum_WH!F:F,"",0)</f>
        <v>Pcs</v>
      </c>
      <c r="N433" s="221">
        <v>24</v>
      </c>
      <c r="O433" s="221" t="s">
        <v>2350</v>
      </c>
      <c r="P433" s="221" t="s">
        <v>3409</v>
      </c>
      <c r="Q433" s="221"/>
      <c r="R433" s="221"/>
      <c r="S433" s="221"/>
      <c r="T433" s="221" t="s">
        <v>3258</v>
      </c>
      <c r="U433" s="221">
        <v>0</v>
      </c>
      <c r="V433" s="221" t="s">
        <v>3337</v>
      </c>
      <c r="W433" s="221" t="s">
        <v>3338</v>
      </c>
      <c r="X433" s="221"/>
      <c r="Y433" s="227"/>
      <c r="Z433" s="227" t="str">
        <f>P433</f>
        <v>Kalirejo RW 13 Lawang Malang</v>
      </c>
      <c r="AA433" s="276" t="e">
        <f>VLOOKUP(Logfile_S[[#This Row],[DO number]],DO_DB!G:I,3,0)</f>
        <v>#N/A</v>
      </c>
      <c r="AB433" s="331" t="e">
        <f>EXACT(Logfile_S[[#This Row],[date pick]],Logfile_S[[#This Row],[Date]])</f>
        <v>#N/A</v>
      </c>
      <c r="AC4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34" spans="1:29" ht="14.5">
      <c r="A434" s="220" t="str">
        <f>TEXT(ROW(A434)-ROW($A$4),"000")</f>
        <v>430</v>
      </c>
      <c r="B434" s="221"/>
      <c r="C434" s="221" t="s">
        <v>49</v>
      </c>
      <c r="D434" s="221" t="s">
        <v>4300</v>
      </c>
      <c r="E434" s="221" t="s">
        <v>3295</v>
      </c>
      <c r="F434" s="221" t="s">
        <v>3299</v>
      </c>
      <c r="G434" s="222">
        <v>45637</v>
      </c>
      <c r="H434" s="223">
        <v>0.57847222222222228</v>
      </c>
      <c r="I434" s="221" t="s">
        <v>4916</v>
      </c>
      <c r="J434" s="221" t="s">
        <v>3024</v>
      </c>
      <c r="K434" s="224" t="s">
        <v>3088</v>
      </c>
      <c r="L434" s="225" t="str">
        <f>VLOOKUP(Logfile_S[[#This Row],[Material Name]],Sheet2!B:C,2,0)</f>
        <v>GCI1002</v>
      </c>
      <c r="M434" s="225" t="str">
        <f>_xlfn.XLOOKUP(Logfile_S[[#This Row],[Material Name]],Sum_WH!E:E,Sum_WH!F:F,"",0)</f>
        <v>Pcs</v>
      </c>
      <c r="N434" s="221">
        <v>1</v>
      </c>
      <c r="O434" s="221" t="s">
        <v>2350</v>
      </c>
      <c r="P434" s="221" t="s">
        <v>3409</v>
      </c>
      <c r="Q434" s="221"/>
      <c r="R434" s="221"/>
      <c r="S434" s="221"/>
      <c r="T434" s="221" t="s">
        <v>3258</v>
      </c>
      <c r="U434" s="221">
        <v>0</v>
      </c>
      <c r="V434" s="221" t="s">
        <v>3337</v>
      </c>
      <c r="W434" s="221" t="s">
        <v>3338</v>
      </c>
      <c r="X434" s="221"/>
      <c r="Y434" s="227"/>
      <c r="Z434" s="227" t="str">
        <f>P434</f>
        <v>Kalirejo RW 13 Lawang Malang</v>
      </c>
      <c r="AA434" s="276" t="e">
        <f>VLOOKUP(Logfile_S[[#This Row],[DO number]],DO_DB!G:I,3,0)</f>
        <v>#N/A</v>
      </c>
      <c r="AB434" s="331" t="e">
        <f>EXACT(Logfile_S[[#This Row],[date pick]],Logfile_S[[#This Row],[Date]])</f>
        <v>#N/A</v>
      </c>
      <c r="AC4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35" spans="1:29" ht="14.5">
      <c r="A435" s="220" t="str">
        <f>TEXT(ROW(A435)-ROW($A$4),"000")</f>
        <v>431</v>
      </c>
      <c r="B435" s="221"/>
      <c r="C435" s="221" t="s">
        <v>49</v>
      </c>
      <c r="D435" s="221" t="s">
        <v>4300</v>
      </c>
      <c r="E435" s="221" t="s">
        <v>3295</v>
      </c>
      <c r="F435" s="221" t="s">
        <v>3299</v>
      </c>
      <c r="G435" s="222">
        <v>45637</v>
      </c>
      <c r="H435" s="223">
        <v>0.57847222222222228</v>
      </c>
      <c r="I435" s="221" t="s">
        <v>4916</v>
      </c>
      <c r="J435" s="221" t="s">
        <v>3024</v>
      </c>
      <c r="K435" s="224" t="s">
        <v>3094</v>
      </c>
      <c r="L435" s="225" t="str">
        <f>VLOOKUP(Logfile_S[[#This Row],[Material Name]],Sheet2!B:C,2,0)</f>
        <v>GCI1008</v>
      </c>
      <c r="M435" s="225" t="str">
        <f>_xlfn.XLOOKUP(Logfile_S[[#This Row],[Material Name]],Sum_WH!E:E,Sum_WH!F:F,"",0)</f>
        <v>Pcs</v>
      </c>
      <c r="N435" s="221">
        <v>8</v>
      </c>
      <c r="O435" s="221" t="s">
        <v>2350</v>
      </c>
      <c r="P435" s="221" t="s">
        <v>3409</v>
      </c>
      <c r="Q435" s="221"/>
      <c r="R435" s="221"/>
      <c r="S435" s="221"/>
      <c r="T435" s="221" t="s">
        <v>3258</v>
      </c>
      <c r="U435" s="221">
        <v>0</v>
      </c>
      <c r="V435" s="221" t="s">
        <v>3337</v>
      </c>
      <c r="W435" s="221" t="s">
        <v>3338</v>
      </c>
      <c r="X435" s="221"/>
      <c r="Y435" s="227"/>
      <c r="Z435" s="227" t="str">
        <f>P435</f>
        <v>Kalirejo RW 13 Lawang Malang</v>
      </c>
      <c r="AA435" s="276" t="e">
        <f>VLOOKUP(Logfile_S[[#This Row],[DO number]],DO_DB!G:I,3,0)</f>
        <v>#N/A</v>
      </c>
      <c r="AB435" s="331" t="e">
        <f>EXACT(Logfile_S[[#This Row],[date pick]],Logfile_S[[#This Row],[Date]])</f>
        <v>#N/A</v>
      </c>
      <c r="AC4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36" spans="1:29" ht="14.5">
      <c r="A436" s="220" t="str">
        <f>TEXT(ROW(A436)-ROW($A$4),"000")</f>
        <v>432</v>
      </c>
      <c r="B436" s="221"/>
      <c r="C436" s="221" t="s">
        <v>48</v>
      </c>
      <c r="D436" s="221" t="s">
        <v>3710</v>
      </c>
      <c r="E436" s="221" t="s">
        <v>3295</v>
      </c>
      <c r="F436" s="221" t="s">
        <v>3299</v>
      </c>
      <c r="G436" s="222">
        <v>45189</v>
      </c>
      <c r="H436" s="223">
        <v>15.291666666666666</v>
      </c>
      <c r="I436" s="221" t="s">
        <v>37</v>
      </c>
      <c r="J436" s="221" t="s">
        <v>3023</v>
      </c>
      <c r="K436" s="224" t="s">
        <v>3073</v>
      </c>
      <c r="L436" s="225" t="str">
        <f>VLOOKUP(Logfile_S[[#This Row],[Material Name]],Sheet2!B:C,2,0)</f>
        <v>ZTE2001</v>
      </c>
      <c r="M436" s="225" t="str">
        <f>_xlfn.XLOOKUP(Logfile_S[[#This Row],[Material Name]],Sum_WH!E:E,Sum_WH!F:F,"",0)</f>
        <v>Meter</v>
      </c>
      <c r="N436" s="221">
        <v>3000</v>
      </c>
      <c r="O436" s="221" t="s">
        <v>222</v>
      </c>
      <c r="P436" s="221" t="s">
        <v>223</v>
      </c>
      <c r="Q436" s="221" t="s">
        <v>224</v>
      </c>
      <c r="R436" s="221" t="s">
        <v>225</v>
      </c>
      <c r="S436" s="221"/>
      <c r="T436" s="221"/>
      <c r="U436" s="221"/>
      <c r="V436" s="221"/>
      <c r="W436" s="221"/>
      <c r="X436" s="221"/>
      <c r="Y436" s="236" t="s">
        <v>4956</v>
      </c>
      <c r="Z436" s="227" t="str">
        <f>P436</f>
        <v>Puncak Dieng Exlusif</v>
      </c>
      <c r="AA436" s="276">
        <f>VLOOKUP(Logfile_S[[#This Row],[DO number]],DO_DB!G:I,3,0)</f>
        <v>45189</v>
      </c>
      <c r="AB436" s="331" t="b">
        <f>EXACT(Logfile_S[[#This Row],[date pick]],Logfile_S[[#This Row],[Date]])</f>
        <v>1</v>
      </c>
      <c r="AC4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24C-2023920-01</v>
      </c>
    </row>
    <row r="437" spans="1:29" ht="14.5">
      <c r="A437" s="220" t="str">
        <f>TEXT(ROW(A437)-ROW($A$4),"000")</f>
        <v>433</v>
      </c>
      <c r="B437" s="221"/>
      <c r="C437" s="221" t="s">
        <v>48</v>
      </c>
      <c r="D437" s="221" t="s">
        <v>3710</v>
      </c>
      <c r="E437" s="221" t="s">
        <v>3295</v>
      </c>
      <c r="F437" s="221" t="s">
        <v>3299</v>
      </c>
      <c r="G437" s="222">
        <v>45189</v>
      </c>
      <c r="H437" s="223">
        <v>15.291666666666666</v>
      </c>
      <c r="I437" s="221" t="s">
        <v>37</v>
      </c>
      <c r="J437" s="221" t="s">
        <v>3023</v>
      </c>
      <c r="K437" s="224" t="s">
        <v>13</v>
      </c>
      <c r="L437" s="225" t="str">
        <f>VLOOKUP(Logfile_S[[#This Row],[Material Name]],Sheet2!B:C,2,0)</f>
        <v>ZTE2008</v>
      </c>
      <c r="M437" s="225" t="str">
        <f>_xlfn.XLOOKUP(Logfile_S[[#This Row],[Material Name]],Sum_WH!E:E,Sum_WH!F:F,"",0)</f>
        <v>Pcs</v>
      </c>
      <c r="N437" s="221">
        <v>11</v>
      </c>
      <c r="O437" s="221" t="s">
        <v>222</v>
      </c>
      <c r="P437" s="221" t="s">
        <v>223</v>
      </c>
      <c r="Q437" s="221" t="s">
        <v>224</v>
      </c>
      <c r="R437" s="221" t="s">
        <v>225</v>
      </c>
      <c r="S437" s="221"/>
      <c r="T437" s="221"/>
      <c r="U437" s="221"/>
      <c r="V437" s="221"/>
      <c r="W437" s="221"/>
      <c r="X437" s="221"/>
      <c r="Y437" s="227"/>
      <c r="Z437" s="227" t="str">
        <f>P437</f>
        <v>Puncak Dieng Exlusif</v>
      </c>
      <c r="AA437" s="276">
        <f>VLOOKUP(Logfile_S[[#This Row],[DO number]],DO_DB!G:I,3,0)</f>
        <v>45189</v>
      </c>
      <c r="AB437" s="331" t="b">
        <f>EXACT(Logfile_S[[#This Row],[date pick]],Logfile_S[[#This Row],[Date]])</f>
        <v>1</v>
      </c>
      <c r="AC4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38" spans="1:29" ht="14.5">
      <c r="A438" s="220" t="str">
        <f>TEXT(ROW(A438)-ROW($A$4),"000")</f>
        <v>434</v>
      </c>
      <c r="B438" s="221"/>
      <c r="C438" s="221" t="s">
        <v>48</v>
      </c>
      <c r="D438" s="221" t="s">
        <v>3710</v>
      </c>
      <c r="E438" s="221" t="s">
        <v>3295</v>
      </c>
      <c r="F438" s="221" t="s">
        <v>3299</v>
      </c>
      <c r="G438" s="222">
        <v>45189</v>
      </c>
      <c r="H438" s="223">
        <v>15.291666666666666</v>
      </c>
      <c r="I438" s="221" t="s">
        <v>37</v>
      </c>
      <c r="J438" s="221" t="s">
        <v>3023</v>
      </c>
      <c r="K438" s="224" t="s">
        <v>14</v>
      </c>
      <c r="L438" s="225" t="str">
        <f>VLOOKUP(Logfile_S[[#This Row],[Material Name]],Sheet2!B:C,2,0)</f>
        <v>ZTE2005</v>
      </c>
      <c r="M438" s="225" t="str">
        <f>_xlfn.XLOOKUP(Logfile_S[[#This Row],[Material Name]],Sum_WH!E:E,Sum_WH!F:F,"",0)</f>
        <v>Pcs</v>
      </c>
      <c r="N438" s="221">
        <v>1</v>
      </c>
      <c r="O438" s="221" t="s">
        <v>222</v>
      </c>
      <c r="P438" s="221" t="s">
        <v>223</v>
      </c>
      <c r="Q438" s="221" t="s">
        <v>224</v>
      </c>
      <c r="R438" s="221" t="s">
        <v>225</v>
      </c>
      <c r="S438" s="221"/>
      <c r="T438" s="221"/>
      <c r="U438" s="221"/>
      <c r="V438" s="221"/>
      <c r="W438" s="221"/>
      <c r="X438" s="221"/>
      <c r="Y438" s="227"/>
      <c r="Z438" s="227" t="str">
        <f>P438</f>
        <v>Puncak Dieng Exlusif</v>
      </c>
      <c r="AA438" s="276">
        <f>VLOOKUP(Logfile_S[[#This Row],[DO number]],DO_DB!G:I,3,0)</f>
        <v>45189</v>
      </c>
      <c r="AB438" s="331" t="b">
        <f>EXACT(Logfile_S[[#This Row],[date pick]],Logfile_S[[#This Row],[Date]])</f>
        <v>1</v>
      </c>
      <c r="AC4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39" spans="1:29" ht="14.5">
      <c r="A439" s="220" t="str">
        <f>TEXT(ROW(A439)-ROW($A$4),"000")</f>
        <v>435</v>
      </c>
      <c r="B439" s="221"/>
      <c r="C439" s="221" t="s">
        <v>48</v>
      </c>
      <c r="D439" s="221" t="s">
        <v>3710</v>
      </c>
      <c r="E439" s="221" t="s">
        <v>3295</v>
      </c>
      <c r="F439" s="221" t="s">
        <v>3299</v>
      </c>
      <c r="G439" s="222">
        <v>45189</v>
      </c>
      <c r="H439" s="223">
        <v>15.291666666666666</v>
      </c>
      <c r="I439" s="221" t="s">
        <v>37</v>
      </c>
      <c r="J439" s="221" t="s">
        <v>3023</v>
      </c>
      <c r="K439" s="224" t="s">
        <v>3070</v>
      </c>
      <c r="L439" s="225" t="str">
        <f>VLOOKUP(Logfile_S[[#This Row],[Material Name]],Sheet2!B:C,2,0)</f>
        <v>ZTE1002</v>
      </c>
      <c r="M439" s="225" t="str">
        <f>_xlfn.XLOOKUP(Logfile_S[[#This Row],[Material Name]],Sum_WH!E:E,Sum_WH!F:F,"",0)</f>
        <v>Pcs</v>
      </c>
      <c r="N439" s="221">
        <v>18</v>
      </c>
      <c r="O439" s="221" t="s">
        <v>222</v>
      </c>
      <c r="P439" s="221" t="s">
        <v>223</v>
      </c>
      <c r="Q439" s="221" t="s">
        <v>226</v>
      </c>
      <c r="R439" s="221" t="s">
        <v>227</v>
      </c>
      <c r="S439" s="221"/>
      <c r="T439" s="221"/>
      <c r="U439" s="221"/>
      <c r="V439" s="221"/>
      <c r="W439" s="221"/>
      <c r="X439" s="221"/>
      <c r="Y439" s="227"/>
      <c r="Z439" s="227" t="str">
        <f>P439</f>
        <v>Puncak Dieng Exlusif</v>
      </c>
      <c r="AA439" s="276">
        <f>VLOOKUP(Logfile_S[[#This Row],[DO number]],DO_DB!G:I,3,0)</f>
        <v>45189</v>
      </c>
      <c r="AB439" s="331" t="b">
        <f>EXACT(Logfile_S[[#This Row],[date pick]],Logfile_S[[#This Row],[Date]])</f>
        <v>1</v>
      </c>
      <c r="AC4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40" spans="1:29" ht="14.5">
      <c r="A440" s="220" t="str">
        <f>TEXT(ROW(A440)-ROW($A$4),"000")</f>
        <v>436</v>
      </c>
      <c r="B440" s="221"/>
      <c r="C440" s="221" t="s">
        <v>48</v>
      </c>
      <c r="D440" s="221" t="s">
        <v>3710</v>
      </c>
      <c r="E440" s="221" t="s">
        <v>3295</v>
      </c>
      <c r="F440" s="221" t="s">
        <v>3299</v>
      </c>
      <c r="G440" s="222">
        <v>45189</v>
      </c>
      <c r="H440" s="223">
        <v>15.291666666666666</v>
      </c>
      <c r="I440" s="221" t="s">
        <v>37</v>
      </c>
      <c r="J440" s="221" t="s">
        <v>3023</v>
      </c>
      <c r="K440" s="224" t="s">
        <v>3069</v>
      </c>
      <c r="L440" s="225" t="str">
        <f>VLOOKUP(Logfile_S[[#This Row],[Material Name]],Sheet2!B:C,2,0)</f>
        <v>ZTE1001</v>
      </c>
      <c r="M440" s="225" t="str">
        <f>_xlfn.XLOOKUP(Logfile_S[[#This Row],[Material Name]],Sum_WH!E:E,Sum_WH!F:F,"",0)</f>
        <v>Pcs</v>
      </c>
      <c r="N440" s="221">
        <v>120</v>
      </c>
      <c r="O440" s="221" t="s">
        <v>222</v>
      </c>
      <c r="P440" s="221" t="s">
        <v>223</v>
      </c>
      <c r="Q440" s="221" t="s">
        <v>226</v>
      </c>
      <c r="R440" s="221" t="s">
        <v>227</v>
      </c>
      <c r="S440" s="221"/>
      <c r="T440" s="221"/>
      <c r="U440" s="221"/>
      <c r="V440" s="221"/>
      <c r="W440" s="221"/>
      <c r="X440" s="221"/>
      <c r="Y440" s="227"/>
      <c r="Z440" s="227" t="str">
        <f>P440</f>
        <v>Puncak Dieng Exlusif</v>
      </c>
      <c r="AA440" s="276">
        <f>VLOOKUP(Logfile_S[[#This Row],[DO number]],DO_DB!G:I,3,0)</f>
        <v>45189</v>
      </c>
      <c r="AB440" s="331" t="b">
        <f>EXACT(Logfile_S[[#This Row],[date pick]],Logfile_S[[#This Row],[Date]])</f>
        <v>1</v>
      </c>
      <c r="AC4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41" spans="1:29" ht="14.5">
      <c r="A441" s="220" t="str">
        <f>TEXT(ROW(A441)-ROW($A$4),"000")</f>
        <v>437</v>
      </c>
      <c r="B441" s="221"/>
      <c r="C441" s="221" t="s">
        <v>48</v>
      </c>
      <c r="D441" s="221" t="s">
        <v>3710</v>
      </c>
      <c r="E441" s="221" t="s">
        <v>3295</v>
      </c>
      <c r="F441" s="221" t="s">
        <v>3299</v>
      </c>
      <c r="G441" s="222">
        <v>45189</v>
      </c>
      <c r="H441" s="223">
        <v>15.291666666666666</v>
      </c>
      <c r="I441" s="221" t="s">
        <v>37</v>
      </c>
      <c r="J441" s="221" t="s">
        <v>3023</v>
      </c>
      <c r="K441" s="224" t="s">
        <v>3071</v>
      </c>
      <c r="L441" s="225" t="str">
        <f>VLOOKUP(Logfile_S[[#This Row],[Material Name]],Sheet2!B:C,2,0)</f>
        <v>ZTE1003</v>
      </c>
      <c r="M441" s="225" t="str">
        <f>_xlfn.XLOOKUP(Logfile_S[[#This Row],[Material Name]],Sum_WH!E:E,Sum_WH!F:F,"",0)</f>
        <v>Pcs</v>
      </c>
      <c r="N441" s="221">
        <v>9</v>
      </c>
      <c r="O441" s="221" t="s">
        <v>222</v>
      </c>
      <c r="P441" s="221" t="s">
        <v>223</v>
      </c>
      <c r="Q441" s="221" t="s">
        <v>226</v>
      </c>
      <c r="R441" s="221" t="s">
        <v>227</v>
      </c>
      <c r="S441" s="221"/>
      <c r="T441" s="221"/>
      <c r="U441" s="221"/>
      <c r="V441" s="221"/>
      <c r="W441" s="221"/>
      <c r="X441" s="221"/>
      <c r="Y441" s="227"/>
      <c r="Z441" s="227" t="str">
        <f>P441</f>
        <v>Puncak Dieng Exlusif</v>
      </c>
      <c r="AA441" s="276">
        <f>VLOOKUP(Logfile_S[[#This Row],[DO number]],DO_DB!G:I,3,0)</f>
        <v>45189</v>
      </c>
      <c r="AB441" s="331" t="b">
        <f>EXACT(Logfile_S[[#This Row],[date pick]],Logfile_S[[#This Row],[Date]])</f>
        <v>1</v>
      </c>
      <c r="AC4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42" spans="1:29" ht="14.5">
      <c r="A442" s="220" t="str">
        <f>TEXT(ROW(A442)-ROW($A$4),"000")</f>
        <v>438</v>
      </c>
      <c r="B442" s="221"/>
      <c r="C442" s="221" t="s">
        <v>49</v>
      </c>
      <c r="D442" s="221" t="s">
        <v>3711</v>
      </c>
      <c r="E442" s="221" t="s">
        <v>3295</v>
      </c>
      <c r="F442" s="221" t="s">
        <v>3299</v>
      </c>
      <c r="G442" s="222">
        <v>45190</v>
      </c>
      <c r="H442" s="223">
        <v>0.38124999999999998</v>
      </c>
      <c r="I442" s="221" t="s">
        <v>4916</v>
      </c>
      <c r="J442" s="221" t="s">
        <v>3023</v>
      </c>
      <c r="K442" s="224" t="s">
        <v>3069</v>
      </c>
      <c r="L442" s="225" t="str">
        <f>VLOOKUP(Logfile_S[[#This Row],[Material Name]],Sheet2!B:C,2,0)</f>
        <v>ZTE1001</v>
      </c>
      <c r="M442" s="225" t="str">
        <f>_xlfn.XLOOKUP(Logfile_S[[#This Row],[Material Name]],Sum_WH!E:E,Sum_WH!F:F,"",0)</f>
        <v>Pcs</v>
      </c>
      <c r="N442" s="221">
        <v>17</v>
      </c>
      <c r="O442" s="221" t="s">
        <v>222</v>
      </c>
      <c r="P442" s="221" t="s">
        <v>223</v>
      </c>
      <c r="Q442" s="221"/>
      <c r="R442" s="221"/>
      <c r="S442" s="221"/>
      <c r="T442" s="221" t="s">
        <v>3522</v>
      </c>
      <c r="U442" s="221" t="s">
        <v>3323</v>
      </c>
      <c r="V442" s="221" t="s">
        <v>3324</v>
      </c>
      <c r="W442" s="221" t="s">
        <v>3386</v>
      </c>
      <c r="X442" s="221"/>
      <c r="Y442" s="227"/>
      <c r="Z442" s="227" t="str">
        <f>P442</f>
        <v>Puncak Dieng Exlusif</v>
      </c>
      <c r="AA442" s="276" t="e">
        <f>VLOOKUP(Logfile_S[[#This Row],[DO number]],DO_DB!G:I,3,0)</f>
        <v>#N/A</v>
      </c>
      <c r="AB442" s="331" t="e">
        <f>EXACT(Logfile_S[[#This Row],[date pick]],Logfile_S[[#This Row],[Date]])</f>
        <v>#N/A</v>
      </c>
      <c r="AC4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43" spans="1:29" ht="14.5">
      <c r="A443" s="220" t="str">
        <f>TEXT(ROW(A443)-ROW($A$4),"000")</f>
        <v>439</v>
      </c>
      <c r="B443" s="221"/>
      <c r="C443" s="221" t="s">
        <v>49</v>
      </c>
      <c r="D443" s="221" t="s">
        <v>3712</v>
      </c>
      <c r="E443" s="221" t="s">
        <v>3295</v>
      </c>
      <c r="F443" s="221" t="s">
        <v>3299</v>
      </c>
      <c r="G443" s="222">
        <v>45190</v>
      </c>
      <c r="H443" s="223">
        <v>0.39583333333333331</v>
      </c>
      <c r="I443" s="221" t="s">
        <v>4916</v>
      </c>
      <c r="J443" s="221" t="s">
        <v>3023</v>
      </c>
      <c r="K443" s="224" t="s">
        <v>3069</v>
      </c>
      <c r="L443" s="225" t="str">
        <f>VLOOKUP(Logfile_S[[#This Row],[Material Name]],Sheet2!B:C,2,0)</f>
        <v>ZTE1001</v>
      </c>
      <c r="M443" s="225" t="str">
        <f>_xlfn.XLOOKUP(Logfile_S[[#This Row],[Material Name]],Sum_WH!E:E,Sum_WH!F:F,"",0)</f>
        <v>Pcs</v>
      </c>
      <c r="N443" s="221">
        <v>17</v>
      </c>
      <c r="O443" s="221" t="s">
        <v>222</v>
      </c>
      <c r="P443" s="221" t="s">
        <v>223</v>
      </c>
      <c r="Q443" s="221"/>
      <c r="R443" s="221"/>
      <c r="S443" s="221"/>
      <c r="T443" s="221" t="s">
        <v>3522</v>
      </c>
      <c r="U443" s="221" t="s">
        <v>3323</v>
      </c>
      <c r="V443" s="221" t="s">
        <v>3324</v>
      </c>
      <c r="W443" s="221" t="s">
        <v>3325</v>
      </c>
      <c r="X443" s="221"/>
      <c r="Y443" s="227"/>
      <c r="Z443" s="227" t="str">
        <f>P443</f>
        <v>Puncak Dieng Exlusif</v>
      </c>
      <c r="AA443" s="276" t="e">
        <f>VLOOKUP(Logfile_S[[#This Row],[DO number]],DO_DB!G:I,3,0)</f>
        <v>#N/A</v>
      </c>
      <c r="AB443" s="331" t="e">
        <f>EXACT(Logfile_S[[#This Row],[date pick]],Logfile_S[[#This Row],[Date]])</f>
        <v>#N/A</v>
      </c>
      <c r="AC4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44" spans="1:29" ht="14.5">
      <c r="A444" s="220" t="str">
        <f>TEXT(ROW(A444)-ROW($A$4),"000")</f>
        <v>440</v>
      </c>
      <c r="B444" s="221"/>
      <c r="C444" s="221" t="s">
        <v>48</v>
      </c>
      <c r="D444" s="221" t="s">
        <v>3715</v>
      </c>
      <c r="E444" s="221" t="s">
        <v>3295</v>
      </c>
      <c r="F444" s="221" t="s">
        <v>3299</v>
      </c>
      <c r="G444" s="222">
        <v>45191</v>
      </c>
      <c r="H444" s="223">
        <v>15.291666666666666</v>
      </c>
      <c r="I444" s="221" t="s">
        <v>38</v>
      </c>
      <c r="J444" s="221" t="s">
        <v>3024</v>
      </c>
      <c r="K444" s="224" t="s">
        <v>3097</v>
      </c>
      <c r="L444" s="225" t="str">
        <f>VLOOKUP(Logfile_S[[#This Row],[Material Name]],Sheet2!B:C,2,0)</f>
        <v>GCI1011</v>
      </c>
      <c r="M444" s="225" t="str">
        <f>_xlfn.XLOOKUP(Logfile_S[[#This Row],[Material Name]],Sum_WH!E:E,Sum_WH!F:F,"",0)</f>
        <v>Pcs</v>
      </c>
      <c r="N444" s="221">
        <v>1</v>
      </c>
      <c r="O444" s="221" t="s">
        <v>222</v>
      </c>
      <c r="P444" s="221" t="s">
        <v>223</v>
      </c>
      <c r="Q444" s="221">
        <v>0</v>
      </c>
      <c r="R444" s="221">
        <v>0</v>
      </c>
      <c r="S444" s="221"/>
      <c r="T444" s="221"/>
      <c r="U444" s="221"/>
      <c r="V444" s="221"/>
      <c r="W444" s="221"/>
      <c r="X444" s="221" t="s">
        <v>3343</v>
      </c>
      <c r="Y444" s="227"/>
      <c r="Z444" s="227" t="str">
        <f>P444</f>
        <v>Puncak Dieng Exlusif</v>
      </c>
      <c r="AA444" s="276" t="e">
        <f>VLOOKUP(Logfile_S[[#This Row],[DO number]],DO_DB!G:I,3,0)</f>
        <v>#N/A</v>
      </c>
      <c r="AB444" s="331" t="e">
        <f>EXACT(Logfile_S[[#This Row],[date pick]],Logfile_S[[#This Row],[Date]])</f>
        <v>#N/A</v>
      </c>
      <c r="AC4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45" spans="1:29" ht="14.5">
      <c r="A445" s="220" t="str">
        <f>TEXT(ROW(A445)-ROW($A$4),"000")</f>
        <v>441</v>
      </c>
      <c r="B445" s="221"/>
      <c r="C445" s="221" t="s">
        <v>48</v>
      </c>
      <c r="D445" s="221" t="s">
        <v>3715</v>
      </c>
      <c r="E445" s="221" t="s">
        <v>3295</v>
      </c>
      <c r="F445" s="221" t="s">
        <v>3299</v>
      </c>
      <c r="G445" s="222">
        <v>45191</v>
      </c>
      <c r="H445" s="223">
        <v>15.291666666666666</v>
      </c>
      <c r="I445" s="221" t="s">
        <v>38</v>
      </c>
      <c r="J445" s="221" t="s">
        <v>3024</v>
      </c>
      <c r="K445" s="224" t="s">
        <v>3091</v>
      </c>
      <c r="L445" s="225" t="str">
        <f>VLOOKUP(Logfile_S[[#This Row],[Material Name]],Sheet2!B:C,2,0)</f>
        <v>GCI1005</v>
      </c>
      <c r="M445" s="225" t="str">
        <f>_xlfn.XLOOKUP(Logfile_S[[#This Row],[Material Name]],Sum_WH!E:E,Sum_WH!F:F,"",0)</f>
        <v>Pcs</v>
      </c>
      <c r="N445" s="221">
        <v>72</v>
      </c>
      <c r="O445" s="221" t="s">
        <v>222</v>
      </c>
      <c r="P445" s="221" t="s">
        <v>223</v>
      </c>
      <c r="Q445" s="221">
        <v>0</v>
      </c>
      <c r="R445" s="221">
        <v>0</v>
      </c>
      <c r="S445" s="221"/>
      <c r="T445" s="221"/>
      <c r="U445" s="221"/>
      <c r="V445" s="221"/>
      <c r="W445" s="221"/>
      <c r="X445" s="221" t="s">
        <v>3343</v>
      </c>
      <c r="Y445" s="227"/>
      <c r="Z445" s="227" t="str">
        <f>P445</f>
        <v>Puncak Dieng Exlusif</v>
      </c>
      <c r="AA445" s="276" t="e">
        <f>VLOOKUP(Logfile_S[[#This Row],[DO number]],DO_DB!G:I,3,0)</f>
        <v>#N/A</v>
      </c>
      <c r="AB445" s="331" t="e">
        <f>EXACT(Logfile_S[[#This Row],[date pick]],Logfile_S[[#This Row],[Date]])</f>
        <v>#N/A</v>
      </c>
      <c r="AC4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46" spans="1:29" ht="14.5">
      <c r="A446" s="220" t="str">
        <f>TEXT(ROW(A446)-ROW($A$4),"000")</f>
        <v>442</v>
      </c>
      <c r="B446" s="221"/>
      <c r="C446" s="221" t="s">
        <v>48</v>
      </c>
      <c r="D446" s="221" t="s">
        <v>3715</v>
      </c>
      <c r="E446" s="221" t="s">
        <v>3295</v>
      </c>
      <c r="F446" s="221" t="s">
        <v>3299</v>
      </c>
      <c r="G446" s="222">
        <v>45191</v>
      </c>
      <c r="H446" s="223">
        <v>15.291666666666666</v>
      </c>
      <c r="I446" s="221" t="s">
        <v>38</v>
      </c>
      <c r="J446" s="221" t="s">
        <v>3024</v>
      </c>
      <c r="K446" s="224" t="s">
        <v>3087</v>
      </c>
      <c r="L446" s="225" t="str">
        <f>VLOOKUP(Logfile_S[[#This Row],[Material Name]],Sheet2!B:C,2,0)</f>
        <v>GCI1001</v>
      </c>
      <c r="M446" s="225" t="str">
        <f>_xlfn.XLOOKUP(Logfile_S[[#This Row],[Material Name]],Sum_WH!E:E,Sum_WH!F:F,"",0)</f>
        <v>Pcs</v>
      </c>
      <c r="N446" s="221">
        <v>59</v>
      </c>
      <c r="O446" s="221" t="s">
        <v>222</v>
      </c>
      <c r="P446" s="221" t="s">
        <v>223</v>
      </c>
      <c r="Q446" s="221">
        <v>0</v>
      </c>
      <c r="R446" s="221">
        <v>0</v>
      </c>
      <c r="S446" s="221"/>
      <c r="T446" s="221"/>
      <c r="U446" s="221"/>
      <c r="V446" s="221"/>
      <c r="W446" s="221"/>
      <c r="X446" s="221" t="s">
        <v>3343</v>
      </c>
      <c r="Y446" s="227"/>
      <c r="Z446" s="227" t="str">
        <f>P446</f>
        <v>Puncak Dieng Exlusif</v>
      </c>
      <c r="AA446" s="276" t="e">
        <f>VLOOKUP(Logfile_S[[#This Row],[DO number]],DO_DB!G:I,3,0)</f>
        <v>#N/A</v>
      </c>
      <c r="AB446" s="331" t="e">
        <f>EXACT(Logfile_S[[#This Row],[date pick]],Logfile_S[[#This Row],[Date]])</f>
        <v>#N/A</v>
      </c>
      <c r="AC4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47" spans="1:29" ht="14.5">
      <c r="A447" s="220" t="str">
        <f>TEXT(ROW(A447)-ROW($A$4),"000")</f>
        <v>443</v>
      </c>
      <c r="B447" s="221"/>
      <c r="C447" s="221" t="s">
        <v>48</v>
      </c>
      <c r="D447" s="221" t="s">
        <v>3715</v>
      </c>
      <c r="E447" s="221" t="s">
        <v>3295</v>
      </c>
      <c r="F447" s="221" t="s">
        <v>3299</v>
      </c>
      <c r="G447" s="222">
        <v>45191</v>
      </c>
      <c r="H447" s="223">
        <v>15.291666666666666</v>
      </c>
      <c r="I447" s="221" t="s">
        <v>38</v>
      </c>
      <c r="J447" s="221" t="s">
        <v>3024</v>
      </c>
      <c r="K447" s="224" t="s">
        <v>5137</v>
      </c>
      <c r="L447" s="225" t="str">
        <f>VLOOKUP(Logfile_S[[#This Row],[Material Name]],Sheet2!B:C,2,0)</f>
        <v>GCI1009</v>
      </c>
      <c r="M447" s="225" t="str">
        <f>_xlfn.XLOOKUP(Logfile_S[[#This Row],[Material Name]],Sum_WH!E:E,Sum_WH!F:F,"",0)</f>
        <v>Pcs</v>
      </c>
      <c r="N447" s="221">
        <v>272</v>
      </c>
      <c r="O447" s="221" t="s">
        <v>222</v>
      </c>
      <c r="P447" s="221" t="s">
        <v>223</v>
      </c>
      <c r="Q447" s="221">
        <v>0</v>
      </c>
      <c r="R447" s="221">
        <v>0</v>
      </c>
      <c r="S447" s="221"/>
      <c r="T447" s="221"/>
      <c r="U447" s="221"/>
      <c r="V447" s="221"/>
      <c r="W447" s="221"/>
      <c r="X447" s="221" t="s">
        <v>3343</v>
      </c>
      <c r="Y447" s="227"/>
      <c r="Z447" s="227" t="str">
        <f>P447</f>
        <v>Puncak Dieng Exlusif</v>
      </c>
      <c r="AA447" s="276" t="e">
        <f>VLOOKUP(Logfile_S[[#This Row],[DO number]],DO_DB!G:I,3,0)</f>
        <v>#N/A</v>
      </c>
      <c r="AB447" s="331" t="e">
        <f>EXACT(Logfile_S[[#This Row],[date pick]],Logfile_S[[#This Row],[Date]])</f>
        <v>#N/A</v>
      </c>
      <c r="AC4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48" spans="1:29" ht="14.5">
      <c r="A448" s="220" t="str">
        <f>TEXT(ROW(A448)-ROW($A$4),"000")</f>
        <v>444</v>
      </c>
      <c r="B448" s="221"/>
      <c r="C448" s="221" t="s">
        <v>48</v>
      </c>
      <c r="D448" s="221" t="s">
        <v>3715</v>
      </c>
      <c r="E448" s="221" t="s">
        <v>3295</v>
      </c>
      <c r="F448" s="221" t="s">
        <v>3299</v>
      </c>
      <c r="G448" s="222">
        <v>45191</v>
      </c>
      <c r="H448" s="223">
        <v>15.291666666666666</v>
      </c>
      <c r="I448" s="221" t="s">
        <v>38</v>
      </c>
      <c r="J448" s="221" t="s">
        <v>3024</v>
      </c>
      <c r="K448" s="224" t="s">
        <v>3224</v>
      </c>
      <c r="L448" s="225" t="str">
        <f>VLOOKUP(Logfile_S[[#This Row],[Material Name]],Sheet2!B:C,2,0)</f>
        <v>GCI1002</v>
      </c>
      <c r="M448" s="225" t="str">
        <f>_xlfn.XLOOKUP(Logfile_S[[#This Row],[Material Name]],Sum_WH!E:E,Sum_WH!F:F,"",0)</f>
        <v>Pcs</v>
      </c>
      <c r="N448" s="221">
        <v>4</v>
      </c>
      <c r="O448" s="221" t="s">
        <v>222</v>
      </c>
      <c r="P448" s="221" t="s">
        <v>223</v>
      </c>
      <c r="Q448" s="221">
        <v>0</v>
      </c>
      <c r="R448" s="221">
        <v>0</v>
      </c>
      <c r="S448" s="221"/>
      <c r="T448" s="221"/>
      <c r="U448" s="221"/>
      <c r="V448" s="221"/>
      <c r="W448" s="221"/>
      <c r="X448" s="221" t="s">
        <v>3343</v>
      </c>
      <c r="Y448" s="227"/>
      <c r="Z448" s="227" t="str">
        <f>P448</f>
        <v>Puncak Dieng Exlusif</v>
      </c>
      <c r="AA448" s="276" t="e">
        <f>VLOOKUP(Logfile_S[[#This Row],[DO number]],DO_DB!G:I,3,0)</f>
        <v>#N/A</v>
      </c>
      <c r="AB448" s="331" t="e">
        <f>EXACT(Logfile_S[[#This Row],[date pick]],Logfile_S[[#This Row],[Date]])</f>
        <v>#N/A</v>
      </c>
      <c r="AC4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49" spans="1:29" ht="14.5">
      <c r="A449" s="220" t="str">
        <f>TEXT(ROW(A449)-ROW($A$4),"000")</f>
        <v>445</v>
      </c>
      <c r="B449" s="221"/>
      <c r="C449" s="221" t="s">
        <v>48</v>
      </c>
      <c r="D449" s="221" t="s">
        <v>3715</v>
      </c>
      <c r="E449" s="221" t="s">
        <v>3295</v>
      </c>
      <c r="F449" s="221" t="s">
        <v>3299</v>
      </c>
      <c r="G449" s="222">
        <v>45191</v>
      </c>
      <c r="H449" s="223">
        <v>15.291666666666666</v>
      </c>
      <c r="I449" s="221" t="s">
        <v>38</v>
      </c>
      <c r="J449" s="221" t="s">
        <v>3024</v>
      </c>
      <c r="K449" s="224" t="s">
        <v>3236</v>
      </c>
      <c r="L449" s="225" t="str">
        <f>VLOOKUP(Logfile_S[[#This Row],[Material Name]],Sheet2!B:C,2,0)</f>
        <v>GCI1008</v>
      </c>
      <c r="M449" s="225" t="str">
        <f>_xlfn.XLOOKUP(Logfile_S[[#This Row],[Material Name]],Sum_WH!E:E,Sum_WH!F:F,"",0)</f>
        <v>Pcs</v>
      </c>
      <c r="N449" s="221">
        <v>158</v>
      </c>
      <c r="O449" s="221" t="s">
        <v>222</v>
      </c>
      <c r="P449" s="221" t="s">
        <v>223</v>
      </c>
      <c r="Q449" s="221">
        <v>0</v>
      </c>
      <c r="R449" s="221">
        <v>0</v>
      </c>
      <c r="S449" s="221"/>
      <c r="T449" s="221"/>
      <c r="U449" s="221"/>
      <c r="V449" s="221"/>
      <c r="W449" s="221"/>
      <c r="X449" s="221" t="s">
        <v>3343</v>
      </c>
      <c r="Y449" s="227"/>
      <c r="Z449" s="227" t="str">
        <f>P449</f>
        <v>Puncak Dieng Exlusif</v>
      </c>
      <c r="AA449" s="276" t="e">
        <f>VLOOKUP(Logfile_S[[#This Row],[DO number]],DO_DB!G:I,3,0)</f>
        <v>#N/A</v>
      </c>
      <c r="AB449" s="331" t="e">
        <f>EXACT(Logfile_S[[#This Row],[date pick]],Logfile_S[[#This Row],[Date]])</f>
        <v>#N/A</v>
      </c>
      <c r="AC4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50" spans="1:29" ht="14.5">
      <c r="A450" s="220" t="str">
        <f>TEXT(ROW(A450)-ROW($A$4),"000")</f>
        <v>446</v>
      </c>
      <c r="B450" s="221"/>
      <c r="C450" s="221" t="s">
        <v>48</v>
      </c>
      <c r="D450" s="221" t="s">
        <v>3715</v>
      </c>
      <c r="E450" s="221" t="s">
        <v>3295</v>
      </c>
      <c r="F450" s="221" t="s">
        <v>3299</v>
      </c>
      <c r="G450" s="222">
        <v>45191</v>
      </c>
      <c r="H450" s="223">
        <v>15.291666666666666</v>
      </c>
      <c r="I450" s="221" t="s">
        <v>38</v>
      </c>
      <c r="J450" s="221" t="s">
        <v>3024</v>
      </c>
      <c r="K450" s="224" t="s">
        <v>3092</v>
      </c>
      <c r="L450" s="225" t="str">
        <f>VLOOKUP(Logfile_S[[#This Row],[Material Name]],Sheet2!B:C,2,0)</f>
        <v>GCI1006</v>
      </c>
      <c r="M450" s="225" t="str">
        <f>_xlfn.XLOOKUP(Logfile_S[[#This Row],[Material Name]],Sum_WH!E:E,Sum_WH!F:F,"",0)</f>
        <v>Pcs</v>
      </c>
      <c r="N450" s="221">
        <v>297</v>
      </c>
      <c r="O450" s="221" t="s">
        <v>222</v>
      </c>
      <c r="P450" s="221" t="s">
        <v>223</v>
      </c>
      <c r="Q450" s="221">
        <v>0</v>
      </c>
      <c r="R450" s="221">
        <v>0</v>
      </c>
      <c r="S450" s="221"/>
      <c r="T450" s="221"/>
      <c r="U450" s="221"/>
      <c r="V450" s="221"/>
      <c r="W450" s="221"/>
      <c r="X450" s="221" t="s">
        <v>3343</v>
      </c>
      <c r="Y450" s="227"/>
      <c r="Z450" s="227" t="str">
        <f>P450</f>
        <v>Puncak Dieng Exlusif</v>
      </c>
      <c r="AA450" s="276" t="e">
        <f>VLOOKUP(Logfile_S[[#This Row],[DO number]],DO_DB!G:I,3,0)</f>
        <v>#N/A</v>
      </c>
      <c r="AB450" s="331" t="e">
        <f>EXACT(Logfile_S[[#This Row],[date pick]],Logfile_S[[#This Row],[Date]])</f>
        <v>#N/A</v>
      </c>
      <c r="AC4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51" spans="1:29" ht="14.5">
      <c r="A451" s="220" t="str">
        <f>TEXT(ROW(A451)-ROW($A$4),"000")</f>
        <v>447</v>
      </c>
      <c r="B451" s="221"/>
      <c r="C451" s="221" t="s">
        <v>48</v>
      </c>
      <c r="D451" s="221" t="s">
        <v>3715</v>
      </c>
      <c r="E451" s="221" t="s">
        <v>3295</v>
      </c>
      <c r="F451" s="221" t="s">
        <v>3299</v>
      </c>
      <c r="G451" s="222">
        <v>45191</v>
      </c>
      <c r="H451" s="223">
        <v>15.291666666666666</v>
      </c>
      <c r="I451" s="221" t="s">
        <v>38</v>
      </c>
      <c r="J451" s="221" t="s">
        <v>3024</v>
      </c>
      <c r="K451" s="224" t="s">
        <v>3089</v>
      </c>
      <c r="L451" s="225" t="str">
        <f>VLOOKUP(Logfile_S[[#This Row],[Material Name]],Sheet2!B:C,2,0)</f>
        <v>GCI1003</v>
      </c>
      <c r="M451" s="225" t="str">
        <f>_xlfn.XLOOKUP(Logfile_S[[#This Row],[Material Name]],Sum_WH!E:E,Sum_WH!F:F,"",0)</f>
        <v>Pcs</v>
      </c>
      <c r="N451" s="221">
        <v>300</v>
      </c>
      <c r="O451" s="221" t="s">
        <v>222</v>
      </c>
      <c r="P451" s="221" t="s">
        <v>223</v>
      </c>
      <c r="Q451" s="221">
        <v>0</v>
      </c>
      <c r="R451" s="221">
        <v>0</v>
      </c>
      <c r="S451" s="221"/>
      <c r="T451" s="221"/>
      <c r="U451" s="221"/>
      <c r="V451" s="221"/>
      <c r="W451" s="221"/>
      <c r="X451" s="221" t="s">
        <v>3343</v>
      </c>
      <c r="Y451" s="227"/>
      <c r="Z451" s="227" t="str">
        <f>P451</f>
        <v>Puncak Dieng Exlusif</v>
      </c>
      <c r="AA451" s="276" t="e">
        <f>VLOOKUP(Logfile_S[[#This Row],[DO number]],DO_DB!G:I,3,0)</f>
        <v>#N/A</v>
      </c>
      <c r="AB451" s="331" t="e">
        <f>EXACT(Logfile_S[[#This Row],[date pick]],Logfile_S[[#This Row],[Date]])</f>
        <v>#N/A</v>
      </c>
      <c r="AC4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52" spans="1:29" ht="14.5">
      <c r="A452" s="220" t="str">
        <f>TEXT(ROW(A452)-ROW($A$4),"000")</f>
        <v>448</v>
      </c>
      <c r="B452" s="221"/>
      <c r="C452" s="221" t="s">
        <v>48</v>
      </c>
      <c r="D452" s="221" t="s">
        <v>3715</v>
      </c>
      <c r="E452" s="221" t="s">
        <v>3295</v>
      </c>
      <c r="F452" s="221" t="s">
        <v>3299</v>
      </c>
      <c r="G452" s="222">
        <v>45191</v>
      </c>
      <c r="H452" s="223">
        <v>15.291666666666666</v>
      </c>
      <c r="I452" s="221" t="s">
        <v>38</v>
      </c>
      <c r="J452" s="221" t="s">
        <v>3024</v>
      </c>
      <c r="K452" s="224" t="s">
        <v>3090</v>
      </c>
      <c r="L452" s="225" t="str">
        <f>VLOOKUP(Logfile_S[[#This Row],[Material Name]],Sheet2!B:C,2,0)</f>
        <v>GCI1004</v>
      </c>
      <c r="M452" s="225" t="str">
        <f>_xlfn.XLOOKUP(Logfile_S[[#This Row],[Material Name]],Sum_WH!E:E,Sum_WH!F:F,"",0)</f>
        <v>Pcs</v>
      </c>
      <c r="N452" s="221">
        <v>77</v>
      </c>
      <c r="O452" s="221" t="s">
        <v>222</v>
      </c>
      <c r="P452" s="221" t="s">
        <v>223</v>
      </c>
      <c r="Q452" s="221">
        <v>0</v>
      </c>
      <c r="R452" s="221">
        <v>0</v>
      </c>
      <c r="S452" s="221"/>
      <c r="T452" s="221"/>
      <c r="U452" s="221"/>
      <c r="V452" s="221"/>
      <c r="W452" s="221"/>
      <c r="X452" s="221" t="s">
        <v>3343</v>
      </c>
      <c r="Y452" s="227"/>
      <c r="Z452" s="227" t="str">
        <f>P452</f>
        <v>Puncak Dieng Exlusif</v>
      </c>
      <c r="AA452" s="276" t="e">
        <f>VLOOKUP(Logfile_S[[#This Row],[DO number]],DO_DB!G:I,3,0)</f>
        <v>#N/A</v>
      </c>
      <c r="AB452" s="331" t="e">
        <f>EXACT(Logfile_S[[#This Row],[date pick]],Logfile_S[[#This Row],[Date]])</f>
        <v>#N/A</v>
      </c>
      <c r="AC4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53" spans="1:29" ht="14.5">
      <c r="A453" s="220" t="str">
        <f>TEXT(ROW(A453)-ROW($A$4),"000")</f>
        <v>449</v>
      </c>
      <c r="B453" s="221"/>
      <c r="C453" s="221" t="s">
        <v>49</v>
      </c>
      <c r="D453" s="221" t="s">
        <v>3717</v>
      </c>
      <c r="E453" s="221" t="s">
        <v>3295</v>
      </c>
      <c r="F453" s="221" t="s">
        <v>3299</v>
      </c>
      <c r="G453" s="222">
        <v>45192</v>
      </c>
      <c r="H453" s="223">
        <v>0.58888888888888891</v>
      </c>
      <c r="I453" s="221" t="s">
        <v>4916</v>
      </c>
      <c r="J453" s="221" t="s">
        <v>3023</v>
      </c>
      <c r="K453" s="224" t="s">
        <v>3069</v>
      </c>
      <c r="L453" s="225" t="str">
        <f>VLOOKUP(Logfile_S[[#This Row],[Material Name]],Sheet2!B:C,2,0)</f>
        <v>ZTE1001</v>
      </c>
      <c r="M453" s="225" t="str">
        <f>_xlfn.XLOOKUP(Logfile_S[[#This Row],[Material Name]],Sum_WH!E:E,Sum_WH!F:F,"",0)</f>
        <v>Pcs</v>
      </c>
      <c r="N453" s="221">
        <v>9</v>
      </c>
      <c r="O453" s="221" t="s">
        <v>222</v>
      </c>
      <c r="P453" s="221" t="s">
        <v>223</v>
      </c>
      <c r="Q453" s="221"/>
      <c r="R453" s="221"/>
      <c r="S453" s="221"/>
      <c r="T453" s="221" t="s">
        <v>3322</v>
      </c>
      <c r="U453" s="221" t="s">
        <v>3323</v>
      </c>
      <c r="V453" s="221" t="s">
        <v>3324</v>
      </c>
      <c r="W453" s="221" t="s">
        <v>3386</v>
      </c>
      <c r="X453" s="221"/>
      <c r="Y453" s="227"/>
      <c r="Z453" s="227" t="str">
        <f>P453</f>
        <v>Puncak Dieng Exlusif</v>
      </c>
      <c r="AA453" s="276" t="e">
        <f>VLOOKUP(Logfile_S[[#This Row],[DO number]],DO_DB!G:I,3,0)</f>
        <v>#N/A</v>
      </c>
      <c r="AB453" s="331" t="e">
        <f>EXACT(Logfile_S[[#This Row],[date pick]],Logfile_S[[#This Row],[Date]])</f>
        <v>#N/A</v>
      </c>
      <c r="AC4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54" spans="1:29" ht="14.5">
      <c r="A454" s="220" t="str">
        <f>TEXT(ROW(A454)-ROW($A$4),"000")</f>
        <v>450</v>
      </c>
      <c r="B454" s="221"/>
      <c r="C454" s="221" t="s">
        <v>49</v>
      </c>
      <c r="D454" s="221" t="s">
        <v>3716</v>
      </c>
      <c r="E454" s="221" t="s">
        <v>3295</v>
      </c>
      <c r="F454" s="221" t="s">
        <v>3299</v>
      </c>
      <c r="G454" s="222">
        <v>45192</v>
      </c>
      <c r="H454" s="223">
        <v>0.29652777777777778</v>
      </c>
      <c r="I454" s="221" t="s">
        <v>4916</v>
      </c>
      <c r="J454" s="221" t="s">
        <v>3023</v>
      </c>
      <c r="K454" s="224" t="s">
        <v>3069</v>
      </c>
      <c r="L454" s="225" t="str">
        <f>VLOOKUP(Logfile_S[[#This Row],[Material Name]],Sheet2!B:C,2,0)</f>
        <v>ZTE1001</v>
      </c>
      <c r="M454" s="225" t="str">
        <f>_xlfn.XLOOKUP(Logfile_S[[#This Row],[Material Name]],Sum_WH!E:E,Sum_WH!F:F,"",0)</f>
        <v>Pcs</v>
      </c>
      <c r="N454" s="221">
        <v>17</v>
      </c>
      <c r="O454" s="221" t="s">
        <v>222</v>
      </c>
      <c r="P454" s="221" t="s">
        <v>223</v>
      </c>
      <c r="Q454" s="221"/>
      <c r="R454" s="221"/>
      <c r="S454" s="221"/>
      <c r="T454" s="221" t="s">
        <v>3322</v>
      </c>
      <c r="U454" s="221" t="s">
        <v>3323</v>
      </c>
      <c r="V454" s="221" t="s">
        <v>3324</v>
      </c>
      <c r="W454" s="221" t="s">
        <v>3386</v>
      </c>
      <c r="X454" s="221"/>
      <c r="Y454" s="227"/>
      <c r="Z454" s="227" t="str">
        <f>P454</f>
        <v>Puncak Dieng Exlusif</v>
      </c>
      <c r="AA454" s="276" t="e">
        <f>VLOOKUP(Logfile_S[[#This Row],[DO number]],DO_DB!G:I,3,0)</f>
        <v>#N/A</v>
      </c>
      <c r="AB454" s="331" t="e">
        <f>EXACT(Logfile_S[[#This Row],[date pick]],Logfile_S[[#This Row],[Date]])</f>
        <v>#N/A</v>
      </c>
      <c r="AC4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55" spans="1:29" ht="14.5">
      <c r="A455" s="220" t="str">
        <f>TEXT(ROW(A455)-ROW($A$4),"000")</f>
        <v>451</v>
      </c>
      <c r="B455" s="221"/>
      <c r="C455" s="221" t="s">
        <v>49</v>
      </c>
      <c r="D455" s="221" t="s">
        <v>3719</v>
      </c>
      <c r="E455" s="221" t="s">
        <v>3295</v>
      </c>
      <c r="F455" s="221" t="s">
        <v>3299</v>
      </c>
      <c r="G455" s="222">
        <v>45193</v>
      </c>
      <c r="H455" s="223">
        <v>0.31666666666666665</v>
      </c>
      <c r="I455" s="221" t="s">
        <v>4916</v>
      </c>
      <c r="J455" s="221" t="s">
        <v>3024</v>
      </c>
      <c r="K455" s="224" t="s">
        <v>3088</v>
      </c>
      <c r="L455" s="225" t="str">
        <f>VLOOKUP(Logfile_S[[#This Row],[Material Name]],Sheet2!B:C,2,0)</f>
        <v>GCI1002</v>
      </c>
      <c r="M455" s="225" t="str">
        <f>_xlfn.XLOOKUP(Logfile_S[[#This Row],[Material Name]],Sum_WH!E:E,Sum_WH!F:F,"",0)</f>
        <v>Pcs</v>
      </c>
      <c r="N455" s="221">
        <v>2</v>
      </c>
      <c r="O455" s="221" t="s">
        <v>222</v>
      </c>
      <c r="P455" s="221" t="s">
        <v>223</v>
      </c>
      <c r="Q455" s="221"/>
      <c r="R455" s="221"/>
      <c r="S455" s="221"/>
      <c r="T455" s="221" t="s">
        <v>3322</v>
      </c>
      <c r="U455" s="221" t="s">
        <v>3323</v>
      </c>
      <c r="V455" s="221" t="s">
        <v>3324</v>
      </c>
      <c r="W455" s="221" t="s">
        <v>3386</v>
      </c>
      <c r="X455" s="221"/>
      <c r="Y455" s="227"/>
      <c r="Z455" s="227" t="str">
        <f>P455</f>
        <v>Puncak Dieng Exlusif</v>
      </c>
      <c r="AA455" s="276" t="e">
        <f>VLOOKUP(Logfile_S[[#This Row],[DO number]],DO_DB!G:I,3,0)</f>
        <v>#N/A</v>
      </c>
      <c r="AB455" s="331" t="e">
        <f>EXACT(Logfile_S[[#This Row],[date pick]],Logfile_S[[#This Row],[Date]])</f>
        <v>#N/A</v>
      </c>
      <c r="AC4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56" spans="1:29" ht="14.5">
      <c r="A456" s="220" t="str">
        <f>TEXT(ROW(A456)-ROW($A$4),"000")</f>
        <v>452</v>
      </c>
      <c r="B456" s="221"/>
      <c r="C456" s="221" t="s">
        <v>49</v>
      </c>
      <c r="D456" s="221" t="s">
        <v>3719</v>
      </c>
      <c r="E456" s="221" t="s">
        <v>3295</v>
      </c>
      <c r="F456" s="221" t="s">
        <v>3299</v>
      </c>
      <c r="G456" s="222">
        <v>45193</v>
      </c>
      <c r="H456" s="223">
        <v>0.31666666666666665</v>
      </c>
      <c r="I456" s="221" t="s">
        <v>4916</v>
      </c>
      <c r="J456" s="221" t="s">
        <v>3024</v>
      </c>
      <c r="K456" s="224" t="s">
        <v>3089</v>
      </c>
      <c r="L456" s="225" t="str">
        <f>VLOOKUP(Logfile_S[[#This Row],[Material Name]],Sheet2!B:C,2,0)</f>
        <v>GCI1003</v>
      </c>
      <c r="M456" s="225" t="str">
        <f>_xlfn.XLOOKUP(Logfile_S[[#This Row],[Material Name]],Sum_WH!E:E,Sum_WH!F:F,"",0)</f>
        <v>Pcs</v>
      </c>
      <c r="N456" s="221">
        <v>100</v>
      </c>
      <c r="O456" s="221" t="s">
        <v>222</v>
      </c>
      <c r="P456" s="221" t="s">
        <v>223</v>
      </c>
      <c r="Q456" s="221"/>
      <c r="R456" s="221"/>
      <c r="S456" s="221"/>
      <c r="T456" s="221" t="s">
        <v>3322</v>
      </c>
      <c r="U456" s="221" t="s">
        <v>3323</v>
      </c>
      <c r="V456" s="221" t="s">
        <v>3324</v>
      </c>
      <c r="W456" s="221" t="s">
        <v>3386</v>
      </c>
      <c r="X456" s="221"/>
      <c r="Y456" s="227"/>
      <c r="Z456" s="227" t="str">
        <f>P456</f>
        <v>Puncak Dieng Exlusif</v>
      </c>
      <c r="AA456" s="276" t="e">
        <f>VLOOKUP(Logfile_S[[#This Row],[DO number]],DO_DB!G:I,3,0)</f>
        <v>#N/A</v>
      </c>
      <c r="AB456" s="331" t="e">
        <f>EXACT(Logfile_S[[#This Row],[date pick]],Logfile_S[[#This Row],[Date]])</f>
        <v>#N/A</v>
      </c>
      <c r="AC4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57" spans="1:29" ht="14.5">
      <c r="A457" s="220" t="str">
        <f>TEXT(ROW(A457)-ROW($A$4),"000")</f>
        <v>453</v>
      </c>
      <c r="B457" s="221"/>
      <c r="C457" s="221" t="s">
        <v>49</v>
      </c>
      <c r="D457" s="221" t="s">
        <v>3722</v>
      </c>
      <c r="E457" s="221" t="s">
        <v>3295</v>
      </c>
      <c r="F457" s="221" t="s">
        <v>3299</v>
      </c>
      <c r="G457" s="222">
        <v>45194</v>
      </c>
      <c r="H457" s="223">
        <v>0.27083333333333331</v>
      </c>
      <c r="I457" s="221" t="s">
        <v>4916</v>
      </c>
      <c r="J457" s="221" t="s">
        <v>3023</v>
      </c>
      <c r="K457" s="224" t="s">
        <v>3073</v>
      </c>
      <c r="L457" s="225" t="str">
        <f>VLOOKUP(Logfile_S[[#This Row],[Material Name]],Sheet2!B:C,2,0)</f>
        <v>ZTE2001</v>
      </c>
      <c r="M457" s="225" t="str">
        <f>_xlfn.XLOOKUP(Logfile_S[[#This Row],[Material Name]],Sum_WH!E:E,Sum_WH!F:F,"",0)</f>
        <v>Meter</v>
      </c>
      <c r="N457" s="221">
        <v>3000</v>
      </c>
      <c r="O457" s="221" t="s">
        <v>222</v>
      </c>
      <c r="P457" s="221" t="s">
        <v>223</v>
      </c>
      <c r="Q457" s="221"/>
      <c r="R457" s="221"/>
      <c r="S457" s="221"/>
      <c r="T457" s="221" t="s">
        <v>3322</v>
      </c>
      <c r="U457" s="221" t="s">
        <v>3323</v>
      </c>
      <c r="V457" s="221" t="s">
        <v>3324</v>
      </c>
      <c r="W457" s="221" t="s">
        <v>3325</v>
      </c>
      <c r="X457" s="235" t="s">
        <v>3723</v>
      </c>
      <c r="Y457" s="236" t="s">
        <v>4956</v>
      </c>
      <c r="Z457" s="227" t="str">
        <f>P457</f>
        <v>Puncak Dieng Exlusif</v>
      </c>
      <c r="AA457" s="276" t="e">
        <f>VLOOKUP(Logfile_S[[#This Row],[DO number]],DO_DB!G:I,3,0)</f>
        <v>#N/A</v>
      </c>
      <c r="AB457" s="331" t="e">
        <f>EXACT(Logfile_S[[#This Row],[date pick]],Logfile_S[[#This Row],[Date]])</f>
        <v>#N/A</v>
      </c>
      <c r="AC4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24C-2023920-01</v>
      </c>
    </row>
    <row r="458" spans="1:29" ht="14.5">
      <c r="A458" s="220" t="str">
        <f>TEXT(ROW(A458)-ROW($A$4),"000")</f>
        <v>454</v>
      </c>
      <c r="B458" s="221"/>
      <c r="C458" s="221" t="s">
        <v>49</v>
      </c>
      <c r="D458" s="221" t="s">
        <v>3722</v>
      </c>
      <c r="E458" s="221" t="s">
        <v>3295</v>
      </c>
      <c r="F458" s="221" t="s">
        <v>3299</v>
      </c>
      <c r="G458" s="222">
        <v>45194</v>
      </c>
      <c r="H458" s="223">
        <v>0.27083333333333331</v>
      </c>
      <c r="I458" s="221" t="s">
        <v>4916</v>
      </c>
      <c r="J458" s="221" t="s">
        <v>3024</v>
      </c>
      <c r="K458" s="224" t="s">
        <v>3087</v>
      </c>
      <c r="L458" s="225" t="str">
        <f>VLOOKUP(Logfile_S[[#This Row],[Material Name]],Sheet2!B:C,2,0)</f>
        <v>GCI1001</v>
      </c>
      <c r="M458" s="225" t="str">
        <f>_xlfn.XLOOKUP(Logfile_S[[#This Row],[Material Name]],Sum_WH!E:E,Sum_WH!F:F,"",0)</f>
        <v>Pcs</v>
      </c>
      <c r="N458" s="221">
        <v>11</v>
      </c>
      <c r="O458" s="221" t="s">
        <v>222</v>
      </c>
      <c r="P458" s="221" t="s">
        <v>223</v>
      </c>
      <c r="Q458" s="221"/>
      <c r="R458" s="221"/>
      <c r="S458" s="221"/>
      <c r="T458" s="221" t="s">
        <v>3322</v>
      </c>
      <c r="U458" s="221" t="s">
        <v>3323</v>
      </c>
      <c r="V458" s="221" t="s">
        <v>3324</v>
      </c>
      <c r="W458" s="221" t="s">
        <v>3325</v>
      </c>
      <c r="X458" s="221"/>
      <c r="Y458" s="227"/>
      <c r="Z458" s="227" t="str">
        <f>P458</f>
        <v>Puncak Dieng Exlusif</v>
      </c>
      <c r="AA458" s="276" t="e">
        <f>VLOOKUP(Logfile_S[[#This Row],[DO number]],DO_DB!G:I,3,0)</f>
        <v>#N/A</v>
      </c>
      <c r="AB458" s="331" t="e">
        <f>EXACT(Logfile_S[[#This Row],[date pick]],Logfile_S[[#This Row],[Date]])</f>
        <v>#N/A</v>
      </c>
      <c r="AC4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59" spans="1:29" ht="14.5">
      <c r="A459" s="220" t="str">
        <f>TEXT(ROW(A459)-ROW($A$4),"000")</f>
        <v>455</v>
      </c>
      <c r="B459" s="221"/>
      <c r="C459" s="221" t="s">
        <v>49</v>
      </c>
      <c r="D459" s="221" t="s">
        <v>3722</v>
      </c>
      <c r="E459" s="221" t="s">
        <v>3295</v>
      </c>
      <c r="F459" s="221" t="s">
        <v>3299</v>
      </c>
      <c r="G459" s="222">
        <v>45194</v>
      </c>
      <c r="H459" s="223">
        <v>0.27083333333333331</v>
      </c>
      <c r="I459" s="221" t="s">
        <v>4916</v>
      </c>
      <c r="J459" s="221" t="s">
        <v>3024</v>
      </c>
      <c r="K459" s="224" t="s">
        <v>5137</v>
      </c>
      <c r="L459" s="225" t="str">
        <f>VLOOKUP(Logfile_S[[#This Row],[Material Name]],Sheet2!B:C,2,0)</f>
        <v>GCI1009</v>
      </c>
      <c r="M459" s="225" t="str">
        <f>_xlfn.XLOOKUP(Logfile_S[[#This Row],[Material Name]],Sum_WH!E:E,Sum_WH!F:F,"",0)</f>
        <v>Pcs</v>
      </c>
      <c r="N459" s="221">
        <v>30</v>
      </c>
      <c r="O459" s="221" t="s">
        <v>222</v>
      </c>
      <c r="P459" s="221" t="s">
        <v>223</v>
      </c>
      <c r="Q459" s="221"/>
      <c r="R459" s="221"/>
      <c r="S459" s="221"/>
      <c r="T459" s="221" t="s">
        <v>3322</v>
      </c>
      <c r="U459" s="221" t="s">
        <v>3323</v>
      </c>
      <c r="V459" s="221" t="s">
        <v>3324</v>
      </c>
      <c r="W459" s="221" t="s">
        <v>3325</v>
      </c>
      <c r="X459" s="221"/>
      <c r="Y459" s="227"/>
      <c r="Z459" s="227" t="str">
        <f>P459</f>
        <v>Puncak Dieng Exlusif</v>
      </c>
      <c r="AA459" s="276" t="e">
        <f>VLOOKUP(Logfile_S[[#This Row],[DO number]],DO_DB!G:I,3,0)</f>
        <v>#N/A</v>
      </c>
      <c r="AB459" s="331" t="e">
        <f>EXACT(Logfile_S[[#This Row],[date pick]],Logfile_S[[#This Row],[Date]])</f>
        <v>#N/A</v>
      </c>
      <c r="AC4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60" spans="1:29" ht="14.5">
      <c r="A460" s="220" t="str">
        <f>TEXT(ROW(A460)-ROW($A$4),"000")</f>
        <v>456</v>
      </c>
      <c r="B460" s="221"/>
      <c r="C460" s="221" t="s">
        <v>49</v>
      </c>
      <c r="D460" s="221" t="s">
        <v>3722</v>
      </c>
      <c r="E460" s="221" t="s">
        <v>3295</v>
      </c>
      <c r="F460" s="221" t="s">
        <v>3299</v>
      </c>
      <c r="G460" s="222">
        <v>45194</v>
      </c>
      <c r="H460" s="223">
        <v>0.27083333333333331</v>
      </c>
      <c r="I460" s="221" t="s">
        <v>4916</v>
      </c>
      <c r="J460" s="221" t="s">
        <v>3024</v>
      </c>
      <c r="K460" s="224" t="s">
        <v>3230</v>
      </c>
      <c r="L460" s="225" t="str">
        <f>VLOOKUP(Logfile_S[[#This Row],[Material Name]],Sheet2!B:C,2,0)</f>
        <v>GCI1008</v>
      </c>
      <c r="M460" s="225" t="str">
        <f>_xlfn.XLOOKUP(Logfile_S[[#This Row],[Material Name]],Sum_WH!E:E,Sum_WH!F:F,"",0)</f>
        <v>Pcs</v>
      </c>
      <c r="N460" s="221">
        <v>18</v>
      </c>
      <c r="O460" s="221" t="s">
        <v>222</v>
      </c>
      <c r="P460" s="221" t="s">
        <v>223</v>
      </c>
      <c r="Q460" s="221"/>
      <c r="R460" s="221"/>
      <c r="S460" s="221"/>
      <c r="T460" s="221" t="s">
        <v>3322</v>
      </c>
      <c r="U460" s="221" t="s">
        <v>3323</v>
      </c>
      <c r="V460" s="221" t="s">
        <v>3324</v>
      </c>
      <c r="W460" s="221" t="s">
        <v>3325</v>
      </c>
      <c r="X460" s="221"/>
      <c r="Y460" s="227"/>
      <c r="Z460" s="227" t="str">
        <f>P460</f>
        <v>Puncak Dieng Exlusif</v>
      </c>
      <c r="AA460" s="276" t="e">
        <f>VLOOKUP(Logfile_S[[#This Row],[DO number]],DO_DB!G:I,3,0)</f>
        <v>#N/A</v>
      </c>
      <c r="AB460" s="331" t="e">
        <f>EXACT(Logfile_S[[#This Row],[date pick]],Logfile_S[[#This Row],[Date]])</f>
        <v>#N/A</v>
      </c>
      <c r="AC4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61" spans="1:29" ht="14.5">
      <c r="A461" s="220" t="str">
        <f>TEXT(ROW(A461)-ROW($A$4),"000")</f>
        <v>457</v>
      </c>
      <c r="B461" s="221"/>
      <c r="C461" s="221" t="s">
        <v>49</v>
      </c>
      <c r="D461" s="221" t="s">
        <v>3722</v>
      </c>
      <c r="E461" s="221" t="s">
        <v>3295</v>
      </c>
      <c r="F461" s="221" t="s">
        <v>3299</v>
      </c>
      <c r="G461" s="222">
        <v>45194</v>
      </c>
      <c r="H461" s="223">
        <v>0.27083333333333331</v>
      </c>
      <c r="I461" s="221" t="s">
        <v>4916</v>
      </c>
      <c r="J461" s="221" t="s">
        <v>3024</v>
      </c>
      <c r="K461" s="224" t="s">
        <v>3092</v>
      </c>
      <c r="L461" s="225" t="str">
        <f>VLOOKUP(Logfile_S[[#This Row],[Material Name]],Sheet2!B:C,2,0)</f>
        <v>GCI1006</v>
      </c>
      <c r="M461" s="225" t="str">
        <f>_xlfn.XLOOKUP(Logfile_S[[#This Row],[Material Name]],Sum_WH!E:E,Sum_WH!F:F,"",0)</f>
        <v>Pcs</v>
      </c>
      <c r="N461" s="221">
        <v>30</v>
      </c>
      <c r="O461" s="221" t="s">
        <v>222</v>
      </c>
      <c r="P461" s="221" t="s">
        <v>223</v>
      </c>
      <c r="Q461" s="221"/>
      <c r="R461" s="221"/>
      <c r="S461" s="221"/>
      <c r="T461" s="221" t="s">
        <v>3322</v>
      </c>
      <c r="U461" s="221" t="s">
        <v>3323</v>
      </c>
      <c r="V461" s="221" t="s">
        <v>3324</v>
      </c>
      <c r="W461" s="221" t="s">
        <v>3325</v>
      </c>
      <c r="X461" s="221"/>
      <c r="Y461" s="227"/>
      <c r="Z461" s="227" t="str">
        <f>P461</f>
        <v>Puncak Dieng Exlusif</v>
      </c>
      <c r="AA461" s="276" t="e">
        <f>VLOOKUP(Logfile_S[[#This Row],[DO number]],DO_DB!G:I,3,0)</f>
        <v>#N/A</v>
      </c>
      <c r="AB461" s="331" t="e">
        <f>EXACT(Logfile_S[[#This Row],[date pick]],Logfile_S[[#This Row],[Date]])</f>
        <v>#N/A</v>
      </c>
      <c r="AC4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62" spans="1:29" ht="14.5">
      <c r="A462" s="220" t="str">
        <f>TEXT(ROW(A462)-ROW($A$4),"000")</f>
        <v>458</v>
      </c>
      <c r="B462" s="221"/>
      <c r="C462" s="221" t="s">
        <v>49</v>
      </c>
      <c r="D462" s="221" t="s">
        <v>3722</v>
      </c>
      <c r="E462" s="221" t="s">
        <v>3295</v>
      </c>
      <c r="F462" s="221" t="s">
        <v>3299</v>
      </c>
      <c r="G462" s="222">
        <v>45194</v>
      </c>
      <c r="H462" s="223">
        <v>0.27083333333333331</v>
      </c>
      <c r="I462" s="221" t="s">
        <v>4916</v>
      </c>
      <c r="J462" s="221" t="s">
        <v>3024</v>
      </c>
      <c r="K462" s="224" t="s">
        <v>3090</v>
      </c>
      <c r="L462" s="225" t="str">
        <f>VLOOKUP(Logfile_S[[#This Row],[Material Name]],Sheet2!B:C,2,0)</f>
        <v>GCI1004</v>
      </c>
      <c r="M462" s="225" t="str">
        <f>_xlfn.XLOOKUP(Logfile_S[[#This Row],[Material Name]],Sum_WH!E:E,Sum_WH!F:F,"",0)</f>
        <v>Pcs</v>
      </c>
      <c r="N462" s="221">
        <v>9</v>
      </c>
      <c r="O462" s="221" t="s">
        <v>222</v>
      </c>
      <c r="P462" s="221" t="s">
        <v>223</v>
      </c>
      <c r="Q462" s="221"/>
      <c r="R462" s="221"/>
      <c r="S462" s="221"/>
      <c r="T462" s="221" t="s">
        <v>3322</v>
      </c>
      <c r="U462" s="221" t="s">
        <v>3323</v>
      </c>
      <c r="V462" s="221" t="s">
        <v>3324</v>
      </c>
      <c r="W462" s="221" t="s">
        <v>3325</v>
      </c>
      <c r="X462" s="221"/>
      <c r="Y462" s="227"/>
      <c r="Z462" s="227" t="str">
        <f>P462</f>
        <v>Puncak Dieng Exlusif</v>
      </c>
      <c r="AA462" s="276" t="e">
        <f>VLOOKUP(Logfile_S[[#This Row],[DO number]],DO_DB!G:I,3,0)</f>
        <v>#N/A</v>
      </c>
      <c r="AB462" s="331" t="e">
        <f>EXACT(Logfile_S[[#This Row],[date pick]],Logfile_S[[#This Row],[Date]])</f>
        <v>#N/A</v>
      </c>
      <c r="AC4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63" spans="1:29" ht="14.5">
      <c r="A463" s="220" t="str">
        <f>TEXT(ROW(A463)-ROW($A$4),"000")</f>
        <v>459</v>
      </c>
      <c r="B463" s="221"/>
      <c r="C463" s="221" t="s">
        <v>48</v>
      </c>
      <c r="D463" s="221" t="s">
        <v>3724</v>
      </c>
      <c r="E463" s="221" t="s">
        <v>3295</v>
      </c>
      <c r="F463" s="221" t="s">
        <v>3299</v>
      </c>
      <c r="G463" s="222">
        <v>45195</v>
      </c>
      <c r="H463" s="223">
        <v>15.291666666666666</v>
      </c>
      <c r="I463" s="221" t="s">
        <v>37</v>
      </c>
      <c r="J463" s="221" t="s">
        <v>3023</v>
      </c>
      <c r="K463" s="224" t="s">
        <v>3075</v>
      </c>
      <c r="L463" s="225" t="str">
        <f>VLOOKUP(Logfile_S[[#This Row],[Material Name]],Sheet2!B:C,2,0)</f>
        <v>ZTE2003</v>
      </c>
      <c r="M463" s="225" t="str">
        <f>_xlfn.XLOOKUP(Logfile_S[[#This Row],[Material Name]],Sum_WH!E:E,Sum_WH!F:F,"",0)</f>
        <v>Meter</v>
      </c>
      <c r="N463" s="221">
        <v>3000</v>
      </c>
      <c r="O463" s="221" t="s">
        <v>222</v>
      </c>
      <c r="P463" s="221" t="s">
        <v>223</v>
      </c>
      <c r="Q463" s="221" t="s">
        <v>238</v>
      </c>
      <c r="R463" s="221" t="s">
        <v>239</v>
      </c>
      <c r="S463" s="221"/>
      <c r="T463" s="221"/>
      <c r="U463" s="221"/>
      <c r="V463" s="221"/>
      <c r="W463" s="221"/>
      <c r="X463" s="221"/>
      <c r="Y463" s="227" t="s">
        <v>5052</v>
      </c>
      <c r="Z463" s="227" t="str">
        <f>P463</f>
        <v>Puncak Dieng Exlusif</v>
      </c>
      <c r="AA463" s="276">
        <f>VLOOKUP(Logfile_S[[#This Row],[DO number]],DO_DB!G:I,3,0)</f>
        <v>45195</v>
      </c>
      <c r="AB463" s="331" t="b">
        <f>EXACT(Logfile_S[[#This Row],[date pick]],Logfile_S[[#This Row],[Date]])</f>
        <v>1</v>
      </c>
      <c r="AC4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48C-2023926-01</v>
      </c>
    </row>
    <row r="464" spans="1:29" ht="14.5">
      <c r="A464" s="220" t="str">
        <f>TEXT(ROW(A464)-ROW($A$4),"000")</f>
        <v>460</v>
      </c>
      <c r="B464" s="221"/>
      <c r="C464" s="221" t="s">
        <v>48</v>
      </c>
      <c r="D464" s="221" t="s">
        <v>3724</v>
      </c>
      <c r="E464" s="221" t="s">
        <v>3295</v>
      </c>
      <c r="F464" s="221" t="s">
        <v>3299</v>
      </c>
      <c r="G464" s="222">
        <v>45195</v>
      </c>
      <c r="H464" s="223">
        <v>15.291666666666666</v>
      </c>
      <c r="I464" s="221" t="s">
        <v>37</v>
      </c>
      <c r="J464" s="221" t="s">
        <v>3023</v>
      </c>
      <c r="K464" s="224" t="s">
        <v>3075</v>
      </c>
      <c r="L464" s="225" t="str">
        <f>VLOOKUP(Logfile_S[[#This Row],[Material Name]],Sheet2!B:C,2,0)</f>
        <v>ZTE2003</v>
      </c>
      <c r="M464" s="225" t="str">
        <f>_xlfn.XLOOKUP(Logfile_S[[#This Row],[Material Name]],Sum_WH!E:E,Sum_WH!F:F,"",0)</f>
        <v>Meter</v>
      </c>
      <c r="N464" s="221">
        <v>3000</v>
      </c>
      <c r="O464" s="221" t="s">
        <v>222</v>
      </c>
      <c r="P464" s="221" t="s">
        <v>223</v>
      </c>
      <c r="Q464" s="221" t="s">
        <v>238</v>
      </c>
      <c r="R464" s="221" t="s">
        <v>239</v>
      </c>
      <c r="S464" s="221"/>
      <c r="T464" s="221"/>
      <c r="U464" s="221"/>
      <c r="V464" s="221"/>
      <c r="W464" s="221"/>
      <c r="X464" s="221"/>
      <c r="Y464" s="227" t="s">
        <v>5053</v>
      </c>
      <c r="Z464" s="227" t="str">
        <f>P464</f>
        <v>Puncak Dieng Exlusif</v>
      </c>
      <c r="AA464" s="276">
        <f>VLOOKUP(Logfile_S[[#This Row],[DO number]],DO_DB!G:I,3,0)</f>
        <v>45195</v>
      </c>
      <c r="AB464" s="331" t="b">
        <f>EXACT(Logfile_S[[#This Row],[date pick]],Logfile_S[[#This Row],[Date]])</f>
        <v>1</v>
      </c>
      <c r="AC4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48C-2023926-02</v>
      </c>
    </row>
    <row r="465" spans="1:29" ht="14.5">
      <c r="A465" s="220" t="str">
        <f>TEXT(ROW(A465)-ROW($A$4),"000")</f>
        <v>461</v>
      </c>
      <c r="B465" s="221"/>
      <c r="C465" s="221" t="s">
        <v>48</v>
      </c>
      <c r="D465" s="221" t="s">
        <v>3727</v>
      </c>
      <c r="E465" s="221" t="s">
        <v>3295</v>
      </c>
      <c r="F465" s="221" t="s">
        <v>3299</v>
      </c>
      <c r="G465" s="222">
        <v>45195</v>
      </c>
      <c r="H465" s="223">
        <v>15.291666666666666</v>
      </c>
      <c r="I465" s="221" t="s">
        <v>38</v>
      </c>
      <c r="J465" s="221" t="s">
        <v>3024</v>
      </c>
      <c r="K465" s="224" t="s">
        <v>3098</v>
      </c>
      <c r="L465" s="225" t="str">
        <f>VLOOKUP(Logfile_S[[#This Row],[Material Name]],Sheet2!B:C,2,0)</f>
        <v>GCI1012</v>
      </c>
      <c r="M465" s="225" t="str">
        <f>_xlfn.XLOOKUP(Logfile_S[[#This Row],[Material Name]],Sum_WH!E:E,Sum_WH!F:F,"",0)</f>
        <v>Pcs</v>
      </c>
      <c r="N465" s="221">
        <v>384</v>
      </c>
      <c r="O465" s="221" t="s">
        <v>222</v>
      </c>
      <c r="P465" s="221" t="s">
        <v>223</v>
      </c>
      <c r="Q465" s="221">
        <v>0</v>
      </c>
      <c r="R465" s="221">
        <v>0</v>
      </c>
      <c r="S465" s="221"/>
      <c r="T465" s="221"/>
      <c r="U465" s="221"/>
      <c r="V465" s="221"/>
      <c r="W465" s="221"/>
      <c r="X465" s="221" t="s">
        <v>3317</v>
      </c>
      <c r="Y465" s="227"/>
      <c r="Z465" s="227" t="str">
        <f>P465</f>
        <v>Puncak Dieng Exlusif</v>
      </c>
      <c r="AA465" s="276" t="e">
        <f>VLOOKUP(Logfile_S[[#This Row],[DO number]],DO_DB!G:I,3,0)</f>
        <v>#N/A</v>
      </c>
      <c r="AB465" s="331" t="e">
        <f>EXACT(Logfile_S[[#This Row],[date pick]],Logfile_S[[#This Row],[Date]])</f>
        <v>#N/A</v>
      </c>
      <c r="AC4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66" spans="1:29" ht="14.5">
      <c r="A466" s="220" t="str">
        <f>TEXT(ROW(A466)-ROW($A$4),"000")</f>
        <v>462</v>
      </c>
      <c r="B466" s="221"/>
      <c r="C466" s="221" t="s">
        <v>49</v>
      </c>
      <c r="D466" s="221" t="s">
        <v>3725</v>
      </c>
      <c r="E466" s="221" t="s">
        <v>3295</v>
      </c>
      <c r="F466" s="221" t="s">
        <v>3299</v>
      </c>
      <c r="G466" s="222">
        <v>45195</v>
      </c>
      <c r="H466" s="223">
        <v>0.27083333333333331</v>
      </c>
      <c r="I466" s="221" t="s">
        <v>4916</v>
      </c>
      <c r="J466" s="221" t="s">
        <v>3024</v>
      </c>
      <c r="K466" s="224" t="s">
        <v>3087</v>
      </c>
      <c r="L466" s="225" t="str">
        <f>VLOOKUP(Logfile_S[[#This Row],[Material Name]],Sheet2!B:C,2,0)</f>
        <v>GCI1001</v>
      </c>
      <c r="M466" s="225" t="str">
        <f>_xlfn.XLOOKUP(Logfile_S[[#This Row],[Material Name]],Sum_WH!E:E,Sum_WH!F:F,"",0)</f>
        <v>Pcs</v>
      </c>
      <c r="N466" s="221">
        <v>10</v>
      </c>
      <c r="O466" s="221" t="s">
        <v>222</v>
      </c>
      <c r="P466" s="221" t="s">
        <v>223</v>
      </c>
      <c r="Q466" s="221"/>
      <c r="R466" s="221"/>
      <c r="S466" s="221"/>
      <c r="T466" s="221" t="s">
        <v>3322</v>
      </c>
      <c r="U466" s="221" t="s">
        <v>3323</v>
      </c>
      <c r="V466" s="221" t="s">
        <v>3324</v>
      </c>
      <c r="W466" s="221" t="s">
        <v>3325</v>
      </c>
      <c r="X466" s="221"/>
      <c r="Y466" s="227"/>
      <c r="Z466" s="227" t="str">
        <f>P466</f>
        <v>Puncak Dieng Exlusif</v>
      </c>
      <c r="AA466" s="276" t="e">
        <f>VLOOKUP(Logfile_S[[#This Row],[DO number]],DO_DB!G:I,3,0)</f>
        <v>#N/A</v>
      </c>
      <c r="AB466" s="331" t="e">
        <f>EXACT(Logfile_S[[#This Row],[date pick]],Logfile_S[[#This Row],[Date]])</f>
        <v>#N/A</v>
      </c>
      <c r="AC4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67" spans="1:29" ht="14.5">
      <c r="A467" s="220" t="str">
        <f>TEXT(ROW(A467)-ROW($A$4),"000")</f>
        <v>463</v>
      </c>
      <c r="B467" s="221"/>
      <c r="C467" s="221" t="s">
        <v>49</v>
      </c>
      <c r="D467" s="221" t="s">
        <v>3725</v>
      </c>
      <c r="E467" s="221" t="s">
        <v>3295</v>
      </c>
      <c r="F467" s="221" t="s">
        <v>3299</v>
      </c>
      <c r="G467" s="222">
        <v>45195</v>
      </c>
      <c r="H467" s="223">
        <v>0.27083333333333331</v>
      </c>
      <c r="I467" s="221" t="s">
        <v>4916</v>
      </c>
      <c r="J467" s="221" t="s">
        <v>3024</v>
      </c>
      <c r="K467" s="224" t="s">
        <v>5137</v>
      </c>
      <c r="L467" s="225" t="str">
        <f>VLOOKUP(Logfile_S[[#This Row],[Material Name]],Sheet2!B:C,2,0)</f>
        <v>GCI1009</v>
      </c>
      <c r="M467" s="225" t="str">
        <f>_xlfn.XLOOKUP(Logfile_S[[#This Row],[Material Name]],Sum_WH!E:E,Sum_WH!F:F,"",0)</f>
        <v>Pcs</v>
      </c>
      <c r="N467" s="221">
        <v>50</v>
      </c>
      <c r="O467" s="221" t="s">
        <v>222</v>
      </c>
      <c r="P467" s="221" t="s">
        <v>223</v>
      </c>
      <c r="Q467" s="221"/>
      <c r="R467" s="221"/>
      <c r="S467" s="221"/>
      <c r="T467" s="221" t="s">
        <v>3322</v>
      </c>
      <c r="U467" s="221" t="s">
        <v>3323</v>
      </c>
      <c r="V467" s="221" t="s">
        <v>3324</v>
      </c>
      <c r="W467" s="221" t="s">
        <v>3325</v>
      </c>
      <c r="X467" s="221"/>
      <c r="Y467" s="227"/>
      <c r="Z467" s="227" t="str">
        <f>P467</f>
        <v>Puncak Dieng Exlusif</v>
      </c>
      <c r="AA467" s="276" t="e">
        <f>VLOOKUP(Logfile_S[[#This Row],[DO number]],DO_DB!G:I,3,0)</f>
        <v>#N/A</v>
      </c>
      <c r="AB467" s="331" t="e">
        <f>EXACT(Logfile_S[[#This Row],[date pick]],Logfile_S[[#This Row],[Date]])</f>
        <v>#N/A</v>
      </c>
      <c r="AC4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68" spans="1:29" ht="14.5">
      <c r="A468" s="220" t="str">
        <f>TEXT(ROW(A468)-ROW($A$4),"000")</f>
        <v>464</v>
      </c>
      <c r="B468" s="221"/>
      <c r="C468" s="221" t="s">
        <v>48</v>
      </c>
      <c r="D468" s="221" t="s">
        <v>3727</v>
      </c>
      <c r="E468" s="221" t="s">
        <v>3295</v>
      </c>
      <c r="F468" s="221" t="s">
        <v>3299</v>
      </c>
      <c r="G468" s="222">
        <v>45195</v>
      </c>
      <c r="H468" s="223">
        <v>15.291666666666666</v>
      </c>
      <c r="I468" s="221" t="s">
        <v>37</v>
      </c>
      <c r="J468" s="221" t="s">
        <v>3023</v>
      </c>
      <c r="K468" s="224" t="s">
        <v>13</v>
      </c>
      <c r="L468" s="225" t="str">
        <f>VLOOKUP(Logfile_S[[#This Row],[Material Name]],Sheet2!B:C,2,0)</f>
        <v>ZTE2008</v>
      </c>
      <c r="M468" s="225" t="str">
        <f>_xlfn.XLOOKUP(Logfile_S[[#This Row],[Material Name]],Sum_WH!E:E,Sum_WH!F:F,"",0)</f>
        <v>Pcs</v>
      </c>
      <c r="N468" s="221">
        <v>7</v>
      </c>
      <c r="O468" s="221" t="s">
        <v>222</v>
      </c>
      <c r="P468" s="221" t="s">
        <v>223</v>
      </c>
      <c r="Q468" s="221" t="s">
        <v>240</v>
      </c>
      <c r="R468" s="221" t="s">
        <v>241</v>
      </c>
      <c r="S468" s="221"/>
      <c r="T468" s="221"/>
      <c r="U468" s="221"/>
      <c r="V468" s="221"/>
      <c r="W468" s="221"/>
      <c r="X468" s="221"/>
      <c r="Y468" s="227"/>
      <c r="Z468" s="227" t="str">
        <f>P468</f>
        <v>Puncak Dieng Exlusif</v>
      </c>
      <c r="AA468" s="276">
        <f>VLOOKUP(Logfile_S[[#This Row],[DO number]],DO_DB!G:I,3,0)</f>
        <v>45195</v>
      </c>
      <c r="AB468" s="331" t="b">
        <f>EXACT(Logfile_S[[#This Row],[date pick]],Logfile_S[[#This Row],[Date]])</f>
        <v>1</v>
      </c>
      <c r="AC4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69" spans="1:29" ht="14.5">
      <c r="A469" s="220" t="str">
        <f>TEXT(ROW(A469)-ROW($A$4),"000")</f>
        <v>465</v>
      </c>
      <c r="B469" s="221"/>
      <c r="C469" s="221" t="s">
        <v>48</v>
      </c>
      <c r="D469" s="221" t="s">
        <v>3727</v>
      </c>
      <c r="E469" s="221" t="s">
        <v>3295</v>
      </c>
      <c r="F469" s="221" t="s">
        <v>3299</v>
      </c>
      <c r="G469" s="222">
        <v>45195</v>
      </c>
      <c r="H469" s="223">
        <v>15.291666666666666</v>
      </c>
      <c r="I469" s="221" t="s">
        <v>37</v>
      </c>
      <c r="J469" s="221" t="s">
        <v>3023</v>
      </c>
      <c r="K469" s="224" t="s">
        <v>14</v>
      </c>
      <c r="L469" s="225" t="str">
        <f>VLOOKUP(Logfile_S[[#This Row],[Material Name]],Sheet2!B:C,2,0)</f>
        <v>ZTE2005</v>
      </c>
      <c r="M469" s="225" t="str">
        <f>_xlfn.XLOOKUP(Logfile_S[[#This Row],[Material Name]],Sum_WH!E:E,Sum_WH!F:F,"",0)</f>
        <v>Pcs</v>
      </c>
      <c r="N469" s="221">
        <v>1</v>
      </c>
      <c r="O469" s="221" t="s">
        <v>222</v>
      </c>
      <c r="P469" s="221" t="s">
        <v>223</v>
      </c>
      <c r="Q469" s="221" t="s">
        <v>238</v>
      </c>
      <c r="R469" s="221" t="s">
        <v>239</v>
      </c>
      <c r="S469" s="221"/>
      <c r="T469" s="221"/>
      <c r="U469" s="221"/>
      <c r="V469" s="221"/>
      <c r="W469" s="221"/>
      <c r="X469" s="221"/>
      <c r="Y469" s="227"/>
      <c r="Z469" s="227" t="str">
        <f>P469</f>
        <v>Puncak Dieng Exlusif</v>
      </c>
      <c r="AA469" s="276">
        <f>VLOOKUP(Logfile_S[[#This Row],[DO number]],DO_DB!G:I,3,0)</f>
        <v>45195</v>
      </c>
      <c r="AB469" s="331" t="b">
        <f>EXACT(Logfile_S[[#This Row],[date pick]],Logfile_S[[#This Row],[Date]])</f>
        <v>1</v>
      </c>
      <c r="AC4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70" spans="1:29" ht="14.5">
      <c r="A470" s="220" t="str">
        <f>TEXT(ROW(A470)-ROW($A$4),"000")</f>
        <v>466</v>
      </c>
      <c r="B470" s="221"/>
      <c r="C470" s="221" t="s">
        <v>49</v>
      </c>
      <c r="D470" s="221" t="s">
        <v>3725</v>
      </c>
      <c r="E470" s="221" t="s">
        <v>3295</v>
      </c>
      <c r="F470" s="221" t="s">
        <v>3299</v>
      </c>
      <c r="G470" s="222">
        <v>45195</v>
      </c>
      <c r="H470" s="223">
        <v>0.27083333333333331</v>
      </c>
      <c r="I470" s="221" t="s">
        <v>4916</v>
      </c>
      <c r="J470" s="221" t="s">
        <v>3023</v>
      </c>
      <c r="K470" s="224" t="s">
        <v>3211</v>
      </c>
      <c r="L470" s="225" t="str">
        <f>VLOOKUP(Logfile_S[[#This Row],[Material Name]],Sheet2!B:C,2,0)</f>
        <v>ZTE1002</v>
      </c>
      <c r="M470" s="225" t="str">
        <f>_xlfn.XLOOKUP(Logfile_S[[#This Row],[Material Name]],Sum_WH!E:E,Sum_WH!F:F,"",0)</f>
        <v>Pcs</v>
      </c>
      <c r="N470" s="221">
        <v>1</v>
      </c>
      <c r="O470" s="221" t="s">
        <v>222</v>
      </c>
      <c r="P470" s="221" t="s">
        <v>223</v>
      </c>
      <c r="Q470" s="221"/>
      <c r="R470" s="221"/>
      <c r="S470" s="221"/>
      <c r="T470" s="221" t="s">
        <v>3322</v>
      </c>
      <c r="U470" s="221" t="s">
        <v>3323</v>
      </c>
      <c r="V470" s="221" t="s">
        <v>3324</v>
      </c>
      <c r="W470" s="221" t="s">
        <v>3325</v>
      </c>
      <c r="X470" s="221"/>
      <c r="Y470" s="227"/>
      <c r="Z470" s="227" t="str">
        <f>P470</f>
        <v>Puncak Dieng Exlusif</v>
      </c>
      <c r="AA470" s="276" t="e">
        <f>VLOOKUP(Logfile_S[[#This Row],[DO number]],DO_DB!G:I,3,0)</f>
        <v>#N/A</v>
      </c>
      <c r="AB470" s="331" t="e">
        <f>EXACT(Logfile_S[[#This Row],[date pick]],Logfile_S[[#This Row],[Date]])</f>
        <v>#N/A</v>
      </c>
      <c r="AC4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71" spans="1:29" ht="14.5">
      <c r="A471" s="220" t="str">
        <f>TEXT(ROW(A471)-ROW($A$4),"000")</f>
        <v>467</v>
      </c>
      <c r="B471" s="221"/>
      <c r="C471" s="221" t="s">
        <v>49</v>
      </c>
      <c r="D471" s="221" t="s">
        <v>3725</v>
      </c>
      <c r="E471" s="221" t="s">
        <v>3295</v>
      </c>
      <c r="F471" s="221" t="s">
        <v>3299</v>
      </c>
      <c r="G471" s="222">
        <v>45195</v>
      </c>
      <c r="H471" s="223">
        <v>0.27083333333333331</v>
      </c>
      <c r="I471" s="221" t="s">
        <v>4916</v>
      </c>
      <c r="J471" s="221" t="s">
        <v>3023</v>
      </c>
      <c r="K471" s="224" t="s">
        <v>3227</v>
      </c>
      <c r="L471" s="225" t="str">
        <f>VLOOKUP(Logfile_S[[#This Row],[Material Name]],Sheet2!B:C,2,0)</f>
        <v>ZTE1001</v>
      </c>
      <c r="M471" s="225" t="str">
        <f>_xlfn.XLOOKUP(Logfile_S[[#This Row],[Material Name]],Sum_WH!E:E,Sum_WH!F:F,"",0)</f>
        <v>Pcs</v>
      </c>
      <c r="N471" s="221">
        <v>2</v>
      </c>
      <c r="O471" s="221" t="s">
        <v>222</v>
      </c>
      <c r="P471" s="221" t="s">
        <v>223</v>
      </c>
      <c r="Q471" s="221"/>
      <c r="R471" s="221"/>
      <c r="S471" s="221"/>
      <c r="T471" s="221" t="s">
        <v>3322</v>
      </c>
      <c r="U471" s="221" t="s">
        <v>3323</v>
      </c>
      <c r="V471" s="221" t="s">
        <v>3324</v>
      </c>
      <c r="W471" s="221" t="s">
        <v>3325</v>
      </c>
      <c r="X471" s="221"/>
      <c r="Y471" s="227"/>
      <c r="Z471" s="227" t="str">
        <f>P471</f>
        <v>Puncak Dieng Exlusif</v>
      </c>
      <c r="AA471" s="276" t="e">
        <f>VLOOKUP(Logfile_S[[#This Row],[DO number]],DO_DB!G:I,3,0)</f>
        <v>#N/A</v>
      </c>
      <c r="AB471" s="331" t="e">
        <f>EXACT(Logfile_S[[#This Row],[date pick]],Logfile_S[[#This Row],[Date]])</f>
        <v>#N/A</v>
      </c>
      <c r="AC4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72" spans="1:29" ht="14.5">
      <c r="A472" s="220" t="str">
        <f>TEXT(ROW(A472)-ROW($A$4),"000")</f>
        <v>468</v>
      </c>
      <c r="B472" s="221"/>
      <c r="C472" s="221" t="s">
        <v>49</v>
      </c>
      <c r="D472" s="221" t="s">
        <v>3725</v>
      </c>
      <c r="E472" s="221" t="s">
        <v>3295</v>
      </c>
      <c r="F472" s="221" t="s">
        <v>3299</v>
      </c>
      <c r="G472" s="222">
        <v>45195</v>
      </c>
      <c r="H472" s="223">
        <v>0.27083333333333331</v>
      </c>
      <c r="I472" s="221" t="s">
        <v>4916</v>
      </c>
      <c r="J472" s="221" t="s">
        <v>3023</v>
      </c>
      <c r="K472" s="224" t="s">
        <v>3071</v>
      </c>
      <c r="L472" s="225" t="str">
        <f>VLOOKUP(Logfile_S[[#This Row],[Material Name]],Sheet2!B:C,2,0)</f>
        <v>ZTE1003</v>
      </c>
      <c r="M472" s="225" t="str">
        <f>_xlfn.XLOOKUP(Logfile_S[[#This Row],[Material Name]],Sum_WH!E:E,Sum_WH!F:F,"",0)</f>
        <v>Pcs</v>
      </c>
      <c r="N472" s="221">
        <v>4</v>
      </c>
      <c r="O472" s="221" t="s">
        <v>222</v>
      </c>
      <c r="P472" s="221" t="s">
        <v>223</v>
      </c>
      <c r="Q472" s="221"/>
      <c r="R472" s="221"/>
      <c r="S472" s="221"/>
      <c r="T472" s="221" t="s">
        <v>3322</v>
      </c>
      <c r="U472" s="221" t="s">
        <v>3323</v>
      </c>
      <c r="V472" s="221" t="s">
        <v>3324</v>
      </c>
      <c r="W472" s="221" t="s">
        <v>3325</v>
      </c>
      <c r="X472" s="221"/>
      <c r="Y472" s="227"/>
      <c r="Z472" s="227" t="str">
        <f>P472</f>
        <v>Puncak Dieng Exlusif</v>
      </c>
      <c r="AA472" s="276" t="e">
        <f>VLOOKUP(Logfile_S[[#This Row],[DO number]],DO_DB!G:I,3,0)</f>
        <v>#N/A</v>
      </c>
      <c r="AB472" s="331" t="e">
        <f>EXACT(Logfile_S[[#This Row],[date pick]],Logfile_S[[#This Row],[Date]])</f>
        <v>#N/A</v>
      </c>
      <c r="AC4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73" spans="1:29" ht="14.5">
      <c r="A473" s="220" t="str">
        <f>TEXT(ROW(A473)-ROW($A$4),"000")</f>
        <v>469</v>
      </c>
      <c r="B473" s="221"/>
      <c r="C473" s="221" t="s">
        <v>49</v>
      </c>
      <c r="D473" s="221" t="s">
        <v>3725</v>
      </c>
      <c r="E473" s="221" t="s">
        <v>3295</v>
      </c>
      <c r="F473" s="221" t="s">
        <v>3299</v>
      </c>
      <c r="G473" s="222">
        <v>45195</v>
      </c>
      <c r="H473" s="223">
        <v>0.27083333333333331</v>
      </c>
      <c r="I473" s="221" t="s">
        <v>4916</v>
      </c>
      <c r="J473" s="221" t="s">
        <v>3024</v>
      </c>
      <c r="K473" s="224" t="s">
        <v>3094</v>
      </c>
      <c r="L473" s="225" t="str">
        <f>VLOOKUP(Logfile_S[[#This Row],[Material Name]],Sheet2!B:C,2,0)</f>
        <v>GCI1008</v>
      </c>
      <c r="M473" s="225" t="str">
        <f>_xlfn.XLOOKUP(Logfile_S[[#This Row],[Material Name]],Sum_WH!E:E,Sum_WH!F:F,"",0)</f>
        <v>Pcs</v>
      </c>
      <c r="N473" s="221">
        <v>30</v>
      </c>
      <c r="O473" s="221" t="s">
        <v>222</v>
      </c>
      <c r="P473" s="221" t="s">
        <v>223</v>
      </c>
      <c r="Q473" s="221"/>
      <c r="R473" s="221"/>
      <c r="S473" s="221"/>
      <c r="T473" s="221" t="s">
        <v>3322</v>
      </c>
      <c r="U473" s="221" t="s">
        <v>3323</v>
      </c>
      <c r="V473" s="221" t="s">
        <v>3324</v>
      </c>
      <c r="W473" s="221" t="s">
        <v>3325</v>
      </c>
      <c r="X473" s="221"/>
      <c r="Y473" s="227"/>
      <c r="Z473" s="227" t="str">
        <f>P473</f>
        <v>Puncak Dieng Exlusif</v>
      </c>
      <c r="AA473" s="276" t="e">
        <f>VLOOKUP(Logfile_S[[#This Row],[DO number]],DO_DB!G:I,3,0)</f>
        <v>#N/A</v>
      </c>
      <c r="AB473" s="331" t="e">
        <f>EXACT(Logfile_S[[#This Row],[date pick]],Logfile_S[[#This Row],[Date]])</f>
        <v>#N/A</v>
      </c>
      <c r="AC4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74" spans="1:29" ht="14.5">
      <c r="A474" s="220" t="str">
        <f>TEXT(ROW(A474)-ROW($A$4),"000")</f>
        <v>470</v>
      </c>
      <c r="B474" s="221"/>
      <c r="C474" s="221" t="s">
        <v>49</v>
      </c>
      <c r="D474" s="221" t="s">
        <v>3725</v>
      </c>
      <c r="E474" s="221" t="s">
        <v>3295</v>
      </c>
      <c r="F474" s="221" t="s">
        <v>3299</v>
      </c>
      <c r="G474" s="222">
        <v>45195</v>
      </c>
      <c r="H474" s="223">
        <v>0.27083333333333331</v>
      </c>
      <c r="I474" s="221" t="s">
        <v>4916</v>
      </c>
      <c r="J474" s="221" t="s">
        <v>3024</v>
      </c>
      <c r="K474" s="224" t="s">
        <v>3092</v>
      </c>
      <c r="L474" s="225" t="str">
        <f>VLOOKUP(Logfile_S[[#This Row],[Material Name]],Sheet2!B:C,2,0)</f>
        <v>GCI1006</v>
      </c>
      <c r="M474" s="225" t="str">
        <f>_xlfn.XLOOKUP(Logfile_S[[#This Row],[Material Name]],Sum_WH!E:E,Sum_WH!F:F,"",0)</f>
        <v>Pcs</v>
      </c>
      <c r="N474" s="221">
        <v>50</v>
      </c>
      <c r="O474" s="221" t="s">
        <v>222</v>
      </c>
      <c r="P474" s="221" t="s">
        <v>223</v>
      </c>
      <c r="Q474" s="221"/>
      <c r="R474" s="221"/>
      <c r="S474" s="221"/>
      <c r="T474" s="221" t="s">
        <v>3322</v>
      </c>
      <c r="U474" s="221" t="s">
        <v>3323</v>
      </c>
      <c r="V474" s="221" t="s">
        <v>3324</v>
      </c>
      <c r="W474" s="221" t="s">
        <v>3325</v>
      </c>
      <c r="X474" s="221"/>
      <c r="Y474" s="227"/>
      <c r="Z474" s="227" t="str">
        <f>P474</f>
        <v>Puncak Dieng Exlusif</v>
      </c>
      <c r="AA474" s="276" t="e">
        <f>VLOOKUP(Logfile_S[[#This Row],[DO number]],DO_DB!G:I,3,0)</f>
        <v>#N/A</v>
      </c>
      <c r="AB474" s="331" t="e">
        <f>EXACT(Logfile_S[[#This Row],[date pick]],Logfile_S[[#This Row],[Date]])</f>
        <v>#N/A</v>
      </c>
      <c r="AC4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75" spans="1:29" ht="14.5">
      <c r="A475" s="220" t="str">
        <f>TEXT(ROW(A475)-ROW($A$4),"000")</f>
        <v>471</v>
      </c>
      <c r="B475" s="221"/>
      <c r="C475" s="221" t="s">
        <v>49</v>
      </c>
      <c r="D475" s="221" t="s">
        <v>3725</v>
      </c>
      <c r="E475" s="221" t="s">
        <v>3295</v>
      </c>
      <c r="F475" s="221" t="s">
        <v>3299</v>
      </c>
      <c r="G475" s="222">
        <v>45195</v>
      </c>
      <c r="H475" s="223">
        <v>0.27083333333333331</v>
      </c>
      <c r="I475" s="221" t="s">
        <v>4916</v>
      </c>
      <c r="J475" s="221" t="s">
        <v>3024</v>
      </c>
      <c r="K475" s="224" t="s">
        <v>3090</v>
      </c>
      <c r="L475" s="225" t="str">
        <f>VLOOKUP(Logfile_S[[#This Row],[Material Name]],Sheet2!B:C,2,0)</f>
        <v>GCI1004</v>
      </c>
      <c r="M475" s="225" t="str">
        <f>_xlfn.XLOOKUP(Logfile_S[[#This Row],[Material Name]],Sum_WH!E:E,Sum_WH!F:F,"",0)</f>
        <v>Pcs</v>
      </c>
      <c r="N475" s="221">
        <v>16</v>
      </c>
      <c r="O475" s="221" t="s">
        <v>222</v>
      </c>
      <c r="P475" s="221" t="s">
        <v>223</v>
      </c>
      <c r="Q475" s="221"/>
      <c r="R475" s="221"/>
      <c r="S475" s="221"/>
      <c r="T475" s="221" t="s">
        <v>3322</v>
      </c>
      <c r="U475" s="221" t="s">
        <v>3323</v>
      </c>
      <c r="V475" s="221" t="s">
        <v>3324</v>
      </c>
      <c r="W475" s="221" t="s">
        <v>3325</v>
      </c>
      <c r="X475" s="221"/>
      <c r="Y475" s="227"/>
      <c r="Z475" s="227" t="str">
        <f>P475</f>
        <v>Puncak Dieng Exlusif</v>
      </c>
      <c r="AA475" s="276" t="e">
        <f>VLOOKUP(Logfile_S[[#This Row],[DO number]],DO_DB!G:I,3,0)</f>
        <v>#N/A</v>
      </c>
      <c r="AB475" s="331" t="e">
        <f>EXACT(Logfile_S[[#This Row],[date pick]],Logfile_S[[#This Row],[Date]])</f>
        <v>#N/A</v>
      </c>
      <c r="AC4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76" spans="1:29" ht="14.5">
      <c r="A476" s="220" t="str">
        <f>TEXT(ROW(A476)-ROW($A$4),"000")</f>
        <v>472</v>
      </c>
      <c r="B476" s="221"/>
      <c r="C476" s="221" t="s">
        <v>49</v>
      </c>
      <c r="D476" s="221" t="s">
        <v>3728</v>
      </c>
      <c r="E476" s="221" t="s">
        <v>3295</v>
      </c>
      <c r="F476" s="221" t="s">
        <v>3299</v>
      </c>
      <c r="G476" s="222">
        <v>45196</v>
      </c>
      <c r="H476" s="223">
        <v>0.27569444444444446</v>
      </c>
      <c r="I476" s="221" t="s">
        <v>4916</v>
      </c>
      <c r="J476" s="221" t="s">
        <v>3023</v>
      </c>
      <c r="K476" s="224" t="s">
        <v>3075</v>
      </c>
      <c r="L476" s="225" t="str">
        <f>VLOOKUP(Logfile_S[[#This Row],[Material Name]],Sheet2!B:C,2,0)</f>
        <v>ZTE2003</v>
      </c>
      <c r="M476" s="225" t="str">
        <f>_xlfn.XLOOKUP(Logfile_S[[#This Row],[Material Name]],Sum_WH!E:E,Sum_WH!F:F,"",0)</f>
        <v>Meter</v>
      </c>
      <c r="N476" s="221">
        <v>3000</v>
      </c>
      <c r="O476" s="221" t="s">
        <v>222</v>
      </c>
      <c r="P476" s="221" t="s">
        <v>223</v>
      </c>
      <c r="Q476" s="221"/>
      <c r="R476" s="221"/>
      <c r="S476" s="221"/>
      <c r="T476" s="221" t="s">
        <v>3522</v>
      </c>
      <c r="U476" s="221" t="s">
        <v>3323</v>
      </c>
      <c r="V476" s="221" t="s">
        <v>3324</v>
      </c>
      <c r="W476" s="221" t="s">
        <v>3386</v>
      </c>
      <c r="X476" s="221"/>
      <c r="Y476" s="227" t="s">
        <v>5052</v>
      </c>
      <c r="Z476" s="227" t="str">
        <f>P476</f>
        <v>Puncak Dieng Exlusif</v>
      </c>
      <c r="AA476" s="276" t="e">
        <f>VLOOKUP(Logfile_S[[#This Row],[DO number]],DO_DB!G:I,3,0)</f>
        <v>#N/A</v>
      </c>
      <c r="AB476" s="331" t="e">
        <f>EXACT(Logfile_S[[#This Row],[date pick]],Logfile_S[[#This Row],[Date]])</f>
        <v>#N/A</v>
      </c>
      <c r="AC4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48C-2023926-01</v>
      </c>
    </row>
    <row r="477" spans="1:29" ht="14.5">
      <c r="A477" s="220" t="str">
        <f>TEXT(ROW(A477)-ROW($A$4),"000")</f>
        <v>473</v>
      </c>
      <c r="B477" s="221"/>
      <c r="C477" s="221" t="s">
        <v>49</v>
      </c>
      <c r="D477" s="221" t="s">
        <v>3729</v>
      </c>
      <c r="E477" s="221" t="s">
        <v>3295</v>
      </c>
      <c r="F477" s="221" t="s">
        <v>3299</v>
      </c>
      <c r="G477" s="222">
        <v>45196</v>
      </c>
      <c r="H477" s="223">
        <v>0.47222222222222227</v>
      </c>
      <c r="I477" s="221" t="s">
        <v>4916</v>
      </c>
      <c r="J477" s="221" t="s">
        <v>3023</v>
      </c>
      <c r="K477" s="224" t="s">
        <v>13</v>
      </c>
      <c r="L477" s="225" t="str">
        <f>VLOOKUP(Logfile_S[[#This Row],[Material Name]],Sheet2!B:C,2,0)</f>
        <v>ZTE2008</v>
      </c>
      <c r="M477" s="225" t="str">
        <f>_xlfn.XLOOKUP(Logfile_S[[#This Row],[Material Name]],Sum_WH!E:E,Sum_WH!F:F,"",0)</f>
        <v>Pcs</v>
      </c>
      <c r="N477" s="221">
        <v>35</v>
      </c>
      <c r="O477" s="221" t="s">
        <v>222</v>
      </c>
      <c r="P477" s="221" t="s">
        <v>223</v>
      </c>
      <c r="Q477" s="221"/>
      <c r="R477" s="221"/>
      <c r="S477" s="221"/>
      <c r="T477" s="221" t="s">
        <v>3322</v>
      </c>
      <c r="U477" s="221" t="s">
        <v>3323</v>
      </c>
      <c r="V477" s="221" t="s">
        <v>3324</v>
      </c>
      <c r="W477" s="221" t="s">
        <v>3349</v>
      </c>
      <c r="X477" s="221"/>
      <c r="Y477" s="227"/>
      <c r="Z477" s="227" t="str">
        <f>P477</f>
        <v>Puncak Dieng Exlusif</v>
      </c>
      <c r="AA477" s="276" t="e">
        <f>VLOOKUP(Logfile_S[[#This Row],[DO number]],DO_DB!G:I,3,0)</f>
        <v>#N/A</v>
      </c>
      <c r="AB477" s="331" t="e">
        <f>EXACT(Logfile_S[[#This Row],[date pick]],Logfile_S[[#This Row],[Date]])</f>
        <v>#N/A</v>
      </c>
      <c r="AC4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78" spans="1:29" ht="14.5">
      <c r="A478" s="220" t="str">
        <f>TEXT(ROW(A478)-ROW($A$4),"000")</f>
        <v>474</v>
      </c>
      <c r="B478" s="221"/>
      <c r="C478" s="221" t="s">
        <v>49</v>
      </c>
      <c r="D478" s="221" t="s">
        <v>3729</v>
      </c>
      <c r="E478" s="221" t="s">
        <v>3295</v>
      </c>
      <c r="F478" s="221" t="s">
        <v>3299</v>
      </c>
      <c r="G478" s="222">
        <v>45196</v>
      </c>
      <c r="H478" s="223">
        <v>0.47222222222222227</v>
      </c>
      <c r="I478" s="221" t="s">
        <v>4916</v>
      </c>
      <c r="J478" s="221" t="s">
        <v>3023</v>
      </c>
      <c r="K478" s="224" t="s">
        <v>14</v>
      </c>
      <c r="L478" s="225" t="str">
        <f>VLOOKUP(Logfile_S[[#This Row],[Material Name]],Sheet2!B:C,2,0)</f>
        <v>ZTE2005</v>
      </c>
      <c r="M478" s="225" t="str">
        <f>_xlfn.XLOOKUP(Logfile_S[[#This Row],[Material Name]],Sum_WH!E:E,Sum_WH!F:F,"",0)</f>
        <v>Pcs</v>
      </c>
      <c r="N478" s="221">
        <v>2</v>
      </c>
      <c r="O478" s="221" t="s">
        <v>222</v>
      </c>
      <c r="P478" s="221" t="s">
        <v>223</v>
      </c>
      <c r="Q478" s="221"/>
      <c r="R478" s="221"/>
      <c r="S478" s="221"/>
      <c r="T478" s="221" t="s">
        <v>3322</v>
      </c>
      <c r="U478" s="221" t="s">
        <v>3323</v>
      </c>
      <c r="V478" s="221" t="s">
        <v>3324</v>
      </c>
      <c r="W478" s="221" t="s">
        <v>3349</v>
      </c>
      <c r="X478" s="221"/>
      <c r="Y478" s="227"/>
      <c r="Z478" s="227" t="str">
        <f>P478</f>
        <v>Puncak Dieng Exlusif</v>
      </c>
      <c r="AA478" s="276" t="e">
        <f>VLOOKUP(Logfile_S[[#This Row],[DO number]],DO_DB!G:I,3,0)</f>
        <v>#N/A</v>
      </c>
      <c r="AB478" s="331" t="e">
        <f>EXACT(Logfile_S[[#This Row],[date pick]],Logfile_S[[#This Row],[Date]])</f>
        <v>#N/A</v>
      </c>
      <c r="AC4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79" spans="1:29" ht="14.5">
      <c r="A479" s="220" t="str">
        <f>TEXT(ROW(A479)-ROW($A$4),"000")</f>
        <v>475</v>
      </c>
      <c r="B479" s="221"/>
      <c r="C479" s="221" t="s">
        <v>49</v>
      </c>
      <c r="D479" s="221" t="s">
        <v>3728</v>
      </c>
      <c r="E479" s="221" t="s">
        <v>3295</v>
      </c>
      <c r="F479" s="221" t="s">
        <v>3299</v>
      </c>
      <c r="G479" s="222">
        <v>45196</v>
      </c>
      <c r="H479" s="223">
        <v>0.27569444444444446</v>
      </c>
      <c r="I479" s="221" t="s">
        <v>4916</v>
      </c>
      <c r="J479" s="221" t="s">
        <v>3023</v>
      </c>
      <c r="K479" s="224" t="s">
        <v>3069</v>
      </c>
      <c r="L479" s="225" t="str">
        <f>VLOOKUP(Logfile_S[[#This Row],[Material Name]],Sheet2!B:C,2,0)</f>
        <v>ZTE1001</v>
      </c>
      <c r="M479" s="225" t="str">
        <f>_xlfn.XLOOKUP(Logfile_S[[#This Row],[Material Name]],Sum_WH!E:E,Sum_WH!F:F,"",0)</f>
        <v>Pcs</v>
      </c>
      <c r="N479" s="221">
        <v>4</v>
      </c>
      <c r="O479" s="221" t="s">
        <v>222</v>
      </c>
      <c r="P479" s="221" t="s">
        <v>223</v>
      </c>
      <c r="Q479" s="221"/>
      <c r="R479" s="221"/>
      <c r="S479" s="221"/>
      <c r="T479" s="221" t="s">
        <v>3522</v>
      </c>
      <c r="U479" s="221" t="s">
        <v>3323</v>
      </c>
      <c r="V479" s="221" t="s">
        <v>3324</v>
      </c>
      <c r="W479" s="221" t="s">
        <v>3386</v>
      </c>
      <c r="X479" s="221"/>
      <c r="Y479" s="227"/>
      <c r="Z479" s="227" t="str">
        <f>P479</f>
        <v>Puncak Dieng Exlusif</v>
      </c>
      <c r="AA479" s="276" t="e">
        <f>VLOOKUP(Logfile_S[[#This Row],[DO number]],DO_DB!G:I,3,0)</f>
        <v>#N/A</v>
      </c>
      <c r="AB479" s="331" t="e">
        <f>EXACT(Logfile_S[[#This Row],[date pick]],Logfile_S[[#This Row],[Date]])</f>
        <v>#N/A</v>
      </c>
      <c r="AC4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80" spans="1:29" ht="14.5">
      <c r="A480" s="220" t="str">
        <f>TEXT(ROW(A480)-ROW($A$4),"000")</f>
        <v>476</v>
      </c>
      <c r="B480" s="221"/>
      <c r="C480" s="221" t="s">
        <v>49</v>
      </c>
      <c r="D480" s="221" t="s">
        <v>3728</v>
      </c>
      <c r="E480" s="221" t="s">
        <v>3295</v>
      </c>
      <c r="F480" s="221" t="s">
        <v>3299</v>
      </c>
      <c r="G480" s="222">
        <v>45196</v>
      </c>
      <c r="H480" s="223">
        <v>0.27569444444444446</v>
      </c>
      <c r="I480" s="221" t="s">
        <v>4916</v>
      </c>
      <c r="J480" s="221" t="s">
        <v>3023</v>
      </c>
      <c r="K480" s="224" t="s">
        <v>3071</v>
      </c>
      <c r="L480" s="225" t="str">
        <f>VLOOKUP(Logfile_S[[#This Row],[Material Name]],Sheet2!B:C,2,0)</f>
        <v>ZTE1003</v>
      </c>
      <c r="M480" s="225" t="str">
        <f>_xlfn.XLOOKUP(Logfile_S[[#This Row],[Material Name]],Sum_WH!E:E,Sum_WH!F:F,"",0)</f>
        <v>Pcs</v>
      </c>
      <c r="N480" s="221">
        <v>2</v>
      </c>
      <c r="O480" s="221" t="s">
        <v>222</v>
      </c>
      <c r="P480" s="221" t="s">
        <v>223</v>
      </c>
      <c r="Q480" s="221"/>
      <c r="R480" s="221"/>
      <c r="S480" s="221"/>
      <c r="T480" s="221" t="s">
        <v>3522</v>
      </c>
      <c r="U480" s="221" t="s">
        <v>3323</v>
      </c>
      <c r="V480" s="221" t="s">
        <v>3324</v>
      </c>
      <c r="W480" s="221" t="s">
        <v>3386</v>
      </c>
      <c r="X480" s="221"/>
      <c r="Y480" s="227"/>
      <c r="Z480" s="227" t="str">
        <f>P480</f>
        <v>Puncak Dieng Exlusif</v>
      </c>
      <c r="AA480" s="276" t="e">
        <f>VLOOKUP(Logfile_S[[#This Row],[DO number]],DO_DB!G:I,3,0)</f>
        <v>#N/A</v>
      </c>
      <c r="AB480" s="331" t="e">
        <f>EXACT(Logfile_S[[#This Row],[date pick]],Logfile_S[[#This Row],[Date]])</f>
        <v>#N/A</v>
      </c>
      <c r="AC4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81" spans="1:29" ht="14.5">
      <c r="A481" s="220" t="str">
        <f>TEXT(ROW(A481)-ROW($A$4),"000")</f>
        <v>477</v>
      </c>
      <c r="B481" s="221"/>
      <c r="C481" s="221" t="s">
        <v>49</v>
      </c>
      <c r="D481" s="221" t="s">
        <v>3733</v>
      </c>
      <c r="E481" s="221" t="s">
        <v>3295</v>
      </c>
      <c r="F481" s="221" t="s">
        <v>3299</v>
      </c>
      <c r="G481" s="222">
        <v>45197</v>
      </c>
      <c r="H481" s="223">
        <v>0.9375</v>
      </c>
      <c r="I481" s="221" t="s">
        <v>4916</v>
      </c>
      <c r="J481" s="221" t="s">
        <v>3023</v>
      </c>
      <c r="K481" s="224" t="s">
        <v>3072</v>
      </c>
      <c r="L481" s="225" t="str">
        <f>VLOOKUP(Logfile_S[[#This Row],[Material Name]],Sheet2!B:C,2,0)</f>
        <v>ZTE1004</v>
      </c>
      <c r="M481" s="225" t="str">
        <f>_xlfn.XLOOKUP(Logfile_S[[#This Row],[Material Name]],Sum_WH!E:E,Sum_WH!F:F,"",0)</f>
        <v>Pcs</v>
      </c>
      <c r="N481" s="221">
        <v>2</v>
      </c>
      <c r="O481" s="221" t="s">
        <v>222</v>
      </c>
      <c r="P481" s="221" t="s">
        <v>223</v>
      </c>
      <c r="Q481" s="221"/>
      <c r="R481" s="221"/>
      <c r="S481" s="221"/>
      <c r="T481" s="221" t="s">
        <v>3322</v>
      </c>
      <c r="U481" s="221" t="s">
        <v>3323</v>
      </c>
      <c r="V481" s="221" t="s">
        <v>3324</v>
      </c>
      <c r="W481" s="221" t="s">
        <v>3325</v>
      </c>
      <c r="X481" s="221"/>
      <c r="Y481" s="227"/>
      <c r="Z481" s="227" t="str">
        <f>P481</f>
        <v>Puncak Dieng Exlusif</v>
      </c>
      <c r="AA481" s="276" t="e">
        <f>VLOOKUP(Logfile_S[[#This Row],[DO number]],DO_DB!G:I,3,0)</f>
        <v>#N/A</v>
      </c>
      <c r="AB481" s="331" t="e">
        <f>EXACT(Logfile_S[[#This Row],[date pick]],Logfile_S[[#This Row],[Date]])</f>
        <v>#N/A</v>
      </c>
      <c r="AC4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82" spans="1:29" ht="14.5">
      <c r="A482" s="220" t="str">
        <f>TEXT(ROW(A482)-ROW($A$4),"000")</f>
        <v>478</v>
      </c>
      <c r="B482" s="221"/>
      <c r="C482" s="221" t="s">
        <v>49</v>
      </c>
      <c r="D482" s="221" t="s">
        <v>3731</v>
      </c>
      <c r="E482" s="221" t="s">
        <v>3295</v>
      </c>
      <c r="F482" s="221" t="s">
        <v>3299</v>
      </c>
      <c r="G482" s="222">
        <v>45197</v>
      </c>
      <c r="H482" s="223">
        <v>0.28958333333333336</v>
      </c>
      <c r="I482" s="221" t="s">
        <v>4916</v>
      </c>
      <c r="J482" s="221" t="s">
        <v>3023</v>
      </c>
      <c r="K482" s="224" t="s">
        <v>3227</v>
      </c>
      <c r="L482" s="225" t="str">
        <f>VLOOKUP(Logfile_S[[#This Row],[Material Name]],Sheet2!B:C,2,0)</f>
        <v>ZTE1001</v>
      </c>
      <c r="M482" s="225" t="str">
        <f>_xlfn.XLOOKUP(Logfile_S[[#This Row],[Material Name]],Sum_WH!E:E,Sum_WH!F:F,"",0)</f>
        <v>Pcs</v>
      </c>
      <c r="N482" s="221">
        <v>9</v>
      </c>
      <c r="O482" s="221" t="s">
        <v>222</v>
      </c>
      <c r="P482" s="221" t="s">
        <v>223</v>
      </c>
      <c r="Q482" s="221"/>
      <c r="R482" s="221"/>
      <c r="S482" s="221"/>
      <c r="T482" s="221" t="s">
        <v>3322</v>
      </c>
      <c r="U482" s="221" t="s">
        <v>3323</v>
      </c>
      <c r="V482" s="221" t="s">
        <v>3324</v>
      </c>
      <c r="W482" s="221" t="s">
        <v>3325</v>
      </c>
      <c r="X482" s="221"/>
      <c r="Y482" s="227"/>
      <c r="Z482" s="227" t="str">
        <f>P482</f>
        <v>Puncak Dieng Exlusif</v>
      </c>
      <c r="AA482" s="276" t="e">
        <f>VLOOKUP(Logfile_S[[#This Row],[DO number]],DO_DB!G:I,3,0)</f>
        <v>#N/A</v>
      </c>
      <c r="AB482" s="331" t="e">
        <f>EXACT(Logfile_S[[#This Row],[date pick]],Logfile_S[[#This Row],[Date]])</f>
        <v>#N/A</v>
      </c>
      <c r="AC4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83" spans="1:29" ht="14.5">
      <c r="A483" s="220" t="str">
        <f>TEXT(ROW(A483)-ROW($A$4),"000")</f>
        <v>479</v>
      </c>
      <c r="B483" s="221"/>
      <c r="C483" s="221" t="s">
        <v>49</v>
      </c>
      <c r="D483" s="221" t="s">
        <v>3732</v>
      </c>
      <c r="E483" s="221" t="s">
        <v>3295</v>
      </c>
      <c r="F483" s="221" t="s">
        <v>3299</v>
      </c>
      <c r="G483" s="222">
        <v>45197</v>
      </c>
      <c r="H483" s="223">
        <v>0.3659722222222222</v>
      </c>
      <c r="I483" s="221" t="s">
        <v>4916</v>
      </c>
      <c r="J483" s="221" t="s">
        <v>3023</v>
      </c>
      <c r="K483" s="224" t="s">
        <v>3227</v>
      </c>
      <c r="L483" s="225" t="str">
        <f>VLOOKUP(Logfile_S[[#This Row],[Material Name]],Sheet2!B:C,2,0)</f>
        <v>ZTE1001</v>
      </c>
      <c r="M483" s="225" t="str">
        <f>_xlfn.XLOOKUP(Logfile_S[[#This Row],[Material Name]],Sum_WH!E:E,Sum_WH!F:F,"",0)</f>
        <v>Pcs</v>
      </c>
      <c r="N483" s="221">
        <v>17</v>
      </c>
      <c r="O483" s="221" t="s">
        <v>222</v>
      </c>
      <c r="P483" s="221" t="s">
        <v>223</v>
      </c>
      <c r="Q483" s="221"/>
      <c r="R483" s="221"/>
      <c r="S483" s="221"/>
      <c r="T483" s="221" t="s">
        <v>3322</v>
      </c>
      <c r="U483" s="221" t="s">
        <v>3323</v>
      </c>
      <c r="V483" s="221" t="s">
        <v>3324</v>
      </c>
      <c r="W483" s="221" t="s">
        <v>3325</v>
      </c>
      <c r="X483" s="221"/>
      <c r="Y483" s="227"/>
      <c r="Z483" s="227" t="str">
        <f>P483</f>
        <v>Puncak Dieng Exlusif</v>
      </c>
      <c r="AA483" s="276" t="e">
        <f>VLOOKUP(Logfile_S[[#This Row],[DO number]],DO_DB!G:I,3,0)</f>
        <v>#N/A</v>
      </c>
      <c r="AB483" s="331" t="e">
        <f>EXACT(Logfile_S[[#This Row],[date pick]],Logfile_S[[#This Row],[Date]])</f>
        <v>#N/A</v>
      </c>
      <c r="AC4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84" spans="1:29" ht="14.5">
      <c r="A484" s="220" t="str">
        <f>TEXT(ROW(A484)-ROW($A$4),"000")</f>
        <v>480</v>
      </c>
      <c r="B484" s="221"/>
      <c r="C484" s="221" t="s">
        <v>49</v>
      </c>
      <c r="D484" s="221" t="s">
        <v>3734</v>
      </c>
      <c r="E484" s="221" t="s">
        <v>3295</v>
      </c>
      <c r="F484" s="221" t="s">
        <v>3299</v>
      </c>
      <c r="G484" s="222">
        <v>45200</v>
      </c>
      <c r="H484" s="223">
        <v>0.27083333333333331</v>
      </c>
      <c r="I484" s="221" t="s">
        <v>4916</v>
      </c>
      <c r="J484" s="221" t="s">
        <v>3023</v>
      </c>
      <c r="K484" s="224" t="s">
        <v>3073</v>
      </c>
      <c r="L484" s="225" t="str">
        <f>VLOOKUP(Logfile_S[[#This Row],[Material Name]],Sheet2!B:C,2,0)</f>
        <v>ZTE2001</v>
      </c>
      <c r="M484" s="225" t="str">
        <f>_xlfn.XLOOKUP(Logfile_S[[#This Row],[Material Name]],Sum_WH!E:E,Sum_WH!F:F,"",0)</f>
        <v>Meter</v>
      </c>
      <c r="N484" s="221">
        <v>3000</v>
      </c>
      <c r="O484" s="221" t="s">
        <v>222</v>
      </c>
      <c r="P484" s="221" t="s">
        <v>223</v>
      </c>
      <c r="Q484" s="221"/>
      <c r="R484" s="221"/>
      <c r="S484" s="221"/>
      <c r="T484" s="221" t="s">
        <v>3322</v>
      </c>
      <c r="U484" s="221" t="s">
        <v>3323</v>
      </c>
      <c r="V484" s="221" t="s">
        <v>3324</v>
      </c>
      <c r="W484" s="221" t="s">
        <v>3386</v>
      </c>
      <c r="X484" s="221" t="s">
        <v>3485</v>
      </c>
      <c r="Y484" s="227" t="s">
        <v>4986</v>
      </c>
      <c r="Z484" s="227" t="str">
        <f>P484</f>
        <v>Puncak Dieng Exlusif</v>
      </c>
      <c r="AA484" s="276" t="e">
        <f>VLOOKUP(Logfile_S[[#This Row],[DO number]],DO_DB!G:I,3,0)</f>
        <v>#N/A</v>
      </c>
      <c r="AB484" s="331" t="e">
        <f>EXACT(Logfile_S[[#This Row],[date pick]],Logfile_S[[#This Row],[Date]])</f>
        <v>#N/A</v>
      </c>
      <c r="AC4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24C-2023926-01</v>
      </c>
    </row>
    <row r="485" spans="1:29" ht="14.5">
      <c r="A485" s="220" t="str">
        <f>TEXT(ROW(A485)-ROW($A$4),"000")</f>
        <v>481</v>
      </c>
      <c r="B485" s="221"/>
      <c r="C485" s="221" t="s">
        <v>49</v>
      </c>
      <c r="D485" s="221" t="s">
        <v>3734</v>
      </c>
      <c r="E485" s="221" t="s">
        <v>3295</v>
      </c>
      <c r="F485" s="221" t="s">
        <v>3299</v>
      </c>
      <c r="G485" s="222">
        <v>45200</v>
      </c>
      <c r="H485" s="223">
        <v>0.27083333333333331</v>
      </c>
      <c r="I485" s="221" t="s">
        <v>4916</v>
      </c>
      <c r="J485" s="221" t="s">
        <v>3024</v>
      </c>
      <c r="K485" s="224" t="s">
        <v>3087</v>
      </c>
      <c r="L485" s="225" t="str">
        <f>VLOOKUP(Logfile_S[[#This Row],[Material Name]],Sheet2!B:C,2,0)</f>
        <v>GCI1001</v>
      </c>
      <c r="M485" s="225" t="str">
        <f>_xlfn.XLOOKUP(Logfile_S[[#This Row],[Material Name]],Sum_WH!E:E,Sum_WH!F:F,"",0)</f>
        <v>Pcs</v>
      </c>
      <c r="N485" s="221">
        <v>20</v>
      </c>
      <c r="O485" s="221" t="s">
        <v>222</v>
      </c>
      <c r="P485" s="221" t="s">
        <v>223</v>
      </c>
      <c r="Q485" s="221"/>
      <c r="R485" s="221"/>
      <c r="S485" s="221"/>
      <c r="T485" s="221" t="s">
        <v>3322</v>
      </c>
      <c r="U485" s="221" t="s">
        <v>3323</v>
      </c>
      <c r="V485" s="221" t="s">
        <v>3324</v>
      </c>
      <c r="W485" s="221" t="s">
        <v>3386</v>
      </c>
      <c r="X485" s="221"/>
      <c r="Y485" s="227"/>
      <c r="Z485" s="227" t="str">
        <f>P485</f>
        <v>Puncak Dieng Exlusif</v>
      </c>
      <c r="AA485" s="276" t="e">
        <f>VLOOKUP(Logfile_S[[#This Row],[DO number]],DO_DB!G:I,3,0)</f>
        <v>#N/A</v>
      </c>
      <c r="AB485" s="331" t="e">
        <f>EXACT(Logfile_S[[#This Row],[date pick]],Logfile_S[[#This Row],[Date]])</f>
        <v>#N/A</v>
      </c>
      <c r="AC4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86" spans="1:29" ht="14.5">
      <c r="A486" s="220" t="str">
        <f>TEXT(ROW(A486)-ROW($A$4),"000")</f>
        <v>482</v>
      </c>
      <c r="B486" s="221"/>
      <c r="C486" s="221" t="s">
        <v>49</v>
      </c>
      <c r="D486" s="221" t="s">
        <v>3734</v>
      </c>
      <c r="E486" s="221" t="s">
        <v>3295</v>
      </c>
      <c r="F486" s="221" t="s">
        <v>3299</v>
      </c>
      <c r="G486" s="222">
        <v>45200</v>
      </c>
      <c r="H486" s="223">
        <v>0.27083333333333331</v>
      </c>
      <c r="I486" s="221" t="s">
        <v>4916</v>
      </c>
      <c r="J486" s="221" t="s">
        <v>3024</v>
      </c>
      <c r="K486" s="224" t="s">
        <v>5137</v>
      </c>
      <c r="L486" s="225" t="str">
        <f>VLOOKUP(Logfile_S[[#This Row],[Material Name]],Sheet2!B:C,2,0)</f>
        <v>GCI1009</v>
      </c>
      <c r="M486" s="225" t="str">
        <f>_xlfn.XLOOKUP(Logfile_S[[#This Row],[Material Name]],Sum_WH!E:E,Sum_WH!F:F,"",0)</f>
        <v>Pcs</v>
      </c>
      <c r="N486" s="221">
        <v>75</v>
      </c>
      <c r="O486" s="221" t="s">
        <v>222</v>
      </c>
      <c r="P486" s="221" t="s">
        <v>223</v>
      </c>
      <c r="Q486" s="221"/>
      <c r="R486" s="221"/>
      <c r="S486" s="221"/>
      <c r="T486" s="221" t="s">
        <v>3322</v>
      </c>
      <c r="U486" s="221" t="s">
        <v>3323</v>
      </c>
      <c r="V486" s="221" t="s">
        <v>3324</v>
      </c>
      <c r="W486" s="221" t="s">
        <v>3386</v>
      </c>
      <c r="X486" s="221"/>
      <c r="Y486" s="227"/>
      <c r="Z486" s="227" t="str">
        <f>P486</f>
        <v>Puncak Dieng Exlusif</v>
      </c>
      <c r="AA486" s="276" t="e">
        <f>VLOOKUP(Logfile_S[[#This Row],[DO number]],DO_DB!G:I,3,0)</f>
        <v>#N/A</v>
      </c>
      <c r="AB486" s="331" t="e">
        <f>EXACT(Logfile_S[[#This Row],[date pick]],Logfile_S[[#This Row],[Date]])</f>
        <v>#N/A</v>
      </c>
      <c r="AC4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87" spans="1:29" ht="14.5">
      <c r="A487" s="220" t="str">
        <f>TEXT(ROW(A487)-ROW($A$4),"000")</f>
        <v>483</v>
      </c>
      <c r="B487" s="221"/>
      <c r="C487" s="221" t="s">
        <v>49</v>
      </c>
      <c r="D487" s="221" t="s">
        <v>3734</v>
      </c>
      <c r="E487" s="221" t="s">
        <v>3295</v>
      </c>
      <c r="F487" s="221" t="s">
        <v>3299</v>
      </c>
      <c r="G487" s="222">
        <v>45200</v>
      </c>
      <c r="H487" s="223">
        <v>0.27083333333333331</v>
      </c>
      <c r="I487" s="221" t="s">
        <v>4916</v>
      </c>
      <c r="J487" s="221" t="s">
        <v>3023</v>
      </c>
      <c r="K487" s="224" t="s">
        <v>3227</v>
      </c>
      <c r="L487" s="225" t="str">
        <f>VLOOKUP(Logfile_S[[#This Row],[Material Name]],Sheet2!B:C,2,0)</f>
        <v>ZTE1001</v>
      </c>
      <c r="M487" s="225" t="str">
        <f>_xlfn.XLOOKUP(Logfile_S[[#This Row],[Material Name]],Sum_WH!E:E,Sum_WH!F:F,"",0)</f>
        <v>Pcs</v>
      </c>
      <c r="N487" s="221">
        <v>17</v>
      </c>
      <c r="O487" s="221" t="s">
        <v>222</v>
      </c>
      <c r="P487" s="221" t="s">
        <v>223</v>
      </c>
      <c r="Q487" s="221"/>
      <c r="R487" s="221"/>
      <c r="S487" s="221"/>
      <c r="T487" s="221" t="s">
        <v>3322</v>
      </c>
      <c r="U487" s="221" t="s">
        <v>3323</v>
      </c>
      <c r="V487" s="221" t="s">
        <v>3324</v>
      </c>
      <c r="W487" s="221" t="s">
        <v>3386</v>
      </c>
      <c r="X487" s="221"/>
      <c r="Y487" s="227"/>
      <c r="Z487" s="227" t="str">
        <f>P487</f>
        <v>Puncak Dieng Exlusif</v>
      </c>
      <c r="AA487" s="276" t="e">
        <f>VLOOKUP(Logfile_S[[#This Row],[DO number]],DO_DB!G:I,3,0)</f>
        <v>#N/A</v>
      </c>
      <c r="AB487" s="331" t="e">
        <f>EXACT(Logfile_S[[#This Row],[date pick]],Logfile_S[[#This Row],[Date]])</f>
        <v>#N/A</v>
      </c>
      <c r="AC4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88" spans="1:29" ht="14.5">
      <c r="A488" s="220" t="str">
        <f>TEXT(ROW(A488)-ROW($A$4),"000")</f>
        <v>484</v>
      </c>
      <c r="B488" s="221"/>
      <c r="C488" s="221" t="s">
        <v>49</v>
      </c>
      <c r="D488" s="221" t="s">
        <v>3734</v>
      </c>
      <c r="E488" s="221" t="s">
        <v>3295</v>
      </c>
      <c r="F488" s="221" t="s">
        <v>3299</v>
      </c>
      <c r="G488" s="222">
        <v>45200</v>
      </c>
      <c r="H488" s="223">
        <v>0.27083333333333331</v>
      </c>
      <c r="I488" s="221" t="s">
        <v>4916</v>
      </c>
      <c r="J488" s="221" t="s">
        <v>3023</v>
      </c>
      <c r="K488" s="224" t="s">
        <v>3071</v>
      </c>
      <c r="L488" s="225" t="str">
        <f>VLOOKUP(Logfile_S[[#This Row],[Material Name]],Sheet2!B:C,2,0)</f>
        <v>ZTE1003</v>
      </c>
      <c r="M488" s="225" t="str">
        <f>_xlfn.XLOOKUP(Logfile_S[[#This Row],[Material Name]],Sum_WH!E:E,Sum_WH!F:F,"",0)</f>
        <v>Pcs</v>
      </c>
      <c r="N488" s="221">
        <v>2</v>
      </c>
      <c r="O488" s="221" t="s">
        <v>222</v>
      </c>
      <c r="P488" s="221" t="s">
        <v>223</v>
      </c>
      <c r="Q488" s="221"/>
      <c r="R488" s="221"/>
      <c r="S488" s="221"/>
      <c r="T488" s="221" t="s">
        <v>3322</v>
      </c>
      <c r="U488" s="221" t="s">
        <v>3323</v>
      </c>
      <c r="V488" s="221" t="s">
        <v>3324</v>
      </c>
      <c r="W488" s="221" t="s">
        <v>3386</v>
      </c>
      <c r="X488" s="221"/>
      <c r="Y488" s="227"/>
      <c r="Z488" s="227" t="str">
        <f>P488</f>
        <v>Puncak Dieng Exlusif</v>
      </c>
      <c r="AA488" s="276" t="e">
        <f>VLOOKUP(Logfile_S[[#This Row],[DO number]],DO_DB!G:I,3,0)</f>
        <v>#N/A</v>
      </c>
      <c r="AB488" s="331" t="e">
        <f>EXACT(Logfile_S[[#This Row],[date pick]],Logfile_S[[#This Row],[Date]])</f>
        <v>#N/A</v>
      </c>
      <c r="AC4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89" spans="1:29" ht="14.5">
      <c r="A489" s="220" t="str">
        <f>TEXT(ROW(A489)-ROW($A$4),"000")</f>
        <v>485</v>
      </c>
      <c r="B489" s="221"/>
      <c r="C489" s="221" t="s">
        <v>49</v>
      </c>
      <c r="D489" s="221" t="s">
        <v>3734</v>
      </c>
      <c r="E489" s="221" t="s">
        <v>3295</v>
      </c>
      <c r="F489" s="221" t="s">
        <v>3299</v>
      </c>
      <c r="G489" s="222">
        <v>45200</v>
      </c>
      <c r="H489" s="223">
        <v>0.27083333333333331</v>
      </c>
      <c r="I489" s="221" t="s">
        <v>4916</v>
      </c>
      <c r="J489" s="221" t="s">
        <v>3024</v>
      </c>
      <c r="K489" s="224" t="s">
        <v>3230</v>
      </c>
      <c r="L489" s="225" t="str">
        <f>VLOOKUP(Logfile_S[[#This Row],[Material Name]],Sheet2!B:C,2,0)</f>
        <v>GCI1008</v>
      </c>
      <c r="M489" s="225" t="str">
        <f>_xlfn.XLOOKUP(Logfile_S[[#This Row],[Material Name]],Sum_WH!E:E,Sum_WH!F:F,"",0)</f>
        <v>Pcs</v>
      </c>
      <c r="N489" s="221">
        <v>40</v>
      </c>
      <c r="O489" s="221" t="s">
        <v>222</v>
      </c>
      <c r="P489" s="221" t="s">
        <v>223</v>
      </c>
      <c r="Q489" s="221"/>
      <c r="R489" s="221"/>
      <c r="S489" s="221"/>
      <c r="T489" s="221" t="s">
        <v>3322</v>
      </c>
      <c r="U489" s="221" t="s">
        <v>3323</v>
      </c>
      <c r="V489" s="221" t="s">
        <v>3324</v>
      </c>
      <c r="W489" s="221" t="s">
        <v>3386</v>
      </c>
      <c r="X489" s="221"/>
      <c r="Y489" s="227"/>
      <c r="Z489" s="227" t="str">
        <f>P489</f>
        <v>Puncak Dieng Exlusif</v>
      </c>
      <c r="AA489" s="276" t="e">
        <f>VLOOKUP(Logfile_S[[#This Row],[DO number]],DO_DB!G:I,3,0)</f>
        <v>#N/A</v>
      </c>
      <c r="AB489" s="331" t="e">
        <f>EXACT(Logfile_S[[#This Row],[date pick]],Logfile_S[[#This Row],[Date]])</f>
        <v>#N/A</v>
      </c>
      <c r="AC4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90" spans="1:29" ht="14.5">
      <c r="A490" s="220" t="str">
        <f>TEXT(ROW(A490)-ROW($A$4),"000")</f>
        <v>486</v>
      </c>
      <c r="B490" s="221"/>
      <c r="C490" s="221" t="s">
        <v>49</v>
      </c>
      <c r="D490" s="221" t="s">
        <v>3734</v>
      </c>
      <c r="E490" s="221" t="s">
        <v>3295</v>
      </c>
      <c r="F490" s="221" t="s">
        <v>3299</v>
      </c>
      <c r="G490" s="222">
        <v>45200</v>
      </c>
      <c r="H490" s="223">
        <v>0.27083333333333331</v>
      </c>
      <c r="I490" s="221" t="s">
        <v>4916</v>
      </c>
      <c r="J490" s="221" t="s">
        <v>3024</v>
      </c>
      <c r="K490" s="224" t="s">
        <v>3092</v>
      </c>
      <c r="L490" s="225" t="str">
        <f>VLOOKUP(Logfile_S[[#This Row],[Material Name]],Sheet2!B:C,2,0)</f>
        <v>GCI1006</v>
      </c>
      <c r="M490" s="225" t="str">
        <f>_xlfn.XLOOKUP(Logfile_S[[#This Row],[Material Name]],Sum_WH!E:E,Sum_WH!F:F,"",0)</f>
        <v>Pcs</v>
      </c>
      <c r="N490" s="221">
        <v>75</v>
      </c>
      <c r="O490" s="221" t="s">
        <v>222</v>
      </c>
      <c r="P490" s="221" t="s">
        <v>223</v>
      </c>
      <c r="Q490" s="221"/>
      <c r="R490" s="221"/>
      <c r="S490" s="221"/>
      <c r="T490" s="221" t="s">
        <v>3322</v>
      </c>
      <c r="U490" s="221" t="s">
        <v>3323</v>
      </c>
      <c r="V490" s="221" t="s">
        <v>3324</v>
      </c>
      <c r="W490" s="221" t="s">
        <v>3386</v>
      </c>
      <c r="X490" s="221"/>
      <c r="Y490" s="227"/>
      <c r="Z490" s="227" t="str">
        <f>P490</f>
        <v>Puncak Dieng Exlusif</v>
      </c>
      <c r="AA490" s="276" t="e">
        <f>VLOOKUP(Logfile_S[[#This Row],[DO number]],DO_DB!G:I,3,0)</f>
        <v>#N/A</v>
      </c>
      <c r="AB490" s="331" t="e">
        <f>EXACT(Logfile_S[[#This Row],[date pick]],Logfile_S[[#This Row],[Date]])</f>
        <v>#N/A</v>
      </c>
      <c r="AC4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91" spans="1:29" ht="14.5">
      <c r="A491" s="220" t="str">
        <f>TEXT(ROW(A491)-ROW($A$4),"000")</f>
        <v>487</v>
      </c>
      <c r="B491" s="221"/>
      <c r="C491" s="221" t="s">
        <v>49</v>
      </c>
      <c r="D491" s="221" t="s">
        <v>3734</v>
      </c>
      <c r="E491" s="221" t="s">
        <v>3295</v>
      </c>
      <c r="F491" s="221" t="s">
        <v>3299</v>
      </c>
      <c r="G491" s="222">
        <v>45200</v>
      </c>
      <c r="H491" s="223">
        <v>0.27083333333333331</v>
      </c>
      <c r="I491" s="221" t="s">
        <v>4916</v>
      </c>
      <c r="J491" s="221" t="s">
        <v>3024</v>
      </c>
      <c r="K491" s="224" t="s">
        <v>3090</v>
      </c>
      <c r="L491" s="225" t="str">
        <f>VLOOKUP(Logfile_S[[#This Row],[Material Name]],Sheet2!B:C,2,0)</f>
        <v>GCI1004</v>
      </c>
      <c r="M491" s="225" t="str">
        <f>_xlfn.XLOOKUP(Logfile_S[[#This Row],[Material Name]],Sum_WH!E:E,Sum_WH!F:F,"",0)</f>
        <v>Pcs</v>
      </c>
      <c r="N491" s="221">
        <v>35</v>
      </c>
      <c r="O491" s="221" t="s">
        <v>222</v>
      </c>
      <c r="P491" s="221" t="s">
        <v>223</v>
      </c>
      <c r="Q491" s="221"/>
      <c r="R491" s="221"/>
      <c r="S491" s="221"/>
      <c r="T491" s="221" t="s">
        <v>3322</v>
      </c>
      <c r="U491" s="221" t="s">
        <v>3323</v>
      </c>
      <c r="V491" s="221" t="s">
        <v>3324</v>
      </c>
      <c r="W491" s="221" t="s">
        <v>3386</v>
      </c>
      <c r="X491" s="221"/>
      <c r="Y491" s="227"/>
      <c r="Z491" s="227" t="str">
        <f>P491</f>
        <v>Puncak Dieng Exlusif</v>
      </c>
      <c r="AA491" s="276" t="e">
        <f>VLOOKUP(Logfile_S[[#This Row],[DO number]],DO_DB!G:I,3,0)</f>
        <v>#N/A</v>
      </c>
      <c r="AB491" s="331" t="e">
        <f>EXACT(Logfile_S[[#This Row],[date pick]],Logfile_S[[#This Row],[Date]])</f>
        <v>#N/A</v>
      </c>
      <c r="AC4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92" spans="1:29" ht="14.5">
      <c r="A492" s="220" t="str">
        <f>TEXT(ROW(A492)-ROW($A$4),"000")</f>
        <v>488</v>
      </c>
      <c r="B492" s="221"/>
      <c r="C492" s="221" t="s">
        <v>49</v>
      </c>
      <c r="D492" s="221" t="s">
        <v>3735</v>
      </c>
      <c r="E492" s="221" t="s">
        <v>3295</v>
      </c>
      <c r="F492" s="221" t="s">
        <v>3299</v>
      </c>
      <c r="G492" s="222">
        <v>45201</v>
      </c>
      <c r="H492" s="223">
        <v>0.47222222222222227</v>
      </c>
      <c r="I492" s="221" t="s">
        <v>4916</v>
      </c>
      <c r="J492" s="221" t="s">
        <v>3023</v>
      </c>
      <c r="K492" s="224" t="s">
        <v>13</v>
      </c>
      <c r="L492" s="225" t="str">
        <f>VLOOKUP(Logfile_S[[#This Row],[Material Name]],Sheet2!B:C,2,0)</f>
        <v>ZTE2008</v>
      </c>
      <c r="M492" s="225" t="str">
        <f>_xlfn.XLOOKUP(Logfile_S[[#This Row],[Material Name]],Sum_WH!E:E,Sum_WH!F:F,"",0)</f>
        <v>Pcs</v>
      </c>
      <c r="N492" s="221">
        <v>3</v>
      </c>
      <c r="O492" s="221" t="s">
        <v>222</v>
      </c>
      <c r="P492" s="221" t="s">
        <v>223</v>
      </c>
      <c r="Q492" s="221"/>
      <c r="R492" s="221"/>
      <c r="S492" s="221"/>
      <c r="T492" s="221" t="s">
        <v>3322</v>
      </c>
      <c r="U492" s="221" t="s">
        <v>3323</v>
      </c>
      <c r="V492" s="221" t="s">
        <v>3324</v>
      </c>
      <c r="W492" s="221" t="s">
        <v>3349</v>
      </c>
      <c r="X492" s="221"/>
      <c r="Y492" s="227"/>
      <c r="Z492" s="227" t="str">
        <f>P492</f>
        <v>Puncak Dieng Exlusif</v>
      </c>
      <c r="AA492" s="276" t="e">
        <f>VLOOKUP(Logfile_S[[#This Row],[DO number]],DO_DB!G:I,3,0)</f>
        <v>#N/A</v>
      </c>
      <c r="AB492" s="331" t="e">
        <f>EXACT(Logfile_S[[#This Row],[date pick]],Logfile_S[[#This Row],[Date]])</f>
        <v>#N/A</v>
      </c>
      <c r="AC4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93" spans="1:29" ht="14.5">
      <c r="A493" s="220" t="str">
        <f>TEXT(ROW(A493)-ROW($A$4),"000")</f>
        <v>489</v>
      </c>
      <c r="B493" s="221"/>
      <c r="C493" s="221" t="s">
        <v>48</v>
      </c>
      <c r="D493" s="221" t="s">
        <v>3740</v>
      </c>
      <c r="E493" s="221" t="s">
        <v>3295</v>
      </c>
      <c r="F493" s="221" t="s">
        <v>3299</v>
      </c>
      <c r="G493" s="222">
        <v>45204</v>
      </c>
      <c r="H493" s="223">
        <v>15.291666666666666</v>
      </c>
      <c r="I493" s="221" t="s">
        <v>38</v>
      </c>
      <c r="J493" s="221" t="s">
        <v>3024</v>
      </c>
      <c r="K493" s="224" t="s">
        <v>3098</v>
      </c>
      <c r="L493" s="225" t="str">
        <f>VLOOKUP(Logfile_S[[#This Row],[Material Name]],Sheet2!B:C,2,0)</f>
        <v>GCI1012</v>
      </c>
      <c r="M493" s="225" t="str">
        <f>_xlfn.XLOOKUP(Logfile_S[[#This Row],[Material Name]],Sum_WH!E:E,Sum_WH!F:F,"",0)</f>
        <v>Pcs</v>
      </c>
      <c r="N493" s="221">
        <v>83</v>
      </c>
      <c r="O493" s="221" t="s">
        <v>222</v>
      </c>
      <c r="P493" s="221" t="s">
        <v>223</v>
      </c>
      <c r="Q493" s="221">
        <v>0</v>
      </c>
      <c r="R493" s="221">
        <v>0</v>
      </c>
      <c r="S493" s="221"/>
      <c r="T493" s="221"/>
      <c r="U493" s="221"/>
      <c r="V493" s="221"/>
      <c r="W493" s="221"/>
      <c r="X493" s="221" t="s">
        <v>3318</v>
      </c>
      <c r="Y493" s="227"/>
      <c r="Z493" s="227" t="str">
        <f>P493</f>
        <v>Puncak Dieng Exlusif</v>
      </c>
      <c r="AA493" s="276" t="e">
        <f>VLOOKUP(Logfile_S[[#This Row],[DO number]],DO_DB!G:I,3,0)</f>
        <v>#N/A</v>
      </c>
      <c r="AB493" s="331" t="e">
        <f>EXACT(Logfile_S[[#This Row],[date pick]],Logfile_S[[#This Row],[Date]])</f>
        <v>#N/A</v>
      </c>
      <c r="AC4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94" spans="1:29" ht="14.5">
      <c r="A494" s="220" t="str">
        <f>TEXT(ROW(A494)-ROW($A$4),"000")</f>
        <v>490</v>
      </c>
      <c r="B494" s="221"/>
      <c r="C494" s="221" t="s">
        <v>49</v>
      </c>
      <c r="D494" s="221" t="s">
        <v>3739</v>
      </c>
      <c r="E494" s="221" t="s">
        <v>3295</v>
      </c>
      <c r="F494" s="221" t="s">
        <v>3299</v>
      </c>
      <c r="G494" s="222">
        <v>45204</v>
      </c>
      <c r="H494" s="223">
        <v>0.61597222222222225</v>
      </c>
      <c r="I494" s="221" t="s">
        <v>4916</v>
      </c>
      <c r="J494" s="221" t="s">
        <v>3023</v>
      </c>
      <c r="K494" s="224" t="s">
        <v>3208</v>
      </c>
      <c r="L494" s="225" t="str">
        <f>VLOOKUP(Logfile_S[[#This Row],[Material Name]],Sheet2!B:C,2,0)</f>
        <v>ZTE1002</v>
      </c>
      <c r="M494" s="225" t="str">
        <f>_xlfn.XLOOKUP(Logfile_S[[#This Row],[Material Name]],Sum_WH!E:E,Sum_WH!F:F,"",0)</f>
        <v>Pcs</v>
      </c>
      <c r="N494" s="221">
        <v>7</v>
      </c>
      <c r="O494" s="221" t="s">
        <v>222</v>
      </c>
      <c r="P494" s="221" t="s">
        <v>223</v>
      </c>
      <c r="Q494" s="221"/>
      <c r="R494" s="221"/>
      <c r="S494" s="221"/>
      <c r="T494" s="221" t="s">
        <v>3322</v>
      </c>
      <c r="U494" s="221" t="s">
        <v>3323</v>
      </c>
      <c r="V494" s="221" t="s">
        <v>3324</v>
      </c>
      <c r="W494" s="221" t="s">
        <v>3325</v>
      </c>
      <c r="X494" s="221"/>
      <c r="Y494" s="227"/>
      <c r="Z494" s="227" t="str">
        <f>P494</f>
        <v>Puncak Dieng Exlusif</v>
      </c>
      <c r="AA494" s="276" t="e">
        <f>VLOOKUP(Logfile_S[[#This Row],[DO number]],DO_DB!G:I,3,0)</f>
        <v>#N/A</v>
      </c>
      <c r="AB494" s="331" t="e">
        <f>EXACT(Logfile_S[[#This Row],[date pick]],Logfile_S[[#This Row],[Date]])</f>
        <v>#N/A</v>
      </c>
      <c r="AC4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95" spans="1:29" ht="14.5">
      <c r="A495" s="220" t="str">
        <f>TEXT(ROW(A495)-ROW($A$4),"000")</f>
        <v>491</v>
      </c>
      <c r="B495" s="221"/>
      <c r="C495" s="221" t="s">
        <v>49</v>
      </c>
      <c r="D495" s="221" t="s">
        <v>3741</v>
      </c>
      <c r="E495" s="221" t="s">
        <v>3295</v>
      </c>
      <c r="F495" s="221" t="s">
        <v>3299</v>
      </c>
      <c r="G495" s="222">
        <v>45205</v>
      </c>
      <c r="H495" s="223">
        <v>0.39374999999999999</v>
      </c>
      <c r="I495" s="221" t="s">
        <v>4916</v>
      </c>
      <c r="J495" s="221" t="s">
        <v>3024</v>
      </c>
      <c r="K495" s="224" t="s">
        <v>3098</v>
      </c>
      <c r="L495" s="225" t="str">
        <f>VLOOKUP(Logfile_S[[#This Row],[Material Name]],Sheet2!B:C,2,0)</f>
        <v>GCI1012</v>
      </c>
      <c r="M495" s="225" t="str">
        <f>_xlfn.XLOOKUP(Logfile_S[[#This Row],[Material Name]],Sum_WH!E:E,Sum_WH!F:F,"",0)</f>
        <v>Pcs</v>
      </c>
      <c r="N495" s="221">
        <v>83</v>
      </c>
      <c r="O495" s="221" t="s">
        <v>222</v>
      </c>
      <c r="P495" s="221" t="s">
        <v>223</v>
      </c>
      <c r="Q495" s="221"/>
      <c r="R495" s="221"/>
      <c r="S495" s="221"/>
      <c r="T495" s="221" t="s">
        <v>3322</v>
      </c>
      <c r="U495" s="221" t="s">
        <v>3323</v>
      </c>
      <c r="V495" s="221" t="s">
        <v>3324</v>
      </c>
      <c r="W495" s="221" t="s">
        <v>3325</v>
      </c>
      <c r="X495" s="221"/>
      <c r="Y495" s="227"/>
      <c r="Z495" s="227" t="str">
        <f>P495</f>
        <v>Puncak Dieng Exlusif</v>
      </c>
      <c r="AA495" s="276" t="e">
        <f>VLOOKUP(Logfile_S[[#This Row],[DO number]],DO_DB!G:I,3,0)</f>
        <v>#N/A</v>
      </c>
      <c r="AB495" s="331" t="e">
        <f>EXACT(Logfile_S[[#This Row],[date pick]],Logfile_S[[#This Row],[Date]])</f>
        <v>#N/A</v>
      </c>
      <c r="AC4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96" spans="1:29" ht="14.5">
      <c r="A496" s="220" t="str">
        <f>TEXT(ROW(A496)-ROW($A$4),"000")</f>
        <v>492</v>
      </c>
      <c r="B496" s="221"/>
      <c r="C496" s="221" t="s">
        <v>49</v>
      </c>
      <c r="D496" s="221" t="s">
        <v>3741</v>
      </c>
      <c r="E496" s="221" t="s">
        <v>3295</v>
      </c>
      <c r="F496" s="221" t="s">
        <v>3299</v>
      </c>
      <c r="G496" s="222">
        <v>45205</v>
      </c>
      <c r="H496" s="223">
        <v>0.39374999999999999</v>
      </c>
      <c r="I496" s="221" t="s">
        <v>4916</v>
      </c>
      <c r="J496" s="221" t="s">
        <v>3024</v>
      </c>
      <c r="K496" s="224" t="s">
        <v>3098</v>
      </c>
      <c r="L496" s="225" t="str">
        <f>VLOOKUP(Logfile_S[[#This Row],[Material Name]],Sheet2!B:C,2,0)</f>
        <v>GCI1012</v>
      </c>
      <c r="M496" s="225" t="str">
        <f>_xlfn.XLOOKUP(Logfile_S[[#This Row],[Material Name]],Sum_WH!E:E,Sum_WH!F:F,"",0)</f>
        <v>Pcs</v>
      </c>
      <c r="N496" s="221">
        <v>384</v>
      </c>
      <c r="O496" s="221" t="s">
        <v>222</v>
      </c>
      <c r="P496" s="221" t="s">
        <v>223</v>
      </c>
      <c r="Q496" s="221"/>
      <c r="R496" s="221"/>
      <c r="S496" s="221"/>
      <c r="T496" s="221" t="s">
        <v>3322</v>
      </c>
      <c r="U496" s="221" t="s">
        <v>3323</v>
      </c>
      <c r="V496" s="221" t="s">
        <v>3324</v>
      </c>
      <c r="W496" s="221" t="s">
        <v>3325</v>
      </c>
      <c r="X496" s="221"/>
      <c r="Y496" s="227"/>
      <c r="Z496" s="227" t="str">
        <f>P496</f>
        <v>Puncak Dieng Exlusif</v>
      </c>
      <c r="AA496" s="276" t="e">
        <f>VLOOKUP(Logfile_S[[#This Row],[DO number]],DO_DB!G:I,3,0)</f>
        <v>#N/A</v>
      </c>
      <c r="AB496" s="331" t="e">
        <f>EXACT(Logfile_S[[#This Row],[date pick]],Logfile_S[[#This Row],[Date]])</f>
        <v>#N/A</v>
      </c>
      <c r="AC4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97" spans="1:29" ht="14.5">
      <c r="A497" s="220" t="str">
        <f>TEXT(ROW(A497)-ROW($A$4),"000")</f>
        <v>493</v>
      </c>
      <c r="B497" s="221"/>
      <c r="C497" s="221" t="s">
        <v>49</v>
      </c>
      <c r="D497" s="221" t="s">
        <v>3741</v>
      </c>
      <c r="E497" s="221" t="s">
        <v>3295</v>
      </c>
      <c r="F497" s="221" t="s">
        <v>3299</v>
      </c>
      <c r="G497" s="222">
        <v>45205</v>
      </c>
      <c r="H497" s="223">
        <v>0.39374999999999999</v>
      </c>
      <c r="I497" s="221" t="s">
        <v>4916</v>
      </c>
      <c r="J497" s="221" t="s">
        <v>3024</v>
      </c>
      <c r="K497" s="224" t="s">
        <v>5137</v>
      </c>
      <c r="L497" s="225" t="str">
        <f>VLOOKUP(Logfile_S[[#This Row],[Material Name]],Sheet2!B:C,2,0)</f>
        <v>GCI1009</v>
      </c>
      <c r="M497" s="225" t="str">
        <f>_xlfn.XLOOKUP(Logfile_S[[#This Row],[Material Name]],Sum_WH!E:E,Sum_WH!F:F,"",0)</f>
        <v>Pcs</v>
      </c>
      <c r="N497" s="221">
        <v>60</v>
      </c>
      <c r="O497" s="221" t="s">
        <v>222</v>
      </c>
      <c r="P497" s="221" t="s">
        <v>223</v>
      </c>
      <c r="Q497" s="221"/>
      <c r="R497" s="221"/>
      <c r="S497" s="221"/>
      <c r="T497" s="221" t="s">
        <v>3322</v>
      </c>
      <c r="U497" s="221" t="s">
        <v>3323</v>
      </c>
      <c r="V497" s="221" t="s">
        <v>3324</v>
      </c>
      <c r="W497" s="221" t="s">
        <v>3325</v>
      </c>
      <c r="X497" s="221"/>
      <c r="Y497" s="227"/>
      <c r="Z497" s="227" t="str">
        <f>P497</f>
        <v>Puncak Dieng Exlusif</v>
      </c>
      <c r="AA497" s="276" t="e">
        <f>VLOOKUP(Logfile_S[[#This Row],[DO number]],DO_DB!G:I,3,0)</f>
        <v>#N/A</v>
      </c>
      <c r="AB497" s="331" t="e">
        <f>EXACT(Logfile_S[[#This Row],[date pick]],Logfile_S[[#This Row],[Date]])</f>
        <v>#N/A</v>
      </c>
      <c r="AC4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98" spans="1:29" ht="14.5">
      <c r="A498" s="220" t="str">
        <f>TEXT(ROW(A498)-ROW($A$4),"000")</f>
        <v>494</v>
      </c>
      <c r="B498" s="221"/>
      <c r="C498" s="221" t="s">
        <v>49</v>
      </c>
      <c r="D498" s="221" t="s">
        <v>3741</v>
      </c>
      <c r="E498" s="221" t="s">
        <v>3295</v>
      </c>
      <c r="F498" s="221" t="s">
        <v>3299</v>
      </c>
      <c r="G498" s="222">
        <v>45205</v>
      </c>
      <c r="H498" s="223">
        <v>0.39374999999999999</v>
      </c>
      <c r="I498" s="221" t="s">
        <v>4916</v>
      </c>
      <c r="J498" s="221" t="s">
        <v>3023</v>
      </c>
      <c r="K498" s="224" t="s">
        <v>3211</v>
      </c>
      <c r="L498" s="225" t="str">
        <f>VLOOKUP(Logfile_S[[#This Row],[Material Name]],Sheet2!B:C,2,0)</f>
        <v>ZTE1002</v>
      </c>
      <c r="M498" s="225" t="str">
        <f>_xlfn.XLOOKUP(Logfile_S[[#This Row],[Material Name]],Sum_WH!E:E,Sum_WH!F:F,"",0)</f>
        <v>Pcs</v>
      </c>
      <c r="N498" s="221">
        <v>1</v>
      </c>
      <c r="O498" s="221" t="s">
        <v>222</v>
      </c>
      <c r="P498" s="221" t="s">
        <v>223</v>
      </c>
      <c r="Q498" s="221"/>
      <c r="R498" s="221"/>
      <c r="S498" s="221"/>
      <c r="T498" s="221" t="s">
        <v>3322</v>
      </c>
      <c r="U498" s="221" t="s">
        <v>3323</v>
      </c>
      <c r="V498" s="221" t="s">
        <v>3324</v>
      </c>
      <c r="W498" s="221" t="s">
        <v>3325</v>
      </c>
      <c r="X498" s="221"/>
      <c r="Y498" s="227"/>
      <c r="Z498" s="227" t="str">
        <f>P498</f>
        <v>Puncak Dieng Exlusif</v>
      </c>
      <c r="AA498" s="276" t="e">
        <f>VLOOKUP(Logfile_S[[#This Row],[DO number]],DO_DB!G:I,3,0)</f>
        <v>#N/A</v>
      </c>
      <c r="AB498" s="331" t="e">
        <f>EXACT(Logfile_S[[#This Row],[date pick]],Logfile_S[[#This Row],[Date]])</f>
        <v>#N/A</v>
      </c>
      <c r="AC4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499" spans="1:29" ht="14.5">
      <c r="A499" s="220" t="str">
        <f>TEXT(ROW(A499)-ROW($A$4),"000")</f>
        <v>495</v>
      </c>
      <c r="B499" s="221"/>
      <c r="C499" s="221" t="s">
        <v>49</v>
      </c>
      <c r="D499" s="221" t="s">
        <v>3741</v>
      </c>
      <c r="E499" s="221" t="s">
        <v>3295</v>
      </c>
      <c r="F499" s="221" t="s">
        <v>3299</v>
      </c>
      <c r="G499" s="222">
        <v>45205</v>
      </c>
      <c r="H499" s="223">
        <v>0.39374999999999999</v>
      </c>
      <c r="I499" s="221" t="s">
        <v>4916</v>
      </c>
      <c r="J499" s="221" t="s">
        <v>3023</v>
      </c>
      <c r="K499" s="224" t="s">
        <v>3227</v>
      </c>
      <c r="L499" s="225" t="str">
        <f>VLOOKUP(Logfile_S[[#This Row],[Material Name]],Sheet2!B:C,2,0)</f>
        <v>ZTE1001</v>
      </c>
      <c r="M499" s="225" t="str">
        <f>_xlfn.XLOOKUP(Logfile_S[[#This Row],[Material Name]],Sum_WH!E:E,Sum_WH!F:F,"",0)</f>
        <v>Pcs</v>
      </c>
      <c r="N499" s="221">
        <v>4</v>
      </c>
      <c r="O499" s="221" t="s">
        <v>222</v>
      </c>
      <c r="P499" s="221" t="s">
        <v>223</v>
      </c>
      <c r="Q499" s="221"/>
      <c r="R499" s="221"/>
      <c r="S499" s="221"/>
      <c r="T499" s="221" t="s">
        <v>3322</v>
      </c>
      <c r="U499" s="221" t="s">
        <v>3323</v>
      </c>
      <c r="V499" s="221" t="s">
        <v>3324</v>
      </c>
      <c r="W499" s="221" t="s">
        <v>3325</v>
      </c>
      <c r="X499" s="221"/>
      <c r="Y499" s="227"/>
      <c r="Z499" s="227" t="str">
        <f>P499</f>
        <v>Puncak Dieng Exlusif</v>
      </c>
      <c r="AA499" s="276" t="e">
        <f>VLOOKUP(Logfile_S[[#This Row],[DO number]],DO_DB!G:I,3,0)</f>
        <v>#N/A</v>
      </c>
      <c r="AB499" s="331" t="e">
        <f>EXACT(Logfile_S[[#This Row],[date pick]],Logfile_S[[#This Row],[Date]])</f>
        <v>#N/A</v>
      </c>
      <c r="AC4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00" spans="1:29" ht="14.5">
      <c r="A500" s="220" t="str">
        <f>TEXT(ROW(A500)-ROW($A$4),"000")</f>
        <v>496</v>
      </c>
      <c r="B500" s="221"/>
      <c r="C500" s="221" t="s">
        <v>49</v>
      </c>
      <c r="D500" s="221" t="s">
        <v>3741</v>
      </c>
      <c r="E500" s="221" t="s">
        <v>3295</v>
      </c>
      <c r="F500" s="221" t="s">
        <v>3299</v>
      </c>
      <c r="G500" s="222">
        <v>45205</v>
      </c>
      <c r="H500" s="223">
        <v>0.39374999999999999</v>
      </c>
      <c r="I500" s="221" t="s">
        <v>4916</v>
      </c>
      <c r="J500" s="221" t="s">
        <v>3024</v>
      </c>
      <c r="K500" s="224" t="s">
        <v>3230</v>
      </c>
      <c r="L500" s="225" t="str">
        <f>VLOOKUP(Logfile_S[[#This Row],[Material Name]],Sheet2!B:C,2,0)</f>
        <v>GCI1008</v>
      </c>
      <c r="M500" s="225" t="str">
        <f>_xlfn.XLOOKUP(Logfile_S[[#This Row],[Material Name]],Sum_WH!E:E,Sum_WH!F:F,"",0)</f>
        <v>Pcs</v>
      </c>
      <c r="N500" s="221">
        <v>70</v>
      </c>
      <c r="O500" s="221" t="s">
        <v>222</v>
      </c>
      <c r="P500" s="221" t="s">
        <v>223</v>
      </c>
      <c r="Q500" s="221"/>
      <c r="R500" s="221"/>
      <c r="S500" s="221"/>
      <c r="T500" s="221" t="s">
        <v>3322</v>
      </c>
      <c r="U500" s="221" t="s">
        <v>3323</v>
      </c>
      <c r="V500" s="221" t="s">
        <v>3324</v>
      </c>
      <c r="W500" s="221" t="s">
        <v>3325</v>
      </c>
      <c r="X500" s="221"/>
      <c r="Y500" s="227"/>
      <c r="Z500" s="227" t="str">
        <f>P500</f>
        <v>Puncak Dieng Exlusif</v>
      </c>
      <c r="AA500" s="276" t="e">
        <f>VLOOKUP(Logfile_S[[#This Row],[DO number]],DO_DB!G:I,3,0)</f>
        <v>#N/A</v>
      </c>
      <c r="AB500" s="331" t="e">
        <f>EXACT(Logfile_S[[#This Row],[date pick]],Logfile_S[[#This Row],[Date]])</f>
        <v>#N/A</v>
      </c>
      <c r="AC5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01" spans="1:29" ht="14.5">
      <c r="A501" s="220" t="str">
        <f>TEXT(ROW(A501)-ROW($A$4),"000")</f>
        <v>497</v>
      </c>
      <c r="B501" s="221"/>
      <c r="C501" s="221" t="s">
        <v>49</v>
      </c>
      <c r="D501" s="221" t="s">
        <v>3741</v>
      </c>
      <c r="E501" s="221" t="s">
        <v>3295</v>
      </c>
      <c r="F501" s="221" t="s">
        <v>3299</v>
      </c>
      <c r="G501" s="222">
        <v>45205</v>
      </c>
      <c r="H501" s="223">
        <v>0.39374999999999999</v>
      </c>
      <c r="I501" s="221" t="s">
        <v>4916</v>
      </c>
      <c r="J501" s="221" t="s">
        <v>3024</v>
      </c>
      <c r="K501" s="224" t="s">
        <v>3092</v>
      </c>
      <c r="L501" s="225" t="str">
        <f>VLOOKUP(Logfile_S[[#This Row],[Material Name]],Sheet2!B:C,2,0)</f>
        <v>GCI1006</v>
      </c>
      <c r="M501" s="225" t="str">
        <f>_xlfn.XLOOKUP(Logfile_S[[#This Row],[Material Name]],Sum_WH!E:E,Sum_WH!F:F,"",0)</f>
        <v>Pcs</v>
      </c>
      <c r="N501" s="221">
        <v>60</v>
      </c>
      <c r="O501" s="221" t="s">
        <v>222</v>
      </c>
      <c r="P501" s="221" t="s">
        <v>223</v>
      </c>
      <c r="Q501" s="221"/>
      <c r="R501" s="221"/>
      <c r="S501" s="221"/>
      <c r="T501" s="221" t="s">
        <v>3322</v>
      </c>
      <c r="U501" s="221" t="s">
        <v>3323</v>
      </c>
      <c r="V501" s="221" t="s">
        <v>3324</v>
      </c>
      <c r="W501" s="221" t="s">
        <v>3325</v>
      </c>
      <c r="X501" s="221"/>
      <c r="Y501" s="227"/>
      <c r="Z501" s="227" t="str">
        <f>P501</f>
        <v>Puncak Dieng Exlusif</v>
      </c>
      <c r="AA501" s="276" t="e">
        <f>VLOOKUP(Logfile_S[[#This Row],[DO number]],DO_DB!G:I,3,0)</f>
        <v>#N/A</v>
      </c>
      <c r="AB501" s="331" t="e">
        <f>EXACT(Logfile_S[[#This Row],[date pick]],Logfile_S[[#This Row],[Date]])</f>
        <v>#N/A</v>
      </c>
      <c r="AC5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02" spans="1:29" ht="14.5">
      <c r="A502" s="220" t="str">
        <f>TEXT(ROW(A502)-ROW($A$4),"000")</f>
        <v>498</v>
      </c>
      <c r="B502" s="221"/>
      <c r="C502" s="221" t="s">
        <v>49</v>
      </c>
      <c r="D502" s="221" t="s">
        <v>3741</v>
      </c>
      <c r="E502" s="221" t="s">
        <v>3295</v>
      </c>
      <c r="F502" s="221" t="s">
        <v>3299</v>
      </c>
      <c r="G502" s="222">
        <v>45205</v>
      </c>
      <c r="H502" s="223">
        <v>0.39374999999999999</v>
      </c>
      <c r="I502" s="221" t="s">
        <v>4916</v>
      </c>
      <c r="J502" s="221" t="s">
        <v>3024</v>
      </c>
      <c r="K502" s="224" t="s">
        <v>3214</v>
      </c>
      <c r="L502" s="225" t="str">
        <f>VLOOKUP(Logfile_S[[#This Row],[Material Name]],Sheet2!B:C,2,0)</f>
        <v>GCI1004</v>
      </c>
      <c r="M502" s="225" t="str">
        <f>_xlfn.XLOOKUP(Logfile_S[[#This Row],[Material Name]],Sum_WH!E:E,Sum_WH!F:F,"",0)</f>
        <v>Pcs</v>
      </c>
      <c r="N502" s="221">
        <v>50</v>
      </c>
      <c r="O502" s="221" t="s">
        <v>222</v>
      </c>
      <c r="P502" s="221" t="s">
        <v>223</v>
      </c>
      <c r="Q502" s="221"/>
      <c r="R502" s="221"/>
      <c r="S502" s="221"/>
      <c r="T502" s="221" t="s">
        <v>3322</v>
      </c>
      <c r="U502" s="221" t="s">
        <v>3323</v>
      </c>
      <c r="V502" s="221" t="s">
        <v>3324</v>
      </c>
      <c r="W502" s="221" t="s">
        <v>3325</v>
      </c>
      <c r="X502" s="221"/>
      <c r="Y502" s="227"/>
      <c r="Z502" s="227" t="str">
        <f>P502</f>
        <v>Puncak Dieng Exlusif</v>
      </c>
      <c r="AA502" s="276" t="e">
        <f>VLOOKUP(Logfile_S[[#This Row],[DO number]],DO_DB!G:I,3,0)</f>
        <v>#N/A</v>
      </c>
      <c r="AB502" s="331" t="e">
        <f>EXACT(Logfile_S[[#This Row],[date pick]],Logfile_S[[#This Row],[Date]])</f>
        <v>#N/A</v>
      </c>
      <c r="AC5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03" spans="1:29" ht="14.5">
      <c r="A503" s="220" t="str">
        <f>TEXT(ROW(A503)-ROW($A$4),"000")</f>
        <v>499</v>
      </c>
      <c r="B503" s="221"/>
      <c r="C503" s="221" t="s">
        <v>49</v>
      </c>
      <c r="D503" s="221" t="s">
        <v>3742</v>
      </c>
      <c r="E503" s="221" t="s">
        <v>3295</v>
      </c>
      <c r="F503" s="221" t="s">
        <v>3299</v>
      </c>
      <c r="G503" s="222">
        <v>45207</v>
      </c>
      <c r="H503" s="223">
        <v>0.39027777777777778</v>
      </c>
      <c r="I503" s="221" t="s">
        <v>4916</v>
      </c>
      <c r="J503" s="221" t="s">
        <v>3024</v>
      </c>
      <c r="K503" s="224" t="s">
        <v>5137</v>
      </c>
      <c r="L503" s="225" t="str">
        <f>VLOOKUP(Logfile_S[[#This Row],[Material Name]],Sheet2!B:C,2,0)</f>
        <v>GCI1009</v>
      </c>
      <c r="M503" s="225" t="str">
        <f>_xlfn.XLOOKUP(Logfile_S[[#This Row],[Material Name]],Sum_WH!E:E,Sum_WH!F:F,"",0)</f>
        <v>Pcs</v>
      </c>
      <c r="N503" s="221">
        <v>35</v>
      </c>
      <c r="O503" s="221" t="s">
        <v>222</v>
      </c>
      <c r="P503" s="221" t="s">
        <v>223</v>
      </c>
      <c r="Q503" s="221"/>
      <c r="R503" s="221"/>
      <c r="S503" s="221"/>
      <c r="T503" s="221" t="s">
        <v>3322</v>
      </c>
      <c r="U503" s="221" t="s">
        <v>3323</v>
      </c>
      <c r="V503" s="221" t="s">
        <v>3324</v>
      </c>
      <c r="W503" s="221" t="s">
        <v>3325</v>
      </c>
      <c r="X503" s="221"/>
      <c r="Y503" s="227"/>
      <c r="Z503" s="227" t="str">
        <f>P503</f>
        <v>Puncak Dieng Exlusif</v>
      </c>
      <c r="AA503" s="276" t="e">
        <f>VLOOKUP(Logfile_S[[#This Row],[DO number]],DO_DB!G:I,3,0)</f>
        <v>#N/A</v>
      </c>
      <c r="AB503" s="331" t="e">
        <f>EXACT(Logfile_S[[#This Row],[date pick]],Logfile_S[[#This Row],[Date]])</f>
        <v>#N/A</v>
      </c>
      <c r="AC5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04" spans="1:29" ht="14.5">
      <c r="A504" s="220" t="str">
        <f>TEXT(ROW(A504)-ROW($A$4),"000")</f>
        <v>500</v>
      </c>
      <c r="B504" s="221"/>
      <c r="C504" s="221" t="s">
        <v>49</v>
      </c>
      <c r="D504" s="221" t="s">
        <v>3742</v>
      </c>
      <c r="E504" s="221" t="s">
        <v>3295</v>
      </c>
      <c r="F504" s="221" t="s">
        <v>3299</v>
      </c>
      <c r="G504" s="222">
        <v>45207</v>
      </c>
      <c r="H504" s="223">
        <v>0.39027777777777778</v>
      </c>
      <c r="I504" s="221" t="s">
        <v>4916</v>
      </c>
      <c r="J504" s="221" t="s">
        <v>3024</v>
      </c>
      <c r="K504" s="224" t="s">
        <v>3230</v>
      </c>
      <c r="L504" s="225" t="str">
        <f>VLOOKUP(Logfile_S[[#This Row],[Material Name]],Sheet2!B:C,2,0)</f>
        <v>GCI1008</v>
      </c>
      <c r="M504" s="225" t="str">
        <f>_xlfn.XLOOKUP(Logfile_S[[#This Row],[Material Name]],Sum_WH!E:E,Sum_WH!F:F,"",0)</f>
        <v>Pcs</v>
      </c>
      <c r="N504" s="221">
        <v>12</v>
      </c>
      <c r="O504" s="221" t="s">
        <v>222</v>
      </c>
      <c r="P504" s="221" t="s">
        <v>223</v>
      </c>
      <c r="Q504" s="221"/>
      <c r="R504" s="221"/>
      <c r="S504" s="221"/>
      <c r="T504" s="221" t="s">
        <v>3322</v>
      </c>
      <c r="U504" s="221" t="s">
        <v>3323</v>
      </c>
      <c r="V504" s="221" t="s">
        <v>3324</v>
      </c>
      <c r="W504" s="221" t="s">
        <v>3325</v>
      </c>
      <c r="X504" s="221"/>
      <c r="Y504" s="227"/>
      <c r="Z504" s="227" t="str">
        <f>P504</f>
        <v>Puncak Dieng Exlusif</v>
      </c>
      <c r="AA504" s="276" t="e">
        <f>VLOOKUP(Logfile_S[[#This Row],[DO number]],DO_DB!G:I,3,0)</f>
        <v>#N/A</v>
      </c>
      <c r="AB504" s="331" t="e">
        <f>EXACT(Logfile_S[[#This Row],[date pick]],Logfile_S[[#This Row],[Date]])</f>
        <v>#N/A</v>
      </c>
      <c r="AC5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05" spans="1:29" ht="14.5">
      <c r="A505" s="220" t="str">
        <f>TEXT(ROW(A505)-ROW($A$4),"000")</f>
        <v>501</v>
      </c>
      <c r="B505" s="221"/>
      <c r="C505" s="221" t="s">
        <v>49</v>
      </c>
      <c r="D505" s="221" t="s">
        <v>3742</v>
      </c>
      <c r="E505" s="221" t="s">
        <v>3295</v>
      </c>
      <c r="F505" s="221" t="s">
        <v>3299</v>
      </c>
      <c r="G505" s="222">
        <v>45207</v>
      </c>
      <c r="H505" s="223">
        <v>0.39027777777777778</v>
      </c>
      <c r="I505" s="221" t="s">
        <v>4916</v>
      </c>
      <c r="J505" s="221" t="s">
        <v>3024</v>
      </c>
      <c r="K505" s="224" t="s">
        <v>3212</v>
      </c>
      <c r="L505" s="225" t="str">
        <f>VLOOKUP(Logfile_S[[#This Row],[Material Name]],Sheet2!B:C,2,0)</f>
        <v>GCI1006</v>
      </c>
      <c r="M505" s="225" t="str">
        <f>_xlfn.XLOOKUP(Logfile_S[[#This Row],[Material Name]],Sum_WH!E:E,Sum_WH!F:F,"",0)</f>
        <v>Pcs</v>
      </c>
      <c r="N505" s="221">
        <v>35</v>
      </c>
      <c r="O505" s="221" t="s">
        <v>222</v>
      </c>
      <c r="P505" s="221" t="s">
        <v>223</v>
      </c>
      <c r="Q505" s="221"/>
      <c r="R505" s="221"/>
      <c r="S505" s="221"/>
      <c r="T505" s="221" t="s">
        <v>3322</v>
      </c>
      <c r="U505" s="221" t="s">
        <v>3323</v>
      </c>
      <c r="V505" s="221" t="s">
        <v>3324</v>
      </c>
      <c r="W505" s="221" t="s">
        <v>3325</v>
      </c>
      <c r="X505" s="221"/>
      <c r="Y505" s="227"/>
      <c r="Z505" s="227" t="str">
        <f>P505</f>
        <v>Puncak Dieng Exlusif</v>
      </c>
      <c r="AA505" s="276" t="e">
        <f>VLOOKUP(Logfile_S[[#This Row],[DO number]],DO_DB!G:I,3,0)</f>
        <v>#N/A</v>
      </c>
      <c r="AB505" s="331" t="e">
        <f>EXACT(Logfile_S[[#This Row],[date pick]],Logfile_S[[#This Row],[Date]])</f>
        <v>#N/A</v>
      </c>
      <c r="AC5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06" spans="1:29" ht="14.5">
      <c r="A506" s="220" t="str">
        <f>TEXT(ROW(A506)-ROW($A$4),"000")</f>
        <v>502</v>
      </c>
      <c r="B506" s="221"/>
      <c r="C506" s="221" t="s">
        <v>49</v>
      </c>
      <c r="D506" s="221" t="s">
        <v>3745</v>
      </c>
      <c r="E506" s="221" t="s">
        <v>3295</v>
      </c>
      <c r="F506" s="221" t="s">
        <v>3299</v>
      </c>
      <c r="G506" s="222">
        <v>45210</v>
      </c>
      <c r="H506" s="223">
        <v>0.45624999999999999</v>
      </c>
      <c r="I506" s="221" t="s">
        <v>4916</v>
      </c>
      <c r="J506" s="221" t="s">
        <v>3024</v>
      </c>
      <c r="K506" s="224" t="s">
        <v>3237</v>
      </c>
      <c r="L506" s="225" t="str">
        <f>VLOOKUP(Logfile_S[[#This Row],[Material Name]],Sheet2!B:C,2,0)</f>
        <v>GCI1005</v>
      </c>
      <c r="M506" s="225" t="str">
        <f>_xlfn.XLOOKUP(Logfile_S[[#This Row],[Material Name]],Sum_WH!E:E,Sum_WH!F:F,"",0)</f>
        <v>Pcs</v>
      </c>
      <c r="N506" s="221">
        <v>50</v>
      </c>
      <c r="O506" s="221" t="s">
        <v>222</v>
      </c>
      <c r="P506" s="221" t="s">
        <v>223</v>
      </c>
      <c r="Q506" s="221"/>
      <c r="R506" s="221"/>
      <c r="S506" s="221"/>
      <c r="T506" s="221" t="s">
        <v>3322</v>
      </c>
      <c r="U506" s="221" t="s">
        <v>3323</v>
      </c>
      <c r="V506" s="221" t="s">
        <v>3324</v>
      </c>
      <c r="W506" s="221" t="s">
        <v>3349</v>
      </c>
      <c r="X506" s="221"/>
      <c r="Y506" s="227"/>
      <c r="Z506" s="227" t="str">
        <f>P506</f>
        <v>Puncak Dieng Exlusif</v>
      </c>
      <c r="AA506" s="276" t="e">
        <f>VLOOKUP(Logfile_S[[#This Row],[DO number]],DO_DB!G:I,3,0)</f>
        <v>#N/A</v>
      </c>
      <c r="AB506" s="331" t="e">
        <f>EXACT(Logfile_S[[#This Row],[date pick]],Logfile_S[[#This Row],[Date]])</f>
        <v>#N/A</v>
      </c>
      <c r="AC5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07" spans="1:29" ht="14.5">
      <c r="A507" s="220" t="str">
        <f>TEXT(ROW(A507)-ROW($A$4),"000")</f>
        <v>503</v>
      </c>
      <c r="B507" s="221"/>
      <c r="C507" s="221" t="s">
        <v>49</v>
      </c>
      <c r="D507" s="221" t="s">
        <v>3745</v>
      </c>
      <c r="E507" s="221" t="s">
        <v>3295</v>
      </c>
      <c r="F507" s="221" t="s">
        <v>3299</v>
      </c>
      <c r="G507" s="222">
        <v>45210</v>
      </c>
      <c r="H507" s="223">
        <v>0.45624999999999999</v>
      </c>
      <c r="I507" s="221" t="s">
        <v>4916</v>
      </c>
      <c r="J507" s="221" t="s">
        <v>3024</v>
      </c>
      <c r="K507" s="224" t="s">
        <v>5137</v>
      </c>
      <c r="L507" s="225" t="str">
        <f>VLOOKUP(Logfile_S[[#This Row],[Material Name]],Sheet2!B:C,2,0)</f>
        <v>GCI1009</v>
      </c>
      <c r="M507" s="225" t="str">
        <f>_xlfn.XLOOKUP(Logfile_S[[#This Row],[Material Name]],Sum_WH!E:E,Sum_WH!F:F,"",0)</f>
        <v>Pcs</v>
      </c>
      <c r="N507" s="221">
        <v>30</v>
      </c>
      <c r="O507" s="221" t="s">
        <v>222</v>
      </c>
      <c r="P507" s="221" t="s">
        <v>223</v>
      </c>
      <c r="Q507" s="221"/>
      <c r="R507" s="221"/>
      <c r="S507" s="221"/>
      <c r="T507" s="221" t="s">
        <v>3322</v>
      </c>
      <c r="U507" s="221" t="s">
        <v>3323</v>
      </c>
      <c r="V507" s="221" t="s">
        <v>3324</v>
      </c>
      <c r="W507" s="221" t="s">
        <v>3349</v>
      </c>
      <c r="X507" s="221"/>
      <c r="Y507" s="227"/>
      <c r="Z507" s="227" t="str">
        <f>P507</f>
        <v>Puncak Dieng Exlusif</v>
      </c>
      <c r="AA507" s="276" t="e">
        <f>VLOOKUP(Logfile_S[[#This Row],[DO number]],DO_DB!G:I,3,0)</f>
        <v>#N/A</v>
      </c>
      <c r="AB507" s="331" t="e">
        <f>EXACT(Logfile_S[[#This Row],[date pick]],Logfile_S[[#This Row],[Date]])</f>
        <v>#N/A</v>
      </c>
      <c r="AC5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08" spans="1:29" ht="14.5">
      <c r="A508" s="220" t="str">
        <f>TEXT(ROW(A508)-ROW($A$4),"000")</f>
        <v>504</v>
      </c>
      <c r="B508" s="221"/>
      <c r="C508" s="221" t="s">
        <v>49</v>
      </c>
      <c r="D508" s="221" t="s">
        <v>3745</v>
      </c>
      <c r="E508" s="221" t="s">
        <v>3295</v>
      </c>
      <c r="F508" s="221" t="s">
        <v>3299</v>
      </c>
      <c r="G508" s="222">
        <v>45210</v>
      </c>
      <c r="H508" s="223">
        <v>0.45624999999999999</v>
      </c>
      <c r="I508" s="221" t="s">
        <v>4916</v>
      </c>
      <c r="J508" s="221" t="s">
        <v>3024</v>
      </c>
      <c r="K508" s="224" t="s">
        <v>3092</v>
      </c>
      <c r="L508" s="225" t="str">
        <f>VLOOKUP(Logfile_S[[#This Row],[Material Name]],Sheet2!B:C,2,0)</f>
        <v>GCI1006</v>
      </c>
      <c r="M508" s="225" t="str">
        <f>_xlfn.XLOOKUP(Logfile_S[[#This Row],[Material Name]],Sum_WH!E:E,Sum_WH!F:F,"",0)</f>
        <v>Pcs</v>
      </c>
      <c r="N508" s="221">
        <v>30</v>
      </c>
      <c r="O508" s="221" t="s">
        <v>222</v>
      </c>
      <c r="P508" s="221" t="s">
        <v>223</v>
      </c>
      <c r="Q508" s="221"/>
      <c r="R508" s="221"/>
      <c r="S508" s="221"/>
      <c r="T508" s="221" t="s">
        <v>3322</v>
      </c>
      <c r="U508" s="221" t="s">
        <v>3323</v>
      </c>
      <c r="V508" s="221" t="s">
        <v>3324</v>
      </c>
      <c r="W508" s="221" t="s">
        <v>3349</v>
      </c>
      <c r="X508" s="221"/>
      <c r="Y508" s="227"/>
      <c r="Z508" s="227" t="str">
        <f>P508</f>
        <v>Puncak Dieng Exlusif</v>
      </c>
      <c r="AA508" s="276" t="e">
        <f>VLOOKUP(Logfile_S[[#This Row],[DO number]],DO_DB!G:I,3,0)</f>
        <v>#N/A</v>
      </c>
      <c r="AB508" s="331" t="e">
        <f>EXACT(Logfile_S[[#This Row],[date pick]],Logfile_S[[#This Row],[Date]])</f>
        <v>#N/A</v>
      </c>
      <c r="AC5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09" spans="1:29" ht="14.5">
      <c r="A509" s="220" t="str">
        <f>TEXT(ROW(A509)-ROW($A$4),"000")</f>
        <v>505</v>
      </c>
      <c r="B509" s="221"/>
      <c r="C509" s="221" t="s">
        <v>49</v>
      </c>
      <c r="D509" s="221" t="s">
        <v>3749</v>
      </c>
      <c r="E509" s="221" t="s">
        <v>3295</v>
      </c>
      <c r="F509" s="221" t="s">
        <v>3299</v>
      </c>
      <c r="G509" s="222">
        <v>45211</v>
      </c>
      <c r="H509" s="223">
        <v>0.45624999999999999</v>
      </c>
      <c r="I509" s="221" t="s">
        <v>4916</v>
      </c>
      <c r="J509" s="221" t="s">
        <v>3024</v>
      </c>
      <c r="K509" s="224" t="s">
        <v>3237</v>
      </c>
      <c r="L509" s="225" t="str">
        <f>VLOOKUP(Logfile_S[[#This Row],[Material Name]],Sheet2!B:C,2,0)</f>
        <v>GCI1005</v>
      </c>
      <c r="M509" s="225" t="str">
        <f>_xlfn.XLOOKUP(Logfile_S[[#This Row],[Material Name]],Sum_WH!E:E,Sum_WH!F:F,"",0)</f>
        <v>Pcs</v>
      </c>
      <c r="N509" s="221">
        <v>72</v>
      </c>
      <c r="O509" s="221" t="s">
        <v>222</v>
      </c>
      <c r="P509" s="221" t="s">
        <v>223</v>
      </c>
      <c r="Q509" s="221"/>
      <c r="R509" s="221"/>
      <c r="S509" s="221"/>
      <c r="T509" s="221" t="s">
        <v>3322</v>
      </c>
      <c r="U509" s="221" t="s">
        <v>3323</v>
      </c>
      <c r="V509" s="221" t="s">
        <v>3324</v>
      </c>
      <c r="W509" s="221" t="s">
        <v>3349</v>
      </c>
      <c r="X509" s="221"/>
      <c r="Y509" s="227"/>
      <c r="Z509" s="227" t="str">
        <f>P509</f>
        <v>Puncak Dieng Exlusif</v>
      </c>
      <c r="AA509" s="276" t="e">
        <f>VLOOKUP(Logfile_S[[#This Row],[DO number]],DO_DB!G:I,3,0)</f>
        <v>#N/A</v>
      </c>
      <c r="AB509" s="331" t="e">
        <f>EXACT(Logfile_S[[#This Row],[date pick]],Logfile_S[[#This Row],[Date]])</f>
        <v>#N/A</v>
      </c>
      <c r="AC5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10" spans="1:29" ht="14.5">
      <c r="A510" s="220" t="str">
        <f>TEXT(ROW(A510)-ROW($A$4),"000")</f>
        <v>506</v>
      </c>
      <c r="B510" s="221"/>
      <c r="C510" s="221" t="s">
        <v>48</v>
      </c>
      <c r="D510" s="221" t="s">
        <v>3753</v>
      </c>
      <c r="E510" s="221" t="s">
        <v>3295</v>
      </c>
      <c r="F510" s="221" t="s">
        <v>3299</v>
      </c>
      <c r="G510" s="222">
        <v>45211</v>
      </c>
      <c r="H510" s="223">
        <v>15.291666666666666</v>
      </c>
      <c r="I510" s="221" t="s">
        <v>37</v>
      </c>
      <c r="J510" s="221" t="s">
        <v>3023</v>
      </c>
      <c r="K510" s="224" t="s">
        <v>13</v>
      </c>
      <c r="L510" s="225" t="str">
        <f>VLOOKUP(Logfile_S[[#This Row],[Material Name]],Sheet2!B:C,2,0)</f>
        <v>ZTE2008</v>
      </c>
      <c r="M510" s="225" t="str">
        <f>_xlfn.XLOOKUP(Logfile_S[[#This Row],[Material Name]],Sum_WH!E:E,Sum_WH!F:F,"",0)</f>
        <v>Pcs</v>
      </c>
      <c r="N510" s="221">
        <v>15</v>
      </c>
      <c r="O510" s="221" t="s">
        <v>222</v>
      </c>
      <c r="P510" s="221" t="s">
        <v>223</v>
      </c>
      <c r="Q510" s="221" t="s">
        <v>308</v>
      </c>
      <c r="R510" s="221" t="s">
        <v>309</v>
      </c>
      <c r="S510" s="221"/>
      <c r="T510" s="221"/>
      <c r="U510" s="221"/>
      <c r="V510" s="221"/>
      <c r="W510" s="221"/>
      <c r="X510" s="221"/>
      <c r="Y510" s="227"/>
      <c r="Z510" s="227" t="str">
        <f>P510</f>
        <v>Puncak Dieng Exlusif</v>
      </c>
      <c r="AA510" s="276">
        <f>VLOOKUP(Logfile_S[[#This Row],[DO number]],DO_DB!G:I,3,0)</f>
        <v>45211</v>
      </c>
      <c r="AB510" s="331" t="b">
        <f>EXACT(Logfile_S[[#This Row],[date pick]],Logfile_S[[#This Row],[Date]])</f>
        <v>1</v>
      </c>
      <c r="AC5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11" spans="1:29" ht="14.5">
      <c r="A511" s="220" t="str">
        <f>TEXT(ROW(A511)-ROW($A$4),"000")</f>
        <v>507</v>
      </c>
      <c r="B511" s="221"/>
      <c r="C511" s="221" t="s">
        <v>48</v>
      </c>
      <c r="D511" s="221" t="s">
        <v>3753</v>
      </c>
      <c r="E511" s="221" t="s">
        <v>3295</v>
      </c>
      <c r="F511" s="221" t="s">
        <v>3299</v>
      </c>
      <c r="G511" s="222">
        <v>45211</v>
      </c>
      <c r="H511" s="223">
        <v>15.291666666666666</v>
      </c>
      <c r="I511" s="221" t="s">
        <v>37</v>
      </c>
      <c r="J511" s="221" t="s">
        <v>3023</v>
      </c>
      <c r="K511" s="224" t="s">
        <v>3072</v>
      </c>
      <c r="L511" s="225" t="str">
        <f>VLOOKUP(Logfile_S[[#This Row],[Material Name]],Sheet2!B:C,2,0)</f>
        <v>ZTE1004</v>
      </c>
      <c r="M511" s="225" t="str">
        <f>_xlfn.XLOOKUP(Logfile_S[[#This Row],[Material Name]],Sum_WH!E:E,Sum_WH!F:F,"",0)</f>
        <v>Pcs</v>
      </c>
      <c r="N511" s="221">
        <v>2</v>
      </c>
      <c r="O511" s="221" t="s">
        <v>222</v>
      </c>
      <c r="P511" s="221" t="s">
        <v>223</v>
      </c>
      <c r="Q511" s="221" t="s">
        <v>312</v>
      </c>
      <c r="R511" s="221" t="s">
        <v>313</v>
      </c>
      <c r="S511" s="221"/>
      <c r="T511" s="221"/>
      <c r="U511" s="221"/>
      <c r="V511" s="221"/>
      <c r="W511" s="221"/>
      <c r="X511" s="221"/>
      <c r="Y511" s="227"/>
      <c r="Z511" s="227" t="str">
        <f>P511</f>
        <v>Puncak Dieng Exlusif</v>
      </c>
      <c r="AA511" s="276">
        <f>VLOOKUP(Logfile_S[[#This Row],[DO number]],DO_DB!G:I,3,0)</f>
        <v>45211</v>
      </c>
      <c r="AB511" s="331" t="b">
        <f>EXACT(Logfile_S[[#This Row],[date pick]],Logfile_S[[#This Row],[Date]])</f>
        <v>1</v>
      </c>
      <c r="AC5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12" spans="1:29" ht="14.5">
      <c r="A512" s="220" t="str">
        <f>TEXT(ROW(A512)-ROW($A$4),"000")</f>
        <v>508</v>
      </c>
      <c r="B512" s="221"/>
      <c r="C512" s="221" t="s">
        <v>49</v>
      </c>
      <c r="D512" s="221" t="s">
        <v>4068</v>
      </c>
      <c r="E512" s="221" t="s">
        <v>3295</v>
      </c>
      <c r="F512" s="221" t="s">
        <v>3299</v>
      </c>
      <c r="G512" s="222">
        <v>45442</v>
      </c>
      <c r="H512" s="223">
        <v>0.47916666666666669</v>
      </c>
      <c r="I512" s="221" t="s">
        <v>4916</v>
      </c>
      <c r="J512" s="221" t="s">
        <v>3023</v>
      </c>
      <c r="K512" s="224" t="s">
        <v>3075</v>
      </c>
      <c r="L512" s="225" t="str">
        <f>VLOOKUP(Logfile_S[[#This Row],[Material Name]],Sheet2!B:C,2,0)</f>
        <v>ZTE2003</v>
      </c>
      <c r="M512" s="225" t="str">
        <f>_xlfn.XLOOKUP(Logfile_S[[#This Row],[Material Name]],Sum_WH!E:E,Sum_WH!F:F,"",0)</f>
        <v>Meter</v>
      </c>
      <c r="N512" s="221">
        <v>3000</v>
      </c>
      <c r="O512" s="221" t="s">
        <v>1465</v>
      </c>
      <c r="P512" s="221" t="s">
        <v>1466</v>
      </c>
      <c r="Q512" s="221"/>
      <c r="R512" s="221"/>
      <c r="S512" s="221"/>
      <c r="T512" s="221" t="s">
        <v>3258</v>
      </c>
      <c r="U512" s="221" t="s">
        <v>3228</v>
      </c>
      <c r="V512" s="221" t="s">
        <v>3337</v>
      </c>
      <c r="W512" s="221" t="s">
        <v>3338</v>
      </c>
      <c r="X512" s="221" t="s">
        <v>3562</v>
      </c>
      <c r="Y512" s="227"/>
      <c r="Z512" s="227" t="str">
        <f>P512</f>
        <v>Dusun Klampok Kucur</v>
      </c>
      <c r="AA512" s="276" t="e">
        <f>VLOOKUP(Logfile_S[[#This Row],[DO number]],DO_DB!G:I,3,0)</f>
        <v>#N/A</v>
      </c>
      <c r="AB512" s="331" t="e">
        <f>EXACT(Logfile_S[[#This Row],[date pick]],Logfile_S[[#This Row],[Date]])</f>
        <v>#N/A</v>
      </c>
      <c r="AC5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13" spans="1:29" ht="14.5">
      <c r="A513" s="220" t="str">
        <f>TEXT(ROW(A513)-ROW($A$4),"000")</f>
        <v>509</v>
      </c>
      <c r="B513" s="221"/>
      <c r="C513" s="221" t="s">
        <v>48</v>
      </c>
      <c r="D513" s="221" t="s">
        <v>4070</v>
      </c>
      <c r="E513" s="221" t="s">
        <v>3295</v>
      </c>
      <c r="F513" s="221" t="s">
        <v>3299</v>
      </c>
      <c r="G513" s="222">
        <v>45443</v>
      </c>
      <c r="H513" s="223">
        <v>15.291666666666666</v>
      </c>
      <c r="I513" s="221" t="s">
        <v>37</v>
      </c>
      <c r="J513" s="221" t="s">
        <v>3023</v>
      </c>
      <c r="K513" s="224" t="s">
        <v>3075</v>
      </c>
      <c r="L513" s="225" t="str">
        <f>VLOOKUP(Logfile_S[[#This Row],[Material Name]],Sheet2!B:C,2,0)</f>
        <v>ZTE2003</v>
      </c>
      <c r="M513" s="225" t="str">
        <f>_xlfn.XLOOKUP(Logfile_S[[#This Row],[Material Name]],Sum_WH!E:E,Sum_WH!F:F,"",0)</f>
        <v>Meter</v>
      </c>
      <c r="N513" s="221">
        <v>3000</v>
      </c>
      <c r="O513" s="221" t="s">
        <v>1465</v>
      </c>
      <c r="P513" s="221" t="s">
        <v>1466</v>
      </c>
      <c r="Q513" s="221" t="s">
        <v>1467</v>
      </c>
      <c r="R513" s="221" t="s">
        <v>1468</v>
      </c>
      <c r="S513" s="221"/>
      <c r="T513" s="221"/>
      <c r="U513" s="221"/>
      <c r="V513" s="221"/>
      <c r="W513" s="221"/>
      <c r="X513" s="221"/>
      <c r="Y513" s="227" t="s">
        <v>5063</v>
      </c>
      <c r="Z513" s="227" t="str">
        <f>P513</f>
        <v>Dusun Klampok Kucur</v>
      </c>
      <c r="AA513" s="276">
        <f>VLOOKUP(Logfile_S[[#This Row],[DO number]],DO_DB!G:I,3,0)</f>
        <v>45443</v>
      </c>
      <c r="AB513" s="331" t="b">
        <f>EXACT(Logfile_S[[#This Row],[date pick]],Logfile_S[[#This Row],[Date]])</f>
        <v>1</v>
      </c>
      <c r="AC5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48C-202461-01</v>
      </c>
    </row>
    <row r="514" spans="1:29" ht="14.5">
      <c r="A514" s="237" t="str">
        <f>TEXT(ROW(A514)-ROW($A$4),"000")</f>
        <v>510</v>
      </c>
      <c r="B514" s="221"/>
      <c r="C514" s="221" t="s">
        <v>48</v>
      </c>
      <c r="D514" s="221" t="s">
        <v>4070</v>
      </c>
      <c r="E514" s="221" t="s">
        <v>3295</v>
      </c>
      <c r="F514" s="221" t="s">
        <v>3299</v>
      </c>
      <c r="G514" s="222">
        <v>45443</v>
      </c>
      <c r="H514" s="223">
        <v>15.291666666666666</v>
      </c>
      <c r="I514" s="221" t="s">
        <v>37</v>
      </c>
      <c r="J514" s="221" t="s">
        <v>3023</v>
      </c>
      <c r="K514" s="224" t="s">
        <v>3075</v>
      </c>
      <c r="L514" s="225" t="str">
        <f>VLOOKUP(Logfile_S[[#This Row],[Material Name]],Sheet2!B:C,2,0)</f>
        <v>ZTE2003</v>
      </c>
      <c r="M514" s="225" t="str">
        <f>_xlfn.XLOOKUP(Logfile_S[[#This Row],[Material Name]],Sum_WH!E:E,Sum_WH!F:F,"",0)</f>
        <v>Meter</v>
      </c>
      <c r="N514" s="221">
        <v>3000</v>
      </c>
      <c r="O514" s="221" t="s">
        <v>1465</v>
      </c>
      <c r="P514" s="221" t="s">
        <v>1466</v>
      </c>
      <c r="Q514" s="221" t="s">
        <v>1467</v>
      </c>
      <c r="R514" s="221" t="s">
        <v>1468</v>
      </c>
      <c r="S514" s="227"/>
      <c r="T514" s="227"/>
      <c r="U514" s="227"/>
      <c r="V514" s="227"/>
      <c r="W514" s="227"/>
      <c r="X514" s="227"/>
      <c r="Y514" s="238" t="s">
        <v>5064</v>
      </c>
      <c r="Z514" s="227" t="str">
        <f>P514</f>
        <v>Dusun Klampok Kucur</v>
      </c>
      <c r="AA514" s="276">
        <f>VLOOKUP(Logfile_S[[#This Row],[DO number]],DO_DB!G:I,3,0)</f>
        <v>45443</v>
      </c>
      <c r="AB514" s="331" t="b">
        <f>EXACT(Logfile_S[[#This Row],[date pick]],Logfile_S[[#This Row],[Date]])</f>
        <v>1</v>
      </c>
      <c r="AC5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48C-202461-02</v>
      </c>
    </row>
    <row r="515" spans="1:29" ht="14.5">
      <c r="A515" s="220" t="str">
        <f>TEXT(ROW(A515)-ROW($A$4),"000")</f>
        <v>511</v>
      </c>
      <c r="B515" s="221"/>
      <c r="C515" s="221" t="s">
        <v>48</v>
      </c>
      <c r="D515" s="221" t="s">
        <v>4070</v>
      </c>
      <c r="E515" s="221" t="s">
        <v>3295</v>
      </c>
      <c r="F515" s="221" t="s">
        <v>3299</v>
      </c>
      <c r="G515" s="222">
        <v>45443</v>
      </c>
      <c r="H515" s="223">
        <v>15.291666666666666</v>
      </c>
      <c r="I515" s="221" t="s">
        <v>37</v>
      </c>
      <c r="J515" s="221" t="s">
        <v>3023</v>
      </c>
      <c r="K515" s="224" t="s">
        <v>3069</v>
      </c>
      <c r="L515" s="225" t="str">
        <f>VLOOKUP(Logfile_S[[#This Row],[Material Name]],Sheet2!B:C,2,0)</f>
        <v>ZTE1001</v>
      </c>
      <c r="M515" s="225" t="str">
        <f>_xlfn.XLOOKUP(Logfile_S[[#This Row],[Material Name]],Sum_WH!E:E,Sum_WH!F:F,"",0)</f>
        <v>Pcs</v>
      </c>
      <c r="N515" s="221">
        <v>285</v>
      </c>
      <c r="O515" s="221" t="s">
        <v>1465</v>
      </c>
      <c r="P515" s="221" t="s">
        <v>1466</v>
      </c>
      <c r="Q515" s="221" t="s">
        <v>1489</v>
      </c>
      <c r="R515" s="221" t="s">
        <v>1490</v>
      </c>
      <c r="S515" s="221"/>
      <c r="T515" s="221"/>
      <c r="U515" s="221"/>
      <c r="V515" s="221"/>
      <c r="W515" s="221"/>
      <c r="X515" s="221"/>
      <c r="Y515" s="227"/>
      <c r="Z515" s="227" t="str">
        <f>P515</f>
        <v>Dusun Klampok Kucur</v>
      </c>
      <c r="AA515" s="276">
        <f>VLOOKUP(Logfile_S[[#This Row],[DO number]],DO_DB!G:I,3,0)</f>
        <v>45443</v>
      </c>
      <c r="AB515" s="331" t="b">
        <f>EXACT(Logfile_S[[#This Row],[date pick]],Logfile_S[[#This Row],[Date]])</f>
        <v>1</v>
      </c>
      <c r="AC5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16" spans="1:29" ht="14.5">
      <c r="A516" s="220" t="str">
        <f>TEXT(ROW(A516)-ROW($A$4),"000")</f>
        <v>512</v>
      </c>
      <c r="B516" s="221"/>
      <c r="C516" s="221" t="s">
        <v>3313</v>
      </c>
      <c r="D516" s="221" t="s">
        <v>4069</v>
      </c>
      <c r="E516" s="221" t="s">
        <v>3295</v>
      </c>
      <c r="F516" s="221" t="s">
        <v>3299</v>
      </c>
      <c r="G516" s="222">
        <v>45444</v>
      </c>
      <c r="H516" s="223">
        <v>15.291666666666666</v>
      </c>
      <c r="I516" s="221" t="s">
        <v>37</v>
      </c>
      <c r="J516" s="221" t="s">
        <v>3023</v>
      </c>
      <c r="K516" s="224" t="s">
        <v>3075</v>
      </c>
      <c r="L516" s="225" t="str">
        <f>VLOOKUP(Logfile_S[[#This Row],[Material Name]],Sheet2!B:C,2,0)</f>
        <v>ZTE2003</v>
      </c>
      <c r="M516" s="225" t="str">
        <f>_xlfn.XLOOKUP(Logfile_S[[#This Row],[Material Name]],Sum_WH!E:E,Sum_WH!F:F,"",0)</f>
        <v>Meter</v>
      </c>
      <c r="N516" s="221">
        <v>3000</v>
      </c>
      <c r="O516" s="221" t="s">
        <v>1465</v>
      </c>
      <c r="P516" s="221" t="s">
        <v>1466</v>
      </c>
      <c r="Q516" s="221">
        <v>0</v>
      </c>
      <c r="R516" s="221" t="s">
        <v>3147</v>
      </c>
      <c r="S516" s="221"/>
      <c r="T516" s="221"/>
      <c r="U516" s="221"/>
      <c r="V516" s="221"/>
      <c r="W516" s="221"/>
      <c r="X516" s="221"/>
      <c r="Y516" s="227" t="s">
        <v>5259</v>
      </c>
      <c r="Z516" s="227" t="str">
        <f>P516</f>
        <v>Dusun Klampok Kucur</v>
      </c>
      <c r="AA516" s="276" t="e">
        <f>VLOOKUP(Logfile_S[[#This Row],[DO number]],DO_DB!G:I,3,0)</f>
        <v>#N/A</v>
      </c>
      <c r="AB516" s="331" t="e">
        <f>EXACT(Logfile_S[[#This Row],[date pick]],Logfile_S[[#This Row],[Date]])</f>
        <v>#N/A</v>
      </c>
      <c r="AC5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48C-202461-03</v>
      </c>
    </row>
    <row r="517" spans="1:29" ht="14.5">
      <c r="A517" s="220" t="str">
        <f>TEXT(ROW(A517)-ROW($A$4),"000")</f>
        <v>513</v>
      </c>
      <c r="B517" s="221"/>
      <c r="C517" s="221" t="s">
        <v>48</v>
      </c>
      <c r="D517" s="221" t="s">
        <v>4079</v>
      </c>
      <c r="E517" s="221" t="s">
        <v>3295</v>
      </c>
      <c r="F517" s="221" t="s">
        <v>3299</v>
      </c>
      <c r="G517" s="222">
        <v>45448</v>
      </c>
      <c r="H517" s="223">
        <v>15.291666666666666</v>
      </c>
      <c r="I517" s="221" t="s">
        <v>37</v>
      </c>
      <c r="J517" s="221" t="s">
        <v>3023</v>
      </c>
      <c r="K517" s="224" t="s">
        <v>14</v>
      </c>
      <c r="L517" s="225" t="str">
        <f>VLOOKUP(Logfile_S[[#This Row],[Material Name]],Sheet2!B:C,2,0)</f>
        <v>ZTE2005</v>
      </c>
      <c r="M517" s="225" t="str">
        <f>_xlfn.XLOOKUP(Logfile_S[[#This Row],[Material Name]],Sum_WH!E:E,Sum_WH!F:F,"",0)</f>
        <v>Pcs</v>
      </c>
      <c r="N517" s="221">
        <v>4</v>
      </c>
      <c r="O517" s="221" t="s">
        <v>1465</v>
      </c>
      <c r="P517" s="221" t="s">
        <v>1466</v>
      </c>
      <c r="Q517" s="221" t="s">
        <v>1509</v>
      </c>
      <c r="R517" s="221" t="s">
        <v>1510</v>
      </c>
      <c r="S517" s="221"/>
      <c r="T517" s="221"/>
      <c r="U517" s="221"/>
      <c r="V517" s="221"/>
      <c r="W517" s="221"/>
      <c r="X517" s="221"/>
      <c r="Y517" s="227"/>
      <c r="Z517" s="227" t="str">
        <f>P517</f>
        <v>Dusun Klampok Kucur</v>
      </c>
      <c r="AA517" s="276">
        <f>VLOOKUP(Logfile_S[[#This Row],[DO number]],DO_DB!G:I,3,0)</f>
        <v>45448</v>
      </c>
      <c r="AB517" s="331" t="b">
        <f>EXACT(Logfile_S[[#This Row],[date pick]],Logfile_S[[#This Row],[Date]])</f>
        <v>1</v>
      </c>
      <c r="AC5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18" spans="1:29" ht="14.5">
      <c r="A518" s="220" t="str">
        <f>TEXT(ROW(A518)-ROW($A$4),"000")</f>
        <v>514</v>
      </c>
      <c r="B518" s="221"/>
      <c r="C518" s="221" t="s">
        <v>48</v>
      </c>
      <c r="D518" s="221" t="s">
        <v>4079</v>
      </c>
      <c r="E518" s="221" t="s">
        <v>3295</v>
      </c>
      <c r="F518" s="221" t="s">
        <v>3299</v>
      </c>
      <c r="G518" s="222">
        <v>45448</v>
      </c>
      <c r="H518" s="223">
        <v>15.291666666666666</v>
      </c>
      <c r="I518" s="221" t="s">
        <v>37</v>
      </c>
      <c r="J518" s="221" t="s">
        <v>3023</v>
      </c>
      <c r="K518" s="224" t="s">
        <v>3072</v>
      </c>
      <c r="L518" s="225" t="str">
        <f>VLOOKUP(Logfile_S[[#This Row],[Material Name]],Sheet2!B:C,2,0)</f>
        <v>ZTE1004</v>
      </c>
      <c r="M518" s="225" t="str">
        <f>_xlfn.XLOOKUP(Logfile_S[[#This Row],[Material Name]],Sum_WH!E:E,Sum_WH!F:F,"",0)</f>
        <v>Pcs</v>
      </c>
      <c r="N518" s="221">
        <v>3</v>
      </c>
      <c r="O518" s="221" t="s">
        <v>1465</v>
      </c>
      <c r="P518" s="221" t="s">
        <v>1466</v>
      </c>
      <c r="Q518" s="221"/>
      <c r="R518" s="221"/>
      <c r="S518" s="221"/>
      <c r="T518" s="221"/>
      <c r="U518" s="221"/>
      <c r="V518" s="221"/>
      <c r="W518" s="221"/>
      <c r="X518" s="221"/>
      <c r="Y518" s="227"/>
      <c r="Z518" s="227" t="str">
        <f>P518</f>
        <v>Dusun Klampok Kucur</v>
      </c>
      <c r="AA518" s="276" t="e">
        <f>VLOOKUP(Logfile_S[[#This Row],[DO number]],DO_DB!G:I,3,0)</f>
        <v>#N/A</v>
      </c>
      <c r="AB518" s="331" t="e">
        <f>EXACT(Logfile_S[[#This Row],[date pick]],Logfile_S[[#This Row],[Date]])</f>
        <v>#N/A</v>
      </c>
      <c r="AC5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19" spans="1:29" ht="14.5">
      <c r="A519" s="220" t="str">
        <f>TEXT(ROW(A519)-ROW($A$4),"000")</f>
        <v>515</v>
      </c>
      <c r="B519" s="221"/>
      <c r="C519" s="221" t="s">
        <v>49</v>
      </c>
      <c r="D519" s="221" t="s">
        <v>4086</v>
      </c>
      <c r="E519" s="221" t="s">
        <v>3295</v>
      </c>
      <c r="F519" s="221" t="s">
        <v>3299</v>
      </c>
      <c r="G519" s="222">
        <v>45454</v>
      </c>
      <c r="H519" s="223">
        <v>0.58402777777777781</v>
      </c>
      <c r="I519" s="221" t="s">
        <v>4916</v>
      </c>
      <c r="J519" s="221" t="s">
        <v>3023</v>
      </c>
      <c r="K519" s="224" t="s">
        <v>3080</v>
      </c>
      <c r="L519" s="225" t="str">
        <f>VLOOKUP(Logfile_S[[#This Row],[Material Name]],Sheet2!B:C,2,0)</f>
        <v>ZTE2010</v>
      </c>
      <c r="M519" s="225" t="str">
        <f>_xlfn.XLOOKUP(Logfile_S[[#This Row],[Material Name]],Sum_WH!E:E,Sum_WH!F:F,"",0)</f>
        <v>Pcs</v>
      </c>
      <c r="N519" s="221">
        <v>2</v>
      </c>
      <c r="O519" s="221" t="s">
        <v>1465</v>
      </c>
      <c r="P519" s="221" t="s">
        <v>1466</v>
      </c>
      <c r="Q519" s="221"/>
      <c r="R519" s="221"/>
      <c r="S519" s="221"/>
      <c r="T519" s="221" t="s">
        <v>3411</v>
      </c>
      <c r="U519" s="221">
        <v>0</v>
      </c>
      <c r="V519" s="221">
        <v>0</v>
      </c>
      <c r="W519" s="221" t="s">
        <v>3412</v>
      </c>
      <c r="X519" s="221" t="s">
        <v>3207</v>
      </c>
      <c r="Y519" s="227"/>
      <c r="Z519" s="227" t="str">
        <f>P519</f>
        <v>Dusun Klampok Kucur</v>
      </c>
      <c r="AA519" s="276" t="e">
        <f>VLOOKUP(Logfile_S[[#This Row],[DO number]],DO_DB!G:I,3,0)</f>
        <v>#N/A</v>
      </c>
      <c r="AB519" s="331" t="e">
        <f>EXACT(Logfile_S[[#This Row],[date pick]],Logfile_S[[#This Row],[Date]])</f>
        <v>#N/A</v>
      </c>
      <c r="AC5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20" spans="1:29" ht="14.5">
      <c r="A520" s="220" t="str">
        <f>TEXT(ROW(A520)-ROW($A$4),"000")</f>
        <v>516</v>
      </c>
      <c r="B520" s="221"/>
      <c r="C520" s="221" t="s">
        <v>49</v>
      </c>
      <c r="D520" s="221" t="s">
        <v>4086</v>
      </c>
      <c r="E520" s="221" t="s">
        <v>3295</v>
      </c>
      <c r="F520" s="221" t="s">
        <v>3299</v>
      </c>
      <c r="G520" s="222">
        <v>45454</v>
      </c>
      <c r="H520" s="223">
        <v>0.58402777777777781</v>
      </c>
      <c r="I520" s="221" t="s">
        <v>4916</v>
      </c>
      <c r="J520" s="221" t="s">
        <v>3023</v>
      </c>
      <c r="K520" s="224" t="s">
        <v>13</v>
      </c>
      <c r="L520" s="225" t="str">
        <f>VLOOKUP(Logfile_S[[#This Row],[Material Name]],Sheet2!B:C,2,0)</f>
        <v>ZTE2008</v>
      </c>
      <c r="M520" s="225" t="str">
        <f>_xlfn.XLOOKUP(Logfile_S[[#This Row],[Material Name]],Sum_WH!E:E,Sum_WH!F:F,"",0)</f>
        <v>Pcs</v>
      </c>
      <c r="N520" s="221">
        <v>17</v>
      </c>
      <c r="O520" s="221" t="s">
        <v>1465</v>
      </c>
      <c r="P520" s="221" t="s">
        <v>1466</v>
      </c>
      <c r="Q520" s="221"/>
      <c r="R520" s="221"/>
      <c r="S520" s="221"/>
      <c r="T520" s="221" t="s">
        <v>3411</v>
      </c>
      <c r="U520" s="221">
        <v>0</v>
      </c>
      <c r="V520" s="221">
        <v>0</v>
      </c>
      <c r="W520" s="221" t="s">
        <v>3412</v>
      </c>
      <c r="X520" s="221"/>
      <c r="Y520" s="227"/>
      <c r="Z520" s="227" t="str">
        <f>P520</f>
        <v>Dusun Klampok Kucur</v>
      </c>
      <c r="AA520" s="276" t="e">
        <f>VLOOKUP(Logfile_S[[#This Row],[DO number]],DO_DB!G:I,3,0)</f>
        <v>#N/A</v>
      </c>
      <c r="AB520" s="331" t="e">
        <f>EXACT(Logfile_S[[#This Row],[date pick]],Logfile_S[[#This Row],[Date]])</f>
        <v>#N/A</v>
      </c>
      <c r="AC5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21" spans="1:29" ht="14.5">
      <c r="A521" s="220" t="str">
        <f>TEXT(ROW(A521)-ROW($A$4),"000")</f>
        <v>517</v>
      </c>
      <c r="B521" s="221"/>
      <c r="C521" s="221" t="s">
        <v>49</v>
      </c>
      <c r="D521" s="221" t="s">
        <v>4086</v>
      </c>
      <c r="E521" s="221" t="s">
        <v>3295</v>
      </c>
      <c r="F521" s="221" t="s">
        <v>3299</v>
      </c>
      <c r="G521" s="222">
        <v>45454</v>
      </c>
      <c r="H521" s="223">
        <v>0.58402777777777781</v>
      </c>
      <c r="I521" s="221" t="s">
        <v>4916</v>
      </c>
      <c r="J521" s="221" t="s">
        <v>3023</v>
      </c>
      <c r="K521" s="224" t="s">
        <v>14</v>
      </c>
      <c r="L521" s="225" t="str">
        <f>VLOOKUP(Logfile_S[[#This Row],[Material Name]],Sheet2!B:C,2,0)</f>
        <v>ZTE2005</v>
      </c>
      <c r="M521" s="225" t="str">
        <f>_xlfn.XLOOKUP(Logfile_S[[#This Row],[Material Name]],Sum_WH!E:E,Sum_WH!F:F,"",0)</f>
        <v>Pcs</v>
      </c>
      <c r="N521" s="221">
        <v>1</v>
      </c>
      <c r="O521" s="221" t="s">
        <v>1465</v>
      </c>
      <c r="P521" s="221" t="s">
        <v>1466</v>
      </c>
      <c r="Q521" s="221"/>
      <c r="R521" s="221"/>
      <c r="S521" s="221"/>
      <c r="T521" s="221" t="s">
        <v>3411</v>
      </c>
      <c r="U521" s="221">
        <v>0</v>
      </c>
      <c r="V521" s="221">
        <v>0</v>
      </c>
      <c r="W521" s="221" t="s">
        <v>3412</v>
      </c>
      <c r="X521" s="221"/>
      <c r="Y521" s="227"/>
      <c r="Z521" s="227" t="str">
        <f>P521</f>
        <v>Dusun Klampok Kucur</v>
      </c>
      <c r="AA521" s="276" t="e">
        <f>VLOOKUP(Logfile_S[[#This Row],[DO number]],DO_DB!G:I,3,0)</f>
        <v>#N/A</v>
      </c>
      <c r="AB521" s="331" t="e">
        <f>EXACT(Logfile_S[[#This Row],[date pick]],Logfile_S[[#This Row],[Date]])</f>
        <v>#N/A</v>
      </c>
      <c r="AC5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22" spans="1:29" ht="14.5">
      <c r="A522" s="220" t="str">
        <f>TEXT(ROW(A522)-ROW($A$4),"000")</f>
        <v>518</v>
      </c>
      <c r="B522" s="221"/>
      <c r="C522" s="221" t="s">
        <v>49</v>
      </c>
      <c r="D522" s="221" t="s">
        <v>4080</v>
      </c>
      <c r="E522" s="221" t="s">
        <v>3295</v>
      </c>
      <c r="F522" s="221" t="s">
        <v>3299</v>
      </c>
      <c r="G522" s="222">
        <v>45448</v>
      </c>
      <c r="H522" s="223">
        <v>0.74375000000000002</v>
      </c>
      <c r="I522" s="221" t="s">
        <v>4916</v>
      </c>
      <c r="J522" s="221" t="s">
        <v>3023</v>
      </c>
      <c r="K522" s="224" t="s">
        <v>3073</v>
      </c>
      <c r="L522" s="225" t="str">
        <f>VLOOKUP(Logfile_S[[#This Row],[Material Name]],Sheet2!B:C,2,0)</f>
        <v>ZTE2001</v>
      </c>
      <c r="M522" s="225" t="str">
        <f>_xlfn.XLOOKUP(Logfile_S[[#This Row],[Material Name]],Sum_WH!E:E,Sum_WH!F:F,"",0)</f>
        <v>Meter</v>
      </c>
      <c r="N522" s="221">
        <v>3000</v>
      </c>
      <c r="O522" s="221" t="s">
        <v>1473</v>
      </c>
      <c r="P522" s="221" t="s">
        <v>1474</v>
      </c>
      <c r="Q522" s="221"/>
      <c r="R522" s="221"/>
      <c r="S522" s="221"/>
      <c r="T522" s="221" t="s">
        <v>3258</v>
      </c>
      <c r="U522" s="221" t="s">
        <v>3228</v>
      </c>
      <c r="V522" s="221" t="s">
        <v>3337</v>
      </c>
      <c r="W522" s="221" t="s">
        <v>3507</v>
      </c>
      <c r="X522" s="221"/>
      <c r="Y522" s="227"/>
      <c r="Z522" s="227" t="str">
        <f>P522</f>
        <v>Dusun Sumber Bendo Kucur</v>
      </c>
      <c r="AA522" s="276" t="e">
        <f>VLOOKUP(Logfile_S[[#This Row],[DO number]],DO_DB!G:I,3,0)</f>
        <v>#N/A</v>
      </c>
      <c r="AB522" s="331" t="e">
        <f>EXACT(Logfile_S[[#This Row],[date pick]],Logfile_S[[#This Row],[Date]])</f>
        <v>#N/A</v>
      </c>
      <c r="AC5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23" spans="1:29" ht="14.5">
      <c r="A523" s="220" t="str">
        <f>TEXT(ROW(A523)-ROW($A$4),"000")</f>
        <v>519</v>
      </c>
      <c r="B523" s="221"/>
      <c r="C523" s="221" t="s">
        <v>3313</v>
      </c>
      <c r="D523" s="221" t="s">
        <v>4078</v>
      </c>
      <c r="E523" s="221" t="s">
        <v>3295</v>
      </c>
      <c r="F523" s="221" t="s">
        <v>3299</v>
      </c>
      <c r="G523" s="222">
        <v>45448</v>
      </c>
      <c r="H523" s="223">
        <v>15.291666666666666</v>
      </c>
      <c r="I523" s="221" t="s">
        <v>37</v>
      </c>
      <c r="J523" s="221" t="s">
        <v>3023</v>
      </c>
      <c r="K523" s="224" t="s">
        <v>13</v>
      </c>
      <c r="L523" s="225" t="str">
        <f>VLOOKUP(Logfile_S[[#This Row],[Material Name]],Sheet2!B:C,2,0)</f>
        <v>ZTE2008</v>
      </c>
      <c r="M523" s="225" t="str">
        <f>_xlfn.XLOOKUP(Logfile_S[[#This Row],[Material Name]],Sum_WH!E:E,Sum_WH!F:F,"",0)</f>
        <v>Pcs</v>
      </c>
      <c r="N523" s="221">
        <v>36</v>
      </c>
      <c r="O523" s="221" t="s">
        <v>1473</v>
      </c>
      <c r="P523" s="221" t="s">
        <v>1474</v>
      </c>
      <c r="Q523" s="221">
        <v>0</v>
      </c>
      <c r="R523" s="221" t="s">
        <v>3147</v>
      </c>
      <c r="S523" s="221"/>
      <c r="T523" s="221"/>
      <c r="U523" s="221"/>
      <c r="V523" s="221"/>
      <c r="W523" s="221"/>
      <c r="X523" s="221"/>
      <c r="Y523" s="227"/>
      <c r="Z523" s="227" t="str">
        <f>P523</f>
        <v>Dusun Sumber Bendo Kucur</v>
      </c>
      <c r="AA523" s="276" t="e">
        <f>VLOOKUP(Logfile_S[[#This Row],[DO number]],DO_DB!G:I,3,0)</f>
        <v>#N/A</v>
      </c>
      <c r="AB523" s="331" t="e">
        <f>EXACT(Logfile_S[[#This Row],[date pick]],Logfile_S[[#This Row],[Date]])</f>
        <v>#N/A</v>
      </c>
      <c r="AC5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24" spans="1:29" ht="14.5">
      <c r="A524" s="220" t="str">
        <f>TEXT(ROW(A524)-ROW($A$4),"000")</f>
        <v>520</v>
      </c>
      <c r="B524" s="221"/>
      <c r="C524" s="221" t="s">
        <v>49</v>
      </c>
      <c r="D524" s="221" t="s">
        <v>4074</v>
      </c>
      <c r="E524" s="221" t="s">
        <v>3295</v>
      </c>
      <c r="F524" s="221" t="s">
        <v>3299</v>
      </c>
      <c r="G524" s="222">
        <v>45448</v>
      </c>
      <c r="H524" s="223">
        <v>0.39166666666666666</v>
      </c>
      <c r="I524" s="221" t="s">
        <v>4916</v>
      </c>
      <c r="J524" s="221" t="s">
        <v>3023</v>
      </c>
      <c r="K524" s="224" t="s">
        <v>3069</v>
      </c>
      <c r="L524" s="225" t="str">
        <f>VLOOKUP(Logfile_S[[#This Row],[Material Name]],Sheet2!B:C,2,0)</f>
        <v>ZTE1001</v>
      </c>
      <c r="M524" s="225" t="str">
        <f>_xlfn.XLOOKUP(Logfile_S[[#This Row],[Material Name]],Sum_WH!E:E,Sum_WH!F:F,"",0)</f>
        <v>Pcs</v>
      </c>
      <c r="N524" s="221">
        <v>21</v>
      </c>
      <c r="O524" s="221" t="s">
        <v>1473</v>
      </c>
      <c r="P524" s="221" t="s">
        <v>1474</v>
      </c>
      <c r="Q524" s="221"/>
      <c r="R524" s="221"/>
      <c r="S524" s="221"/>
      <c r="T524" s="221" t="s">
        <v>3258</v>
      </c>
      <c r="U524" s="221" t="s">
        <v>3228</v>
      </c>
      <c r="V524" s="221" t="s">
        <v>3337</v>
      </c>
      <c r="W524" s="221" t="s">
        <v>3507</v>
      </c>
      <c r="X524" s="221"/>
      <c r="Y524" s="227"/>
      <c r="Z524" s="227" t="str">
        <f>P524</f>
        <v>Dusun Sumber Bendo Kucur</v>
      </c>
      <c r="AA524" s="276" t="e">
        <f>VLOOKUP(Logfile_S[[#This Row],[DO number]],DO_DB!G:I,3,0)</f>
        <v>#N/A</v>
      </c>
      <c r="AB524" s="331" t="e">
        <f>EXACT(Logfile_S[[#This Row],[date pick]],Logfile_S[[#This Row],[Date]])</f>
        <v>#N/A</v>
      </c>
      <c r="AC5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25" spans="1:29" ht="14.5">
      <c r="A525" s="220" t="str">
        <f>TEXT(ROW(A525)-ROW($A$4),"000")</f>
        <v>521</v>
      </c>
      <c r="B525" s="221"/>
      <c r="C525" s="221" t="s">
        <v>49</v>
      </c>
      <c r="D525" s="221" t="s">
        <v>4077</v>
      </c>
      <c r="E525" s="221" t="s">
        <v>3295</v>
      </c>
      <c r="F525" s="221" t="s">
        <v>3299</v>
      </c>
      <c r="G525" s="222">
        <v>45448</v>
      </c>
      <c r="H525" s="223">
        <v>0.74375000000000002</v>
      </c>
      <c r="I525" s="221" t="s">
        <v>4916</v>
      </c>
      <c r="J525" s="221" t="s">
        <v>3023</v>
      </c>
      <c r="K525" s="224" t="s">
        <v>3069</v>
      </c>
      <c r="L525" s="225" t="str">
        <f>VLOOKUP(Logfile_S[[#This Row],[Material Name]],Sheet2!B:C,2,0)</f>
        <v>ZTE1001</v>
      </c>
      <c r="M525" s="225" t="str">
        <f>_xlfn.XLOOKUP(Logfile_S[[#This Row],[Material Name]],Sum_WH!E:E,Sum_WH!F:F,"",0)</f>
        <v>Pcs</v>
      </c>
      <c r="N525" s="221">
        <v>21</v>
      </c>
      <c r="O525" s="221" t="s">
        <v>1473</v>
      </c>
      <c r="P525" s="221" t="s">
        <v>1474</v>
      </c>
      <c r="Q525" s="221"/>
      <c r="R525" s="221"/>
      <c r="S525" s="221"/>
      <c r="T525" s="221" t="s">
        <v>3258</v>
      </c>
      <c r="U525" s="221" t="s">
        <v>3228</v>
      </c>
      <c r="V525" s="221" t="s">
        <v>3337</v>
      </c>
      <c r="W525" s="221" t="s">
        <v>3507</v>
      </c>
      <c r="X525" s="221"/>
      <c r="Y525" s="227"/>
      <c r="Z525" s="227" t="str">
        <f>P525</f>
        <v>Dusun Sumber Bendo Kucur</v>
      </c>
      <c r="AA525" s="276" t="e">
        <f>VLOOKUP(Logfile_S[[#This Row],[DO number]],DO_DB!G:I,3,0)</f>
        <v>#N/A</v>
      </c>
      <c r="AB525" s="331" t="e">
        <f>EXACT(Logfile_S[[#This Row],[date pick]],Logfile_S[[#This Row],[Date]])</f>
        <v>#N/A</v>
      </c>
      <c r="AC5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26" spans="1:29" ht="14.5">
      <c r="A526" s="220" t="str">
        <f>TEXT(ROW(A526)-ROW($A$4),"000")</f>
        <v>522</v>
      </c>
      <c r="B526" s="221"/>
      <c r="C526" s="221" t="s">
        <v>49</v>
      </c>
      <c r="D526" s="221" t="s">
        <v>4075</v>
      </c>
      <c r="E526" s="221" t="s">
        <v>3295</v>
      </c>
      <c r="F526" s="221" t="s">
        <v>3299</v>
      </c>
      <c r="G526" s="222">
        <v>45448</v>
      </c>
      <c r="H526" s="223">
        <v>0.4993055555555555</v>
      </c>
      <c r="I526" s="221" t="s">
        <v>4916</v>
      </c>
      <c r="J526" s="221" t="s">
        <v>3023</v>
      </c>
      <c r="K526" s="224" t="s">
        <v>3069</v>
      </c>
      <c r="L526" s="225" t="str">
        <f>VLOOKUP(Logfile_S[[#This Row],[Material Name]],Sheet2!B:C,2,0)</f>
        <v>ZTE1001</v>
      </c>
      <c r="M526" s="225" t="str">
        <f>_xlfn.XLOOKUP(Logfile_S[[#This Row],[Material Name]],Sum_WH!E:E,Sum_WH!F:F,"",0)</f>
        <v>Pcs</v>
      </c>
      <c r="N526" s="221">
        <v>23</v>
      </c>
      <c r="O526" s="221" t="s">
        <v>1473</v>
      </c>
      <c r="P526" s="221" t="s">
        <v>1474</v>
      </c>
      <c r="Q526" s="221"/>
      <c r="R526" s="221"/>
      <c r="S526" s="221"/>
      <c r="T526" s="221" t="s">
        <v>3258</v>
      </c>
      <c r="U526" s="221" t="s">
        <v>3228</v>
      </c>
      <c r="V526" s="221" t="s">
        <v>3337</v>
      </c>
      <c r="W526" s="221" t="s">
        <v>3507</v>
      </c>
      <c r="X526" s="221"/>
      <c r="Y526" s="227"/>
      <c r="Z526" s="227" t="str">
        <f>P526</f>
        <v>Dusun Sumber Bendo Kucur</v>
      </c>
      <c r="AA526" s="276" t="e">
        <f>VLOOKUP(Logfile_S[[#This Row],[DO number]],DO_DB!G:I,3,0)</f>
        <v>#N/A</v>
      </c>
      <c r="AB526" s="331" t="e">
        <f>EXACT(Logfile_S[[#This Row],[date pick]],Logfile_S[[#This Row],[Date]])</f>
        <v>#N/A</v>
      </c>
      <c r="AC5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27" spans="1:29" ht="14.5">
      <c r="A527" s="220" t="str">
        <f>TEXT(ROW(A527)-ROW($A$4),"000")</f>
        <v>523</v>
      </c>
      <c r="B527" s="221"/>
      <c r="C527" s="221" t="s">
        <v>49</v>
      </c>
      <c r="D527" s="221" t="s">
        <v>4081</v>
      </c>
      <c r="E527" s="221" t="s">
        <v>3295</v>
      </c>
      <c r="F527" s="221" t="s">
        <v>3299</v>
      </c>
      <c r="G527" s="222">
        <v>45449</v>
      </c>
      <c r="H527" s="223">
        <v>0.49861111111111112</v>
      </c>
      <c r="I527" s="221" t="s">
        <v>4916</v>
      </c>
      <c r="J527" s="221" t="s">
        <v>3023</v>
      </c>
      <c r="K527" s="224" t="s">
        <v>3069</v>
      </c>
      <c r="L527" s="225" t="str">
        <f>VLOOKUP(Logfile_S[[#This Row],[Material Name]],Sheet2!B:C,2,0)</f>
        <v>ZTE1001</v>
      </c>
      <c r="M527" s="225" t="str">
        <f>_xlfn.XLOOKUP(Logfile_S[[#This Row],[Material Name]],Sum_WH!E:E,Sum_WH!F:F,"",0)</f>
        <v>Pcs</v>
      </c>
      <c r="N527" s="221">
        <v>9</v>
      </c>
      <c r="O527" s="221" t="s">
        <v>1473</v>
      </c>
      <c r="P527" s="221" t="s">
        <v>1474</v>
      </c>
      <c r="Q527" s="221"/>
      <c r="R527" s="221"/>
      <c r="S527" s="221"/>
      <c r="T527" s="221" t="s">
        <v>3258</v>
      </c>
      <c r="U527" s="221" t="s">
        <v>3228</v>
      </c>
      <c r="V527" s="221" t="s">
        <v>3337</v>
      </c>
      <c r="W527" s="221" t="s">
        <v>3338</v>
      </c>
      <c r="X527" s="221"/>
      <c r="Y527" s="227"/>
      <c r="Z527" s="227" t="str">
        <f>P527</f>
        <v>Dusun Sumber Bendo Kucur</v>
      </c>
      <c r="AA527" s="276" t="e">
        <f>VLOOKUP(Logfile_S[[#This Row],[DO number]],DO_DB!G:I,3,0)</f>
        <v>#N/A</v>
      </c>
      <c r="AB527" s="331" t="e">
        <f>EXACT(Logfile_S[[#This Row],[date pick]],Logfile_S[[#This Row],[Date]])</f>
        <v>#N/A</v>
      </c>
      <c r="AC5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28" spans="1:29" ht="14.5">
      <c r="A528" s="220" t="str">
        <f>TEXT(ROW(A528)-ROW($A$4),"000")</f>
        <v>524</v>
      </c>
      <c r="B528" s="221"/>
      <c r="C528" s="221" t="s">
        <v>49</v>
      </c>
      <c r="D528" s="221" t="s">
        <v>4085</v>
      </c>
      <c r="E528" s="221" t="s">
        <v>3295</v>
      </c>
      <c r="F528" s="221" t="s">
        <v>3299</v>
      </c>
      <c r="G528" s="222">
        <v>45453</v>
      </c>
      <c r="H528" s="223">
        <v>0.56041666666666667</v>
      </c>
      <c r="I528" s="221" t="s">
        <v>4916</v>
      </c>
      <c r="J528" s="221" t="s">
        <v>3024</v>
      </c>
      <c r="K528" s="224" t="s">
        <v>5137</v>
      </c>
      <c r="L528" s="225" t="str">
        <f>VLOOKUP(Logfile_S[[#This Row],[Material Name]],Sheet2!B:C,2,0)</f>
        <v>GCI1009</v>
      </c>
      <c r="M528" s="225" t="str">
        <f>_xlfn.XLOOKUP(Logfile_S[[#This Row],[Material Name]],Sum_WH!E:E,Sum_WH!F:F,"",0)</f>
        <v>Pcs</v>
      </c>
      <c r="N528" s="221">
        <v>10</v>
      </c>
      <c r="O528" s="221" t="s">
        <v>1473</v>
      </c>
      <c r="P528" s="221" t="s">
        <v>1474</v>
      </c>
      <c r="Q528" s="221"/>
      <c r="R528" s="221"/>
      <c r="S528" s="221"/>
      <c r="T528" s="221" t="s">
        <v>3258</v>
      </c>
      <c r="U528" s="221" t="s">
        <v>3228</v>
      </c>
      <c r="V528" s="221" t="s">
        <v>3337</v>
      </c>
      <c r="W528" s="221" t="s">
        <v>3338</v>
      </c>
      <c r="X528" s="221"/>
      <c r="Y528" s="227"/>
      <c r="Z528" s="227" t="str">
        <f>P528</f>
        <v>Dusun Sumber Bendo Kucur</v>
      </c>
      <c r="AA528" s="276" t="e">
        <f>VLOOKUP(Logfile_S[[#This Row],[DO number]],DO_DB!G:I,3,0)</f>
        <v>#N/A</v>
      </c>
      <c r="AB528" s="331" t="e">
        <f>EXACT(Logfile_S[[#This Row],[date pick]],Logfile_S[[#This Row],[Date]])</f>
        <v>#N/A</v>
      </c>
      <c r="AC5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29" spans="1:29" ht="14.5">
      <c r="A529" s="220" t="str">
        <f>TEXT(ROW(A529)-ROW($A$4),"000")</f>
        <v>525</v>
      </c>
      <c r="B529" s="221"/>
      <c r="C529" s="221" t="s">
        <v>49</v>
      </c>
      <c r="D529" s="221" t="s">
        <v>4085</v>
      </c>
      <c r="E529" s="221" t="s">
        <v>3295</v>
      </c>
      <c r="F529" s="221" t="s">
        <v>3299</v>
      </c>
      <c r="G529" s="222">
        <v>45453</v>
      </c>
      <c r="H529" s="223">
        <v>0.56041666666666667</v>
      </c>
      <c r="I529" s="221" t="s">
        <v>4916</v>
      </c>
      <c r="J529" s="221" t="s">
        <v>3024</v>
      </c>
      <c r="K529" s="224" t="s">
        <v>3094</v>
      </c>
      <c r="L529" s="225" t="str">
        <f>VLOOKUP(Logfile_S[[#This Row],[Material Name]],Sheet2!B:C,2,0)</f>
        <v>GCI1008</v>
      </c>
      <c r="M529" s="225" t="str">
        <f>_xlfn.XLOOKUP(Logfile_S[[#This Row],[Material Name]],Sum_WH!E:E,Sum_WH!F:F,"",0)</f>
        <v>Pcs</v>
      </c>
      <c r="N529" s="221">
        <v>30</v>
      </c>
      <c r="O529" s="221" t="s">
        <v>1473</v>
      </c>
      <c r="P529" s="221" t="s">
        <v>1474</v>
      </c>
      <c r="Q529" s="221"/>
      <c r="R529" s="221"/>
      <c r="S529" s="221"/>
      <c r="T529" s="221" t="s">
        <v>3258</v>
      </c>
      <c r="U529" s="221" t="s">
        <v>3228</v>
      </c>
      <c r="V529" s="221" t="s">
        <v>3337</v>
      </c>
      <c r="W529" s="221" t="s">
        <v>3338</v>
      </c>
      <c r="X529" s="221"/>
      <c r="Y529" s="227"/>
      <c r="Z529" s="227" t="str">
        <f>P529</f>
        <v>Dusun Sumber Bendo Kucur</v>
      </c>
      <c r="AA529" s="276" t="e">
        <f>VLOOKUP(Logfile_S[[#This Row],[DO number]],DO_DB!G:I,3,0)</f>
        <v>#N/A</v>
      </c>
      <c r="AB529" s="331" t="e">
        <f>EXACT(Logfile_S[[#This Row],[date pick]],Logfile_S[[#This Row],[Date]])</f>
        <v>#N/A</v>
      </c>
      <c r="AC5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30" spans="1:29" ht="14.5">
      <c r="A530" s="220" t="str">
        <f>TEXT(ROW(A530)-ROW($A$4),"000")</f>
        <v>526</v>
      </c>
      <c r="B530" s="221"/>
      <c r="C530" s="221" t="s">
        <v>49</v>
      </c>
      <c r="D530" s="221" t="s">
        <v>4085</v>
      </c>
      <c r="E530" s="221" t="s">
        <v>3295</v>
      </c>
      <c r="F530" s="221" t="s">
        <v>3299</v>
      </c>
      <c r="G530" s="222">
        <v>45453</v>
      </c>
      <c r="H530" s="223">
        <v>0.56041666666666667</v>
      </c>
      <c r="I530" s="221" t="s">
        <v>4916</v>
      </c>
      <c r="J530" s="221" t="s">
        <v>3024</v>
      </c>
      <c r="K530" s="224" t="s">
        <v>3090</v>
      </c>
      <c r="L530" s="225" t="str">
        <f>VLOOKUP(Logfile_S[[#This Row],[Material Name]],Sheet2!B:C,2,0)</f>
        <v>GCI1004</v>
      </c>
      <c r="M530" s="225" t="str">
        <f>_xlfn.XLOOKUP(Logfile_S[[#This Row],[Material Name]],Sum_WH!E:E,Sum_WH!F:F,"",0)</f>
        <v>Pcs</v>
      </c>
      <c r="N530" s="221">
        <v>15</v>
      </c>
      <c r="O530" s="221" t="s">
        <v>1473</v>
      </c>
      <c r="P530" s="221" t="s">
        <v>1474</v>
      </c>
      <c r="Q530" s="221"/>
      <c r="R530" s="221"/>
      <c r="S530" s="221"/>
      <c r="T530" s="221" t="s">
        <v>3258</v>
      </c>
      <c r="U530" s="221" t="s">
        <v>3228</v>
      </c>
      <c r="V530" s="221" t="s">
        <v>3337</v>
      </c>
      <c r="W530" s="221" t="s">
        <v>3338</v>
      </c>
      <c r="X530" s="221"/>
      <c r="Y530" s="227"/>
      <c r="Z530" s="227" t="str">
        <f>P530</f>
        <v>Dusun Sumber Bendo Kucur</v>
      </c>
      <c r="AA530" s="276" t="e">
        <f>VLOOKUP(Logfile_S[[#This Row],[DO number]],DO_DB!G:I,3,0)</f>
        <v>#N/A</v>
      </c>
      <c r="AB530" s="331" t="e">
        <f>EXACT(Logfile_S[[#This Row],[date pick]],Logfile_S[[#This Row],[Date]])</f>
        <v>#N/A</v>
      </c>
      <c r="AC5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31" spans="1:29" ht="14.5">
      <c r="A531" s="220" t="str">
        <f>TEXT(ROW(A531)-ROW($A$4),"000")</f>
        <v>527</v>
      </c>
      <c r="B531" s="221"/>
      <c r="C531" s="221" t="s">
        <v>49</v>
      </c>
      <c r="D531" s="221" t="s">
        <v>4086</v>
      </c>
      <c r="E531" s="221" t="s">
        <v>3295</v>
      </c>
      <c r="F531" s="221" t="s">
        <v>3299</v>
      </c>
      <c r="G531" s="222">
        <v>45454</v>
      </c>
      <c r="H531" s="223">
        <v>0.58402777777777781</v>
      </c>
      <c r="I531" s="221" t="s">
        <v>4916</v>
      </c>
      <c r="J531" s="221" t="s">
        <v>3023</v>
      </c>
      <c r="K531" s="224" t="s">
        <v>3080</v>
      </c>
      <c r="L531" s="225" t="str">
        <f>VLOOKUP(Logfile_S[[#This Row],[Material Name]],Sheet2!B:C,2,0)</f>
        <v>ZTE2010</v>
      </c>
      <c r="M531" s="225" t="str">
        <f>_xlfn.XLOOKUP(Logfile_S[[#This Row],[Material Name]],Sum_WH!E:E,Sum_WH!F:F,"",0)</f>
        <v>Pcs</v>
      </c>
      <c r="N531" s="221">
        <v>3</v>
      </c>
      <c r="O531" s="221" t="s">
        <v>1473</v>
      </c>
      <c r="P531" s="221" t="s">
        <v>1474</v>
      </c>
      <c r="Q531" s="221"/>
      <c r="R531" s="221"/>
      <c r="S531" s="221"/>
      <c r="T531" s="221" t="s">
        <v>3411</v>
      </c>
      <c r="U531" s="221">
        <v>0</v>
      </c>
      <c r="V531" s="221">
        <v>0</v>
      </c>
      <c r="W531" s="221" t="s">
        <v>3412</v>
      </c>
      <c r="X531" s="221" t="s">
        <v>3207</v>
      </c>
      <c r="Y531" s="227"/>
      <c r="Z531" s="227" t="str">
        <f>P531</f>
        <v>Dusun Sumber Bendo Kucur</v>
      </c>
      <c r="AA531" s="276" t="e">
        <f>VLOOKUP(Logfile_S[[#This Row],[DO number]],DO_DB!G:I,3,0)</f>
        <v>#N/A</v>
      </c>
      <c r="AB531" s="331" t="e">
        <f>EXACT(Logfile_S[[#This Row],[date pick]],Logfile_S[[#This Row],[Date]])</f>
        <v>#N/A</v>
      </c>
      <c r="AC5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32" spans="1:29" ht="14.5">
      <c r="A532" s="220" t="str">
        <f>TEXT(ROW(A532)-ROW($A$4),"000")</f>
        <v>528</v>
      </c>
      <c r="B532" s="221"/>
      <c r="C532" s="221" t="s">
        <v>49</v>
      </c>
      <c r="D532" s="221" t="s">
        <v>4087</v>
      </c>
      <c r="E532" s="221" t="s">
        <v>3295</v>
      </c>
      <c r="F532" s="221" t="s">
        <v>3299</v>
      </c>
      <c r="G532" s="222">
        <v>45454</v>
      </c>
      <c r="H532" s="223">
        <v>0.77777777777777779</v>
      </c>
      <c r="I532" s="221" t="s">
        <v>4916</v>
      </c>
      <c r="J532" s="221" t="s">
        <v>3024</v>
      </c>
      <c r="K532" s="224" t="s">
        <v>3087</v>
      </c>
      <c r="L532" s="225" t="str">
        <f>VLOOKUP(Logfile_S[[#This Row],[Material Name]],Sheet2!B:C,2,0)</f>
        <v>GCI1001</v>
      </c>
      <c r="M532" s="225" t="str">
        <f>_xlfn.XLOOKUP(Logfile_S[[#This Row],[Material Name]],Sum_WH!E:E,Sum_WH!F:F,"",0)</f>
        <v>Pcs</v>
      </c>
      <c r="N532" s="221">
        <v>1</v>
      </c>
      <c r="O532" s="221" t="s">
        <v>1473</v>
      </c>
      <c r="P532" s="221" t="s">
        <v>1474</v>
      </c>
      <c r="Q532" s="221"/>
      <c r="R532" s="221"/>
      <c r="S532" s="221"/>
      <c r="T532" s="221" t="s">
        <v>3258</v>
      </c>
      <c r="U532" s="221" t="s">
        <v>3228</v>
      </c>
      <c r="V532" s="221" t="s">
        <v>3337</v>
      </c>
      <c r="W532" s="221" t="s">
        <v>3338</v>
      </c>
      <c r="X532" s="221"/>
      <c r="Y532" s="227"/>
      <c r="Z532" s="227" t="str">
        <f>P532</f>
        <v>Dusun Sumber Bendo Kucur</v>
      </c>
      <c r="AA532" s="276" t="e">
        <f>VLOOKUP(Logfile_S[[#This Row],[DO number]],DO_DB!G:I,3,0)</f>
        <v>#N/A</v>
      </c>
      <c r="AB532" s="331" t="e">
        <f>EXACT(Logfile_S[[#This Row],[date pick]],Logfile_S[[#This Row],[Date]])</f>
        <v>#N/A</v>
      </c>
      <c r="AC5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33" spans="1:29" ht="14.5">
      <c r="A533" s="220" t="str">
        <f>TEXT(ROW(A533)-ROW($A$4),"000")</f>
        <v>529</v>
      </c>
      <c r="B533" s="221"/>
      <c r="C533" s="221" t="s">
        <v>49</v>
      </c>
      <c r="D533" s="221" t="s">
        <v>4086</v>
      </c>
      <c r="E533" s="221" t="s">
        <v>3295</v>
      </c>
      <c r="F533" s="221" t="s">
        <v>3299</v>
      </c>
      <c r="G533" s="222">
        <v>45454</v>
      </c>
      <c r="H533" s="223">
        <v>0.58402777777777781</v>
      </c>
      <c r="I533" s="221" t="s">
        <v>4916</v>
      </c>
      <c r="J533" s="221" t="s">
        <v>3023</v>
      </c>
      <c r="K533" s="224" t="s">
        <v>13</v>
      </c>
      <c r="L533" s="225" t="str">
        <f>VLOOKUP(Logfile_S[[#This Row],[Material Name]],Sheet2!B:C,2,0)</f>
        <v>ZTE2008</v>
      </c>
      <c r="M533" s="225" t="str">
        <f>_xlfn.XLOOKUP(Logfile_S[[#This Row],[Material Name]],Sum_WH!E:E,Sum_WH!F:F,"",0)</f>
        <v>Pcs</v>
      </c>
      <c r="N533" s="221">
        <v>12</v>
      </c>
      <c r="O533" s="221" t="s">
        <v>1473</v>
      </c>
      <c r="P533" s="221" t="s">
        <v>1474</v>
      </c>
      <c r="Q533" s="221"/>
      <c r="R533" s="221"/>
      <c r="S533" s="221"/>
      <c r="T533" s="221" t="s">
        <v>3411</v>
      </c>
      <c r="U533" s="221">
        <v>0</v>
      </c>
      <c r="V533" s="221">
        <v>0</v>
      </c>
      <c r="W533" s="221" t="s">
        <v>3412</v>
      </c>
      <c r="X533" s="221"/>
      <c r="Y533" s="227"/>
      <c r="Z533" s="227" t="str">
        <f>P533</f>
        <v>Dusun Sumber Bendo Kucur</v>
      </c>
      <c r="AA533" s="276" t="e">
        <f>VLOOKUP(Logfile_S[[#This Row],[DO number]],DO_DB!G:I,3,0)</f>
        <v>#N/A</v>
      </c>
      <c r="AB533" s="331" t="e">
        <f>EXACT(Logfile_S[[#This Row],[date pick]],Logfile_S[[#This Row],[Date]])</f>
        <v>#N/A</v>
      </c>
      <c r="AC5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34" spans="1:29" ht="14.5">
      <c r="A534" s="220" t="str">
        <f>TEXT(ROW(A534)-ROW($A$4),"000")</f>
        <v>530</v>
      </c>
      <c r="B534" s="221"/>
      <c r="C534" s="221" t="s">
        <v>49</v>
      </c>
      <c r="D534" s="221" t="s">
        <v>4086</v>
      </c>
      <c r="E534" s="221" t="s">
        <v>3295</v>
      </c>
      <c r="F534" s="221" t="s">
        <v>3299</v>
      </c>
      <c r="G534" s="222">
        <v>45454</v>
      </c>
      <c r="H534" s="223">
        <v>0.58402777777777781</v>
      </c>
      <c r="I534" s="221" t="s">
        <v>4916</v>
      </c>
      <c r="J534" s="221" t="s">
        <v>3023</v>
      </c>
      <c r="K534" s="224" t="s">
        <v>14</v>
      </c>
      <c r="L534" s="225" t="str">
        <f>VLOOKUP(Logfile_S[[#This Row],[Material Name]],Sheet2!B:C,2,0)</f>
        <v>ZTE2005</v>
      </c>
      <c r="M534" s="225" t="str">
        <f>_xlfn.XLOOKUP(Logfile_S[[#This Row],[Material Name]],Sum_WH!E:E,Sum_WH!F:F,"",0)</f>
        <v>Pcs</v>
      </c>
      <c r="N534" s="221">
        <v>1</v>
      </c>
      <c r="O534" s="221" t="s">
        <v>1473</v>
      </c>
      <c r="P534" s="221" t="s">
        <v>1474</v>
      </c>
      <c r="Q534" s="221"/>
      <c r="R534" s="221"/>
      <c r="S534" s="221"/>
      <c r="T534" s="221" t="s">
        <v>3411</v>
      </c>
      <c r="U534" s="221">
        <v>0</v>
      </c>
      <c r="V534" s="221">
        <v>0</v>
      </c>
      <c r="W534" s="221" t="s">
        <v>3412</v>
      </c>
      <c r="X534" s="221"/>
      <c r="Y534" s="227"/>
      <c r="Z534" s="227" t="str">
        <f>P534</f>
        <v>Dusun Sumber Bendo Kucur</v>
      </c>
      <c r="AA534" s="276" t="e">
        <f>VLOOKUP(Logfile_S[[#This Row],[DO number]],DO_DB!G:I,3,0)</f>
        <v>#N/A</v>
      </c>
      <c r="AB534" s="331" t="e">
        <f>EXACT(Logfile_S[[#This Row],[date pick]],Logfile_S[[#This Row],[Date]])</f>
        <v>#N/A</v>
      </c>
      <c r="AC5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35" spans="1:29" ht="14.5">
      <c r="A535" s="220" t="str">
        <f>TEXT(ROW(A535)-ROW($A$4),"000")</f>
        <v>531</v>
      </c>
      <c r="B535" s="221"/>
      <c r="C535" s="221" t="s">
        <v>49</v>
      </c>
      <c r="D535" s="221" t="s">
        <v>4087</v>
      </c>
      <c r="E535" s="221" t="s">
        <v>3295</v>
      </c>
      <c r="F535" s="221" t="s">
        <v>3299</v>
      </c>
      <c r="G535" s="222">
        <v>45454</v>
      </c>
      <c r="H535" s="223">
        <v>0.77777777777777779</v>
      </c>
      <c r="I535" s="221" t="s">
        <v>4916</v>
      </c>
      <c r="J535" s="221" t="s">
        <v>3023</v>
      </c>
      <c r="K535" s="224" t="s">
        <v>3070</v>
      </c>
      <c r="L535" s="225" t="str">
        <f>VLOOKUP(Logfile_S[[#This Row],[Material Name]],Sheet2!B:C,2,0)</f>
        <v>ZTE1002</v>
      </c>
      <c r="M535" s="225" t="str">
        <f>_xlfn.XLOOKUP(Logfile_S[[#This Row],[Material Name]],Sum_WH!E:E,Sum_WH!F:F,"",0)</f>
        <v>Pcs</v>
      </c>
      <c r="N535" s="221">
        <v>1</v>
      </c>
      <c r="O535" s="221" t="s">
        <v>1473</v>
      </c>
      <c r="P535" s="221" t="s">
        <v>1474</v>
      </c>
      <c r="Q535" s="221"/>
      <c r="R535" s="221"/>
      <c r="S535" s="221"/>
      <c r="T535" s="221" t="s">
        <v>3258</v>
      </c>
      <c r="U535" s="221" t="s">
        <v>3228</v>
      </c>
      <c r="V535" s="221" t="s">
        <v>3337</v>
      </c>
      <c r="W535" s="221" t="s">
        <v>3338</v>
      </c>
      <c r="X535" s="221"/>
      <c r="Y535" s="227"/>
      <c r="Z535" s="227" t="str">
        <f>P535</f>
        <v>Dusun Sumber Bendo Kucur</v>
      </c>
      <c r="AA535" s="276" t="e">
        <f>VLOOKUP(Logfile_S[[#This Row],[DO number]],DO_DB!G:I,3,0)</f>
        <v>#N/A</v>
      </c>
      <c r="AB535" s="331" t="e">
        <f>EXACT(Logfile_S[[#This Row],[date pick]],Logfile_S[[#This Row],[Date]])</f>
        <v>#N/A</v>
      </c>
      <c r="AC5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36" spans="1:29" ht="14.5">
      <c r="A536" s="220" t="str">
        <f>TEXT(ROW(A536)-ROW($A$4),"000")</f>
        <v>532</v>
      </c>
      <c r="B536" s="221"/>
      <c r="C536" s="221" t="s">
        <v>49</v>
      </c>
      <c r="D536" s="221" t="s">
        <v>4088</v>
      </c>
      <c r="E536" s="221" t="s">
        <v>3295</v>
      </c>
      <c r="F536" s="221" t="s">
        <v>3299</v>
      </c>
      <c r="G536" s="222">
        <v>45457</v>
      </c>
      <c r="H536" s="223">
        <v>0.57708333333333328</v>
      </c>
      <c r="I536" s="221" t="s">
        <v>4916</v>
      </c>
      <c r="J536" s="221" t="s">
        <v>3024</v>
      </c>
      <c r="K536" s="224" t="s">
        <v>5137</v>
      </c>
      <c r="L536" s="225" t="str">
        <f>VLOOKUP(Logfile_S[[#This Row],[Material Name]],Sheet2!B:C,2,0)</f>
        <v>GCI1009</v>
      </c>
      <c r="M536" s="225" t="str">
        <f>_xlfn.XLOOKUP(Logfile_S[[#This Row],[Material Name]],Sum_WH!E:E,Sum_WH!F:F,"",0)</f>
        <v>Pcs</v>
      </c>
      <c r="N536" s="221">
        <v>6</v>
      </c>
      <c r="O536" s="221" t="s">
        <v>1473</v>
      </c>
      <c r="P536" s="221" t="s">
        <v>1474</v>
      </c>
      <c r="Q536" s="221"/>
      <c r="R536" s="221"/>
      <c r="S536" s="221"/>
      <c r="T536" s="221" t="s">
        <v>3356</v>
      </c>
      <c r="U536" s="221" t="s">
        <v>3228</v>
      </c>
      <c r="V536" s="221" t="s">
        <v>3357</v>
      </c>
      <c r="W536" s="221" t="s">
        <v>3358</v>
      </c>
      <c r="X536" s="221"/>
      <c r="Y536" s="227"/>
      <c r="Z536" s="227" t="str">
        <f>P536</f>
        <v>Dusun Sumber Bendo Kucur</v>
      </c>
      <c r="AA536" s="276" t="e">
        <f>VLOOKUP(Logfile_S[[#This Row],[DO number]],DO_DB!G:I,3,0)</f>
        <v>#N/A</v>
      </c>
      <c r="AB536" s="331" t="e">
        <f>EXACT(Logfile_S[[#This Row],[date pick]],Logfile_S[[#This Row],[Date]])</f>
        <v>#N/A</v>
      </c>
      <c r="AC5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37" spans="1:29" ht="14.5">
      <c r="A537" s="220" t="str">
        <f>TEXT(ROW(A537)-ROW($A$4),"000")</f>
        <v>533</v>
      </c>
      <c r="B537" s="221"/>
      <c r="C537" s="221" t="s">
        <v>49</v>
      </c>
      <c r="D537" s="221" t="s">
        <v>4088</v>
      </c>
      <c r="E537" s="221" t="s">
        <v>3295</v>
      </c>
      <c r="F537" s="221" t="s">
        <v>3299</v>
      </c>
      <c r="G537" s="222">
        <v>45457</v>
      </c>
      <c r="H537" s="223">
        <v>0.57708333333333328</v>
      </c>
      <c r="I537" s="221" t="s">
        <v>4916</v>
      </c>
      <c r="J537" s="221" t="s">
        <v>3024</v>
      </c>
      <c r="K537" s="224" t="s">
        <v>3108</v>
      </c>
      <c r="L537" s="225" t="str">
        <f>VLOOKUP(Logfile_S[[#This Row],[Material Name]],Sheet2!B:C,2,0)</f>
        <v>GCI1020</v>
      </c>
      <c r="M537" s="225" t="str">
        <f>_xlfn.XLOOKUP(Logfile_S[[#This Row],[Material Name]],Sum_WH!E:E,Sum_WH!F:F,"",0)</f>
        <v>Pcs</v>
      </c>
      <c r="N537" s="221">
        <v>7</v>
      </c>
      <c r="O537" s="221" t="s">
        <v>1473</v>
      </c>
      <c r="P537" s="221" t="s">
        <v>1474</v>
      </c>
      <c r="Q537" s="221"/>
      <c r="R537" s="221"/>
      <c r="S537" s="221"/>
      <c r="T537" s="221" t="s">
        <v>3356</v>
      </c>
      <c r="U537" s="221" t="s">
        <v>3228</v>
      </c>
      <c r="V537" s="221" t="s">
        <v>3357</v>
      </c>
      <c r="W537" s="221" t="s">
        <v>3358</v>
      </c>
      <c r="X537" s="221"/>
      <c r="Y537" s="227"/>
      <c r="Z537" s="227" t="str">
        <f>P537</f>
        <v>Dusun Sumber Bendo Kucur</v>
      </c>
      <c r="AA537" s="276" t="e">
        <f>VLOOKUP(Logfile_S[[#This Row],[DO number]],DO_DB!G:I,3,0)</f>
        <v>#N/A</v>
      </c>
      <c r="AB537" s="331" t="e">
        <f>EXACT(Logfile_S[[#This Row],[date pick]],Logfile_S[[#This Row],[Date]])</f>
        <v>#N/A</v>
      </c>
      <c r="AC5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38" spans="1:29" ht="14.5">
      <c r="A538" s="220" t="str">
        <f>TEXT(ROW(A538)-ROW($A$4),"000")</f>
        <v>534</v>
      </c>
      <c r="B538" s="221"/>
      <c r="C538" s="221" t="s">
        <v>49</v>
      </c>
      <c r="D538" s="221" t="s">
        <v>4088</v>
      </c>
      <c r="E538" s="221" t="s">
        <v>3295</v>
      </c>
      <c r="F538" s="221" t="s">
        <v>3299</v>
      </c>
      <c r="G538" s="222">
        <v>45457</v>
      </c>
      <c r="H538" s="223">
        <v>0.57708333333333328</v>
      </c>
      <c r="I538" s="221" t="s">
        <v>4916</v>
      </c>
      <c r="J538" s="221" t="s">
        <v>3024</v>
      </c>
      <c r="K538" s="224" t="s">
        <v>3094</v>
      </c>
      <c r="L538" s="225" t="str">
        <f>VLOOKUP(Logfile_S[[#This Row],[Material Name]],Sheet2!B:C,2,0)</f>
        <v>GCI1008</v>
      </c>
      <c r="M538" s="225" t="str">
        <f>_xlfn.XLOOKUP(Logfile_S[[#This Row],[Material Name]],Sum_WH!E:E,Sum_WH!F:F,"",0)</f>
        <v>Pcs</v>
      </c>
      <c r="N538" s="221">
        <v>7</v>
      </c>
      <c r="O538" s="221" t="s">
        <v>1473</v>
      </c>
      <c r="P538" s="221" t="s">
        <v>1474</v>
      </c>
      <c r="Q538" s="221"/>
      <c r="R538" s="221"/>
      <c r="S538" s="221"/>
      <c r="T538" s="221" t="s">
        <v>3356</v>
      </c>
      <c r="U538" s="221" t="s">
        <v>3228</v>
      </c>
      <c r="V538" s="221" t="s">
        <v>3357</v>
      </c>
      <c r="W538" s="221" t="s">
        <v>3358</v>
      </c>
      <c r="X538" s="221"/>
      <c r="Y538" s="227"/>
      <c r="Z538" s="227" t="str">
        <f>P538</f>
        <v>Dusun Sumber Bendo Kucur</v>
      </c>
      <c r="AA538" s="276" t="e">
        <f>VLOOKUP(Logfile_S[[#This Row],[DO number]],DO_DB!G:I,3,0)</f>
        <v>#N/A</v>
      </c>
      <c r="AB538" s="331" t="e">
        <f>EXACT(Logfile_S[[#This Row],[date pick]],Logfile_S[[#This Row],[Date]])</f>
        <v>#N/A</v>
      </c>
      <c r="AC5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39" spans="1:29" ht="14.5">
      <c r="A539" s="220" t="str">
        <f>TEXT(ROW(A539)-ROW($A$4),"000")</f>
        <v>535</v>
      </c>
      <c r="B539" s="221"/>
      <c r="C539" s="221" t="s">
        <v>49</v>
      </c>
      <c r="D539" s="221" t="s">
        <v>4117</v>
      </c>
      <c r="E539" s="221" t="s">
        <v>3295</v>
      </c>
      <c r="F539" s="221" t="s">
        <v>3299</v>
      </c>
      <c r="G539" s="222">
        <v>45485</v>
      </c>
      <c r="H539" s="223">
        <v>0.4</v>
      </c>
      <c r="I539" s="221" t="s">
        <v>4916</v>
      </c>
      <c r="J539" s="221" t="s">
        <v>3024</v>
      </c>
      <c r="K539" s="224" t="s">
        <v>3097</v>
      </c>
      <c r="L539" s="225" t="str">
        <f>VLOOKUP(Logfile_S[[#This Row],[Material Name]],Sheet2!B:C,2,0)</f>
        <v>GCI1011</v>
      </c>
      <c r="M539" s="225" t="str">
        <f>_xlfn.XLOOKUP(Logfile_S[[#This Row],[Material Name]],Sum_WH!E:E,Sum_WH!F:F,"",0)</f>
        <v>Pcs</v>
      </c>
      <c r="N539" s="221">
        <v>0.8</v>
      </c>
      <c r="O539" s="221" t="s">
        <v>2007</v>
      </c>
      <c r="P539" s="221" t="s">
        <v>2008</v>
      </c>
      <c r="Q539" s="221"/>
      <c r="R539" s="221"/>
      <c r="S539" s="221"/>
      <c r="T539" s="221" t="s">
        <v>3258</v>
      </c>
      <c r="U539" s="221" t="s">
        <v>3228</v>
      </c>
      <c r="V539" s="221" t="s">
        <v>3337</v>
      </c>
      <c r="W539" s="221" t="s">
        <v>3338</v>
      </c>
      <c r="X539" s="221"/>
      <c r="Y539" s="227"/>
      <c r="Z539" s="227" t="str">
        <f>P539</f>
        <v>Ngenep RW 06 Karang Ploso</v>
      </c>
      <c r="AA539" s="276" t="e">
        <f>VLOOKUP(Logfile_S[[#This Row],[DO number]],DO_DB!G:I,3,0)</f>
        <v>#N/A</v>
      </c>
      <c r="AB539" s="331" t="e">
        <f>EXACT(Logfile_S[[#This Row],[date pick]],Logfile_S[[#This Row],[Date]])</f>
        <v>#N/A</v>
      </c>
      <c r="AC5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40" spans="1:29" ht="14.5">
      <c r="A540" s="220" t="str">
        <f>TEXT(ROW(A540)-ROW($A$4),"000")</f>
        <v>536</v>
      </c>
      <c r="B540" s="221"/>
      <c r="C540" s="221" t="s">
        <v>49</v>
      </c>
      <c r="D540" s="221" t="s">
        <v>4117</v>
      </c>
      <c r="E540" s="221" t="s">
        <v>3295</v>
      </c>
      <c r="F540" s="221" t="s">
        <v>3299</v>
      </c>
      <c r="G540" s="222">
        <v>45485</v>
      </c>
      <c r="H540" s="223">
        <v>0.4</v>
      </c>
      <c r="I540" s="221" t="s">
        <v>4916</v>
      </c>
      <c r="J540" s="221" t="s">
        <v>3024</v>
      </c>
      <c r="K540" s="224" t="s">
        <v>3091</v>
      </c>
      <c r="L540" s="225" t="str">
        <f>VLOOKUP(Logfile_S[[#This Row],[Material Name]],Sheet2!B:C,2,0)</f>
        <v>GCI1005</v>
      </c>
      <c r="M540" s="225" t="str">
        <f>_xlfn.XLOOKUP(Logfile_S[[#This Row],[Material Name]],Sum_WH!E:E,Sum_WH!F:F,"",0)</f>
        <v>Pcs</v>
      </c>
      <c r="N540" s="221">
        <v>30</v>
      </c>
      <c r="O540" s="221" t="s">
        <v>2007</v>
      </c>
      <c r="P540" s="221" t="s">
        <v>2008</v>
      </c>
      <c r="Q540" s="221"/>
      <c r="R540" s="221"/>
      <c r="S540" s="221"/>
      <c r="T540" s="221" t="s">
        <v>3258</v>
      </c>
      <c r="U540" s="221" t="s">
        <v>3228</v>
      </c>
      <c r="V540" s="221" t="s">
        <v>3337</v>
      </c>
      <c r="W540" s="221" t="s">
        <v>3338</v>
      </c>
      <c r="X540" s="221"/>
      <c r="Y540" s="227"/>
      <c r="Z540" s="227" t="str">
        <f>P540</f>
        <v>Ngenep RW 06 Karang Ploso</v>
      </c>
      <c r="AA540" s="276" t="e">
        <f>VLOOKUP(Logfile_S[[#This Row],[DO number]],DO_DB!G:I,3,0)</f>
        <v>#N/A</v>
      </c>
      <c r="AB540" s="331" t="e">
        <f>EXACT(Logfile_S[[#This Row],[date pick]],Logfile_S[[#This Row],[Date]])</f>
        <v>#N/A</v>
      </c>
      <c r="AC5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41" spans="1:29" ht="14.5">
      <c r="A541" s="220" t="str">
        <f>TEXT(ROW(A541)-ROW($A$4),"000")</f>
        <v>537</v>
      </c>
      <c r="B541" s="221"/>
      <c r="C541" s="221" t="s">
        <v>49</v>
      </c>
      <c r="D541" s="221" t="s">
        <v>4117</v>
      </c>
      <c r="E541" s="221" t="s">
        <v>3295</v>
      </c>
      <c r="F541" s="221" t="s">
        <v>3299</v>
      </c>
      <c r="G541" s="222">
        <v>45485</v>
      </c>
      <c r="H541" s="223">
        <v>0.4</v>
      </c>
      <c r="I541" s="221" t="s">
        <v>4916</v>
      </c>
      <c r="J541" s="221" t="s">
        <v>3024</v>
      </c>
      <c r="K541" s="224" t="s">
        <v>3087</v>
      </c>
      <c r="L541" s="225" t="str">
        <f>VLOOKUP(Logfile_S[[#This Row],[Material Name]],Sheet2!B:C,2,0)</f>
        <v>GCI1001</v>
      </c>
      <c r="M541" s="225" t="str">
        <f>_xlfn.XLOOKUP(Logfile_S[[#This Row],[Material Name]],Sum_WH!E:E,Sum_WH!F:F,"",0)</f>
        <v>Pcs</v>
      </c>
      <c r="N541" s="221">
        <v>6</v>
      </c>
      <c r="O541" s="221" t="s">
        <v>2007</v>
      </c>
      <c r="P541" s="221" t="s">
        <v>2008</v>
      </c>
      <c r="Q541" s="221"/>
      <c r="R541" s="221"/>
      <c r="S541" s="221"/>
      <c r="T541" s="221" t="s">
        <v>3258</v>
      </c>
      <c r="U541" s="221" t="s">
        <v>3228</v>
      </c>
      <c r="V541" s="221" t="s">
        <v>3337</v>
      </c>
      <c r="W541" s="221" t="s">
        <v>3338</v>
      </c>
      <c r="X541" s="221"/>
      <c r="Y541" s="227"/>
      <c r="Z541" s="227" t="str">
        <f>P541</f>
        <v>Ngenep RW 06 Karang Ploso</v>
      </c>
      <c r="AA541" s="276" t="e">
        <f>VLOOKUP(Logfile_S[[#This Row],[DO number]],DO_DB!G:I,3,0)</f>
        <v>#N/A</v>
      </c>
      <c r="AB541" s="331" t="e">
        <f>EXACT(Logfile_S[[#This Row],[date pick]],Logfile_S[[#This Row],[Date]])</f>
        <v>#N/A</v>
      </c>
      <c r="AC5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42" spans="1:29" ht="14.5">
      <c r="A542" s="220" t="str">
        <f>TEXT(ROW(A542)-ROW($A$4),"000")</f>
        <v>538</v>
      </c>
      <c r="B542" s="221"/>
      <c r="C542" s="221" t="s">
        <v>49</v>
      </c>
      <c r="D542" s="221" t="s">
        <v>4117</v>
      </c>
      <c r="E542" s="221" t="s">
        <v>3295</v>
      </c>
      <c r="F542" s="221" t="s">
        <v>3299</v>
      </c>
      <c r="G542" s="222">
        <v>45485</v>
      </c>
      <c r="H542" s="223">
        <v>0.4</v>
      </c>
      <c r="I542" s="221" t="s">
        <v>4916</v>
      </c>
      <c r="J542" s="221" t="s">
        <v>3024</v>
      </c>
      <c r="K542" s="224" t="s">
        <v>5137</v>
      </c>
      <c r="L542" s="225" t="str">
        <f>VLOOKUP(Logfile_S[[#This Row],[Material Name]],Sheet2!B:C,2,0)</f>
        <v>GCI1009</v>
      </c>
      <c r="M542" s="225" t="str">
        <f>_xlfn.XLOOKUP(Logfile_S[[#This Row],[Material Name]],Sum_WH!E:E,Sum_WH!F:F,"",0)</f>
        <v>Pcs</v>
      </c>
      <c r="N542" s="221">
        <v>70</v>
      </c>
      <c r="O542" s="221" t="s">
        <v>2007</v>
      </c>
      <c r="P542" s="221" t="s">
        <v>2008</v>
      </c>
      <c r="Q542" s="221"/>
      <c r="R542" s="221"/>
      <c r="S542" s="221"/>
      <c r="T542" s="221" t="s">
        <v>3258</v>
      </c>
      <c r="U542" s="221" t="s">
        <v>3228</v>
      </c>
      <c r="V542" s="221" t="s">
        <v>3337</v>
      </c>
      <c r="W542" s="221" t="s">
        <v>3338</v>
      </c>
      <c r="X542" s="221"/>
      <c r="Y542" s="227"/>
      <c r="Z542" s="227" t="str">
        <f>P542</f>
        <v>Ngenep RW 06 Karang Ploso</v>
      </c>
      <c r="AA542" s="276" t="e">
        <f>VLOOKUP(Logfile_S[[#This Row],[DO number]],DO_DB!G:I,3,0)</f>
        <v>#N/A</v>
      </c>
      <c r="AB542" s="331" t="e">
        <f>EXACT(Logfile_S[[#This Row],[date pick]],Logfile_S[[#This Row],[Date]])</f>
        <v>#N/A</v>
      </c>
      <c r="AC5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43" spans="1:29" ht="14.5">
      <c r="A543" s="220" t="str">
        <f>TEXT(ROW(A543)-ROW($A$4),"000")</f>
        <v>539</v>
      </c>
      <c r="B543" s="221"/>
      <c r="C543" s="221" t="s">
        <v>49</v>
      </c>
      <c r="D543" s="221" t="s">
        <v>4117</v>
      </c>
      <c r="E543" s="221" t="s">
        <v>3295</v>
      </c>
      <c r="F543" s="221" t="s">
        <v>3299</v>
      </c>
      <c r="G543" s="222">
        <v>45485</v>
      </c>
      <c r="H543" s="223">
        <v>0.4</v>
      </c>
      <c r="I543" s="221" t="s">
        <v>4916</v>
      </c>
      <c r="J543" s="221" t="s">
        <v>3023</v>
      </c>
      <c r="K543" s="224" t="s">
        <v>3070</v>
      </c>
      <c r="L543" s="225" t="str">
        <f>VLOOKUP(Logfile_S[[#This Row],[Material Name]],Sheet2!B:C,2,0)</f>
        <v>ZTE1002</v>
      </c>
      <c r="M543" s="225" t="str">
        <f>_xlfn.XLOOKUP(Logfile_S[[#This Row],[Material Name]],Sum_WH!E:E,Sum_WH!F:F,"",0)</f>
        <v>Pcs</v>
      </c>
      <c r="N543" s="221">
        <v>3</v>
      </c>
      <c r="O543" s="221" t="s">
        <v>2007</v>
      </c>
      <c r="P543" s="221" t="s">
        <v>2008</v>
      </c>
      <c r="Q543" s="221"/>
      <c r="R543" s="221"/>
      <c r="S543" s="221"/>
      <c r="T543" s="221" t="s">
        <v>3258</v>
      </c>
      <c r="U543" s="221" t="s">
        <v>3228</v>
      </c>
      <c r="V543" s="221" t="s">
        <v>3337</v>
      </c>
      <c r="W543" s="221" t="s">
        <v>3338</v>
      </c>
      <c r="X543" s="221"/>
      <c r="Y543" s="227"/>
      <c r="Z543" s="227" t="str">
        <f>P543</f>
        <v>Ngenep RW 06 Karang Ploso</v>
      </c>
      <c r="AA543" s="276" t="e">
        <f>VLOOKUP(Logfile_S[[#This Row],[DO number]],DO_DB!G:I,3,0)</f>
        <v>#N/A</v>
      </c>
      <c r="AB543" s="331" t="e">
        <f>EXACT(Logfile_S[[#This Row],[date pick]],Logfile_S[[#This Row],[Date]])</f>
        <v>#N/A</v>
      </c>
      <c r="AC5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44" spans="1:29" ht="14.5">
      <c r="A544" s="220" t="str">
        <f>TEXT(ROW(A544)-ROW($A$4),"000")</f>
        <v>540</v>
      </c>
      <c r="B544" s="221"/>
      <c r="C544" s="221" t="s">
        <v>49</v>
      </c>
      <c r="D544" s="221" t="s">
        <v>4117</v>
      </c>
      <c r="E544" s="221" t="s">
        <v>3295</v>
      </c>
      <c r="F544" s="221" t="s">
        <v>3299</v>
      </c>
      <c r="G544" s="222">
        <v>45485</v>
      </c>
      <c r="H544" s="223">
        <v>0.4</v>
      </c>
      <c r="I544" s="221" t="s">
        <v>4916</v>
      </c>
      <c r="J544" s="221" t="s">
        <v>3023</v>
      </c>
      <c r="K544" s="224" t="s">
        <v>3069</v>
      </c>
      <c r="L544" s="225" t="str">
        <f>VLOOKUP(Logfile_S[[#This Row],[Material Name]],Sheet2!B:C,2,0)</f>
        <v>ZTE1001</v>
      </c>
      <c r="M544" s="225" t="str">
        <f>_xlfn.XLOOKUP(Logfile_S[[#This Row],[Material Name]],Sum_WH!E:E,Sum_WH!F:F,"",0)</f>
        <v>Pcs</v>
      </c>
      <c r="N544" s="221">
        <v>23</v>
      </c>
      <c r="O544" s="221" t="s">
        <v>2007</v>
      </c>
      <c r="P544" s="221" t="s">
        <v>2008</v>
      </c>
      <c r="Q544" s="221"/>
      <c r="R544" s="221"/>
      <c r="S544" s="221"/>
      <c r="T544" s="221" t="s">
        <v>3258</v>
      </c>
      <c r="U544" s="221" t="s">
        <v>3228</v>
      </c>
      <c r="V544" s="221" t="s">
        <v>3337</v>
      </c>
      <c r="W544" s="221" t="s">
        <v>3338</v>
      </c>
      <c r="X544" s="221"/>
      <c r="Y544" s="227"/>
      <c r="Z544" s="227" t="str">
        <f>P544</f>
        <v>Ngenep RW 06 Karang Ploso</v>
      </c>
      <c r="AA544" s="276" t="e">
        <f>VLOOKUP(Logfile_S[[#This Row],[DO number]],DO_DB!G:I,3,0)</f>
        <v>#N/A</v>
      </c>
      <c r="AB544" s="331" t="e">
        <f>EXACT(Logfile_S[[#This Row],[date pick]],Logfile_S[[#This Row],[Date]])</f>
        <v>#N/A</v>
      </c>
      <c r="AC5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45" spans="1:29" ht="14.5">
      <c r="A545" s="220" t="str">
        <f>TEXT(ROW(A545)-ROW($A$4),"000")</f>
        <v>541</v>
      </c>
      <c r="B545" s="221"/>
      <c r="C545" s="221" t="s">
        <v>49</v>
      </c>
      <c r="D545" s="221" t="s">
        <v>4117</v>
      </c>
      <c r="E545" s="221" t="s">
        <v>3295</v>
      </c>
      <c r="F545" s="221" t="s">
        <v>3299</v>
      </c>
      <c r="G545" s="222">
        <v>45485</v>
      </c>
      <c r="H545" s="223">
        <v>0.4</v>
      </c>
      <c r="I545" s="221" t="s">
        <v>4916</v>
      </c>
      <c r="J545" s="221" t="s">
        <v>3024</v>
      </c>
      <c r="K545" s="224" t="s">
        <v>3094</v>
      </c>
      <c r="L545" s="225" t="str">
        <f>VLOOKUP(Logfile_S[[#This Row],[Material Name]],Sheet2!B:C,2,0)</f>
        <v>GCI1008</v>
      </c>
      <c r="M545" s="225" t="str">
        <f>_xlfn.XLOOKUP(Logfile_S[[#This Row],[Material Name]],Sum_WH!E:E,Sum_WH!F:F,"",0)</f>
        <v>Pcs</v>
      </c>
      <c r="N545" s="221">
        <v>12</v>
      </c>
      <c r="O545" s="221" t="s">
        <v>2007</v>
      </c>
      <c r="P545" s="221" t="s">
        <v>2008</v>
      </c>
      <c r="Q545" s="221"/>
      <c r="R545" s="221"/>
      <c r="S545" s="221"/>
      <c r="T545" s="221" t="s">
        <v>3258</v>
      </c>
      <c r="U545" s="221" t="s">
        <v>3228</v>
      </c>
      <c r="V545" s="221" t="s">
        <v>3337</v>
      </c>
      <c r="W545" s="221" t="s">
        <v>3338</v>
      </c>
      <c r="X545" s="221"/>
      <c r="Y545" s="227"/>
      <c r="Z545" s="227" t="str">
        <f>P545</f>
        <v>Ngenep RW 06 Karang Ploso</v>
      </c>
      <c r="AA545" s="276" t="e">
        <f>VLOOKUP(Logfile_S[[#This Row],[DO number]],DO_DB!G:I,3,0)</f>
        <v>#N/A</v>
      </c>
      <c r="AB545" s="331" t="e">
        <f>EXACT(Logfile_S[[#This Row],[date pick]],Logfile_S[[#This Row],[Date]])</f>
        <v>#N/A</v>
      </c>
      <c r="AC5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46" spans="1:29" ht="14.5">
      <c r="A546" s="220" t="str">
        <f>TEXT(ROW(A546)-ROW($A$4),"000")</f>
        <v>542</v>
      </c>
      <c r="B546" s="221"/>
      <c r="C546" s="221" t="s">
        <v>49</v>
      </c>
      <c r="D546" s="221" t="s">
        <v>4119</v>
      </c>
      <c r="E546" s="221" t="s">
        <v>3295</v>
      </c>
      <c r="F546" s="221" t="s">
        <v>3299</v>
      </c>
      <c r="G546" s="222">
        <v>45487</v>
      </c>
      <c r="H546" s="223">
        <v>0.77013888888888893</v>
      </c>
      <c r="I546" s="221" t="s">
        <v>4916</v>
      </c>
      <c r="J546" s="221" t="s">
        <v>3023</v>
      </c>
      <c r="K546" s="224" t="s">
        <v>13</v>
      </c>
      <c r="L546" s="225" t="str">
        <f>VLOOKUP(Logfile_S[[#This Row],[Material Name]],Sheet2!B:C,2,0)</f>
        <v>ZTE2008</v>
      </c>
      <c r="M546" s="225" t="str">
        <f>_xlfn.XLOOKUP(Logfile_S[[#This Row],[Material Name]],Sum_WH!E:E,Sum_WH!F:F,"",0)</f>
        <v>Pcs</v>
      </c>
      <c r="N546" s="221">
        <v>12</v>
      </c>
      <c r="O546" s="221" t="s">
        <v>2007</v>
      </c>
      <c r="P546" s="221" t="s">
        <v>2008</v>
      </c>
      <c r="Q546" s="221"/>
      <c r="R546" s="221"/>
      <c r="S546" s="221"/>
      <c r="T546" s="221" t="s">
        <v>3471</v>
      </c>
      <c r="U546" s="221">
        <v>0</v>
      </c>
      <c r="V546" s="221" t="s">
        <v>3472</v>
      </c>
      <c r="W546" s="221" t="s">
        <v>3473</v>
      </c>
      <c r="X546" s="221"/>
      <c r="Y546" s="227"/>
      <c r="Z546" s="227" t="str">
        <f>P546</f>
        <v>Ngenep RW 06 Karang Ploso</v>
      </c>
      <c r="AA546" s="276" t="e">
        <f>VLOOKUP(Logfile_S[[#This Row],[DO number]],DO_DB!G:I,3,0)</f>
        <v>#N/A</v>
      </c>
      <c r="AB546" s="331" t="e">
        <f>EXACT(Logfile_S[[#This Row],[date pick]],Logfile_S[[#This Row],[Date]])</f>
        <v>#N/A</v>
      </c>
      <c r="AC5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47" spans="1:29" ht="14.5">
      <c r="A547" s="220" t="str">
        <f>TEXT(ROW(A547)-ROW($A$4),"000")</f>
        <v>543</v>
      </c>
      <c r="B547" s="221"/>
      <c r="C547" s="221" t="s">
        <v>49</v>
      </c>
      <c r="D547" s="221" t="s">
        <v>4119</v>
      </c>
      <c r="E547" s="221" t="s">
        <v>3295</v>
      </c>
      <c r="F547" s="221" t="s">
        <v>3299</v>
      </c>
      <c r="G547" s="222">
        <v>45487</v>
      </c>
      <c r="H547" s="223">
        <v>0.77013888888888893</v>
      </c>
      <c r="I547" s="221" t="s">
        <v>4916</v>
      </c>
      <c r="J547" s="221" t="s">
        <v>3023</v>
      </c>
      <c r="K547" s="224" t="s">
        <v>14</v>
      </c>
      <c r="L547" s="225" t="str">
        <f>VLOOKUP(Logfile_S[[#This Row],[Material Name]],Sheet2!B:C,2,0)</f>
        <v>ZTE2005</v>
      </c>
      <c r="M547" s="225" t="str">
        <f>_xlfn.XLOOKUP(Logfile_S[[#This Row],[Material Name]],Sum_WH!E:E,Sum_WH!F:F,"",0)</f>
        <v>Pcs</v>
      </c>
      <c r="N547" s="221">
        <v>1</v>
      </c>
      <c r="O547" s="221" t="s">
        <v>2007</v>
      </c>
      <c r="P547" s="221" t="s">
        <v>2008</v>
      </c>
      <c r="Q547" s="221"/>
      <c r="R547" s="221"/>
      <c r="S547" s="221"/>
      <c r="T547" s="221" t="s">
        <v>3471</v>
      </c>
      <c r="U547" s="221">
        <v>0</v>
      </c>
      <c r="V547" s="221" t="s">
        <v>3472</v>
      </c>
      <c r="W547" s="221" t="s">
        <v>3473</v>
      </c>
      <c r="X547" s="221"/>
      <c r="Y547" s="227"/>
      <c r="Z547" s="227" t="str">
        <f>P547</f>
        <v>Ngenep RW 06 Karang Ploso</v>
      </c>
      <c r="AA547" s="276" t="e">
        <f>VLOOKUP(Logfile_S[[#This Row],[DO number]],DO_DB!G:I,3,0)</f>
        <v>#N/A</v>
      </c>
      <c r="AB547" s="331" t="e">
        <f>EXACT(Logfile_S[[#This Row],[date pick]],Logfile_S[[#This Row],[Date]])</f>
        <v>#N/A</v>
      </c>
      <c r="AC5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48" spans="1:29" ht="14.5">
      <c r="A548" s="220" t="str">
        <f>TEXT(ROW(A548)-ROW($A$4),"000")</f>
        <v>544</v>
      </c>
      <c r="B548" s="221"/>
      <c r="C548" s="221" t="s">
        <v>49</v>
      </c>
      <c r="D548" s="221" t="s">
        <v>4120</v>
      </c>
      <c r="E548" s="221" t="s">
        <v>3295</v>
      </c>
      <c r="F548" s="221" t="s">
        <v>3299</v>
      </c>
      <c r="G548" s="222">
        <v>45492</v>
      </c>
      <c r="H548" s="223">
        <v>0.40277777777777779</v>
      </c>
      <c r="I548" s="221" t="s">
        <v>4916</v>
      </c>
      <c r="J548" s="221" t="s">
        <v>3024</v>
      </c>
      <c r="K548" s="224" t="s">
        <v>3091</v>
      </c>
      <c r="L548" s="225" t="str">
        <f>VLOOKUP(Logfile_S[[#This Row],[Material Name]],Sheet2!B:C,2,0)</f>
        <v>GCI1005</v>
      </c>
      <c r="M548" s="225" t="str">
        <f>_xlfn.XLOOKUP(Logfile_S[[#This Row],[Material Name]],Sum_WH!E:E,Sum_WH!F:F,"",0)</f>
        <v>Pcs</v>
      </c>
      <c r="N548" s="221">
        <v>15</v>
      </c>
      <c r="O548" s="221" t="s">
        <v>2007</v>
      </c>
      <c r="P548" s="221" t="s">
        <v>2008</v>
      </c>
      <c r="Q548" s="221"/>
      <c r="R548" s="221"/>
      <c r="S548" s="221"/>
      <c r="T548" s="221" t="s">
        <v>3258</v>
      </c>
      <c r="U548" s="221" t="s">
        <v>3228</v>
      </c>
      <c r="V548" s="221" t="s">
        <v>3337</v>
      </c>
      <c r="W548" s="221" t="s">
        <v>3338</v>
      </c>
      <c r="X548" s="221"/>
      <c r="Y548" s="227"/>
      <c r="Z548" s="227" t="str">
        <f>P548</f>
        <v>Ngenep RW 06 Karang Ploso</v>
      </c>
      <c r="AA548" s="276" t="e">
        <f>VLOOKUP(Logfile_S[[#This Row],[DO number]],DO_DB!G:I,3,0)</f>
        <v>#N/A</v>
      </c>
      <c r="AB548" s="331" t="e">
        <f>EXACT(Logfile_S[[#This Row],[date pick]],Logfile_S[[#This Row],[Date]])</f>
        <v>#N/A</v>
      </c>
      <c r="AC5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49" spans="1:29" ht="14.5">
      <c r="A549" s="220" t="str">
        <f>TEXT(ROW(A549)-ROW($A$4),"000")</f>
        <v>545</v>
      </c>
      <c r="B549" s="221"/>
      <c r="C549" s="221" t="s">
        <v>49</v>
      </c>
      <c r="D549" s="221" t="s">
        <v>4120</v>
      </c>
      <c r="E549" s="221" t="s">
        <v>3295</v>
      </c>
      <c r="F549" s="221" t="s">
        <v>3299</v>
      </c>
      <c r="G549" s="222">
        <v>45492</v>
      </c>
      <c r="H549" s="223">
        <v>0.40277777777777779</v>
      </c>
      <c r="I549" s="221" t="s">
        <v>4916</v>
      </c>
      <c r="J549" s="221" t="s">
        <v>3024</v>
      </c>
      <c r="K549" s="224" t="s">
        <v>3087</v>
      </c>
      <c r="L549" s="225" t="str">
        <f>VLOOKUP(Logfile_S[[#This Row],[Material Name]],Sheet2!B:C,2,0)</f>
        <v>GCI1001</v>
      </c>
      <c r="M549" s="225" t="str">
        <f>_xlfn.XLOOKUP(Logfile_S[[#This Row],[Material Name]],Sum_WH!E:E,Sum_WH!F:F,"",0)</f>
        <v>Pcs</v>
      </c>
      <c r="N549" s="221">
        <v>3</v>
      </c>
      <c r="O549" s="221" t="s">
        <v>2007</v>
      </c>
      <c r="P549" s="221" t="s">
        <v>2008</v>
      </c>
      <c r="Q549" s="221"/>
      <c r="R549" s="221"/>
      <c r="S549" s="221"/>
      <c r="T549" s="221" t="s">
        <v>3258</v>
      </c>
      <c r="U549" s="221" t="s">
        <v>3228</v>
      </c>
      <c r="V549" s="221" t="s">
        <v>3337</v>
      </c>
      <c r="W549" s="221" t="s">
        <v>3338</v>
      </c>
      <c r="X549" s="221"/>
      <c r="Y549" s="227"/>
      <c r="Z549" s="227" t="str">
        <f>P549</f>
        <v>Ngenep RW 06 Karang Ploso</v>
      </c>
      <c r="AA549" s="276" t="e">
        <f>VLOOKUP(Logfile_S[[#This Row],[DO number]],DO_DB!G:I,3,0)</f>
        <v>#N/A</v>
      </c>
      <c r="AB549" s="331" t="e">
        <f>EXACT(Logfile_S[[#This Row],[date pick]],Logfile_S[[#This Row],[Date]])</f>
        <v>#N/A</v>
      </c>
      <c r="AC5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50" spans="1:29" ht="14.5">
      <c r="A550" s="220" t="str">
        <f>TEXT(ROW(A550)-ROW($A$4),"000")</f>
        <v>546</v>
      </c>
      <c r="B550" s="221"/>
      <c r="C550" s="221" t="s">
        <v>49</v>
      </c>
      <c r="D550" s="221" t="s">
        <v>4120</v>
      </c>
      <c r="E550" s="221" t="s">
        <v>3295</v>
      </c>
      <c r="F550" s="221" t="s">
        <v>3299</v>
      </c>
      <c r="G550" s="222">
        <v>45492</v>
      </c>
      <c r="H550" s="223">
        <v>0.40277777777777779</v>
      </c>
      <c r="I550" s="221" t="s">
        <v>4916</v>
      </c>
      <c r="J550" s="221" t="s">
        <v>3023</v>
      </c>
      <c r="K550" s="224" t="s">
        <v>3070</v>
      </c>
      <c r="L550" s="225" t="str">
        <f>VLOOKUP(Logfile_S[[#This Row],[Material Name]],Sheet2!B:C,2,0)</f>
        <v>ZTE1002</v>
      </c>
      <c r="M550" s="225" t="str">
        <f>_xlfn.XLOOKUP(Logfile_S[[#This Row],[Material Name]],Sum_WH!E:E,Sum_WH!F:F,"",0)</f>
        <v>Pcs</v>
      </c>
      <c r="N550" s="221">
        <v>2</v>
      </c>
      <c r="O550" s="221" t="s">
        <v>2007</v>
      </c>
      <c r="P550" s="221" t="s">
        <v>2008</v>
      </c>
      <c r="Q550" s="221"/>
      <c r="R550" s="221"/>
      <c r="S550" s="221"/>
      <c r="T550" s="221" t="s">
        <v>3258</v>
      </c>
      <c r="U550" s="221" t="s">
        <v>3228</v>
      </c>
      <c r="V550" s="221" t="s">
        <v>3337</v>
      </c>
      <c r="W550" s="221" t="s">
        <v>3338</v>
      </c>
      <c r="X550" s="221"/>
      <c r="Y550" s="227"/>
      <c r="Z550" s="227" t="str">
        <f>P550</f>
        <v>Ngenep RW 06 Karang Ploso</v>
      </c>
      <c r="AA550" s="276" t="e">
        <f>VLOOKUP(Logfile_S[[#This Row],[DO number]],DO_DB!G:I,3,0)</f>
        <v>#N/A</v>
      </c>
      <c r="AB550" s="331" t="e">
        <f>EXACT(Logfile_S[[#This Row],[date pick]],Logfile_S[[#This Row],[Date]])</f>
        <v>#N/A</v>
      </c>
      <c r="AC5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51" spans="1:29" ht="14.5">
      <c r="A551" s="220" t="str">
        <f>TEXT(ROW(A551)-ROW($A$4),"000")</f>
        <v>547</v>
      </c>
      <c r="B551" s="221"/>
      <c r="C551" s="221" t="s">
        <v>49</v>
      </c>
      <c r="D551" s="221" t="s">
        <v>4124</v>
      </c>
      <c r="E551" s="221" t="s">
        <v>3295</v>
      </c>
      <c r="F551" s="221" t="s">
        <v>3299</v>
      </c>
      <c r="G551" s="222">
        <v>45496</v>
      </c>
      <c r="H551" s="223">
        <v>0.7319444444444444</v>
      </c>
      <c r="I551" s="221" t="s">
        <v>4916</v>
      </c>
      <c r="J551" s="221" t="s">
        <v>3023</v>
      </c>
      <c r="K551" s="224" t="s">
        <v>3072</v>
      </c>
      <c r="L551" s="225" t="str">
        <f>VLOOKUP(Logfile_S[[#This Row],[Material Name]],Sheet2!B:C,2,0)</f>
        <v>ZTE1004</v>
      </c>
      <c r="M551" s="225" t="str">
        <f>_xlfn.XLOOKUP(Logfile_S[[#This Row],[Material Name]],Sum_WH!E:E,Sum_WH!F:F,"",0)</f>
        <v>Pcs</v>
      </c>
      <c r="N551" s="221">
        <v>1</v>
      </c>
      <c r="O551" s="221" t="s">
        <v>2007</v>
      </c>
      <c r="P551" s="221" t="s">
        <v>2008</v>
      </c>
      <c r="Q551" s="221"/>
      <c r="R551" s="221"/>
      <c r="S551" s="221"/>
      <c r="T551" s="221" t="s">
        <v>3471</v>
      </c>
      <c r="U551" s="221">
        <v>0</v>
      </c>
      <c r="V551" s="221" t="s">
        <v>3472</v>
      </c>
      <c r="W551" s="221" t="s">
        <v>3473</v>
      </c>
      <c r="X551" s="221"/>
      <c r="Y551" s="227"/>
      <c r="Z551" s="227" t="str">
        <f>P551</f>
        <v>Ngenep RW 06 Karang Ploso</v>
      </c>
      <c r="AA551" s="276" t="e">
        <f>VLOOKUP(Logfile_S[[#This Row],[DO number]],DO_DB!G:I,3,0)</f>
        <v>#N/A</v>
      </c>
      <c r="AB551" s="331" t="e">
        <f>EXACT(Logfile_S[[#This Row],[date pick]],Logfile_S[[#This Row],[Date]])</f>
        <v>#N/A</v>
      </c>
      <c r="AC5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52" spans="1:29" ht="14.5">
      <c r="A552" s="220" t="str">
        <f>TEXT(ROW(A552)-ROW($A$4),"000")</f>
        <v>548</v>
      </c>
      <c r="B552" s="221"/>
      <c r="C552" s="221" t="s">
        <v>49</v>
      </c>
      <c r="D552" s="221" t="s">
        <v>4338</v>
      </c>
      <c r="E552" s="221" t="s">
        <v>3295</v>
      </c>
      <c r="F552" s="221" t="s">
        <v>3299</v>
      </c>
      <c r="G552" s="222">
        <v>45709</v>
      </c>
      <c r="H552" s="223">
        <v>0.39930555555555558</v>
      </c>
      <c r="I552" s="221" t="s">
        <v>4916</v>
      </c>
      <c r="J552" s="221" t="s">
        <v>3024</v>
      </c>
      <c r="K552" s="224" t="s">
        <v>3087</v>
      </c>
      <c r="L552" s="225" t="str">
        <f>VLOOKUP(Logfile_S[[#This Row],[Material Name]],Sheet2!B:C,2,0)</f>
        <v>GCI1001</v>
      </c>
      <c r="M552" s="225" t="str">
        <f>_xlfn.XLOOKUP(Logfile_S[[#This Row],[Material Name]],Sum_WH!E:E,Sum_WH!F:F,"",0)</f>
        <v>Pcs</v>
      </c>
      <c r="N552" s="221">
        <v>1</v>
      </c>
      <c r="O552" s="221" t="s">
        <v>2007</v>
      </c>
      <c r="P552" s="221" t="s">
        <v>2008</v>
      </c>
      <c r="Q552" s="221"/>
      <c r="R552" s="221"/>
      <c r="S552" s="221"/>
      <c r="T552" s="221" t="s">
        <v>3231</v>
      </c>
      <c r="U552" s="221">
        <v>0</v>
      </c>
      <c r="V552" s="221" t="s">
        <v>3375</v>
      </c>
      <c r="W552" s="221" t="s">
        <v>3249</v>
      </c>
      <c r="X552" s="221"/>
      <c r="Y552" s="227"/>
      <c r="Z552" s="227" t="str">
        <f>P552</f>
        <v>Ngenep RW 06 Karang Ploso</v>
      </c>
      <c r="AA552" s="276" t="e">
        <f>VLOOKUP(Logfile_S[[#This Row],[DO number]],DO_DB!G:I,3,0)</f>
        <v>#N/A</v>
      </c>
      <c r="AB552" s="331" t="e">
        <f>EXACT(Logfile_S[[#This Row],[date pick]],Logfile_S[[#This Row],[Date]])</f>
        <v>#N/A</v>
      </c>
      <c r="AC5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53" spans="1:29" ht="14.5">
      <c r="A553" s="220" t="str">
        <f>TEXT(ROW(A553)-ROW($A$4),"000")</f>
        <v>549</v>
      </c>
      <c r="B553" s="221"/>
      <c r="C553" s="221" t="s">
        <v>49</v>
      </c>
      <c r="D553" s="221" t="s">
        <v>4338</v>
      </c>
      <c r="E553" s="221" t="s">
        <v>3295</v>
      </c>
      <c r="F553" s="221" t="s">
        <v>3299</v>
      </c>
      <c r="G553" s="222">
        <v>45709</v>
      </c>
      <c r="H553" s="223">
        <v>0.39930555555555558</v>
      </c>
      <c r="I553" s="221" t="s">
        <v>4916</v>
      </c>
      <c r="J553" s="221" t="s">
        <v>3024</v>
      </c>
      <c r="K553" s="224" t="s">
        <v>5137</v>
      </c>
      <c r="L553" s="225" t="str">
        <f>VLOOKUP(Logfile_S[[#This Row],[Material Name]],Sheet2!B:C,2,0)</f>
        <v>GCI1009</v>
      </c>
      <c r="M553" s="225" t="str">
        <f>_xlfn.XLOOKUP(Logfile_S[[#This Row],[Material Name]],Sum_WH!E:E,Sum_WH!F:F,"",0)</f>
        <v>Pcs</v>
      </c>
      <c r="N553" s="221">
        <v>20</v>
      </c>
      <c r="O553" s="221" t="s">
        <v>2007</v>
      </c>
      <c r="P553" s="221" t="s">
        <v>2008</v>
      </c>
      <c r="Q553" s="221"/>
      <c r="R553" s="221"/>
      <c r="S553" s="221"/>
      <c r="T553" s="221" t="s">
        <v>3231</v>
      </c>
      <c r="U553" s="221">
        <v>0</v>
      </c>
      <c r="V553" s="221" t="s">
        <v>3375</v>
      </c>
      <c r="W553" s="221" t="s">
        <v>3249</v>
      </c>
      <c r="X553" s="221"/>
      <c r="Y553" s="227"/>
      <c r="Z553" s="227" t="str">
        <f>P553</f>
        <v>Ngenep RW 06 Karang Ploso</v>
      </c>
      <c r="AA553" s="276" t="e">
        <f>VLOOKUP(Logfile_S[[#This Row],[DO number]],DO_DB!G:I,3,0)</f>
        <v>#N/A</v>
      </c>
      <c r="AB553" s="331" t="e">
        <f>EXACT(Logfile_S[[#This Row],[date pick]],Logfile_S[[#This Row],[Date]])</f>
        <v>#N/A</v>
      </c>
      <c r="AC5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54" spans="1:29" ht="14.5">
      <c r="A554" s="220" t="str">
        <f>TEXT(ROW(A554)-ROW($A$4),"000")</f>
        <v>550</v>
      </c>
      <c r="B554" s="221"/>
      <c r="C554" s="221" t="s">
        <v>49</v>
      </c>
      <c r="D554" s="221" t="s">
        <v>4338</v>
      </c>
      <c r="E554" s="221" t="s">
        <v>3295</v>
      </c>
      <c r="F554" s="221" t="s">
        <v>3299</v>
      </c>
      <c r="G554" s="222">
        <v>45709</v>
      </c>
      <c r="H554" s="223">
        <v>0.39930555555555558</v>
      </c>
      <c r="I554" s="221" t="s">
        <v>4916</v>
      </c>
      <c r="J554" s="221" t="s">
        <v>3024</v>
      </c>
      <c r="K554" s="224" t="s">
        <v>3456</v>
      </c>
      <c r="L554" s="225" t="str">
        <f>VLOOKUP(Logfile_S[[#This Row],[Material Name]],Sheet2!B:C,2,0)</f>
        <v>GCI1008</v>
      </c>
      <c r="M554" s="225" t="str">
        <f>_xlfn.XLOOKUP(Logfile_S[[#This Row],[Material Name]],Sum_WH!E:E,Sum_WH!F:F,"",0)</f>
        <v>Pcs</v>
      </c>
      <c r="N554" s="221">
        <v>12</v>
      </c>
      <c r="O554" s="221" t="s">
        <v>2007</v>
      </c>
      <c r="P554" s="221" t="s">
        <v>2008</v>
      </c>
      <c r="Q554" s="221"/>
      <c r="R554" s="221"/>
      <c r="S554" s="221"/>
      <c r="T554" s="221" t="s">
        <v>3231</v>
      </c>
      <c r="U554" s="221">
        <v>0</v>
      </c>
      <c r="V554" s="221" t="s">
        <v>3375</v>
      </c>
      <c r="W554" s="221" t="s">
        <v>3249</v>
      </c>
      <c r="X554" s="221"/>
      <c r="Y554" s="227"/>
      <c r="Z554" s="227" t="str">
        <f>P554</f>
        <v>Ngenep RW 06 Karang Ploso</v>
      </c>
      <c r="AA554" s="276" t="e">
        <f>VLOOKUP(Logfile_S[[#This Row],[DO number]],DO_DB!G:I,3,0)</f>
        <v>#N/A</v>
      </c>
      <c r="AB554" s="331" t="e">
        <f>EXACT(Logfile_S[[#This Row],[date pick]],Logfile_S[[#This Row],[Date]])</f>
        <v>#N/A</v>
      </c>
      <c r="AC5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55" spans="1:29" ht="14.5">
      <c r="A555" s="220" t="str">
        <f>TEXT(ROW(A555)-ROW($A$4),"000")</f>
        <v>551</v>
      </c>
      <c r="B555" s="221"/>
      <c r="C555" s="221" t="s">
        <v>49</v>
      </c>
      <c r="D555" s="221" t="s">
        <v>4338</v>
      </c>
      <c r="E555" s="221" t="s">
        <v>3295</v>
      </c>
      <c r="F555" s="221" t="s">
        <v>3299</v>
      </c>
      <c r="G555" s="222">
        <v>45709</v>
      </c>
      <c r="H555" s="223">
        <v>0.39930555555555558</v>
      </c>
      <c r="I555" s="221" t="s">
        <v>4916</v>
      </c>
      <c r="J555" s="221" t="s">
        <v>3024</v>
      </c>
      <c r="K555" s="224" t="s">
        <v>3089</v>
      </c>
      <c r="L555" s="225" t="str">
        <f>VLOOKUP(Logfile_S[[#This Row],[Material Name]],Sheet2!B:C,2,0)</f>
        <v>GCI1003</v>
      </c>
      <c r="M555" s="225" t="str">
        <f>_xlfn.XLOOKUP(Logfile_S[[#This Row],[Material Name]],Sum_WH!E:E,Sum_WH!F:F,"",0)</f>
        <v>Pcs</v>
      </c>
      <c r="N555" s="221">
        <v>12</v>
      </c>
      <c r="O555" s="221" t="s">
        <v>2007</v>
      </c>
      <c r="P555" s="221" t="s">
        <v>2008</v>
      </c>
      <c r="Q555" s="221"/>
      <c r="R555" s="221"/>
      <c r="S555" s="221"/>
      <c r="T555" s="221" t="s">
        <v>3231</v>
      </c>
      <c r="U555" s="221">
        <v>0</v>
      </c>
      <c r="V555" s="221" t="s">
        <v>3375</v>
      </c>
      <c r="W555" s="221" t="s">
        <v>3249</v>
      </c>
      <c r="X555" s="221"/>
      <c r="Y555" s="227"/>
      <c r="Z555" s="227" t="str">
        <f>P555</f>
        <v>Ngenep RW 06 Karang Ploso</v>
      </c>
      <c r="AA555" s="276" t="e">
        <f>VLOOKUP(Logfile_S[[#This Row],[DO number]],DO_DB!G:I,3,0)</f>
        <v>#N/A</v>
      </c>
      <c r="AB555" s="331" t="e">
        <f>EXACT(Logfile_S[[#This Row],[date pick]],Logfile_S[[#This Row],[Date]])</f>
        <v>#N/A</v>
      </c>
      <c r="AC5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56" spans="1:29" ht="14.5">
      <c r="A556" s="220" t="str">
        <f>TEXT(ROW(A556)-ROW($A$4),"000")</f>
        <v>552</v>
      </c>
      <c r="B556" s="221"/>
      <c r="C556" s="221" t="s">
        <v>49</v>
      </c>
      <c r="D556" s="221" t="s">
        <v>4338</v>
      </c>
      <c r="E556" s="221" t="s">
        <v>3295</v>
      </c>
      <c r="F556" s="221" t="s">
        <v>3299</v>
      </c>
      <c r="G556" s="222">
        <v>45709</v>
      </c>
      <c r="H556" s="223">
        <v>0.39930555555555558</v>
      </c>
      <c r="I556" s="221" t="s">
        <v>4916</v>
      </c>
      <c r="J556" s="221" t="s">
        <v>3024</v>
      </c>
      <c r="K556" s="224" t="s">
        <v>3090</v>
      </c>
      <c r="L556" s="225" t="str">
        <f>VLOOKUP(Logfile_S[[#This Row],[Material Name]],Sheet2!B:C,2,0)</f>
        <v>GCI1004</v>
      </c>
      <c r="M556" s="225" t="str">
        <f>_xlfn.XLOOKUP(Logfile_S[[#This Row],[Material Name]],Sum_WH!E:E,Sum_WH!F:F,"",0)</f>
        <v>Pcs</v>
      </c>
      <c r="N556" s="221">
        <v>8</v>
      </c>
      <c r="O556" s="221" t="s">
        <v>2007</v>
      </c>
      <c r="P556" s="221" t="s">
        <v>2008</v>
      </c>
      <c r="Q556" s="221"/>
      <c r="R556" s="221"/>
      <c r="S556" s="221"/>
      <c r="T556" s="221" t="s">
        <v>3231</v>
      </c>
      <c r="U556" s="221">
        <v>0</v>
      </c>
      <c r="V556" s="221" t="s">
        <v>3375</v>
      </c>
      <c r="W556" s="221" t="s">
        <v>3249</v>
      </c>
      <c r="X556" s="221"/>
      <c r="Y556" s="227"/>
      <c r="Z556" s="227" t="str">
        <f>P556</f>
        <v>Ngenep RW 06 Karang Ploso</v>
      </c>
      <c r="AA556" s="276" t="e">
        <f>VLOOKUP(Logfile_S[[#This Row],[DO number]],DO_DB!G:I,3,0)</f>
        <v>#N/A</v>
      </c>
      <c r="AB556" s="331" t="e">
        <f>EXACT(Logfile_S[[#This Row],[date pick]],Logfile_S[[#This Row],[Date]])</f>
        <v>#N/A</v>
      </c>
      <c r="AC5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57" spans="1:29" ht="14.5">
      <c r="A557" s="220" t="str">
        <f>TEXT(ROW(A557)-ROW($A$4),"000")</f>
        <v>553</v>
      </c>
      <c r="B557" s="221"/>
      <c r="C557" s="221" t="s">
        <v>49</v>
      </c>
      <c r="D557" s="221" t="s">
        <v>4117</v>
      </c>
      <c r="E557" s="221" t="s">
        <v>3295</v>
      </c>
      <c r="F557" s="221" t="s">
        <v>3299</v>
      </c>
      <c r="G557" s="222">
        <v>45485</v>
      </c>
      <c r="H557" s="223">
        <v>0.4</v>
      </c>
      <c r="I557" s="221" t="s">
        <v>4916</v>
      </c>
      <c r="J557" s="221" t="s">
        <v>3023</v>
      </c>
      <c r="K557" s="224" t="s">
        <v>3073</v>
      </c>
      <c r="L557" s="225" t="str">
        <f>VLOOKUP(Logfile_S[[#This Row],[Material Name]],Sheet2!B:C,2,0)</f>
        <v>ZTE2001</v>
      </c>
      <c r="M557" s="225" t="str">
        <f>_xlfn.XLOOKUP(Logfile_S[[#This Row],[Material Name]],Sum_WH!E:E,Sum_WH!F:F,"",0)</f>
        <v>Meter</v>
      </c>
      <c r="N557" s="221">
        <v>3000</v>
      </c>
      <c r="O557" s="221" t="s">
        <v>2001</v>
      </c>
      <c r="P557" s="221" t="s">
        <v>2002</v>
      </c>
      <c r="Q557" s="221"/>
      <c r="R557" s="221"/>
      <c r="S557" s="221"/>
      <c r="T557" s="221" t="s">
        <v>3258</v>
      </c>
      <c r="U557" s="221" t="s">
        <v>3228</v>
      </c>
      <c r="V557" s="221" t="s">
        <v>3337</v>
      </c>
      <c r="W557" s="221" t="s">
        <v>3338</v>
      </c>
      <c r="X557" s="221"/>
      <c r="Y557" s="227"/>
      <c r="Z557" s="227" t="str">
        <f>P557</f>
        <v>Ngenep RW 04 Karang Ploso</v>
      </c>
      <c r="AA557" s="276" t="e">
        <f>VLOOKUP(Logfile_S[[#This Row],[DO number]],DO_DB!G:I,3,0)</f>
        <v>#N/A</v>
      </c>
      <c r="AB557" s="331" t="e">
        <f>EXACT(Logfile_S[[#This Row],[date pick]],Logfile_S[[#This Row],[Date]])</f>
        <v>#N/A</v>
      </c>
      <c r="AC5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58" spans="1:29" ht="14.5">
      <c r="A558" s="220" t="str">
        <f>TEXT(ROW(A558)-ROW($A$4),"000")</f>
        <v>554</v>
      </c>
      <c r="B558" s="221"/>
      <c r="C558" s="221" t="s">
        <v>49</v>
      </c>
      <c r="D558" s="221" t="s">
        <v>4089</v>
      </c>
      <c r="E558" s="221" t="s">
        <v>3295</v>
      </c>
      <c r="F558" s="221" t="s">
        <v>3299</v>
      </c>
      <c r="G558" s="222">
        <v>45462</v>
      </c>
      <c r="H558" s="223">
        <v>0.52986111111111112</v>
      </c>
      <c r="I558" s="221" t="s">
        <v>4916</v>
      </c>
      <c r="J558" s="221" t="s">
        <v>3024</v>
      </c>
      <c r="K558" s="224" t="s">
        <v>5137</v>
      </c>
      <c r="L558" s="225" t="str">
        <f>VLOOKUP(Logfile_S[[#This Row],[Material Name]],Sheet2!B:C,2,0)</f>
        <v>GCI1009</v>
      </c>
      <c r="M558" s="225" t="str">
        <f>_xlfn.XLOOKUP(Logfile_S[[#This Row],[Material Name]],Sum_WH!E:E,Sum_WH!F:F,"",0)</f>
        <v>Pcs</v>
      </c>
      <c r="N558" s="221">
        <v>10</v>
      </c>
      <c r="O558" s="221" t="s">
        <v>1683</v>
      </c>
      <c r="P558" s="221" t="s">
        <v>1684</v>
      </c>
      <c r="Q558" s="221"/>
      <c r="R558" s="221"/>
      <c r="S558" s="221"/>
      <c r="T558" s="221" t="s">
        <v>3258</v>
      </c>
      <c r="U558" s="221" t="s">
        <v>3228</v>
      </c>
      <c r="V558" s="221" t="s">
        <v>3337</v>
      </c>
      <c r="W558" s="221" t="s">
        <v>3338</v>
      </c>
      <c r="X558" s="221"/>
      <c r="Y558" s="227"/>
      <c r="Z558" s="227" t="str">
        <f>P558</f>
        <v>Lowokwaru RW 04</v>
      </c>
      <c r="AA558" s="276" t="e">
        <f>VLOOKUP(Logfile_S[[#This Row],[DO number]],DO_DB!G:I,3,0)</f>
        <v>#N/A</v>
      </c>
      <c r="AB558" s="331" t="e">
        <f>EXACT(Logfile_S[[#This Row],[date pick]],Logfile_S[[#This Row],[Date]])</f>
        <v>#N/A</v>
      </c>
      <c r="AC5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59" spans="1:29" ht="14.5">
      <c r="A559" s="220" t="str">
        <f>TEXT(ROW(A559)-ROW($A$4),"000")</f>
        <v>555</v>
      </c>
      <c r="B559" s="221"/>
      <c r="C559" s="221" t="s">
        <v>49</v>
      </c>
      <c r="D559" s="221" t="s">
        <v>4091</v>
      </c>
      <c r="E559" s="221" t="s">
        <v>3295</v>
      </c>
      <c r="F559" s="221" t="s">
        <v>3299</v>
      </c>
      <c r="G559" s="222">
        <v>45462</v>
      </c>
      <c r="H559" s="223">
        <v>0.52986111111111112</v>
      </c>
      <c r="I559" s="221" t="s">
        <v>4916</v>
      </c>
      <c r="J559" s="221" t="s">
        <v>3023</v>
      </c>
      <c r="K559" s="224" t="s">
        <v>3069</v>
      </c>
      <c r="L559" s="225" t="str">
        <f>VLOOKUP(Logfile_S[[#This Row],[Material Name]],Sheet2!B:C,2,0)</f>
        <v>ZTE1001</v>
      </c>
      <c r="M559" s="225" t="str">
        <f>_xlfn.XLOOKUP(Logfile_S[[#This Row],[Material Name]],Sum_WH!E:E,Sum_WH!F:F,"",0)</f>
        <v>Pcs</v>
      </c>
      <c r="N559" s="221">
        <v>11</v>
      </c>
      <c r="O559" s="221" t="s">
        <v>1683</v>
      </c>
      <c r="P559" s="221" t="s">
        <v>1684</v>
      </c>
      <c r="Q559" s="221"/>
      <c r="R559" s="221"/>
      <c r="S559" s="221"/>
      <c r="T559" s="221" t="s">
        <v>3258</v>
      </c>
      <c r="U559" s="221">
        <v>0</v>
      </c>
      <c r="V559" s="221" t="s">
        <v>3337</v>
      </c>
      <c r="W559" s="221" t="s">
        <v>3338</v>
      </c>
      <c r="X559" s="221"/>
      <c r="Y559" s="227"/>
      <c r="Z559" s="227" t="str">
        <f>P559</f>
        <v>Lowokwaru RW 04</v>
      </c>
      <c r="AA559" s="276" t="e">
        <f>VLOOKUP(Logfile_S[[#This Row],[DO number]],DO_DB!G:I,3,0)</f>
        <v>#N/A</v>
      </c>
      <c r="AB559" s="331" t="e">
        <f>EXACT(Logfile_S[[#This Row],[date pick]],Logfile_S[[#This Row],[Date]])</f>
        <v>#N/A</v>
      </c>
      <c r="AC5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60" spans="1:29" ht="14.5">
      <c r="A560" s="220" t="str">
        <f>TEXT(ROW(A560)-ROW($A$4),"000")</f>
        <v>556</v>
      </c>
      <c r="B560" s="221"/>
      <c r="C560" s="221" t="s">
        <v>49</v>
      </c>
      <c r="D560" s="221" t="s">
        <v>4092</v>
      </c>
      <c r="E560" s="221" t="s">
        <v>3295</v>
      </c>
      <c r="F560" s="221" t="s">
        <v>3299</v>
      </c>
      <c r="G560" s="222">
        <v>45462</v>
      </c>
      <c r="H560" s="223">
        <v>0.52986111111111112</v>
      </c>
      <c r="I560" s="221" t="s">
        <v>4916</v>
      </c>
      <c r="J560" s="221" t="s">
        <v>3024</v>
      </c>
      <c r="K560" s="224" t="s">
        <v>3090</v>
      </c>
      <c r="L560" s="225" t="str">
        <f>VLOOKUP(Logfile_S[[#This Row],[Material Name]],Sheet2!B:C,2,0)</f>
        <v>GCI1004</v>
      </c>
      <c r="M560" s="225" t="str">
        <f>_xlfn.XLOOKUP(Logfile_S[[#This Row],[Material Name]],Sum_WH!E:E,Sum_WH!F:F,"",0)</f>
        <v>Pcs</v>
      </c>
      <c r="N560" s="221">
        <v>10</v>
      </c>
      <c r="O560" s="221" t="s">
        <v>1683</v>
      </c>
      <c r="P560" s="221" t="s">
        <v>1684</v>
      </c>
      <c r="Q560" s="221"/>
      <c r="R560" s="221"/>
      <c r="S560" s="221"/>
      <c r="T560" s="221" t="s">
        <v>3258</v>
      </c>
      <c r="U560" s="221" t="s">
        <v>3228</v>
      </c>
      <c r="V560" s="221" t="s">
        <v>3337</v>
      </c>
      <c r="W560" s="221" t="s">
        <v>3338</v>
      </c>
      <c r="X560" s="221"/>
      <c r="Y560" s="227"/>
      <c r="Z560" s="227" t="str">
        <f>P560</f>
        <v>Lowokwaru RW 04</v>
      </c>
      <c r="AA560" s="276" t="e">
        <f>VLOOKUP(Logfile_S[[#This Row],[DO number]],DO_DB!G:I,3,0)</f>
        <v>#N/A</v>
      </c>
      <c r="AB560" s="331" t="e">
        <f>EXACT(Logfile_S[[#This Row],[date pick]],Logfile_S[[#This Row],[Date]])</f>
        <v>#N/A</v>
      </c>
      <c r="AC5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61" spans="1:29" ht="14.5">
      <c r="A561" s="220" t="str">
        <f>TEXT(ROW(A561)-ROW($A$4),"000")</f>
        <v>557</v>
      </c>
      <c r="B561" s="221"/>
      <c r="C561" s="221" t="s">
        <v>49</v>
      </c>
      <c r="D561" s="221" t="s">
        <v>4094</v>
      </c>
      <c r="E561" s="221" t="s">
        <v>3295</v>
      </c>
      <c r="F561" s="221" t="s">
        <v>3299</v>
      </c>
      <c r="G561" s="222">
        <v>45463</v>
      </c>
      <c r="H561" s="223">
        <v>0.44444444444444442</v>
      </c>
      <c r="I561" s="221" t="s">
        <v>4916</v>
      </c>
      <c r="J561" s="221" t="s">
        <v>3024</v>
      </c>
      <c r="K561" s="224" t="s">
        <v>3091</v>
      </c>
      <c r="L561" s="225" t="str">
        <f>VLOOKUP(Logfile_S[[#This Row],[Material Name]],Sheet2!B:C,2,0)</f>
        <v>GCI1005</v>
      </c>
      <c r="M561" s="225" t="str">
        <f>_xlfn.XLOOKUP(Logfile_S[[#This Row],[Material Name]],Sum_WH!E:E,Sum_WH!F:F,"",0)</f>
        <v>Pcs</v>
      </c>
      <c r="N561" s="221">
        <v>23</v>
      </c>
      <c r="O561" s="221" t="s">
        <v>1683</v>
      </c>
      <c r="P561" s="221" t="s">
        <v>1684</v>
      </c>
      <c r="Q561" s="221"/>
      <c r="R561" s="221"/>
      <c r="S561" s="221"/>
      <c r="T561" s="221" t="s">
        <v>3258</v>
      </c>
      <c r="U561" s="221" t="s">
        <v>3228</v>
      </c>
      <c r="V561" s="221" t="s">
        <v>3337</v>
      </c>
      <c r="W561" s="221" t="s">
        <v>3338</v>
      </c>
      <c r="X561" s="221"/>
      <c r="Y561" s="227"/>
      <c r="Z561" s="227" t="str">
        <f>P561</f>
        <v>Lowokwaru RW 04</v>
      </c>
      <c r="AA561" s="276" t="e">
        <f>VLOOKUP(Logfile_S[[#This Row],[DO number]],DO_DB!G:I,3,0)</f>
        <v>#N/A</v>
      </c>
      <c r="AB561" s="331" t="e">
        <f>EXACT(Logfile_S[[#This Row],[date pick]],Logfile_S[[#This Row],[Date]])</f>
        <v>#N/A</v>
      </c>
      <c r="AC5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62" spans="1:29" ht="14.5">
      <c r="A562" s="220" t="str">
        <f>TEXT(ROW(A562)-ROW($A$4),"000")</f>
        <v>558</v>
      </c>
      <c r="B562" s="221"/>
      <c r="C562" s="221" t="s">
        <v>49</v>
      </c>
      <c r="D562" s="221" t="s">
        <v>4094</v>
      </c>
      <c r="E562" s="221" t="s">
        <v>3295</v>
      </c>
      <c r="F562" s="221" t="s">
        <v>3299</v>
      </c>
      <c r="G562" s="222">
        <v>45463</v>
      </c>
      <c r="H562" s="223">
        <v>0.44444444444444442</v>
      </c>
      <c r="I562" s="221" t="s">
        <v>4916</v>
      </c>
      <c r="J562" s="221" t="s">
        <v>3024</v>
      </c>
      <c r="K562" s="224" t="s">
        <v>3087</v>
      </c>
      <c r="L562" s="225" t="str">
        <f>VLOOKUP(Logfile_S[[#This Row],[Material Name]],Sheet2!B:C,2,0)</f>
        <v>GCI1001</v>
      </c>
      <c r="M562" s="225" t="str">
        <f>_xlfn.XLOOKUP(Logfile_S[[#This Row],[Material Name]],Sum_WH!E:E,Sum_WH!F:F,"",0)</f>
        <v>Pcs</v>
      </c>
      <c r="N562" s="221">
        <v>11</v>
      </c>
      <c r="O562" s="221" t="s">
        <v>1683</v>
      </c>
      <c r="P562" s="221" t="s">
        <v>1684</v>
      </c>
      <c r="Q562" s="221"/>
      <c r="R562" s="221"/>
      <c r="S562" s="221"/>
      <c r="T562" s="221" t="s">
        <v>3258</v>
      </c>
      <c r="U562" s="221" t="s">
        <v>3228</v>
      </c>
      <c r="V562" s="221" t="s">
        <v>3337</v>
      </c>
      <c r="W562" s="221" t="s">
        <v>3338</v>
      </c>
      <c r="X562" s="221"/>
      <c r="Y562" s="227"/>
      <c r="Z562" s="227" t="str">
        <f>P562</f>
        <v>Lowokwaru RW 04</v>
      </c>
      <c r="AA562" s="276" t="e">
        <f>VLOOKUP(Logfile_S[[#This Row],[DO number]],DO_DB!G:I,3,0)</f>
        <v>#N/A</v>
      </c>
      <c r="AB562" s="331" t="e">
        <f>EXACT(Logfile_S[[#This Row],[date pick]],Logfile_S[[#This Row],[Date]])</f>
        <v>#N/A</v>
      </c>
      <c r="AC5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63" spans="1:29" ht="14.5">
      <c r="A563" s="220" t="str">
        <f>TEXT(ROW(A563)-ROW($A$4),"000")</f>
        <v>559</v>
      </c>
      <c r="B563" s="221"/>
      <c r="C563" s="221" t="s">
        <v>49</v>
      </c>
      <c r="D563" s="221" t="s">
        <v>4094</v>
      </c>
      <c r="E563" s="221" t="s">
        <v>3295</v>
      </c>
      <c r="F563" s="221" t="s">
        <v>3299</v>
      </c>
      <c r="G563" s="222">
        <v>45463</v>
      </c>
      <c r="H563" s="223">
        <v>0.44444444444444442</v>
      </c>
      <c r="I563" s="221" t="s">
        <v>4916</v>
      </c>
      <c r="J563" s="221" t="s">
        <v>3024</v>
      </c>
      <c r="K563" s="224" t="s">
        <v>5137</v>
      </c>
      <c r="L563" s="225" t="str">
        <f>VLOOKUP(Logfile_S[[#This Row],[Material Name]],Sheet2!B:C,2,0)</f>
        <v>GCI1009</v>
      </c>
      <c r="M563" s="225" t="str">
        <f>_xlfn.XLOOKUP(Logfile_S[[#This Row],[Material Name]],Sum_WH!E:E,Sum_WH!F:F,"",0)</f>
        <v>Pcs</v>
      </c>
      <c r="N563" s="221">
        <v>20</v>
      </c>
      <c r="O563" s="221" t="s">
        <v>1683</v>
      </c>
      <c r="P563" s="221" t="s">
        <v>1684</v>
      </c>
      <c r="Q563" s="221"/>
      <c r="R563" s="221"/>
      <c r="S563" s="221"/>
      <c r="T563" s="221" t="s">
        <v>3258</v>
      </c>
      <c r="U563" s="221" t="s">
        <v>3228</v>
      </c>
      <c r="V563" s="221" t="s">
        <v>3337</v>
      </c>
      <c r="W563" s="221" t="s">
        <v>3338</v>
      </c>
      <c r="X563" s="221"/>
      <c r="Y563" s="227"/>
      <c r="Z563" s="227" t="str">
        <f>P563</f>
        <v>Lowokwaru RW 04</v>
      </c>
      <c r="AA563" s="276" t="e">
        <f>VLOOKUP(Logfile_S[[#This Row],[DO number]],DO_DB!G:I,3,0)</f>
        <v>#N/A</v>
      </c>
      <c r="AB563" s="331" t="e">
        <f>EXACT(Logfile_S[[#This Row],[date pick]],Logfile_S[[#This Row],[Date]])</f>
        <v>#N/A</v>
      </c>
      <c r="AC5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64" spans="1:29" ht="14.5">
      <c r="A564" s="220" t="str">
        <f>TEXT(ROW(A564)-ROW($A$4),"000")</f>
        <v>560</v>
      </c>
      <c r="B564" s="221"/>
      <c r="C564" s="221" t="s">
        <v>49</v>
      </c>
      <c r="D564" s="221" t="s">
        <v>4094</v>
      </c>
      <c r="E564" s="221" t="s">
        <v>3295</v>
      </c>
      <c r="F564" s="221" t="s">
        <v>3299</v>
      </c>
      <c r="G564" s="222">
        <v>45463</v>
      </c>
      <c r="H564" s="223">
        <v>0.44444444444444442</v>
      </c>
      <c r="I564" s="221" t="s">
        <v>4916</v>
      </c>
      <c r="J564" s="221" t="s">
        <v>3024</v>
      </c>
      <c r="K564" s="224" t="s">
        <v>3088</v>
      </c>
      <c r="L564" s="225" t="str">
        <f>VLOOKUP(Logfile_S[[#This Row],[Material Name]],Sheet2!B:C,2,0)</f>
        <v>GCI1002</v>
      </c>
      <c r="M564" s="225" t="str">
        <f>_xlfn.XLOOKUP(Logfile_S[[#This Row],[Material Name]],Sum_WH!E:E,Sum_WH!F:F,"",0)</f>
        <v>Pcs</v>
      </c>
      <c r="N564" s="221">
        <v>1</v>
      </c>
      <c r="O564" s="221" t="s">
        <v>1683</v>
      </c>
      <c r="P564" s="221" t="s">
        <v>1684</v>
      </c>
      <c r="Q564" s="221"/>
      <c r="R564" s="221"/>
      <c r="S564" s="221"/>
      <c r="T564" s="221" t="s">
        <v>3258</v>
      </c>
      <c r="U564" s="221" t="s">
        <v>3228</v>
      </c>
      <c r="V564" s="221" t="s">
        <v>3337</v>
      </c>
      <c r="W564" s="221" t="s">
        <v>3338</v>
      </c>
      <c r="X564" s="221"/>
      <c r="Y564" s="227"/>
      <c r="Z564" s="227" t="str">
        <f>P564</f>
        <v>Lowokwaru RW 04</v>
      </c>
      <c r="AA564" s="276" t="e">
        <f>VLOOKUP(Logfile_S[[#This Row],[DO number]],DO_DB!G:I,3,0)</f>
        <v>#N/A</v>
      </c>
      <c r="AB564" s="331" t="e">
        <f>EXACT(Logfile_S[[#This Row],[date pick]],Logfile_S[[#This Row],[Date]])</f>
        <v>#N/A</v>
      </c>
      <c r="AC5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65" spans="1:29" ht="14.5">
      <c r="A565" s="220" t="str">
        <f>TEXT(ROW(A565)-ROW($A$4),"000")</f>
        <v>561</v>
      </c>
      <c r="B565" s="221"/>
      <c r="C565" s="221" t="s">
        <v>49</v>
      </c>
      <c r="D565" s="221" t="s">
        <v>4094</v>
      </c>
      <c r="E565" s="221" t="s">
        <v>3295</v>
      </c>
      <c r="F565" s="221" t="s">
        <v>3299</v>
      </c>
      <c r="G565" s="222">
        <v>45463</v>
      </c>
      <c r="H565" s="223">
        <v>0.44444444444444442</v>
      </c>
      <c r="I565" s="221" t="s">
        <v>4916</v>
      </c>
      <c r="J565" s="221" t="s">
        <v>3023</v>
      </c>
      <c r="K565" s="224" t="s">
        <v>3070</v>
      </c>
      <c r="L565" s="225" t="str">
        <f>VLOOKUP(Logfile_S[[#This Row],[Material Name]],Sheet2!B:C,2,0)</f>
        <v>ZTE1002</v>
      </c>
      <c r="M565" s="225" t="str">
        <f>_xlfn.XLOOKUP(Logfile_S[[#This Row],[Material Name]],Sum_WH!E:E,Sum_WH!F:F,"",0)</f>
        <v>Pcs</v>
      </c>
      <c r="N565" s="221">
        <v>4</v>
      </c>
      <c r="O565" s="221" t="s">
        <v>1683</v>
      </c>
      <c r="P565" s="221" t="s">
        <v>1684</v>
      </c>
      <c r="Q565" s="221"/>
      <c r="R565" s="221"/>
      <c r="S565" s="221"/>
      <c r="T565" s="221" t="s">
        <v>3258</v>
      </c>
      <c r="U565" s="221">
        <v>0</v>
      </c>
      <c r="V565" s="221" t="s">
        <v>3337</v>
      </c>
      <c r="W565" s="221" t="s">
        <v>3338</v>
      </c>
      <c r="X565" s="221"/>
      <c r="Y565" s="227"/>
      <c r="Z565" s="227" t="str">
        <f>P565</f>
        <v>Lowokwaru RW 04</v>
      </c>
      <c r="AA565" s="276" t="e">
        <f>VLOOKUP(Logfile_S[[#This Row],[DO number]],DO_DB!G:I,3,0)</f>
        <v>#N/A</v>
      </c>
      <c r="AB565" s="331" t="e">
        <f>EXACT(Logfile_S[[#This Row],[date pick]],Logfile_S[[#This Row],[Date]])</f>
        <v>#N/A</v>
      </c>
      <c r="AC5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66" spans="1:29" ht="14.5">
      <c r="A566" s="220" t="str">
        <f>TEXT(ROW(A566)-ROW($A$4),"000")</f>
        <v>562</v>
      </c>
      <c r="B566" s="221"/>
      <c r="C566" s="221" t="s">
        <v>49</v>
      </c>
      <c r="D566" s="221" t="s">
        <v>4094</v>
      </c>
      <c r="E566" s="221" t="s">
        <v>3295</v>
      </c>
      <c r="F566" s="221" t="s">
        <v>3299</v>
      </c>
      <c r="G566" s="222">
        <v>45463</v>
      </c>
      <c r="H566" s="223">
        <v>0.44444444444444442</v>
      </c>
      <c r="I566" s="221" t="s">
        <v>4916</v>
      </c>
      <c r="J566" s="221" t="s">
        <v>3023</v>
      </c>
      <c r="K566" s="224" t="s">
        <v>3069</v>
      </c>
      <c r="L566" s="225" t="str">
        <f>VLOOKUP(Logfile_S[[#This Row],[Material Name]],Sheet2!B:C,2,0)</f>
        <v>ZTE1001</v>
      </c>
      <c r="M566" s="225" t="str">
        <f>_xlfn.XLOOKUP(Logfile_S[[#This Row],[Material Name]],Sum_WH!E:E,Sum_WH!F:F,"",0)</f>
        <v>Pcs</v>
      </c>
      <c r="N566" s="221">
        <v>11</v>
      </c>
      <c r="O566" s="221" t="s">
        <v>1683</v>
      </c>
      <c r="P566" s="221" t="s">
        <v>1684</v>
      </c>
      <c r="Q566" s="221"/>
      <c r="R566" s="221"/>
      <c r="S566" s="221"/>
      <c r="T566" s="221" t="s">
        <v>3258</v>
      </c>
      <c r="U566" s="221">
        <v>0</v>
      </c>
      <c r="V566" s="221" t="s">
        <v>3337</v>
      </c>
      <c r="W566" s="221" t="s">
        <v>3338</v>
      </c>
      <c r="X566" s="221"/>
      <c r="Y566" s="227"/>
      <c r="Z566" s="227" t="str">
        <f>P566</f>
        <v>Lowokwaru RW 04</v>
      </c>
      <c r="AA566" s="276" t="e">
        <f>VLOOKUP(Logfile_S[[#This Row],[DO number]],DO_DB!G:I,3,0)</f>
        <v>#N/A</v>
      </c>
      <c r="AB566" s="331" t="e">
        <f>EXACT(Logfile_S[[#This Row],[date pick]],Logfile_S[[#This Row],[Date]])</f>
        <v>#N/A</v>
      </c>
      <c r="AC5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67" spans="1:29" ht="14.5">
      <c r="A567" s="220" t="str">
        <f>TEXT(ROW(A567)-ROW($A$4),"000")</f>
        <v>563</v>
      </c>
      <c r="B567" s="221"/>
      <c r="C567" s="221" t="s">
        <v>49</v>
      </c>
      <c r="D567" s="221" t="s">
        <v>4094</v>
      </c>
      <c r="E567" s="221" t="s">
        <v>3295</v>
      </c>
      <c r="F567" s="221" t="s">
        <v>3299</v>
      </c>
      <c r="G567" s="222">
        <v>45463</v>
      </c>
      <c r="H567" s="223">
        <v>0.44444444444444442</v>
      </c>
      <c r="I567" s="221" t="s">
        <v>4916</v>
      </c>
      <c r="J567" s="221" t="s">
        <v>3024</v>
      </c>
      <c r="K567" s="224" t="s">
        <v>3094</v>
      </c>
      <c r="L567" s="225" t="str">
        <f>VLOOKUP(Logfile_S[[#This Row],[Material Name]],Sheet2!B:C,2,0)</f>
        <v>GCI1008</v>
      </c>
      <c r="M567" s="225" t="str">
        <f>_xlfn.XLOOKUP(Logfile_S[[#This Row],[Material Name]],Sum_WH!E:E,Sum_WH!F:F,"",0)</f>
        <v>Pcs</v>
      </c>
      <c r="N567" s="221">
        <v>10</v>
      </c>
      <c r="O567" s="221" t="s">
        <v>1683</v>
      </c>
      <c r="P567" s="221" t="s">
        <v>1684</v>
      </c>
      <c r="Q567" s="221"/>
      <c r="R567" s="221"/>
      <c r="S567" s="221"/>
      <c r="T567" s="221" t="s">
        <v>3258</v>
      </c>
      <c r="U567" s="221" t="s">
        <v>3228</v>
      </c>
      <c r="V567" s="221" t="s">
        <v>3337</v>
      </c>
      <c r="W567" s="221" t="s">
        <v>3338</v>
      </c>
      <c r="X567" s="221"/>
      <c r="Y567" s="227"/>
      <c r="Z567" s="227" t="str">
        <f>P567</f>
        <v>Lowokwaru RW 04</v>
      </c>
      <c r="AA567" s="276" t="e">
        <f>VLOOKUP(Logfile_S[[#This Row],[DO number]],DO_DB!G:I,3,0)</f>
        <v>#N/A</v>
      </c>
      <c r="AB567" s="331" t="e">
        <f>EXACT(Logfile_S[[#This Row],[date pick]],Logfile_S[[#This Row],[Date]])</f>
        <v>#N/A</v>
      </c>
      <c r="AC5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68" spans="1:29" ht="14.5">
      <c r="A568" s="220" t="str">
        <f>TEXT(ROW(A568)-ROW($A$4),"000")</f>
        <v>564</v>
      </c>
      <c r="B568" s="221"/>
      <c r="C568" s="221" t="s">
        <v>49</v>
      </c>
      <c r="D568" s="221" t="s">
        <v>4094</v>
      </c>
      <c r="E568" s="221" t="s">
        <v>3295</v>
      </c>
      <c r="F568" s="221" t="s">
        <v>3299</v>
      </c>
      <c r="G568" s="222">
        <v>45463</v>
      </c>
      <c r="H568" s="223">
        <v>0.44444444444444442</v>
      </c>
      <c r="I568" s="221" t="s">
        <v>4916</v>
      </c>
      <c r="J568" s="221" t="s">
        <v>3024</v>
      </c>
      <c r="K568" s="224" t="s">
        <v>3089</v>
      </c>
      <c r="L568" s="225" t="str">
        <f>VLOOKUP(Logfile_S[[#This Row],[Material Name]],Sheet2!B:C,2,0)</f>
        <v>GCI1003</v>
      </c>
      <c r="M568" s="225" t="str">
        <f>_xlfn.XLOOKUP(Logfile_S[[#This Row],[Material Name]],Sum_WH!E:E,Sum_WH!F:F,"",0)</f>
        <v>Pcs</v>
      </c>
      <c r="N568" s="221">
        <v>50</v>
      </c>
      <c r="O568" s="221" t="s">
        <v>1683</v>
      </c>
      <c r="P568" s="221" t="s">
        <v>1684</v>
      </c>
      <c r="Q568" s="221"/>
      <c r="R568" s="221"/>
      <c r="S568" s="221"/>
      <c r="T568" s="221" t="s">
        <v>3258</v>
      </c>
      <c r="U568" s="221" t="s">
        <v>3228</v>
      </c>
      <c r="V568" s="221" t="s">
        <v>3337</v>
      </c>
      <c r="W568" s="221" t="s">
        <v>3338</v>
      </c>
      <c r="X568" s="221"/>
      <c r="Y568" s="227"/>
      <c r="Z568" s="227" t="str">
        <f>P568</f>
        <v>Lowokwaru RW 04</v>
      </c>
      <c r="AA568" s="276" t="e">
        <f>VLOOKUP(Logfile_S[[#This Row],[DO number]],DO_DB!G:I,3,0)</f>
        <v>#N/A</v>
      </c>
      <c r="AB568" s="331" t="e">
        <f>EXACT(Logfile_S[[#This Row],[date pick]],Logfile_S[[#This Row],[Date]])</f>
        <v>#N/A</v>
      </c>
      <c r="AC5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69" spans="1:29" ht="14.5">
      <c r="A569" s="220" t="str">
        <f>TEXT(ROW(A569)-ROW($A$4),"000")</f>
        <v>565</v>
      </c>
      <c r="B569" s="221"/>
      <c r="C569" s="221" t="s">
        <v>49</v>
      </c>
      <c r="D569" s="221" t="s">
        <v>4094</v>
      </c>
      <c r="E569" s="221" t="s">
        <v>3295</v>
      </c>
      <c r="F569" s="221" t="s">
        <v>3299</v>
      </c>
      <c r="G569" s="222">
        <v>45463</v>
      </c>
      <c r="H569" s="223">
        <v>0.44444444444444442</v>
      </c>
      <c r="I569" s="221" t="s">
        <v>4916</v>
      </c>
      <c r="J569" s="221" t="s">
        <v>3024</v>
      </c>
      <c r="K569" s="224" t="s">
        <v>3090</v>
      </c>
      <c r="L569" s="225" t="str">
        <f>VLOOKUP(Logfile_S[[#This Row],[Material Name]],Sheet2!B:C,2,0)</f>
        <v>GCI1004</v>
      </c>
      <c r="M569" s="225" t="str">
        <f>_xlfn.XLOOKUP(Logfile_S[[#This Row],[Material Name]],Sum_WH!E:E,Sum_WH!F:F,"",0)</f>
        <v>Pcs</v>
      </c>
      <c r="N569" s="221">
        <v>10</v>
      </c>
      <c r="O569" s="221" t="s">
        <v>1683</v>
      </c>
      <c r="P569" s="221" t="s">
        <v>1684</v>
      </c>
      <c r="Q569" s="221"/>
      <c r="R569" s="221"/>
      <c r="S569" s="221"/>
      <c r="T569" s="221" t="s">
        <v>3258</v>
      </c>
      <c r="U569" s="221" t="s">
        <v>3228</v>
      </c>
      <c r="V569" s="221" t="s">
        <v>3337</v>
      </c>
      <c r="W569" s="221" t="s">
        <v>3338</v>
      </c>
      <c r="X569" s="221"/>
      <c r="Y569" s="227"/>
      <c r="Z569" s="227" t="str">
        <f>P569</f>
        <v>Lowokwaru RW 04</v>
      </c>
      <c r="AA569" s="276" t="e">
        <f>VLOOKUP(Logfile_S[[#This Row],[DO number]],DO_DB!G:I,3,0)</f>
        <v>#N/A</v>
      </c>
      <c r="AB569" s="331" t="e">
        <f>EXACT(Logfile_S[[#This Row],[date pick]],Logfile_S[[#This Row],[Date]])</f>
        <v>#N/A</v>
      </c>
      <c r="AC5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70" spans="1:29" ht="14.5">
      <c r="A570" s="220" t="str">
        <f>TEXT(ROW(A570)-ROW($A$4),"000")</f>
        <v>566</v>
      </c>
      <c r="B570" s="221"/>
      <c r="C570" s="221" t="s">
        <v>48</v>
      </c>
      <c r="D570" s="221" t="s">
        <v>4098</v>
      </c>
      <c r="E570" s="221" t="s">
        <v>3295</v>
      </c>
      <c r="F570" s="221" t="s">
        <v>3299</v>
      </c>
      <c r="G570" s="222">
        <v>45467</v>
      </c>
      <c r="H570" s="223">
        <v>15.291666666666666</v>
      </c>
      <c r="I570" s="221" t="s">
        <v>37</v>
      </c>
      <c r="J570" s="221" t="s">
        <v>3023</v>
      </c>
      <c r="K570" s="224" t="s">
        <v>13</v>
      </c>
      <c r="L570" s="225" t="str">
        <f>VLOOKUP(Logfile_S[[#This Row],[Material Name]],Sheet2!B:C,2,0)</f>
        <v>ZTE2008</v>
      </c>
      <c r="M570" s="225" t="str">
        <f>_xlfn.XLOOKUP(Logfile_S[[#This Row],[Material Name]],Sum_WH!E:E,Sum_WH!F:F,"",0)</f>
        <v>Pcs</v>
      </c>
      <c r="N570" s="221">
        <v>30</v>
      </c>
      <c r="O570" s="221" t="s">
        <v>1683</v>
      </c>
      <c r="P570" s="221" t="s">
        <v>1684</v>
      </c>
      <c r="Q570" s="221">
        <v>0</v>
      </c>
      <c r="R570" s="221">
        <v>0</v>
      </c>
      <c r="S570" s="221"/>
      <c r="T570" s="221"/>
      <c r="U570" s="221"/>
      <c r="V570" s="221"/>
      <c r="W570" s="221"/>
      <c r="X570" s="221"/>
      <c r="Y570" s="227"/>
      <c r="Z570" s="227" t="str">
        <f>P570</f>
        <v>Lowokwaru RW 04</v>
      </c>
      <c r="AA570" s="276" t="e">
        <f>VLOOKUP(Logfile_S[[#This Row],[DO number]],DO_DB!G:I,3,0)</f>
        <v>#N/A</v>
      </c>
      <c r="AB570" s="331" t="e">
        <f>EXACT(Logfile_S[[#This Row],[date pick]],Logfile_S[[#This Row],[Date]])</f>
        <v>#N/A</v>
      </c>
      <c r="AC5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71" spans="1:29" ht="14.5">
      <c r="A571" s="220" t="str">
        <f>TEXT(ROW(A571)-ROW($A$4),"000")</f>
        <v>567</v>
      </c>
      <c r="B571" s="221"/>
      <c r="C571" s="221" t="s">
        <v>49</v>
      </c>
      <c r="D571" s="221" t="s">
        <v>4101</v>
      </c>
      <c r="E571" s="221" t="s">
        <v>3295</v>
      </c>
      <c r="F571" s="221" t="s">
        <v>3299</v>
      </c>
      <c r="G571" s="222">
        <v>45468</v>
      </c>
      <c r="H571" s="223">
        <v>0.53749999999999998</v>
      </c>
      <c r="I571" s="221" t="s">
        <v>4916</v>
      </c>
      <c r="J571" s="221" t="s">
        <v>3023</v>
      </c>
      <c r="K571" s="224" t="s">
        <v>13</v>
      </c>
      <c r="L571" s="225" t="str">
        <f>VLOOKUP(Logfile_S[[#This Row],[Material Name]],Sheet2!B:C,2,0)</f>
        <v>ZTE2008</v>
      </c>
      <c r="M571" s="225" t="str">
        <f>_xlfn.XLOOKUP(Logfile_S[[#This Row],[Material Name]],Sum_WH!E:E,Sum_WH!F:F,"",0)</f>
        <v>Pcs</v>
      </c>
      <c r="N571" s="221">
        <v>10</v>
      </c>
      <c r="O571" s="221" t="s">
        <v>1683</v>
      </c>
      <c r="P571" s="221" t="s">
        <v>1684</v>
      </c>
      <c r="Q571" s="221"/>
      <c r="R571" s="221"/>
      <c r="S571" s="221"/>
      <c r="T571" s="221" t="s">
        <v>3258</v>
      </c>
      <c r="U571" s="221" t="s">
        <v>3228</v>
      </c>
      <c r="V571" s="221" t="s">
        <v>3337</v>
      </c>
      <c r="W571" s="221" t="s">
        <v>3338</v>
      </c>
      <c r="X571" s="221"/>
      <c r="Y571" s="227"/>
      <c r="Z571" s="227" t="str">
        <f>P571</f>
        <v>Lowokwaru RW 04</v>
      </c>
      <c r="AA571" s="276" t="e">
        <f>VLOOKUP(Logfile_S[[#This Row],[DO number]],DO_DB!G:I,3,0)</f>
        <v>#N/A</v>
      </c>
      <c r="AB571" s="331" t="e">
        <f>EXACT(Logfile_S[[#This Row],[date pick]],Logfile_S[[#This Row],[Date]])</f>
        <v>#N/A</v>
      </c>
      <c r="AC5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72" spans="1:29" ht="14.5">
      <c r="A572" s="220" t="str">
        <f>TEXT(ROW(A572)-ROW($A$4),"000")</f>
        <v>568</v>
      </c>
      <c r="B572" s="221"/>
      <c r="C572" s="221" t="s">
        <v>49</v>
      </c>
      <c r="D572" s="221" t="s">
        <v>4101</v>
      </c>
      <c r="E572" s="221" t="s">
        <v>3295</v>
      </c>
      <c r="F572" s="221" t="s">
        <v>3299</v>
      </c>
      <c r="G572" s="222">
        <v>45468</v>
      </c>
      <c r="H572" s="223">
        <v>0.53749999999999998</v>
      </c>
      <c r="I572" s="221" t="s">
        <v>4916</v>
      </c>
      <c r="J572" s="221" t="s">
        <v>3023</v>
      </c>
      <c r="K572" s="224" t="s">
        <v>14</v>
      </c>
      <c r="L572" s="225" t="str">
        <f>VLOOKUP(Logfile_S[[#This Row],[Material Name]],Sheet2!B:C,2,0)</f>
        <v>ZTE2005</v>
      </c>
      <c r="M572" s="225" t="str">
        <f>_xlfn.XLOOKUP(Logfile_S[[#This Row],[Material Name]],Sum_WH!E:E,Sum_WH!F:F,"",0)</f>
        <v>Pcs</v>
      </c>
      <c r="N572" s="221">
        <v>1</v>
      </c>
      <c r="O572" s="221" t="s">
        <v>1683</v>
      </c>
      <c r="P572" s="221" t="s">
        <v>1684</v>
      </c>
      <c r="Q572" s="221"/>
      <c r="R572" s="221"/>
      <c r="S572" s="221"/>
      <c r="T572" s="221" t="s">
        <v>3258</v>
      </c>
      <c r="U572" s="221" t="s">
        <v>3228</v>
      </c>
      <c r="V572" s="221" t="s">
        <v>3337</v>
      </c>
      <c r="W572" s="221" t="s">
        <v>3338</v>
      </c>
      <c r="X572" s="221"/>
      <c r="Y572" s="227"/>
      <c r="Z572" s="227" t="str">
        <f>P572</f>
        <v>Lowokwaru RW 04</v>
      </c>
      <c r="AA572" s="276" t="e">
        <f>VLOOKUP(Logfile_S[[#This Row],[DO number]],DO_DB!G:I,3,0)</f>
        <v>#N/A</v>
      </c>
      <c r="AB572" s="331" t="e">
        <f>EXACT(Logfile_S[[#This Row],[date pick]],Logfile_S[[#This Row],[Date]])</f>
        <v>#N/A</v>
      </c>
      <c r="AC5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73" spans="1:29" ht="14.5">
      <c r="A573" s="220" t="str">
        <f>TEXT(ROW(A573)-ROW($A$4),"000")</f>
        <v>569</v>
      </c>
      <c r="B573" s="221"/>
      <c r="C573" s="221" t="s">
        <v>48</v>
      </c>
      <c r="D573" s="221" t="s">
        <v>4122</v>
      </c>
      <c r="E573" s="221" t="s">
        <v>3295</v>
      </c>
      <c r="F573" s="221" t="s">
        <v>3299</v>
      </c>
      <c r="G573" s="222">
        <v>45496</v>
      </c>
      <c r="H573" s="223">
        <v>15.291666666666666</v>
      </c>
      <c r="I573" s="221" t="s">
        <v>37</v>
      </c>
      <c r="J573" s="221" t="s">
        <v>3023</v>
      </c>
      <c r="K573" s="224" t="s">
        <v>3075</v>
      </c>
      <c r="L573" s="225" t="str">
        <f>VLOOKUP(Logfile_S[[#This Row],[Material Name]],Sheet2!B:C,2,0)</f>
        <v>ZTE2003</v>
      </c>
      <c r="M573" s="225" t="str">
        <f>_xlfn.XLOOKUP(Logfile_S[[#This Row],[Material Name]],Sum_WH!E:E,Sum_WH!F:F,"",0)</f>
        <v>Meter</v>
      </c>
      <c r="N573" s="221">
        <v>3000</v>
      </c>
      <c r="O573" s="221" t="s">
        <v>1803</v>
      </c>
      <c r="P573" s="221" t="s">
        <v>1804</v>
      </c>
      <c r="Q573" s="221" t="s">
        <v>1805</v>
      </c>
      <c r="R573" s="221" t="s">
        <v>1806</v>
      </c>
      <c r="S573" s="221"/>
      <c r="T573" s="221"/>
      <c r="U573" s="221"/>
      <c r="V573" s="221"/>
      <c r="W573" s="221"/>
      <c r="X573" s="221"/>
      <c r="Y573" s="227" t="s">
        <v>5067</v>
      </c>
      <c r="Z573" s="227" t="str">
        <f>P573</f>
        <v>Dusun Langlang IV Singosari</v>
      </c>
      <c r="AA573" s="276">
        <f>VLOOKUP(Logfile_S[[#This Row],[DO number]],DO_DB!G:I,3,0)</f>
        <v>45496</v>
      </c>
      <c r="AB573" s="331" t="b">
        <f>EXACT(Logfile_S[[#This Row],[date pick]],Logfile_S[[#This Row],[Date]])</f>
        <v>1</v>
      </c>
      <c r="AC5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48C-2024723-01</v>
      </c>
    </row>
    <row r="574" spans="1:29" ht="14.5">
      <c r="A574" s="220" t="str">
        <f>TEXT(ROW(A574)-ROW($A$4),"000")</f>
        <v>570</v>
      </c>
      <c r="B574" s="221"/>
      <c r="C574" s="221" t="s">
        <v>49</v>
      </c>
      <c r="D574" s="221" t="s">
        <v>4128</v>
      </c>
      <c r="E574" s="221" t="s">
        <v>3295</v>
      </c>
      <c r="F574" s="221" t="s">
        <v>3299</v>
      </c>
      <c r="G574" s="222">
        <v>45497</v>
      </c>
      <c r="H574" s="223">
        <v>0.63888888888888884</v>
      </c>
      <c r="I574" s="221" t="s">
        <v>4916</v>
      </c>
      <c r="J574" s="221" t="s">
        <v>3024</v>
      </c>
      <c r="K574" s="224" t="s">
        <v>3087</v>
      </c>
      <c r="L574" s="225" t="str">
        <f>VLOOKUP(Logfile_S[[#This Row],[Material Name]],Sheet2!B:C,2,0)</f>
        <v>GCI1001</v>
      </c>
      <c r="M574" s="225" t="str">
        <f>_xlfn.XLOOKUP(Logfile_S[[#This Row],[Material Name]],Sum_WH!E:E,Sum_WH!F:F,"",0)</f>
        <v>Pcs</v>
      </c>
      <c r="N574" s="221">
        <v>13</v>
      </c>
      <c r="O574" s="221" t="s">
        <v>1803</v>
      </c>
      <c r="P574" s="221" t="s">
        <v>1804</v>
      </c>
      <c r="Q574" s="221"/>
      <c r="R574" s="221"/>
      <c r="S574" s="221"/>
      <c r="T574" s="221" t="s">
        <v>3258</v>
      </c>
      <c r="U574" s="221" t="s">
        <v>3228</v>
      </c>
      <c r="V574" s="221" t="s">
        <v>3337</v>
      </c>
      <c r="W574" s="221" t="s">
        <v>3338</v>
      </c>
      <c r="X574" s="221"/>
      <c r="Y574" s="227"/>
      <c r="Z574" s="227" t="str">
        <f>P574</f>
        <v>Dusun Langlang IV Singosari</v>
      </c>
      <c r="AA574" s="276" t="e">
        <f>VLOOKUP(Logfile_S[[#This Row],[DO number]],DO_DB!G:I,3,0)</f>
        <v>#N/A</v>
      </c>
      <c r="AB574" s="331" t="e">
        <f>EXACT(Logfile_S[[#This Row],[date pick]],Logfile_S[[#This Row],[Date]])</f>
        <v>#N/A</v>
      </c>
      <c r="AC5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75" spans="1:29" ht="14.5">
      <c r="A575" s="220" t="str">
        <f>TEXT(ROW(A575)-ROW($A$4),"000")</f>
        <v>571</v>
      </c>
      <c r="B575" s="221"/>
      <c r="C575" s="221" t="s">
        <v>49</v>
      </c>
      <c r="D575" s="221" t="s">
        <v>4128</v>
      </c>
      <c r="E575" s="221" t="s">
        <v>3295</v>
      </c>
      <c r="F575" s="221" t="s">
        <v>3299</v>
      </c>
      <c r="G575" s="222">
        <v>45497</v>
      </c>
      <c r="H575" s="223">
        <v>0.63888888888888884</v>
      </c>
      <c r="I575" s="221" t="s">
        <v>4916</v>
      </c>
      <c r="J575" s="221" t="s">
        <v>3024</v>
      </c>
      <c r="K575" s="224" t="s">
        <v>5137</v>
      </c>
      <c r="L575" s="225" t="str">
        <f>VLOOKUP(Logfile_S[[#This Row],[Material Name]],Sheet2!B:C,2,0)</f>
        <v>GCI1009</v>
      </c>
      <c r="M575" s="225" t="str">
        <f>_xlfn.XLOOKUP(Logfile_S[[#This Row],[Material Name]],Sum_WH!E:E,Sum_WH!F:F,"",0)</f>
        <v>Pcs</v>
      </c>
      <c r="N575" s="221">
        <v>100</v>
      </c>
      <c r="O575" s="221" t="s">
        <v>1803</v>
      </c>
      <c r="P575" s="221" t="s">
        <v>1804</v>
      </c>
      <c r="Q575" s="221"/>
      <c r="R575" s="221"/>
      <c r="S575" s="221"/>
      <c r="T575" s="221" t="s">
        <v>3258</v>
      </c>
      <c r="U575" s="221" t="s">
        <v>3228</v>
      </c>
      <c r="V575" s="221" t="s">
        <v>3337</v>
      </c>
      <c r="W575" s="221" t="s">
        <v>3338</v>
      </c>
      <c r="X575" s="221"/>
      <c r="Y575" s="227"/>
      <c r="Z575" s="227" t="str">
        <f>P575</f>
        <v>Dusun Langlang IV Singosari</v>
      </c>
      <c r="AA575" s="276" t="e">
        <f>VLOOKUP(Logfile_S[[#This Row],[DO number]],DO_DB!G:I,3,0)</f>
        <v>#N/A</v>
      </c>
      <c r="AB575" s="331" t="e">
        <f>EXACT(Logfile_S[[#This Row],[date pick]],Logfile_S[[#This Row],[Date]])</f>
        <v>#N/A</v>
      </c>
      <c r="AC5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76" spans="1:29" ht="14.5">
      <c r="A576" s="220" t="str">
        <f>TEXT(ROW(A576)-ROW($A$4),"000")</f>
        <v>572</v>
      </c>
      <c r="B576" s="221"/>
      <c r="C576" s="221" t="s">
        <v>49</v>
      </c>
      <c r="D576" s="221" t="s">
        <v>4128</v>
      </c>
      <c r="E576" s="221" t="s">
        <v>3295</v>
      </c>
      <c r="F576" s="221" t="s">
        <v>3299</v>
      </c>
      <c r="G576" s="222">
        <v>45497</v>
      </c>
      <c r="H576" s="223">
        <v>0.63888888888888884</v>
      </c>
      <c r="I576" s="221" t="s">
        <v>4916</v>
      </c>
      <c r="J576" s="221" t="s">
        <v>3023</v>
      </c>
      <c r="K576" s="224" t="s">
        <v>3069</v>
      </c>
      <c r="L576" s="225" t="str">
        <f>VLOOKUP(Logfile_S[[#This Row],[Material Name]],Sheet2!B:C,2,0)</f>
        <v>ZTE1001</v>
      </c>
      <c r="M576" s="225" t="str">
        <f>_xlfn.XLOOKUP(Logfile_S[[#This Row],[Material Name]],Sum_WH!E:E,Sum_WH!F:F,"",0)</f>
        <v>Pcs</v>
      </c>
      <c r="N576" s="221">
        <v>25</v>
      </c>
      <c r="O576" s="221" t="s">
        <v>1803</v>
      </c>
      <c r="P576" s="221" t="s">
        <v>1804</v>
      </c>
      <c r="Q576" s="221"/>
      <c r="R576" s="221"/>
      <c r="S576" s="221"/>
      <c r="T576" s="221" t="s">
        <v>3258</v>
      </c>
      <c r="U576" s="221" t="s">
        <v>3228</v>
      </c>
      <c r="V576" s="221" t="s">
        <v>3337</v>
      </c>
      <c r="W576" s="221" t="s">
        <v>3338</v>
      </c>
      <c r="X576" s="221"/>
      <c r="Y576" s="227"/>
      <c r="Z576" s="227" t="str">
        <f>P576</f>
        <v>Dusun Langlang IV Singosari</v>
      </c>
      <c r="AA576" s="276" t="e">
        <f>VLOOKUP(Logfile_S[[#This Row],[DO number]],DO_DB!G:I,3,0)</f>
        <v>#N/A</v>
      </c>
      <c r="AB576" s="331" t="e">
        <f>EXACT(Logfile_S[[#This Row],[date pick]],Logfile_S[[#This Row],[Date]])</f>
        <v>#N/A</v>
      </c>
      <c r="AC5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77" spans="1:29" ht="14.5">
      <c r="A577" s="220" t="str">
        <f>TEXT(ROW(A577)-ROW($A$4),"000")</f>
        <v>573</v>
      </c>
      <c r="B577" s="221"/>
      <c r="C577" s="221" t="s">
        <v>49</v>
      </c>
      <c r="D577" s="221" t="s">
        <v>4128</v>
      </c>
      <c r="E577" s="221" t="s">
        <v>3295</v>
      </c>
      <c r="F577" s="221" t="s">
        <v>3299</v>
      </c>
      <c r="G577" s="222">
        <v>45497</v>
      </c>
      <c r="H577" s="223">
        <v>0.63888888888888884</v>
      </c>
      <c r="I577" s="221" t="s">
        <v>4916</v>
      </c>
      <c r="J577" s="221" t="s">
        <v>3024</v>
      </c>
      <c r="K577" s="224" t="s">
        <v>3094</v>
      </c>
      <c r="L577" s="225" t="str">
        <f>VLOOKUP(Logfile_S[[#This Row],[Material Name]],Sheet2!B:C,2,0)</f>
        <v>GCI1008</v>
      </c>
      <c r="M577" s="225" t="str">
        <f>_xlfn.XLOOKUP(Logfile_S[[#This Row],[Material Name]],Sum_WH!E:E,Sum_WH!F:F,"",0)</f>
        <v>Pcs</v>
      </c>
      <c r="N577" s="221">
        <v>49</v>
      </c>
      <c r="O577" s="221" t="s">
        <v>1803</v>
      </c>
      <c r="P577" s="221" t="s">
        <v>1804</v>
      </c>
      <c r="Q577" s="221"/>
      <c r="R577" s="221"/>
      <c r="S577" s="221"/>
      <c r="T577" s="221" t="s">
        <v>3258</v>
      </c>
      <c r="U577" s="221" t="s">
        <v>3228</v>
      </c>
      <c r="V577" s="221" t="s">
        <v>3337</v>
      </c>
      <c r="W577" s="221" t="s">
        <v>3338</v>
      </c>
      <c r="X577" s="221"/>
      <c r="Y577" s="227"/>
      <c r="Z577" s="227" t="str">
        <f>P577</f>
        <v>Dusun Langlang IV Singosari</v>
      </c>
      <c r="AA577" s="276" t="e">
        <f>VLOOKUP(Logfile_S[[#This Row],[DO number]],DO_DB!G:I,3,0)</f>
        <v>#N/A</v>
      </c>
      <c r="AB577" s="331" t="e">
        <f>EXACT(Logfile_S[[#This Row],[date pick]],Logfile_S[[#This Row],[Date]])</f>
        <v>#N/A</v>
      </c>
      <c r="AC5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78" spans="1:29" ht="14.5">
      <c r="A578" s="220" t="str">
        <f>TEXT(ROW(A578)-ROW($A$4),"000")</f>
        <v>574</v>
      </c>
      <c r="B578" s="221"/>
      <c r="C578" s="221" t="s">
        <v>49</v>
      </c>
      <c r="D578" s="221" t="s">
        <v>4128</v>
      </c>
      <c r="E578" s="221" t="s">
        <v>3295</v>
      </c>
      <c r="F578" s="221" t="s">
        <v>3299</v>
      </c>
      <c r="G578" s="222">
        <v>45497</v>
      </c>
      <c r="H578" s="223">
        <v>0.63888888888888884</v>
      </c>
      <c r="I578" s="221" t="s">
        <v>4916</v>
      </c>
      <c r="J578" s="221" t="s">
        <v>3024</v>
      </c>
      <c r="K578" s="224" t="s">
        <v>3089</v>
      </c>
      <c r="L578" s="225" t="str">
        <f>VLOOKUP(Logfile_S[[#This Row],[Material Name]],Sheet2!B:C,2,0)</f>
        <v>GCI1003</v>
      </c>
      <c r="M578" s="225" t="str">
        <f>_xlfn.XLOOKUP(Logfile_S[[#This Row],[Material Name]],Sum_WH!E:E,Sum_WH!F:F,"",0)</f>
        <v>Pcs</v>
      </c>
      <c r="N578" s="221">
        <v>100</v>
      </c>
      <c r="O578" s="221" t="s">
        <v>1803</v>
      </c>
      <c r="P578" s="221" t="s">
        <v>1804</v>
      </c>
      <c r="Q578" s="221"/>
      <c r="R578" s="221"/>
      <c r="S578" s="221"/>
      <c r="T578" s="221" t="s">
        <v>3258</v>
      </c>
      <c r="U578" s="221" t="s">
        <v>3228</v>
      </c>
      <c r="V578" s="221" t="s">
        <v>3337</v>
      </c>
      <c r="W578" s="221" t="s">
        <v>3338</v>
      </c>
      <c r="X578" s="221"/>
      <c r="Y578" s="227"/>
      <c r="Z578" s="227" t="str">
        <f>P578</f>
        <v>Dusun Langlang IV Singosari</v>
      </c>
      <c r="AA578" s="276" t="e">
        <f>VLOOKUP(Logfile_S[[#This Row],[DO number]],DO_DB!G:I,3,0)</f>
        <v>#N/A</v>
      </c>
      <c r="AB578" s="331" t="e">
        <f>EXACT(Logfile_S[[#This Row],[date pick]],Logfile_S[[#This Row],[Date]])</f>
        <v>#N/A</v>
      </c>
      <c r="AC5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79" spans="1:29" ht="14.5">
      <c r="A579" s="220" t="str">
        <f>TEXT(ROW(A579)-ROW($A$4),"000")</f>
        <v>575</v>
      </c>
      <c r="B579" s="221"/>
      <c r="C579" s="221" t="s">
        <v>49</v>
      </c>
      <c r="D579" s="221" t="s">
        <v>4130</v>
      </c>
      <c r="E579" s="221" t="s">
        <v>3295</v>
      </c>
      <c r="F579" s="221" t="s">
        <v>3299</v>
      </c>
      <c r="G579" s="222">
        <v>45499</v>
      </c>
      <c r="H579" s="223">
        <v>0.5625</v>
      </c>
      <c r="I579" s="221" t="s">
        <v>4916</v>
      </c>
      <c r="J579" s="221" t="s">
        <v>3024</v>
      </c>
      <c r="K579" s="224" t="s">
        <v>3087</v>
      </c>
      <c r="L579" s="225" t="str">
        <f>VLOOKUP(Logfile_S[[#This Row],[Material Name]],Sheet2!B:C,2,0)</f>
        <v>GCI1001</v>
      </c>
      <c r="M579" s="225" t="str">
        <f>_xlfn.XLOOKUP(Logfile_S[[#This Row],[Material Name]],Sum_WH!E:E,Sum_WH!F:F,"",0)</f>
        <v>Pcs</v>
      </c>
      <c r="N579" s="221">
        <v>12</v>
      </c>
      <c r="O579" s="221" t="s">
        <v>1803</v>
      </c>
      <c r="P579" s="221" t="s">
        <v>1804</v>
      </c>
      <c r="Q579" s="221"/>
      <c r="R579" s="221"/>
      <c r="S579" s="221"/>
      <c r="T579" s="221" t="s">
        <v>3258</v>
      </c>
      <c r="U579" s="221" t="s">
        <v>3228</v>
      </c>
      <c r="V579" s="221" t="s">
        <v>3337</v>
      </c>
      <c r="W579" s="221" t="s">
        <v>3338</v>
      </c>
      <c r="X579" s="221"/>
      <c r="Y579" s="227"/>
      <c r="Z579" s="227" t="str">
        <f>P579</f>
        <v>Dusun Langlang IV Singosari</v>
      </c>
      <c r="AA579" s="276" t="e">
        <f>VLOOKUP(Logfile_S[[#This Row],[DO number]],DO_DB!G:I,3,0)</f>
        <v>#N/A</v>
      </c>
      <c r="AB579" s="331" t="e">
        <f>EXACT(Logfile_S[[#This Row],[date pick]],Logfile_S[[#This Row],[Date]])</f>
        <v>#N/A</v>
      </c>
      <c r="AC5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80" spans="1:29" ht="14.5">
      <c r="A580" s="220" t="str">
        <f>TEXT(ROW(A580)-ROW($A$4),"000")</f>
        <v>576</v>
      </c>
      <c r="B580" s="221"/>
      <c r="C580" s="221" t="s">
        <v>49</v>
      </c>
      <c r="D580" s="221" t="s">
        <v>4130</v>
      </c>
      <c r="E580" s="221" t="s">
        <v>3295</v>
      </c>
      <c r="F580" s="221" t="s">
        <v>3299</v>
      </c>
      <c r="G580" s="222">
        <v>45499</v>
      </c>
      <c r="H580" s="223">
        <v>0.5625</v>
      </c>
      <c r="I580" s="221" t="s">
        <v>4916</v>
      </c>
      <c r="J580" s="221" t="s">
        <v>3023</v>
      </c>
      <c r="K580" s="224" t="s">
        <v>3069</v>
      </c>
      <c r="L580" s="225" t="str">
        <f>VLOOKUP(Logfile_S[[#This Row],[Material Name]],Sheet2!B:C,2,0)</f>
        <v>ZTE1001</v>
      </c>
      <c r="M580" s="225" t="str">
        <f>_xlfn.XLOOKUP(Logfile_S[[#This Row],[Material Name]],Sum_WH!E:E,Sum_WH!F:F,"",0)</f>
        <v>Pcs</v>
      </c>
      <c r="N580" s="221">
        <v>21</v>
      </c>
      <c r="O580" s="221" t="s">
        <v>1803</v>
      </c>
      <c r="P580" s="221" t="s">
        <v>1804</v>
      </c>
      <c r="Q580" s="221"/>
      <c r="R580" s="221"/>
      <c r="S580" s="221"/>
      <c r="T580" s="221" t="s">
        <v>3258</v>
      </c>
      <c r="U580" s="221" t="s">
        <v>3228</v>
      </c>
      <c r="V580" s="221" t="s">
        <v>3337</v>
      </c>
      <c r="W580" s="221" t="s">
        <v>3338</v>
      </c>
      <c r="X580" s="221"/>
      <c r="Y580" s="227"/>
      <c r="Z580" s="227" t="str">
        <f>P580</f>
        <v>Dusun Langlang IV Singosari</v>
      </c>
      <c r="AA580" s="276" t="e">
        <f>VLOOKUP(Logfile_S[[#This Row],[DO number]],DO_DB!G:I,3,0)</f>
        <v>#N/A</v>
      </c>
      <c r="AB580" s="331" t="e">
        <f>EXACT(Logfile_S[[#This Row],[date pick]],Logfile_S[[#This Row],[Date]])</f>
        <v>#N/A</v>
      </c>
      <c r="AC5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81" spans="1:29" ht="14.5">
      <c r="A581" s="220" t="str">
        <f>TEXT(ROW(A581)-ROW($A$4),"000")</f>
        <v>577</v>
      </c>
      <c r="B581" s="221"/>
      <c r="C581" s="221" t="s">
        <v>49</v>
      </c>
      <c r="D581" s="221" t="s">
        <v>4132</v>
      </c>
      <c r="E581" s="221" t="s">
        <v>3295</v>
      </c>
      <c r="F581" s="221" t="s">
        <v>3299</v>
      </c>
      <c r="G581" s="222">
        <v>45500</v>
      </c>
      <c r="H581" s="223">
        <v>0.62847222222222221</v>
      </c>
      <c r="I581" s="221" t="s">
        <v>4916</v>
      </c>
      <c r="J581" s="221" t="s">
        <v>3023</v>
      </c>
      <c r="K581" s="224" t="s">
        <v>3073</v>
      </c>
      <c r="L581" s="225" t="str">
        <f>VLOOKUP(Logfile_S[[#This Row],[Material Name]],Sheet2!B:C,2,0)</f>
        <v>ZTE2001</v>
      </c>
      <c r="M581" s="225" t="str">
        <f>_xlfn.XLOOKUP(Logfile_S[[#This Row],[Material Name]],Sum_WH!E:E,Sum_WH!F:F,"",0)</f>
        <v>Meter</v>
      </c>
      <c r="N581" s="221">
        <v>3000</v>
      </c>
      <c r="O581" s="221" t="s">
        <v>1803</v>
      </c>
      <c r="P581" s="221" t="s">
        <v>1804</v>
      </c>
      <c r="Q581" s="221"/>
      <c r="R581" s="221"/>
      <c r="S581" s="221"/>
      <c r="T581" s="221" t="s">
        <v>3258</v>
      </c>
      <c r="U581" s="221" t="s">
        <v>3228</v>
      </c>
      <c r="V581" s="221" t="s">
        <v>3337</v>
      </c>
      <c r="W581" s="221" t="s">
        <v>3338</v>
      </c>
      <c r="X581" s="221" t="s">
        <v>3509</v>
      </c>
      <c r="Y581" s="227"/>
      <c r="Z581" s="227" t="str">
        <f>P581</f>
        <v>Dusun Langlang IV Singosari</v>
      </c>
      <c r="AA581" s="276" t="e">
        <f>VLOOKUP(Logfile_S[[#This Row],[DO number]],DO_DB!G:I,3,0)</f>
        <v>#N/A</v>
      </c>
      <c r="AB581" s="331" t="e">
        <f>EXACT(Logfile_S[[#This Row],[date pick]],Logfile_S[[#This Row],[Date]])</f>
        <v>#N/A</v>
      </c>
      <c r="AC5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82" spans="1:29" ht="14.5">
      <c r="A582" s="220" t="str">
        <f>TEXT(ROW(A582)-ROW($A$4),"000")</f>
        <v>578</v>
      </c>
      <c r="B582" s="221"/>
      <c r="C582" s="221" t="s">
        <v>49</v>
      </c>
      <c r="D582" s="221" t="s">
        <v>4132</v>
      </c>
      <c r="E582" s="221" t="s">
        <v>3295</v>
      </c>
      <c r="F582" s="221" t="s">
        <v>3299</v>
      </c>
      <c r="G582" s="222">
        <v>45500</v>
      </c>
      <c r="H582" s="223">
        <v>0.62847222222222221</v>
      </c>
      <c r="I582" s="221" t="s">
        <v>4916</v>
      </c>
      <c r="J582" s="221" t="s">
        <v>3023</v>
      </c>
      <c r="K582" s="224" t="s">
        <v>3075</v>
      </c>
      <c r="L582" s="225" t="str">
        <f>VLOOKUP(Logfile_S[[#This Row],[Material Name]],Sheet2!B:C,2,0)</f>
        <v>ZTE2003</v>
      </c>
      <c r="M582" s="225" t="str">
        <f>_xlfn.XLOOKUP(Logfile_S[[#This Row],[Material Name]],Sum_WH!E:E,Sum_WH!F:F,"",0)</f>
        <v>Meter</v>
      </c>
      <c r="N582" s="221">
        <v>3000</v>
      </c>
      <c r="O582" s="221" t="s">
        <v>1803</v>
      </c>
      <c r="P582" s="221" t="s">
        <v>1804</v>
      </c>
      <c r="Q582" s="221"/>
      <c r="R582" s="221"/>
      <c r="S582" s="221"/>
      <c r="T582" s="221" t="s">
        <v>3258</v>
      </c>
      <c r="U582" s="221" t="s">
        <v>3228</v>
      </c>
      <c r="V582" s="221" t="s">
        <v>3337</v>
      </c>
      <c r="W582" s="221" t="s">
        <v>3338</v>
      </c>
      <c r="X582" s="221" t="s">
        <v>3207</v>
      </c>
      <c r="Y582" s="227"/>
      <c r="Z582" s="227" t="str">
        <f>P582</f>
        <v>Dusun Langlang IV Singosari</v>
      </c>
      <c r="AA582" s="276" t="e">
        <f>VLOOKUP(Logfile_S[[#This Row],[DO number]],DO_DB!G:I,3,0)</f>
        <v>#N/A</v>
      </c>
      <c r="AB582" s="331" t="e">
        <f>EXACT(Logfile_S[[#This Row],[date pick]],Logfile_S[[#This Row],[Date]])</f>
        <v>#N/A</v>
      </c>
      <c r="AC5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83" spans="1:29" ht="14.5">
      <c r="A583" s="220" t="str">
        <f>TEXT(ROW(A583)-ROW($A$4),"000")</f>
        <v>579</v>
      </c>
      <c r="B583" s="221"/>
      <c r="C583" s="221" t="s">
        <v>49</v>
      </c>
      <c r="D583" s="221" t="s">
        <v>4131</v>
      </c>
      <c r="E583" s="221" t="s">
        <v>3295</v>
      </c>
      <c r="F583" s="221" t="s">
        <v>3299</v>
      </c>
      <c r="G583" s="222">
        <v>45500</v>
      </c>
      <c r="H583" s="223">
        <v>0.59027777777777779</v>
      </c>
      <c r="I583" s="221" t="s">
        <v>4916</v>
      </c>
      <c r="J583" s="221" t="s">
        <v>3023</v>
      </c>
      <c r="K583" s="224" t="s">
        <v>3069</v>
      </c>
      <c r="L583" s="225" t="str">
        <f>VLOOKUP(Logfile_S[[#This Row],[Material Name]],Sheet2!B:C,2,0)</f>
        <v>ZTE1001</v>
      </c>
      <c r="M583" s="225" t="str">
        <f>_xlfn.XLOOKUP(Logfile_S[[#This Row],[Material Name]],Sum_WH!E:E,Sum_WH!F:F,"",0)</f>
        <v>Pcs</v>
      </c>
      <c r="N583" s="221">
        <v>21</v>
      </c>
      <c r="O583" s="221" t="s">
        <v>1803</v>
      </c>
      <c r="P583" s="221" t="s">
        <v>1804</v>
      </c>
      <c r="Q583" s="221"/>
      <c r="R583" s="221"/>
      <c r="S583" s="221"/>
      <c r="T583" s="221" t="s">
        <v>3258</v>
      </c>
      <c r="U583" s="221" t="s">
        <v>3228</v>
      </c>
      <c r="V583" s="221" t="s">
        <v>3337</v>
      </c>
      <c r="W583" s="221" t="s">
        <v>3338</v>
      </c>
      <c r="X583" s="221"/>
      <c r="Y583" s="227"/>
      <c r="Z583" s="227" t="str">
        <f>P583</f>
        <v>Dusun Langlang IV Singosari</v>
      </c>
      <c r="AA583" s="276" t="e">
        <f>VLOOKUP(Logfile_S[[#This Row],[DO number]],DO_DB!G:I,3,0)</f>
        <v>#N/A</v>
      </c>
      <c r="AB583" s="331" t="e">
        <f>EXACT(Logfile_S[[#This Row],[date pick]],Logfile_S[[#This Row],[Date]])</f>
        <v>#N/A</v>
      </c>
      <c r="AC5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84" spans="1:29" ht="14.5">
      <c r="A584" s="220" t="str">
        <f>TEXT(ROW(A584)-ROW($A$4),"000")</f>
        <v>580</v>
      </c>
      <c r="B584" s="221"/>
      <c r="C584" s="221" t="s">
        <v>49</v>
      </c>
      <c r="D584" s="221" t="s">
        <v>4131</v>
      </c>
      <c r="E584" s="221" t="s">
        <v>3295</v>
      </c>
      <c r="F584" s="221" t="s">
        <v>3299</v>
      </c>
      <c r="G584" s="222">
        <v>45500</v>
      </c>
      <c r="H584" s="223">
        <v>0.59027777777777779</v>
      </c>
      <c r="I584" s="221" t="s">
        <v>4916</v>
      </c>
      <c r="J584" s="221" t="s">
        <v>3024</v>
      </c>
      <c r="K584" s="224" t="s">
        <v>3094</v>
      </c>
      <c r="L584" s="225" t="str">
        <f>VLOOKUP(Logfile_S[[#This Row],[Material Name]],Sheet2!B:C,2,0)</f>
        <v>GCI1008</v>
      </c>
      <c r="M584" s="225" t="str">
        <f>_xlfn.XLOOKUP(Logfile_S[[#This Row],[Material Name]],Sum_WH!E:E,Sum_WH!F:F,"",0)</f>
        <v>Pcs</v>
      </c>
      <c r="N584" s="221">
        <v>4</v>
      </c>
      <c r="O584" s="221" t="s">
        <v>1803</v>
      </c>
      <c r="P584" s="221" t="s">
        <v>1804</v>
      </c>
      <c r="Q584" s="221"/>
      <c r="R584" s="221"/>
      <c r="S584" s="221"/>
      <c r="T584" s="221" t="s">
        <v>3258</v>
      </c>
      <c r="U584" s="221" t="s">
        <v>3228</v>
      </c>
      <c r="V584" s="221" t="s">
        <v>3337</v>
      </c>
      <c r="W584" s="221" t="s">
        <v>3338</v>
      </c>
      <c r="X584" s="221"/>
      <c r="Y584" s="227"/>
      <c r="Z584" s="227" t="str">
        <f>P584</f>
        <v>Dusun Langlang IV Singosari</v>
      </c>
      <c r="AA584" s="276" t="e">
        <f>VLOOKUP(Logfile_S[[#This Row],[DO number]],DO_DB!G:I,3,0)</f>
        <v>#N/A</v>
      </c>
      <c r="AB584" s="331" t="e">
        <f>EXACT(Logfile_S[[#This Row],[date pick]],Logfile_S[[#This Row],[Date]])</f>
        <v>#N/A</v>
      </c>
      <c r="AC5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85" spans="1:29" ht="14.5">
      <c r="A585" s="220" t="str">
        <f>TEXT(ROW(A585)-ROW($A$4),"000")</f>
        <v>581</v>
      </c>
      <c r="B585" s="221"/>
      <c r="C585" s="221" t="s">
        <v>49</v>
      </c>
      <c r="D585" s="221" t="s">
        <v>4131</v>
      </c>
      <c r="E585" s="221" t="s">
        <v>3295</v>
      </c>
      <c r="F585" s="221" t="s">
        <v>3299</v>
      </c>
      <c r="G585" s="222">
        <v>45500</v>
      </c>
      <c r="H585" s="223">
        <v>0.59027777777777779</v>
      </c>
      <c r="I585" s="221" t="s">
        <v>4916</v>
      </c>
      <c r="J585" s="221" t="s">
        <v>3024</v>
      </c>
      <c r="K585" s="224" t="s">
        <v>3090</v>
      </c>
      <c r="L585" s="225" t="str">
        <f>VLOOKUP(Logfile_S[[#This Row],[Material Name]],Sheet2!B:C,2,0)</f>
        <v>GCI1004</v>
      </c>
      <c r="M585" s="225" t="str">
        <f>_xlfn.XLOOKUP(Logfile_S[[#This Row],[Material Name]],Sum_WH!E:E,Sum_WH!F:F,"",0)</f>
        <v>Pcs</v>
      </c>
      <c r="N585" s="221">
        <v>34</v>
      </c>
      <c r="O585" s="221" t="s">
        <v>1803</v>
      </c>
      <c r="P585" s="221" t="s">
        <v>1804</v>
      </c>
      <c r="Q585" s="221"/>
      <c r="R585" s="221"/>
      <c r="S585" s="221"/>
      <c r="T585" s="221" t="s">
        <v>3258</v>
      </c>
      <c r="U585" s="221" t="s">
        <v>3228</v>
      </c>
      <c r="V585" s="221" t="s">
        <v>3337</v>
      </c>
      <c r="W585" s="221" t="s">
        <v>3338</v>
      </c>
      <c r="X585" s="221"/>
      <c r="Y585" s="227"/>
      <c r="Z585" s="227" t="str">
        <f>P585</f>
        <v>Dusun Langlang IV Singosari</v>
      </c>
      <c r="AA585" s="276" t="e">
        <f>VLOOKUP(Logfile_S[[#This Row],[DO number]],DO_DB!G:I,3,0)</f>
        <v>#N/A</v>
      </c>
      <c r="AB585" s="331" t="e">
        <f>EXACT(Logfile_S[[#This Row],[date pick]],Logfile_S[[#This Row],[Date]])</f>
        <v>#N/A</v>
      </c>
      <c r="AC5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86" spans="1:29" ht="14.5">
      <c r="A586" s="220" t="str">
        <f>TEXT(ROW(A586)-ROW($A$4),"000")</f>
        <v>582</v>
      </c>
      <c r="B586" s="221"/>
      <c r="C586" s="221" t="s">
        <v>49</v>
      </c>
      <c r="D586" s="221" t="s">
        <v>4133</v>
      </c>
      <c r="E586" s="221" t="s">
        <v>3295</v>
      </c>
      <c r="F586" s="221" t="s">
        <v>3299</v>
      </c>
      <c r="G586" s="222">
        <v>45502</v>
      </c>
      <c r="H586" s="223">
        <v>0.59027777777777779</v>
      </c>
      <c r="I586" s="221" t="s">
        <v>4916</v>
      </c>
      <c r="J586" s="221" t="s">
        <v>3024</v>
      </c>
      <c r="K586" s="224" t="s">
        <v>3087</v>
      </c>
      <c r="L586" s="225" t="str">
        <f>VLOOKUP(Logfile_S[[#This Row],[Material Name]],Sheet2!B:C,2,0)</f>
        <v>GCI1001</v>
      </c>
      <c r="M586" s="225" t="str">
        <f>_xlfn.XLOOKUP(Logfile_S[[#This Row],[Material Name]],Sum_WH!E:E,Sum_WH!F:F,"",0)</f>
        <v>Pcs</v>
      </c>
      <c r="N586" s="221">
        <v>5</v>
      </c>
      <c r="O586" s="221" t="s">
        <v>1803</v>
      </c>
      <c r="P586" s="221" t="s">
        <v>1804</v>
      </c>
      <c r="Q586" s="221"/>
      <c r="R586" s="221"/>
      <c r="S586" s="221"/>
      <c r="T586" s="221" t="s">
        <v>3258</v>
      </c>
      <c r="U586" s="221" t="s">
        <v>3228</v>
      </c>
      <c r="V586" s="221" t="s">
        <v>3337</v>
      </c>
      <c r="W586" s="221" t="s">
        <v>3338</v>
      </c>
      <c r="X586" s="221"/>
      <c r="Y586" s="227"/>
      <c r="Z586" s="227" t="str">
        <f>P586</f>
        <v>Dusun Langlang IV Singosari</v>
      </c>
      <c r="AA586" s="276" t="e">
        <f>VLOOKUP(Logfile_S[[#This Row],[DO number]],DO_DB!G:I,3,0)</f>
        <v>#N/A</v>
      </c>
      <c r="AB586" s="331" t="e">
        <f>EXACT(Logfile_S[[#This Row],[date pick]],Logfile_S[[#This Row],[Date]])</f>
        <v>#N/A</v>
      </c>
      <c r="AC5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87" spans="1:29" ht="14.5">
      <c r="A587" s="220" t="str">
        <f>TEXT(ROW(A587)-ROW($A$4),"000")</f>
        <v>583</v>
      </c>
      <c r="B587" s="221"/>
      <c r="C587" s="221" t="s">
        <v>49</v>
      </c>
      <c r="D587" s="221" t="s">
        <v>4133</v>
      </c>
      <c r="E587" s="221" t="s">
        <v>3295</v>
      </c>
      <c r="F587" s="221" t="s">
        <v>3299</v>
      </c>
      <c r="G587" s="222">
        <v>45502</v>
      </c>
      <c r="H587" s="223">
        <v>0.59027777777777779</v>
      </c>
      <c r="I587" s="221" t="s">
        <v>4916</v>
      </c>
      <c r="J587" s="221" t="s">
        <v>3024</v>
      </c>
      <c r="K587" s="224" t="s">
        <v>3088</v>
      </c>
      <c r="L587" s="225" t="str">
        <f>VLOOKUP(Logfile_S[[#This Row],[Material Name]],Sheet2!B:C,2,0)</f>
        <v>GCI1002</v>
      </c>
      <c r="M587" s="225" t="str">
        <f>_xlfn.XLOOKUP(Logfile_S[[#This Row],[Material Name]],Sum_WH!E:E,Sum_WH!F:F,"",0)</f>
        <v>Pcs</v>
      </c>
      <c r="N587" s="221">
        <v>1</v>
      </c>
      <c r="O587" s="221" t="s">
        <v>1803</v>
      </c>
      <c r="P587" s="221" t="s">
        <v>1804</v>
      </c>
      <c r="Q587" s="221"/>
      <c r="R587" s="221"/>
      <c r="S587" s="221"/>
      <c r="T587" s="221" t="s">
        <v>3258</v>
      </c>
      <c r="U587" s="221" t="s">
        <v>3228</v>
      </c>
      <c r="V587" s="221" t="s">
        <v>3337</v>
      </c>
      <c r="W587" s="221" t="s">
        <v>3338</v>
      </c>
      <c r="X587" s="221"/>
      <c r="Y587" s="227"/>
      <c r="Z587" s="227" t="str">
        <f>P587</f>
        <v>Dusun Langlang IV Singosari</v>
      </c>
      <c r="AA587" s="276" t="e">
        <f>VLOOKUP(Logfile_S[[#This Row],[DO number]],DO_DB!G:I,3,0)</f>
        <v>#N/A</v>
      </c>
      <c r="AB587" s="331" t="e">
        <f>EXACT(Logfile_S[[#This Row],[date pick]],Logfile_S[[#This Row],[Date]])</f>
        <v>#N/A</v>
      </c>
      <c r="AC5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88" spans="1:29" ht="14.5">
      <c r="A588" s="220" t="str">
        <f>TEXT(ROW(A588)-ROW($A$4),"000")</f>
        <v>584</v>
      </c>
      <c r="B588" s="221"/>
      <c r="C588" s="221" t="s">
        <v>49</v>
      </c>
      <c r="D588" s="221" t="s">
        <v>4133</v>
      </c>
      <c r="E588" s="221" t="s">
        <v>3295</v>
      </c>
      <c r="F588" s="221" t="s">
        <v>3299</v>
      </c>
      <c r="G588" s="222">
        <v>45502</v>
      </c>
      <c r="H588" s="223">
        <v>0.59027777777777779</v>
      </c>
      <c r="I588" s="221" t="s">
        <v>4916</v>
      </c>
      <c r="J588" s="221" t="s">
        <v>3023</v>
      </c>
      <c r="K588" s="224" t="s">
        <v>3069</v>
      </c>
      <c r="L588" s="225" t="str">
        <f>VLOOKUP(Logfile_S[[#This Row],[Material Name]],Sheet2!B:C,2,0)</f>
        <v>ZTE1001</v>
      </c>
      <c r="M588" s="225" t="str">
        <f>_xlfn.XLOOKUP(Logfile_S[[#This Row],[Material Name]],Sum_WH!E:E,Sum_WH!F:F,"",0)</f>
        <v>Pcs</v>
      </c>
      <c r="N588" s="221">
        <v>15</v>
      </c>
      <c r="O588" s="221" t="s">
        <v>1803</v>
      </c>
      <c r="P588" s="221" t="s">
        <v>1804</v>
      </c>
      <c r="Q588" s="221"/>
      <c r="R588" s="221"/>
      <c r="S588" s="221"/>
      <c r="T588" s="221" t="s">
        <v>3258</v>
      </c>
      <c r="U588" s="221" t="s">
        <v>3228</v>
      </c>
      <c r="V588" s="221" t="s">
        <v>3337</v>
      </c>
      <c r="W588" s="221" t="s">
        <v>3338</v>
      </c>
      <c r="X588" s="221"/>
      <c r="Y588" s="227"/>
      <c r="Z588" s="227" t="str">
        <f>P588</f>
        <v>Dusun Langlang IV Singosari</v>
      </c>
      <c r="AA588" s="276" t="e">
        <f>VLOOKUP(Logfile_S[[#This Row],[DO number]],DO_DB!G:I,3,0)</f>
        <v>#N/A</v>
      </c>
      <c r="AB588" s="331" t="e">
        <f>EXACT(Logfile_S[[#This Row],[date pick]],Logfile_S[[#This Row],[Date]])</f>
        <v>#N/A</v>
      </c>
      <c r="AC5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89" spans="1:29" ht="14.5">
      <c r="A589" s="220" t="str">
        <f>TEXT(ROW(A589)-ROW($A$4),"000")</f>
        <v>585</v>
      </c>
      <c r="B589" s="221"/>
      <c r="C589" s="221" t="s">
        <v>49</v>
      </c>
      <c r="D589" s="221" t="s">
        <v>4133</v>
      </c>
      <c r="E589" s="221" t="s">
        <v>3295</v>
      </c>
      <c r="F589" s="221" t="s">
        <v>3299</v>
      </c>
      <c r="G589" s="222">
        <v>45502</v>
      </c>
      <c r="H589" s="223">
        <v>0.59027777777777779</v>
      </c>
      <c r="I589" s="221" t="s">
        <v>4916</v>
      </c>
      <c r="J589" s="221" t="s">
        <v>3024</v>
      </c>
      <c r="K589" s="224" t="s">
        <v>3089</v>
      </c>
      <c r="L589" s="225" t="str">
        <f>VLOOKUP(Logfile_S[[#This Row],[Material Name]],Sheet2!B:C,2,0)</f>
        <v>GCI1003</v>
      </c>
      <c r="M589" s="225" t="str">
        <f>_xlfn.XLOOKUP(Logfile_S[[#This Row],[Material Name]],Sum_WH!E:E,Sum_WH!F:F,"",0)</f>
        <v>Pcs</v>
      </c>
      <c r="N589" s="221">
        <v>100</v>
      </c>
      <c r="O589" s="221" t="s">
        <v>1803</v>
      </c>
      <c r="P589" s="221" t="s">
        <v>1804</v>
      </c>
      <c r="Q589" s="221"/>
      <c r="R589" s="221"/>
      <c r="S589" s="221"/>
      <c r="T589" s="221" t="s">
        <v>3258</v>
      </c>
      <c r="U589" s="221" t="s">
        <v>3228</v>
      </c>
      <c r="V589" s="221" t="s">
        <v>3337</v>
      </c>
      <c r="W589" s="221" t="s">
        <v>3338</v>
      </c>
      <c r="X589" s="221"/>
      <c r="Y589" s="227"/>
      <c r="Z589" s="227" t="str">
        <f>P589</f>
        <v>Dusun Langlang IV Singosari</v>
      </c>
      <c r="AA589" s="276" t="e">
        <f>VLOOKUP(Logfile_S[[#This Row],[DO number]],DO_DB!G:I,3,0)</f>
        <v>#N/A</v>
      </c>
      <c r="AB589" s="331" t="e">
        <f>EXACT(Logfile_S[[#This Row],[date pick]],Logfile_S[[#This Row],[Date]])</f>
        <v>#N/A</v>
      </c>
      <c r="AC5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90" spans="1:29" ht="14.5">
      <c r="A590" s="220" t="str">
        <f>TEXT(ROW(A590)-ROW($A$4),"000")</f>
        <v>586</v>
      </c>
      <c r="B590" s="221"/>
      <c r="C590" s="221" t="s">
        <v>49</v>
      </c>
      <c r="D590" s="221" t="s">
        <v>4137</v>
      </c>
      <c r="E590" s="221" t="s">
        <v>3295</v>
      </c>
      <c r="F590" s="221" t="s">
        <v>3299</v>
      </c>
      <c r="G590" s="222">
        <v>45503</v>
      </c>
      <c r="H590" s="223">
        <v>0.43333333333333335</v>
      </c>
      <c r="I590" s="221" t="s">
        <v>4916</v>
      </c>
      <c r="J590" s="221" t="s">
        <v>3023</v>
      </c>
      <c r="K590" s="224" t="s">
        <v>3073</v>
      </c>
      <c r="L590" s="225" t="str">
        <f>VLOOKUP(Logfile_S[[#This Row],[Material Name]],Sheet2!B:C,2,0)</f>
        <v>ZTE2001</v>
      </c>
      <c r="M590" s="225" t="str">
        <f>_xlfn.XLOOKUP(Logfile_S[[#This Row],[Material Name]],Sum_WH!E:E,Sum_WH!F:F,"",0)</f>
        <v>Meter</v>
      </c>
      <c r="N590" s="221">
        <v>3000</v>
      </c>
      <c r="O590" s="221" t="s">
        <v>1803</v>
      </c>
      <c r="P590" s="221" t="s">
        <v>1804</v>
      </c>
      <c r="Q590" s="221"/>
      <c r="R590" s="221"/>
      <c r="S590" s="221"/>
      <c r="T590" s="221" t="s">
        <v>3258</v>
      </c>
      <c r="U590" s="221" t="s">
        <v>3228</v>
      </c>
      <c r="V590" s="221" t="s">
        <v>3337</v>
      </c>
      <c r="W590" s="221" t="s">
        <v>3338</v>
      </c>
      <c r="X590" s="221" t="s">
        <v>3510</v>
      </c>
      <c r="Y590" s="227"/>
      <c r="Z590" s="227" t="str">
        <f>P590</f>
        <v>Dusun Langlang IV Singosari</v>
      </c>
      <c r="AA590" s="276" t="e">
        <f>VLOOKUP(Logfile_S[[#This Row],[DO number]],DO_DB!G:I,3,0)</f>
        <v>#N/A</v>
      </c>
      <c r="AB590" s="331" t="e">
        <f>EXACT(Logfile_S[[#This Row],[date pick]],Logfile_S[[#This Row],[Date]])</f>
        <v>#N/A</v>
      </c>
      <c r="AC5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91" spans="1:29" ht="14.5">
      <c r="A591" s="220" t="str">
        <f>TEXT(ROW(A591)-ROW($A$4),"000")</f>
        <v>587</v>
      </c>
      <c r="B591" s="221"/>
      <c r="C591" s="221" t="s">
        <v>49</v>
      </c>
      <c r="D591" s="221" t="s">
        <v>4135</v>
      </c>
      <c r="E591" s="221" t="s">
        <v>3295</v>
      </c>
      <c r="F591" s="221" t="s">
        <v>3299</v>
      </c>
      <c r="G591" s="222">
        <v>45503</v>
      </c>
      <c r="H591" s="223">
        <v>0.43333333333333335</v>
      </c>
      <c r="I591" s="221" t="s">
        <v>4916</v>
      </c>
      <c r="J591" s="221" t="s">
        <v>3023</v>
      </c>
      <c r="K591" s="224" t="s">
        <v>3075</v>
      </c>
      <c r="L591" s="225" t="str">
        <f>VLOOKUP(Logfile_S[[#This Row],[Material Name]],Sheet2!B:C,2,0)</f>
        <v>ZTE2003</v>
      </c>
      <c r="M591" s="225" t="str">
        <f>_xlfn.XLOOKUP(Logfile_S[[#This Row],[Material Name]],Sum_WH!E:E,Sum_WH!F:F,"",0)</f>
        <v>Meter</v>
      </c>
      <c r="N591" s="221">
        <v>3000</v>
      </c>
      <c r="O591" s="221" t="s">
        <v>1803</v>
      </c>
      <c r="P591" s="221" t="s">
        <v>1804</v>
      </c>
      <c r="Q591" s="221"/>
      <c r="R591" s="221"/>
      <c r="S591" s="221"/>
      <c r="T591" s="221" t="s">
        <v>3258</v>
      </c>
      <c r="U591" s="221" t="s">
        <v>3228</v>
      </c>
      <c r="V591" s="221" t="s">
        <v>3337</v>
      </c>
      <c r="W591" s="221" t="s">
        <v>3338</v>
      </c>
      <c r="X591" s="221" t="s">
        <v>3207</v>
      </c>
      <c r="Y591" s="227"/>
      <c r="Z591" s="227" t="str">
        <f>P591</f>
        <v>Dusun Langlang IV Singosari</v>
      </c>
      <c r="AA591" s="276" t="e">
        <f>VLOOKUP(Logfile_S[[#This Row],[DO number]],DO_DB!G:I,3,0)</f>
        <v>#N/A</v>
      </c>
      <c r="AB591" s="331" t="e">
        <f>EXACT(Logfile_S[[#This Row],[date pick]],Logfile_S[[#This Row],[Date]])</f>
        <v>#N/A</v>
      </c>
      <c r="AC5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92" spans="1:29" ht="14.5">
      <c r="A592" s="220" t="str">
        <f>TEXT(ROW(A592)-ROW($A$4),"000")</f>
        <v>588</v>
      </c>
      <c r="B592" s="221"/>
      <c r="C592" s="221" t="s">
        <v>49</v>
      </c>
      <c r="D592" s="221" t="s">
        <v>4135</v>
      </c>
      <c r="E592" s="221" t="s">
        <v>3295</v>
      </c>
      <c r="F592" s="221" t="s">
        <v>3299</v>
      </c>
      <c r="G592" s="222">
        <v>45503</v>
      </c>
      <c r="H592" s="223">
        <v>0.43333333333333335</v>
      </c>
      <c r="I592" s="221" t="s">
        <v>4916</v>
      </c>
      <c r="J592" s="221" t="s">
        <v>3024</v>
      </c>
      <c r="K592" s="224" t="s">
        <v>5137</v>
      </c>
      <c r="L592" s="225" t="str">
        <f>VLOOKUP(Logfile_S[[#This Row],[Material Name]],Sheet2!B:C,2,0)</f>
        <v>GCI1009</v>
      </c>
      <c r="M592" s="225" t="str">
        <f>_xlfn.XLOOKUP(Logfile_S[[#This Row],[Material Name]],Sum_WH!E:E,Sum_WH!F:F,"",0)</f>
        <v>Pcs</v>
      </c>
      <c r="N592" s="221">
        <v>50</v>
      </c>
      <c r="O592" s="221" t="s">
        <v>1803</v>
      </c>
      <c r="P592" s="221" t="s">
        <v>1804</v>
      </c>
      <c r="Q592" s="221"/>
      <c r="R592" s="221"/>
      <c r="S592" s="221"/>
      <c r="T592" s="221" t="s">
        <v>3258</v>
      </c>
      <c r="U592" s="221" t="s">
        <v>3228</v>
      </c>
      <c r="V592" s="221" t="s">
        <v>3337</v>
      </c>
      <c r="W592" s="221" t="s">
        <v>3338</v>
      </c>
      <c r="X592" s="221"/>
      <c r="Y592" s="227"/>
      <c r="Z592" s="227" t="str">
        <f>P592</f>
        <v>Dusun Langlang IV Singosari</v>
      </c>
      <c r="AA592" s="276" t="e">
        <f>VLOOKUP(Logfile_S[[#This Row],[DO number]],DO_DB!G:I,3,0)</f>
        <v>#N/A</v>
      </c>
      <c r="AB592" s="331" t="e">
        <f>EXACT(Logfile_S[[#This Row],[date pick]],Logfile_S[[#This Row],[Date]])</f>
        <v>#N/A</v>
      </c>
      <c r="AC5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93" spans="1:29" ht="14.5">
      <c r="A593" s="220" t="str">
        <f>TEXT(ROW(A593)-ROW($A$4),"000")</f>
        <v>589</v>
      </c>
      <c r="B593" s="221"/>
      <c r="C593" s="221" t="s">
        <v>49</v>
      </c>
      <c r="D593" s="221" t="s">
        <v>4135</v>
      </c>
      <c r="E593" s="221" t="s">
        <v>3295</v>
      </c>
      <c r="F593" s="221" t="s">
        <v>3299</v>
      </c>
      <c r="G593" s="222">
        <v>45503</v>
      </c>
      <c r="H593" s="223">
        <v>0.43333333333333335</v>
      </c>
      <c r="I593" s="221" t="s">
        <v>4916</v>
      </c>
      <c r="J593" s="221" t="s">
        <v>3023</v>
      </c>
      <c r="K593" s="224" t="s">
        <v>13</v>
      </c>
      <c r="L593" s="225" t="str">
        <f>VLOOKUP(Logfile_S[[#This Row],[Material Name]],Sheet2!B:C,2,0)</f>
        <v>ZTE2008</v>
      </c>
      <c r="M593" s="225" t="str">
        <f>_xlfn.XLOOKUP(Logfile_S[[#This Row],[Material Name]],Sum_WH!E:E,Sum_WH!F:F,"",0)</f>
        <v>Pcs</v>
      </c>
      <c r="N593" s="221">
        <v>10</v>
      </c>
      <c r="O593" s="221" t="s">
        <v>1803</v>
      </c>
      <c r="P593" s="221" t="s">
        <v>1804</v>
      </c>
      <c r="Q593" s="221"/>
      <c r="R593" s="221"/>
      <c r="S593" s="221"/>
      <c r="T593" s="221" t="s">
        <v>3258</v>
      </c>
      <c r="U593" s="221" t="s">
        <v>3228</v>
      </c>
      <c r="V593" s="221" t="s">
        <v>3337</v>
      </c>
      <c r="W593" s="221" t="s">
        <v>3338</v>
      </c>
      <c r="X593" s="221"/>
      <c r="Y593" s="227"/>
      <c r="Z593" s="227" t="str">
        <f>P593</f>
        <v>Dusun Langlang IV Singosari</v>
      </c>
      <c r="AA593" s="276" t="e">
        <f>VLOOKUP(Logfile_S[[#This Row],[DO number]],DO_DB!G:I,3,0)</f>
        <v>#N/A</v>
      </c>
      <c r="AB593" s="331" t="e">
        <f>EXACT(Logfile_S[[#This Row],[date pick]],Logfile_S[[#This Row],[Date]])</f>
        <v>#N/A</v>
      </c>
      <c r="AC5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94" spans="1:29" ht="14.5">
      <c r="A594" s="220" t="str">
        <f>TEXT(ROW(A594)-ROW($A$4),"000")</f>
        <v>590</v>
      </c>
      <c r="B594" s="221"/>
      <c r="C594" s="221" t="s">
        <v>49</v>
      </c>
      <c r="D594" s="221" t="s">
        <v>4135</v>
      </c>
      <c r="E594" s="221" t="s">
        <v>3295</v>
      </c>
      <c r="F594" s="221" t="s">
        <v>3299</v>
      </c>
      <c r="G594" s="222">
        <v>45503</v>
      </c>
      <c r="H594" s="223">
        <v>0.43333333333333335</v>
      </c>
      <c r="I594" s="221" t="s">
        <v>4916</v>
      </c>
      <c r="J594" s="221" t="s">
        <v>3023</v>
      </c>
      <c r="K594" s="224" t="s">
        <v>14</v>
      </c>
      <c r="L594" s="225" t="str">
        <f>VLOOKUP(Logfile_S[[#This Row],[Material Name]],Sheet2!B:C,2,0)</f>
        <v>ZTE2005</v>
      </c>
      <c r="M594" s="225" t="str">
        <f>_xlfn.XLOOKUP(Logfile_S[[#This Row],[Material Name]],Sum_WH!E:E,Sum_WH!F:F,"",0)</f>
        <v>Pcs</v>
      </c>
      <c r="N594" s="221">
        <v>2</v>
      </c>
      <c r="O594" s="221" t="s">
        <v>1803</v>
      </c>
      <c r="P594" s="221" t="s">
        <v>1804</v>
      </c>
      <c r="Q594" s="221"/>
      <c r="R594" s="221"/>
      <c r="S594" s="221"/>
      <c r="T594" s="221" t="s">
        <v>3258</v>
      </c>
      <c r="U594" s="221" t="s">
        <v>3228</v>
      </c>
      <c r="V594" s="221" t="s">
        <v>3337</v>
      </c>
      <c r="W594" s="221" t="s">
        <v>3338</v>
      </c>
      <c r="X594" s="221"/>
      <c r="Y594" s="227"/>
      <c r="Z594" s="227" t="str">
        <f>P594</f>
        <v>Dusun Langlang IV Singosari</v>
      </c>
      <c r="AA594" s="276" t="e">
        <f>VLOOKUP(Logfile_S[[#This Row],[DO number]],DO_DB!G:I,3,0)</f>
        <v>#N/A</v>
      </c>
      <c r="AB594" s="331" t="e">
        <f>EXACT(Logfile_S[[#This Row],[date pick]],Logfile_S[[#This Row],[Date]])</f>
        <v>#N/A</v>
      </c>
      <c r="AC5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95" spans="1:29" ht="14.5">
      <c r="A595" s="220" t="str">
        <f>TEXT(ROW(A595)-ROW($A$4),"000")</f>
        <v>591</v>
      </c>
      <c r="B595" s="221"/>
      <c r="C595" s="221" t="s">
        <v>49</v>
      </c>
      <c r="D595" s="221" t="s">
        <v>4135</v>
      </c>
      <c r="E595" s="221" t="s">
        <v>3295</v>
      </c>
      <c r="F595" s="221" t="s">
        <v>3299</v>
      </c>
      <c r="G595" s="222">
        <v>45503</v>
      </c>
      <c r="H595" s="223">
        <v>0.43333333333333335</v>
      </c>
      <c r="I595" s="221" t="s">
        <v>4916</v>
      </c>
      <c r="J595" s="221" t="s">
        <v>3023</v>
      </c>
      <c r="K595" s="224" t="s">
        <v>3072</v>
      </c>
      <c r="L595" s="225" t="str">
        <f>VLOOKUP(Logfile_S[[#This Row],[Material Name]],Sheet2!B:C,2,0)</f>
        <v>ZTE1004</v>
      </c>
      <c r="M595" s="225" t="str">
        <f>_xlfn.XLOOKUP(Logfile_S[[#This Row],[Material Name]],Sum_WH!E:E,Sum_WH!F:F,"",0)</f>
        <v>Pcs</v>
      </c>
      <c r="N595" s="221">
        <v>1</v>
      </c>
      <c r="O595" s="221" t="s">
        <v>1803</v>
      </c>
      <c r="P595" s="221" t="s">
        <v>1804</v>
      </c>
      <c r="Q595" s="221"/>
      <c r="R595" s="221"/>
      <c r="S595" s="221"/>
      <c r="T595" s="221" t="s">
        <v>3258</v>
      </c>
      <c r="U595" s="221" t="s">
        <v>3228</v>
      </c>
      <c r="V595" s="221" t="s">
        <v>3337</v>
      </c>
      <c r="W595" s="221" t="s">
        <v>3338</v>
      </c>
      <c r="X595" s="221"/>
      <c r="Y595" s="227"/>
      <c r="Z595" s="227" t="str">
        <f>P595</f>
        <v>Dusun Langlang IV Singosari</v>
      </c>
      <c r="AA595" s="276" t="e">
        <f>VLOOKUP(Logfile_S[[#This Row],[DO number]],DO_DB!G:I,3,0)</f>
        <v>#N/A</v>
      </c>
      <c r="AB595" s="331" t="e">
        <f>EXACT(Logfile_S[[#This Row],[date pick]],Logfile_S[[#This Row],[Date]])</f>
        <v>#N/A</v>
      </c>
      <c r="AC5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96" spans="1:29" ht="14.5">
      <c r="A596" s="220" t="str">
        <f>TEXT(ROW(A596)-ROW($A$4),"000")</f>
        <v>592</v>
      </c>
      <c r="B596" s="221"/>
      <c r="C596" s="221" t="s">
        <v>49</v>
      </c>
      <c r="D596" s="221" t="s">
        <v>4135</v>
      </c>
      <c r="E596" s="221" t="s">
        <v>3295</v>
      </c>
      <c r="F596" s="221" t="s">
        <v>3299</v>
      </c>
      <c r="G596" s="222">
        <v>45503</v>
      </c>
      <c r="H596" s="223">
        <v>0.43333333333333335</v>
      </c>
      <c r="I596" s="221" t="s">
        <v>4916</v>
      </c>
      <c r="J596" s="221" t="s">
        <v>3024</v>
      </c>
      <c r="K596" s="224" t="s">
        <v>3090</v>
      </c>
      <c r="L596" s="225" t="str">
        <f>VLOOKUP(Logfile_S[[#This Row],[Material Name]],Sheet2!B:C,2,0)</f>
        <v>GCI1004</v>
      </c>
      <c r="M596" s="225" t="str">
        <f>_xlfn.XLOOKUP(Logfile_S[[#This Row],[Material Name]],Sum_WH!E:E,Sum_WH!F:F,"",0)</f>
        <v>Pcs</v>
      </c>
      <c r="N596" s="221">
        <v>50</v>
      </c>
      <c r="O596" s="221" t="s">
        <v>1803</v>
      </c>
      <c r="P596" s="221" t="s">
        <v>1804</v>
      </c>
      <c r="Q596" s="221"/>
      <c r="R596" s="221"/>
      <c r="S596" s="221"/>
      <c r="T596" s="221" t="s">
        <v>3258</v>
      </c>
      <c r="U596" s="221" t="s">
        <v>3228</v>
      </c>
      <c r="V596" s="221" t="s">
        <v>3337</v>
      </c>
      <c r="W596" s="221" t="s">
        <v>3338</v>
      </c>
      <c r="X596" s="221"/>
      <c r="Y596" s="227"/>
      <c r="Z596" s="227" t="str">
        <f>P596</f>
        <v>Dusun Langlang IV Singosari</v>
      </c>
      <c r="AA596" s="276" t="e">
        <f>VLOOKUP(Logfile_S[[#This Row],[DO number]],DO_DB!G:I,3,0)</f>
        <v>#N/A</v>
      </c>
      <c r="AB596" s="331" t="e">
        <f>EXACT(Logfile_S[[#This Row],[date pick]],Logfile_S[[#This Row],[Date]])</f>
        <v>#N/A</v>
      </c>
      <c r="AC5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97" spans="1:29" ht="14.5">
      <c r="A597" s="220" t="str">
        <f>TEXT(ROW(A597)-ROW($A$4),"000")</f>
        <v>593</v>
      </c>
      <c r="B597" s="221"/>
      <c r="C597" s="221" t="s">
        <v>49</v>
      </c>
      <c r="D597" s="221" t="s">
        <v>4138</v>
      </c>
      <c r="E597" s="221" t="s">
        <v>3295</v>
      </c>
      <c r="F597" s="221" t="s">
        <v>3299</v>
      </c>
      <c r="G597" s="222">
        <v>45504</v>
      </c>
      <c r="H597" s="223">
        <v>0.72638888888888886</v>
      </c>
      <c r="I597" s="221" t="s">
        <v>4916</v>
      </c>
      <c r="J597" s="221" t="s">
        <v>3023</v>
      </c>
      <c r="K597" s="224" t="s">
        <v>13</v>
      </c>
      <c r="L597" s="225" t="str">
        <f>VLOOKUP(Logfile_S[[#This Row],[Material Name]],Sheet2!B:C,2,0)</f>
        <v>ZTE2008</v>
      </c>
      <c r="M597" s="225" t="str">
        <f>_xlfn.XLOOKUP(Logfile_S[[#This Row],[Material Name]],Sum_WH!E:E,Sum_WH!F:F,"",0)</f>
        <v>Pcs</v>
      </c>
      <c r="N597" s="221">
        <v>27</v>
      </c>
      <c r="O597" s="221" t="s">
        <v>1803</v>
      </c>
      <c r="P597" s="221" t="s">
        <v>1804</v>
      </c>
      <c r="Q597" s="221"/>
      <c r="R597" s="221"/>
      <c r="S597" s="221"/>
      <c r="T597" s="221" t="s">
        <v>3471</v>
      </c>
      <c r="U597" s="221">
        <v>0</v>
      </c>
      <c r="V597" s="221" t="s">
        <v>3472</v>
      </c>
      <c r="W597" s="221" t="s">
        <v>3473</v>
      </c>
      <c r="X597" s="221"/>
      <c r="Y597" s="227"/>
      <c r="Z597" s="227" t="str">
        <f>P597</f>
        <v>Dusun Langlang IV Singosari</v>
      </c>
      <c r="AA597" s="276" t="e">
        <f>VLOOKUP(Logfile_S[[#This Row],[DO number]],DO_DB!G:I,3,0)</f>
        <v>#N/A</v>
      </c>
      <c r="AB597" s="331" t="e">
        <f>EXACT(Logfile_S[[#This Row],[date pick]],Logfile_S[[#This Row],[Date]])</f>
        <v>#N/A</v>
      </c>
      <c r="AC5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98" spans="1:29" ht="14.5">
      <c r="A598" s="220" t="str">
        <f>TEXT(ROW(A598)-ROW($A$4),"000")</f>
        <v>594</v>
      </c>
      <c r="B598" s="221"/>
      <c r="C598" s="221" t="s">
        <v>49</v>
      </c>
      <c r="D598" s="221" t="s">
        <v>4139</v>
      </c>
      <c r="E598" s="221" t="s">
        <v>3295</v>
      </c>
      <c r="F598" s="221" t="s">
        <v>3299</v>
      </c>
      <c r="G598" s="222">
        <v>45505</v>
      </c>
      <c r="H598" s="223">
        <v>0.67847222222222225</v>
      </c>
      <c r="I598" s="221" t="s">
        <v>4916</v>
      </c>
      <c r="J598" s="221" t="s">
        <v>3024</v>
      </c>
      <c r="K598" s="224" t="s">
        <v>3087</v>
      </c>
      <c r="L598" s="225" t="str">
        <f>VLOOKUP(Logfile_S[[#This Row],[Material Name]],Sheet2!B:C,2,0)</f>
        <v>GCI1001</v>
      </c>
      <c r="M598" s="225" t="str">
        <f>_xlfn.XLOOKUP(Logfile_S[[#This Row],[Material Name]],Sum_WH!E:E,Sum_WH!F:F,"",0)</f>
        <v>Pcs</v>
      </c>
      <c r="N598" s="221">
        <v>5</v>
      </c>
      <c r="O598" s="221" t="s">
        <v>1803</v>
      </c>
      <c r="P598" s="221" t="s">
        <v>1804</v>
      </c>
      <c r="Q598" s="221"/>
      <c r="R598" s="221"/>
      <c r="S598" s="221"/>
      <c r="T598" s="221" t="s">
        <v>3258</v>
      </c>
      <c r="U598" s="221" t="s">
        <v>3228</v>
      </c>
      <c r="V598" s="221" t="s">
        <v>3337</v>
      </c>
      <c r="W598" s="221" t="s">
        <v>3338</v>
      </c>
      <c r="X598" s="221"/>
      <c r="Y598" s="227"/>
      <c r="Z598" s="227" t="str">
        <f>P598</f>
        <v>Dusun Langlang IV Singosari</v>
      </c>
      <c r="AA598" s="276" t="e">
        <f>VLOOKUP(Logfile_S[[#This Row],[DO number]],DO_DB!G:I,3,0)</f>
        <v>#N/A</v>
      </c>
      <c r="AB598" s="331" t="e">
        <f>EXACT(Logfile_S[[#This Row],[date pick]],Logfile_S[[#This Row],[Date]])</f>
        <v>#N/A</v>
      </c>
      <c r="AC5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599" spans="1:29" ht="14.5">
      <c r="A599" s="220" t="str">
        <f>TEXT(ROW(A599)-ROW($A$4),"000")</f>
        <v>595</v>
      </c>
      <c r="B599" s="221"/>
      <c r="C599" s="221" t="s">
        <v>49</v>
      </c>
      <c r="D599" s="221" t="s">
        <v>4139</v>
      </c>
      <c r="E599" s="221" t="s">
        <v>3295</v>
      </c>
      <c r="F599" s="221" t="s">
        <v>3299</v>
      </c>
      <c r="G599" s="222">
        <v>45505</v>
      </c>
      <c r="H599" s="223">
        <v>0.67847222222222225</v>
      </c>
      <c r="I599" s="221" t="s">
        <v>4916</v>
      </c>
      <c r="J599" s="221" t="s">
        <v>3023</v>
      </c>
      <c r="K599" s="224" t="s">
        <v>3069</v>
      </c>
      <c r="L599" s="225" t="str">
        <f>VLOOKUP(Logfile_S[[#This Row],[Material Name]],Sheet2!B:C,2,0)</f>
        <v>ZTE1001</v>
      </c>
      <c r="M599" s="225" t="str">
        <f>_xlfn.XLOOKUP(Logfile_S[[#This Row],[Material Name]],Sum_WH!E:E,Sum_WH!F:F,"",0)</f>
        <v>Pcs</v>
      </c>
      <c r="N599" s="221">
        <v>19</v>
      </c>
      <c r="O599" s="221" t="s">
        <v>1803</v>
      </c>
      <c r="P599" s="221" t="s">
        <v>1804</v>
      </c>
      <c r="Q599" s="221"/>
      <c r="R599" s="221"/>
      <c r="S599" s="221"/>
      <c r="T599" s="221" t="s">
        <v>3258</v>
      </c>
      <c r="U599" s="221" t="s">
        <v>3228</v>
      </c>
      <c r="V599" s="221" t="s">
        <v>3337</v>
      </c>
      <c r="W599" s="221" t="s">
        <v>3338</v>
      </c>
      <c r="X599" s="221"/>
      <c r="Y599" s="227"/>
      <c r="Z599" s="227" t="str">
        <f>P599</f>
        <v>Dusun Langlang IV Singosari</v>
      </c>
      <c r="AA599" s="276" t="e">
        <f>VLOOKUP(Logfile_S[[#This Row],[DO number]],DO_DB!G:I,3,0)</f>
        <v>#N/A</v>
      </c>
      <c r="AB599" s="331" t="e">
        <f>EXACT(Logfile_S[[#This Row],[date pick]],Logfile_S[[#This Row],[Date]])</f>
        <v>#N/A</v>
      </c>
      <c r="AC5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00" spans="1:29" ht="14.5">
      <c r="A600" s="220" t="str">
        <f>TEXT(ROW(A600)-ROW($A$4),"000")</f>
        <v>596</v>
      </c>
      <c r="B600" s="221"/>
      <c r="C600" s="221" t="s">
        <v>49</v>
      </c>
      <c r="D600" s="221" t="s">
        <v>4140</v>
      </c>
      <c r="E600" s="221" t="s">
        <v>3295</v>
      </c>
      <c r="F600" s="221" t="s">
        <v>3299</v>
      </c>
      <c r="G600" s="222">
        <v>45506</v>
      </c>
      <c r="H600" s="223">
        <v>0.56319444444444444</v>
      </c>
      <c r="I600" s="221" t="s">
        <v>4916</v>
      </c>
      <c r="J600" s="221" t="s">
        <v>3023</v>
      </c>
      <c r="K600" s="224" t="s">
        <v>3070</v>
      </c>
      <c r="L600" s="225" t="str">
        <f>VLOOKUP(Logfile_S[[#This Row],[Material Name]],Sheet2!B:C,2,0)</f>
        <v>ZTE1002</v>
      </c>
      <c r="M600" s="225" t="str">
        <f>_xlfn.XLOOKUP(Logfile_S[[#This Row],[Material Name]],Sum_WH!E:E,Sum_WH!F:F,"",0)</f>
        <v>Pcs</v>
      </c>
      <c r="N600" s="221">
        <v>9</v>
      </c>
      <c r="O600" s="221" t="s">
        <v>1803</v>
      </c>
      <c r="P600" s="221" t="s">
        <v>1804</v>
      </c>
      <c r="Q600" s="221"/>
      <c r="R600" s="221"/>
      <c r="S600" s="221"/>
      <c r="T600" s="221" t="s">
        <v>3258</v>
      </c>
      <c r="U600" s="221" t="s">
        <v>3228</v>
      </c>
      <c r="V600" s="221" t="s">
        <v>3337</v>
      </c>
      <c r="W600" s="221" t="s">
        <v>3338</v>
      </c>
      <c r="X600" s="221"/>
      <c r="Y600" s="227"/>
      <c r="Z600" s="227" t="str">
        <f>P600</f>
        <v>Dusun Langlang IV Singosari</v>
      </c>
      <c r="AA600" s="276" t="e">
        <f>VLOOKUP(Logfile_S[[#This Row],[DO number]],DO_DB!G:I,3,0)</f>
        <v>#N/A</v>
      </c>
      <c r="AB600" s="331" t="e">
        <f>EXACT(Logfile_S[[#This Row],[date pick]],Logfile_S[[#This Row],[Date]])</f>
        <v>#N/A</v>
      </c>
      <c r="AC6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01" spans="1:29" ht="14.5">
      <c r="A601" s="220" t="str">
        <f>TEXT(ROW(A601)-ROW($A$4),"000")</f>
        <v>597</v>
      </c>
      <c r="B601" s="221"/>
      <c r="C601" s="221" t="s">
        <v>49</v>
      </c>
      <c r="D601" s="221" t="s">
        <v>4140</v>
      </c>
      <c r="E601" s="221" t="s">
        <v>3295</v>
      </c>
      <c r="F601" s="221" t="s">
        <v>3299</v>
      </c>
      <c r="G601" s="222">
        <v>45506</v>
      </c>
      <c r="H601" s="223">
        <v>0.56319444444444444</v>
      </c>
      <c r="I601" s="221" t="s">
        <v>4916</v>
      </c>
      <c r="J601" s="221" t="s">
        <v>3023</v>
      </c>
      <c r="K601" s="224" t="s">
        <v>3069</v>
      </c>
      <c r="L601" s="225" t="str">
        <f>VLOOKUP(Logfile_S[[#This Row],[Material Name]],Sheet2!B:C,2,0)</f>
        <v>ZTE1001</v>
      </c>
      <c r="M601" s="225" t="str">
        <f>_xlfn.XLOOKUP(Logfile_S[[#This Row],[Material Name]],Sum_WH!E:E,Sum_WH!F:F,"",0)</f>
        <v>Pcs</v>
      </c>
      <c r="N601" s="221">
        <v>5</v>
      </c>
      <c r="O601" s="221" t="s">
        <v>1803</v>
      </c>
      <c r="P601" s="221" t="s">
        <v>1804</v>
      </c>
      <c r="Q601" s="221"/>
      <c r="R601" s="221"/>
      <c r="S601" s="221"/>
      <c r="T601" s="221" t="s">
        <v>3258</v>
      </c>
      <c r="U601" s="221" t="s">
        <v>3228</v>
      </c>
      <c r="V601" s="221" t="s">
        <v>3337</v>
      </c>
      <c r="W601" s="221" t="s">
        <v>3338</v>
      </c>
      <c r="X601" s="221"/>
      <c r="Y601" s="227"/>
      <c r="Z601" s="227" t="str">
        <f>P601</f>
        <v>Dusun Langlang IV Singosari</v>
      </c>
      <c r="AA601" s="276" t="e">
        <f>VLOOKUP(Logfile_S[[#This Row],[DO number]],DO_DB!G:I,3,0)</f>
        <v>#N/A</v>
      </c>
      <c r="AB601" s="331" t="e">
        <f>EXACT(Logfile_S[[#This Row],[date pick]],Logfile_S[[#This Row],[Date]])</f>
        <v>#N/A</v>
      </c>
      <c r="AC6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02" spans="1:29" ht="14.5">
      <c r="A602" s="220" t="str">
        <f>TEXT(ROW(A602)-ROW($A$4),"000")</f>
        <v>598</v>
      </c>
      <c r="B602" s="221"/>
      <c r="C602" s="221" t="s">
        <v>49</v>
      </c>
      <c r="D602" s="221" t="s">
        <v>4143</v>
      </c>
      <c r="E602" s="221" t="s">
        <v>3295</v>
      </c>
      <c r="F602" s="221" t="s">
        <v>3299</v>
      </c>
      <c r="G602" s="222">
        <v>45507</v>
      </c>
      <c r="H602" s="223">
        <v>0.4</v>
      </c>
      <c r="I602" s="221" t="s">
        <v>4916</v>
      </c>
      <c r="J602" s="221" t="s">
        <v>3024</v>
      </c>
      <c r="K602" s="224" t="s">
        <v>3097</v>
      </c>
      <c r="L602" s="225" t="str">
        <f>VLOOKUP(Logfile_S[[#This Row],[Material Name]],Sheet2!B:C,2,0)</f>
        <v>GCI1011</v>
      </c>
      <c r="M602" s="225" t="str">
        <f>_xlfn.XLOOKUP(Logfile_S[[#This Row],[Material Name]],Sum_WH!E:E,Sum_WH!F:F,"",0)</f>
        <v>Pcs</v>
      </c>
      <c r="N602" s="221">
        <v>1</v>
      </c>
      <c r="O602" s="221" t="s">
        <v>1803</v>
      </c>
      <c r="P602" s="221" t="s">
        <v>1804</v>
      </c>
      <c r="Q602" s="221"/>
      <c r="R602" s="221"/>
      <c r="S602" s="221"/>
      <c r="T602" s="221" t="s">
        <v>3258</v>
      </c>
      <c r="U602" s="221" t="s">
        <v>3228</v>
      </c>
      <c r="V602" s="221" t="s">
        <v>3337</v>
      </c>
      <c r="W602" s="221" t="s">
        <v>3338</v>
      </c>
      <c r="X602" s="221"/>
      <c r="Y602" s="227"/>
      <c r="Z602" s="227" t="str">
        <f>P602</f>
        <v>Dusun Langlang IV Singosari</v>
      </c>
      <c r="AA602" s="276" t="e">
        <f>VLOOKUP(Logfile_S[[#This Row],[DO number]],DO_DB!G:I,3,0)</f>
        <v>#N/A</v>
      </c>
      <c r="AB602" s="331" t="e">
        <f>EXACT(Logfile_S[[#This Row],[date pick]],Logfile_S[[#This Row],[Date]])</f>
        <v>#N/A</v>
      </c>
      <c r="AC6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03" spans="1:29" ht="14.5">
      <c r="A603" s="220" t="str">
        <f>TEXT(ROW(A603)-ROW($A$4),"000")</f>
        <v>599</v>
      </c>
      <c r="B603" s="221"/>
      <c r="C603" s="221" t="s">
        <v>49</v>
      </c>
      <c r="D603" s="221" t="s">
        <v>4143</v>
      </c>
      <c r="E603" s="221" t="s">
        <v>3295</v>
      </c>
      <c r="F603" s="221" t="s">
        <v>3299</v>
      </c>
      <c r="G603" s="222">
        <v>45507</v>
      </c>
      <c r="H603" s="223">
        <v>0.4</v>
      </c>
      <c r="I603" s="221" t="s">
        <v>4916</v>
      </c>
      <c r="J603" s="221" t="s">
        <v>3024</v>
      </c>
      <c r="K603" s="224" t="s">
        <v>3091</v>
      </c>
      <c r="L603" s="225" t="str">
        <f>VLOOKUP(Logfile_S[[#This Row],[Material Name]],Sheet2!B:C,2,0)</f>
        <v>GCI1005</v>
      </c>
      <c r="M603" s="225" t="str">
        <f>_xlfn.XLOOKUP(Logfile_S[[#This Row],[Material Name]],Sum_WH!E:E,Sum_WH!F:F,"",0)</f>
        <v>Pcs</v>
      </c>
      <c r="N603" s="221">
        <v>54</v>
      </c>
      <c r="O603" s="221" t="s">
        <v>1803</v>
      </c>
      <c r="P603" s="221" t="s">
        <v>1804</v>
      </c>
      <c r="Q603" s="221"/>
      <c r="R603" s="221"/>
      <c r="S603" s="221"/>
      <c r="T603" s="221" t="s">
        <v>3258</v>
      </c>
      <c r="U603" s="221" t="s">
        <v>3228</v>
      </c>
      <c r="V603" s="221" t="s">
        <v>3337</v>
      </c>
      <c r="W603" s="221" t="s">
        <v>3338</v>
      </c>
      <c r="X603" s="221"/>
      <c r="Y603" s="227"/>
      <c r="Z603" s="227" t="str">
        <f>P603</f>
        <v>Dusun Langlang IV Singosari</v>
      </c>
      <c r="AA603" s="276" t="e">
        <f>VLOOKUP(Logfile_S[[#This Row],[DO number]],DO_DB!G:I,3,0)</f>
        <v>#N/A</v>
      </c>
      <c r="AB603" s="331" t="e">
        <f>EXACT(Logfile_S[[#This Row],[date pick]],Logfile_S[[#This Row],[Date]])</f>
        <v>#N/A</v>
      </c>
      <c r="AC6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04" spans="1:29" ht="14.5">
      <c r="A604" s="220" t="str">
        <f>TEXT(ROW(A604)-ROW($A$4),"000")</f>
        <v>600</v>
      </c>
      <c r="B604" s="221"/>
      <c r="C604" s="221" t="s">
        <v>49</v>
      </c>
      <c r="D604" s="221" t="s">
        <v>4143</v>
      </c>
      <c r="E604" s="221" t="s">
        <v>3295</v>
      </c>
      <c r="F604" s="221" t="s">
        <v>3299</v>
      </c>
      <c r="G604" s="222">
        <v>45507</v>
      </c>
      <c r="H604" s="223">
        <v>0.4</v>
      </c>
      <c r="I604" s="221" t="s">
        <v>4916</v>
      </c>
      <c r="J604" s="221" t="s">
        <v>3024</v>
      </c>
      <c r="K604" s="224" t="s">
        <v>3087</v>
      </c>
      <c r="L604" s="225" t="str">
        <f>VLOOKUP(Logfile_S[[#This Row],[Material Name]],Sheet2!B:C,2,0)</f>
        <v>GCI1001</v>
      </c>
      <c r="M604" s="225" t="str">
        <f>_xlfn.XLOOKUP(Logfile_S[[#This Row],[Material Name]],Sum_WH!E:E,Sum_WH!F:F,"",0)</f>
        <v>Pcs</v>
      </c>
      <c r="N604" s="221">
        <v>10</v>
      </c>
      <c r="O604" s="221" t="s">
        <v>1803</v>
      </c>
      <c r="P604" s="221" t="s">
        <v>1804</v>
      </c>
      <c r="Q604" s="221"/>
      <c r="R604" s="221"/>
      <c r="S604" s="221"/>
      <c r="T604" s="221" t="s">
        <v>3258</v>
      </c>
      <c r="U604" s="221" t="s">
        <v>3228</v>
      </c>
      <c r="V604" s="221" t="s">
        <v>3337</v>
      </c>
      <c r="W604" s="221" t="s">
        <v>3338</v>
      </c>
      <c r="X604" s="221"/>
      <c r="Y604" s="227"/>
      <c r="Z604" s="227" t="str">
        <f>P604</f>
        <v>Dusun Langlang IV Singosari</v>
      </c>
      <c r="AA604" s="276" t="e">
        <f>VLOOKUP(Logfile_S[[#This Row],[DO number]],DO_DB!G:I,3,0)</f>
        <v>#N/A</v>
      </c>
      <c r="AB604" s="331" t="e">
        <f>EXACT(Logfile_S[[#This Row],[date pick]],Logfile_S[[#This Row],[Date]])</f>
        <v>#N/A</v>
      </c>
      <c r="AC6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05" spans="1:29" ht="14.5">
      <c r="A605" s="220" t="str">
        <f>TEXT(ROW(A605)-ROW($A$4),"000")</f>
        <v>601</v>
      </c>
      <c r="B605" s="221"/>
      <c r="C605" s="221" t="s">
        <v>49</v>
      </c>
      <c r="D605" s="221" t="s">
        <v>4143</v>
      </c>
      <c r="E605" s="221" t="s">
        <v>3295</v>
      </c>
      <c r="F605" s="221" t="s">
        <v>3299</v>
      </c>
      <c r="G605" s="222">
        <v>45507</v>
      </c>
      <c r="H605" s="223">
        <v>0.4</v>
      </c>
      <c r="I605" s="221" t="s">
        <v>4916</v>
      </c>
      <c r="J605" s="221" t="s">
        <v>3023</v>
      </c>
      <c r="K605" s="224" t="s">
        <v>3070</v>
      </c>
      <c r="L605" s="225" t="str">
        <f>VLOOKUP(Logfile_S[[#This Row],[Material Name]],Sheet2!B:C,2,0)</f>
        <v>ZTE1002</v>
      </c>
      <c r="M605" s="225" t="str">
        <f>_xlfn.XLOOKUP(Logfile_S[[#This Row],[Material Name]],Sum_WH!E:E,Sum_WH!F:F,"",0)</f>
        <v>Pcs</v>
      </c>
      <c r="N605" s="221">
        <v>3</v>
      </c>
      <c r="O605" s="221" t="s">
        <v>1803</v>
      </c>
      <c r="P605" s="221" t="s">
        <v>1804</v>
      </c>
      <c r="Q605" s="221"/>
      <c r="R605" s="221"/>
      <c r="S605" s="221"/>
      <c r="T605" s="221" t="s">
        <v>3258</v>
      </c>
      <c r="U605" s="221" t="s">
        <v>3228</v>
      </c>
      <c r="V605" s="221" t="s">
        <v>3337</v>
      </c>
      <c r="W605" s="221" t="s">
        <v>3338</v>
      </c>
      <c r="X605" s="221"/>
      <c r="Y605" s="227"/>
      <c r="Z605" s="227" t="str">
        <f>P605</f>
        <v>Dusun Langlang IV Singosari</v>
      </c>
      <c r="AA605" s="276" t="e">
        <f>VLOOKUP(Logfile_S[[#This Row],[DO number]],DO_DB!G:I,3,0)</f>
        <v>#N/A</v>
      </c>
      <c r="AB605" s="331" t="e">
        <f>EXACT(Logfile_S[[#This Row],[date pick]],Logfile_S[[#This Row],[Date]])</f>
        <v>#N/A</v>
      </c>
      <c r="AC6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06" spans="1:29" ht="14.5">
      <c r="A606" s="220" t="str">
        <f>TEXT(ROW(A606)-ROW($A$4),"000")</f>
        <v>602</v>
      </c>
      <c r="B606" s="221"/>
      <c r="C606" s="221" t="s">
        <v>49</v>
      </c>
      <c r="D606" s="221" t="s">
        <v>4143</v>
      </c>
      <c r="E606" s="221" t="s">
        <v>3295</v>
      </c>
      <c r="F606" s="221" t="s">
        <v>3299</v>
      </c>
      <c r="G606" s="222">
        <v>45507</v>
      </c>
      <c r="H606" s="223">
        <v>0.4</v>
      </c>
      <c r="I606" s="221" t="s">
        <v>4916</v>
      </c>
      <c r="J606" s="221" t="s">
        <v>3023</v>
      </c>
      <c r="K606" s="224" t="s">
        <v>3069</v>
      </c>
      <c r="L606" s="225" t="str">
        <f>VLOOKUP(Logfile_S[[#This Row],[Material Name]],Sheet2!B:C,2,0)</f>
        <v>ZTE1001</v>
      </c>
      <c r="M606" s="225" t="str">
        <f>_xlfn.XLOOKUP(Logfile_S[[#This Row],[Material Name]],Sum_WH!E:E,Sum_WH!F:F,"",0)</f>
        <v>Pcs</v>
      </c>
      <c r="N606" s="221">
        <v>4</v>
      </c>
      <c r="O606" s="221" t="s">
        <v>1803</v>
      </c>
      <c r="P606" s="221" t="s">
        <v>1804</v>
      </c>
      <c r="Q606" s="221"/>
      <c r="R606" s="221"/>
      <c r="S606" s="221"/>
      <c r="T606" s="221" t="s">
        <v>3258</v>
      </c>
      <c r="U606" s="221" t="s">
        <v>3228</v>
      </c>
      <c r="V606" s="221" t="s">
        <v>3337</v>
      </c>
      <c r="W606" s="221" t="s">
        <v>3338</v>
      </c>
      <c r="X606" s="221"/>
      <c r="Y606" s="227"/>
      <c r="Z606" s="227" t="str">
        <f>P606</f>
        <v>Dusun Langlang IV Singosari</v>
      </c>
      <c r="AA606" s="276" t="e">
        <f>VLOOKUP(Logfile_S[[#This Row],[DO number]],DO_DB!G:I,3,0)</f>
        <v>#N/A</v>
      </c>
      <c r="AB606" s="331" t="e">
        <f>EXACT(Logfile_S[[#This Row],[date pick]],Logfile_S[[#This Row],[Date]])</f>
        <v>#N/A</v>
      </c>
      <c r="AC6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07" spans="1:29" ht="14.5">
      <c r="A607" s="220" t="str">
        <f>TEXT(ROW(A607)-ROW($A$4),"000")</f>
        <v>603</v>
      </c>
      <c r="B607" s="221"/>
      <c r="C607" s="221" t="s">
        <v>49</v>
      </c>
      <c r="D607" s="221" t="s">
        <v>4143</v>
      </c>
      <c r="E607" s="221" t="s">
        <v>3295</v>
      </c>
      <c r="F607" s="221" t="s">
        <v>3299</v>
      </c>
      <c r="G607" s="222">
        <v>45507</v>
      </c>
      <c r="H607" s="223">
        <v>0.4</v>
      </c>
      <c r="I607" s="221" t="s">
        <v>4916</v>
      </c>
      <c r="J607" s="221" t="s">
        <v>3024</v>
      </c>
      <c r="K607" s="224" t="s">
        <v>3094</v>
      </c>
      <c r="L607" s="225" t="str">
        <f>VLOOKUP(Logfile_S[[#This Row],[Material Name]],Sheet2!B:C,2,0)</f>
        <v>GCI1008</v>
      </c>
      <c r="M607" s="225" t="str">
        <f>_xlfn.XLOOKUP(Logfile_S[[#This Row],[Material Name]],Sum_WH!E:E,Sum_WH!F:F,"",0)</f>
        <v>Pcs</v>
      </c>
      <c r="N607" s="221">
        <v>20</v>
      </c>
      <c r="O607" s="221" t="s">
        <v>1803</v>
      </c>
      <c r="P607" s="221" t="s">
        <v>1804</v>
      </c>
      <c r="Q607" s="221"/>
      <c r="R607" s="221"/>
      <c r="S607" s="221"/>
      <c r="T607" s="221" t="s">
        <v>3258</v>
      </c>
      <c r="U607" s="221" t="s">
        <v>3228</v>
      </c>
      <c r="V607" s="221" t="s">
        <v>3337</v>
      </c>
      <c r="W607" s="221" t="s">
        <v>3338</v>
      </c>
      <c r="X607" s="221"/>
      <c r="Y607" s="227"/>
      <c r="Z607" s="227" t="str">
        <f>P607</f>
        <v>Dusun Langlang IV Singosari</v>
      </c>
      <c r="AA607" s="276" t="e">
        <f>VLOOKUP(Logfile_S[[#This Row],[DO number]],DO_DB!G:I,3,0)</f>
        <v>#N/A</v>
      </c>
      <c r="AB607" s="331" t="e">
        <f>EXACT(Logfile_S[[#This Row],[date pick]],Logfile_S[[#This Row],[Date]])</f>
        <v>#N/A</v>
      </c>
      <c r="AC6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08" spans="1:29" ht="14.5">
      <c r="A608" s="220" t="str">
        <f>TEXT(ROW(A608)-ROW($A$4),"000")</f>
        <v>604</v>
      </c>
      <c r="B608" s="221"/>
      <c r="C608" s="221" t="s">
        <v>49</v>
      </c>
      <c r="D608" s="221" t="s">
        <v>4159</v>
      </c>
      <c r="E608" s="221" t="s">
        <v>3295</v>
      </c>
      <c r="F608" s="221" t="s">
        <v>3299</v>
      </c>
      <c r="G608" s="222">
        <v>45518</v>
      </c>
      <c r="H608" s="223">
        <v>0.68263888888888891</v>
      </c>
      <c r="I608" s="221" t="s">
        <v>4916</v>
      </c>
      <c r="J608" s="221" t="s">
        <v>3023</v>
      </c>
      <c r="K608" s="224" t="s">
        <v>3069</v>
      </c>
      <c r="L608" s="225" t="str">
        <f>VLOOKUP(Logfile_S[[#This Row],[Material Name]],Sheet2!B:C,2,0)</f>
        <v>ZTE1001</v>
      </c>
      <c r="M608" s="225" t="str">
        <f>_xlfn.XLOOKUP(Logfile_S[[#This Row],[Material Name]],Sum_WH!E:E,Sum_WH!F:F,"",0)</f>
        <v>Pcs</v>
      </c>
      <c r="N608" s="221">
        <v>1</v>
      </c>
      <c r="O608" s="221" t="s">
        <v>1803</v>
      </c>
      <c r="P608" s="221" t="s">
        <v>1804</v>
      </c>
      <c r="Q608" s="221"/>
      <c r="R608" s="221"/>
      <c r="S608" s="221"/>
      <c r="T608" s="221" t="s">
        <v>3258</v>
      </c>
      <c r="U608" s="221" t="s">
        <v>3228</v>
      </c>
      <c r="V608" s="221" t="s">
        <v>3337</v>
      </c>
      <c r="W608" s="221" t="s">
        <v>3338</v>
      </c>
      <c r="X608" s="221"/>
      <c r="Y608" s="227"/>
      <c r="Z608" s="227" t="str">
        <f>P608</f>
        <v>Dusun Langlang IV Singosari</v>
      </c>
      <c r="AA608" s="276" t="e">
        <f>VLOOKUP(Logfile_S[[#This Row],[DO number]],DO_DB!G:I,3,0)</f>
        <v>#N/A</v>
      </c>
      <c r="AB608" s="331" t="e">
        <f>EXACT(Logfile_S[[#This Row],[date pick]],Logfile_S[[#This Row],[Date]])</f>
        <v>#N/A</v>
      </c>
      <c r="AC6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09" spans="1:29" ht="14.5">
      <c r="A609" s="220" t="str">
        <f>TEXT(ROW(A609)-ROW($A$4),"000")</f>
        <v>605</v>
      </c>
      <c r="B609" s="221"/>
      <c r="C609" s="221" t="s">
        <v>49</v>
      </c>
      <c r="D609" s="221" t="s">
        <v>4219</v>
      </c>
      <c r="E609" s="221" t="s">
        <v>3295</v>
      </c>
      <c r="F609" s="221" t="s">
        <v>3299</v>
      </c>
      <c r="G609" s="222">
        <v>45547</v>
      </c>
      <c r="H609" s="223">
        <v>0.43125000000000002</v>
      </c>
      <c r="I609" s="221" t="s">
        <v>4916</v>
      </c>
      <c r="J609" s="221" t="s">
        <v>3024</v>
      </c>
      <c r="K609" s="224" t="s">
        <v>3097</v>
      </c>
      <c r="L609" s="225" t="str">
        <f>VLOOKUP(Logfile_S[[#This Row],[Material Name]],Sheet2!B:C,2,0)</f>
        <v>GCI1011</v>
      </c>
      <c r="M609" s="225" t="str">
        <f>_xlfn.XLOOKUP(Logfile_S[[#This Row],[Material Name]],Sum_WH!E:E,Sum_WH!F:F,"",0)</f>
        <v>Pcs</v>
      </c>
      <c r="N609" s="221">
        <v>1</v>
      </c>
      <c r="O609" s="221" t="s">
        <v>1803</v>
      </c>
      <c r="P609" s="221" t="s">
        <v>1804</v>
      </c>
      <c r="Q609" s="221"/>
      <c r="R609" s="221"/>
      <c r="S609" s="221"/>
      <c r="T609" s="221" t="s">
        <v>3258</v>
      </c>
      <c r="U609" s="221">
        <v>0</v>
      </c>
      <c r="V609" s="221" t="s">
        <v>3337</v>
      </c>
      <c r="W609" s="221" t="s">
        <v>3338</v>
      </c>
      <c r="X609" s="221"/>
      <c r="Y609" s="227"/>
      <c r="Z609" s="227" t="str">
        <f>P609</f>
        <v>Dusun Langlang IV Singosari</v>
      </c>
      <c r="AA609" s="276" t="e">
        <f>VLOOKUP(Logfile_S[[#This Row],[DO number]],DO_DB!G:I,3,0)</f>
        <v>#N/A</v>
      </c>
      <c r="AB609" s="331" t="e">
        <f>EXACT(Logfile_S[[#This Row],[date pick]],Logfile_S[[#This Row],[Date]])</f>
        <v>#N/A</v>
      </c>
      <c r="AC6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10" spans="1:29" ht="14.5">
      <c r="A610" s="220" t="str">
        <f>TEXT(ROW(A610)-ROW($A$4),"000")</f>
        <v>606</v>
      </c>
      <c r="B610" s="221"/>
      <c r="C610" s="221" t="s">
        <v>49</v>
      </c>
      <c r="D610" s="221" t="s">
        <v>4219</v>
      </c>
      <c r="E610" s="221" t="s">
        <v>3295</v>
      </c>
      <c r="F610" s="221" t="s">
        <v>3299</v>
      </c>
      <c r="G610" s="222">
        <v>45547</v>
      </c>
      <c r="H610" s="223">
        <v>0.43125000000000002</v>
      </c>
      <c r="I610" s="221" t="s">
        <v>4916</v>
      </c>
      <c r="J610" s="221" t="s">
        <v>3024</v>
      </c>
      <c r="K610" s="224" t="s">
        <v>5137</v>
      </c>
      <c r="L610" s="225" t="str">
        <f>VLOOKUP(Logfile_S[[#This Row],[Material Name]],Sheet2!B:C,2,0)</f>
        <v>GCI1009</v>
      </c>
      <c r="M610" s="225" t="str">
        <f>_xlfn.XLOOKUP(Logfile_S[[#This Row],[Material Name]],Sum_WH!E:E,Sum_WH!F:F,"",0)</f>
        <v>Pcs</v>
      </c>
      <c r="N610" s="221">
        <v>30</v>
      </c>
      <c r="O610" s="221" t="s">
        <v>1803</v>
      </c>
      <c r="P610" s="221" t="s">
        <v>1804</v>
      </c>
      <c r="Q610" s="221"/>
      <c r="R610" s="221"/>
      <c r="S610" s="221"/>
      <c r="T610" s="221" t="s">
        <v>3258</v>
      </c>
      <c r="U610" s="221">
        <v>0</v>
      </c>
      <c r="V610" s="221" t="s">
        <v>3337</v>
      </c>
      <c r="W610" s="221" t="s">
        <v>3338</v>
      </c>
      <c r="X610" s="221"/>
      <c r="Y610" s="227"/>
      <c r="Z610" s="227" t="str">
        <f>P610</f>
        <v>Dusun Langlang IV Singosari</v>
      </c>
      <c r="AA610" s="276" t="e">
        <f>VLOOKUP(Logfile_S[[#This Row],[DO number]],DO_DB!G:I,3,0)</f>
        <v>#N/A</v>
      </c>
      <c r="AB610" s="331" t="e">
        <f>EXACT(Logfile_S[[#This Row],[date pick]],Logfile_S[[#This Row],[Date]])</f>
        <v>#N/A</v>
      </c>
      <c r="AC6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11" spans="1:29" ht="14.5">
      <c r="A611" s="220" t="str">
        <f>TEXT(ROW(A611)-ROW($A$4),"000")</f>
        <v>607</v>
      </c>
      <c r="B611" s="221"/>
      <c r="C611" s="221" t="s">
        <v>49</v>
      </c>
      <c r="D611" s="221" t="s">
        <v>4219</v>
      </c>
      <c r="E611" s="221" t="s">
        <v>3295</v>
      </c>
      <c r="F611" s="221" t="s">
        <v>3299</v>
      </c>
      <c r="G611" s="222">
        <v>45547</v>
      </c>
      <c r="H611" s="223">
        <v>0.43125000000000002</v>
      </c>
      <c r="I611" s="221" t="s">
        <v>4916</v>
      </c>
      <c r="J611" s="221" t="s">
        <v>3024</v>
      </c>
      <c r="K611" s="224" t="s">
        <v>3108</v>
      </c>
      <c r="L611" s="225" t="str">
        <f>VLOOKUP(Logfile_S[[#This Row],[Material Name]],Sheet2!B:C,2,0)</f>
        <v>GCI1020</v>
      </c>
      <c r="M611" s="225" t="str">
        <f>_xlfn.XLOOKUP(Logfile_S[[#This Row],[Material Name]],Sum_WH!E:E,Sum_WH!F:F,"",0)</f>
        <v>Pcs</v>
      </c>
      <c r="N611" s="221">
        <v>4</v>
      </c>
      <c r="O611" s="221" t="s">
        <v>1803</v>
      </c>
      <c r="P611" s="221" t="s">
        <v>1804</v>
      </c>
      <c r="Q611" s="221"/>
      <c r="R611" s="221"/>
      <c r="S611" s="221"/>
      <c r="T611" s="221" t="s">
        <v>3258</v>
      </c>
      <c r="U611" s="221">
        <v>0</v>
      </c>
      <c r="V611" s="221" t="s">
        <v>3337</v>
      </c>
      <c r="W611" s="221" t="s">
        <v>3338</v>
      </c>
      <c r="X611" s="221"/>
      <c r="Y611" s="227"/>
      <c r="Z611" s="227" t="str">
        <f>P611</f>
        <v>Dusun Langlang IV Singosari</v>
      </c>
      <c r="AA611" s="276" t="e">
        <f>VLOOKUP(Logfile_S[[#This Row],[DO number]],DO_DB!G:I,3,0)</f>
        <v>#N/A</v>
      </c>
      <c r="AB611" s="331" t="e">
        <f>EXACT(Logfile_S[[#This Row],[date pick]],Logfile_S[[#This Row],[Date]])</f>
        <v>#N/A</v>
      </c>
      <c r="AC6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12" spans="1:29" ht="14.5">
      <c r="A612" s="237" t="str">
        <f>TEXT(ROW(A612)-ROW($A$4),"000")</f>
        <v>608</v>
      </c>
      <c r="B612" s="221"/>
      <c r="C612" s="221" t="s">
        <v>48</v>
      </c>
      <c r="D612" s="221" t="s">
        <v>4225</v>
      </c>
      <c r="E612" s="221" t="s">
        <v>3295</v>
      </c>
      <c r="F612" s="221" t="s">
        <v>3299</v>
      </c>
      <c r="G612" s="222">
        <v>45555</v>
      </c>
      <c r="H612" s="223">
        <v>15.291666666666666</v>
      </c>
      <c r="I612" s="221" t="s">
        <v>37</v>
      </c>
      <c r="J612" s="221" t="s">
        <v>3023</v>
      </c>
      <c r="K612" s="224" t="s">
        <v>3075</v>
      </c>
      <c r="L612" s="225" t="str">
        <f>VLOOKUP(Logfile_S[[#This Row],[Material Name]],Sheet2!B:C,2,0)</f>
        <v>ZTE2003</v>
      </c>
      <c r="M612" s="225" t="str">
        <f>_xlfn.XLOOKUP(Logfile_S[[#This Row],[Material Name]],Sum_WH!E:E,Sum_WH!F:F,"",0)</f>
        <v>Meter</v>
      </c>
      <c r="N612" s="221">
        <v>3000</v>
      </c>
      <c r="O612" s="221" t="s">
        <v>2166</v>
      </c>
      <c r="P612" s="221" t="s">
        <v>2167</v>
      </c>
      <c r="Q612" s="221" t="s">
        <v>2170</v>
      </c>
      <c r="R612" s="221" t="s">
        <v>2171</v>
      </c>
      <c r="S612" s="227"/>
      <c r="T612" s="227"/>
      <c r="U612" s="227"/>
      <c r="V612" s="227"/>
      <c r="W612" s="227"/>
      <c r="X612" s="227"/>
      <c r="Y612" s="238" t="s">
        <v>5073</v>
      </c>
      <c r="Z612" s="227" t="str">
        <f>P612</f>
        <v>Dusun Mojosari Ngenep</v>
      </c>
      <c r="AA612" s="276">
        <f>VLOOKUP(Logfile_S[[#This Row],[DO number]],DO_DB!G:I,3,0)</f>
        <v>45555</v>
      </c>
      <c r="AB612" s="331" t="b">
        <f>EXACT(Logfile_S[[#This Row],[date pick]],Logfile_S[[#This Row],[Date]])</f>
        <v>1</v>
      </c>
      <c r="AC6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48C-2024920-01</v>
      </c>
    </row>
    <row r="613" spans="1:29" ht="14.5">
      <c r="A613" s="220" t="str">
        <f>TEXT(ROW(A613)-ROW($A$4),"000")</f>
        <v>609</v>
      </c>
      <c r="B613" s="221"/>
      <c r="C613" s="221" t="s">
        <v>48</v>
      </c>
      <c r="D613" s="221" t="s">
        <v>4225</v>
      </c>
      <c r="E613" s="221" t="s">
        <v>3295</v>
      </c>
      <c r="F613" s="221" t="s">
        <v>3299</v>
      </c>
      <c r="G613" s="222">
        <v>45555</v>
      </c>
      <c r="H613" s="223">
        <v>15.291666666666666</v>
      </c>
      <c r="I613" s="221" t="s">
        <v>37</v>
      </c>
      <c r="J613" s="221" t="s">
        <v>3023</v>
      </c>
      <c r="K613" s="224" t="s">
        <v>3075</v>
      </c>
      <c r="L613" s="225" t="str">
        <f>VLOOKUP(Logfile_S[[#This Row],[Material Name]],Sheet2!B:C,2,0)</f>
        <v>ZTE2003</v>
      </c>
      <c r="M613" s="225" t="str">
        <f>_xlfn.XLOOKUP(Logfile_S[[#This Row],[Material Name]],Sum_WH!E:E,Sum_WH!F:F,"",0)</f>
        <v>Meter</v>
      </c>
      <c r="N613" s="221">
        <v>3000</v>
      </c>
      <c r="O613" s="221" t="s">
        <v>2166</v>
      </c>
      <c r="P613" s="221" t="s">
        <v>2167</v>
      </c>
      <c r="Q613" s="221" t="s">
        <v>2170</v>
      </c>
      <c r="R613" s="221" t="s">
        <v>2171</v>
      </c>
      <c r="S613" s="221"/>
      <c r="T613" s="221"/>
      <c r="U613" s="221"/>
      <c r="V613" s="221"/>
      <c r="W613" s="221"/>
      <c r="X613" s="221"/>
      <c r="Y613" s="227" t="s">
        <v>5074</v>
      </c>
      <c r="Z613" s="227" t="str">
        <f>P613</f>
        <v>Dusun Mojosari Ngenep</v>
      </c>
      <c r="AA613" s="276">
        <f>VLOOKUP(Logfile_S[[#This Row],[DO number]],DO_DB!G:I,3,0)</f>
        <v>45555</v>
      </c>
      <c r="AB613" s="331" t="b">
        <f>EXACT(Logfile_S[[#This Row],[date pick]],Logfile_S[[#This Row],[Date]])</f>
        <v>1</v>
      </c>
      <c r="AC6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48C-2024920-02</v>
      </c>
    </row>
    <row r="614" spans="1:29" ht="14.5">
      <c r="A614" s="220" t="str">
        <f>TEXT(ROW(A614)-ROW($A$4),"000")</f>
        <v>610</v>
      </c>
      <c r="B614" s="221"/>
      <c r="C614" s="221" t="s">
        <v>49</v>
      </c>
      <c r="D614" s="221" t="s">
        <v>4230</v>
      </c>
      <c r="E614" s="221" t="s">
        <v>3295</v>
      </c>
      <c r="F614" s="221" t="s">
        <v>3299</v>
      </c>
      <c r="G614" s="222">
        <v>45558</v>
      </c>
      <c r="H614" s="223">
        <v>0.53125</v>
      </c>
      <c r="I614" s="221" t="s">
        <v>4916</v>
      </c>
      <c r="J614" s="221" t="s">
        <v>3023</v>
      </c>
      <c r="K614" s="224" t="s">
        <v>3070</v>
      </c>
      <c r="L614" s="225" t="str">
        <f>VLOOKUP(Logfile_S[[#This Row],[Material Name]],Sheet2!B:C,2,0)</f>
        <v>ZTE1002</v>
      </c>
      <c r="M614" s="225" t="str">
        <f>_xlfn.XLOOKUP(Logfile_S[[#This Row],[Material Name]],Sum_WH!E:E,Sum_WH!F:F,"",0)</f>
        <v>Pcs</v>
      </c>
      <c r="N614" s="221">
        <v>1</v>
      </c>
      <c r="O614" s="221" t="s">
        <v>2166</v>
      </c>
      <c r="P614" s="221" t="s">
        <v>2167</v>
      </c>
      <c r="Q614" s="221"/>
      <c r="R614" s="221"/>
      <c r="S614" s="221"/>
      <c r="T614" s="221" t="s">
        <v>3247</v>
      </c>
      <c r="U614" s="221">
        <v>0</v>
      </c>
      <c r="V614" s="221" t="s">
        <v>3375</v>
      </c>
      <c r="W614" s="221" t="s">
        <v>3376</v>
      </c>
      <c r="X614" s="221"/>
      <c r="Y614" s="227"/>
      <c r="Z614" s="227" t="str">
        <f>P614</f>
        <v>Dusun Mojosari Ngenep</v>
      </c>
      <c r="AA614" s="276" t="e">
        <f>VLOOKUP(Logfile_S[[#This Row],[DO number]],DO_DB!G:I,3,0)</f>
        <v>#N/A</v>
      </c>
      <c r="AB614" s="331" t="e">
        <f>EXACT(Logfile_S[[#This Row],[date pick]],Logfile_S[[#This Row],[Date]])</f>
        <v>#N/A</v>
      </c>
      <c r="AC6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15" spans="1:29" ht="14.5">
      <c r="A615" s="220" t="str">
        <f>TEXT(ROW(A615)-ROW($A$4),"000")</f>
        <v>611</v>
      </c>
      <c r="B615" s="221"/>
      <c r="C615" s="221" t="s">
        <v>49</v>
      </c>
      <c r="D615" s="221" t="s">
        <v>4230</v>
      </c>
      <c r="E615" s="221" t="s">
        <v>3295</v>
      </c>
      <c r="F615" s="221" t="s">
        <v>3299</v>
      </c>
      <c r="G615" s="222">
        <v>45558</v>
      </c>
      <c r="H615" s="223">
        <v>0.53125</v>
      </c>
      <c r="I615" s="221" t="s">
        <v>4916</v>
      </c>
      <c r="J615" s="221" t="s">
        <v>3023</v>
      </c>
      <c r="K615" s="224" t="s">
        <v>3069</v>
      </c>
      <c r="L615" s="225" t="str">
        <f>VLOOKUP(Logfile_S[[#This Row],[Material Name]],Sheet2!B:C,2,0)</f>
        <v>ZTE1001</v>
      </c>
      <c r="M615" s="225" t="str">
        <f>_xlfn.XLOOKUP(Logfile_S[[#This Row],[Material Name]],Sum_WH!E:E,Sum_WH!F:F,"",0)</f>
        <v>Pcs</v>
      </c>
      <c r="N615" s="221">
        <v>20</v>
      </c>
      <c r="O615" s="221" t="s">
        <v>2166</v>
      </c>
      <c r="P615" s="221" t="s">
        <v>2167</v>
      </c>
      <c r="Q615" s="221"/>
      <c r="R615" s="221"/>
      <c r="S615" s="221"/>
      <c r="T615" s="221" t="s">
        <v>3247</v>
      </c>
      <c r="U615" s="221">
        <v>0</v>
      </c>
      <c r="V615" s="221" t="s">
        <v>3375</v>
      </c>
      <c r="W615" s="221" t="s">
        <v>3376</v>
      </c>
      <c r="X615" s="221"/>
      <c r="Y615" s="227"/>
      <c r="Z615" s="227" t="str">
        <f>P615</f>
        <v>Dusun Mojosari Ngenep</v>
      </c>
      <c r="AA615" s="276" t="e">
        <f>VLOOKUP(Logfile_S[[#This Row],[DO number]],DO_DB!G:I,3,0)</f>
        <v>#N/A</v>
      </c>
      <c r="AB615" s="331" t="e">
        <f>EXACT(Logfile_S[[#This Row],[date pick]],Logfile_S[[#This Row],[Date]])</f>
        <v>#N/A</v>
      </c>
      <c r="AC6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16" spans="1:29" ht="14.5">
      <c r="A616" s="220" t="str">
        <f>TEXT(ROW(A616)-ROW($A$4),"000")</f>
        <v>612</v>
      </c>
      <c r="B616" s="221"/>
      <c r="C616" s="221" t="s">
        <v>49</v>
      </c>
      <c r="D616" s="221" t="s">
        <v>4231</v>
      </c>
      <c r="E616" s="221" t="s">
        <v>3295</v>
      </c>
      <c r="F616" s="221" t="s">
        <v>3299</v>
      </c>
      <c r="G616" s="222">
        <v>45559</v>
      </c>
      <c r="H616" s="223">
        <v>0.67500000000000004</v>
      </c>
      <c r="I616" s="221" t="s">
        <v>4916</v>
      </c>
      <c r="J616" s="221" t="s">
        <v>3023</v>
      </c>
      <c r="K616" s="224" t="s">
        <v>3069</v>
      </c>
      <c r="L616" s="225" t="str">
        <f>VLOOKUP(Logfile_S[[#This Row],[Material Name]],Sheet2!B:C,2,0)</f>
        <v>ZTE1001</v>
      </c>
      <c r="M616" s="225" t="str">
        <f>_xlfn.XLOOKUP(Logfile_S[[#This Row],[Material Name]],Sum_WH!E:E,Sum_WH!F:F,"",0)</f>
        <v>Pcs</v>
      </c>
      <c r="N616" s="221">
        <v>21</v>
      </c>
      <c r="O616" s="221" t="s">
        <v>2166</v>
      </c>
      <c r="P616" s="221" t="s">
        <v>2167</v>
      </c>
      <c r="Q616" s="221"/>
      <c r="R616" s="221"/>
      <c r="S616" s="221"/>
      <c r="T616" s="221" t="s">
        <v>3247</v>
      </c>
      <c r="U616" s="221">
        <v>0</v>
      </c>
      <c r="V616" s="221" t="s">
        <v>3375</v>
      </c>
      <c r="W616" s="221" t="s">
        <v>3376</v>
      </c>
      <c r="X616" s="221"/>
      <c r="Y616" s="227"/>
      <c r="Z616" s="227" t="str">
        <f>P616</f>
        <v>Dusun Mojosari Ngenep</v>
      </c>
      <c r="AA616" s="276" t="e">
        <f>VLOOKUP(Logfile_S[[#This Row],[DO number]],DO_DB!G:I,3,0)</f>
        <v>#N/A</v>
      </c>
      <c r="AB616" s="331" t="e">
        <f>EXACT(Logfile_S[[#This Row],[date pick]],Logfile_S[[#This Row],[Date]])</f>
        <v>#N/A</v>
      </c>
      <c r="AC6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17" spans="1:29" ht="14.5">
      <c r="A617" s="220" t="str">
        <f>TEXT(ROW(A617)-ROW($A$4),"000")</f>
        <v>613</v>
      </c>
      <c r="B617" s="221"/>
      <c r="C617" s="221" t="s">
        <v>49</v>
      </c>
      <c r="D617" s="221" t="s">
        <v>4239</v>
      </c>
      <c r="E617" s="221" t="s">
        <v>3295</v>
      </c>
      <c r="F617" s="221" t="s">
        <v>3299</v>
      </c>
      <c r="G617" s="222">
        <v>45561</v>
      </c>
      <c r="H617" s="223">
        <v>0.64097222222222228</v>
      </c>
      <c r="I617" s="221" t="s">
        <v>4916</v>
      </c>
      <c r="J617" s="221" t="s">
        <v>3023</v>
      </c>
      <c r="K617" s="224" t="s">
        <v>3073</v>
      </c>
      <c r="L617" s="225" t="str">
        <f>VLOOKUP(Logfile_S[[#This Row],[Material Name]],Sheet2!B:C,2,0)</f>
        <v>ZTE2001</v>
      </c>
      <c r="M617" s="225" t="str">
        <f>_xlfn.XLOOKUP(Logfile_S[[#This Row],[Material Name]],Sum_WH!E:E,Sum_WH!F:F,"",0)</f>
        <v>Meter</v>
      </c>
      <c r="N617" s="221">
        <v>3000</v>
      </c>
      <c r="O617" s="221" t="s">
        <v>2166</v>
      </c>
      <c r="P617" s="221" t="s">
        <v>2167</v>
      </c>
      <c r="Q617" s="221"/>
      <c r="R617" s="221"/>
      <c r="S617" s="221"/>
      <c r="T617" s="221" t="s">
        <v>3247</v>
      </c>
      <c r="U617" s="221" t="s">
        <v>3247</v>
      </c>
      <c r="V617" s="221" t="s">
        <v>3375</v>
      </c>
      <c r="W617" s="221" t="s">
        <v>3376</v>
      </c>
      <c r="X617" s="221"/>
      <c r="Y617" s="227"/>
      <c r="Z617" s="227" t="str">
        <f>P617</f>
        <v>Dusun Mojosari Ngenep</v>
      </c>
      <c r="AA617" s="276" t="e">
        <f>VLOOKUP(Logfile_S[[#This Row],[DO number]],DO_DB!G:I,3,0)</f>
        <v>#N/A</v>
      </c>
      <c r="AB617" s="331" t="e">
        <f>EXACT(Logfile_S[[#This Row],[date pick]],Logfile_S[[#This Row],[Date]])</f>
        <v>#N/A</v>
      </c>
      <c r="AC6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18" spans="1:29" ht="14.5">
      <c r="A618" s="220" t="str">
        <f>TEXT(ROW(A618)-ROW($A$4),"000")</f>
        <v>614</v>
      </c>
      <c r="B618" s="221"/>
      <c r="C618" s="221" t="s">
        <v>49</v>
      </c>
      <c r="D618" s="221" t="s">
        <v>4234</v>
      </c>
      <c r="E618" s="221" t="s">
        <v>3295</v>
      </c>
      <c r="F618" s="221" t="s">
        <v>3299</v>
      </c>
      <c r="G618" s="222">
        <v>45561</v>
      </c>
      <c r="H618" s="223">
        <v>0.68125000000000002</v>
      </c>
      <c r="I618" s="221" t="s">
        <v>4916</v>
      </c>
      <c r="J618" s="221" t="s">
        <v>3023</v>
      </c>
      <c r="K618" s="224" t="s">
        <v>3075</v>
      </c>
      <c r="L618" s="225" t="str">
        <f>VLOOKUP(Logfile_S[[#This Row],[Material Name]],Sheet2!B:C,2,0)</f>
        <v>ZTE2003</v>
      </c>
      <c r="M618" s="225" t="str">
        <f>_xlfn.XLOOKUP(Logfile_S[[#This Row],[Material Name]],Sum_WH!E:E,Sum_WH!F:F,"",0)</f>
        <v>Meter</v>
      </c>
      <c r="N618" s="221">
        <v>3000</v>
      </c>
      <c r="O618" s="221" t="s">
        <v>2166</v>
      </c>
      <c r="P618" s="221" t="s">
        <v>2167</v>
      </c>
      <c r="Q618" s="221"/>
      <c r="R618" s="221"/>
      <c r="S618" s="221"/>
      <c r="T618" s="221" t="s">
        <v>3247</v>
      </c>
      <c r="U618" s="221" t="s">
        <v>3247</v>
      </c>
      <c r="V618" s="221" t="s">
        <v>3375</v>
      </c>
      <c r="W618" s="221" t="s">
        <v>3376</v>
      </c>
      <c r="X618" s="221"/>
      <c r="Y618" s="227"/>
      <c r="Z618" s="227" t="str">
        <f>P618</f>
        <v>Dusun Mojosari Ngenep</v>
      </c>
      <c r="AA618" s="276" t="e">
        <f>VLOOKUP(Logfile_S[[#This Row],[DO number]],DO_DB!G:I,3,0)</f>
        <v>#N/A</v>
      </c>
      <c r="AB618" s="331" t="e">
        <f>EXACT(Logfile_S[[#This Row],[date pick]],Logfile_S[[#This Row],[Date]])</f>
        <v>#N/A</v>
      </c>
      <c r="AC6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19" spans="1:29" ht="14.5">
      <c r="A619" s="220" t="str">
        <f>TEXT(ROW(A619)-ROW($A$4),"000")</f>
        <v>615</v>
      </c>
      <c r="B619" s="221"/>
      <c r="C619" s="221" t="s">
        <v>49</v>
      </c>
      <c r="D619" s="221" t="s">
        <v>4234</v>
      </c>
      <c r="E619" s="221" t="s">
        <v>3295</v>
      </c>
      <c r="F619" s="221" t="s">
        <v>3299</v>
      </c>
      <c r="G619" s="222">
        <v>45561</v>
      </c>
      <c r="H619" s="223">
        <v>0.68125000000000002</v>
      </c>
      <c r="I619" s="221" t="s">
        <v>4916</v>
      </c>
      <c r="J619" s="221" t="s">
        <v>3024</v>
      </c>
      <c r="K619" s="224" t="s">
        <v>3091</v>
      </c>
      <c r="L619" s="225" t="str">
        <f>VLOOKUP(Logfile_S[[#This Row],[Material Name]],Sheet2!B:C,2,0)</f>
        <v>GCI1005</v>
      </c>
      <c r="M619" s="225" t="str">
        <f>_xlfn.XLOOKUP(Logfile_S[[#This Row],[Material Name]],Sum_WH!E:E,Sum_WH!F:F,"",0)</f>
        <v>Pcs</v>
      </c>
      <c r="N619" s="221">
        <v>30</v>
      </c>
      <c r="O619" s="221" t="s">
        <v>2166</v>
      </c>
      <c r="P619" s="221" t="s">
        <v>2167</v>
      </c>
      <c r="Q619" s="221"/>
      <c r="R619" s="221"/>
      <c r="S619" s="221"/>
      <c r="T619" s="221" t="s">
        <v>3247</v>
      </c>
      <c r="U619" s="221">
        <v>0</v>
      </c>
      <c r="V619" s="221" t="s">
        <v>3375</v>
      </c>
      <c r="W619" s="221" t="s">
        <v>3376</v>
      </c>
      <c r="X619" s="221"/>
      <c r="Y619" s="227"/>
      <c r="Z619" s="227" t="str">
        <f>P619</f>
        <v>Dusun Mojosari Ngenep</v>
      </c>
      <c r="AA619" s="276" t="e">
        <f>VLOOKUP(Logfile_S[[#This Row],[DO number]],DO_DB!G:I,3,0)</f>
        <v>#N/A</v>
      </c>
      <c r="AB619" s="331" t="e">
        <f>EXACT(Logfile_S[[#This Row],[date pick]],Logfile_S[[#This Row],[Date]])</f>
        <v>#N/A</v>
      </c>
      <c r="AC6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20" spans="1:29" ht="14.5">
      <c r="A620" s="220" t="str">
        <f>TEXT(ROW(A620)-ROW($A$4),"000")</f>
        <v>616</v>
      </c>
      <c r="B620" s="221"/>
      <c r="C620" s="221" t="s">
        <v>49</v>
      </c>
      <c r="D620" s="221" t="s">
        <v>4233</v>
      </c>
      <c r="E620" s="221" t="s">
        <v>3295</v>
      </c>
      <c r="F620" s="221" t="s">
        <v>3299</v>
      </c>
      <c r="G620" s="222">
        <v>45561</v>
      </c>
      <c r="H620" s="223">
        <v>0.64097222222222228</v>
      </c>
      <c r="I620" s="221" t="s">
        <v>4916</v>
      </c>
      <c r="J620" s="221" t="s">
        <v>3024</v>
      </c>
      <c r="K620" s="224" t="s">
        <v>3087</v>
      </c>
      <c r="L620" s="225" t="str">
        <f>VLOOKUP(Logfile_S[[#This Row],[Material Name]],Sheet2!B:C,2,0)</f>
        <v>GCI1001</v>
      </c>
      <c r="M620" s="225" t="str">
        <f>_xlfn.XLOOKUP(Logfile_S[[#This Row],[Material Name]],Sum_WH!E:E,Sum_WH!F:F,"",0)</f>
        <v>Pcs</v>
      </c>
      <c r="N620" s="221">
        <v>33</v>
      </c>
      <c r="O620" s="221" t="s">
        <v>2166</v>
      </c>
      <c r="P620" s="221" t="s">
        <v>2167</v>
      </c>
      <c r="Q620" s="221"/>
      <c r="R620" s="221"/>
      <c r="S620" s="221"/>
      <c r="T620" s="221" t="s">
        <v>3247</v>
      </c>
      <c r="U620" s="221">
        <v>0</v>
      </c>
      <c r="V620" s="221" t="s">
        <v>3375</v>
      </c>
      <c r="W620" s="221" t="s">
        <v>3376</v>
      </c>
      <c r="X620" s="221"/>
      <c r="Y620" s="227"/>
      <c r="Z620" s="227" t="str">
        <f>P620</f>
        <v>Dusun Mojosari Ngenep</v>
      </c>
      <c r="AA620" s="276" t="e">
        <f>VLOOKUP(Logfile_S[[#This Row],[DO number]],DO_DB!G:I,3,0)</f>
        <v>#N/A</v>
      </c>
      <c r="AB620" s="331" t="e">
        <f>EXACT(Logfile_S[[#This Row],[date pick]],Logfile_S[[#This Row],[Date]])</f>
        <v>#N/A</v>
      </c>
      <c r="AC6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21" spans="1:29" ht="14.5">
      <c r="A621" s="220" t="str">
        <f>TEXT(ROW(A621)-ROW($A$4),"000")</f>
        <v>617</v>
      </c>
      <c r="B621" s="221"/>
      <c r="C621" s="221" t="s">
        <v>49</v>
      </c>
      <c r="D621" s="221" t="s">
        <v>4233</v>
      </c>
      <c r="E621" s="221" t="s">
        <v>3295</v>
      </c>
      <c r="F621" s="221" t="s">
        <v>3299</v>
      </c>
      <c r="G621" s="222">
        <v>45561</v>
      </c>
      <c r="H621" s="223">
        <v>0.64097222222222228</v>
      </c>
      <c r="I621" s="221" t="s">
        <v>4916</v>
      </c>
      <c r="J621" s="221" t="s">
        <v>3024</v>
      </c>
      <c r="K621" s="224" t="s">
        <v>5137</v>
      </c>
      <c r="L621" s="225" t="str">
        <f>VLOOKUP(Logfile_S[[#This Row],[Material Name]],Sheet2!B:C,2,0)</f>
        <v>GCI1009</v>
      </c>
      <c r="M621" s="225" t="str">
        <f>_xlfn.XLOOKUP(Logfile_S[[#This Row],[Material Name]],Sum_WH!E:E,Sum_WH!F:F,"",0)</f>
        <v>Pcs</v>
      </c>
      <c r="N621" s="221">
        <v>200</v>
      </c>
      <c r="O621" s="221" t="s">
        <v>2166</v>
      </c>
      <c r="P621" s="221" t="s">
        <v>2167</v>
      </c>
      <c r="Q621" s="221"/>
      <c r="R621" s="221"/>
      <c r="S621" s="221"/>
      <c r="T621" s="221" t="s">
        <v>3247</v>
      </c>
      <c r="U621" s="221">
        <v>0</v>
      </c>
      <c r="V621" s="221" t="s">
        <v>3375</v>
      </c>
      <c r="W621" s="221" t="s">
        <v>3376</v>
      </c>
      <c r="X621" s="221"/>
      <c r="Y621" s="227"/>
      <c r="Z621" s="227" t="str">
        <f>P621</f>
        <v>Dusun Mojosari Ngenep</v>
      </c>
      <c r="AA621" s="276" t="e">
        <f>VLOOKUP(Logfile_S[[#This Row],[DO number]],DO_DB!G:I,3,0)</f>
        <v>#N/A</v>
      </c>
      <c r="AB621" s="331" t="e">
        <f>EXACT(Logfile_S[[#This Row],[date pick]],Logfile_S[[#This Row],[Date]])</f>
        <v>#N/A</v>
      </c>
      <c r="AC6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22" spans="1:29" ht="14.5">
      <c r="A622" s="220" t="str">
        <f>TEXT(ROW(A622)-ROW($A$4),"000")</f>
        <v>618</v>
      </c>
      <c r="B622" s="221"/>
      <c r="C622" s="221" t="s">
        <v>49</v>
      </c>
      <c r="D622" s="221" t="s">
        <v>4236</v>
      </c>
      <c r="E622" s="221" t="s">
        <v>3295</v>
      </c>
      <c r="F622" s="221" t="s">
        <v>3299</v>
      </c>
      <c r="G622" s="222">
        <v>45561</v>
      </c>
      <c r="H622" s="223">
        <v>0.79027777777777775</v>
      </c>
      <c r="I622" s="221" t="s">
        <v>4916</v>
      </c>
      <c r="J622" s="221" t="s">
        <v>3023</v>
      </c>
      <c r="K622" s="224" t="s">
        <v>15</v>
      </c>
      <c r="L622" s="225" t="str">
        <f>VLOOKUP(Logfile_S[[#This Row],[Material Name]],Sheet2!B:C,2,0)</f>
        <v>ZTE2006</v>
      </c>
      <c r="M622" s="225" t="str">
        <f>_xlfn.XLOOKUP(Logfile_S[[#This Row],[Material Name]],Sum_WH!E:E,Sum_WH!F:F,"",0)</f>
        <v>Pcs</v>
      </c>
      <c r="N622" s="221">
        <v>1</v>
      </c>
      <c r="O622" s="221" t="s">
        <v>2166</v>
      </c>
      <c r="P622" s="221" t="s">
        <v>2167</v>
      </c>
      <c r="Q622" s="221"/>
      <c r="R622" s="221"/>
      <c r="S622" s="221"/>
      <c r="T622" s="221" t="s">
        <v>3474</v>
      </c>
      <c r="U622" s="221">
        <v>0</v>
      </c>
      <c r="V622" s="221" t="s">
        <v>3475</v>
      </c>
      <c r="W622" s="221" t="s">
        <v>3476</v>
      </c>
      <c r="X622" s="221"/>
      <c r="Y622" s="227"/>
      <c r="Z622" s="227" t="str">
        <f>P622</f>
        <v>Dusun Mojosari Ngenep</v>
      </c>
      <c r="AA622" s="276" t="e">
        <f>VLOOKUP(Logfile_S[[#This Row],[DO number]],DO_DB!G:I,3,0)</f>
        <v>#N/A</v>
      </c>
      <c r="AB622" s="331" t="e">
        <f>EXACT(Logfile_S[[#This Row],[date pick]],Logfile_S[[#This Row],[Date]])</f>
        <v>#N/A</v>
      </c>
      <c r="AC6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23" spans="1:29" ht="14.5">
      <c r="A623" s="220" t="str">
        <f>TEXT(ROW(A623)-ROW($A$4),"000")</f>
        <v>619</v>
      </c>
      <c r="B623" s="221"/>
      <c r="C623" s="221" t="s">
        <v>49</v>
      </c>
      <c r="D623" s="221" t="s">
        <v>4233</v>
      </c>
      <c r="E623" s="221" t="s">
        <v>3295</v>
      </c>
      <c r="F623" s="221" t="s">
        <v>3299</v>
      </c>
      <c r="G623" s="222">
        <v>45561</v>
      </c>
      <c r="H623" s="223">
        <v>0.64097222222222228</v>
      </c>
      <c r="I623" s="221" t="s">
        <v>4916</v>
      </c>
      <c r="J623" s="221" t="s">
        <v>3024</v>
      </c>
      <c r="K623" s="224" t="s">
        <v>3088</v>
      </c>
      <c r="L623" s="225" t="str">
        <f>VLOOKUP(Logfile_S[[#This Row],[Material Name]],Sheet2!B:C,2,0)</f>
        <v>GCI1002</v>
      </c>
      <c r="M623" s="225" t="str">
        <f>_xlfn.XLOOKUP(Logfile_S[[#This Row],[Material Name]],Sum_WH!E:E,Sum_WH!F:F,"",0)</f>
        <v>Pcs</v>
      </c>
      <c r="N623" s="221">
        <v>1</v>
      </c>
      <c r="O623" s="221" t="s">
        <v>2166</v>
      </c>
      <c r="P623" s="221" t="s">
        <v>2167</v>
      </c>
      <c r="Q623" s="221"/>
      <c r="R623" s="221"/>
      <c r="S623" s="221"/>
      <c r="T623" s="221" t="s">
        <v>3247</v>
      </c>
      <c r="U623" s="221">
        <v>0</v>
      </c>
      <c r="V623" s="221" t="s">
        <v>3375</v>
      </c>
      <c r="W623" s="221" t="s">
        <v>3376</v>
      </c>
      <c r="X623" s="221"/>
      <c r="Y623" s="227"/>
      <c r="Z623" s="227" t="str">
        <f>P623</f>
        <v>Dusun Mojosari Ngenep</v>
      </c>
      <c r="AA623" s="276" t="e">
        <f>VLOOKUP(Logfile_S[[#This Row],[DO number]],DO_DB!G:I,3,0)</f>
        <v>#N/A</v>
      </c>
      <c r="AB623" s="331" t="e">
        <f>EXACT(Logfile_S[[#This Row],[date pick]],Logfile_S[[#This Row],[Date]])</f>
        <v>#N/A</v>
      </c>
      <c r="AC6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24" spans="1:29" ht="14.5">
      <c r="A624" s="220" t="str">
        <f>TEXT(ROW(A624)-ROW($A$4),"000")</f>
        <v>620</v>
      </c>
      <c r="B624" s="221"/>
      <c r="C624" s="221" t="s">
        <v>49</v>
      </c>
      <c r="D624" s="221" t="s">
        <v>4235</v>
      </c>
      <c r="E624" s="221" t="s">
        <v>3295</v>
      </c>
      <c r="F624" s="221" t="s">
        <v>3299</v>
      </c>
      <c r="G624" s="222">
        <v>45561</v>
      </c>
      <c r="H624" s="223">
        <v>0.73263888888888884</v>
      </c>
      <c r="I624" s="221" t="s">
        <v>4916</v>
      </c>
      <c r="J624" s="221" t="s">
        <v>3023</v>
      </c>
      <c r="K624" s="224" t="s">
        <v>3070</v>
      </c>
      <c r="L624" s="225" t="str">
        <f>VLOOKUP(Logfile_S[[#This Row],[Material Name]],Sheet2!B:C,2,0)</f>
        <v>ZTE1002</v>
      </c>
      <c r="M624" s="225" t="str">
        <f>_xlfn.XLOOKUP(Logfile_S[[#This Row],[Material Name]],Sum_WH!E:E,Sum_WH!F:F,"",0)</f>
        <v>Pcs</v>
      </c>
      <c r="N624" s="221">
        <v>2</v>
      </c>
      <c r="O624" s="221" t="s">
        <v>2166</v>
      </c>
      <c r="P624" s="221" t="s">
        <v>2167</v>
      </c>
      <c r="Q624" s="221"/>
      <c r="R624" s="221"/>
      <c r="S624" s="221"/>
      <c r="T624" s="221" t="s">
        <v>3247</v>
      </c>
      <c r="U624" s="221">
        <v>0</v>
      </c>
      <c r="V624" s="221" t="s">
        <v>3375</v>
      </c>
      <c r="W624" s="221" t="s">
        <v>3376</v>
      </c>
      <c r="X624" s="221"/>
      <c r="Y624" s="227"/>
      <c r="Z624" s="227" t="str">
        <f>P624</f>
        <v>Dusun Mojosari Ngenep</v>
      </c>
      <c r="AA624" s="276" t="e">
        <f>VLOOKUP(Logfile_S[[#This Row],[DO number]],DO_DB!G:I,3,0)</f>
        <v>#N/A</v>
      </c>
      <c r="AB624" s="331" t="e">
        <f>EXACT(Logfile_S[[#This Row],[date pick]],Logfile_S[[#This Row],[Date]])</f>
        <v>#N/A</v>
      </c>
      <c r="AC6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25" spans="1:29" ht="14.5">
      <c r="A625" s="220" t="str">
        <f>TEXT(ROW(A625)-ROW($A$4),"000")</f>
        <v>621</v>
      </c>
      <c r="B625" s="221"/>
      <c r="C625" s="221" t="s">
        <v>49</v>
      </c>
      <c r="D625" s="221" t="s">
        <v>4235</v>
      </c>
      <c r="E625" s="221" t="s">
        <v>3295</v>
      </c>
      <c r="F625" s="221" t="s">
        <v>3299</v>
      </c>
      <c r="G625" s="222">
        <v>45561</v>
      </c>
      <c r="H625" s="223">
        <v>0.73263888888888884</v>
      </c>
      <c r="I625" s="221" t="s">
        <v>4916</v>
      </c>
      <c r="J625" s="221" t="s">
        <v>3023</v>
      </c>
      <c r="K625" s="224" t="s">
        <v>3069</v>
      </c>
      <c r="L625" s="225" t="str">
        <f>VLOOKUP(Logfile_S[[#This Row],[Material Name]],Sheet2!B:C,2,0)</f>
        <v>ZTE1001</v>
      </c>
      <c r="M625" s="225" t="str">
        <f>_xlfn.XLOOKUP(Logfile_S[[#This Row],[Material Name]],Sum_WH!E:E,Sum_WH!F:F,"",0)</f>
        <v>Pcs</v>
      </c>
      <c r="N625" s="221">
        <v>13</v>
      </c>
      <c r="O625" s="221" t="s">
        <v>2166</v>
      </c>
      <c r="P625" s="221" t="s">
        <v>2167</v>
      </c>
      <c r="Q625" s="221"/>
      <c r="R625" s="221"/>
      <c r="S625" s="221"/>
      <c r="T625" s="221" t="s">
        <v>3247</v>
      </c>
      <c r="U625" s="221">
        <v>0</v>
      </c>
      <c r="V625" s="221" t="s">
        <v>3375</v>
      </c>
      <c r="W625" s="221" t="s">
        <v>3376</v>
      </c>
      <c r="X625" s="221"/>
      <c r="Y625" s="227"/>
      <c r="Z625" s="227" t="str">
        <f>P625</f>
        <v>Dusun Mojosari Ngenep</v>
      </c>
      <c r="AA625" s="276" t="e">
        <f>VLOOKUP(Logfile_S[[#This Row],[DO number]],DO_DB!G:I,3,0)</f>
        <v>#N/A</v>
      </c>
      <c r="AB625" s="331" t="e">
        <f>EXACT(Logfile_S[[#This Row],[date pick]],Logfile_S[[#This Row],[Date]])</f>
        <v>#N/A</v>
      </c>
      <c r="AC6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26" spans="1:29" ht="14.5">
      <c r="A626" s="220" t="str">
        <f>TEXT(ROW(A626)-ROW($A$4),"000")</f>
        <v>622</v>
      </c>
      <c r="B626" s="221"/>
      <c r="C626" s="221" t="s">
        <v>49</v>
      </c>
      <c r="D626" s="221" t="s">
        <v>4232</v>
      </c>
      <c r="E626" s="221" t="s">
        <v>3295</v>
      </c>
      <c r="F626" s="221" t="s">
        <v>3299</v>
      </c>
      <c r="G626" s="222">
        <v>45561</v>
      </c>
      <c r="H626" s="223">
        <v>0.37847222222222221</v>
      </c>
      <c r="I626" s="221" t="s">
        <v>4916</v>
      </c>
      <c r="J626" s="221" t="s">
        <v>3023</v>
      </c>
      <c r="K626" s="224" t="s">
        <v>3071</v>
      </c>
      <c r="L626" s="225" t="str">
        <f>VLOOKUP(Logfile_S[[#This Row],[Material Name]],Sheet2!B:C,2,0)</f>
        <v>ZTE1003</v>
      </c>
      <c r="M626" s="225" t="str">
        <f>_xlfn.XLOOKUP(Logfile_S[[#This Row],[Material Name]],Sum_WH!E:E,Sum_WH!F:F,"",0)</f>
        <v>Pcs</v>
      </c>
      <c r="N626" s="221">
        <v>4</v>
      </c>
      <c r="O626" s="221" t="s">
        <v>2166</v>
      </c>
      <c r="P626" s="221" t="s">
        <v>2167</v>
      </c>
      <c r="Q626" s="221"/>
      <c r="R626" s="221"/>
      <c r="S626" s="221"/>
      <c r="T626" s="221" t="s">
        <v>3258</v>
      </c>
      <c r="U626" s="221">
        <v>0</v>
      </c>
      <c r="V626" s="221" t="s">
        <v>3337</v>
      </c>
      <c r="W626" s="221" t="s">
        <v>3338</v>
      </c>
      <c r="X626" s="221"/>
      <c r="Y626" s="227"/>
      <c r="Z626" s="227" t="str">
        <f>P626</f>
        <v>Dusun Mojosari Ngenep</v>
      </c>
      <c r="AA626" s="276" t="e">
        <f>VLOOKUP(Logfile_S[[#This Row],[DO number]],DO_DB!G:I,3,0)</f>
        <v>#N/A</v>
      </c>
      <c r="AB626" s="331" t="e">
        <f>EXACT(Logfile_S[[#This Row],[date pick]],Logfile_S[[#This Row],[Date]])</f>
        <v>#N/A</v>
      </c>
      <c r="AC6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27" spans="1:29" ht="14.5">
      <c r="A627" s="220" t="str">
        <f>TEXT(ROW(A627)-ROW($A$4),"000")</f>
        <v>623</v>
      </c>
      <c r="B627" s="221"/>
      <c r="C627" s="221" t="s">
        <v>49</v>
      </c>
      <c r="D627" s="221" t="s">
        <v>4233</v>
      </c>
      <c r="E627" s="221" t="s">
        <v>3295</v>
      </c>
      <c r="F627" s="221" t="s">
        <v>3299</v>
      </c>
      <c r="G627" s="222">
        <v>45561</v>
      </c>
      <c r="H627" s="223">
        <v>0.64097222222222228</v>
      </c>
      <c r="I627" s="221" t="s">
        <v>4916</v>
      </c>
      <c r="J627" s="221" t="s">
        <v>3024</v>
      </c>
      <c r="K627" s="224" t="s">
        <v>3094</v>
      </c>
      <c r="L627" s="225" t="str">
        <f>VLOOKUP(Logfile_S[[#This Row],[Material Name]],Sheet2!B:C,2,0)</f>
        <v>GCI1008</v>
      </c>
      <c r="M627" s="225" t="str">
        <f>_xlfn.XLOOKUP(Logfile_S[[#This Row],[Material Name]],Sum_WH!E:E,Sum_WH!F:F,"",0)</f>
        <v>Pcs</v>
      </c>
      <c r="N627" s="221">
        <v>60</v>
      </c>
      <c r="O627" s="221" t="s">
        <v>2166</v>
      </c>
      <c r="P627" s="221" t="s">
        <v>2167</v>
      </c>
      <c r="Q627" s="221"/>
      <c r="R627" s="221"/>
      <c r="S627" s="221"/>
      <c r="T627" s="221" t="s">
        <v>3247</v>
      </c>
      <c r="U627" s="221">
        <v>0</v>
      </c>
      <c r="V627" s="221" t="s">
        <v>3375</v>
      </c>
      <c r="W627" s="221" t="s">
        <v>3376</v>
      </c>
      <c r="X627" s="221"/>
      <c r="Y627" s="227"/>
      <c r="Z627" s="227" t="str">
        <f>P627</f>
        <v>Dusun Mojosari Ngenep</v>
      </c>
      <c r="AA627" s="276" t="e">
        <f>VLOOKUP(Logfile_S[[#This Row],[DO number]],DO_DB!G:I,3,0)</f>
        <v>#N/A</v>
      </c>
      <c r="AB627" s="331" t="e">
        <f>EXACT(Logfile_S[[#This Row],[date pick]],Logfile_S[[#This Row],[Date]])</f>
        <v>#N/A</v>
      </c>
      <c r="AC6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28" spans="1:29" ht="14.5">
      <c r="A628" s="220" t="str">
        <f>TEXT(ROW(A628)-ROW($A$4),"000")</f>
        <v>624</v>
      </c>
      <c r="B628" s="221"/>
      <c r="C628" s="221" t="s">
        <v>49</v>
      </c>
      <c r="D628" s="221" t="s">
        <v>4233</v>
      </c>
      <c r="E628" s="221" t="s">
        <v>3295</v>
      </c>
      <c r="F628" s="221" t="s">
        <v>3299</v>
      </c>
      <c r="G628" s="222">
        <v>45561</v>
      </c>
      <c r="H628" s="223">
        <v>0.64097222222222228</v>
      </c>
      <c r="I628" s="221" t="s">
        <v>4916</v>
      </c>
      <c r="J628" s="221" t="s">
        <v>3024</v>
      </c>
      <c r="K628" s="224" t="s">
        <v>3089</v>
      </c>
      <c r="L628" s="225" t="str">
        <f>VLOOKUP(Logfile_S[[#This Row],[Material Name]],Sheet2!B:C,2,0)</f>
        <v>GCI1003</v>
      </c>
      <c r="M628" s="225" t="str">
        <f>_xlfn.XLOOKUP(Logfile_S[[#This Row],[Material Name]],Sum_WH!E:E,Sum_WH!F:F,"",0)</f>
        <v>Pcs</v>
      </c>
      <c r="N628" s="221">
        <v>40</v>
      </c>
      <c r="O628" s="221" t="s">
        <v>2166</v>
      </c>
      <c r="P628" s="221" t="s">
        <v>2167</v>
      </c>
      <c r="Q628" s="221"/>
      <c r="R628" s="221"/>
      <c r="S628" s="221"/>
      <c r="T628" s="221" t="s">
        <v>3247</v>
      </c>
      <c r="U628" s="221">
        <v>0</v>
      </c>
      <c r="V628" s="221" t="s">
        <v>3375</v>
      </c>
      <c r="W628" s="221" t="s">
        <v>3376</v>
      </c>
      <c r="X628" s="221"/>
      <c r="Y628" s="227"/>
      <c r="Z628" s="227" t="str">
        <f>P628</f>
        <v>Dusun Mojosari Ngenep</v>
      </c>
      <c r="AA628" s="276" t="e">
        <f>VLOOKUP(Logfile_S[[#This Row],[DO number]],DO_DB!G:I,3,0)</f>
        <v>#N/A</v>
      </c>
      <c r="AB628" s="331" t="e">
        <f>EXACT(Logfile_S[[#This Row],[date pick]],Logfile_S[[#This Row],[Date]])</f>
        <v>#N/A</v>
      </c>
      <c r="AC6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29" spans="1:29" ht="14.5">
      <c r="A629" s="220" t="str">
        <f>TEXT(ROW(A629)-ROW($A$4),"000")</f>
        <v>625</v>
      </c>
      <c r="B629" s="221"/>
      <c r="C629" s="221" t="s">
        <v>49</v>
      </c>
      <c r="D629" s="221" t="s">
        <v>4233</v>
      </c>
      <c r="E629" s="221" t="s">
        <v>3295</v>
      </c>
      <c r="F629" s="221" t="s">
        <v>3299</v>
      </c>
      <c r="G629" s="222">
        <v>45561</v>
      </c>
      <c r="H629" s="223">
        <v>0.64097222222222228</v>
      </c>
      <c r="I629" s="221" t="s">
        <v>4916</v>
      </c>
      <c r="J629" s="221" t="s">
        <v>3024</v>
      </c>
      <c r="K629" s="224" t="s">
        <v>3090</v>
      </c>
      <c r="L629" s="225" t="str">
        <f>VLOOKUP(Logfile_S[[#This Row],[Material Name]],Sheet2!B:C,2,0)</f>
        <v>GCI1004</v>
      </c>
      <c r="M629" s="225" t="str">
        <f>_xlfn.XLOOKUP(Logfile_S[[#This Row],[Material Name]],Sum_WH!E:E,Sum_WH!F:F,"",0)</f>
        <v>Pcs</v>
      </c>
      <c r="N629" s="221">
        <v>32</v>
      </c>
      <c r="O629" s="221" t="s">
        <v>2166</v>
      </c>
      <c r="P629" s="221" t="s">
        <v>2167</v>
      </c>
      <c r="Q629" s="221"/>
      <c r="R629" s="221"/>
      <c r="S629" s="221"/>
      <c r="T629" s="221" t="s">
        <v>3247</v>
      </c>
      <c r="U629" s="221">
        <v>0</v>
      </c>
      <c r="V629" s="221" t="s">
        <v>3375</v>
      </c>
      <c r="W629" s="221" t="s">
        <v>3376</v>
      </c>
      <c r="X629" s="221"/>
      <c r="Y629" s="227"/>
      <c r="Z629" s="227" t="str">
        <f>P629</f>
        <v>Dusun Mojosari Ngenep</v>
      </c>
      <c r="AA629" s="276" t="e">
        <f>VLOOKUP(Logfile_S[[#This Row],[DO number]],DO_DB!G:I,3,0)</f>
        <v>#N/A</v>
      </c>
      <c r="AB629" s="331" t="e">
        <f>EXACT(Logfile_S[[#This Row],[date pick]],Logfile_S[[#This Row],[Date]])</f>
        <v>#N/A</v>
      </c>
      <c r="AC6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30" spans="1:29" ht="14.5">
      <c r="A630" s="220" t="str">
        <f>TEXT(ROW(A630)-ROW($A$4),"000")</f>
        <v>626</v>
      </c>
      <c r="B630" s="221"/>
      <c r="C630" s="221" t="s">
        <v>49</v>
      </c>
      <c r="D630" s="221" t="s">
        <v>4240</v>
      </c>
      <c r="E630" s="221" t="s">
        <v>3295</v>
      </c>
      <c r="F630" s="221" t="s">
        <v>3299</v>
      </c>
      <c r="G630" s="222">
        <v>45562</v>
      </c>
      <c r="H630" s="223">
        <v>0.60416666666666663</v>
      </c>
      <c r="I630" s="221" t="s">
        <v>4916</v>
      </c>
      <c r="J630" s="221" t="s">
        <v>3023</v>
      </c>
      <c r="K630" s="224" t="s">
        <v>3069</v>
      </c>
      <c r="L630" s="225" t="str">
        <f>VLOOKUP(Logfile_S[[#This Row],[Material Name]],Sheet2!B:C,2,0)</f>
        <v>ZTE1001</v>
      </c>
      <c r="M630" s="225" t="str">
        <f>_xlfn.XLOOKUP(Logfile_S[[#This Row],[Material Name]],Sum_WH!E:E,Sum_WH!F:F,"",0)</f>
        <v>Pcs</v>
      </c>
      <c r="N630" s="221">
        <v>3</v>
      </c>
      <c r="O630" s="221" t="s">
        <v>2166</v>
      </c>
      <c r="P630" s="221" t="s">
        <v>2167</v>
      </c>
      <c r="Q630" s="221"/>
      <c r="R630" s="221"/>
      <c r="S630" s="221"/>
      <c r="T630" s="221" t="s">
        <v>3247</v>
      </c>
      <c r="U630" s="221">
        <v>0</v>
      </c>
      <c r="V630" s="221" t="s">
        <v>3375</v>
      </c>
      <c r="W630" s="221" t="s">
        <v>3376</v>
      </c>
      <c r="X630" s="221"/>
      <c r="Y630" s="227"/>
      <c r="Z630" s="227" t="str">
        <f>P630</f>
        <v>Dusun Mojosari Ngenep</v>
      </c>
      <c r="AA630" s="276" t="e">
        <f>VLOOKUP(Logfile_S[[#This Row],[DO number]],DO_DB!G:I,3,0)</f>
        <v>#N/A</v>
      </c>
      <c r="AB630" s="331" t="e">
        <f>EXACT(Logfile_S[[#This Row],[date pick]],Logfile_S[[#This Row],[Date]])</f>
        <v>#N/A</v>
      </c>
      <c r="AC6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31" spans="1:29" ht="14.5">
      <c r="A631" s="220" t="str">
        <f>TEXT(ROW(A631)-ROW($A$4),"000")</f>
        <v>627</v>
      </c>
      <c r="B631" s="221"/>
      <c r="C631" s="221" t="s">
        <v>49</v>
      </c>
      <c r="D631" s="221" t="s">
        <v>4240</v>
      </c>
      <c r="E631" s="221" t="s">
        <v>3295</v>
      </c>
      <c r="F631" s="221" t="s">
        <v>3299</v>
      </c>
      <c r="G631" s="222">
        <v>45562</v>
      </c>
      <c r="H631" s="223">
        <v>0.60416666666666663</v>
      </c>
      <c r="I631" s="221" t="s">
        <v>4916</v>
      </c>
      <c r="J631" s="221" t="s">
        <v>3024</v>
      </c>
      <c r="K631" s="224" t="s">
        <v>3089</v>
      </c>
      <c r="L631" s="225" t="str">
        <f>VLOOKUP(Logfile_S[[#This Row],[Material Name]],Sheet2!B:C,2,0)</f>
        <v>GCI1003</v>
      </c>
      <c r="M631" s="225" t="str">
        <f>_xlfn.XLOOKUP(Logfile_S[[#This Row],[Material Name]],Sum_WH!E:E,Sum_WH!F:F,"",0)</f>
        <v>Pcs</v>
      </c>
      <c r="N631" s="221">
        <v>50</v>
      </c>
      <c r="O631" s="221" t="s">
        <v>2166</v>
      </c>
      <c r="P631" s="221" t="s">
        <v>2167</v>
      </c>
      <c r="Q631" s="221"/>
      <c r="R631" s="221"/>
      <c r="S631" s="221"/>
      <c r="T631" s="221" t="s">
        <v>3247</v>
      </c>
      <c r="U631" s="221">
        <v>0</v>
      </c>
      <c r="V631" s="221" t="s">
        <v>3375</v>
      </c>
      <c r="W631" s="221" t="s">
        <v>3376</v>
      </c>
      <c r="X631" s="221"/>
      <c r="Y631" s="227"/>
      <c r="Z631" s="227" t="str">
        <f>P631</f>
        <v>Dusun Mojosari Ngenep</v>
      </c>
      <c r="AA631" s="276" t="e">
        <f>VLOOKUP(Logfile_S[[#This Row],[DO number]],DO_DB!G:I,3,0)</f>
        <v>#N/A</v>
      </c>
      <c r="AB631" s="331" t="e">
        <f>EXACT(Logfile_S[[#This Row],[date pick]],Logfile_S[[#This Row],[Date]])</f>
        <v>#N/A</v>
      </c>
      <c r="AC6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32" spans="1:29" ht="14.5">
      <c r="A632" s="220" t="str">
        <f>TEXT(ROW(A632)-ROW($A$4),"000")</f>
        <v>628</v>
      </c>
      <c r="B632" s="221"/>
      <c r="C632" s="221" t="s">
        <v>49</v>
      </c>
      <c r="D632" s="221" t="s">
        <v>4242</v>
      </c>
      <c r="E632" s="221" t="s">
        <v>3295</v>
      </c>
      <c r="F632" s="221" t="s">
        <v>3299</v>
      </c>
      <c r="G632" s="222">
        <v>45563</v>
      </c>
      <c r="H632" s="223">
        <v>0.79027777777777775</v>
      </c>
      <c r="I632" s="221" t="s">
        <v>4916</v>
      </c>
      <c r="J632" s="221" t="s">
        <v>3023</v>
      </c>
      <c r="K632" s="224" t="s">
        <v>13</v>
      </c>
      <c r="L632" s="225" t="str">
        <f>VLOOKUP(Logfile_S[[#This Row],[Material Name]],Sheet2!B:C,2,0)</f>
        <v>ZTE2008</v>
      </c>
      <c r="M632" s="225" t="str">
        <f>_xlfn.XLOOKUP(Logfile_S[[#This Row],[Material Name]],Sum_WH!E:E,Sum_WH!F:F,"",0)</f>
        <v>Pcs</v>
      </c>
      <c r="N632" s="221">
        <v>17</v>
      </c>
      <c r="O632" s="221" t="s">
        <v>2166</v>
      </c>
      <c r="P632" s="221" t="s">
        <v>2167</v>
      </c>
      <c r="Q632" s="221"/>
      <c r="R632" s="221"/>
      <c r="S632" s="221"/>
      <c r="T632" s="221" t="s">
        <v>3356</v>
      </c>
      <c r="U632" s="221">
        <v>0</v>
      </c>
      <c r="V632" s="221" t="s">
        <v>3357</v>
      </c>
      <c r="W632" s="221" t="s">
        <v>3358</v>
      </c>
      <c r="X632" s="221"/>
      <c r="Y632" s="227"/>
      <c r="Z632" s="227" t="str">
        <f>P632</f>
        <v>Dusun Mojosari Ngenep</v>
      </c>
      <c r="AA632" s="276" t="e">
        <f>VLOOKUP(Logfile_S[[#This Row],[DO number]],DO_DB!G:I,3,0)</f>
        <v>#N/A</v>
      </c>
      <c r="AB632" s="331" t="e">
        <f>EXACT(Logfile_S[[#This Row],[date pick]],Logfile_S[[#This Row],[Date]])</f>
        <v>#N/A</v>
      </c>
      <c r="AC6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33" spans="1:29" ht="14.5">
      <c r="A633" s="220" t="str">
        <f>TEXT(ROW(A633)-ROW($A$4),"000")</f>
        <v>629</v>
      </c>
      <c r="B633" s="221"/>
      <c r="C633" s="221" t="s">
        <v>49</v>
      </c>
      <c r="D633" s="221" t="s">
        <v>4242</v>
      </c>
      <c r="E633" s="221" t="s">
        <v>3295</v>
      </c>
      <c r="F633" s="221" t="s">
        <v>3299</v>
      </c>
      <c r="G633" s="222">
        <v>45563</v>
      </c>
      <c r="H633" s="223">
        <v>0.79027777777777775</v>
      </c>
      <c r="I633" s="221" t="s">
        <v>4916</v>
      </c>
      <c r="J633" s="221" t="s">
        <v>3023</v>
      </c>
      <c r="K633" s="224" t="s">
        <v>3072</v>
      </c>
      <c r="L633" s="225" t="str">
        <f>VLOOKUP(Logfile_S[[#This Row],[Material Name]],Sheet2!B:C,2,0)</f>
        <v>ZTE1004</v>
      </c>
      <c r="M633" s="225" t="str">
        <f>_xlfn.XLOOKUP(Logfile_S[[#This Row],[Material Name]],Sum_WH!E:E,Sum_WH!F:F,"",0)</f>
        <v>Pcs</v>
      </c>
      <c r="N633" s="221">
        <v>1</v>
      </c>
      <c r="O633" s="221" t="s">
        <v>2166</v>
      </c>
      <c r="P633" s="221" t="s">
        <v>2167</v>
      </c>
      <c r="Q633" s="221"/>
      <c r="R633" s="221"/>
      <c r="S633" s="221"/>
      <c r="T633" s="221" t="s">
        <v>3356</v>
      </c>
      <c r="U633" s="221">
        <v>0</v>
      </c>
      <c r="V633" s="221" t="s">
        <v>3357</v>
      </c>
      <c r="W633" s="221" t="s">
        <v>3358</v>
      </c>
      <c r="X633" s="221"/>
      <c r="Y633" s="227"/>
      <c r="Z633" s="227" t="str">
        <f>P633</f>
        <v>Dusun Mojosari Ngenep</v>
      </c>
      <c r="AA633" s="276" t="e">
        <f>VLOOKUP(Logfile_S[[#This Row],[DO number]],DO_DB!G:I,3,0)</f>
        <v>#N/A</v>
      </c>
      <c r="AB633" s="331" t="e">
        <f>EXACT(Logfile_S[[#This Row],[date pick]],Logfile_S[[#This Row],[Date]])</f>
        <v>#N/A</v>
      </c>
      <c r="AC6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34" spans="1:29" ht="14.5">
      <c r="A634" s="220" t="str">
        <f>TEXT(ROW(A634)-ROW($A$4),"000")</f>
        <v>630</v>
      </c>
      <c r="B634" s="221"/>
      <c r="C634" s="221" t="s">
        <v>49</v>
      </c>
      <c r="D634" s="221" t="s">
        <v>4243</v>
      </c>
      <c r="E634" s="221" t="s">
        <v>3295</v>
      </c>
      <c r="F634" s="221" t="s">
        <v>3299</v>
      </c>
      <c r="G634" s="222">
        <v>45564</v>
      </c>
      <c r="H634" s="223">
        <v>0.73263888888888884</v>
      </c>
      <c r="I634" s="221" t="s">
        <v>4916</v>
      </c>
      <c r="J634" s="221" t="s">
        <v>3023</v>
      </c>
      <c r="K634" s="224" t="s">
        <v>3070</v>
      </c>
      <c r="L634" s="225" t="str">
        <f>VLOOKUP(Logfile_S[[#This Row],[Material Name]],Sheet2!B:C,2,0)</f>
        <v>ZTE1002</v>
      </c>
      <c r="M634" s="225" t="str">
        <f>_xlfn.XLOOKUP(Logfile_S[[#This Row],[Material Name]],Sum_WH!E:E,Sum_WH!F:F,"",0)</f>
        <v>Pcs</v>
      </c>
      <c r="N634" s="221">
        <v>1</v>
      </c>
      <c r="O634" s="221" t="s">
        <v>2166</v>
      </c>
      <c r="P634" s="221" t="s">
        <v>2167</v>
      </c>
      <c r="Q634" s="221"/>
      <c r="R634" s="221"/>
      <c r="S634" s="221"/>
      <c r="T634" s="221" t="s">
        <v>3247</v>
      </c>
      <c r="U634" s="221">
        <v>0</v>
      </c>
      <c r="V634" s="221" t="s">
        <v>3375</v>
      </c>
      <c r="W634" s="221" t="s">
        <v>3376</v>
      </c>
      <c r="X634" s="221"/>
      <c r="Y634" s="227"/>
      <c r="Z634" s="227" t="str">
        <f>P634</f>
        <v>Dusun Mojosari Ngenep</v>
      </c>
      <c r="AA634" s="276" t="e">
        <f>VLOOKUP(Logfile_S[[#This Row],[DO number]],DO_DB!G:I,3,0)</f>
        <v>#N/A</v>
      </c>
      <c r="AB634" s="331" t="e">
        <f>EXACT(Logfile_S[[#This Row],[date pick]],Logfile_S[[#This Row],[Date]])</f>
        <v>#N/A</v>
      </c>
      <c r="AC6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35" spans="1:29" ht="14.5">
      <c r="A635" s="220" t="str">
        <f>TEXT(ROW(A635)-ROW($A$4),"000")</f>
        <v>631</v>
      </c>
      <c r="B635" s="221"/>
      <c r="C635" s="221" t="s">
        <v>49</v>
      </c>
      <c r="D635" s="221" t="s">
        <v>4243</v>
      </c>
      <c r="E635" s="221" t="s">
        <v>3295</v>
      </c>
      <c r="F635" s="221" t="s">
        <v>3299</v>
      </c>
      <c r="G635" s="222">
        <v>45564</v>
      </c>
      <c r="H635" s="223">
        <v>0.73263888888888884</v>
      </c>
      <c r="I635" s="221" t="s">
        <v>4916</v>
      </c>
      <c r="J635" s="221" t="s">
        <v>3023</v>
      </c>
      <c r="K635" s="224" t="s">
        <v>3069</v>
      </c>
      <c r="L635" s="225" t="str">
        <f>VLOOKUP(Logfile_S[[#This Row],[Material Name]],Sheet2!B:C,2,0)</f>
        <v>ZTE1001</v>
      </c>
      <c r="M635" s="225" t="str">
        <f>_xlfn.XLOOKUP(Logfile_S[[#This Row],[Material Name]],Sum_WH!E:E,Sum_WH!F:F,"",0)</f>
        <v>Pcs</v>
      </c>
      <c r="N635" s="221">
        <v>12</v>
      </c>
      <c r="O635" s="221" t="s">
        <v>2166</v>
      </c>
      <c r="P635" s="221" t="s">
        <v>2167</v>
      </c>
      <c r="Q635" s="221"/>
      <c r="R635" s="221"/>
      <c r="S635" s="221"/>
      <c r="T635" s="221" t="s">
        <v>3247</v>
      </c>
      <c r="U635" s="221">
        <v>0</v>
      </c>
      <c r="V635" s="221" t="s">
        <v>3375</v>
      </c>
      <c r="W635" s="221" t="s">
        <v>3376</v>
      </c>
      <c r="X635" s="221"/>
      <c r="Y635" s="227"/>
      <c r="Z635" s="227" t="str">
        <f>P635</f>
        <v>Dusun Mojosari Ngenep</v>
      </c>
      <c r="AA635" s="276" t="e">
        <f>VLOOKUP(Logfile_S[[#This Row],[DO number]],DO_DB!G:I,3,0)</f>
        <v>#N/A</v>
      </c>
      <c r="AB635" s="331" t="e">
        <f>EXACT(Logfile_S[[#This Row],[date pick]],Logfile_S[[#This Row],[Date]])</f>
        <v>#N/A</v>
      </c>
      <c r="AC6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36" spans="1:29" ht="14.5">
      <c r="A636" s="237" t="str">
        <f>TEXT(ROW(A636)-ROW($A$4),"000")</f>
        <v>632</v>
      </c>
      <c r="B636" s="221"/>
      <c r="C636" s="227" t="s">
        <v>48</v>
      </c>
      <c r="D636" s="227" t="s">
        <v>4166</v>
      </c>
      <c r="E636" s="227" t="s">
        <v>3295</v>
      </c>
      <c r="F636" s="227" t="s">
        <v>3299</v>
      </c>
      <c r="G636" s="239">
        <v>45526</v>
      </c>
      <c r="H636" s="240">
        <v>15.291666666666666</v>
      </c>
      <c r="I636" s="227" t="s">
        <v>37</v>
      </c>
      <c r="J636" s="227" t="s">
        <v>3023</v>
      </c>
      <c r="K636" s="241" t="s">
        <v>3075</v>
      </c>
      <c r="L636" s="225" t="str">
        <f>VLOOKUP(Logfile_S[[#This Row],[Material Name]],Sheet2!B:C,2,0)</f>
        <v>ZTE2003</v>
      </c>
      <c r="M636" s="242" t="str">
        <f>_xlfn.XLOOKUP(Logfile_S[[#This Row],[Material Name]],Sum_WH!E:E,Sum_WH!F:F,"",0)</f>
        <v>Meter</v>
      </c>
      <c r="N636" s="227">
        <v>3000</v>
      </c>
      <c r="O636" s="227" t="s">
        <v>1929</v>
      </c>
      <c r="P636" s="227" t="s">
        <v>1930</v>
      </c>
      <c r="Q636" s="221" t="s">
        <v>1931</v>
      </c>
      <c r="R636" s="221" t="s">
        <v>1932</v>
      </c>
      <c r="S636" s="227"/>
      <c r="T636" s="227"/>
      <c r="U636" s="227"/>
      <c r="V636" s="227"/>
      <c r="W636" s="227"/>
      <c r="X636" s="227"/>
      <c r="Y636" s="227" t="s">
        <v>5068</v>
      </c>
      <c r="Z636" s="227" t="str">
        <f>P636</f>
        <v>Dusun Krajan Sumbersekar</v>
      </c>
      <c r="AA636" s="276">
        <f>VLOOKUP(Logfile_S[[#This Row],[DO number]],DO_DB!G:I,3,0)</f>
        <v>45526</v>
      </c>
      <c r="AB636" s="331" t="b">
        <f>EXACT(Logfile_S[[#This Row],[date pick]],Logfile_S[[#This Row],[Date]])</f>
        <v>1</v>
      </c>
      <c r="AC6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48C-2024822-01</v>
      </c>
    </row>
    <row r="637" spans="1:29" ht="14.5">
      <c r="A637" s="220" t="str">
        <f>TEXT(ROW(A637)-ROW($A$4),"000")</f>
        <v>633</v>
      </c>
      <c r="B637" s="221"/>
      <c r="C637" s="221" t="s">
        <v>49</v>
      </c>
      <c r="D637" s="221" t="s">
        <v>4167</v>
      </c>
      <c r="E637" s="221" t="s">
        <v>3295</v>
      </c>
      <c r="F637" s="221" t="s">
        <v>3299</v>
      </c>
      <c r="G637" s="222">
        <v>45526</v>
      </c>
      <c r="H637" s="223">
        <v>0.45763888888888887</v>
      </c>
      <c r="I637" s="221" t="s">
        <v>4916</v>
      </c>
      <c r="J637" s="221" t="s">
        <v>3023</v>
      </c>
      <c r="K637" s="224" t="s">
        <v>3069</v>
      </c>
      <c r="L637" s="225" t="str">
        <f>VLOOKUP(Logfile_S[[#This Row],[Material Name]],Sheet2!B:C,2,0)</f>
        <v>ZTE1001</v>
      </c>
      <c r="M637" s="225" t="str">
        <f>_xlfn.XLOOKUP(Logfile_S[[#This Row],[Material Name]],Sum_WH!E:E,Sum_WH!F:F,"",0)</f>
        <v>Pcs</v>
      </c>
      <c r="N637" s="221">
        <v>24</v>
      </c>
      <c r="O637" s="221" t="s">
        <v>1929</v>
      </c>
      <c r="P637" s="221" t="s">
        <v>1930</v>
      </c>
      <c r="Q637" s="221"/>
      <c r="R637" s="221"/>
      <c r="S637" s="221"/>
      <c r="T637" s="221" t="s">
        <v>3244</v>
      </c>
      <c r="U637" s="221">
        <v>0</v>
      </c>
      <c r="V637" s="221" t="s">
        <v>3248</v>
      </c>
      <c r="W637" s="221" t="s">
        <v>3252</v>
      </c>
      <c r="X637" s="221"/>
      <c r="Y637" s="227"/>
      <c r="Z637" s="227" t="str">
        <f>P637</f>
        <v>Dusun Krajan Sumbersekar</v>
      </c>
      <c r="AA637" s="276" t="e">
        <f>VLOOKUP(Logfile_S[[#This Row],[DO number]],DO_DB!G:I,3,0)</f>
        <v>#N/A</v>
      </c>
      <c r="AB637" s="331" t="e">
        <f>EXACT(Logfile_S[[#This Row],[date pick]],Logfile_S[[#This Row],[Date]])</f>
        <v>#N/A</v>
      </c>
      <c r="AC6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38" spans="1:29" ht="14.5">
      <c r="A638" s="220" t="str">
        <f>TEXT(ROW(A638)-ROW($A$4),"000")</f>
        <v>634</v>
      </c>
      <c r="B638" s="221"/>
      <c r="C638" s="221" t="s">
        <v>49</v>
      </c>
      <c r="D638" s="221" t="s">
        <v>4172</v>
      </c>
      <c r="E638" s="221" t="s">
        <v>3295</v>
      </c>
      <c r="F638" s="221" t="s">
        <v>3299</v>
      </c>
      <c r="G638" s="222">
        <v>45527</v>
      </c>
      <c r="H638" s="223">
        <v>0.30763888888888891</v>
      </c>
      <c r="I638" s="221" t="s">
        <v>4916</v>
      </c>
      <c r="J638" s="221" t="s">
        <v>3023</v>
      </c>
      <c r="K638" s="224" t="s">
        <v>3069</v>
      </c>
      <c r="L638" s="225" t="str">
        <f>VLOOKUP(Logfile_S[[#This Row],[Material Name]],Sheet2!B:C,2,0)</f>
        <v>ZTE1001</v>
      </c>
      <c r="M638" s="225" t="str">
        <f>_xlfn.XLOOKUP(Logfile_S[[#This Row],[Material Name]],Sum_WH!E:E,Sum_WH!F:F,"",0)</f>
        <v>Pcs</v>
      </c>
      <c r="N638" s="221">
        <v>21</v>
      </c>
      <c r="O638" s="221" t="s">
        <v>1929</v>
      </c>
      <c r="P638" s="221" t="s">
        <v>1930</v>
      </c>
      <c r="Q638" s="221"/>
      <c r="R638" s="221"/>
      <c r="S638" s="221"/>
      <c r="T638" s="221" t="s">
        <v>3244</v>
      </c>
      <c r="U638" s="221">
        <v>0</v>
      </c>
      <c r="V638" s="221" t="s">
        <v>3248</v>
      </c>
      <c r="W638" s="221" t="s">
        <v>3252</v>
      </c>
      <c r="X638" s="221"/>
      <c r="Y638" s="227"/>
      <c r="Z638" s="227" t="str">
        <f>P638</f>
        <v>Dusun Krajan Sumbersekar</v>
      </c>
      <c r="AA638" s="276" t="e">
        <f>VLOOKUP(Logfile_S[[#This Row],[DO number]],DO_DB!G:I,3,0)</f>
        <v>#N/A</v>
      </c>
      <c r="AB638" s="331" t="e">
        <f>EXACT(Logfile_S[[#This Row],[date pick]],Logfile_S[[#This Row],[Date]])</f>
        <v>#N/A</v>
      </c>
      <c r="AC6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39" spans="1:29" ht="14.5">
      <c r="A639" s="220" t="str">
        <f>TEXT(ROW(A639)-ROW($A$4),"000")</f>
        <v>635</v>
      </c>
      <c r="B639" s="221"/>
      <c r="C639" s="221" t="s">
        <v>49</v>
      </c>
      <c r="D639" s="221" t="s">
        <v>4177</v>
      </c>
      <c r="E639" s="221" t="s">
        <v>3295</v>
      </c>
      <c r="F639" s="221" t="s">
        <v>3299</v>
      </c>
      <c r="G639" s="222">
        <v>45531</v>
      </c>
      <c r="H639" s="223">
        <v>0.40069444444444446</v>
      </c>
      <c r="I639" s="221" t="s">
        <v>4916</v>
      </c>
      <c r="J639" s="221" t="s">
        <v>3023</v>
      </c>
      <c r="K639" s="224" t="s">
        <v>3069</v>
      </c>
      <c r="L639" s="225" t="str">
        <f>VLOOKUP(Logfile_S[[#This Row],[Material Name]],Sheet2!B:C,2,0)</f>
        <v>ZTE1001</v>
      </c>
      <c r="M639" s="225" t="str">
        <f>_xlfn.XLOOKUP(Logfile_S[[#This Row],[Material Name]],Sum_WH!E:E,Sum_WH!F:F,"",0)</f>
        <v>Pcs</v>
      </c>
      <c r="N639" s="221">
        <v>21</v>
      </c>
      <c r="O639" s="221" t="s">
        <v>1929</v>
      </c>
      <c r="P639" s="221" t="s">
        <v>1930</v>
      </c>
      <c r="Q639" s="221"/>
      <c r="R639" s="221"/>
      <c r="S639" s="221"/>
      <c r="T639" s="221" t="s">
        <v>3244</v>
      </c>
      <c r="U639" s="221">
        <v>0</v>
      </c>
      <c r="V639" s="221" t="s">
        <v>3248</v>
      </c>
      <c r="W639" s="221" t="s">
        <v>3252</v>
      </c>
      <c r="X639" s="221"/>
      <c r="Y639" s="227"/>
      <c r="Z639" s="227" t="str">
        <f>P639</f>
        <v>Dusun Krajan Sumbersekar</v>
      </c>
      <c r="AA639" s="276" t="e">
        <f>VLOOKUP(Logfile_S[[#This Row],[DO number]],DO_DB!G:I,3,0)</f>
        <v>#N/A</v>
      </c>
      <c r="AB639" s="331" t="e">
        <f>EXACT(Logfile_S[[#This Row],[date pick]],Logfile_S[[#This Row],[Date]])</f>
        <v>#N/A</v>
      </c>
      <c r="AC6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40" spans="1:29" ht="14.5">
      <c r="A640" s="220" t="str">
        <f>TEXT(ROW(A640)-ROW($A$4),"000")</f>
        <v>636</v>
      </c>
      <c r="B640" s="221"/>
      <c r="C640" s="221" t="s">
        <v>49</v>
      </c>
      <c r="D640" s="221" t="s">
        <v>4182</v>
      </c>
      <c r="E640" s="221" t="s">
        <v>3295</v>
      </c>
      <c r="F640" s="221" t="s">
        <v>3299</v>
      </c>
      <c r="G640" s="222">
        <v>45532</v>
      </c>
      <c r="H640" s="223">
        <v>0.35208333333333336</v>
      </c>
      <c r="I640" s="221" t="s">
        <v>4916</v>
      </c>
      <c r="J640" s="221" t="s">
        <v>3023</v>
      </c>
      <c r="K640" s="224" t="s">
        <v>3070</v>
      </c>
      <c r="L640" s="225" t="str">
        <f>VLOOKUP(Logfile_S[[#This Row],[Material Name]],Sheet2!B:C,2,0)</f>
        <v>ZTE1002</v>
      </c>
      <c r="M640" s="225" t="str">
        <f>_xlfn.XLOOKUP(Logfile_S[[#This Row],[Material Name]],Sum_WH!E:E,Sum_WH!F:F,"",0)</f>
        <v>Pcs</v>
      </c>
      <c r="N640" s="221">
        <v>4</v>
      </c>
      <c r="O640" s="221" t="s">
        <v>1929</v>
      </c>
      <c r="P640" s="221" t="s">
        <v>1930</v>
      </c>
      <c r="Q640" s="221"/>
      <c r="R640" s="221"/>
      <c r="S640" s="221"/>
      <c r="T640" s="221" t="s">
        <v>3244</v>
      </c>
      <c r="U640" s="221">
        <v>0</v>
      </c>
      <c r="V640" s="221" t="s">
        <v>3248</v>
      </c>
      <c r="W640" s="221" t="s">
        <v>3252</v>
      </c>
      <c r="X640" s="221"/>
      <c r="Y640" s="227"/>
      <c r="Z640" s="227" t="str">
        <f>P640</f>
        <v>Dusun Krajan Sumbersekar</v>
      </c>
      <c r="AA640" s="276" t="e">
        <f>VLOOKUP(Logfile_S[[#This Row],[DO number]],DO_DB!G:I,3,0)</f>
        <v>#N/A</v>
      </c>
      <c r="AB640" s="331" t="e">
        <f>EXACT(Logfile_S[[#This Row],[date pick]],Logfile_S[[#This Row],[Date]])</f>
        <v>#N/A</v>
      </c>
      <c r="AC6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41" spans="1:29" ht="14.5">
      <c r="A641" s="220" t="str">
        <f>TEXT(ROW(A641)-ROW($A$4),"000")</f>
        <v>637</v>
      </c>
      <c r="B641" s="221"/>
      <c r="C641" s="221" t="s">
        <v>49</v>
      </c>
      <c r="D641" s="221" t="s">
        <v>4187</v>
      </c>
      <c r="E641" s="221" t="s">
        <v>3295</v>
      </c>
      <c r="F641" s="221" t="s">
        <v>3299</v>
      </c>
      <c r="G641" s="222">
        <v>45533</v>
      </c>
      <c r="H641" s="223">
        <v>0.34652777777777777</v>
      </c>
      <c r="I641" s="221" t="s">
        <v>4916</v>
      </c>
      <c r="J641" s="221" t="s">
        <v>3023</v>
      </c>
      <c r="K641" s="224" t="s">
        <v>3075</v>
      </c>
      <c r="L641" s="225" t="str">
        <f>VLOOKUP(Logfile_S[[#This Row],[Material Name]],Sheet2!B:C,2,0)</f>
        <v>ZTE2003</v>
      </c>
      <c r="M641" s="225" t="str">
        <f>_xlfn.XLOOKUP(Logfile_S[[#This Row],[Material Name]],Sum_WH!E:E,Sum_WH!F:F,"",0)</f>
        <v>Meter</v>
      </c>
      <c r="N641" s="221">
        <v>3000</v>
      </c>
      <c r="O641" s="221" t="s">
        <v>1929</v>
      </c>
      <c r="P641" s="221" t="s">
        <v>1930</v>
      </c>
      <c r="Q641" s="221"/>
      <c r="R641" s="221"/>
      <c r="S641" s="221"/>
      <c r="T641" s="221" t="s">
        <v>3244</v>
      </c>
      <c r="U641" s="221" t="s">
        <v>3228</v>
      </c>
      <c r="V641" s="221" t="s">
        <v>3248</v>
      </c>
      <c r="W641" s="221" t="s">
        <v>3252</v>
      </c>
      <c r="X641" s="221" t="s">
        <v>3565</v>
      </c>
      <c r="Y641" s="227"/>
      <c r="Z641" s="227" t="str">
        <f>P641</f>
        <v>Dusun Krajan Sumbersekar</v>
      </c>
      <c r="AA641" s="276" t="e">
        <f>VLOOKUP(Logfile_S[[#This Row],[DO number]],DO_DB!G:I,3,0)</f>
        <v>#N/A</v>
      </c>
      <c r="AB641" s="331" t="e">
        <f>EXACT(Logfile_S[[#This Row],[date pick]],Logfile_S[[#This Row],[Date]])</f>
        <v>#N/A</v>
      </c>
      <c r="AC6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42" spans="1:29" ht="14.5">
      <c r="A642" s="220" t="str">
        <f>TEXT(ROW(A642)-ROW($A$4),"000")</f>
        <v>638</v>
      </c>
      <c r="B642" s="221"/>
      <c r="C642" s="221" t="s">
        <v>49</v>
      </c>
      <c r="D642" s="221" t="s">
        <v>4187</v>
      </c>
      <c r="E642" s="221" t="s">
        <v>3295</v>
      </c>
      <c r="F642" s="221" t="s">
        <v>3299</v>
      </c>
      <c r="G642" s="222">
        <v>45533</v>
      </c>
      <c r="H642" s="223">
        <v>0.34652777777777777</v>
      </c>
      <c r="I642" s="221" t="s">
        <v>4916</v>
      </c>
      <c r="J642" s="221" t="s">
        <v>3024</v>
      </c>
      <c r="K642" s="224" t="s">
        <v>3091</v>
      </c>
      <c r="L642" s="225" t="str">
        <f>VLOOKUP(Logfile_S[[#This Row],[Material Name]],Sheet2!B:C,2,0)</f>
        <v>GCI1005</v>
      </c>
      <c r="M642" s="225" t="str">
        <f>_xlfn.XLOOKUP(Logfile_S[[#This Row],[Material Name]],Sum_WH!E:E,Sum_WH!F:F,"",0)</f>
        <v>Pcs</v>
      </c>
      <c r="N642" s="221">
        <v>40</v>
      </c>
      <c r="O642" s="221" t="s">
        <v>1929</v>
      </c>
      <c r="P642" s="221" t="s">
        <v>1930</v>
      </c>
      <c r="Q642" s="221"/>
      <c r="R642" s="221"/>
      <c r="S642" s="221"/>
      <c r="T642" s="221" t="s">
        <v>3244</v>
      </c>
      <c r="U642" s="221">
        <v>0</v>
      </c>
      <c r="V642" s="221" t="s">
        <v>3248</v>
      </c>
      <c r="W642" s="221" t="s">
        <v>3252</v>
      </c>
      <c r="X642" s="221"/>
      <c r="Y642" s="227"/>
      <c r="Z642" s="227" t="str">
        <f>P642</f>
        <v>Dusun Krajan Sumbersekar</v>
      </c>
      <c r="AA642" s="276" t="e">
        <f>VLOOKUP(Logfile_S[[#This Row],[DO number]],DO_DB!G:I,3,0)</f>
        <v>#N/A</v>
      </c>
      <c r="AB642" s="331" t="e">
        <f>EXACT(Logfile_S[[#This Row],[date pick]],Logfile_S[[#This Row],[Date]])</f>
        <v>#N/A</v>
      </c>
      <c r="AC6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43" spans="1:29" ht="14.5">
      <c r="A643" s="220" t="str">
        <f>TEXT(ROW(A643)-ROW($A$4),"000")</f>
        <v>639</v>
      </c>
      <c r="B643" s="221"/>
      <c r="C643" s="221" t="s">
        <v>49</v>
      </c>
      <c r="D643" s="221" t="s">
        <v>4187</v>
      </c>
      <c r="E643" s="221" t="s">
        <v>3295</v>
      </c>
      <c r="F643" s="221" t="s">
        <v>3299</v>
      </c>
      <c r="G643" s="222">
        <v>45533</v>
      </c>
      <c r="H643" s="223">
        <v>0.34652777777777777</v>
      </c>
      <c r="I643" s="221" t="s">
        <v>4916</v>
      </c>
      <c r="J643" s="221" t="s">
        <v>3023</v>
      </c>
      <c r="K643" s="224" t="s">
        <v>3070</v>
      </c>
      <c r="L643" s="225" t="str">
        <f>VLOOKUP(Logfile_S[[#This Row],[Material Name]],Sheet2!B:C,2,0)</f>
        <v>ZTE1002</v>
      </c>
      <c r="M643" s="225" t="str">
        <f>_xlfn.XLOOKUP(Logfile_S[[#This Row],[Material Name]],Sum_WH!E:E,Sum_WH!F:F,"",0)</f>
        <v>Pcs</v>
      </c>
      <c r="N643" s="221">
        <v>2</v>
      </c>
      <c r="O643" s="221" t="s">
        <v>1929</v>
      </c>
      <c r="P643" s="221" t="s">
        <v>1930</v>
      </c>
      <c r="Q643" s="221"/>
      <c r="R643" s="221"/>
      <c r="S643" s="221"/>
      <c r="T643" s="221" t="s">
        <v>3244</v>
      </c>
      <c r="U643" s="221">
        <v>0</v>
      </c>
      <c r="V643" s="221" t="s">
        <v>3248</v>
      </c>
      <c r="W643" s="221" t="s">
        <v>3252</v>
      </c>
      <c r="X643" s="221"/>
      <c r="Y643" s="227"/>
      <c r="Z643" s="227" t="str">
        <f>P643</f>
        <v>Dusun Krajan Sumbersekar</v>
      </c>
      <c r="AA643" s="276" t="e">
        <f>VLOOKUP(Logfile_S[[#This Row],[DO number]],DO_DB!G:I,3,0)</f>
        <v>#N/A</v>
      </c>
      <c r="AB643" s="331" t="e">
        <f>EXACT(Logfile_S[[#This Row],[date pick]],Logfile_S[[#This Row],[Date]])</f>
        <v>#N/A</v>
      </c>
      <c r="AC6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44" spans="1:29" ht="14.5">
      <c r="A644" s="220" t="str">
        <f>TEXT(ROW(A644)-ROW($A$4),"000")</f>
        <v>640</v>
      </c>
      <c r="B644" s="221"/>
      <c r="C644" s="221" t="s">
        <v>49</v>
      </c>
      <c r="D644" s="221" t="s">
        <v>4187</v>
      </c>
      <c r="E644" s="221" t="s">
        <v>3295</v>
      </c>
      <c r="F644" s="221" t="s">
        <v>3299</v>
      </c>
      <c r="G644" s="222">
        <v>45533</v>
      </c>
      <c r="H644" s="223">
        <v>0.34652777777777777</v>
      </c>
      <c r="I644" s="221" t="s">
        <v>4916</v>
      </c>
      <c r="J644" s="221" t="s">
        <v>3023</v>
      </c>
      <c r="K644" s="224" t="s">
        <v>3071</v>
      </c>
      <c r="L644" s="225" t="str">
        <f>VLOOKUP(Logfile_S[[#This Row],[Material Name]],Sheet2!B:C,2,0)</f>
        <v>ZTE1003</v>
      </c>
      <c r="M644" s="225" t="str">
        <f>_xlfn.XLOOKUP(Logfile_S[[#This Row],[Material Name]],Sum_WH!E:E,Sum_WH!F:F,"",0)</f>
        <v>Pcs</v>
      </c>
      <c r="N644" s="221">
        <v>1</v>
      </c>
      <c r="O644" s="221" t="s">
        <v>1929</v>
      </c>
      <c r="P644" s="221" t="s">
        <v>1930</v>
      </c>
      <c r="Q644" s="221"/>
      <c r="R644" s="221"/>
      <c r="S644" s="221"/>
      <c r="T644" s="221" t="s">
        <v>3244</v>
      </c>
      <c r="U644" s="221">
        <v>0</v>
      </c>
      <c r="V644" s="221" t="s">
        <v>3248</v>
      </c>
      <c r="W644" s="221" t="s">
        <v>3252</v>
      </c>
      <c r="X644" s="221"/>
      <c r="Y644" s="227"/>
      <c r="Z644" s="227" t="str">
        <f>P644</f>
        <v>Dusun Krajan Sumbersekar</v>
      </c>
      <c r="AA644" s="276" t="e">
        <f>VLOOKUP(Logfile_S[[#This Row],[DO number]],DO_DB!G:I,3,0)</f>
        <v>#N/A</v>
      </c>
      <c r="AB644" s="331" t="e">
        <f>EXACT(Logfile_S[[#This Row],[date pick]],Logfile_S[[#This Row],[Date]])</f>
        <v>#N/A</v>
      </c>
      <c r="AC6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45" spans="1:29" ht="14.5">
      <c r="A645" s="220" t="str">
        <f>TEXT(ROW(A645)-ROW($A$4),"000")</f>
        <v>641</v>
      </c>
      <c r="B645" s="221"/>
      <c r="C645" s="221" t="s">
        <v>49</v>
      </c>
      <c r="D645" s="221" t="s">
        <v>4187</v>
      </c>
      <c r="E645" s="221" t="s">
        <v>3295</v>
      </c>
      <c r="F645" s="221" t="s">
        <v>3299</v>
      </c>
      <c r="G645" s="222">
        <v>45533</v>
      </c>
      <c r="H645" s="223">
        <v>0.34652777777777777</v>
      </c>
      <c r="I645" s="221" t="s">
        <v>4916</v>
      </c>
      <c r="J645" s="221" t="s">
        <v>3024</v>
      </c>
      <c r="K645" s="224" t="s">
        <v>3094</v>
      </c>
      <c r="L645" s="225" t="str">
        <f>VLOOKUP(Logfile_S[[#This Row],[Material Name]],Sheet2!B:C,2,0)</f>
        <v>GCI1008</v>
      </c>
      <c r="M645" s="225" t="str">
        <f>_xlfn.XLOOKUP(Logfile_S[[#This Row],[Material Name]],Sum_WH!E:E,Sum_WH!F:F,"",0)</f>
        <v>Pcs</v>
      </c>
      <c r="N645" s="221">
        <v>50</v>
      </c>
      <c r="O645" s="221" t="s">
        <v>1929</v>
      </c>
      <c r="P645" s="221" t="s">
        <v>1930</v>
      </c>
      <c r="Q645" s="221"/>
      <c r="R645" s="221"/>
      <c r="S645" s="221"/>
      <c r="T645" s="221" t="s">
        <v>3244</v>
      </c>
      <c r="U645" s="221">
        <v>0</v>
      </c>
      <c r="V645" s="221" t="s">
        <v>3248</v>
      </c>
      <c r="W645" s="221" t="s">
        <v>3252</v>
      </c>
      <c r="X645" s="221"/>
      <c r="Y645" s="227"/>
      <c r="Z645" s="227" t="str">
        <f>P645</f>
        <v>Dusun Krajan Sumbersekar</v>
      </c>
      <c r="AA645" s="276" t="e">
        <f>VLOOKUP(Logfile_S[[#This Row],[DO number]],DO_DB!G:I,3,0)</f>
        <v>#N/A</v>
      </c>
      <c r="AB645" s="331" t="e">
        <f>EXACT(Logfile_S[[#This Row],[date pick]],Logfile_S[[#This Row],[Date]])</f>
        <v>#N/A</v>
      </c>
      <c r="AC6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46" spans="1:29" ht="14.5">
      <c r="A646" s="220" t="str">
        <f>TEXT(ROW(A646)-ROW($A$4),"000")</f>
        <v>642</v>
      </c>
      <c r="B646" s="221"/>
      <c r="C646" s="221" t="s">
        <v>49</v>
      </c>
      <c r="D646" s="221" t="s">
        <v>4187</v>
      </c>
      <c r="E646" s="221" t="s">
        <v>3295</v>
      </c>
      <c r="F646" s="221" t="s">
        <v>3299</v>
      </c>
      <c r="G646" s="222">
        <v>45533</v>
      </c>
      <c r="H646" s="223">
        <v>0.34652777777777777</v>
      </c>
      <c r="I646" s="221" t="s">
        <v>4916</v>
      </c>
      <c r="J646" s="221" t="s">
        <v>3024</v>
      </c>
      <c r="K646" s="224" t="s">
        <v>3089</v>
      </c>
      <c r="L646" s="225" t="str">
        <f>VLOOKUP(Logfile_S[[#This Row],[Material Name]],Sheet2!B:C,2,0)</f>
        <v>GCI1003</v>
      </c>
      <c r="M646" s="225" t="str">
        <f>_xlfn.XLOOKUP(Logfile_S[[#This Row],[Material Name]],Sum_WH!E:E,Sum_WH!F:F,"",0)</f>
        <v>Pcs</v>
      </c>
      <c r="N646" s="221">
        <v>100</v>
      </c>
      <c r="O646" s="221" t="s">
        <v>1929</v>
      </c>
      <c r="P646" s="221" t="s">
        <v>1930</v>
      </c>
      <c r="Q646" s="221"/>
      <c r="R646" s="221"/>
      <c r="S646" s="221"/>
      <c r="T646" s="221" t="s">
        <v>3244</v>
      </c>
      <c r="U646" s="221">
        <v>0</v>
      </c>
      <c r="V646" s="221" t="s">
        <v>3248</v>
      </c>
      <c r="W646" s="221" t="s">
        <v>3252</v>
      </c>
      <c r="X646" s="221"/>
      <c r="Y646" s="227"/>
      <c r="Z646" s="227" t="str">
        <f>P646</f>
        <v>Dusun Krajan Sumbersekar</v>
      </c>
      <c r="AA646" s="276" t="e">
        <f>VLOOKUP(Logfile_S[[#This Row],[DO number]],DO_DB!G:I,3,0)</f>
        <v>#N/A</v>
      </c>
      <c r="AB646" s="331" t="e">
        <f>EXACT(Logfile_S[[#This Row],[date pick]],Logfile_S[[#This Row],[Date]])</f>
        <v>#N/A</v>
      </c>
      <c r="AC6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47" spans="1:29" ht="14.5">
      <c r="A647" s="220" t="str">
        <f>TEXT(ROW(A647)-ROW($A$4),"000")</f>
        <v>643</v>
      </c>
      <c r="B647" s="221"/>
      <c r="C647" s="221" t="s">
        <v>49</v>
      </c>
      <c r="D647" s="221" t="s">
        <v>4187</v>
      </c>
      <c r="E647" s="221" t="s">
        <v>3295</v>
      </c>
      <c r="F647" s="221" t="s">
        <v>3299</v>
      </c>
      <c r="G647" s="222">
        <v>45533</v>
      </c>
      <c r="H647" s="223">
        <v>0.34652777777777777</v>
      </c>
      <c r="I647" s="221" t="s">
        <v>4916</v>
      </c>
      <c r="J647" s="221" t="s">
        <v>3024</v>
      </c>
      <c r="K647" s="224" t="s">
        <v>3090</v>
      </c>
      <c r="L647" s="225" t="str">
        <f>VLOOKUP(Logfile_S[[#This Row],[Material Name]],Sheet2!B:C,2,0)</f>
        <v>GCI1004</v>
      </c>
      <c r="M647" s="225" t="str">
        <f>_xlfn.XLOOKUP(Logfile_S[[#This Row],[Material Name]],Sum_WH!E:E,Sum_WH!F:F,"",0)</f>
        <v>Pcs</v>
      </c>
      <c r="N647" s="221">
        <v>50</v>
      </c>
      <c r="O647" s="221" t="s">
        <v>1929</v>
      </c>
      <c r="P647" s="221" t="s">
        <v>1930</v>
      </c>
      <c r="Q647" s="221"/>
      <c r="R647" s="221"/>
      <c r="S647" s="221"/>
      <c r="T647" s="221" t="s">
        <v>3244</v>
      </c>
      <c r="U647" s="221">
        <v>0</v>
      </c>
      <c r="V647" s="221" t="s">
        <v>3248</v>
      </c>
      <c r="W647" s="221" t="s">
        <v>3252</v>
      </c>
      <c r="X647" s="221"/>
      <c r="Y647" s="227"/>
      <c r="Z647" s="227" t="str">
        <f>P647</f>
        <v>Dusun Krajan Sumbersekar</v>
      </c>
      <c r="AA647" s="276" t="e">
        <f>VLOOKUP(Logfile_S[[#This Row],[DO number]],DO_DB!G:I,3,0)</f>
        <v>#N/A</v>
      </c>
      <c r="AB647" s="331" t="e">
        <f>EXACT(Logfile_S[[#This Row],[date pick]],Logfile_S[[#This Row],[Date]])</f>
        <v>#N/A</v>
      </c>
      <c r="AC6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48" spans="1:29" ht="14.5">
      <c r="A648" s="220" t="str">
        <f>TEXT(ROW(A648)-ROW($A$4),"000")</f>
        <v>644</v>
      </c>
      <c r="B648" s="221"/>
      <c r="C648" s="221" t="s">
        <v>49</v>
      </c>
      <c r="D648" s="221" t="s">
        <v>4189</v>
      </c>
      <c r="E648" s="221" t="s">
        <v>3295</v>
      </c>
      <c r="F648" s="221" t="s">
        <v>3299</v>
      </c>
      <c r="G648" s="222">
        <v>45534</v>
      </c>
      <c r="H648" s="223">
        <v>0.61527777777777781</v>
      </c>
      <c r="I648" s="221" t="s">
        <v>4916</v>
      </c>
      <c r="J648" s="221" t="s">
        <v>3024</v>
      </c>
      <c r="K648" s="224" t="s">
        <v>3087</v>
      </c>
      <c r="L648" s="225" t="str">
        <f>VLOOKUP(Logfile_S[[#This Row],[Material Name]],Sheet2!B:C,2,0)</f>
        <v>GCI1001</v>
      </c>
      <c r="M648" s="225" t="str">
        <f>_xlfn.XLOOKUP(Logfile_S[[#This Row],[Material Name]],Sum_WH!E:E,Sum_WH!F:F,"",0)</f>
        <v>Pcs</v>
      </c>
      <c r="N648" s="221">
        <v>40</v>
      </c>
      <c r="O648" s="221" t="s">
        <v>1929</v>
      </c>
      <c r="P648" s="221" t="s">
        <v>1930</v>
      </c>
      <c r="Q648" s="221"/>
      <c r="R648" s="221"/>
      <c r="S648" s="221"/>
      <c r="T648" s="221" t="s">
        <v>3244</v>
      </c>
      <c r="U648" s="221">
        <v>0</v>
      </c>
      <c r="V648" s="221" t="s">
        <v>3248</v>
      </c>
      <c r="W648" s="221" t="s">
        <v>3252</v>
      </c>
      <c r="X648" s="221"/>
      <c r="Y648" s="227"/>
      <c r="Z648" s="227" t="str">
        <f>P648</f>
        <v>Dusun Krajan Sumbersekar</v>
      </c>
      <c r="AA648" s="276" t="e">
        <f>VLOOKUP(Logfile_S[[#This Row],[DO number]],DO_DB!G:I,3,0)</f>
        <v>#N/A</v>
      </c>
      <c r="AB648" s="331" t="e">
        <f>EXACT(Logfile_S[[#This Row],[date pick]],Logfile_S[[#This Row],[Date]])</f>
        <v>#N/A</v>
      </c>
      <c r="AC6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49" spans="1:29" ht="14.5">
      <c r="A649" s="220" t="str">
        <f>TEXT(ROW(A649)-ROW($A$4),"000")</f>
        <v>645</v>
      </c>
      <c r="B649" s="221"/>
      <c r="C649" s="221" t="s">
        <v>49</v>
      </c>
      <c r="D649" s="221" t="s">
        <v>4189</v>
      </c>
      <c r="E649" s="221" t="s">
        <v>3295</v>
      </c>
      <c r="F649" s="221" t="s">
        <v>3299</v>
      </c>
      <c r="G649" s="222">
        <v>45534</v>
      </c>
      <c r="H649" s="223">
        <v>0.61527777777777781</v>
      </c>
      <c r="I649" s="221" t="s">
        <v>4916</v>
      </c>
      <c r="J649" s="221" t="s">
        <v>3023</v>
      </c>
      <c r="K649" s="224" t="s">
        <v>3069</v>
      </c>
      <c r="L649" s="225" t="str">
        <f>VLOOKUP(Logfile_S[[#This Row],[Material Name]],Sheet2!B:C,2,0)</f>
        <v>ZTE1001</v>
      </c>
      <c r="M649" s="225" t="str">
        <f>_xlfn.XLOOKUP(Logfile_S[[#This Row],[Material Name]],Sum_WH!E:E,Sum_WH!F:F,"",0)</f>
        <v>Pcs</v>
      </c>
      <c r="N649" s="221">
        <v>21</v>
      </c>
      <c r="O649" s="221" t="s">
        <v>1929</v>
      </c>
      <c r="P649" s="221" t="s">
        <v>1930</v>
      </c>
      <c r="Q649" s="221"/>
      <c r="R649" s="221"/>
      <c r="S649" s="221"/>
      <c r="T649" s="221" t="s">
        <v>3244</v>
      </c>
      <c r="U649" s="221">
        <v>0</v>
      </c>
      <c r="V649" s="221" t="s">
        <v>3248</v>
      </c>
      <c r="W649" s="221" t="s">
        <v>3252</v>
      </c>
      <c r="X649" s="221"/>
      <c r="Y649" s="227"/>
      <c r="Z649" s="227" t="str">
        <f>P649</f>
        <v>Dusun Krajan Sumbersekar</v>
      </c>
      <c r="AA649" s="276" t="e">
        <f>VLOOKUP(Logfile_S[[#This Row],[DO number]],DO_DB!G:I,3,0)</f>
        <v>#N/A</v>
      </c>
      <c r="AB649" s="331" t="e">
        <f>EXACT(Logfile_S[[#This Row],[date pick]],Logfile_S[[#This Row],[Date]])</f>
        <v>#N/A</v>
      </c>
      <c r="AC6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50" spans="1:29" ht="14.5">
      <c r="A650" s="220" t="str">
        <f>TEXT(ROW(A650)-ROW($A$4),"000")</f>
        <v>646</v>
      </c>
      <c r="B650" s="221"/>
      <c r="C650" s="221" t="s">
        <v>49</v>
      </c>
      <c r="D650" s="221" t="s">
        <v>4193</v>
      </c>
      <c r="E650" s="221" t="s">
        <v>3295</v>
      </c>
      <c r="F650" s="221" t="s">
        <v>3299</v>
      </c>
      <c r="G650" s="222">
        <v>45535</v>
      </c>
      <c r="H650" s="223">
        <v>0.52083333333333337</v>
      </c>
      <c r="I650" s="221" t="s">
        <v>4916</v>
      </c>
      <c r="J650" s="221" t="s">
        <v>3024</v>
      </c>
      <c r="K650" s="224" t="s">
        <v>3087</v>
      </c>
      <c r="L650" s="225" t="str">
        <f>VLOOKUP(Logfile_S[[#This Row],[Material Name]],Sheet2!B:C,2,0)</f>
        <v>GCI1001</v>
      </c>
      <c r="M650" s="225" t="str">
        <f>_xlfn.XLOOKUP(Logfile_S[[#This Row],[Material Name]],Sum_WH!E:E,Sum_WH!F:F,"",0)</f>
        <v>Pcs</v>
      </c>
      <c r="N650" s="221">
        <v>2</v>
      </c>
      <c r="O650" s="221" t="s">
        <v>1929</v>
      </c>
      <c r="P650" s="221" t="s">
        <v>1930</v>
      </c>
      <c r="Q650" s="221"/>
      <c r="R650" s="221"/>
      <c r="S650" s="221"/>
      <c r="T650" s="221" t="s">
        <v>3244</v>
      </c>
      <c r="U650" s="221">
        <v>0</v>
      </c>
      <c r="V650" s="221" t="s">
        <v>3248</v>
      </c>
      <c r="W650" s="221" t="s">
        <v>3252</v>
      </c>
      <c r="X650" s="221"/>
      <c r="Y650" s="227"/>
      <c r="Z650" s="227" t="str">
        <f>P650</f>
        <v>Dusun Krajan Sumbersekar</v>
      </c>
      <c r="AA650" s="276" t="e">
        <f>VLOOKUP(Logfile_S[[#This Row],[DO number]],DO_DB!G:I,3,0)</f>
        <v>#N/A</v>
      </c>
      <c r="AB650" s="331" t="e">
        <f>EXACT(Logfile_S[[#This Row],[date pick]],Logfile_S[[#This Row],[Date]])</f>
        <v>#N/A</v>
      </c>
      <c r="AC6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51" spans="1:29" ht="14.5">
      <c r="A651" s="220" t="str">
        <f>TEXT(ROW(A651)-ROW($A$4),"000")</f>
        <v>647</v>
      </c>
      <c r="B651" s="221"/>
      <c r="C651" s="221" t="s">
        <v>49</v>
      </c>
      <c r="D651" s="221" t="s">
        <v>4193</v>
      </c>
      <c r="E651" s="221" t="s">
        <v>3295</v>
      </c>
      <c r="F651" s="221" t="s">
        <v>3299</v>
      </c>
      <c r="G651" s="222">
        <v>45535</v>
      </c>
      <c r="H651" s="223">
        <v>0.52083333333333337</v>
      </c>
      <c r="I651" s="221" t="s">
        <v>4916</v>
      </c>
      <c r="J651" s="221" t="s">
        <v>3023</v>
      </c>
      <c r="K651" s="224" t="s">
        <v>13</v>
      </c>
      <c r="L651" s="225" t="str">
        <f>VLOOKUP(Logfile_S[[#This Row],[Material Name]],Sheet2!B:C,2,0)</f>
        <v>ZTE2008</v>
      </c>
      <c r="M651" s="225" t="str">
        <f>_xlfn.XLOOKUP(Logfile_S[[#This Row],[Material Name]],Sum_WH!E:E,Sum_WH!F:F,"",0)</f>
        <v>Pcs</v>
      </c>
      <c r="N651" s="221">
        <v>38</v>
      </c>
      <c r="O651" s="221" t="s">
        <v>1929</v>
      </c>
      <c r="P651" s="221" t="s">
        <v>1930</v>
      </c>
      <c r="Q651" s="221"/>
      <c r="R651" s="221"/>
      <c r="S651" s="221"/>
      <c r="T651" s="221" t="s">
        <v>3244</v>
      </c>
      <c r="U651" s="221">
        <v>0</v>
      </c>
      <c r="V651" s="221" t="s">
        <v>3248</v>
      </c>
      <c r="W651" s="221" t="s">
        <v>3252</v>
      </c>
      <c r="X651" s="221"/>
      <c r="Y651" s="227"/>
      <c r="Z651" s="227" t="str">
        <f>P651</f>
        <v>Dusun Krajan Sumbersekar</v>
      </c>
      <c r="AA651" s="276" t="e">
        <f>VLOOKUP(Logfile_S[[#This Row],[DO number]],DO_DB!G:I,3,0)</f>
        <v>#N/A</v>
      </c>
      <c r="AB651" s="331" t="e">
        <f>EXACT(Logfile_S[[#This Row],[date pick]],Logfile_S[[#This Row],[Date]])</f>
        <v>#N/A</v>
      </c>
      <c r="AC6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52" spans="1:29" ht="14.5">
      <c r="A652" s="220" t="str">
        <f>TEXT(ROW(A652)-ROW($A$4),"000")</f>
        <v>648</v>
      </c>
      <c r="B652" s="221"/>
      <c r="C652" s="221" t="s">
        <v>49</v>
      </c>
      <c r="D652" s="221" t="s">
        <v>4193</v>
      </c>
      <c r="E652" s="221" t="s">
        <v>3295</v>
      </c>
      <c r="F652" s="221" t="s">
        <v>3299</v>
      </c>
      <c r="G652" s="222">
        <v>45535</v>
      </c>
      <c r="H652" s="223">
        <v>0.52083333333333337</v>
      </c>
      <c r="I652" s="221" t="s">
        <v>4916</v>
      </c>
      <c r="J652" s="221" t="s">
        <v>3023</v>
      </c>
      <c r="K652" s="224" t="s">
        <v>14</v>
      </c>
      <c r="L652" s="225" t="str">
        <f>VLOOKUP(Logfile_S[[#This Row],[Material Name]],Sheet2!B:C,2,0)</f>
        <v>ZTE2005</v>
      </c>
      <c r="M652" s="225" t="str">
        <f>_xlfn.XLOOKUP(Logfile_S[[#This Row],[Material Name]],Sum_WH!E:E,Sum_WH!F:F,"",0)</f>
        <v>Pcs</v>
      </c>
      <c r="N652" s="221">
        <v>2</v>
      </c>
      <c r="O652" s="221" t="s">
        <v>1929</v>
      </c>
      <c r="P652" s="221" t="s">
        <v>1930</v>
      </c>
      <c r="Q652" s="221"/>
      <c r="R652" s="221"/>
      <c r="S652" s="221"/>
      <c r="T652" s="221" t="s">
        <v>3244</v>
      </c>
      <c r="U652" s="221">
        <v>0</v>
      </c>
      <c r="V652" s="221" t="s">
        <v>3248</v>
      </c>
      <c r="W652" s="221" t="s">
        <v>3252</v>
      </c>
      <c r="X652" s="221"/>
      <c r="Y652" s="227"/>
      <c r="Z652" s="227" t="str">
        <f>P652</f>
        <v>Dusun Krajan Sumbersekar</v>
      </c>
      <c r="AA652" s="276" t="e">
        <f>VLOOKUP(Logfile_S[[#This Row],[DO number]],DO_DB!G:I,3,0)</f>
        <v>#N/A</v>
      </c>
      <c r="AB652" s="331" t="e">
        <f>EXACT(Logfile_S[[#This Row],[date pick]],Logfile_S[[#This Row],[Date]])</f>
        <v>#N/A</v>
      </c>
      <c r="AC6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53" spans="1:29" ht="14.5">
      <c r="A653" s="220" t="str">
        <f>TEXT(ROW(A653)-ROW($A$4),"000")</f>
        <v>649</v>
      </c>
      <c r="B653" s="221"/>
      <c r="C653" s="221" t="s">
        <v>49</v>
      </c>
      <c r="D653" s="221" t="s">
        <v>4194</v>
      </c>
      <c r="E653" s="221" t="s">
        <v>3295</v>
      </c>
      <c r="F653" s="221" t="s">
        <v>3299</v>
      </c>
      <c r="G653" s="222">
        <v>45535</v>
      </c>
      <c r="H653" s="223">
        <v>0.52083333333333337</v>
      </c>
      <c r="I653" s="221" t="s">
        <v>4916</v>
      </c>
      <c r="J653" s="221" t="s">
        <v>3023</v>
      </c>
      <c r="K653" s="224" t="s">
        <v>3072</v>
      </c>
      <c r="L653" s="225" t="str">
        <f>VLOOKUP(Logfile_S[[#This Row],[Material Name]],Sheet2!B:C,2,0)</f>
        <v>ZTE1004</v>
      </c>
      <c r="M653" s="225" t="str">
        <f>_xlfn.XLOOKUP(Logfile_S[[#This Row],[Material Name]],Sum_WH!E:E,Sum_WH!F:F,"",0)</f>
        <v>Pcs</v>
      </c>
      <c r="N653" s="221">
        <v>1</v>
      </c>
      <c r="O653" s="221" t="s">
        <v>1929</v>
      </c>
      <c r="P653" s="221" t="s">
        <v>1930</v>
      </c>
      <c r="Q653" s="221"/>
      <c r="R653" s="221"/>
      <c r="S653" s="221"/>
      <c r="T653" s="221" t="s">
        <v>3231</v>
      </c>
      <c r="U653" s="221">
        <v>0</v>
      </c>
      <c r="V653" s="221" t="s">
        <v>3232</v>
      </c>
      <c r="W653" s="221" t="s">
        <v>3254</v>
      </c>
      <c r="X653" s="221"/>
      <c r="Y653" s="227"/>
      <c r="Z653" s="227" t="str">
        <f>P653</f>
        <v>Dusun Krajan Sumbersekar</v>
      </c>
      <c r="AA653" s="276" t="e">
        <f>VLOOKUP(Logfile_S[[#This Row],[DO number]],DO_DB!G:I,3,0)</f>
        <v>#N/A</v>
      </c>
      <c r="AB653" s="331" t="e">
        <f>EXACT(Logfile_S[[#This Row],[date pick]],Logfile_S[[#This Row],[Date]])</f>
        <v>#N/A</v>
      </c>
      <c r="AC6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54" spans="1:29" ht="14.5">
      <c r="A654" s="220" t="str">
        <f>TEXT(ROW(A654)-ROW($A$4),"000")</f>
        <v>650</v>
      </c>
      <c r="B654" s="221"/>
      <c r="C654" s="221" t="s">
        <v>49</v>
      </c>
      <c r="D654" s="221" t="s">
        <v>4198</v>
      </c>
      <c r="E654" s="221" t="s">
        <v>3295</v>
      </c>
      <c r="F654" s="221" t="s">
        <v>3299</v>
      </c>
      <c r="G654" s="222">
        <v>45537</v>
      </c>
      <c r="H654" s="223">
        <v>0.32847222222222222</v>
      </c>
      <c r="I654" s="221" t="s">
        <v>4916</v>
      </c>
      <c r="J654" s="221" t="s">
        <v>3024</v>
      </c>
      <c r="K654" s="224" t="s">
        <v>3087</v>
      </c>
      <c r="L654" s="225" t="str">
        <f>VLOOKUP(Logfile_S[[#This Row],[Material Name]],Sheet2!B:C,2,0)</f>
        <v>GCI1001</v>
      </c>
      <c r="M654" s="225" t="str">
        <f>_xlfn.XLOOKUP(Logfile_S[[#This Row],[Material Name]],Sum_WH!E:E,Sum_WH!F:F,"",0)</f>
        <v>Pcs</v>
      </c>
      <c r="N654" s="221">
        <v>1</v>
      </c>
      <c r="O654" s="221" t="s">
        <v>1929</v>
      </c>
      <c r="P654" s="221" t="s">
        <v>1930</v>
      </c>
      <c r="Q654" s="221"/>
      <c r="R654" s="221"/>
      <c r="S654" s="221"/>
      <c r="T654" s="221" t="s">
        <v>3244</v>
      </c>
      <c r="U654" s="221">
        <v>0</v>
      </c>
      <c r="V654" s="221" t="s">
        <v>3248</v>
      </c>
      <c r="W654" s="221" t="s">
        <v>3252</v>
      </c>
      <c r="X654" s="221"/>
      <c r="Y654" s="227"/>
      <c r="Z654" s="227" t="str">
        <f>P654</f>
        <v>Dusun Krajan Sumbersekar</v>
      </c>
      <c r="AA654" s="276" t="e">
        <f>VLOOKUP(Logfile_S[[#This Row],[DO number]],DO_DB!G:I,3,0)</f>
        <v>#N/A</v>
      </c>
      <c r="AB654" s="331" t="e">
        <f>EXACT(Logfile_S[[#This Row],[date pick]],Logfile_S[[#This Row],[Date]])</f>
        <v>#N/A</v>
      </c>
      <c r="AC6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55" spans="1:29" ht="14.5">
      <c r="A655" s="220" t="str">
        <f>TEXT(ROW(A655)-ROW($A$4),"000")</f>
        <v>651</v>
      </c>
      <c r="B655" s="221"/>
      <c r="C655" s="221" t="s">
        <v>49</v>
      </c>
      <c r="D655" s="221" t="s">
        <v>4198</v>
      </c>
      <c r="E655" s="221" t="s">
        <v>3295</v>
      </c>
      <c r="F655" s="221" t="s">
        <v>3299</v>
      </c>
      <c r="G655" s="222">
        <v>45537</v>
      </c>
      <c r="H655" s="223">
        <v>0.32847222222222222</v>
      </c>
      <c r="I655" s="221" t="s">
        <v>4916</v>
      </c>
      <c r="J655" s="221" t="s">
        <v>3024</v>
      </c>
      <c r="K655" s="224" t="s">
        <v>3088</v>
      </c>
      <c r="L655" s="225" t="str">
        <f>VLOOKUP(Logfile_S[[#This Row],[Material Name]],Sheet2!B:C,2,0)</f>
        <v>GCI1002</v>
      </c>
      <c r="M655" s="225" t="str">
        <f>_xlfn.XLOOKUP(Logfile_S[[#This Row],[Material Name]],Sum_WH!E:E,Sum_WH!F:F,"",0)</f>
        <v>Pcs</v>
      </c>
      <c r="N655" s="221">
        <v>1</v>
      </c>
      <c r="O655" s="221" t="s">
        <v>1929</v>
      </c>
      <c r="P655" s="221" t="s">
        <v>1930</v>
      </c>
      <c r="Q655" s="221"/>
      <c r="R655" s="221"/>
      <c r="S655" s="221"/>
      <c r="T655" s="221" t="s">
        <v>3244</v>
      </c>
      <c r="U655" s="221">
        <v>0</v>
      </c>
      <c r="V655" s="221" t="s">
        <v>3248</v>
      </c>
      <c r="W655" s="221" t="s">
        <v>3252</v>
      </c>
      <c r="X655" s="221"/>
      <c r="Y655" s="227"/>
      <c r="Z655" s="227" t="str">
        <f>P655</f>
        <v>Dusun Krajan Sumbersekar</v>
      </c>
      <c r="AA655" s="276" t="e">
        <f>VLOOKUP(Logfile_S[[#This Row],[DO number]],DO_DB!G:I,3,0)</f>
        <v>#N/A</v>
      </c>
      <c r="AB655" s="331" t="e">
        <f>EXACT(Logfile_S[[#This Row],[date pick]],Logfile_S[[#This Row],[Date]])</f>
        <v>#N/A</v>
      </c>
      <c r="AC6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56" spans="1:29" ht="14.5">
      <c r="A656" s="220" t="str">
        <f>TEXT(ROW(A656)-ROW($A$4),"000")</f>
        <v>652</v>
      </c>
      <c r="B656" s="221"/>
      <c r="C656" s="221" t="s">
        <v>49</v>
      </c>
      <c r="D656" s="221" t="s">
        <v>4198</v>
      </c>
      <c r="E656" s="221" t="s">
        <v>3295</v>
      </c>
      <c r="F656" s="221" t="s">
        <v>3299</v>
      </c>
      <c r="G656" s="222">
        <v>45537</v>
      </c>
      <c r="H656" s="223">
        <v>0.32847222222222222</v>
      </c>
      <c r="I656" s="221" t="s">
        <v>4916</v>
      </c>
      <c r="J656" s="221" t="s">
        <v>3023</v>
      </c>
      <c r="K656" s="224" t="s">
        <v>3070</v>
      </c>
      <c r="L656" s="225" t="str">
        <f>VLOOKUP(Logfile_S[[#This Row],[Material Name]],Sheet2!B:C,2,0)</f>
        <v>ZTE1002</v>
      </c>
      <c r="M656" s="225" t="str">
        <f>_xlfn.XLOOKUP(Logfile_S[[#This Row],[Material Name]],Sum_WH!E:E,Sum_WH!F:F,"",0)</f>
        <v>Pcs</v>
      </c>
      <c r="N656" s="221">
        <v>5</v>
      </c>
      <c r="O656" s="221" t="s">
        <v>1929</v>
      </c>
      <c r="P656" s="221" t="s">
        <v>1930</v>
      </c>
      <c r="Q656" s="221"/>
      <c r="R656" s="221"/>
      <c r="S656" s="221"/>
      <c r="T656" s="221" t="s">
        <v>3244</v>
      </c>
      <c r="U656" s="221">
        <v>0</v>
      </c>
      <c r="V656" s="221" t="s">
        <v>3248</v>
      </c>
      <c r="W656" s="221" t="s">
        <v>3252</v>
      </c>
      <c r="X656" s="221"/>
      <c r="Y656" s="227"/>
      <c r="Z656" s="227" t="str">
        <f>P656</f>
        <v>Dusun Krajan Sumbersekar</v>
      </c>
      <c r="AA656" s="276" t="e">
        <f>VLOOKUP(Logfile_S[[#This Row],[DO number]],DO_DB!G:I,3,0)</f>
        <v>#N/A</v>
      </c>
      <c r="AB656" s="331" t="e">
        <f>EXACT(Logfile_S[[#This Row],[date pick]],Logfile_S[[#This Row],[Date]])</f>
        <v>#N/A</v>
      </c>
      <c r="AC6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57" spans="1:29" ht="14.5">
      <c r="A657" s="220" t="str">
        <f>TEXT(ROW(A657)-ROW($A$4),"000")</f>
        <v>653</v>
      </c>
      <c r="B657" s="221"/>
      <c r="C657" s="221" t="s">
        <v>49</v>
      </c>
      <c r="D657" s="221" t="s">
        <v>4198</v>
      </c>
      <c r="E657" s="221" t="s">
        <v>3295</v>
      </c>
      <c r="F657" s="221" t="s">
        <v>3299</v>
      </c>
      <c r="G657" s="222">
        <v>45537</v>
      </c>
      <c r="H657" s="223">
        <v>0.32847222222222222</v>
      </c>
      <c r="I657" s="221" t="s">
        <v>4916</v>
      </c>
      <c r="J657" s="221" t="s">
        <v>3023</v>
      </c>
      <c r="K657" s="224" t="s">
        <v>3069</v>
      </c>
      <c r="L657" s="225" t="str">
        <f>VLOOKUP(Logfile_S[[#This Row],[Material Name]],Sheet2!B:C,2,0)</f>
        <v>ZTE1001</v>
      </c>
      <c r="M657" s="225" t="str">
        <f>_xlfn.XLOOKUP(Logfile_S[[#This Row],[Material Name]],Sum_WH!E:E,Sum_WH!F:F,"",0)</f>
        <v>Pcs</v>
      </c>
      <c r="N657" s="221">
        <v>5</v>
      </c>
      <c r="O657" s="221" t="s">
        <v>1929</v>
      </c>
      <c r="P657" s="221" t="s">
        <v>1930</v>
      </c>
      <c r="Q657" s="221"/>
      <c r="R657" s="221"/>
      <c r="S657" s="221"/>
      <c r="T657" s="221" t="s">
        <v>3244</v>
      </c>
      <c r="U657" s="221">
        <v>0</v>
      </c>
      <c r="V657" s="221" t="s">
        <v>3248</v>
      </c>
      <c r="W657" s="221" t="s">
        <v>3252</v>
      </c>
      <c r="X657" s="221"/>
      <c r="Y657" s="227"/>
      <c r="Z657" s="227" t="str">
        <f>P657</f>
        <v>Dusun Krajan Sumbersekar</v>
      </c>
      <c r="AA657" s="276" t="e">
        <f>VLOOKUP(Logfile_S[[#This Row],[DO number]],DO_DB!G:I,3,0)</f>
        <v>#N/A</v>
      </c>
      <c r="AB657" s="331" t="e">
        <f>EXACT(Logfile_S[[#This Row],[date pick]],Logfile_S[[#This Row],[Date]])</f>
        <v>#N/A</v>
      </c>
      <c r="AC6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58" spans="1:29" ht="14.5">
      <c r="A658" s="220" t="str">
        <f>TEXT(ROW(A658)-ROW($A$4),"000")</f>
        <v>654</v>
      </c>
      <c r="B658" s="221"/>
      <c r="C658" s="221" t="s">
        <v>49</v>
      </c>
      <c r="D658" s="221" t="s">
        <v>4198</v>
      </c>
      <c r="E658" s="221" t="s">
        <v>3295</v>
      </c>
      <c r="F658" s="221" t="s">
        <v>3299</v>
      </c>
      <c r="G658" s="222">
        <v>45537</v>
      </c>
      <c r="H658" s="223">
        <v>0.32847222222222222</v>
      </c>
      <c r="I658" s="221" t="s">
        <v>4916</v>
      </c>
      <c r="J658" s="221" t="s">
        <v>3024</v>
      </c>
      <c r="K658" s="224" t="s">
        <v>3090</v>
      </c>
      <c r="L658" s="225" t="str">
        <f>VLOOKUP(Logfile_S[[#This Row],[Material Name]],Sheet2!B:C,2,0)</f>
        <v>GCI1004</v>
      </c>
      <c r="M658" s="225" t="str">
        <f>_xlfn.XLOOKUP(Logfile_S[[#This Row],[Material Name]],Sum_WH!E:E,Sum_WH!F:F,"",0)</f>
        <v>Pcs</v>
      </c>
      <c r="N658" s="221">
        <v>50</v>
      </c>
      <c r="O658" s="221" t="s">
        <v>1929</v>
      </c>
      <c r="P658" s="221" t="s">
        <v>1930</v>
      </c>
      <c r="Q658" s="221"/>
      <c r="R658" s="221"/>
      <c r="S658" s="221"/>
      <c r="T658" s="221" t="s">
        <v>3244</v>
      </c>
      <c r="U658" s="221">
        <v>0</v>
      </c>
      <c r="V658" s="221" t="s">
        <v>3248</v>
      </c>
      <c r="W658" s="221" t="s">
        <v>3252</v>
      </c>
      <c r="X658" s="221"/>
      <c r="Y658" s="227"/>
      <c r="Z658" s="227" t="str">
        <f>P658</f>
        <v>Dusun Krajan Sumbersekar</v>
      </c>
      <c r="AA658" s="276" t="e">
        <f>VLOOKUP(Logfile_S[[#This Row],[DO number]],DO_DB!G:I,3,0)</f>
        <v>#N/A</v>
      </c>
      <c r="AB658" s="331" t="e">
        <f>EXACT(Logfile_S[[#This Row],[date pick]],Logfile_S[[#This Row],[Date]])</f>
        <v>#N/A</v>
      </c>
      <c r="AC6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59" spans="1:29" ht="14.5">
      <c r="A659" s="220" t="str">
        <f>TEXT(ROW(A659)-ROW($A$4),"000")</f>
        <v>655</v>
      </c>
      <c r="B659" s="221"/>
      <c r="C659" s="221" t="s">
        <v>49</v>
      </c>
      <c r="D659" s="221" t="s">
        <v>4211</v>
      </c>
      <c r="E659" s="221" t="s">
        <v>3295</v>
      </c>
      <c r="F659" s="221" t="s">
        <v>3299</v>
      </c>
      <c r="G659" s="222">
        <v>45541</v>
      </c>
      <c r="H659" s="223">
        <v>0.80069444444444449</v>
      </c>
      <c r="I659" s="221" t="s">
        <v>4916</v>
      </c>
      <c r="J659" s="221" t="s">
        <v>3024</v>
      </c>
      <c r="K659" s="224" t="s">
        <v>3094</v>
      </c>
      <c r="L659" s="225" t="str">
        <f>VLOOKUP(Logfile_S[[#This Row],[Material Name]],Sheet2!B:C,2,0)</f>
        <v>GCI1008</v>
      </c>
      <c r="M659" s="225" t="str">
        <f>_xlfn.XLOOKUP(Logfile_S[[#This Row],[Material Name]],Sum_WH!E:E,Sum_WH!F:F,"",0)</f>
        <v>Pcs</v>
      </c>
      <c r="N659" s="221">
        <v>26</v>
      </c>
      <c r="O659" s="221" t="s">
        <v>1929</v>
      </c>
      <c r="P659" s="221" t="s">
        <v>1930</v>
      </c>
      <c r="Q659" s="221"/>
      <c r="R659" s="221"/>
      <c r="S659" s="221"/>
      <c r="T659" s="221" t="s">
        <v>3244</v>
      </c>
      <c r="U659" s="221">
        <v>0</v>
      </c>
      <c r="V659" s="221" t="s">
        <v>3248</v>
      </c>
      <c r="W659" s="221" t="s">
        <v>3252</v>
      </c>
      <c r="X659" s="221"/>
      <c r="Y659" s="227"/>
      <c r="Z659" s="227" t="str">
        <f>P659</f>
        <v>Dusun Krajan Sumbersekar</v>
      </c>
      <c r="AA659" s="276" t="e">
        <f>VLOOKUP(Logfile_S[[#This Row],[DO number]],DO_DB!G:I,3,0)</f>
        <v>#N/A</v>
      </c>
      <c r="AB659" s="331" t="e">
        <f>EXACT(Logfile_S[[#This Row],[date pick]],Logfile_S[[#This Row],[Date]])</f>
        <v>#N/A</v>
      </c>
      <c r="AC6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60" spans="1:29" ht="14.5">
      <c r="A660" s="220" t="str">
        <f>TEXT(ROW(A660)-ROW($A$4),"000")</f>
        <v>656</v>
      </c>
      <c r="B660" s="221"/>
      <c r="C660" s="221" t="s">
        <v>49</v>
      </c>
      <c r="D660" s="221" t="s">
        <v>4331</v>
      </c>
      <c r="E660" s="221" t="s">
        <v>3295</v>
      </c>
      <c r="F660" s="221" t="s">
        <v>3299</v>
      </c>
      <c r="G660" s="222">
        <v>45703</v>
      </c>
      <c r="H660" s="223">
        <v>0.39930555555555558</v>
      </c>
      <c r="I660" s="221" t="s">
        <v>4916</v>
      </c>
      <c r="J660" s="221" t="s">
        <v>3024</v>
      </c>
      <c r="K660" s="224" t="s">
        <v>5137</v>
      </c>
      <c r="L660" s="225" t="str">
        <f>VLOOKUP(Logfile_S[[#This Row],[Material Name]],Sheet2!B:C,2,0)</f>
        <v>GCI1009</v>
      </c>
      <c r="M660" s="225" t="str">
        <f>_xlfn.XLOOKUP(Logfile_S[[#This Row],[Material Name]],Sum_WH!E:E,Sum_WH!F:F,"",0)</f>
        <v>Pcs</v>
      </c>
      <c r="N660" s="221">
        <v>2</v>
      </c>
      <c r="O660" s="221" t="s">
        <v>1929</v>
      </c>
      <c r="P660" s="221" t="s">
        <v>1930</v>
      </c>
      <c r="Q660" s="221"/>
      <c r="R660" s="221"/>
      <c r="S660" s="221"/>
      <c r="T660" s="221" t="s">
        <v>3231</v>
      </c>
      <c r="U660" s="221">
        <v>0</v>
      </c>
      <c r="V660" s="221" t="s">
        <v>3375</v>
      </c>
      <c r="W660" s="221" t="s">
        <v>3249</v>
      </c>
      <c r="X660" s="221"/>
      <c r="Y660" s="227"/>
      <c r="Z660" s="227" t="str">
        <f>P660</f>
        <v>Dusun Krajan Sumbersekar</v>
      </c>
      <c r="AA660" s="276" t="e">
        <f>VLOOKUP(Logfile_S[[#This Row],[DO number]],DO_DB!G:I,3,0)</f>
        <v>#N/A</v>
      </c>
      <c r="AB660" s="331" t="e">
        <f>EXACT(Logfile_S[[#This Row],[date pick]],Logfile_S[[#This Row],[Date]])</f>
        <v>#N/A</v>
      </c>
      <c r="AC6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61" spans="1:29" ht="14.5">
      <c r="A661" s="220" t="str">
        <f>TEXT(ROW(A661)-ROW($A$4),"000")</f>
        <v>657</v>
      </c>
      <c r="B661" s="221"/>
      <c r="C661" s="221" t="s">
        <v>49</v>
      </c>
      <c r="D661" s="221" t="s">
        <v>4331</v>
      </c>
      <c r="E661" s="221" t="s">
        <v>3295</v>
      </c>
      <c r="F661" s="221" t="s">
        <v>3299</v>
      </c>
      <c r="G661" s="222">
        <v>45703</v>
      </c>
      <c r="H661" s="223">
        <v>0.39930555555555558</v>
      </c>
      <c r="I661" s="221" t="s">
        <v>4916</v>
      </c>
      <c r="J661" s="221" t="s">
        <v>3023</v>
      </c>
      <c r="K661" s="224" t="s">
        <v>3069</v>
      </c>
      <c r="L661" s="225" t="str">
        <f>VLOOKUP(Logfile_S[[#This Row],[Material Name]],Sheet2!B:C,2,0)</f>
        <v>ZTE1001</v>
      </c>
      <c r="M661" s="225" t="str">
        <f>_xlfn.XLOOKUP(Logfile_S[[#This Row],[Material Name]],Sum_WH!E:E,Sum_WH!F:F,"",0)</f>
        <v>Pcs</v>
      </c>
      <c r="N661" s="221">
        <v>1</v>
      </c>
      <c r="O661" s="221" t="s">
        <v>1929</v>
      </c>
      <c r="P661" s="221" t="s">
        <v>1930</v>
      </c>
      <c r="Q661" s="221"/>
      <c r="R661" s="221"/>
      <c r="S661" s="221"/>
      <c r="T661" s="221" t="s">
        <v>3231</v>
      </c>
      <c r="U661" s="221">
        <v>0</v>
      </c>
      <c r="V661" s="221" t="s">
        <v>3375</v>
      </c>
      <c r="W661" s="221" t="s">
        <v>3249</v>
      </c>
      <c r="X661" s="221"/>
      <c r="Y661" s="227"/>
      <c r="Z661" s="227" t="str">
        <f>P661</f>
        <v>Dusun Krajan Sumbersekar</v>
      </c>
      <c r="AA661" s="276" t="e">
        <f>VLOOKUP(Logfile_S[[#This Row],[DO number]],DO_DB!G:I,3,0)</f>
        <v>#N/A</v>
      </c>
      <c r="AB661" s="331" t="e">
        <f>EXACT(Logfile_S[[#This Row],[date pick]],Logfile_S[[#This Row],[Date]])</f>
        <v>#N/A</v>
      </c>
      <c r="AC6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62" spans="1:29" ht="14.5">
      <c r="A662" s="220" t="str">
        <f>TEXT(ROW(A662)-ROW($A$4),"000")</f>
        <v>658</v>
      </c>
      <c r="B662" s="221"/>
      <c r="C662" s="221" t="s">
        <v>49</v>
      </c>
      <c r="D662" s="221" t="s">
        <v>4331</v>
      </c>
      <c r="E662" s="221" t="s">
        <v>3295</v>
      </c>
      <c r="F662" s="221" t="s">
        <v>3299</v>
      </c>
      <c r="G662" s="222">
        <v>45703</v>
      </c>
      <c r="H662" s="223">
        <v>0.39930555555555558</v>
      </c>
      <c r="I662" s="221" t="s">
        <v>4916</v>
      </c>
      <c r="J662" s="221" t="s">
        <v>3024</v>
      </c>
      <c r="K662" s="224" t="s">
        <v>3090</v>
      </c>
      <c r="L662" s="225" t="str">
        <f>VLOOKUP(Logfile_S[[#This Row],[Material Name]],Sheet2!B:C,2,0)</f>
        <v>GCI1004</v>
      </c>
      <c r="M662" s="225" t="str">
        <f>_xlfn.XLOOKUP(Logfile_S[[#This Row],[Material Name]],Sum_WH!E:E,Sum_WH!F:F,"",0)</f>
        <v>Pcs</v>
      </c>
      <c r="N662" s="221">
        <v>1</v>
      </c>
      <c r="O662" s="221" t="s">
        <v>1929</v>
      </c>
      <c r="P662" s="221" t="s">
        <v>1930</v>
      </c>
      <c r="Q662" s="221"/>
      <c r="R662" s="221"/>
      <c r="S662" s="221"/>
      <c r="T662" s="221" t="s">
        <v>3231</v>
      </c>
      <c r="U662" s="221">
        <v>0</v>
      </c>
      <c r="V662" s="221" t="s">
        <v>3375</v>
      </c>
      <c r="W662" s="221" t="s">
        <v>3249</v>
      </c>
      <c r="X662" s="221"/>
      <c r="Y662" s="227"/>
      <c r="Z662" s="227" t="str">
        <f>P662</f>
        <v>Dusun Krajan Sumbersekar</v>
      </c>
      <c r="AA662" s="276" t="e">
        <f>VLOOKUP(Logfile_S[[#This Row],[DO number]],DO_DB!G:I,3,0)</f>
        <v>#N/A</v>
      </c>
      <c r="AB662" s="331" t="e">
        <f>EXACT(Logfile_S[[#This Row],[date pick]],Logfile_S[[#This Row],[Date]])</f>
        <v>#N/A</v>
      </c>
      <c r="AC6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63" spans="1:29" ht="14.5">
      <c r="A663" s="220" t="str">
        <f>TEXT(ROW(A663)-ROW($A$4),"000")</f>
        <v>659</v>
      </c>
      <c r="B663" s="221"/>
      <c r="C663" s="221" t="s">
        <v>49</v>
      </c>
      <c r="D663" s="221" t="s">
        <v>4342</v>
      </c>
      <c r="E663" s="221" t="s">
        <v>3295</v>
      </c>
      <c r="F663" s="221" t="s">
        <v>3299</v>
      </c>
      <c r="G663" s="222">
        <v>45710</v>
      </c>
      <c r="H663" s="223">
        <v>0.35347222222222224</v>
      </c>
      <c r="I663" s="221" t="s">
        <v>4916</v>
      </c>
      <c r="J663" s="221" t="s">
        <v>3024</v>
      </c>
      <c r="K663" s="224" t="s">
        <v>5137</v>
      </c>
      <c r="L663" s="225" t="str">
        <f>VLOOKUP(Logfile_S[[#This Row],[Material Name]],Sheet2!B:C,2,0)</f>
        <v>GCI1009</v>
      </c>
      <c r="M663" s="225" t="str">
        <f>_xlfn.XLOOKUP(Logfile_S[[#This Row],[Material Name]],Sum_WH!E:E,Sum_WH!F:F,"",0)</f>
        <v>Pcs</v>
      </c>
      <c r="N663" s="221">
        <v>8</v>
      </c>
      <c r="O663" s="221" t="s">
        <v>1929</v>
      </c>
      <c r="P663" s="221" t="s">
        <v>1930</v>
      </c>
      <c r="Q663" s="221"/>
      <c r="R663" s="221"/>
      <c r="S663" s="221"/>
      <c r="T663" s="221" t="s">
        <v>3231</v>
      </c>
      <c r="U663" s="221">
        <v>0</v>
      </c>
      <c r="V663" s="221" t="s">
        <v>3375</v>
      </c>
      <c r="W663" s="221" t="s">
        <v>3249</v>
      </c>
      <c r="X663" s="221"/>
      <c r="Y663" s="227"/>
      <c r="Z663" s="227" t="str">
        <f>P663</f>
        <v>Dusun Krajan Sumbersekar</v>
      </c>
      <c r="AA663" s="276" t="e">
        <f>VLOOKUP(Logfile_S[[#This Row],[DO number]],DO_DB!G:I,3,0)</f>
        <v>#N/A</v>
      </c>
      <c r="AB663" s="331" t="e">
        <f>EXACT(Logfile_S[[#This Row],[date pick]],Logfile_S[[#This Row],[Date]])</f>
        <v>#N/A</v>
      </c>
      <c r="AC6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64" spans="1:29" ht="14.5">
      <c r="A664" s="220" t="str">
        <f>TEXT(ROW(A664)-ROW($A$4),"000")</f>
        <v>660</v>
      </c>
      <c r="B664" s="221"/>
      <c r="C664" s="221" t="s">
        <v>49</v>
      </c>
      <c r="D664" s="221" t="s">
        <v>4342</v>
      </c>
      <c r="E664" s="221" t="s">
        <v>3295</v>
      </c>
      <c r="F664" s="221" t="s">
        <v>3299</v>
      </c>
      <c r="G664" s="222">
        <v>45710</v>
      </c>
      <c r="H664" s="223">
        <v>0.35347222222222224</v>
      </c>
      <c r="I664" s="221" t="s">
        <v>4916</v>
      </c>
      <c r="J664" s="221" t="s">
        <v>3024</v>
      </c>
      <c r="K664" s="224" t="s">
        <v>3456</v>
      </c>
      <c r="L664" s="225" t="str">
        <f>VLOOKUP(Logfile_S[[#This Row],[Material Name]],Sheet2!B:C,2,0)</f>
        <v>GCI1008</v>
      </c>
      <c r="M664" s="225" t="str">
        <f>_xlfn.XLOOKUP(Logfile_S[[#This Row],[Material Name]],Sum_WH!E:E,Sum_WH!F:F,"",0)</f>
        <v>Pcs</v>
      </c>
      <c r="N664" s="221">
        <v>4</v>
      </c>
      <c r="O664" s="221" t="s">
        <v>1929</v>
      </c>
      <c r="P664" s="221" t="s">
        <v>1930</v>
      </c>
      <c r="Q664" s="221"/>
      <c r="R664" s="221"/>
      <c r="S664" s="221"/>
      <c r="T664" s="221" t="s">
        <v>3231</v>
      </c>
      <c r="U664" s="221">
        <v>0</v>
      </c>
      <c r="V664" s="221" t="s">
        <v>3375</v>
      </c>
      <c r="W664" s="221" t="s">
        <v>3249</v>
      </c>
      <c r="X664" s="221"/>
      <c r="Y664" s="227"/>
      <c r="Z664" s="227" t="str">
        <f>P664</f>
        <v>Dusun Krajan Sumbersekar</v>
      </c>
      <c r="AA664" s="276" t="e">
        <f>VLOOKUP(Logfile_S[[#This Row],[DO number]],DO_DB!G:I,3,0)</f>
        <v>#N/A</v>
      </c>
      <c r="AB664" s="331" t="e">
        <f>EXACT(Logfile_S[[#This Row],[date pick]],Logfile_S[[#This Row],[Date]])</f>
        <v>#N/A</v>
      </c>
      <c r="AC6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65" spans="1:29" ht="14.5">
      <c r="A665" s="220" t="str">
        <f>TEXT(ROW(A665)-ROW($A$4),"000")</f>
        <v>661</v>
      </c>
      <c r="B665" s="221"/>
      <c r="C665" s="221" t="s">
        <v>49</v>
      </c>
      <c r="D665" s="221" t="s">
        <v>4068</v>
      </c>
      <c r="E665" s="221" t="s">
        <v>3295</v>
      </c>
      <c r="F665" s="221" t="s">
        <v>3299</v>
      </c>
      <c r="G665" s="222">
        <v>45442</v>
      </c>
      <c r="H665" s="223">
        <v>0.47916666666666669</v>
      </c>
      <c r="I665" s="221" t="s">
        <v>4916</v>
      </c>
      <c r="J665" s="221" t="s">
        <v>3023</v>
      </c>
      <c r="K665" s="224" t="s">
        <v>13</v>
      </c>
      <c r="L665" s="225" t="str">
        <f>VLOOKUP(Logfile_S[[#This Row],[Material Name]],Sheet2!B:C,2,0)</f>
        <v>ZTE2008</v>
      </c>
      <c r="M665" s="225" t="str">
        <f>_xlfn.XLOOKUP(Logfile_S[[#This Row],[Material Name]],Sum_WH!E:E,Sum_WH!F:F,"",0)</f>
        <v>Pcs</v>
      </c>
      <c r="N665" s="221">
        <v>5</v>
      </c>
      <c r="O665" s="221" t="s">
        <v>1485</v>
      </c>
      <c r="P665" s="221" t="s">
        <v>3538</v>
      </c>
      <c r="Q665" s="221"/>
      <c r="R665" s="221"/>
      <c r="S665" s="221"/>
      <c r="T665" s="221" t="s">
        <v>3258</v>
      </c>
      <c r="U665" s="221" t="s">
        <v>3228</v>
      </c>
      <c r="V665" s="221" t="s">
        <v>3337</v>
      </c>
      <c r="W665" s="221" t="s">
        <v>3338</v>
      </c>
      <c r="X665" s="221"/>
      <c r="Y665" s="227"/>
      <c r="Z665" s="227" t="str">
        <f>P665</f>
        <v>Dusun Godehan RW 10 Kucur</v>
      </c>
      <c r="AA665" s="276" t="e">
        <f>VLOOKUP(Logfile_S[[#This Row],[DO number]],DO_DB!G:I,3,0)</f>
        <v>#N/A</v>
      </c>
      <c r="AB665" s="331" t="e">
        <f>EXACT(Logfile_S[[#This Row],[date pick]],Logfile_S[[#This Row],[Date]])</f>
        <v>#N/A</v>
      </c>
      <c r="AC6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66" spans="1:29" ht="14.5">
      <c r="A666" s="220" t="str">
        <f>TEXT(ROW(A666)-ROW($A$4),"000")</f>
        <v>662</v>
      </c>
      <c r="B666" s="221"/>
      <c r="C666" s="221" t="s">
        <v>48</v>
      </c>
      <c r="D666" s="221" t="s">
        <v>4073</v>
      </c>
      <c r="E666" s="221" t="s">
        <v>3295</v>
      </c>
      <c r="F666" s="221" t="s">
        <v>3299</v>
      </c>
      <c r="G666" s="222">
        <v>45448</v>
      </c>
      <c r="H666" s="223">
        <v>15.291666666666666</v>
      </c>
      <c r="I666" s="221" t="s">
        <v>37</v>
      </c>
      <c r="J666" s="221" t="s">
        <v>3023</v>
      </c>
      <c r="K666" s="224" t="s">
        <v>3073</v>
      </c>
      <c r="L666" s="225" t="str">
        <f>VLOOKUP(Logfile_S[[#This Row],[Material Name]],Sheet2!B:C,2,0)</f>
        <v>ZTE2001</v>
      </c>
      <c r="M666" s="225" t="str">
        <f>_xlfn.XLOOKUP(Logfile_S[[#This Row],[Material Name]],Sum_WH!E:E,Sum_WH!F:F,"",0)</f>
        <v>Meter</v>
      </c>
      <c r="N666" s="227">
        <v>3000</v>
      </c>
      <c r="O666" s="221" t="s">
        <v>1485</v>
      </c>
      <c r="P666" s="221" t="s">
        <v>3538</v>
      </c>
      <c r="Q666" s="221"/>
      <c r="R666" s="221"/>
      <c r="S666" s="221"/>
      <c r="T666" s="221"/>
      <c r="U666" s="221"/>
      <c r="V666" s="221"/>
      <c r="W666" s="221"/>
      <c r="X666" s="221"/>
      <c r="Y666" s="227" t="s">
        <v>4949</v>
      </c>
      <c r="Z666" s="227" t="str">
        <f>P666</f>
        <v>Dusun Godehan RW 10 Kucur</v>
      </c>
      <c r="AA666" s="276" t="e">
        <f>VLOOKUP(Logfile_S[[#This Row],[DO number]],DO_DB!G:I,3,0)</f>
        <v>#N/A</v>
      </c>
      <c r="AB666" s="331" t="e">
        <f>EXACT(Logfile_S[[#This Row],[date pick]],Logfile_S[[#This Row],[Date]])</f>
        <v>#N/A</v>
      </c>
      <c r="AC6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24C-202465-01</v>
      </c>
    </row>
    <row r="667" spans="1:29" ht="14.5">
      <c r="A667" s="237" t="str">
        <f>TEXT(ROW(A667)-ROW($A$4),"000")</f>
        <v>663</v>
      </c>
      <c r="B667" s="221"/>
      <c r="C667" s="227" t="s">
        <v>48</v>
      </c>
      <c r="D667" s="227" t="s">
        <v>4073</v>
      </c>
      <c r="E667" s="227" t="s">
        <v>3295</v>
      </c>
      <c r="F667" s="227" t="s">
        <v>3299</v>
      </c>
      <c r="G667" s="239">
        <v>45448</v>
      </c>
      <c r="H667" s="240">
        <v>15.291666666666666</v>
      </c>
      <c r="I667" s="227" t="s">
        <v>37</v>
      </c>
      <c r="J667" s="227" t="s">
        <v>3023</v>
      </c>
      <c r="K667" s="241" t="s">
        <v>3073</v>
      </c>
      <c r="L667" s="225" t="str">
        <f>VLOOKUP(Logfile_S[[#This Row],[Material Name]],Sheet2!B:C,2,0)</f>
        <v>ZTE2001</v>
      </c>
      <c r="M667" s="242" t="s">
        <v>20</v>
      </c>
      <c r="N667" s="227">
        <v>3000</v>
      </c>
      <c r="O667" s="227" t="s">
        <v>1485</v>
      </c>
      <c r="P667" s="227" t="s">
        <v>3538</v>
      </c>
      <c r="Q667" s="227"/>
      <c r="R667" s="227"/>
      <c r="S667" s="227"/>
      <c r="T667" s="227"/>
      <c r="U667" s="227"/>
      <c r="V667" s="227"/>
      <c r="W667" s="227"/>
      <c r="X667" s="227"/>
      <c r="Y667" s="227" t="s">
        <v>5002</v>
      </c>
      <c r="Z667" s="227" t="str">
        <f>P667</f>
        <v>Dusun Godehan RW 10 Kucur</v>
      </c>
      <c r="AA667" s="276" t="e">
        <f>VLOOKUP(Logfile_S[[#This Row],[DO number]],DO_DB!G:I,3,0)</f>
        <v>#N/A</v>
      </c>
      <c r="AB667" s="331" t="e">
        <f>EXACT(Logfile_S[[#This Row],[date pick]],Logfile_S[[#This Row],[Date]])</f>
        <v>#N/A</v>
      </c>
      <c r="AC6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24C-202465-02</v>
      </c>
    </row>
    <row r="668" spans="1:29" ht="14.5">
      <c r="A668" s="220" t="str">
        <f>TEXT(ROW(A668)-ROW($A$4),"000")</f>
        <v>664</v>
      </c>
      <c r="B668" s="221"/>
      <c r="C668" s="221" t="s">
        <v>49</v>
      </c>
      <c r="D668" s="221" t="s">
        <v>4325</v>
      </c>
      <c r="E668" s="221" t="s">
        <v>3295</v>
      </c>
      <c r="F668" s="221" t="s">
        <v>3299</v>
      </c>
      <c r="G668" s="222">
        <v>45678</v>
      </c>
      <c r="H668" s="223">
        <v>0.56944444444444442</v>
      </c>
      <c r="I668" s="221" t="s">
        <v>4916</v>
      </c>
      <c r="J668" s="221" t="s">
        <v>3024</v>
      </c>
      <c r="K668" s="224" t="s">
        <v>3091</v>
      </c>
      <c r="L668" s="225" t="str">
        <f>VLOOKUP(Logfile_S[[#This Row],[Material Name]],Sheet2!B:C,2,0)</f>
        <v>GCI1005</v>
      </c>
      <c r="M668" s="225" t="str">
        <f>_xlfn.XLOOKUP(Logfile_S[[#This Row],[Material Name]],Sum_WH!E:E,Sum_WH!F:F,"",0)</f>
        <v>Pcs</v>
      </c>
      <c r="N668" s="221">
        <v>40</v>
      </c>
      <c r="O668" s="221" t="s">
        <v>3379</v>
      </c>
      <c r="P668" s="221" t="s">
        <v>3380</v>
      </c>
      <c r="Q668" s="221"/>
      <c r="R668" s="221"/>
      <c r="S668" s="221"/>
      <c r="T668" s="221" t="s">
        <v>3258</v>
      </c>
      <c r="U668" s="221">
        <v>0</v>
      </c>
      <c r="V668" s="221" t="s">
        <v>3337</v>
      </c>
      <c r="W668" s="221" t="s">
        <v>3338</v>
      </c>
      <c r="X668" s="221"/>
      <c r="Y668" s="227"/>
      <c r="Z668" s="227" t="str">
        <f>P668</f>
        <v>Citra Kayane Residence</v>
      </c>
      <c r="AA668" s="276" t="e">
        <f>VLOOKUP(Logfile_S[[#This Row],[DO number]],DO_DB!G:I,3,0)</f>
        <v>#N/A</v>
      </c>
      <c r="AB668" s="331" t="e">
        <f>EXACT(Logfile_S[[#This Row],[date pick]],Logfile_S[[#This Row],[Date]])</f>
        <v>#N/A</v>
      </c>
      <c r="AC6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69" spans="1:29" ht="14.5">
      <c r="A669" s="220" t="str">
        <f>TEXT(ROW(A669)-ROW($A$4),"000")</f>
        <v>665</v>
      </c>
      <c r="B669" s="221"/>
      <c r="C669" s="221" t="s">
        <v>49</v>
      </c>
      <c r="D669" s="221" t="s">
        <v>4325</v>
      </c>
      <c r="E669" s="221" t="s">
        <v>3295</v>
      </c>
      <c r="F669" s="221" t="s">
        <v>3299</v>
      </c>
      <c r="G669" s="222">
        <v>45678</v>
      </c>
      <c r="H669" s="223">
        <v>0.56944444444444442</v>
      </c>
      <c r="I669" s="221" t="s">
        <v>4916</v>
      </c>
      <c r="J669" s="221" t="s">
        <v>3024</v>
      </c>
      <c r="K669" s="224" t="s">
        <v>3087</v>
      </c>
      <c r="L669" s="225" t="str">
        <f>VLOOKUP(Logfile_S[[#This Row],[Material Name]],Sheet2!B:C,2,0)</f>
        <v>GCI1001</v>
      </c>
      <c r="M669" s="225" t="str">
        <f>_xlfn.XLOOKUP(Logfile_S[[#This Row],[Material Name]],Sum_WH!E:E,Sum_WH!F:F,"",0)</f>
        <v>Pcs</v>
      </c>
      <c r="N669" s="221">
        <v>8</v>
      </c>
      <c r="O669" s="221" t="s">
        <v>3379</v>
      </c>
      <c r="P669" s="221" t="s">
        <v>3380</v>
      </c>
      <c r="Q669" s="221"/>
      <c r="R669" s="221"/>
      <c r="S669" s="221"/>
      <c r="T669" s="221" t="s">
        <v>3258</v>
      </c>
      <c r="U669" s="221">
        <v>0</v>
      </c>
      <c r="V669" s="221" t="s">
        <v>3337</v>
      </c>
      <c r="W669" s="221" t="s">
        <v>3338</v>
      </c>
      <c r="X669" s="221"/>
      <c r="Y669" s="227"/>
      <c r="Z669" s="227" t="str">
        <f>P669</f>
        <v>Citra Kayane Residence</v>
      </c>
      <c r="AA669" s="276" t="e">
        <f>VLOOKUP(Logfile_S[[#This Row],[DO number]],DO_DB!G:I,3,0)</f>
        <v>#N/A</v>
      </c>
      <c r="AB669" s="331" t="e">
        <f>EXACT(Logfile_S[[#This Row],[date pick]],Logfile_S[[#This Row],[Date]])</f>
        <v>#N/A</v>
      </c>
      <c r="AC6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70" spans="1:29" ht="14.5">
      <c r="A670" s="220" t="str">
        <f>TEXT(ROW(A670)-ROW($A$4),"000")</f>
        <v>666</v>
      </c>
      <c r="B670" s="221"/>
      <c r="C670" s="221" t="s">
        <v>49</v>
      </c>
      <c r="D670" s="221" t="s">
        <v>4324</v>
      </c>
      <c r="E670" s="221" t="s">
        <v>3295</v>
      </c>
      <c r="F670" s="221" t="s">
        <v>3299</v>
      </c>
      <c r="G670" s="222">
        <v>45678</v>
      </c>
      <c r="H670" s="223">
        <v>0.45902777777777776</v>
      </c>
      <c r="I670" s="221" t="s">
        <v>4916</v>
      </c>
      <c r="J670" s="221" t="s">
        <v>3023</v>
      </c>
      <c r="K670" s="224" t="s">
        <v>13</v>
      </c>
      <c r="L670" s="225" t="str">
        <f>VLOOKUP(Logfile_S[[#This Row],[Material Name]],Sheet2!B:C,2,0)</f>
        <v>ZTE2008</v>
      </c>
      <c r="M670" s="225" t="str">
        <f>_xlfn.XLOOKUP(Logfile_S[[#This Row],[Material Name]],Sum_WH!E:E,Sum_WH!F:F,"",0)</f>
        <v>Pcs</v>
      </c>
      <c r="N670" s="221">
        <v>8</v>
      </c>
      <c r="O670" s="221" t="s">
        <v>3379</v>
      </c>
      <c r="P670" s="221" t="s">
        <v>3380</v>
      </c>
      <c r="Q670" s="221"/>
      <c r="R670" s="221"/>
      <c r="S670" s="221"/>
      <c r="T670" s="221" t="s">
        <v>3411</v>
      </c>
      <c r="U670" s="221">
        <v>0</v>
      </c>
      <c r="V670" s="221">
        <v>0</v>
      </c>
      <c r="W670" s="221" t="s">
        <v>3412</v>
      </c>
      <c r="X670" s="221"/>
      <c r="Y670" s="227"/>
      <c r="Z670" s="227" t="str">
        <f>P670</f>
        <v>Citra Kayane Residence</v>
      </c>
      <c r="AA670" s="276" t="e">
        <f>VLOOKUP(Logfile_S[[#This Row],[DO number]],DO_DB!G:I,3,0)</f>
        <v>#N/A</v>
      </c>
      <c r="AB670" s="331" t="e">
        <f>EXACT(Logfile_S[[#This Row],[date pick]],Logfile_S[[#This Row],[Date]])</f>
        <v>#N/A</v>
      </c>
      <c r="AC6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71" spans="1:29" ht="14.5">
      <c r="A671" s="220" t="str">
        <f>TEXT(ROW(A671)-ROW($A$4),"000")</f>
        <v>667</v>
      </c>
      <c r="B671" s="221"/>
      <c r="C671" s="221" t="s">
        <v>49</v>
      </c>
      <c r="D671" s="221" t="s">
        <v>4325</v>
      </c>
      <c r="E671" s="221" t="s">
        <v>3295</v>
      </c>
      <c r="F671" s="221" t="s">
        <v>3299</v>
      </c>
      <c r="G671" s="222">
        <v>45678</v>
      </c>
      <c r="H671" s="223">
        <v>0.56944444444444442</v>
      </c>
      <c r="I671" s="221" t="s">
        <v>4916</v>
      </c>
      <c r="J671" s="221" t="s">
        <v>3023</v>
      </c>
      <c r="K671" s="224" t="s">
        <v>3070</v>
      </c>
      <c r="L671" s="225" t="str">
        <f>VLOOKUP(Logfile_S[[#This Row],[Material Name]],Sheet2!B:C,2,0)</f>
        <v>ZTE1002</v>
      </c>
      <c r="M671" s="225" t="str">
        <f>_xlfn.XLOOKUP(Logfile_S[[#This Row],[Material Name]],Sum_WH!E:E,Sum_WH!F:F,"",0)</f>
        <v>Pcs</v>
      </c>
      <c r="N671" s="221">
        <v>3</v>
      </c>
      <c r="O671" s="221" t="s">
        <v>3379</v>
      </c>
      <c r="P671" s="221" t="s">
        <v>3380</v>
      </c>
      <c r="Q671" s="221"/>
      <c r="R671" s="221"/>
      <c r="S671" s="221"/>
      <c r="T671" s="221" t="s">
        <v>3258</v>
      </c>
      <c r="U671" s="221">
        <v>0</v>
      </c>
      <c r="V671" s="221" t="s">
        <v>3337</v>
      </c>
      <c r="W671" s="221" t="s">
        <v>3338</v>
      </c>
      <c r="X671" s="221"/>
      <c r="Y671" s="227"/>
      <c r="Z671" s="227" t="str">
        <f>P671</f>
        <v>Citra Kayane Residence</v>
      </c>
      <c r="AA671" s="276" t="e">
        <f>VLOOKUP(Logfile_S[[#This Row],[DO number]],DO_DB!G:I,3,0)</f>
        <v>#N/A</v>
      </c>
      <c r="AB671" s="331" t="e">
        <f>EXACT(Logfile_S[[#This Row],[date pick]],Logfile_S[[#This Row],[Date]])</f>
        <v>#N/A</v>
      </c>
      <c r="AC6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72" spans="1:29" ht="14.5">
      <c r="A672" s="220" t="str">
        <f>TEXT(ROW(A672)-ROW($A$4),"000")</f>
        <v>668</v>
      </c>
      <c r="B672" s="221"/>
      <c r="C672" s="221" t="s">
        <v>49</v>
      </c>
      <c r="D672" s="221" t="s">
        <v>4325</v>
      </c>
      <c r="E672" s="221" t="s">
        <v>3295</v>
      </c>
      <c r="F672" s="221" t="s">
        <v>3299</v>
      </c>
      <c r="G672" s="222">
        <v>45678</v>
      </c>
      <c r="H672" s="223">
        <v>0.56944444444444442</v>
      </c>
      <c r="I672" s="221" t="s">
        <v>4916</v>
      </c>
      <c r="J672" s="221" t="s">
        <v>3023</v>
      </c>
      <c r="K672" s="224" t="s">
        <v>3069</v>
      </c>
      <c r="L672" s="225" t="str">
        <f>VLOOKUP(Logfile_S[[#This Row],[Material Name]],Sheet2!B:C,2,0)</f>
        <v>ZTE1001</v>
      </c>
      <c r="M672" s="225" t="str">
        <f>_xlfn.XLOOKUP(Logfile_S[[#This Row],[Material Name]],Sum_WH!E:E,Sum_WH!F:F,"",0)</f>
        <v>Pcs</v>
      </c>
      <c r="N672" s="221">
        <v>4</v>
      </c>
      <c r="O672" s="221" t="s">
        <v>3379</v>
      </c>
      <c r="P672" s="221" t="s">
        <v>3380</v>
      </c>
      <c r="Q672" s="221"/>
      <c r="R672" s="221"/>
      <c r="S672" s="221"/>
      <c r="T672" s="221" t="s">
        <v>3258</v>
      </c>
      <c r="U672" s="221">
        <v>0</v>
      </c>
      <c r="V672" s="221" t="s">
        <v>3337</v>
      </c>
      <c r="W672" s="221" t="s">
        <v>3338</v>
      </c>
      <c r="X672" s="221"/>
      <c r="Y672" s="227"/>
      <c r="Z672" s="227" t="str">
        <f>P672</f>
        <v>Citra Kayane Residence</v>
      </c>
      <c r="AA672" s="276" t="e">
        <f>VLOOKUP(Logfile_S[[#This Row],[DO number]],DO_DB!G:I,3,0)</f>
        <v>#N/A</v>
      </c>
      <c r="AB672" s="331" t="e">
        <f>EXACT(Logfile_S[[#This Row],[date pick]],Logfile_S[[#This Row],[Date]])</f>
        <v>#N/A</v>
      </c>
      <c r="AC6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73" spans="1:29" ht="14.5">
      <c r="A673" s="220" t="str">
        <f>TEXT(ROW(A673)-ROW($A$4),"000")</f>
        <v>669</v>
      </c>
      <c r="B673" s="221"/>
      <c r="C673" s="221" t="s">
        <v>49</v>
      </c>
      <c r="D673" s="221" t="s">
        <v>4325</v>
      </c>
      <c r="E673" s="221" t="s">
        <v>3295</v>
      </c>
      <c r="F673" s="221" t="s">
        <v>3299</v>
      </c>
      <c r="G673" s="222">
        <v>45678</v>
      </c>
      <c r="H673" s="223">
        <v>0.56944444444444442</v>
      </c>
      <c r="I673" s="221" t="s">
        <v>4916</v>
      </c>
      <c r="J673" s="221" t="s">
        <v>3024</v>
      </c>
      <c r="K673" s="224" t="s">
        <v>3215</v>
      </c>
      <c r="L673" s="225" t="str">
        <f>VLOOKUP(Logfile_S[[#This Row],[Material Name]],Sheet2!B:C,2,0)</f>
        <v>GCI1008</v>
      </c>
      <c r="M673" s="225" t="str">
        <f>_xlfn.XLOOKUP(Logfile_S[[#This Row],[Material Name]],Sum_WH!E:E,Sum_WH!F:F,"",0)</f>
        <v>Pcs</v>
      </c>
      <c r="N673" s="221">
        <v>30</v>
      </c>
      <c r="O673" s="221" t="s">
        <v>3379</v>
      </c>
      <c r="P673" s="221" t="s">
        <v>3380</v>
      </c>
      <c r="Q673" s="221"/>
      <c r="R673" s="221"/>
      <c r="S673" s="221"/>
      <c r="T673" s="221" t="s">
        <v>3258</v>
      </c>
      <c r="U673" s="221">
        <v>0</v>
      </c>
      <c r="V673" s="221" t="s">
        <v>3337</v>
      </c>
      <c r="W673" s="221" t="s">
        <v>3338</v>
      </c>
      <c r="X673" s="221"/>
      <c r="Y673" s="227"/>
      <c r="Z673" s="227" t="str">
        <f>P673</f>
        <v>Citra Kayane Residence</v>
      </c>
      <c r="AA673" s="276" t="e">
        <f>VLOOKUP(Logfile_S[[#This Row],[DO number]],DO_DB!G:I,3,0)</f>
        <v>#N/A</v>
      </c>
      <c r="AB673" s="331" t="e">
        <f>EXACT(Logfile_S[[#This Row],[date pick]],Logfile_S[[#This Row],[Date]])</f>
        <v>#N/A</v>
      </c>
      <c r="AC6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74" spans="1:29" ht="14.5">
      <c r="A674" s="220" t="str">
        <f>TEXT(ROW(A674)-ROW($A$4),"000")</f>
        <v>670</v>
      </c>
      <c r="B674" s="221"/>
      <c r="C674" s="221" t="s">
        <v>49</v>
      </c>
      <c r="D674" s="221" t="s">
        <v>4325</v>
      </c>
      <c r="E674" s="221" t="s">
        <v>3295</v>
      </c>
      <c r="F674" s="221" t="s">
        <v>3299</v>
      </c>
      <c r="G674" s="222">
        <v>45678</v>
      </c>
      <c r="H674" s="223">
        <v>0.56944444444444442</v>
      </c>
      <c r="I674" s="221" t="s">
        <v>4916</v>
      </c>
      <c r="J674" s="221" t="s">
        <v>3024</v>
      </c>
      <c r="K674" s="224" t="s">
        <v>3090</v>
      </c>
      <c r="L674" s="225" t="str">
        <f>VLOOKUP(Logfile_S[[#This Row],[Material Name]],Sheet2!B:C,2,0)</f>
        <v>GCI1004</v>
      </c>
      <c r="M674" s="225" t="str">
        <f>_xlfn.XLOOKUP(Logfile_S[[#This Row],[Material Name]],Sum_WH!E:E,Sum_WH!F:F,"",0)</f>
        <v>Pcs</v>
      </c>
      <c r="N674" s="221">
        <v>10</v>
      </c>
      <c r="O674" s="221" t="s">
        <v>3379</v>
      </c>
      <c r="P674" s="221" t="s">
        <v>3380</v>
      </c>
      <c r="Q674" s="221"/>
      <c r="R674" s="221"/>
      <c r="S674" s="221"/>
      <c r="T674" s="221" t="s">
        <v>3258</v>
      </c>
      <c r="U674" s="221">
        <v>0</v>
      </c>
      <c r="V674" s="221" t="s">
        <v>3337</v>
      </c>
      <c r="W674" s="221" t="s">
        <v>3338</v>
      </c>
      <c r="X674" s="221"/>
      <c r="Y674" s="227"/>
      <c r="Z674" s="227" t="str">
        <f>P674</f>
        <v>Citra Kayane Residence</v>
      </c>
      <c r="AA674" s="276" t="e">
        <f>VLOOKUP(Logfile_S[[#This Row],[DO number]],DO_DB!G:I,3,0)</f>
        <v>#N/A</v>
      </c>
      <c r="AB674" s="331" t="e">
        <f>EXACT(Logfile_S[[#This Row],[date pick]],Logfile_S[[#This Row],[Date]])</f>
        <v>#N/A</v>
      </c>
      <c r="AC6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75" spans="1:29" ht="14.5">
      <c r="A675" s="220" t="str">
        <f>TEXT(ROW(A675)-ROW($A$4),"000")</f>
        <v>671</v>
      </c>
      <c r="B675" s="221"/>
      <c r="C675" s="221" t="s">
        <v>49</v>
      </c>
      <c r="D675" s="221" t="s">
        <v>4332</v>
      </c>
      <c r="E675" s="221" t="s">
        <v>3295</v>
      </c>
      <c r="F675" s="221" t="s">
        <v>3299</v>
      </c>
      <c r="G675" s="222">
        <v>45707</v>
      </c>
      <c r="H675" s="223">
        <v>0.39930555555555558</v>
      </c>
      <c r="I675" s="221" t="s">
        <v>4916</v>
      </c>
      <c r="J675" s="221" t="s">
        <v>3024</v>
      </c>
      <c r="K675" s="224" t="s">
        <v>3087</v>
      </c>
      <c r="L675" s="225" t="str">
        <f>VLOOKUP(Logfile_S[[#This Row],[Material Name]],Sheet2!B:C,2,0)</f>
        <v>GCI1001</v>
      </c>
      <c r="M675" s="225" t="str">
        <f>_xlfn.XLOOKUP(Logfile_S[[#This Row],[Material Name]],Sum_WH!E:E,Sum_WH!F:F,"",0)</f>
        <v>Pcs</v>
      </c>
      <c r="N675" s="221">
        <v>1</v>
      </c>
      <c r="O675" s="221" t="s">
        <v>3379</v>
      </c>
      <c r="P675" s="221" t="s">
        <v>3380</v>
      </c>
      <c r="Q675" s="221"/>
      <c r="R675" s="221"/>
      <c r="S675" s="221"/>
      <c r="T675" s="221" t="s">
        <v>3258</v>
      </c>
      <c r="U675" s="221">
        <v>0</v>
      </c>
      <c r="V675" s="221" t="s">
        <v>3337</v>
      </c>
      <c r="W675" s="221" t="s">
        <v>3338</v>
      </c>
      <c r="X675" s="221"/>
      <c r="Y675" s="227"/>
      <c r="Z675" s="227" t="str">
        <f>P675</f>
        <v>Citra Kayane Residence</v>
      </c>
      <c r="AA675" s="276" t="e">
        <f>VLOOKUP(Logfile_S[[#This Row],[DO number]],DO_DB!G:I,3,0)</f>
        <v>#N/A</v>
      </c>
      <c r="AB675" s="331" t="e">
        <f>EXACT(Logfile_S[[#This Row],[date pick]],Logfile_S[[#This Row],[Date]])</f>
        <v>#N/A</v>
      </c>
      <c r="AC6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76" spans="1:29" ht="14.5">
      <c r="A676" s="220" t="str">
        <f>TEXT(ROW(A676)-ROW($A$4),"000")</f>
        <v>672</v>
      </c>
      <c r="B676" s="221"/>
      <c r="C676" s="221" t="s">
        <v>48</v>
      </c>
      <c r="D676" s="221" t="s">
        <v>4333</v>
      </c>
      <c r="E676" s="221" t="s">
        <v>3295</v>
      </c>
      <c r="F676" s="221" t="s">
        <v>3299</v>
      </c>
      <c r="G676" s="222">
        <v>45707</v>
      </c>
      <c r="H676" s="223">
        <v>15.291666666666666</v>
      </c>
      <c r="I676" s="221" t="s">
        <v>37</v>
      </c>
      <c r="J676" s="221" t="s">
        <v>3023</v>
      </c>
      <c r="K676" s="224" t="s">
        <v>3073</v>
      </c>
      <c r="L676" s="225" t="str">
        <f>VLOOKUP(Logfile_S[[#This Row],[Material Name]],Sheet2!B:C,2,0)</f>
        <v>ZTE2001</v>
      </c>
      <c r="M676" s="225" t="str">
        <f>_xlfn.XLOOKUP(Logfile_S[[#This Row],[Material Name]],Sum_WH!E:E,Sum_WH!F:F,"",0)</f>
        <v>Meter</v>
      </c>
      <c r="N676" s="221">
        <v>3000</v>
      </c>
      <c r="O676" s="221" t="s">
        <v>2648</v>
      </c>
      <c r="P676" s="221" t="s">
        <v>2649</v>
      </c>
      <c r="Q676" s="221" t="s">
        <v>2652</v>
      </c>
      <c r="R676" s="221">
        <v>0</v>
      </c>
      <c r="S676" s="221"/>
      <c r="T676" s="221"/>
      <c r="U676" s="221"/>
      <c r="V676" s="221"/>
      <c r="W676" s="221"/>
      <c r="X676" s="221"/>
      <c r="Y676" s="227" t="s">
        <v>5018</v>
      </c>
      <c r="Z676" s="227" t="str">
        <f>P676</f>
        <v>Sitirejo RW 04 Wagir</v>
      </c>
      <c r="AA676" s="276">
        <f>VLOOKUP(Logfile_S[[#This Row],[DO number]],DO_DB!G:I,3,0)</f>
        <v>45707</v>
      </c>
      <c r="AB676" s="331" t="b">
        <f>EXACT(Logfile_S[[#This Row],[date pick]],Logfile_S[[#This Row],[Date]])</f>
        <v>1</v>
      </c>
      <c r="AC6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24C-2025220-01</v>
      </c>
    </row>
    <row r="677" spans="1:29" ht="14.5">
      <c r="A677" s="220" t="str">
        <f>TEXT(ROW(A677)-ROW($A$4),"000")</f>
        <v>673</v>
      </c>
      <c r="B677" s="221"/>
      <c r="C677" s="221" t="s">
        <v>48</v>
      </c>
      <c r="D677" s="221" t="s">
        <v>4333</v>
      </c>
      <c r="E677" s="221" t="s">
        <v>3295</v>
      </c>
      <c r="F677" s="221" t="s">
        <v>3299</v>
      </c>
      <c r="G677" s="222">
        <v>45707</v>
      </c>
      <c r="H677" s="223">
        <v>15.291666666666666</v>
      </c>
      <c r="I677" s="221" t="s">
        <v>37</v>
      </c>
      <c r="J677" s="221" t="s">
        <v>3023</v>
      </c>
      <c r="K677" s="224" t="s">
        <v>3075</v>
      </c>
      <c r="L677" s="225" t="str">
        <f>VLOOKUP(Logfile_S[[#This Row],[Material Name]],Sheet2!B:C,2,0)</f>
        <v>ZTE2003</v>
      </c>
      <c r="M677" s="225" t="str">
        <f>_xlfn.XLOOKUP(Logfile_S[[#This Row],[Material Name]],Sum_WH!E:E,Sum_WH!F:F,"",0)</f>
        <v>Meter</v>
      </c>
      <c r="N677" s="221">
        <v>3000</v>
      </c>
      <c r="O677" s="221" t="s">
        <v>2648</v>
      </c>
      <c r="P677" s="221" t="s">
        <v>2649</v>
      </c>
      <c r="Q677" s="221" t="s">
        <v>2650</v>
      </c>
      <c r="R677" s="221">
        <v>0</v>
      </c>
      <c r="S677" s="221"/>
      <c r="T677" s="221"/>
      <c r="U677" s="221"/>
      <c r="V677" s="221"/>
      <c r="W677" s="221"/>
      <c r="X677" s="221"/>
      <c r="Y677" s="227" t="s">
        <v>5079</v>
      </c>
      <c r="Z677" s="227" t="str">
        <f>P677</f>
        <v>Sitirejo RW 04 Wagir</v>
      </c>
      <c r="AA677" s="276">
        <f>VLOOKUP(Logfile_S[[#This Row],[DO number]],DO_DB!G:I,3,0)</f>
        <v>45707</v>
      </c>
      <c r="AB677" s="331" t="b">
        <f>EXACT(Logfile_S[[#This Row],[date pick]],Logfile_S[[#This Row],[Date]])</f>
        <v>1</v>
      </c>
      <c r="AC6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48C-2025220-01</v>
      </c>
    </row>
    <row r="678" spans="1:29" ht="14.5">
      <c r="A678" s="220" t="str">
        <f>TEXT(ROW(A678)-ROW($A$4),"000")</f>
        <v>674</v>
      </c>
      <c r="B678" s="221"/>
      <c r="C678" s="221" t="s">
        <v>49</v>
      </c>
      <c r="D678" s="221" t="s">
        <v>4332</v>
      </c>
      <c r="E678" s="221" t="s">
        <v>3295</v>
      </c>
      <c r="F678" s="221" t="s">
        <v>3299</v>
      </c>
      <c r="G678" s="222">
        <v>45707</v>
      </c>
      <c r="H678" s="223">
        <v>0.39930555555555558</v>
      </c>
      <c r="I678" s="221" t="s">
        <v>4916</v>
      </c>
      <c r="J678" s="221" t="s">
        <v>3024</v>
      </c>
      <c r="K678" s="224" t="s">
        <v>3091</v>
      </c>
      <c r="L678" s="225" t="str">
        <f>VLOOKUP(Logfile_S[[#This Row],[Material Name]],Sheet2!B:C,2,0)</f>
        <v>GCI1005</v>
      </c>
      <c r="M678" s="225" t="str">
        <f>_xlfn.XLOOKUP(Logfile_S[[#This Row],[Material Name]],Sum_WH!E:E,Sum_WH!F:F,"",0)</f>
        <v>Pcs</v>
      </c>
      <c r="N678" s="221">
        <v>50</v>
      </c>
      <c r="O678" s="221" t="s">
        <v>2648</v>
      </c>
      <c r="P678" s="221" t="s">
        <v>2649</v>
      </c>
      <c r="Q678" s="221"/>
      <c r="R678" s="221"/>
      <c r="S678" s="221"/>
      <c r="T678" s="221" t="s">
        <v>3258</v>
      </c>
      <c r="U678" s="221">
        <v>0</v>
      </c>
      <c r="V678" s="221" t="s">
        <v>3337</v>
      </c>
      <c r="W678" s="221" t="s">
        <v>3338</v>
      </c>
      <c r="X678" s="221"/>
      <c r="Y678" s="227"/>
      <c r="Z678" s="227" t="str">
        <f>P678</f>
        <v>Sitirejo RW 04 Wagir</v>
      </c>
      <c r="AA678" s="276" t="e">
        <f>VLOOKUP(Logfile_S[[#This Row],[DO number]],DO_DB!G:I,3,0)</f>
        <v>#N/A</v>
      </c>
      <c r="AB678" s="331" t="e">
        <f>EXACT(Logfile_S[[#This Row],[date pick]],Logfile_S[[#This Row],[Date]])</f>
        <v>#N/A</v>
      </c>
      <c r="AC6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79" spans="1:29" ht="14.5">
      <c r="A679" s="220" t="str">
        <f>TEXT(ROW(A679)-ROW($A$4),"000")</f>
        <v>675</v>
      </c>
      <c r="B679" s="221"/>
      <c r="C679" s="221" t="s">
        <v>49</v>
      </c>
      <c r="D679" s="221" t="s">
        <v>4332</v>
      </c>
      <c r="E679" s="221" t="s">
        <v>3295</v>
      </c>
      <c r="F679" s="221" t="s">
        <v>3299</v>
      </c>
      <c r="G679" s="222">
        <v>45707</v>
      </c>
      <c r="H679" s="223">
        <v>0.39930555555555558</v>
      </c>
      <c r="I679" s="221" t="s">
        <v>4916</v>
      </c>
      <c r="J679" s="221" t="s">
        <v>3024</v>
      </c>
      <c r="K679" s="224" t="s">
        <v>5137</v>
      </c>
      <c r="L679" s="225" t="str">
        <f>VLOOKUP(Logfile_S[[#This Row],[Material Name]],Sheet2!B:C,2,0)</f>
        <v>GCI1009</v>
      </c>
      <c r="M679" s="225" t="str">
        <f>_xlfn.XLOOKUP(Logfile_S[[#This Row],[Material Name]],Sum_WH!E:E,Sum_WH!F:F,"",0)</f>
        <v>Pcs</v>
      </c>
      <c r="N679" s="221">
        <v>60</v>
      </c>
      <c r="O679" s="221" t="s">
        <v>2648</v>
      </c>
      <c r="P679" s="221" t="s">
        <v>2649</v>
      </c>
      <c r="Q679" s="221"/>
      <c r="R679" s="221"/>
      <c r="S679" s="221"/>
      <c r="T679" s="221" t="s">
        <v>3258</v>
      </c>
      <c r="U679" s="221">
        <v>0</v>
      </c>
      <c r="V679" s="221" t="s">
        <v>3337</v>
      </c>
      <c r="W679" s="221" t="s">
        <v>3338</v>
      </c>
      <c r="X679" s="221"/>
      <c r="Y679" s="227"/>
      <c r="Z679" s="227" t="str">
        <f>P679</f>
        <v>Sitirejo RW 04 Wagir</v>
      </c>
      <c r="AA679" s="276" t="e">
        <f>VLOOKUP(Logfile_S[[#This Row],[DO number]],DO_DB!G:I,3,0)</f>
        <v>#N/A</v>
      </c>
      <c r="AB679" s="331" t="e">
        <f>EXACT(Logfile_S[[#This Row],[date pick]],Logfile_S[[#This Row],[Date]])</f>
        <v>#N/A</v>
      </c>
      <c r="AC6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80" spans="1:29" ht="14.5">
      <c r="A680" s="220" t="str">
        <f>TEXT(ROW(A680)-ROW($A$4),"000")</f>
        <v>676</v>
      </c>
      <c r="B680" s="221"/>
      <c r="C680" s="221" t="s">
        <v>49</v>
      </c>
      <c r="D680" s="221" t="s">
        <v>4332</v>
      </c>
      <c r="E680" s="221" t="s">
        <v>3295</v>
      </c>
      <c r="F680" s="221" t="s">
        <v>3299</v>
      </c>
      <c r="G680" s="222">
        <v>45707</v>
      </c>
      <c r="H680" s="223">
        <v>0.39930555555555558</v>
      </c>
      <c r="I680" s="221" t="s">
        <v>4916</v>
      </c>
      <c r="J680" s="221" t="s">
        <v>3024</v>
      </c>
      <c r="K680" s="224" t="s">
        <v>3088</v>
      </c>
      <c r="L680" s="225" t="str">
        <f>VLOOKUP(Logfile_S[[#This Row],[Material Name]],Sheet2!B:C,2,0)</f>
        <v>GCI1002</v>
      </c>
      <c r="M680" s="225" t="str">
        <f>_xlfn.XLOOKUP(Logfile_S[[#This Row],[Material Name]],Sum_WH!E:E,Sum_WH!F:F,"",0)</f>
        <v>Pcs</v>
      </c>
      <c r="N680" s="221">
        <v>1</v>
      </c>
      <c r="O680" s="221" t="s">
        <v>2648</v>
      </c>
      <c r="P680" s="221" t="s">
        <v>2649</v>
      </c>
      <c r="Q680" s="221"/>
      <c r="R680" s="221"/>
      <c r="S680" s="221"/>
      <c r="T680" s="221" t="s">
        <v>3258</v>
      </c>
      <c r="U680" s="221">
        <v>0</v>
      </c>
      <c r="V680" s="221" t="s">
        <v>3337</v>
      </c>
      <c r="W680" s="221" t="s">
        <v>3338</v>
      </c>
      <c r="X680" s="221"/>
      <c r="Y680" s="227"/>
      <c r="Z680" s="227" t="str">
        <f>P680</f>
        <v>Sitirejo RW 04 Wagir</v>
      </c>
      <c r="AA680" s="276" t="e">
        <f>VLOOKUP(Logfile_S[[#This Row],[DO number]],DO_DB!G:I,3,0)</f>
        <v>#N/A</v>
      </c>
      <c r="AB680" s="331" t="e">
        <f>EXACT(Logfile_S[[#This Row],[date pick]],Logfile_S[[#This Row],[Date]])</f>
        <v>#N/A</v>
      </c>
      <c r="AC6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81" spans="1:29" ht="14.5">
      <c r="A681" s="220" t="str">
        <f>TEXT(ROW(A681)-ROW($A$4),"000")</f>
        <v>677</v>
      </c>
      <c r="B681" s="221"/>
      <c r="C681" s="221" t="s">
        <v>48</v>
      </c>
      <c r="D681" s="221" t="s">
        <v>4335</v>
      </c>
      <c r="E681" s="221" t="s">
        <v>3295</v>
      </c>
      <c r="F681" s="221" t="s">
        <v>3299</v>
      </c>
      <c r="G681" s="222">
        <v>45707</v>
      </c>
      <c r="H681" s="223">
        <v>15.291666666666666</v>
      </c>
      <c r="I681" s="221" t="s">
        <v>37</v>
      </c>
      <c r="J681" s="221" t="s">
        <v>3023</v>
      </c>
      <c r="K681" s="224" t="s">
        <v>3070</v>
      </c>
      <c r="L681" s="225" t="str">
        <f>VLOOKUP(Logfile_S[[#This Row],[Material Name]],Sheet2!B:C,2,0)</f>
        <v>ZTE1002</v>
      </c>
      <c r="M681" s="225" t="str">
        <f>_xlfn.XLOOKUP(Logfile_S[[#This Row],[Material Name]],Sum_WH!E:E,Sum_WH!F:F,"",0)</f>
        <v>Pcs</v>
      </c>
      <c r="N681" s="221">
        <v>153</v>
      </c>
      <c r="O681" s="221" t="s">
        <v>2648</v>
      </c>
      <c r="P681" s="221" t="s">
        <v>2649</v>
      </c>
      <c r="Q681" s="221" t="s">
        <v>2646</v>
      </c>
      <c r="R681" s="221">
        <v>0</v>
      </c>
      <c r="S681" s="221"/>
      <c r="T681" s="221"/>
      <c r="U681" s="221"/>
      <c r="V681" s="221"/>
      <c r="W681" s="221"/>
      <c r="X681" s="221">
        <v>153</v>
      </c>
      <c r="Y681" s="227"/>
      <c r="Z681" s="227" t="str">
        <f>P681</f>
        <v>Sitirejo RW 04 Wagir</v>
      </c>
      <c r="AA681" s="276">
        <f>VLOOKUP(Logfile_S[[#This Row],[DO number]],DO_DB!G:I,3,0)</f>
        <v>45707</v>
      </c>
      <c r="AB681" s="331" t="b">
        <f>EXACT(Logfile_S[[#This Row],[date pick]],Logfile_S[[#This Row],[Date]])</f>
        <v>1</v>
      </c>
      <c r="AC6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82" spans="1:29" ht="14.5">
      <c r="A682" s="220" t="str">
        <f>TEXT(ROW(A682)-ROW($A$4),"000")</f>
        <v>678</v>
      </c>
      <c r="B682" s="221"/>
      <c r="C682" s="221" t="s">
        <v>49</v>
      </c>
      <c r="D682" s="221" t="s">
        <v>4332</v>
      </c>
      <c r="E682" s="221" t="s">
        <v>3295</v>
      </c>
      <c r="F682" s="221" t="s">
        <v>3299</v>
      </c>
      <c r="G682" s="222">
        <v>45707</v>
      </c>
      <c r="H682" s="223">
        <v>0.39930555555555558</v>
      </c>
      <c r="I682" s="221" t="s">
        <v>4916</v>
      </c>
      <c r="J682" s="221" t="s">
        <v>3023</v>
      </c>
      <c r="K682" s="224" t="s">
        <v>3070</v>
      </c>
      <c r="L682" s="225" t="str">
        <f>VLOOKUP(Logfile_S[[#This Row],[Material Name]],Sheet2!B:C,2,0)</f>
        <v>ZTE1002</v>
      </c>
      <c r="M682" s="225" t="str">
        <f>_xlfn.XLOOKUP(Logfile_S[[#This Row],[Material Name]],Sum_WH!E:E,Sum_WH!F:F,"",0)</f>
        <v>Pcs</v>
      </c>
      <c r="N682" s="221">
        <v>16</v>
      </c>
      <c r="O682" s="221" t="s">
        <v>2648</v>
      </c>
      <c r="P682" s="221" t="s">
        <v>2649</v>
      </c>
      <c r="Q682" s="221"/>
      <c r="R682" s="221"/>
      <c r="S682" s="221"/>
      <c r="T682" s="221" t="s">
        <v>3258</v>
      </c>
      <c r="U682" s="221">
        <v>0</v>
      </c>
      <c r="V682" s="221" t="s">
        <v>3337</v>
      </c>
      <c r="W682" s="221" t="s">
        <v>3338</v>
      </c>
      <c r="X682" s="221"/>
      <c r="Y682" s="227"/>
      <c r="Z682" s="227" t="str">
        <f>P682</f>
        <v>Sitirejo RW 04 Wagir</v>
      </c>
      <c r="AA682" s="276" t="e">
        <f>VLOOKUP(Logfile_S[[#This Row],[DO number]],DO_DB!G:I,3,0)</f>
        <v>#N/A</v>
      </c>
      <c r="AB682" s="331" t="e">
        <f>EXACT(Logfile_S[[#This Row],[date pick]],Logfile_S[[#This Row],[Date]])</f>
        <v>#N/A</v>
      </c>
      <c r="AC6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83" spans="1:29" ht="14.5">
      <c r="A683" s="220" t="str">
        <f>TEXT(ROW(A683)-ROW($A$4),"000")</f>
        <v>679</v>
      </c>
      <c r="B683" s="221"/>
      <c r="C683" s="221" t="s">
        <v>49</v>
      </c>
      <c r="D683" s="221" t="s">
        <v>4332</v>
      </c>
      <c r="E683" s="221" t="s">
        <v>3295</v>
      </c>
      <c r="F683" s="221" t="s">
        <v>3299</v>
      </c>
      <c r="G683" s="222">
        <v>45707</v>
      </c>
      <c r="H683" s="223">
        <v>0.39930555555555558</v>
      </c>
      <c r="I683" s="221" t="s">
        <v>4916</v>
      </c>
      <c r="J683" s="221" t="s">
        <v>3023</v>
      </c>
      <c r="K683" s="224" t="s">
        <v>3069</v>
      </c>
      <c r="L683" s="225" t="str">
        <f>VLOOKUP(Logfile_S[[#This Row],[Material Name]],Sheet2!B:C,2,0)</f>
        <v>ZTE1001</v>
      </c>
      <c r="M683" s="225" t="str">
        <f>_xlfn.XLOOKUP(Logfile_S[[#This Row],[Material Name]],Sum_WH!E:E,Sum_WH!F:F,"",0)</f>
        <v>Pcs</v>
      </c>
      <c r="N683" s="221">
        <v>2</v>
      </c>
      <c r="O683" s="221" t="s">
        <v>2648</v>
      </c>
      <c r="P683" s="221" t="s">
        <v>2649</v>
      </c>
      <c r="Q683" s="221"/>
      <c r="R683" s="221"/>
      <c r="S683" s="221"/>
      <c r="T683" s="221" t="s">
        <v>3258</v>
      </c>
      <c r="U683" s="221">
        <v>0</v>
      </c>
      <c r="V683" s="221" t="s">
        <v>3337</v>
      </c>
      <c r="W683" s="221" t="s">
        <v>3338</v>
      </c>
      <c r="X683" s="221"/>
      <c r="Y683" s="227"/>
      <c r="Z683" s="227" t="str">
        <f>P683</f>
        <v>Sitirejo RW 04 Wagir</v>
      </c>
      <c r="AA683" s="276" t="e">
        <f>VLOOKUP(Logfile_S[[#This Row],[DO number]],DO_DB!G:I,3,0)</f>
        <v>#N/A</v>
      </c>
      <c r="AB683" s="331" t="e">
        <f>EXACT(Logfile_S[[#This Row],[date pick]],Logfile_S[[#This Row],[Date]])</f>
        <v>#N/A</v>
      </c>
      <c r="AC6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84" spans="1:29" ht="14.5">
      <c r="A684" s="220" t="str">
        <f>TEXT(ROW(A684)-ROW($A$4),"000")</f>
        <v>680</v>
      </c>
      <c r="B684" s="221"/>
      <c r="C684" s="221" t="s">
        <v>49</v>
      </c>
      <c r="D684" s="221" t="s">
        <v>4332</v>
      </c>
      <c r="E684" s="221" t="s">
        <v>3295</v>
      </c>
      <c r="F684" s="221" t="s">
        <v>3299</v>
      </c>
      <c r="G684" s="222">
        <v>45707</v>
      </c>
      <c r="H684" s="223">
        <v>0.39930555555555558</v>
      </c>
      <c r="I684" s="221" t="s">
        <v>4916</v>
      </c>
      <c r="J684" s="221" t="s">
        <v>3024</v>
      </c>
      <c r="K684" s="224" t="s">
        <v>3456</v>
      </c>
      <c r="L684" s="225" t="str">
        <f>VLOOKUP(Logfile_S[[#This Row],[Material Name]],Sheet2!B:C,2,0)</f>
        <v>GCI1008</v>
      </c>
      <c r="M684" s="225" t="str">
        <f>_xlfn.XLOOKUP(Logfile_S[[#This Row],[Material Name]],Sum_WH!E:E,Sum_WH!F:F,"",0)</f>
        <v>Pcs</v>
      </c>
      <c r="N684" s="221">
        <v>50</v>
      </c>
      <c r="O684" s="221" t="s">
        <v>2648</v>
      </c>
      <c r="P684" s="221" t="s">
        <v>2649</v>
      </c>
      <c r="Q684" s="221"/>
      <c r="R684" s="221"/>
      <c r="S684" s="221"/>
      <c r="T684" s="221" t="s">
        <v>3258</v>
      </c>
      <c r="U684" s="221">
        <v>0</v>
      </c>
      <c r="V684" s="221" t="s">
        <v>3337</v>
      </c>
      <c r="W684" s="221" t="s">
        <v>3338</v>
      </c>
      <c r="X684" s="221"/>
      <c r="Y684" s="227"/>
      <c r="Z684" s="227" t="str">
        <f>P684</f>
        <v>Sitirejo RW 04 Wagir</v>
      </c>
      <c r="AA684" s="276" t="e">
        <f>VLOOKUP(Logfile_S[[#This Row],[DO number]],DO_DB!G:I,3,0)</f>
        <v>#N/A</v>
      </c>
      <c r="AB684" s="331" t="e">
        <f>EXACT(Logfile_S[[#This Row],[date pick]],Logfile_S[[#This Row],[Date]])</f>
        <v>#N/A</v>
      </c>
      <c r="AC6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85" spans="1:29" ht="14.5">
      <c r="A685" s="220" t="str">
        <f>TEXT(ROW(A685)-ROW($A$4),"000")</f>
        <v>681</v>
      </c>
      <c r="B685" s="221"/>
      <c r="C685" s="221" t="s">
        <v>49</v>
      </c>
      <c r="D685" s="221" t="s">
        <v>4332</v>
      </c>
      <c r="E685" s="221" t="s">
        <v>3295</v>
      </c>
      <c r="F685" s="221" t="s">
        <v>3299</v>
      </c>
      <c r="G685" s="222">
        <v>45707</v>
      </c>
      <c r="H685" s="223">
        <v>0.39930555555555558</v>
      </c>
      <c r="I685" s="221" t="s">
        <v>4916</v>
      </c>
      <c r="J685" s="221" t="s">
        <v>3024</v>
      </c>
      <c r="K685" s="224" t="s">
        <v>3089</v>
      </c>
      <c r="L685" s="225" t="str">
        <f>VLOOKUP(Logfile_S[[#This Row],[Material Name]],Sheet2!B:C,2,0)</f>
        <v>GCI1003</v>
      </c>
      <c r="M685" s="225" t="str">
        <f>_xlfn.XLOOKUP(Logfile_S[[#This Row],[Material Name]],Sum_WH!E:E,Sum_WH!F:F,"",0)</f>
        <v>Pcs</v>
      </c>
      <c r="N685" s="221">
        <v>100</v>
      </c>
      <c r="O685" s="221" t="s">
        <v>2648</v>
      </c>
      <c r="P685" s="221" t="s">
        <v>2649</v>
      </c>
      <c r="Q685" s="221"/>
      <c r="R685" s="221"/>
      <c r="S685" s="221"/>
      <c r="T685" s="221" t="s">
        <v>3258</v>
      </c>
      <c r="U685" s="221">
        <v>0</v>
      </c>
      <c r="V685" s="221" t="s">
        <v>3337</v>
      </c>
      <c r="W685" s="221" t="s">
        <v>3338</v>
      </c>
      <c r="X685" s="221"/>
      <c r="Y685" s="227"/>
      <c r="Z685" s="227" t="str">
        <f>P685</f>
        <v>Sitirejo RW 04 Wagir</v>
      </c>
      <c r="AA685" s="276" t="e">
        <f>VLOOKUP(Logfile_S[[#This Row],[DO number]],DO_DB!G:I,3,0)</f>
        <v>#N/A</v>
      </c>
      <c r="AB685" s="331" t="e">
        <f>EXACT(Logfile_S[[#This Row],[date pick]],Logfile_S[[#This Row],[Date]])</f>
        <v>#N/A</v>
      </c>
      <c r="AC6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86" spans="1:29" ht="14.5">
      <c r="A686" s="220" t="str">
        <f>TEXT(ROW(A686)-ROW($A$4),"000")</f>
        <v>682</v>
      </c>
      <c r="B686" s="221"/>
      <c r="C686" s="221" t="s">
        <v>49</v>
      </c>
      <c r="D686" s="221" t="s">
        <v>4332</v>
      </c>
      <c r="E686" s="221" t="s">
        <v>3295</v>
      </c>
      <c r="F686" s="221" t="s">
        <v>3299</v>
      </c>
      <c r="G686" s="222">
        <v>45707</v>
      </c>
      <c r="H686" s="223">
        <v>0.39930555555555558</v>
      </c>
      <c r="I686" s="221" t="s">
        <v>4916</v>
      </c>
      <c r="J686" s="221" t="s">
        <v>3024</v>
      </c>
      <c r="K686" s="224" t="s">
        <v>3090</v>
      </c>
      <c r="L686" s="225" t="str">
        <f>VLOOKUP(Logfile_S[[#This Row],[Material Name]],Sheet2!B:C,2,0)</f>
        <v>GCI1004</v>
      </c>
      <c r="M686" s="225" t="str">
        <f>_xlfn.XLOOKUP(Logfile_S[[#This Row],[Material Name]],Sum_WH!E:E,Sum_WH!F:F,"",0)</f>
        <v>Pcs</v>
      </c>
      <c r="N686" s="221">
        <v>29</v>
      </c>
      <c r="O686" s="221" t="s">
        <v>2648</v>
      </c>
      <c r="P686" s="221" t="s">
        <v>2649</v>
      </c>
      <c r="Q686" s="221"/>
      <c r="R686" s="221"/>
      <c r="S686" s="221"/>
      <c r="T686" s="221" t="s">
        <v>3258</v>
      </c>
      <c r="U686" s="221">
        <v>0</v>
      </c>
      <c r="V686" s="221" t="s">
        <v>3337</v>
      </c>
      <c r="W686" s="221" t="s">
        <v>3338</v>
      </c>
      <c r="X686" s="221"/>
      <c r="Y686" s="227"/>
      <c r="Z686" s="227" t="str">
        <f>P686</f>
        <v>Sitirejo RW 04 Wagir</v>
      </c>
      <c r="AA686" s="276" t="e">
        <f>VLOOKUP(Logfile_S[[#This Row],[DO number]],DO_DB!G:I,3,0)</f>
        <v>#N/A</v>
      </c>
      <c r="AB686" s="331" t="e">
        <f>EXACT(Logfile_S[[#This Row],[date pick]],Logfile_S[[#This Row],[Date]])</f>
        <v>#N/A</v>
      </c>
      <c r="AC6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87" spans="1:29" ht="14.5">
      <c r="A687" s="220" t="str">
        <f>TEXT(ROW(A687)-ROW($A$4),"000")</f>
        <v>683</v>
      </c>
      <c r="B687" s="221"/>
      <c r="C687" s="221" t="s">
        <v>49</v>
      </c>
      <c r="D687" s="221" t="s">
        <v>4336</v>
      </c>
      <c r="E687" s="221" t="s">
        <v>3295</v>
      </c>
      <c r="F687" s="221" t="s">
        <v>3299</v>
      </c>
      <c r="G687" s="222">
        <v>45708</v>
      </c>
      <c r="H687" s="223">
        <v>0.39930555555555558</v>
      </c>
      <c r="I687" s="221" t="s">
        <v>4916</v>
      </c>
      <c r="J687" s="221" t="s">
        <v>3023</v>
      </c>
      <c r="K687" s="224" t="s">
        <v>3073</v>
      </c>
      <c r="L687" s="225" t="str">
        <f>VLOOKUP(Logfile_S[[#This Row],[Material Name]],Sheet2!B:C,2,0)</f>
        <v>ZTE2001</v>
      </c>
      <c r="M687" s="225" t="str">
        <f>_xlfn.XLOOKUP(Logfile_S[[#This Row],[Material Name]],Sum_WH!E:E,Sum_WH!F:F,"",0)</f>
        <v>Meter</v>
      </c>
      <c r="N687" s="221">
        <v>3000</v>
      </c>
      <c r="O687" s="221" t="s">
        <v>2648</v>
      </c>
      <c r="P687" s="221" t="s">
        <v>2649</v>
      </c>
      <c r="Q687" s="221"/>
      <c r="R687" s="221"/>
      <c r="S687" s="221"/>
      <c r="T687" s="221" t="s">
        <v>3258</v>
      </c>
      <c r="U687" s="221" t="s">
        <v>5107</v>
      </c>
      <c r="V687" s="221" t="s">
        <v>3337</v>
      </c>
      <c r="W687" s="221" t="s">
        <v>3338</v>
      </c>
      <c r="X687" s="221"/>
      <c r="Y687" s="227"/>
      <c r="Z687" s="227" t="str">
        <f>P687</f>
        <v>Sitirejo RW 04 Wagir</v>
      </c>
      <c r="AA687" s="276" t="e">
        <f>VLOOKUP(Logfile_S[[#This Row],[DO number]],DO_DB!G:I,3,0)</f>
        <v>#N/A</v>
      </c>
      <c r="AB687" s="331" t="e">
        <f>EXACT(Logfile_S[[#This Row],[date pick]],Logfile_S[[#This Row],[Date]])</f>
        <v>#N/A</v>
      </c>
      <c r="AC6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88" spans="1:29" ht="14.5">
      <c r="A688" s="220" t="str">
        <f>TEXT(ROW(A688)-ROW($A$4),"000")</f>
        <v>684</v>
      </c>
      <c r="B688" s="221"/>
      <c r="C688" s="221" t="s">
        <v>49</v>
      </c>
      <c r="D688" s="221" t="s">
        <v>4334</v>
      </c>
      <c r="E688" s="221" t="s">
        <v>3295</v>
      </c>
      <c r="F688" s="221" t="s">
        <v>3299</v>
      </c>
      <c r="G688" s="222">
        <v>45708</v>
      </c>
      <c r="H688" s="223">
        <v>0.39930555555555558</v>
      </c>
      <c r="I688" s="221" t="s">
        <v>4916</v>
      </c>
      <c r="J688" s="221" t="s">
        <v>3023</v>
      </c>
      <c r="K688" s="224" t="s">
        <v>3070</v>
      </c>
      <c r="L688" s="225" t="str">
        <f>VLOOKUP(Logfile_S[[#This Row],[Material Name]],Sheet2!B:C,2,0)</f>
        <v>ZTE1002</v>
      </c>
      <c r="M688" s="225" t="str">
        <f>_xlfn.XLOOKUP(Logfile_S[[#This Row],[Material Name]],Sum_WH!E:E,Sum_WH!F:F,"",0)</f>
        <v>Pcs</v>
      </c>
      <c r="N688" s="221">
        <v>32</v>
      </c>
      <c r="O688" s="221" t="s">
        <v>2648</v>
      </c>
      <c r="P688" s="221" t="s">
        <v>2649</v>
      </c>
      <c r="Q688" s="221"/>
      <c r="R688" s="221"/>
      <c r="S688" s="221"/>
      <c r="T688" s="221" t="s">
        <v>3258</v>
      </c>
      <c r="U688" s="221">
        <v>0</v>
      </c>
      <c r="V688" s="221" t="s">
        <v>3337</v>
      </c>
      <c r="W688" s="221" t="s">
        <v>3338</v>
      </c>
      <c r="X688" s="221"/>
      <c r="Y688" s="227"/>
      <c r="Z688" s="227" t="str">
        <f>P688</f>
        <v>Sitirejo RW 04 Wagir</v>
      </c>
      <c r="AA688" s="276" t="e">
        <f>VLOOKUP(Logfile_S[[#This Row],[DO number]],DO_DB!G:I,3,0)</f>
        <v>#N/A</v>
      </c>
      <c r="AB688" s="331" t="e">
        <f>EXACT(Logfile_S[[#This Row],[date pick]],Logfile_S[[#This Row],[Date]])</f>
        <v>#N/A</v>
      </c>
      <c r="AC6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89" spans="1:29" ht="14.5">
      <c r="A689" s="220" t="str">
        <f>TEXT(ROW(A689)-ROW($A$4),"000")</f>
        <v>685</v>
      </c>
      <c r="B689" s="221"/>
      <c r="C689" s="221" t="s">
        <v>49</v>
      </c>
      <c r="D689" s="221" t="s">
        <v>4339</v>
      </c>
      <c r="E689" s="221" t="s">
        <v>3295</v>
      </c>
      <c r="F689" s="221" t="s">
        <v>3299</v>
      </c>
      <c r="G689" s="222">
        <v>45709</v>
      </c>
      <c r="H689" s="223">
        <v>0.63124999999999998</v>
      </c>
      <c r="I689" s="221" t="s">
        <v>4916</v>
      </c>
      <c r="J689" s="221" t="s">
        <v>3024</v>
      </c>
      <c r="K689" s="224" t="s">
        <v>3239</v>
      </c>
      <c r="L689" s="225" t="str">
        <f>VLOOKUP(Logfile_S[[#This Row],[Material Name]],Sheet2!B:C,2,0)</f>
        <v>GCI1001</v>
      </c>
      <c r="M689" s="225" t="str">
        <f>_xlfn.XLOOKUP(Logfile_S[[#This Row],[Material Name]],Sum_WH!E:E,Sum_WH!F:F,"",0)</f>
        <v>Pcs</v>
      </c>
      <c r="N689" s="221">
        <v>22</v>
      </c>
      <c r="O689" s="221" t="s">
        <v>2648</v>
      </c>
      <c r="P689" s="221" t="s">
        <v>2649</v>
      </c>
      <c r="Q689" s="221"/>
      <c r="R689" s="221"/>
      <c r="S689" s="221"/>
      <c r="T689" s="221" t="s">
        <v>3258</v>
      </c>
      <c r="U689" s="221">
        <v>0</v>
      </c>
      <c r="V689" s="221" t="s">
        <v>3337</v>
      </c>
      <c r="W689" s="221" t="s">
        <v>3338</v>
      </c>
      <c r="X689" s="221"/>
      <c r="Y689" s="227"/>
      <c r="Z689" s="227" t="str">
        <f>P689</f>
        <v>Sitirejo RW 04 Wagir</v>
      </c>
      <c r="AA689" s="276" t="e">
        <f>VLOOKUP(Logfile_S[[#This Row],[DO number]],DO_DB!G:I,3,0)</f>
        <v>#N/A</v>
      </c>
      <c r="AB689" s="331" t="e">
        <f>EXACT(Logfile_S[[#This Row],[date pick]],Logfile_S[[#This Row],[Date]])</f>
        <v>#N/A</v>
      </c>
      <c r="AC6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90" spans="1:29" ht="14.5">
      <c r="A690" s="220" t="str">
        <f>TEXT(ROW(A690)-ROW($A$4),"000")</f>
        <v>686</v>
      </c>
      <c r="B690" s="221"/>
      <c r="C690" s="221" t="s">
        <v>49</v>
      </c>
      <c r="D690" s="221" t="s">
        <v>4340</v>
      </c>
      <c r="E690" s="221" t="s">
        <v>3295</v>
      </c>
      <c r="F690" s="221" t="s">
        <v>3299</v>
      </c>
      <c r="G690" s="222">
        <v>45709</v>
      </c>
      <c r="H690" s="223">
        <v>0.63124999999999998</v>
      </c>
      <c r="I690" s="221" t="s">
        <v>4916</v>
      </c>
      <c r="J690" s="221" t="s">
        <v>3023</v>
      </c>
      <c r="K690" s="224" t="s">
        <v>3543</v>
      </c>
      <c r="L690" s="225" t="str">
        <f>VLOOKUP(Logfile_S[[#This Row],[Material Name]],Sheet2!B:C,2,0)</f>
        <v>ZTE2008</v>
      </c>
      <c r="M690" s="225" t="str">
        <f>_xlfn.XLOOKUP(Logfile_S[[#This Row],[Material Name]],Sum_WH!E:E,Sum_WH!F:F,"",0)</f>
        <v>Pcs</v>
      </c>
      <c r="N690" s="221">
        <v>21</v>
      </c>
      <c r="O690" s="221" t="s">
        <v>2648</v>
      </c>
      <c r="P690" s="221" t="s">
        <v>2649</v>
      </c>
      <c r="Q690" s="221"/>
      <c r="R690" s="221"/>
      <c r="S690" s="221"/>
      <c r="T690" s="221" t="s">
        <v>3411</v>
      </c>
      <c r="U690" s="221">
        <v>0</v>
      </c>
      <c r="V690" s="221">
        <v>0</v>
      </c>
      <c r="W690" s="221" t="s">
        <v>3412</v>
      </c>
      <c r="X690" s="221"/>
      <c r="Y690" s="227"/>
      <c r="Z690" s="227" t="str">
        <f>P690</f>
        <v>Sitirejo RW 04 Wagir</v>
      </c>
      <c r="AA690" s="276" t="e">
        <f>VLOOKUP(Logfile_S[[#This Row],[DO number]],DO_DB!G:I,3,0)</f>
        <v>#N/A</v>
      </c>
      <c r="AB690" s="331" t="e">
        <f>EXACT(Logfile_S[[#This Row],[date pick]],Logfile_S[[#This Row],[Date]])</f>
        <v>#N/A</v>
      </c>
      <c r="AC6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91" spans="1:29" ht="14.5">
      <c r="A691" s="220" t="str">
        <f>TEXT(ROW(A691)-ROW($A$4),"000")</f>
        <v>687</v>
      </c>
      <c r="B691" s="221"/>
      <c r="C691" s="221" t="s">
        <v>49</v>
      </c>
      <c r="D691" s="221" t="s">
        <v>4340</v>
      </c>
      <c r="E691" s="221" t="s">
        <v>3295</v>
      </c>
      <c r="F691" s="221" t="s">
        <v>3299</v>
      </c>
      <c r="G691" s="222">
        <v>45709</v>
      </c>
      <c r="H691" s="223">
        <v>0.63124999999999998</v>
      </c>
      <c r="I691" s="221" t="s">
        <v>4916</v>
      </c>
      <c r="J691" s="221" t="s">
        <v>3023</v>
      </c>
      <c r="K691" s="224" t="s">
        <v>14</v>
      </c>
      <c r="L691" s="225" t="str">
        <f>VLOOKUP(Logfile_S[[#This Row],[Material Name]],Sheet2!B:C,2,0)</f>
        <v>ZTE2005</v>
      </c>
      <c r="M691" s="225" t="str">
        <f>_xlfn.XLOOKUP(Logfile_S[[#This Row],[Material Name]],Sum_WH!E:E,Sum_WH!F:F,"",0)</f>
        <v>Pcs</v>
      </c>
      <c r="N691" s="221">
        <v>1</v>
      </c>
      <c r="O691" s="221" t="s">
        <v>2648</v>
      </c>
      <c r="P691" s="221" t="s">
        <v>2649</v>
      </c>
      <c r="Q691" s="221"/>
      <c r="R691" s="221"/>
      <c r="S691" s="221"/>
      <c r="T691" s="221" t="s">
        <v>3411</v>
      </c>
      <c r="U691" s="221">
        <v>0</v>
      </c>
      <c r="V691" s="221">
        <v>0</v>
      </c>
      <c r="W691" s="221" t="s">
        <v>3412</v>
      </c>
      <c r="X691" s="221"/>
      <c r="Y691" s="227"/>
      <c r="Z691" s="227" t="str">
        <f>P691</f>
        <v>Sitirejo RW 04 Wagir</v>
      </c>
      <c r="AA691" s="276" t="e">
        <f>VLOOKUP(Logfile_S[[#This Row],[DO number]],DO_DB!G:I,3,0)</f>
        <v>#N/A</v>
      </c>
      <c r="AB691" s="331" t="e">
        <f>EXACT(Logfile_S[[#This Row],[date pick]],Logfile_S[[#This Row],[Date]])</f>
        <v>#N/A</v>
      </c>
      <c r="AC6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92" spans="1:29" ht="14.5">
      <c r="A692" s="220" t="str">
        <f>TEXT(ROW(A692)-ROW($A$4),"000")</f>
        <v>688</v>
      </c>
      <c r="B692" s="221"/>
      <c r="C692" s="221" t="s">
        <v>49</v>
      </c>
      <c r="D692" s="221" t="s">
        <v>4341</v>
      </c>
      <c r="E692" s="221" t="s">
        <v>3295</v>
      </c>
      <c r="F692" s="221" t="s">
        <v>3299</v>
      </c>
      <c r="G692" s="222">
        <v>45709</v>
      </c>
      <c r="H692" s="223">
        <v>0.63124999999999998</v>
      </c>
      <c r="I692" s="221" t="s">
        <v>4916</v>
      </c>
      <c r="J692" s="221" t="s">
        <v>3023</v>
      </c>
      <c r="K692" s="224" t="s">
        <v>3070</v>
      </c>
      <c r="L692" s="225" t="str">
        <f>VLOOKUP(Logfile_S[[#This Row],[Material Name]],Sheet2!B:C,2,0)</f>
        <v>ZTE1002</v>
      </c>
      <c r="M692" s="225" t="str">
        <f>_xlfn.XLOOKUP(Logfile_S[[#This Row],[Material Name]],Sum_WH!E:E,Sum_WH!F:F,"",0)</f>
        <v>Pcs</v>
      </c>
      <c r="N692" s="221">
        <v>8</v>
      </c>
      <c r="O692" s="221" t="s">
        <v>2648</v>
      </c>
      <c r="P692" s="221" t="s">
        <v>2649</v>
      </c>
      <c r="Q692" s="221"/>
      <c r="R692" s="221"/>
      <c r="S692" s="221"/>
      <c r="T692" s="221" t="s">
        <v>3258</v>
      </c>
      <c r="U692" s="221">
        <v>0</v>
      </c>
      <c r="V692" s="221" t="s">
        <v>3337</v>
      </c>
      <c r="W692" s="221" t="s">
        <v>3338</v>
      </c>
      <c r="X692" s="221"/>
      <c r="Y692" s="227"/>
      <c r="Z692" s="227" t="str">
        <f>P692</f>
        <v>Sitirejo RW 04 Wagir</v>
      </c>
      <c r="AA692" s="276" t="e">
        <f>VLOOKUP(Logfile_S[[#This Row],[DO number]],DO_DB!G:I,3,0)</f>
        <v>#N/A</v>
      </c>
      <c r="AB692" s="331" t="e">
        <f>EXACT(Logfile_S[[#This Row],[date pick]],Logfile_S[[#This Row],[Date]])</f>
        <v>#N/A</v>
      </c>
      <c r="AC6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93" spans="1:29" ht="14.5">
      <c r="A693" s="220" t="str">
        <f>TEXT(ROW(A693)-ROW($A$4),"000")</f>
        <v>689</v>
      </c>
      <c r="B693" s="221"/>
      <c r="C693" s="221" t="s">
        <v>49</v>
      </c>
      <c r="D693" s="221" t="s">
        <v>4341</v>
      </c>
      <c r="E693" s="221" t="s">
        <v>3295</v>
      </c>
      <c r="F693" s="221" t="s">
        <v>3299</v>
      </c>
      <c r="G693" s="222">
        <v>45709</v>
      </c>
      <c r="H693" s="223">
        <v>0.63124999999999998</v>
      </c>
      <c r="I693" s="221" t="s">
        <v>4916</v>
      </c>
      <c r="J693" s="221" t="s">
        <v>3023</v>
      </c>
      <c r="K693" s="224" t="s">
        <v>3069</v>
      </c>
      <c r="L693" s="225" t="str">
        <f>VLOOKUP(Logfile_S[[#This Row],[Material Name]],Sheet2!B:C,2,0)</f>
        <v>ZTE1001</v>
      </c>
      <c r="M693" s="225" t="str">
        <f>_xlfn.XLOOKUP(Logfile_S[[#This Row],[Material Name]],Sum_WH!E:E,Sum_WH!F:F,"",0)</f>
        <v>Pcs</v>
      </c>
      <c r="N693" s="221">
        <v>10</v>
      </c>
      <c r="O693" s="221" t="s">
        <v>2648</v>
      </c>
      <c r="P693" s="221" t="s">
        <v>2649</v>
      </c>
      <c r="Q693" s="221"/>
      <c r="R693" s="221"/>
      <c r="S693" s="221"/>
      <c r="T693" s="221" t="s">
        <v>3258</v>
      </c>
      <c r="U693" s="221">
        <v>0</v>
      </c>
      <c r="V693" s="221" t="s">
        <v>3337</v>
      </c>
      <c r="W693" s="221" t="s">
        <v>3338</v>
      </c>
      <c r="X693" s="221"/>
      <c r="Y693" s="227"/>
      <c r="Z693" s="227" t="str">
        <f>P693</f>
        <v>Sitirejo RW 04 Wagir</v>
      </c>
      <c r="AA693" s="276" t="e">
        <f>VLOOKUP(Logfile_S[[#This Row],[DO number]],DO_DB!G:I,3,0)</f>
        <v>#N/A</v>
      </c>
      <c r="AB693" s="331" t="e">
        <f>EXACT(Logfile_S[[#This Row],[date pick]],Logfile_S[[#This Row],[Date]])</f>
        <v>#N/A</v>
      </c>
      <c r="AC6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94" spans="1:29" ht="14.5">
      <c r="A694" s="220" t="str">
        <f>TEXT(ROW(A694)-ROW($A$4),"000")</f>
        <v>690</v>
      </c>
      <c r="B694" s="221"/>
      <c r="C694" s="221" t="s">
        <v>49</v>
      </c>
      <c r="D694" s="221" t="s">
        <v>4341</v>
      </c>
      <c r="E694" s="221" t="s">
        <v>3295</v>
      </c>
      <c r="F694" s="221" t="s">
        <v>3299</v>
      </c>
      <c r="G694" s="222">
        <v>45709</v>
      </c>
      <c r="H694" s="223">
        <v>0.63124999999999998</v>
      </c>
      <c r="I694" s="221" t="s">
        <v>4916</v>
      </c>
      <c r="J694" s="221" t="s">
        <v>3023</v>
      </c>
      <c r="K694" s="224" t="s">
        <v>3220</v>
      </c>
      <c r="L694" s="225" t="str">
        <f>VLOOKUP(Logfile_S[[#This Row],[Material Name]],Sheet2!B:C,2,0)</f>
        <v>ZTE1003</v>
      </c>
      <c r="M694" s="225" t="str">
        <f>_xlfn.XLOOKUP(Logfile_S[[#This Row],[Material Name]],Sum_WH!E:E,Sum_WH!F:F,"",0)</f>
        <v>Pcs</v>
      </c>
      <c r="N694" s="221">
        <v>2</v>
      </c>
      <c r="O694" s="221" t="s">
        <v>2648</v>
      </c>
      <c r="P694" s="221" t="s">
        <v>2649</v>
      </c>
      <c r="Q694" s="221"/>
      <c r="R694" s="221"/>
      <c r="S694" s="221"/>
      <c r="T694" s="221" t="s">
        <v>3258</v>
      </c>
      <c r="U694" s="221">
        <v>0</v>
      </c>
      <c r="V694" s="221" t="s">
        <v>3337</v>
      </c>
      <c r="W694" s="221" t="s">
        <v>3338</v>
      </c>
      <c r="X694" s="221"/>
      <c r="Y694" s="227"/>
      <c r="Z694" s="227" t="str">
        <f>P694</f>
        <v>Sitirejo RW 04 Wagir</v>
      </c>
      <c r="AA694" s="276" t="e">
        <f>VLOOKUP(Logfile_S[[#This Row],[DO number]],DO_DB!G:I,3,0)</f>
        <v>#N/A</v>
      </c>
      <c r="AB694" s="331" t="e">
        <f>EXACT(Logfile_S[[#This Row],[date pick]],Logfile_S[[#This Row],[Date]])</f>
        <v>#N/A</v>
      </c>
      <c r="AC6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95" spans="1:29" ht="14.5">
      <c r="A695" s="220" t="str">
        <f>TEXT(ROW(A695)-ROW($A$4),"000")</f>
        <v>691</v>
      </c>
      <c r="B695" s="221"/>
      <c r="C695" s="221" t="s">
        <v>49</v>
      </c>
      <c r="D695" s="221" t="s">
        <v>4343</v>
      </c>
      <c r="E695" s="221" t="s">
        <v>3295</v>
      </c>
      <c r="F695" s="221" t="s">
        <v>3299</v>
      </c>
      <c r="G695" s="222">
        <v>45712</v>
      </c>
      <c r="H695" s="223">
        <v>0.63124999999999998</v>
      </c>
      <c r="I695" s="221" t="s">
        <v>4916</v>
      </c>
      <c r="J695" s="221" t="s">
        <v>3024</v>
      </c>
      <c r="K695" s="224" t="s">
        <v>3087</v>
      </c>
      <c r="L695" s="225" t="str">
        <f>VLOOKUP(Logfile_S[[#This Row],[Material Name]],Sheet2!B:C,2,0)</f>
        <v>GCI1001</v>
      </c>
      <c r="M695" s="225" t="str">
        <f>_xlfn.XLOOKUP(Logfile_S[[#This Row],[Material Name]],Sum_WH!E:E,Sum_WH!F:F,"",0)</f>
        <v>Pcs</v>
      </c>
      <c r="N695" s="221">
        <v>1</v>
      </c>
      <c r="O695" s="221" t="s">
        <v>2648</v>
      </c>
      <c r="P695" s="221" t="s">
        <v>2649</v>
      </c>
      <c r="Q695" s="221"/>
      <c r="R695" s="221"/>
      <c r="S695" s="221"/>
      <c r="T695" s="221" t="s">
        <v>3258</v>
      </c>
      <c r="U695" s="221">
        <v>0</v>
      </c>
      <c r="V695" s="221" t="s">
        <v>3337</v>
      </c>
      <c r="W695" s="221" t="s">
        <v>3338</v>
      </c>
      <c r="X695" s="221"/>
      <c r="Y695" s="227"/>
      <c r="Z695" s="227" t="str">
        <f>P695</f>
        <v>Sitirejo RW 04 Wagir</v>
      </c>
      <c r="AA695" s="276" t="e">
        <f>VLOOKUP(Logfile_S[[#This Row],[DO number]],DO_DB!G:I,3,0)</f>
        <v>#N/A</v>
      </c>
      <c r="AB695" s="331" t="e">
        <f>EXACT(Logfile_S[[#This Row],[date pick]],Logfile_S[[#This Row],[Date]])</f>
        <v>#N/A</v>
      </c>
      <c r="AC6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96" spans="1:29" ht="14.5">
      <c r="A696" s="220" t="str">
        <f>TEXT(ROW(A696)-ROW($A$4),"000")</f>
        <v>692</v>
      </c>
      <c r="B696" s="221"/>
      <c r="C696" s="221" t="s">
        <v>49</v>
      </c>
      <c r="D696" s="221" t="s">
        <v>4343</v>
      </c>
      <c r="E696" s="221" t="s">
        <v>3295</v>
      </c>
      <c r="F696" s="221" t="s">
        <v>3299</v>
      </c>
      <c r="G696" s="222">
        <v>45712</v>
      </c>
      <c r="H696" s="223">
        <v>0.63124999999999998</v>
      </c>
      <c r="I696" s="221" t="s">
        <v>4916</v>
      </c>
      <c r="J696" s="221" t="s">
        <v>3024</v>
      </c>
      <c r="K696" s="224" t="s">
        <v>5137</v>
      </c>
      <c r="L696" s="225" t="str">
        <f>VLOOKUP(Logfile_S[[#This Row],[Material Name]],Sheet2!B:C,2,0)</f>
        <v>GCI1009</v>
      </c>
      <c r="M696" s="225" t="str">
        <f>_xlfn.XLOOKUP(Logfile_S[[#This Row],[Material Name]],Sum_WH!E:E,Sum_WH!F:F,"",0)</f>
        <v>Pcs</v>
      </c>
      <c r="N696" s="221">
        <v>70</v>
      </c>
      <c r="O696" s="221" t="s">
        <v>2648</v>
      </c>
      <c r="P696" s="221" t="s">
        <v>2649</v>
      </c>
      <c r="Q696" s="221"/>
      <c r="R696" s="221"/>
      <c r="S696" s="221"/>
      <c r="T696" s="221" t="s">
        <v>3258</v>
      </c>
      <c r="U696" s="221">
        <v>0</v>
      </c>
      <c r="V696" s="221" t="s">
        <v>3337</v>
      </c>
      <c r="W696" s="221" t="s">
        <v>3338</v>
      </c>
      <c r="X696" s="221"/>
      <c r="Y696" s="227"/>
      <c r="Z696" s="227" t="str">
        <f>P696</f>
        <v>Sitirejo RW 04 Wagir</v>
      </c>
      <c r="AA696" s="276" t="e">
        <f>VLOOKUP(Logfile_S[[#This Row],[DO number]],DO_DB!G:I,3,0)</f>
        <v>#N/A</v>
      </c>
      <c r="AB696" s="331" t="e">
        <f>EXACT(Logfile_S[[#This Row],[date pick]],Logfile_S[[#This Row],[Date]])</f>
        <v>#N/A</v>
      </c>
      <c r="AC6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97" spans="1:29" ht="14.5">
      <c r="A697" s="220" t="str">
        <f>TEXT(ROW(A697)-ROW($A$4),"000")</f>
        <v>693</v>
      </c>
      <c r="B697" s="221"/>
      <c r="C697" s="221" t="s">
        <v>49</v>
      </c>
      <c r="D697" s="221" t="s">
        <v>4343</v>
      </c>
      <c r="E697" s="221" t="s">
        <v>3295</v>
      </c>
      <c r="F697" s="221" t="s">
        <v>3299</v>
      </c>
      <c r="G697" s="222">
        <v>45712</v>
      </c>
      <c r="H697" s="223">
        <v>0.63124999999999998</v>
      </c>
      <c r="I697" s="221" t="s">
        <v>4916</v>
      </c>
      <c r="J697" s="221" t="s">
        <v>3024</v>
      </c>
      <c r="K697" s="224" t="s">
        <v>3456</v>
      </c>
      <c r="L697" s="225" t="str">
        <f>VLOOKUP(Logfile_S[[#This Row],[Material Name]],Sheet2!B:C,2,0)</f>
        <v>GCI1008</v>
      </c>
      <c r="M697" s="225" t="str">
        <f>_xlfn.XLOOKUP(Logfile_S[[#This Row],[Material Name]],Sum_WH!E:E,Sum_WH!F:F,"",0)</f>
        <v>Pcs</v>
      </c>
      <c r="N697" s="221">
        <v>30</v>
      </c>
      <c r="O697" s="221" t="s">
        <v>2648</v>
      </c>
      <c r="P697" s="221" t="s">
        <v>2649</v>
      </c>
      <c r="Q697" s="221"/>
      <c r="R697" s="221"/>
      <c r="S697" s="221"/>
      <c r="T697" s="221" t="s">
        <v>3258</v>
      </c>
      <c r="U697" s="221">
        <v>0</v>
      </c>
      <c r="V697" s="221" t="s">
        <v>3337</v>
      </c>
      <c r="W697" s="221" t="s">
        <v>3338</v>
      </c>
      <c r="X697" s="221"/>
      <c r="Y697" s="227"/>
      <c r="Z697" s="227" t="str">
        <f>P697</f>
        <v>Sitirejo RW 04 Wagir</v>
      </c>
      <c r="AA697" s="276" t="e">
        <f>VLOOKUP(Logfile_S[[#This Row],[DO number]],DO_DB!G:I,3,0)</f>
        <v>#N/A</v>
      </c>
      <c r="AB697" s="331" t="e">
        <f>EXACT(Logfile_S[[#This Row],[date pick]],Logfile_S[[#This Row],[Date]])</f>
        <v>#N/A</v>
      </c>
      <c r="AC6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98" spans="1:29" ht="14.5">
      <c r="A698" s="220" t="str">
        <f>TEXT(ROW(A698)-ROW($A$4),"000")</f>
        <v>694</v>
      </c>
      <c r="B698" s="221"/>
      <c r="C698" s="221" t="s">
        <v>49</v>
      </c>
      <c r="D698" s="221" t="s">
        <v>4221</v>
      </c>
      <c r="E698" s="221" t="s">
        <v>3295</v>
      </c>
      <c r="F698" s="221" t="s">
        <v>3299</v>
      </c>
      <c r="G698" s="222">
        <v>45553</v>
      </c>
      <c r="H698" s="223">
        <v>0.43125000000000002</v>
      </c>
      <c r="I698" s="221" t="s">
        <v>4916</v>
      </c>
      <c r="J698" s="221" t="s">
        <v>3024</v>
      </c>
      <c r="K698" s="224" t="s">
        <v>3091</v>
      </c>
      <c r="L698" s="225" t="str">
        <f>VLOOKUP(Logfile_S[[#This Row],[Material Name]],Sheet2!B:C,2,0)</f>
        <v>GCI1005</v>
      </c>
      <c r="M698" s="225" t="str">
        <f>_xlfn.XLOOKUP(Logfile_S[[#This Row],[Material Name]],Sum_WH!E:E,Sum_WH!F:F,"",0)</f>
        <v>Pcs</v>
      </c>
      <c r="N698" s="221">
        <v>50</v>
      </c>
      <c r="O698" s="221" t="s">
        <v>1923</v>
      </c>
      <c r="P698" s="221" t="s">
        <v>1924</v>
      </c>
      <c r="Q698" s="221"/>
      <c r="R698" s="221"/>
      <c r="S698" s="221"/>
      <c r="T698" s="221" t="s">
        <v>3258</v>
      </c>
      <c r="U698" s="221">
        <v>0</v>
      </c>
      <c r="V698" s="221" t="s">
        <v>3337</v>
      </c>
      <c r="W698" s="221" t="s">
        <v>3338</v>
      </c>
      <c r="X698" s="221"/>
      <c r="Y698" s="227"/>
      <c r="Z698" s="227" t="str">
        <f>P698</f>
        <v>Pakisaji RW 01 Malang</v>
      </c>
      <c r="AA698" s="276" t="e">
        <f>VLOOKUP(Logfile_S[[#This Row],[DO number]],DO_DB!G:I,3,0)</f>
        <v>#N/A</v>
      </c>
      <c r="AB698" s="331" t="e">
        <f>EXACT(Logfile_S[[#This Row],[date pick]],Logfile_S[[#This Row],[Date]])</f>
        <v>#N/A</v>
      </c>
      <c r="AC6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699" spans="1:29" ht="14.5">
      <c r="A699" s="220" t="str">
        <f>TEXT(ROW(A699)-ROW($A$4),"000")</f>
        <v>695</v>
      </c>
      <c r="B699" s="221"/>
      <c r="C699" s="221" t="s">
        <v>49</v>
      </c>
      <c r="D699" s="221" t="s">
        <v>4221</v>
      </c>
      <c r="E699" s="221" t="s">
        <v>3295</v>
      </c>
      <c r="F699" s="221" t="s">
        <v>3299</v>
      </c>
      <c r="G699" s="222">
        <v>45553</v>
      </c>
      <c r="H699" s="223">
        <v>0.43125000000000002</v>
      </c>
      <c r="I699" s="221" t="s">
        <v>4916</v>
      </c>
      <c r="J699" s="221" t="s">
        <v>3024</v>
      </c>
      <c r="K699" s="224" t="s">
        <v>3087</v>
      </c>
      <c r="L699" s="225" t="str">
        <f>VLOOKUP(Logfile_S[[#This Row],[Material Name]],Sheet2!B:C,2,0)</f>
        <v>GCI1001</v>
      </c>
      <c r="M699" s="225" t="str">
        <f>_xlfn.XLOOKUP(Logfile_S[[#This Row],[Material Name]],Sum_WH!E:E,Sum_WH!F:F,"",0)</f>
        <v>Pcs</v>
      </c>
      <c r="N699" s="221">
        <v>8</v>
      </c>
      <c r="O699" s="221" t="s">
        <v>1923</v>
      </c>
      <c r="P699" s="221" t="s">
        <v>1924</v>
      </c>
      <c r="Q699" s="221"/>
      <c r="R699" s="221"/>
      <c r="S699" s="221"/>
      <c r="T699" s="221" t="s">
        <v>3258</v>
      </c>
      <c r="U699" s="221">
        <v>0</v>
      </c>
      <c r="V699" s="221" t="s">
        <v>3337</v>
      </c>
      <c r="W699" s="221" t="s">
        <v>3338</v>
      </c>
      <c r="X699" s="221"/>
      <c r="Y699" s="227"/>
      <c r="Z699" s="227" t="str">
        <f>P699</f>
        <v>Pakisaji RW 01 Malang</v>
      </c>
      <c r="AA699" s="276" t="e">
        <f>VLOOKUP(Logfile_S[[#This Row],[DO number]],DO_DB!G:I,3,0)</f>
        <v>#N/A</v>
      </c>
      <c r="AB699" s="331" t="e">
        <f>EXACT(Logfile_S[[#This Row],[date pick]],Logfile_S[[#This Row],[Date]])</f>
        <v>#N/A</v>
      </c>
      <c r="AC6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00" spans="1:29" ht="14.5">
      <c r="A700" s="220" t="str">
        <f>TEXT(ROW(A700)-ROW($A$4),"000")</f>
        <v>696</v>
      </c>
      <c r="B700" s="221"/>
      <c r="C700" s="221" t="s">
        <v>49</v>
      </c>
      <c r="D700" s="221" t="s">
        <v>4221</v>
      </c>
      <c r="E700" s="221" t="s">
        <v>3295</v>
      </c>
      <c r="F700" s="221" t="s">
        <v>3299</v>
      </c>
      <c r="G700" s="222">
        <v>45553</v>
      </c>
      <c r="H700" s="223">
        <v>0.43125000000000002</v>
      </c>
      <c r="I700" s="221" t="s">
        <v>4916</v>
      </c>
      <c r="J700" s="221" t="s">
        <v>3023</v>
      </c>
      <c r="K700" s="224" t="s">
        <v>3070</v>
      </c>
      <c r="L700" s="225" t="str">
        <f>VLOOKUP(Logfile_S[[#This Row],[Material Name]],Sheet2!B:C,2,0)</f>
        <v>ZTE1002</v>
      </c>
      <c r="M700" s="225" t="str">
        <f>_xlfn.XLOOKUP(Logfile_S[[#This Row],[Material Name]],Sum_WH!E:E,Sum_WH!F:F,"",0)</f>
        <v>Pcs</v>
      </c>
      <c r="N700" s="221">
        <v>3</v>
      </c>
      <c r="O700" s="221" t="s">
        <v>1923</v>
      </c>
      <c r="P700" s="221" t="s">
        <v>1924</v>
      </c>
      <c r="Q700" s="221"/>
      <c r="R700" s="221"/>
      <c r="S700" s="221"/>
      <c r="T700" s="221" t="s">
        <v>3258</v>
      </c>
      <c r="U700" s="221">
        <v>0</v>
      </c>
      <c r="V700" s="221" t="s">
        <v>3337</v>
      </c>
      <c r="W700" s="221" t="s">
        <v>3338</v>
      </c>
      <c r="X700" s="221"/>
      <c r="Y700" s="227"/>
      <c r="Z700" s="227" t="str">
        <f>P700</f>
        <v>Pakisaji RW 01 Malang</v>
      </c>
      <c r="AA700" s="276" t="e">
        <f>VLOOKUP(Logfile_S[[#This Row],[DO number]],DO_DB!G:I,3,0)</f>
        <v>#N/A</v>
      </c>
      <c r="AB700" s="331" t="e">
        <f>EXACT(Logfile_S[[#This Row],[date pick]],Logfile_S[[#This Row],[Date]])</f>
        <v>#N/A</v>
      </c>
      <c r="AC7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01" spans="1:29" ht="14.5">
      <c r="A701" s="220" t="str">
        <f>TEXT(ROW(A701)-ROW($A$4),"000")</f>
        <v>697</v>
      </c>
      <c r="B701" s="221"/>
      <c r="C701" s="221" t="s">
        <v>49</v>
      </c>
      <c r="D701" s="221" t="s">
        <v>4221</v>
      </c>
      <c r="E701" s="221" t="s">
        <v>3295</v>
      </c>
      <c r="F701" s="221" t="s">
        <v>3299</v>
      </c>
      <c r="G701" s="222">
        <v>45553</v>
      </c>
      <c r="H701" s="223">
        <v>0.43125000000000002</v>
      </c>
      <c r="I701" s="221" t="s">
        <v>4916</v>
      </c>
      <c r="J701" s="221" t="s">
        <v>3023</v>
      </c>
      <c r="K701" s="224" t="s">
        <v>3069</v>
      </c>
      <c r="L701" s="225" t="str">
        <f>VLOOKUP(Logfile_S[[#This Row],[Material Name]],Sheet2!B:C,2,0)</f>
        <v>ZTE1001</v>
      </c>
      <c r="M701" s="225" t="str">
        <f>_xlfn.XLOOKUP(Logfile_S[[#This Row],[Material Name]],Sum_WH!E:E,Sum_WH!F:F,"",0)</f>
        <v>Pcs</v>
      </c>
      <c r="N701" s="221">
        <v>19</v>
      </c>
      <c r="O701" s="221" t="s">
        <v>1923</v>
      </c>
      <c r="P701" s="221" t="s">
        <v>1924</v>
      </c>
      <c r="Q701" s="221"/>
      <c r="R701" s="221"/>
      <c r="S701" s="221"/>
      <c r="T701" s="221" t="s">
        <v>3258</v>
      </c>
      <c r="U701" s="221">
        <v>0</v>
      </c>
      <c r="V701" s="221" t="s">
        <v>3337</v>
      </c>
      <c r="W701" s="221" t="s">
        <v>3338</v>
      </c>
      <c r="X701" s="221"/>
      <c r="Y701" s="227"/>
      <c r="Z701" s="227" t="str">
        <f>P701</f>
        <v>Pakisaji RW 01 Malang</v>
      </c>
      <c r="AA701" s="276" t="e">
        <f>VLOOKUP(Logfile_S[[#This Row],[DO number]],DO_DB!G:I,3,0)</f>
        <v>#N/A</v>
      </c>
      <c r="AB701" s="331" t="e">
        <f>EXACT(Logfile_S[[#This Row],[date pick]],Logfile_S[[#This Row],[Date]])</f>
        <v>#N/A</v>
      </c>
      <c r="AC7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02" spans="1:29" ht="14.5">
      <c r="A702" s="220" t="str">
        <f>TEXT(ROW(A702)-ROW($A$4),"000")</f>
        <v>698</v>
      </c>
      <c r="B702" s="221"/>
      <c r="C702" s="221" t="s">
        <v>49</v>
      </c>
      <c r="D702" s="221" t="s">
        <v>4221</v>
      </c>
      <c r="E702" s="221" t="s">
        <v>3295</v>
      </c>
      <c r="F702" s="221" t="s">
        <v>3299</v>
      </c>
      <c r="G702" s="222">
        <v>45553</v>
      </c>
      <c r="H702" s="223">
        <v>0.43125000000000002</v>
      </c>
      <c r="I702" s="221" t="s">
        <v>4916</v>
      </c>
      <c r="J702" s="221" t="s">
        <v>3023</v>
      </c>
      <c r="K702" s="224" t="s">
        <v>3071</v>
      </c>
      <c r="L702" s="225" t="str">
        <f>VLOOKUP(Logfile_S[[#This Row],[Material Name]],Sheet2!B:C,2,0)</f>
        <v>ZTE1003</v>
      </c>
      <c r="M702" s="225" t="str">
        <f>_xlfn.XLOOKUP(Logfile_S[[#This Row],[Material Name]],Sum_WH!E:E,Sum_WH!F:F,"",0)</f>
        <v>Pcs</v>
      </c>
      <c r="N702" s="221">
        <v>2</v>
      </c>
      <c r="O702" s="221" t="s">
        <v>1923</v>
      </c>
      <c r="P702" s="221" t="s">
        <v>1924</v>
      </c>
      <c r="Q702" s="221"/>
      <c r="R702" s="221"/>
      <c r="S702" s="221"/>
      <c r="T702" s="221" t="s">
        <v>3258</v>
      </c>
      <c r="U702" s="221">
        <v>0</v>
      </c>
      <c r="V702" s="221" t="s">
        <v>3337</v>
      </c>
      <c r="W702" s="221" t="s">
        <v>3338</v>
      </c>
      <c r="X702" s="221"/>
      <c r="Y702" s="227"/>
      <c r="Z702" s="227" t="str">
        <f>P702</f>
        <v>Pakisaji RW 01 Malang</v>
      </c>
      <c r="AA702" s="276" t="e">
        <f>VLOOKUP(Logfile_S[[#This Row],[DO number]],DO_DB!G:I,3,0)</f>
        <v>#N/A</v>
      </c>
      <c r="AB702" s="331" t="e">
        <f>EXACT(Logfile_S[[#This Row],[date pick]],Logfile_S[[#This Row],[Date]])</f>
        <v>#N/A</v>
      </c>
      <c r="AC7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03" spans="1:29" ht="14.5">
      <c r="A703" s="220" t="str">
        <f>TEXT(ROW(A703)-ROW($A$4),"000")</f>
        <v>699</v>
      </c>
      <c r="B703" s="221"/>
      <c r="C703" s="221" t="s">
        <v>49</v>
      </c>
      <c r="D703" s="221" t="s">
        <v>4221</v>
      </c>
      <c r="E703" s="221" t="s">
        <v>3295</v>
      </c>
      <c r="F703" s="221" t="s">
        <v>3299</v>
      </c>
      <c r="G703" s="222">
        <v>45553</v>
      </c>
      <c r="H703" s="223">
        <v>0.43125000000000002</v>
      </c>
      <c r="I703" s="221" t="s">
        <v>4916</v>
      </c>
      <c r="J703" s="221" t="s">
        <v>3024</v>
      </c>
      <c r="K703" s="224" t="s">
        <v>3089</v>
      </c>
      <c r="L703" s="225" t="str">
        <f>VLOOKUP(Logfile_S[[#This Row],[Material Name]],Sheet2!B:C,2,0)</f>
        <v>GCI1003</v>
      </c>
      <c r="M703" s="225" t="str">
        <f>_xlfn.XLOOKUP(Logfile_S[[#This Row],[Material Name]],Sum_WH!E:E,Sum_WH!F:F,"",0)</f>
        <v>Pcs</v>
      </c>
      <c r="N703" s="221">
        <v>100</v>
      </c>
      <c r="O703" s="221" t="s">
        <v>1923</v>
      </c>
      <c r="P703" s="221" t="s">
        <v>1924</v>
      </c>
      <c r="Q703" s="221"/>
      <c r="R703" s="221"/>
      <c r="S703" s="221"/>
      <c r="T703" s="221" t="s">
        <v>3258</v>
      </c>
      <c r="U703" s="221">
        <v>0</v>
      </c>
      <c r="V703" s="221" t="s">
        <v>3337</v>
      </c>
      <c r="W703" s="221" t="s">
        <v>3338</v>
      </c>
      <c r="X703" s="221"/>
      <c r="Y703" s="227"/>
      <c r="Z703" s="227" t="str">
        <f>P703</f>
        <v>Pakisaji RW 01 Malang</v>
      </c>
      <c r="AA703" s="276" t="e">
        <f>VLOOKUP(Logfile_S[[#This Row],[DO number]],DO_DB!G:I,3,0)</f>
        <v>#N/A</v>
      </c>
      <c r="AB703" s="331" t="e">
        <f>EXACT(Logfile_S[[#This Row],[date pick]],Logfile_S[[#This Row],[Date]])</f>
        <v>#N/A</v>
      </c>
      <c r="AC7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04" spans="1:29" ht="14.5">
      <c r="A704" s="220" t="str">
        <f>TEXT(ROW(A704)-ROW($A$4),"000")</f>
        <v>700</v>
      </c>
      <c r="B704" s="221"/>
      <c r="C704" s="221" t="s">
        <v>49</v>
      </c>
      <c r="D704" s="221" t="s">
        <v>4226</v>
      </c>
      <c r="E704" s="221" t="s">
        <v>3295</v>
      </c>
      <c r="F704" s="221" t="s">
        <v>3299</v>
      </c>
      <c r="G704" s="222">
        <v>45555</v>
      </c>
      <c r="H704" s="223">
        <v>0.6430555555555556</v>
      </c>
      <c r="I704" s="221" t="s">
        <v>4916</v>
      </c>
      <c r="J704" s="221" t="s">
        <v>3024</v>
      </c>
      <c r="K704" s="224" t="s">
        <v>3087</v>
      </c>
      <c r="L704" s="225" t="str">
        <f>VLOOKUP(Logfile_S[[#This Row],[Material Name]],Sheet2!B:C,2,0)</f>
        <v>GCI1001</v>
      </c>
      <c r="M704" s="225" t="str">
        <f>_xlfn.XLOOKUP(Logfile_S[[#This Row],[Material Name]],Sum_WH!E:E,Sum_WH!F:F,"",0)</f>
        <v>Pcs</v>
      </c>
      <c r="N704" s="221">
        <v>8</v>
      </c>
      <c r="O704" s="221" t="s">
        <v>1923</v>
      </c>
      <c r="P704" s="221" t="s">
        <v>1924</v>
      </c>
      <c r="Q704" s="221"/>
      <c r="R704" s="221"/>
      <c r="S704" s="221"/>
      <c r="T704" s="221" t="s">
        <v>3258</v>
      </c>
      <c r="U704" s="221">
        <v>0</v>
      </c>
      <c r="V704" s="221" t="s">
        <v>3337</v>
      </c>
      <c r="W704" s="221" t="s">
        <v>3338</v>
      </c>
      <c r="X704" s="221"/>
      <c r="Y704" s="227"/>
      <c r="Z704" s="227" t="str">
        <f>P704</f>
        <v>Pakisaji RW 01 Malang</v>
      </c>
      <c r="AA704" s="276" t="e">
        <f>VLOOKUP(Logfile_S[[#This Row],[DO number]],DO_DB!G:I,3,0)</f>
        <v>#N/A</v>
      </c>
      <c r="AB704" s="331" t="e">
        <f>EXACT(Logfile_S[[#This Row],[date pick]],Logfile_S[[#This Row],[Date]])</f>
        <v>#N/A</v>
      </c>
      <c r="AC7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05" spans="1:29" ht="14.5">
      <c r="A705" s="220" t="str">
        <f>TEXT(ROW(A705)-ROW($A$4),"000")</f>
        <v>701</v>
      </c>
      <c r="B705" s="221"/>
      <c r="C705" s="221" t="s">
        <v>49</v>
      </c>
      <c r="D705" s="221" t="s">
        <v>4226</v>
      </c>
      <c r="E705" s="221" t="s">
        <v>3295</v>
      </c>
      <c r="F705" s="221" t="s">
        <v>3299</v>
      </c>
      <c r="G705" s="222">
        <v>45555</v>
      </c>
      <c r="H705" s="223">
        <v>0.6430555555555556</v>
      </c>
      <c r="I705" s="221" t="s">
        <v>4916</v>
      </c>
      <c r="J705" s="221" t="s">
        <v>3023</v>
      </c>
      <c r="K705" s="224" t="s">
        <v>3069</v>
      </c>
      <c r="L705" s="225" t="str">
        <f>VLOOKUP(Logfile_S[[#This Row],[Material Name]],Sheet2!B:C,2,0)</f>
        <v>ZTE1001</v>
      </c>
      <c r="M705" s="225" t="str">
        <f>_xlfn.XLOOKUP(Logfile_S[[#This Row],[Material Name]],Sum_WH!E:E,Sum_WH!F:F,"",0)</f>
        <v>Pcs</v>
      </c>
      <c r="N705" s="221">
        <v>21</v>
      </c>
      <c r="O705" s="221" t="s">
        <v>1923</v>
      </c>
      <c r="P705" s="221" t="s">
        <v>1924</v>
      </c>
      <c r="Q705" s="221"/>
      <c r="R705" s="221"/>
      <c r="S705" s="221"/>
      <c r="T705" s="221" t="s">
        <v>3258</v>
      </c>
      <c r="U705" s="221">
        <v>0</v>
      </c>
      <c r="V705" s="221" t="s">
        <v>3337</v>
      </c>
      <c r="W705" s="221" t="s">
        <v>3338</v>
      </c>
      <c r="X705" s="221"/>
      <c r="Y705" s="227"/>
      <c r="Z705" s="227" t="str">
        <f>P705</f>
        <v>Pakisaji RW 01 Malang</v>
      </c>
      <c r="AA705" s="276" t="e">
        <f>VLOOKUP(Logfile_S[[#This Row],[DO number]],DO_DB!G:I,3,0)</f>
        <v>#N/A</v>
      </c>
      <c r="AB705" s="331" t="e">
        <f>EXACT(Logfile_S[[#This Row],[date pick]],Logfile_S[[#This Row],[Date]])</f>
        <v>#N/A</v>
      </c>
      <c r="AC7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06" spans="1:29" ht="14.5">
      <c r="A706" s="220" t="str">
        <f>TEXT(ROW(A706)-ROW($A$4),"000")</f>
        <v>702</v>
      </c>
      <c r="B706" s="221"/>
      <c r="C706" s="221" t="s">
        <v>49</v>
      </c>
      <c r="D706" s="221" t="s">
        <v>4246</v>
      </c>
      <c r="E706" s="221" t="s">
        <v>3295</v>
      </c>
      <c r="F706" s="221" t="s">
        <v>3299</v>
      </c>
      <c r="G706" s="222">
        <v>45570</v>
      </c>
      <c r="H706" s="223">
        <v>0.79027777777777775</v>
      </c>
      <c r="I706" s="221" t="s">
        <v>4916</v>
      </c>
      <c r="J706" s="221" t="s">
        <v>3023</v>
      </c>
      <c r="K706" s="224" t="s">
        <v>13</v>
      </c>
      <c r="L706" s="225" t="str">
        <f>VLOOKUP(Logfile_S[[#This Row],[Material Name]],Sheet2!B:C,2,0)</f>
        <v>ZTE2008</v>
      </c>
      <c r="M706" s="225" t="str">
        <f>_xlfn.XLOOKUP(Logfile_S[[#This Row],[Material Name]],Sum_WH!E:E,Sum_WH!F:F,"",0)</f>
        <v>Pcs</v>
      </c>
      <c r="N706" s="221">
        <v>22</v>
      </c>
      <c r="O706" s="221" t="s">
        <v>1923</v>
      </c>
      <c r="P706" s="221" t="s">
        <v>1924</v>
      </c>
      <c r="Q706" s="221"/>
      <c r="R706" s="221"/>
      <c r="S706" s="221"/>
      <c r="T706" s="221" t="s">
        <v>3356</v>
      </c>
      <c r="U706" s="221">
        <v>0</v>
      </c>
      <c r="V706" s="221" t="s">
        <v>3357</v>
      </c>
      <c r="W706" s="221" t="s">
        <v>3358</v>
      </c>
      <c r="X706" s="221"/>
      <c r="Y706" s="227"/>
      <c r="Z706" s="227" t="str">
        <f>P706</f>
        <v>Pakisaji RW 01 Malang</v>
      </c>
      <c r="AA706" s="276" t="e">
        <f>VLOOKUP(Logfile_S[[#This Row],[DO number]],DO_DB!G:I,3,0)</f>
        <v>#N/A</v>
      </c>
      <c r="AB706" s="331" t="e">
        <f>EXACT(Logfile_S[[#This Row],[date pick]],Logfile_S[[#This Row],[Date]])</f>
        <v>#N/A</v>
      </c>
      <c r="AC7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07" spans="1:29" ht="14.5">
      <c r="A707" s="220" t="str">
        <f>TEXT(ROW(A707)-ROW($A$4),"000")</f>
        <v>703</v>
      </c>
      <c r="B707" s="221"/>
      <c r="C707" s="221" t="s">
        <v>49</v>
      </c>
      <c r="D707" s="221" t="s">
        <v>4246</v>
      </c>
      <c r="E707" s="221" t="s">
        <v>3295</v>
      </c>
      <c r="F707" s="221" t="s">
        <v>3299</v>
      </c>
      <c r="G707" s="222">
        <v>45570</v>
      </c>
      <c r="H707" s="223">
        <v>0.79027777777777775</v>
      </c>
      <c r="I707" s="221" t="s">
        <v>4916</v>
      </c>
      <c r="J707" s="221" t="s">
        <v>3023</v>
      </c>
      <c r="K707" s="224" t="s">
        <v>14</v>
      </c>
      <c r="L707" s="225" t="str">
        <f>VLOOKUP(Logfile_S[[#This Row],[Material Name]],Sheet2!B:C,2,0)</f>
        <v>ZTE2005</v>
      </c>
      <c r="M707" s="225" t="str">
        <f>_xlfn.XLOOKUP(Logfile_S[[#This Row],[Material Name]],Sum_WH!E:E,Sum_WH!F:F,"",0)</f>
        <v>Pcs</v>
      </c>
      <c r="N707" s="221">
        <v>1</v>
      </c>
      <c r="O707" s="221" t="s">
        <v>1923</v>
      </c>
      <c r="P707" s="221" t="s">
        <v>1924</v>
      </c>
      <c r="Q707" s="221"/>
      <c r="R707" s="221"/>
      <c r="S707" s="221"/>
      <c r="T707" s="221" t="s">
        <v>3356</v>
      </c>
      <c r="U707" s="221">
        <v>0</v>
      </c>
      <c r="V707" s="221" t="s">
        <v>3357</v>
      </c>
      <c r="W707" s="221" t="s">
        <v>3358</v>
      </c>
      <c r="X707" s="221"/>
      <c r="Y707" s="227"/>
      <c r="Z707" s="227" t="str">
        <f>P707</f>
        <v>Pakisaji RW 01 Malang</v>
      </c>
      <c r="AA707" s="276" t="e">
        <f>VLOOKUP(Logfile_S[[#This Row],[DO number]],DO_DB!G:I,3,0)</f>
        <v>#N/A</v>
      </c>
      <c r="AB707" s="331" t="e">
        <f>EXACT(Logfile_S[[#This Row],[date pick]],Logfile_S[[#This Row],[Date]])</f>
        <v>#N/A</v>
      </c>
      <c r="AC7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08" spans="1:29" ht="14.5">
      <c r="A708" s="220" t="str">
        <f>TEXT(ROW(A708)-ROW($A$4),"000")</f>
        <v>704</v>
      </c>
      <c r="B708" s="221"/>
      <c r="C708" s="221" t="s">
        <v>49</v>
      </c>
      <c r="D708" s="221" t="s">
        <v>4258</v>
      </c>
      <c r="E708" s="221" t="s">
        <v>3295</v>
      </c>
      <c r="F708" s="221" t="s">
        <v>3299</v>
      </c>
      <c r="G708" s="222">
        <v>45595</v>
      </c>
      <c r="H708" s="223">
        <v>0.97569444444444442</v>
      </c>
      <c r="I708" s="221" t="s">
        <v>4916</v>
      </c>
      <c r="J708" s="221" t="s">
        <v>3024</v>
      </c>
      <c r="K708" s="224" t="s">
        <v>3091</v>
      </c>
      <c r="L708" s="225" t="str">
        <f>VLOOKUP(Logfile_S[[#This Row],[Material Name]],Sheet2!B:C,2,0)</f>
        <v>GCI1005</v>
      </c>
      <c r="M708" s="225" t="str">
        <f>_xlfn.XLOOKUP(Logfile_S[[#This Row],[Material Name]],Sum_WH!E:E,Sum_WH!F:F,"",0)</f>
        <v>Pcs</v>
      </c>
      <c r="N708" s="221">
        <v>6</v>
      </c>
      <c r="O708" s="221" t="s">
        <v>1923</v>
      </c>
      <c r="P708" s="221" t="s">
        <v>1924</v>
      </c>
      <c r="Q708" s="221"/>
      <c r="R708" s="221"/>
      <c r="S708" s="221"/>
      <c r="T708" s="221" t="s">
        <v>3258</v>
      </c>
      <c r="U708" s="221">
        <v>0</v>
      </c>
      <c r="V708" s="221" t="s">
        <v>3337</v>
      </c>
      <c r="W708" s="221" t="s">
        <v>3338</v>
      </c>
      <c r="X708" s="221"/>
      <c r="Y708" s="227"/>
      <c r="Z708" s="227" t="str">
        <f>P708</f>
        <v>Pakisaji RW 01 Malang</v>
      </c>
      <c r="AA708" s="276" t="e">
        <f>VLOOKUP(Logfile_S[[#This Row],[DO number]],DO_DB!G:I,3,0)</f>
        <v>#N/A</v>
      </c>
      <c r="AB708" s="331" t="e">
        <f>EXACT(Logfile_S[[#This Row],[date pick]],Logfile_S[[#This Row],[Date]])</f>
        <v>#N/A</v>
      </c>
      <c r="AC7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09" spans="1:29" ht="14.5">
      <c r="A709" s="220" t="str">
        <f>TEXT(ROW(A709)-ROW($A$4),"000")</f>
        <v>705</v>
      </c>
      <c r="B709" s="221"/>
      <c r="C709" s="221" t="s">
        <v>49</v>
      </c>
      <c r="D709" s="221" t="s">
        <v>4260</v>
      </c>
      <c r="E709" s="221" t="s">
        <v>3295</v>
      </c>
      <c r="F709" s="221" t="s">
        <v>3299</v>
      </c>
      <c r="G709" s="222">
        <v>45595</v>
      </c>
      <c r="H709" s="223">
        <v>0.97569444444444442</v>
      </c>
      <c r="I709" s="221" t="s">
        <v>4916</v>
      </c>
      <c r="J709" s="221" t="s">
        <v>3024</v>
      </c>
      <c r="K709" s="224" t="s">
        <v>5137</v>
      </c>
      <c r="L709" s="225" t="str">
        <f>VLOOKUP(Logfile_S[[#This Row],[Material Name]],Sheet2!B:C,2,0)</f>
        <v>GCI1009</v>
      </c>
      <c r="M709" s="225" t="str">
        <f>_xlfn.XLOOKUP(Logfile_S[[#This Row],[Material Name]],Sum_WH!E:E,Sum_WH!F:F,"",0)</f>
        <v>Pcs</v>
      </c>
      <c r="N709" s="221">
        <v>20</v>
      </c>
      <c r="O709" s="221" t="s">
        <v>1923</v>
      </c>
      <c r="P709" s="221" t="s">
        <v>1924</v>
      </c>
      <c r="Q709" s="221"/>
      <c r="R709" s="221"/>
      <c r="S709" s="221"/>
      <c r="T709" s="221" t="s">
        <v>3258</v>
      </c>
      <c r="U709" s="221">
        <v>0</v>
      </c>
      <c r="V709" s="221" t="s">
        <v>3337</v>
      </c>
      <c r="W709" s="221" t="s">
        <v>3338</v>
      </c>
      <c r="X709" s="221"/>
      <c r="Y709" s="227"/>
      <c r="Z709" s="227" t="str">
        <f>P709</f>
        <v>Pakisaji RW 01 Malang</v>
      </c>
      <c r="AA709" s="276" t="e">
        <f>VLOOKUP(Logfile_S[[#This Row],[DO number]],DO_DB!G:I,3,0)</f>
        <v>#N/A</v>
      </c>
      <c r="AB709" s="331" t="e">
        <f>EXACT(Logfile_S[[#This Row],[date pick]],Logfile_S[[#This Row],[Date]])</f>
        <v>#N/A</v>
      </c>
      <c r="AC7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10" spans="1:29" ht="14.5">
      <c r="A710" s="220" t="str">
        <f>TEXT(ROW(A710)-ROW($A$4),"000")</f>
        <v>706</v>
      </c>
      <c r="B710" s="221"/>
      <c r="C710" s="221" t="s">
        <v>49</v>
      </c>
      <c r="D710" s="221" t="s">
        <v>4262</v>
      </c>
      <c r="E710" s="221" t="s">
        <v>3295</v>
      </c>
      <c r="F710" s="221" t="s">
        <v>3299</v>
      </c>
      <c r="G710" s="222">
        <v>45595</v>
      </c>
      <c r="H710" s="223">
        <v>0.97569444444444442</v>
      </c>
      <c r="I710" s="221" t="s">
        <v>4916</v>
      </c>
      <c r="J710" s="221" t="s">
        <v>3024</v>
      </c>
      <c r="K710" s="224" t="s">
        <v>3094</v>
      </c>
      <c r="L710" s="225" t="str">
        <f>VLOOKUP(Logfile_S[[#This Row],[Material Name]],Sheet2!B:C,2,0)</f>
        <v>GCI1008</v>
      </c>
      <c r="M710" s="225" t="str">
        <f>_xlfn.XLOOKUP(Logfile_S[[#This Row],[Material Name]],Sum_WH!E:E,Sum_WH!F:F,"",0)</f>
        <v>Pcs</v>
      </c>
      <c r="N710" s="221">
        <v>10</v>
      </c>
      <c r="O710" s="221" t="s">
        <v>1923</v>
      </c>
      <c r="P710" s="221" t="s">
        <v>1924</v>
      </c>
      <c r="Q710" s="221"/>
      <c r="R710" s="221"/>
      <c r="S710" s="221"/>
      <c r="T710" s="221" t="s">
        <v>3258</v>
      </c>
      <c r="U710" s="221">
        <v>0</v>
      </c>
      <c r="V710" s="221" t="s">
        <v>3337</v>
      </c>
      <c r="W710" s="221" t="s">
        <v>3338</v>
      </c>
      <c r="X710" s="221"/>
      <c r="Y710" s="227"/>
      <c r="Z710" s="227" t="str">
        <f>P710</f>
        <v>Pakisaji RW 01 Malang</v>
      </c>
      <c r="AA710" s="276" t="e">
        <f>VLOOKUP(Logfile_S[[#This Row],[DO number]],DO_DB!G:I,3,0)</f>
        <v>#N/A</v>
      </c>
      <c r="AB710" s="331" t="e">
        <f>EXACT(Logfile_S[[#This Row],[date pick]],Logfile_S[[#This Row],[Date]])</f>
        <v>#N/A</v>
      </c>
      <c r="AC7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11" spans="1:29" ht="14.5">
      <c r="A711" s="220" t="str">
        <f>TEXT(ROW(A711)-ROW($A$4),"000")</f>
        <v>707</v>
      </c>
      <c r="B711" s="221"/>
      <c r="C711" s="221" t="s">
        <v>49</v>
      </c>
      <c r="D711" s="221" t="s">
        <v>4264</v>
      </c>
      <c r="E711" s="221" t="s">
        <v>3295</v>
      </c>
      <c r="F711" s="221" t="s">
        <v>3299</v>
      </c>
      <c r="G711" s="222">
        <v>45595</v>
      </c>
      <c r="H711" s="223">
        <v>0.97569444444444442</v>
      </c>
      <c r="I711" s="221" t="s">
        <v>4916</v>
      </c>
      <c r="J711" s="221" t="s">
        <v>3024</v>
      </c>
      <c r="K711" s="224" t="s">
        <v>3090</v>
      </c>
      <c r="L711" s="225" t="str">
        <f>VLOOKUP(Logfile_S[[#This Row],[Material Name]],Sheet2!B:C,2,0)</f>
        <v>GCI1004</v>
      </c>
      <c r="M711" s="225" t="str">
        <f>_xlfn.XLOOKUP(Logfile_S[[#This Row],[Material Name]],Sum_WH!E:E,Sum_WH!F:F,"",0)</f>
        <v>Pcs</v>
      </c>
      <c r="N711" s="221">
        <v>10</v>
      </c>
      <c r="O711" s="221" t="s">
        <v>1923</v>
      </c>
      <c r="P711" s="221" t="s">
        <v>1924</v>
      </c>
      <c r="Q711" s="221"/>
      <c r="R711" s="221"/>
      <c r="S711" s="221"/>
      <c r="T711" s="221" t="s">
        <v>3258</v>
      </c>
      <c r="U711" s="221">
        <v>0</v>
      </c>
      <c r="V711" s="221" t="s">
        <v>3337</v>
      </c>
      <c r="W711" s="221" t="s">
        <v>3338</v>
      </c>
      <c r="X711" s="221"/>
      <c r="Y711" s="227"/>
      <c r="Z711" s="227" t="str">
        <f>P711</f>
        <v>Pakisaji RW 01 Malang</v>
      </c>
      <c r="AA711" s="276" t="e">
        <f>VLOOKUP(Logfile_S[[#This Row],[DO number]],DO_DB!G:I,3,0)</f>
        <v>#N/A</v>
      </c>
      <c r="AB711" s="331" t="e">
        <f>EXACT(Logfile_S[[#This Row],[date pick]],Logfile_S[[#This Row],[Date]])</f>
        <v>#N/A</v>
      </c>
      <c r="AC7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12" spans="1:29" ht="14.5">
      <c r="A712" s="220" t="str">
        <f>TEXT(ROW(A712)-ROW($A$4),"000")</f>
        <v>708</v>
      </c>
      <c r="B712" s="221"/>
      <c r="C712" s="221" t="s">
        <v>49</v>
      </c>
      <c r="D712" s="221" t="s">
        <v>4301</v>
      </c>
      <c r="E712" s="221" t="s">
        <v>3295</v>
      </c>
      <c r="F712" s="221" t="s">
        <v>3299</v>
      </c>
      <c r="G712" s="222">
        <v>45640</v>
      </c>
      <c r="H712" s="223">
        <v>0.48541666666666666</v>
      </c>
      <c r="I712" s="221" t="s">
        <v>4916</v>
      </c>
      <c r="J712" s="221" t="s">
        <v>3023</v>
      </c>
      <c r="K712" s="224" t="s">
        <v>3073</v>
      </c>
      <c r="L712" s="225" t="str">
        <f>VLOOKUP(Logfile_S[[#This Row],[Material Name]],Sheet2!B:C,2,0)</f>
        <v>ZTE2001</v>
      </c>
      <c r="M712" s="225" t="str">
        <f>_xlfn.XLOOKUP(Logfile_S[[#This Row],[Material Name]],Sum_WH!E:E,Sum_WH!F:F,"",0)</f>
        <v>Meter</v>
      </c>
      <c r="N712" s="221">
        <v>3000</v>
      </c>
      <c r="O712" s="221" t="s">
        <v>2539</v>
      </c>
      <c r="P712" s="221" t="s">
        <v>2540</v>
      </c>
      <c r="Q712" s="221"/>
      <c r="R712" s="221"/>
      <c r="S712" s="221"/>
      <c r="T712" s="221" t="s">
        <v>3258</v>
      </c>
      <c r="U712" s="221" t="s">
        <v>5107</v>
      </c>
      <c r="V712" s="221" t="s">
        <v>3337</v>
      </c>
      <c r="W712" s="221" t="s">
        <v>3338</v>
      </c>
      <c r="X712" s="221" t="s">
        <v>3515</v>
      </c>
      <c r="Y712" s="227"/>
      <c r="Z712" s="227" t="str">
        <f>P712</f>
        <v>Permanu RW 02 Pakisaji</v>
      </c>
      <c r="AA712" s="276" t="e">
        <f>VLOOKUP(Logfile_S[[#This Row],[DO number]],DO_DB!G:I,3,0)</f>
        <v>#N/A</v>
      </c>
      <c r="AB712" s="331" t="e">
        <f>EXACT(Logfile_S[[#This Row],[date pick]],Logfile_S[[#This Row],[Date]])</f>
        <v>#N/A</v>
      </c>
      <c r="AC7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13" spans="1:29" ht="14.5">
      <c r="A713" s="220" t="str">
        <f>TEXT(ROW(A713)-ROW($A$4),"000")</f>
        <v>709</v>
      </c>
      <c r="B713" s="221"/>
      <c r="C713" s="221" t="s">
        <v>49</v>
      </c>
      <c r="D713" s="221" t="s">
        <v>4306</v>
      </c>
      <c r="E713" s="221" t="s">
        <v>3295</v>
      </c>
      <c r="F713" s="221" t="s">
        <v>3299</v>
      </c>
      <c r="G713" s="222">
        <v>45643</v>
      </c>
      <c r="H713" s="223">
        <v>0.65902777777777777</v>
      </c>
      <c r="I713" s="221" t="s">
        <v>4916</v>
      </c>
      <c r="J713" s="221" t="s">
        <v>3023</v>
      </c>
      <c r="K713" s="224" t="s">
        <v>14</v>
      </c>
      <c r="L713" s="225" t="str">
        <f>VLOOKUP(Logfile_S[[#This Row],[Material Name]],Sheet2!B:C,2,0)</f>
        <v>ZTE2005</v>
      </c>
      <c r="M713" s="225" t="str">
        <f>_xlfn.XLOOKUP(Logfile_S[[#This Row],[Material Name]],Sum_WH!E:E,Sum_WH!F:F,"",0)</f>
        <v>Pcs</v>
      </c>
      <c r="N713" s="221">
        <v>1</v>
      </c>
      <c r="O713" s="221" t="s">
        <v>2539</v>
      </c>
      <c r="P713" s="221" t="s">
        <v>2540</v>
      </c>
      <c r="Q713" s="221"/>
      <c r="R713" s="221"/>
      <c r="S713" s="221"/>
      <c r="T713" s="221" t="s">
        <v>3540</v>
      </c>
      <c r="U713" s="221">
        <v>0</v>
      </c>
      <c r="V713" s="221">
        <v>0</v>
      </c>
      <c r="W713" s="221" t="s">
        <v>3412</v>
      </c>
      <c r="X713" s="221"/>
      <c r="Y713" s="227"/>
      <c r="Z713" s="227" t="str">
        <f>P713</f>
        <v>Permanu RW 02 Pakisaji</v>
      </c>
      <c r="AA713" s="276" t="e">
        <f>VLOOKUP(Logfile_S[[#This Row],[DO number]],DO_DB!G:I,3,0)</f>
        <v>#N/A</v>
      </c>
      <c r="AB713" s="331" t="e">
        <f>EXACT(Logfile_S[[#This Row],[date pick]],Logfile_S[[#This Row],[Date]])</f>
        <v>#N/A</v>
      </c>
      <c r="AC7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14" spans="1:29" ht="14.5">
      <c r="A714" s="220" t="str">
        <f>TEXT(ROW(A714)-ROW($A$4),"000")</f>
        <v>710</v>
      </c>
      <c r="B714" s="221"/>
      <c r="C714" s="221" t="s">
        <v>49</v>
      </c>
      <c r="D714" s="221" t="s">
        <v>4301</v>
      </c>
      <c r="E714" s="221" t="s">
        <v>3295</v>
      </c>
      <c r="F714" s="221" t="s">
        <v>3299</v>
      </c>
      <c r="G714" s="222">
        <v>45640</v>
      </c>
      <c r="H714" s="223">
        <v>0.48541666666666666</v>
      </c>
      <c r="I714" s="221" t="s">
        <v>4916</v>
      </c>
      <c r="J714" s="221" t="s">
        <v>3024</v>
      </c>
      <c r="K714" s="224" t="s">
        <v>3087</v>
      </c>
      <c r="L714" s="225" t="str">
        <f>VLOOKUP(Logfile_S[[#This Row],[Material Name]],Sheet2!B:C,2,0)</f>
        <v>GCI1001</v>
      </c>
      <c r="M714" s="225" t="str">
        <f>_xlfn.XLOOKUP(Logfile_S[[#This Row],[Material Name]],Sum_WH!E:E,Sum_WH!F:F,"",0)</f>
        <v>Pcs</v>
      </c>
      <c r="N714" s="221">
        <v>46</v>
      </c>
      <c r="O714" s="221" t="s">
        <v>2549</v>
      </c>
      <c r="P714" s="221" t="s">
        <v>2550</v>
      </c>
      <c r="Q714" s="221"/>
      <c r="R714" s="221"/>
      <c r="S714" s="221"/>
      <c r="T714" s="221" t="s">
        <v>3258</v>
      </c>
      <c r="U714" s="221">
        <v>0</v>
      </c>
      <c r="V714" s="221" t="s">
        <v>3337</v>
      </c>
      <c r="W714" s="221" t="s">
        <v>3338</v>
      </c>
      <c r="X714" s="221"/>
      <c r="Y714" s="227"/>
      <c r="Z714" s="227" t="str">
        <f>P714</f>
        <v>PERMANU RW 01 MALANG</v>
      </c>
      <c r="AA714" s="276" t="e">
        <f>VLOOKUP(Logfile_S[[#This Row],[DO number]],DO_DB!G:I,3,0)</f>
        <v>#N/A</v>
      </c>
      <c r="AB714" s="331" t="e">
        <f>EXACT(Logfile_S[[#This Row],[date pick]],Logfile_S[[#This Row],[Date]])</f>
        <v>#N/A</v>
      </c>
      <c r="AC7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15" spans="1:29" ht="14.5">
      <c r="A715" s="220" t="str">
        <f>TEXT(ROW(A715)-ROW($A$4),"000")</f>
        <v>711</v>
      </c>
      <c r="B715" s="221"/>
      <c r="C715" s="221" t="s">
        <v>49</v>
      </c>
      <c r="D715" s="221" t="s">
        <v>4301</v>
      </c>
      <c r="E715" s="221" t="s">
        <v>3295</v>
      </c>
      <c r="F715" s="221" t="s">
        <v>3299</v>
      </c>
      <c r="G715" s="222">
        <v>45640</v>
      </c>
      <c r="H715" s="223">
        <v>0.48541666666666666</v>
      </c>
      <c r="I715" s="221" t="s">
        <v>4916</v>
      </c>
      <c r="J715" s="221" t="s">
        <v>3024</v>
      </c>
      <c r="K715" s="224" t="s">
        <v>5137</v>
      </c>
      <c r="L715" s="225" t="str">
        <f>VLOOKUP(Logfile_S[[#This Row],[Material Name]],Sheet2!B:C,2,0)</f>
        <v>GCI1009</v>
      </c>
      <c r="M715" s="225" t="str">
        <f>_xlfn.XLOOKUP(Logfile_S[[#This Row],[Material Name]],Sum_WH!E:E,Sum_WH!F:F,"",0)</f>
        <v>Pcs</v>
      </c>
      <c r="N715" s="221">
        <v>100</v>
      </c>
      <c r="O715" s="221" t="s">
        <v>2549</v>
      </c>
      <c r="P715" s="221" t="s">
        <v>2550</v>
      </c>
      <c r="Q715" s="221"/>
      <c r="R715" s="221"/>
      <c r="S715" s="221"/>
      <c r="T715" s="221" t="s">
        <v>3258</v>
      </c>
      <c r="U715" s="221">
        <v>0</v>
      </c>
      <c r="V715" s="221" t="s">
        <v>3337</v>
      </c>
      <c r="W715" s="221" t="s">
        <v>3338</v>
      </c>
      <c r="X715" s="221"/>
      <c r="Y715" s="227"/>
      <c r="Z715" s="227" t="str">
        <f>P715</f>
        <v>PERMANU RW 01 MALANG</v>
      </c>
      <c r="AA715" s="276" t="e">
        <f>VLOOKUP(Logfile_S[[#This Row],[DO number]],DO_DB!G:I,3,0)</f>
        <v>#N/A</v>
      </c>
      <c r="AB715" s="331" t="e">
        <f>EXACT(Logfile_S[[#This Row],[date pick]],Logfile_S[[#This Row],[Date]])</f>
        <v>#N/A</v>
      </c>
      <c r="AC7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16" spans="1:29" ht="14.5">
      <c r="A716" s="220" t="str">
        <f>TEXT(ROW(A716)-ROW($A$4),"000")</f>
        <v>712</v>
      </c>
      <c r="B716" s="221"/>
      <c r="C716" s="221" t="s">
        <v>49</v>
      </c>
      <c r="D716" s="221" t="s">
        <v>4301</v>
      </c>
      <c r="E716" s="221" t="s">
        <v>3295</v>
      </c>
      <c r="F716" s="221" t="s">
        <v>3299</v>
      </c>
      <c r="G716" s="222">
        <v>45640</v>
      </c>
      <c r="H716" s="223">
        <v>0.48541666666666666</v>
      </c>
      <c r="I716" s="221" t="s">
        <v>4916</v>
      </c>
      <c r="J716" s="221" t="s">
        <v>3023</v>
      </c>
      <c r="K716" s="224" t="s">
        <v>3070</v>
      </c>
      <c r="L716" s="225" t="str">
        <f>VLOOKUP(Logfile_S[[#This Row],[Material Name]],Sheet2!B:C,2,0)</f>
        <v>ZTE1002</v>
      </c>
      <c r="M716" s="225" t="str">
        <f>_xlfn.XLOOKUP(Logfile_S[[#This Row],[Material Name]],Sum_WH!E:E,Sum_WH!F:F,"",0)</f>
        <v>Pcs</v>
      </c>
      <c r="N716" s="221">
        <v>7</v>
      </c>
      <c r="O716" s="221" t="s">
        <v>2549</v>
      </c>
      <c r="P716" s="221" t="s">
        <v>2550</v>
      </c>
      <c r="Q716" s="221"/>
      <c r="R716" s="221"/>
      <c r="S716" s="221"/>
      <c r="T716" s="221" t="s">
        <v>3258</v>
      </c>
      <c r="U716" s="221">
        <v>0</v>
      </c>
      <c r="V716" s="221" t="s">
        <v>3337</v>
      </c>
      <c r="W716" s="221" t="s">
        <v>3338</v>
      </c>
      <c r="X716" s="221"/>
      <c r="Y716" s="227"/>
      <c r="Z716" s="227" t="str">
        <f>P716</f>
        <v>PERMANU RW 01 MALANG</v>
      </c>
      <c r="AA716" s="276" t="e">
        <f>VLOOKUP(Logfile_S[[#This Row],[DO number]],DO_DB!G:I,3,0)</f>
        <v>#N/A</v>
      </c>
      <c r="AB716" s="331" t="e">
        <f>EXACT(Logfile_S[[#This Row],[date pick]],Logfile_S[[#This Row],[Date]])</f>
        <v>#N/A</v>
      </c>
      <c r="AC7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17" spans="1:29" ht="14.5">
      <c r="A717" s="220" t="str">
        <f>TEXT(ROW(A717)-ROW($A$4),"000")</f>
        <v>713</v>
      </c>
      <c r="B717" s="221"/>
      <c r="C717" s="221" t="s">
        <v>49</v>
      </c>
      <c r="D717" s="221" t="s">
        <v>4301</v>
      </c>
      <c r="E717" s="221" t="s">
        <v>3295</v>
      </c>
      <c r="F717" s="221" t="s">
        <v>3299</v>
      </c>
      <c r="G717" s="222">
        <v>45640</v>
      </c>
      <c r="H717" s="223">
        <v>0.48541666666666666</v>
      </c>
      <c r="I717" s="221" t="s">
        <v>4916</v>
      </c>
      <c r="J717" s="221" t="s">
        <v>3023</v>
      </c>
      <c r="K717" s="224" t="s">
        <v>3069</v>
      </c>
      <c r="L717" s="225" t="str">
        <f>VLOOKUP(Logfile_S[[#This Row],[Material Name]],Sheet2!B:C,2,0)</f>
        <v>ZTE1001</v>
      </c>
      <c r="M717" s="225" t="str">
        <f>_xlfn.XLOOKUP(Logfile_S[[#This Row],[Material Name]],Sum_WH!E:E,Sum_WH!F:F,"",0)</f>
        <v>Pcs</v>
      </c>
      <c r="N717" s="221">
        <v>39</v>
      </c>
      <c r="O717" s="221" t="s">
        <v>2549</v>
      </c>
      <c r="P717" s="221" t="s">
        <v>2550</v>
      </c>
      <c r="Q717" s="221"/>
      <c r="R717" s="221"/>
      <c r="S717" s="221"/>
      <c r="T717" s="221" t="s">
        <v>3258</v>
      </c>
      <c r="U717" s="221">
        <v>0</v>
      </c>
      <c r="V717" s="221" t="s">
        <v>3337</v>
      </c>
      <c r="W717" s="221" t="s">
        <v>3338</v>
      </c>
      <c r="X717" s="221"/>
      <c r="Y717" s="227"/>
      <c r="Z717" s="227" t="str">
        <f>P717</f>
        <v>PERMANU RW 01 MALANG</v>
      </c>
      <c r="AA717" s="276" t="e">
        <f>VLOOKUP(Logfile_S[[#This Row],[DO number]],DO_DB!G:I,3,0)</f>
        <v>#N/A</v>
      </c>
      <c r="AB717" s="331" t="e">
        <f>EXACT(Logfile_S[[#This Row],[date pick]],Logfile_S[[#This Row],[Date]])</f>
        <v>#N/A</v>
      </c>
      <c r="AC7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18" spans="1:29" ht="14.5">
      <c r="A718" s="220" t="str">
        <f>TEXT(ROW(A718)-ROW($A$4),"000")</f>
        <v>714</v>
      </c>
      <c r="B718" s="221"/>
      <c r="C718" s="221" t="s">
        <v>49</v>
      </c>
      <c r="D718" s="221" t="s">
        <v>4301</v>
      </c>
      <c r="E718" s="221" t="s">
        <v>3295</v>
      </c>
      <c r="F718" s="221" t="s">
        <v>3299</v>
      </c>
      <c r="G718" s="222">
        <v>45640</v>
      </c>
      <c r="H718" s="223">
        <v>0.48541666666666666</v>
      </c>
      <c r="I718" s="221" t="s">
        <v>4916</v>
      </c>
      <c r="J718" s="221" t="s">
        <v>3024</v>
      </c>
      <c r="K718" s="224" t="s">
        <v>3094</v>
      </c>
      <c r="L718" s="225" t="str">
        <f>VLOOKUP(Logfile_S[[#This Row],[Material Name]],Sheet2!B:C,2,0)</f>
        <v>GCI1008</v>
      </c>
      <c r="M718" s="225" t="str">
        <f>_xlfn.XLOOKUP(Logfile_S[[#This Row],[Material Name]],Sum_WH!E:E,Sum_WH!F:F,"",0)</f>
        <v>Pcs</v>
      </c>
      <c r="N718" s="221">
        <v>100</v>
      </c>
      <c r="O718" s="221" t="s">
        <v>2549</v>
      </c>
      <c r="P718" s="221" t="s">
        <v>2550</v>
      </c>
      <c r="Q718" s="221"/>
      <c r="R718" s="221"/>
      <c r="S718" s="221"/>
      <c r="T718" s="221" t="s">
        <v>3258</v>
      </c>
      <c r="U718" s="221">
        <v>0</v>
      </c>
      <c r="V718" s="221" t="s">
        <v>3337</v>
      </c>
      <c r="W718" s="221" t="s">
        <v>3338</v>
      </c>
      <c r="X718" s="221"/>
      <c r="Y718" s="227"/>
      <c r="Z718" s="227" t="str">
        <f>P718</f>
        <v>PERMANU RW 01 MALANG</v>
      </c>
      <c r="AA718" s="276" t="e">
        <f>VLOOKUP(Logfile_S[[#This Row],[DO number]],DO_DB!G:I,3,0)</f>
        <v>#N/A</v>
      </c>
      <c r="AB718" s="331" t="e">
        <f>EXACT(Logfile_S[[#This Row],[date pick]],Logfile_S[[#This Row],[Date]])</f>
        <v>#N/A</v>
      </c>
      <c r="AC7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19" spans="1:29" ht="14.5">
      <c r="A719" s="220" t="str">
        <f>TEXT(ROW(A719)-ROW($A$4),"000")</f>
        <v>715</v>
      </c>
      <c r="B719" s="221"/>
      <c r="C719" s="221" t="s">
        <v>49</v>
      </c>
      <c r="D719" s="221" t="s">
        <v>4301</v>
      </c>
      <c r="E719" s="221" t="s">
        <v>3295</v>
      </c>
      <c r="F719" s="221" t="s">
        <v>3299</v>
      </c>
      <c r="G719" s="222">
        <v>45640</v>
      </c>
      <c r="H719" s="223">
        <v>0.48541666666666666</v>
      </c>
      <c r="I719" s="221" t="s">
        <v>4916</v>
      </c>
      <c r="J719" s="221" t="s">
        <v>3024</v>
      </c>
      <c r="K719" s="224" t="s">
        <v>3090</v>
      </c>
      <c r="L719" s="225" t="str">
        <f>VLOOKUP(Logfile_S[[#This Row],[Material Name]],Sheet2!B:C,2,0)</f>
        <v>GCI1004</v>
      </c>
      <c r="M719" s="225" t="str">
        <f>_xlfn.XLOOKUP(Logfile_S[[#This Row],[Material Name]],Sum_WH!E:E,Sum_WH!F:F,"",0)</f>
        <v>Pcs</v>
      </c>
      <c r="N719" s="221">
        <v>50</v>
      </c>
      <c r="O719" s="221" t="s">
        <v>2549</v>
      </c>
      <c r="P719" s="221" t="s">
        <v>2550</v>
      </c>
      <c r="Q719" s="221"/>
      <c r="R719" s="221"/>
      <c r="S719" s="221"/>
      <c r="T719" s="221" t="s">
        <v>3258</v>
      </c>
      <c r="U719" s="221">
        <v>0</v>
      </c>
      <c r="V719" s="221" t="s">
        <v>3337</v>
      </c>
      <c r="W719" s="221" t="s">
        <v>3338</v>
      </c>
      <c r="X719" s="221"/>
      <c r="Y719" s="227"/>
      <c r="Z719" s="227" t="str">
        <f>P719</f>
        <v>PERMANU RW 01 MALANG</v>
      </c>
      <c r="AA719" s="276" t="e">
        <f>VLOOKUP(Logfile_S[[#This Row],[DO number]],DO_DB!G:I,3,0)</f>
        <v>#N/A</v>
      </c>
      <c r="AB719" s="331" t="e">
        <f>EXACT(Logfile_S[[#This Row],[date pick]],Logfile_S[[#This Row],[Date]])</f>
        <v>#N/A</v>
      </c>
      <c r="AC7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20" spans="1:29" ht="14.5">
      <c r="A720" s="220" t="str">
        <f>TEXT(ROW(A720)-ROW($A$4),"000")</f>
        <v>716</v>
      </c>
      <c r="B720" s="221"/>
      <c r="C720" s="221" t="s">
        <v>49</v>
      </c>
      <c r="D720" s="221" t="s">
        <v>4304</v>
      </c>
      <c r="E720" s="221" t="s">
        <v>3295</v>
      </c>
      <c r="F720" s="221" t="s">
        <v>3299</v>
      </c>
      <c r="G720" s="222">
        <v>45642</v>
      </c>
      <c r="H720" s="223">
        <v>0.71666666666666667</v>
      </c>
      <c r="I720" s="221" t="s">
        <v>4916</v>
      </c>
      <c r="J720" s="221" t="s">
        <v>3024</v>
      </c>
      <c r="K720" s="224" t="s">
        <v>3097</v>
      </c>
      <c r="L720" s="225" t="str">
        <f>VLOOKUP(Logfile_S[[#This Row],[Material Name]],Sheet2!B:C,2,0)</f>
        <v>GCI1011</v>
      </c>
      <c r="M720" s="225" t="str">
        <f>_xlfn.XLOOKUP(Logfile_S[[#This Row],[Material Name]],Sum_WH!E:E,Sum_WH!F:F,"",0)</f>
        <v>Pcs</v>
      </c>
      <c r="N720" s="221">
        <v>1</v>
      </c>
      <c r="O720" s="221" t="s">
        <v>2549</v>
      </c>
      <c r="P720" s="221" t="s">
        <v>2550</v>
      </c>
      <c r="Q720" s="221"/>
      <c r="R720" s="221"/>
      <c r="S720" s="221"/>
      <c r="T720" s="221" t="s">
        <v>3258</v>
      </c>
      <c r="U720" s="221">
        <v>0</v>
      </c>
      <c r="V720" s="221" t="s">
        <v>3337</v>
      </c>
      <c r="W720" s="221" t="s">
        <v>3338</v>
      </c>
      <c r="X720" s="221"/>
      <c r="Y720" s="227"/>
      <c r="Z720" s="227" t="str">
        <f>P720</f>
        <v>PERMANU RW 01 MALANG</v>
      </c>
      <c r="AA720" s="276" t="e">
        <f>VLOOKUP(Logfile_S[[#This Row],[DO number]],DO_DB!G:I,3,0)</f>
        <v>#N/A</v>
      </c>
      <c r="AB720" s="331" t="e">
        <f>EXACT(Logfile_S[[#This Row],[date pick]],Logfile_S[[#This Row],[Date]])</f>
        <v>#N/A</v>
      </c>
      <c r="AC7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21" spans="1:29" ht="14.5">
      <c r="A721" s="220" t="str">
        <f>TEXT(ROW(A721)-ROW($A$4),"000")</f>
        <v>717</v>
      </c>
      <c r="B721" s="221"/>
      <c r="C721" s="221" t="s">
        <v>49</v>
      </c>
      <c r="D721" s="221" t="s">
        <v>4304</v>
      </c>
      <c r="E721" s="221" t="s">
        <v>3295</v>
      </c>
      <c r="F721" s="221" t="s">
        <v>3299</v>
      </c>
      <c r="G721" s="222">
        <v>45642</v>
      </c>
      <c r="H721" s="223">
        <v>0.71666666666666667</v>
      </c>
      <c r="I721" s="221" t="s">
        <v>4916</v>
      </c>
      <c r="J721" s="221" t="s">
        <v>3024</v>
      </c>
      <c r="K721" s="224" t="s">
        <v>3091</v>
      </c>
      <c r="L721" s="225" t="str">
        <f>VLOOKUP(Logfile_S[[#This Row],[Material Name]],Sheet2!B:C,2,0)</f>
        <v>GCI1005</v>
      </c>
      <c r="M721" s="225" t="str">
        <f>_xlfn.XLOOKUP(Logfile_S[[#This Row],[Material Name]],Sum_WH!E:E,Sum_WH!F:F,"",0)</f>
        <v>Pcs</v>
      </c>
      <c r="N721" s="221">
        <v>42</v>
      </c>
      <c r="O721" s="221" t="s">
        <v>2549</v>
      </c>
      <c r="P721" s="221" t="s">
        <v>2550</v>
      </c>
      <c r="Q721" s="221"/>
      <c r="R721" s="221"/>
      <c r="S721" s="221"/>
      <c r="T721" s="221" t="s">
        <v>3258</v>
      </c>
      <c r="U721" s="221">
        <v>0</v>
      </c>
      <c r="V721" s="221" t="s">
        <v>3337</v>
      </c>
      <c r="W721" s="221" t="s">
        <v>3338</v>
      </c>
      <c r="X721" s="221"/>
      <c r="Y721" s="227"/>
      <c r="Z721" s="227" t="str">
        <f>P721</f>
        <v>PERMANU RW 01 MALANG</v>
      </c>
      <c r="AA721" s="276" t="e">
        <f>VLOOKUP(Logfile_S[[#This Row],[DO number]],DO_DB!G:I,3,0)</f>
        <v>#N/A</v>
      </c>
      <c r="AB721" s="331" t="e">
        <f>EXACT(Logfile_S[[#This Row],[date pick]],Logfile_S[[#This Row],[Date]])</f>
        <v>#N/A</v>
      </c>
      <c r="AC7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22" spans="1:29" ht="14.5">
      <c r="A722" s="220" t="str">
        <f>TEXT(ROW(A722)-ROW($A$4),"000")</f>
        <v>718</v>
      </c>
      <c r="B722" s="221"/>
      <c r="C722" s="221" t="s">
        <v>49</v>
      </c>
      <c r="D722" s="221" t="s">
        <v>4306</v>
      </c>
      <c r="E722" s="221" t="s">
        <v>3295</v>
      </c>
      <c r="F722" s="221" t="s">
        <v>3299</v>
      </c>
      <c r="G722" s="222">
        <v>45643</v>
      </c>
      <c r="H722" s="223">
        <v>0.65902777777777777</v>
      </c>
      <c r="I722" s="221" t="s">
        <v>4916</v>
      </c>
      <c r="J722" s="221" t="s">
        <v>3023</v>
      </c>
      <c r="K722" s="224" t="s">
        <v>13</v>
      </c>
      <c r="L722" s="225" t="str">
        <f>VLOOKUP(Logfile_S[[#This Row],[Material Name]],Sheet2!B:C,2,0)</f>
        <v>ZTE2008</v>
      </c>
      <c r="M722" s="225" t="str">
        <f>_xlfn.XLOOKUP(Logfile_S[[#This Row],[Material Name]],Sum_WH!E:E,Sum_WH!F:F,"",0)</f>
        <v>Pcs</v>
      </c>
      <c r="N722" s="221">
        <v>30</v>
      </c>
      <c r="O722" s="221" t="s">
        <v>2549</v>
      </c>
      <c r="P722" s="221" t="s">
        <v>2550</v>
      </c>
      <c r="Q722" s="221"/>
      <c r="R722" s="221"/>
      <c r="S722" s="221"/>
      <c r="T722" s="221" t="s">
        <v>3540</v>
      </c>
      <c r="U722" s="221">
        <v>0</v>
      </c>
      <c r="V722" s="221">
        <v>0</v>
      </c>
      <c r="W722" s="221" t="s">
        <v>3412</v>
      </c>
      <c r="X722" s="221"/>
      <c r="Y722" s="227"/>
      <c r="Z722" s="227" t="str">
        <f>P722</f>
        <v>PERMANU RW 01 MALANG</v>
      </c>
      <c r="AA722" s="276" t="e">
        <f>VLOOKUP(Logfile_S[[#This Row],[DO number]],DO_DB!G:I,3,0)</f>
        <v>#N/A</v>
      </c>
      <c r="AB722" s="331" t="e">
        <f>EXACT(Logfile_S[[#This Row],[date pick]],Logfile_S[[#This Row],[Date]])</f>
        <v>#N/A</v>
      </c>
      <c r="AC7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23" spans="1:29" ht="14.5">
      <c r="A723" s="220" t="str">
        <f>TEXT(ROW(A723)-ROW($A$4),"000")</f>
        <v>719</v>
      </c>
      <c r="B723" s="221"/>
      <c r="C723" s="221" t="s">
        <v>49</v>
      </c>
      <c r="D723" s="221" t="s">
        <v>4186</v>
      </c>
      <c r="E723" s="221" t="s">
        <v>3295</v>
      </c>
      <c r="F723" s="221" t="s">
        <v>3299</v>
      </c>
      <c r="G723" s="222">
        <v>45533</v>
      </c>
      <c r="H723" s="223">
        <v>0.27569444444444446</v>
      </c>
      <c r="I723" s="221" t="s">
        <v>4916</v>
      </c>
      <c r="J723" s="221" t="s">
        <v>3023</v>
      </c>
      <c r="K723" s="224" t="s">
        <v>3069</v>
      </c>
      <c r="L723" s="225" t="str">
        <f>VLOOKUP(Logfile_S[[#This Row],[Material Name]],Sheet2!B:C,2,0)</f>
        <v>ZTE1001</v>
      </c>
      <c r="M723" s="225" t="str">
        <f>_xlfn.XLOOKUP(Logfile_S[[#This Row],[Material Name]],Sum_WH!E:E,Sum_WH!F:F,"",0)</f>
        <v>Pcs</v>
      </c>
      <c r="N723" s="221">
        <v>17</v>
      </c>
      <c r="O723" s="221" t="s">
        <v>1917</v>
      </c>
      <c r="P723" s="221" t="s">
        <v>1918</v>
      </c>
      <c r="Q723" s="221"/>
      <c r="R723" s="221"/>
      <c r="S723" s="221"/>
      <c r="T723" s="221" t="s">
        <v>3258</v>
      </c>
      <c r="U723" s="221" t="s">
        <v>3228</v>
      </c>
      <c r="V723" s="221" t="s">
        <v>3337</v>
      </c>
      <c r="W723" s="221" t="s">
        <v>3338</v>
      </c>
      <c r="X723" s="221"/>
      <c r="Y723" s="227"/>
      <c r="Z723" s="227" t="str">
        <f>P723</f>
        <v>Dilem RW 04 Kepanjen</v>
      </c>
      <c r="AA723" s="276" t="e">
        <f>VLOOKUP(Logfile_S[[#This Row],[DO number]],DO_DB!G:I,3,0)</f>
        <v>#N/A</v>
      </c>
      <c r="AB723" s="331" t="e">
        <f>EXACT(Logfile_S[[#This Row],[date pick]],Logfile_S[[#This Row],[Date]])</f>
        <v>#N/A</v>
      </c>
      <c r="AC7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24" spans="1:29" ht="14.5">
      <c r="A724" s="220" t="str">
        <f>TEXT(ROW(A724)-ROW($A$4),"000")</f>
        <v>720</v>
      </c>
      <c r="B724" s="221"/>
      <c r="C724" s="221" t="s">
        <v>49</v>
      </c>
      <c r="D724" s="221" t="s">
        <v>4188</v>
      </c>
      <c r="E724" s="221" t="s">
        <v>3295</v>
      </c>
      <c r="F724" s="221" t="s">
        <v>3299</v>
      </c>
      <c r="G724" s="222">
        <v>45534</v>
      </c>
      <c r="H724" s="223">
        <v>0.27569444444444446</v>
      </c>
      <c r="I724" s="221" t="s">
        <v>4916</v>
      </c>
      <c r="J724" s="221" t="s">
        <v>3023</v>
      </c>
      <c r="K724" s="224" t="s">
        <v>3069</v>
      </c>
      <c r="L724" s="225" t="str">
        <f>VLOOKUP(Logfile_S[[#This Row],[Material Name]],Sheet2!B:C,2,0)</f>
        <v>ZTE1001</v>
      </c>
      <c r="M724" s="225" t="str">
        <f>_xlfn.XLOOKUP(Logfile_S[[#This Row],[Material Name]],Sum_WH!E:E,Sum_WH!F:F,"",0)</f>
        <v>Pcs</v>
      </c>
      <c r="N724" s="221">
        <v>9</v>
      </c>
      <c r="O724" s="221" t="s">
        <v>1917</v>
      </c>
      <c r="P724" s="221" t="s">
        <v>1918</v>
      </c>
      <c r="Q724" s="221"/>
      <c r="R724" s="221"/>
      <c r="S724" s="221"/>
      <c r="T724" s="221" t="s">
        <v>3258</v>
      </c>
      <c r="U724" s="221" t="s">
        <v>3228</v>
      </c>
      <c r="V724" s="221" t="s">
        <v>3337</v>
      </c>
      <c r="W724" s="221" t="s">
        <v>3338</v>
      </c>
      <c r="X724" s="221"/>
      <c r="Y724" s="227"/>
      <c r="Z724" s="227" t="str">
        <f>P724</f>
        <v>Dilem RW 04 Kepanjen</v>
      </c>
      <c r="AA724" s="276" t="e">
        <f>VLOOKUP(Logfile_S[[#This Row],[DO number]],DO_DB!G:I,3,0)</f>
        <v>#N/A</v>
      </c>
      <c r="AB724" s="331" t="e">
        <f>EXACT(Logfile_S[[#This Row],[date pick]],Logfile_S[[#This Row],[Date]])</f>
        <v>#N/A</v>
      </c>
      <c r="AC7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25" spans="1:29" ht="14.5">
      <c r="A725" s="220" t="str">
        <f>TEXT(ROW(A725)-ROW($A$4),"000")</f>
        <v>721</v>
      </c>
      <c r="B725" s="221"/>
      <c r="C725" s="221" t="s">
        <v>49</v>
      </c>
      <c r="D725" s="221" t="s">
        <v>4220</v>
      </c>
      <c r="E725" s="221" t="s">
        <v>3295</v>
      </c>
      <c r="F725" s="221" t="s">
        <v>3299</v>
      </c>
      <c r="G725" s="222">
        <v>45548</v>
      </c>
      <c r="H725" s="223">
        <v>0.34791666666666665</v>
      </c>
      <c r="I725" s="221" t="s">
        <v>4916</v>
      </c>
      <c r="J725" s="221" t="s">
        <v>3023</v>
      </c>
      <c r="K725" s="224" t="s">
        <v>3070</v>
      </c>
      <c r="L725" s="225" t="str">
        <f>VLOOKUP(Logfile_S[[#This Row],[Material Name]],Sheet2!B:C,2,0)</f>
        <v>ZTE1002</v>
      </c>
      <c r="M725" s="225" t="str">
        <f>_xlfn.XLOOKUP(Logfile_S[[#This Row],[Material Name]],Sum_WH!E:E,Sum_WH!F:F,"",0)</f>
        <v>Pcs</v>
      </c>
      <c r="N725" s="221">
        <v>2</v>
      </c>
      <c r="O725" s="221" t="s">
        <v>1917</v>
      </c>
      <c r="P725" s="221" t="s">
        <v>1918</v>
      </c>
      <c r="Q725" s="221"/>
      <c r="R725" s="221"/>
      <c r="S725" s="221"/>
      <c r="T725" s="221" t="s">
        <v>3258</v>
      </c>
      <c r="U725" s="221" t="s">
        <v>3228</v>
      </c>
      <c r="V725" s="221" t="s">
        <v>3337</v>
      </c>
      <c r="W725" s="221" t="s">
        <v>3338</v>
      </c>
      <c r="X725" s="221"/>
      <c r="Y725" s="227"/>
      <c r="Z725" s="227" t="str">
        <f>P725</f>
        <v>Dilem RW 04 Kepanjen</v>
      </c>
      <c r="AA725" s="276" t="e">
        <f>VLOOKUP(Logfile_S[[#This Row],[DO number]],DO_DB!G:I,3,0)</f>
        <v>#N/A</v>
      </c>
      <c r="AB725" s="331" t="e">
        <f>EXACT(Logfile_S[[#This Row],[date pick]],Logfile_S[[#This Row],[Date]])</f>
        <v>#N/A</v>
      </c>
      <c r="AC7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26" spans="1:29" ht="14.5">
      <c r="A726" s="220" t="str">
        <f>TEXT(ROW(A726)-ROW($A$4),"000")</f>
        <v>722</v>
      </c>
      <c r="B726" s="221"/>
      <c r="C726" s="221" t="s">
        <v>49</v>
      </c>
      <c r="D726" s="221" t="s">
        <v>4220</v>
      </c>
      <c r="E726" s="221" t="s">
        <v>3295</v>
      </c>
      <c r="F726" s="221" t="s">
        <v>3299</v>
      </c>
      <c r="G726" s="222">
        <v>45548</v>
      </c>
      <c r="H726" s="223">
        <v>0.34791666666666665</v>
      </c>
      <c r="I726" s="221" t="s">
        <v>4916</v>
      </c>
      <c r="J726" s="221" t="s">
        <v>3023</v>
      </c>
      <c r="K726" s="224" t="s">
        <v>3071</v>
      </c>
      <c r="L726" s="225" t="str">
        <f>VLOOKUP(Logfile_S[[#This Row],[Material Name]],Sheet2!B:C,2,0)</f>
        <v>ZTE1003</v>
      </c>
      <c r="M726" s="225" t="str">
        <f>_xlfn.XLOOKUP(Logfile_S[[#This Row],[Material Name]],Sum_WH!E:E,Sum_WH!F:F,"",0)</f>
        <v>Pcs</v>
      </c>
      <c r="N726" s="221">
        <v>3</v>
      </c>
      <c r="O726" s="221" t="s">
        <v>1917</v>
      </c>
      <c r="P726" s="221" t="s">
        <v>1918</v>
      </c>
      <c r="Q726" s="221"/>
      <c r="R726" s="221"/>
      <c r="S726" s="221"/>
      <c r="T726" s="221" t="s">
        <v>3258</v>
      </c>
      <c r="U726" s="221" t="s">
        <v>3228</v>
      </c>
      <c r="V726" s="221" t="s">
        <v>3337</v>
      </c>
      <c r="W726" s="221" t="s">
        <v>3338</v>
      </c>
      <c r="X726" s="221"/>
      <c r="Y726" s="227"/>
      <c r="Z726" s="227" t="str">
        <f>P726</f>
        <v>Dilem RW 04 Kepanjen</v>
      </c>
      <c r="AA726" s="276" t="e">
        <f>VLOOKUP(Logfile_S[[#This Row],[DO number]],DO_DB!G:I,3,0)</f>
        <v>#N/A</v>
      </c>
      <c r="AB726" s="331" t="e">
        <f>EXACT(Logfile_S[[#This Row],[date pick]],Logfile_S[[#This Row],[Date]])</f>
        <v>#N/A</v>
      </c>
      <c r="AC7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27" spans="1:29" ht="14.5">
      <c r="A727" s="220" t="str">
        <f>TEXT(ROW(A727)-ROW($A$4),"000")</f>
        <v>723</v>
      </c>
      <c r="B727" s="221"/>
      <c r="C727" s="221" t="s">
        <v>48</v>
      </c>
      <c r="D727" s="221" t="s">
        <v>4166</v>
      </c>
      <c r="E727" s="221" t="s">
        <v>3295</v>
      </c>
      <c r="F727" s="221" t="s">
        <v>3299</v>
      </c>
      <c r="G727" s="222">
        <v>45526</v>
      </c>
      <c r="H727" s="223">
        <v>15.291666666666666</v>
      </c>
      <c r="I727" s="221" t="s">
        <v>37</v>
      </c>
      <c r="J727" s="221" t="s">
        <v>3023</v>
      </c>
      <c r="K727" s="224" t="s">
        <v>3075</v>
      </c>
      <c r="L727" s="225" t="str">
        <f>VLOOKUP(Logfile_S[[#This Row],[Material Name]],Sheet2!B:C,2,0)</f>
        <v>ZTE2003</v>
      </c>
      <c r="M727" s="225" t="str">
        <f>_xlfn.XLOOKUP(Logfile_S[[#This Row],[Material Name]],Sum_WH!E:E,Sum_WH!F:F,"",0)</f>
        <v>Meter</v>
      </c>
      <c r="N727" s="221">
        <v>3000</v>
      </c>
      <c r="O727" s="221" t="s">
        <v>1911</v>
      </c>
      <c r="P727" s="221" t="s">
        <v>1912</v>
      </c>
      <c r="Q727" s="221" t="s">
        <v>1915</v>
      </c>
      <c r="R727" s="221" t="s">
        <v>1916</v>
      </c>
      <c r="S727" s="221"/>
      <c r="T727" s="221"/>
      <c r="U727" s="221"/>
      <c r="V727" s="221"/>
      <c r="W727" s="221"/>
      <c r="X727" s="221"/>
      <c r="Y727" s="227" t="s">
        <v>5069</v>
      </c>
      <c r="Z727" s="227" t="str">
        <f>P727</f>
        <v>Dilem RW 03 Kepanjen</v>
      </c>
      <c r="AA727" s="276">
        <f>VLOOKUP(Logfile_S[[#This Row],[DO number]],DO_DB!G:I,3,0)</f>
        <v>45526</v>
      </c>
      <c r="AB727" s="331" t="b">
        <f>EXACT(Logfile_S[[#This Row],[date pick]],Logfile_S[[#This Row],[Date]])</f>
        <v>1</v>
      </c>
      <c r="AC7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48C-2024822-02</v>
      </c>
    </row>
    <row r="728" spans="1:29" ht="14.5">
      <c r="A728" s="220" t="str">
        <f>TEXT(ROW(A728)-ROW($A$4),"000")</f>
        <v>724</v>
      </c>
      <c r="B728" s="221"/>
      <c r="C728" s="221" t="s">
        <v>49</v>
      </c>
      <c r="D728" s="221" t="s">
        <v>4174</v>
      </c>
      <c r="E728" s="221" t="s">
        <v>3295</v>
      </c>
      <c r="F728" s="221" t="s">
        <v>3299</v>
      </c>
      <c r="G728" s="222">
        <v>45527</v>
      </c>
      <c r="H728" s="223">
        <v>0.46736111111111112</v>
      </c>
      <c r="I728" s="221" t="s">
        <v>4916</v>
      </c>
      <c r="J728" s="221" t="s">
        <v>3023</v>
      </c>
      <c r="K728" s="224" t="s">
        <v>3073</v>
      </c>
      <c r="L728" s="225" t="str">
        <f>VLOOKUP(Logfile_S[[#This Row],[Material Name]],Sheet2!B:C,2,0)</f>
        <v>ZTE2001</v>
      </c>
      <c r="M728" s="225" t="str">
        <f>_xlfn.XLOOKUP(Logfile_S[[#This Row],[Material Name]],Sum_WH!E:E,Sum_WH!F:F,"",0)</f>
        <v>Meter</v>
      </c>
      <c r="N728" s="221">
        <v>3000</v>
      </c>
      <c r="O728" s="221" t="s">
        <v>1911</v>
      </c>
      <c r="P728" s="221" t="s">
        <v>1912</v>
      </c>
      <c r="Q728" s="221"/>
      <c r="R728" s="221"/>
      <c r="S728" s="221"/>
      <c r="T728" s="221" t="s">
        <v>3258</v>
      </c>
      <c r="U728" s="221" t="s">
        <v>3228</v>
      </c>
      <c r="V728" s="221" t="s">
        <v>3337</v>
      </c>
      <c r="W728" s="221" t="s">
        <v>3338</v>
      </c>
      <c r="X728" s="221"/>
      <c r="Y728" s="227"/>
      <c r="Z728" s="227" t="str">
        <f>P728</f>
        <v>Dilem RW 03 Kepanjen</v>
      </c>
      <c r="AA728" s="276" t="e">
        <f>VLOOKUP(Logfile_S[[#This Row],[DO number]],DO_DB!G:I,3,0)</f>
        <v>#N/A</v>
      </c>
      <c r="AB728" s="331" t="e">
        <f>EXACT(Logfile_S[[#This Row],[date pick]],Logfile_S[[#This Row],[Date]])</f>
        <v>#N/A</v>
      </c>
      <c r="AC7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29" spans="1:29" ht="14.5">
      <c r="A729" s="220" t="str">
        <f>TEXT(ROW(A729)-ROW($A$4),"000")</f>
        <v>725</v>
      </c>
      <c r="B729" s="221"/>
      <c r="C729" s="221" t="s">
        <v>49</v>
      </c>
      <c r="D729" s="221" t="s">
        <v>4173</v>
      </c>
      <c r="E729" s="221" t="s">
        <v>3295</v>
      </c>
      <c r="F729" s="221" t="s">
        <v>3299</v>
      </c>
      <c r="G729" s="222">
        <v>45527</v>
      </c>
      <c r="H729" s="223">
        <v>0.46736111111111112</v>
      </c>
      <c r="I729" s="221" t="s">
        <v>4916</v>
      </c>
      <c r="J729" s="221" t="s">
        <v>3024</v>
      </c>
      <c r="K729" s="224" t="s">
        <v>3091</v>
      </c>
      <c r="L729" s="225" t="str">
        <f>VLOOKUP(Logfile_S[[#This Row],[Material Name]],Sheet2!B:C,2,0)</f>
        <v>GCI1005</v>
      </c>
      <c r="M729" s="225" t="str">
        <f>_xlfn.XLOOKUP(Logfile_S[[#This Row],[Material Name]],Sum_WH!E:E,Sum_WH!F:F,"",0)</f>
        <v>Pcs</v>
      </c>
      <c r="N729" s="221">
        <v>30</v>
      </c>
      <c r="O729" s="221" t="s">
        <v>1911</v>
      </c>
      <c r="P729" s="221" t="s">
        <v>1912</v>
      </c>
      <c r="Q729" s="221"/>
      <c r="R729" s="221"/>
      <c r="S729" s="221"/>
      <c r="T729" s="221" t="s">
        <v>3258</v>
      </c>
      <c r="U729" s="221" t="s">
        <v>3228</v>
      </c>
      <c r="V729" s="221" t="s">
        <v>3337</v>
      </c>
      <c r="W729" s="221" t="s">
        <v>3338</v>
      </c>
      <c r="X729" s="221"/>
      <c r="Y729" s="227"/>
      <c r="Z729" s="227" t="str">
        <f>P729</f>
        <v>Dilem RW 03 Kepanjen</v>
      </c>
      <c r="AA729" s="276" t="e">
        <f>VLOOKUP(Logfile_S[[#This Row],[DO number]],DO_DB!G:I,3,0)</f>
        <v>#N/A</v>
      </c>
      <c r="AB729" s="331" t="e">
        <f>EXACT(Logfile_S[[#This Row],[date pick]],Logfile_S[[#This Row],[Date]])</f>
        <v>#N/A</v>
      </c>
      <c r="AC7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30" spans="1:29" ht="14.5">
      <c r="A730" s="220" t="str">
        <f>TEXT(ROW(A730)-ROW($A$4),"000")</f>
        <v>726</v>
      </c>
      <c r="B730" s="221"/>
      <c r="C730" s="221" t="s">
        <v>49</v>
      </c>
      <c r="D730" s="221" t="s">
        <v>4173</v>
      </c>
      <c r="E730" s="221" t="s">
        <v>3295</v>
      </c>
      <c r="F730" s="221" t="s">
        <v>3299</v>
      </c>
      <c r="G730" s="222">
        <v>45527</v>
      </c>
      <c r="H730" s="223">
        <v>0.46736111111111112</v>
      </c>
      <c r="I730" s="221" t="s">
        <v>4916</v>
      </c>
      <c r="J730" s="221" t="s">
        <v>3024</v>
      </c>
      <c r="K730" s="224" t="s">
        <v>3087</v>
      </c>
      <c r="L730" s="225" t="str">
        <f>VLOOKUP(Logfile_S[[#This Row],[Material Name]],Sheet2!B:C,2,0)</f>
        <v>GCI1001</v>
      </c>
      <c r="M730" s="225" t="str">
        <f>_xlfn.XLOOKUP(Logfile_S[[#This Row],[Material Name]],Sum_WH!E:E,Sum_WH!F:F,"",0)</f>
        <v>Pcs</v>
      </c>
      <c r="N730" s="221">
        <v>14</v>
      </c>
      <c r="O730" s="221" t="s">
        <v>1911</v>
      </c>
      <c r="P730" s="221" t="s">
        <v>1912</v>
      </c>
      <c r="Q730" s="221"/>
      <c r="R730" s="221"/>
      <c r="S730" s="221"/>
      <c r="T730" s="221" t="s">
        <v>3258</v>
      </c>
      <c r="U730" s="221" t="s">
        <v>3228</v>
      </c>
      <c r="V730" s="221" t="s">
        <v>3337</v>
      </c>
      <c r="W730" s="221" t="s">
        <v>3338</v>
      </c>
      <c r="X730" s="221"/>
      <c r="Y730" s="227"/>
      <c r="Z730" s="227" t="str">
        <f>P730</f>
        <v>Dilem RW 03 Kepanjen</v>
      </c>
      <c r="AA730" s="276" t="e">
        <f>VLOOKUP(Logfile_S[[#This Row],[DO number]],DO_DB!G:I,3,0)</f>
        <v>#N/A</v>
      </c>
      <c r="AB730" s="331" t="e">
        <f>EXACT(Logfile_S[[#This Row],[date pick]],Logfile_S[[#This Row],[Date]])</f>
        <v>#N/A</v>
      </c>
      <c r="AC7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31" spans="1:29" ht="14.5">
      <c r="A731" s="220" t="str">
        <f>TEXT(ROW(A731)-ROW($A$4),"000")</f>
        <v>727</v>
      </c>
      <c r="B731" s="221"/>
      <c r="C731" s="221" t="s">
        <v>49</v>
      </c>
      <c r="D731" s="221" t="s">
        <v>4173</v>
      </c>
      <c r="E731" s="221" t="s">
        <v>3295</v>
      </c>
      <c r="F731" s="221" t="s">
        <v>3299</v>
      </c>
      <c r="G731" s="222">
        <v>45527</v>
      </c>
      <c r="H731" s="223">
        <v>0.46736111111111112</v>
      </c>
      <c r="I731" s="221" t="s">
        <v>4916</v>
      </c>
      <c r="J731" s="221" t="s">
        <v>3024</v>
      </c>
      <c r="K731" s="224" t="s">
        <v>5137</v>
      </c>
      <c r="L731" s="225" t="str">
        <f>VLOOKUP(Logfile_S[[#This Row],[Material Name]],Sheet2!B:C,2,0)</f>
        <v>GCI1009</v>
      </c>
      <c r="M731" s="225" t="str">
        <f>_xlfn.XLOOKUP(Logfile_S[[#This Row],[Material Name]],Sum_WH!E:E,Sum_WH!F:F,"",0)</f>
        <v>Pcs</v>
      </c>
      <c r="N731" s="221">
        <v>200</v>
      </c>
      <c r="O731" s="221" t="s">
        <v>1911</v>
      </c>
      <c r="P731" s="221" t="s">
        <v>1912</v>
      </c>
      <c r="Q731" s="221"/>
      <c r="R731" s="221"/>
      <c r="S731" s="221"/>
      <c r="T731" s="221" t="s">
        <v>3258</v>
      </c>
      <c r="U731" s="221" t="s">
        <v>3228</v>
      </c>
      <c r="V731" s="221" t="s">
        <v>3337</v>
      </c>
      <c r="W731" s="221" t="s">
        <v>3338</v>
      </c>
      <c r="X731" s="221"/>
      <c r="Y731" s="227"/>
      <c r="Z731" s="227" t="str">
        <f>P731</f>
        <v>Dilem RW 03 Kepanjen</v>
      </c>
      <c r="AA731" s="276" t="e">
        <f>VLOOKUP(Logfile_S[[#This Row],[DO number]],DO_DB!G:I,3,0)</f>
        <v>#N/A</v>
      </c>
      <c r="AB731" s="331" t="e">
        <f>EXACT(Logfile_S[[#This Row],[date pick]],Logfile_S[[#This Row],[Date]])</f>
        <v>#N/A</v>
      </c>
      <c r="AC7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32" spans="1:29" ht="14.5">
      <c r="A732" s="220" t="str">
        <f>TEXT(ROW(A732)-ROW($A$4),"000")</f>
        <v>728</v>
      </c>
      <c r="B732" s="221"/>
      <c r="C732" s="221" t="s">
        <v>49</v>
      </c>
      <c r="D732" s="221" t="s">
        <v>4173</v>
      </c>
      <c r="E732" s="221" t="s">
        <v>3295</v>
      </c>
      <c r="F732" s="221" t="s">
        <v>3299</v>
      </c>
      <c r="G732" s="222">
        <v>45527</v>
      </c>
      <c r="H732" s="223">
        <v>0.46736111111111112</v>
      </c>
      <c r="I732" s="221" t="s">
        <v>4916</v>
      </c>
      <c r="J732" s="221" t="s">
        <v>3024</v>
      </c>
      <c r="K732" s="224" t="s">
        <v>3088</v>
      </c>
      <c r="L732" s="225" t="str">
        <f>VLOOKUP(Logfile_S[[#This Row],[Material Name]],Sheet2!B:C,2,0)</f>
        <v>GCI1002</v>
      </c>
      <c r="M732" s="225" t="str">
        <f>_xlfn.XLOOKUP(Logfile_S[[#This Row],[Material Name]],Sum_WH!E:E,Sum_WH!F:F,"",0)</f>
        <v>Pcs</v>
      </c>
      <c r="N732" s="221">
        <v>1</v>
      </c>
      <c r="O732" s="221" t="s">
        <v>1911</v>
      </c>
      <c r="P732" s="221" t="s">
        <v>1912</v>
      </c>
      <c r="Q732" s="221"/>
      <c r="R732" s="221"/>
      <c r="S732" s="221"/>
      <c r="T732" s="221" t="s">
        <v>3258</v>
      </c>
      <c r="U732" s="221" t="s">
        <v>3228</v>
      </c>
      <c r="V732" s="221" t="s">
        <v>3337</v>
      </c>
      <c r="W732" s="221" t="s">
        <v>3338</v>
      </c>
      <c r="X732" s="221"/>
      <c r="Y732" s="227"/>
      <c r="Z732" s="227" t="str">
        <f>P732</f>
        <v>Dilem RW 03 Kepanjen</v>
      </c>
      <c r="AA732" s="276" t="e">
        <f>VLOOKUP(Logfile_S[[#This Row],[DO number]],DO_DB!G:I,3,0)</f>
        <v>#N/A</v>
      </c>
      <c r="AB732" s="331" t="e">
        <f>EXACT(Logfile_S[[#This Row],[date pick]],Logfile_S[[#This Row],[Date]])</f>
        <v>#N/A</v>
      </c>
      <c r="AC7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33" spans="1:29" ht="14.5">
      <c r="A733" s="220" t="str">
        <f>TEXT(ROW(A733)-ROW($A$4),"000")</f>
        <v>729</v>
      </c>
      <c r="B733" s="221"/>
      <c r="C733" s="221" t="s">
        <v>49</v>
      </c>
      <c r="D733" s="221" t="s">
        <v>4173</v>
      </c>
      <c r="E733" s="221" t="s">
        <v>3295</v>
      </c>
      <c r="F733" s="221" t="s">
        <v>3299</v>
      </c>
      <c r="G733" s="222">
        <v>45527</v>
      </c>
      <c r="H733" s="223">
        <v>0.46736111111111112</v>
      </c>
      <c r="I733" s="221" t="s">
        <v>4916</v>
      </c>
      <c r="J733" s="221" t="s">
        <v>3023</v>
      </c>
      <c r="K733" s="224" t="s">
        <v>3070</v>
      </c>
      <c r="L733" s="225" t="str">
        <f>VLOOKUP(Logfile_S[[#This Row],[Material Name]],Sheet2!B:C,2,0)</f>
        <v>ZTE1002</v>
      </c>
      <c r="M733" s="225" t="str">
        <f>_xlfn.XLOOKUP(Logfile_S[[#This Row],[Material Name]],Sum_WH!E:E,Sum_WH!F:F,"",0)</f>
        <v>Pcs</v>
      </c>
      <c r="N733" s="221">
        <v>1</v>
      </c>
      <c r="O733" s="221" t="s">
        <v>1911</v>
      </c>
      <c r="P733" s="221" t="s">
        <v>1912</v>
      </c>
      <c r="Q733" s="221"/>
      <c r="R733" s="221"/>
      <c r="S733" s="221"/>
      <c r="T733" s="221" t="s">
        <v>3258</v>
      </c>
      <c r="U733" s="221" t="s">
        <v>3228</v>
      </c>
      <c r="V733" s="221" t="s">
        <v>3337</v>
      </c>
      <c r="W733" s="221" t="s">
        <v>3338</v>
      </c>
      <c r="X733" s="221"/>
      <c r="Y733" s="227"/>
      <c r="Z733" s="227" t="str">
        <f>P733</f>
        <v>Dilem RW 03 Kepanjen</v>
      </c>
      <c r="AA733" s="276" t="e">
        <f>VLOOKUP(Logfile_S[[#This Row],[DO number]],DO_DB!G:I,3,0)</f>
        <v>#N/A</v>
      </c>
      <c r="AB733" s="331" t="e">
        <f>EXACT(Logfile_S[[#This Row],[date pick]],Logfile_S[[#This Row],[Date]])</f>
        <v>#N/A</v>
      </c>
      <c r="AC7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34" spans="1:29" ht="14.5">
      <c r="A734" s="220" t="str">
        <f>TEXT(ROW(A734)-ROW($A$4),"000")</f>
        <v>730</v>
      </c>
      <c r="B734" s="221"/>
      <c r="C734" s="221" t="s">
        <v>49</v>
      </c>
      <c r="D734" s="221" t="s">
        <v>4173</v>
      </c>
      <c r="E734" s="221" t="s">
        <v>3295</v>
      </c>
      <c r="F734" s="221" t="s">
        <v>3299</v>
      </c>
      <c r="G734" s="222">
        <v>45527</v>
      </c>
      <c r="H734" s="223">
        <v>0.46736111111111112</v>
      </c>
      <c r="I734" s="221" t="s">
        <v>4916</v>
      </c>
      <c r="J734" s="221" t="s">
        <v>3023</v>
      </c>
      <c r="K734" s="224" t="s">
        <v>3069</v>
      </c>
      <c r="L734" s="225" t="str">
        <f>VLOOKUP(Logfile_S[[#This Row],[Material Name]],Sheet2!B:C,2,0)</f>
        <v>ZTE1001</v>
      </c>
      <c r="M734" s="225" t="str">
        <f>_xlfn.XLOOKUP(Logfile_S[[#This Row],[Material Name]],Sum_WH!E:E,Sum_WH!F:F,"",0)</f>
        <v>Pcs</v>
      </c>
      <c r="N734" s="221">
        <v>21</v>
      </c>
      <c r="O734" s="221" t="s">
        <v>1911</v>
      </c>
      <c r="P734" s="221" t="s">
        <v>1912</v>
      </c>
      <c r="Q734" s="221"/>
      <c r="R734" s="221"/>
      <c r="S734" s="221"/>
      <c r="T734" s="221" t="s">
        <v>3258</v>
      </c>
      <c r="U734" s="221" t="s">
        <v>3228</v>
      </c>
      <c r="V734" s="221" t="s">
        <v>3337</v>
      </c>
      <c r="W734" s="221" t="s">
        <v>3338</v>
      </c>
      <c r="X734" s="221"/>
      <c r="Y734" s="227"/>
      <c r="Z734" s="227" t="str">
        <f>P734</f>
        <v>Dilem RW 03 Kepanjen</v>
      </c>
      <c r="AA734" s="276" t="e">
        <f>VLOOKUP(Logfile_S[[#This Row],[DO number]],DO_DB!G:I,3,0)</f>
        <v>#N/A</v>
      </c>
      <c r="AB734" s="331" t="e">
        <f>EXACT(Logfile_S[[#This Row],[date pick]],Logfile_S[[#This Row],[Date]])</f>
        <v>#N/A</v>
      </c>
      <c r="AC7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35" spans="1:29" ht="14.5">
      <c r="A735" s="220" t="str">
        <f>TEXT(ROW(A735)-ROW($A$4),"000")</f>
        <v>731</v>
      </c>
      <c r="B735" s="221"/>
      <c r="C735" s="221" t="s">
        <v>49</v>
      </c>
      <c r="D735" s="221" t="s">
        <v>4173</v>
      </c>
      <c r="E735" s="221" t="s">
        <v>3295</v>
      </c>
      <c r="F735" s="221" t="s">
        <v>3299</v>
      </c>
      <c r="G735" s="222">
        <v>45527</v>
      </c>
      <c r="H735" s="223">
        <v>0.46736111111111112</v>
      </c>
      <c r="I735" s="221" t="s">
        <v>4916</v>
      </c>
      <c r="J735" s="221" t="s">
        <v>3023</v>
      </c>
      <c r="K735" s="224" t="s">
        <v>3071</v>
      </c>
      <c r="L735" s="225" t="str">
        <f>VLOOKUP(Logfile_S[[#This Row],[Material Name]],Sheet2!B:C,2,0)</f>
        <v>ZTE1003</v>
      </c>
      <c r="M735" s="225" t="str">
        <f>_xlfn.XLOOKUP(Logfile_S[[#This Row],[Material Name]],Sum_WH!E:E,Sum_WH!F:F,"",0)</f>
        <v>Pcs</v>
      </c>
      <c r="N735" s="221">
        <v>2</v>
      </c>
      <c r="O735" s="221" t="s">
        <v>1911</v>
      </c>
      <c r="P735" s="221" t="s">
        <v>1912</v>
      </c>
      <c r="Q735" s="221"/>
      <c r="R735" s="221"/>
      <c r="S735" s="221"/>
      <c r="T735" s="221" t="s">
        <v>3258</v>
      </c>
      <c r="U735" s="221" t="s">
        <v>3228</v>
      </c>
      <c r="V735" s="221" t="s">
        <v>3337</v>
      </c>
      <c r="W735" s="221" t="s">
        <v>3338</v>
      </c>
      <c r="X735" s="221"/>
      <c r="Y735" s="227"/>
      <c r="Z735" s="227" t="str">
        <f>P735</f>
        <v>Dilem RW 03 Kepanjen</v>
      </c>
      <c r="AA735" s="276" t="e">
        <f>VLOOKUP(Logfile_S[[#This Row],[DO number]],DO_DB!G:I,3,0)</f>
        <v>#N/A</v>
      </c>
      <c r="AB735" s="331" t="e">
        <f>EXACT(Logfile_S[[#This Row],[date pick]],Logfile_S[[#This Row],[Date]])</f>
        <v>#N/A</v>
      </c>
      <c r="AC7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36" spans="1:29" ht="14.5">
      <c r="A736" s="220" t="str">
        <f>TEXT(ROW(A736)-ROW($A$4),"000")</f>
        <v>732</v>
      </c>
      <c r="B736" s="221"/>
      <c r="C736" s="221" t="s">
        <v>49</v>
      </c>
      <c r="D736" s="221" t="s">
        <v>4173</v>
      </c>
      <c r="E736" s="221" t="s">
        <v>3295</v>
      </c>
      <c r="F736" s="221" t="s">
        <v>3299</v>
      </c>
      <c r="G736" s="222">
        <v>45527</v>
      </c>
      <c r="H736" s="223">
        <v>0.46736111111111112</v>
      </c>
      <c r="I736" s="221" t="s">
        <v>4916</v>
      </c>
      <c r="J736" s="221" t="s">
        <v>3024</v>
      </c>
      <c r="K736" s="224" t="s">
        <v>3094</v>
      </c>
      <c r="L736" s="225" t="str">
        <f>VLOOKUP(Logfile_S[[#This Row],[Material Name]],Sheet2!B:C,2,0)</f>
        <v>GCI1008</v>
      </c>
      <c r="M736" s="225" t="str">
        <f>_xlfn.XLOOKUP(Logfile_S[[#This Row],[Material Name]],Sum_WH!E:E,Sum_WH!F:F,"",0)</f>
        <v>Pcs</v>
      </c>
      <c r="N736" s="221">
        <v>50</v>
      </c>
      <c r="O736" s="221" t="s">
        <v>1911</v>
      </c>
      <c r="P736" s="221" t="s">
        <v>1912</v>
      </c>
      <c r="Q736" s="221"/>
      <c r="R736" s="221"/>
      <c r="S736" s="221"/>
      <c r="T736" s="221" t="s">
        <v>3258</v>
      </c>
      <c r="U736" s="221" t="s">
        <v>3228</v>
      </c>
      <c r="V736" s="221" t="s">
        <v>3337</v>
      </c>
      <c r="W736" s="221" t="s">
        <v>3338</v>
      </c>
      <c r="X736" s="221"/>
      <c r="Y736" s="227"/>
      <c r="Z736" s="227" t="str">
        <f>P736</f>
        <v>Dilem RW 03 Kepanjen</v>
      </c>
      <c r="AA736" s="276" t="e">
        <f>VLOOKUP(Logfile_S[[#This Row],[DO number]],DO_DB!G:I,3,0)</f>
        <v>#N/A</v>
      </c>
      <c r="AB736" s="331" t="e">
        <f>EXACT(Logfile_S[[#This Row],[date pick]],Logfile_S[[#This Row],[Date]])</f>
        <v>#N/A</v>
      </c>
      <c r="AC7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37" spans="1:29" ht="14.5">
      <c r="A737" s="220" t="str">
        <f>TEXT(ROW(A737)-ROW($A$4),"000")</f>
        <v>733</v>
      </c>
      <c r="B737" s="221"/>
      <c r="C737" s="221" t="s">
        <v>49</v>
      </c>
      <c r="D737" s="221" t="s">
        <v>4173</v>
      </c>
      <c r="E737" s="221" t="s">
        <v>3295</v>
      </c>
      <c r="F737" s="221" t="s">
        <v>3299</v>
      </c>
      <c r="G737" s="222">
        <v>45527</v>
      </c>
      <c r="H737" s="223">
        <v>0.46736111111111112</v>
      </c>
      <c r="I737" s="221" t="s">
        <v>4916</v>
      </c>
      <c r="J737" s="221" t="s">
        <v>3024</v>
      </c>
      <c r="K737" s="224" t="s">
        <v>3089</v>
      </c>
      <c r="L737" s="225" t="str">
        <f>VLOOKUP(Logfile_S[[#This Row],[Material Name]],Sheet2!B:C,2,0)</f>
        <v>GCI1003</v>
      </c>
      <c r="M737" s="225" t="str">
        <f>_xlfn.XLOOKUP(Logfile_S[[#This Row],[Material Name]],Sum_WH!E:E,Sum_WH!F:F,"",0)</f>
        <v>Pcs</v>
      </c>
      <c r="N737" s="221">
        <v>100</v>
      </c>
      <c r="O737" s="221" t="s">
        <v>1911</v>
      </c>
      <c r="P737" s="221" t="s">
        <v>1912</v>
      </c>
      <c r="Q737" s="221"/>
      <c r="R737" s="221"/>
      <c r="S737" s="221"/>
      <c r="T737" s="221" t="s">
        <v>3258</v>
      </c>
      <c r="U737" s="221" t="s">
        <v>3228</v>
      </c>
      <c r="V737" s="221" t="s">
        <v>3337</v>
      </c>
      <c r="W737" s="221" t="s">
        <v>3338</v>
      </c>
      <c r="X737" s="221"/>
      <c r="Y737" s="227"/>
      <c r="Z737" s="227" t="str">
        <f>P737</f>
        <v>Dilem RW 03 Kepanjen</v>
      </c>
      <c r="AA737" s="276" t="e">
        <f>VLOOKUP(Logfile_S[[#This Row],[DO number]],DO_DB!G:I,3,0)</f>
        <v>#N/A</v>
      </c>
      <c r="AB737" s="331" t="e">
        <f>EXACT(Logfile_S[[#This Row],[date pick]],Logfile_S[[#This Row],[Date]])</f>
        <v>#N/A</v>
      </c>
      <c r="AC7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38" spans="1:29" ht="14.5">
      <c r="A738" s="220" t="str">
        <f>TEXT(ROW(A738)-ROW($A$4),"000")</f>
        <v>734</v>
      </c>
      <c r="B738" s="221"/>
      <c r="C738" s="221" t="s">
        <v>49</v>
      </c>
      <c r="D738" s="221" t="s">
        <v>4173</v>
      </c>
      <c r="E738" s="221" t="s">
        <v>3295</v>
      </c>
      <c r="F738" s="221" t="s">
        <v>3299</v>
      </c>
      <c r="G738" s="222">
        <v>45527</v>
      </c>
      <c r="H738" s="223">
        <v>0.46736111111111112</v>
      </c>
      <c r="I738" s="221" t="s">
        <v>4916</v>
      </c>
      <c r="J738" s="221" t="s">
        <v>3024</v>
      </c>
      <c r="K738" s="224" t="s">
        <v>3090</v>
      </c>
      <c r="L738" s="225" t="str">
        <f>VLOOKUP(Logfile_S[[#This Row],[Material Name]],Sheet2!B:C,2,0)</f>
        <v>GCI1004</v>
      </c>
      <c r="M738" s="225" t="str">
        <f>_xlfn.XLOOKUP(Logfile_S[[#This Row],[Material Name]],Sum_WH!E:E,Sum_WH!F:F,"",0)</f>
        <v>Pcs</v>
      </c>
      <c r="N738" s="221">
        <v>50</v>
      </c>
      <c r="O738" s="221" t="s">
        <v>1911</v>
      </c>
      <c r="P738" s="221" t="s">
        <v>1912</v>
      </c>
      <c r="Q738" s="221"/>
      <c r="R738" s="221"/>
      <c r="S738" s="221"/>
      <c r="T738" s="221" t="s">
        <v>3258</v>
      </c>
      <c r="U738" s="221" t="s">
        <v>3228</v>
      </c>
      <c r="V738" s="221" t="s">
        <v>3337</v>
      </c>
      <c r="W738" s="221" t="s">
        <v>3338</v>
      </c>
      <c r="X738" s="221"/>
      <c r="Y738" s="227"/>
      <c r="Z738" s="227" t="str">
        <f>P738</f>
        <v>Dilem RW 03 Kepanjen</v>
      </c>
      <c r="AA738" s="276" t="e">
        <f>VLOOKUP(Logfile_S[[#This Row],[DO number]],DO_DB!G:I,3,0)</f>
        <v>#N/A</v>
      </c>
      <c r="AB738" s="331" t="e">
        <f>EXACT(Logfile_S[[#This Row],[date pick]],Logfile_S[[#This Row],[Date]])</f>
        <v>#N/A</v>
      </c>
      <c r="AC7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39" spans="1:29" ht="14.5">
      <c r="A739" s="220" t="str">
        <f>TEXT(ROW(A739)-ROW($A$4),"000")</f>
        <v>735</v>
      </c>
      <c r="B739" s="221"/>
      <c r="C739" s="221" t="s">
        <v>49</v>
      </c>
      <c r="D739" s="221" t="s">
        <v>4178</v>
      </c>
      <c r="E739" s="221" t="s">
        <v>3295</v>
      </c>
      <c r="F739" s="221" t="s">
        <v>3299</v>
      </c>
      <c r="G739" s="222">
        <v>45531</v>
      </c>
      <c r="H739" s="223">
        <v>0.64861111111111114</v>
      </c>
      <c r="I739" s="221" t="s">
        <v>4916</v>
      </c>
      <c r="J739" s="221" t="s">
        <v>3023</v>
      </c>
      <c r="K739" s="224" t="s">
        <v>3072</v>
      </c>
      <c r="L739" s="225" t="str">
        <f>VLOOKUP(Logfile_S[[#This Row],[Material Name]],Sheet2!B:C,2,0)</f>
        <v>ZTE1004</v>
      </c>
      <c r="M739" s="225" t="str">
        <f>_xlfn.XLOOKUP(Logfile_S[[#This Row],[Material Name]],Sum_WH!E:E,Sum_WH!F:F,"",0)</f>
        <v>Pcs</v>
      </c>
      <c r="N739" s="221">
        <v>2</v>
      </c>
      <c r="O739" s="221" t="s">
        <v>1911</v>
      </c>
      <c r="P739" s="221" t="s">
        <v>1912</v>
      </c>
      <c r="Q739" s="221"/>
      <c r="R739" s="221"/>
      <c r="S739" s="221"/>
      <c r="T739" s="221" t="s">
        <v>3471</v>
      </c>
      <c r="U739" s="221">
        <v>0</v>
      </c>
      <c r="V739" s="221" t="s">
        <v>3472</v>
      </c>
      <c r="W739" s="221" t="s">
        <v>3473</v>
      </c>
      <c r="X739" s="221"/>
      <c r="Y739" s="227"/>
      <c r="Z739" s="227" t="str">
        <f>P739</f>
        <v>Dilem RW 03 Kepanjen</v>
      </c>
      <c r="AA739" s="276" t="e">
        <f>VLOOKUP(Logfile_S[[#This Row],[DO number]],DO_DB!G:I,3,0)</f>
        <v>#N/A</v>
      </c>
      <c r="AB739" s="331" t="e">
        <f>EXACT(Logfile_S[[#This Row],[date pick]],Logfile_S[[#This Row],[Date]])</f>
        <v>#N/A</v>
      </c>
      <c r="AC7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40" spans="1:29" ht="14.5">
      <c r="A740" s="220" t="str">
        <f>TEXT(ROW(A740)-ROW($A$4),"000")</f>
        <v>736</v>
      </c>
      <c r="B740" s="221"/>
      <c r="C740" s="221" t="s">
        <v>49</v>
      </c>
      <c r="D740" s="221" t="s">
        <v>4183</v>
      </c>
      <c r="E740" s="221" t="s">
        <v>3295</v>
      </c>
      <c r="F740" s="221" t="s">
        <v>3299</v>
      </c>
      <c r="G740" s="222">
        <v>45532</v>
      </c>
      <c r="H740" s="223">
        <v>0.47847222222222224</v>
      </c>
      <c r="I740" s="221" t="s">
        <v>4916</v>
      </c>
      <c r="J740" s="221" t="s">
        <v>3023</v>
      </c>
      <c r="K740" s="224" t="s">
        <v>13</v>
      </c>
      <c r="L740" s="225" t="str">
        <f>VLOOKUP(Logfile_S[[#This Row],[Material Name]],Sheet2!B:C,2,0)</f>
        <v>ZTE2008</v>
      </c>
      <c r="M740" s="225" t="str">
        <f>_xlfn.XLOOKUP(Logfile_S[[#This Row],[Material Name]],Sum_WH!E:E,Sum_WH!F:F,"",0)</f>
        <v>Pcs</v>
      </c>
      <c r="N740" s="221">
        <v>30</v>
      </c>
      <c r="O740" s="221" t="s">
        <v>1911</v>
      </c>
      <c r="P740" s="221" t="s">
        <v>1912</v>
      </c>
      <c r="Q740" s="221"/>
      <c r="R740" s="221"/>
      <c r="S740" s="221"/>
      <c r="T740" s="221" t="s">
        <v>3471</v>
      </c>
      <c r="U740" s="221">
        <v>0</v>
      </c>
      <c r="V740" s="221" t="s">
        <v>3472</v>
      </c>
      <c r="W740" s="221" t="s">
        <v>3473</v>
      </c>
      <c r="X740" s="221"/>
      <c r="Y740" s="227"/>
      <c r="Z740" s="227" t="str">
        <f>P740</f>
        <v>Dilem RW 03 Kepanjen</v>
      </c>
      <c r="AA740" s="276" t="e">
        <f>VLOOKUP(Logfile_S[[#This Row],[DO number]],DO_DB!G:I,3,0)</f>
        <v>#N/A</v>
      </c>
      <c r="AB740" s="331" t="e">
        <f>EXACT(Logfile_S[[#This Row],[date pick]],Logfile_S[[#This Row],[Date]])</f>
        <v>#N/A</v>
      </c>
      <c r="AC7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41" spans="1:29" ht="14.5">
      <c r="A741" s="220" t="str">
        <f>TEXT(ROW(A741)-ROW($A$4),"000")</f>
        <v>737</v>
      </c>
      <c r="B741" s="221"/>
      <c r="C741" s="221" t="s">
        <v>49</v>
      </c>
      <c r="D741" s="221" t="s">
        <v>4183</v>
      </c>
      <c r="E741" s="221" t="s">
        <v>3295</v>
      </c>
      <c r="F741" s="221" t="s">
        <v>3299</v>
      </c>
      <c r="G741" s="222">
        <v>45532</v>
      </c>
      <c r="H741" s="223">
        <v>0.47847222222222224</v>
      </c>
      <c r="I741" s="221" t="s">
        <v>4916</v>
      </c>
      <c r="J741" s="221" t="s">
        <v>3023</v>
      </c>
      <c r="K741" s="224" t="s">
        <v>14</v>
      </c>
      <c r="L741" s="225" t="str">
        <f>VLOOKUP(Logfile_S[[#This Row],[Material Name]],Sheet2!B:C,2,0)</f>
        <v>ZTE2005</v>
      </c>
      <c r="M741" s="225" t="str">
        <f>_xlfn.XLOOKUP(Logfile_S[[#This Row],[Material Name]],Sum_WH!E:E,Sum_WH!F:F,"",0)</f>
        <v>Pcs</v>
      </c>
      <c r="N741" s="221">
        <v>2</v>
      </c>
      <c r="O741" s="221" t="s">
        <v>1911</v>
      </c>
      <c r="P741" s="221" t="s">
        <v>1912</v>
      </c>
      <c r="Q741" s="221"/>
      <c r="R741" s="221"/>
      <c r="S741" s="221"/>
      <c r="T741" s="221" t="s">
        <v>3471</v>
      </c>
      <c r="U741" s="221">
        <v>0</v>
      </c>
      <c r="V741" s="221" t="s">
        <v>3472</v>
      </c>
      <c r="W741" s="221" t="s">
        <v>3473</v>
      </c>
      <c r="X741" s="221"/>
      <c r="Y741" s="227"/>
      <c r="Z741" s="227" t="str">
        <f>P741</f>
        <v>Dilem RW 03 Kepanjen</v>
      </c>
      <c r="AA741" s="276" t="e">
        <f>VLOOKUP(Logfile_S[[#This Row],[DO number]],DO_DB!G:I,3,0)</f>
        <v>#N/A</v>
      </c>
      <c r="AB741" s="331" t="e">
        <f>EXACT(Logfile_S[[#This Row],[date pick]],Logfile_S[[#This Row],[Date]])</f>
        <v>#N/A</v>
      </c>
      <c r="AC7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42" spans="1:29" ht="14.5">
      <c r="A742" s="220" t="str">
        <f>TEXT(ROW(A742)-ROW($A$4),"000")</f>
        <v>738</v>
      </c>
      <c r="B742" s="221"/>
      <c r="C742" s="221" t="s">
        <v>49</v>
      </c>
      <c r="D742" s="221" t="s">
        <v>4218</v>
      </c>
      <c r="E742" s="221" t="s">
        <v>3295</v>
      </c>
      <c r="F742" s="221" t="s">
        <v>3299</v>
      </c>
      <c r="G742" s="222">
        <v>45545</v>
      </c>
      <c r="H742" s="223">
        <v>0.74722222222222223</v>
      </c>
      <c r="I742" s="221" t="s">
        <v>4916</v>
      </c>
      <c r="J742" s="221" t="s">
        <v>3024</v>
      </c>
      <c r="K742" s="224" t="s">
        <v>3087</v>
      </c>
      <c r="L742" s="225" t="str">
        <f>VLOOKUP(Logfile_S[[#This Row],[Material Name]],Sheet2!B:C,2,0)</f>
        <v>GCI1001</v>
      </c>
      <c r="M742" s="225" t="str">
        <f>_xlfn.XLOOKUP(Logfile_S[[#This Row],[Material Name]],Sum_WH!E:E,Sum_WH!F:F,"",0)</f>
        <v>Pcs</v>
      </c>
      <c r="N742" s="221">
        <v>43</v>
      </c>
      <c r="O742" s="221" t="s">
        <v>1911</v>
      </c>
      <c r="P742" s="221" t="s">
        <v>1912</v>
      </c>
      <c r="Q742" s="221"/>
      <c r="R742" s="221"/>
      <c r="S742" s="221"/>
      <c r="T742" s="221" t="s">
        <v>3258</v>
      </c>
      <c r="U742" s="221">
        <v>0</v>
      </c>
      <c r="V742" s="221" t="s">
        <v>3337</v>
      </c>
      <c r="W742" s="221" t="s">
        <v>3338</v>
      </c>
      <c r="X742" s="221"/>
      <c r="Y742" s="227"/>
      <c r="Z742" s="227" t="str">
        <f>P742</f>
        <v>Dilem RW 03 Kepanjen</v>
      </c>
      <c r="AA742" s="276" t="e">
        <f>VLOOKUP(Logfile_S[[#This Row],[DO number]],DO_DB!G:I,3,0)</f>
        <v>#N/A</v>
      </c>
      <c r="AB742" s="331" t="e">
        <f>EXACT(Logfile_S[[#This Row],[date pick]],Logfile_S[[#This Row],[Date]])</f>
        <v>#N/A</v>
      </c>
      <c r="AC7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43" spans="1:29" ht="14.5">
      <c r="A743" s="220" t="str">
        <f>TEXT(ROW(A743)-ROW($A$4),"000")</f>
        <v>739</v>
      </c>
      <c r="B743" s="221"/>
      <c r="C743" s="221" t="s">
        <v>49</v>
      </c>
      <c r="D743" s="221" t="s">
        <v>4218</v>
      </c>
      <c r="E743" s="221" t="s">
        <v>3295</v>
      </c>
      <c r="F743" s="221" t="s">
        <v>3299</v>
      </c>
      <c r="G743" s="222">
        <v>45545</v>
      </c>
      <c r="H743" s="223">
        <v>0.74722222222222223</v>
      </c>
      <c r="I743" s="221" t="s">
        <v>4916</v>
      </c>
      <c r="J743" s="221" t="s">
        <v>3024</v>
      </c>
      <c r="K743" s="224" t="s">
        <v>3088</v>
      </c>
      <c r="L743" s="225" t="str">
        <f>VLOOKUP(Logfile_S[[#This Row],[Material Name]],Sheet2!B:C,2,0)</f>
        <v>GCI1002</v>
      </c>
      <c r="M743" s="225" t="str">
        <f>_xlfn.XLOOKUP(Logfile_S[[#This Row],[Material Name]],Sum_WH!E:E,Sum_WH!F:F,"",0)</f>
        <v>Pcs</v>
      </c>
      <c r="N743" s="221">
        <v>1</v>
      </c>
      <c r="O743" s="221" t="s">
        <v>1911</v>
      </c>
      <c r="P743" s="221" t="s">
        <v>1912</v>
      </c>
      <c r="Q743" s="221"/>
      <c r="R743" s="221"/>
      <c r="S743" s="221"/>
      <c r="T743" s="221" t="s">
        <v>3258</v>
      </c>
      <c r="U743" s="221">
        <v>0</v>
      </c>
      <c r="V743" s="221" t="s">
        <v>3337</v>
      </c>
      <c r="W743" s="221" t="s">
        <v>3338</v>
      </c>
      <c r="X743" s="221"/>
      <c r="Y743" s="227"/>
      <c r="Z743" s="227" t="str">
        <f>P743</f>
        <v>Dilem RW 03 Kepanjen</v>
      </c>
      <c r="AA743" s="276" t="e">
        <f>VLOOKUP(Logfile_S[[#This Row],[DO number]],DO_DB!G:I,3,0)</f>
        <v>#N/A</v>
      </c>
      <c r="AB743" s="331" t="e">
        <f>EXACT(Logfile_S[[#This Row],[date pick]],Logfile_S[[#This Row],[Date]])</f>
        <v>#N/A</v>
      </c>
      <c r="AC7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44" spans="1:29" ht="14.5">
      <c r="A744" s="220" t="str">
        <f>TEXT(ROW(A744)-ROW($A$4),"000")</f>
        <v>740</v>
      </c>
      <c r="B744" s="221"/>
      <c r="C744" s="221" t="s">
        <v>49</v>
      </c>
      <c r="D744" s="221" t="s">
        <v>4218</v>
      </c>
      <c r="E744" s="221" t="s">
        <v>3295</v>
      </c>
      <c r="F744" s="221" t="s">
        <v>3299</v>
      </c>
      <c r="G744" s="222">
        <v>45545</v>
      </c>
      <c r="H744" s="223">
        <v>0.74722222222222223</v>
      </c>
      <c r="I744" s="221" t="s">
        <v>4916</v>
      </c>
      <c r="J744" s="221" t="s">
        <v>3024</v>
      </c>
      <c r="K744" s="224" t="s">
        <v>3089</v>
      </c>
      <c r="L744" s="225" t="str">
        <f>VLOOKUP(Logfile_S[[#This Row],[Material Name]],Sheet2!B:C,2,0)</f>
        <v>GCI1003</v>
      </c>
      <c r="M744" s="225" t="str">
        <f>_xlfn.XLOOKUP(Logfile_S[[#This Row],[Material Name]],Sum_WH!E:E,Sum_WH!F:F,"",0)</f>
        <v>Pcs</v>
      </c>
      <c r="N744" s="221">
        <v>150</v>
      </c>
      <c r="O744" s="221" t="s">
        <v>1911</v>
      </c>
      <c r="P744" s="221" t="s">
        <v>1912</v>
      </c>
      <c r="Q744" s="221"/>
      <c r="R744" s="221"/>
      <c r="S744" s="221"/>
      <c r="T744" s="221" t="s">
        <v>3258</v>
      </c>
      <c r="U744" s="221">
        <v>0</v>
      </c>
      <c r="V744" s="221" t="s">
        <v>3337</v>
      </c>
      <c r="W744" s="221" t="s">
        <v>3338</v>
      </c>
      <c r="X744" s="221"/>
      <c r="Y744" s="227"/>
      <c r="Z744" s="227" t="str">
        <f>P744</f>
        <v>Dilem RW 03 Kepanjen</v>
      </c>
      <c r="AA744" s="276" t="e">
        <f>VLOOKUP(Logfile_S[[#This Row],[DO number]],DO_DB!G:I,3,0)</f>
        <v>#N/A</v>
      </c>
      <c r="AB744" s="331" t="e">
        <f>EXACT(Logfile_S[[#This Row],[date pick]],Logfile_S[[#This Row],[Date]])</f>
        <v>#N/A</v>
      </c>
      <c r="AC7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45" spans="1:29" ht="14.5">
      <c r="A745" s="220" t="str">
        <f>TEXT(ROW(A745)-ROW($A$4),"000")</f>
        <v>741</v>
      </c>
      <c r="B745" s="221"/>
      <c r="C745" s="221" t="s">
        <v>49</v>
      </c>
      <c r="D745" s="221" t="s">
        <v>4220</v>
      </c>
      <c r="E745" s="221" t="s">
        <v>3295</v>
      </c>
      <c r="F745" s="221" t="s">
        <v>3299</v>
      </c>
      <c r="G745" s="222">
        <v>45548</v>
      </c>
      <c r="H745" s="223">
        <v>0.34791666666666665</v>
      </c>
      <c r="I745" s="221" t="s">
        <v>4916</v>
      </c>
      <c r="J745" s="221" t="s">
        <v>3023</v>
      </c>
      <c r="K745" s="224" t="s">
        <v>3069</v>
      </c>
      <c r="L745" s="225" t="str">
        <f>VLOOKUP(Logfile_S[[#This Row],[Material Name]],Sheet2!B:C,2,0)</f>
        <v>ZTE1001</v>
      </c>
      <c r="M745" s="225" t="str">
        <f>_xlfn.XLOOKUP(Logfile_S[[#This Row],[Material Name]],Sum_WH!E:E,Sum_WH!F:F,"",0)</f>
        <v>Pcs</v>
      </c>
      <c r="N745" s="221">
        <v>9</v>
      </c>
      <c r="O745" s="221" t="s">
        <v>1911</v>
      </c>
      <c r="P745" s="221" t="s">
        <v>1912</v>
      </c>
      <c r="Q745" s="221"/>
      <c r="R745" s="221"/>
      <c r="S745" s="221"/>
      <c r="T745" s="221" t="s">
        <v>3258</v>
      </c>
      <c r="U745" s="221" t="s">
        <v>3228</v>
      </c>
      <c r="V745" s="221" t="s">
        <v>3337</v>
      </c>
      <c r="W745" s="221" t="s">
        <v>3338</v>
      </c>
      <c r="X745" s="221"/>
      <c r="Y745" s="227"/>
      <c r="Z745" s="227" t="str">
        <f>P745</f>
        <v>Dilem RW 03 Kepanjen</v>
      </c>
      <c r="AA745" s="276" t="e">
        <f>VLOOKUP(Logfile_S[[#This Row],[DO number]],DO_DB!G:I,3,0)</f>
        <v>#N/A</v>
      </c>
      <c r="AB745" s="331" t="e">
        <f>EXACT(Logfile_S[[#This Row],[date pick]],Logfile_S[[#This Row],[Date]])</f>
        <v>#N/A</v>
      </c>
      <c r="AC7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46" spans="1:29" ht="14.5">
      <c r="A746" s="220" t="str">
        <f>TEXT(ROW(A746)-ROW($A$4),"000")</f>
        <v>742</v>
      </c>
      <c r="B746" s="221"/>
      <c r="C746" s="221" t="s">
        <v>48</v>
      </c>
      <c r="D746" s="221" t="s">
        <v>4288</v>
      </c>
      <c r="E746" s="221" t="s">
        <v>3295</v>
      </c>
      <c r="F746" s="221" t="s">
        <v>3299</v>
      </c>
      <c r="G746" s="222">
        <v>45622</v>
      </c>
      <c r="H746" s="223">
        <v>15.291666666666666</v>
      </c>
      <c r="I746" s="221" t="s">
        <v>37</v>
      </c>
      <c r="J746" s="221" t="s">
        <v>3023</v>
      </c>
      <c r="K746" s="224" t="s">
        <v>3073</v>
      </c>
      <c r="L746" s="225" t="str">
        <f>VLOOKUP(Logfile_S[[#This Row],[Material Name]],Sheet2!B:C,2,0)</f>
        <v>ZTE2001</v>
      </c>
      <c r="M746" s="225" t="str">
        <f>_xlfn.XLOOKUP(Logfile_S[[#This Row],[Material Name]],Sum_WH!E:E,Sum_WH!F:F,"",0)</f>
        <v>Meter</v>
      </c>
      <c r="N746" s="221">
        <v>3000</v>
      </c>
      <c r="O746" s="221" t="s">
        <v>2502</v>
      </c>
      <c r="P746" s="221" t="s">
        <v>2503</v>
      </c>
      <c r="Q746" s="221" t="s">
        <v>2506</v>
      </c>
      <c r="R746" s="221" t="s">
        <v>2507</v>
      </c>
      <c r="S746" s="221"/>
      <c r="T746" s="221"/>
      <c r="U746" s="221"/>
      <c r="V746" s="221"/>
      <c r="W746" s="221"/>
      <c r="X746" s="221"/>
      <c r="Y746" s="227" t="s">
        <v>5014</v>
      </c>
      <c r="Z746" s="227" t="str">
        <f>P746</f>
        <v>Bedali RW 03 Kromengan</v>
      </c>
      <c r="AA746" s="276">
        <f>VLOOKUP(Logfile_S[[#This Row],[DO number]],DO_DB!G:I,3,0)</f>
        <v>45622</v>
      </c>
      <c r="AB746" s="331" t="b">
        <f>EXACT(Logfile_S[[#This Row],[date pick]],Logfile_S[[#This Row],[Date]])</f>
        <v>1</v>
      </c>
      <c r="AC7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24C-20241126-02</v>
      </c>
    </row>
    <row r="747" spans="1:29" ht="14.5">
      <c r="A747" s="220" t="str">
        <f>TEXT(ROW(A747)-ROW($A$4),"000")</f>
        <v>743</v>
      </c>
      <c r="B747" s="221"/>
      <c r="C747" s="221" t="s">
        <v>49</v>
      </c>
      <c r="D747" s="221" t="s">
        <v>4292</v>
      </c>
      <c r="E747" s="221" t="s">
        <v>3295</v>
      </c>
      <c r="F747" s="221" t="s">
        <v>3299</v>
      </c>
      <c r="G747" s="222">
        <v>45622</v>
      </c>
      <c r="H747" s="223">
        <v>0.39583333333333331</v>
      </c>
      <c r="I747" s="221" t="s">
        <v>4916</v>
      </c>
      <c r="J747" s="221" t="s">
        <v>3023</v>
      </c>
      <c r="K747" s="224" t="s">
        <v>3073</v>
      </c>
      <c r="L747" s="225" t="str">
        <f>VLOOKUP(Logfile_S[[#This Row],[Material Name]],Sheet2!B:C,2,0)</f>
        <v>ZTE2001</v>
      </c>
      <c r="M747" s="225" t="str">
        <f>_xlfn.XLOOKUP(Logfile_S[[#This Row],[Material Name]],Sum_WH!E:E,Sum_WH!F:F,"",0)</f>
        <v>Meter</v>
      </c>
      <c r="N747" s="221">
        <v>3000</v>
      </c>
      <c r="O747" s="221" t="s">
        <v>2502</v>
      </c>
      <c r="P747" s="221" t="s">
        <v>2503</v>
      </c>
      <c r="Q747" s="221"/>
      <c r="R747" s="221"/>
      <c r="S747" s="221"/>
      <c r="T747" s="221" t="s">
        <v>3258</v>
      </c>
      <c r="U747" s="221" t="s">
        <v>5107</v>
      </c>
      <c r="V747" s="221" t="s">
        <v>3337</v>
      </c>
      <c r="W747" s="221" t="s">
        <v>3338</v>
      </c>
      <c r="X747" s="221"/>
      <c r="Y747" s="227"/>
      <c r="Z747" s="227" t="str">
        <f>P747</f>
        <v>Bedali RW 03 Kromengan</v>
      </c>
      <c r="AA747" s="276" t="e">
        <f>VLOOKUP(Logfile_S[[#This Row],[DO number]],DO_DB!G:I,3,0)</f>
        <v>#N/A</v>
      </c>
      <c r="AB747" s="331" t="e">
        <f>EXACT(Logfile_S[[#This Row],[date pick]],Logfile_S[[#This Row],[Date]])</f>
        <v>#N/A</v>
      </c>
      <c r="AC7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48" spans="1:29" ht="14.5">
      <c r="A748" s="220" t="str">
        <f>TEXT(ROW(A748)-ROW($A$4),"000")</f>
        <v>744</v>
      </c>
      <c r="B748" s="221"/>
      <c r="C748" s="221" t="s">
        <v>49</v>
      </c>
      <c r="D748" s="221" t="s">
        <v>4289</v>
      </c>
      <c r="E748" s="221" t="s">
        <v>3295</v>
      </c>
      <c r="F748" s="221" t="s">
        <v>3299</v>
      </c>
      <c r="G748" s="222">
        <v>45622</v>
      </c>
      <c r="H748" s="223">
        <v>0.39583333333333331</v>
      </c>
      <c r="I748" s="221" t="s">
        <v>4916</v>
      </c>
      <c r="J748" s="221" t="s">
        <v>3024</v>
      </c>
      <c r="K748" s="224" t="s">
        <v>3091</v>
      </c>
      <c r="L748" s="225" t="str">
        <f>VLOOKUP(Logfile_S[[#This Row],[Material Name]],Sheet2!B:C,2,0)</f>
        <v>GCI1005</v>
      </c>
      <c r="M748" s="225" t="str">
        <f>_xlfn.XLOOKUP(Logfile_S[[#This Row],[Material Name]],Sum_WH!E:E,Sum_WH!F:F,"",0)</f>
        <v>Pcs</v>
      </c>
      <c r="N748" s="221">
        <v>50</v>
      </c>
      <c r="O748" s="221" t="s">
        <v>2502</v>
      </c>
      <c r="P748" s="221" t="s">
        <v>2503</v>
      </c>
      <c r="Q748" s="221"/>
      <c r="R748" s="221"/>
      <c r="S748" s="221"/>
      <c r="T748" s="221" t="s">
        <v>3258</v>
      </c>
      <c r="U748" s="221">
        <v>0</v>
      </c>
      <c r="V748" s="221" t="s">
        <v>3337</v>
      </c>
      <c r="W748" s="221" t="s">
        <v>3338</v>
      </c>
      <c r="X748" s="221"/>
      <c r="Y748" s="227"/>
      <c r="Z748" s="227" t="str">
        <f>P748</f>
        <v>Bedali RW 03 Kromengan</v>
      </c>
      <c r="AA748" s="276" t="e">
        <f>VLOOKUP(Logfile_S[[#This Row],[DO number]],DO_DB!G:I,3,0)</f>
        <v>#N/A</v>
      </c>
      <c r="AB748" s="331" t="e">
        <f>EXACT(Logfile_S[[#This Row],[date pick]],Logfile_S[[#This Row],[Date]])</f>
        <v>#N/A</v>
      </c>
      <c r="AC7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49" spans="1:29" ht="14.5">
      <c r="A749" s="220" t="str">
        <f>TEXT(ROW(A749)-ROW($A$4),"000")</f>
        <v>745</v>
      </c>
      <c r="B749" s="221"/>
      <c r="C749" s="221" t="s">
        <v>49</v>
      </c>
      <c r="D749" s="221" t="s">
        <v>4289</v>
      </c>
      <c r="E749" s="221" t="s">
        <v>3295</v>
      </c>
      <c r="F749" s="221" t="s">
        <v>3299</v>
      </c>
      <c r="G749" s="222">
        <v>45622</v>
      </c>
      <c r="H749" s="223">
        <v>0.39583333333333331</v>
      </c>
      <c r="I749" s="221" t="s">
        <v>4916</v>
      </c>
      <c r="J749" s="221" t="s">
        <v>3024</v>
      </c>
      <c r="K749" s="224" t="s">
        <v>5137</v>
      </c>
      <c r="L749" s="225" t="str">
        <f>VLOOKUP(Logfile_S[[#This Row],[Material Name]],Sheet2!B:C,2,0)</f>
        <v>GCI1009</v>
      </c>
      <c r="M749" s="225" t="str">
        <f>_xlfn.XLOOKUP(Logfile_S[[#This Row],[Material Name]],Sum_WH!E:E,Sum_WH!F:F,"",0)</f>
        <v>Pcs</v>
      </c>
      <c r="N749" s="221">
        <v>100</v>
      </c>
      <c r="O749" s="221" t="s">
        <v>2502</v>
      </c>
      <c r="P749" s="221" t="s">
        <v>2503</v>
      </c>
      <c r="Q749" s="221"/>
      <c r="R749" s="221"/>
      <c r="S749" s="221"/>
      <c r="T749" s="221" t="s">
        <v>3258</v>
      </c>
      <c r="U749" s="221">
        <v>0</v>
      </c>
      <c r="V749" s="221" t="s">
        <v>3337</v>
      </c>
      <c r="W749" s="221" t="s">
        <v>3338</v>
      </c>
      <c r="X749" s="221"/>
      <c r="Y749" s="227"/>
      <c r="Z749" s="227" t="str">
        <f>P749</f>
        <v>Bedali RW 03 Kromengan</v>
      </c>
      <c r="AA749" s="276" t="e">
        <f>VLOOKUP(Logfile_S[[#This Row],[DO number]],DO_DB!G:I,3,0)</f>
        <v>#N/A</v>
      </c>
      <c r="AB749" s="331" t="e">
        <f>EXACT(Logfile_S[[#This Row],[date pick]],Logfile_S[[#This Row],[Date]])</f>
        <v>#N/A</v>
      </c>
      <c r="AC7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50" spans="1:29" ht="14.5">
      <c r="A750" s="220" t="str">
        <f>TEXT(ROW(A750)-ROW($A$4),"000")</f>
        <v>746</v>
      </c>
      <c r="B750" s="221"/>
      <c r="C750" s="221" t="s">
        <v>48</v>
      </c>
      <c r="D750" s="221" t="s">
        <v>4290</v>
      </c>
      <c r="E750" s="221" t="s">
        <v>3295</v>
      </c>
      <c r="F750" s="221" t="s">
        <v>3299</v>
      </c>
      <c r="G750" s="222">
        <v>45622</v>
      </c>
      <c r="H750" s="223">
        <v>15.291666666666666</v>
      </c>
      <c r="I750" s="221" t="s">
        <v>37</v>
      </c>
      <c r="J750" s="221" t="s">
        <v>3023</v>
      </c>
      <c r="K750" s="224" t="s">
        <v>13</v>
      </c>
      <c r="L750" s="225" t="str">
        <f>VLOOKUP(Logfile_S[[#This Row],[Material Name]],Sheet2!B:C,2,0)</f>
        <v>ZTE2008</v>
      </c>
      <c r="M750" s="225" t="str">
        <f>_xlfn.XLOOKUP(Logfile_S[[#This Row],[Material Name]],Sum_WH!E:E,Sum_WH!F:F,"",0)</f>
        <v>Pcs</v>
      </c>
      <c r="N750" s="221">
        <v>14</v>
      </c>
      <c r="O750" s="221" t="s">
        <v>2502</v>
      </c>
      <c r="P750" s="221" t="s">
        <v>2503</v>
      </c>
      <c r="Q750" s="221" t="s">
        <v>2506</v>
      </c>
      <c r="R750" s="221" t="s">
        <v>2507</v>
      </c>
      <c r="S750" s="221"/>
      <c r="T750" s="221"/>
      <c r="U750" s="221"/>
      <c r="V750" s="221"/>
      <c r="W750" s="221"/>
      <c r="X750" s="221"/>
      <c r="Y750" s="227"/>
      <c r="Z750" s="227" t="str">
        <f>P750</f>
        <v>Bedali RW 03 Kromengan</v>
      </c>
      <c r="AA750" s="276">
        <f>VLOOKUP(Logfile_S[[#This Row],[DO number]],DO_DB!G:I,3,0)</f>
        <v>45622</v>
      </c>
      <c r="AB750" s="331" t="b">
        <f>EXACT(Logfile_S[[#This Row],[date pick]],Logfile_S[[#This Row],[Date]])</f>
        <v>1</v>
      </c>
      <c r="AC7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51" spans="1:29" ht="14.5">
      <c r="A751" s="220" t="str">
        <f>TEXT(ROW(A751)-ROW($A$4),"000")</f>
        <v>747</v>
      </c>
      <c r="B751" s="221"/>
      <c r="C751" s="221" t="s">
        <v>48</v>
      </c>
      <c r="D751" s="221" t="s">
        <v>4290</v>
      </c>
      <c r="E751" s="221" t="s">
        <v>3295</v>
      </c>
      <c r="F751" s="221" t="s">
        <v>3299</v>
      </c>
      <c r="G751" s="222">
        <v>45622</v>
      </c>
      <c r="H751" s="223">
        <v>15.291666666666666</v>
      </c>
      <c r="I751" s="221" t="s">
        <v>37</v>
      </c>
      <c r="J751" s="221" t="s">
        <v>3023</v>
      </c>
      <c r="K751" s="224" t="s">
        <v>14</v>
      </c>
      <c r="L751" s="225" t="str">
        <f>VLOOKUP(Logfile_S[[#This Row],[Material Name]],Sheet2!B:C,2,0)</f>
        <v>ZTE2005</v>
      </c>
      <c r="M751" s="225" t="str">
        <f>_xlfn.XLOOKUP(Logfile_S[[#This Row],[Material Name]],Sum_WH!E:E,Sum_WH!F:F,"",0)</f>
        <v>Pcs</v>
      </c>
      <c r="N751" s="221">
        <v>1</v>
      </c>
      <c r="O751" s="221" t="s">
        <v>2502</v>
      </c>
      <c r="P751" s="221" t="s">
        <v>2503</v>
      </c>
      <c r="Q751" s="221" t="s">
        <v>2506</v>
      </c>
      <c r="R751" s="221" t="s">
        <v>2507</v>
      </c>
      <c r="S751" s="221"/>
      <c r="T751" s="221"/>
      <c r="U751" s="221"/>
      <c r="V751" s="221"/>
      <c r="W751" s="221"/>
      <c r="X751" s="221"/>
      <c r="Y751" s="227"/>
      <c r="Z751" s="227" t="str">
        <f>P751</f>
        <v>Bedali RW 03 Kromengan</v>
      </c>
      <c r="AA751" s="276">
        <f>VLOOKUP(Logfile_S[[#This Row],[DO number]],DO_DB!G:I,3,0)</f>
        <v>45622</v>
      </c>
      <c r="AB751" s="331" t="b">
        <f>EXACT(Logfile_S[[#This Row],[date pick]],Logfile_S[[#This Row],[Date]])</f>
        <v>1</v>
      </c>
      <c r="AC7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52" spans="1:29" ht="14.5">
      <c r="A752" s="220" t="str">
        <f>TEXT(ROW(A752)-ROW($A$4),"000")</f>
        <v>748</v>
      </c>
      <c r="B752" s="221"/>
      <c r="C752" s="221" t="s">
        <v>49</v>
      </c>
      <c r="D752" s="221" t="s">
        <v>4289</v>
      </c>
      <c r="E752" s="221" t="s">
        <v>3295</v>
      </c>
      <c r="F752" s="221" t="s">
        <v>3299</v>
      </c>
      <c r="G752" s="222">
        <v>45622</v>
      </c>
      <c r="H752" s="223">
        <v>0.39583333333333331</v>
      </c>
      <c r="I752" s="221" t="s">
        <v>4916</v>
      </c>
      <c r="J752" s="221" t="s">
        <v>3024</v>
      </c>
      <c r="K752" s="224" t="s">
        <v>3088</v>
      </c>
      <c r="L752" s="225" t="str">
        <f>VLOOKUP(Logfile_S[[#This Row],[Material Name]],Sheet2!B:C,2,0)</f>
        <v>GCI1002</v>
      </c>
      <c r="M752" s="225" t="str">
        <f>_xlfn.XLOOKUP(Logfile_S[[#This Row],[Material Name]],Sum_WH!E:E,Sum_WH!F:F,"",0)</f>
        <v>Pcs</v>
      </c>
      <c r="N752" s="221">
        <v>1</v>
      </c>
      <c r="O752" s="221" t="s">
        <v>2502</v>
      </c>
      <c r="P752" s="221" t="s">
        <v>2503</v>
      </c>
      <c r="Q752" s="221"/>
      <c r="R752" s="221"/>
      <c r="S752" s="221"/>
      <c r="T752" s="221" t="s">
        <v>3258</v>
      </c>
      <c r="U752" s="221">
        <v>0</v>
      </c>
      <c r="V752" s="221" t="s">
        <v>3337</v>
      </c>
      <c r="W752" s="221" t="s">
        <v>3338</v>
      </c>
      <c r="X752" s="221"/>
      <c r="Y752" s="227"/>
      <c r="Z752" s="227" t="str">
        <f>P752</f>
        <v>Bedali RW 03 Kromengan</v>
      </c>
      <c r="AA752" s="276" t="e">
        <f>VLOOKUP(Logfile_S[[#This Row],[DO number]],DO_DB!G:I,3,0)</f>
        <v>#N/A</v>
      </c>
      <c r="AB752" s="331" t="e">
        <f>EXACT(Logfile_S[[#This Row],[date pick]],Logfile_S[[#This Row],[Date]])</f>
        <v>#N/A</v>
      </c>
      <c r="AC7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53" spans="1:29" ht="14.5">
      <c r="A753" s="220" t="str">
        <f>TEXT(ROW(A753)-ROW($A$4),"000")</f>
        <v>749</v>
      </c>
      <c r="B753" s="221"/>
      <c r="C753" s="221" t="s">
        <v>48</v>
      </c>
      <c r="D753" s="221" t="s">
        <v>4290</v>
      </c>
      <c r="E753" s="221" t="s">
        <v>3295</v>
      </c>
      <c r="F753" s="221" t="s">
        <v>3299</v>
      </c>
      <c r="G753" s="222">
        <v>45622</v>
      </c>
      <c r="H753" s="223">
        <v>15.291666666666666</v>
      </c>
      <c r="I753" s="221" t="s">
        <v>37</v>
      </c>
      <c r="J753" s="221" t="s">
        <v>3023</v>
      </c>
      <c r="K753" s="224" t="s">
        <v>3070</v>
      </c>
      <c r="L753" s="225" t="str">
        <f>VLOOKUP(Logfile_S[[#This Row],[Material Name]],Sheet2!B:C,2,0)</f>
        <v>ZTE1002</v>
      </c>
      <c r="M753" s="225" t="str">
        <f>_xlfn.XLOOKUP(Logfile_S[[#This Row],[Material Name]],Sum_WH!E:E,Sum_WH!F:F,"",0)</f>
        <v>Pcs</v>
      </c>
      <c r="N753" s="221">
        <v>4</v>
      </c>
      <c r="O753" s="221" t="s">
        <v>2502</v>
      </c>
      <c r="P753" s="221" t="s">
        <v>2503</v>
      </c>
      <c r="Q753" s="221" t="s">
        <v>2504</v>
      </c>
      <c r="R753" s="221" t="s">
        <v>2505</v>
      </c>
      <c r="S753" s="221"/>
      <c r="T753" s="221"/>
      <c r="U753" s="221"/>
      <c r="V753" s="221"/>
      <c r="W753" s="221"/>
      <c r="X753" s="221"/>
      <c r="Y753" s="227"/>
      <c r="Z753" s="227" t="str">
        <f>P753</f>
        <v>Bedali RW 03 Kromengan</v>
      </c>
      <c r="AA753" s="276">
        <f>VLOOKUP(Logfile_S[[#This Row],[DO number]],DO_DB!G:I,3,0)</f>
        <v>45622</v>
      </c>
      <c r="AB753" s="331" t="b">
        <f>EXACT(Logfile_S[[#This Row],[date pick]],Logfile_S[[#This Row],[Date]])</f>
        <v>1</v>
      </c>
      <c r="AC7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54" spans="1:29" ht="14.5">
      <c r="A754" s="220" t="str">
        <f>TEXT(ROW(A754)-ROW($A$4),"000")</f>
        <v>750</v>
      </c>
      <c r="B754" s="221"/>
      <c r="C754" s="221" t="s">
        <v>49</v>
      </c>
      <c r="D754" s="221" t="s">
        <v>4289</v>
      </c>
      <c r="E754" s="221" t="s">
        <v>3295</v>
      </c>
      <c r="F754" s="221" t="s">
        <v>3299</v>
      </c>
      <c r="G754" s="222">
        <v>45622</v>
      </c>
      <c r="H754" s="223">
        <v>0.39583333333333331</v>
      </c>
      <c r="I754" s="221" t="s">
        <v>4916</v>
      </c>
      <c r="J754" s="221" t="s">
        <v>3023</v>
      </c>
      <c r="K754" s="224" t="s">
        <v>3070</v>
      </c>
      <c r="L754" s="225" t="str">
        <f>VLOOKUP(Logfile_S[[#This Row],[Material Name]],Sheet2!B:C,2,0)</f>
        <v>ZTE1002</v>
      </c>
      <c r="M754" s="225" t="str">
        <f>_xlfn.XLOOKUP(Logfile_S[[#This Row],[Material Name]],Sum_WH!E:E,Sum_WH!F:F,"",0)</f>
        <v>Pcs</v>
      </c>
      <c r="N754" s="221">
        <v>2</v>
      </c>
      <c r="O754" s="221" t="s">
        <v>2502</v>
      </c>
      <c r="P754" s="221" t="s">
        <v>2503</v>
      </c>
      <c r="Q754" s="221"/>
      <c r="R754" s="221"/>
      <c r="S754" s="221"/>
      <c r="T754" s="221" t="s">
        <v>3258</v>
      </c>
      <c r="U754" s="221">
        <v>0</v>
      </c>
      <c r="V754" s="221" t="s">
        <v>3337</v>
      </c>
      <c r="W754" s="221" t="s">
        <v>3338</v>
      </c>
      <c r="X754" s="221"/>
      <c r="Y754" s="227"/>
      <c r="Z754" s="227" t="str">
        <f>P754</f>
        <v>Bedali RW 03 Kromengan</v>
      </c>
      <c r="AA754" s="276" t="e">
        <f>VLOOKUP(Logfile_S[[#This Row],[DO number]],DO_DB!G:I,3,0)</f>
        <v>#N/A</v>
      </c>
      <c r="AB754" s="331" t="e">
        <f>EXACT(Logfile_S[[#This Row],[date pick]],Logfile_S[[#This Row],[Date]])</f>
        <v>#N/A</v>
      </c>
      <c r="AC7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55" spans="1:29" ht="14.5">
      <c r="A755" s="220" t="str">
        <f>TEXT(ROW(A755)-ROW($A$4),"000")</f>
        <v>751</v>
      </c>
      <c r="B755" s="221"/>
      <c r="C755" s="221" t="s">
        <v>48</v>
      </c>
      <c r="D755" s="221" t="s">
        <v>4290</v>
      </c>
      <c r="E755" s="221" t="s">
        <v>3295</v>
      </c>
      <c r="F755" s="221" t="s">
        <v>3299</v>
      </c>
      <c r="G755" s="222">
        <v>45622</v>
      </c>
      <c r="H755" s="223">
        <v>15.291666666666666</v>
      </c>
      <c r="I755" s="221" t="s">
        <v>37</v>
      </c>
      <c r="J755" s="221" t="s">
        <v>3023</v>
      </c>
      <c r="K755" s="224" t="s">
        <v>3069</v>
      </c>
      <c r="L755" s="225" t="str">
        <f>VLOOKUP(Logfile_S[[#This Row],[Material Name]],Sheet2!B:C,2,0)</f>
        <v>ZTE1001</v>
      </c>
      <c r="M755" s="225" t="str">
        <f>_xlfn.XLOOKUP(Logfile_S[[#This Row],[Material Name]],Sum_WH!E:E,Sum_WH!F:F,"",0)</f>
        <v>Pcs</v>
      </c>
      <c r="N755" s="221">
        <v>36</v>
      </c>
      <c r="O755" s="221" t="s">
        <v>2502</v>
      </c>
      <c r="P755" s="221" t="s">
        <v>2503</v>
      </c>
      <c r="Q755" s="221" t="s">
        <v>2504</v>
      </c>
      <c r="R755" s="221" t="s">
        <v>2505</v>
      </c>
      <c r="S755" s="221"/>
      <c r="T755" s="221"/>
      <c r="U755" s="221"/>
      <c r="V755" s="221"/>
      <c r="W755" s="221"/>
      <c r="X755" s="221"/>
      <c r="Y755" s="227"/>
      <c r="Z755" s="227" t="str">
        <f>P755</f>
        <v>Bedali RW 03 Kromengan</v>
      </c>
      <c r="AA755" s="276">
        <f>VLOOKUP(Logfile_S[[#This Row],[DO number]],DO_DB!G:I,3,0)</f>
        <v>45622</v>
      </c>
      <c r="AB755" s="331" t="b">
        <f>EXACT(Logfile_S[[#This Row],[date pick]],Logfile_S[[#This Row],[Date]])</f>
        <v>1</v>
      </c>
      <c r="AC7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56" spans="1:29" ht="14.5">
      <c r="A756" s="220" t="str">
        <f>TEXT(ROW(A756)-ROW($A$4),"000")</f>
        <v>752</v>
      </c>
      <c r="B756" s="221"/>
      <c r="C756" s="221" t="s">
        <v>49</v>
      </c>
      <c r="D756" s="221" t="s">
        <v>4289</v>
      </c>
      <c r="E756" s="221" t="s">
        <v>3295</v>
      </c>
      <c r="F756" s="221" t="s">
        <v>3299</v>
      </c>
      <c r="G756" s="222">
        <v>45622</v>
      </c>
      <c r="H756" s="223">
        <v>0.39583333333333331</v>
      </c>
      <c r="I756" s="221" t="s">
        <v>4916</v>
      </c>
      <c r="J756" s="221" t="s">
        <v>3024</v>
      </c>
      <c r="K756" s="224" t="s">
        <v>3094</v>
      </c>
      <c r="L756" s="225" t="str">
        <f>VLOOKUP(Logfile_S[[#This Row],[Material Name]],Sheet2!B:C,2,0)</f>
        <v>GCI1008</v>
      </c>
      <c r="M756" s="225" t="str">
        <f>_xlfn.XLOOKUP(Logfile_S[[#This Row],[Material Name]],Sum_WH!E:E,Sum_WH!F:F,"",0)</f>
        <v>Pcs</v>
      </c>
      <c r="N756" s="221">
        <v>50</v>
      </c>
      <c r="O756" s="221" t="s">
        <v>2502</v>
      </c>
      <c r="P756" s="221" t="s">
        <v>2503</v>
      </c>
      <c r="Q756" s="221"/>
      <c r="R756" s="221"/>
      <c r="S756" s="221"/>
      <c r="T756" s="221" t="s">
        <v>3258</v>
      </c>
      <c r="U756" s="221">
        <v>0</v>
      </c>
      <c r="V756" s="221" t="s">
        <v>3337</v>
      </c>
      <c r="W756" s="221" t="s">
        <v>3338</v>
      </c>
      <c r="X756" s="221"/>
      <c r="Y756" s="227"/>
      <c r="Z756" s="227" t="str">
        <f>P756</f>
        <v>Bedali RW 03 Kromengan</v>
      </c>
      <c r="AA756" s="276" t="e">
        <f>VLOOKUP(Logfile_S[[#This Row],[DO number]],DO_DB!G:I,3,0)</f>
        <v>#N/A</v>
      </c>
      <c r="AB756" s="331" t="e">
        <f>EXACT(Logfile_S[[#This Row],[date pick]],Logfile_S[[#This Row],[Date]])</f>
        <v>#N/A</v>
      </c>
      <c r="AC7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57" spans="1:29" ht="14.5">
      <c r="A757" s="220" t="str">
        <f>TEXT(ROW(A757)-ROW($A$4),"000")</f>
        <v>753</v>
      </c>
      <c r="B757" s="221"/>
      <c r="C757" s="221" t="s">
        <v>49</v>
      </c>
      <c r="D757" s="221" t="s">
        <v>4289</v>
      </c>
      <c r="E757" s="221" t="s">
        <v>3295</v>
      </c>
      <c r="F757" s="221" t="s">
        <v>3299</v>
      </c>
      <c r="G757" s="222">
        <v>45622</v>
      </c>
      <c r="H757" s="223">
        <v>0.39583333333333331</v>
      </c>
      <c r="I757" s="221" t="s">
        <v>4916</v>
      </c>
      <c r="J757" s="221" t="s">
        <v>3024</v>
      </c>
      <c r="K757" s="224" t="s">
        <v>3089</v>
      </c>
      <c r="L757" s="225" t="str">
        <f>VLOOKUP(Logfile_S[[#This Row],[Material Name]],Sheet2!B:C,2,0)</f>
        <v>GCI1003</v>
      </c>
      <c r="M757" s="225" t="str">
        <f>_xlfn.XLOOKUP(Logfile_S[[#This Row],[Material Name]],Sum_WH!E:E,Sum_WH!F:F,"",0)</f>
        <v>Pcs</v>
      </c>
      <c r="N757" s="221">
        <v>9</v>
      </c>
      <c r="O757" s="221" t="s">
        <v>2502</v>
      </c>
      <c r="P757" s="221" t="s">
        <v>2503</v>
      </c>
      <c r="Q757" s="221"/>
      <c r="R757" s="221"/>
      <c r="S757" s="221"/>
      <c r="T757" s="221" t="s">
        <v>3258</v>
      </c>
      <c r="U757" s="221">
        <v>0</v>
      </c>
      <c r="V757" s="221" t="s">
        <v>3337</v>
      </c>
      <c r="W757" s="221" t="s">
        <v>3338</v>
      </c>
      <c r="X757" s="221"/>
      <c r="Y757" s="227"/>
      <c r="Z757" s="227" t="str">
        <f>P757</f>
        <v>Bedali RW 03 Kromengan</v>
      </c>
      <c r="AA757" s="276" t="e">
        <f>VLOOKUP(Logfile_S[[#This Row],[DO number]],DO_DB!G:I,3,0)</f>
        <v>#N/A</v>
      </c>
      <c r="AB757" s="331" t="e">
        <f>EXACT(Logfile_S[[#This Row],[date pick]],Logfile_S[[#This Row],[Date]])</f>
        <v>#N/A</v>
      </c>
      <c r="AC7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58" spans="1:29" ht="14.5">
      <c r="A758" s="220" t="str">
        <f>TEXT(ROW(A758)-ROW($A$4),"000")</f>
        <v>754</v>
      </c>
      <c r="B758" s="221"/>
      <c r="C758" s="221" t="s">
        <v>49</v>
      </c>
      <c r="D758" s="221" t="s">
        <v>4294</v>
      </c>
      <c r="E758" s="221" t="s">
        <v>3295</v>
      </c>
      <c r="F758" s="221" t="s">
        <v>3299</v>
      </c>
      <c r="G758" s="222">
        <v>45624</v>
      </c>
      <c r="H758" s="223">
        <v>0.3923611111111111</v>
      </c>
      <c r="I758" s="221" t="s">
        <v>4916</v>
      </c>
      <c r="J758" s="221" t="s">
        <v>3023</v>
      </c>
      <c r="K758" s="224" t="s">
        <v>13</v>
      </c>
      <c r="L758" s="225" t="str">
        <f>VLOOKUP(Logfile_S[[#This Row],[Material Name]],Sheet2!B:C,2,0)</f>
        <v>ZTE2008</v>
      </c>
      <c r="M758" s="225" t="str">
        <f>_xlfn.XLOOKUP(Logfile_S[[#This Row],[Material Name]],Sum_WH!E:E,Sum_WH!F:F,"",0)</f>
        <v>Pcs</v>
      </c>
      <c r="N758" s="221">
        <v>42</v>
      </c>
      <c r="O758" s="221" t="s">
        <v>2502</v>
      </c>
      <c r="P758" s="221" t="s">
        <v>2503</v>
      </c>
      <c r="Q758" s="221"/>
      <c r="R758" s="221"/>
      <c r="S758" s="221"/>
      <c r="T758" s="221" t="s">
        <v>3356</v>
      </c>
      <c r="U758" s="221" t="s">
        <v>3228</v>
      </c>
      <c r="V758" s="221" t="s">
        <v>3357</v>
      </c>
      <c r="W758" s="221" t="s">
        <v>3358</v>
      </c>
      <c r="X758" s="221"/>
      <c r="Y758" s="227"/>
      <c r="Z758" s="227" t="str">
        <f>P758</f>
        <v>Bedali RW 03 Kromengan</v>
      </c>
      <c r="AA758" s="276" t="e">
        <f>VLOOKUP(Logfile_S[[#This Row],[DO number]],DO_DB!G:I,3,0)</f>
        <v>#N/A</v>
      </c>
      <c r="AB758" s="331" t="e">
        <f>EXACT(Logfile_S[[#This Row],[date pick]],Logfile_S[[#This Row],[Date]])</f>
        <v>#N/A</v>
      </c>
      <c r="AC7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59" spans="1:29" ht="14.5">
      <c r="A759" s="220" t="str">
        <f>TEXT(ROW(A759)-ROW($A$4),"000")</f>
        <v>755</v>
      </c>
      <c r="B759" s="221"/>
      <c r="C759" s="221" t="s">
        <v>49</v>
      </c>
      <c r="D759" s="221" t="s">
        <v>4294</v>
      </c>
      <c r="E759" s="221" t="s">
        <v>3295</v>
      </c>
      <c r="F759" s="221" t="s">
        <v>3299</v>
      </c>
      <c r="G759" s="222">
        <v>45624</v>
      </c>
      <c r="H759" s="223">
        <v>0.3923611111111111</v>
      </c>
      <c r="I759" s="221" t="s">
        <v>4916</v>
      </c>
      <c r="J759" s="221" t="s">
        <v>3023</v>
      </c>
      <c r="K759" s="224" t="s">
        <v>14</v>
      </c>
      <c r="L759" s="225" t="str">
        <f>VLOOKUP(Logfile_S[[#This Row],[Material Name]],Sheet2!B:C,2,0)</f>
        <v>ZTE2005</v>
      </c>
      <c r="M759" s="225" t="str">
        <f>_xlfn.XLOOKUP(Logfile_S[[#This Row],[Material Name]],Sum_WH!E:E,Sum_WH!F:F,"",0)</f>
        <v>Pcs</v>
      </c>
      <c r="N759" s="221">
        <v>3</v>
      </c>
      <c r="O759" s="221" t="s">
        <v>2502</v>
      </c>
      <c r="P759" s="221" t="s">
        <v>2503</v>
      </c>
      <c r="Q759" s="221"/>
      <c r="R759" s="221"/>
      <c r="S759" s="221"/>
      <c r="T759" s="221" t="s">
        <v>3356</v>
      </c>
      <c r="U759" s="221" t="s">
        <v>3228</v>
      </c>
      <c r="V759" s="221" t="s">
        <v>3357</v>
      </c>
      <c r="W759" s="221" t="s">
        <v>3358</v>
      </c>
      <c r="X759" s="221"/>
      <c r="Y759" s="227"/>
      <c r="Z759" s="227" t="str">
        <f>P759</f>
        <v>Bedali RW 03 Kromengan</v>
      </c>
      <c r="AA759" s="276" t="e">
        <f>VLOOKUP(Logfile_S[[#This Row],[DO number]],DO_DB!G:I,3,0)</f>
        <v>#N/A</v>
      </c>
      <c r="AB759" s="331" t="e">
        <f>EXACT(Logfile_S[[#This Row],[date pick]],Logfile_S[[#This Row],[Date]])</f>
        <v>#N/A</v>
      </c>
      <c r="AC7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60" spans="1:29" ht="14.5">
      <c r="A760" s="220" t="str">
        <f>TEXT(ROW(A760)-ROW($A$4),"000")</f>
        <v>756</v>
      </c>
      <c r="B760" s="221"/>
      <c r="C760" s="221" t="s">
        <v>49</v>
      </c>
      <c r="D760" s="221" t="s">
        <v>4294</v>
      </c>
      <c r="E760" s="221" t="s">
        <v>3295</v>
      </c>
      <c r="F760" s="221" t="s">
        <v>3299</v>
      </c>
      <c r="G760" s="222">
        <v>45624</v>
      </c>
      <c r="H760" s="223">
        <v>0.3923611111111111</v>
      </c>
      <c r="I760" s="221" t="s">
        <v>4916</v>
      </c>
      <c r="J760" s="221" t="s">
        <v>3023</v>
      </c>
      <c r="K760" s="224" t="s">
        <v>3072</v>
      </c>
      <c r="L760" s="225" t="str">
        <f>VLOOKUP(Logfile_S[[#This Row],[Material Name]],Sheet2!B:C,2,0)</f>
        <v>ZTE1004</v>
      </c>
      <c r="M760" s="225" t="str">
        <f>_xlfn.XLOOKUP(Logfile_S[[#This Row],[Material Name]],Sum_WH!E:E,Sum_WH!F:F,"",0)</f>
        <v>Pcs</v>
      </c>
      <c r="N760" s="221">
        <v>1</v>
      </c>
      <c r="O760" s="221" t="s">
        <v>2502</v>
      </c>
      <c r="P760" s="221" t="s">
        <v>2503</v>
      </c>
      <c r="Q760" s="221"/>
      <c r="R760" s="221"/>
      <c r="S760" s="221"/>
      <c r="T760" s="221" t="s">
        <v>3356</v>
      </c>
      <c r="U760" s="221" t="s">
        <v>3228</v>
      </c>
      <c r="V760" s="221" t="s">
        <v>3357</v>
      </c>
      <c r="W760" s="221" t="s">
        <v>3358</v>
      </c>
      <c r="X760" s="221"/>
      <c r="Y760" s="227"/>
      <c r="Z760" s="227" t="str">
        <f>P760</f>
        <v>Bedali RW 03 Kromengan</v>
      </c>
      <c r="AA760" s="276" t="e">
        <f>VLOOKUP(Logfile_S[[#This Row],[DO number]],DO_DB!G:I,3,0)</f>
        <v>#N/A</v>
      </c>
      <c r="AB760" s="331" t="e">
        <f>EXACT(Logfile_S[[#This Row],[date pick]],Logfile_S[[#This Row],[Date]])</f>
        <v>#N/A</v>
      </c>
      <c r="AC7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61" spans="1:29" ht="14.5">
      <c r="A761" s="220" t="str">
        <f>TEXT(ROW(A761)-ROW($A$4),"000")</f>
        <v>757</v>
      </c>
      <c r="B761" s="221"/>
      <c r="C761" s="221" t="s">
        <v>49</v>
      </c>
      <c r="D761" s="221" t="s">
        <v>4297</v>
      </c>
      <c r="E761" s="221" t="s">
        <v>3295</v>
      </c>
      <c r="F761" s="221" t="s">
        <v>3299</v>
      </c>
      <c r="G761" s="222">
        <v>45627</v>
      </c>
      <c r="H761" s="223">
        <v>0.39583333333333331</v>
      </c>
      <c r="I761" s="221" t="s">
        <v>4916</v>
      </c>
      <c r="J761" s="221" t="s">
        <v>3024</v>
      </c>
      <c r="K761" s="224" t="s">
        <v>3091</v>
      </c>
      <c r="L761" s="225" t="str">
        <f>VLOOKUP(Logfile_S[[#This Row],[Material Name]],Sheet2!B:C,2,0)</f>
        <v>GCI1005</v>
      </c>
      <c r="M761" s="225" t="str">
        <f>_xlfn.XLOOKUP(Logfile_S[[#This Row],[Material Name]],Sum_WH!E:E,Sum_WH!F:F,"",0)</f>
        <v>Pcs</v>
      </c>
      <c r="N761" s="221">
        <v>40</v>
      </c>
      <c r="O761" s="221" t="s">
        <v>2502</v>
      </c>
      <c r="P761" s="221" t="s">
        <v>2503</v>
      </c>
      <c r="Q761" s="221"/>
      <c r="R761" s="221"/>
      <c r="S761" s="221"/>
      <c r="T761" s="221" t="s">
        <v>3258</v>
      </c>
      <c r="U761" s="221">
        <v>0</v>
      </c>
      <c r="V761" s="221" t="s">
        <v>3337</v>
      </c>
      <c r="W761" s="221" t="s">
        <v>3338</v>
      </c>
      <c r="X761" s="221"/>
      <c r="Y761" s="227"/>
      <c r="Z761" s="227" t="str">
        <f>P761</f>
        <v>Bedali RW 03 Kromengan</v>
      </c>
      <c r="AA761" s="276" t="e">
        <f>VLOOKUP(Logfile_S[[#This Row],[DO number]],DO_DB!G:I,3,0)</f>
        <v>#N/A</v>
      </c>
      <c r="AB761" s="331" t="e">
        <f>EXACT(Logfile_S[[#This Row],[date pick]],Logfile_S[[#This Row],[Date]])</f>
        <v>#N/A</v>
      </c>
      <c r="AC7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62" spans="1:29" ht="14.5">
      <c r="A762" s="220" t="str">
        <f>TEXT(ROW(A762)-ROW($A$4),"000")</f>
        <v>758</v>
      </c>
      <c r="B762" s="221"/>
      <c r="C762" s="221" t="s">
        <v>49</v>
      </c>
      <c r="D762" s="221" t="s">
        <v>4297</v>
      </c>
      <c r="E762" s="221" t="s">
        <v>3295</v>
      </c>
      <c r="F762" s="221" t="s">
        <v>3299</v>
      </c>
      <c r="G762" s="222">
        <v>45627</v>
      </c>
      <c r="H762" s="223">
        <v>0.39583333333333331</v>
      </c>
      <c r="I762" s="221" t="s">
        <v>4916</v>
      </c>
      <c r="J762" s="221" t="s">
        <v>3024</v>
      </c>
      <c r="K762" s="224" t="s">
        <v>3087</v>
      </c>
      <c r="L762" s="225" t="str">
        <f>VLOOKUP(Logfile_S[[#This Row],[Material Name]],Sheet2!B:C,2,0)</f>
        <v>GCI1001</v>
      </c>
      <c r="M762" s="225" t="str">
        <f>_xlfn.XLOOKUP(Logfile_S[[#This Row],[Material Name]],Sum_WH!E:E,Sum_WH!F:F,"",0)</f>
        <v>Pcs</v>
      </c>
      <c r="N762" s="221">
        <v>52</v>
      </c>
      <c r="O762" s="221" t="s">
        <v>2502</v>
      </c>
      <c r="P762" s="221" t="s">
        <v>2503</v>
      </c>
      <c r="Q762" s="221"/>
      <c r="R762" s="221"/>
      <c r="S762" s="221"/>
      <c r="T762" s="221" t="s">
        <v>3258</v>
      </c>
      <c r="U762" s="221">
        <v>0</v>
      </c>
      <c r="V762" s="221" t="s">
        <v>3337</v>
      </c>
      <c r="W762" s="221" t="s">
        <v>3338</v>
      </c>
      <c r="X762" s="221"/>
      <c r="Y762" s="227"/>
      <c r="Z762" s="227" t="str">
        <f>P762</f>
        <v>Bedali RW 03 Kromengan</v>
      </c>
      <c r="AA762" s="276" t="e">
        <f>VLOOKUP(Logfile_S[[#This Row],[DO number]],DO_DB!G:I,3,0)</f>
        <v>#N/A</v>
      </c>
      <c r="AB762" s="331" t="e">
        <f>EXACT(Logfile_S[[#This Row],[date pick]],Logfile_S[[#This Row],[Date]])</f>
        <v>#N/A</v>
      </c>
      <c r="AC7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63" spans="1:29" ht="14.5">
      <c r="A763" s="220" t="str">
        <f>TEXT(ROW(A763)-ROW($A$4),"000")</f>
        <v>759</v>
      </c>
      <c r="B763" s="221"/>
      <c r="C763" s="221" t="s">
        <v>49</v>
      </c>
      <c r="D763" s="221" t="s">
        <v>4297</v>
      </c>
      <c r="E763" s="221" t="s">
        <v>3295</v>
      </c>
      <c r="F763" s="221" t="s">
        <v>3299</v>
      </c>
      <c r="G763" s="222">
        <v>45627</v>
      </c>
      <c r="H763" s="223">
        <v>0.39583333333333331</v>
      </c>
      <c r="I763" s="221" t="s">
        <v>4916</v>
      </c>
      <c r="J763" s="221" t="s">
        <v>3024</v>
      </c>
      <c r="K763" s="224" t="s">
        <v>5137</v>
      </c>
      <c r="L763" s="225" t="str">
        <f>VLOOKUP(Logfile_S[[#This Row],[Material Name]],Sheet2!B:C,2,0)</f>
        <v>GCI1009</v>
      </c>
      <c r="M763" s="225" t="str">
        <f>_xlfn.XLOOKUP(Logfile_S[[#This Row],[Material Name]],Sum_WH!E:E,Sum_WH!F:F,"",0)</f>
        <v>Pcs</v>
      </c>
      <c r="N763" s="221">
        <v>50</v>
      </c>
      <c r="O763" s="221" t="s">
        <v>2502</v>
      </c>
      <c r="P763" s="221" t="s">
        <v>2503</v>
      </c>
      <c r="Q763" s="221"/>
      <c r="R763" s="221"/>
      <c r="S763" s="221"/>
      <c r="T763" s="221" t="s">
        <v>3258</v>
      </c>
      <c r="U763" s="221">
        <v>0</v>
      </c>
      <c r="V763" s="221" t="s">
        <v>3337</v>
      </c>
      <c r="W763" s="221" t="s">
        <v>3338</v>
      </c>
      <c r="X763" s="221"/>
      <c r="Y763" s="227"/>
      <c r="Z763" s="227" t="str">
        <f>P763</f>
        <v>Bedali RW 03 Kromengan</v>
      </c>
      <c r="AA763" s="276" t="e">
        <f>VLOOKUP(Logfile_S[[#This Row],[DO number]],DO_DB!G:I,3,0)</f>
        <v>#N/A</v>
      </c>
      <c r="AB763" s="331" t="e">
        <f>EXACT(Logfile_S[[#This Row],[date pick]],Logfile_S[[#This Row],[Date]])</f>
        <v>#N/A</v>
      </c>
      <c r="AC7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64" spans="1:29" ht="14.5">
      <c r="A764" s="220" t="str">
        <f>TEXT(ROW(A764)-ROW($A$4),"000")</f>
        <v>760</v>
      </c>
      <c r="B764" s="221"/>
      <c r="C764" s="221" t="s">
        <v>49</v>
      </c>
      <c r="D764" s="221" t="s">
        <v>4297</v>
      </c>
      <c r="E764" s="221" t="s">
        <v>3295</v>
      </c>
      <c r="F764" s="221" t="s">
        <v>3299</v>
      </c>
      <c r="G764" s="222">
        <v>45627</v>
      </c>
      <c r="H764" s="223">
        <v>0.39583333333333331</v>
      </c>
      <c r="I764" s="221" t="s">
        <v>4916</v>
      </c>
      <c r="J764" s="221" t="s">
        <v>3024</v>
      </c>
      <c r="K764" s="224" t="s">
        <v>3088</v>
      </c>
      <c r="L764" s="225" t="str">
        <f>VLOOKUP(Logfile_S[[#This Row],[Material Name]],Sheet2!B:C,2,0)</f>
        <v>GCI1002</v>
      </c>
      <c r="M764" s="225" t="str">
        <f>_xlfn.XLOOKUP(Logfile_S[[#This Row],[Material Name]],Sum_WH!E:E,Sum_WH!F:F,"",0)</f>
        <v>Pcs</v>
      </c>
      <c r="N764" s="221">
        <v>1</v>
      </c>
      <c r="O764" s="221" t="s">
        <v>2502</v>
      </c>
      <c r="P764" s="221" t="s">
        <v>2503</v>
      </c>
      <c r="Q764" s="221"/>
      <c r="R764" s="221"/>
      <c r="S764" s="221"/>
      <c r="T764" s="221" t="s">
        <v>3258</v>
      </c>
      <c r="U764" s="221">
        <v>0</v>
      </c>
      <c r="V764" s="221" t="s">
        <v>3337</v>
      </c>
      <c r="W764" s="221" t="s">
        <v>3338</v>
      </c>
      <c r="X764" s="221"/>
      <c r="Y764" s="227"/>
      <c r="Z764" s="227" t="str">
        <f>P764</f>
        <v>Bedali RW 03 Kromengan</v>
      </c>
      <c r="AA764" s="276" t="e">
        <f>VLOOKUP(Logfile_S[[#This Row],[DO number]],DO_DB!G:I,3,0)</f>
        <v>#N/A</v>
      </c>
      <c r="AB764" s="331" t="e">
        <f>EXACT(Logfile_S[[#This Row],[date pick]],Logfile_S[[#This Row],[Date]])</f>
        <v>#N/A</v>
      </c>
      <c r="AC7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65" spans="1:29" ht="14.5">
      <c r="A765" s="220" t="str">
        <f>TEXT(ROW(A765)-ROW($A$4),"000")</f>
        <v>761</v>
      </c>
      <c r="B765" s="221"/>
      <c r="C765" s="221" t="s">
        <v>49</v>
      </c>
      <c r="D765" s="221" t="s">
        <v>4297</v>
      </c>
      <c r="E765" s="221" t="s">
        <v>3295</v>
      </c>
      <c r="F765" s="221" t="s">
        <v>3299</v>
      </c>
      <c r="G765" s="222">
        <v>45627</v>
      </c>
      <c r="H765" s="223">
        <v>0.39583333333333331</v>
      </c>
      <c r="I765" s="221" t="s">
        <v>4916</v>
      </c>
      <c r="J765" s="221" t="s">
        <v>3023</v>
      </c>
      <c r="K765" s="224" t="s">
        <v>3070</v>
      </c>
      <c r="L765" s="225" t="str">
        <f>VLOOKUP(Logfile_S[[#This Row],[Material Name]],Sheet2!B:C,2,0)</f>
        <v>ZTE1002</v>
      </c>
      <c r="M765" s="225" t="str">
        <f>_xlfn.XLOOKUP(Logfile_S[[#This Row],[Material Name]],Sum_WH!E:E,Sum_WH!F:F,"",0)</f>
        <v>Pcs</v>
      </c>
      <c r="N765" s="221">
        <v>4</v>
      </c>
      <c r="O765" s="221" t="s">
        <v>2502</v>
      </c>
      <c r="P765" s="221" t="s">
        <v>2503</v>
      </c>
      <c r="Q765" s="221"/>
      <c r="R765" s="221"/>
      <c r="S765" s="221"/>
      <c r="T765" s="221" t="s">
        <v>3258</v>
      </c>
      <c r="U765" s="221">
        <v>0</v>
      </c>
      <c r="V765" s="221" t="s">
        <v>3337</v>
      </c>
      <c r="W765" s="221" t="s">
        <v>3338</v>
      </c>
      <c r="X765" s="221"/>
      <c r="Y765" s="227"/>
      <c r="Z765" s="227" t="str">
        <f>P765</f>
        <v>Bedali RW 03 Kromengan</v>
      </c>
      <c r="AA765" s="276" t="e">
        <f>VLOOKUP(Logfile_S[[#This Row],[DO number]],DO_DB!G:I,3,0)</f>
        <v>#N/A</v>
      </c>
      <c r="AB765" s="331" t="e">
        <f>EXACT(Logfile_S[[#This Row],[date pick]],Logfile_S[[#This Row],[Date]])</f>
        <v>#N/A</v>
      </c>
      <c r="AC7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66" spans="1:29" ht="14.5">
      <c r="A766" s="220" t="str">
        <f>TEXT(ROW(A766)-ROW($A$4),"000")</f>
        <v>762</v>
      </c>
      <c r="B766" s="221"/>
      <c r="C766" s="221" t="s">
        <v>49</v>
      </c>
      <c r="D766" s="221" t="s">
        <v>4297</v>
      </c>
      <c r="E766" s="221" t="s">
        <v>3295</v>
      </c>
      <c r="F766" s="221" t="s">
        <v>3299</v>
      </c>
      <c r="G766" s="222">
        <v>45627</v>
      </c>
      <c r="H766" s="223">
        <v>0.39583333333333331</v>
      </c>
      <c r="I766" s="221" t="s">
        <v>4916</v>
      </c>
      <c r="J766" s="221" t="s">
        <v>3023</v>
      </c>
      <c r="K766" s="224" t="s">
        <v>3069</v>
      </c>
      <c r="L766" s="225" t="str">
        <f>VLOOKUP(Logfile_S[[#This Row],[Material Name]],Sheet2!B:C,2,0)</f>
        <v>ZTE1001</v>
      </c>
      <c r="M766" s="225" t="str">
        <f>_xlfn.XLOOKUP(Logfile_S[[#This Row],[Material Name]],Sum_WH!E:E,Sum_WH!F:F,"",0)</f>
        <v>Pcs</v>
      </c>
      <c r="N766" s="221">
        <v>112</v>
      </c>
      <c r="O766" s="221" t="s">
        <v>2502</v>
      </c>
      <c r="P766" s="221" t="s">
        <v>2503</v>
      </c>
      <c r="Q766" s="221"/>
      <c r="R766" s="221"/>
      <c r="S766" s="221"/>
      <c r="T766" s="221" t="s">
        <v>3258</v>
      </c>
      <c r="U766" s="221">
        <v>0</v>
      </c>
      <c r="V766" s="221" t="s">
        <v>3337</v>
      </c>
      <c r="W766" s="221" t="s">
        <v>3338</v>
      </c>
      <c r="X766" s="221"/>
      <c r="Y766" s="227"/>
      <c r="Z766" s="227" t="str">
        <f>P766</f>
        <v>Bedali RW 03 Kromengan</v>
      </c>
      <c r="AA766" s="276" t="e">
        <f>VLOOKUP(Logfile_S[[#This Row],[DO number]],DO_DB!G:I,3,0)</f>
        <v>#N/A</v>
      </c>
      <c r="AB766" s="331" t="e">
        <f>EXACT(Logfile_S[[#This Row],[date pick]],Logfile_S[[#This Row],[Date]])</f>
        <v>#N/A</v>
      </c>
      <c r="AC7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67" spans="1:29" ht="14.5">
      <c r="A767" s="220" t="str">
        <f>TEXT(ROW(A767)-ROW($A$4),"000")</f>
        <v>763</v>
      </c>
      <c r="B767" s="221"/>
      <c r="C767" s="221" t="s">
        <v>49</v>
      </c>
      <c r="D767" s="221" t="s">
        <v>4297</v>
      </c>
      <c r="E767" s="221" t="s">
        <v>3295</v>
      </c>
      <c r="F767" s="221" t="s">
        <v>3299</v>
      </c>
      <c r="G767" s="222">
        <v>45627</v>
      </c>
      <c r="H767" s="223">
        <v>0.39583333333333331</v>
      </c>
      <c r="I767" s="221" t="s">
        <v>4916</v>
      </c>
      <c r="J767" s="221" t="s">
        <v>3023</v>
      </c>
      <c r="K767" s="224" t="s">
        <v>3071</v>
      </c>
      <c r="L767" s="225" t="str">
        <f>VLOOKUP(Logfile_S[[#This Row],[Material Name]],Sheet2!B:C,2,0)</f>
        <v>ZTE1003</v>
      </c>
      <c r="M767" s="225" t="str">
        <f>_xlfn.XLOOKUP(Logfile_S[[#This Row],[Material Name]],Sum_WH!E:E,Sum_WH!F:F,"",0)</f>
        <v>Pcs</v>
      </c>
      <c r="N767" s="221">
        <v>7</v>
      </c>
      <c r="O767" s="221" t="s">
        <v>2502</v>
      </c>
      <c r="P767" s="221" t="s">
        <v>2503</v>
      </c>
      <c r="Q767" s="221"/>
      <c r="R767" s="221"/>
      <c r="S767" s="221"/>
      <c r="T767" s="221" t="s">
        <v>3258</v>
      </c>
      <c r="U767" s="221">
        <v>0</v>
      </c>
      <c r="V767" s="221" t="s">
        <v>3337</v>
      </c>
      <c r="W767" s="221" t="s">
        <v>3338</v>
      </c>
      <c r="X767" s="221"/>
      <c r="Y767" s="227"/>
      <c r="Z767" s="227" t="str">
        <f>P767</f>
        <v>Bedali RW 03 Kromengan</v>
      </c>
      <c r="AA767" s="276" t="e">
        <f>VLOOKUP(Logfile_S[[#This Row],[DO number]],DO_DB!G:I,3,0)</f>
        <v>#N/A</v>
      </c>
      <c r="AB767" s="331" t="e">
        <f>EXACT(Logfile_S[[#This Row],[date pick]],Logfile_S[[#This Row],[Date]])</f>
        <v>#N/A</v>
      </c>
      <c r="AC7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68" spans="1:29" ht="14.5">
      <c r="A768" s="220" t="str">
        <f>TEXT(ROW(A768)-ROW($A$4),"000")</f>
        <v>764</v>
      </c>
      <c r="B768" s="221"/>
      <c r="C768" s="221" t="s">
        <v>49</v>
      </c>
      <c r="D768" s="221" t="s">
        <v>4297</v>
      </c>
      <c r="E768" s="221" t="s">
        <v>3295</v>
      </c>
      <c r="F768" s="221" t="s">
        <v>3299</v>
      </c>
      <c r="G768" s="222">
        <v>45627</v>
      </c>
      <c r="H768" s="223">
        <v>0.39583333333333331</v>
      </c>
      <c r="I768" s="221" t="s">
        <v>4916</v>
      </c>
      <c r="J768" s="221" t="s">
        <v>3024</v>
      </c>
      <c r="K768" s="224" t="s">
        <v>3094</v>
      </c>
      <c r="L768" s="225" t="str">
        <f>VLOOKUP(Logfile_S[[#This Row],[Material Name]],Sheet2!B:C,2,0)</f>
        <v>GCI1008</v>
      </c>
      <c r="M768" s="225" t="str">
        <f>_xlfn.XLOOKUP(Logfile_S[[#This Row],[Material Name]],Sum_WH!E:E,Sum_WH!F:F,"",0)</f>
        <v>Pcs</v>
      </c>
      <c r="N768" s="221">
        <v>50</v>
      </c>
      <c r="O768" s="221" t="s">
        <v>2502</v>
      </c>
      <c r="P768" s="221" t="s">
        <v>2503</v>
      </c>
      <c r="Q768" s="221"/>
      <c r="R768" s="221"/>
      <c r="S768" s="221"/>
      <c r="T768" s="221" t="s">
        <v>3258</v>
      </c>
      <c r="U768" s="221">
        <v>0</v>
      </c>
      <c r="V768" s="221" t="s">
        <v>3337</v>
      </c>
      <c r="W768" s="221" t="s">
        <v>3338</v>
      </c>
      <c r="X768" s="221"/>
      <c r="Y768" s="227"/>
      <c r="Z768" s="227" t="str">
        <f>P768</f>
        <v>Bedali RW 03 Kromengan</v>
      </c>
      <c r="AA768" s="276" t="e">
        <f>VLOOKUP(Logfile_S[[#This Row],[DO number]],DO_DB!G:I,3,0)</f>
        <v>#N/A</v>
      </c>
      <c r="AB768" s="331" t="e">
        <f>EXACT(Logfile_S[[#This Row],[date pick]],Logfile_S[[#This Row],[Date]])</f>
        <v>#N/A</v>
      </c>
      <c r="AC7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69" spans="1:29" ht="14.5">
      <c r="A769" s="220" t="str">
        <f>TEXT(ROW(A769)-ROW($A$4),"000")</f>
        <v>765</v>
      </c>
      <c r="B769" s="221"/>
      <c r="C769" s="221" t="s">
        <v>49</v>
      </c>
      <c r="D769" s="221" t="s">
        <v>4297</v>
      </c>
      <c r="E769" s="221" t="s">
        <v>3295</v>
      </c>
      <c r="F769" s="221" t="s">
        <v>3299</v>
      </c>
      <c r="G769" s="222">
        <v>45627</v>
      </c>
      <c r="H769" s="223">
        <v>0.39583333333333331</v>
      </c>
      <c r="I769" s="221" t="s">
        <v>4916</v>
      </c>
      <c r="J769" s="221" t="s">
        <v>3024</v>
      </c>
      <c r="K769" s="224" t="s">
        <v>3089</v>
      </c>
      <c r="L769" s="225" t="str">
        <f>VLOOKUP(Logfile_S[[#This Row],[Material Name]],Sheet2!B:C,2,0)</f>
        <v>GCI1003</v>
      </c>
      <c r="M769" s="225" t="str">
        <f>_xlfn.XLOOKUP(Logfile_S[[#This Row],[Material Name]],Sum_WH!E:E,Sum_WH!F:F,"",0)</f>
        <v>Pcs</v>
      </c>
      <c r="N769" s="221">
        <v>95</v>
      </c>
      <c r="O769" s="221" t="s">
        <v>2502</v>
      </c>
      <c r="P769" s="221" t="s">
        <v>2503</v>
      </c>
      <c r="Q769" s="221"/>
      <c r="R769" s="221"/>
      <c r="S769" s="221"/>
      <c r="T769" s="221" t="s">
        <v>3258</v>
      </c>
      <c r="U769" s="221">
        <v>0</v>
      </c>
      <c r="V769" s="221" t="s">
        <v>3337</v>
      </c>
      <c r="W769" s="221" t="s">
        <v>3338</v>
      </c>
      <c r="X769" s="221"/>
      <c r="Y769" s="227"/>
      <c r="Z769" s="227" t="str">
        <f>P769</f>
        <v>Bedali RW 03 Kromengan</v>
      </c>
      <c r="AA769" s="276" t="e">
        <f>VLOOKUP(Logfile_S[[#This Row],[DO number]],DO_DB!G:I,3,0)</f>
        <v>#N/A</v>
      </c>
      <c r="AB769" s="331" t="e">
        <f>EXACT(Logfile_S[[#This Row],[date pick]],Logfile_S[[#This Row],[Date]])</f>
        <v>#N/A</v>
      </c>
      <c r="AC7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70" spans="1:29" ht="14.5">
      <c r="A770" s="220" t="str">
        <f>TEXT(ROW(A770)-ROW($A$4),"000")</f>
        <v>766</v>
      </c>
      <c r="B770" s="221"/>
      <c r="C770" s="221" t="s">
        <v>49</v>
      </c>
      <c r="D770" s="221" t="s">
        <v>4297</v>
      </c>
      <c r="E770" s="221" t="s">
        <v>3295</v>
      </c>
      <c r="F770" s="221" t="s">
        <v>3299</v>
      </c>
      <c r="G770" s="222">
        <v>45627</v>
      </c>
      <c r="H770" s="223">
        <v>0.39583333333333331</v>
      </c>
      <c r="I770" s="221" t="s">
        <v>4916</v>
      </c>
      <c r="J770" s="221" t="s">
        <v>3024</v>
      </c>
      <c r="K770" s="224" t="s">
        <v>3090</v>
      </c>
      <c r="L770" s="225" t="str">
        <f>VLOOKUP(Logfile_S[[#This Row],[Material Name]],Sheet2!B:C,2,0)</f>
        <v>GCI1004</v>
      </c>
      <c r="M770" s="225" t="str">
        <f>_xlfn.XLOOKUP(Logfile_S[[#This Row],[Material Name]],Sum_WH!E:E,Sum_WH!F:F,"",0)</f>
        <v>Pcs</v>
      </c>
      <c r="N770" s="221">
        <v>55</v>
      </c>
      <c r="O770" s="221" t="s">
        <v>2502</v>
      </c>
      <c r="P770" s="221" t="s">
        <v>2503</v>
      </c>
      <c r="Q770" s="221"/>
      <c r="R770" s="221"/>
      <c r="S770" s="221"/>
      <c r="T770" s="221" t="s">
        <v>3258</v>
      </c>
      <c r="U770" s="221">
        <v>0</v>
      </c>
      <c r="V770" s="221" t="s">
        <v>3337</v>
      </c>
      <c r="W770" s="221" t="s">
        <v>3338</v>
      </c>
      <c r="X770" s="221"/>
      <c r="Y770" s="227"/>
      <c r="Z770" s="227" t="str">
        <f>P770</f>
        <v>Bedali RW 03 Kromengan</v>
      </c>
      <c r="AA770" s="276" t="e">
        <f>VLOOKUP(Logfile_S[[#This Row],[DO number]],DO_DB!G:I,3,0)</f>
        <v>#N/A</v>
      </c>
      <c r="AB770" s="331" t="e">
        <f>EXACT(Logfile_S[[#This Row],[date pick]],Logfile_S[[#This Row],[Date]])</f>
        <v>#N/A</v>
      </c>
      <c r="AC7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71" spans="1:29" ht="14.5">
      <c r="A771" s="220" t="str">
        <f>TEXT(ROW(A771)-ROW($A$4),"000")</f>
        <v>767</v>
      </c>
      <c r="B771" s="221"/>
      <c r="C771" s="221" t="s">
        <v>49</v>
      </c>
      <c r="D771" s="221" t="s">
        <v>4299</v>
      </c>
      <c r="E771" s="221" t="s">
        <v>3295</v>
      </c>
      <c r="F771" s="221" t="s">
        <v>3299</v>
      </c>
      <c r="G771" s="222">
        <v>45635</v>
      </c>
      <c r="H771" s="223">
        <v>0.68888888888888888</v>
      </c>
      <c r="I771" s="221" t="s">
        <v>4916</v>
      </c>
      <c r="J771" s="221" t="s">
        <v>3024</v>
      </c>
      <c r="K771" s="224" t="s">
        <v>5137</v>
      </c>
      <c r="L771" s="225" t="str">
        <f>VLOOKUP(Logfile_S[[#This Row],[Material Name]],Sheet2!B:C,2,0)</f>
        <v>GCI1009</v>
      </c>
      <c r="M771" s="225" t="str">
        <f>_xlfn.XLOOKUP(Logfile_S[[#This Row],[Material Name]],Sum_WH!E:E,Sum_WH!F:F,"",0)</f>
        <v>Pcs</v>
      </c>
      <c r="N771" s="221">
        <v>100</v>
      </c>
      <c r="O771" s="221" t="s">
        <v>2502</v>
      </c>
      <c r="P771" s="221" t="s">
        <v>2503</v>
      </c>
      <c r="Q771" s="221"/>
      <c r="R771" s="221"/>
      <c r="S771" s="221"/>
      <c r="T771" s="221" t="s">
        <v>3258</v>
      </c>
      <c r="U771" s="221">
        <v>0</v>
      </c>
      <c r="V771" s="221" t="s">
        <v>3337</v>
      </c>
      <c r="W771" s="221" t="s">
        <v>3338</v>
      </c>
      <c r="X771" s="221"/>
      <c r="Y771" s="227"/>
      <c r="Z771" s="227" t="str">
        <f>P771</f>
        <v>Bedali RW 03 Kromengan</v>
      </c>
      <c r="AA771" s="276" t="e">
        <f>VLOOKUP(Logfile_S[[#This Row],[DO number]],DO_DB!G:I,3,0)</f>
        <v>#N/A</v>
      </c>
      <c r="AB771" s="331" t="e">
        <f>EXACT(Logfile_S[[#This Row],[date pick]],Logfile_S[[#This Row],[Date]])</f>
        <v>#N/A</v>
      </c>
      <c r="AC7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72" spans="1:29" ht="14.5">
      <c r="A772" s="220" t="str">
        <f>TEXT(ROW(A772)-ROW($A$4),"000")</f>
        <v>768</v>
      </c>
      <c r="B772" s="221"/>
      <c r="C772" s="221" t="s">
        <v>49</v>
      </c>
      <c r="D772" s="221" t="s">
        <v>4299</v>
      </c>
      <c r="E772" s="221" t="s">
        <v>3295</v>
      </c>
      <c r="F772" s="221" t="s">
        <v>3299</v>
      </c>
      <c r="G772" s="222">
        <v>45635</v>
      </c>
      <c r="H772" s="223">
        <v>0.68888888888888888</v>
      </c>
      <c r="I772" s="221" t="s">
        <v>4916</v>
      </c>
      <c r="J772" s="221" t="s">
        <v>3024</v>
      </c>
      <c r="K772" s="224" t="s">
        <v>3094</v>
      </c>
      <c r="L772" s="225" t="str">
        <f>VLOOKUP(Logfile_S[[#This Row],[Material Name]],Sheet2!B:C,2,0)</f>
        <v>GCI1008</v>
      </c>
      <c r="M772" s="225" t="str">
        <f>_xlfn.XLOOKUP(Logfile_S[[#This Row],[Material Name]],Sum_WH!E:E,Sum_WH!F:F,"",0)</f>
        <v>Pcs</v>
      </c>
      <c r="N772" s="221">
        <v>30</v>
      </c>
      <c r="O772" s="221" t="s">
        <v>2502</v>
      </c>
      <c r="P772" s="221" t="s">
        <v>2503</v>
      </c>
      <c r="Q772" s="221"/>
      <c r="R772" s="221"/>
      <c r="S772" s="221"/>
      <c r="T772" s="221" t="s">
        <v>3258</v>
      </c>
      <c r="U772" s="221">
        <v>0</v>
      </c>
      <c r="V772" s="221" t="s">
        <v>3337</v>
      </c>
      <c r="W772" s="221" t="s">
        <v>3338</v>
      </c>
      <c r="X772" s="221"/>
      <c r="Y772" s="227"/>
      <c r="Z772" s="227" t="str">
        <f>P772</f>
        <v>Bedali RW 03 Kromengan</v>
      </c>
      <c r="AA772" s="276" t="e">
        <f>VLOOKUP(Logfile_S[[#This Row],[DO number]],DO_DB!G:I,3,0)</f>
        <v>#N/A</v>
      </c>
      <c r="AB772" s="331" t="e">
        <f>EXACT(Logfile_S[[#This Row],[date pick]],Logfile_S[[#This Row],[Date]])</f>
        <v>#N/A</v>
      </c>
      <c r="AC7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73" spans="1:29" ht="14.5">
      <c r="A773" s="220" t="str">
        <f>TEXT(ROW(A773)-ROW($A$4),"000")</f>
        <v>769</v>
      </c>
      <c r="B773" s="221"/>
      <c r="C773" s="221" t="s">
        <v>49</v>
      </c>
      <c r="D773" s="221" t="s">
        <v>4299</v>
      </c>
      <c r="E773" s="221" t="s">
        <v>3295</v>
      </c>
      <c r="F773" s="221" t="s">
        <v>3299</v>
      </c>
      <c r="G773" s="222">
        <v>45635</v>
      </c>
      <c r="H773" s="223">
        <v>0.68888888888888888</v>
      </c>
      <c r="I773" s="221" t="s">
        <v>4916</v>
      </c>
      <c r="J773" s="221" t="s">
        <v>3024</v>
      </c>
      <c r="K773" s="224" t="s">
        <v>3090</v>
      </c>
      <c r="L773" s="225" t="str">
        <f>VLOOKUP(Logfile_S[[#This Row],[Material Name]],Sheet2!B:C,2,0)</f>
        <v>GCI1004</v>
      </c>
      <c r="M773" s="225" t="str">
        <f>_xlfn.XLOOKUP(Logfile_S[[#This Row],[Material Name]],Sum_WH!E:E,Sum_WH!F:F,"",0)</f>
        <v>Pcs</v>
      </c>
      <c r="N773" s="221">
        <v>50</v>
      </c>
      <c r="O773" s="221" t="s">
        <v>2502</v>
      </c>
      <c r="P773" s="221" t="s">
        <v>2503</v>
      </c>
      <c r="Q773" s="221"/>
      <c r="R773" s="221"/>
      <c r="S773" s="221"/>
      <c r="T773" s="221" t="s">
        <v>3258</v>
      </c>
      <c r="U773" s="221">
        <v>0</v>
      </c>
      <c r="V773" s="221" t="s">
        <v>3337</v>
      </c>
      <c r="W773" s="221" t="s">
        <v>3338</v>
      </c>
      <c r="X773" s="221"/>
      <c r="Y773" s="227"/>
      <c r="Z773" s="227" t="str">
        <f>P773</f>
        <v>Bedali RW 03 Kromengan</v>
      </c>
      <c r="AA773" s="276" t="e">
        <f>VLOOKUP(Logfile_S[[#This Row],[DO number]],DO_DB!G:I,3,0)</f>
        <v>#N/A</v>
      </c>
      <c r="AB773" s="331" t="e">
        <f>EXACT(Logfile_S[[#This Row],[date pick]],Logfile_S[[#This Row],[Date]])</f>
        <v>#N/A</v>
      </c>
      <c r="AC7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74" spans="1:29" ht="14.5">
      <c r="A774" s="220" t="str">
        <f>TEXT(ROW(A774)-ROW($A$4),"000")</f>
        <v>770</v>
      </c>
      <c r="B774" s="221"/>
      <c r="C774" s="221" t="s">
        <v>48</v>
      </c>
      <c r="D774" s="221" t="s">
        <v>4288</v>
      </c>
      <c r="E774" s="221" t="s">
        <v>3295</v>
      </c>
      <c r="F774" s="221" t="s">
        <v>3299</v>
      </c>
      <c r="G774" s="222">
        <v>45622</v>
      </c>
      <c r="H774" s="223">
        <v>15.291666666666666</v>
      </c>
      <c r="I774" s="221" t="s">
        <v>37</v>
      </c>
      <c r="J774" s="221" t="s">
        <v>3023</v>
      </c>
      <c r="K774" s="224" t="s">
        <v>3075</v>
      </c>
      <c r="L774" s="225" t="str">
        <f>VLOOKUP(Logfile_S[[#This Row],[Material Name]],Sheet2!B:C,2,0)</f>
        <v>ZTE2003</v>
      </c>
      <c r="M774" s="225" t="str">
        <f>_xlfn.XLOOKUP(Logfile_S[[#This Row],[Material Name]],Sum_WH!E:E,Sum_WH!F:F,"",0)</f>
        <v>Meter</v>
      </c>
      <c r="N774" s="221">
        <v>3000</v>
      </c>
      <c r="O774" s="221" t="s">
        <v>2508</v>
      </c>
      <c r="P774" s="221" t="s">
        <v>3468</v>
      </c>
      <c r="Q774" s="221" t="s">
        <v>2512</v>
      </c>
      <c r="R774" s="221" t="s">
        <v>2513</v>
      </c>
      <c r="S774" s="221"/>
      <c r="T774" s="221"/>
      <c r="U774" s="221"/>
      <c r="V774" s="221"/>
      <c r="W774" s="221"/>
      <c r="X774" s="221"/>
      <c r="Y774" s="227" t="s">
        <v>5077</v>
      </c>
      <c r="Z774" s="227" t="str">
        <f>P774</f>
        <v>Bedali RW 04 Kromengan</v>
      </c>
      <c r="AA774" s="276">
        <f>VLOOKUP(Logfile_S[[#This Row],[DO number]],DO_DB!G:I,3,0)</f>
        <v>45622</v>
      </c>
      <c r="AB774" s="331" t="b">
        <f>EXACT(Logfile_S[[#This Row],[date pick]],Logfile_S[[#This Row],[Date]])</f>
        <v>1</v>
      </c>
      <c r="AC7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48C-20241126-01</v>
      </c>
    </row>
    <row r="775" spans="1:29" ht="14.5">
      <c r="A775" s="220" t="str">
        <f>TEXT(ROW(A775)-ROW($A$4),"000")</f>
        <v>771</v>
      </c>
      <c r="B775" s="221"/>
      <c r="C775" s="221" t="s">
        <v>48</v>
      </c>
      <c r="D775" s="221" t="s">
        <v>4290</v>
      </c>
      <c r="E775" s="221" t="s">
        <v>3295</v>
      </c>
      <c r="F775" s="221" t="s">
        <v>3299</v>
      </c>
      <c r="G775" s="222">
        <v>45622</v>
      </c>
      <c r="H775" s="223">
        <v>15.291666666666666</v>
      </c>
      <c r="I775" s="221" t="s">
        <v>37</v>
      </c>
      <c r="J775" s="221" t="s">
        <v>3023</v>
      </c>
      <c r="K775" s="224" t="s">
        <v>13</v>
      </c>
      <c r="L775" s="225" t="str">
        <f>VLOOKUP(Logfile_S[[#This Row],[Material Name]],Sheet2!B:C,2,0)</f>
        <v>ZTE2008</v>
      </c>
      <c r="M775" s="225" t="str">
        <f>_xlfn.XLOOKUP(Logfile_S[[#This Row],[Material Name]],Sum_WH!E:E,Sum_WH!F:F,"",0)</f>
        <v>Pcs</v>
      </c>
      <c r="N775" s="221">
        <v>11</v>
      </c>
      <c r="O775" s="221" t="s">
        <v>2508</v>
      </c>
      <c r="P775" s="221" t="s">
        <v>3468</v>
      </c>
      <c r="Q775" s="221" t="s">
        <v>2512</v>
      </c>
      <c r="R775" s="221" t="s">
        <v>2513</v>
      </c>
      <c r="S775" s="221"/>
      <c r="T775" s="221"/>
      <c r="U775" s="221"/>
      <c r="V775" s="221"/>
      <c r="W775" s="221"/>
      <c r="X775" s="221"/>
      <c r="Y775" s="227"/>
      <c r="Z775" s="227" t="str">
        <f>P775</f>
        <v>Bedali RW 04 Kromengan</v>
      </c>
      <c r="AA775" s="276">
        <f>VLOOKUP(Logfile_S[[#This Row],[DO number]],DO_DB!G:I,3,0)</f>
        <v>45622</v>
      </c>
      <c r="AB775" s="331" t="b">
        <f>EXACT(Logfile_S[[#This Row],[date pick]],Logfile_S[[#This Row],[Date]])</f>
        <v>1</v>
      </c>
      <c r="AC7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76" spans="1:29" ht="14.5">
      <c r="A776" s="220" t="str">
        <f>TEXT(ROW(A776)-ROW($A$4),"000")</f>
        <v>772</v>
      </c>
      <c r="B776" s="221"/>
      <c r="C776" s="221" t="s">
        <v>48</v>
      </c>
      <c r="D776" s="221" t="s">
        <v>4290</v>
      </c>
      <c r="E776" s="221" t="s">
        <v>3295</v>
      </c>
      <c r="F776" s="221" t="s">
        <v>3299</v>
      </c>
      <c r="G776" s="222">
        <v>45622</v>
      </c>
      <c r="H776" s="223">
        <v>15.291666666666666</v>
      </c>
      <c r="I776" s="221" t="s">
        <v>37</v>
      </c>
      <c r="J776" s="221" t="s">
        <v>3023</v>
      </c>
      <c r="K776" s="224" t="s">
        <v>14</v>
      </c>
      <c r="L776" s="225" t="str">
        <f>VLOOKUP(Logfile_S[[#This Row],[Material Name]],Sheet2!B:C,2,0)</f>
        <v>ZTE2005</v>
      </c>
      <c r="M776" s="225" t="str">
        <f>_xlfn.XLOOKUP(Logfile_S[[#This Row],[Material Name]],Sum_WH!E:E,Sum_WH!F:F,"",0)</f>
        <v>Pcs</v>
      </c>
      <c r="N776" s="221">
        <v>1</v>
      </c>
      <c r="O776" s="221" t="s">
        <v>2508</v>
      </c>
      <c r="P776" s="221" t="s">
        <v>3468</v>
      </c>
      <c r="Q776" s="221" t="s">
        <v>2512</v>
      </c>
      <c r="R776" s="221" t="s">
        <v>2513</v>
      </c>
      <c r="S776" s="221"/>
      <c r="T776" s="221"/>
      <c r="U776" s="221"/>
      <c r="V776" s="221"/>
      <c r="W776" s="221"/>
      <c r="X776" s="221"/>
      <c r="Y776" s="227"/>
      <c r="Z776" s="227" t="str">
        <f>P776</f>
        <v>Bedali RW 04 Kromengan</v>
      </c>
      <c r="AA776" s="276">
        <f>VLOOKUP(Logfile_S[[#This Row],[DO number]],DO_DB!G:I,3,0)</f>
        <v>45622</v>
      </c>
      <c r="AB776" s="331" t="b">
        <f>EXACT(Logfile_S[[#This Row],[date pick]],Logfile_S[[#This Row],[Date]])</f>
        <v>1</v>
      </c>
      <c r="AC7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77" spans="1:29" ht="14.5">
      <c r="A777" s="220" t="str">
        <f>TEXT(ROW(A777)-ROW($A$4),"000")</f>
        <v>773</v>
      </c>
      <c r="B777" s="221"/>
      <c r="C777" s="221" t="s">
        <v>48</v>
      </c>
      <c r="D777" s="221" t="s">
        <v>4290</v>
      </c>
      <c r="E777" s="221" t="s">
        <v>3295</v>
      </c>
      <c r="F777" s="221" t="s">
        <v>3299</v>
      </c>
      <c r="G777" s="222">
        <v>45622</v>
      </c>
      <c r="H777" s="223">
        <v>15.291666666666666</v>
      </c>
      <c r="I777" s="221" t="s">
        <v>37</v>
      </c>
      <c r="J777" s="221" t="s">
        <v>3023</v>
      </c>
      <c r="K777" s="224" t="s">
        <v>3069</v>
      </c>
      <c r="L777" s="225" t="str">
        <f>VLOOKUP(Logfile_S[[#This Row],[Material Name]],Sheet2!B:C,2,0)</f>
        <v>ZTE1001</v>
      </c>
      <c r="M777" s="225" t="str">
        <f>_xlfn.XLOOKUP(Logfile_S[[#This Row],[Material Name]],Sum_WH!E:E,Sum_WH!F:F,"",0)</f>
        <v>Pcs</v>
      </c>
      <c r="N777" s="221">
        <v>21</v>
      </c>
      <c r="O777" s="221" t="s">
        <v>2508</v>
      </c>
      <c r="P777" s="221" t="s">
        <v>3468</v>
      </c>
      <c r="Q777" s="221" t="s">
        <v>2510</v>
      </c>
      <c r="R777" s="221" t="s">
        <v>2511</v>
      </c>
      <c r="S777" s="221"/>
      <c r="T777" s="221"/>
      <c r="U777" s="221"/>
      <c r="V777" s="221"/>
      <c r="W777" s="221"/>
      <c r="X777" s="221"/>
      <c r="Y777" s="227"/>
      <c r="Z777" s="227" t="str">
        <f>P777</f>
        <v>Bedali RW 04 Kromengan</v>
      </c>
      <c r="AA777" s="276">
        <f>VLOOKUP(Logfile_S[[#This Row],[DO number]],DO_DB!G:I,3,0)</f>
        <v>45622</v>
      </c>
      <c r="AB777" s="331" t="b">
        <f>EXACT(Logfile_S[[#This Row],[date pick]],Logfile_S[[#This Row],[Date]])</f>
        <v>1</v>
      </c>
      <c r="AC7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78" spans="1:29" ht="14.5">
      <c r="A778" s="220" t="str">
        <f>TEXT(ROW(A778)-ROW($A$4),"000")</f>
        <v>774</v>
      </c>
      <c r="B778" s="221"/>
      <c r="C778" s="221" t="s">
        <v>48</v>
      </c>
      <c r="D778" s="221" t="s">
        <v>4290</v>
      </c>
      <c r="E778" s="221" t="s">
        <v>3295</v>
      </c>
      <c r="F778" s="221" t="s">
        <v>3299</v>
      </c>
      <c r="G778" s="222">
        <v>45622</v>
      </c>
      <c r="H778" s="223">
        <v>15.291666666666666</v>
      </c>
      <c r="I778" s="221" t="s">
        <v>37</v>
      </c>
      <c r="J778" s="221" t="s">
        <v>3023</v>
      </c>
      <c r="K778" s="224" t="s">
        <v>3071</v>
      </c>
      <c r="L778" s="225" t="str">
        <f>VLOOKUP(Logfile_S[[#This Row],[Material Name]],Sheet2!B:C,2,0)</f>
        <v>ZTE1003</v>
      </c>
      <c r="M778" s="225" t="str">
        <f>_xlfn.XLOOKUP(Logfile_S[[#This Row],[Material Name]],Sum_WH!E:E,Sum_WH!F:F,"",0)</f>
        <v>Pcs</v>
      </c>
      <c r="N778" s="221">
        <v>2</v>
      </c>
      <c r="O778" s="221" t="s">
        <v>2508</v>
      </c>
      <c r="P778" s="221" t="s">
        <v>3468</v>
      </c>
      <c r="Q778" s="221" t="s">
        <v>2510</v>
      </c>
      <c r="R778" s="221" t="s">
        <v>2511</v>
      </c>
      <c r="S778" s="221"/>
      <c r="T778" s="221"/>
      <c r="U778" s="221"/>
      <c r="V778" s="221"/>
      <c r="W778" s="221"/>
      <c r="X778" s="221"/>
      <c r="Y778" s="227"/>
      <c r="Z778" s="227" t="str">
        <f>P778</f>
        <v>Bedali RW 04 Kromengan</v>
      </c>
      <c r="AA778" s="276">
        <f>VLOOKUP(Logfile_S[[#This Row],[DO number]],DO_DB!G:I,3,0)</f>
        <v>45622</v>
      </c>
      <c r="AB778" s="331" t="b">
        <f>EXACT(Logfile_S[[#This Row],[date pick]],Logfile_S[[#This Row],[Date]])</f>
        <v>1</v>
      </c>
      <c r="AC7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79" spans="1:29" ht="14.5">
      <c r="A779" s="220" t="str">
        <f>TEXT(ROW(A779)-ROW($A$4),"000")</f>
        <v>775</v>
      </c>
      <c r="B779" s="221"/>
      <c r="C779" s="221" t="s">
        <v>48</v>
      </c>
      <c r="D779" s="221" t="s">
        <v>4288</v>
      </c>
      <c r="E779" s="221" t="s">
        <v>3295</v>
      </c>
      <c r="F779" s="221" t="s">
        <v>3299</v>
      </c>
      <c r="G779" s="222">
        <v>45622</v>
      </c>
      <c r="H779" s="223">
        <v>15.291666666666666</v>
      </c>
      <c r="I779" s="221" t="s">
        <v>37</v>
      </c>
      <c r="J779" s="221" t="s">
        <v>3023</v>
      </c>
      <c r="K779" s="224" t="s">
        <v>3073</v>
      </c>
      <c r="L779" s="225" t="str">
        <f>VLOOKUP(Logfile_S[[#This Row],[Material Name]],Sheet2!B:C,2,0)</f>
        <v>ZTE2001</v>
      </c>
      <c r="M779" s="225" t="str">
        <f>_xlfn.XLOOKUP(Logfile_S[[#This Row],[Material Name]],Sum_WH!E:E,Sum_WH!F:F,"",0)</f>
        <v>Meter</v>
      </c>
      <c r="N779" s="221">
        <v>3000</v>
      </c>
      <c r="O779" s="221" t="s">
        <v>2508</v>
      </c>
      <c r="P779" s="221" t="s">
        <v>2509</v>
      </c>
      <c r="Q779" s="221" t="s">
        <v>2512</v>
      </c>
      <c r="R779" s="221" t="s">
        <v>2513</v>
      </c>
      <c r="S779" s="221"/>
      <c r="T779" s="221"/>
      <c r="U779" s="221"/>
      <c r="V779" s="221"/>
      <c r="W779" s="221"/>
      <c r="X779" s="221"/>
      <c r="Y779" s="227" t="s">
        <v>5015</v>
      </c>
      <c r="Z779" s="227" t="str">
        <f>P779</f>
        <v>BEDALI RW 04 MALANG</v>
      </c>
      <c r="AA779" s="276">
        <f>VLOOKUP(Logfile_S[[#This Row],[DO number]],DO_DB!G:I,3,0)</f>
        <v>45622</v>
      </c>
      <c r="AB779" s="331" t="b">
        <f>EXACT(Logfile_S[[#This Row],[date pick]],Logfile_S[[#This Row],[Date]])</f>
        <v>1</v>
      </c>
      <c r="AC7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24C-20241126-03</v>
      </c>
    </row>
    <row r="780" spans="1:29" ht="14.5">
      <c r="A780" s="220" t="str">
        <f>TEXT(ROW(A780)-ROW($A$4),"000")</f>
        <v>776</v>
      </c>
      <c r="B780" s="221"/>
      <c r="C780" s="221" t="s">
        <v>49</v>
      </c>
      <c r="D780" s="221" t="s">
        <v>4297</v>
      </c>
      <c r="E780" s="221" t="s">
        <v>3295</v>
      </c>
      <c r="F780" s="221" t="s">
        <v>3299</v>
      </c>
      <c r="G780" s="222">
        <v>45627</v>
      </c>
      <c r="H780" s="223">
        <v>0.39583333333333331</v>
      </c>
      <c r="I780" s="221" t="s">
        <v>4916</v>
      </c>
      <c r="J780" s="221" t="s">
        <v>3023</v>
      </c>
      <c r="K780" s="224" t="s">
        <v>3073</v>
      </c>
      <c r="L780" s="225" t="str">
        <f>VLOOKUP(Logfile_S[[#This Row],[Material Name]],Sheet2!B:C,2,0)</f>
        <v>ZTE2001</v>
      </c>
      <c r="M780" s="225" t="str">
        <f>_xlfn.XLOOKUP(Logfile_S[[#This Row],[Material Name]],Sum_WH!E:E,Sum_WH!F:F,"",0)</f>
        <v>Meter</v>
      </c>
      <c r="N780" s="221">
        <v>3000</v>
      </c>
      <c r="O780" s="221" t="s">
        <v>2508</v>
      </c>
      <c r="P780" s="221" t="s">
        <v>2509</v>
      </c>
      <c r="Q780" s="221"/>
      <c r="R780" s="221"/>
      <c r="S780" s="221"/>
      <c r="T780" s="221" t="s">
        <v>3258</v>
      </c>
      <c r="U780" s="221" t="s">
        <v>5107</v>
      </c>
      <c r="V780" s="221" t="s">
        <v>3337</v>
      </c>
      <c r="W780" s="221" t="s">
        <v>3338</v>
      </c>
      <c r="X780" s="221"/>
      <c r="Y780" s="227"/>
      <c r="Z780" s="227" t="str">
        <f>P780</f>
        <v>BEDALI RW 04 MALANG</v>
      </c>
      <c r="AA780" s="276" t="e">
        <f>VLOOKUP(Logfile_S[[#This Row],[DO number]],DO_DB!G:I,3,0)</f>
        <v>#N/A</v>
      </c>
      <c r="AB780" s="331" t="e">
        <f>EXACT(Logfile_S[[#This Row],[date pick]],Logfile_S[[#This Row],[Date]])</f>
        <v>#N/A</v>
      </c>
      <c r="AC7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81" spans="1:29" ht="14.5">
      <c r="A781" s="220" t="str">
        <f>TEXT(ROW(A781)-ROW($A$4),"000")</f>
        <v>777</v>
      </c>
      <c r="B781" s="221"/>
      <c r="C781" s="221" t="s">
        <v>48</v>
      </c>
      <c r="D781" s="221" t="s">
        <v>4288</v>
      </c>
      <c r="E781" s="221" t="s">
        <v>3295</v>
      </c>
      <c r="F781" s="221" t="s">
        <v>3299</v>
      </c>
      <c r="G781" s="222">
        <v>45622</v>
      </c>
      <c r="H781" s="223">
        <v>15.291666666666666</v>
      </c>
      <c r="I781" s="221" t="s">
        <v>37</v>
      </c>
      <c r="J781" s="221" t="s">
        <v>3023</v>
      </c>
      <c r="K781" s="224" t="s">
        <v>3073</v>
      </c>
      <c r="L781" s="225" t="str">
        <f>VLOOKUP(Logfile_S[[#This Row],[Material Name]],Sheet2!B:C,2,0)</f>
        <v>ZTE2001</v>
      </c>
      <c r="M781" s="225" t="str">
        <f>_xlfn.XLOOKUP(Logfile_S[[#This Row],[Material Name]],Sum_WH!E:E,Sum_WH!F:F,"",0)</f>
        <v>Meter</v>
      </c>
      <c r="N781" s="221">
        <v>3000</v>
      </c>
      <c r="O781" s="221" t="s">
        <v>2514</v>
      </c>
      <c r="P781" s="221" t="s">
        <v>2515</v>
      </c>
      <c r="Q781" s="221" t="s">
        <v>2518</v>
      </c>
      <c r="R781" s="221" t="s">
        <v>2519</v>
      </c>
      <c r="S781" s="221"/>
      <c r="T781" s="221"/>
      <c r="U781" s="221"/>
      <c r="V781" s="221"/>
      <c r="W781" s="221"/>
      <c r="X781" s="221"/>
      <c r="Y781" s="227" t="s">
        <v>5013</v>
      </c>
      <c r="Z781" s="227" t="str">
        <f>P781</f>
        <v>Bedali RW 05 Kromengan</v>
      </c>
      <c r="AA781" s="276">
        <f>VLOOKUP(Logfile_S[[#This Row],[DO number]],DO_DB!G:I,3,0)</f>
        <v>45622</v>
      </c>
      <c r="AB781" s="331" t="b">
        <f>EXACT(Logfile_S[[#This Row],[date pick]],Logfile_S[[#This Row],[Date]])</f>
        <v>1</v>
      </c>
      <c r="AC7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24C-20241126-01</v>
      </c>
    </row>
    <row r="782" spans="1:29" ht="14.5">
      <c r="A782" s="220" t="str">
        <f>TEXT(ROW(A782)-ROW($A$4),"000")</f>
        <v>778</v>
      </c>
      <c r="B782" s="221"/>
      <c r="C782" s="221" t="s">
        <v>48</v>
      </c>
      <c r="D782" s="221" t="s">
        <v>4290</v>
      </c>
      <c r="E782" s="221" t="s">
        <v>3295</v>
      </c>
      <c r="F782" s="221" t="s">
        <v>3299</v>
      </c>
      <c r="G782" s="222">
        <v>45622</v>
      </c>
      <c r="H782" s="223">
        <v>15.291666666666666</v>
      </c>
      <c r="I782" s="221" t="s">
        <v>37</v>
      </c>
      <c r="J782" s="221" t="s">
        <v>3023</v>
      </c>
      <c r="K782" s="224" t="s">
        <v>13</v>
      </c>
      <c r="L782" s="225" t="str">
        <f>VLOOKUP(Logfile_S[[#This Row],[Material Name]],Sheet2!B:C,2,0)</f>
        <v>ZTE2008</v>
      </c>
      <c r="M782" s="225" t="str">
        <f>_xlfn.XLOOKUP(Logfile_S[[#This Row],[Material Name]],Sum_WH!E:E,Sum_WH!F:F,"",0)</f>
        <v>Pcs</v>
      </c>
      <c r="N782" s="221">
        <v>17</v>
      </c>
      <c r="O782" s="221" t="s">
        <v>2514</v>
      </c>
      <c r="P782" s="221" t="s">
        <v>2515</v>
      </c>
      <c r="Q782" s="221" t="s">
        <v>2518</v>
      </c>
      <c r="R782" s="221" t="s">
        <v>2519</v>
      </c>
      <c r="S782" s="221"/>
      <c r="T782" s="221"/>
      <c r="U782" s="221"/>
      <c r="V782" s="221"/>
      <c r="W782" s="221"/>
      <c r="X782" s="221"/>
      <c r="Y782" s="227"/>
      <c r="Z782" s="227" t="str">
        <f>P782</f>
        <v>Bedali RW 05 Kromengan</v>
      </c>
      <c r="AA782" s="276">
        <f>VLOOKUP(Logfile_S[[#This Row],[DO number]],DO_DB!G:I,3,0)</f>
        <v>45622</v>
      </c>
      <c r="AB782" s="331" t="b">
        <f>EXACT(Logfile_S[[#This Row],[date pick]],Logfile_S[[#This Row],[Date]])</f>
        <v>1</v>
      </c>
      <c r="AC7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83" spans="1:29" ht="14.5">
      <c r="A783" s="220" t="str">
        <f>TEXT(ROW(A783)-ROW($A$4),"000")</f>
        <v>779</v>
      </c>
      <c r="B783" s="221"/>
      <c r="C783" s="221" t="s">
        <v>48</v>
      </c>
      <c r="D783" s="221" t="s">
        <v>4290</v>
      </c>
      <c r="E783" s="221" t="s">
        <v>3295</v>
      </c>
      <c r="F783" s="221" t="s">
        <v>3299</v>
      </c>
      <c r="G783" s="222">
        <v>45622</v>
      </c>
      <c r="H783" s="223">
        <v>15.291666666666666</v>
      </c>
      <c r="I783" s="221" t="s">
        <v>37</v>
      </c>
      <c r="J783" s="221" t="s">
        <v>3023</v>
      </c>
      <c r="K783" s="224" t="s">
        <v>14</v>
      </c>
      <c r="L783" s="225" t="str">
        <f>VLOOKUP(Logfile_S[[#This Row],[Material Name]],Sheet2!B:C,2,0)</f>
        <v>ZTE2005</v>
      </c>
      <c r="M783" s="225" t="str">
        <f>_xlfn.XLOOKUP(Logfile_S[[#This Row],[Material Name]],Sum_WH!E:E,Sum_WH!F:F,"",0)</f>
        <v>Pcs</v>
      </c>
      <c r="N783" s="221">
        <v>1</v>
      </c>
      <c r="O783" s="221" t="s">
        <v>2514</v>
      </c>
      <c r="P783" s="221" t="s">
        <v>2515</v>
      </c>
      <c r="Q783" s="221" t="s">
        <v>2518</v>
      </c>
      <c r="R783" s="221" t="s">
        <v>2519</v>
      </c>
      <c r="S783" s="221"/>
      <c r="T783" s="221"/>
      <c r="U783" s="221"/>
      <c r="V783" s="221"/>
      <c r="W783" s="221"/>
      <c r="X783" s="221"/>
      <c r="Y783" s="227"/>
      <c r="Z783" s="227" t="str">
        <f>P783</f>
        <v>Bedali RW 05 Kromengan</v>
      </c>
      <c r="AA783" s="276">
        <f>VLOOKUP(Logfile_S[[#This Row],[DO number]],DO_DB!G:I,3,0)</f>
        <v>45622</v>
      </c>
      <c r="AB783" s="331" t="b">
        <f>EXACT(Logfile_S[[#This Row],[date pick]],Logfile_S[[#This Row],[Date]])</f>
        <v>1</v>
      </c>
      <c r="AC7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84" spans="1:29" ht="14.5">
      <c r="A784" s="220" t="str">
        <f>TEXT(ROW(A784)-ROW($A$4),"000")</f>
        <v>780</v>
      </c>
      <c r="B784" s="221"/>
      <c r="C784" s="221" t="s">
        <v>48</v>
      </c>
      <c r="D784" s="221" t="s">
        <v>4290</v>
      </c>
      <c r="E784" s="221" t="s">
        <v>3295</v>
      </c>
      <c r="F784" s="221" t="s">
        <v>3299</v>
      </c>
      <c r="G784" s="222">
        <v>45622</v>
      </c>
      <c r="H784" s="223">
        <v>15.291666666666666</v>
      </c>
      <c r="I784" s="221" t="s">
        <v>37</v>
      </c>
      <c r="J784" s="221" t="s">
        <v>3023</v>
      </c>
      <c r="K784" s="224" t="s">
        <v>3070</v>
      </c>
      <c r="L784" s="225" t="str">
        <f>VLOOKUP(Logfile_S[[#This Row],[Material Name]],Sheet2!B:C,2,0)</f>
        <v>ZTE1002</v>
      </c>
      <c r="M784" s="225" t="str">
        <f>_xlfn.XLOOKUP(Logfile_S[[#This Row],[Material Name]],Sum_WH!E:E,Sum_WH!F:F,"",0)</f>
        <v>Pcs</v>
      </c>
      <c r="N784" s="221">
        <v>7</v>
      </c>
      <c r="O784" s="221" t="s">
        <v>2514</v>
      </c>
      <c r="P784" s="221" t="s">
        <v>2515</v>
      </c>
      <c r="Q784" s="221" t="s">
        <v>2516</v>
      </c>
      <c r="R784" s="221" t="s">
        <v>2517</v>
      </c>
      <c r="S784" s="221"/>
      <c r="T784" s="221"/>
      <c r="U784" s="221"/>
      <c r="V784" s="221"/>
      <c r="W784" s="221"/>
      <c r="X784" s="221"/>
      <c r="Y784" s="227"/>
      <c r="Z784" s="227" t="str">
        <f>P784</f>
        <v>Bedali RW 05 Kromengan</v>
      </c>
      <c r="AA784" s="276">
        <f>VLOOKUP(Logfile_S[[#This Row],[DO number]],DO_DB!G:I,3,0)</f>
        <v>45622</v>
      </c>
      <c r="AB784" s="331" t="b">
        <f>EXACT(Logfile_S[[#This Row],[date pick]],Logfile_S[[#This Row],[Date]])</f>
        <v>1</v>
      </c>
      <c r="AC7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85" spans="1:29" ht="14.5">
      <c r="A785" s="220" t="str">
        <f>TEXT(ROW(A785)-ROW($A$4),"000")</f>
        <v>781</v>
      </c>
      <c r="B785" s="221"/>
      <c r="C785" s="221" t="s">
        <v>48</v>
      </c>
      <c r="D785" s="221" t="s">
        <v>4290</v>
      </c>
      <c r="E785" s="221" t="s">
        <v>3295</v>
      </c>
      <c r="F785" s="221" t="s">
        <v>3299</v>
      </c>
      <c r="G785" s="222">
        <v>45622</v>
      </c>
      <c r="H785" s="223">
        <v>15.291666666666666</v>
      </c>
      <c r="I785" s="221" t="s">
        <v>37</v>
      </c>
      <c r="J785" s="221" t="s">
        <v>3023</v>
      </c>
      <c r="K785" s="224" t="s">
        <v>3069</v>
      </c>
      <c r="L785" s="225" t="str">
        <f>VLOOKUP(Logfile_S[[#This Row],[Material Name]],Sheet2!B:C,2,0)</f>
        <v>ZTE1001</v>
      </c>
      <c r="M785" s="225" t="str">
        <f>_xlfn.XLOOKUP(Logfile_S[[#This Row],[Material Name]],Sum_WH!E:E,Sum_WH!F:F,"",0)</f>
        <v>Pcs</v>
      </c>
      <c r="N785" s="221">
        <v>55</v>
      </c>
      <c r="O785" s="221" t="s">
        <v>2514</v>
      </c>
      <c r="P785" s="221" t="s">
        <v>2515</v>
      </c>
      <c r="Q785" s="221" t="s">
        <v>2516</v>
      </c>
      <c r="R785" s="221" t="s">
        <v>2517</v>
      </c>
      <c r="S785" s="221"/>
      <c r="T785" s="221"/>
      <c r="U785" s="221"/>
      <c r="V785" s="221"/>
      <c r="W785" s="221"/>
      <c r="X785" s="221"/>
      <c r="Y785" s="227"/>
      <c r="Z785" s="227" t="str">
        <f>P785</f>
        <v>Bedali RW 05 Kromengan</v>
      </c>
      <c r="AA785" s="276">
        <f>VLOOKUP(Logfile_S[[#This Row],[DO number]],DO_DB!G:I,3,0)</f>
        <v>45622</v>
      </c>
      <c r="AB785" s="331" t="b">
        <f>EXACT(Logfile_S[[#This Row],[date pick]],Logfile_S[[#This Row],[Date]])</f>
        <v>1</v>
      </c>
      <c r="AC7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86" spans="1:29" ht="14.5">
      <c r="A786" s="220" t="str">
        <f>TEXT(ROW(A786)-ROW($A$4),"000")</f>
        <v>782</v>
      </c>
      <c r="B786" s="221"/>
      <c r="C786" s="221" t="s">
        <v>48</v>
      </c>
      <c r="D786" s="221" t="s">
        <v>4290</v>
      </c>
      <c r="E786" s="221" t="s">
        <v>3295</v>
      </c>
      <c r="F786" s="221" t="s">
        <v>3299</v>
      </c>
      <c r="G786" s="222">
        <v>45622</v>
      </c>
      <c r="H786" s="223">
        <v>15.291666666666666</v>
      </c>
      <c r="I786" s="221" t="s">
        <v>37</v>
      </c>
      <c r="J786" s="221" t="s">
        <v>3023</v>
      </c>
      <c r="K786" s="224" t="s">
        <v>3071</v>
      </c>
      <c r="L786" s="225" t="str">
        <f>VLOOKUP(Logfile_S[[#This Row],[Material Name]],Sheet2!B:C,2,0)</f>
        <v>ZTE1003</v>
      </c>
      <c r="M786" s="225" t="str">
        <f>_xlfn.XLOOKUP(Logfile_S[[#This Row],[Material Name]],Sum_WH!E:E,Sum_WH!F:F,"",0)</f>
        <v>Pcs</v>
      </c>
      <c r="N786" s="221">
        <v>2</v>
      </c>
      <c r="O786" s="221" t="s">
        <v>2514</v>
      </c>
      <c r="P786" s="221" t="s">
        <v>2515</v>
      </c>
      <c r="Q786" s="221" t="s">
        <v>2516</v>
      </c>
      <c r="R786" s="221" t="s">
        <v>2517</v>
      </c>
      <c r="S786" s="221"/>
      <c r="T786" s="221"/>
      <c r="U786" s="221"/>
      <c r="V786" s="221"/>
      <c r="W786" s="221"/>
      <c r="X786" s="221"/>
      <c r="Y786" s="227"/>
      <c r="Z786" s="227" t="str">
        <f>P786</f>
        <v>Bedali RW 05 Kromengan</v>
      </c>
      <c r="AA786" s="276">
        <f>VLOOKUP(Logfile_S[[#This Row],[DO number]],DO_DB!G:I,3,0)</f>
        <v>45622</v>
      </c>
      <c r="AB786" s="331" t="b">
        <f>EXACT(Logfile_S[[#This Row],[date pick]],Logfile_S[[#This Row],[Date]])</f>
        <v>1</v>
      </c>
      <c r="AC7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87" spans="1:29" ht="14.5">
      <c r="A787" s="220" t="str">
        <f>TEXT(ROW(A787)-ROW($A$4),"000")</f>
        <v>783</v>
      </c>
      <c r="B787" s="221"/>
      <c r="C787" s="221" t="s">
        <v>49</v>
      </c>
      <c r="D787" s="221" t="s">
        <v>4297</v>
      </c>
      <c r="E787" s="221" t="s">
        <v>3295</v>
      </c>
      <c r="F787" s="221" t="s">
        <v>3299</v>
      </c>
      <c r="G787" s="222">
        <v>45627</v>
      </c>
      <c r="H787" s="223">
        <v>0.39583333333333331</v>
      </c>
      <c r="I787" s="221" t="s">
        <v>4916</v>
      </c>
      <c r="J787" s="221" t="s">
        <v>3023</v>
      </c>
      <c r="K787" s="224" t="s">
        <v>3073</v>
      </c>
      <c r="L787" s="225" t="str">
        <f>VLOOKUP(Logfile_S[[#This Row],[Material Name]],Sheet2!B:C,2,0)</f>
        <v>ZTE2001</v>
      </c>
      <c r="M787" s="225" t="str">
        <f>_xlfn.XLOOKUP(Logfile_S[[#This Row],[Material Name]],Sum_WH!E:E,Sum_WH!F:F,"",0)</f>
        <v>Meter</v>
      </c>
      <c r="N787" s="221">
        <v>3000</v>
      </c>
      <c r="O787" s="221" t="s">
        <v>2514</v>
      </c>
      <c r="P787" s="221" t="s">
        <v>2515</v>
      </c>
      <c r="Q787" s="221"/>
      <c r="R787" s="221"/>
      <c r="S787" s="221"/>
      <c r="T787" s="221" t="s">
        <v>3258</v>
      </c>
      <c r="U787" s="221" t="s">
        <v>5107</v>
      </c>
      <c r="V787" s="221" t="s">
        <v>3337</v>
      </c>
      <c r="W787" s="221" t="s">
        <v>3338</v>
      </c>
      <c r="X787" s="221"/>
      <c r="Y787" s="227"/>
      <c r="Z787" s="227" t="str">
        <f>P787</f>
        <v>Bedali RW 05 Kromengan</v>
      </c>
      <c r="AA787" s="276" t="e">
        <f>VLOOKUP(Logfile_S[[#This Row],[DO number]],DO_DB!G:I,3,0)</f>
        <v>#N/A</v>
      </c>
      <c r="AB787" s="331" t="e">
        <f>EXACT(Logfile_S[[#This Row],[date pick]],Logfile_S[[#This Row],[Date]])</f>
        <v>#N/A</v>
      </c>
      <c r="AC7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88" spans="1:29" ht="14.5">
      <c r="A788" s="220" t="str">
        <f>TEXT(ROW(A788)-ROW($A$4),"000")</f>
        <v>784</v>
      </c>
      <c r="B788" s="221"/>
      <c r="C788" s="221" t="s">
        <v>49</v>
      </c>
      <c r="D788" s="221" t="s">
        <v>4311</v>
      </c>
      <c r="E788" s="221" t="s">
        <v>3295</v>
      </c>
      <c r="F788" s="221" t="s">
        <v>3299</v>
      </c>
      <c r="G788" s="222">
        <v>45650</v>
      </c>
      <c r="H788" s="223">
        <v>0.45347222222222222</v>
      </c>
      <c r="I788" s="221" t="s">
        <v>4916</v>
      </c>
      <c r="J788" s="221" t="s">
        <v>3024</v>
      </c>
      <c r="K788" s="224" t="s">
        <v>3106</v>
      </c>
      <c r="L788" s="225" t="str">
        <f>VLOOKUP(Logfile_S[[#This Row],[Material Name]],Sheet2!B:C,2,0)</f>
        <v>GCI1018</v>
      </c>
      <c r="M788" s="225" t="str">
        <f>_xlfn.XLOOKUP(Logfile_S[[#This Row],[Material Name]],Sum_WH!E:E,Sum_WH!F:F,"",0)</f>
        <v>Pcs</v>
      </c>
      <c r="N788" s="221">
        <v>12</v>
      </c>
      <c r="O788" s="221" t="s">
        <v>3377</v>
      </c>
      <c r="P788" s="221" t="s">
        <v>3378</v>
      </c>
      <c r="Q788" s="221"/>
      <c r="R788" s="221"/>
      <c r="S788" s="221"/>
      <c r="T788" s="221" t="s">
        <v>3258</v>
      </c>
      <c r="U788" s="221">
        <v>0</v>
      </c>
      <c r="V788" s="221" t="s">
        <v>3337</v>
      </c>
      <c r="W788" s="221" t="s">
        <v>3338</v>
      </c>
      <c r="X788" s="221"/>
      <c r="Y788" s="227"/>
      <c r="Z788" s="227" t="str">
        <f>P788</f>
        <v>Perum Chandra Kirana Watugede</v>
      </c>
      <c r="AA788" s="276" t="e">
        <f>VLOOKUP(Logfile_S[[#This Row],[DO number]],DO_DB!G:I,3,0)</f>
        <v>#N/A</v>
      </c>
      <c r="AB788" s="331" t="e">
        <f>EXACT(Logfile_S[[#This Row],[date pick]],Logfile_S[[#This Row],[Date]])</f>
        <v>#N/A</v>
      </c>
      <c r="AC7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89" spans="1:29" ht="14.5">
      <c r="A789" s="220" t="str">
        <f>TEXT(ROW(A789)-ROW($A$4),"000")</f>
        <v>785</v>
      </c>
      <c r="B789" s="221"/>
      <c r="C789" s="221" t="s">
        <v>49</v>
      </c>
      <c r="D789" s="221" t="s">
        <v>4312</v>
      </c>
      <c r="E789" s="221" t="s">
        <v>3295</v>
      </c>
      <c r="F789" s="221" t="s">
        <v>3299</v>
      </c>
      <c r="G789" s="222">
        <v>45651</v>
      </c>
      <c r="H789" s="223">
        <v>0.72986111111111107</v>
      </c>
      <c r="I789" s="221" t="s">
        <v>4916</v>
      </c>
      <c r="J789" s="221" t="s">
        <v>3023</v>
      </c>
      <c r="K789" s="224" t="s">
        <v>13</v>
      </c>
      <c r="L789" s="225" t="str">
        <f>VLOOKUP(Logfile_S[[#This Row],[Material Name]],Sheet2!B:C,2,0)</f>
        <v>ZTE2008</v>
      </c>
      <c r="M789" s="225" t="str">
        <f>_xlfn.XLOOKUP(Logfile_S[[#This Row],[Material Name]],Sum_WH!E:E,Sum_WH!F:F,"",0)</f>
        <v>Pcs</v>
      </c>
      <c r="N789" s="221">
        <v>12</v>
      </c>
      <c r="O789" s="221" t="s">
        <v>3377</v>
      </c>
      <c r="P789" s="221" t="s">
        <v>3378</v>
      </c>
      <c r="Q789" s="221"/>
      <c r="R789" s="221"/>
      <c r="S789" s="221"/>
      <c r="T789" s="221" t="s">
        <v>3471</v>
      </c>
      <c r="U789" s="221">
        <v>0</v>
      </c>
      <c r="V789" s="221" t="s">
        <v>3472</v>
      </c>
      <c r="W789" s="221" t="s">
        <v>3473</v>
      </c>
      <c r="X789" s="221"/>
      <c r="Y789" s="227"/>
      <c r="Z789" s="227" t="str">
        <f>P789</f>
        <v>Perum Chandra Kirana Watugede</v>
      </c>
      <c r="AA789" s="276" t="e">
        <f>VLOOKUP(Logfile_S[[#This Row],[DO number]],DO_DB!G:I,3,0)</f>
        <v>#N/A</v>
      </c>
      <c r="AB789" s="331" t="e">
        <f>EXACT(Logfile_S[[#This Row],[date pick]],Logfile_S[[#This Row],[Date]])</f>
        <v>#N/A</v>
      </c>
      <c r="AC7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90" spans="1:29" ht="14.5">
      <c r="A790" s="220" t="str">
        <f>TEXT(ROW(A790)-ROW($A$4),"000")</f>
        <v>786</v>
      </c>
      <c r="B790" s="221"/>
      <c r="C790" s="221" t="s">
        <v>49</v>
      </c>
      <c r="D790" s="221" t="s">
        <v>4312</v>
      </c>
      <c r="E790" s="221" t="s">
        <v>3295</v>
      </c>
      <c r="F790" s="221" t="s">
        <v>3299</v>
      </c>
      <c r="G790" s="222">
        <v>45651</v>
      </c>
      <c r="H790" s="223">
        <v>0.72986111111111107</v>
      </c>
      <c r="I790" s="221" t="s">
        <v>4916</v>
      </c>
      <c r="J790" s="221" t="s">
        <v>3023</v>
      </c>
      <c r="K790" s="224" t="s">
        <v>14</v>
      </c>
      <c r="L790" s="225" t="str">
        <f>VLOOKUP(Logfile_S[[#This Row],[Material Name]],Sheet2!B:C,2,0)</f>
        <v>ZTE2005</v>
      </c>
      <c r="M790" s="225" t="str">
        <f>_xlfn.XLOOKUP(Logfile_S[[#This Row],[Material Name]],Sum_WH!E:E,Sum_WH!F:F,"",0)</f>
        <v>Pcs</v>
      </c>
      <c r="N790" s="221">
        <v>1</v>
      </c>
      <c r="O790" s="221" t="s">
        <v>3377</v>
      </c>
      <c r="P790" s="221" t="s">
        <v>3378</v>
      </c>
      <c r="Q790" s="221"/>
      <c r="R790" s="221"/>
      <c r="S790" s="221"/>
      <c r="T790" s="221" t="s">
        <v>3471</v>
      </c>
      <c r="U790" s="221">
        <v>0</v>
      </c>
      <c r="V790" s="221" t="s">
        <v>3472</v>
      </c>
      <c r="W790" s="221" t="s">
        <v>3473</v>
      </c>
      <c r="X790" s="221"/>
      <c r="Y790" s="227"/>
      <c r="Z790" s="227" t="str">
        <f>P790</f>
        <v>Perum Chandra Kirana Watugede</v>
      </c>
      <c r="AA790" s="276" t="e">
        <f>VLOOKUP(Logfile_S[[#This Row],[DO number]],DO_DB!G:I,3,0)</f>
        <v>#N/A</v>
      </c>
      <c r="AB790" s="331" t="e">
        <f>EXACT(Logfile_S[[#This Row],[date pick]],Logfile_S[[#This Row],[Date]])</f>
        <v>#N/A</v>
      </c>
      <c r="AC7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91" spans="1:29" ht="14.5">
      <c r="A791" s="220" t="str">
        <f>TEXT(ROW(A791)-ROW($A$4),"000")</f>
        <v>787</v>
      </c>
      <c r="B791" s="221"/>
      <c r="C791" s="221" t="s">
        <v>49</v>
      </c>
      <c r="D791" s="221" t="s">
        <v>4313</v>
      </c>
      <c r="E791" s="221" t="s">
        <v>3295</v>
      </c>
      <c r="F791" s="221" t="s">
        <v>3299</v>
      </c>
      <c r="G791" s="222">
        <v>45651</v>
      </c>
      <c r="H791" s="223">
        <v>0.72986111111111107</v>
      </c>
      <c r="I791" s="221" t="s">
        <v>4916</v>
      </c>
      <c r="J791" s="221" t="s">
        <v>3024</v>
      </c>
      <c r="K791" s="224" t="s">
        <v>3215</v>
      </c>
      <c r="L791" s="225" t="str">
        <f>VLOOKUP(Logfile_S[[#This Row],[Material Name]],Sheet2!B:C,2,0)</f>
        <v>GCI1008</v>
      </c>
      <c r="M791" s="225" t="str">
        <f>_xlfn.XLOOKUP(Logfile_S[[#This Row],[Material Name]],Sum_WH!E:E,Sum_WH!F:F,"",0)</f>
        <v>Pcs</v>
      </c>
      <c r="N791" s="221">
        <v>25</v>
      </c>
      <c r="O791" s="221" t="s">
        <v>3377</v>
      </c>
      <c r="P791" s="221" t="s">
        <v>3378</v>
      </c>
      <c r="Q791" s="221"/>
      <c r="R791" s="221"/>
      <c r="S791" s="221"/>
      <c r="T791" s="221" t="s">
        <v>3258</v>
      </c>
      <c r="U791" s="221">
        <v>0</v>
      </c>
      <c r="V791" s="221" t="s">
        <v>3337</v>
      </c>
      <c r="W791" s="221" t="s">
        <v>3338</v>
      </c>
      <c r="X791" s="221"/>
      <c r="Y791" s="227"/>
      <c r="Z791" s="227" t="str">
        <f>P791</f>
        <v>Perum Chandra Kirana Watugede</v>
      </c>
      <c r="AA791" s="276" t="e">
        <f>VLOOKUP(Logfile_S[[#This Row],[DO number]],DO_DB!G:I,3,0)</f>
        <v>#N/A</v>
      </c>
      <c r="AB791" s="331" t="e">
        <f>EXACT(Logfile_S[[#This Row],[date pick]],Logfile_S[[#This Row],[Date]])</f>
        <v>#N/A</v>
      </c>
      <c r="AC7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92" spans="1:29" ht="14.5">
      <c r="A792" s="220" t="str">
        <f>TEXT(ROW(A792)-ROW($A$4),"000")</f>
        <v>788</v>
      </c>
      <c r="B792" s="221"/>
      <c r="C792" s="221" t="s">
        <v>49</v>
      </c>
      <c r="D792" s="221" t="s">
        <v>4315</v>
      </c>
      <c r="E792" s="221" t="s">
        <v>3295</v>
      </c>
      <c r="F792" s="221" t="s">
        <v>3299</v>
      </c>
      <c r="G792" s="222">
        <v>45653</v>
      </c>
      <c r="H792" s="223">
        <v>0.72986111111111107</v>
      </c>
      <c r="I792" s="221" t="s">
        <v>4916</v>
      </c>
      <c r="J792" s="221" t="s">
        <v>3023</v>
      </c>
      <c r="K792" s="224" t="s">
        <v>13</v>
      </c>
      <c r="L792" s="225" t="str">
        <f>VLOOKUP(Logfile_S[[#This Row],[Material Name]],Sheet2!B:C,2,0)</f>
        <v>ZTE2008</v>
      </c>
      <c r="M792" s="225" t="str">
        <f>_xlfn.XLOOKUP(Logfile_S[[#This Row],[Material Name]],Sum_WH!E:E,Sum_WH!F:F,"",0)</f>
        <v>Pcs</v>
      </c>
      <c r="N792" s="221">
        <v>1</v>
      </c>
      <c r="O792" s="221" t="s">
        <v>3377</v>
      </c>
      <c r="P792" s="221" t="s">
        <v>3378</v>
      </c>
      <c r="Q792" s="221"/>
      <c r="R792" s="221"/>
      <c r="S792" s="221"/>
      <c r="T792" s="221" t="s">
        <v>3471</v>
      </c>
      <c r="U792" s="221">
        <v>0</v>
      </c>
      <c r="V792" s="221" t="s">
        <v>3472</v>
      </c>
      <c r="W792" s="221" t="s">
        <v>3541</v>
      </c>
      <c r="X792" s="221" t="s">
        <v>3542</v>
      </c>
      <c r="Y792" s="227"/>
      <c r="Z792" s="227" t="str">
        <f>P792</f>
        <v>Perum Chandra Kirana Watugede</v>
      </c>
      <c r="AA792" s="276" t="e">
        <f>VLOOKUP(Logfile_S[[#This Row],[DO number]],DO_DB!G:I,3,0)</f>
        <v>#N/A</v>
      </c>
      <c r="AB792" s="331" t="e">
        <f>EXACT(Logfile_S[[#This Row],[date pick]],Logfile_S[[#This Row],[Date]])</f>
        <v>#N/A</v>
      </c>
      <c r="AC7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93" spans="1:29" ht="14.5">
      <c r="A793" s="220" t="str">
        <f>TEXT(ROW(A793)-ROW($A$4),"000")</f>
        <v>789</v>
      </c>
      <c r="B793" s="221"/>
      <c r="C793" s="221" t="s">
        <v>49</v>
      </c>
      <c r="D793" s="221" t="s">
        <v>4316</v>
      </c>
      <c r="E793" s="221" t="s">
        <v>3295</v>
      </c>
      <c r="F793" s="221" t="s">
        <v>3299</v>
      </c>
      <c r="G793" s="222">
        <v>45656</v>
      </c>
      <c r="H793" s="223">
        <v>0.40625</v>
      </c>
      <c r="I793" s="221" t="s">
        <v>4916</v>
      </c>
      <c r="J793" s="221" t="s">
        <v>3024</v>
      </c>
      <c r="K793" s="224" t="s">
        <v>3237</v>
      </c>
      <c r="L793" s="225" t="str">
        <f>VLOOKUP(Logfile_S[[#This Row],[Material Name]],Sheet2!B:C,2,0)</f>
        <v>GCI1005</v>
      </c>
      <c r="M793" s="225" t="str">
        <f>_xlfn.XLOOKUP(Logfile_S[[#This Row],[Material Name]],Sum_WH!E:E,Sum_WH!F:F,"",0)</f>
        <v>Pcs</v>
      </c>
      <c r="N793" s="221">
        <v>69</v>
      </c>
      <c r="O793" s="221" t="s">
        <v>3377</v>
      </c>
      <c r="P793" s="221" t="s">
        <v>3378</v>
      </c>
      <c r="Q793" s="221"/>
      <c r="R793" s="221"/>
      <c r="S793" s="221"/>
      <c r="T793" s="221" t="s">
        <v>3258</v>
      </c>
      <c r="U793" s="221">
        <v>0</v>
      </c>
      <c r="V793" s="221" t="s">
        <v>3337</v>
      </c>
      <c r="W793" s="221" t="s">
        <v>3338</v>
      </c>
      <c r="X793" s="221"/>
      <c r="Y793" s="227"/>
      <c r="Z793" s="227" t="str">
        <f>P793</f>
        <v>Perum Chandra Kirana Watugede</v>
      </c>
      <c r="AA793" s="276" t="e">
        <f>VLOOKUP(Logfile_S[[#This Row],[DO number]],DO_DB!G:I,3,0)</f>
        <v>#N/A</v>
      </c>
      <c r="AB793" s="331" t="e">
        <f>EXACT(Logfile_S[[#This Row],[date pick]],Logfile_S[[#This Row],[Date]])</f>
        <v>#N/A</v>
      </c>
      <c r="AC7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94" spans="1:29" ht="14.5">
      <c r="A794" s="220" t="str">
        <f>TEXT(ROW(A794)-ROW($A$4),"000")</f>
        <v>790</v>
      </c>
      <c r="B794" s="221"/>
      <c r="C794" s="221" t="s">
        <v>49</v>
      </c>
      <c r="D794" s="221" t="s">
        <v>4316</v>
      </c>
      <c r="E794" s="221" t="s">
        <v>3295</v>
      </c>
      <c r="F794" s="221" t="s">
        <v>3299</v>
      </c>
      <c r="G794" s="222">
        <v>45656</v>
      </c>
      <c r="H794" s="223">
        <v>0.40625</v>
      </c>
      <c r="I794" s="221" t="s">
        <v>4916</v>
      </c>
      <c r="J794" s="221" t="s">
        <v>3024</v>
      </c>
      <c r="K794" s="224" t="s">
        <v>3239</v>
      </c>
      <c r="L794" s="225" t="str">
        <f>VLOOKUP(Logfile_S[[#This Row],[Material Name]],Sheet2!B:C,2,0)</f>
        <v>GCI1001</v>
      </c>
      <c r="M794" s="225" t="str">
        <f>_xlfn.XLOOKUP(Logfile_S[[#This Row],[Material Name]],Sum_WH!E:E,Sum_WH!F:F,"",0)</f>
        <v>Pcs</v>
      </c>
      <c r="N794" s="221">
        <v>20</v>
      </c>
      <c r="O794" s="221" t="s">
        <v>3377</v>
      </c>
      <c r="P794" s="221" t="s">
        <v>3378</v>
      </c>
      <c r="Q794" s="221"/>
      <c r="R794" s="221"/>
      <c r="S794" s="221"/>
      <c r="T794" s="221" t="s">
        <v>3258</v>
      </c>
      <c r="U794" s="221">
        <v>0</v>
      </c>
      <c r="V794" s="221" t="s">
        <v>3337</v>
      </c>
      <c r="W794" s="221" t="s">
        <v>3338</v>
      </c>
      <c r="X794" s="221"/>
      <c r="Y794" s="227"/>
      <c r="Z794" s="227" t="str">
        <f>P794</f>
        <v>Perum Chandra Kirana Watugede</v>
      </c>
      <c r="AA794" s="276" t="e">
        <f>VLOOKUP(Logfile_S[[#This Row],[DO number]],DO_DB!G:I,3,0)</f>
        <v>#N/A</v>
      </c>
      <c r="AB794" s="331" t="e">
        <f>EXACT(Logfile_S[[#This Row],[date pick]],Logfile_S[[#This Row],[Date]])</f>
        <v>#N/A</v>
      </c>
      <c r="AC7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95" spans="1:29" ht="14.5">
      <c r="A795" s="220" t="str">
        <f>TEXT(ROW(A795)-ROW($A$4),"000")</f>
        <v>791</v>
      </c>
      <c r="B795" s="221"/>
      <c r="C795" s="221" t="s">
        <v>49</v>
      </c>
      <c r="D795" s="221" t="s">
        <v>4316</v>
      </c>
      <c r="E795" s="221" t="s">
        <v>3295</v>
      </c>
      <c r="F795" s="221" t="s">
        <v>3299</v>
      </c>
      <c r="G795" s="222">
        <v>45656</v>
      </c>
      <c r="H795" s="223">
        <v>0.40625</v>
      </c>
      <c r="I795" s="221" t="s">
        <v>4916</v>
      </c>
      <c r="J795" s="221" t="s">
        <v>3024</v>
      </c>
      <c r="K795" s="224" t="s">
        <v>5137</v>
      </c>
      <c r="L795" s="225" t="str">
        <f>VLOOKUP(Logfile_S[[#This Row],[Material Name]],Sheet2!B:C,2,0)</f>
        <v>GCI1009</v>
      </c>
      <c r="M795" s="225" t="str">
        <f>_xlfn.XLOOKUP(Logfile_S[[#This Row],[Material Name]],Sum_WH!E:E,Sum_WH!F:F,"",0)</f>
        <v>Pcs</v>
      </c>
      <c r="N795" s="221">
        <v>104</v>
      </c>
      <c r="O795" s="221" t="s">
        <v>3377</v>
      </c>
      <c r="P795" s="221" t="s">
        <v>3378</v>
      </c>
      <c r="Q795" s="221"/>
      <c r="R795" s="221"/>
      <c r="S795" s="221"/>
      <c r="T795" s="221" t="s">
        <v>3258</v>
      </c>
      <c r="U795" s="221">
        <v>0</v>
      </c>
      <c r="V795" s="221" t="s">
        <v>3337</v>
      </c>
      <c r="W795" s="221" t="s">
        <v>3338</v>
      </c>
      <c r="X795" s="221"/>
      <c r="Y795" s="227"/>
      <c r="Z795" s="227" t="str">
        <f>P795</f>
        <v>Perum Chandra Kirana Watugede</v>
      </c>
      <c r="AA795" s="276" t="e">
        <f>VLOOKUP(Logfile_S[[#This Row],[DO number]],DO_DB!G:I,3,0)</f>
        <v>#N/A</v>
      </c>
      <c r="AB795" s="331" t="e">
        <f>EXACT(Logfile_S[[#This Row],[date pick]],Logfile_S[[#This Row],[Date]])</f>
        <v>#N/A</v>
      </c>
      <c r="AC7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96" spans="1:29" ht="14.5">
      <c r="A796" s="220" t="str">
        <f>TEXT(ROW(A796)-ROW($A$4),"000")</f>
        <v>792</v>
      </c>
      <c r="B796" s="221"/>
      <c r="C796" s="221" t="s">
        <v>49</v>
      </c>
      <c r="D796" s="221" t="s">
        <v>4317</v>
      </c>
      <c r="E796" s="221" t="s">
        <v>3295</v>
      </c>
      <c r="F796" s="221" t="s">
        <v>3299</v>
      </c>
      <c r="G796" s="222">
        <v>45656</v>
      </c>
      <c r="H796" s="223">
        <v>0.72986111111111107</v>
      </c>
      <c r="I796" s="221" t="s">
        <v>4916</v>
      </c>
      <c r="J796" s="221" t="s">
        <v>3023</v>
      </c>
      <c r="K796" s="224" t="s">
        <v>13</v>
      </c>
      <c r="L796" s="225" t="str">
        <f>VLOOKUP(Logfile_S[[#This Row],[Material Name]],Sheet2!B:C,2,0)</f>
        <v>ZTE2008</v>
      </c>
      <c r="M796" s="225" t="str">
        <f>_xlfn.XLOOKUP(Logfile_S[[#This Row],[Material Name]],Sum_WH!E:E,Sum_WH!F:F,"",0)</f>
        <v>Pcs</v>
      </c>
      <c r="N796" s="221">
        <v>1</v>
      </c>
      <c r="O796" s="221" t="s">
        <v>3377</v>
      </c>
      <c r="P796" s="221" t="s">
        <v>3378</v>
      </c>
      <c r="Q796" s="221"/>
      <c r="R796" s="221"/>
      <c r="S796" s="221"/>
      <c r="T796" s="221" t="s">
        <v>3471</v>
      </c>
      <c r="U796" s="221">
        <v>0</v>
      </c>
      <c r="V796" s="221" t="s">
        <v>3472</v>
      </c>
      <c r="W796" s="221" t="s">
        <v>3541</v>
      </c>
      <c r="X796" s="221" t="s">
        <v>3542</v>
      </c>
      <c r="Y796" s="227"/>
      <c r="Z796" s="227" t="str">
        <f>P796</f>
        <v>Perum Chandra Kirana Watugede</v>
      </c>
      <c r="AA796" s="276" t="e">
        <f>VLOOKUP(Logfile_S[[#This Row],[DO number]],DO_DB!G:I,3,0)</f>
        <v>#N/A</v>
      </c>
      <c r="AB796" s="331" t="e">
        <f>EXACT(Logfile_S[[#This Row],[date pick]],Logfile_S[[#This Row],[Date]])</f>
        <v>#N/A</v>
      </c>
      <c r="AC7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97" spans="1:29" ht="14.5">
      <c r="A797" s="220" t="str">
        <f>TEXT(ROW(A797)-ROW($A$4),"000")</f>
        <v>793</v>
      </c>
      <c r="B797" s="221"/>
      <c r="C797" s="221" t="s">
        <v>49</v>
      </c>
      <c r="D797" s="221" t="s">
        <v>4316</v>
      </c>
      <c r="E797" s="221" t="s">
        <v>3295</v>
      </c>
      <c r="F797" s="221" t="s">
        <v>3299</v>
      </c>
      <c r="G797" s="222">
        <v>45656</v>
      </c>
      <c r="H797" s="223">
        <v>0.40625</v>
      </c>
      <c r="I797" s="221" t="s">
        <v>4916</v>
      </c>
      <c r="J797" s="221" t="s">
        <v>3024</v>
      </c>
      <c r="K797" s="224" t="s">
        <v>3088</v>
      </c>
      <c r="L797" s="225" t="str">
        <f>VLOOKUP(Logfile_S[[#This Row],[Material Name]],Sheet2!B:C,2,0)</f>
        <v>GCI1002</v>
      </c>
      <c r="M797" s="225" t="str">
        <f>_xlfn.XLOOKUP(Logfile_S[[#This Row],[Material Name]],Sum_WH!E:E,Sum_WH!F:F,"",0)</f>
        <v>Pcs</v>
      </c>
      <c r="N797" s="221">
        <v>1</v>
      </c>
      <c r="O797" s="221" t="s">
        <v>3377</v>
      </c>
      <c r="P797" s="221" t="s">
        <v>3378</v>
      </c>
      <c r="Q797" s="221"/>
      <c r="R797" s="221"/>
      <c r="S797" s="221"/>
      <c r="T797" s="221" t="s">
        <v>3258</v>
      </c>
      <c r="U797" s="221">
        <v>0</v>
      </c>
      <c r="V797" s="221" t="s">
        <v>3337</v>
      </c>
      <c r="W797" s="221" t="s">
        <v>3338</v>
      </c>
      <c r="X797" s="221"/>
      <c r="Y797" s="227"/>
      <c r="Z797" s="227" t="str">
        <f>P797</f>
        <v>Perum Chandra Kirana Watugede</v>
      </c>
      <c r="AA797" s="276" t="e">
        <f>VLOOKUP(Logfile_S[[#This Row],[DO number]],DO_DB!G:I,3,0)</f>
        <v>#N/A</v>
      </c>
      <c r="AB797" s="331" t="e">
        <f>EXACT(Logfile_S[[#This Row],[date pick]],Logfile_S[[#This Row],[Date]])</f>
        <v>#N/A</v>
      </c>
      <c r="AC7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98" spans="1:29" ht="14.5">
      <c r="A798" s="220" t="str">
        <f>TEXT(ROW(A798)-ROW($A$4),"000")</f>
        <v>794</v>
      </c>
      <c r="B798" s="221"/>
      <c r="C798" s="221" t="s">
        <v>49</v>
      </c>
      <c r="D798" s="221" t="s">
        <v>4316</v>
      </c>
      <c r="E798" s="221" t="s">
        <v>3295</v>
      </c>
      <c r="F798" s="221" t="s">
        <v>3299</v>
      </c>
      <c r="G798" s="222">
        <v>45656</v>
      </c>
      <c r="H798" s="223">
        <v>0.40625</v>
      </c>
      <c r="I798" s="221" t="s">
        <v>4916</v>
      </c>
      <c r="J798" s="221" t="s">
        <v>3024</v>
      </c>
      <c r="K798" s="224" t="s">
        <v>3215</v>
      </c>
      <c r="L798" s="225" t="str">
        <f>VLOOKUP(Logfile_S[[#This Row],[Material Name]],Sheet2!B:C,2,0)</f>
        <v>GCI1008</v>
      </c>
      <c r="M798" s="225" t="str">
        <f>_xlfn.XLOOKUP(Logfile_S[[#This Row],[Material Name]],Sum_WH!E:E,Sum_WH!F:F,"",0)</f>
        <v>Pcs</v>
      </c>
      <c r="N798" s="221">
        <v>50</v>
      </c>
      <c r="O798" s="221" t="s">
        <v>3377</v>
      </c>
      <c r="P798" s="221" t="s">
        <v>3378</v>
      </c>
      <c r="Q798" s="221"/>
      <c r="R798" s="221"/>
      <c r="S798" s="221"/>
      <c r="T798" s="221" t="s">
        <v>3258</v>
      </c>
      <c r="U798" s="221">
        <v>0</v>
      </c>
      <c r="V798" s="221" t="s">
        <v>3337</v>
      </c>
      <c r="W798" s="221" t="s">
        <v>3338</v>
      </c>
      <c r="X798" s="221"/>
      <c r="Y798" s="227"/>
      <c r="Z798" s="227" t="str">
        <f>P798</f>
        <v>Perum Chandra Kirana Watugede</v>
      </c>
      <c r="AA798" s="276" t="e">
        <f>VLOOKUP(Logfile_S[[#This Row],[DO number]],DO_DB!G:I,3,0)</f>
        <v>#N/A</v>
      </c>
      <c r="AB798" s="331" t="e">
        <f>EXACT(Logfile_S[[#This Row],[date pick]],Logfile_S[[#This Row],[Date]])</f>
        <v>#N/A</v>
      </c>
      <c r="AC7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799" spans="1:29" ht="14.5">
      <c r="A799" s="220" t="str">
        <f>TEXT(ROW(A799)-ROW($A$4),"000")</f>
        <v>795</v>
      </c>
      <c r="B799" s="221"/>
      <c r="C799" s="221" t="s">
        <v>49</v>
      </c>
      <c r="D799" s="221" t="s">
        <v>4316</v>
      </c>
      <c r="E799" s="221" t="s">
        <v>3295</v>
      </c>
      <c r="F799" s="221" t="s">
        <v>3299</v>
      </c>
      <c r="G799" s="222">
        <v>45656</v>
      </c>
      <c r="H799" s="223">
        <v>0.40625</v>
      </c>
      <c r="I799" s="221" t="s">
        <v>4916</v>
      </c>
      <c r="J799" s="221" t="s">
        <v>3024</v>
      </c>
      <c r="K799" s="224" t="s">
        <v>3089</v>
      </c>
      <c r="L799" s="225" t="str">
        <f>VLOOKUP(Logfile_S[[#This Row],[Material Name]],Sheet2!B:C,2,0)</f>
        <v>GCI1003</v>
      </c>
      <c r="M799" s="225" t="str">
        <f>_xlfn.XLOOKUP(Logfile_S[[#This Row],[Material Name]],Sum_WH!E:E,Sum_WH!F:F,"",0)</f>
        <v>Pcs</v>
      </c>
      <c r="N799" s="221">
        <v>110</v>
      </c>
      <c r="O799" s="221" t="s">
        <v>3377</v>
      </c>
      <c r="P799" s="221" t="s">
        <v>3378</v>
      </c>
      <c r="Q799" s="221"/>
      <c r="R799" s="221"/>
      <c r="S799" s="221"/>
      <c r="T799" s="221" t="s">
        <v>3258</v>
      </c>
      <c r="U799" s="221">
        <v>0</v>
      </c>
      <c r="V799" s="221" t="s">
        <v>3337</v>
      </c>
      <c r="W799" s="221" t="s">
        <v>3338</v>
      </c>
      <c r="X799" s="221"/>
      <c r="Y799" s="227"/>
      <c r="Z799" s="227" t="str">
        <f>P799</f>
        <v>Perum Chandra Kirana Watugede</v>
      </c>
      <c r="AA799" s="276" t="e">
        <f>VLOOKUP(Logfile_S[[#This Row],[DO number]],DO_DB!G:I,3,0)</f>
        <v>#N/A</v>
      </c>
      <c r="AB799" s="331" t="e">
        <f>EXACT(Logfile_S[[#This Row],[date pick]],Logfile_S[[#This Row],[Date]])</f>
        <v>#N/A</v>
      </c>
      <c r="AC7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00" spans="1:29" ht="14.5">
      <c r="A800" s="220" t="str">
        <f>TEXT(ROW(A800)-ROW($A$4),"000")</f>
        <v>796</v>
      </c>
      <c r="B800" s="221"/>
      <c r="C800" s="221" t="s">
        <v>49</v>
      </c>
      <c r="D800" s="221" t="s">
        <v>4316</v>
      </c>
      <c r="E800" s="221" t="s">
        <v>3295</v>
      </c>
      <c r="F800" s="221" t="s">
        <v>3299</v>
      </c>
      <c r="G800" s="222">
        <v>45656</v>
      </c>
      <c r="H800" s="223">
        <v>0.40625</v>
      </c>
      <c r="I800" s="221" t="s">
        <v>4916</v>
      </c>
      <c r="J800" s="221" t="s">
        <v>3024</v>
      </c>
      <c r="K800" s="224" t="s">
        <v>3090</v>
      </c>
      <c r="L800" s="225" t="str">
        <f>VLOOKUP(Logfile_S[[#This Row],[Material Name]],Sheet2!B:C,2,0)</f>
        <v>GCI1004</v>
      </c>
      <c r="M800" s="225" t="str">
        <f>_xlfn.XLOOKUP(Logfile_S[[#This Row],[Material Name]],Sum_WH!E:E,Sum_WH!F:F,"",0)</f>
        <v>Pcs</v>
      </c>
      <c r="N800" s="221">
        <v>50</v>
      </c>
      <c r="O800" s="221" t="s">
        <v>3377</v>
      </c>
      <c r="P800" s="221" t="s">
        <v>3378</v>
      </c>
      <c r="Q800" s="221"/>
      <c r="R800" s="221"/>
      <c r="S800" s="221"/>
      <c r="T800" s="221" t="s">
        <v>3258</v>
      </c>
      <c r="U800" s="221">
        <v>0</v>
      </c>
      <c r="V800" s="221" t="s">
        <v>3337</v>
      </c>
      <c r="W800" s="221" t="s">
        <v>3338</v>
      </c>
      <c r="X800" s="221"/>
      <c r="Y800" s="227"/>
      <c r="Z800" s="227" t="str">
        <f>P800</f>
        <v>Perum Chandra Kirana Watugede</v>
      </c>
      <c r="AA800" s="276" t="e">
        <f>VLOOKUP(Logfile_S[[#This Row],[DO number]],DO_DB!G:I,3,0)</f>
        <v>#N/A</v>
      </c>
      <c r="AB800" s="331" t="e">
        <f>EXACT(Logfile_S[[#This Row],[date pick]],Logfile_S[[#This Row],[Date]])</f>
        <v>#N/A</v>
      </c>
      <c r="AC8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01" spans="1:29" ht="14.5">
      <c r="A801" s="220" t="str">
        <f>TEXT(ROW(A801)-ROW($A$4),"000")</f>
        <v>797</v>
      </c>
      <c r="B801" s="221">
        <v>1</v>
      </c>
      <c r="C801" s="221" t="s">
        <v>48</v>
      </c>
      <c r="D801" s="221" t="s">
        <v>3678</v>
      </c>
      <c r="E801" s="221" t="s">
        <v>3295</v>
      </c>
      <c r="F801" s="221" t="s">
        <v>3299</v>
      </c>
      <c r="G801" s="222">
        <v>45142</v>
      </c>
      <c r="H801" s="223">
        <v>15.291666666666666</v>
      </c>
      <c r="I801" s="221" t="s">
        <v>37</v>
      </c>
      <c r="J801" s="221" t="s">
        <v>3023</v>
      </c>
      <c r="K801" s="224" t="s">
        <v>3073</v>
      </c>
      <c r="L801" s="225" t="str">
        <f>VLOOKUP(Logfile_S[[#This Row],[Material Name]],Sheet2!B:C,2,0)</f>
        <v>ZTE2001</v>
      </c>
      <c r="M801" s="225" t="str">
        <f>_xlfn.XLOOKUP(Logfile_S[[#This Row],[Material Name]],Sum_WH!E:E,Sum_WH!F:F,"",0)</f>
        <v>Meter</v>
      </c>
      <c r="N801" s="221">
        <v>3000</v>
      </c>
      <c r="O801" s="221" t="s">
        <v>84</v>
      </c>
      <c r="P801" s="221" t="s">
        <v>85</v>
      </c>
      <c r="Q801" s="221" t="s">
        <v>86</v>
      </c>
      <c r="R801" s="221" t="s">
        <v>87</v>
      </c>
      <c r="S801" s="221"/>
      <c r="T801" s="221"/>
      <c r="U801" s="221"/>
      <c r="V801" s="221"/>
      <c r="W801" s="221"/>
      <c r="X801" s="235"/>
      <c r="Y801" s="236" t="s">
        <v>4946</v>
      </c>
      <c r="Z801" s="227" t="str">
        <f>P801</f>
        <v>Perumahan Bumi Podo Rukun Dau</v>
      </c>
      <c r="AA801" s="276">
        <f>VLOOKUP(Logfile_S[[#This Row],[DO number]],DO_DB!G:I,3,0)</f>
        <v>45142</v>
      </c>
      <c r="AB801" s="331" t="b">
        <f>EXACT(Logfile_S[[#This Row],[date pick]],Logfile_S[[#This Row],[Date]])</f>
        <v>1</v>
      </c>
      <c r="AC8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24C-202384-01</v>
      </c>
    </row>
    <row r="802" spans="1:29" ht="14.5">
      <c r="A802" s="220" t="str">
        <f>TEXT(ROW(A802)-ROW($A$4),"000")</f>
        <v>798</v>
      </c>
      <c r="B802" s="221">
        <v>2</v>
      </c>
      <c r="C802" s="221" t="s">
        <v>48</v>
      </c>
      <c r="D802" s="221" t="s">
        <v>3678</v>
      </c>
      <c r="E802" s="221" t="s">
        <v>3295</v>
      </c>
      <c r="F802" s="221" t="s">
        <v>3299</v>
      </c>
      <c r="G802" s="222">
        <v>45142</v>
      </c>
      <c r="H802" s="223">
        <v>15.291666666666666</v>
      </c>
      <c r="I802" s="221" t="s">
        <v>37</v>
      </c>
      <c r="J802" s="221" t="s">
        <v>3023</v>
      </c>
      <c r="K802" s="224" t="s">
        <v>3075</v>
      </c>
      <c r="L802" s="225" t="str">
        <f>VLOOKUP(Logfile_S[[#This Row],[Material Name]],Sheet2!B:C,2,0)</f>
        <v>ZTE2003</v>
      </c>
      <c r="M802" s="225" t="str">
        <f>_xlfn.XLOOKUP(Logfile_S[[#This Row],[Material Name]],Sum_WH!E:E,Sum_WH!F:F,"",0)</f>
        <v>Meter</v>
      </c>
      <c r="N802" s="221">
        <v>3000</v>
      </c>
      <c r="O802" s="221" t="s">
        <v>84</v>
      </c>
      <c r="P802" s="221" t="s">
        <v>85</v>
      </c>
      <c r="Q802" s="221" t="s">
        <v>86</v>
      </c>
      <c r="R802" s="221" t="s">
        <v>87</v>
      </c>
      <c r="S802" s="221"/>
      <c r="T802" s="221"/>
      <c r="U802" s="221"/>
      <c r="V802" s="221"/>
      <c r="W802" s="221"/>
      <c r="X802" s="235"/>
      <c r="Y802" s="236" t="s">
        <v>4957</v>
      </c>
      <c r="Z802" s="227" t="str">
        <f>P802</f>
        <v>Perumahan Bumi Podo Rukun Dau</v>
      </c>
      <c r="AA802" s="276">
        <f>VLOOKUP(Logfile_S[[#This Row],[DO number]],DO_DB!G:I,3,0)</f>
        <v>45142</v>
      </c>
      <c r="AB802" s="331" t="b">
        <f>EXACT(Logfile_S[[#This Row],[date pick]],Logfile_S[[#This Row],[Date]])</f>
        <v>1</v>
      </c>
      <c r="AC8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48C-202384-01</v>
      </c>
    </row>
    <row r="803" spans="1:29" ht="14.5">
      <c r="A803" s="220" t="str">
        <f>TEXT(ROW(A803)-ROW($A$4),"000")</f>
        <v>799</v>
      </c>
      <c r="B803" s="221">
        <v>3</v>
      </c>
      <c r="C803" s="221" t="s">
        <v>48</v>
      </c>
      <c r="D803" s="221" t="s">
        <v>3678</v>
      </c>
      <c r="E803" s="221" t="s">
        <v>3295</v>
      </c>
      <c r="F803" s="221" t="s">
        <v>3299</v>
      </c>
      <c r="G803" s="222">
        <v>45142</v>
      </c>
      <c r="H803" s="223">
        <v>15.291666666666666</v>
      </c>
      <c r="I803" s="221" t="s">
        <v>37</v>
      </c>
      <c r="J803" s="221" t="s">
        <v>3023</v>
      </c>
      <c r="K803" s="224" t="s">
        <v>13</v>
      </c>
      <c r="L803" s="225" t="str">
        <f>VLOOKUP(Logfile_S[[#This Row],[Material Name]],Sheet2!B:C,2,0)</f>
        <v>ZTE2008</v>
      </c>
      <c r="M803" s="225" t="str">
        <f>_xlfn.XLOOKUP(Logfile_S[[#This Row],[Material Name]],Sum_WH!E:E,Sum_WH!F:F,"",0)</f>
        <v>Pcs</v>
      </c>
      <c r="N803" s="221">
        <v>16</v>
      </c>
      <c r="O803" s="221" t="s">
        <v>84</v>
      </c>
      <c r="P803" s="221" t="s">
        <v>85</v>
      </c>
      <c r="Q803" s="221" t="s">
        <v>86</v>
      </c>
      <c r="R803" s="221" t="s">
        <v>87</v>
      </c>
      <c r="S803" s="221"/>
      <c r="T803" s="221"/>
      <c r="U803" s="221"/>
      <c r="V803" s="221"/>
      <c r="W803" s="221"/>
      <c r="X803" s="221"/>
      <c r="Y803" s="227"/>
      <c r="Z803" s="227" t="str">
        <f>P803</f>
        <v>Perumahan Bumi Podo Rukun Dau</v>
      </c>
      <c r="AA803" s="276">
        <f>VLOOKUP(Logfile_S[[#This Row],[DO number]],DO_DB!G:I,3,0)</f>
        <v>45142</v>
      </c>
      <c r="AB803" s="331" t="b">
        <f>EXACT(Logfile_S[[#This Row],[date pick]],Logfile_S[[#This Row],[Date]])</f>
        <v>1</v>
      </c>
      <c r="AC8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04" spans="1:29" ht="14.5">
      <c r="A804" s="220" t="str">
        <f>TEXT(ROW(A804)-ROW($A$4),"000")</f>
        <v>800</v>
      </c>
      <c r="B804" s="221">
        <v>4</v>
      </c>
      <c r="C804" s="221" t="s">
        <v>48</v>
      </c>
      <c r="D804" s="221" t="s">
        <v>3678</v>
      </c>
      <c r="E804" s="221" t="s">
        <v>3295</v>
      </c>
      <c r="F804" s="221" t="s">
        <v>3299</v>
      </c>
      <c r="G804" s="222">
        <v>45142</v>
      </c>
      <c r="H804" s="223">
        <v>15.291666666666666</v>
      </c>
      <c r="I804" s="221" t="s">
        <v>37</v>
      </c>
      <c r="J804" s="221" t="s">
        <v>3023</v>
      </c>
      <c r="K804" s="224" t="s">
        <v>14</v>
      </c>
      <c r="L804" s="225" t="str">
        <f>VLOOKUP(Logfile_S[[#This Row],[Material Name]],Sheet2!B:C,2,0)</f>
        <v>ZTE2005</v>
      </c>
      <c r="M804" s="225" t="str">
        <f>_xlfn.XLOOKUP(Logfile_S[[#This Row],[Material Name]],Sum_WH!E:E,Sum_WH!F:F,"",0)</f>
        <v>Pcs</v>
      </c>
      <c r="N804" s="221">
        <v>1</v>
      </c>
      <c r="O804" s="221" t="s">
        <v>84</v>
      </c>
      <c r="P804" s="221" t="s">
        <v>85</v>
      </c>
      <c r="Q804" s="221" t="s">
        <v>86</v>
      </c>
      <c r="R804" s="221" t="s">
        <v>87</v>
      </c>
      <c r="S804" s="221"/>
      <c r="T804" s="221"/>
      <c r="U804" s="221"/>
      <c r="V804" s="221"/>
      <c r="W804" s="221"/>
      <c r="X804" s="221"/>
      <c r="Y804" s="227"/>
      <c r="Z804" s="227" t="str">
        <f>P804</f>
        <v>Perumahan Bumi Podo Rukun Dau</v>
      </c>
      <c r="AA804" s="276">
        <f>VLOOKUP(Logfile_S[[#This Row],[DO number]],DO_DB!G:I,3,0)</f>
        <v>45142</v>
      </c>
      <c r="AB804" s="331" t="b">
        <f>EXACT(Logfile_S[[#This Row],[date pick]],Logfile_S[[#This Row],[Date]])</f>
        <v>1</v>
      </c>
      <c r="AC8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05" spans="1:29" ht="14.5">
      <c r="A805" s="220" t="str">
        <f>TEXT(ROW(A805)-ROW($A$4),"000")</f>
        <v>801</v>
      </c>
      <c r="B805" s="221">
        <v>5</v>
      </c>
      <c r="C805" s="221" t="s">
        <v>48</v>
      </c>
      <c r="D805" s="221" t="s">
        <v>3678</v>
      </c>
      <c r="E805" s="221" t="s">
        <v>3295</v>
      </c>
      <c r="F805" s="221" t="s">
        <v>3299</v>
      </c>
      <c r="G805" s="222">
        <v>45142</v>
      </c>
      <c r="H805" s="223">
        <v>15.291666666666666</v>
      </c>
      <c r="I805" s="221" t="s">
        <v>37</v>
      </c>
      <c r="J805" s="221" t="s">
        <v>3023</v>
      </c>
      <c r="K805" s="224" t="s">
        <v>3070</v>
      </c>
      <c r="L805" s="225" t="str">
        <f>VLOOKUP(Logfile_S[[#This Row],[Material Name]],Sheet2!B:C,2,0)</f>
        <v>ZTE1002</v>
      </c>
      <c r="M805" s="225" t="str">
        <f>_xlfn.XLOOKUP(Logfile_S[[#This Row],[Material Name]],Sum_WH!E:E,Sum_WH!F:F,"",0)</f>
        <v>Pcs</v>
      </c>
      <c r="N805" s="221">
        <v>7</v>
      </c>
      <c r="O805" s="221" t="s">
        <v>84</v>
      </c>
      <c r="P805" s="221" t="s">
        <v>85</v>
      </c>
      <c r="Q805" s="221" t="s">
        <v>88</v>
      </c>
      <c r="R805" s="221" t="s">
        <v>89</v>
      </c>
      <c r="S805" s="221"/>
      <c r="T805" s="221"/>
      <c r="U805" s="221"/>
      <c r="V805" s="221"/>
      <c r="W805" s="221"/>
      <c r="X805" s="221"/>
      <c r="Y805" s="227"/>
      <c r="Z805" s="227" t="str">
        <f>P805</f>
        <v>Perumahan Bumi Podo Rukun Dau</v>
      </c>
      <c r="AA805" s="276">
        <f>VLOOKUP(Logfile_S[[#This Row],[DO number]],DO_DB!G:I,3,0)</f>
        <v>45142</v>
      </c>
      <c r="AB805" s="331" t="b">
        <f>EXACT(Logfile_S[[#This Row],[date pick]],Logfile_S[[#This Row],[Date]])</f>
        <v>1</v>
      </c>
      <c r="AC8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06" spans="1:29" ht="14.5">
      <c r="A806" s="220" t="str">
        <f>TEXT(ROW(A806)-ROW($A$4),"000")</f>
        <v>802</v>
      </c>
      <c r="B806" s="221">
        <v>6</v>
      </c>
      <c r="C806" s="221" t="s">
        <v>48</v>
      </c>
      <c r="D806" s="221" t="s">
        <v>3678</v>
      </c>
      <c r="E806" s="221" t="s">
        <v>3295</v>
      </c>
      <c r="F806" s="221" t="s">
        <v>3299</v>
      </c>
      <c r="G806" s="222">
        <v>45142</v>
      </c>
      <c r="H806" s="223">
        <v>15.291666666666666</v>
      </c>
      <c r="I806" s="221" t="s">
        <v>37</v>
      </c>
      <c r="J806" s="221" t="s">
        <v>3023</v>
      </c>
      <c r="K806" s="224" t="s">
        <v>3069</v>
      </c>
      <c r="L806" s="225" t="str">
        <f>VLOOKUP(Logfile_S[[#This Row],[Material Name]],Sheet2!B:C,2,0)</f>
        <v>ZTE1001</v>
      </c>
      <c r="M806" s="225" t="str">
        <f>_xlfn.XLOOKUP(Logfile_S[[#This Row],[Material Name]],Sum_WH!E:E,Sum_WH!F:F,"",0)</f>
        <v>Pcs</v>
      </c>
      <c r="N806" s="221">
        <v>56</v>
      </c>
      <c r="O806" s="221" t="s">
        <v>84</v>
      </c>
      <c r="P806" s="221" t="s">
        <v>85</v>
      </c>
      <c r="Q806" s="221" t="s">
        <v>88</v>
      </c>
      <c r="R806" s="221" t="s">
        <v>89</v>
      </c>
      <c r="S806" s="221"/>
      <c r="T806" s="221"/>
      <c r="U806" s="221"/>
      <c r="V806" s="221"/>
      <c r="W806" s="221"/>
      <c r="X806" s="221"/>
      <c r="Y806" s="227"/>
      <c r="Z806" s="227" t="str">
        <f>P806</f>
        <v>Perumahan Bumi Podo Rukun Dau</v>
      </c>
      <c r="AA806" s="276">
        <f>VLOOKUP(Logfile_S[[#This Row],[DO number]],DO_DB!G:I,3,0)</f>
        <v>45142</v>
      </c>
      <c r="AB806" s="331" t="b">
        <f>EXACT(Logfile_S[[#This Row],[date pick]],Logfile_S[[#This Row],[Date]])</f>
        <v>1</v>
      </c>
      <c r="AC8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07" spans="1:29" ht="14.5">
      <c r="A807" s="220" t="str">
        <f>TEXT(ROW(A807)-ROW($A$4),"000")</f>
        <v>803</v>
      </c>
      <c r="B807" s="221"/>
      <c r="C807" s="221" t="s">
        <v>49</v>
      </c>
      <c r="D807" s="221" t="s">
        <v>3679</v>
      </c>
      <c r="E807" s="221" t="s">
        <v>3295</v>
      </c>
      <c r="F807" s="221" t="s">
        <v>3299</v>
      </c>
      <c r="G807" s="222">
        <v>45144</v>
      </c>
      <c r="H807" s="223">
        <v>15.291944444444445</v>
      </c>
      <c r="I807" s="221" t="s">
        <v>4916</v>
      </c>
      <c r="J807" s="221" t="s">
        <v>3023</v>
      </c>
      <c r="K807" s="224" t="s">
        <v>3070</v>
      </c>
      <c r="L807" s="225" t="str">
        <f>VLOOKUP(Logfile_S[[#This Row],[Material Name]],Sheet2!B:C,2,0)</f>
        <v>ZTE1002</v>
      </c>
      <c r="M807" s="225" t="str">
        <f>_xlfn.XLOOKUP(Logfile_S[[#This Row],[Material Name]],Sum_WH!E:E,Sum_WH!F:F,"",0)</f>
        <v>Pcs</v>
      </c>
      <c r="N807" s="221">
        <v>3</v>
      </c>
      <c r="O807" s="221" t="s">
        <v>84</v>
      </c>
      <c r="P807" s="221" t="s">
        <v>85</v>
      </c>
      <c r="Q807" s="221"/>
      <c r="R807" s="221"/>
      <c r="S807" s="221"/>
      <c r="T807" s="221" t="s">
        <v>3339</v>
      </c>
      <c r="U807" s="221" t="s">
        <v>3228</v>
      </c>
      <c r="V807" s="221" t="s">
        <v>3571</v>
      </c>
      <c r="W807" s="221" t="s">
        <v>3307</v>
      </c>
      <c r="X807" s="221"/>
      <c r="Y807" s="227"/>
      <c r="Z807" s="227" t="str">
        <f>P807</f>
        <v>Perumahan Bumi Podo Rukun Dau</v>
      </c>
      <c r="AA807" s="276" t="e">
        <f>VLOOKUP(Logfile_S[[#This Row],[DO number]],DO_DB!G:I,3,0)</f>
        <v>#N/A</v>
      </c>
      <c r="AB807" s="331" t="e">
        <f>EXACT(Logfile_S[[#This Row],[date pick]],Logfile_S[[#This Row],[Date]])</f>
        <v>#N/A</v>
      </c>
      <c r="AC8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08" spans="1:29" ht="14.5">
      <c r="A808" s="220" t="str">
        <f>TEXT(ROW(A808)-ROW($A$4),"000")</f>
        <v>804</v>
      </c>
      <c r="B808" s="221"/>
      <c r="C808" s="221" t="s">
        <v>49</v>
      </c>
      <c r="D808" s="221" t="s">
        <v>3679</v>
      </c>
      <c r="E808" s="221" t="s">
        <v>3295</v>
      </c>
      <c r="F808" s="221" t="s">
        <v>3299</v>
      </c>
      <c r="G808" s="222">
        <v>45144</v>
      </c>
      <c r="H808" s="223">
        <v>15.291944444444445</v>
      </c>
      <c r="I808" s="221" t="s">
        <v>4916</v>
      </c>
      <c r="J808" s="221" t="s">
        <v>3023</v>
      </c>
      <c r="K808" s="224" t="s">
        <v>3069</v>
      </c>
      <c r="L808" s="225" t="str">
        <f>VLOOKUP(Logfile_S[[#This Row],[Material Name]],Sheet2!B:C,2,0)</f>
        <v>ZTE1001</v>
      </c>
      <c r="M808" s="225" t="str">
        <f>_xlfn.XLOOKUP(Logfile_S[[#This Row],[Material Name]],Sum_WH!E:E,Sum_WH!F:F,"",0)</f>
        <v>Pcs</v>
      </c>
      <c r="N808" s="221">
        <v>12</v>
      </c>
      <c r="O808" s="221" t="s">
        <v>84</v>
      </c>
      <c r="P808" s="221" t="s">
        <v>85</v>
      </c>
      <c r="Q808" s="221"/>
      <c r="R808" s="221"/>
      <c r="S808" s="221"/>
      <c r="T808" s="221" t="s">
        <v>3339</v>
      </c>
      <c r="U808" s="221" t="s">
        <v>3228</v>
      </c>
      <c r="V808" s="221" t="s">
        <v>3571</v>
      </c>
      <c r="W808" s="221" t="s">
        <v>3307</v>
      </c>
      <c r="X808" s="221"/>
      <c r="Y808" s="227"/>
      <c r="Z808" s="227" t="str">
        <f>P808</f>
        <v>Perumahan Bumi Podo Rukun Dau</v>
      </c>
      <c r="AA808" s="276" t="e">
        <f>VLOOKUP(Logfile_S[[#This Row],[DO number]],DO_DB!G:I,3,0)</f>
        <v>#N/A</v>
      </c>
      <c r="AB808" s="331" t="e">
        <f>EXACT(Logfile_S[[#This Row],[date pick]],Logfile_S[[#This Row],[Date]])</f>
        <v>#N/A</v>
      </c>
      <c r="AC8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09" spans="1:29" ht="14.5">
      <c r="A809" s="220" t="str">
        <f>TEXT(ROW(A809)-ROW($A$4),"000")</f>
        <v>805</v>
      </c>
      <c r="B809" s="221"/>
      <c r="C809" s="221" t="s">
        <v>49</v>
      </c>
      <c r="D809" s="221" t="s">
        <v>3680</v>
      </c>
      <c r="E809" s="221" t="s">
        <v>3295</v>
      </c>
      <c r="F809" s="221" t="s">
        <v>3299</v>
      </c>
      <c r="G809" s="222">
        <v>45145</v>
      </c>
      <c r="H809" s="223">
        <v>15.3336111111111</v>
      </c>
      <c r="I809" s="221" t="s">
        <v>4916</v>
      </c>
      <c r="J809" s="221" t="s">
        <v>3023</v>
      </c>
      <c r="K809" s="224" t="s">
        <v>3069</v>
      </c>
      <c r="L809" s="225" t="str">
        <f>VLOOKUP(Logfile_S[[#This Row],[Material Name]],Sheet2!B:C,2,0)</f>
        <v>ZTE1001</v>
      </c>
      <c r="M809" s="225" t="str">
        <f>_xlfn.XLOOKUP(Logfile_S[[#This Row],[Material Name]],Sum_WH!E:E,Sum_WH!F:F,"",0)</f>
        <v>Pcs</v>
      </c>
      <c r="N809" s="221">
        <v>15</v>
      </c>
      <c r="O809" s="221" t="s">
        <v>84</v>
      </c>
      <c r="P809" s="221" t="s">
        <v>85</v>
      </c>
      <c r="Q809" s="221"/>
      <c r="R809" s="221"/>
      <c r="S809" s="221"/>
      <c r="T809" s="221" t="s">
        <v>3305</v>
      </c>
      <c r="U809" s="221" t="s">
        <v>3228</v>
      </c>
      <c r="V809" s="221" t="s">
        <v>3306</v>
      </c>
      <c r="W809" s="221" t="s">
        <v>3307</v>
      </c>
      <c r="X809" s="221"/>
      <c r="Y809" s="227"/>
      <c r="Z809" s="227" t="str">
        <f>P809</f>
        <v>Perumahan Bumi Podo Rukun Dau</v>
      </c>
      <c r="AA809" s="276" t="e">
        <f>VLOOKUP(Logfile_S[[#This Row],[DO number]],DO_DB!G:I,3,0)</f>
        <v>#N/A</v>
      </c>
      <c r="AB809" s="331" t="e">
        <f>EXACT(Logfile_S[[#This Row],[date pick]],Logfile_S[[#This Row],[Date]])</f>
        <v>#N/A</v>
      </c>
      <c r="AC8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10" spans="1:29" ht="14.5">
      <c r="A810" s="220" t="str">
        <f>TEXT(ROW(A810)-ROW($A$4),"000")</f>
        <v>806</v>
      </c>
      <c r="B810" s="221"/>
      <c r="C810" s="221" t="s">
        <v>49</v>
      </c>
      <c r="D810" s="221" t="s">
        <v>3681</v>
      </c>
      <c r="E810" s="221" t="s">
        <v>3295</v>
      </c>
      <c r="F810" s="221" t="s">
        <v>3299</v>
      </c>
      <c r="G810" s="222">
        <v>45146</v>
      </c>
      <c r="H810" s="223">
        <v>15.334305555555556</v>
      </c>
      <c r="I810" s="221" t="s">
        <v>4916</v>
      </c>
      <c r="J810" s="221" t="s">
        <v>3023</v>
      </c>
      <c r="K810" s="224" t="s">
        <v>3069</v>
      </c>
      <c r="L810" s="225" t="str">
        <f>VLOOKUP(Logfile_S[[#This Row],[Material Name]],Sheet2!B:C,2,0)</f>
        <v>ZTE1001</v>
      </c>
      <c r="M810" s="225" t="str">
        <f>_xlfn.XLOOKUP(Logfile_S[[#This Row],[Material Name]],Sum_WH!E:E,Sum_WH!F:F,"",0)</f>
        <v>Pcs</v>
      </c>
      <c r="N810" s="221">
        <v>13</v>
      </c>
      <c r="O810" s="221" t="s">
        <v>84</v>
      </c>
      <c r="P810" s="221" t="s">
        <v>85</v>
      </c>
      <c r="Q810" s="221"/>
      <c r="R810" s="221"/>
      <c r="S810" s="221"/>
      <c r="T810" s="221" t="s">
        <v>3305</v>
      </c>
      <c r="U810" s="221" t="s">
        <v>3228</v>
      </c>
      <c r="V810" s="221" t="s">
        <v>3306</v>
      </c>
      <c r="W810" s="221" t="s">
        <v>3307</v>
      </c>
      <c r="X810" s="221"/>
      <c r="Y810" s="227"/>
      <c r="Z810" s="227" t="str">
        <f>P810</f>
        <v>Perumahan Bumi Podo Rukun Dau</v>
      </c>
      <c r="AA810" s="276" t="e">
        <f>VLOOKUP(Logfile_S[[#This Row],[DO number]],DO_DB!G:I,3,0)</f>
        <v>#N/A</v>
      </c>
      <c r="AB810" s="331" t="e">
        <f>EXACT(Logfile_S[[#This Row],[date pick]],Logfile_S[[#This Row],[Date]])</f>
        <v>#N/A</v>
      </c>
      <c r="AC8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11" spans="1:29" ht="14.5">
      <c r="A811" s="220" t="str">
        <f>TEXT(ROW(A811)-ROW($A$4),"000")</f>
        <v>807</v>
      </c>
      <c r="B811" s="221"/>
      <c r="C811" s="221" t="s">
        <v>48</v>
      </c>
      <c r="D811" s="221" t="s">
        <v>3683</v>
      </c>
      <c r="E811" s="221" t="s">
        <v>3295</v>
      </c>
      <c r="F811" s="221" t="s">
        <v>3299</v>
      </c>
      <c r="G811" s="222">
        <v>45147</v>
      </c>
      <c r="H811" s="223">
        <v>15.291666666666666</v>
      </c>
      <c r="I811" s="221" t="s">
        <v>38</v>
      </c>
      <c r="J811" s="221" t="s">
        <v>3024</v>
      </c>
      <c r="K811" s="224" t="s">
        <v>3097</v>
      </c>
      <c r="L811" s="225" t="str">
        <f>VLOOKUP(Logfile_S[[#This Row],[Material Name]],Sheet2!B:C,2,0)</f>
        <v>GCI1011</v>
      </c>
      <c r="M811" s="225" t="str">
        <f>_xlfn.XLOOKUP(Logfile_S[[#This Row],[Material Name]],Sum_WH!E:E,Sum_WH!F:F,"",0)</f>
        <v>Pcs</v>
      </c>
      <c r="N811" s="221">
        <v>1</v>
      </c>
      <c r="O811" s="221" t="s">
        <v>84</v>
      </c>
      <c r="P811" s="221" t="s">
        <v>85</v>
      </c>
      <c r="Q811" s="221">
        <v>0</v>
      </c>
      <c r="R811" s="221">
        <v>0</v>
      </c>
      <c r="S811" s="221"/>
      <c r="T811" s="221"/>
      <c r="U811" s="221"/>
      <c r="V811" s="221"/>
      <c r="W811" s="221"/>
      <c r="X811" s="221"/>
      <c r="Y811" s="227"/>
      <c r="Z811" s="227" t="str">
        <f>P811</f>
        <v>Perumahan Bumi Podo Rukun Dau</v>
      </c>
      <c r="AA811" s="276" t="e">
        <f>VLOOKUP(Logfile_S[[#This Row],[DO number]],DO_DB!G:I,3,0)</f>
        <v>#N/A</v>
      </c>
      <c r="AB811" s="331" t="e">
        <f>EXACT(Logfile_S[[#This Row],[date pick]],Logfile_S[[#This Row],[Date]])</f>
        <v>#N/A</v>
      </c>
      <c r="AC8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12" spans="1:29" ht="14.5">
      <c r="A812" s="220" t="str">
        <f>TEXT(ROW(A812)-ROW($A$4),"000")</f>
        <v>808</v>
      </c>
      <c r="B812" s="221"/>
      <c r="C812" s="221" t="s">
        <v>48</v>
      </c>
      <c r="D812" s="221" t="s">
        <v>3683</v>
      </c>
      <c r="E812" s="221" t="s">
        <v>3295</v>
      </c>
      <c r="F812" s="221" t="s">
        <v>3299</v>
      </c>
      <c r="G812" s="222">
        <v>45147</v>
      </c>
      <c r="H812" s="223">
        <v>15.291666666666666</v>
      </c>
      <c r="I812" s="221" t="s">
        <v>38</v>
      </c>
      <c r="J812" s="221" t="s">
        <v>3024</v>
      </c>
      <c r="K812" s="224" t="s">
        <v>3096</v>
      </c>
      <c r="L812" s="225" t="str">
        <f>VLOOKUP(Logfile_S[[#This Row],[Material Name]],Sheet2!B:C,2,0)</f>
        <v>GCI1014</v>
      </c>
      <c r="M812" s="225" t="str">
        <f>_xlfn.XLOOKUP(Logfile_S[[#This Row],[Material Name]],Sum_WH!E:E,Sum_WH!F:F,"",0)</f>
        <v>Pcs</v>
      </c>
      <c r="N812" s="221">
        <v>35</v>
      </c>
      <c r="O812" s="221" t="s">
        <v>84</v>
      </c>
      <c r="P812" s="221" t="s">
        <v>85</v>
      </c>
      <c r="Q812" s="221">
        <v>0</v>
      </c>
      <c r="R812" s="221">
        <v>0</v>
      </c>
      <c r="S812" s="221"/>
      <c r="T812" s="221"/>
      <c r="U812" s="221"/>
      <c r="V812" s="221"/>
      <c r="W812" s="221"/>
      <c r="X812" s="221"/>
      <c r="Y812" s="227"/>
      <c r="Z812" s="227" t="str">
        <f>P812</f>
        <v>Perumahan Bumi Podo Rukun Dau</v>
      </c>
      <c r="AA812" s="276" t="e">
        <f>VLOOKUP(Logfile_S[[#This Row],[DO number]],DO_DB!G:I,3,0)</f>
        <v>#N/A</v>
      </c>
      <c r="AB812" s="331" t="e">
        <f>EXACT(Logfile_S[[#This Row],[date pick]],Logfile_S[[#This Row],[Date]])</f>
        <v>#N/A</v>
      </c>
      <c r="AC8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13" spans="1:29" ht="14.5">
      <c r="A813" s="220" t="str">
        <f>TEXT(ROW(A813)-ROW($A$4),"000")</f>
        <v>809</v>
      </c>
      <c r="B813" s="221"/>
      <c r="C813" s="221" t="s">
        <v>48</v>
      </c>
      <c r="D813" s="221" t="s">
        <v>3683</v>
      </c>
      <c r="E813" s="221" t="s">
        <v>3295</v>
      </c>
      <c r="F813" s="221" t="s">
        <v>3299</v>
      </c>
      <c r="G813" s="222">
        <v>45147</v>
      </c>
      <c r="H813" s="223">
        <v>15.291666666666666</v>
      </c>
      <c r="I813" s="221" t="s">
        <v>38</v>
      </c>
      <c r="J813" s="221" t="s">
        <v>3024</v>
      </c>
      <c r="K813" s="224" t="s">
        <v>3091</v>
      </c>
      <c r="L813" s="225" t="str">
        <f>VLOOKUP(Logfile_S[[#This Row],[Material Name]],Sheet2!B:C,2,0)</f>
        <v>GCI1005</v>
      </c>
      <c r="M813" s="225" t="str">
        <f>_xlfn.XLOOKUP(Logfile_S[[#This Row],[Material Name]],Sum_WH!E:E,Sum_WH!F:F,"",0)</f>
        <v>Pcs</v>
      </c>
      <c r="N813" s="221">
        <v>60</v>
      </c>
      <c r="O813" s="221" t="s">
        <v>84</v>
      </c>
      <c r="P813" s="221" t="s">
        <v>85</v>
      </c>
      <c r="Q813" s="221">
        <v>0</v>
      </c>
      <c r="R813" s="221">
        <v>0</v>
      </c>
      <c r="S813" s="221"/>
      <c r="T813" s="221"/>
      <c r="U813" s="221"/>
      <c r="V813" s="221"/>
      <c r="W813" s="221"/>
      <c r="X813" s="221"/>
      <c r="Y813" s="227"/>
      <c r="Z813" s="227" t="str">
        <f>P813</f>
        <v>Perumahan Bumi Podo Rukun Dau</v>
      </c>
      <c r="AA813" s="276" t="e">
        <f>VLOOKUP(Logfile_S[[#This Row],[DO number]],DO_DB!G:I,3,0)</f>
        <v>#N/A</v>
      </c>
      <c r="AB813" s="331" t="e">
        <f>EXACT(Logfile_S[[#This Row],[date pick]],Logfile_S[[#This Row],[Date]])</f>
        <v>#N/A</v>
      </c>
      <c r="AC8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14" spans="1:29" ht="14.5">
      <c r="A814" s="220" t="str">
        <f>TEXT(ROW(A814)-ROW($A$4),"000")</f>
        <v>810</v>
      </c>
      <c r="B814" s="221"/>
      <c r="C814" s="221" t="s">
        <v>48</v>
      </c>
      <c r="D814" s="221" t="s">
        <v>3683</v>
      </c>
      <c r="E814" s="221" t="s">
        <v>3295</v>
      </c>
      <c r="F814" s="221" t="s">
        <v>3299</v>
      </c>
      <c r="G814" s="222">
        <v>45147</v>
      </c>
      <c r="H814" s="223">
        <v>15.291666666666666</v>
      </c>
      <c r="I814" s="221" t="s">
        <v>38</v>
      </c>
      <c r="J814" s="221" t="s">
        <v>3024</v>
      </c>
      <c r="K814" s="224" t="s">
        <v>3087</v>
      </c>
      <c r="L814" s="225" t="str">
        <f>VLOOKUP(Logfile_S[[#This Row],[Material Name]],Sheet2!B:C,2,0)</f>
        <v>GCI1001</v>
      </c>
      <c r="M814" s="225" t="str">
        <f>_xlfn.XLOOKUP(Logfile_S[[#This Row],[Material Name]],Sum_WH!E:E,Sum_WH!F:F,"",0)</f>
        <v>Pcs</v>
      </c>
      <c r="N814" s="221">
        <v>35</v>
      </c>
      <c r="O814" s="221" t="s">
        <v>84</v>
      </c>
      <c r="P814" s="221" t="s">
        <v>85</v>
      </c>
      <c r="Q814" s="221">
        <v>0</v>
      </c>
      <c r="R814" s="221">
        <v>0</v>
      </c>
      <c r="S814" s="221"/>
      <c r="T814" s="221"/>
      <c r="U814" s="221"/>
      <c r="V814" s="221"/>
      <c r="W814" s="221"/>
      <c r="X814" s="221"/>
      <c r="Y814" s="227"/>
      <c r="Z814" s="227" t="str">
        <f>P814</f>
        <v>Perumahan Bumi Podo Rukun Dau</v>
      </c>
      <c r="AA814" s="276" t="e">
        <f>VLOOKUP(Logfile_S[[#This Row],[DO number]],DO_DB!G:I,3,0)</f>
        <v>#N/A</v>
      </c>
      <c r="AB814" s="331" t="e">
        <f>EXACT(Logfile_S[[#This Row],[date pick]],Logfile_S[[#This Row],[Date]])</f>
        <v>#N/A</v>
      </c>
      <c r="AC8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15" spans="1:29" ht="14.5">
      <c r="A815" s="220" t="str">
        <f>TEXT(ROW(A815)-ROW($A$4),"000")</f>
        <v>811</v>
      </c>
      <c r="B815" s="221"/>
      <c r="C815" s="221" t="s">
        <v>48</v>
      </c>
      <c r="D815" s="221" t="s">
        <v>3683</v>
      </c>
      <c r="E815" s="221" t="s">
        <v>3295</v>
      </c>
      <c r="F815" s="221" t="s">
        <v>3299</v>
      </c>
      <c r="G815" s="222">
        <v>45147</v>
      </c>
      <c r="H815" s="223">
        <v>15.291666666666666</v>
      </c>
      <c r="I815" s="221" t="s">
        <v>38</v>
      </c>
      <c r="J815" s="221" t="s">
        <v>3024</v>
      </c>
      <c r="K815" s="224" t="s">
        <v>5137</v>
      </c>
      <c r="L815" s="225" t="str">
        <f>VLOOKUP(Logfile_S[[#This Row],[Material Name]],Sheet2!B:C,2,0)</f>
        <v>GCI1009</v>
      </c>
      <c r="M815" s="225" t="str">
        <f>_xlfn.XLOOKUP(Logfile_S[[#This Row],[Material Name]],Sum_WH!E:E,Sum_WH!F:F,"",0)</f>
        <v>Pcs</v>
      </c>
      <c r="N815" s="221">
        <v>35</v>
      </c>
      <c r="O815" s="221" t="s">
        <v>84</v>
      </c>
      <c r="P815" s="221" t="s">
        <v>85</v>
      </c>
      <c r="Q815" s="221">
        <v>0</v>
      </c>
      <c r="R815" s="221">
        <v>0</v>
      </c>
      <c r="S815" s="221"/>
      <c r="T815" s="221"/>
      <c r="U815" s="221"/>
      <c r="V815" s="221"/>
      <c r="W815" s="221"/>
      <c r="X815" s="221"/>
      <c r="Y815" s="227"/>
      <c r="Z815" s="227" t="str">
        <f>P815</f>
        <v>Perumahan Bumi Podo Rukun Dau</v>
      </c>
      <c r="AA815" s="276" t="e">
        <f>VLOOKUP(Logfile_S[[#This Row],[DO number]],DO_DB!G:I,3,0)</f>
        <v>#N/A</v>
      </c>
      <c r="AB815" s="331" t="e">
        <f>EXACT(Logfile_S[[#This Row],[date pick]],Logfile_S[[#This Row],[Date]])</f>
        <v>#N/A</v>
      </c>
      <c r="AC8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16" spans="1:29" ht="14.5">
      <c r="A816" s="220" t="str">
        <f>TEXT(ROW(A816)-ROW($A$4),"000")</f>
        <v>812</v>
      </c>
      <c r="B816" s="221"/>
      <c r="C816" s="221" t="s">
        <v>48</v>
      </c>
      <c r="D816" s="221" t="s">
        <v>3683</v>
      </c>
      <c r="E816" s="221" t="s">
        <v>3295</v>
      </c>
      <c r="F816" s="221" t="s">
        <v>3299</v>
      </c>
      <c r="G816" s="222">
        <v>45147</v>
      </c>
      <c r="H816" s="223">
        <v>15.291666666666666</v>
      </c>
      <c r="I816" s="221" t="s">
        <v>38</v>
      </c>
      <c r="J816" s="221" t="s">
        <v>3024</v>
      </c>
      <c r="K816" s="224" t="s">
        <v>3088</v>
      </c>
      <c r="L816" s="225" t="str">
        <f>VLOOKUP(Logfile_S[[#This Row],[Material Name]],Sheet2!B:C,2,0)</f>
        <v>GCI1002</v>
      </c>
      <c r="M816" s="225" t="str">
        <f>_xlfn.XLOOKUP(Logfile_S[[#This Row],[Material Name]],Sum_WH!E:E,Sum_WH!F:F,"",0)</f>
        <v>Pcs</v>
      </c>
      <c r="N816" s="221">
        <v>1</v>
      </c>
      <c r="O816" s="221" t="s">
        <v>84</v>
      </c>
      <c r="P816" s="221" t="s">
        <v>85</v>
      </c>
      <c r="Q816" s="221">
        <v>0</v>
      </c>
      <c r="R816" s="221">
        <v>0</v>
      </c>
      <c r="S816" s="221"/>
      <c r="T816" s="221"/>
      <c r="U816" s="221"/>
      <c r="V816" s="221"/>
      <c r="W816" s="221"/>
      <c r="X816" s="221"/>
      <c r="Y816" s="227"/>
      <c r="Z816" s="227" t="str">
        <f>P816</f>
        <v>Perumahan Bumi Podo Rukun Dau</v>
      </c>
      <c r="AA816" s="276" t="e">
        <f>VLOOKUP(Logfile_S[[#This Row],[DO number]],DO_DB!G:I,3,0)</f>
        <v>#N/A</v>
      </c>
      <c r="AB816" s="331" t="e">
        <f>EXACT(Logfile_S[[#This Row],[date pick]],Logfile_S[[#This Row],[Date]])</f>
        <v>#N/A</v>
      </c>
      <c r="AC8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17" spans="1:29" ht="14.5">
      <c r="A817" s="220" t="str">
        <f>TEXT(ROW(A817)-ROW($A$4),"000")</f>
        <v>813</v>
      </c>
      <c r="B817" s="221"/>
      <c r="C817" s="221" t="s">
        <v>49</v>
      </c>
      <c r="D817" s="221" t="s">
        <v>3682</v>
      </c>
      <c r="E817" s="221" t="s">
        <v>3295</v>
      </c>
      <c r="F817" s="221" t="s">
        <v>3299</v>
      </c>
      <c r="G817" s="222">
        <v>45147</v>
      </c>
      <c r="H817" s="223">
        <v>15.317638888888888</v>
      </c>
      <c r="I817" s="221" t="s">
        <v>4916</v>
      </c>
      <c r="J817" s="221" t="s">
        <v>3023</v>
      </c>
      <c r="K817" s="224" t="s">
        <v>3070</v>
      </c>
      <c r="L817" s="225" t="str">
        <f>VLOOKUP(Logfile_S[[#This Row],[Material Name]],Sheet2!B:C,2,0)</f>
        <v>ZTE1002</v>
      </c>
      <c r="M817" s="225" t="str">
        <f>_xlfn.XLOOKUP(Logfile_S[[#This Row],[Material Name]],Sum_WH!E:E,Sum_WH!F:F,"",0)</f>
        <v>Pcs</v>
      </c>
      <c r="N817" s="221">
        <v>3</v>
      </c>
      <c r="O817" s="221" t="s">
        <v>84</v>
      </c>
      <c r="P817" s="221" t="s">
        <v>85</v>
      </c>
      <c r="Q817" s="221"/>
      <c r="R817" s="221"/>
      <c r="S817" s="221"/>
      <c r="T817" s="221" t="s">
        <v>3305</v>
      </c>
      <c r="U817" s="221" t="s">
        <v>3228</v>
      </c>
      <c r="V817" s="221" t="s">
        <v>3306</v>
      </c>
      <c r="W817" s="221" t="s">
        <v>3307</v>
      </c>
      <c r="X817" s="221"/>
      <c r="Y817" s="227"/>
      <c r="Z817" s="227" t="str">
        <f>P817</f>
        <v>Perumahan Bumi Podo Rukun Dau</v>
      </c>
      <c r="AA817" s="276" t="e">
        <f>VLOOKUP(Logfile_S[[#This Row],[DO number]],DO_DB!G:I,3,0)</f>
        <v>#N/A</v>
      </c>
      <c r="AB817" s="331" t="e">
        <f>EXACT(Logfile_S[[#This Row],[date pick]],Logfile_S[[#This Row],[Date]])</f>
        <v>#N/A</v>
      </c>
      <c r="AC8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18" spans="1:29" ht="14.5">
      <c r="A818" s="220" t="str">
        <f>TEXT(ROW(A818)-ROW($A$4),"000")</f>
        <v>814</v>
      </c>
      <c r="B818" s="221"/>
      <c r="C818" s="221" t="s">
        <v>49</v>
      </c>
      <c r="D818" s="221" t="s">
        <v>3682</v>
      </c>
      <c r="E818" s="221" t="s">
        <v>3295</v>
      </c>
      <c r="F818" s="221" t="s">
        <v>3299</v>
      </c>
      <c r="G818" s="222">
        <v>45147</v>
      </c>
      <c r="H818" s="223">
        <v>15.317638888888888</v>
      </c>
      <c r="I818" s="221" t="s">
        <v>4916</v>
      </c>
      <c r="J818" s="221" t="s">
        <v>3023</v>
      </c>
      <c r="K818" s="224" t="s">
        <v>3069</v>
      </c>
      <c r="L818" s="225" t="str">
        <f>VLOOKUP(Logfile_S[[#This Row],[Material Name]],Sheet2!B:C,2,0)</f>
        <v>ZTE1001</v>
      </c>
      <c r="M818" s="225" t="str">
        <f>_xlfn.XLOOKUP(Logfile_S[[#This Row],[Material Name]],Sum_WH!E:E,Sum_WH!F:F,"",0)</f>
        <v>Pcs</v>
      </c>
      <c r="N818" s="221">
        <v>16</v>
      </c>
      <c r="O818" s="221" t="s">
        <v>84</v>
      </c>
      <c r="P818" s="221" t="s">
        <v>85</v>
      </c>
      <c r="Q818" s="221"/>
      <c r="R818" s="221"/>
      <c r="S818" s="221"/>
      <c r="T818" s="221" t="s">
        <v>3305</v>
      </c>
      <c r="U818" s="221" t="s">
        <v>3228</v>
      </c>
      <c r="V818" s="221" t="s">
        <v>3306</v>
      </c>
      <c r="W818" s="221" t="s">
        <v>3307</v>
      </c>
      <c r="X818" s="221"/>
      <c r="Y818" s="227"/>
      <c r="Z818" s="227" t="str">
        <f>P818</f>
        <v>Perumahan Bumi Podo Rukun Dau</v>
      </c>
      <c r="AA818" s="276" t="e">
        <f>VLOOKUP(Logfile_S[[#This Row],[DO number]],DO_DB!G:I,3,0)</f>
        <v>#N/A</v>
      </c>
      <c r="AB818" s="331" t="e">
        <f>EXACT(Logfile_S[[#This Row],[date pick]],Logfile_S[[#This Row],[Date]])</f>
        <v>#N/A</v>
      </c>
      <c r="AC8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19" spans="1:29" ht="14.5">
      <c r="A819" s="220" t="str">
        <f>TEXT(ROW(A819)-ROW($A$4),"000")</f>
        <v>815</v>
      </c>
      <c r="B819" s="221"/>
      <c r="C819" s="221" t="s">
        <v>48</v>
      </c>
      <c r="D819" s="221" t="s">
        <v>3683</v>
      </c>
      <c r="E819" s="221" t="s">
        <v>3295</v>
      </c>
      <c r="F819" s="221" t="s">
        <v>3299</v>
      </c>
      <c r="G819" s="222">
        <v>45147</v>
      </c>
      <c r="H819" s="223">
        <v>15.291666666666666</v>
      </c>
      <c r="I819" s="221" t="s">
        <v>38</v>
      </c>
      <c r="J819" s="221" t="s">
        <v>3024</v>
      </c>
      <c r="K819" s="224" t="s">
        <v>3094</v>
      </c>
      <c r="L819" s="225" t="str">
        <f>VLOOKUP(Logfile_S[[#This Row],[Material Name]],Sheet2!B:C,2,0)</f>
        <v>GCI1008</v>
      </c>
      <c r="M819" s="225" t="str">
        <f>_xlfn.XLOOKUP(Logfile_S[[#This Row],[Material Name]],Sum_WH!E:E,Sum_WH!F:F,"",0)</f>
        <v>Pcs</v>
      </c>
      <c r="N819" s="221">
        <v>75</v>
      </c>
      <c r="O819" s="221" t="s">
        <v>84</v>
      </c>
      <c r="P819" s="221" t="s">
        <v>85</v>
      </c>
      <c r="Q819" s="221">
        <v>0</v>
      </c>
      <c r="R819" s="221">
        <v>0</v>
      </c>
      <c r="S819" s="221"/>
      <c r="T819" s="221"/>
      <c r="U819" s="221"/>
      <c r="V819" s="221"/>
      <c r="W819" s="221"/>
      <c r="X819" s="221"/>
      <c r="Y819" s="227"/>
      <c r="Z819" s="227" t="str">
        <f>P819</f>
        <v>Perumahan Bumi Podo Rukun Dau</v>
      </c>
      <c r="AA819" s="276" t="e">
        <f>VLOOKUP(Logfile_S[[#This Row],[DO number]],DO_DB!G:I,3,0)</f>
        <v>#N/A</v>
      </c>
      <c r="AB819" s="331" t="e">
        <f>EXACT(Logfile_S[[#This Row],[date pick]],Logfile_S[[#This Row],[Date]])</f>
        <v>#N/A</v>
      </c>
      <c r="AC8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20" spans="1:29" ht="14.5">
      <c r="A820" s="220" t="str">
        <f>TEXT(ROW(A820)-ROW($A$4),"000")</f>
        <v>816</v>
      </c>
      <c r="B820" s="221"/>
      <c r="C820" s="221" t="s">
        <v>48</v>
      </c>
      <c r="D820" s="221" t="s">
        <v>3683</v>
      </c>
      <c r="E820" s="221" t="s">
        <v>3295</v>
      </c>
      <c r="F820" s="221" t="s">
        <v>3299</v>
      </c>
      <c r="G820" s="222">
        <v>45147</v>
      </c>
      <c r="H820" s="223">
        <v>15.291666666666666</v>
      </c>
      <c r="I820" s="221" t="s">
        <v>38</v>
      </c>
      <c r="J820" s="221" t="s">
        <v>3024</v>
      </c>
      <c r="K820" s="224" t="s">
        <v>3093</v>
      </c>
      <c r="L820" s="225" t="str">
        <f>VLOOKUP(Logfile_S[[#This Row],[Material Name]],Sheet2!B:C,2,0)</f>
        <v>GCI1007</v>
      </c>
      <c r="M820" s="225" t="str">
        <f>_xlfn.XLOOKUP(Logfile_S[[#This Row],[Material Name]],Sum_WH!E:E,Sum_WH!F:F,"",0)</f>
        <v>Pcs</v>
      </c>
      <c r="N820" s="221">
        <v>135</v>
      </c>
      <c r="O820" s="221" t="s">
        <v>84</v>
      </c>
      <c r="P820" s="221" t="s">
        <v>85</v>
      </c>
      <c r="Q820" s="221">
        <v>0</v>
      </c>
      <c r="R820" s="221">
        <v>0</v>
      </c>
      <c r="S820" s="221"/>
      <c r="T820" s="221"/>
      <c r="U820" s="221"/>
      <c r="V820" s="221"/>
      <c r="W820" s="221"/>
      <c r="X820" s="221"/>
      <c r="Y820" s="227"/>
      <c r="Z820" s="227" t="str">
        <f>P820</f>
        <v>Perumahan Bumi Podo Rukun Dau</v>
      </c>
      <c r="AA820" s="276" t="e">
        <f>VLOOKUP(Logfile_S[[#This Row],[DO number]],DO_DB!G:I,3,0)</f>
        <v>#N/A</v>
      </c>
      <c r="AB820" s="331" t="e">
        <f>EXACT(Logfile_S[[#This Row],[date pick]],Logfile_S[[#This Row],[Date]])</f>
        <v>#N/A</v>
      </c>
      <c r="AC8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21" spans="1:29" ht="14.5">
      <c r="A821" s="220" t="str">
        <f>TEXT(ROW(A821)-ROW($A$4),"000")</f>
        <v>817</v>
      </c>
      <c r="B821" s="221"/>
      <c r="C821" s="221" t="s">
        <v>48</v>
      </c>
      <c r="D821" s="221" t="s">
        <v>3683</v>
      </c>
      <c r="E821" s="221" t="s">
        <v>3295</v>
      </c>
      <c r="F821" s="221" t="s">
        <v>3299</v>
      </c>
      <c r="G821" s="222">
        <v>45147</v>
      </c>
      <c r="H821" s="223">
        <v>15.291666666666666</v>
      </c>
      <c r="I821" s="221" t="s">
        <v>38</v>
      </c>
      <c r="J821" s="221" t="s">
        <v>3024</v>
      </c>
      <c r="K821" s="224" t="s">
        <v>3092</v>
      </c>
      <c r="L821" s="225" t="str">
        <f>VLOOKUP(Logfile_S[[#This Row],[Material Name]],Sheet2!B:C,2,0)</f>
        <v>GCI1006</v>
      </c>
      <c r="M821" s="225" t="str">
        <f>_xlfn.XLOOKUP(Logfile_S[[#This Row],[Material Name]],Sum_WH!E:E,Sum_WH!F:F,"",0)</f>
        <v>Pcs</v>
      </c>
      <c r="N821" s="221">
        <v>135</v>
      </c>
      <c r="O821" s="221" t="s">
        <v>84</v>
      </c>
      <c r="P821" s="221" t="s">
        <v>85</v>
      </c>
      <c r="Q821" s="221">
        <v>0</v>
      </c>
      <c r="R821" s="221">
        <v>0</v>
      </c>
      <c r="S821" s="221"/>
      <c r="T821" s="221"/>
      <c r="U821" s="221"/>
      <c r="V821" s="221"/>
      <c r="W821" s="221"/>
      <c r="X821" s="221"/>
      <c r="Y821" s="227"/>
      <c r="Z821" s="227" t="str">
        <f>P821</f>
        <v>Perumahan Bumi Podo Rukun Dau</v>
      </c>
      <c r="AA821" s="276" t="e">
        <f>VLOOKUP(Logfile_S[[#This Row],[DO number]],DO_DB!G:I,3,0)</f>
        <v>#N/A</v>
      </c>
      <c r="AB821" s="331" t="e">
        <f>EXACT(Logfile_S[[#This Row],[date pick]],Logfile_S[[#This Row],[Date]])</f>
        <v>#N/A</v>
      </c>
      <c r="AC8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22" spans="1:29" ht="14.5">
      <c r="A822" s="220" t="str">
        <f>TEXT(ROW(A822)-ROW($A$4),"000")</f>
        <v>818</v>
      </c>
      <c r="B822" s="221"/>
      <c r="C822" s="221" t="s">
        <v>48</v>
      </c>
      <c r="D822" s="221" t="s">
        <v>3683</v>
      </c>
      <c r="E822" s="221" t="s">
        <v>3295</v>
      </c>
      <c r="F822" s="221" t="s">
        <v>3299</v>
      </c>
      <c r="G822" s="222">
        <v>45147</v>
      </c>
      <c r="H822" s="223">
        <v>15.291666666666666</v>
      </c>
      <c r="I822" s="221" t="s">
        <v>38</v>
      </c>
      <c r="J822" s="221" t="s">
        <v>3024</v>
      </c>
      <c r="K822" s="224" t="s">
        <v>3089</v>
      </c>
      <c r="L822" s="225" t="str">
        <f>VLOOKUP(Logfile_S[[#This Row],[Material Name]],Sheet2!B:C,2,0)</f>
        <v>GCI1003</v>
      </c>
      <c r="M822" s="225" t="str">
        <f>_xlfn.XLOOKUP(Logfile_S[[#This Row],[Material Name]],Sum_WH!E:E,Sum_WH!F:F,"",0)</f>
        <v>Pcs</v>
      </c>
      <c r="N822" s="221">
        <v>100</v>
      </c>
      <c r="O822" s="221" t="s">
        <v>84</v>
      </c>
      <c r="P822" s="221" t="s">
        <v>85</v>
      </c>
      <c r="Q822" s="221">
        <v>0</v>
      </c>
      <c r="R822" s="221">
        <v>0</v>
      </c>
      <c r="S822" s="221"/>
      <c r="T822" s="221"/>
      <c r="U822" s="221"/>
      <c r="V822" s="221"/>
      <c r="W822" s="221"/>
      <c r="X822" s="221"/>
      <c r="Y822" s="227"/>
      <c r="Z822" s="227" t="str">
        <f>P822</f>
        <v>Perumahan Bumi Podo Rukun Dau</v>
      </c>
      <c r="AA822" s="276" t="e">
        <f>VLOOKUP(Logfile_S[[#This Row],[DO number]],DO_DB!G:I,3,0)</f>
        <v>#N/A</v>
      </c>
      <c r="AB822" s="331" t="e">
        <f>EXACT(Logfile_S[[#This Row],[date pick]],Logfile_S[[#This Row],[Date]])</f>
        <v>#N/A</v>
      </c>
      <c r="AC8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23" spans="1:29" ht="14.5">
      <c r="A823" s="220" t="str">
        <f>TEXT(ROW(A823)-ROW($A$4),"000")</f>
        <v>819</v>
      </c>
      <c r="B823" s="221"/>
      <c r="C823" s="221" t="s">
        <v>48</v>
      </c>
      <c r="D823" s="221" t="s">
        <v>3683</v>
      </c>
      <c r="E823" s="221" t="s">
        <v>3295</v>
      </c>
      <c r="F823" s="221" t="s">
        <v>3299</v>
      </c>
      <c r="G823" s="222">
        <v>45147</v>
      </c>
      <c r="H823" s="223">
        <v>15.291666666666666</v>
      </c>
      <c r="I823" s="221" t="s">
        <v>38</v>
      </c>
      <c r="J823" s="221" t="s">
        <v>3024</v>
      </c>
      <c r="K823" s="224" t="s">
        <v>3090</v>
      </c>
      <c r="L823" s="225" t="str">
        <f>VLOOKUP(Logfile_S[[#This Row],[Material Name]],Sheet2!B:C,2,0)</f>
        <v>GCI1004</v>
      </c>
      <c r="M823" s="225" t="str">
        <f>_xlfn.XLOOKUP(Logfile_S[[#This Row],[Material Name]],Sum_WH!E:E,Sum_WH!F:F,"",0)</f>
        <v>Pcs</v>
      </c>
      <c r="N823" s="221">
        <v>100</v>
      </c>
      <c r="O823" s="221" t="s">
        <v>84</v>
      </c>
      <c r="P823" s="221" t="s">
        <v>85</v>
      </c>
      <c r="Q823" s="221">
        <v>0</v>
      </c>
      <c r="R823" s="221">
        <v>0</v>
      </c>
      <c r="S823" s="221"/>
      <c r="T823" s="221"/>
      <c r="U823" s="221"/>
      <c r="V823" s="221"/>
      <c r="W823" s="221"/>
      <c r="X823" s="221"/>
      <c r="Y823" s="227"/>
      <c r="Z823" s="227" t="str">
        <f>P823</f>
        <v>Perumahan Bumi Podo Rukun Dau</v>
      </c>
      <c r="AA823" s="276" t="e">
        <f>VLOOKUP(Logfile_S[[#This Row],[DO number]],DO_DB!G:I,3,0)</f>
        <v>#N/A</v>
      </c>
      <c r="AB823" s="331" t="e">
        <f>EXACT(Logfile_S[[#This Row],[date pick]],Logfile_S[[#This Row],[Date]])</f>
        <v>#N/A</v>
      </c>
      <c r="AC8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24" spans="1:29" ht="14.5">
      <c r="A824" s="220" t="str">
        <f>TEXT(ROW(A824)-ROW($A$4),"000")</f>
        <v>820</v>
      </c>
      <c r="B824" s="221"/>
      <c r="C824" s="221" t="s">
        <v>49</v>
      </c>
      <c r="D824" s="221" t="s">
        <v>3684</v>
      </c>
      <c r="E824" s="221" t="s">
        <v>3295</v>
      </c>
      <c r="F824" s="221" t="s">
        <v>3299</v>
      </c>
      <c r="G824" s="222">
        <v>45148</v>
      </c>
      <c r="H824" s="223">
        <v>15.692638888888888</v>
      </c>
      <c r="I824" s="221" t="s">
        <v>4916</v>
      </c>
      <c r="J824" s="221" t="s">
        <v>3023</v>
      </c>
      <c r="K824" s="224" t="s">
        <v>3073</v>
      </c>
      <c r="L824" s="225" t="str">
        <f>VLOOKUP(Logfile_S[[#This Row],[Material Name]],Sheet2!B:C,2,0)</f>
        <v>ZTE2001</v>
      </c>
      <c r="M824" s="225" t="str">
        <f>_xlfn.XLOOKUP(Logfile_S[[#This Row],[Material Name]],Sum_WH!E:E,Sum_WH!F:F,"",0)</f>
        <v>Meter</v>
      </c>
      <c r="N824" s="221">
        <v>3000</v>
      </c>
      <c r="O824" s="221" t="s">
        <v>84</v>
      </c>
      <c r="P824" s="221" t="s">
        <v>85</v>
      </c>
      <c r="Q824" s="221"/>
      <c r="R824" s="221"/>
      <c r="S824" s="221"/>
      <c r="T824" s="221" t="s">
        <v>3305</v>
      </c>
      <c r="U824" s="221" t="s">
        <v>3228</v>
      </c>
      <c r="V824" s="221" t="s">
        <v>3306</v>
      </c>
      <c r="W824" s="221" t="s">
        <v>3307</v>
      </c>
      <c r="X824" s="235" t="s">
        <v>3483</v>
      </c>
      <c r="Y824" s="236" t="s">
        <v>4946</v>
      </c>
      <c r="Z824" s="227" t="str">
        <f>P824</f>
        <v>Perumahan Bumi Podo Rukun Dau</v>
      </c>
      <c r="AA824" s="276" t="e">
        <f>VLOOKUP(Logfile_S[[#This Row],[DO number]],DO_DB!G:I,3,0)</f>
        <v>#N/A</v>
      </c>
      <c r="AB824" s="331" t="e">
        <f>EXACT(Logfile_S[[#This Row],[date pick]],Logfile_S[[#This Row],[Date]])</f>
        <v>#N/A</v>
      </c>
      <c r="AC8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24C-202384-01</v>
      </c>
    </row>
    <row r="825" spans="1:29" ht="14.5">
      <c r="A825" s="220" t="str">
        <f>TEXT(ROW(A825)-ROW($A$4),"000")</f>
        <v>821</v>
      </c>
      <c r="B825" s="221"/>
      <c r="C825" s="221" t="s">
        <v>49</v>
      </c>
      <c r="D825" s="221" t="s">
        <v>3684</v>
      </c>
      <c r="E825" s="221" t="s">
        <v>3295</v>
      </c>
      <c r="F825" s="221" t="s">
        <v>3299</v>
      </c>
      <c r="G825" s="222">
        <v>45148</v>
      </c>
      <c r="H825" s="223">
        <v>15.692638888888888</v>
      </c>
      <c r="I825" s="221" t="s">
        <v>4916</v>
      </c>
      <c r="J825" s="221" t="s">
        <v>3023</v>
      </c>
      <c r="K825" s="224" t="s">
        <v>3075</v>
      </c>
      <c r="L825" s="225" t="str">
        <f>VLOOKUP(Logfile_S[[#This Row],[Material Name]],Sheet2!B:C,2,0)</f>
        <v>ZTE2003</v>
      </c>
      <c r="M825" s="225" t="str">
        <f>_xlfn.XLOOKUP(Logfile_S[[#This Row],[Material Name]],Sum_WH!E:E,Sum_WH!F:F,"",0)</f>
        <v>Meter</v>
      </c>
      <c r="N825" s="221">
        <v>3000</v>
      </c>
      <c r="O825" s="221" t="s">
        <v>84</v>
      </c>
      <c r="P825" s="221" t="s">
        <v>85</v>
      </c>
      <c r="Q825" s="221"/>
      <c r="R825" s="221"/>
      <c r="S825" s="221"/>
      <c r="T825" s="221" t="s">
        <v>3305</v>
      </c>
      <c r="U825" s="221" t="s">
        <v>3228</v>
      </c>
      <c r="V825" s="221" t="s">
        <v>3306</v>
      </c>
      <c r="W825" s="221" t="s">
        <v>3307</v>
      </c>
      <c r="X825" s="235">
        <v>890</v>
      </c>
      <c r="Y825" s="236" t="s">
        <v>4957</v>
      </c>
      <c r="Z825" s="227" t="str">
        <f>P825</f>
        <v>Perumahan Bumi Podo Rukun Dau</v>
      </c>
      <c r="AA825" s="276" t="e">
        <f>VLOOKUP(Logfile_S[[#This Row],[DO number]],DO_DB!G:I,3,0)</f>
        <v>#N/A</v>
      </c>
      <c r="AB825" s="331" t="e">
        <f>EXACT(Logfile_S[[#This Row],[date pick]],Logfile_S[[#This Row],[Date]])</f>
        <v>#N/A</v>
      </c>
      <c r="AC8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48C-202384-01</v>
      </c>
    </row>
    <row r="826" spans="1:29" ht="14.5">
      <c r="A826" s="220" t="str">
        <f>TEXT(ROW(A826)-ROW($A$4),"000")</f>
        <v>822</v>
      </c>
      <c r="B826" s="221"/>
      <c r="C826" s="221" t="s">
        <v>49</v>
      </c>
      <c r="D826" s="221" t="s">
        <v>3684</v>
      </c>
      <c r="E826" s="221" t="s">
        <v>3295</v>
      </c>
      <c r="F826" s="221" t="s">
        <v>3299</v>
      </c>
      <c r="G826" s="222">
        <v>45148</v>
      </c>
      <c r="H826" s="223">
        <v>15.692638888888888</v>
      </c>
      <c r="I826" s="221" t="s">
        <v>4916</v>
      </c>
      <c r="J826" s="221" t="s">
        <v>3024</v>
      </c>
      <c r="K826" s="224" t="s">
        <v>3097</v>
      </c>
      <c r="L826" s="225" t="str">
        <f>VLOOKUP(Logfile_S[[#This Row],[Material Name]],Sheet2!B:C,2,0)</f>
        <v>GCI1011</v>
      </c>
      <c r="M826" s="225" t="str">
        <f>_xlfn.XLOOKUP(Logfile_S[[#This Row],[Material Name]],Sum_WH!E:E,Sum_WH!F:F,"",0)</f>
        <v>Pcs</v>
      </c>
      <c r="N826" s="221">
        <v>1</v>
      </c>
      <c r="O826" s="221" t="s">
        <v>84</v>
      </c>
      <c r="P826" s="221" t="s">
        <v>85</v>
      </c>
      <c r="Q826" s="221"/>
      <c r="R826" s="221"/>
      <c r="S826" s="221"/>
      <c r="T826" s="221" t="s">
        <v>3305</v>
      </c>
      <c r="U826" s="221" t="s">
        <v>3228</v>
      </c>
      <c r="V826" s="221" t="s">
        <v>3306</v>
      </c>
      <c r="W826" s="221" t="s">
        <v>3307</v>
      </c>
      <c r="X826" s="221"/>
      <c r="Y826" s="227"/>
      <c r="Z826" s="227" t="str">
        <f>P826</f>
        <v>Perumahan Bumi Podo Rukun Dau</v>
      </c>
      <c r="AA826" s="276" t="e">
        <f>VLOOKUP(Logfile_S[[#This Row],[DO number]],DO_DB!G:I,3,0)</f>
        <v>#N/A</v>
      </c>
      <c r="AB826" s="331" t="e">
        <f>EXACT(Logfile_S[[#This Row],[date pick]],Logfile_S[[#This Row],[Date]])</f>
        <v>#N/A</v>
      </c>
      <c r="AC8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27" spans="1:29" ht="14.5">
      <c r="A827" s="220" t="str">
        <f>TEXT(ROW(A827)-ROW($A$4),"000")</f>
        <v>823</v>
      </c>
      <c r="B827" s="221"/>
      <c r="C827" s="221" t="s">
        <v>49</v>
      </c>
      <c r="D827" s="221" t="s">
        <v>3684</v>
      </c>
      <c r="E827" s="221" t="s">
        <v>3295</v>
      </c>
      <c r="F827" s="221" t="s">
        <v>3299</v>
      </c>
      <c r="G827" s="222">
        <v>45148</v>
      </c>
      <c r="H827" s="223">
        <v>15.692638888888888</v>
      </c>
      <c r="I827" s="221" t="s">
        <v>4916</v>
      </c>
      <c r="J827" s="221" t="s">
        <v>3024</v>
      </c>
      <c r="K827" s="224" t="s">
        <v>3096</v>
      </c>
      <c r="L827" s="225" t="str">
        <f>VLOOKUP(Logfile_S[[#This Row],[Material Name]],Sheet2!B:C,2,0)</f>
        <v>GCI1014</v>
      </c>
      <c r="M827" s="225" t="str">
        <f>_xlfn.XLOOKUP(Logfile_S[[#This Row],[Material Name]],Sum_WH!E:E,Sum_WH!F:F,"",0)</f>
        <v>Pcs</v>
      </c>
      <c r="N827" s="221">
        <v>35</v>
      </c>
      <c r="O827" s="221" t="s">
        <v>84</v>
      </c>
      <c r="P827" s="221" t="s">
        <v>85</v>
      </c>
      <c r="Q827" s="221"/>
      <c r="R827" s="221"/>
      <c r="S827" s="221"/>
      <c r="T827" s="221" t="s">
        <v>3305</v>
      </c>
      <c r="U827" s="221" t="s">
        <v>3228</v>
      </c>
      <c r="V827" s="221" t="s">
        <v>3306</v>
      </c>
      <c r="W827" s="221" t="s">
        <v>3307</v>
      </c>
      <c r="X827" s="221"/>
      <c r="Y827" s="227"/>
      <c r="Z827" s="227" t="str">
        <f>P827</f>
        <v>Perumahan Bumi Podo Rukun Dau</v>
      </c>
      <c r="AA827" s="276" t="e">
        <f>VLOOKUP(Logfile_S[[#This Row],[DO number]],DO_DB!G:I,3,0)</f>
        <v>#N/A</v>
      </c>
      <c r="AB827" s="331" t="e">
        <f>EXACT(Logfile_S[[#This Row],[date pick]],Logfile_S[[#This Row],[Date]])</f>
        <v>#N/A</v>
      </c>
      <c r="AC8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28" spans="1:29" ht="14.5">
      <c r="A828" s="220" t="str">
        <f>TEXT(ROW(A828)-ROW($A$4),"000")</f>
        <v>824</v>
      </c>
      <c r="B828" s="221"/>
      <c r="C828" s="221" t="s">
        <v>49</v>
      </c>
      <c r="D828" s="221" t="s">
        <v>3684</v>
      </c>
      <c r="E828" s="221" t="s">
        <v>3295</v>
      </c>
      <c r="F828" s="221" t="s">
        <v>3299</v>
      </c>
      <c r="G828" s="222">
        <v>45148</v>
      </c>
      <c r="H828" s="223">
        <v>15.692638888888888</v>
      </c>
      <c r="I828" s="221" t="s">
        <v>4916</v>
      </c>
      <c r="J828" s="221" t="s">
        <v>3024</v>
      </c>
      <c r="K828" s="224" t="s">
        <v>3091</v>
      </c>
      <c r="L828" s="225" t="str">
        <f>VLOOKUP(Logfile_S[[#This Row],[Material Name]],Sheet2!B:C,2,0)</f>
        <v>GCI1005</v>
      </c>
      <c r="M828" s="225" t="str">
        <f>_xlfn.XLOOKUP(Logfile_S[[#This Row],[Material Name]],Sum_WH!E:E,Sum_WH!F:F,"",0)</f>
        <v>Pcs</v>
      </c>
      <c r="N828" s="221">
        <v>60</v>
      </c>
      <c r="O828" s="221" t="s">
        <v>84</v>
      </c>
      <c r="P828" s="221" t="s">
        <v>85</v>
      </c>
      <c r="Q828" s="221"/>
      <c r="R828" s="221"/>
      <c r="S828" s="221"/>
      <c r="T828" s="221" t="s">
        <v>3305</v>
      </c>
      <c r="U828" s="221" t="s">
        <v>3228</v>
      </c>
      <c r="V828" s="221" t="s">
        <v>3306</v>
      </c>
      <c r="W828" s="221" t="s">
        <v>3307</v>
      </c>
      <c r="X828" s="221"/>
      <c r="Y828" s="227"/>
      <c r="Z828" s="227" t="str">
        <f>P828</f>
        <v>Perumahan Bumi Podo Rukun Dau</v>
      </c>
      <c r="AA828" s="276" t="e">
        <f>VLOOKUP(Logfile_S[[#This Row],[DO number]],DO_DB!G:I,3,0)</f>
        <v>#N/A</v>
      </c>
      <c r="AB828" s="331" t="e">
        <f>EXACT(Logfile_S[[#This Row],[date pick]],Logfile_S[[#This Row],[Date]])</f>
        <v>#N/A</v>
      </c>
      <c r="AC8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29" spans="1:29" ht="14.5">
      <c r="A829" s="220" t="str">
        <f>TEXT(ROW(A829)-ROW($A$4),"000")</f>
        <v>825</v>
      </c>
      <c r="B829" s="221"/>
      <c r="C829" s="221" t="s">
        <v>49</v>
      </c>
      <c r="D829" s="221" t="s">
        <v>3684</v>
      </c>
      <c r="E829" s="221" t="s">
        <v>3295</v>
      </c>
      <c r="F829" s="221" t="s">
        <v>3299</v>
      </c>
      <c r="G829" s="222">
        <v>45148</v>
      </c>
      <c r="H829" s="223">
        <v>15.692638888888888</v>
      </c>
      <c r="I829" s="221" t="s">
        <v>4916</v>
      </c>
      <c r="J829" s="221" t="s">
        <v>3024</v>
      </c>
      <c r="K829" s="224" t="s">
        <v>3087</v>
      </c>
      <c r="L829" s="225" t="str">
        <f>VLOOKUP(Logfile_S[[#This Row],[Material Name]],Sheet2!B:C,2,0)</f>
        <v>GCI1001</v>
      </c>
      <c r="M829" s="225" t="str">
        <f>_xlfn.XLOOKUP(Logfile_S[[#This Row],[Material Name]],Sum_WH!E:E,Sum_WH!F:F,"",0)</f>
        <v>Pcs</v>
      </c>
      <c r="N829" s="221">
        <v>24</v>
      </c>
      <c r="O829" s="221" t="s">
        <v>84</v>
      </c>
      <c r="P829" s="221" t="s">
        <v>85</v>
      </c>
      <c r="Q829" s="221"/>
      <c r="R829" s="221"/>
      <c r="S829" s="221"/>
      <c r="T829" s="221" t="s">
        <v>3305</v>
      </c>
      <c r="U829" s="221" t="s">
        <v>3228</v>
      </c>
      <c r="V829" s="221" t="s">
        <v>3306</v>
      </c>
      <c r="W829" s="221" t="s">
        <v>3307</v>
      </c>
      <c r="X829" s="221"/>
      <c r="Y829" s="227"/>
      <c r="Z829" s="227" t="str">
        <f>P829</f>
        <v>Perumahan Bumi Podo Rukun Dau</v>
      </c>
      <c r="AA829" s="276" t="e">
        <f>VLOOKUP(Logfile_S[[#This Row],[DO number]],DO_DB!G:I,3,0)</f>
        <v>#N/A</v>
      </c>
      <c r="AB829" s="331" t="e">
        <f>EXACT(Logfile_S[[#This Row],[date pick]],Logfile_S[[#This Row],[Date]])</f>
        <v>#N/A</v>
      </c>
      <c r="AC8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30" spans="1:29" ht="14.5">
      <c r="A830" s="220" t="str">
        <f>TEXT(ROW(A830)-ROW($A$4),"000")</f>
        <v>826</v>
      </c>
      <c r="B830" s="221"/>
      <c r="C830" s="221" t="s">
        <v>49</v>
      </c>
      <c r="D830" s="221" t="s">
        <v>3684</v>
      </c>
      <c r="E830" s="221" t="s">
        <v>3295</v>
      </c>
      <c r="F830" s="221" t="s">
        <v>3299</v>
      </c>
      <c r="G830" s="222">
        <v>45148</v>
      </c>
      <c r="H830" s="223">
        <v>15.692638888888888</v>
      </c>
      <c r="I830" s="221" t="s">
        <v>4916</v>
      </c>
      <c r="J830" s="221" t="s">
        <v>3024</v>
      </c>
      <c r="K830" s="224" t="s">
        <v>5137</v>
      </c>
      <c r="L830" s="225" t="str">
        <f>VLOOKUP(Logfile_S[[#This Row],[Material Name]],Sheet2!B:C,2,0)</f>
        <v>GCI1009</v>
      </c>
      <c r="M830" s="225" t="str">
        <f>_xlfn.XLOOKUP(Logfile_S[[#This Row],[Material Name]],Sum_WH!E:E,Sum_WH!F:F,"",0)</f>
        <v>Pcs</v>
      </c>
      <c r="N830" s="221">
        <v>35</v>
      </c>
      <c r="O830" s="221" t="s">
        <v>84</v>
      </c>
      <c r="P830" s="221" t="s">
        <v>85</v>
      </c>
      <c r="Q830" s="221"/>
      <c r="R830" s="221"/>
      <c r="S830" s="221"/>
      <c r="T830" s="221" t="s">
        <v>3305</v>
      </c>
      <c r="U830" s="221" t="s">
        <v>3228</v>
      </c>
      <c r="V830" s="221" t="s">
        <v>3306</v>
      </c>
      <c r="W830" s="221" t="s">
        <v>3307</v>
      </c>
      <c r="X830" s="221"/>
      <c r="Y830" s="227"/>
      <c r="Z830" s="227" t="str">
        <f>P830</f>
        <v>Perumahan Bumi Podo Rukun Dau</v>
      </c>
      <c r="AA830" s="276" t="e">
        <f>VLOOKUP(Logfile_S[[#This Row],[DO number]],DO_DB!G:I,3,0)</f>
        <v>#N/A</v>
      </c>
      <c r="AB830" s="331" t="e">
        <f>EXACT(Logfile_S[[#This Row],[date pick]],Logfile_S[[#This Row],[Date]])</f>
        <v>#N/A</v>
      </c>
      <c r="AC8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31" spans="1:29" ht="14.5">
      <c r="A831" s="220" t="str">
        <f>TEXT(ROW(A831)-ROW($A$4),"000")</f>
        <v>827</v>
      </c>
      <c r="B831" s="221"/>
      <c r="C831" s="221" t="s">
        <v>49</v>
      </c>
      <c r="D831" s="221" t="s">
        <v>3684</v>
      </c>
      <c r="E831" s="221" t="s">
        <v>3295</v>
      </c>
      <c r="F831" s="221" t="s">
        <v>3299</v>
      </c>
      <c r="G831" s="222">
        <v>45148</v>
      </c>
      <c r="H831" s="223">
        <v>15.692638888888888</v>
      </c>
      <c r="I831" s="221" t="s">
        <v>4916</v>
      </c>
      <c r="J831" s="221" t="s">
        <v>3024</v>
      </c>
      <c r="K831" s="224" t="s">
        <v>3088</v>
      </c>
      <c r="L831" s="225" t="str">
        <f>VLOOKUP(Logfile_S[[#This Row],[Material Name]],Sheet2!B:C,2,0)</f>
        <v>GCI1002</v>
      </c>
      <c r="M831" s="225" t="str">
        <f>_xlfn.XLOOKUP(Logfile_S[[#This Row],[Material Name]],Sum_WH!E:E,Sum_WH!F:F,"",0)</f>
        <v>Pcs</v>
      </c>
      <c r="N831" s="221">
        <v>1</v>
      </c>
      <c r="O831" s="221" t="s">
        <v>84</v>
      </c>
      <c r="P831" s="221" t="s">
        <v>85</v>
      </c>
      <c r="Q831" s="221"/>
      <c r="R831" s="221"/>
      <c r="S831" s="221"/>
      <c r="T831" s="221" t="s">
        <v>3305</v>
      </c>
      <c r="U831" s="221" t="s">
        <v>3228</v>
      </c>
      <c r="V831" s="221" t="s">
        <v>3306</v>
      </c>
      <c r="W831" s="221" t="s">
        <v>3307</v>
      </c>
      <c r="X831" s="221"/>
      <c r="Y831" s="227"/>
      <c r="Z831" s="227" t="str">
        <f>P831</f>
        <v>Perumahan Bumi Podo Rukun Dau</v>
      </c>
      <c r="AA831" s="276" t="e">
        <f>VLOOKUP(Logfile_S[[#This Row],[DO number]],DO_DB!G:I,3,0)</f>
        <v>#N/A</v>
      </c>
      <c r="AB831" s="331" t="e">
        <f>EXACT(Logfile_S[[#This Row],[date pick]],Logfile_S[[#This Row],[Date]])</f>
        <v>#N/A</v>
      </c>
      <c r="AC8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32" spans="1:29" ht="14.5">
      <c r="A832" s="220" t="str">
        <f>TEXT(ROW(A832)-ROW($A$4),"000")</f>
        <v>828</v>
      </c>
      <c r="B832" s="221"/>
      <c r="C832" s="221" t="s">
        <v>49</v>
      </c>
      <c r="D832" s="221" t="s">
        <v>3684</v>
      </c>
      <c r="E832" s="221" t="s">
        <v>3295</v>
      </c>
      <c r="F832" s="221" t="s">
        <v>3299</v>
      </c>
      <c r="G832" s="222">
        <v>45148</v>
      </c>
      <c r="H832" s="223">
        <v>15.692638888888888</v>
      </c>
      <c r="I832" s="221" t="s">
        <v>4916</v>
      </c>
      <c r="J832" s="221" t="s">
        <v>3023</v>
      </c>
      <c r="K832" s="224" t="s">
        <v>3070</v>
      </c>
      <c r="L832" s="225" t="str">
        <f>VLOOKUP(Logfile_S[[#This Row],[Material Name]],Sheet2!B:C,2,0)</f>
        <v>ZTE1002</v>
      </c>
      <c r="M832" s="225" t="str">
        <f>_xlfn.XLOOKUP(Logfile_S[[#This Row],[Material Name]],Sum_WH!E:E,Sum_WH!F:F,"",0)</f>
        <v>Pcs</v>
      </c>
      <c r="N832" s="221">
        <v>1</v>
      </c>
      <c r="O832" s="221" t="s">
        <v>84</v>
      </c>
      <c r="P832" s="221" t="s">
        <v>85</v>
      </c>
      <c r="Q832" s="221"/>
      <c r="R832" s="221"/>
      <c r="S832" s="221"/>
      <c r="T832" s="221" t="s">
        <v>3305</v>
      </c>
      <c r="U832" s="221" t="s">
        <v>3228</v>
      </c>
      <c r="V832" s="221" t="s">
        <v>3306</v>
      </c>
      <c r="W832" s="221" t="s">
        <v>3307</v>
      </c>
      <c r="X832" s="221"/>
      <c r="Y832" s="227"/>
      <c r="Z832" s="227" t="str">
        <f>P832</f>
        <v>Perumahan Bumi Podo Rukun Dau</v>
      </c>
      <c r="AA832" s="276" t="e">
        <f>VLOOKUP(Logfile_S[[#This Row],[DO number]],DO_DB!G:I,3,0)</f>
        <v>#N/A</v>
      </c>
      <c r="AB832" s="331" t="e">
        <f>EXACT(Logfile_S[[#This Row],[date pick]],Logfile_S[[#This Row],[Date]])</f>
        <v>#N/A</v>
      </c>
      <c r="AC8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33" spans="1:29" ht="14.5">
      <c r="A833" s="220" t="str">
        <f>TEXT(ROW(A833)-ROW($A$4),"000")</f>
        <v>829</v>
      </c>
      <c r="B833" s="221"/>
      <c r="C833" s="221" t="s">
        <v>49</v>
      </c>
      <c r="D833" s="221" t="s">
        <v>3684</v>
      </c>
      <c r="E833" s="221" t="s">
        <v>3295</v>
      </c>
      <c r="F833" s="221" t="s">
        <v>3299</v>
      </c>
      <c r="G833" s="222">
        <v>45148</v>
      </c>
      <c r="H833" s="223">
        <v>15.692638888888888</v>
      </c>
      <c r="I833" s="221" t="s">
        <v>4916</v>
      </c>
      <c r="J833" s="221" t="s">
        <v>3024</v>
      </c>
      <c r="K833" s="224" t="s">
        <v>3094</v>
      </c>
      <c r="L833" s="225" t="str">
        <f>VLOOKUP(Logfile_S[[#This Row],[Material Name]],Sheet2!B:C,2,0)</f>
        <v>GCI1008</v>
      </c>
      <c r="M833" s="225" t="str">
        <f>_xlfn.XLOOKUP(Logfile_S[[#This Row],[Material Name]],Sum_WH!E:E,Sum_WH!F:F,"",0)</f>
        <v>Pcs</v>
      </c>
      <c r="N833" s="221">
        <v>75</v>
      </c>
      <c r="O833" s="221" t="s">
        <v>84</v>
      </c>
      <c r="P833" s="221" t="s">
        <v>85</v>
      </c>
      <c r="Q833" s="221"/>
      <c r="R833" s="221"/>
      <c r="S833" s="221"/>
      <c r="T833" s="221" t="s">
        <v>3305</v>
      </c>
      <c r="U833" s="221" t="s">
        <v>3228</v>
      </c>
      <c r="V833" s="221" t="s">
        <v>3306</v>
      </c>
      <c r="W833" s="221" t="s">
        <v>3307</v>
      </c>
      <c r="X833" s="221"/>
      <c r="Y833" s="227"/>
      <c r="Z833" s="227" t="str">
        <f>P833</f>
        <v>Perumahan Bumi Podo Rukun Dau</v>
      </c>
      <c r="AA833" s="276" t="e">
        <f>VLOOKUP(Logfile_S[[#This Row],[DO number]],DO_DB!G:I,3,0)</f>
        <v>#N/A</v>
      </c>
      <c r="AB833" s="331" t="e">
        <f>EXACT(Logfile_S[[#This Row],[date pick]],Logfile_S[[#This Row],[Date]])</f>
        <v>#N/A</v>
      </c>
      <c r="AC8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34" spans="1:29" ht="14.5">
      <c r="A834" s="220" t="str">
        <f>TEXT(ROW(A834)-ROW($A$4),"000")</f>
        <v>830</v>
      </c>
      <c r="B834" s="221"/>
      <c r="C834" s="221" t="s">
        <v>49</v>
      </c>
      <c r="D834" s="221" t="s">
        <v>3684</v>
      </c>
      <c r="E834" s="221" t="s">
        <v>3295</v>
      </c>
      <c r="F834" s="221" t="s">
        <v>3299</v>
      </c>
      <c r="G834" s="222">
        <v>45148</v>
      </c>
      <c r="H834" s="223">
        <v>15.692638888888888</v>
      </c>
      <c r="I834" s="221" t="s">
        <v>4916</v>
      </c>
      <c r="J834" s="221" t="s">
        <v>3024</v>
      </c>
      <c r="K834" s="224" t="s">
        <v>3093</v>
      </c>
      <c r="L834" s="225" t="str">
        <f>VLOOKUP(Logfile_S[[#This Row],[Material Name]],Sheet2!B:C,2,0)</f>
        <v>GCI1007</v>
      </c>
      <c r="M834" s="225" t="str">
        <f>_xlfn.XLOOKUP(Logfile_S[[#This Row],[Material Name]],Sum_WH!E:E,Sum_WH!F:F,"",0)</f>
        <v>Pcs</v>
      </c>
      <c r="N834" s="221">
        <v>135</v>
      </c>
      <c r="O834" s="221" t="s">
        <v>84</v>
      </c>
      <c r="P834" s="221" t="s">
        <v>85</v>
      </c>
      <c r="Q834" s="221"/>
      <c r="R834" s="221"/>
      <c r="S834" s="221"/>
      <c r="T834" s="221" t="s">
        <v>3305</v>
      </c>
      <c r="U834" s="221" t="s">
        <v>3228</v>
      </c>
      <c r="V834" s="221" t="s">
        <v>3306</v>
      </c>
      <c r="W834" s="221" t="s">
        <v>3307</v>
      </c>
      <c r="X834" s="221"/>
      <c r="Y834" s="227"/>
      <c r="Z834" s="227" t="str">
        <f>P834</f>
        <v>Perumahan Bumi Podo Rukun Dau</v>
      </c>
      <c r="AA834" s="276" t="e">
        <f>VLOOKUP(Logfile_S[[#This Row],[DO number]],DO_DB!G:I,3,0)</f>
        <v>#N/A</v>
      </c>
      <c r="AB834" s="331" t="e">
        <f>EXACT(Logfile_S[[#This Row],[date pick]],Logfile_S[[#This Row],[Date]])</f>
        <v>#N/A</v>
      </c>
      <c r="AC8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35" spans="1:29" ht="14.5">
      <c r="A835" s="220" t="str">
        <f>TEXT(ROW(A835)-ROW($A$4),"000")</f>
        <v>831</v>
      </c>
      <c r="B835" s="221"/>
      <c r="C835" s="221" t="s">
        <v>49</v>
      </c>
      <c r="D835" s="221" t="s">
        <v>3684</v>
      </c>
      <c r="E835" s="221" t="s">
        <v>3295</v>
      </c>
      <c r="F835" s="221" t="s">
        <v>3299</v>
      </c>
      <c r="G835" s="222">
        <v>45148</v>
      </c>
      <c r="H835" s="223">
        <v>15.692638888888888</v>
      </c>
      <c r="I835" s="221" t="s">
        <v>4916</v>
      </c>
      <c r="J835" s="221" t="s">
        <v>3024</v>
      </c>
      <c r="K835" s="224" t="s">
        <v>3092</v>
      </c>
      <c r="L835" s="225" t="str">
        <f>VLOOKUP(Logfile_S[[#This Row],[Material Name]],Sheet2!B:C,2,0)</f>
        <v>GCI1006</v>
      </c>
      <c r="M835" s="225" t="str">
        <f>_xlfn.XLOOKUP(Logfile_S[[#This Row],[Material Name]],Sum_WH!E:E,Sum_WH!F:F,"",0)</f>
        <v>Pcs</v>
      </c>
      <c r="N835" s="221">
        <v>135</v>
      </c>
      <c r="O835" s="221" t="s">
        <v>84</v>
      </c>
      <c r="P835" s="221" t="s">
        <v>85</v>
      </c>
      <c r="Q835" s="221"/>
      <c r="R835" s="221"/>
      <c r="S835" s="221"/>
      <c r="T835" s="221" t="s">
        <v>3305</v>
      </c>
      <c r="U835" s="221" t="s">
        <v>3228</v>
      </c>
      <c r="V835" s="221" t="s">
        <v>3306</v>
      </c>
      <c r="W835" s="221" t="s">
        <v>3307</v>
      </c>
      <c r="X835" s="221"/>
      <c r="Y835" s="227"/>
      <c r="Z835" s="227" t="str">
        <f>P835</f>
        <v>Perumahan Bumi Podo Rukun Dau</v>
      </c>
      <c r="AA835" s="276" t="e">
        <f>VLOOKUP(Logfile_S[[#This Row],[DO number]],DO_DB!G:I,3,0)</f>
        <v>#N/A</v>
      </c>
      <c r="AB835" s="331" t="e">
        <f>EXACT(Logfile_S[[#This Row],[date pick]],Logfile_S[[#This Row],[Date]])</f>
        <v>#N/A</v>
      </c>
      <c r="AC8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36" spans="1:29" ht="14.5">
      <c r="A836" s="220" t="str">
        <f>TEXT(ROW(A836)-ROW($A$4),"000")</f>
        <v>832</v>
      </c>
      <c r="B836" s="221"/>
      <c r="C836" s="221" t="s">
        <v>49</v>
      </c>
      <c r="D836" s="221" t="s">
        <v>3684</v>
      </c>
      <c r="E836" s="221" t="s">
        <v>3295</v>
      </c>
      <c r="F836" s="221" t="s">
        <v>3299</v>
      </c>
      <c r="G836" s="222">
        <v>45148</v>
      </c>
      <c r="H836" s="223">
        <v>15.692638888888888</v>
      </c>
      <c r="I836" s="221" t="s">
        <v>4916</v>
      </c>
      <c r="J836" s="221" t="s">
        <v>3024</v>
      </c>
      <c r="K836" s="224" t="s">
        <v>3089</v>
      </c>
      <c r="L836" s="225" t="str">
        <f>VLOOKUP(Logfile_S[[#This Row],[Material Name]],Sheet2!B:C,2,0)</f>
        <v>GCI1003</v>
      </c>
      <c r="M836" s="225" t="str">
        <f>_xlfn.XLOOKUP(Logfile_S[[#This Row],[Material Name]],Sum_WH!E:E,Sum_WH!F:F,"",0)</f>
        <v>Pcs</v>
      </c>
      <c r="N836" s="221">
        <v>100</v>
      </c>
      <c r="O836" s="221" t="s">
        <v>84</v>
      </c>
      <c r="P836" s="221" t="s">
        <v>85</v>
      </c>
      <c r="Q836" s="221"/>
      <c r="R836" s="221"/>
      <c r="S836" s="221"/>
      <c r="T836" s="221" t="s">
        <v>3305</v>
      </c>
      <c r="U836" s="221" t="s">
        <v>3228</v>
      </c>
      <c r="V836" s="221" t="s">
        <v>3306</v>
      </c>
      <c r="W836" s="221" t="s">
        <v>3307</v>
      </c>
      <c r="X836" s="221"/>
      <c r="Y836" s="227"/>
      <c r="Z836" s="227" t="str">
        <f>P836</f>
        <v>Perumahan Bumi Podo Rukun Dau</v>
      </c>
      <c r="AA836" s="276" t="e">
        <f>VLOOKUP(Logfile_S[[#This Row],[DO number]],DO_DB!G:I,3,0)</f>
        <v>#N/A</v>
      </c>
      <c r="AB836" s="331" t="e">
        <f>EXACT(Logfile_S[[#This Row],[date pick]],Logfile_S[[#This Row],[Date]])</f>
        <v>#N/A</v>
      </c>
      <c r="AC8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37" spans="1:29" ht="14.5">
      <c r="A837" s="220" t="str">
        <f>TEXT(ROW(A837)-ROW($A$4),"000")</f>
        <v>833</v>
      </c>
      <c r="B837" s="221"/>
      <c r="C837" s="221" t="s">
        <v>49</v>
      </c>
      <c r="D837" s="221" t="s">
        <v>3684</v>
      </c>
      <c r="E837" s="221" t="s">
        <v>3295</v>
      </c>
      <c r="F837" s="221" t="s">
        <v>3299</v>
      </c>
      <c r="G837" s="222">
        <v>45148</v>
      </c>
      <c r="H837" s="223">
        <v>15.692638888888888</v>
      </c>
      <c r="I837" s="221" t="s">
        <v>4916</v>
      </c>
      <c r="J837" s="221" t="s">
        <v>3024</v>
      </c>
      <c r="K837" s="224" t="s">
        <v>3090</v>
      </c>
      <c r="L837" s="225" t="str">
        <f>VLOOKUP(Logfile_S[[#This Row],[Material Name]],Sheet2!B:C,2,0)</f>
        <v>GCI1004</v>
      </c>
      <c r="M837" s="225" t="str">
        <f>_xlfn.XLOOKUP(Logfile_S[[#This Row],[Material Name]],Sum_WH!E:E,Sum_WH!F:F,"",0)</f>
        <v>Pcs</v>
      </c>
      <c r="N837" s="221">
        <v>100</v>
      </c>
      <c r="O837" s="221" t="s">
        <v>84</v>
      </c>
      <c r="P837" s="221" t="s">
        <v>85</v>
      </c>
      <c r="Q837" s="221"/>
      <c r="R837" s="221"/>
      <c r="S837" s="221"/>
      <c r="T837" s="221" t="s">
        <v>3305</v>
      </c>
      <c r="U837" s="221" t="s">
        <v>3228</v>
      </c>
      <c r="V837" s="221" t="s">
        <v>3306</v>
      </c>
      <c r="W837" s="221" t="s">
        <v>3307</v>
      </c>
      <c r="X837" s="221"/>
      <c r="Y837" s="227"/>
      <c r="Z837" s="227" t="str">
        <f>P837</f>
        <v>Perumahan Bumi Podo Rukun Dau</v>
      </c>
      <c r="AA837" s="276" t="e">
        <f>VLOOKUP(Logfile_S[[#This Row],[DO number]],DO_DB!G:I,3,0)</f>
        <v>#N/A</v>
      </c>
      <c r="AB837" s="331" t="e">
        <f>EXACT(Logfile_S[[#This Row],[date pick]],Logfile_S[[#This Row],[Date]])</f>
        <v>#N/A</v>
      </c>
      <c r="AC8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38" spans="1:29" ht="14.5">
      <c r="A838" s="220" t="str">
        <f>TEXT(ROW(A838)-ROW($A$4),"000")</f>
        <v>834</v>
      </c>
      <c r="B838" s="221"/>
      <c r="C838" s="221" t="s">
        <v>49</v>
      </c>
      <c r="D838" s="221" t="s">
        <v>3685</v>
      </c>
      <c r="E838" s="221" t="s">
        <v>3295</v>
      </c>
      <c r="F838" s="221" t="s">
        <v>3299</v>
      </c>
      <c r="G838" s="222">
        <v>45149</v>
      </c>
      <c r="H838" s="223">
        <v>15.619722222222222</v>
      </c>
      <c r="I838" s="221" t="s">
        <v>4916</v>
      </c>
      <c r="J838" s="221" t="s">
        <v>3023</v>
      </c>
      <c r="K838" s="224" t="s">
        <v>13</v>
      </c>
      <c r="L838" s="225" t="str">
        <f>VLOOKUP(Logfile_S[[#This Row],[Material Name]],Sheet2!B:C,2,0)</f>
        <v>ZTE2008</v>
      </c>
      <c r="M838" s="225" t="str">
        <f>_xlfn.XLOOKUP(Logfile_S[[#This Row],[Material Name]],Sum_WH!E:E,Sum_WH!F:F,"",0)</f>
        <v>Pcs</v>
      </c>
      <c r="N838" s="221">
        <v>16</v>
      </c>
      <c r="O838" s="221" t="s">
        <v>84</v>
      </c>
      <c r="P838" s="221" t="s">
        <v>85</v>
      </c>
      <c r="Q838" s="221"/>
      <c r="R838" s="221"/>
      <c r="S838" s="221"/>
      <c r="T838" s="221" t="s">
        <v>3329</v>
      </c>
      <c r="U838" s="221" t="s">
        <v>3228</v>
      </c>
      <c r="V838" s="221" t="s">
        <v>3330</v>
      </c>
      <c r="W838" s="221" t="s">
        <v>3517</v>
      </c>
      <c r="X838" s="221"/>
      <c r="Y838" s="227"/>
      <c r="Z838" s="227" t="str">
        <f>P838</f>
        <v>Perumahan Bumi Podo Rukun Dau</v>
      </c>
      <c r="AA838" s="276" t="e">
        <f>VLOOKUP(Logfile_S[[#This Row],[DO number]],DO_DB!G:I,3,0)</f>
        <v>#N/A</v>
      </c>
      <c r="AB838" s="331" t="e">
        <f>EXACT(Logfile_S[[#This Row],[date pick]],Logfile_S[[#This Row],[Date]])</f>
        <v>#N/A</v>
      </c>
      <c r="AC8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39" spans="1:29" ht="14.5">
      <c r="A839" s="220" t="str">
        <f>TEXT(ROW(A839)-ROW($A$4),"000")</f>
        <v>835</v>
      </c>
      <c r="B839" s="221"/>
      <c r="C839" s="221" t="s">
        <v>49</v>
      </c>
      <c r="D839" s="221" t="s">
        <v>3685</v>
      </c>
      <c r="E839" s="221" t="s">
        <v>3295</v>
      </c>
      <c r="F839" s="221" t="s">
        <v>3299</v>
      </c>
      <c r="G839" s="222">
        <v>45149</v>
      </c>
      <c r="H839" s="223">
        <v>15.619722222222222</v>
      </c>
      <c r="I839" s="221" t="s">
        <v>4916</v>
      </c>
      <c r="J839" s="221" t="s">
        <v>3023</v>
      </c>
      <c r="K839" s="224" t="s">
        <v>14</v>
      </c>
      <c r="L839" s="225" t="str">
        <f>VLOOKUP(Logfile_S[[#This Row],[Material Name]],Sheet2!B:C,2,0)</f>
        <v>ZTE2005</v>
      </c>
      <c r="M839" s="225" t="str">
        <f>_xlfn.XLOOKUP(Logfile_S[[#This Row],[Material Name]],Sum_WH!E:E,Sum_WH!F:F,"",0)</f>
        <v>Pcs</v>
      </c>
      <c r="N839" s="221">
        <v>1</v>
      </c>
      <c r="O839" s="221" t="s">
        <v>84</v>
      </c>
      <c r="P839" s="221" t="s">
        <v>85</v>
      </c>
      <c r="Q839" s="221"/>
      <c r="R839" s="221"/>
      <c r="S839" s="221"/>
      <c r="T839" s="221" t="s">
        <v>3329</v>
      </c>
      <c r="U839" s="221" t="s">
        <v>3228</v>
      </c>
      <c r="V839" s="221" t="s">
        <v>3330</v>
      </c>
      <c r="W839" s="221" t="s">
        <v>3517</v>
      </c>
      <c r="X839" s="221"/>
      <c r="Y839" s="227"/>
      <c r="Z839" s="227" t="str">
        <f>P839</f>
        <v>Perumahan Bumi Podo Rukun Dau</v>
      </c>
      <c r="AA839" s="276" t="e">
        <f>VLOOKUP(Logfile_S[[#This Row],[DO number]],DO_DB!G:I,3,0)</f>
        <v>#N/A</v>
      </c>
      <c r="AB839" s="331" t="e">
        <f>EXACT(Logfile_S[[#This Row],[date pick]],Logfile_S[[#This Row],[Date]])</f>
        <v>#N/A</v>
      </c>
      <c r="AC8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40" spans="1:29" ht="14.5">
      <c r="A840" s="220" t="str">
        <f>TEXT(ROW(A840)-ROW($A$4),"000")</f>
        <v>836</v>
      </c>
      <c r="B840" s="221"/>
      <c r="C840" s="221" t="s">
        <v>48</v>
      </c>
      <c r="D840" s="221" t="s">
        <v>3686</v>
      </c>
      <c r="E840" s="221" t="s">
        <v>3295</v>
      </c>
      <c r="F840" s="221" t="s">
        <v>3299</v>
      </c>
      <c r="G840" s="222">
        <v>45152</v>
      </c>
      <c r="H840" s="223">
        <v>15.291666666666666</v>
      </c>
      <c r="I840" s="221" t="s">
        <v>38</v>
      </c>
      <c r="J840" s="221" t="s">
        <v>3024</v>
      </c>
      <c r="K840" s="224" t="s">
        <v>3096</v>
      </c>
      <c r="L840" s="225" t="str">
        <f>VLOOKUP(Logfile_S[[#This Row],[Material Name]],Sheet2!B:C,2,0)</f>
        <v>GCI1014</v>
      </c>
      <c r="M840" s="225" t="str">
        <f>_xlfn.XLOOKUP(Logfile_S[[#This Row],[Material Name]],Sum_WH!E:E,Sum_WH!F:F,"",0)</f>
        <v>Pcs</v>
      </c>
      <c r="N840" s="221">
        <v>60</v>
      </c>
      <c r="O840" s="221" t="s">
        <v>84</v>
      </c>
      <c r="P840" s="221" t="s">
        <v>85</v>
      </c>
      <c r="Q840" s="221">
        <v>0</v>
      </c>
      <c r="R840" s="221">
        <v>0</v>
      </c>
      <c r="S840" s="221"/>
      <c r="T840" s="221"/>
      <c r="U840" s="221"/>
      <c r="V840" s="221"/>
      <c r="W840" s="221"/>
      <c r="X840" s="221"/>
      <c r="Y840" s="227"/>
      <c r="Z840" s="227" t="str">
        <f>P840</f>
        <v>Perumahan Bumi Podo Rukun Dau</v>
      </c>
      <c r="AA840" s="276" t="e">
        <f>VLOOKUP(Logfile_S[[#This Row],[DO number]],DO_DB!G:I,3,0)</f>
        <v>#N/A</v>
      </c>
      <c r="AB840" s="331" t="e">
        <f>EXACT(Logfile_S[[#This Row],[date pick]],Logfile_S[[#This Row],[Date]])</f>
        <v>#N/A</v>
      </c>
      <c r="AC8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41" spans="1:29" ht="14.5">
      <c r="A841" s="220" t="str">
        <f>TEXT(ROW(A841)-ROW($A$4),"000")</f>
        <v>837</v>
      </c>
      <c r="B841" s="221"/>
      <c r="C841" s="221" t="s">
        <v>48</v>
      </c>
      <c r="D841" s="221" t="s">
        <v>3686</v>
      </c>
      <c r="E841" s="221" t="s">
        <v>3295</v>
      </c>
      <c r="F841" s="221" t="s">
        <v>3299</v>
      </c>
      <c r="G841" s="222">
        <v>45152</v>
      </c>
      <c r="H841" s="223">
        <v>15.291666666666666</v>
      </c>
      <c r="I841" s="221" t="s">
        <v>38</v>
      </c>
      <c r="J841" s="221" t="s">
        <v>3024</v>
      </c>
      <c r="K841" s="224" t="s">
        <v>5137</v>
      </c>
      <c r="L841" s="225" t="str">
        <f>VLOOKUP(Logfile_S[[#This Row],[Material Name]],Sheet2!B:C,2,0)</f>
        <v>GCI1009</v>
      </c>
      <c r="M841" s="225" t="str">
        <f>_xlfn.XLOOKUP(Logfile_S[[#This Row],[Material Name]],Sum_WH!E:E,Sum_WH!F:F,"",0)</f>
        <v>Pcs</v>
      </c>
      <c r="N841" s="221">
        <v>60</v>
      </c>
      <c r="O841" s="221" t="s">
        <v>84</v>
      </c>
      <c r="P841" s="221" t="s">
        <v>85</v>
      </c>
      <c r="Q841" s="221">
        <v>0</v>
      </c>
      <c r="R841" s="221">
        <v>0</v>
      </c>
      <c r="S841" s="221"/>
      <c r="T841" s="221"/>
      <c r="U841" s="221"/>
      <c r="V841" s="221"/>
      <c r="W841" s="221"/>
      <c r="X841" s="221"/>
      <c r="Y841" s="227"/>
      <c r="Z841" s="227" t="str">
        <f>P841</f>
        <v>Perumahan Bumi Podo Rukun Dau</v>
      </c>
      <c r="AA841" s="276" t="e">
        <f>VLOOKUP(Logfile_S[[#This Row],[DO number]],DO_DB!G:I,3,0)</f>
        <v>#N/A</v>
      </c>
      <c r="AB841" s="331" t="e">
        <f>EXACT(Logfile_S[[#This Row],[date pick]],Logfile_S[[#This Row],[Date]])</f>
        <v>#N/A</v>
      </c>
      <c r="AC8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42" spans="1:29" ht="14.5">
      <c r="A842" s="220" t="str">
        <f>TEXT(ROW(A842)-ROW($A$4),"000")</f>
        <v>838</v>
      </c>
      <c r="B842" s="221"/>
      <c r="C842" s="221" t="s">
        <v>48</v>
      </c>
      <c r="D842" s="221" t="s">
        <v>3686</v>
      </c>
      <c r="E842" s="221" t="s">
        <v>3295</v>
      </c>
      <c r="F842" s="221" t="s">
        <v>3299</v>
      </c>
      <c r="G842" s="222">
        <v>45152</v>
      </c>
      <c r="H842" s="223">
        <v>15.291666666666666</v>
      </c>
      <c r="I842" s="221" t="s">
        <v>38</v>
      </c>
      <c r="J842" s="221" t="s">
        <v>3024</v>
      </c>
      <c r="K842" s="224" t="s">
        <v>3099</v>
      </c>
      <c r="L842" s="225" t="str">
        <f>VLOOKUP(Logfile_S[[#This Row],[Material Name]],Sheet2!B:C,2,0)</f>
        <v>GCI1013</v>
      </c>
      <c r="M842" s="225" t="str">
        <f>_xlfn.XLOOKUP(Logfile_S[[#This Row],[Material Name]],Sum_WH!E:E,Sum_WH!F:F,"",0)</f>
        <v>Pcs</v>
      </c>
      <c r="N842" s="221">
        <v>37</v>
      </c>
      <c r="O842" s="221" t="s">
        <v>84</v>
      </c>
      <c r="P842" s="221" t="s">
        <v>85</v>
      </c>
      <c r="Q842" s="221">
        <v>0</v>
      </c>
      <c r="R842" s="221">
        <v>0</v>
      </c>
      <c r="S842" s="221"/>
      <c r="T842" s="221"/>
      <c r="U842" s="221"/>
      <c r="V842" s="221"/>
      <c r="W842" s="221"/>
      <c r="X842" s="221"/>
      <c r="Y842" s="227"/>
      <c r="Z842" s="227" t="str">
        <f>P842</f>
        <v>Perumahan Bumi Podo Rukun Dau</v>
      </c>
      <c r="AA842" s="276" t="e">
        <f>VLOOKUP(Logfile_S[[#This Row],[DO number]],DO_DB!G:I,3,0)</f>
        <v>#N/A</v>
      </c>
      <c r="AB842" s="331" t="e">
        <f>EXACT(Logfile_S[[#This Row],[date pick]],Logfile_S[[#This Row],[Date]])</f>
        <v>#N/A</v>
      </c>
      <c r="AC8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43" spans="1:29" ht="14.5">
      <c r="A843" s="220" t="str">
        <f>TEXT(ROW(A843)-ROW($A$4),"000")</f>
        <v>839</v>
      </c>
      <c r="B843" s="221"/>
      <c r="C843" s="221" t="s">
        <v>48</v>
      </c>
      <c r="D843" s="221" t="s">
        <v>3688</v>
      </c>
      <c r="E843" s="221" t="s">
        <v>3295</v>
      </c>
      <c r="F843" s="221" t="s">
        <v>3299</v>
      </c>
      <c r="G843" s="222">
        <v>45154</v>
      </c>
      <c r="H843" s="223">
        <v>15.291666666666666</v>
      </c>
      <c r="I843" s="221" t="s">
        <v>38</v>
      </c>
      <c r="J843" s="221" t="s">
        <v>3024</v>
      </c>
      <c r="K843" s="224" t="s">
        <v>3098</v>
      </c>
      <c r="L843" s="225" t="str">
        <f>VLOOKUP(Logfile_S[[#This Row],[Material Name]],Sheet2!B:C,2,0)</f>
        <v>GCI1012</v>
      </c>
      <c r="M843" s="225" t="str">
        <f>_xlfn.XLOOKUP(Logfile_S[[#This Row],[Material Name]],Sum_WH!E:E,Sum_WH!F:F,"",0)</f>
        <v>Pcs</v>
      </c>
      <c r="N843" s="221">
        <v>153</v>
      </c>
      <c r="O843" s="221" t="s">
        <v>84</v>
      </c>
      <c r="P843" s="221" t="s">
        <v>85</v>
      </c>
      <c r="Q843" s="221">
        <v>0</v>
      </c>
      <c r="R843" s="221">
        <v>0</v>
      </c>
      <c r="S843" s="221"/>
      <c r="T843" s="221"/>
      <c r="U843" s="221"/>
      <c r="V843" s="221"/>
      <c r="W843" s="221"/>
      <c r="X843" s="221"/>
      <c r="Y843" s="227"/>
      <c r="Z843" s="227" t="str">
        <f>P843</f>
        <v>Perumahan Bumi Podo Rukun Dau</v>
      </c>
      <c r="AA843" s="276" t="e">
        <f>VLOOKUP(Logfile_S[[#This Row],[DO number]],DO_DB!G:I,3,0)</f>
        <v>#N/A</v>
      </c>
      <c r="AB843" s="331" t="e">
        <f>EXACT(Logfile_S[[#This Row],[date pick]],Logfile_S[[#This Row],[Date]])</f>
        <v>#N/A</v>
      </c>
      <c r="AC8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44" spans="1:29" ht="14.5">
      <c r="A844" s="220" t="str">
        <f>TEXT(ROW(A844)-ROW($A$4),"000")</f>
        <v>840</v>
      </c>
      <c r="B844" s="221"/>
      <c r="C844" s="221" t="s">
        <v>49</v>
      </c>
      <c r="D844" s="221" t="s">
        <v>3687</v>
      </c>
      <c r="E844" s="221" t="s">
        <v>3295</v>
      </c>
      <c r="F844" s="221" t="s">
        <v>3299</v>
      </c>
      <c r="G844" s="222">
        <v>45154</v>
      </c>
      <c r="H844" s="223">
        <v>15.3725</v>
      </c>
      <c r="I844" s="221" t="s">
        <v>4916</v>
      </c>
      <c r="J844" s="221" t="s">
        <v>3024</v>
      </c>
      <c r="K844" s="224" t="s">
        <v>3098</v>
      </c>
      <c r="L844" s="225" t="str">
        <f>VLOOKUP(Logfile_S[[#This Row],[Material Name]],Sheet2!B:C,2,0)</f>
        <v>GCI1012</v>
      </c>
      <c r="M844" s="225" t="str">
        <f>_xlfn.XLOOKUP(Logfile_S[[#This Row],[Material Name]],Sum_WH!E:E,Sum_WH!F:F,"",0)</f>
        <v>Pcs</v>
      </c>
      <c r="N844" s="221">
        <v>153</v>
      </c>
      <c r="O844" s="221" t="s">
        <v>84</v>
      </c>
      <c r="P844" s="221" t="s">
        <v>85</v>
      </c>
      <c r="Q844" s="221"/>
      <c r="R844" s="221"/>
      <c r="S844" s="221"/>
      <c r="T844" s="221" t="s">
        <v>3305</v>
      </c>
      <c r="U844" s="221" t="s">
        <v>3228</v>
      </c>
      <c r="V844" s="221" t="s">
        <v>3306</v>
      </c>
      <c r="W844" s="221" t="s">
        <v>3307</v>
      </c>
      <c r="X844" s="221"/>
      <c r="Y844" s="227"/>
      <c r="Z844" s="227" t="str">
        <f>P844</f>
        <v>Perumahan Bumi Podo Rukun Dau</v>
      </c>
      <c r="AA844" s="276" t="e">
        <f>VLOOKUP(Logfile_S[[#This Row],[DO number]],DO_DB!G:I,3,0)</f>
        <v>#N/A</v>
      </c>
      <c r="AB844" s="331" t="e">
        <f>EXACT(Logfile_S[[#This Row],[date pick]],Logfile_S[[#This Row],[Date]])</f>
        <v>#N/A</v>
      </c>
      <c r="AC8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45" spans="1:29" ht="14.5">
      <c r="A845" s="220" t="str">
        <f>TEXT(ROW(A845)-ROW($A$4),"000")</f>
        <v>841</v>
      </c>
      <c r="B845" s="221"/>
      <c r="C845" s="221" t="s">
        <v>49</v>
      </c>
      <c r="D845" s="221" t="s">
        <v>3687</v>
      </c>
      <c r="E845" s="221" t="s">
        <v>3295</v>
      </c>
      <c r="F845" s="221" t="s">
        <v>3299</v>
      </c>
      <c r="G845" s="222">
        <v>45154</v>
      </c>
      <c r="H845" s="223">
        <v>15.3725</v>
      </c>
      <c r="I845" s="221" t="s">
        <v>4916</v>
      </c>
      <c r="J845" s="221" t="s">
        <v>3024</v>
      </c>
      <c r="K845" s="224" t="s">
        <v>3096</v>
      </c>
      <c r="L845" s="225" t="str">
        <f>VLOOKUP(Logfile_S[[#This Row],[Material Name]],Sheet2!B:C,2,0)</f>
        <v>GCI1014</v>
      </c>
      <c r="M845" s="225" t="str">
        <f>_xlfn.XLOOKUP(Logfile_S[[#This Row],[Material Name]],Sum_WH!E:E,Sum_WH!F:F,"",0)</f>
        <v>Pcs</v>
      </c>
      <c r="N845" s="221">
        <v>60</v>
      </c>
      <c r="O845" s="221" t="s">
        <v>84</v>
      </c>
      <c r="P845" s="221" t="s">
        <v>85</v>
      </c>
      <c r="Q845" s="221"/>
      <c r="R845" s="221"/>
      <c r="S845" s="221"/>
      <c r="T845" s="221" t="s">
        <v>3305</v>
      </c>
      <c r="U845" s="221" t="s">
        <v>3228</v>
      </c>
      <c r="V845" s="221" t="s">
        <v>3306</v>
      </c>
      <c r="W845" s="221" t="s">
        <v>3307</v>
      </c>
      <c r="X845" s="221"/>
      <c r="Y845" s="227"/>
      <c r="Z845" s="227" t="str">
        <f>P845</f>
        <v>Perumahan Bumi Podo Rukun Dau</v>
      </c>
      <c r="AA845" s="276" t="e">
        <f>VLOOKUP(Logfile_S[[#This Row],[DO number]],DO_DB!G:I,3,0)</f>
        <v>#N/A</v>
      </c>
      <c r="AB845" s="331" t="e">
        <f>EXACT(Logfile_S[[#This Row],[date pick]],Logfile_S[[#This Row],[Date]])</f>
        <v>#N/A</v>
      </c>
      <c r="AC8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46" spans="1:29" ht="14.5">
      <c r="A846" s="220" t="str">
        <f>TEXT(ROW(A846)-ROW($A$4),"000")</f>
        <v>842</v>
      </c>
      <c r="B846" s="221"/>
      <c r="C846" s="221" t="s">
        <v>49</v>
      </c>
      <c r="D846" s="221" t="s">
        <v>3687</v>
      </c>
      <c r="E846" s="221" t="s">
        <v>3295</v>
      </c>
      <c r="F846" s="221" t="s">
        <v>3299</v>
      </c>
      <c r="G846" s="222">
        <v>45154</v>
      </c>
      <c r="H846" s="223">
        <v>15.3725</v>
      </c>
      <c r="I846" s="221" t="s">
        <v>4916</v>
      </c>
      <c r="J846" s="221" t="s">
        <v>3024</v>
      </c>
      <c r="K846" s="224" t="s">
        <v>5137</v>
      </c>
      <c r="L846" s="225" t="str">
        <f>VLOOKUP(Logfile_S[[#This Row],[Material Name]],Sheet2!B:C,2,0)</f>
        <v>GCI1009</v>
      </c>
      <c r="M846" s="225" t="str">
        <f>_xlfn.XLOOKUP(Logfile_S[[#This Row],[Material Name]],Sum_WH!E:E,Sum_WH!F:F,"",0)</f>
        <v>Pcs</v>
      </c>
      <c r="N846" s="221">
        <v>60</v>
      </c>
      <c r="O846" s="221" t="s">
        <v>84</v>
      </c>
      <c r="P846" s="221" t="s">
        <v>85</v>
      </c>
      <c r="Q846" s="221"/>
      <c r="R846" s="221"/>
      <c r="S846" s="221"/>
      <c r="T846" s="221" t="s">
        <v>3305</v>
      </c>
      <c r="U846" s="221" t="s">
        <v>3228</v>
      </c>
      <c r="V846" s="221" t="s">
        <v>3306</v>
      </c>
      <c r="W846" s="221" t="s">
        <v>3307</v>
      </c>
      <c r="X846" s="221"/>
      <c r="Y846" s="227"/>
      <c r="Z846" s="227" t="str">
        <f>P846</f>
        <v>Perumahan Bumi Podo Rukun Dau</v>
      </c>
      <c r="AA846" s="276" t="e">
        <f>VLOOKUP(Logfile_S[[#This Row],[DO number]],DO_DB!G:I,3,0)</f>
        <v>#N/A</v>
      </c>
      <c r="AB846" s="331" t="e">
        <f>EXACT(Logfile_S[[#This Row],[date pick]],Logfile_S[[#This Row],[Date]])</f>
        <v>#N/A</v>
      </c>
      <c r="AC8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47" spans="1:29" ht="14.5">
      <c r="A847" s="220" t="str">
        <f>TEXT(ROW(A847)-ROW($A$4),"000")</f>
        <v>843</v>
      </c>
      <c r="B847" s="221"/>
      <c r="C847" s="221" t="s">
        <v>49</v>
      </c>
      <c r="D847" s="221" t="s">
        <v>3687</v>
      </c>
      <c r="E847" s="221" t="s">
        <v>3295</v>
      </c>
      <c r="F847" s="221" t="s">
        <v>3299</v>
      </c>
      <c r="G847" s="222">
        <v>45154</v>
      </c>
      <c r="H847" s="223">
        <v>15.3725</v>
      </c>
      <c r="I847" s="221" t="s">
        <v>4916</v>
      </c>
      <c r="J847" s="221" t="s">
        <v>3024</v>
      </c>
      <c r="K847" s="224" t="s">
        <v>3099</v>
      </c>
      <c r="L847" s="225" t="str">
        <f>VLOOKUP(Logfile_S[[#This Row],[Material Name]],Sheet2!B:C,2,0)</f>
        <v>GCI1013</v>
      </c>
      <c r="M847" s="225" t="str">
        <f>_xlfn.XLOOKUP(Logfile_S[[#This Row],[Material Name]],Sum_WH!E:E,Sum_WH!F:F,"",0)</f>
        <v>Pcs</v>
      </c>
      <c r="N847" s="221">
        <v>37</v>
      </c>
      <c r="O847" s="221" t="s">
        <v>84</v>
      </c>
      <c r="P847" s="221" t="s">
        <v>85</v>
      </c>
      <c r="Q847" s="221"/>
      <c r="R847" s="221"/>
      <c r="S847" s="221"/>
      <c r="T847" s="221" t="s">
        <v>3305</v>
      </c>
      <c r="U847" s="221" t="s">
        <v>3228</v>
      </c>
      <c r="V847" s="221" t="s">
        <v>3306</v>
      </c>
      <c r="W847" s="221" t="s">
        <v>3307</v>
      </c>
      <c r="X847" s="221"/>
      <c r="Y847" s="227"/>
      <c r="Z847" s="227" t="str">
        <f>P847</f>
        <v>Perumahan Bumi Podo Rukun Dau</v>
      </c>
      <c r="AA847" s="276" t="e">
        <f>VLOOKUP(Logfile_S[[#This Row],[DO number]],DO_DB!G:I,3,0)</f>
        <v>#N/A</v>
      </c>
      <c r="AB847" s="331" t="e">
        <f>EXACT(Logfile_S[[#This Row],[date pick]],Logfile_S[[#This Row],[Date]])</f>
        <v>#N/A</v>
      </c>
      <c r="AC8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48" spans="1:29" ht="14.5">
      <c r="A848" s="220" t="str">
        <f>TEXT(ROW(A848)-ROW($A$4),"000")</f>
        <v>844</v>
      </c>
      <c r="B848" s="221"/>
      <c r="C848" s="221" t="s">
        <v>48</v>
      </c>
      <c r="D848" s="221" t="s">
        <v>3689</v>
      </c>
      <c r="E848" s="221" t="s">
        <v>3295</v>
      </c>
      <c r="F848" s="221" t="s">
        <v>3299</v>
      </c>
      <c r="G848" s="222">
        <v>45157</v>
      </c>
      <c r="H848" s="223">
        <v>15.291666666666666</v>
      </c>
      <c r="I848" s="221" t="s">
        <v>38</v>
      </c>
      <c r="J848" s="221" t="s">
        <v>3024</v>
      </c>
      <c r="K848" s="224" t="s">
        <v>3096</v>
      </c>
      <c r="L848" s="225" t="str">
        <f>VLOOKUP(Logfile_S[[#This Row],[Material Name]],Sheet2!B:C,2,0)</f>
        <v>GCI1014</v>
      </c>
      <c r="M848" s="225" t="str">
        <f>_xlfn.XLOOKUP(Logfile_S[[#This Row],[Material Name]],Sum_WH!E:E,Sum_WH!F:F,"",0)</f>
        <v>Pcs</v>
      </c>
      <c r="N848" s="221">
        <v>45</v>
      </c>
      <c r="O848" s="221" t="s">
        <v>84</v>
      </c>
      <c r="P848" s="221" t="s">
        <v>85</v>
      </c>
      <c r="Q848" s="221">
        <v>0</v>
      </c>
      <c r="R848" s="221">
        <v>0</v>
      </c>
      <c r="S848" s="221"/>
      <c r="T848" s="221"/>
      <c r="U848" s="221"/>
      <c r="V848" s="221"/>
      <c r="W848" s="221"/>
      <c r="X848" s="221"/>
      <c r="Y848" s="227"/>
      <c r="Z848" s="227" t="str">
        <f>P848</f>
        <v>Perumahan Bumi Podo Rukun Dau</v>
      </c>
      <c r="AA848" s="276" t="e">
        <f>VLOOKUP(Logfile_S[[#This Row],[DO number]],DO_DB!G:I,3,0)</f>
        <v>#N/A</v>
      </c>
      <c r="AB848" s="331" t="e">
        <f>EXACT(Logfile_S[[#This Row],[date pick]],Logfile_S[[#This Row],[Date]])</f>
        <v>#N/A</v>
      </c>
      <c r="AC8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49" spans="1:29" ht="14.5">
      <c r="A849" s="220" t="str">
        <f>TEXT(ROW(A849)-ROW($A$4),"000")</f>
        <v>845</v>
      </c>
      <c r="B849" s="221"/>
      <c r="C849" s="221" t="s">
        <v>48</v>
      </c>
      <c r="D849" s="221" t="s">
        <v>3689</v>
      </c>
      <c r="E849" s="221" t="s">
        <v>3295</v>
      </c>
      <c r="F849" s="221" t="s">
        <v>3299</v>
      </c>
      <c r="G849" s="222">
        <v>45157</v>
      </c>
      <c r="H849" s="223">
        <v>15.291666666666666</v>
      </c>
      <c r="I849" s="221" t="s">
        <v>38</v>
      </c>
      <c r="J849" s="221" t="s">
        <v>3024</v>
      </c>
      <c r="K849" s="224" t="s">
        <v>5137</v>
      </c>
      <c r="L849" s="225" t="str">
        <f>VLOOKUP(Logfile_S[[#This Row],[Material Name]],Sheet2!B:C,2,0)</f>
        <v>GCI1009</v>
      </c>
      <c r="M849" s="225" t="str">
        <f>_xlfn.XLOOKUP(Logfile_S[[#This Row],[Material Name]],Sum_WH!E:E,Sum_WH!F:F,"",0)</f>
        <v>Pcs</v>
      </c>
      <c r="N849" s="221">
        <v>45</v>
      </c>
      <c r="O849" s="221" t="s">
        <v>84</v>
      </c>
      <c r="P849" s="221" t="s">
        <v>85</v>
      </c>
      <c r="Q849" s="221">
        <v>0</v>
      </c>
      <c r="R849" s="221">
        <v>0</v>
      </c>
      <c r="S849" s="221"/>
      <c r="T849" s="221"/>
      <c r="U849" s="221"/>
      <c r="V849" s="221"/>
      <c r="W849" s="221"/>
      <c r="X849" s="221"/>
      <c r="Y849" s="227"/>
      <c r="Z849" s="227" t="str">
        <f>P849</f>
        <v>Perumahan Bumi Podo Rukun Dau</v>
      </c>
      <c r="AA849" s="276" t="e">
        <f>VLOOKUP(Logfile_S[[#This Row],[DO number]],DO_DB!G:I,3,0)</f>
        <v>#N/A</v>
      </c>
      <c r="AB849" s="331" t="e">
        <f>EXACT(Logfile_S[[#This Row],[date pick]],Logfile_S[[#This Row],[Date]])</f>
        <v>#N/A</v>
      </c>
      <c r="AC8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50" spans="1:29" ht="14.5">
      <c r="A850" s="220" t="str">
        <f>TEXT(ROW(A850)-ROW($A$4),"000")</f>
        <v>846</v>
      </c>
      <c r="B850" s="221"/>
      <c r="C850" s="221" t="s">
        <v>48</v>
      </c>
      <c r="D850" s="221" t="s">
        <v>3689</v>
      </c>
      <c r="E850" s="221" t="s">
        <v>3295</v>
      </c>
      <c r="F850" s="221" t="s">
        <v>3299</v>
      </c>
      <c r="G850" s="222">
        <v>45157</v>
      </c>
      <c r="H850" s="223">
        <v>15.291666666666666</v>
      </c>
      <c r="I850" s="221" t="s">
        <v>38</v>
      </c>
      <c r="J850" s="221" t="s">
        <v>3024</v>
      </c>
      <c r="K850" s="224" t="s">
        <v>3094</v>
      </c>
      <c r="L850" s="225" t="str">
        <f>VLOOKUP(Logfile_S[[#This Row],[Material Name]],Sheet2!B:C,2,0)</f>
        <v>GCI1008</v>
      </c>
      <c r="M850" s="225" t="str">
        <f>_xlfn.XLOOKUP(Logfile_S[[#This Row],[Material Name]],Sum_WH!E:E,Sum_WH!F:F,"",0)</f>
        <v>Pcs</v>
      </c>
      <c r="N850" s="221">
        <v>40</v>
      </c>
      <c r="O850" s="221" t="s">
        <v>84</v>
      </c>
      <c r="P850" s="221" t="s">
        <v>85</v>
      </c>
      <c r="Q850" s="221">
        <v>0</v>
      </c>
      <c r="R850" s="221">
        <v>0</v>
      </c>
      <c r="S850" s="221"/>
      <c r="T850" s="221"/>
      <c r="U850" s="221"/>
      <c r="V850" s="221"/>
      <c r="W850" s="221"/>
      <c r="X850" s="221"/>
      <c r="Y850" s="227"/>
      <c r="Z850" s="227" t="str">
        <f>P850</f>
        <v>Perumahan Bumi Podo Rukun Dau</v>
      </c>
      <c r="AA850" s="276" t="e">
        <f>VLOOKUP(Logfile_S[[#This Row],[DO number]],DO_DB!G:I,3,0)</f>
        <v>#N/A</v>
      </c>
      <c r="AB850" s="331" t="e">
        <f>EXACT(Logfile_S[[#This Row],[date pick]],Logfile_S[[#This Row],[Date]])</f>
        <v>#N/A</v>
      </c>
      <c r="AC8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51" spans="1:29" ht="14.5">
      <c r="A851" s="220" t="str">
        <f>TEXT(ROW(A851)-ROW($A$4),"000")</f>
        <v>847</v>
      </c>
      <c r="B851" s="221"/>
      <c r="C851" s="221" t="s">
        <v>49</v>
      </c>
      <c r="D851" s="221" t="s">
        <v>3690</v>
      </c>
      <c r="E851" s="221" t="s">
        <v>3295</v>
      </c>
      <c r="F851" s="221" t="s">
        <v>3299</v>
      </c>
      <c r="G851" s="222">
        <v>45158</v>
      </c>
      <c r="H851" s="223">
        <v>0.3527777777777778</v>
      </c>
      <c r="I851" s="221" t="s">
        <v>4916</v>
      </c>
      <c r="J851" s="221" t="s">
        <v>3024</v>
      </c>
      <c r="K851" s="224" t="s">
        <v>3096</v>
      </c>
      <c r="L851" s="225" t="str">
        <f>VLOOKUP(Logfile_S[[#This Row],[Material Name]],Sheet2!B:C,2,0)</f>
        <v>GCI1014</v>
      </c>
      <c r="M851" s="225" t="str">
        <f>_xlfn.XLOOKUP(Logfile_S[[#This Row],[Material Name]],Sum_WH!E:E,Sum_WH!F:F,"",0)</f>
        <v>Pcs</v>
      </c>
      <c r="N851" s="221">
        <v>45</v>
      </c>
      <c r="O851" s="221" t="s">
        <v>84</v>
      </c>
      <c r="P851" s="221" t="s">
        <v>85</v>
      </c>
      <c r="Q851" s="221"/>
      <c r="R851" s="221"/>
      <c r="S851" s="221"/>
      <c r="T851" s="221" t="s">
        <v>3339</v>
      </c>
      <c r="U851" s="221" t="s">
        <v>3228</v>
      </c>
      <c r="V851" s="221" t="s">
        <v>3340</v>
      </c>
      <c r="W851" s="221" t="s">
        <v>3341</v>
      </c>
      <c r="X851" s="221"/>
      <c r="Y851" s="227"/>
      <c r="Z851" s="227" t="str">
        <f>P851</f>
        <v>Perumahan Bumi Podo Rukun Dau</v>
      </c>
      <c r="AA851" s="276" t="e">
        <f>VLOOKUP(Logfile_S[[#This Row],[DO number]],DO_DB!G:I,3,0)</f>
        <v>#N/A</v>
      </c>
      <c r="AB851" s="331" t="e">
        <f>EXACT(Logfile_S[[#This Row],[date pick]],Logfile_S[[#This Row],[Date]])</f>
        <v>#N/A</v>
      </c>
      <c r="AC8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52" spans="1:29" ht="14.5">
      <c r="A852" s="220" t="str">
        <f>TEXT(ROW(A852)-ROW($A$4),"000")</f>
        <v>848</v>
      </c>
      <c r="B852" s="221"/>
      <c r="C852" s="221" t="s">
        <v>49</v>
      </c>
      <c r="D852" s="221" t="s">
        <v>3690</v>
      </c>
      <c r="E852" s="221" t="s">
        <v>3295</v>
      </c>
      <c r="F852" s="221" t="s">
        <v>3299</v>
      </c>
      <c r="G852" s="222">
        <v>45158</v>
      </c>
      <c r="H852" s="223">
        <v>0.3527777777777778</v>
      </c>
      <c r="I852" s="221" t="s">
        <v>4916</v>
      </c>
      <c r="J852" s="221" t="s">
        <v>3024</v>
      </c>
      <c r="K852" s="224" t="s">
        <v>5137</v>
      </c>
      <c r="L852" s="225" t="str">
        <f>VLOOKUP(Logfile_S[[#This Row],[Material Name]],Sheet2!B:C,2,0)</f>
        <v>GCI1009</v>
      </c>
      <c r="M852" s="225" t="str">
        <f>_xlfn.XLOOKUP(Logfile_S[[#This Row],[Material Name]],Sum_WH!E:E,Sum_WH!F:F,"",0)</f>
        <v>Pcs</v>
      </c>
      <c r="N852" s="221">
        <v>45</v>
      </c>
      <c r="O852" s="221" t="s">
        <v>84</v>
      </c>
      <c r="P852" s="221" t="s">
        <v>85</v>
      </c>
      <c r="Q852" s="221"/>
      <c r="R852" s="221"/>
      <c r="S852" s="221"/>
      <c r="T852" s="221" t="s">
        <v>3339</v>
      </c>
      <c r="U852" s="221" t="s">
        <v>3228</v>
      </c>
      <c r="V852" s="221" t="s">
        <v>3340</v>
      </c>
      <c r="W852" s="221" t="s">
        <v>3341</v>
      </c>
      <c r="X852" s="221"/>
      <c r="Y852" s="227"/>
      <c r="Z852" s="227" t="str">
        <f>P852</f>
        <v>Perumahan Bumi Podo Rukun Dau</v>
      </c>
      <c r="AA852" s="276" t="e">
        <f>VLOOKUP(Logfile_S[[#This Row],[DO number]],DO_DB!G:I,3,0)</f>
        <v>#N/A</v>
      </c>
      <c r="AB852" s="331" t="e">
        <f>EXACT(Logfile_S[[#This Row],[date pick]],Logfile_S[[#This Row],[Date]])</f>
        <v>#N/A</v>
      </c>
      <c r="AC8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53" spans="1:29" ht="14.5">
      <c r="A853" s="220" t="str">
        <f>TEXT(ROW(A853)-ROW($A$4),"000")</f>
        <v>849</v>
      </c>
      <c r="B853" s="221"/>
      <c r="C853" s="221" t="s">
        <v>49</v>
      </c>
      <c r="D853" s="221" t="s">
        <v>3690</v>
      </c>
      <c r="E853" s="221" t="s">
        <v>3295</v>
      </c>
      <c r="F853" s="221" t="s">
        <v>3299</v>
      </c>
      <c r="G853" s="222">
        <v>45158</v>
      </c>
      <c r="H853" s="223">
        <v>0.3527777777777778</v>
      </c>
      <c r="I853" s="221" t="s">
        <v>4916</v>
      </c>
      <c r="J853" s="221" t="s">
        <v>3024</v>
      </c>
      <c r="K853" s="224" t="s">
        <v>3094</v>
      </c>
      <c r="L853" s="225" t="str">
        <f>VLOOKUP(Logfile_S[[#This Row],[Material Name]],Sheet2!B:C,2,0)</f>
        <v>GCI1008</v>
      </c>
      <c r="M853" s="225" t="str">
        <f>_xlfn.XLOOKUP(Logfile_S[[#This Row],[Material Name]],Sum_WH!E:E,Sum_WH!F:F,"",0)</f>
        <v>Pcs</v>
      </c>
      <c r="N853" s="221">
        <v>40</v>
      </c>
      <c r="O853" s="221" t="s">
        <v>84</v>
      </c>
      <c r="P853" s="221" t="s">
        <v>85</v>
      </c>
      <c r="Q853" s="221"/>
      <c r="R853" s="221"/>
      <c r="S853" s="221"/>
      <c r="T853" s="221" t="s">
        <v>3339</v>
      </c>
      <c r="U853" s="221" t="s">
        <v>3228</v>
      </c>
      <c r="V853" s="221" t="s">
        <v>3340</v>
      </c>
      <c r="W853" s="221" t="s">
        <v>3341</v>
      </c>
      <c r="X853" s="221"/>
      <c r="Y853" s="227"/>
      <c r="Z853" s="227" t="str">
        <f>P853</f>
        <v>Perumahan Bumi Podo Rukun Dau</v>
      </c>
      <c r="AA853" s="276" t="e">
        <f>VLOOKUP(Logfile_S[[#This Row],[DO number]],DO_DB!G:I,3,0)</f>
        <v>#N/A</v>
      </c>
      <c r="AB853" s="331" t="e">
        <f>EXACT(Logfile_S[[#This Row],[date pick]],Logfile_S[[#This Row],[Date]])</f>
        <v>#N/A</v>
      </c>
      <c r="AC8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54" spans="1:29" ht="14.5">
      <c r="A854" s="220" t="str">
        <f>TEXT(ROW(A854)-ROW($A$4),"000")</f>
        <v>850</v>
      </c>
      <c r="B854" s="221"/>
      <c r="C854" s="221" t="s">
        <v>48</v>
      </c>
      <c r="D854" s="221" t="s">
        <v>3697</v>
      </c>
      <c r="E854" s="221" t="s">
        <v>3295</v>
      </c>
      <c r="F854" s="221" t="s">
        <v>3299</v>
      </c>
      <c r="G854" s="222">
        <v>45173</v>
      </c>
      <c r="H854" s="223">
        <v>15.291666666666666</v>
      </c>
      <c r="I854" s="221" t="s">
        <v>3586</v>
      </c>
      <c r="J854" s="221" t="s">
        <v>3024</v>
      </c>
      <c r="K854" s="224" t="s">
        <v>3096</v>
      </c>
      <c r="L854" s="225" t="str">
        <f>VLOOKUP(Logfile_S[[#This Row],[Material Name]],Sheet2!B:C,2,0)</f>
        <v>GCI1014</v>
      </c>
      <c r="M854" s="225" t="str">
        <f>_xlfn.XLOOKUP(Logfile_S[[#This Row],[Material Name]],Sum_WH!E:E,Sum_WH!F:F,"",0)</f>
        <v>Pcs</v>
      </c>
      <c r="N854" s="221">
        <v>82</v>
      </c>
      <c r="O854" s="221" t="s">
        <v>84</v>
      </c>
      <c r="P854" s="221" t="s">
        <v>85</v>
      </c>
      <c r="Q854" s="221">
        <v>0</v>
      </c>
      <c r="R854" s="221">
        <v>0</v>
      </c>
      <c r="S854" s="221"/>
      <c r="T854" s="221"/>
      <c r="U854" s="221"/>
      <c r="V854" s="221"/>
      <c r="W854" s="221"/>
      <c r="X854" s="221" t="s">
        <v>3342</v>
      </c>
      <c r="Y854" s="227"/>
      <c r="Z854" s="227" t="str">
        <f>P854</f>
        <v>Perumahan Bumi Podo Rukun Dau</v>
      </c>
      <c r="AA854" s="276" t="e">
        <f>VLOOKUP(Logfile_S[[#This Row],[DO number]],DO_DB!G:I,3,0)</f>
        <v>#N/A</v>
      </c>
      <c r="AB854" s="331" t="e">
        <f>EXACT(Logfile_S[[#This Row],[date pick]],Logfile_S[[#This Row],[Date]])</f>
        <v>#N/A</v>
      </c>
      <c r="AC8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55" spans="1:29" ht="14.5">
      <c r="A855" s="220" t="str">
        <f>TEXT(ROW(A855)-ROW($A$4),"000")</f>
        <v>851</v>
      </c>
      <c r="B855" s="221"/>
      <c r="C855" s="221" t="s">
        <v>48</v>
      </c>
      <c r="D855" s="221" t="s">
        <v>3697</v>
      </c>
      <c r="E855" s="221" t="s">
        <v>3295</v>
      </c>
      <c r="F855" s="221" t="s">
        <v>3299</v>
      </c>
      <c r="G855" s="222">
        <v>45173</v>
      </c>
      <c r="H855" s="223">
        <v>15.291666666666666</v>
      </c>
      <c r="I855" s="221" t="s">
        <v>3586</v>
      </c>
      <c r="J855" s="221" t="s">
        <v>3024</v>
      </c>
      <c r="K855" s="224" t="s">
        <v>3087</v>
      </c>
      <c r="L855" s="225" t="str">
        <f>VLOOKUP(Logfile_S[[#This Row],[Material Name]],Sheet2!B:C,2,0)</f>
        <v>GCI1001</v>
      </c>
      <c r="M855" s="225" t="str">
        <f>_xlfn.XLOOKUP(Logfile_S[[#This Row],[Material Name]],Sum_WH!E:E,Sum_WH!F:F,"",0)</f>
        <v>Pcs</v>
      </c>
      <c r="N855" s="221">
        <v>1</v>
      </c>
      <c r="O855" s="221" t="s">
        <v>84</v>
      </c>
      <c r="P855" s="221" t="s">
        <v>85</v>
      </c>
      <c r="Q855" s="221">
        <v>0</v>
      </c>
      <c r="R855" s="221">
        <v>0</v>
      </c>
      <c r="S855" s="221"/>
      <c r="T855" s="221"/>
      <c r="U855" s="221"/>
      <c r="V855" s="221"/>
      <c r="W855" s="221"/>
      <c r="X855" s="221" t="s">
        <v>3342</v>
      </c>
      <c r="Y855" s="227"/>
      <c r="Z855" s="227" t="str">
        <f>P855</f>
        <v>Perumahan Bumi Podo Rukun Dau</v>
      </c>
      <c r="AA855" s="276" t="e">
        <f>VLOOKUP(Logfile_S[[#This Row],[DO number]],DO_DB!G:I,3,0)</f>
        <v>#N/A</v>
      </c>
      <c r="AB855" s="331" t="e">
        <f>EXACT(Logfile_S[[#This Row],[date pick]],Logfile_S[[#This Row],[Date]])</f>
        <v>#N/A</v>
      </c>
      <c r="AC8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56" spans="1:29" ht="14.5">
      <c r="A856" s="220" t="str">
        <f>TEXT(ROW(A856)-ROW($A$4),"000")</f>
        <v>852</v>
      </c>
      <c r="B856" s="221"/>
      <c r="C856" s="221" t="s">
        <v>48</v>
      </c>
      <c r="D856" s="221" t="s">
        <v>3697</v>
      </c>
      <c r="E856" s="221" t="s">
        <v>3295</v>
      </c>
      <c r="F856" s="221" t="s">
        <v>3299</v>
      </c>
      <c r="G856" s="222">
        <v>45173</v>
      </c>
      <c r="H856" s="223">
        <v>15.291666666666666</v>
      </c>
      <c r="I856" s="221" t="s">
        <v>3586</v>
      </c>
      <c r="J856" s="221" t="s">
        <v>3024</v>
      </c>
      <c r="K856" s="224" t="s">
        <v>5137</v>
      </c>
      <c r="L856" s="225" t="str">
        <f>VLOOKUP(Logfile_S[[#This Row],[Material Name]],Sheet2!B:C,2,0)</f>
        <v>GCI1009</v>
      </c>
      <c r="M856" s="225" t="str">
        <f>_xlfn.XLOOKUP(Logfile_S[[#This Row],[Material Name]],Sum_WH!E:E,Sum_WH!F:F,"",0)</f>
        <v>Pcs</v>
      </c>
      <c r="N856" s="221">
        <v>32</v>
      </c>
      <c r="O856" s="221" t="s">
        <v>84</v>
      </c>
      <c r="P856" s="221" t="s">
        <v>85</v>
      </c>
      <c r="Q856" s="221">
        <v>0</v>
      </c>
      <c r="R856" s="221">
        <v>0</v>
      </c>
      <c r="S856" s="221"/>
      <c r="T856" s="221"/>
      <c r="U856" s="221"/>
      <c r="V856" s="221"/>
      <c r="W856" s="221"/>
      <c r="X856" s="221" t="s">
        <v>3342</v>
      </c>
      <c r="Y856" s="227"/>
      <c r="Z856" s="227" t="str">
        <f>P856</f>
        <v>Perumahan Bumi Podo Rukun Dau</v>
      </c>
      <c r="AA856" s="276" t="e">
        <f>VLOOKUP(Logfile_S[[#This Row],[DO number]],DO_DB!G:I,3,0)</f>
        <v>#N/A</v>
      </c>
      <c r="AB856" s="331" t="e">
        <f>EXACT(Logfile_S[[#This Row],[date pick]],Logfile_S[[#This Row],[Date]])</f>
        <v>#N/A</v>
      </c>
      <c r="AC8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57" spans="1:29" ht="14.5">
      <c r="A857" s="220" t="str">
        <f>TEXT(ROW(A857)-ROW($A$4),"000")</f>
        <v>853</v>
      </c>
      <c r="B857" s="221"/>
      <c r="C857" s="221" t="s">
        <v>48</v>
      </c>
      <c r="D857" s="221" t="s">
        <v>3697</v>
      </c>
      <c r="E857" s="221" t="s">
        <v>3295</v>
      </c>
      <c r="F857" s="221" t="s">
        <v>3299</v>
      </c>
      <c r="G857" s="222">
        <v>45173</v>
      </c>
      <c r="H857" s="223">
        <v>15.291666666666666</v>
      </c>
      <c r="I857" s="221" t="s">
        <v>3586</v>
      </c>
      <c r="J857" s="221" t="s">
        <v>3024</v>
      </c>
      <c r="K857" s="224" t="s">
        <v>3094</v>
      </c>
      <c r="L857" s="225" t="str">
        <f>VLOOKUP(Logfile_S[[#This Row],[Material Name]],Sheet2!B:C,2,0)</f>
        <v>GCI1008</v>
      </c>
      <c r="M857" s="225" t="str">
        <f>_xlfn.XLOOKUP(Logfile_S[[#This Row],[Material Name]],Sum_WH!E:E,Sum_WH!F:F,"",0)</f>
        <v>Pcs</v>
      </c>
      <c r="N857" s="221">
        <v>23</v>
      </c>
      <c r="O857" s="221" t="s">
        <v>84</v>
      </c>
      <c r="P857" s="221" t="s">
        <v>85</v>
      </c>
      <c r="Q857" s="221">
        <v>0</v>
      </c>
      <c r="R857" s="221">
        <v>0</v>
      </c>
      <c r="S857" s="221"/>
      <c r="T857" s="221"/>
      <c r="U857" s="221"/>
      <c r="V857" s="221"/>
      <c r="W857" s="221"/>
      <c r="X857" s="221" t="s">
        <v>3342</v>
      </c>
      <c r="Y857" s="227"/>
      <c r="Z857" s="227" t="str">
        <f>P857</f>
        <v>Perumahan Bumi Podo Rukun Dau</v>
      </c>
      <c r="AA857" s="276" t="e">
        <f>VLOOKUP(Logfile_S[[#This Row],[DO number]],DO_DB!G:I,3,0)</f>
        <v>#N/A</v>
      </c>
      <c r="AB857" s="331" t="e">
        <f>EXACT(Logfile_S[[#This Row],[date pick]],Logfile_S[[#This Row],[Date]])</f>
        <v>#N/A</v>
      </c>
      <c r="AC8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58" spans="1:29" ht="14.5">
      <c r="A858" s="220" t="str">
        <f>TEXT(ROW(A858)-ROW($A$4),"000")</f>
        <v>854</v>
      </c>
      <c r="B858" s="221"/>
      <c r="C858" s="221" t="s">
        <v>48</v>
      </c>
      <c r="D858" s="221" t="s">
        <v>3697</v>
      </c>
      <c r="E858" s="221" t="s">
        <v>3295</v>
      </c>
      <c r="F858" s="221" t="s">
        <v>3299</v>
      </c>
      <c r="G858" s="222">
        <v>45173</v>
      </c>
      <c r="H858" s="223">
        <v>15.291666666666666</v>
      </c>
      <c r="I858" s="221" t="s">
        <v>3586</v>
      </c>
      <c r="J858" s="221" t="s">
        <v>3024</v>
      </c>
      <c r="K858" s="224" t="s">
        <v>3093</v>
      </c>
      <c r="L858" s="225" t="str">
        <f>VLOOKUP(Logfile_S[[#This Row],[Material Name]],Sheet2!B:C,2,0)</f>
        <v>GCI1007</v>
      </c>
      <c r="M858" s="225" t="str">
        <f>_xlfn.XLOOKUP(Logfile_S[[#This Row],[Material Name]],Sum_WH!E:E,Sum_WH!F:F,"",0)</f>
        <v>Pcs</v>
      </c>
      <c r="N858" s="221">
        <v>14</v>
      </c>
      <c r="O858" s="221" t="s">
        <v>84</v>
      </c>
      <c r="P858" s="221" t="s">
        <v>85</v>
      </c>
      <c r="Q858" s="221">
        <v>0</v>
      </c>
      <c r="R858" s="221">
        <v>0</v>
      </c>
      <c r="S858" s="221"/>
      <c r="T858" s="221"/>
      <c r="U858" s="221"/>
      <c r="V858" s="221"/>
      <c r="W858" s="221"/>
      <c r="X858" s="221" t="s">
        <v>3342</v>
      </c>
      <c r="Y858" s="227"/>
      <c r="Z858" s="227" t="str">
        <f>P858</f>
        <v>Perumahan Bumi Podo Rukun Dau</v>
      </c>
      <c r="AA858" s="276" t="e">
        <f>VLOOKUP(Logfile_S[[#This Row],[DO number]],DO_DB!G:I,3,0)</f>
        <v>#N/A</v>
      </c>
      <c r="AB858" s="331" t="e">
        <f>EXACT(Logfile_S[[#This Row],[date pick]],Logfile_S[[#This Row],[Date]])</f>
        <v>#N/A</v>
      </c>
      <c r="AC8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59" spans="1:29" ht="14.5">
      <c r="A859" s="220" t="str">
        <f>TEXT(ROW(A859)-ROW($A$4),"000")</f>
        <v>855</v>
      </c>
      <c r="B859" s="221"/>
      <c r="C859" s="221" t="s">
        <v>48</v>
      </c>
      <c r="D859" s="221" t="s">
        <v>3697</v>
      </c>
      <c r="E859" s="221" t="s">
        <v>3295</v>
      </c>
      <c r="F859" s="221" t="s">
        <v>3299</v>
      </c>
      <c r="G859" s="222">
        <v>45173</v>
      </c>
      <c r="H859" s="223">
        <v>15.291666666666666</v>
      </c>
      <c r="I859" s="221" t="s">
        <v>3586</v>
      </c>
      <c r="J859" s="221" t="s">
        <v>3024</v>
      </c>
      <c r="K859" s="224" t="s">
        <v>3092</v>
      </c>
      <c r="L859" s="225" t="str">
        <f>VLOOKUP(Logfile_S[[#This Row],[Material Name]],Sheet2!B:C,2,0)</f>
        <v>GCI1006</v>
      </c>
      <c r="M859" s="225" t="str">
        <f>_xlfn.XLOOKUP(Logfile_S[[#This Row],[Material Name]],Sum_WH!E:E,Sum_WH!F:F,"",0)</f>
        <v>Pcs</v>
      </c>
      <c r="N859" s="221">
        <v>14</v>
      </c>
      <c r="O859" s="221" t="s">
        <v>84</v>
      </c>
      <c r="P859" s="221" t="s">
        <v>85</v>
      </c>
      <c r="Q859" s="221">
        <v>0</v>
      </c>
      <c r="R859" s="221">
        <v>0</v>
      </c>
      <c r="S859" s="221"/>
      <c r="T859" s="221"/>
      <c r="U859" s="221"/>
      <c r="V859" s="221"/>
      <c r="W859" s="221"/>
      <c r="X859" s="221" t="s">
        <v>3342</v>
      </c>
      <c r="Y859" s="227"/>
      <c r="Z859" s="227" t="str">
        <f>P859</f>
        <v>Perumahan Bumi Podo Rukun Dau</v>
      </c>
      <c r="AA859" s="276" t="e">
        <f>VLOOKUP(Logfile_S[[#This Row],[DO number]],DO_DB!G:I,3,0)</f>
        <v>#N/A</v>
      </c>
      <c r="AB859" s="331" t="e">
        <f>EXACT(Logfile_S[[#This Row],[date pick]],Logfile_S[[#This Row],[Date]])</f>
        <v>#N/A</v>
      </c>
      <c r="AC8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60" spans="1:29" ht="14.5">
      <c r="A860" s="220" t="str">
        <f>TEXT(ROW(A860)-ROW($A$4),"000")</f>
        <v>856</v>
      </c>
      <c r="B860" s="221"/>
      <c r="C860" s="221" t="s">
        <v>48</v>
      </c>
      <c r="D860" s="221" t="s">
        <v>3697</v>
      </c>
      <c r="E860" s="221" t="s">
        <v>3295</v>
      </c>
      <c r="F860" s="221" t="s">
        <v>3299</v>
      </c>
      <c r="G860" s="222">
        <v>45173</v>
      </c>
      <c r="H860" s="223">
        <v>15.291666666666666</v>
      </c>
      <c r="I860" s="221" t="s">
        <v>3586</v>
      </c>
      <c r="J860" s="221" t="s">
        <v>3024</v>
      </c>
      <c r="K860" s="224" t="s">
        <v>3090</v>
      </c>
      <c r="L860" s="225" t="str">
        <f>VLOOKUP(Logfile_S[[#This Row],[Material Name]],Sheet2!B:C,2,0)</f>
        <v>GCI1004</v>
      </c>
      <c r="M860" s="225" t="str">
        <f>_xlfn.XLOOKUP(Logfile_S[[#This Row],[Material Name]],Sum_WH!E:E,Sum_WH!F:F,"",0)</f>
        <v>Pcs</v>
      </c>
      <c r="N860" s="221">
        <v>72</v>
      </c>
      <c r="O860" s="221" t="s">
        <v>84</v>
      </c>
      <c r="P860" s="221" t="s">
        <v>85</v>
      </c>
      <c r="Q860" s="221">
        <v>0</v>
      </c>
      <c r="R860" s="221">
        <v>0</v>
      </c>
      <c r="S860" s="221"/>
      <c r="T860" s="221"/>
      <c r="U860" s="221"/>
      <c r="V860" s="221"/>
      <c r="W860" s="221"/>
      <c r="X860" s="221" t="s">
        <v>3342</v>
      </c>
      <c r="Y860" s="227"/>
      <c r="Z860" s="227" t="str">
        <f>P860</f>
        <v>Perumahan Bumi Podo Rukun Dau</v>
      </c>
      <c r="AA860" s="276" t="e">
        <f>VLOOKUP(Logfile_S[[#This Row],[DO number]],DO_DB!G:I,3,0)</f>
        <v>#N/A</v>
      </c>
      <c r="AB860" s="331" t="e">
        <f>EXACT(Logfile_S[[#This Row],[date pick]],Logfile_S[[#This Row],[Date]])</f>
        <v>#N/A</v>
      </c>
      <c r="AC8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61" spans="1:29" ht="14.5">
      <c r="A861" s="220" t="str">
        <f>TEXT(ROW(A861)-ROW($A$4),"000")</f>
        <v>857</v>
      </c>
      <c r="B861" s="221"/>
      <c r="C861" s="221" t="s">
        <v>48</v>
      </c>
      <c r="D861" s="221" t="s">
        <v>3708</v>
      </c>
      <c r="E861" s="221" t="s">
        <v>3295</v>
      </c>
      <c r="F861" s="221" t="s">
        <v>3299</v>
      </c>
      <c r="G861" s="222">
        <v>45185</v>
      </c>
      <c r="H861" s="223">
        <v>15.291666666666666</v>
      </c>
      <c r="I861" s="221" t="s">
        <v>37</v>
      </c>
      <c r="J861" s="221" t="s">
        <v>3023</v>
      </c>
      <c r="K861" s="224" t="s">
        <v>3071</v>
      </c>
      <c r="L861" s="225" t="str">
        <f>VLOOKUP(Logfile_S[[#This Row],[Material Name]],Sheet2!B:C,2,0)</f>
        <v>ZTE1003</v>
      </c>
      <c r="M861" s="225" t="str">
        <f>_xlfn.XLOOKUP(Logfile_S[[#This Row],[Material Name]],Sum_WH!E:E,Sum_WH!F:F,"",0)</f>
        <v>Pcs</v>
      </c>
      <c r="N861" s="221">
        <v>1</v>
      </c>
      <c r="O861" s="221" t="s">
        <v>84</v>
      </c>
      <c r="P861" s="221" t="s">
        <v>85</v>
      </c>
      <c r="Q861" s="221" t="s">
        <v>168</v>
      </c>
      <c r="R861" s="221" t="s">
        <v>169</v>
      </c>
      <c r="S861" s="221"/>
      <c r="T861" s="221"/>
      <c r="U861" s="221"/>
      <c r="V861" s="221"/>
      <c r="W861" s="221"/>
      <c r="X861" s="221"/>
      <c r="Y861" s="227"/>
      <c r="Z861" s="227" t="str">
        <f>P861</f>
        <v>Perumahan Bumi Podo Rukun Dau</v>
      </c>
      <c r="AA861" s="276">
        <f>VLOOKUP(Logfile_S[[#This Row],[DO number]],DO_DB!G:I,3,0)</f>
        <v>45185</v>
      </c>
      <c r="AB861" s="331" t="b">
        <f>EXACT(Logfile_S[[#This Row],[date pick]],Logfile_S[[#This Row],[Date]])</f>
        <v>1</v>
      </c>
      <c r="AC8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62" spans="1:29" ht="14.5">
      <c r="A862" s="220" t="str">
        <f>TEXT(ROW(A862)-ROW($A$4),"000")</f>
        <v>858</v>
      </c>
      <c r="B862" s="221"/>
      <c r="C862" s="221" t="s">
        <v>49</v>
      </c>
      <c r="D862" s="221" t="s">
        <v>3726</v>
      </c>
      <c r="E862" s="221" t="s">
        <v>3295</v>
      </c>
      <c r="F862" s="221" t="s">
        <v>3299</v>
      </c>
      <c r="G862" s="222">
        <v>45195</v>
      </c>
      <c r="H862" s="223">
        <v>0.38750000000000001</v>
      </c>
      <c r="I862" s="221" t="s">
        <v>4916</v>
      </c>
      <c r="J862" s="221" t="s">
        <v>3024</v>
      </c>
      <c r="K862" s="224" t="s">
        <v>3092</v>
      </c>
      <c r="L862" s="225" t="str">
        <f>VLOOKUP(Logfile_S[[#This Row],[Material Name]],Sheet2!B:C,2,0)</f>
        <v>GCI1006</v>
      </c>
      <c r="M862" s="225" t="str">
        <f>_xlfn.XLOOKUP(Logfile_S[[#This Row],[Material Name]],Sum_WH!E:E,Sum_WH!F:F,"",0)</f>
        <v>Pcs</v>
      </c>
      <c r="N862" s="221">
        <v>2</v>
      </c>
      <c r="O862" s="221" t="s">
        <v>84</v>
      </c>
      <c r="P862" s="221" t="s">
        <v>85</v>
      </c>
      <c r="Q862" s="221"/>
      <c r="R862" s="221"/>
      <c r="S862" s="221"/>
      <c r="T862" s="221" t="s">
        <v>3305</v>
      </c>
      <c r="U862" s="221">
        <v>0</v>
      </c>
      <c r="V862" s="221" t="s">
        <v>3464</v>
      </c>
      <c r="W862" s="221" t="s">
        <v>3246</v>
      </c>
      <c r="X862" s="221"/>
      <c r="Y862" s="227"/>
      <c r="Z862" s="227" t="str">
        <f>P862</f>
        <v>Perumahan Bumi Podo Rukun Dau</v>
      </c>
      <c r="AA862" s="276" t="e">
        <f>VLOOKUP(Logfile_S[[#This Row],[DO number]],DO_DB!G:I,3,0)</f>
        <v>#N/A</v>
      </c>
      <c r="AB862" s="331" t="e">
        <f>EXACT(Logfile_S[[#This Row],[date pick]],Logfile_S[[#This Row],[Date]])</f>
        <v>#N/A</v>
      </c>
      <c r="AC8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63" spans="1:29" ht="14.5">
      <c r="A863" s="220" t="str">
        <f>TEXT(ROW(A863)-ROW($A$4),"000")</f>
        <v>859</v>
      </c>
      <c r="B863" s="221"/>
      <c r="C863" s="221" t="s">
        <v>48</v>
      </c>
      <c r="D863" s="221" t="s">
        <v>3740</v>
      </c>
      <c r="E863" s="221" t="s">
        <v>3295</v>
      </c>
      <c r="F863" s="221" t="s">
        <v>3299</v>
      </c>
      <c r="G863" s="222">
        <v>45204</v>
      </c>
      <c r="H863" s="223">
        <v>15.291666666666666</v>
      </c>
      <c r="I863" s="221" t="s">
        <v>38</v>
      </c>
      <c r="J863" s="221" t="s">
        <v>3024</v>
      </c>
      <c r="K863" s="224" t="s">
        <v>3098</v>
      </c>
      <c r="L863" s="225" t="str">
        <f>VLOOKUP(Logfile_S[[#This Row],[Material Name]],Sheet2!B:C,2,0)</f>
        <v>GCI1012</v>
      </c>
      <c r="M863" s="225" t="str">
        <f>_xlfn.XLOOKUP(Logfile_S[[#This Row],[Material Name]],Sum_WH!E:E,Sum_WH!F:F,"",0)</f>
        <v>Pcs</v>
      </c>
      <c r="N863" s="221">
        <v>38</v>
      </c>
      <c r="O863" s="221" t="s">
        <v>84</v>
      </c>
      <c r="P863" s="221" t="s">
        <v>85</v>
      </c>
      <c r="Q863" s="221">
        <v>0</v>
      </c>
      <c r="R863" s="221">
        <v>0</v>
      </c>
      <c r="S863" s="221"/>
      <c r="T863" s="221"/>
      <c r="U863" s="221"/>
      <c r="V863" s="221"/>
      <c r="W863" s="221"/>
      <c r="X863" s="221" t="s">
        <v>3321</v>
      </c>
      <c r="Y863" s="227"/>
      <c r="Z863" s="227" t="str">
        <f>P863</f>
        <v>Perumahan Bumi Podo Rukun Dau</v>
      </c>
      <c r="AA863" s="276" t="e">
        <f>VLOOKUP(Logfile_S[[#This Row],[DO number]],DO_DB!G:I,3,0)</f>
        <v>#N/A</v>
      </c>
      <c r="AB863" s="331" t="e">
        <f>EXACT(Logfile_S[[#This Row],[date pick]],Logfile_S[[#This Row],[Date]])</f>
        <v>#N/A</v>
      </c>
      <c r="AC8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64" spans="1:29" ht="14.5">
      <c r="A864" s="220" t="str">
        <f>TEXT(ROW(A864)-ROW($A$4),"000")</f>
        <v>860</v>
      </c>
      <c r="B864" s="221"/>
      <c r="C864" s="221" t="s">
        <v>49</v>
      </c>
      <c r="D864" s="221" t="s">
        <v>3747</v>
      </c>
      <c r="E864" s="221" t="s">
        <v>3295</v>
      </c>
      <c r="F864" s="221" t="s">
        <v>3299</v>
      </c>
      <c r="G864" s="222">
        <v>45210</v>
      </c>
      <c r="H864" s="223">
        <v>0.89861111111111114</v>
      </c>
      <c r="I864" s="221" t="s">
        <v>4916</v>
      </c>
      <c r="J864" s="221" t="s">
        <v>3023</v>
      </c>
      <c r="K864" s="224" t="s">
        <v>3227</v>
      </c>
      <c r="L864" s="225" t="str">
        <f>VLOOKUP(Logfile_S[[#This Row],[Material Name]],Sheet2!B:C,2,0)</f>
        <v>ZTE1001</v>
      </c>
      <c r="M864" s="225" t="str">
        <f>_xlfn.XLOOKUP(Logfile_S[[#This Row],[Material Name]],Sum_WH!E:E,Sum_WH!F:F,"",0)</f>
        <v>Pcs</v>
      </c>
      <c r="N864" s="221">
        <v>1</v>
      </c>
      <c r="O864" s="221" t="s">
        <v>84</v>
      </c>
      <c r="P864" s="221" t="s">
        <v>85</v>
      </c>
      <c r="Q864" s="221"/>
      <c r="R864" s="221"/>
      <c r="S864" s="221"/>
      <c r="T864" s="221" t="s">
        <v>3329</v>
      </c>
      <c r="U864" s="221" t="s">
        <v>3228</v>
      </c>
      <c r="V864" s="221" t="s">
        <v>3330</v>
      </c>
      <c r="W864" s="221" t="s">
        <v>3331</v>
      </c>
      <c r="X864" s="221"/>
      <c r="Y864" s="227"/>
      <c r="Z864" s="227" t="str">
        <f>P864</f>
        <v>Perumahan Bumi Podo Rukun Dau</v>
      </c>
      <c r="AA864" s="276" t="e">
        <f>VLOOKUP(Logfile_S[[#This Row],[DO number]],DO_DB!G:I,3,0)</f>
        <v>#N/A</v>
      </c>
      <c r="AB864" s="331" t="e">
        <f>EXACT(Logfile_S[[#This Row],[date pick]],Logfile_S[[#This Row],[Date]])</f>
        <v>#N/A</v>
      </c>
      <c r="AC8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65" spans="1:29" ht="14.5">
      <c r="A865" s="220" t="str">
        <f>TEXT(ROW(A865)-ROW($A$4),"000")</f>
        <v>861</v>
      </c>
      <c r="B865" s="221"/>
      <c r="C865" s="221" t="s">
        <v>49</v>
      </c>
      <c r="D865" s="221" t="s">
        <v>3761</v>
      </c>
      <c r="E865" s="221" t="s">
        <v>3295</v>
      </c>
      <c r="F865" s="221" t="s">
        <v>3299</v>
      </c>
      <c r="G865" s="222">
        <v>45216</v>
      </c>
      <c r="H865" s="223">
        <v>0.59097222222222223</v>
      </c>
      <c r="I865" s="221" t="s">
        <v>4916</v>
      </c>
      <c r="J865" s="221" t="s">
        <v>3024</v>
      </c>
      <c r="K865" s="224" t="s">
        <v>3098</v>
      </c>
      <c r="L865" s="225" t="str">
        <f>VLOOKUP(Logfile_S[[#This Row],[Material Name]],Sheet2!B:C,2,0)</f>
        <v>GCI1012</v>
      </c>
      <c r="M865" s="225" t="str">
        <f>_xlfn.XLOOKUP(Logfile_S[[#This Row],[Material Name]],Sum_WH!E:E,Sum_WH!F:F,"",0)</f>
        <v>Pcs</v>
      </c>
      <c r="N865" s="221">
        <v>38</v>
      </c>
      <c r="O865" s="221" t="s">
        <v>84</v>
      </c>
      <c r="P865" s="221" t="s">
        <v>85</v>
      </c>
      <c r="Q865" s="221"/>
      <c r="R865" s="221"/>
      <c r="S865" s="221"/>
      <c r="T865" s="221" t="s">
        <v>3329</v>
      </c>
      <c r="U865" s="221" t="s">
        <v>3228</v>
      </c>
      <c r="V865" s="221" t="s">
        <v>3330</v>
      </c>
      <c r="W865" s="221" t="s">
        <v>3331</v>
      </c>
      <c r="X865" s="221"/>
      <c r="Y865" s="227"/>
      <c r="Z865" s="227" t="str">
        <f>P865</f>
        <v>Perumahan Bumi Podo Rukun Dau</v>
      </c>
      <c r="AA865" s="276" t="e">
        <f>VLOOKUP(Logfile_S[[#This Row],[DO number]],DO_DB!G:I,3,0)</f>
        <v>#N/A</v>
      </c>
      <c r="AB865" s="331" t="e">
        <f>EXACT(Logfile_S[[#This Row],[date pick]],Logfile_S[[#This Row],[Date]])</f>
        <v>#N/A</v>
      </c>
      <c r="AC8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66" spans="1:29" ht="14.5">
      <c r="A866" s="220" t="str">
        <f>TEXT(ROW(A866)-ROW($A$4),"000")</f>
        <v>862</v>
      </c>
      <c r="B866" s="221"/>
      <c r="C866" s="221" t="s">
        <v>49</v>
      </c>
      <c r="D866" s="221" t="s">
        <v>3761</v>
      </c>
      <c r="E866" s="221" t="s">
        <v>3295</v>
      </c>
      <c r="F866" s="221" t="s">
        <v>3299</v>
      </c>
      <c r="G866" s="222">
        <v>45216</v>
      </c>
      <c r="H866" s="223">
        <v>0.59097222222222223</v>
      </c>
      <c r="I866" s="221" t="s">
        <v>4916</v>
      </c>
      <c r="J866" s="221" t="s">
        <v>3023</v>
      </c>
      <c r="K866" s="224" t="s">
        <v>3071</v>
      </c>
      <c r="L866" s="225" t="str">
        <f>VLOOKUP(Logfile_S[[#This Row],[Material Name]],Sheet2!B:C,2,0)</f>
        <v>ZTE1003</v>
      </c>
      <c r="M866" s="225" t="str">
        <f>_xlfn.XLOOKUP(Logfile_S[[#This Row],[Material Name]],Sum_WH!E:E,Sum_WH!F:F,"",0)</f>
        <v>Pcs</v>
      </c>
      <c r="N866" s="221">
        <v>1</v>
      </c>
      <c r="O866" s="221" t="s">
        <v>84</v>
      </c>
      <c r="P866" s="221" t="s">
        <v>85</v>
      </c>
      <c r="Q866" s="221"/>
      <c r="R866" s="221"/>
      <c r="S866" s="221"/>
      <c r="T866" s="221" t="s">
        <v>3329</v>
      </c>
      <c r="U866" s="221" t="s">
        <v>3228</v>
      </c>
      <c r="V866" s="221" t="s">
        <v>3330</v>
      </c>
      <c r="W866" s="221" t="s">
        <v>3331</v>
      </c>
      <c r="X866" s="221" t="s">
        <v>3762</v>
      </c>
      <c r="Y866" s="227"/>
      <c r="Z866" s="227" t="str">
        <f>P866</f>
        <v>Perumahan Bumi Podo Rukun Dau</v>
      </c>
      <c r="AA866" s="276" t="e">
        <f>VLOOKUP(Logfile_S[[#This Row],[DO number]],DO_DB!G:I,3,0)</f>
        <v>#N/A</v>
      </c>
      <c r="AB866" s="331" t="e">
        <f>EXACT(Logfile_S[[#This Row],[date pick]],Logfile_S[[#This Row],[Date]])</f>
        <v>#N/A</v>
      </c>
      <c r="AC8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67" spans="1:29" ht="14.5">
      <c r="A867" s="220" t="str">
        <f>TEXT(ROW(A867)-ROW($A$4),"000")</f>
        <v>863</v>
      </c>
      <c r="B867" s="221"/>
      <c r="C867" s="221" t="s">
        <v>48</v>
      </c>
      <c r="D867" s="221" t="s">
        <v>3691</v>
      </c>
      <c r="E867" s="221" t="s">
        <v>3295</v>
      </c>
      <c r="F867" s="221" t="s">
        <v>3299</v>
      </c>
      <c r="G867" s="222">
        <v>45162</v>
      </c>
      <c r="H867" s="223">
        <v>15.291666666666666</v>
      </c>
      <c r="I867" s="221" t="s">
        <v>38</v>
      </c>
      <c r="J867" s="221" t="s">
        <v>3024</v>
      </c>
      <c r="K867" s="224" t="s">
        <v>3096</v>
      </c>
      <c r="L867" s="225" t="str">
        <f>VLOOKUP(Logfile_S[[#This Row],[Material Name]],Sheet2!B:C,2,0)</f>
        <v>GCI1014</v>
      </c>
      <c r="M867" s="225" t="str">
        <f>_xlfn.XLOOKUP(Logfile_S[[#This Row],[Material Name]],Sum_WH!E:E,Sum_WH!F:F,"",0)</f>
        <v>Pcs</v>
      </c>
      <c r="N867" s="221">
        <v>104</v>
      </c>
      <c r="O867" s="221" t="s">
        <v>150</v>
      </c>
      <c r="P867" s="221" t="s">
        <v>151</v>
      </c>
      <c r="Q867" s="221">
        <v>0</v>
      </c>
      <c r="R867" s="221">
        <v>0</v>
      </c>
      <c r="S867" s="221"/>
      <c r="T867" s="221"/>
      <c r="U867" s="221"/>
      <c r="V867" s="221"/>
      <c r="W867" s="221"/>
      <c r="X867" s="221"/>
      <c r="Y867" s="227"/>
      <c r="Z867" s="227" t="str">
        <f>P867</f>
        <v>Mulyorejo RW 04 Sukun</v>
      </c>
      <c r="AA867" s="276" t="e">
        <f>VLOOKUP(Logfile_S[[#This Row],[DO number]],DO_DB!G:I,3,0)</f>
        <v>#N/A</v>
      </c>
      <c r="AB867" s="331" t="e">
        <f>EXACT(Logfile_S[[#This Row],[date pick]],Logfile_S[[#This Row],[Date]])</f>
        <v>#N/A</v>
      </c>
      <c r="AC8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68" spans="1:29" ht="14.5">
      <c r="A868" s="220" t="str">
        <f>TEXT(ROW(A868)-ROW($A$4),"000")</f>
        <v>864</v>
      </c>
      <c r="B868" s="221"/>
      <c r="C868" s="221" t="s">
        <v>48</v>
      </c>
      <c r="D868" s="221" t="s">
        <v>3691</v>
      </c>
      <c r="E868" s="221" t="s">
        <v>3295</v>
      </c>
      <c r="F868" s="221" t="s">
        <v>3299</v>
      </c>
      <c r="G868" s="222">
        <v>45162</v>
      </c>
      <c r="H868" s="223">
        <v>15.291666666666666</v>
      </c>
      <c r="I868" s="221" t="s">
        <v>38</v>
      </c>
      <c r="J868" s="221" t="s">
        <v>3024</v>
      </c>
      <c r="K868" s="224" t="s">
        <v>3091</v>
      </c>
      <c r="L868" s="225" t="str">
        <f>VLOOKUP(Logfile_S[[#This Row],[Material Name]],Sheet2!B:C,2,0)</f>
        <v>GCI1005</v>
      </c>
      <c r="M868" s="225" t="str">
        <f>_xlfn.XLOOKUP(Logfile_S[[#This Row],[Material Name]],Sum_WH!E:E,Sum_WH!F:F,"",0)</f>
        <v>Pcs</v>
      </c>
      <c r="N868" s="221">
        <v>68</v>
      </c>
      <c r="O868" s="221" t="s">
        <v>150</v>
      </c>
      <c r="P868" s="221" t="s">
        <v>151</v>
      </c>
      <c r="Q868" s="221">
        <v>0</v>
      </c>
      <c r="R868" s="221">
        <v>0</v>
      </c>
      <c r="S868" s="221"/>
      <c r="T868" s="221"/>
      <c r="U868" s="221"/>
      <c r="V868" s="221"/>
      <c r="W868" s="221"/>
      <c r="X868" s="221"/>
      <c r="Y868" s="227"/>
      <c r="Z868" s="227" t="str">
        <f>P868</f>
        <v>Mulyorejo RW 04 Sukun</v>
      </c>
      <c r="AA868" s="276" t="e">
        <f>VLOOKUP(Logfile_S[[#This Row],[DO number]],DO_DB!G:I,3,0)</f>
        <v>#N/A</v>
      </c>
      <c r="AB868" s="331" t="e">
        <f>EXACT(Logfile_S[[#This Row],[date pick]],Logfile_S[[#This Row],[Date]])</f>
        <v>#N/A</v>
      </c>
      <c r="AC8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69" spans="1:29" ht="14.5">
      <c r="A869" s="220" t="str">
        <f>TEXT(ROW(A869)-ROW($A$4),"000")</f>
        <v>865</v>
      </c>
      <c r="B869" s="221"/>
      <c r="C869" s="221" t="s">
        <v>48</v>
      </c>
      <c r="D869" s="221" t="s">
        <v>3691</v>
      </c>
      <c r="E869" s="221" t="s">
        <v>3295</v>
      </c>
      <c r="F869" s="221" t="s">
        <v>3299</v>
      </c>
      <c r="G869" s="222">
        <v>45162</v>
      </c>
      <c r="H869" s="223">
        <v>15.291666666666666</v>
      </c>
      <c r="I869" s="221" t="s">
        <v>38</v>
      </c>
      <c r="J869" s="221" t="s">
        <v>3024</v>
      </c>
      <c r="K869" s="224" t="s">
        <v>3087</v>
      </c>
      <c r="L869" s="225" t="str">
        <f>VLOOKUP(Logfile_S[[#This Row],[Material Name]],Sheet2!B:C,2,0)</f>
        <v>GCI1001</v>
      </c>
      <c r="M869" s="225" t="str">
        <f>_xlfn.XLOOKUP(Logfile_S[[#This Row],[Material Name]],Sum_WH!E:E,Sum_WH!F:F,"",0)</f>
        <v>Pcs</v>
      </c>
      <c r="N869" s="221">
        <v>27</v>
      </c>
      <c r="O869" s="221" t="s">
        <v>150</v>
      </c>
      <c r="P869" s="221" t="s">
        <v>151</v>
      </c>
      <c r="Q869" s="221">
        <v>0</v>
      </c>
      <c r="R869" s="221">
        <v>0</v>
      </c>
      <c r="S869" s="221"/>
      <c r="T869" s="221"/>
      <c r="U869" s="221"/>
      <c r="V869" s="221"/>
      <c r="W869" s="221"/>
      <c r="X869" s="221"/>
      <c r="Y869" s="227"/>
      <c r="Z869" s="227" t="str">
        <f>P869</f>
        <v>Mulyorejo RW 04 Sukun</v>
      </c>
      <c r="AA869" s="276" t="e">
        <f>VLOOKUP(Logfile_S[[#This Row],[DO number]],DO_DB!G:I,3,0)</f>
        <v>#N/A</v>
      </c>
      <c r="AB869" s="331" t="e">
        <f>EXACT(Logfile_S[[#This Row],[date pick]],Logfile_S[[#This Row],[Date]])</f>
        <v>#N/A</v>
      </c>
      <c r="AC8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70" spans="1:29" ht="14.5">
      <c r="A870" s="220" t="str">
        <f>TEXT(ROW(A870)-ROW($A$4),"000")</f>
        <v>866</v>
      </c>
      <c r="B870" s="221"/>
      <c r="C870" s="221" t="s">
        <v>48</v>
      </c>
      <c r="D870" s="221" t="s">
        <v>3691</v>
      </c>
      <c r="E870" s="221" t="s">
        <v>3295</v>
      </c>
      <c r="F870" s="221" t="s">
        <v>3299</v>
      </c>
      <c r="G870" s="222">
        <v>45162</v>
      </c>
      <c r="H870" s="223">
        <v>15.291666666666666</v>
      </c>
      <c r="I870" s="221" t="s">
        <v>38</v>
      </c>
      <c r="J870" s="221" t="s">
        <v>3024</v>
      </c>
      <c r="K870" s="224" t="s">
        <v>5137</v>
      </c>
      <c r="L870" s="225" t="str">
        <f>VLOOKUP(Logfile_S[[#This Row],[Material Name]],Sheet2!B:C,2,0)</f>
        <v>GCI1009</v>
      </c>
      <c r="M870" s="225" t="str">
        <f>_xlfn.XLOOKUP(Logfile_S[[#This Row],[Material Name]],Sum_WH!E:E,Sum_WH!F:F,"",0)</f>
        <v>Pcs</v>
      </c>
      <c r="N870" s="221">
        <v>104</v>
      </c>
      <c r="O870" s="221" t="s">
        <v>150</v>
      </c>
      <c r="P870" s="221" t="s">
        <v>151</v>
      </c>
      <c r="Q870" s="221">
        <v>0</v>
      </c>
      <c r="R870" s="221">
        <v>0</v>
      </c>
      <c r="S870" s="221"/>
      <c r="T870" s="221"/>
      <c r="U870" s="221"/>
      <c r="V870" s="221"/>
      <c r="W870" s="221"/>
      <c r="X870" s="221"/>
      <c r="Y870" s="227"/>
      <c r="Z870" s="227" t="str">
        <f>P870</f>
        <v>Mulyorejo RW 04 Sukun</v>
      </c>
      <c r="AA870" s="276" t="e">
        <f>VLOOKUP(Logfile_S[[#This Row],[DO number]],DO_DB!G:I,3,0)</f>
        <v>#N/A</v>
      </c>
      <c r="AB870" s="331" t="e">
        <f>EXACT(Logfile_S[[#This Row],[date pick]],Logfile_S[[#This Row],[Date]])</f>
        <v>#N/A</v>
      </c>
      <c r="AC8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71" spans="1:29" ht="14.5">
      <c r="A871" s="220" t="str">
        <f>TEXT(ROW(A871)-ROW($A$4),"000")</f>
        <v>867</v>
      </c>
      <c r="B871" s="221"/>
      <c r="C871" s="221" t="s">
        <v>48</v>
      </c>
      <c r="D871" s="221" t="s">
        <v>3691</v>
      </c>
      <c r="E871" s="221" t="s">
        <v>3295</v>
      </c>
      <c r="F871" s="221" t="s">
        <v>3299</v>
      </c>
      <c r="G871" s="222">
        <v>45162</v>
      </c>
      <c r="H871" s="223">
        <v>15.291666666666666</v>
      </c>
      <c r="I871" s="221" t="s">
        <v>38</v>
      </c>
      <c r="J871" s="221" t="s">
        <v>3024</v>
      </c>
      <c r="K871" s="224" t="s">
        <v>3088</v>
      </c>
      <c r="L871" s="225" t="str">
        <f>VLOOKUP(Logfile_S[[#This Row],[Material Name]],Sheet2!B:C,2,0)</f>
        <v>GCI1002</v>
      </c>
      <c r="M871" s="225" t="str">
        <f>_xlfn.XLOOKUP(Logfile_S[[#This Row],[Material Name]],Sum_WH!E:E,Sum_WH!F:F,"",0)</f>
        <v>Pcs</v>
      </c>
      <c r="N871" s="221">
        <v>2</v>
      </c>
      <c r="O871" s="221" t="s">
        <v>150</v>
      </c>
      <c r="P871" s="221" t="s">
        <v>151</v>
      </c>
      <c r="Q871" s="221">
        <v>0</v>
      </c>
      <c r="R871" s="221">
        <v>0</v>
      </c>
      <c r="S871" s="221"/>
      <c r="T871" s="221"/>
      <c r="U871" s="221"/>
      <c r="V871" s="221"/>
      <c r="W871" s="221"/>
      <c r="X871" s="221"/>
      <c r="Y871" s="227"/>
      <c r="Z871" s="227" t="str">
        <f>P871</f>
        <v>Mulyorejo RW 04 Sukun</v>
      </c>
      <c r="AA871" s="276" t="e">
        <f>VLOOKUP(Logfile_S[[#This Row],[DO number]],DO_DB!G:I,3,0)</f>
        <v>#N/A</v>
      </c>
      <c r="AB871" s="331" t="e">
        <f>EXACT(Logfile_S[[#This Row],[date pick]],Logfile_S[[#This Row],[Date]])</f>
        <v>#N/A</v>
      </c>
      <c r="AC8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72" spans="1:29" ht="14.5">
      <c r="A872" s="220" t="str">
        <f>TEXT(ROW(A872)-ROW($A$4),"000")</f>
        <v>868</v>
      </c>
      <c r="B872" s="221"/>
      <c r="C872" s="221" t="s">
        <v>48</v>
      </c>
      <c r="D872" s="221" t="s">
        <v>3691</v>
      </c>
      <c r="E872" s="221" t="s">
        <v>3295</v>
      </c>
      <c r="F872" s="221" t="s">
        <v>3299</v>
      </c>
      <c r="G872" s="222">
        <v>45162</v>
      </c>
      <c r="H872" s="223">
        <v>15.291666666666666</v>
      </c>
      <c r="I872" s="221" t="s">
        <v>38</v>
      </c>
      <c r="J872" s="221" t="s">
        <v>3024</v>
      </c>
      <c r="K872" s="224" t="s">
        <v>3094</v>
      </c>
      <c r="L872" s="225" t="str">
        <f>VLOOKUP(Logfile_S[[#This Row],[Material Name]],Sheet2!B:C,2,0)</f>
        <v>GCI1008</v>
      </c>
      <c r="M872" s="225" t="str">
        <f>_xlfn.XLOOKUP(Logfile_S[[#This Row],[Material Name]],Sum_WH!E:E,Sum_WH!F:F,"",0)</f>
        <v>Pcs</v>
      </c>
      <c r="N872" s="221">
        <v>89</v>
      </c>
      <c r="O872" s="221" t="s">
        <v>150</v>
      </c>
      <c r="P872" s="221" t="s">
        <v>151</v>
      </c>
      <c r="Q872" s="221">
        <v>0</v>
      </c>
      <c r="R872" s="221">
        <v>0</v>
      </c>
      <c r="S872" s="221"/>
      <c r="T872" s="221"/>
      <c r="U872" s="221"/>
      <c r="V872" s="221"/>
      <c r="W872" s="221"/>
      <c r="X872" s="221"/>
      <c r="Y872" s="227"/>
      <c r="Z872" s="227" t="str">
        <f>P872</f>
        <v>Mulyorejo RW 04 Sukun</v>
      </c>
      <c r="AA872" s="276" t="e">
        <f>VLOOKUP(Logfile_S[[#This Row],[DO number]],DO_DB!G:I,3,0)</f>
        <v>#N/A</v>
      </c>
      <c r="AB872" s="331" t="e">
        <f>EXACT(Logfile_S[[#This Row],[date pick]],Logfile_S[[#This Row],[Date]])</f>
        <v>#N/A</v>
      </c>
      <c r="AC8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73" spans="1:29" ht="14.5">
      <c r="A873" s="220" t="str">
        <f>TEXT(ROW(A873)-ROW($A$4),"000")</f>
        <v>869</v>
      </c>
      <c r="B873" s="221"/>
      <c r="C873" s="221" t="s">
        <v>48</v>
      </c>
      <c r="D873" s="221" t="s">
        <v>3691</v>
      </c>
      <c r="E873" s="221" t="s">
        <v>3295</v>
      </c>
      <c r="F873" s="221" t="s">
        <v>3299</v>
      </c>
      <c r="G873" s="222">
        <v>45162</v>
      </c>
      <c r="H873" s="223">
        <v>15.291666666666666</v>
      </c>
      <c r="I873" s="221" t="s">
        <v>38</v>
      </c>
      <c r="J873" s="221" t="s">
        <v>3024</v>
      </c>
      <c r="K873" s="224" t="s">
        <v>3093</v>
      </c>
      <c r="L873" s="225" t="str">
        <f>VLOOKUP(Logfile_S[[#This Row],[Material Name]],Sheet2!B:C,2,0)</f>
        <v>GCI1007</v>
      </c>
      <c r="M873" s="225" t="str">
        <f>_xlfn.XLOOKUP(Logfile_S[[#This Row],[Material Name]],Sum_WH!E:E,Sum_WH!F:F,"",0)</f>
        <v>Pcs</v>
      </c>
      <c r="N873" s="221">
        <v>130</v>
      </c>
      <c r="O873" s="221" t="s">
        <v>150</v>
      </c>
      <c r="P873" s="221" t="s">
        <v>151</v>
      </c>
      <c r="Q873" s="221">
        <v>0</v>
      </c>
      <c r="R873" s="221">
        <v>0</v>
      </c>
      <c r="S873" s="221"/>
      <c r="T873" s="221"/>
      <c r="U873" s="221"/>
      <c r="V873" s="221"/>
      <c r="W873" s="221"/>
      <c r="X873" s="221"/>
      <c r="Y873" s="227"/>
      <c r="Z873" s="227" t="str">
        <f>P873</f>
        <v>Mulyorejo RW 04 Sukun</v>
      </c>
      <c r="AA873" s="276" t="e">
        <f>VLOOKUP(Logfile_S[[#This Row],[DO number]],DO_DB!G:I,3,0)</f>
        <v>#N/A</v>
      </c>
      <c r="AB873" s="331" t="e">
        <f>EXACT(Logfile_S[[#This Row],[date pick]],Logfile_S[[#This Row],[Date]])</f>
        <v>#N/A</v>
      </c>
      <c r="AC8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74" spans="1:29" ht="14.5">
      <c r="A874" s="220" t="str">
        <f>TEXT(ROW(A874)-ROW($A$4),"000")</f>
        <v>870</v>
      </c>
      <c r="B874" s="221"/>
      <c r="C874" s="221" t="s">
        <v>48</v>
      </c>
      <c r="D874" s="221" t="s">
        <v>3691</v>
      </c>
      <c r="E874" s="221" t="s">
        <v>3295</v>
      </c>
      <c r="F874" s="221" t="s">
        <v>3299</v>
      </c>
      <c r="G874" s="222">
        <v>45162</v>
      </c>
      <c r="H874" s="223">
        <v>15.291666666666666</v>
      </c>
      <c r="I874" s="221" t="s">
        <v>38</v>
      </c>
      <c r="J874" s="221" t="s">
        <v>3024</v>
      </c>
      <c r="K874" s="224" t="s">
        <v>3092</v>
      </c>
      <c r="L874" s="225" t="str">
        <f>VLOOKUP(Logfile_S[[#This Row],[Material Name]],Sheet2!B:C,2,0)</f>
        <v>GCI1006</v>
      </c>
      <c r="M874" s="225" t="str">
        <f>_xlfn.XLOOKUP(Logfile_S[[#This Row],[Material Name]],Sum_WH!E:E,Sum_WH!F:F,"",0)</f>
        <v>Pcs</v>
      </c>
      <c r="N874" s="221">
        <v>128</v>
      </c>
      <c r="O874" s="221" t="s">
        <v>150</v>
      </c>
      <c r="P874" s="221" t="s">
        <v>151</v>
      </c>
      <c r="Q874" s="221">
        <v>0</v>
      </c>
      <c r="R874" s="221">
        <v>0</v>
      </c>
      <c r="S874" s="221"/>
      <c r="T874" s="221"/>
      <c r="U874" s="221"/>
      <c r="V874" s="221"/>
      <c r="W874" s="221"/>
      <c r="X874" s="221"/>
      <c r="Y874" s="227"/>
      <c r="Z874" s="227" t="str">
        <f>P874</f>
        <v>Mulyorejo RW 04 Sukun</v>
      </c>
      <c r="AA874" s="276" t="e">
        <f>VLOOKUP(Logfile_S[[#This Row],[DO number]],DO_DB!G:I,3,0)</f>
        <v>#N/A</v>
      </c>
      <c r="AB874" s="331" t="e">
        <f>EXACT(Logfile_S[[#This Row],[date pick]],Logfile_S[[#This Row],[Date]])</f>
        <v>#N/A</v>
      </c>
      <c r="AC8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75" spans="1:29" ht="14.5">
      <c r="A875" s="220" t="str">
        <f>TEXT(ROW(A875)-ROW($A$4),"000")</f>
        <v>871</v>
      </c>
      <c r="B875" s="221"/>
      <c r="C875" s="221" t="s">
        <v>48</v>
      </c>
      <c r="D875" s="221" t="s">
        <v>3691</v>
      </c>
      <c r="E875" s="221" t="s">
        <v>3295</v>
      </c>
      <c r="F875" s="221" t="s">
        <v>3299</v>
      </c>
      <c r="G875" s="222">
        <v>45162</v>
      </c>
      <c r="H875" s="223">
        <v>15.291666666666666</v>
      </c>
      <c r="I875" s="221" t="s">
        <v>38</v>
      </c>
      <c r="J875" s="221" t="s">
        <v>3024</v>
      </c>
      <c r="K875" s="224" t="s">
        <v>3089</v>
      </c>
      <c r="L875" s="225" t="str">
        <f>VLOOKUP(Logfile_S[[#This Row],[Material Name]],Sheet2!B:C,2,0)</f>
        <v>GCI1003</v>
      </c>
      <c r="M875" s="225" t="str">
        <f>_xlfn.XLOOKUP(Logfile_S[[#This Row],[Material Name]],Sum_WH!E:E,Sum_WH!F:F,"",0)</f>
        <v>Pcs</v>
      </c>
      <c r="N875" s="221">
        <v>100</v>
      </c>
      <c r="O875" s="221" t="s">
        <v>150</v>
      </c>
      <c r="P875" s="221" t="s">
        <v>151</v>
      </c>
      <c r="Q875" s="221">
        <v>0</v>
      </c>
      <c r="R875" s="221">
        <v>0</v>
      </c>
      <c r="S875" s="221"/>
      <c r="T875" s="221"/>
      <c r="U875" s="221"/>
      <c r="V875" s="221"/>
      <c r="W875" s="221"/>
      <c r="X875" s="221"/>
      <c r="Y875" s="227"/>
      <c r="Z875" s="227" t="str">
        <f>P875</f>
        <v>Mulyorejo RW 04 Sukun</v>
      </c>
      <c r="AA875" s="276" t="e">
        <f>VLOOKUP(Logfile_S[[#This Row],[DO number]],DO_DB!G:I,3,0)</f>
        <v>#N/A</v>
      </c>
      <c r="AB875" s="331" t="e">
        <f>EXACT(Logfile_S[[#This Row],[date pick]],Logfile_S[[#This Row],[Date]])</f>
        <v>#N/A</v>
      </c>
      <c r="AC8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76" spans="1:29" ht="14.5">
      <c r="A876" s="220" t="str">
        <f>TEXT(ROW(A876)-ROW($A$4),"000")</f>
        <v>872</v>
      </c>
      <c r="B876" s="221"/>
      <c r="C876" s="221" t="s">
        <v>48</v>
      </c>
      <c r="D876" s="221" t="s">
        <v>3691</v>
      </c>
      <c r="E876" s="221" t="s">
        <v>3295</v>
      </c>
      <c r="F876" s="221" t="s">
        <v>3299</v>
      </c>
      <c r="G876" s="222">
        <v>45162</v>
      </c>
      <c r="H876" s="223">
        <v>15.291666666666666</v>
      </c>
      <c r="I876" s="221" t="s">
        <v>38</v>
      </c>
      <c r="J876" s="221" t="s">
        <v>3024</v>
      </c>
      <c r="K876" s="224" t="s">
        <v>3090</v>
      </c>
      <c r="L876" s="225" t="str">
        <f>VLOOKUP(Logfile_S[[#This Row],[Material Name]],Sheet2!B:C,2,0)</f>
        <v>GCI1004</v>
      </c>
      <c r="M876" s="225" t="str">
        <f>_xlfn.XLOOKUP(Logfile_S[[#This Row],[Material Name]],Sum_WH!E:E,Sum_WH!F:F,"",0)</f>
        <v>Pcs</v>
      </c>
      <c r="N876" s="221">
        <v>30</v>
      </c>
      <c r="O876" s="221" t="s">
        <v>150</v>
      </c>
      <c r="P876" s="221" t="s">
        <v>151</v>
      </c>
      <c r="Q876" s="221">
        <v>0</v>
      </c>
      <c r="R876" s="221">
        <v>0</v>
      </c>
      <c r="S876" s="221"/>
      <c r="T876" s="221"/>
      <c r="U876" s="221"/>
      <c r="V876" s="221"/>
      <c r="W876" s="221"/>
      <c r="X876" s="221"/>
      <c r="Y876" s="227"/>
      <c r="Z876" s="227" t="str">
        <f>P876</f>
        <v>Mulyorejo RW 04 Sukun</v>
      </c>
      <c r="AA876" s="276" t="e">
        <f>VLOOKUP(Logfile_S[[#This Row],[DO number]],DO_DB!G:I,3,0)</f>
        <v>#N/A</v>
      </c>
      <c r="AB876" s="331" t="e">
        <f>EXACT(Logfile_S[[#This Row],[date pick]],Logfile_S[[#This Row],[Date]])</f>
        <v>#N/A</v>
      </c>
      <c r="AC8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77" spans="1:29" ht="14.5">
      <c r="A877" s="220" t="str">
        <f>TEXT(ROW(A877)-ROW($A$4),"000")</f>
        <v>873</v>
      </c>
      <c r="B877" s="221"/>
      <c r="C877" s="221" t="s">
        <v>48</v>
      </c>
      <c r="D877" s="221" t="s">
        <v>3692</v>
      </c>
      <c r="E877" s="221" t="s">
        <v>3295</v>
      </c>
      <c r="F877" s="221" t="s">
        <v>3299</v>
      </c>
      <c r="G877" s="222">
        <v>45170</v>
      </c>
      <c r="H877" s="223">
        <v>15.291666666666666</v>
      </c>
      <c r="I877" s="221" t="s">
        <v>37</v>
      </c>
      <c r="J877" s="221" t="s">
        <v>3023</v>
      </c>
      <c r="K877" s="224" t="s">
        <v>3075</v>
      </c>
      <c r="L877" s="225" t="str">
        <f>VLOOKUP(Logfile_S[[#This Row],[Material Name]],Sheet2!B:C,2,0)</f>
        <v>ZTE2003</v>
      </c>
      <c r="M877" s="225" t="str">
        <f>_xlfn.XLOOKUP(Logfile_S[[#This Row],[Material Name]],Sum_WH!E:E,Sum_WH!F:F,"",0)</f>
        <v>Meter</v>
      </c>
      <c r="N877" s="221">
        <v>3000</v>
      </c>
      <c r="O877" s="221" t="s">
        <v>150</v>
      </c>
      <c r="P877" s="221" t="s">
        <v>151</v>
      </c>
      <c r="Q877" s="221" t="s">
        <v>154</v>
      </c>
      <c r="R877" s="221" t="s">
        <v>155</v>
      </c>
      <c r="S877" s="221"/>
      <c r="T877" s="221"/>
      <c r="U877" s="221"/>
      <c r="V877" s="221"/>
      <c r="W877" s="221"/>
      <c r="X877" s="235"/>
      <c r="Y877" s="236" t="s">
        <v>4958</v>
      </c>
      <c r="Z877" s="227" t="str">
        <f>P877</f>
        <v>Mulyorejo RW 04 Sukun</v>
      </c>
      <c r="AA877" s="276">
        <f>VLOOKUP(Logfile_S[[#This Row],[DO number]],DO_DB!G:I,3,0)</f>
        <v>45170</v>
      </c>
      <c r="AB877" s="331" t="b">
        <f>EXACT(Logfile_S[[#This Row],[date pick]],Logfile_S[[#This Row],[Date]])</f>
        <v>1</v>
      </c>
      <c r="AC8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48C-202391-01</v>
      </c>
    </row>
    <row r="878" spans="1:29" ht="14.5">
      <c r="A878" s="220" t="str">
        <f>TEXT(ROW(A878)-ROW($A$4),"000")</f>
        <v>874</v>
      </c>
      <c r="B878" s="221"/>
      <c r="C878" s="221" t="s">
        <v>48</v>
      </c>
      <c r="D878" s="221" t="s">
        <v>3692</v>
      </c>
      <c r="E878" s="221" t="s">
        <v>3295</v>
      </c>
      <c r="F878" s="221" t="s">
        <v>3299</v>
      </c>
      <c r="G878" s="222">
        <v>45170</v>
      </c>
      <c r="H878" s="223">
        <v>15.291666666666666</v>
      </c>
      <c r="I878" s="221" t="s">
        <v>37</v>
      </c>
      <c r="J878" s="221" t="s">
        <v>3023</v>
      </c>
      <c r="K878" s="224" t="s">
        <v>13</v>
      </c>
      <c r="L878" s="225" t="str">
        <f>VLOOKUP(Logfile_S[[#This Row],[Material Name]],Sheet2!B:C,2,0)</f>
        <v>ZTE2008</v>
      </c>
      <c r="M878" s="225" t="str">
        <f>_xlfn.XLOOKUP(Logfile_S[[#This Row],[Material Name]],Sum_WH!E:E,Sum_WH!F:F,"",0)</f>
        <v>Pcs</v>
      </c>
      <c r="N878" s="221">
        <v>17</v>
      </c>
      <c r="O878" s="221" t="s">
        <v>150</v>
      </c>
      <c r="P878" s="221" t="s">
        <v>151</v>
      </c>
      <c r="Q878" s="221" t="s">
        <v>152</v>
      </c>
      <c r="R878" s="221" t="s">
        <v>153</v>
      </c>
      <c r="S878" s="221"/>
      <c r="T878" s="221"/>
      <c r="U878" s="221"/>
      <c r="V878" s="221"/>
      <c r="W878" s="221"/>
      <c r="X878" s="221"/>
      <c r="Y878" s="227"/>
      <c r="Z878" s="227" t="str">
        <f>P878</f>
        <v>Mulyorejo RW 04 Sukun</v>
      </c>
      <c r="AA878" s="276">
        <f>VLOOKUP(Logfile_S[[#This Row],[DO number]],DO_DB!G:I,3,0)</f>
        <v>45170</v>
      </c>
      <c r="AB878" s="331" t="b">
        <f>EXACT(Logfile_S[[#This Row],[date pick]],Logfile_S[[#This Row],[Date]])</f>
        <v>1</v>
      </c>
      <c r="AC8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79" spans="1:29" ht="14.5">
      <c r="A879" s="220" t="str">
        <f>TEXT(ROW(A879)-ROW($A$4),"000")</f>
        <v>875</v>
      </c>
      <c r="B879" s="221"/>
      <c r="C879" s="221" t="s">
        <v>48</v>
      </c>
      <c r="D879" s="221" t="s">
        <v>3692</v>
      </c>
      <c r="E879" s="221" t="s">
        <v>3295</v>
      </c>
      <c r="F879" s="221" t="s">
        <v>3299</v>
      </c>
      <c r="G879" s="222">
        <v>45170</v>
      </c>
      <c r="H879" s="223">
        <v>15.291666666666666</v>
      </c>
      <c r="I879" s="221" t="s">
        <v>37</v>
      </c>
      <c r="J879" s="221" t="s">
        <v>3023</v>
      </c>
      <c r="K879" s="224" t="s">
        <v>14</v>
      </c>
      <c r="L879" s="225" t="str">
        <f>VLOOKUP(Logfile_S[[#This Row],[Material Name]],Sheet2!B:C,2,0)</f>
        <v>ZTE2005</v>
      </c>
      <c r="M879" s="225" t="str">
        <f>_xlfn.XLOOKUP(Logfile_S[[#This Row],[Material Name]],Sum_WH!E:E,Sum_WH!F:F,"",0)</f>
        <v>Pcs</v>
      </c>
      <c r="N879" s="221">
        <v>1</v>
      </c>
      <c r="O879" s="221" t="s">
        <v>150</v>
      </c>
      <c r="P879" s="221" t="s">
        <v>151</v>
      </c>
      <c r="Q879" s="221" t="s">
        <v>152</v>
      </c>
      <c r="R879" s="221" t="s">
        <v>153</v>
      </c>
      <c r="S879" s="221"/>
      <c r="T879" s="221"/>
      <c r="U879" s="221"/>
      <c r="V879" s="221"/>
      <c r="W879" s="221"/>
      <c r="X879" s="221"/>
      <c r="Y879" s="227"/>
      <c r="Z879" s="227" t="str">
        <f>P879</f>
        <v>Mulyorejo RW 04 Sukun</v>
      </c>
      <c r="AA879" s="276">
        <f>VLOOKUP(Logfile_S[[#This Row],[DO number]],DO_DB!G:I,3,0)</f>
        <v>45170</v>
      </c>
      <c r="AB879" s="331" t="b">
        <f>EXACT(Logfile_S[[#This Row],[date pick]],Logfile_S[[#This Row],[Date]])</f>
        <v>1</v>
      </c>
      <c r="AC8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80" spans="1:29" ht="14.5">
      <c r="A880" s="220" t="str">
        <f>TEXT(ROW(A880)-ROW($A$4),"000")</f>
        <v>876</v>
      </c>
      <c r="B880" s="221"/>
      <c r="C880" s="221" t="s">
        <v>48</v>
      </c>
      <c r="D880" s="221" t="s">
        <v>3692</v>
      </c>
      <c r="E880" s="221" t="s">
        <v>3295</v>
      </c>
      <c r="F880" s="221" t="s">
        <v>3299</v>
      </c>
      <c r="G880" s="222">
        <v>45170</v>
      </c>
      <c r="H880" s="223">
        <v>15.291666666666666</v>
      </c>
      <c r="I880" s="221" t="s">
        <v>37</v>
      </c>
      <c r="J880" s="221" t="s">
        <v>3023</v>
      </c>
      <c r="K880" s="224" t="s">
        <v>3070</v>
      </c>
      <c r="L880" s="225" t="str">
        <f>VLOOKUP(Logfile_S[[#This Row],[Material Name]],Sheet2!B:C,2,0)</f>
        <v>ZTE1002</v>
      </c>
      <c r="M880" s="225" t="str">
        <f>_xlfn.XLOOKUP(Logfile_S[[#This Row],[Material Name]],Sum_WH!E:E,Sum_WH!F:F,"",0)</f>
        <v>Pcs</v>
      </c>
      <c r="N880" s="221">
        <v>8</v>
      </c>
      <c r="O880" s="221" t="s">
        <v>150</v>
      </c>
      <c r="P880" s="221" t="s">
        <v>151</v>
      </c>
      <c r="Q880" s="221" t="s">
        <v>156</v>
      </c>
      <c r="R880" s="221" t="s">
        <v>157</v>
      </c>
      <c r="S880" s="221"/>
      <c r="T880" s="221"/>
      <c r="U880" s="221"/>
      <c r="V880" s="221"/>
      <c r="W880" s="221"/>
      <c r="X880" s="221"/>
      <c r="Y880" s="227"/>
      <c r="Z880" s="227" t="str">
        <f>P880</f>
        <v>Mulyorejo RW 04 Sukun</v>
      </c>
      <c r="AA880" s="276">
        <f>VLOOKUP(Logfile_S[[#This Row],[DO number]],DO_DB!G:I,3,0)</f>
        <v>45170</v>
      </c>
      <c r="AB880" s="331" t="b">
        <f>EXACT(Logfile_S[[#This Row],[date pick]],Logfile_S[[#This Row],[Date]])</f>
        <v>1</v>
      </c>
      <c r="AC8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81" spans="1:29" ht="14.5">
      <c r="A881" s="220" t="str">
        <f>TEXT(ROW(A881)-ROW($A$4),"000")</f>
        <v>877</v>
      </c>
      <c r="B881" s="221"/>
      <c r="C881" s="221" t="s">
        <v>48</v>
      </c>
      <c r="D881" s="221" t="s">
        <v>3692</v>
      </c>
      <c r="E881" s="221" t="s">
        <v>3295</v>
      </c>
      <c r="F881" s="221" t="s">
        <v>3299</v>
      </c>
      <c r="G881" s="222">
        <v>45170</v>
      </c>
      <c r="H881" s="223">
        <v>15.291666666666666</v>
      </c>
      <c r="I881" s="221" t="s">
        <v>37</v>
      </c>
      <c r="J881" s="221" t="s">
        <v>3023</v>
      </c>
      <c r="K881" s="224" t="s">
        <v>3069</v>
      </c>
      <c r="L881" s="225" t="str">
        <f>VLOOKUP(Logfile_S[[#This Row],[Material Name]],Sheet2!B:C,2,0)</f>
        <v>ZTE1001</v>
      </c>
      <c r="M881" s="225" t="str">
        <f>_xlfn.XLOOKUP(Logfile_S[[#This Row],[Material Name]],Sum_WH!E:E,Sum_WH!F:F,"",0)</f>
        <v>Pcs</v>
      </c>
      <c r="N881" s="221">
        <v>30</v>
      </c>
      <c r="O881" s="221" t="s">
        <v>150</v>
      </c>
      <c r="P881" s="221" t="s">
        <v>151</v>
      </c>
      <c r="Q881" s="221" t="s">
        <v>156</v>
      </c>
      <c r="R881" s="221" t="s">
        <v>157</v>
      </c>
      <c r="S881" s="221"/>
      <c r="T881" s="221"/>
      <c r="U881" s="221"/>
      <c r="V881" s="221"/>
      <c r="W881" s="221"/>
      <c r="X881" s="221"/>
      <c r="Y881" s="227"/>
      <c r="Z881" s="227" t="str">
        <f>P881</f>
        <v>Mulyorejo RW 04 Sukun</v>
      </c>
      <c r="AA881" s="276">
        <f>VLOOKUP(Logfile_S[[#This Row],[DO number]],DO_DB!G:I,3,0)</f>
        <v>45170</v>
      </c>
      <c r="AB881" s="331" t="b">
        <f>EXACT(Logfile_S[[#This Row],[date pick]],Logfile_S[[#This Row],[Date]])</f>
        <v>1</v>
      </c>
      <c r="AC8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82" spans="1:29" ht="14.5">
      <c r="A882" s="220" t="str">
        <f>TEXT(ROW(A882)-ROW($A$4),"000")</f>
        <v>878</v>
      </c>
      <c r="B882" s="221"/>
      <c r="C882" s="221" t="s">
        <v>48</v>
      </c>
      <c r="D882" s="221" t="s">
        <v>3692</v>
      </c>
      <c r="E882" s="221" t="s">
        <v>3295</v>
      </c>
      <c r="F882" s="221" t="s">
        <v>3299</v>
      </c>
      <c r="G882" s="222">
        <v>45170</v>
      </c>
      <c r="H882" s="223">
        <v>15.291666666666666</v>
      </c>
      <c r="I882" s="221" t="s">
        <v>37</v>
      </c>
      <c r="J882" s="221" t="s">
        <v>3023</v>
      </c>
      <c r="K882" s="224" t="s">
        <v>3071</v>
      </c>
      <c r="L882" s="225" t="str">
        <f>VLOOKUP(Logfile_S[[#This Row],[Material Name]],Sheet2!B:C,2,0)</f>
        <v>ZTE1003</v>
      </c>
      <c r="M882" s="225" t="str">
        <f>_xlfn.XLOOKUP(Logfile_S[[#This Row],[Material Name]],Sum_WH!E:E,Sum_WH!F:F,"",0)</f>
        <v>Pcs</v>
      </c>
      <c r="N882" s="221">
        <v>3</v>
      </c>
      <c r="O882" s="221" t="s">
        <v>150</v>
      </c>
      <c r="P882" s="221" t="s">
        <v>151</v>
      </c>
      <c r="Q882" s="221" t="s">
        <v>156</v>
      </c>
      <c r="R882" s="221" t="s">
        <v>157</v>
      </c>
      <c r="S882" s="221"/>
      <c r="T882" s="221"/>
      <c r="U882" s="221"/>
      <c r="V882" s="221"/>
      <c r="W882" s="221"/>
      <c r="X882" s="221"/>
      <c r="Y882" s="227"/>
      <c r="Z882" s="227" t="str">
        <f>P882</f>
        <v>Mulyorejo RW 04 Sukun</v>
      </c>
      <c r="AA882" s="276">
        <f>VLOOKUP(Logfile_S[[#This Row],[DO number]],DO_DB!G:I,3,0)</f>
        <v>45170</v>
      </c>
      <c r="AB882" s="331" t="b">
        <f>EXACT(Logfile_S[[#This Row],[date pick]],Logfile_S[[#This Row],[Date]])</f>
        <v>1</v>
      </c>
      <c r="AC8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83" spans="1:29" ht="14.5">
      <c r="A883" s="220" t="str">
        <f>TEXT(ROW(A883)-ROW($A$4),"000")</f>
        <v>879</v>
      </c>
      <c r="B883" s="221"/>
      <c r="C883" s="221" t="s">
        <v>49</v>
      </c>
      <c r="D883" s="221" t="s">
        <v>3693</v>
      </c>
      <c r="E883" s="221" t="s">
        <v>3295</v>
      </c>
      <c r="F883" s="221" t="s">
        <v>3299</v>
      </c>
      <c r="G883" s="222">
        <v>45171</v>
      </c>
      <c r="H883" s="223">
        <v>0.33819444444444446</v>
      </c>
      <c r="I883" s="221" t="s">
        <v>4916</v>
      </c>
      <c r="J883" s="221" t="s">
        <v>3023</v>
      </c>
      <c r="K883" s="224" t="s">
        <v>3069</v>
      </c>
      <c r="L883" s="225" t="str">
        <f>VLOOKUP(Logfile_S[[#This Row],[Material Name]],Sheet2!B:C,2,0)</f>
        <v>ZTE1001</v>
      </c>
      <c r="M883" s="225" t="str">
        <f>_xlfn.XLOOKUP(Logfile_S[[#This Row],[Material Name]],Sum_WH!E:E,Sum_WH!F:F,"",0)</f>
        <v>Pcs</v>
      </c>
      <c r="N883" s="221">
        <v>16</v>
      </c>
      <c r="O883" s="221" t="s">
        <v>150</v>
      </c>
      <c r="P883" s="221" t="s">
        <v>151</v>
      </c>
      <c r="Q883" s="221"/>
      <c r="R883" s="221"/>
      <c r="S883" s="221"/>
      <c r="T883" s="221" t="s">
        <v>3339</v>
      </c>
      <c r="U883" s="221" t="s">
        <v>3228</v>
      </c>
      <c r="V883" s="221" t="s">
        <v>3340</v>
      </c>
      <c r="W883" s="221" t="s">
        <v>3229</v>
      </c>
      <c r="X883" s="221"/>
      <c r="Y883" s="227"/>
      <c r="Z883" s="227" t="str">
        <f>P883</f>
        <v>Mulyorejo RW 04 Sukun</v>
      </c>
      <c r="AA883" s="276" t="e">
        <f>VLOOKUP(Logfile_S[[#This Row],[DO number]],DO_DB!G:I,3,0)</f>
        <v>#N/A</v>
      </c>
      <c r="AB883" s="331" t="e">
        <f>EXACT(Logfile_S[[#This Row],[date pick]],Logfile_S[[#This Row],[Date]])</f>
        <v>#N/A</v>
      </c>
      <c r="AC8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84" spans="1:29" ht="14.5">
      <c r="A884" s="220" t="str">
        <f>TEXT(ROW(A884)-ROW($A$4),"000")</f>
        <v>880</v>
      </c>
      <c r="B884" s="221"/>
      <c r="C884" s="221" t="s">
        <v>49</v>
      </c>
      <c r="D884" s="221" t="s">
        <v>3694</v>
      </c>
      <c r="E884" s="221" t="s">
        <v>3295</v>
      </c>
      <c r="F884" s="221" t="s">
        <v>3299</v>
      </c>
      <c r="G884" s="222">
        <v>45172</v>
      </c>
      <c r="H884" s="223">
        <v>0.32430555555555557</v>
      </c>
      <c r="I884" s="221" t="s">
        <v>4916</v>
      </c>
      <c r="J884" s="221" t="s">
        <v>3023</v>
      </c>
      <c r="K884" s="224" t="s">
        <v>3070</v>
      </c>
      <c r="L884" s="225" t="str">
        <f>VLOOKUP(Logfile_S[[#This Row],[Material Name]],Sheet2!B:C,2,0)</f>
        <v>ZTE1002</v>
      </c>
      <c r="M884" s="225" t="str">
        <f>_xlfn.XLOOKUP(Logfile_S[[#This Row],[Material Name]],Sum_WH!E:E,Sum_WH!F:F,"",0)</f>
        <v>Pcs</v>
      </c>
      <c r="N884" s="221">
        <v>6</v>
      </c>
      <c r="O884" s="221" t="s">
        <v>150</v>
      </c>
      <c r="P884" s="221" t="s">
        <v>151</v>
      </c>
      <c r="Q884" s="221"/>
      <c r="R884" s="221"/>
      <c r="S884" s="221"/>
      <c r="T884" s="221" t="s">
        <v>3309</v>
      </c>
      <c r="U884" s="221" t="s">
        <v>3228</v>
      </c>
      <c r="V884" s="221" t="s">
        <v>3340</v>
      </c>
      <c r="W884" s="221" t="s">
        <v>3229</v>
      </c>
      <c r="X884" s="221"/>
      <c r="Y884" s="227"/>
      <c r="Z884" s="227" t="str">
        <f>P884</f>
        <v>Mulyorejo RW 04 Sukun</v>
      </c>
      <c r="AA884" s="276" t="e">
        <f>VLOOKUP(Logfile_S[[#This Row],[DO number]],DO_DB!G:I,3,0)</f>
        <v>#N/A</v>
      </c>
      <c r="AB884" s="331" t="e">
        <f>EXACT(Logfile_S[[#This Row],[date pick]],Logfile_S[[#This Row],[Date]])</f>
        <v>#N/A</v>
      </c>
      <c r="AC8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85" spans="1:29" ht="14.5">
      <c r="A885" s="220" t="str">
        <f>TEXT(ROW(A885)-ROW($A$4),"000")</f>
        <v>881</v>
      </c>
      <c r="B885" s="221"/>
      <c r="C885" s="221" t="s">
        <v>49</v>
      </c>
      <c r="D885" s="221" t="s">
        <v>3694</v>
      </c>
      <c r="E885" s="221" t="s">
        <v>3295</v>
      </c>
      <c r="F885" s="221" t="s">
        <v>3299</v>
      </c>
      <c r="G885" s="222">
        <v>45172</v>
      </c>
      <c r="H885" s="223">
        <v>0.32430555555555557</v>
      </c>
      <c r="I885" s="221" t="s">
        <v>4916</v>
      </c>
      <c r="J885" s="221" t="s">
        <v>3023</v>
      </c>
      <c r="K885" s="224" t="s">
        <v>3069</v>
      </c>
      <c r="L885" s="225" t="str">
        <f>VLOOKUP(Logfile_S[[#This Row],[Material Name]],Sheet2!B:C,2,0)</f>
        <v>ZTE1001</v>
      </c>
      <c r="M885" s="225" t="str">
        <f>_xlfn.XLOOKUP(Logfile_S[[#This Row],[Material Name]],Sum_WH!E:E,Sum_WH!F:F,"",0)</f>
        <v>Pcs</v>
      </c>
      <c r="N885" s="221">
        <v>12</v>
      </c>
      <c r="O885" s="221" t="s">
        <v>150</v>
      </c>
      <c r="P885" s="221" t="s">
        <v>151</v>
      </c>
      <c r="Q885" s="221"/>
      <c r="R885" s="221"/>
      <c r="S885" s="221"/>
      <c r="T885" s="221" t="s">
        <v>3309</v>
      </c>
      <c r="U885" s="221" t="s">
        <v>3228</v>
      </c>
      <c r="V885" s="221" t="s">
        <v>3340</v>
      </c>
      <c r="W885" s="221" t="s">
        <v>3229</v>
      </c>
      <c r="X885" s="221"/>
      <c r="Y885" s="227"/>
      <c r="Z885" s="227" t="str">
        <f>P885</f>
        <v>Mulyorejo RW 04 Sukun</v>
      </c>
      <c r="AA885" s="276" t="e">
        <f>VLOOKUP(Logfile_S[[#This Row],[DO number]],DO_DB!G:I,3,0)</f>
        <v>#N/A</v>
      </c>
      <c r="AB885" s="331" t="e">
        <f>EXACT(Logfile_S[[#This Row],[date pick]],Logfile_S[[#This Row],[Date]])</f>
        <v>#N/A</v>
      </c>
      <c r="AC8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86" spans="1:29" ht="14.5">
      <c r="A886" s="220" t="str">
        <f>TEXT(ROW(A886)-ROW($A$4),"000")</f>
        <v>882</v>
      </c>
      <c r="B886" s="221"/>
      <c r="C886" s="221" t="s">
        <v>49</v>
      </c>
      <c r="D886" s="221" t="s">
        <v>3696</v>
      </c>
      <c r="E886" s="221" t="s">
        <v>3295</v>
      </c>
      <c r="F886" s="221" t="s">
        <v>3299</v>
      </c>
      <c r="G886" s="222">
        <v>45173</v>
      </c>
      <c r="H886" s="223">
        <v>0.69236111111111109</v>
      </c>
      <c r="I886" s="221" t="s">
        <v>4916</v>
      </c>
      <c r="J886" s="221" t="s">
        <v>3023</v>
      </c>
      <c r="K886" s="224" t="s">
        <v>3075</v>
      </c>
      <c r="L886" s="225" t="str">
        <f>VLOOKUP(Logfile_S[[#This Row],[Material Name]],Sheet2!B:C,2,0)</f>
        <v>ZTE2003</v>
      </c>
      <c r="M886" s="225" t="str">
        <f>_xlfn.XLOOKUP(Logfile_S[[#This Row],[Material Name]],Sum_WH!E:E,Sum_WH!F:F,"",0)</f>
        <v>Meter</v>
      </c>
      <c r="N886" s="221">
        <v>3000</v>
      </c>
      <c r="O886" s="221" t="s">
        <v>150</v>
      </c>
      <c r="P886" s="221" t="s">
        <v>151</v>
      </c>
      <c r="Q886" s="221"/>
      <c r="R886" s="221"/>
      <c r="S886" s="221"/>
      <c r="T886" s="221" t="s">
        <v>3309</v>
      </c>
      <c r="U886" s="221" t="s">
        <v>3228</v>
      </c>
      <c r="V886" s="221" t="s">
        <v>3310</v>
      </c>
      <c r="W886" s="221" t="s">
        <v>3311</v>
      </c>
      <c r="X886" s="235" t="s">
        <v>3521</v>
      </c>
      <c r="Y886" s="236" t="s">
        <v>4958</v>
      </c>
      <c r="Z886" s="227" t="str">
        <f>P886</f>
        <v>Mulyorejo RW 04 Sukun</v>
      </c>
      <c r="AA886" s="276" t="e">
        <f>VLOOKUP(Logfile_S[[#This Row],[DO number]],DO_DB!G:I,3,0)</f>
        <v>#N/A</v>
      </c>
      <c r="AB886" s="331" t="e">
        <f>EXACT(Logfile_S[[#This Row],[date pick]],Logfile_S[[#This Row],[Date]])</f>
        <v>#N/A</v>
      </c>
      <c r="AC8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48C-202391-01</v>
      </c>
    </row>
    <row r="887" spans="1:29" ht="14.5">
      <c r="A887" s="220" t="str">
        <f>TEXT(ROW(A887)-ROW($A$4),"000")</f>
        <v>883</v>
      </c>
      <c r="B887" s="221"/>
      <c r="C887" s="221" t="s">
        <v>49</v>
      </c>
      <c r="D887" s="221" t="s">
        <v>3696</v>
      </c>
      <c r="E887" s="221" t="s">
        <v>3295</v>
      </c>
      <c r="F887" s="221" t="s">
        <v>3299</v>
      </c>
      <c r="G887" s="222">
        <v>45173</v>
      </c>
      <c r="H887" s="223">
        <v>0.69236111111111109</v>
      </c>
      <c r="I887" s="221" t="s">
        <v>4916</v>
      </c>
      <c r="J887" s="221" t="s">
        <v>3024</v>
      </c>
      <c r="K887" s="224" t="s">
        <v>5137</v>
      </c>
      <c r="L887" s="225" t="str">
        <f>VLOOKUP(Logfile_S[[#This Row],[Material Name]],Sheet2!B:C,2,0)</f>
        <v>GCI1009</v>
      </c>
      <c r="M887" s="225" t="str">
        <f>_xlfn.XLOOKUP(Logfile_S[[#This Row],[Material Name]],Sum_WH!E:E,Sum_WH!F:F,"",0)</f>
        <v>Pcs</v>
      </c>
      <c r="N887" s="221">
        <v>32</v>
      </c>
      <c r="O887" s="221" t="s">
        <v>150</v>
      </c>
      <c r="P887" s="221" t="s">
        <v>151</v>
      </c>
      <c r="Q887" s="221"/>
      <c r="R887" s="221"/>
      <c r="S887" s="221"/>
      <c r="T887" s="221" t="s">
        <v>3309</v>
      </c>
      <c r="U887" s="221" t="s">
        <v>3228</v>
      </c>
      <c r="V887" s="221" t="s">
        <v>3310</v>
      </c>
      <c r="W887" s="221" t="s">
        <v>3311</v>
      </c>
      <c r="X887" s="221"/>
      <c r="Y887" s="227"/>
      <c r="Z887" s="227" t="str">
        <f>P887</f>
        <v>Mulyorejo RW 04 Sukun</v>
      </c>
      <c r="AA887" s="276" t="e">
        <f>VLOOKUP(Logfile_S[[#This Row],[DO number]],DO_DB!G:I,3,0)</f>
        <v>#N/A</v>
      </c>
      <c r="AB887" s="331" t="e">
        <f>EXACT(Logfile_S[[#This Row],[date pick]],Logfile_S[[#This Row],[Date]])</f>
        <v>#N/A</v>
      </c>
      <c r="AC8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88" spans="1:29" ht="14.5">
      <c r="A888" s="220" t="str">
        <f>TEXT(ROW(A888)-ROW($A$4),"000")</f>
        <v>884</v>
      </c>
      <c r="B888" s="221"/>
      <c r="C888" s="221" t="s">
        <v>49</v>
      </c>
      <c r="D888" s="221" t="s">
        <v>3696</v>
      </c>
      <c r="E888" s="221" t="s">
        <v>3295</v>
      </c>
      <c r="F888" s="221" t="s">
        <v>3299</v>
      </c>
      <c r="G888" s="222">
        <v>45173</v>
      </c>
      <c r="H888" s="223">
        <v>0.69236111111111109</v>
      </c>
      <c r="I888" s="221" t="s">
        <v>4916</v>
      </c>
      <c r="J888" s="221" t="s">
        <v>3024</v>
      </c>
      <c r="K888" s="224" t="s">
        <v>3088</v>
      </c>
      <c r="L888" s="225" t="str">
        <f>VLOOKUP(Logfile_S[[#This Row],[Material Name]],Sheet2!B:C,2,0)</f>
        <v>GCI1002</v>
      </c>
      <c r="M888" s="225" t="str">
        <f>_xlfn.XLOOKUP(Logfile_S[[#This Row],[Material Name]],Sum_WH!E:E,Sum_WH!F:F,"",0)</f>
        <v>Pcs</v>
      </c>
      <c r="N888" s="221">
        <v>1</v>
      </c>
      <c r="O888" s="221" t="s">
        <v>150</v>
      </c>
      <c r="P888" s="221" t="s">
        <v>151</v>
      </c>
      <c r="Q888" s="221"/>
      <c r="R888" s="221"/>
      <c r="S888" s="221"/>
      <c r="T888" s="221" t="s">
        <v>3309</v>
      </c>
      <c r="U888" s="221" t="s">
        <v>3228</v>
      </c>
      <c r="V888" s="221" t="s">
        <v>3310</v>
      </c>
      <c r="W888" s="221" t="s">
        <v>3311</v>
      </c>
      <c r="X888" s="221"/>
      <c r="Y888" s="227"/>
      <c r="Z888" s="227" t="str">
        <f>P888</f>
        <v>Mulyorejo RW 04 Sukun</v>
      </c>
      <c r="AA888" s="276" t="e">
        <f>VLOOKUP(Logfile_S[[#This Row],[DO number]],DO_DB!G:I,3,0)</f>
        <v>#N/A</v>
      </c>
      <c r="AB888" s="331" t="e">
        <f>EXACT(Logfile_S[[#This Row],[date pick]],Logfile_S[[#This Row],[Date]])</f>
        <v>#N/A</v>
      </c>
      <c r="AC8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89" spans="1:29" ht="14.5">
      <c r="A889" s="220" t="str">
        <f>TEXT(ROW(A889)-ROW($A$4),"000")</f>
        <v>885</v>
      </c>
      <c r="B889" s="221"/>
      <c r="C889" s="221" t="s">
        <v>48</v>
      </c>
      <c r="D889" s="221" t="s">
        <v>3697</v>
      </c>
      <c r="E889" s="221" t="s">
        <v>3295</v>
      </c>
      <c r="F889" s="221" t="s">
        <v>3299</v>
      </c>
      <c r="G889" s="222">
        <v>45173</v>
      </c>
      <c r="H889" s="223">
        <v>15.291666666666666</v>
      </c>
      <c r="I889" s="221" t="s">
        <v>3586</v>
      </c>
      <c r="J889" s="221" t="s">
        <v>3023</v>
      </c>
      <c r="K889" s="224" t="s">
        <v>3070</v>
      </c>
      <c r="L889" s="225" t="str">
        <f>VLOOKUP(Logfile_S[[#This Row],[Material Name]],Sheet2!B:C,2,0)</f>
        <v>ZTE1002</v>
      </c>
      <c r="M889" s="225" t="str">
        <f>_xlfn.XLOOKUP(Logfile_S[[#This Row],[Material Name]],Sum_WH!E:E,Sum_WH!F:F,"",0)</f>
        <v>Pcs</v>
      </c>
      <c r="N889" s="221">
        <v>2</v>
      </c>
      <c r="O889" s="221" t="s">
        <v>150</v>
      </c>
      <c r="P889" s="221" t="s">
        <v>151</v>
      </c>
      <c r="Q889" s="221">
        <v>0</v>
      </c>
      <c r="R889" s="221">
        <v>0</v>
      </c>
      <c r="S889" s="221"/>
      <c r="T889" s="221"/>
      <c r="U889" s="221"/>
      <c r="V889" s="221"/>
      <c r="W889" s="221"/>
      <c r="X889" s="221"/>
      <c r="Y889" s="227"/>
      <c r="Z889" s="227" t="str">
        <f>P889</f>
        <v>Mulyorejo RW 04 Sukun</v>
      </c>
      <c r="AA889" s="276" t="e">
        <f>VLOOKUP(Logfile_S[[#This Row],[DO number]],DO_DB!G:I,3,0)</f>
        <v>#N/A</v>
      </c>
      <c r="AB889" s="331" t="e">
        <f>EXACT(Logfile_S[[#This Row],[date pick]],Logfile_S[[#This Row],[Date]])</f>
        <v>#N/A</v>
      </c>
      <c r="AC8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90" spans="1:29" ht="14.5">
      <c r="A890" s="220" t="str">
        <f>TEXT(ROW(A890)-ROW($A$4),"000")</f>
        <v>886</v>
      </c>
      <c r="B890" s="221"/>
      <c r="C890" s="221" t="s">
        <v>49</v>
      </c>
      <c r="D890" s="221" t="s">
        <v>3695</v>
      </c>
      <c r="E890" s="221" t="s">
        <v>3295</v>
      </c>
      <c r="F890" s="221" t="s">
        <v>3299</v>
      </c>
      <c r="G890" s="222">
        <v>45173</v>
      </c>
      <c r="H890" s="223">
        <v>0.31805555555555554</v>
      </c>
      <c r="I890" s="221" t="s">
        <v>4916</v>
      </c>
      <c r="J890" s="221" t="s">
        <v>3023</v>
      </c>
      <c r="K890" s="224" t="s">
        <v>3070</v>
      </c>
      <c r="L890" s="225" t="str">
        <f>VLOOKUP(Logfile_S[[#This Row],[Material Name]],Sheet2!B:C,2,0)</f>
        <v>ZTE1002</v>
      </c>
      <c r="M890" s="225" t="str">
        <f>_xlfn.XLOOKUP(Logfile_S[[#This Row],[Material Name]],Sum_WH!E:E,Sum_WH!F:F,"",0)</f>
        <v>Pcs</v>
      </c>
      <c r="N890" s="221">
        <v>2</v>
      </c>
      <c r="O890" s="221" t="s">
        <v>150</v>
      </c>
      <c r="P890" s="221" t="s">
        <v>151</v>
      </c>
      <c r="Q890" s="221"/>
      <c r="R890" s="221"/>
      <c r="S890" s="221"/>
      <c r="T890" s="221" t="s">
        <v>3309</v>
      </c>
      <c r="U890" s="221" t="s">
        <v>3228</v>
      </c>
      <c r="V890" s="221" t="s">
        <v>3310</v>
      </c>
      <c r="W890" s="221" t="s">
        <v>3311</v>
      </c>
      <c r="X890" s="221"/>
      <c r="Y890" s="227"/>
      <c r="Z890" s="227" t="str">
        <f>P890</f>
        <v>Mulyorejo RW 04 Sukun</v>
      </c>
      <c r="AA890" s="276" t="e">
        <f>VLOOKUP(Logfile_S[[#This Row],[DO number]],DO_DB!G:I,3,0)</f>
        <v>#N/A</v>
      </c>
      <c r="AB890" s="331" t="e">
        <f>EXACT(Logfile_S[[#This Row],[date pick]],Logfile_S[[#This Row],[Date]])</f>
        <v>#N/A</v>
      </c>
      <c r="AC8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91" spans="1:29" ht="14.5">
      <c r="A891" s="220" t="str">
        <f>TEXT(ROW(A891)-ROW($A$4),"000")</f>
        <v>887</v>
      </c>
      <c r="B891" s="221"/>
      <c r="C891" s="221" t="s">
        <v>49</v>
      </c>
      <c r="D891" s="221" t="s">
        <v>3695</v>
      </c>
      <c r="E891" s="221" t="s">
        <v>3295</v>
      </c>
      <c r="F891" s="221" t="s">
        <v>3299</v>
      </c>
      <c r="G891" s="222">
        <v>45173</v>
      </c>
      <c r="H891" s="223">
        <v>0.31805555555555554</v>
      </c>
      <c r="I891" s="221" t="s">
        <v>4916</v>
      </c>
      <c r="J891" s="221" t="s">
        <v>3023</v>
      </c>
      <c r="K891" s="224" t="s">
        <v>3069</v>
      </c>
      <c r="L891" s="225" t="str">
        <f>VLOOKUP(Logfile_S[[#This Row],[Material Name]],Sheet2!B:C,2,0)</f>
        <v>ZTE1001</v>
      </c>
      <c r="M891" s="225" t="str">
        <f>_xlfn.XLOOKUP(Logfile_S[[#This Row],[Material Name]],Sum_WH!E:E,Sum_WH!F:F,"",0)</f>
        <v>Pcs</v>
      </c>
      <c r="N891" s="221">
        <v>2</v>
      </c>
      <c r="O891" s="221" t="s">
        <v>150</v>
      </c>
      <c r="P891" s="221" t="s">
        <v>151</v>
      </c>
      <c r="Q891" s="221"/>
      <c r="R891" s="221"/>
      <c r="S891" s="221"/>
      <c r="T891" s="221" t="s">
        <v>3309</v>
      </c>
      <c r="U891" s="221" t="s">
        <v>3228</v>
      </c>
      <c r="V891" s="221" t="s">
        <v>3310</v>
      </c>
      <c r="W891" s="221" t="s">
        <v>3311</v>
      </c>
      <c r="X891" s="221"/>
      <c r="Y891" s="227"/>
      <c r="Z891" s="227" t="str">
        <f>P891</f>
        <v>Mulyorejo RW 04 Sukun</v>
      </c>
      <c r="AA891" s="276" t="e">
        <f>VLOOKUP(Logfile_S[[#This Row],[DO number]],DO_DB!G:I,3,0)</f>
        <v>#N/A</v>
      </c>
      <c r="AB891" s="331" t="e">
        <f>EXACT(Logfile_S[[#This Row],[date pick]],Logfile_S[[#This Row],[Date]])</f>
        <v>#N/A</v>
      </c>
      <c r="AC8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92" spans="1:29" ht="14.5">
      <c r="A892" s="220" t="str">
        <f>TEXT(ROW(A892)-ROW($A$4),"000")</f>
        <v>888</v>
      </c>
      <c r="B892" s="221"/>
      <c r="C892" s="221" t="s">
        <v>49</v>
      </c>
      <c r="D892" s="221" t="s">
        <v>3695</v>
      </c>
      <c r="E892" s="221" t="s">
        <v>3295</v>
      </c>
      <c r="F892" s="221" t="s">
        <v>3299</v>
      </c>
      <c r="G892" s="222">
        <v>45173</v>
      </c>
      <c r="H892" s="223">
        <v>0.31805555555555554</v>
      </c>
      <c r="I892" s="221" t="s">
        <v>4916</v>
      </c>
      <c r="J892" s="221" t="s">
        <v>3023</v>
      </c>
      <c r="K892" s="224" t="s">
        <v>3071</v>
      </c>
      <c r="L892" s="225" t="str">
        <f>VLOOKUP(Logfile_S[[#This Row],[Material Name]],Sheet2!B:C,2,0)</f>
        <v>ZTE1003</v>
      </c>
      <c r="M892" s="225" t="str">
        <f>_xlfn.XLOOKUP(Logfile_S[[#This Row],[Material Name]],Sum_WH!E:E,Sum_WH!F:F,"",0)</f>
        <v>Pcs</v>
      </c>
      <c r="N892" s="221">
        <v>3</v>
      </c>
      <c r="O892" s="221" t="s">
        <v>150</v>
      </c>
      <c r="P892" s="221" t="s">
        <v>151</v>
      </c>
      <c r="Q892" s="221"/>
      <c r="R892" s="221"/>
      <c r="S892" s="221"/>
      <c r="T892" s="221" t="s">
        <v>3309</v>
      </c>
      <c r="U892" s="221" t="s">
        <v>3228</v>
      </c>
      <c r="V892" s="221" t="s">
        <v>3310</v>
      </c>
      <c r="W892" s="221" t="s">
        <v>3311</v>
      </c>
      <c r="X892" s="221"/>
      <c r="Y892" s="227"/>
      <c r="Z892" s="227" t="str">
        <f>P892</f>
        <v>Mulyorejo RW 04 Sukun</v>
      </c>
      <c r="AA892" s="276" t="e">
        <f>VLOOKUP(Logfile_S[[#This Row],[DO number]],DO_DB!G:I,3,0)</f>
        <v>#N/A</v>
      </c>
      <c r="AB892" s="331" t="e">
        <f>EXACT(Logfile_S[[#This Row],[date pick]],Logfile_S[[#This Row],[Date]])</f>
        <v>#N/A</v>
      </c>
      <c r="AC8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93" spans="1:29" ht="14.5">
      <c r="A893" s="220" t="str">
        <f>TEXT(ROW(A893)-ROW($A$4),"000")</f>
        <v>889</v>
      </c>
      <c r="B893" s="221"/>
      <c r="C893" s="221" t="s">
        <v>49</v>
      </c>
      <c r="D893" s="221" t="s">
        <v>3696</v>
      </c>
      <c r="E893" s="221" t="s">
        <v>3295</v>
      </c>
      <c r="F893" s="221" t="s">
        <v>3299</v>
      </c>
      <c r="G893" s="222">
        <v>45173</v>
      </c>
      <c r="H893" s="223">
        <v>0.69236111111111109</v>
      </c>
      <c r="I893" s="221" t="s">
        <v>4916</v>
      </c>
      <c r="J893" s="221" t="s">
        <v>3024</v>
      </c>
      <c r="K893" s="224" t="s">
        <v>3094</v>
      </c>
      <c r="L893" s="225" t="str">
        <f>VLOOKUP(Logfile_S[[#This Row],[Material Name]],Sheet2!B:C,2,0)</f>
        <v>GCI1008</v>
      </c>
      <c r="M893" s="225" t="str">
        <f>_xlfn.XLOOKUP(Logfile_S[[#This Row],[Material Name]],Sum_WH!E:E,Sum_WH!F:F,"",0)</f>
        <v>Pcs</v>
      </c>
      <c r="N893" s="221">
        <v>20</v>
      </c>
      <c r="O893" s="221" t="s">
        <v>150</v>
      </c>
      <c r="P893" s="221" t="s">
        <v>151</v>
      </c>
      <c r="Q893" s="221"/>
      <c r="R893" s="221"/>
      <c r="S893" s="221"/>
      <c r="T893" s="221" t="s">
        <v>3309</v>
      </c>
      <c r="U893" s="221" t="s">
        <v>3228</v>
      </c>
      <c r="V893" s="221" t="s">
        <v>3310</v>
      </c>
      <c r="W893" s="221" t="s">
        <v>3311</v>
      </c>
      <c r="X893" s="221"/>
      <c r="Y893" s="227"/>
      <c r="Z893" s="227" t="str">
        <f>P893</f>
        <v>Mulyorejo RW 04 Sukun</v>
      </c>
      <c r="AA893" s="276" t="e">
        <f>VLOOKUP(Logfile_S[[#This Row],[DO number]],DO_DB!G:I,3,0)</f>
        <v>#N/A</v>
      </c>
      <c r="AB893" s="331" t="e">
        <f>EXACT(Logfile_S[[#This Row],[date pick]],Logfile_S[[#This Row],[Date]])</f>
        <v>#N/A</v>
      </c>
      <c r="AC8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94" spans="1:29" ht="14.5">
      <c r="A894" s="220" t="str">
        <f>TEXT(ROW(A894)-ROW($A$4),"000")</f>
        <v>890</v>
      </c>
      <c r="B894" s="221"/>
      <c r="C894" s="221" t="s">
        <v>49</v>
      </c>
      <c r="D894" s="221" t="s">
        <v>3696</v>
      </c>
      <c r="E894" s="221" t="s">
        <v>3295</v>
      </c>
      <c r="F894" s="221" t="s">
        <v>3299</v>
      </c>
      <c r="G894" s="222">
        <v>45173</v>
      </c>
      <c r="H894" s="223">
        <v>0.69236111111111109</v>
      </c>
      <c r="I894" s="221" t="s">
        <v>4916</v>
      </c>
      <c r="J894" s="221" t="s">
        <v>3024</v>
      </c>
      <c r="K894" s="224" t="s">
        <v>3093</v>
      </c>
      <c r="L894" s="225" t="str">
        <f>VLOOKUP(Logfile_S[[#This Row],[Material Name]],Sheet2!B:C,2,0)</f>
        <v>GCI1007</v>
      </c>
      <c r="M894" s="225" t="str">
        <f>_xlfn.XLOOKUP(Logfile_S[[#This Row],[Material Name]],Sum_WH!E:E,Sum_WH!F:F,"",0)</f>
        <v>Pcs</v>
      </c>
      <c r="N894" s="221">
        <v>80</v>
      </c>
      <c r="O894" s="221" t="s">
        <v>150</v>
      </c>
      <c r="P894" s="221" t="s">
        <v>151</v>
      </c>
      <c r="Q894" s="221"/>
      <c r="R894" s="221"/>
      <c r="S894" s="221"/>
      <c r="T894" s="221" t="s">
        <v>3309</v>
      </c>
      <c r="U894" s="221" t="s">
        <v>3228</v>
      </c>
      <c r="V894" s="221" t="s">
        <v>3310</v>
      </c>
      <c r="W894" s="221" t="s">
        <v>3311</v>
      </c>
      <c r="X894" s="221"/>
      <c r="Y894" s="227"/>
      <c r="Z894" s="227" t="str">
        <f>P894</f>
        <v>Mulyorejo RW 04 Sukun</v>
      </c>
      <c r="AA894" s="276" t="e">
        <f>VLOOKUP(Logfile_S[[#This Row],[DO number]],DO_DB!G:I,3,0)</f>
        <v>#N/A</v>
      </c>
      <c r="AB894" s="331" t="e">
        <f>EXACT(Logfile_S[[#This Row],[date pick]],Logfile_S[[#This Row],[Date]])</f>
        <v>#N/A</v>
      </c>
      <c r="AC8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95" spans="1:29" ht="14.5">
      <c r="A895" s="220" t="str">
        <f>TEXT(ROW(A895)-ROW($A$4),"000")</f>
        <v>891</v>
      </c>
      <c r="B895" s="221"/>
      <c r="C895" s="221" t="s">
        <v>49</v>
      </c>
      <c r="D895" s="221" t="s">
        <v>3696</v>
      </c>
      <c r="E895" s="221" t="s">
        <v>3295</v>
      </c>
      <c r="F895" s="221" t="s">
        <v>3299</v>
      </c>
      <c r="G895" s="222">
        <v>45173</v>
      </c>
      <c r="H895" s="223">
        <v>0.69236111111111109</v>
      </c>
      <c r="I895" s="221" t="s">
        <v>4916</v>
      </c>
      <c r="J895" s="221" t="s">
        <v>3024</v>
      </c>
      <c r="K895" s="224" t="s">
        <v>3092</v>
      </c>
      <c r="L895" s="225" t="str">
        <f>VLOOKUP(Logfile_S[[#This Row],[Material Name]],Sheet2!B:C,2,0)</f>
        <v>GCI1006</v>
      </c>
      <c r="M895" s="225" t="str">
        <f>_xlfn.XLOOKUP(Logfile_S[[#This Row],[Material Name]],Sum_WH!E:E,Sum_WH!F:F,"",0)</f>
        <v>Pcs</v>
      </c>
      <c r="N895" s="221">
        <v>80</v>
      </c>
      <c r="O895" s="221" t="s">
        <v>150</v>
      </c>
      <c r="P895" s="221" t="s">
        <v>151</v>
      </c>
      <c r="Q895" s="221"/>
      <c r="R895" s="221"/>
      <c r="S895" s="221"/>
      <c r="T895" s="221" t="s">
        <v>3309</v>
      </c>
      <c r="U895" s="221" t="s">
        <v>3228</v>
      </c>
      <c r="V895" s="221" t="s">
        <v>3310</v>
      </c>
      <c r="W895" s="221" t="s">
        <v>3311</v>
      </c>
      <c r="X895" s="221"/>
      <c r="Y895" s="227"/>
      <c r="Z895" s="227" t="str">
        <f>P895</f>
        <v>Mulyorejo RW 04 Sukun</v>
      </c>
      <c r="AA895" s="276" t="e">
        <f>VLOOKUP(Logfile_S[[#This Row],[DO number]],DO_DB!G:I,3,0)</f>
        <v>#N/A</v>
      </c>
      <c r="AB895" s="331" t="e">
        <f>EXACT(Logfile_S[[#This Row],[date pick]],Logfile_S[[#This Row],[Date]])</f>
        <v>#N/A</v>
      </c>
      <c r="AC8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96" spans="1:29" ht="14.5">
      <c r="A896" s="220" t="str">
        <f>TEXT(ROW(A896)-ROW($A$4),"000")</f>
        <v>892</v>
      </c>
      <c r="B896" s="221"/>
      <c r="C896" s="221" t="s">
        <v>49</v>
      </c>
      <c r="D896" s="221" t="s">
        <v>3696</v>
      </c>
      <c r="E896" s="221" t="s">
        <v>3295</v>
      </c>
      <c r="F896" s="221" t="s">
        <v>3299</v>
      </c>
      <c r="G896" s="222">
        <v>45173</v>
      </c>
      <c r="H896" s="223">
        <v>0.69236111111111109</v>
      </c>
      <c r="I896" s="221" t="s">
        <v>4916</v>
      </c>
      <c r="J896" s="221" t="s">
        <v>3024</v>
      </c>
      <c r="K896" s="224" t="s">
        <v>3089</v>
      </c>
      <c r="L896" s="225" t="str">
        <f>VLOOKUP(Logfile_S[[#This Row],[Material Name]],Sheet2!B:C,2,0)</f>
        <v>GCI1003</v>
      </c>
      <c r="M896" s="225" t="str">
        <f>_xlfn.XLOOKUP(Logfile_S[[#This Row],[Material Name]],Sum_WH!E:E,Sum_WH!F:F,"",0)</f>
        <v>Pcs</v>
      </c>
      <c r="N896" s="221">
        <v>100</v>
      </c>
      <c r="O896" s="221" t="s">
        <v>150</v>
      </c>
      <c r="P896" s="221" t="s">
        <v>151</v>
      </c>
      <c r="Q896" s="221"/>
      <c r="R896" s="221"/>
      <c r="S896" s="221"/>
      <c r="T896" s="221" t="s">
        <v>3309</v>
      </c>
      <c r="U896" s="221" t="s">
        <v>3228</v>
      </c>
      <c r="V896" s="221" t="s">
        <v>3310</v>
      </c>
      <c r="W896" s="221" t="s">
        <v>3311</v>
      </c>
      <c r="X896" s="221"/>
      <c r="Y896" s="227"/>
      <c r="Z896" s="227" t="str">
        <f>P896</f>
        <v>Mulyorejo RW 04 Sukun</v>
      </c>
      <c r="AA896" s="276" t="e">
        <f>VLOOKUP(Logfile_S[[#This Row],[DO number]],DO_DB!G:I,3,0)</f>
        <v>#N/A</v>
      </c>
      <c r="AB896" s="331" t="e">
        <f>EXACT(Logfile_S[[#This Row],[date pick]],Logfile_S[[#This Row],[Date]])</f>
        <v>#N/A</v>
      </c>
      <c r="AC8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97" spans="1:29" ht="14.5">
      <c r="A897" s="220" t="str">
        <f>TEXT(ROW(A897)-ROW($A$4),"000")</f>
        <v>893</v>
      </c>
      <c r="B897" s="221"/>
      <c r="C897" s="221" t="s">
        <v>49</v>
      </c>
      <c r="D897" s="221" t="s">
        <v>3696</v>
      </c>
      <c r="E897" s="221" t="s">
        <v>3295</v>
      </c>
      <c r="F897" s="221" t="s">
        <v>3299</v>
      </c>
      <c r="G897" s="222">
        <v>45173</v>
      </c>
      <c r="H897" s="223">
        <v>0.69236111111111109</v>
      </c>
      <c r="I897" s="221" t="s">
        <v>4916</v>
      </c>
      <c r="J897" s="221" t="s">
        <v>3024</v>
      </c>
      <c r="K897" s="224" t="s">
        <v>3090</v>
      </c>
      <c r="L897" s="225" t="str">
        <f>VLOOKUP(Logfile_S[[#This Row],[Material Name]],Sheet2!B:C,2,0)</f>
        <v>GCI1004</v>
      </c>
      <c r="M897" s="225" t="str">
        <f>_xlfn.XLOOKUP(Logfile_S[[#This Row],[Material Name]],Sum_WH!E:E,Sum_WH!F:F,"",0)</f>
        <v>Pcs</v>
      </c>
      <c r="N897" s="221">
        <v>72</v>
      </c>
      <c r="O897" s="221" t="s">
        <v>150</v>
      </c>
      <c r="P897" s="221" t="s">
        <v>151</v>
      </c>
      <c r="Q897" s="221"/>
      <c r="R897" s="221"/>
      <c r="S897" s="221"/>
      <c r="T897" s="221" t="s">
        <v>3309</v>
      </c>
      <c r="U897" s="221" t="s">
        <v>3228</v>
      </c>
      <c r="V897" s="221" t="s">
        <v>3310</v>
      </c>
      <c r="W897" s="221" t="s">
        <v>3311</v>
      </c>
      <c r="X897" s="221"/>
      <c r="Y897" s="227"/>
      <c r="Z897" s="227" t="str">
        <f>P897</f>
        <v>Mulyorejo RW 04 Sukun</v>
      </c>
      <c r="AA897" s="276" t="e">
        <f>VLOOKUP(Logfile_S[[#This Row],[DO number]],DO_DB!G:I,3,0)</f>
        <v>#N/A</v>
      </c>
      <c r="AB897" s="331" t="e">
        <f>EXACT(Logfile_S[[#This Row],[date pick]],Logfile_S[[#This Row],[Date]])</f>
        <v>#N/A</v>
      </c>
      <c r="AC8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98" spans="1:29" ht="14.5">
      <c r="A898" s="220" t="str">
        <f>TEXT(ROW(A898)-ROW($A$4),"000")</f>
        <v>894</v>
      </c>
      <c r="B898" s="221"/>
      <c r="C898" s="221" t="s">
        <v>48</v>
      </c>
      <c r="D898" s="221" t="s">
        <v>3699</v>
      </c>
      <c r="E898" s="221" t="s">
        <v>3295</v>
      </c>
      <c r="F898" s="221" t="s">
        <v>3299</v>
      </c>
      <c r="G898" s="222">
        <v>45174</v>
      </c>
      <c r="H898" s="223">
        <v>15.291666666666666</v>
      </c>
      <c r="I898" s="221" t="s">
        <v>38</v>
      </c>
      <c r="J898" s="221" t="s">
        <v>3024</v>
      </c>
      <c r="K898" s="224" t="s">
        <v>3098</v>
      </c>
      <c r="L898" s="225" t="str">
        <f>VLOOKUP(Logfile_S[[#This Row],[Material Name]],Sheet2!B:C,2,0)</f>
        <v>GCI1012</v>
      </c>
      <c r="M898" s="225" t="str">
        <f>_xlfn.XLOOKUP(Logfile_S[[#This Row],[Material Name]],Sum_WH!E:E,Sum_WH!F:F,"",0)</f>
        <v>Pcs</v>
      </c>
      <c r="N898" s="221">
        <v>113</v>
      </c>
      <c r="O898" s="221" t="s">
        <v>150</v>
      </c>
      <c r="P898" s="221" t="s">
        <v>151</v>
      </c>
      <c r="Q898" s="221">
        <v>0</v>
      </c>
      <c r="R898" s="221">
        <v>0</v>
      </c>
      <c r="S898" s="221"/>
      <c r="T898" s="221"/>
      <c r="U898" s="221"/>
      <c r="V898" s="221"/>
      <c r="W898" s="221"/>
      <c r="X898" s="221" t="s">
        <v>3308</v>
      </c>
      <c r="Y898" s="227"/>
      <c r="Z898" s="227" t="str">
        <f>P898</f>
        <v>Mulyorejo RW 04 Sukun</v>
      </c>
      <c r="AA898" s="276" t="e">
        <f>VLOOKUP(Logfile_S[[#This Row],[DO number]],DO_DB!G:I,3,0)</f>
        <v>#N/A</v>
      </c>
      <c r="AB898" s="331" t="e">
        <f>EXACT(Logfile_S[[#This Row],[date pick]],Logfile_S[[#This Row],[Date]])</f>
        <v>#N/A</v>
      </c>
      <c r="AC8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899" spans="1:29" ht="14.5">
      <c r="A899" s="220" t="str">
        <f>TEXT(ROW(A899)-ROW($A$4),"000")</f>
        <v>895</v>
      </c>
      <c r="B899" s="221"/>
      <c r="C899" s="221" t="s">
        <v>49</v>
      </c>
      <c r="D899" s="221" t="s">
        <v>3698</v>
      </c>
      <c r="E899" s="221" t="s">
        <v>3295</v>
      </c>
      <c r="F899" s="221" t="s">
        <v>3299</v>
      </c>
      <c r="G899" s="222">
        <v>45174</v>
      </c>
      <c r="H899" s="223">
        <v>0.35972222222222222</v>
      </c>
      <c r="I899" s="221" t="s">
        <v>4916</v>
      </c>
      <c r="J899" s="221" t="s">
        <v>3024</v>
      </c>
      <c r="K899" s="224" t="s">
        <v>3098</v>
      </c>
      <c r="L899" s="225" t="str">
        <f>VLOOKUP(Logfile_S[[#This Row],[Material Name]],Sheet2!B:C,2,0)</f>
        <v>GCI1012</v>
      </c>
      <c r="M899" s="225" t="str">
        <f>_xlfn.XLOOKUP(Logfile_S[[#This Row],[Material Name]],Sum_WH!E:E,Sum_WH!F:F,"",0)</f>
        <v>Pcs</v>
      </c>
      <c r="N899" s="221">
        <v>113</v>
      </c>
      <c r="O899" s="221" t="s">
        <v>150</v>
      </c>
      <c r="P899" s="221" t="s">
        <v>151</v>
      </c>
      <c r="Q899" s="221"/>
      <c r="R899" s="221"/>
      <c r="S899" s="221"/>
      <c r="T899" s="221" t="s">
        <v>3309</v>
      </c>
      <c r="U899" s="221" t="s">
        <v>3228</v>
      </c>
      <c r="V899" s="221" t="s">
        <v>3310</v>
      </c>
      <c r="W899" s="221" t="s">
        <v>3311</v>
      </c>
      <c r="X899" s="221"/>
      <c r="Y899" s="227"/>
      <c r="Z899" s="227" t="str">
        <f>P899</f>
        <v>Mulyorejo RW 04 Sukun</v>
      </c>
      <c r="AA899" s="276" t="e">
        <f>VLOOKUP(Logfile_S[[#This Row],[DO number]],DO_DB!G:I,3,0)</f>
        <v>#N/A</v>
      </c>
      <c r="AB899" s="331" t="e">
        <f>EXACT(Logfile_S[[#This Row],[date pick]],Logfile_S[[#This Row],[Date]])</f>
        <v>#N/A</v>
      </c>
      <c r="AC8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00" spans="1:29" ht="14.5">
      <c r="A900" s="220" t="str">
        <f>TEXT(ROW(A900)-ROW($A$4),"000")</f>
        <v>896</v>
      </c>
      <c r="B900" s="221"/>
      <c r="C900" s="221" t="s">
        <v>49</v>
      </c>
      <c r="D900" s="221" t="s">
        <v>3700</v>
      </c>
      <c r="E900" s="221" t="s">
        <v>3295</v>
      </c>
      <c r="F900" s="221" t="s">
        <v>3299</v>
      </c>
      <c r="G900" s="222">
        <v>45175</v>
      </c>
      <c r="H900" s="223">
        <v>0.33888888888888885</v>
      </c>
      <c r="I900" s="221" t="s">
        <v>4916</v>
      </c>
      <c r="J900" s="221" t="s">
        <v>3024</v>
      </c>
      <c r="K900" s="224" t="s">
        <v>3091</v>
      </c>
      <c r="L900" s="225" t="str">
        <f>VLOOKUP(Logfile_S[[#This Row],[Material Name]],Sheet2!B:C,2,0)</f>
        <v>GCI1005</v>
      </c>
      <c r="M900" s="225" t="str">
        <f>_xlfn.XLOOKUP(Logfile_S[[#This Row],[Material Name]],Sum_WH!E:E,Sum_WH!F:F,"",0)</f>
        <v>Pcs</v>
      </c>
      <c r="N900" s="221">
        <v>68</v>
      </c>
      <c r="O900" s="221" t="s">
        <v>150</v>
      </c>
      <c r="P900" s="221" t="s">
        <v>151</v>
      </c>
      <c r="Q900" s="221"/>
      <c r="R900" s="221"/>
      <c r="S900" s="221"/>
      <c r="T900" s="221" t="s">
        <v>3309</v>
      </c>
      <c r="U900" s="221" t="s">
        <v>3228</v>
      </c>
      <c r="V900" s="221" t="s">
        <v>3310</v>
      </c>
      <c r="W900" s="221" t="s">
        <v>3311</v>
      </c>
      <c r="X900" s="221"/>
      <c r="Y900" s="227"/>
      <c r="Z900" s="227" t="str">
        <f>P900</f>
        <v>Mulyorejo RW 04 Sukun</v>
      </c>
      <c r="AA900" s="276" t="e">
        <f>VLOOKUP(Logfile_S[[#This Row],[DO number]],DO_DB!G:I,3,0)</f>
        <v>#N/A</v>
      </c>
      <c r="AB900" s="331" t="e">
        <f>EXACT(Logfile_S[[#This Row],[date pick]],Logfile_S[[#This Row],[Date]])</f>
        <v>#N/A</v>
      </c>
      <c r="AC9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01" spans="1:29" ht="14.5">
      <c r="A901" s="220" t="str">
        <f>TEXT(ROW(A901)-ROW($A$4),"000")</f>
        <v>897</v>
      </c>
      <c r="B901" s="221"/>
      <c r="C901" s="221" t="s">
        <v>49</v>
      </c>
      <c r="D901" s="221" t="s">
        <v>3700</v>
      </c>
      <c r="E901" s="221" t="s">
        <v>3295</v>
      </c>
      <c r="F901" s="221" t="s">
        <v>3299</v>
      </c>
      <c r="G901" s="222">
        <v>45175</v>
      </c>
      <c r="H901" s="223">
        <v>0.33888888888888885</v>
      </c>
      <c r="I901" s="221" t="s">
        <v>4916</v>
      </c>
      <c r="J901" s="221" t="s">
        <v>3024</v>
      </c>
      <c r="K901" s="224" t="s">
        <v>5137</v>
      </c>
      <c r="L901" s="225" t="str">
        <f>VLOOKUP(Logfile_S[[#This Row],[Material Name]],Sheet2!B:C,2,0)</f>
        <v>GCI1009</v>
      </c>
      <c r="M901" s="225" t="str">
        <f>_xlfn.XLOOKUP(Logfile_S[[#This Row],[Material Name]],Sum_WH!E:E,Sum_WH!F:F,"",0)</f>
        <v>Pcs</v>
      </c>
      <c r="N901" s="221">
        <v>30</v>
      </c>
      <c r="O901" s="221" t="s">
        <v>150</v>
      </c>
      <c r="P901" s="221" t="s">
        <v>151</v>
      </c>
      <c r="Q901" s="221"/>
      <c r="R901" s="221"/>
      <c r="S901" s="221"/>
      <c r="T901" s="221" t="s">
        <v>3309</v>
      </c>
      <c r="U901" s="221" t="s">
        <v>3228</v>
      </c>
      <c r="V901" s="221" t="s">
        <v>3310</v>
      </c>
      <c r="W901" s="221" t="s">
        <v>3311</v>
      </c>
      <c r="X901" s="221"/>
      <c r="Y901" s="227"/>
      <c r="Z901" s="227" t="str">
        <f>P901</f>
        <v>Mulyorejo RW 04 Sukun</v>
      </c>
      <c r="AA901" s="276" t="e">
        <f>VLOOKUP(Logfile_S[[#This Row],[DO number]],DO_DB!G:I,3,0)</f>
        <v>#N/A</v>
      </c>
      <c r="AB901" s="331" t="e">
        <f>EXACT(Logfile_S[[#This Row],[date pick]],Logfile_S[[#This Row],[Date]])</f>
        <v>#N/A</v>
      </c>
      <c r="AC9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02" spans="1:29" ht="14.5">
      <c r="A902" s="220" t="str">
        <f>TEXT(ROW(A902)-ROW($A$4),"000")</f>
        <v>898</v>
      </c>
      <c r="B902" s="221"/>
      <c r="C902" s="221" t="s">
        <v>49</v>
      </c>
      <c r="D902" s="221" t="s">
        <v>3700</v>
      </c>
      <c r="E902" s="221" t="s">
        <v>3295</v>
      </c>
      <c r="F902" s="221" t="s">
        <v>3299</v>
      </c>
      <c r="G902" s="222">
        <v>45175</v>
      </c>
      <c r="H902" s="223">
        <v>0.33888888888888885</v>
      </c>
      <c r="I902" s="221" t="s">
        <v>4916</v>
      </c>
      <c r="J902" s="221" t="s">
        <v>3023</v>
      </c>
      <c r="K902" s="224" t="s">
        <v>3208</v>
      </c>
      <c r="L902" s="225" t="str">
        <f>VLOOKUP(Logfile_S[[#This Row],[Material Name]],Sheet2!B:C,2,0)</f>
        <v>ZTE1002</v>
      </c>
      <c r="M902" s="225" t="str">
        <f>_xlfn.XLOOKUP(Logfile_S[[#This Row],[Material Name]],Sum_WH!E:E,Sum_WH!F:F,"",0)</f>
        <v>Pcs</v>
      </c>
      <c r="N902" s="221">
        <v>2</v>
      </c>
      <c r="O902" s="221" t="s">
        <v>150</v>
      </c>
      <c r="P902" s="221" t="s">
        <v>151</v>
      </c>
      <c r="Q902" s="221"/>
      <c r="R902" s="221"/>
      <c r="S902" s="221"/>
      <c r="T902" s="221" t="s">
        <v>3309</v>
      </c>
      <c r="U902" s="221" t="s">
        <v>3228</v>
      </c>
      <c r="V902" s="221" t="s">
        <v>3310</v>
      </c>
      <c r="W902" s="221" t="s">
        <v>3311</v>
      </c>
      <c r="X902" s="221"/>
      <c r="Y902" s="227"/>
      <c r="Z902" s="227" t="str">
        <f>P902</f>
        <v>Mulyorejo RW 04 Sukun</v>
      </c>
      <c r="AA902" s="276" t="e">
        <f>VLOOKUP(Logfile_S[[#This Row],[DO number]],DO_DB!G:I,3,0)</f>
        <v>#N/A</v>
      </c>
      <c r="AB902" s="331" t="e">
        <f>EXACT(Logfile_S[[#This Row],[date pick]],Logfile_S[[#This Row],[Date]])</f>
        <v>#N/A</v>
      </c>
      <c r="AC9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03" spans="1:29" ht="14.5">
      <c r="A903" s="220" t="str">
        <f>TEXT(ROW(A903)-ROW($A$4),"000")</f>
        <v>899</v>
      </c>
      <c r="B903" s="221"/>
      <c r="C903" s="221" t="s">
        <v>49</v>
      </c>
      <c r="D903" s="221" t="s">
        <v>3700</v>
      </c>
      <c r="E903" s="221" t="s">
        <v>3295</v>
      </c>
      <c r="F903" s="221" t="s">
        <v>3299</v>
      </c>
      <c r="G903" s="222">
        <v>45175</v>
      </c>
      <c r="H903" s="223">
        <v>0.33888888888888885</v>
      </c>
      <c r="I903" s="221" t="s">
        <v>4916</v>
      </c>
      <c r="J903" s="221" t="s">
        <v>3024</v>
      </c>
      <c r="K903" s="224" t="s">
        <v>3236</v>
      </c>
      <c r="L903" s="225" t="str">
        <f>VLOOKUP(Logfile_S[[#This Row],[Material Name]],Sheet2!B:C,2,0)</f>
        <v>GCI1008</v>
      </c>
      <c r="M903" s="225" t="str">
        <f>_xlfn.XLOOKUP(Logfile_S[[#This Row],[Material Name]],Sum_WH!E:E,Sum_WH!F:F,"",0)</f>
        <v>Pcs</v>
      </c>
      <c r="N903" s="221">
        <v>20</v>
      </c>
      <c r="O903" s="221" t="s">
        <v>150</v>
      </c>
      <c r="P903" s="221" t="s">
        <v>151</v>
      </c>
      <c r="Q903" s="221"/>
      <c r="R903" s="221"/>
      <c r="S903" s="221"/>
      <c r="T903" s="221" t="s">
        <v>3309</v>
      </c>
      <c r="U903" s="221" t="s">
        <v>3228</v>
      </c>
      <c r="V903" s="221" t="s">
        <v>3310</v>
      </c>
      <c r="W903" s="221" t="s">
        <v>3311</v>
      </c>
      <c r="X903" s="221"/>
      <c r="Y903" s="227"/>
      <c r="Z903" s="227" t="str">
        <f>P903</f>
        <v>Mulyorejo RW 04 Sukun</v>
      </c>
      <c r="AA903" s="276" t="e">
        <f>VLOOKUP(Logfile_S[[#This Row],[DO number]],DO_DB!G:I,3,0)</f>
        <v>#N/A</v>
      </c>
      <c r="AB903" s="331" t="e">
        <f>EXACT(Logfile_S[[#This Row],[date pick]],Logfile_S[[#This Row],[Date]])</f>
        <v>#N/A</v>
      </c>
      <c r="AC9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04" spans="1:29" ht="14.5">
      <c r="A904" s="220" t="str">
        <f>TEXT(ROW(A904)-ROW($A$4),"000")</f>
        <v>900</v>
      </c>
      <c r="B904" s="221"/>
      <c r="C904" s="221" t="s">
        <v>48</v>
      </c>
      <c r="D904" s="221" t="s">
        <v>3704</v>
      </c>
      <c r="E904" s="221" t="s">
        <v>3295</v>
      </c>
      <c r="F904" s="221" t="s">
        <v>3299</v>
      </c>
      <c r="G904" s="222">
        <v>45177</v>
      </c>
      <c r="H904" s="223">
        <v>15.291666666666666</v>
      </c>
      <c r="I904" s="221" t="s">
        <v>38</v>
      </c>
      <c r="J904" s="221" t="s">
        <v>3024</v>
      </c>
      <c r="K904" s="224" t="s">
        <v>3257</v>
      </c>
      <c r="L904" s="225" t="str">
        <f>VLOOKUP(Logfile_S[[#This Row],[Material Name]],Sheet2!B:C,2,0)</f>
        <v>GCI1012</v>
      </c>
      <c r="M904" s="225" t="str">
        <f>_xlfn.XLOOKUP(Logfile_S[[#This Row],[Material Name]],Sum_WH!E:E,Sum_WH!F:F,"",0)</f>
        <v>Pcs</v>
      </c>
      <c r="N904" s="221">
        <v>13</v>
      </c>
      <c r="O904" s="221" t="s">
        <v>150</v>
      </c>
      <c r="P904" s="221" t="s">
        <v>151</v>
      </c>
      <c r="Q904" s="221">
        <v>0</v>
      </c>
      <c r="R904" s="221">
        <v>0</v>
      </c>
      <c r="S904" s="221"/>
      <c r="T904" s="221"/>
      <c r="U904" s="221"/>
      <c r="V904" s="221"/>
      <c r="W904" s="221"/>
      <c r="X904" s="221" t="s">
        <v>3312</v>
      </c>
      <c r="Y904" s="227"/>
      <c r="Z904" s="227" t="str">
        <f>P904</f>
        <v>Mulyorejo RW 04 Sukun</v>
      </c>
      <c r="AA904" s="276" t="e">
        <f>VLOOKUP(Logfile_S[[#This Row],[DO number]],DO_DB!G:I,3,0)</f>
        <v>#N/A</v>
      </c>
      <c r="AB904" s="331" t="e">
        <f>EXACT(Logfile_S[[#This Row],[date pick]],Logfile_S[[#This Row],[Date]])</f>
        <v>#N/A</v>
      </c>
      <c r="AC9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05" spans="1:29" ht="14.5">
      <c r="A905" s="220" t="str">
        <f>TEXT(ROW(A905)-ROW($A$4),"000")</f>
        <v>901</v>
      </c>
      <c r="B905" s="221"/>
      <c r="C905" s="221" t="s">
        <v>49</v>
      </c>
      <c r="D905" s="221" t="s">
        <v>3701</v>
      </c>
      <c r="E905" s="221" t="s">
        <v>3295</v>
      </c>
      <c r="F905" s="221" t="s">
        <v>3299</v>
      </c>
      <c r="G905" s="222">
        <v>45177</v>
      </c>
      <c r="H905" s="223">
        <v>0.37083333333333335</v>
      </c>
      <c r="I905" s="221" t="s">
        <v>4916</v>
      </c>
      <c r="J905" s="221" t="s">
        <v>3024</v>
      </c>
      <c r="K905" s="224" t="s">
        <v>3098</v>
      </c>
      <c r="L905" s="225" t="str">
        <f>VLOOKUP(Logfile_S[[#This Row],[Material Name]],Sheet2!B:C,2,0)</f>
        <v>GCI1012</v>
      </c>
      <c r="M905" s="225" t="str">
        <f>_xlfn.XLOOKUP(Logfile_S[[#This Row],[Material Name]],Sum_WH!E:E,Sum_WH!F:F,"",0)</f>
        <v>Pcs</v>
      </c>
      <c r="N905" s="221">
        <v>13</v>
      </c>
      <c r="O905" s="221" t="s">
        <v>150</v>
      </c>
      <c r="P905" s="221" t="s">
        <v>151</v>
      </c>
      <c r="Q905" s="221"/>
      <c r="R905" s="221"/>
      <c r="S905" s="221"/>
      <c r="T905" s="221" t="s">
        <v>3309</v>
      </c>
      <c r="U905" s="221" t="s">
        <v>3228</v>
      </c>
      <c r="V905" s="221" t="s">
        <v>3310</v>
      </c>
      <c r="W905" s="221" t="s">
        <v>3311</v>
      </c>
      <c r="X905" s="221"/>
      <c r="Y905" s="227"/>
      <c r="Z905" s="227" t="str">
        <f>P905</f>
        <v>Mulyorejo RW 04 Sukun</v>
      </c>
      <c r="AA905" s="276" t="e">
        <f>VLOOKUP(Logfile_S[[#This Row],[DO number]],DO_DB!G:I,3,0)</f>
        <v>#N/A</v>
      </c>
      <c r="AB905" s="331" t="e">
        <f>EXACT(Logfile_S[[#This Row],[date pick]],Logfile_S[[#This Row],[Date]])</f>
        <v>#N/A</v>
      </c>
      <c r="AC9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06" spans="1:29" ht="14.5">
      <c r="A906" s="220" t="str">
        <f>TEXT(ROW(A906)-ROW($A$4),"000")</f>
        <v>902</v>
      </c>
      <c r="B906" s="221"/>
      <c r="C906" s="221" t="s">
        <v>48</v>
      </c>
      <c r="D906" s="221" t="s">
        <v>3703</v>
      </c>
      <c r="E906" s="221" t="s">
        <v>3295</v>
      </c>
      <c r="F906" s="221" t="s">
        <v>3299</v>
      </c>
      <c r="G906" s="222">
        <v>45177</v>
      </c>
      <c r="H906" s="223">
        <v>0.67638888888888893</v>
      </c>
      <c r="I906" s="221" t="s">
        <v>3586</v>
      </c>
      <c r="J906" s="221" t="s">
        <v>3024</v>
      </c>
      <c r="K906" s="224" t="s">
        <v>5137</v>
      </c>
      <c r="L906" s="225" t="str">
        <f>VLOOKUP(Logfile_S[[#This Row],[Material Name]],Sheet2!B:C,2,0)</f>
        <v>GCI1009</v>
      </c>
      <c r="M906" s="225" t="str">
        <f>_xlfn.XLOOKUP(Logfile_S[[#This Row],[Material Name]],Sum_WH!E:E,Sum_WH!F:F,"",0)</f>
        <v>Pcs</v>
      </c>
      <c r="N906" s="221">
        <v>8</v>
      </c>
      <c r="O906" s="221" t="s">
        <v>150</v>
      </c>
      <c r="P906" s="221" t="s">
        <v>151</v>
      </c>
      <c r="Q906" s="221">
        <v>0</v>
      </c>
      <c r="R906" s="221">
        <v>0</v>
      </c>
      <c r="S906" s="221"/>
      <c r="T906" s="221"/>
      <c r="U906" s="221"/>
      <c r="V906" s="221"/>
      <c r="W906" s="221"/>
      <c r="X906" s="221" t="s">
        <v>3414</v>
      </c>
      <c r="Y906" s="227"/>
      <c r="Z906" s="227" t="str">
        <f>P906</f>
        <v>Mulyorejo RW 04 Sukun</v>
      </c>
      <c r="AA906" s="276" t="e">
        <f>VLOOKUP(Logfile_S[[#This Row],[DO number]],DO_DB!G:I,3,0)</f>
        <v>#N/A</v>
      </c>
      <c r="AB906" s="331" t="e">
        <f>EXACT(Logfile_S[[#This Row],[date pick]],Logfile_S[[#This Row],[Date]])</f>
        <v>#N/A</v>
      </c>
      <c r="AC9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07" spans="1:29" ht="14.5">
      <c r="A907" s="220" t="str">
        <f>TEXT(ROW(A907)-ROW($A$4),"000")</f>
        <v>903</v>
      </c>
      <c r="B907" s="221"/>
      <c r="C907" s="221" t="s">
        <v>49</v>
      </c>
      <c r="D907" s="221" t="s">
        <v>3701</v>
      </c>
      <c r="E907" s="221" t="s">
        <v>3295</v>
      </c>
      <c r="F907" s="221" t="s">
        <v>3299</v>
      </c>
      <c r="G907" s="222">
        <v>45177</v>
      </c>
      <c r="H907" s="223">
        <v>0.37083333333333335</v>
      </c>
      <c r="I907" s="221" t="s">
        <v>4916</v>
      </c>
      <c r="J907" s="221" t="s">
        <v>3024</v>
      </c>
      <c r="K907" s="224" t="s">
        <v>5137</v>
      </c>
      <c r="L907" s="225" t="str">
        <f>VLOOKUP(Logfile_S[[#This Row],[Material Name]],Sheet2!B:C,2,0)</f>
        <v>GCI1009</v>
      </c>
      <c r="M907" s="225" t="str">
        <f>_xlfn.XLOOKUP(Logfile_S[[#This Row],[Material Name]],Sum_WH!E:E,Sum_WH!F:F,"",0)</f>
        <v>Pcs</v>
      </c>
      <c r="N907" s="221">
        <v>20</v>
      </c>
      <c r="O907" s="221" t="s">
        <v>150</v>
      </c>
      <c r="P907" s="221" t="s">
        <v>151</v>
      </c>
      <c r="Q907" s="221"/>
      <c r="R907" s="221"/>
      <c r="S907" s="221"/>
      <c r="T907" s="221" t="s">
        <v>3309</v>
      </c>
      <c r="U907" s="221" t="s">
        <v>3228</v>
      </c>
      <c r="V907" s="221" t="s">
        <v>3310</v>
      </c>
      <c r="W907" s="221" t="s">
        <v>3311</v>
      </c>
      <c r="X907" s="221"/>
      <c r="Y907" s="227"/>
      <c r="Z907" s="227" t="str">
        <f>P907</f>
        <v>Mulyorejo RW 04 Sukun</v>
      </c>
      <c r="AA907" s="276" t="e">
        <f>VLOOKUP(Logfile_S[[#This Row],[DO number]],DO_DB!G:I,3,0)</f>
        <v>#N/A</v>
      </c>
      <c r="AB907" s="331" t="e">
        <f>EXACT(Logfile_S[[#This Row],[date pick]],Logfile_S[[#This Row],[Date]])</f>
        <v>#N/A</v>
      </c>
      <c r="AC9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08" spans="1:29" ht="14.5">
      <c r="A908" s="220" t="str">
        <f>TEXT(ROW(A908)-ROW($A$4),"000")</f>
        <v>904</v>
      </c>
      <c r="B908" s="221"/>
      <c r="C908" s="221" t="s">
        <v>48</v>
      </c>
      <c r="D908" s="221" t="s">
        <v>3704</v>
      </c>
      <c r="E908" s="221" t="s">
        <v>3295</v>
      </c>
      <c r="F908" s="221" t="s">
        <v>3299</v>
      </c>
      <c r="G908" s="222">
        <v>45177</v>
      </c>
      <c r="H908" s="223">
        <v>15.291666666666666</v>
      </c>
      <c r="I908" s="221" t="s">
        <v>38</v>
      </c>
      <c r="J908" s="221" t="s">
        <v>3024</v>
      </c>
      <c r="K908" s="224" t="s">
        <v>3099</v>
      </c>
      <c r="L908" s="225" t="str">
        <f>VLOOKUP(Logfile_S[[#This Row],[Material Name]],Sheet2!B:C,2,0)</f>
        <v>GCI1013</v>
      </c>
      <c r="M908" s="225" t="str">
        <f>_xlfn.XLOOKUP(Logfile_S[[#This Row],[Material Name]],Sum_WH!E:E,Sum_WH!F:F,"",0)</f>
        <v>Pcs</v>
      </c>
      <c r="N908" s="221">
        <v>36</v>
      </c>
      <c r="O908" s="221" t="s">
        <v>150</v>
      </c>
      <c r="P908" s="221" t="s">
        <v>151</v>
      </c>
      <c r="Q908" s="221">
        <v>0</v>
      </c>
      <c r="R908" s="221">
        <v>0</v>
      </c>
      <c r="S908" s="221"/>
      <c r="T908" s="221"/>
      <c r="U908" s="221"/>
      <c r="V908" s="221"/>
      <c r="W908" s="221"/>
      <c r="X908" s="221"/>
      <c r="Y908" s="227"/>
      <c r="Z908" s="227" t="str">
        <f>P908</f>
        <v>Mulyorejo RW 04 Sukun</v>
      </c>
      <c r="AA908" s="276" t="e">
        <f>VLOOKUP(Logfile_S[[#This Row],[DO number]],DO_DB!G:I,3,0)</f>
        <v>#N/A</v>
      </c>
      <c r="AB908" s="331" t="e">
        <f>EXACT(Logfile_S[[#This Row],[date pick]],Logfile_S[[#This Row],[Date]])</f>
        <v>#N/A</v>
      </c>
      <c r="AC9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09" spans="1:29" ht="14.5">
      <c r="A909" s="220" t="str">
        <f>TEXT(ROW(A909)-ROW($A$4),"000")</f>
        <v>905</v>
      </c>
      <c r="B909" s="221"/>
      <c r="C909" s="221" t="s">
        <v>49</v>
      </c>
      <c r="D909" s="221" t="s">
        <v>3701</v>
      </c>
      <c r="E909" s="221" t="s">
        <v>3295</v>
      </c>
      <c r="F909" s="221" t="s">
        <v>3299</v>
      </c>
      <c r="G909" s="222">
        <v>45177</v>
      </c>
      <c r="H909" s="223">
        <v>0.37083333333333335</v>
      </c>
      <c r="I909" s="221" t="s">
        <v>4916</v>
      </c>
      <c r="J909" s="221" t="s">
        <v>3024</v>
      </c>
      <c r="K909" s="224" t="s">
        <v>3099</v>
      </c>
      <c r="L909" s="225" t="str">
        <f>VLOOKUP(Logfile_S[[#This Row],[Material Name]],Sheet2!B:C,2,0)</f>
        <v>GCI1013</v>
      </c>
      <c r="M909" s="225" t="str">
        <f>_xlfn.XLOOKUP(Logfile_S[[#This Row],[Material Name]],Sum_WH!E:E,Sum_WH!F:F,"",0)</f>
        <v>Pcs</v>
      </c>
      <c r="N909" s="221">
        <v>36</v>
      </c>
      <c r="O909" s="221" t="s">
        <v>150</v>
      </c>
      <c r="P909" s="221" t="s">
        <v>151</v>
      </c>
      <c r="Q909" s="221"/>
      <c r="R909" s="221"/>
      <c r="S909" s="221"/>
      <c r="T909" s="221" t="s">
        <v>3309</v>
      </c>
      <c r="U909" s="221" t="s">
        <v>3228</v>
      </c>
      <c r="V909" s="221" t="s">
        <v>3310</v>
      </c>
      <c r="W909" s="221" t="s">
        <v>3311</v>
      </c>
      <c r="X909" s="221"/>
      <c r="Y909" s="227"/>
      <c r="Z909" s="227" t="str">
        <f>P909</f>
        <v>Mulyorejo RW 04 Sukun</v>
      </c>
      <c r="AA909" s="276" t="e">
        <f>VLOOKUP(Logfile_S[[#This Row],[DO number]],DO_DB!G:I,3,0)</f>
        <v>#N/A</v>
      </c>
      <c r="AB909" s="331" t="e">
        <f>EXACT(Logfile_S[[#This Row],[date pick]],Logfile_S[[#This Row],[Date]])</f>
        <v>#N/A</v>
      </c>
      <c r="AC9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10" spans="1:29" ht="14.5">
      <c r="A910" s="220" t="str">
        <f>TEXT(ROW(A910)-ROW($A$4),"000")</f>
        <v>906</v>
      </c>
      <c r="B910" s="221"/>
      <c r="C910" s="221" t="s">
        <v>48</v>
      </c>
      <c r="D910" s="221" t="s">
        <v>3703</v>
      </c>
      <c r="E910" s="221" t="s">
        <v>3295</v>
      </c>
      <c r="F910" s="221" t="s">
        <v>3299</v>
      </c>
      <c r="G910" s="222">
        <v>45177</v>
      </c>
      <c r="H910" s="223">
        <v>0.67638888888888893</v>
      </c>
      <c r="I910" s="221" t="s">
        <v>3586</v>
      </c>
      <c r="J910" s="221" t="s">
        <v>3024</v>
      </c>
      <c r="K910" s="224" t="s">
        <v>3094</v>
      </c>
      <c r="L910" s="225" t="str">
        <f>VLOOKUP(Logfile_S[[#This Row],[Material Name]],Sheet2!B:C,2,0)</f>
        <v>GCI1008</v>
      </c>
      <c r="M910" s="225" t="str">
        <f>_xlfn.XLOOKUP(Logfile_S[[#This Row],[Material Name]],Sum_WH!E:E,Sum_WH!F:F,"",0)</f>
        <v>Pcs</v>
      </c>
      <c r="N910" s="221">
        <v>24</v>
      </c>
      <c r="O910" s="221" t="s">
        <v>150</v>
      </c>
      <c r="P910" s="221" t="s">
        <v>151</v>
      </c>
      <c r="Q910" s="221">
        <v>0</v>
      </c>
      <c r="R910" s="221">
        <v>0</v>
      </c>
      <c r="S910" s="221"/>
      <c r="T910" s="221"/>
      <c r="U910" s="221"/>
      <c r="V910" s="221"/>
      <c r="W910" s="221"/>
      <c r="X910" s="221" t="s">
        <v>3414</v>
      </c>
      <c r="Y910" s="227"/>
      <c r="Z910" s="227" t="str">
        <f>P910</f>
        <v>Mulyorejo RW 04 Sukun</v>
      </c>
      <c r="AA910" s="276" t="e">
        <f>VLOOKUP(Logfile_S[[#This Row],[DO number]],DO_DB!G:I,3,0)</f>
        <v>#N/A</v>
      </c>
      <c r="AB910" s="331" t="e">
        <f>EXACT(Logfile_S[[#This Row],[date pick]],Logfile_S[[#This Row],[Date]])</f>
        <v>#N/A</v>
      </c>
      <c r="AC9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11" spans="1:29" ht="14.5">
      <c r="A911" s="220" t="str">
        <f>TEXT(ROW(A911)-ROW($A$4),"000")</f>
        <v>907</v>
      </c>
      <c r="B911" s="221"/>
      <c r="C911" s="221" t="s">
        <v>49</v>
      </c>
      <c r="D911" s="221" t="s">
        <v>3702</v>
      </c>
      <c r="E911" s="221" t="s">
        <v>3295</v>
      </c>
      <c r="F911" s="221" t="s">
        <v>3299</v>
      </c>
      <c r="G911" s="222">
        <v>45177</v>
      </c>
      <c r="H911" s="223">
        <v>0.41249999999999998</v>
      </c>
      <c r="I911" s="221" t="s">
        <v>4916</v>
      </c>
      <c r="J911" s="221" t="s">
        <v>3024</v>
      </c>
      <c r="K911" s="224" t="s">
        <v>3094</v>
      </c>
      <c r="L911" s="225" t="str">
        <f>VLOOKUP(Logfile_S[[#This Row],[Material Name]],Sheet2!B:C,2,0)</f>
        <v>GCI1008</v>
      </c>
      <c r="M911" s="225" t="str">
        <f>_xlfn.XLOOKUP(Logfile_S[[#This Row],[Material Name]],Sum_WH!E:E,Sum_WH!F:F,"",0)</f>
        <v>Pcs</v>
      </c>
      <c r="N911" s="221">
        <v>10</v>
      </c>
      <c r="O911" s="221" t="s">
        <v>150</v>
      </c>
      <c r="P911" s="221" t="s">
        <v>151</v>
      </c>
      <c r="Q911" s="221"/>
      <c r="R911" s="221"/>
      <c r="S911" s="221"/>
      <c r="T911" s="221" t="s">
        <v>3309</v>
      </c>
      <c r="U911" s="221" t="s">
        <v>3228</v>
      </c>
      <c r="V911" s="221" t="s">
        <v>3310</v>
      </c>
      <c r="W911" s="221" t="s">
        <v>3311</v>
      </c>
      <c r="X911" s="221"/>
      <c r="Y911" s="227"/>
      <c r="Z911" s="227" t="str">
        <f>P911</f>
        <v>Mulyorejo RW 04 Sukun</v>
      </c>
      <c r="AA911" s="276" t="e">
        <f>VLOOKUP(Logfile_S[[#This Row],[DO number]],DO_DB!G:I,3,0)</f>
        <v>#N/A</v>
      </c>
      <c r="AB911" s="331" t="e">
        <f>EXACT(Logfile_S[[#This Row],[date pick]],Logfile_S[[#This Row],[Date]])</f>
        <v>#N/A</v>
      </c>
      <c r="AC9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12" spans="1:29" ht="14.5">
      <c r="A912" s="220" t="str">
        <f>TEXT(ROW(A912)-ROW($A$4),"000")</f>
        <v>908</v>
      </c>
      <c r="B912" s="221"/>
      <c r="C912" s="221" t="s">
        <v>48</v>
      </c>
      <c r="D912" s="221" t="s">
        <v>3703</v>
      </c>
      <c r="E912" s="221" t="s">
        <v>3295</v>
      </c>
      <c r="F912" s="221" t="s">
        <v>3299</v>
      </c>
      <c r="G912" s="222">
        <v>45177</v>
      </c>
      <c r="H912" s="223">
        <v>0.67638888888888893</v>
      </c>
      <c r="I912" s="221" t="s">
        <v>3586</v>
      </c>
      <c r="J912" s="221" t="s">
        <v>3024</v>
      </c>
      <c r="K912" s="224" t="s">
        <v>3093</v>
      </c>
      <c r="L912" s="225" t="str">
        <f>VLOOKUP(Logfile_S[[#This Row],[Material Name]],Sheet2!B:C,2,0)</f>
        <v>GCI1007</v>
      </c>
      <c r="M912" s="225" t="str">
        <f>_xlfn.XLOOKUP(Logfile_S[[#This Row],[Material Name]],Sum_WH!E:E,Sum_WH!F:F,"",0)</f>
        <v>Pcs</v>
      </c>
      <c r="N912" s="221">
        <v>6</v>
      </c>
      <c r="O912" s="221" t="s">
        <v>150</v>
      </c>
      <c r="P912" s="221" t="s">
        <v>151</v>
      </c>
      <c r="Q912" s="221">
        <v>0</v>
      </c>
      <c r="R912" s="221">
        <v>0</v>
      </c>
      <c r="S912" s="221"/>
      <c r="T912" s="221"/>
      <c r="U912" s="221"/>
      <c r="V912" s="221"/>
      <c r="W912" s="221"/>
      <c r="X912" s="221" t="s">
        <v>3414</v>
      </c>
      <c r="Y912" s="227"/>
      <c r="Z912" s="227" t="str">
        <f>P912</f>
        <v>Mulyorejo RW 04 Sukun</v>
      </c>
      <c r="AA912" s="276" t="e">
        <f>VLOOKUP(Logfile_S[[#This Row],[DO number]],DO_DB!G:I,3,0)</f>
        <v>#N/A</v>
      </c>
      <c r="AB912" s="331" t="e">
        <f>EXACT(Logfile_S[[#This Row],[date pick]],Logfile_S[[#This Row],[Date]])</f>
        <v>#N/A</v>
      </c>
      <c r="AC9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13" spans="1:29" ht="14.5">
      <c r="A913" s="220" t="str">
        <f>TEXT(ROW(A913)-ROW($A$4),"000")</f>
        <v>909</v>
      </c>
      <c r="B913" s="221"/>
      <c r="C913" s="221" t="s">
        <v>49</v>
      </c>
      <c r="D913" s="221" t="s">
        <v>3701</v>
      </c>
      <c r="E913" s="221" t="s">
        <v>3295</v>
      </c>
      <c r="F913" s="221" t="s">
        <v>3299</v>
      </c>
      <c r="G913" s="222">
        <v>45177</v>
      </c>
      <c r="H913" s="223">
        <v>0.37083333333333335</v>
      </c>
      <c r="I913" s="221" t="s">
        <v>4916</v>
      </c>
      <c r="J913" s="221" t="s">
        <v>3024</v>
      </c>
      <c r="K913" s="224" t="s">
        <v>3093</v>
      </c>
      <c r="L913" s="225" t="str">
        <f>VLOOKUP(Logfile_S[[#This Row],[Material Name]],Sheet2!B:C,2,0)</f>
        <v>GCI1007</v>
      </c>
      <c r="M913" s="225" t="str">
        <f>_xlfn.XLOOKUP(Logfile_S[[#This Row],[Material Name]],Sum_WH!E:E,Sum_WH!F:F,"",0)</f>
        <v>Pcs</v>
      </c>
      <c r="N913" s="221">
        <v>20</v>
      </c>
      <c r="O913" s="221" t="s">
        <v>150</v>
      </c>
      <c r="P913" s="221" t="s">
        <v>151</v>
      </c>
      <c r="Q913" s="221"/>
      <c r="R913" s="221"/>
      <c r="S913" s="221"/>
      <c r="T913" s="221" t="s">
        <v>3309</v>
      </c>
      <c r="U913" s="221" t="s">
        <v>3228</v>
      </c>
      <c r="V913" s="221" t="s">
        <v>3310</v>
      </c>
      <c r="W913" s="221" t="s">
        <v>3311</v>
      </c>
      <c r="X913" s="221"/>
      <c r="Y913" s="227"/>
      <c r="Z913" s="227" t="str">
        <f>P913</f>
        <v>Mulyorejo RW 04 Sukun</v>
      </c>
      <c r="AA913" s="276" t="e">
        <f>VLOOKUP(Logfile_S[[#This Row],[DO number]],DO_DB!G:I,3,0)</f>
        <v>#N/A</v>
      </c>
      <c r="AB913" s="331" t="e">
        <f>EXACT(Logfile_S[[#This Row],[date pick]],Logfile_S[[#This Row],[Date]])</f>
        <v>#N/A</v>
      </c>
      <c r="AC9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14" spans="1:29" ht="14.5">
      <c r="A914" s="220" t="str">
        <f>TEXT(ROW(A914)-ROW($A$4),"000")</f>
        <v>910</v>
      </c>
      <c r="B914" s="221"/>
      <c r="C914" s="221" t="s">
        <v>48</v>
      </c>
      <c r="D914" s="221" t="s">
        <v>3703</v>
      </c>
      <c r="E914" s="221" t="s">
        <v>3295</v>
      </c>
      <c r="F914" s="221" t="s">
        <v>3299</v>
      </c>
      <c r="G914" s="222">
        <v>45177</v>
      </c>
      <c r="H914" s="223">
        <v>0.67638888888888893</v>
      </c>
      <c r="I914" s="221" t="s">
        <v>3586</v>
      </c>
      <c r="J914" s="221" t="s">
        <v>3024</v>
      </c>
      <c r="K914" s="224" t="s">
        <v>3092</v>
      </c>
      <c r="L914" s="225" t="str">
        <f>VLOOKUP(Logfile_S[[#This Row],[Material Name]],Sheet2!B:C,2,0)</f>
        <v>GCI1006</v>
      </c>
      <c r="M914" s="225" t="str">
        <f>_xlfn.XLOOKUP(Logfile_S[[#This Row],[Material Name]],Sum_WH!E:E,Sum_WH!F:F,"",0)</f>
        <v>Pcs</v>
      </c>
      <c r="N914" s="221">
        <v>6</v>
      </c>
      <c r="O914" s="221" t="s">
        <v>150</v>
      </c>
      <c r="P914" s="221" t="s">
        <v>151</v>
      </c>
      <c r="Q914" s="221">
        <v>0</v>
      </c>
      <c r="R914" s="221">
        <v>0</v>
      </c>
      <c r="S914" s="221"/>
      <c r="T914" s="221"/>
      <c r="U914" s="221"/>
      <c r="V914" s="221"/>
      <c r="W914" s="221"/>
      <c r="X914" s="221" t="s">
        <v>3414</v>
      </c>
      <c r="Y914" s="227"/>
      <c r="Z914" s="227" t="str">
        <f>P914</f>
        <v>Mulyorejo RW 04 Sukun</v>
      </c>
      <c r="AA914" s="276" t="e">
        <f>VLOOKUP(Logfile_S[[#This Row],[DO number]],DO_DB!G:I,3,0)</f>
        <v>#N/A</v>
      </c>
      <c r="AB914" s="331" t="e">
        <f>EXACT(Logfile_S[[#This Row],[date pick]],Logfile_S[[#This Row],[Date]])</f>
        <v>#N/A</v>
      </c>
      <c r="AC9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15" spans="1:29" ht="14.5">
      <c r="A915" s="220" t="str">
        <f>TEXT(ROW(A915)-ROW($A$4),"000")</f>
        <v>911</v>
      </c>
      <c r="B915" s="221"/>
      <c r="C915" s="221" t="s">
        <v>49</v>
      </c>
      <c r="D915" s="221" t="s">
        <v>3701</v>
      </c>
      <c r="E915" s="221" t="s">
        <v>3295</v>
      </c>
      <c r="F915" s="221" t="s">
        <v>3299</v>
      </c>
      <c r="G915" s="222">
        <v>45177</v>
      </c>
      <c r="H915" s="223">
        <v>0.37083333333333335</v>
      </c>
      <c r="I915" s="221" t="s">
        <v>4916</v>
      </c>
      <c r="J915" s="221" t="s">
        <v>3024</v>
      </c>
      <c r="K915" s="224" t="s">
        <v>3092</v>
      </c>
      <c r="L915" s="225" t="str">
        <f>VLOOKUP(Logfile_S[[#This Row],[Material Name]],Sheet2!B:C,2,0)</f>
        <v>GCI1006</v>
      </c>
      <c r="M915" s="225" t="str">
        <f>_xlfn.XLOOKUP(Logfile_S[[#This Row],[Material Name]],Sum_WH!E:E,Sum_WH!F:F,"",0)</f>
        <v>Pcs</v>
      </c>
      <c r="N915" s="221">
        <v>20</v>
      </c>
      <c r="O915" s="221" t="s">
        <v>150</v>
      </c>
      <c r="P915" s="221" t="s">
        <v>151</v>
      </c>
      <c r="Q915" s="221"/>
      <c r="R915" s="221"/>
      <c r="S915" s="221"/>
      <c r="T915" s="221" t="s">
        <v>3309</v>
      </c>
      <c r="U915" s="221" t="s">
        <v>3228</v>
      </c>
      <c r="V915" s="221" t="s">
        <v>3310</v>
      </c>
      <c r="W915" s="221" t="s">
        <v>3311</v>
      </c>
      <c r="X915" s="221"/>
      <c r="Y915" s="227"/>
      <c r="Z915" s="227" t="str">
        <f>P915</f>
        <v>Mulyorejo RW 04 Sukun</v>
      </c>
      <c r="AA915" s="276" t="e">
        <f>VLOOKUP(Logfile_S[[#This Row],[DO number]],DO_DB!G:I,3,0)</f>
        <v>#N/A</v>
      </c>
      <c r="AB915" s="331" t="e">
        <f>EXACT(Logfile_S[[#This Row],[date pick]],Logfile_S[[#This Row],[Date]])</f>
        <v>#N/A</v>
      </c>
      <c r="AC9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16" spans="1:29" ht="14.5">
      <c r="A916" s="220" t="str">
        <f>TEXT(ROW(A916)-ROW($A$4),"000")</f>
        <v>912</v>
      </c>
      <c r="B916" s="221"/>
      <c r="C916" s="221" t="s">
        <v>48</v>
      </c>
      <c r="D916" s="221" t="s">
        <v>3703</v>
      </c>
      <c r="E916" s="221" t="s">
        <v>3295</v>
      </c>
      <c r="F916" s="221" t="s">
        <v>3299</v>
      </c>
      <c r="G916" s="222">
        <v>45177</v>
      </c>
      <c r="H916" s="223">
        <v>0.67638888888888893</v>
      </c>
      <c r="I916" s="221" t="s">
        <v>3586</v>
      </c>
      <c r="J916" s="221" t="s">
        <v>3024</v>
      </c>
      <c r="K916" s="224" t="s">
        <v>3090</v>
      </c>
      <c r="L916" s="225" t="str">
        <f>VLOOKUP(Logfile_S[[#This Row],[Material Name]],Sheet2!B:C,2,0)</f>
        <v>GCI1004</v>
      </c>
      <c r="M916" s="225" t="str">
        <f>_xlfn.XLOOKUP(Logfile_S[[#This Row],[Material Name]],Sum_WH!E:E,Sum_WH!F:F,"",0)</f>
        <v>Pcs</v>
      </c>
      <c r="N916" s="221">
        <v>60</v>
      </c>
      <c r="O916" s="221" t="s">
        <v>150</v>
      </c>
      <c r="P916" s="221" t="s">
        <v>151</v>
      </c>
      <c r="Q916" s="221">
        <v>0</v>
      </c>
      <c r="R916" s="221">
        <v>0</v>
      </c>
      <c r="S916" s="221"/>
      <c r="T916" s="221"/>
      <c r="U916" s="221"/>
      <c r="V916" s="221"/>
      <c r="W916" s="221"/>
      <c r="X916" s="221" t="s">
        <v>3414</v>
      </c>
      <c r="Y916" s="227"/>
      <c r="Z916" s="227" t="str">
        <f>P916</f>
        <v>Mulyorejo RW 04 Sukun</v>
      </c>
      <c r="AA916" s="276" t="e">
        <f>VLOOKUP(Logfile_S[[#This Row],[DO number]],DO_DB!G:I,3,0)</f>
        <v>#N/A</v>
      </c>
      <c r="AB916" s="331" t="e">
        <f>EXACT(Logfile_S[[#This Row],[date pick]],Logfile_S[[#This Row],[Date]])</f>
        <v>#N/A</v>
      </c>
      <c r="AC9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17" spans="1:29" ht="14.5">
      <c r="A917" s="220" t="str">
        <f>TEXT(ROW(A917)-ROW($A$4),"000")</f>
        <v>913</v>
      </c>
      <c r="B917" s="221"/>
      <c r="C917" s="221" t="s">
        <v>49</v>
      </c>
      <c r="D917" s="221" t="s">
        <v>3705</v>
      </c>
      <c r="E917" s="221" t="s">
        <v>3295</v>
      </c>
      <c r="F917" s="221" t="s">
        <v>3299</v>
      </c>
      <c r="G917" s="222">
        <v>45179</v>
      </c>
      <c r="H917" s="223">
        <v>0.38124999999999998</v>
      </c>
      <c r="I917" s="221" t="s">
        <v>4916</v>
      </c>
      <c r="J917" s="221" t="s">
        <v>3023</v>
      </c>
      <c r="K917" s="224" t="s">
        <v>13</v>
      </c>
      <c r="L917" s="225" t="str">
        <f>VLOOKUP(Logfile_S[[#This Row],[Material Name]],Sheet2!B:C,2,0)</f>
        <v>ZTE2008</v>
      </c>
      <c r="M917" s="225" t="str">
        <f>_xlfn.XLOOKUP(Logfile_S[[#This Row],[Material Name]],Sum_WH!E:E,Sum_WH!F:F,"",0)</f>
        <v>Pcs</v>
      </c>
      <c r="N917" s="221">
        <v>17</v>
      </c>
      <c r="O917" s="221" t="s">
        <v>150</v>
      </c>
      <c r="P917" s="221" t="s">
        <v>151</v>
      </c>
      <c r="Q917" s="221"/>
      <c r="R917" s="221"/>
      <c r="S917" s="221"/>
      <c r="T917" s="221" t="s">
        <v>3518</v>
      </c>
      <c r="U917" s="221" t="s">
        <v>3228</v>
      </c>
      <c r="V917" s="221" t="s">
        <v>3519</v>
      </c>
      <c r="W917" s="221" t="s">
        <v>3520</v>
      </c>
      <c r="X917" s="221"/>
      <c r="Y917" s="227"/>
      <c r="Z917" s="227" t="str">
        <f>P917</f>
        <v>Mulyorejo RW 04 Sukun</v>
      </c>
      <c r="AA917" s="276" t="e">
        <f>VLOOKUP(Logfile_S[[#This Row],[DO number]],DO_DB!G:I,3,0)</f>
        <v>#N/A</v>
      </c>
      <c r="AB917" s="331" t="e">
        <f>EXACT(Logfile_S[[#This Row],[date pick]],Logfile_S[[#This Row],[Date]])</f>
        <v>#N/A</v>
      </c>
      <c r="AC9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18" spans="1:29" ht="14.5">
      <c r="A918" s="220" t="str">
        <f>TEXT(ROW(A918)-ROW($A$4),"000")</f>
        <v>914</v>
      </c>
      <c r="B918" s="221"/>
      <c r="C918" s="221" t="s">
        <v>49</v>
      </c>
      <c r="D918" s="221" t="s">
        <v>3705</v>
      </c>
      <c r="E918" s="221" t="s">
        <v>3295</v>
      </c>
      <c r="F918" s="221" t="s">
        <v>3299</v>
      </c>
      <c r="G918" s="222">
        <v>45179</v>
      </c>
      <c r="H918" s="223">
        <v>0.38124999999999998</v>
      </c>
      <c r="I918" s="221" t="s">
        <v>4916</v>
      </c>
      <c r="J918" s="221" t="s">
        <v>3023</v>
      </c>
      <c r="K918" s="224" t="s">
        <v>14</v>
      </c>
      <c r="L918" s="225" t="str">
        <f>VLOOKUP(Logfile_S[[#This Row],[Material Name]],Sheet2!B:C,2,0)</f>
        <v>ZTE2005</v>
      </c>
      <c r="M918" s="225" t="str">
        <f>_xlfn.XLOOKUP(Logfile_S[[#This Row],[Material Name]],Sum_WH!E:E,Sum_WH!F:F,"",0)</f>
        <v>Pcs</v>
      </c>
      <c r="N918" s="221">
        <v>1</v>
      </c>
      <c r="O918" s="221" t="s">
        <v>150</v>
      </c>
      <c r="P918" s="221" t="s">
        <v>151</v>
      </c>
      <c r="Q918" s="221"/>
      <c r="R918" s="221"/>
      <c r="S918" s="221"/>
      <c r="T918" s="221" t="s">
        <v>3518</v>
      </c>
      <c r="U918" s="221" t="s">
        <v>3228</v>
      </c>
      <c r="V918" s="221" t="s">
        <v>3519</v>
      </c>
      <c r="W918" s="221" t="s">
        <v>3520</v>
      </c>
      <c r="X918" s="221"/>
      <c r="Y918" s="227"/>
      <c r="Z918" s="227" t="str">
        <f>P918</f>
        <v>Mulyorejo RW 04 Sukun</v>
      </c>
      <c r="AA918" s="276" t="e">
        <f>VLOOKUP(Logfile_S[[#This Row],[DO number]],DO_DB!G:I,3,0)</f>
        <v>#N/A</v>
      </c>
      <c r="AB918" s="331" t="e">
        <f>EXACT(Logfile_S[[#This Row],[date pick]],Logfile_S[[#This Row],[Date]])</f>
        <v>#N/A</v>
      </c>
      <c r="AC9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19" spans="1:29" ht="14.5">
      <c r="A919" s="220" t="str">
        <f>TEXT(ROW(A919)-ROW($A$4),"000")</f>
        <v>915</v>
      </c>
      <c r="B919" s="221"/>
      <c r="C919" s="221" t="s">
        <v>49</v>
      </c>
      <c r="D919" s="221" t="s">
        <v>3707</v>
      </c>
      <c r="E919" s="221" t="s">
        <v>3295</v>
      </c>
      <c r="F919" s="221" t="s">
        <v>3299</v>
      </c>
      <c r="G919" s="222">
        <v>45183</v>
      </c>
      <c r="H919" s="223">
        <v>15.291666666666666</v>
      </c>
      <c r="I919" s="221" t="s">
        <v>4916</v>
      </c>
      <c r="J919" s="221" t="s">
        <v>3023</v>
      </c>
      <c r="K919" s="224" t="s">
        <v>13</v>
      </c>
      <c r="L919" s="225" t="str">
        <f>VLOOKUP(Logfile_S[[#This Row],[Material Name]],Sheet2!B:C,2,0)</f>
        <v>ZTE2008</v>
      </c>
      <c r="M919" s="225" t="str">
        <f>_xlfn.XLOOKUP(Logfile_S[[#This Row],[Material Name]],Sum_WH!E:E,Sum_WH!F:F,"",0)</f>
        <v>Pcs</v>
      </c>
      <c r="N919" s="221">
        <v>1</v>
      </c>
      <c r="O919" s="221" t="s">
        <v>150</v>
      </c>
      <c r="P919" s="221" t="s">
        <v>151</v>
      </c>
      <c r="Q919" s="221">
        <v>0</v>
      </c>
      <c r="R919" s="221" t="s">
        <v>3147</v>
      </c>
      <c r="S919" s="221"/>
      <c r="T919" s="221"/>
      <c r="U919" s="221"/>
      <c r="V919" s="221"/>
      <c r="W919" s="221"/>
      <c r="X919" s="221" t="s">
        <v>3524</v>
      </c>
      <c r="Y919" s="227"/>
      <c r="Z919" s="227" t="str">
        <f>P919</f>
        <v>Mulyorejo RW 04 Sukun</v>
      </c>
      <c r="AA919" s="276" t="e">
        <f>VLOOKUP(Logfile_S[[#This Row],[DO number]],DO_DB!G:I,3,0)</f>
        <v>#N/A</v>
      </c>
      <c r="AB919" s="331" t="e">
        <f>EXACT(Logfile_S[[#This Row],[date pick]],Logfile_S[[#This Row],[Date]])</f>
        <v>#N/A</v>
      </c>
      <c r="AC9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20" spans="1:29" ht="14.5">
      <c r="A920" s="220" t="str">
        <f>TEXT(ROW(A920)-ROW($A$4),"000")</f>
        <v>916</v>
      </c>
      <c r="B920" s="221"/>
      <c r="C920" s="221" t="s">
        <v>49</v>
      </c>
      <c r="D920" s="221" t="s">
        <v>3795</v>
      </c>
      <c r="E920" s="221" t="s">
        <v>3295</v>
      </c>
      <c r="F920" s="221" t="s">
        <v>3299</v>
      </c>
      <c r="G920" s="222">
        <v>45223</v>
      </c>
      <c r="H920" s="223">
        <v>0.56736111111111109</v>
      </c>
      <c r="I920" s="221" t="s">
        <v>4916</v>
      </c>
      <c r="J920" s="221" t="s">
        <v>3024</v>
      </c>
      <c r="K920" s="224" t="s">
        <v>5137</v>
      </c>
      <c r="L920" s="225" t="str">
        <f>VLOOKUP(Logfile_S[[#This Row],[Material Name]],Sheet2!B:C,2,0)</f>
        <v>GCI1009</v>
      </c>
      <c r="M920" s="225" t="str">
        <f>_xlfn.XLOOKUP(Logfile_S[[#This Row],[Material Name]],Sum_WH!E:E,Sum_WH!F:F,"",0)</f>
        <v>Pcs</v>
      </c>
      <c r="N920" s="221">
        <v>2</v>
      </c>
      <c r="O920" s="221" t="s">
        <v>150</v>
      </c>
      <c r="P920" s="221" t="s">
        <v>151</v>
      </c>
      <c r="Q920" s="221"/>
      <c r="R920" s="221"/>
      <c r="S920" s="221"/>
      <c r="T920" s="221" t="s">
        <v>3329</v>
      </c>
      <c r="U920" s="221">
        <v>0</v>
      </c>
      <c r="V920" s="221" t="s">
        <v>3330</v>
      </c>
      <c r="W920" s="221" t="s">
        <v>3240</v>
      </c>
      <c r="X920" s="221"/>
      <c r="Y920" s="227"/>
      <c r="Z920" s="227" t="str">
        <f>P920</f>
        <v>Mulyorejo RW 04 Sukun</v>
      </c>
      <c r="AA920" s="276" t="e">
        <f>VLOOKUP(Logfile_S[[#This Row],[DO number]],DO_DB!G:I,3,0)</f>
        <v>#N/A</v>
      </c>
      <c r="AB920" s="331" t="e">
        <f>EXACT(Logfile_S[[#This Row],[date pick]],Logfile_S[[#This Row],[Date]])</f>
        <v>#N/A</v>
      </c>
      <c r="AC9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21" spans="1:29" ht="14.5">
      <c r="A921" s="220" t="str">
        <f>TEXT(ROW(A921)-ROW($A$4),"000")</f>
        <v>917</v>
      </c>
      <c r="B921" s="221"/>
      <c r="C921" s="221" t="s">
        <v>49</v>
      </c>
      <c r="D921" s="221" t="s">
        <v>3795</v>
      </c>
      <c r="E921" s="221" t="s">
        <v>3295</v>
      </c>
      <c r="F921" s="221" t="s">
        <v>3299</v>
      </c>
      <c r="G921" s="222">
        <v>45223</v>
      </c>
      <c r="H921" s="223">
        <v>0.56736111111111109</v>
      </c>
      <c r="I921" s="221" t="s">
        <v>4916</v>
      </c>
      <c r="J921" s="221" t="s">
        <v>3023</v>
      </c>
      <c r="K921" s="224" t="s">
        <v>3071</v>
      </c>
      <c r="L921" s="225" t="str">
        <f>VLOOKUP(Logfile_S[[#This Row],[Material Name]],Sheet2!B:C,2,0)</f>
        <v>ZTE1003</v>
      </c>
      <c r="M921" s="225" t="str">
        <f>_xlfn.XLOOKUP(Logfile_S[[#This Row],[Material Name]],Sum_WH!E:E,Sum_WH!F:F,"",0)</f>
        <v>Pcs</v>
      </c>
      <c r="N921" s="221">
        <v>1</v>
      </c>
      <c r="O921" s="221" t="s">
        <v>150</v>
      </c>
      <c r="P921" s="221" t="s">
        <v>151</v>
      </c>
      <c r="Q921" s="221"/>
      <c r="R921" s="221"/>
      <c r="S921" s="221"/>
      <c r="T921" s="221" t="s">
        <v>3329</v>
      </c>
      <c r="U921" s="221">
        <v>0</v>
      </c>
      <c r="V921" s="221" t="s">
        <v>3330</v>
      </c>
      <c r="W921" s="221" t="s">
        <v>3240</v>
      </c>
      <c r="X921" s="221" t="s">
        <v>3762</v>
      </c>
      <c r="Y921" s="227"/>
      <c r="Z921" s="227" t="str">
        <f>P921</f>
        <v>Mulyorejo RW 04 Sukun</v>
      </c>
      <c r="AA921" s="276" t="e">
        <f>VLOOKUP(Logfile_S[[#This Row],[DO number]],DO_DB!G:I,3,0)</f>
        <v>#N/A</v>
      </c>
      <c r="AB921" s="331" t="e">
        <f>EXACT(Logfile_S[[#This Row],[date pick]],Logfile_S[[#This Row],[Date]])</f>
        <v>#N/A</v>
      </c>
      <c r="AC9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22" spans="1:29" ht="14.5">
      <c r="A922" s="220" t="str">
        <f>TEXT(ROW(A922)-ROW($A$4),"000")</f>
        <v>918</v>
      </c>
      <c r="B922" s="221"/>
      <c r="C922" s="221" t="s">
        <v>49</v>
      </c>
      <c r="D922" s="221" t="s">
        <v>3795</v>
      </c>
      <c r="E922" s="221" t="s">
        <v>3295</v>
      </c>
      <c r="F922" s="221" t="s">
        <v>3299</v>
      </c>
      <c r="G922" s="222">
        <v>45223</v>
      </c>
      <c r="H922" s="223">
        <v>0.56736111111111109</v>
      </c>
      <c r="I922" s="221" t="s">
        <v>4916</v>
      </c>
      <c r="J922" s="221" t="s">
        <v>3024</v>
      </c>
      <c r="K922" s="224" t="s">
        <v>3465</v>
      </c>
      <c r="L922" s="225" t="str">
        <f>VLOOKUP(Logfile_S[[#This Row],[Material Name]],Sheet2!B:C,2,0)</f>
        <v>GCI1006</v>
      </c>
      <c r="M922" s="225" t="str">
        <f>_xlfn.XLOOKUP(Logfile_S[[#This Row],[Material Name]],Sum_WH!E:E,Sum_WH!F:F,"",0)</f>
        <v>Pcs</v>
      </c>
      <c r="N922" s="221">
        <v>1</v>
      </c>
      <c r="O922" s="221" t="s">
        <v>150</v>
      </c>
      <c r="P922" s="221" t="s">
        <v>151</v>
      </c>
      <c r="Q922" s="221"/>
      <c r="R922" s="221"/>
      <c r="S922" s="221"/>
      <c r="T922" s="221" t="s">
        <v>3329</v>
      </c>
      <c r="U922" s="221">
        <v>0</v>
      </c>
      <c r="V922" s="221" t="s">
        <v>3330</v>
      </c>
      <c r="W922" s="221" t="s">
        <v>3240</v>
      </c>
      <c r="X922" s="221"/>
      <c r="Y922" s="227"/>
      <c r="Z922" s="227" t="str">
        <f>P922</f>
        <v>Mulyorejo RW 04 Sukun</v>
      </c>
      <c r="AA922" s="276" t="e">
        <f>VLOOKUP(Logfile_S[[#This Row],[DO number]],DO_DB!G:I,3,0)</f>
        <v>#N/A</v>
      </c>
      <c r="AB922" s="331" t="e">
        <f>EXACT(Logfile_S[[#This Row],[date pick]],Logfile_S[[#This Row],[Date]])</f>
        <v>#N/A</v>
      </c>
      <c r="AC9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23" spans="1:29" ht="14.5">
      <c r="A923" s="220" t="str">
        <f>TEXT(ROW(A923)-ROW($A$4),"000")</f>
        <v>919</v>
      </c>
      <c r="B923" s="221"/>
      <c r="C923" s="221" t="s">
        <v>49</v>
      </c>
      <c r="D923" s="221" t="s">
        <v>3795</v>
      </c>
      <c r="E923" s="221" t="s">
        <v>3295</v>
      </c>
      <c r="F923" s="221" t="s">
        <v>3299</v>
      </c>
      <c r="G923" s="222">
        <v>45223</v>
      </c>
      <c r="H923" s="223">
        <v>0.56736111111111109</v>
      </c>
      <c r="I923" s="221" t="s">
        <v>4916</v>
      </c>
      <c r="J923" s="221" t="s">
        <v>3024</v>
      </c>
      <c r="K923" s="224" t="s">
        <v>3090</v>
      </c>
      <c r="L923" s="225" t="str">
        <f>VLOOKUP(Logfile_S[[#This Row],[Material Name]],Sheet2!B:C,2,0)</f>
        <v>GCI1004</v>
      </c>
      <c r="M923" s="225" t="str">
        <f>_xlfn.XLOOKUP(Logfile_S[[#This Row],[Material Name]],Sum_WH!E:E,Sum_WH!F:F,"",0)</f>
        <v>Pcs</v>
      </c>
      <c r="N923" s="221">
        <v>2</v>
      </c>
      <c r="O923" s="221" t="s">
        <v>150</v>
      </c>
      <c r="P923" s="221" t="s">
        <v>151</v>
      </c>
      <c r="Q923" s="221"/>
      <c r="R923" s="221"/>
      <c r="S923" s="221"/>
      <c r="T923" s="221" t="s">
        <v>3329</v>
      </c>
      <c r="U923" s="221">
        <v>0</v>
      </c>
      <c r="V923" s="221" t="s">
        <v>3330</v>
      </c>
      <c r="W923" s="221" t="s">
        <v>3240</v>
      </c>
      <c r="X923" s="221"/>
      <c r="Y923" s="227"/>
      <c r="Z923" s="227" t="str">
        <f>P923</f>
        <v>Mulyorejo RW 04 Sukun</v>
      </c>
      <c r="AA923" s="276" t="e">
        <f>VLOOKUP(Logfile_S[[#This Row],[DO number]],DO_DB!G:I,3,0)</f>
        <v>#N/A</v>
      </c>
      <c r="AB923" s="331" t="e">
        <f>EXACT(Logfile_S[[#This Row],[date pick]],Logfile_S[[#This Row],[Date]])</f>
        <v>#N/A</v>
      </c>
      <c r="AC9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24" spans="1:29" ht="14.5">
      <c r="A924" s="220" t="str">
        <f>TEXT(ROW(A924)-ROW($A$4),"000")</f>
        <v>920</v>
      </c>
      <c r="B924" s="221"/>
      <c r="C924" s="221" t="s">
        <v>48</v>
      </c>
      <c r="D924" s="221" t="s">
        <v>3709</v>
      </c>
      <c r="E924" s="221" t="s">
        <v>3295</v>
      </c>
      <c r="F924" s="221" t="s">
        <v>3299</v>
      </c>
      <c r="G924" s="222">
        <v>45188</v>
      </c>
      <c r="H924" s="223">
        <v>15.291666666666666</v>
      </c>
      <c r="I924" s="221" t="s">
        <v>37</v>
      </c>
      <c r="J924" s="221" t="s">
        <v>3023</v>
      </c>
      <c r="K924" s="224" t="s">
        <v>3073</v>
      </c>
      <c r="L924" s="225" t="str">
        <f>VLOOKUP(Logfile_S[[#This Row],[Material Name]],Sheet2!B:C,2,0)</f>
        <v>ZTE2001</v>
      </c>
      <c r="M924" s="225" t="str">
        <f>_xlfn.XLOOKUP(Logfile_S[[#This Row],[Material Name]],Sum_WH!E:E,Sum_WH!F:F,"",0)</f>
        <v>Meter</v>
      </c>
      <c r="N924" s="221">
        <v>3000</v>
      </c>
      <c r="O924" s="221" t="s">
        <v>180</v>
      </c>
      <c r="P924" s="221" t="s">
        <v>181</v>
      </c>
      <c r="Q924" s="221" t="s">
        <v>182</v>
      </c>
      <c r="R924" s="221" t="s">
        <v>183</v>
      </c>
      <c r="S924" s="221"/>
      <c r="T924" s="221"/>
      <c r="U924" s="221"/>
      <c r="V924" s="221"/>
      <c r="W924" s="221"/>
      <c r="X924" s="221"/>
      <c r="Y924" s="227" t="s">
        <v>4955</v>
      </c>
      <c r="Z924" s="227" t="str">
        <f>P924</f>
        <v>Mulyorejo RW 06 Sukun</v>
      </c>
      <c r="AA924" s="276">
        <f>VLOOKUP(Logfile_S[[#This Row],[DO number]],DO_DB!G:I,3,0)</f>
        <v>45188</v>
      </c>
      <c r="AB924" s="331" t="b">
        <f>EXACT(Logfile_S[[#This Row],[date pick]],Logfile_S[[#This Row],[Date]])</f>
        <v>1</v>
      </c>
      <c r="AC9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24C-2023919-01</v>
      </c>
    </row>
    <row r="925" spans="1:29" ht="14.5">
      <c r="A925" s="220" t="str">
        <f>TEXT(ROW(A925)-ROW($A$4),"000")</f>
        <v>921</v>
      </c>
      <c r="B925" s="221"/>
      <c r="C925" s="221" t="s">
        <v>48</v>
      </c>
      <c r="D925" s="221" t="s">
        <v>3709</v>
      </c>
      <c r="E925" s="221" t="s">
        <v>3295</v>
      </c>
      <c r="F925" s="221" t="s">
        <v>3299</v>
      </c>
      <c r="G925" s="222">
        <v>45188</v>
      </c>
      <c r="H925" s="223">
        <v>15.291666666666666</v>
      </c>
      <c r="I925" s="221" t="s">
        <v>37</v>
      </c>
      <c r="J925" s="221" t="s">
        <v>3023</v>
      </c>
      <c r="K925" s="224" t="s">
        <v>13</v>
      </c>
      <c r="L925" s="225" t="str">
        <f>VLOOKUP(Logfile_S[[#This Row],[Material Name]],Sheet2!B:C,2,0)</f>
        <v>ZTE2008</v>
      </c>
      <c r="M925" s="225" t="str">
        <f>_xlfn.XLOOKUP(Logfile_S[[#This Row],[Material Name]],Sum_WH!E:E,Sum_WH!F:F,"",0)</f>
        <v>Pcs</v>
      </c>
      <c r="N925" s="221">
        <v>11</v>
      </c>
      <c r="O925" s="221" t="s">
        <v>180</v>
      </c>
      <c r="P925" s="221" t="s">
        <v>181</v>
      </c>
      <c r="Q925" s="221" t="s">
        <v>182</v>
      </c>
      <c r="R925" s="221" t="s">
        <v>183</v>
      </c>
      <c r="S925" s="221"/>
      <c r="T925" s="221"/>
      <c r="U925" s="221"/>
      <c r="V925" s="221"/>
      <c r="W925" s="221"/>
      <c r="X925" s="221"/>
      <c r="Y925" s="227"/>
      <c r="Z925" s="227" t="str">
        <f>P925</f>
        <v>Mulyorejo RW 06 Sukun</v>
      </c>
      <c r="AA925" s="276">
        <f>VLOOKUP(Logfile_S[[#This Row],[DO number]],DO_DB!G:I,3,0)</f>
        <v>45188</v>
      </c>
      <c r="AB925" s="331" t="b">
        <f>EXACT(Logfile_S[[#This Row],[date pick]],Logfile_S[[#This Row],[Date]])</f>
        <v>1</v>
      </c>
      <c r="AC9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26" spans="1:29" ht="14.5">
      <c r="A926" s="220" t="str">
        <f>TEXT(ROW(A926)-ROW($A$4),"000")</f>
        <v>922</v>
      </c>
      <c r="B926" s="221"/>
      <c r="C926" s="221" t="s">
        <v>48</v>
      </c>
      <c r="D926" s="221" t="s">
        <v>3709</v>
      </c>
      <c r="E926" s="221" t="s">
        <v>3295</v>
      </c>
      <c r="F926" s="221" t="s">
        <v>3299</v>
      </c>
      <c r="G926" s="222">
        <v>45188</v>
      </c>
      <c r="H926" s="223">
        <v>15.291666666666666</v>
      </c>
      <c r="I926" s="221" t="s">
        <v>37</v>
      </c>
      <c r="J926" s="221" t="s">
        <v>3023</v>
      </c>
      <c r="K926" s="224" t="s">
        <v>14</v>
      </c>
      <c r="L926" s="225" t="str">
        <f>VLOOKUP(Logfile_S[[#This Row],[Material Name]],Sheet2!B:C,2,0)</f>
        <v>ZTE2005</v>
      </c>
      <c r="M926" s="225" t="str">
        <f>_xlfn.XLOOKUP(Logfile_S[[#This Row],[Material Name]],Sum_WH!E:E,Sum_WH!F:F,"",0)</f>
        <v>Pcs</v>
      </c>
      <c r="N926" s="221">
        <v>1</v>
      </c>
      <c r="O926" s="221" t="s">
        <v>180</v>
      </c>
      <c r="P926" s="221" t="s">
        <v>181</v>
      </c>
      <c r="Q926" s="221" t="s">
        <v>182</v>
      </c>
      <c r="R926" s="221" t="s">
        <v>183</v>
      </c>
      <c r="S926" s="221"/>
      <c r="T926" s="221"/>
      <c r="U926" s="221"/>
      <c r="V926" s="221"/>
      <c r="W926" s="221"/>
      <c r="X926" s="221"/>
      <c r="Y926" s="227"/>
      <c r="Z926" s="227" t="str">
        <f>P926</f>
        <v>Mulyorejo RW 06 Sukun</v>
      </c>
      <c r="AA926" s="276">
        <f>VLOOKUP(Logfile_S[[#This Row],[DO number]],DO_DB!G:I,3,0)</f>
        <v>45188</v>
      </c>
      <c r="AB926" s="331" t="b">
        <f>EXACT(Logfile_S[[#This Row],[date pick]],Logfile_S[[#This Row],[Date]])</f>
        <v>1</v>
      </c>
      <c r="AC9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27" spans="1:29" ht="14.5">
      <c r="A927" s="220" t="str">
        <f>TEXT(ROW(A927)-ROW($A$4),"000")</f>
        <v>923</v>
      </c>
      <c r="B927" s="221"/>
      <c r="C927" s="221" t="s">
        <v>48</v>
      </c>
      <c r="D927" s="221" t="s">
        <v>3709</v>
      </c>
      <c r="E927" s="221" t="s">
        <v>3295</v>
      </c>
      <c r="F927" s="221" t="s">
        <v>3299</v>
      </c>
      <c r="G927" s="222">
        <v>45188</v>
      </c>
      <c r="H927" s="223">
        <v>15.291666666666666</v>
      </c>
      <c r="I927" s="221" t="s">
        <v>37</v>
      </c>
      <c r="J927" s="221" t="s">
        <v>3023</v>
      </c>
      <c r="K927" s="224" t="s">
        <v>3070</v>
      </c>
      <c r="L927" s="225" t="str">
        <f>VLOOKUP(Logfile_S[[#This Row],[Material Name]],Sheet2!B:C,2,0)</f>
        <v>ZTE1002</v>
      </c>
      <c r="M927" s="225" t="str">
        <f>_xlfn.XLOOKUP(Logfile_S[[#This Row],[Material Name]],Sum_WH!E:E,Sum_WH!F:F,"",0)</f>
        <v>Pcs</v>
      </c>
      <c r="N927" s="221">
        <v>3</v>
      </c>
      <c r="O927" s="221" t="s">
        <v>180</v>
      </c>
      <c r="P927" s="221" t="s">
        <v>181</v>
      </c>
      <c r="Q927" s="221" t="s">
        <v>184</v>
      </c>
      <c r="R927" s="221" t="s">
        <v>185</v>
      </c>
      <c r="S927" s="221"/>
      <c r="T927" s="221"/>
      <c r="U927" s="221"/>
      <c r="V927" s="221"/>
      <c r="W927" s="221"/>
      <c r="X927" s="221"/>
      <c r="Y927" s="227"/>
      <c r="Z927" s="227" t="str">
        <f>P927</f>
        <v>Mulyorejo RW 06 Sukun</v>
      </c>
      <c r="AA927" s="276">
        <f>VLOOKUP(Logfile_S[[#This Row],[DO number]],DO_DB!G:I,3,0)</f>
        <v>45188</v>
      </c>
      <c r="AB927" s="331" t="b">
        <f>EXACT(Logfile_S[[#This Row],[date pick]],Logfile_S[[#This Row],[Date]])</f>
        <v>1</v>
      </c>
      <c r="AC9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28" spans="1:29" ht="14.5">
      <c r="A928" s="220" t="str">
        <f>TEXT(ROW(A928)-ROW($A$4),"000")</f>
        <v>924</v>
      </c>
      <c r="B928" s="221"/>
      <c r="C928" s="221" t="s">
        <v>48</v>
      </c>
      <c r="D928" s="221" t="s">
        <v>3709</v>
      </c>
      <c r="E928" s="221" t="s">
        <v>3295</v>
      </c>
      <c r="F928" s="221" t="s">
        <v>3299</v>
      </c>
      <c r="G928" s="222">
        <v>45188</v>
      </c>
      <c r="H928" s="223">
        <v>15.291666666666666</v>
      </c>
      <c r="I928" s="221" t="s">
        <v>37</v>
      </c>
      <c r="J928" s="221" t="s">
        <v>3023</v>
      </c>
      <c r="K928" s="224" t="s">
        <v>3069</v>
      </c>
      <c r="L928" s="225" t="str">
        <f>VLOOKUP(Logfile_S[[#This Row],[Material Name]],Sheet2!B:C,2,0)</f>
        <v>ZTE1001</v>
      </c>
      <c r="M928" s="225" t="str">
        <f>_xlfn.XLOOKUP(Logfile_S[[#This Row],[Material Name]],Sum_WH!E:E,Sum_WH!F:F,"",0)</f>
        <v>Pcs</v>
      </c>
      <c r="N928" s="221">
        <v>18</v>
      </c>
      <c r="O928" s="221" t="s">
        <v>180</v>
      </c>
      <c r="P928" s="221" t="s">
        <v>181</v>
      </c>
      <c r="Q928" s="221" t="s">
        <v>184</v>
      </c>
      <c r="R928" s="221" t="s">
        <v>185</v>
      </c>
      <c r="S928" s="221"/>
      <c r="T928" s="221"/>
      <c r="U928" s="221"/>
      <c r="V928" s="221"/>
      <c r="W928" s="221"/>
      <c r="X928" s="221"/>
      <c r="Y928" s="227"/>
      <c r="Z928" s="227" t="str">
        <f>P928</f>
        <v>Mulyorejo RW 06 Sukun</v>
      </c>
      <c r="AA928" s="276">
        <f>VLOOKUP(Logfile_S[[#This Row],[DO number]],DO_DB!G:I,3,0)</f>
        <v>45188</v>
      </c>
      <c r="AB928" s="331" t="b">
        <f>EXACT(Logfile_S[[#This Row],[date pick]],Logfile_S[[#This Row],[Date]])</f>
        <v>1</v>
      </c>
      <c r="AC9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29" spans="1:29" ht="14.5">
      <c r="A929" s="220" t="str">
        <f>TEXT(ROW(A929)-ROW($A$4),"000")</f>
        <v>925</v>
      </c>
      <c r="B929" s="221"/>
      <c r="C929" s="221" t="s">
        <v>48</v>
      </c>
      <c r="D929" s="221" t="s">
        <v>3709</v>
      </c>
      <c r="E929" s="221" t="s">
        <v>3295</v>
      </c>
      <c r="F929" s="221" t="s">
        <v>3299</v>
      </c>
      <c r="G929" s="222">
        <v>45188</v>
      </c>
      <c r="H929" s="223">
        <v>15.291666666666666</v>
      </c>
      <c r="I929" s="221" t="s">
        <v>37</v>
      </c>
      <c r="J929" s="221" t="s">
        <v>3023</v>
      </c>
      <c r="K929" s="224" t="s">
        <v>3071</v>
      </c>
      <c r="L929" s="225" t="str">
        <f>VLOOKUP(Logfile_S[[#This Row],[Material Name]],Sheet2!B:C,2,0)</f>
        <v>ZTE1003</v>
      </c>
      <c r="M929" s="225" t="str">
        <f>_xlfn.XLOOKUP(Logfile_S[[#This Row],[Material Name]],Sum_WH!E:E,Sum_WH!F:F,"",0)</f>
        <v>Pcs</v>
      </c>
      <c r="N929" s="221">
        <v>5</v>
      </c>
      <c r="O929" s="221" t="s">
        <v>180</v>
      </c>
      <c r="P929" s="221" t="s">
        <v>181</v>
      </c>
      <c r="Q929" s="221" t="s">
        <v>184</v>
      </c>
      <c r="R929" s="221" t="s">
        <v>185</v>
      </c>
      <c r="S929" s="221"/>
      <c r="T929" s="221"/>
      <c r="U929" s="221"/>
      <c r="V929" s="221"/>
      <c r="W929" s="221"/>
      <c r="X929" s="221"/>
      <c r="Y929" s="227"/>
      <c r="Z929" s="227" t="str">
        <f>P929</f>
        <v>Mulyorejo RW 06 Sukun</v>
      </c>
      <c r="AA929" s="276">
        <f>VLOOKUP(Logfile_S[[#This Row],[DO number]],DO_DB!G:I,3,0)</f>
        <v>45188</v>
      </c>
      <c r="AB929" s="331" t="b">
        <f>EXACT(Logfile_S[[#This Row],[date pick]],Logfile_S[[#This Row],[Date]])</f>
        <v>1</v>
      </c>
      <c r="AC9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30" spans="1:29" ht="14.5">
      <c r="A930" s="220" t="str">
        <f>TEXT(ROW(A930)-ROW($A$4),"000")</f>
        <v>926</v>
      </c>
      <c r="B930" s="221"/>
      <c r="C930" s="221" t="s">
        <v>48</v>
      </c>
      <c r="D930" s="221" t="s">
        <v>3718</v>
      </c>
      <c r="E930" s="221" t="s">
        <v>3295</v>
      </c>
      <c r="F930" s="221" t="s">
        <v>3299</v>
      </c>
      <c r="G930" s="222">
        <v>45192</v>
      </c>
      <c r="H930" s="223">
        <v>0.67013888888888884</v>
      </c>
      <c r="I930" s="221" t="s">
        <v>3586</v>
      </c>
      <c r="J930" s="221" t="s">
        <v>3023</v>
      </c>
      <c r="K930" s="224" t="s">
        <v>3070</v>
      </c>
      <c r="L930" s="225" t="str">
        <f>VLOOKUP(Logfile_S[[#This Row],[Material Name]],Sheet2!B:C,2,0)</f>
        <v>ZTE1002</v>
      </c>
      <c r="M930" s="225" t="str">
        <f>_xlfn.XLOOKUP(Logfile_S[[#This Row],[Material Name]],Sum_WH!E:E,Sum_WH!F:F,"",0)</f>
        <v>Pcs</v>
      </c>
      <c r="N930" s="221">
        <v>1</v>
      </c>
      <c r="O930" s="221" t="s">
        <v>180</v>
      </c>
      <c r="P930" s="221" t="s">
        <v>181</v>
      </c>
      <c r="Q930" s="221">
        <v>0</v>
      </c>
      <c r="R930" s="221">
        <v>0</v>
      </c>
      <c r="S930" s="221"/>
      <c r="T930" s="221"/>
      <c r="U930" s="221"/>
      <c r="V930" s="221"/>
      <c r="W930" s="221"/>
      <c r="X930" s="221"/>
      <c r="Y930" s="227"/>
      <c r="Z930" s="227" t="str">
        <f>P930</f>
        <v>Mulyorejo RW 06 Sukun</v>
      </c>
      <c r="AA930" s="276" t="e">
        <f>VLOOKUP(Logfile_S[[#This Row],[DO number]],DO_DB!G:I,3,0)</f>
        <v>#N/A</v>
      </c>
      <c r="AB930" s="331" t="e">
        <f>EXACT(Logfile_S[[#This Row],[date pick]],Logfile_S[[#This Row],[Date]])</f>
        <v>#N/A</v>
      </c>
      <c r="AC9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31" spans="1:29" ht="14.5">
      <c r="A931" s="220" t="str">
        <f>TEXT(ROW(A931)-ROW($A$4),"000")</f>
        <v>927</v>
      </c>
      <c r="B931" s="221"/>
      <c r="C931" s="221" t="s">
        <v>49</v>
      </c>
      <c r="D931" s="221" t="s">
        <v>3717</v>
      </c>
      <c r="E931" s="221" t="s">
        <v>3295</v>
      </c>
      <c r="F931" s="221" t="s">
        <v>3299</v>
      </c>
      <c r="G931" s="222">
        <v>45192</v>
      </c>
      <c r="H931" s="223">
        <v>0.58888888888888891</v>
      </c>
      <c r="I931" s="221" t="s">
        <v>4916</v>
      </c>
      <c r="J931" s="221" t="s">
        <v>3023</v>
      </c>
      <c r="K931" s="224" t="s">
        <v>3070</v>
      </c>
      <c r="L931" s="225" t="str">
        <f>VLOOKUP(Logfile_S[[#This Row],[Material Name]],Sheet2!B:C,2,0)</f>
        <v>ZTE1002</v>
      </c>
      <c r="M931" s="225" t="str">
        <f>_xlfn.XLOOKUP(Logfile_S[[#This Row],[Material Name]],Sum_WH!E:E,Sum_WH!F:F,"",0)</f>
        <v>Pcs</v>
      </c>
      <c r="N931" s="221">
        <v>4</v>
      </c>
      <c r="O931" s="221" t="s">
        <v>180</v>
      </c>
      <c r="P931" s="221" t="s">
        <v>181</v>
      </c>
      <c r="Q931" s="221"/>
      <c r="R931" s="221"/>
      <c r="S931" s="221"/>
      <c r="T931" s="221" t="s">
        <v>3322</v>
      </c>
      <c r="U931" s="221" t="s">
        <v>3323</v>
      </c>
      <c r="V931" s="221" t="s">
        <v>3324</v>
      </c>
      <c r="W931" s="221" t="s">
        <v>3325</v>
      </c>
      <c r="X931" s="221"/>
      <c r="Y931" s="227"/>
      <c r="Z931" s="227" t="str">
        <f>P931</f>
        <v>Mulyorejo RW 06 Sukun</v>
      </c>
      <c r="AA931" s="276" t="e">
        <f>VLOOKUP(Logfile_S[[#This Row],[DO number]],DO_DB!G:I,3,0)</f>
        <v>#N/A</v>
      </c>
      <c r="AB931" s="331" t="e">
        <f>EXACT(Logfile_S[[#This Row],[date pick]],Logfile_S[[#This Row],[Date]])</f>
        <v>#N/A</v>
      </c>
      <c r="AC9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32" spans="1:29" ht="14.5">
      <c r="A932" s="220" t="str">
        <f>TEXT(ROW(A932)-ROW($A$4),"000")</f>
        <v>928</v>
      </c>
      <c r="B932" s="221"/>
      <c r="C932" s="221" t="s">
        <v>49</v>
      </c>
      <c r="D932" s="221" t="s">
        <v>3717</v>
      </c>
      <c r="E932" s="221" t="s">
        <v>3295</v>
      </c>
      <c r="F932" s="221" t="s">
        <v>3299</v>
      </c>
      <c r="G932" s="222">
        <v>45192</v>
      </c>
      <c r="H932" s="223">
        <v>0.58888888888888891</v>
      </c>
      <c r="I932" s="221" t="s">
        <v>4916</v>
      </c>
      <c r="J932" s="221" t="s">
        <v>3023</v>
      </c>
      <c r="K932" s="224" t="s">
        <v>3069</v>
      </c>
      <c r="L932" s="225" t="str">
        <f>VLOOKUP(Logfile_S[[#This Row],[Material Name]],Sheet2!B:C,2,0)</f>
        <v>ZTE1001</v>
      </c>
      <c r="M932" s="225" t="str">
        <f>_xlfn.XLOOKUP(Logfile_S[[#This Row],[Material Name]],Sum_WH!E:E,Sum_WH!F:F,"",0)</f>
        <v>Pcs</v>
      </c>
      <c r="N932" s="221">
        <v>5</v>
      </c>
      <c r="O932" s="221" t="s">
        <v>180</v>
      </c>
      <c r="P932" s="221" t="s">
        <v>181</v>
      </c>
      <c r="Q932" s="221"/>
      <c r="R932" s="221"/>
      <c r="S932" s="221"/>
      <c r="T932" s="221" t="s">
        <v>3322</v>
      </c>
      <c r="U932" s="221" t="s">
        <v>3323</v>
      </c>
      <c r="V932" s="221" t="s">
        <v>3324</v>
      </c>
      <c r="W932" s="221" t="s">
        <v>3325</v>
      </c>
      <c r="X932" s="221"/>
      <c r="Y932" s="227"/>
      <c r="Z932" s="227" t="str">
        <f>P932</f>
        <v>Mulyorejo RW 06 Sukun</v>
      </c>
      <c r="AA932" s="276" t="e">
        <f>VLOOKUP(Logfile_S[[#This Row],[DO number]],DO_DB!G:I,3,0)</f>
        <v>#N/A</v>
      </c>
      <c r="AB932" s="331" t="e">
        <f>EXACT(Logfile_S[[#This Row],[date pick]],Logfile_S[[#This Row],[Date]])</f>
        <v>#N/A</v>
      </c>
      <c r="AC9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33" spans="1:29" ht="14.5">
      <c r="A933" s="220" t="str">
        <f>TEXT(ROW(A933)-ROW($A$4),"000")</f>
        <v>929</v>
      </c>
      <c r="B933" s="221"/>
      <c r="C933" s="221" t="s">
        <v>49</v>
      </c>
      <c r="D933" s="221" t="s">
        <v>3716</v>
      </c>
      <c r="E933" s="221" t="s">
        <v>3295</v>
      </c>
      <c r="F933" s="221" t="s">
        <v>3299</v>
      </c>
      <c r="G933" s="222">
        <v>45192</v>
      </c>
      <c r="H933" s="223">
        <v>0.29652777777777778</v>
      </c>
      <c r="I933" s="221" t="s">
        <v>4916</v>
      </c>
      <c r="J933" s="221" t="s">
        <v>3023</v>
      </c>
      <c r="K933" s="224" t="s">
        <v>3069</v>
      </c>
      <c r="L933" s="225" t="str">
        <f>VLOOKUP(Logfile_S[[#This Row],[Material Name]],Sheet2!B:C,2,0)</f>
        <v>ZTE1001</v>
      </c>
      <c r="M933" s="225" t="str">
        <f>_xlfn.XLOOKUP(Logfile_S[[#This Row],[Material Name]],Sum_WH!E:E,Sum_WH!F:F,"",0)</f>
        <v>Pcs</v>
      </c>
      <c r="N933" s="221">
        <v>11</v>
      </c>
      <c r="O933" s="221" t="s">
        <v>180</v>
      </c>
      <c r="P933" s="221" t="s">
        <v>181</v>
      </c>
      <c r="Q933" s="221"/>
      <c r="R933" s="221"/>
      <c r="S933" s="221"/>
      <c r="T933" s="221" t="s">
        <v>3322</v>
      </c>
      <c r="U933" s="221" t="s">
        <v>3323</v>
      </c>
      <c r="V933" s="221" t="s">
        <v>3324</v>
      </c>
      <c r="W933" s="221" t="s">
        <v>3325</v>
      </c>
      <c r="X933" s="221"/>
      <c r="Y933" s="227"/>
      <c r="Z933" s="227" t="str">
        <f>P933</f>
        <v>Mulyorejo RW 06 Sukun</v>
      </c>
      <c r="AA933" s="276" t="e">
        <f>VLOOKUP(Logfile_S[[#This Row],[DO number]],DO_DB!G:I,3,0)</f>
        <v>#N/A</v>
      </c>
      <c r="AB933" s="331" t="e">
        <f>EXACT(Logfile_S[[#This Row],[date pick]],Logfile_S[[#This Row],[Date]])</f>
        <v>#N/A</v>
      </c>
      <c r="AC9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34" spans="1:29" ht="14.5">
      <c r="A934" s="220" t="str">
        <f>TEXT(ROW(A934)-ROW($A$4),"000")</f>
        <v>930</v>
      </c>
      <c r="B934" s="221"/>
      <c r="C934" s="221" t="s">
        <v>48</v>
      </c>
      <c r="D934" s="221" t="s">
        <v>3718</v>
      </c>
      <c r="E934" s="221" t="s">
        <v>3295</v>
      </c>
      <c r="F934" s="221" t="s">
        <v>3299</v>
      </c>
      <c r="G934" s="222">
        <v>45192</v>
      </c>
      <c r="H934" s="223">
        <v>0.67013888888888884</v>
      </c>
      <c r="I934" s="221" t="s">
        <v>3586</v>
      </c>
      <c r="J934" s="221" t="s">
        <v>3023</v>
      </c>
      <c r="K934" s="224" t="s">
        <v>3071</v>
      </c>
      <c r="L934" s="225" t="str">
        <f>VLOOKUP(Logfile_S[[#This Row],[Material Name]],Sheet2!B:C,2,0)</f>
        <v>ZTE1003</v>
      </c>
      <c r="M934" s="225" t="str">
        <f>_xlfn.XLOOKUP(Logfile_S[[#This Row],[Material Name]],Sum_WH!E:E,Sum_WH!F:F,"",0)</f>
        <v>Pcs</v>
      </c>
      <c r="N934" s="221">
        <v>4</v>
      </c>
      <c r="O934" s="221" t="s">
        <v>180</v>
      </c>
      <c r="P934" s="221" t="s">
        <v>181</v>
      </c>
      <c r="Q934" s="221">
        <v>0</v>
      </c>
      <c r="R934" s="221" t="s">
        <v>3147</v>
      </c>
      <c r="S934" s="221"/>
      <c r="T934" s="221"/>
      <c r="U934" s="221"/>
      <c r="V934" s="221"/>
      <c r="W934" s="221"/>
      <c r="X934" s="221" t="s">
        <v>3599</v>
      </c>
      <c r="Y934" s="227"/>
      <c r="Z934" s="227" t="str">
        <f>P934</f>
        <v>Mulyorejo RW 06 Sukun</v>
      </c>
      <c r="AA934" s="276" t="e">
        <f>VLOOKUP(Logfile_S[[#This Row],[DO number]],DO_DB!G:I,3,0)</f>
        <v>#N/A</v>
      </c>
      <c r="AB934" s="331" t="e">
        <f>EXACT(Logfile_S[[#This Row],[date pick]],Logfile_S[[#This Row],[Date]])</f>
        <v>#N/A</v>
      </c>
      <c r="AC9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35" spans="1:29" ht="14.5">
      <c r="A935" s="220" t="str">
        <f>TEXT(ROW(A935)-ROW($A$4),"000")</f>
        <v>931</v>
      </c>
      <c r="B935" s="221"/>
      <c r="C935" s="221" t="s">
        <v>49</v>
      </c>
      <c r="D935" s="221" t="s">
        <v>3716</v>
      </c>
      <c r="E935" s="221" t="s">
        <v>3295</v>
      </c>
      <c r="F935" s="221" t="s">
        <v>3299</v>
      </c>
      <c r="G935" s="222">
        <v>45192</v>
      </c>
      <c r="H935" s="223">
        <v>0.29652777777777778</v>
      </c>
      <c r="I935" s="221" t="s">
        <v>4916</v>
      </c>
      <c r="J935" s="221" t="s">
        <v>3023</v>
      </c>
      <c r="K935" s="224" t="s">
        <v>3071</v>
      </c>
      <c r="L935" s="225" t="str">
        <f>VLOOKUP(Logfile_S[[#This Row],[Material Name]],Sheet2!B:C,2,0)</f>
        <v>ZTE1003</v>
      </c>
      <c r="M935" s="225" t="str">
        <f>_xlfn.XLOOKUP(Logfile_S[[#This Row],[Material Name]],Sum_WH!E:E,Sum_WH!F:F,"",0)</f>
        <v>Pcs</v>
      </c>
      <c r="N935" s="221">
        <v>6</v>
      </c>
      <c r="O935" s="221" t="s">
        <v>180</v>
      </c>
      <c r="P935" s="221" t="s">
        <v>181</v>
      </c>
      <c r="Q935" s="221"/>
      <c r="R935" s="221"/>
      <c r="S935" s="221"/>
      <c r="T935" s="221" t="s">
        <v>3322</v>
      </c>
      <c r="U935" s="221" t="s">
        <v>3323</v>
      </c>
      <c r="V935" s="221" t="s">
        <v>3324</v>
      </c>
      <c r="W935" s="221" t="s">
        <v>3325</v>
      </c>
      <c r="X935" s="221"/>
      <c r="Y935" s="227"/>
      <c r="Z935" s="227" t="str">
        <f>P935</f>
        <v>Mulyorejo RW 06 Sukun</v>
      </c>
      <c r="AA935" s="276" t="e">
        <f>VLOOKUP(Logfile_S[[#This Row],[DO number]],DO_DB!G:I,3,0)</f>
        <v>#N/A</v>
      </c>
      <c r="AB935" s="331" t="e">
        <f>EXACT(Logfile_S[[#This Row],[date pick]],Logfile_S[[#This Row],[Date]])</f>
        <v>#N/A</v>
      </c>
      <c r="AC9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36" spans="1:29" ht="14.5">
      <c r="A936" s="220" t="str">
        <f>TEXT(ROW(A936)-ROW($A$4),"000")</f>
        <v>932</v>
      </c>
      <c r="B936" s="221"/>
      <c r="C936" s="221" t="s">
        <v>49</v>
      </c>
      <c r="D936" s="221" t="s">
        <v>3721</v>
      </c>
      <c r="E936" s="221" t="s">
        <v>3295</v>
      </c>
      <c r="F936" s="221" t="s">
        <v>3299</v>
      </c>
      <c r="G936" s="222">
        <v>45193</v>
      </c>
      <c r="H936" s="223">
        <v>0.31666666666666665</v>
      </c>
      <c r="I936" s="221" t="s">
        <v>4916</v>
      </c>
      <c r="J936" s="221" t="s">
        <v>3023</v>
      </c>
      <c r="K936" s="224" t="s">
        <v>3073</v>
      </c>
      <c r="L936" s="225" t="str">
        <f>VLOOKUP(Logfile_S[[#This Row],[Material Name]],Sheet2!B:C,2,0)</f>
        <v>ZTE2001</v>
      </c>
      <c r="M936" s="225" t="str">
        <f>_xlfn.XLOOKUP(Logfile_S[[#This Row],[Material Name]],Sum_WH!E:E,Sum_WH!F:F,"",0)</f>
        <v>Meter</v>
      </c>
      <c r="N936" s="221">
        <v>3000</v>
      </c>
      <c r="O936" s="221" t="s">
        <v>180</v>
      </c>
      <c r="P936" s="221" t="s">
        <v>181</v>
      </c>
      <c r="Q936" s="221"/>
      <c r="R936" s="221"/>
      <c r="S936" s="221"/>
      <c r="T936" s="221" t="s">
        <v>3322</v>
      </c>
      <c r="U936" s="221" t="s">
        <v>3323</v>
      </c>
      <c r="V936" s="221" t="s">
        <v>3324</v>
      </c>
      <c r="W936" s="221" t="s">
        <v>3386</v>
      </c>
      <c r="X936" s="221" t="s">
        <v>3484</v>
      </c>
      <c r="Y936" s="227" t="s">
        <v>4955</v>
      </c>
      <c r="Z936" s="227" t="str">
        <f>P936</f>
        <v>Mulyorejo RW 06 Sukun</v>
      </c>
      <c r="AA936" s="276" t="e">
        <f>VLOOKUP(Logfile_S[[#This Row],[DO number]],DO_DB!G:I,3,0)</f>
        <v>#N/A</v>
      </c>
      <c r="AB936" s="331" t="e">
        <f>EXACT(Logfile_S[[#This Row],[date pick]],Logfile_S[[#This Row],[Date]])</f>
        <v>#N/A</v>
      </c>
      <c r="AC9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24C-2023919-01</v>
      </c>
    </row>
    <row r="937" spans="1:29" ht="14.5">
      <c r="A937" s="220" t="str">
        <f>TEXT(ROW(A937)-ROW($A$4),"000")</f>
        <v>933</v>
      </c>
      <c r="B937" s="221"/>
      <c r="C937" s="221" t="s">
        <v>49</v>
      </c>
      <c r="D937" s="221" t="s">
        <v>3720</v>
      </c>
      <c r="E937" s="221" t="s">
        <v>3295</v>
      </c>
      <c r="F937" s="221" t="s">
        <v>3299</v>
      </c>
      <c r="G937" s="222">
        <v>45193</v>
      </c>
      <c r="H937" s="223">
        <v>0.67013888888888884</v>
      </c>
      <c r="I937" s="221" t="s">
        <v>4916</v>
      </c>
      <c r="J937" s="221" t="s">
        <v>3023</v>
      </c>
      <c r="K937" s="224" t="s">
        <v>3075</v>
      </c>
      <c r="L937" s="225" t="str">
        <f>VLOOKUP(Logfile_S[[#This Row],[Material Name]],Sheet2!B:C,2,0)</f>
        <v>ZTE2003</v>
      </c>
      <c r="M937" s="225" t="str">
        <f>_xlfn.XLOOKUP(Logfile_S[[#This Row],[Material Name]],Sum_WH!E:E,Sum_WH!F:F,"",0)</f>
        <v>Meter</v>
      </c>
      <c r="N937" s="221">
        <v>3000</v>
      </c>
      <c r="O937" s="221" t="s">
        <v>180</v>
      </c>
      <c r="P937" s="221" t="s">
        <v>181</v>
      </c>
      <c r="Q937" s="221"/>
      <c r="R937" s="221"/>
      <c r="S937" s="221"/>
      <c r="T937" s="221" t="s">
        <v>3322</v>
      </c>
      <c r="U937" s="221" t="s">
        <v>3323</v>
      </c>
      <c r="V937" s="221" t="s">
        <v>3324</v>
      </c>
      <c r="W937" s="221" t="s">
        <v>3386</v>
      </c>
      <c r="X937" s="221" t="s">
        <v>5347</v>
      </c>
      <c r="Y937" s="227" t="s">
        <v>5051</v>
      </c>
      <c r="Z937" s="227" t="str">
        <f>P937</f>
        <v>Mulyorejo RW 06 Sukun</v>
      </c>
      <c r="AA937" s="276" t="e">
        <f>VLOOKUP(Logfile_S[[#This Row],[DO number]],DO_DB!G:I,3,0)</f>
        <v>#N/A</v>
      </c>
      <c r="AB937" s="331" t="e">
        <f>EXACT(Logfile_S[[#This Row],[date pick]],Logfile_S[[#This Row],[Date]])</f>
        <v>#N/A</v>
      </c>
      <c r="AC9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48C-2023916-01</v>
      </c>
    </row>
    <row r="938" spans="1:29" ht="14.5">
      <c r="A938" s="220" t="str">
        <f>TEXT(ROW(A938)-ROW($A$4),"000")</f>
        <v>934</v>
      </c>
      <c r="B938" s="221"/>
      <c r="C938" s="221" t="s">
        <v>49</v>
      </c>
      <c r="D938" s="221" t="s">
        <v>3719</v>
      </c>
      <c r="E938" s="221" t="s">
        <v>3295</v>
      </c>
      <c r="F938" s="221" t="s">
        <v>3299</v>
      </c>
      <c r="G938" s="222">
        <v>45193</v>
      </c>
      <c r="H938" s="223">
        <v>0.31666666666666665</v>
      </c>
      <c r="I938" s="221" t="s">
        <v>4916</v>
      </c>
      <c r="J938" s="221" t="s">
        <v>3024</v>
      </c>
      <c r="K938" s="224" t="s">
        <v>3087</v>
      </c>
      <c r="L938" s="225" t="str">
        <f>VLOOKUP(Logfile_S[[#This Row],[Material Name]],Sheet2!B:C,2,0)</f>
        <v>GCI1001</v>
      </c>
      <c r="M938" s="225" t="str">
        <f>_xlfn.XLOOKUP(Logfile_S[[#This Row],[Material Name]],Sum_WH!E:E,Sum_WH!F:F,"",0)</f>
        <v>Pcs</v>
      </c>
      <c r="N938" s="221">
        <v>12</v>
      </c>
      <c r="O938" s="221" t="s">
        <v>180</v>
      </c>
      <c r="P938" s="221" t="s">
        <v>181</v>
      </c>
      <c r="Q938" s="221"/>
      <c r="R938" s="221"/>
      <c r="S938" s="221"/>
      <c r="T938" s="221" t="s">
        <v>3322</v>
      </c>
      <c r="U938" s="221" t="s">
        <v>3323</v>
      </c>
      <c r="V938" s="221" t="s">
        <v>3324</v>
      </c>
      <c r="W938" s="221" t="s">
        <v>3386</v>
      </c>
      <c r="X938" s="221"/>
      <c r="Y938" s="227"/>
      <c r="Z938" s="227" t="str">
        <f>P938</f>
        <v>Mulyorejo RW 06 Sukun</v>
      </c>
      <c r="AA938" s="276" t="e">
        <f>VLOOKUP(Logfile_S[[#This Row],[DO number]],DO_DB!G:I,3,0)</f>
        <v>#N/A</v>
      </c>
      <c r="AB938" s="331" t="e">
        <f>EXACT(Logfile_S[[#This Row],[date pick]],Logfile_S[[#This Row],[Date]])</f>
        <v>#N/A</v>
      </c>
      <c r="AC9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39" spans="1:29" ht="14.5">
      <c r="A939" s="220" t="str">
        <f>TEXT(ROW(A939)-ROW($A$4),"000")</f>
        <v>935</v>
      </c>
      <c r="B939" s="221"/>
      <c r="C939" s="221" t="s">
        <v>49</v>
      </c>
      <c r="D939" s="221" t="s">
        <v>3719</v>
      </c>
      <c r="E939" s="221" t="s">
        <v>3295</v>
      </c>
      <c r="F939" s="221" t="s">
        <v>3299</v>
      </c>
      <c r="G939" s="222">
        <v>45193</v>
      </c>
      <c r="H939" s="223">
        <v>0.31666666666666665</v>
      </c>
      <c r="I939" s="221" t="s">
        <v>4916</v>
      </c>
      <c r="J939" s="221" t="s">
        <v>3024</v>
      </c>
      <c r="K939" s="224" t="s">
        <v>5137</v>
      </c>
      <c r="L939" s="225" t="str">
        <f>VLOOKUP(Logfile_S[[#This Row],[Material Name]],Sheet2!B:C,2,0)</f>
        <v>GCI1009</v>
      </c>
      <c r="M939" s="225" t="str">
        <f>_xlfn.XLOOKUP(Logfile_S[[#This Row],[Material Name]],Sum_WH!E:E,Sum_WH!F:F,"",0)</f>
        <v>Pcs</v>
      </c>
      <c r="N939" s="221">
        <v>37</v>
      </c>
      <c r="O939" s="221" t="s">
        <v>180</v>
      </c>
      <c r="P939" s="221" t="s">
        <v>181</v>
      </c>
      <c r="Q939" s="221"/>
      <c r="R939" s="221"/>
      <c r="S939" s="221"/>
      <c r="T939" s="221" t="s">
        <v>3322</v>
      </c>
      <c r="U939" s="221" t="s">
        <v>3323</v>
      </c>
      <c r="V939" s="221" t="s">
        <v>3324</v>
      </c>
      <c r="W939" s="221" t="s">
        <v>3386</v>
      </c>
      <c r="X939" s="221"/>
      <c r="Y939" s="227"/>
      <c r="Z939" s="227" t="str">
        <f>P939</f>
        <v>Mulyorejo RW 06 Sukun</v>
      </c>
      <c r="AA939" s="276" t="e">
        <f>VLOOKUP(Logfile_S[[#This Row],[DO number]],DO_DB!G:I,3,0)</f>
        <v>#N/A</v>
      </c>
      <c r="AB939" s="331" t="e">
        <f>EXACT(Logfile_S[[#This Row],[date pick]],Logfile_S[[#This Row],[Date]])</f>
        <v>#N/A</v>
      </c>
      <c r="AC9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40" spans="1:29" ht="14.5">
      <c r="A940" s="220" t="str">
        <f>TEXT(ROW(A940)-ROW($A$4),"000")</f>
        <v>936</v>
      </c>
      <c r="B940" s="221"/>
      <c r="C940" s="221" t="s">
        <v>49</v>
      </c>
      <c r="D940" s="221" t="s">
        <v>3719</v>
      </c>
      <c r="E940" s="221" t="s">
        <v>3295</v>
      </c>
      <c r="F940" s="221" t="s">
        <v>3299</v>
      </c>
      <c r="G940" s="222">
        <v>45193</v>
      </c>
      <c r="H940" s="223">
        <v>0.31666666666666665</v>
      </c>
      <c r="I940" s="221" t="s">
        <v>4916</v>
      </c>
      <c r="J940" s="221" t="s">
        <v>3024</v>
      </c>
      <c r="K940" s="224" t="s">
        <v>3088</v>
      </c>
      <c r="L940" s="225" t="str">
        <f>VLOOKUP(Logfile_S[[#This Row],[Material Name]],Sheet2!B:C,2,0)</f>
        <v>GCI1002</v>
      </c>
      <c r="M940" s="225" t="str">
        <f>_xlfn.XLOOKUP(Logfile_S[[#This Row],[Material Name]],Sum_WH!E:E,Sum_WH!F:F,"",0)</f>
        <v>Pcs</v>
      </c>
      <c r="N940" s="221">
        <v>1</v>
      </c>
      <c r="O940" s="221" t="s">
        <v>180</v>
      </c>
      <c r="P940" s="221" t="s">
        <v>181</v>
      </c>
      <c r="Q940" s="221"/>
      <c r="R940" s="221"/>
      <c r="S940" s="221"/>
      <c r="T940" s="221" t="s">
        <v>3322</v>
      </c>
      <c r="U940" s="221" t="s">
        <v>3323</v>
      </c>
      <c r="V940" s="221" t="s">
        <v>3324</v>
      </c>
      <c r="W940" s="221" t="s">
        <v>3386</v>
      </c>
      <c r="X940" s="221"/>
      <c r="Y940" s="227"/>
      <c r="Z940" s="227" t="str">
        <f>P940</f>
        <v>Mulyorejo RW 06 Sukun</v>
      </c>
      <c r="AA940" s="276" t="e">
        <f>VLOOKUP(Logfile_S[[#This Row],[DO number]],DO_DB!G:I,3,0)</f>
        <v>#N/A</v>
      </c>
      <c r="AB940" s="331" t="e">
        <f>EXACT(Logfile_S[[#This Row],[date pick]],Logfile_S[[#This Row],[Date]])</f>
        <v>#N/A</v>
      </c>
      <c r="AC9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41" spans="1:29" ht="14.5">
      <c r="A941" s="220" t="str">
        <f>TEXT(ROW(A941)-ROW($A$4),"000")</f>
        <v>937</v>
      </c>
      <c r="B941" s="221"/>
      <c r="C941" s="221" t="s">
        <v>49</v>
      </c>
      <c r="D941" s="221" t="s">
        <v>3719</v>
      </c>
      <c r="E941" s="221" t="s">
        <v>3295</v>
      </c>
      <c r="F941" s="221" t="s">
        <v>3299</v>
      </c>
      <c r="G941" s="222">
        <v>45193</v>
      </c>
      <c r="H941" s="223">
        <v>0.31666666666666665</v>
      </c>
      <c r="I941" s="221" t="s">
        <v>4916</v>
      </c>
      <c r="J941" s="221" t="s">
        <v>3023</v>
      </c>
      <c r="K941" s="224" t="s">
        <v>3069</v>
      </c>
      <c r="L941" s="225" t="str">
        <f>VLOOKUP(Logfile_S[[#This Row],[Material Name]],Sheet2!B:C,2,0)</f>
        <v>ZTE1001</v>
      </c>
      <c r="M941" s="225" t="str">
        <f>_xlfn.XLOOKUP(Logfile_S[[#This Row],[Material Name]],Sum_WH!E:E,Sum_WH!F:F,"",0)</f>
        <v>Pcs</v>
      </c>
      <c r="N941" s="221">
        <v>1</v>
      </c>
      <c r="O941" s="221" t="s">
        <v>180</v>
      </c>
      <c r="P941" s="221" t="s">
        <v>181</v>
      </c>
      <c r="Q941" s="221"/>
      <c r="R941" s="221"/>
      <c r="S941" s="221"/>
      <c r="T941" s="221" t="s">
        <v>3322</v>
      </c>
      <c r="U941" s="221" t="s">
        <v>3323</v>
      </c>
      <c r="V941" s="221" t="s">
        <v>3324</v>
      </c>
      <c r="W941" s="221" t="s">
        <v>3386</v>
      </c>
      <c r="X941" s="221"/>
      <c r="Y941" s="227"/>
      <c r="Z941" s="227" t="str">
        <f>P941</f>
        <v>Mulyorejo RW 06 Sukun</v>
      </c>
      <c r="AA941" s="276" t="e">
        <f>VLOOKUP(Logfile_S[[#This Row],[DO number]],DO_DB!G:I,3,0)</f>
        <v>#N/A</v>
      </c>
      <c r="AB941" s="331" t="e">
        <f>EXACT(Logfile_S[[#This Row],[date pick]],Logfile_S[[#This Row],[Date]])</f>
        <v>#N/A</v>
      </c>
      <c r="AC9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42" spans="1:29" ht="14.5">
      <c r="A942" s="220" t="str">
        <f>TEXT(ROW(A942)-ROW($A$4),"000")</f>
        <v>938</v>
      </c>
      <c r="B942" s="221"/>
      <c r="C942" s="221" t="s">
        <v>49</v>
      </c>
      <c r="D942" s="221" t="s">
        <v>3719</v>
      </c>
      <c r="E942" s="221" t="s">
        <v>3295</v>
      </c>
      <c r="F942" s="221" t="s">
        <v>3299</v>
      </c>
      <c r="G942" s="222">
        <v>45193</v>
      </c>
      <c r="H942" s="223">
        <v>0.31666666666666665</v>
      </c>
      <c r="I942" s="221" t="s">
        <v>4916</v>
      </c>
      <c r="J942" s="221" t="s">
        <v>3024</v>
      </c>
      <c r="K942" s="224" t="s">
        <v>3094</v>
      </c>
      <c r="L942" s="225" t="str">
        <f>VLOOKUP(Logfile_S[[#This Row],[Material Name]],Sheet2!B:C,2,0)</f>
        <v>GCI1008</v>
      </c>
      <c r="M942" s="225" t="str">
        <f>_xlfn.XLOOKUP(Logfile_S[[#This Row],[Material Name]],Sum_WH!E:E,Sum_WH!F:F,"",0)</f>
        <v>Pcs</v>
      </c>
      <c r="N942" s="221">
        <v>26</v>
      </c>
      <c r="O942" s="221" t="s">
        <v>180</v>
      </c>
      <c r="P942" s="221" t="s">
        <v>181</v>
      </c>
      <c r="Q942" s="221"/>
      <c r="R942" s="221"/>
      <c r="S942" s="221"/>
      <c r="T942" s="221" t="s">
        <v>3322</v>
      </c>
      <c r="U942" s="221" t="s">
        <v>3323</v>
      </c>
      <c r="V942" s="221" t="s">
        <v>3324</v>
      </c>
      <c r="W942" s="221" t="s">
        <v>3386</v>
      </c>
      <c r="X942" s="221"/>
      <c r="Y942" s="227"/>
      <c r="Z942" s="227" t="str">
        <f>P942</f>
        <v>Mulyorejo RW 06 Sukun</v>
      </c>
      <c r="AA942" s="276" t="e">
        <f>VLOOKUP(Logfile_S[[#This Row],[DO number]],DO_DB!G:I,3,0)</f>
        <v>#N/A</v>
      </c>
      <c r="AB942" s="331" t="e">
        <f>EXACT(Logfile_S[[#This Row],[date pick]],Logfile_S[[#This Row],[Date]])</f>
        <v>#N/A</v>
      </c>
      <c r="AC9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43" spans="1:29" ht="14.5">
      <c r="A943" s="220" t="str">
        <f>TEXT(ROW(A943)-ROW($A$4),"000")</f>
        <v>939</v>
      </c>
      <c r="B943" s="221"/>
      <c r="C943" s="221" t="s">
        <v>49</v>
      </c>
      <c r="D943" s="221" t="s">
        <v>3719</v>
      </c>
      <c r="E943" s="221" t="s">
        <v>3295</v>
      </c>
      <c r="F943" s="221" t="s">
        <v>3299</v>
      </c>
      <c r="G943" s="222">
        <v>45193</v>
      </c>
      <c r="H943" s="223">
        <v>0.31666666666666665</v>
      </c>
      <c r="I943" s="221" t="s">
        <v>4916</v>
      </c>
      <c r="J943" s="221" t="s">
        <v>3024</v>
      </c>
      <c r="K943" s="224" t="s">
        <v>3092</v>
      </c>
      <c r="L943" s="225" t="str">
        <f>VLOOKUP(Logfile_S[[#This Row],[Material Name]],Sheet2!B:C,2,0)</f>
        <v>GCI1006</v>
      </c>
      <c r="M943" s="225" t="str">
        <f>_xlfn.XLOOKUP(Logfile_S[[#This Row],[Material Name]],Sum_WH!E:E,Sum_WH!F:F,"",0)</f>
        <v>Pcs</v>
      </c>
      <c r="N943" s="221">
        <v>37</v>
      </c>
      <c r="O943" s="221" t="s">
        <v>180</v>
      </c>
      <c r="P943" s="221" t="s">
        <v>181</v>
      </c>
      <c r="Q943" s="221"/>
      <c r="R943" s="221"/>
      <c r="S943" s="221"/>
      <c r="T943" s="221" t="s">
        <v>3322</v>
      </c>
      <c r="U943" s="221" t="s">
        <v>3323</v>
      </c>
      <c r="V943" s="221" t="s">
        <v>3324</v>
      </c>
      <c r="W943" s="221" t="s">
        <v>3386</v>
      </c>
      <c r="X943" s="221"/>
      <c r="Y943" s="227"/>
      <c r="Z943" s="227" t="str">
        <f>P943</f>
        <v>Mulyorejo RW 06 Sukun</v>
      </c>
      <c r="AA943" s="276" t="e">
        <f>VLOOKUP(Logfile_S[[#This Row],[DO number]],DO_DB!G:I,3,0)</f>
        <v>#N/A</v>
      </c>
      <c r="AB943" s="331" t="e">
        <f>EXACT(Logfile_S[[#This Row],[date pick]],Logfile_S[[#This Row],[Date]])</f>
        <v>#N/A</v>
      </c>
      <c r="AC9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44" spans="1:29" ht="14.5">
      <c r="A944" s="220" t="str">
        <f>TEXT(ROW(A944)-ROW($A$4),"000")</f>
        <v>940</v>
      </c>
      <c r="B944" s="221"/>
      <c r="C944" s="221" t="s">
        <v>49</v>
      </c>
      <c r="D944" s="221" t="s">
        <v>3719</v>
      </c>
      <c r="E944" s="221" t="s">
        <v>3295</v>
      </c>
      <c r="F944" s="221" t="s">
        <v>3299</v>
      </c>
      <c r="G944" s="222">
        <v>45193</v>
      </c>
      <c r="H944" s="223">
        <v>0.31666666666666665</v>
      </c>
      <c r="I944" s="221" t="s">
        <v>4916</v>
      </c>
      <c r="J944" s="221" t="s">
        <v>3024</v>
      </c>
      <c r="K944" s="224" t="s">
        <v>3089</v>
      </c>
      <c r="L944" s="225" t="str">
        <f>VLOOKUP(Logfile_S[[#This Row],[Material Name]],Sheet2!B:C,2,0)</f>
        <v>GCI1003</v>
      </c>
      <c r="M944" s="225" t="str">
        <f>_xlfn.XLOOKUP(Logfile_S[[#This Row],[Material Name]],Sum_WH!E:E,Sum_WH!F:F,"",0)</f>
        <v>Pcs</v>
      </c>
      <c r="N944" s="221">
        <v>100</v>
      </c>
      <c r="O944" s="221" t="s">
        <v>180</v>
      </c>
      <c r="P944" s="221" t="s">
        <v>181</v>
      </c>
      <c r="Q944" s="221"/>
      <c r="R944" s="221"/>
      <c r="S944" s="221"/>
      <c r="T944" s="221" t="s">
        <v>3322</v>
      </c>
      <c r="U944" s="221" t="s">
        <v>3323</v>
      </c>
      <c r="V944" s="221" t="s">
        <v>3324</v>
      </c>
      <c r="W944" s="221" t="s">
        <v>3386</v>
      </c>
      <c r="X944" s="221"/>
      <c r="Y944" s="227"/>
      <c r="Z944" s="227" t="str">
        <f>P944</f>
        <v>Mulyorejo RW 06 Sukun</v>
      </c>
      <c r="AA944" s="276" t="e">
        <f>VLOOKUP(Logfile_S[[#This Row],[DO number]],DO_DB!G:I,3,0)</f>
        <v>#N/A</v>
      </c>
      <c r="AB944" s="331" t="e">
        <f>EXACT(Logfile_S[[#This Row],[date pick]],Logfile_S[[#This Row],[Date]])</f>
        <v>#N/A</v>
      </c>
      <c r="AC9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45" spans="1:29" ht="14.5">
      <c r="A945" s="220" t="str">
        <f>TEXT(ROW(A945)-ROW($A$4),"000")</f>
        <v>941</v>
      </c>
      <c r="B945" s="221"/>
      <c r="C945" s="221" t="s">
        <v>49</v>
      </c>
      <c r="D945" s="221" t="s">
        <v>3719</v>
      </c>
      <c r="E945" s="221" t="s">
        <v>3295</v>
      </c>
      <c r="F945" s="221" t="s">
        <v>3299</v>
      </c>
      <c r="G945" s="222">
        <v>45193</v>
      </c>
      <c r="H945" s="223">
        <v>0.31666666666666665</v>
      </c>
      <c r="I945" s="221" t="s">
        <v>4916</v>
      </c>
      <c r="J945" s="221" t="s">
        <v>3024</v>
      </c>
      <c r="K945" s="224" t="s">
        <v>3090</v>
      </c>
      <c r="L945" s="225" t="str">
        <f>VLOOKUP(Logfile_S[[#This Row],[Material Name]],Sheet2!B:C,2,0)</f>
        <v>GCI1004</v>
      </c>
      <c r="M945" s="225" t="str">
        <f>_xlfn.XLOOKUP(Logfile_S[[#This Row],[Material Name]],Sum_WH!E:E,Sum_WH!F:F,"",0)</f>
        <v>Pcs</v>
      </c>
      <c r="N945" s="221">
        <v>9</v>
      </c>
      <c r="O945" s="221" t="s">
        <v>180</v>
      </c>
      <c r="P945" s="221" t="s">
        <v>181</v>
      </c>
      <c r="Q945" s="221"/>
      <c r="R945" s="221"/>
      <c r="S945" s="221"/>
      <c r="T945" s="221" t="s">
        <v>3322</v>
      </c>
      <c r="U945" s="221" t="s">
        <v>3323</v>
      </c>
      <c r="V945" s="221" t="s">
        <v>3324</v>
      </c>
      <c r="W945" s="221" t="s">
        <v>3386</v>
      </c>
      <c r="X945" s="221"/>
      <c r="Y945" s="227"/>
      <c r="Z945" s="227" t="str">
        <f>P945</f>
        <v>Mulyorejo RW 06 Sukun</v>
      </c>
      <c r="AA945" s="276" t="e">
        <f>VLOOKUP(Logfile_S[[#This Row],[DO number]],DO_DB!G:I,3,0)</f>
        <v>#N/A</v>
      </c>
      <c r="AB945" s="331" t="e">
        <f>EXACT(Logfile_S[[#This Row],[date pick]],Logfile_S[[#This Row],[Date]])</f>
        <v>#N/A</v>
      </c>
      <c r="AC9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46" spans="1:29" ht="14.5">
      <c r="A946" s="220" t="str">
        <f>TEXT(ROW(A946)-ROW($A$4),"000")</f>
        <v>942</v>
      </c>
      <c r="B946" s="221"/>
      <c r="C946" s="221" t="s">
        <v>49</v>
      </c>
      <c r="D946" s="221" t="s">
        <v>3722</v>
      </c>
      <c r="E946" s="221" t="s">
        <v>3295</v>
      </c>
      <c r="F946" s="221" t="s">
        <v>3299</v>
      </c>
      <c r="G946" s="222">
        <v>45194</v>
      </c>
      <c r="H946" s="223">
        <v>0.27083333333333331</v>
      </c>
      <c r="I946" s="221" t="s">
        <v>4916</v>
      </c>
      <c r="J946" s="221" t="s">
        <v>3024</v>
      </c>
      <c r="K946" s="224" t="s">
        <v>5137</v>
      </c>
      <c r="L946" s="225" t="str">
        <f>VLOOKUP(Logfile_S[[#This Row],[Material Name]],Sheet2!B:C,2,0)</f>
        <v>GCI1009</v>
      </c>
      <c r="M946" s="225" t="str">
        <f>_xlfn.XLOOKUP(Logfile_S[[#This Row],[Material Name]],Sum_WH!E:E,Sum_WH!F:F,"",0)</f>
        <v>Pcs</v>
      </c>
      <c r="N946" s="221">
        <v>10</v>
      </c>
      <c r="O946" s="221" t="s">
        <v>180</v>
      </c>
      <c r="P946" s="221" t="s">
        <v>181</v>
      </c>
      <c r="Q946" s="221"/>
      <c r="R946" s="221"/>
      <c r="S946" s="221"/>
      <c r="T946" s="221" t="s">
        <v>3322</v>
      </c>
      <c r="U946" s="221" t="s">
        <v>3323</v>
      </c>
      <c r="V946" s="221" t="s">
        <v>3324</v>
      </c>
      <c r="W946" s="221" t="s">
        <v>3386</v>
      </c>
      <c r="X946" s="221"/>
      <c r="Y946" s="227"/>
      <c r="Z946" s="227" t="str">
        <f>P946</f>
        <v>Mulyorejo RW 06 Sukun</v>
      </c>
      <c r="AA946" s="276" t="e">
        <f>VLOOKUP(Logfile_S[[#This Row],[DO number]],DO_DB!G:I,3,0)</f>
        <v>#N/A</v>
      </c>
      <c r="AB946" s="331" t="e">
        <f>EXACT(Logfile_S[[#This Row],[date pick]],Logfile_S[[#This Row],[Date]])</f>
        <v>#N/A</v>
      </c>
      <c r="AC9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47" spans="1:29" ht="14.5">
      <c r="A947" s="220" t="str">
        <f>TEXT(ROW(A947)-ROW($A$4),"000")</f>
        <v>943</v>
      </c>
      <c r="B947" s="221"/>
      <c r="C947" s="221" t="s">
        <v>49</v>
      </c>
      <c r="D947" s="221" t="s">
        <v>3722</v>
      </c>
      <c r="E947" s="221" t="s">
        <v>3295</v>
      </c>
      <c r="F947" s="221" t="s">
        <v>3299</v>
      </c>
      <c r="G947" s="222">
        <v>45194</v>
      </c>
      <c r="H947" s="223">
        <v>0.27083333333333331</v>
      </c>
      <c r="I947" s="221" t="s">
        <v>4916</v>
      </c>
      <c r="J947" s="221" t="s">
        <v>3023</v>
      </c>
      <c r="K947" s="224" t="s">
        <v>13</v>
      </c>
      <c r="L947" s="225" t="str">
        <f>VLOOKUP(Logfile_S[[#This Row],[Material Name]],Sheet2!B:C,2,0)</f>
        <v>ZTE2008</v>
      </c>
      <c r="M947" s="225" t="str">
        <f>_xlfn.XLOOKUP(Logfile_S[[#This Row],[Material Name]],Sum_WH!E:E,Sum_WH!F:F,"",0)</f>
        <v>Pcs</v>
      </c>
      <c r="N947" s="221">
        <v>11</v>
      </c>
      <c r="O947" s="221" t="s">
        <v>180</v>
      </c>
      <c r="P947" s="221" t="s">
        <v>181</v>
      </c>
      <c r="Q947" s="221"/>
      <c r="R947" s="221"/>
      <c r="S947" s="221"/>
      <c r="T947" s="221" t="s">
        <v>3322</v>
      </c>
      <c r="U947" s="221" t="s">
        <v>3323</v>
      </c>
      <c r="V947" s="221" t="s">
        <v>3324</v>
      </c>
      <c r="W947" s="221" t="s">
        <v>3386</v>
      </c>
      <c r="X947" s="221"/>
      <c r="Y947" s="227"/>
      <c r="Z947" s="227" t="str">
        <f>P947</f>
        <v>Mulyorejo RW 06 Sukun</v>
      </c>
      <c r="AA947" s="276" t="e">
        <f>VLOOKUP(Logfile_S[[#This Row],[DO number]],DO_DB!G:I,3,0)</f>
        <v>#N/A</v>
      </c>
      <c r="AB947" s="331" t="e">
        <f>EXACT(Logfile_S[[#This Row],[date pick]],Logfile_S[[#This Row],[Date]])</f>
        <v>#N/A</v>
      </c>
      <c r="AC9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48" spans="1:29" ht="14.5">
      <c r="A948" s="220" t="str">
        <f>TEXT(ROW(A948)-ROW($A$4),"000")</f>
        <v>944</v>
      </c>
      <c r="B948" s="221"/>
      <c r="C948" s="221" t="s">
        <v>49</v>
      </c>
      <c r="D948" s="221" t="s">
        <v>3722</v>
      </c>
      <c r="E948" s="221" t="s">
        <v>3295</v>
      </c>
      <c r="F948" s="221" t="s">
        <v>3299</v>
      </c>
      <c r="G948" s="222">
        <v>45194</v>
      </c>
      <c r="H948" s="223">
        <v>0.27083333333333331</v>
      </c>
      <c r="I948" s="221" t="s">
        <v>4916</v>
      </c>
      <c r="J948" s="221" t="s">
        <v>3023</v>
      </c>
      <c r="K948" s="224" t="s">
        <v>14</v>
      </c>
      <c r="L948" s="225" t="str">
        <f>VLOOKUP(Logfile_S[[#This Row],[Material Name]],Sheet2!B:C,2,0)</f>
        <v>ZTE2005</v>
      </c>
      <c r="M948" s="225" t="str">
        <f>_xlfn.XLOOKUP(Logfile_S[[#This Row],[Material Name]],Sum_WH!E:E,Sum_WH!F:F,"",0)</f>
        <v>Pcs</v>
      </c>
      <c r="N948" s="221">
        <v>1</v>
      </c>
      <c r="O948" s="221" t="s">
        <v>180</v>
      </c>
      <c r="P948" s="221" t="s">
        <v>181</v>
      </c>
      <c r="Q948" s="221"/>
      <c r="R948" s="221"/>
      <c r="S948" s="221"/>
      <c r="T948" s="221" t="s">
        <v>3322</v>
      </c>
      <c r="U948" s="221" t="s">
        <v>3323</v>
      </c>
      <c r="V948" s="221" t="s">
        <v>3324</v>
      </c>
      <c r="W948" s="221" t="s">
        <v>3386</v>
      </c>
      <c r="X948" s="221"/>
      <c r="Y948" s="227"/>
      <c r="Z948" s="227" t="str">
        <f>P948</f>
        <v>Mulyorejo RW 06 Sukun</v>
      </c>
      <c r="AA948" s="276" t="e">
        <f>VLOOKUP(Logfile_S[[#This Row],[DO number]],DO_DB!G:I,3,0)</f>
        <v>#N/A</v>
      </c>
      <c r="AB948" s="331" t="e">
        <f>EXACT(Logfile_S[[#This Row],[date pick]],Logfile_S[[#This Row],[Date]])</f>
        <v>#N/A</v>
      </c>
      <c r="AC9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49" spans="1:29" ht="14.5">
      <c r="A949" s="220" t="str">
        <f>TEXT(ROW(A949)-ROW($A$4),"000")</f>
        <v>945</v>
      </c>
      <c r="B949" s="221"/>
      <c r="C949" s="221" t="s">
        <v>49</v>
      </c>
      <c r="D949" s="221" t="s">
        <v>3722</v>
      </c>
      <c r="E949" s="221" t="s">
        <v>3295</v>
      </c>
      <c r="F949" s="221" t="s">
        <v>3299</v>
      </c>
      <c r="G949" s="222">
        <v>45194</v>
      </c>
      <c r="H949" s="223">
        <v>0.27083333333333331</v>
      </c>
      <c r="I949" s="221" t="s">
        <v>4916</v>
      </c>
      <c r="J949" s="221" t="s">
        <v>3024</v>
      </c>
      <c r="K949" s="224" t="s">
        <v>3094</v>
      </c>
      <c r="L949" s="225" t="str">
        <f>VLOOKUP(Logfile_S[[#This Row],[Material Name]],Sheet2!B:C,2,0)</f>
        <v>GCI1008</v>
      </c>
      <c r="M949" s="225" t="str">
        <f>_xlfn.XLOOKUP(Logfile_S[[#This Row],[Material Name]],Sum_WH!E:E,Sum_WH!F:F,"",0)</f>
        <v>Pcs</v>
      </c>
      <c r="N949" s="221">
        <v>11</v>
      </c>
      <c r="O949" s="221" t="s">
        <v>180</v>
      </c>
      <c r="P949" s="221" t="s">
        <v>181</v>
      </c>
      <c r="Q949" s="221"/>
      <c r="R949" s="221"/>
      <c r="S949" s="221"/>
      <c r="T949" s="221" t="s">
        <v>3322</v>
      </c>
      <c r="U949" s="221" t="s">
        <v>3323</v>
      </c>
      <c r="V949" s="221" t="s">
        <v>3324</v>
      </c>
      <c r="W949" s="221" t="s">
        <v>3386</v>
      </c>
      <c r="X949" s="221"/>
      <c r="Y949" s="227"/>
      <c r="Z949" s="227" t="str">
        <f>P949</f>
        <v>Mulyorejo RW 06 Sukun</v>
      </c>
      <c r="AA949" s="276" t="e">
        <f>VLOOKUP(Logfile_S[[#This Row],[DO number]],DO_DB!G:I,3,0)</f>
        <v>#N/A</v>
      </c>
      <c r="AB949" s="331" t="e">
        <f>EXACT(Logfile_S[[#This Row],[date pick]],Logfile_S[[#This Row],[Date]])</f>
        <v>#N/A</v>
      </c>
      <c r="AC9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50" spans="1:29" ht="14.5">
      <c r="A950" s="220" t="str">
        <f>TEXT(ROW(A950)-ROW($A$4),"000")</f>
        <v>946</v>
      </c>
      <c r="B950" s="221"/>
      <c r="C950" s="221" t="s">
        <v>49</v>
      </c>
      <c r="D950" s="221" t="s">
        <v>3722</v>
      </c>
      <c r="E950" s="221" t="s">
        <v>3295</v>
      </c>
      <c r="F950" s="221" t="s">
        <v>3299</v>
      </c>
      <c r="G950" s="222">
        <v>45194</v>
      </c>
      <c r="H950" s="223">
        <v>0.27083333333333331</v>
      </c>
      <c r="I950" s="221" t="s">
        <v>4916</v>
      </c>
      <c r="J950" s="221" t="s">
        <v>3024</v>
      </c>
      <c r="K950" s="224" t="s">
        <v>3092</v>
      </c>
      <c r="L950" s="225" t="str">
        <f>VLOOKUP(Logfile_S[[#This Row],[Material Name]],Sheet2!B:C,2,0)</f>
        <v>GCI1006</v>
      </c>
      <c r="M950" s="225" t="str">
        <f>_xlfn.XLOOKUP(Logfile_S[[#This Row],[Material Name]],Sum_WH!E:E,Sum_WH!F:F,"",0)</f>
        <v>Pcs</v>
      </c>
      <c r="N950" s="221">
        <v>10</v>
      </c>
      <c r="O950" s="221" t="s">
        <v>180</v>
      </c>
      <c r="P950" s="221" t="s">
        <v>181</v>
      </c>
      <c r="Q950" s="221"/>
      <c r="R950" s="221"/>
      <c r="S950" s="221"/>
      <c r="T950" s="221" t="s">
        <v>3322</v>
      </c>
      <c r="U950" s="221" t="s">
        <v>3323</v>
      </c>
      <c r="V950" s="221" t="s">
        <v>3324</v>
      </c>
      <c r="W950" s="221" t="s">
        <v>3386</v>
      </c>
      <c r="X950" s="221"/>
      <c r="Y950" s="227"/>
      <c r="Z950" s="227" t="str">
        <f>P950</f>
        <v>Mulyorejo RW 06 Sukun</v>
      </c>
      <c r="AA950" s="276" t="e">
        <f>VLOOKUP(Logfile_S[[#This Row],[DO number]],DO_DB!G:I,3,0)</f>
        <v>#N/A</v>
      </c>
      <c r="AB950" s="331" t="e">
        <f>EXACT(Logfile_S[[#This Row],[date pick]],Logfile_S[[#This Row],[Date]])</f>
        <v>#N/A</v>
      </c>
      <c r="AC9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51" spans="1:29" ht="14.5">
      <c r="A951" s="220" t="str">
        <f>TEXT(ROW(A951)-ROW($A$4),"000")</f>
        <v>947</v>
      </c>
      <c r="B951" s="221"/>
      <c r="C951" s="221" t="s">
        <v>49</v>
      </c>
      <c r="D951" s="221" t="s">
        <v>3722</v>
      </c>
      <c r="E951" s="221" t="s">
        <v>3295</v>
      </c>
      <c r="F951" s="221" t="s">
        <v>3299</v>
      </c>
      <c r="G951" s="222">
        <v>45194</v>
      </c>
      <c r="H951" s="223">
        <v>0.27083333333333331</v>
      </c>
      <c r="I951" s="221" t="s">
        <v>4916</v>
      </c>
      <c r="J951" s="221" t="s">
        <v>3024</v>
      </c>
      <c r="K951" s="224" t="s">
        <v>3090</v>
      </c>
      <c r="L951" s="225" t="str">
        <f>VLOOKUP(Logfile_S[[#This Row],[Material Name]],Sheet2!B:C,2,0)</f>
        <v>GCI1004</v>
      </c>
      <c r="M951" s="225" t="str">
        <f>_xlfn.XLOOKUP(Logfile_S[[#This Row],[Material Name]],Sum_WH!E:E,Sum_WH!F:F,"",0)</f>
        <v>Pcs</v>
      </c>
      <c r="N951" s="221">
        <v>5</v>
      </c>
      <c r="O951" s="221" t="s">
        <v>180</v>
      </c>
      <c r="P951" s="221" t="s">
        <v>181</v>
      </c>
      <c r="Q951" s="221"/>
      <c r="R951" s="221"/>
      <c r="S951" s="221"/>
      <c r="T951" s="221" t="s">
        <v>3322</v>
      </c>
      <c r="U951" s="221" t="s">
        <v>3323</v>
      </c>
      <c r="V951" s="221" t="s">
        <v>3324</v>
      </c>
      <c r="W951" s="221" t="s">
        <v>3386</v>
      </c>
      <c r="X951" s="221"/>
      <c r="Y951" s="227"/>
      <c r="Z951" s="227" t="str">
        <f>P951</f>
        <v>Mulyorejo RW 06 Sukun</v>
      </c>
      <c r="AA951" s="276" t="e">
        <f>VLOOKUP(Logfile_S[[#This Row],[DO number]],DO_DB!G:I,3,0)</f>
        <v>#N/A</v>
      </c>
      <c r="AB951" s="331" t="e">
        <f>EXACT(Logfile_S[[#This Row],[date pick]],Logfile_S[[#This Row],[Date]])</f>
        <v>#N/A</v>
      </c>
      <c r="AC9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52" spans="1:29" ht="14.5">
      <c r="A952" s="220" t="str">
        <f>TEXT(ROW(A952)-ROW($A$4),"000")</f>
        <v>948</v>
      </c>
      <c r="B952" s="221"/>
      <c r="C952" s="221" t="s">
        <v>48</v>
      </c>
      <c r="D952" s="221" t="s">
        <v>3740</v>
      </c>
      <c r="E952" s="221" t="s">
        <v>3295</v>
      </c>
      <c r="F952" s="221" t="s">
        <v>3299</v>
      </c>
      <c r="G952" s="222">
        <v>45204</v>
      </c>
      <c r="H952" s="223">
        <v>15.291666666666666</v>
      </c>
      <c r="I952" s="221" t="s">
        <v>38</v>
      </c>
      <c r="J952" s="221" t="s">
        <v>3024</v>
      </c>
      <c r="K952" s="224" t="s">
        <v>3098</v>
      </c>
      <c r="L952" s="225" t="str">
        <f>VLOOKUP(Logfile_S[[#This Row],[Material Name]],Sheet2!B:C,2,0)</f>
        <v>GCI1012</v>
      </c>
      <c r="M952" s="225" t="str">
        <f>_xlfn.XLOOKUP(Logfile_S[[#This Row],[Material Name]],Sum_WH!E:E,Sum_WH!F:F,"",0)</f>
        <v>Pcs</v>
      </c>
      <c r="N952" s="221">
        <v>72</v>
      </c>
      <c r="O952" s="221" t="s">
        <v>180</v>
      </c>
      <c r="P952" s="221" t="s">
        <v>181</v>
      </c>
      <c r="Q952" s="221">
        <v>0</v>
      </c>
      <c r="R952" s="221">
        <v>0</v>
      </c>
      <c r="S952" s="221"/>
      <c r="T952" s="221"/>
      <c r="U952" s="221"/>
      <c r="V952" s="221"/>
      <c r="W952" s="221"/>
      <c r="X952" s="221"/>
      <c r="Y952" s="227"/>
      <c r="Z952" s="227" t="str">
        <f>P952</f>
        <v>Mulyorejo RW 06 Sukun</v>
      </c>
      <c r="AA952" s="276" t="e">
        <f>VLOOKUP(Logfile_S[[#This Row],[DO number]],DO_DB!G:I,3,0)</f>
        <v>#N/A</v>
      </c>
      <c r="AB952" s="331" t="e">
        <f>EXACT(Logfile_S[[#This Row],[date pick]],Logfile_S[[#This Row],[Date]])</f>
        <v>#N/A</v>
      </c>
      <c r="AC9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53" spans="1:29" ht="14.5">
      <c r="A953" s="220" t="str">
        <f>TEXT(ROW(A953)-ROW($A$4),"000")</f>
        <v>949</v>
      </c>
      <c r="B953" s="221"/>
      <c r="C953" s="221" t="s">
        <v>49</v>
      </c>
      <c r="D953" s="221" t="s">
        <v>4017</v>
      </c>
      <c r="E953" s="221" t="s">
        <v>3295</v>
      </c>
      <c r="F953" s="221" t="s">
        <v>3299</v>
      </c>
      <c r="G953" s="222">
        <v>45404</v>
      </c>
      <c r="H953" s="223">
        <v>0.77430555555555547</v>
      </c>
      <c r="I953" s="221" t="s">
        <v>4916</v>
      </c>
      <c r="J953" s="221" t="s">
        <v>3023</v>
      </c>
      <c r="K953" s="224" t="s">
        <v>3075</v>
      </c>
      <c r="L953" s="225" t="str">
        <f>VLOOKUP(Logfile_S[[#This Row],[Material Name]],Sheet2!B:C,2,0)</f>
        <v>ZTE2003</v>
      </c>
      <c r="M953" s="225" t="str">
        <f>_xlfn.XLOOKUP(Logfile_S[[#This Row],[Material Name]],Sum_WH!E:E,Sum_WH!F:F,"",0)</f>
        <v>Meter</v>
      </c>
      <c r="N953" s="221">
        <v>3000</v>
      </c>
      <c r="O953" s="221" t="s">
        <v>1081</v>
      </c>
      <c r="P953" s="221" t="s">
        <v>4018</v>
      </c>
      <c r="Q953" s="221"/>
      <c r="R953" s="221"/>
      <c r="S953" s="221"/>
      <c r="T953" s="221" t="s">
        <v>3258</v>
      </c>
      <c r="U953" s="221" t="s">
        <v>3228</v>
      </c>
      <c r="V953" s="221" t="s">
        <v>3337</v>
      </c>
      <c r="W953" s="221" t="s">
        <v>3338</v>
      </c>
      <c r="X953" s="221"/>
      <c r="Y953" s="227"/>
      <c r="Z953" s="227" t="str">
        <f>P953</f>
        <v>Pandan Landung RW 01 Wagir</v>
      </c>
      <c r="AA953" s="276" t="e">
        <f>VLOOKUP(Logfile_S[[#This Row],[DO number]],DO_DB!G:I,3,0)</f>
        <v>#N/A</v>
      </c>
      <c r="AB953" s="331" t="e">
        <f>EXACT(Logfile_S[[#This Row],[date pick]],Logfile_S[[#This Row],[Date]])</f>
        <v>#N/A</v>
      </c>
      <c r="AC9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54" spans="1:29" ht="14.5">
      <c r="A954" s="220" t="str">
        <f>TEXT(ROW(A954)-ROW($A$4),"000")</f>
        <v>950</v>
      </c>
      <c r="B954" s="221"/>
      <c r="C954" s="221" t="s">
        <v>49</v>
      </c>
      <c r="D954" s="221" t="s">
        <v>4012</v>
      </c>
      <c r="E954" s="221" t="s">
        <v>3295</v>
      </c>
      <c r="F954" s="221" t="s">
        <v>3299</v>
      </c>
      <c r="G954" s="222">
        <v>45401</v>
      </c>
      <c r="H954" s="223">
        <v>0.52430555555555558</v>
      </c>
      <c r="I954" s="221" t="s">
        <v>4916</v>
      </c>
      <c r="J954" s="221" t="s">
        <v>3023</v>
      </c>
      <c r="K954" s="224" t="s">
        <v>3069</v>
      </c>
      <c r="L954" s="225" t="str">
        <f>VLOOKUP(Logfile_S[[#This Row],[Material Name]],Sheet2!B:C,2,0)</f>
        <v>ZTE1001</v>
      </c>
      <c r="M954" s="225" t="str">
        <f>_xlfn.XLOOKUP(Logfile_S[[#This Row],[Material Name]],Sum_WH!E:E,Sum_WH!F:F,"",0)</f>
        <v>Pcs</v>
      </c>
      <c r="N954" s="221">
        <v>24</v>
      </c>
      <c r="O954" s="221" t="s">
        <v>1081</v>
      </c>
      <c r="P954" s="221" t="s">
        <v>3370</v>
      </c>
      <c r="Q954" s="221"/>
      <c r="R954" s="221"/>
      <c r="S954" s="221"/>
      <c r="T954" s="221" t="s">
        <v>3258</v>
      </c>
      <c r="U954" s="221" t="s">
        <v>3228</v>
      </c>
      <c r="V954" s="221" t="s">
        <v>3337</v>
      </c>
      <c r="W954" s="221" t="s">
        <v>3338</v>
      </c>
      <c r="X954" s="221"/>
      <c r="Y954" s="227"/>
      <c r="Z954" s="227" t="str">
        <f>P954</f>
        <v>Pandan Landung RW 05 Wagir</v>
      </c>
      <c r="AA954" s="276" t="e">
        <f>VLOOKUP(Logfile_S[[#This Row],[DO number]],DO_DB!G:I,3,0)</f>
        <v>#N/A</v>
      </c>
      <c r="AB954" s="331" t="e">
        <f>EXACT(Logfile_S[[#This Row],[date pick]],Logfile_S[[#This Row],[Date]])</f>
        <v>#N/A</v>
      </c>
      <c r="AC9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55" spans="1:29" ht="14.5">
      <c r="A955" s="220" t="str">
        <f>TEXT(ROW(A955)-ROW($A$4),"000")</f>
        <v>951</v>
      </c>
      <c r="B955" s="221"/>
      <c r="C955" s="221" t="s">
        <v>49</v>
      </c>
      <c r="D955" s="221" t="s">
        <v>4017</v>
      </c>
      <c r="E955" s="221" t="s">
        <v>3295</v>
      </c>
      <c r="F955" s="221" t="s">
        <v>3299</v>
      </c>
      <c r="G955" s="222">
        <v>45404</v>
      </c>
      <c r="H955" s="223">
        <v>0.77430555555555547</v>
      </c>
      <c r="I955" s="221" t="s">
        <v>4916</v>
      </c>
      <c r="J955" s="221" t="s">
        <v>3023</v>
      </c>
      <c r="K955" s="224" t="s">
        <v>3070</v>
      </c>
      <c r="L955" s="225" t="str">
        <f>VLOOKUP(Logfile_S[[#This Row],[Material Name]],Sheet2!B:C,2,0)</f>
        <v>ZTE1002</v>
      </c>
      <c r="M955" s="225" t="str">
        <f>_xlfn.XLOOKUP(Logfile_S[[#This Row],[Material Name]],Sum_WH!E:E,Sum_WH!F:F,"",0)</f>
        <v>Pcs</v>
      </c>
      <c r="N955" s="221">
        <v>8</v>
      </c>
      <c r="O955" s="221" t="s">
        <v>1081</v>
      </c>
      <c r="P955" s="221" t="s">
        <v>3370</v>
      </c>
      <c r="Q955" s="221"/>
      <c r="R955" s="221"/>
      <c r="S955" s="221"/>
      <c r="T955" s="221" t="s">
        <v>3258</v>
      </c>
      <c r="U955" s="221" t="s">
        <v>3228</v>
      </c>
      <c r="V955" s="221" t="s">
        <v>3337</v>
      </c>
      <c r="W955" s="221" t="s">
        <v>3338</v>
      </c>
      <c r="X955" s="221"/>
      <c r="Y955" s="227"/>
      <c r="Z955" s="227" t="str">
        <f>P955</f>
        <v>Pandan Landung RW 05 Wagir</v>
      </c>
      <c r="AA955" s="276" t="e">
        <f>VLOOKUP(Logfile_S[[#This Row],[DO number]],DO_DB!G:I,3,0)</f>
        <v>#N/A</v>
      </c>
      <c r="AB955" s="331" t="e">
        <f>EXACT(Logfile_S[[#This Row],[date pick]],Logfile_S[[#This Row],[Date]])</f>
        <v>#N/A</v>
      </c>
      <c r="AC9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56" spans="1:29" ht="14.5">
      <c r="A956" s="220" t="str">
        <f>TEXT(ROW(A956)-ROW($A$4),"000")</f>
        <v>952</v>
      </c>
      <c r="B956" s="221"/>
      <c r="C956" s="221" t="s">
        <v>49</v>
      </c>
      <c r="D956" s="221" t="s">
        <v>4017</v>
      </c>
      <c r="E956" s="221" t="s">
        <v>3295</v>
      </c>
      <c r="F956" s="221" t="s">
        <v>3299</v>
      </c>
      <c r="G956" s="222">
        <v>45404</v>
      </c>
      <c r="H956" s="223">
        <v>0.77430555555555547</v>
      </c>
      <c r="I956" s="221" t="s">
        <v>4916</v>
      </c>
      <c r="J956" s="221" t="s">
        <v>3023</v>
      </c>
      <c r="K956" s="224" t="s">
        <v>3069</v>
      </c>
      <c r="L956" s="225" t="str">
        <f>VLOOKUP(Logfile_S[[#This Row],[Material Name]],Sheet2!B:C,2,0)</f>
        <v>ZTE1001</v>
      </c>
      <c r="M956" s="225" t="str">
        <f>_xlfn.XLOOKUP(Logfile_S[[#This Row],[Material Name]],Sum_WH!E:E,Sum_WH!F:F,"",0)</f>
        <v>Pcs</v>
      </c>
      <c r="N956" s="221">
        <v>9</v>
      </c>
      <c r="O956" s="221" t="s">
        <v>1081</v>
      </c>
      <c r="P956" s="221" t="s">
        <v>3370</v>
      </c>
      <c r="Q956" s="221"/>
      <c r="R956" s="221"/>
      <c r="S956" s="221"/>
      <c r="T956" s="221" t="s">
        <v>3258</v>
      </c>
      <c r="U956" s="221" t="s">
        <v>3228</v>
      </c>
      <c r="V956" s="221" t="s">
        <v>3337</v>
      </c>
      <c r="W956" s="221" t="s">
        <v>3338</v>
      </c>
      <c r="X956" s="221"/>
      <c r="Y956" s="227"/>
      <c r="Z956" s="227" t="str">
        <f>P956</f>
        <v>Pandan Landung RW 05 Wagir</v>
      </c>
      <c r="AA956" s="276" t="e">
        <f>VLOOKUP(Logfile_S[[#This Row],[DO number]],DO_DB!G:I,3,0)</f>
        <v>#N/A</v>
      </c>
      <c r="AB956" s="331" t="e">
        <f>EXACT(Logfile_S[[#This Row],[date pick]],Logfile_S[[#This Row],[Date]])</f>
        <v>#N/A</v>
      </c>
      <c r="AC9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57" spans="1:29" ht="14.5">
      <c r="A957" s="220" t="str">
        <f>TEXT(ROW(A957)-ROW($A$4),"000")</f>
        <v>953</v>
      </c>
      <c r="B957" s="221"/>
      <c r="C957" s="221" t="s">
        <v>49</v>
      </c>
      <c r="D957" s="221" t="s">
        <v>4016</v>
      </c>
      <c r="E957" s="221" t="s">
        <v>3295</v>
      </c>
      <c r="F957" s="221" t="s">
        <v>3299</v>
      </c>
      <c r="G957" s="222">
        <v>45404</v>
      </c>
      <c r="H957" s="223">
        <v>0.56458333333333333</v>
      </c>
      <c r="I957" s="221" t="s">
        <v>4916</v>
      </c>
      <c r="J957" s="221" t="s">
        <v>3023</v>
      </c>
      <c r="K957" s="224" t="s">
        <v>3069</v>
      </c>
      <c r="L957" s="225" t="str">
        <f>VLOOKUP(Logfile_S[[#This Row],[Material Name]],Sheet2!B:C,2,0)</f>
        <v>ZTE1001</v>
      </c>
      <c r="M957" s="225" t="str">
        <f>_xlfn.XLOOKUP(Logfile_S[[#This Row],[Material Name]],Sum_WH!E:E,Sum_WH!F:F,"",0)</f>
        <v>Pcs</v>
      </c>
      <c r="N957" s="221">
        <v>25</v>
      </c>
      <c r="O957" s="221" t="s">
        <v>1081</v>
      </c>
      <c r="P957" s="221" t="s">
        <v>3370</v>
      </c>
      <c r="Q957" s="221"/>
      <c r="R957" s="221"/>
      <c r="S957" s="221"/>
      <c r="T957" s="221" t="s">
        <v>3258</v>
      </c>
      <c r="U957" s="221" t="s">
        <v>3228</v>
      </c>
      <c r="V957" s="221" t="s">
        <v>3337</v>
      </c>
      <c r="W957" s="221" t="s">
        <v>3338</v>
      </c>
      <c r="X957" s="221"/>
      <c r="Y957" s="227"/>
      <c r="Z957" s="227" t="str">
        <f>P957</f>
        <v>Pandan Landung RW 05 Wagir</v>
      </c>
      <c r="AA957" s="276" t="e">
        <f>VLOOKUP(Logfile_S[[#This Row],[DO number]],DO_DB!G:I,3,0)</f>
        <v>#N/A</v>
      </c>
      <c r="AB957" s="331" t="e">
        <f>EXACT(Logfile_S[[#This Row],[date pick]],Logfile_S[[#This Row],[Date]])</f>
        <v>#N/A</v>
      </c>
      <c r="AC9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58" spans="1:29" ht="14.5">
      <c r="A958" s="220" t="str">
        <f>TEXT(ROW(A958)-ROW($A$4),"000")</f>
        <v>954</v>
      </c>
      <c r="B958" s="221"/>
      <c r="C958" s="221" t="s">
        <v>49</v>
      </c>
      <c r="D958" s="221" t="s">
        <v>4022</v>
      </c>
      <c r="E958" s="221" t="s">
        <v>3295</v>
      </c>
      <c r="F958" s="221" t="s">
        <v>3299</v>
      </c>
      <c r="G958" s="222">
        <v>45405</v>
      </c>
      <c r="H958" s="223">
        <v>0.71666666666666667</v>
      </c>
      <c r="I958" s="221" t="s">
        <v>4916</v>
      </c>
      <c r="J958" s="221" t="s">
        <v>3024</v>
      </c>
      <c r="K958" s="224" t="s">
        <v>3087</v>
      </c>
      <c r="L958" s="225" t="str">
        <f>VLOOKUP(Logfile_S[[#This Row],[Material Name]],Sheet2!B:C,2,0)</f>
        <v>GCI1001</v>
      </c>
      <c r="M958" s="225" t="str">
        <f>_xlfn.XLOOKUP(Logfile_S[[#This Row],[Material Name]],Sum_WH!E:E,Sum_WH!F:F,"",0)</f>
        <v>Pcs</v>
      </c>
      <c r="N958" s="221">
        <v>43</v>
      </c>
      <c r="O958" s="221" t="s">
        <v>1081</v>
      </c>
      <c r="P958" s="221" t="s">
        <v>3370</v>
      </c>
      <c r="Q958" s="221"/>
      <c r="R958" s="221"/>
      <c r="S958" s="221"/>
      <c r="T958" s="221" t="s">
        <v>3258</v>
      </c>
      <c r="U958" s="221" t="s">
        <v>3228</v>
      </c>
      <c r="V958" s="221" t="s">
        <v>3364</v>
      </c>
      <c r="W958" s="221" t="s">
        <v>3372</v>
      </c>
      <c r="X958" s="221"/>
      <c r="Y958" s="227"/>
      <c r="Z958" s="227" t="str">
        <f>P958</f>
        <v>Pandan Landung RW 05 Wagir</v>
      </c>
      <c r="AA958" s="276" t="e">
        <f>VLOOKUP(Logfile_S[[#This Row],[DO number]],DO_DB!G:I,3,0)</f>
        <v>#N/A</v>
      </c>
      <c r="AB958" s="331" t="e">
        <f>EXACT(Logfile_S[[#This Row],[date pick]],Logfile_S[[#This Row],[Date]])</f>
        <v>#N/A</v>
      </c>
      <c r="AC9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59" spans="1:29" ht="14.5">
      <c r="A959" s="220" t="str">
        <f>TEXT(ROW(A959)-ROW($A$4),"000")</f>
        <v>955</v>
      </c>
      <c r="B959" s="221"/>
      <c r="C959" s="221" t="s">
        <v>49</v>
      </c>
      <c r="D959" s="221" t="s">
        <v>4022</v>
      </c>
      <c r="E959" s="221" t="s">
        <v>3295</v>
      </c>
      <c r="F959" s="221" t="s">
        <v>3299</v>
      </c>
      <c r="G959" s="222">
        <v>45405</v>
      </c>
      <c r="H959" s="223">
        <v>0.71666666666666667</v>
      </c>
      <c r="I959" s="221" t="s">
        <v>4916</v>
      </c>
      <c r="J959" s="221" t="s">
        <v>3024</v>
      </c>
      <c r="K959" s="224" t="s">
        <v>3088</v>
      </c>
      <c r="L959" s="225" t="str">
        <f>VLOOKUP(Logfile_S[[#This Row],[Material Name]],Sheet2!B:C,2,0)</f>
        <v>GCI1002</v>
      </c>
      <c r="M959" s="225" t="str">
        <f>_xlfn.XLOOKUP(Logfile_S[[#This Row],[Material Name]],Sum_WH!E:E,Sum_WH!F:F,"",0)</f>
        <v>Pcs</v>
      </c>
      <c r="N959" s="221">
        <v>2</v>
      </c>
      <c r="O959" s="221" t="s">
        <v>1081</v>
      </c>
      <c r="P959" s="221" t="s">
        <v>3370</v>
      </c>
      <c r="Q959" s="221"/>
      <c r="R959" s="221"/>
      <c r="S959" s="221"/>
      <c r="T959" s="221" t="s">
        <v>3258</v>
      </c>
      <c r="U959" s="221" t="s">
        <v>3228</v>
      </c>
      <c r="V959" s="221" t="s">
        <v>3337</v>
      </c>
      <c r="W959" s="221" t="s">
        <v>3338</v>
      </c>
      <c r="X959" s="221"/>
      <c r="Y959" s="227"/>
      <c r="Z959" s="227" t="str">
        <f>P959</f>
        <v>Pandan Landung RW 05 Wagir</v>
      </c>
      <c r="AA959" s="276" t="e">
        <f>VLOOKUP(Logfile_S[[#This Row],[DO number]],DO_DB!G:I,3,0)</f>
        <v>#N/A</v>
      </c>
      <c r="AB959" s="331" t="e">
        <f>EXACT(Logfile_S[[#This Row],[date pick]],Logfile_S[[#This Row],[Date]])</f>
        <v>#N/A</v>
      </c>
      <c r="AC9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60" spans="1:29" ht="14.5">
      <c r="A960" s="220" t="str">
        <f>TEXT(ROW(A960)-ROW($A$4),"000")</f>
        <v>956</v>
      </c>
      <c r="B960" s="221"/>
      <c r="C960" s="221" t="s">
        <v>49</v>
      </c>
      <c r="D960" s="221" t="s">
        <v>4022</v>
      </c>
      <c r="E960" s="221" t="s">
        <v>3295</v>
      </c>
      <c r="F960" s="221" t="s">
        <v>3299</v>
      </c>
      <c r="G960" s="222">
        <v>45405</v>
      </c>
      <c r="H960" s="223">
        <v>0.71666666666666667</v>
      </c>
      <c r="I960" s="221" t="s">
        <v>4916</v>
      </c>
      <c r="J960" s="221" t="s">
        <v>3023</v>
      </c>
      <c r="K960" s="224" t="s">
        <v>3070</v>
      </c>
      <c r="L960" s="225" t="str">
        <f>VLOOKUP(Logfile_S[[#This Row],[Material Name]],Sheet2!B:C,2,0)</f>
        <v>ZTE1002</v>
      </c>
      <c r="M960" s="225" t="str">
        <f>_xlfn.XLOOKUP(Logfile_S[[#This Row],[Material Name]],Sum_WH!E:E,Sum_WH!F:F,"",0)</f>
        <v>Pcs</v>
      </c>
      <c r="N960" s="221">
        <v>5</v>
      </c>
      <c r="O960" s="221" t="s">
        <v>1081</v>
      </c>
      <c r="P960" s="221" t="s">
        <v>3370</v>
      </c>
      <c r="Q960" s="221"/>
      <c r="R960" s="221"/>
      <c r="S960" s="221"/>
      <c r="T960" s="221" t="s">
        <v>3258</v>
      </c>
      <c r="U960" s="221" t="s">
        <v>3228</v>
      </c>
      <c r="V960" s="221" t="s">
        <v>3337</v>
      </c>
      <c r="W960" s="221" t="s">
        <v>3338</v>
      </c>
      <c r="X960" s="221"/>
      <c r="Y960" s="227"/>
      <c r="Z960" s="227" t="str">
        <f>P960</f>
        <v>Pandan Landung RW 05 Wagir</v>
      </c>
      <c r="AA960" s="276" t="e">
        <f>VLOOKUP(Logfile_S[[#This Row],[DO number]],DO_DB!G:I,3,0)</f>
        <v>#N/A</v>
      </c>
      <c r="AB960" s="331" t="e">
        <f>EXACT(Logfile_S[[#This Row],[date pick]],Logfile_S[[#This Row],[Date]])</f>
        <v>#N/A</v>
      </c>
      <c r="AC9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61" spans="1:29" ht="14.5">
      <c r="A961" s="220" t="str">
        <f>TEXT(ROW(A961)-ROW($A$4),"000")</f>
        <v>957</v>
      </c>
      <c r="B961" s="221"/>
      <c r="C961" s="221" t="s">
        <v>49</v>
      </c>
      <c r="D961" s="221" t="s">
        <v>4022</v>
      </c>
      <c r="E961" s="221" t="s">
        <v>3295</v>
      </c>
      <c r="F961" s="221" t="s">
        <v>3299</v>
      </c>
      <c r="G961" s="222">
        <v>45405</v>
      </c>
      <c r="H961" s="223">
        <v>0.71666666666666667</v>
      </c>
      <c r="I961" s="221" t="s">
        <v>4916</v>
      </c>
      <c r="J961" s="221" t="s">
        <v>3023</v>
      </c>
      <c r="K961" s="224" t="s">
        <v>3069</v>
      </c>
      <c r="L961" s="225" t="str">
        <f>VLOOKUP(Logfile_S[[#This Row],[Material Name]],Sheet2!B:C,2,0)</f>
        <v>ZTE1001</v>
      </c>
      <c r="M961" s="225" t="str">
        <f>_xlfn.XLOOKUP(Logfile_S[[#This Row],[Material Name]],Sum_WH!E:E,Sum_WH!F:F,"",0)</f>
        <v>Pcs</v>
      </c>
      <c r="N961" s="221">
        <v>4</v>
      </c>
      <c r="O961" s="221" t="s">
        <v>1081</v>
      </c>
      <c r="P961" s="221" t="s">
        <v>3370</v>
      </c>
      <c r="Q961" s="221"/>
      <c r="R961" s="221"/>
      <c r="S961" s="221"/>
      <c r="T961" s="221" t="s">
        <v>3258</v>
      </c>
      <c r="U961" s="221" t="s">
        <v>3228</v>
      </c>
      <c r="V961" s="221" t="s">
        <v>3337</v>
      </c>
      <c r="W961" s="221" t="s">
        <v>3338</v>
      </c>
      <c r="X961" s="221"/>
      <c r="Y961" s="227"/>
      <c r="Z961" s="227" t="str">
        <f>P961</f>
        <v>Pandan Landung RW 05 Wagir</v>
      </c>
      <c r="AA961" s="276" t="e">
        <f>VLOOKUP(Logfile_S[[#This Row],[DO number]],DO_DB!G:I,3,0)</f>
        <v>#N/A</v>
      </c>
      <c r="AB961" s="331" t="e">
        <f>EXACT(Logfile_S[[#This Row],[date pick]],Logfile_S[[#This Row],[Date]])</f>
        <v>#N/A</v>
      </c>
      <c r="AC9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62" spans="1:29" ht="14.5">
      <c r="A962" s="220" t="str">
        <f>TEXT(ROW(A962)-ROW($A$4),"000")</f>
        <v>958</v>
      </c>
      <c r="B962" s="221"/>
      <c r="C962" s="221" t="s">
        <v>49</v>
      </c>
      <c r="D962" s="221" t="s">
        <v>4022</v>
      </c>
      <c r="E962" s="221" t="s">
        <v>3295</v>
      </c>
      <c r="F962" s="221" t="s">
        <v>3299</v>
      </c>
      <c r="G962" s="222">
        <v>45405</v>
      </c>
      <c r="H962" s="223">
        <v>0.71666666666666667</v>
      </c>
      <c r="I962" s="221" t="s">
        <v>4916</v>
      </c>
      <c r="J962" s="221" t="s">
        <v>3024</v>
      </c>
      <c r="K962" s="224" t="s">
        <v>3089</v>
      </c>
      <c r="L962" s="225" t="str">
        <f>VLOOKUP(Logfile_S[[#This Row],[Material Name]],Sheet2!B:C,2,0)</f>
        <v>GCI1003</v>
      </c>
      <c r="M962" s="225" t="str">
        <f>_xlfn.XLOOKUP(Logfile_S[[#This Row],[Material Name]],Sum_WH!E:E,Sum_WH!F:F,"",0)</f>
        <v>Pcs</v>
      </c>
      <c r="N962" s="221">
        <v>200</v>
      </c>
      <c r="O962" s="221" t="s">
        <v>1081</v>
      </c>
      <c r="P962" s="221" t="s">
        <v>3370</v>
      </c>
      <c r="Q962" s="221"/>
      <c r="R962" s="221"/>
      <c r="S962" s="221"/>
      <c r="T962" s="221" t="s">
        <v>3258</v>
      </c>
      <c r="U962" s="221" t="s">
        <v>3228</v>
      </c>
      <c r="V962" s="221" t="s">
        <v>3337</v>
      </c>
      <c r="W962" s="221" t="s">
        <v>3338</v>
      </c>
      <c r="X962" s="221"/>
      <c r="Y962" s="227"/>
      <c r="Z962" s="227" t="str">
        <f>P962</f>
        <v>Pandan Landung RW 05 Wagir</v>
      </c>
      <c r="AA962" s="276" t="e">
        <f>VLOOKUP(Logfile_S[[#This Row],[DO number]],DO_DB!G:I,3,0)</f>
        <v>#N/A</v>
      </c>
      <c r="AB962" s="331" t="e">
        <f>EXACT(Logfile_S[[#This Row],[date pick]],Logfile_S[[#This Row],[Date]])</f>
        <v>#N/A</v>
      </c>
      <c r="AC9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63" spans="1:29" ht="14.5">
      <c r="A963" s="220" t="str">
        <f>TEXT(ROW(A963)-ROW($A$4),"000")</f>
        <v>959</v>
      </c>
      <c r="B963" s="221"/>
      <c r="C963" s="221" t="s">
        <v>49</v>
      </c>
      <c r="D963" s="221" t="s">
        <v>4022</v>
      </c>
      <c r="E963" s="221" t="s">
        <v>3295</v>
      </c>
      <c r="F963" s="221" t="s">
        <v>3299</v>
      </c>
      <c r="G963" s="222">
        <v>45405</v>
      </c>
      <c r="H963" s="223">
        <v>0.71666666666666667</v>
      </c>
      <c r="I963" s="221" t="s">
        <v>4916</v>
      </c>
      <c r="J963" s="221" t="s">
        <v>3024</v>
      </c>
      <c r="K963" s="224" t="s">
        <v>3090</v>
      </c>
      <c r="L963" s="225" t="str">
        <f>VLOOKUP(Logfile_S[[#This Row],[Material Name]],Sheet2!B:C,2,0)</f>
        <v>GCI1004</v>
      </c>
      <c r="M963" s="225" t="str">
        <f>_xlfn.XLOOKUP(Logfile_S[[#This Row],[Material Name]],Sum_WH!E:E,Sum_WH!F:F,"",0)</f>
        <v>Pcs</v>
      </c>
      <c r="N963" s="221">
        <v>39</v>
      </c>
      <c r="O963" s="221" t="s">
        <v>1081</v>
      </c>
      <c r="P963" s="221" t="s">
        <v>3370</v>
      </c>
      <c r="Q963" s="221"/>
      <c r="R963" s="221"/>
      <c r="S963" s="221"/>
      <c r="T963" s="221" t="s">
        <v>3258</v>
      </c>
      <c r="U963" s="221" t="s">
        <v>3228</v>
      </c>
      <c r="V963" s="221" t="s">
        <v>3364</v>
      </c>
      <c r="W963" s="221" t="s">
        <v>3372</v>
      </c>
      <c r="X963" s="221"/>
      <c r="Y963" s="227"/>
      <c r="Z963" s="227" t="str">
        <f>P963</f>
        <v>Pandan Landung RW 05 Wagir</v>
      </c>
      <c r="AA963" s="276" t="e">
        <f>VLOOKUP(Logfile_S[[#This Row],[DO number]],DO_DB!G:I,3,0)</f>
        <v>#N/A</v>
      </c>
      <c r="AB963" s="331" t="e">
        <f>EXACT(Logfile_S[[#This Row],[date pick]],Logfile_S[[#This Row],[Date]])</f>
        <v>#N/A</v>
      </c>
      <c r="AC9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64" spans="1:29" ht="14.5">
      <c r="A964" s="220" t="str">
        <f>TEXT(ROW(A964)-ROW($A$4),"000")</f>
        <v>960</v>
      </c>
      <c r="B964" s="221"/>
      <c r="C964" s="221" t="s">
        <v>49</v>
      </c>
      <c r="D964" s="221" t="s">
        <v>4025</v>
      </c>
      <c r="E964" s="221" t="s">
        <v>3295</v>
      </c>
      <c r="F964" s="221" t="s">
        <v>3299</v>
      </c>
      <c r="G964" s="222">
        <v>45406</v>
      </c>
      <c r="H964" s="223">
        <v>0.41666666666666669</v>
      </c>
      <c r="I964" s="221" t="s">
        <v>4916</v>
      </c>
      <c r="J964" s="221" t="s">
        <v>3023</v>
      </c>
      <c r="K964" s="224" t="s">
        <v>3080</v>
      </c>
      <c r="L964" s="225" t="str">
        <f>VLOOKUP(Logfile_S[[#This Row],[Material Name]],Sheet2!B:C,2,0)</f>
        <v>ZTE2010</v>
      </c>
      <c r="M964" s="225" t="str">
        <f>_xlfn.XLOOKUP(Logfile_S[[#This Row],[Material Name]],Sum_WH!E:E,Sum_WH!F:F,"",0)</f>
        <v>Pcs</v>
      </c>
      <c r="N964" s="221">
        <v>9</v>
      </c>
      <c r="O964" s="221" t="s">
        <v>1081</v>
      </c>
      <c r="P964" s="221" t="s">
        <v>3370</v>
      </c>
      <c r="Q964" s="221"/>
      <c r="R964" s="221"/>
      <c r="S964" s="221"/>
      <c r="T964" s="221" t="s">
        <v>3356</v>
      </c>
      <c r="U964" s="221" t="s">
        <v>3228</v>
      </c>
      <c r="V964" s="221" t="s">
        <v>3357</v>
      </c>
      <c r="W964" s="221" t="s">
        <v>3358</v>
      </c>
      <c r="X964" s="221"/>
      <c r="Y964" s="227"/>
      <c r="Z964" s="227" t="str">
        <f>P964</f>
        <v>Pandan Landung RW 05 Wagir</v>
      </c>
      <c r="AA964" s="276" t="e">
        <f>VLOOKUP(Logfile_S[[#This Row],[DO number]],DO_DB!G:I,3,0)</f>
        <v>#N/A</v>
      </c>
      <c r="AB964" s="331" t="e">
        <f>EXACT(Logfile_S[[#This Row],[date pick]],Logfile_S[[#This Row],[Date]])</f>
        <v>#N/A</v>
      </c>
      <c r="AC9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65" spans="1:29" ht="14.5">
      <c r="A965" s="220" t="str">
        <f>TEXT(ROW(A965)-ROW($A$4),"000")</f>
        <v>961</v>
      </c>
      <c r="B965" s="221"/>
      <c r="C965" s="221" t="s">
        <v>49</v>
      </c>
      <c r="D965" s="221" t="s">
        <v>4027</v>
      </c>
      <c r="E965" s="221" t="s">
        <v>3295</v>
      </c>
      <c r="F965" s="221" t="s">
        <v>3299</v>
      </c>
      <c r="G965" s="222">
        <v>45406</v>
      </c>
      <c r="H965" s="223">
        <v>0.41666666666666669</v>
      </c>
      <c r="I965" s="221" t="s">
        <v>4916</v>
      </c>
      <c r="J965" s="221" t="s">
        <v>3023</v>
      </c>
      <c r="K965" s="224" t="s">
        <v>14</v>
      </c>
      <c r="L965" s="225" t="str">
        <f>VLOOKUP(Logfile_S[[#This Row],[Material Name]],Sheet2!B:C,2,0)</f>
        <v>ZTE2005</v>
      </c>
      <c r="M965" s="225" t="str">
        <f>_xlfn.XLOOKUP(Logfile_S[[#This Row],[Material Name]],Sum_WH!E:E,Sum_WH!F:F,"",0)</f>
        <v>Pcs</v>
      </c>
      <c r="N965" s="221">
        <v>3</v>
      </c>
      <c r="O965" s="221" t="s">
        <v>1081</v>
      </c>
      <c r="P965" s="221" t="s">
        <v>3370</v>
      </c>
      <c r="Q965" s="221"/>
      <c r="R965" s="221"/>
      <c r="S965" s="221"/>
      <c r="T965" s="221" t="s">
        <v>3356</v>
      </c>
      <c r="U965" s="221" t="s">
        <v>3228</v>
      </c>
      <c r="V965" s="221" t="s">
        <v>3357</v>
      </c>
      <c r="W965" s="221" t="s">
        <v>3358</v>
      </c>
      <c r="X965" s="221"/>
      <c r="Y965" s="227"/>
      <c r="Z965" s="227" t="str">
        <f>P965</f>
        <v>Pandan Landung RW 05 Wagir</v>
      </c>
      <c r="AA965" s="276" t="e">
        <f>VLOOKUP(Logfile_S[[#This Row],[DO number]],DO_DB!G:I,3,0)</f>
        <v>#N/A</v>
      </c>
      <c r="AB965" s="331" t="e">
        <f>EXACT(Logfile_S[[#This Row],[date pick]],Logfile_S[[#This Row],[Date]])</f>
        <v>#N/A</v>
      </c>
      <c r="AC9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66" spans="1:29" ht="14.5">
      <c r="A966" s="220" t="str">
        <f>TEXT(ROW(A966)-ROW($A$4),"000")</f>
        <v>962</v>
      </c>
      <c r="B966" s="221"/>
      <c r="C966" s="221" t="s">
        <v>49</v>
      </c>
      <c r="D966" s="221" t="s">
        <v>4027</v>
      </c>
      <c r="E966" s="221" t="s">
        <v>3295</v>
      </c>
      <c r="F966" s="221" t="s">
        <v>3299</v>
      </c>
      <c r="G966" s="222">
        <v>45406</v>
      </c>
      <c r="H966" s="223">
        <v>0.41666666666666669</v>
      </c>
      <c r="I966" s="221" t="s">
        <v>4916</v>
      </c>
      <c r="J966" s="221" t="s">
        <v>3023</v>
      </c>
      <c r="K966" s="224" t="s">
        <v>3072</v>
      </c>
      <c r="L966" s="225" t="str">
        <f>VLOOKUP(Logfile_S[[#This Row],[Material Name]],Sheet2!B:C,2,0)</f>
        <v>ZTE1004</v>
      </c>
      <c r="M966" s="225" t="str">
        <f>_xlfn.XLOOKUP(Logfile_S[[#This Row],[Material Name]],Sum_WH!E:E,Sum_WH!F:F,"",0)</f>
        <v>Pcs</v>
      </c>
      <c r="N966" s="221">
        <v>1</v>
      </c>
      <c r="O966" s="221" t="s">
        <v>1081</v>
      </c>
      <c r="P966" s="221" t="s">
        <v>3370</v>
      </c>
      <c r="Q966" s="221"/>
      <c r="R966" s="221"/>
      <c r="S966" s="221"/>
      <c r="T966" s="221" t="s">
        <v>3356</v>
      </c>
      <c r="U966" s="221" t="s">
        <v>3228</v>
      </c>
      <c r="V966" s="221" t="s">
        <v>3357</v>
      </c>
      <c r="W966" s="221" t="s">
        <v>3358</v>
      </c>
      <c r="X966" s="221"/>
      <c r="Y966" s="227"/>
      <c r="Z966" s="227" t="str">
        <f>P966</f>
        <v>Pandan Landung RW 05 Wagir</v>
      </c>
      <c r="AA966" s="276" t="e">
        <f>VLOOKUP(Logfile_S[[#This Row],[DO number]],DO_DB!G:I,3,0)</f>
        <v>#N/A</v>
      </c>
      <c r="AB966" s="331" t="e">
        <f>EXACT(Logfile_S[[#This Row],[date pick]],Logfile_S[[#This Row],[Date]])</f>
        <v>#N/A</v>
      </c>
      <c r="AC9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67" spans="1:29" ht="14.5">
      <c r="A967" s="220" t="str">
        <f>TEXT(ROW(A967)-ROW($A$4),"000")</f>
        <v>963</v>
      </c>
      <c r="B967" s="221"/>
      <c r="C967" s="221" t="s">
        <v>49</v>
      </c>
      <c r="D967" s="221" t="s">
        <v>4028</v>
      </c>
      <c r="E967" s="221" t="s">
        <v>3295</v>
      </c>
      <c r="F967" s="221" t="s">
        <v>3299</v>
      </c>
      <c r="G967" s="222">
        <v>45407</v>
      </c>
      <c r="H967" s="223">
        <v>0.72291666666666676</v>
      </c>
      <c r="I967" s="221" t="s">
        <v>4916</v>
      </c>
      <c r="J967" s="221" t="s">
        <v>3023</v>
      </c>
      <c r="K967" s="224" t="s">
        <v>13</v>
      </c>
      <c r="L967" s="225" t="str">
        <f>VLOOKUP(Logfile_S[[#This Row],[Material Name]],Sheet2!B:C,2,0)</f>
        <v>ZTE2008</v>
      </c>
      <c r="M967" s="225" t="str">
        <f>_xlfn.XLOOKUP(Logfile_S[[#This Row],[Material Name]],Sum_WH!E:E,Sum_WH!F:F,"",0)</f>
        <v>Pcs</v>
      </c>
      <c r="N967" s="221">
        <v>15</v>
      </c>
      <c r="O967" s="221" t="s">
        <v>1081</v>
      </c>
      <c r="P967" s="221" t="s">
        <v>3370</v>
      </c>
      <c r="Q967" s="221"/>
      <c r="R967" s="221"/>
      <c r="S967" s="221"/>
      <c r="T967" s="221" t="s">
        <v>3231</v>
      </c>
      <c r="U967" s="221">
        <v>0</v>
      </c>
      <c r="V967" s="221" t="s">
        <v>3232</v>
      </c>
      <c r="W967" s="221" t="s">
        <v>3246</v>
      </c>
      <c r="X967" s="221"/>
      <c r="Y967" s="227"/>
      <c r="Z967" s="227" t="str">
        <f>P967</f>
        <v>Pandan Landung RW 05 Wagir</v>
      </c>
      <c r="AA967" s="276" t="e">
        <f>VLOOKUP(Logfile_S[[#This Row],[DO number]],DO_DB!G:I,3,0)</f>
        <v>#N/A</v>
      </c>
      <c r="AB967" s="331" t="e">
        <f>EXACT(Logfile_S[[#This Row],[date pick]],Logfile_S[[#This Row],[Date]])</f>
        <v>#N/A</v>
      </c>
      <c r="AC9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68" spans="1:29" ht="14.5">
      <c r="A968" s="220" t="str">
        <f>TEXT(ROW(A968)-ROW($A$4),"000")</f>
        <v>964</v>
      </c>
      <c r="B968" s="221"/>
      <c r="C968" s="221" t="s">
        <v>49</v>
      </c>
      <c r="D968" s="221" t="s">
        <v>4028</v>
      </c>
      <c r="E968" s="221" t="s">
        <v>3295</v>
      </c>
      <c r="F968" s="221" t="s">
        <v>3299</v>
      </c>
      <c r="G968" s="222">
        <v>45407</v>
      </c>
      <c r="H968" s="223">
        <v>0.72291666666666676</v>
      </c>
      <c r="I968" s="221" t="s">
        <v>4916</v>
      </c>
      <c r="J968" s="221" t="s">
        <v>3023</v>
      </c>
      <c r="K968" s="224" t="s">
        <v>13</v>
      </c>
      <c r="L968" s="225" t="str">
        <f>VLOOKUP(Logfile_S[[#This Row],[Material Name]],Sheet2!B:C,2,0)</f>
        <v>ZTE2008</v>
      </c>
      <c r="M968" s="225" t="str">
        <f>_xlfn.XLOOKUP(Logfile_S[[#This Row],[Material Name]],Sum_WH!E:E,Sum_WH!F:F,"",0)</f>
        <v>Pcs</v>
      </c>
      <c r="N968" s="221">
        <v>28</v>
      </c>
      <c r="O968" s="221" t="s">
        <v>1081</v>
      </c>
      <c r="P968" s="221" t="s">
        <v>3370</v>
      </c>
      <c r="Q968" s="221"/>
      <c r="R968" s="221"/>
      <c r="S968" s="221"/>
      <c r="T968" s="221" t="s">
        <v>3231</v>
      </c>
      <c r="U968" s="221">
        <v>0</v>
      </c>
      <c r="V968" s="221" t="s">
        <v>3232</v>
      </c>
      <c r="W968" s="221" t="s">
        <v>3246</v>
      </c>
      <c r="X968" s="221"/>
      <c r="Y968" s="227"/>
      <c r="Z968" s="227" t="str">
        <f>P968</f>
        <v>Pandan Landung RW 05 Wagir</v>
      </c>
      <c r="AA968" s="276" t="e">
        <f>VLOOKUP(Logfile_S[[#This Row],[DO number]],DO_DB!G:I,3,0)</f>
        <v>#N/A</v>
      </c>
      <c r="AB968" s="331" t="e">
        <f>EXACT(Logfile_S[[#This Row],[date pick]],Logfile_S[[#This Row],[Date]])</f>
        <v>#N/A</v>
      </c>
      <c r="AC9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69" spans="1:29" ht="14.5">
      <c r="A969" s="220" t="str">
        <f>TEXT(ROW(A969)-ROW($A$4),"000")</f>
        <v>965</v>
      </c>
      <c r="B969" s="221"/>
      <c r="C969" s="221" t="s">
        <v>49</v>
      </c>
      <c r="D969" s="221" t="s">
        <v>4030</v>
      </c>
      <c r="E969" s="221" t="s">
        <v>3295</v>
      </c>
      <c r="F969" s="221" t="s">
        <v>3299</v>
      </c>
      <c r="G969" s="222">
        <v>45408</v>
      </c>
      <c r="H969" s="223">
        <v>0.39166666666666666</v>
      </c>
      <c r="I969" s="221" t="s">
        <v>4916</v>
      </c>
      <c r="J969" s="221" t="s">
        <v>3024</v>
      </c>
      <c r="K969" s="224" t="s">
        <v>3091</v>
      </c>
      <c r="L969" s="225" t="str">
        <f>VLOOKUP(Logfile_S[[#This Row],[Material Name]],Sheet2!B:C,2,0)</f>
        <v>GCI1005</v>
      </c>
      <c r="M969" s="225" t="str">
        <f>_xlfn.XLOOKUP(Logfile_S[[#This Row],[Material Name]],Sum_WH!E:E,Sum_WH!F:F,"",0)</f>
        <v>Pcs</v>
      </c>
      <c r="N969" s="221">
        <v>100</v>
      </c>
      <c r="O969" s="221" t="s">
        <v>1081</v>
      </c>
      <c r="P969" s="221" t="s">
        <v>3370</v>
      </c>
      <c r="Q969" s="221"/>
      <c r="R969" s="221"/>
      <c r="S969" s="221"/>
      <c r="T969" s="221" t="s">
        <v>3258</v>
      </c>
      <c r="U969" s="221" t="s">
        <v>3228</v>
      </c>
      <c r="V969" s="221" t="s">
        <v>3337</v>
      </c>
      <c r="W969" s="221" t="s">
        <v>3338</v>
      </c>
      <c r="X969" s="221"/>
      <c r="Y969" s="227"/>
      <c r="Z969" s="227" t="str">
        <f>P969</f>
        <v>Pandan Landung RW 05 Wagir</v>
      </c>
      <c r="AA969" s="276" t="e">
        <f>VLOOKUP(Logfile_S[[#This Row],[DO number]],DO_DB!G:I,3,0)</f>
        <v>#N/A</v>
      </c>
      <c r="AB969" s="331" t="e">
        <f>EXACT(Logfile_S[[#This Row],[date pick]],Logfile_S[[#This Row],[Date]])</f>
        <v>#N/A</v>
      </c>
      <c r="AC9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70" spans="1:29" ht="14.5">
      <c r="A970" s="220" t="str">
        <f>TEXT(ROW(A970)-ROW($A$4),"000")</f>
        <v>966</v>
      </c>
      <c r="B970" s="221"/>
      <c r="C970" s="221" t="s">
        <v>49</v>
      </c>
      <c r="D970" s="221" t="s">
        <v>4030</v>
      </c>
      <c r="E970" s="221" t="s">
        <v>3295</v>
      </c>
      <c r="F970" s="221" t="s">
        <v>3299</v>
      </c>
      <c r="G970" s="222">
        <v>45408</v>
      </c>
      <c r="H970" s="223">
        <v>0.39166666666666666</v>
      </c>
      <c r="I970" s="221" t="s">
        <v>4916</v>
      </c>
      <c r="J970" s="221" t="s">
        <v>3024</v>
      </c>
      <c r="K970" s="224" t="s">
        <v>5137</v>
      </c>
      <c r="L970" s="225" t="str">
        <f>VLOOKUP(Logfile_S[[#This Row],[Material Name]],Sheet2!B:C,2,0)</f>
        <v>GCI1009</v>
      </c>
      <c r="M970" s="225" t="str">
        <f>_xlfn.XLOOKUP(Logfile_S[[#This Row],[Material Name]],Sum_WH!E:E,Sum_WH!F:F,"",0)</f>
        <v>Pcs</v>
      </c>
      <c r="N970" s="221">
        <v>68</v>
      </c>
      <c r="O970" s="221" t="s">
        <v>1081</v>
      </c>
      <c r="P970" s="221" t="s">
        <v>3370</v>
      </c>
      <c r="Q970" s="221"/>
      <c r="R970" s="221"/>
      <c r="S970" s="221"/>
      <c r="T970" s="221" t="s">
        <v>3258</v>
      </c>
      <c r="U970" s="221" t="s">
        <v>3228</v>
      </c>
      <c r="V970" s="221" t="s">
        <v>3337</v>
      </c>
      <c r="W970" s="221" t="s">
        <v>3338</v>
      </c>
      <c r="X970" s="221"/>
      <c r="Y970" s="227"/>
      <c r="Z970" s="227" t="str">
        <f>P970</f>
        <v>Pandan Landung RW 05 Wagir</v>
      </c>
      <c r="AA970" s="276" t="e">
        <f>VLOOKUP(Logfile_S[[#This Row],[DO number]],DO_DB!G:I,3,0)</f>
        <v>#N/A</v>
      </c>
      <c r="AB970" s="331" t="e">
        <f>EXACT(Logfile_S[[#This Row],[date pick]],Logfile_S[[#This Row],[Date]])</f>
        <v>#N/A</v>
      </c>
      <c r="AC9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71" spans="1:29" ht="14.5">
      <c r="A971" s="220" t="str">
        <f>TEXT(ROW(A971)-ROW($A$4),"000")</f>
        <v>967</v>
      </c>
      <c r="B971" s="221"/>
      <c r="C971" s="221" t="s">
        <v>49</v>
      </c>
      <c r="D971" s="221" t="s">
        <v>4030</v>
      </c>
      <c r="E971" s="221" t="s">
        <v>3295</v>
      </c>
      <c r="F971" s="221" t="s">
        <v>3299</v>
      </c>
      <c r="G971" s="222">
        <v>45408</v>
      </c>
      <c r="H971" s="223">
        <v>0.39166666666666666</v>
      </c>
      <c r="I971" s="221" t="s">
        <v>4916</v>
      </c>
      <c r="J971" s="221" t="s">
        <v>3024</v>
      </c>
      <c r="K971" s="224" t="s">
        <v>3094</v>
      </c>
      <c r="L971" s="225" t="str">
        <f>VLOOKUP(Logfile_S[[#This Row],[Material Name]],Sheet2!B:C,2,0)</f>
        <v>GCI1008</v>
      </c>
      <c r="M971" s="225" t="str">
        <f>_xlfn.XLOOKUP(Logfile_S[[#This Row],[Material Name]],Sum_WH!E:E,Sum_WH!F:F,"",0)</f>
        <v>Pcs</v>
      </c>
      <c r="N971" s="221">
        <v>84</v>
      </c>
      <c r="O971" s="221" t="s">
        <v>1081</v>
      </c>
      <c r="P971" s="221" t="s">
        <v>3370</v>
      </c>
      <c r="Q971" s="221"/>
      <c r="R971" s="221"/>
      <c r="S971" s="221"/>
      <c r="T971" s="221" t="s">
        <v>3258</v>
      </c>
      <c r="U971" s="221" t="s">
        <v>3228</v>
      </c>
      <c r="V971" s="221" t="s">
        <v>3337</v>
      </c>
      <c r="W971" s="221" t="s">
        <v>3338</v>
      </c>
      <c r="X971" s="221"/>
      <c r="Y971" s="227"/>
      <c r="Z971" s="227" t="str">
        <f>P971</f>
        <v>Pandan Landung RW 05 Wagir</v>
      </c>
      <c r="AA971" s="276" t="e">
        <f>VLOOKUP(Logfile_S[[#This Row],[DO number]],DO_DB!G:I,3,0)</f>
        <v>#N/A</v>
      </c>
      <c r="AB971" s="331" t="e">
        <f>EXACT(Logfile_S[[#This Row],[date pick]],Logfile_S[[#This Row],[Date]])</f>
        <v>#N/A</v>
      </c>
      <c r="AC9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72" spans="1:29" ht="14.5">
      <c r="A972" s="220" t="str">
        <f>TEXT(ROW(A972)-ROW($A$4),"000")</f>
        <v>968</v>
      </c>
      <c r="B972" s="221"/>
      <c r="C972" s="221" t="s">
        <v>49</v>
      </c>
      <c r="D972" s="221" t="s">
        <v>4030</v>
      </c>
      <c r="E972" s="221" t="s">
        <v>3295</v>
      </c>
      <c r="F972" s="221" t="s">
        <v>3299</v>
      </c>
      <c r="G972" s="222">
        <v>45408</v>
      </c>
      <c r="H972" s="223">
        <v>0.39166666666666666</v>
      </c>
      <c r="I972" s="221" t="s">
        <v>4916</v>
      </c>
      <c r="J972" s="221" t="s">
        <v>3024</v>
      </c>
      <c r="K972" s="224" t="s">
        <v>3090</v>
      </c>
      <c r="L972" s="225" t="str">
        <f>VLOOKUP(Logfile_S[[#This Row],[Material Name]],Sheet2!B:C,2,0)</f>
        <v>GCI1004</v>
      </c>
      <c r="M972" s="225" t="str">
        <f>_xlfn.XLOOKUP(Logfile_S[[#This Row],[Material Name]],Sum_WH!E:E,Sum_WH!F:F,"",0)</f>
        <v>Pcs</v>
      </c>
      <c r="N972" s="221">
        <v>10</v>
      </c>
      <c r="O972" s="221" t="s">
        <v>1081</v>
      </c>
      <c r="P972" s="221" t="s">
        <v>3370</v>
      </c>
      <c r="Q972" s="221"/>
      <c r="R972" s="221"/>
      <c r="S972" s="221"/>
      <c r="T972" s="221" t="s">
        <v>3258</v>
      </c>
      <c r="U972" s="221" t="s">
        <v>3228</v>
      </c>
      <c r="V972" s="221" t="s">
        <v>3337</v>
      </c>
      <c r="W972" s="221" t="s">
        <v>3338</v>
      </c>
      <c r="X972" s="221"/>
      <c r="Y972" s="227"/>
      <c r="Z972" s="227" t="str">
        <f>P972</f>
        <v>Pandan Landung RW 05 Wagir</v>
      </c>
      <c r="AA972" s="276" t="e">
        <f>VLOOKUP(Logfile_S[[#This Row],[DO number]],DO_DB!G:I,3,0)</f>
        <v>#N/A</v>
      </c>
      <c r="AB972" s="331" t="e">
        <f>EXACT(Logfile_S[[#This Row],[date pick]],Logfile_S[[#This Row],[Date]])</f>
        <v>#N/A</v>
      </c>
      <c r="AC9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73" spans="1:29" ht="14.5">
      <c r="A973" s="220" t="str">
        <f>TEXT(ROW(A973)-ROW($A$4),"000")</f>
        <v>969</v>
      </c>
      <c r="B973" s="221"/>
      <c r="C973" s="221" t="s">
        <v>49</v>
      </c>
      <c r="D973" s="221" t="s">
        <v>4032</v>
      </c>
      <c r="E973" s="221" t="s">
        <v>3295</v>
      </c>
      <c r="F973" s="221" t="s">
        <v>3299</v>
      </c>
      <c r="G973" s="222">
        <v>45412</v>
      </c>
      <c r="H973" s="223">
        <v>0.5</v>
      </c>
      <c r="I973" s="221" t="s">
        <v>4916</v>
      </c>
      <c r="J973" s="221" t="s">
        <v>3024</v>
      </c>
      <c r="K973" s="224" t="s">
        <v>3097</v>
      </c>
      <c r="L973" s="225" t="str">
        <f>VLOOKUP(Logfile_S[[#This Row],[Material Name]],Sheet2!B:C,2,0)</f>
        <v>GCI1011</v>
      </c>
      <c r="M973" s="225" t="str">
        <f>_xlfn.XLOOKUP(Logfile_S[[#This Row],[Material Name]],Sum_WH!E:E,Sum_WH!F:F,"",0)</f>
        <v>Pcs</v>
      </c>
      <c r="N973" s="221">
        <v>1</v>
      </c>
      <c r="O973" s="221" t="s">
        <v>1081</v>
      </c>
      <c r="P973" s="221" t="s">
        <v>3370</v>
      </c>
      <c r="Q973" s="221"/>
      <c r="R973" s="221"/>
      <c r="S973" s="221"/>
      <c r="T973" s="221" t="s">
        <v>3258</v>
      </c>
      <c r="U973" s="221" t="s">
        <v>3228</v>
      </c>
      <c r="V973" s="221" t="s">
        <v>3337</v>
      </c>
      <c r="W973" s="221" t="s">
        <v>3338</v>
      </c>
      <c r="X973" s="221"/>
      <c r="Y973" s="227"/>
      <c r="Z973" s="227" t="str">
        <f>P973</f>
        <v>Pandan Landung RW 05 Wagir</v>
      </c>
      <c r="AA973" s="276" t="e">
        <f>VLOOKUP(Logfile_S[[#This Row],[DO number]],DO_DB!G:I,3,0)</f>
        <v>#N/A</v>
      </c>
      <c r="AB973" s="331" t="e">
        <f>EXACT(Logfile_S[[#This Row],[date pick]],Logfile_S[[#This Row],[Date]])</f>
        <v>#N/A</v>
      </c>
      <c r="AC9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74" spans="1:29" ht="14.5">
      <c r="A974" s="220" t="str">
        <f>TEXT(ROW(A974)-ROW($A$4),"000")</f>
        <v>970</v>
      </c>
      <c r="B974" s="221"/>
      <c r="C974" s="221" t="s">
        <v>49</v>
      </c>
      <c r="D974" s="221" t="s">
        <v>4032</v>
      </c>
      <c r="E974" s="221" t="s">
        <v>3295</v>
      </c>
      <c r="F974" s="221" t="s">
        <v>3299</v>
      </c>
      <c r="G974" s="222">
        <v>45412</v>
      </c>
      <c r="H974" s="223">
        <v>0.5</v>
      </c>
      <c r="I974" s="221" t="s">
        <v>4916</v>
      </c>
      <c r="J974" s="221" t="s">
        <v>3024</v>
      </c>
      <c r="K974" s="224" t="s">
        <v>3094</v>
      </c>
      <c r="L974" s="225" t="str">
        <f>VLOOKUP(Logfile_S[[#This Row],[Material Name]],Sheet2!B:C,2,0)</f>
        <v>GCI1008</v>
      </c>
      <c r="M974" s="225" t="str">
        <f>_xlfn.XLOOKUP(Logfile_S[[#This Row],[Material Name]],Sum_WH!E:E,Sum_WH!F:F,"",0)</f>
        <v>Pcs</v>
      </c>
      <c r="N974" s="221">
        <v>20</v>
      </c>
      <c r="O974" s="221" t="s">
        <v>1081</v>
      </c>
      <c r="P974" s="221" t="s">
        <v>3370</v>
      </c>
      <c r="Q974" s="221"/>
      <c r="R974" s="221"/>
      <c r="S974" s="221"/>
      <c r="T974" s="221" t="s">
        <v>3258</v>
      </c>
      <c r="U974" s="221" t="s">
        <v>3228</v>
      </c>
      <c r="V974" s="221" t="s">
        <v>3337</v>
      </c>
      <c r="W974" s="221" t="s">
        <v>3338</v>
      </c>
      <c r="X974" s="221"/>
      <c r="Y974" s="227"/>
      <c r="Z974" s="227" t="str">
        <f>P974</f>
        <v>Pandan Landung RW 05 Wagir</v>
      </c>
      <c r="AA974" s="276" t="e">
        <f>VLOOKUP(Logfile_S[[#This Row],[DO number]],DO_DB!G:I,3,0)</f>
        <v>#N/A</v>
      </c>
      <c r="AB974" s="331" t="e">
        <f>EXACT(Logfile_S[[#This Row],[date pick]],Logfile_S[[#This Row],[Date]])</f>
        <v>#N/A</v>
      </c>
      <c r="AC9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75" spans="1:29" ht="14.5">
      <c r="A975" s="220" t="str">
        <f>TEXT(ROW(A975)-ROW($A$4),"000")</f>
        <v>971</v>
      </c>
      <c r="B975" s="221"/>
      <c r="C975" s="221" t="s">
        <v>49</v>
      </c>
      <c r="D975" s="221" t="s">
        <v>4036</v>
      </c>
      <c r="E975" s="221" t="s">
        <v>3295</v>
      </c>
      <c r="F975" s="221" t="s">
        <v>3299</v>
      </c>
      <c r="G975" s="222">
        <v>45416</v>
      </c>
      <c r="H975" s="223">
        <v>0.72291666666666676</v>
      </c>
      <c r="I975" s="221" t="s">
        <v>4916</v>
      </c>
      <c r="J975" s="221" t="s">
        <v>3023</v>
      </c>
      <c r="K975" s="224" t="s">
        <v>13</v>
      </c>
      <c r="L975" s="225" t="str">
        <f>VLOOKUP(Logfile_S[[#This Row],[Material Name]],Sheet2!B:C,2,0)</f>
        <v>ZTE2008</v>
      </c>
      <c r="M975" s="225" t="str">
        <f>_xlfn.XLOOKUP(Logfile_S[[#This Row],[Material Name]],Sum_WH!E:E,Sum_WH!F:F,"",0)</f>
        <v>Pcs</v>
      </c>
      <c r="N975" s="221">
        <v>3</v>
      </c>
      <c r="O975" s="221" t="s">
        <v>1081</v>
      </c>
      <c r="P975" s="221" t="s">
        <v>3370</v>
      </c>
      <c r="Q975" s="221"/>
      <c r="R975" s="221"/>
      <c r="S975" s="221"/>
      <c r="T975" s="221" t="s">
        <v>3231</v>
      </c>
      <c r="U975" s="221">
        <v>0</v>
      </c>
      <c r="V975" s="221" t="s">
        <v>3232</v>
      </c>
      <c r="W975" s="221" t="s">
        <v>3246</v>
      </c>
      <c r="X975" s="221"/>
      <c r="Y975" s="227"/>
      <c r="Z975" s="227" t="str">
        <f>P975</f>
        <v>Pandan Landung RW 05 Wagir</v>
      </c>
      <c r="AA975" s="276" t="e">
        <f>VLOOKUP(Logfile_S[[#This Row],[DO number]],DO_DB!G:I,3,0)</f>
        <v>#N/A</v>
      </c>
      <c r="AB975" s="331" t="e">
        <f>EXACT(Logfile_S[[#This Row],[date pick]],Logfile_S[[#This Row],[Date]])</f>
        <v>#N/A</v>
      </c>
      <c r="AC9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76" spans="1:29" ht="14.5">
      <c r="A976" s="220" t="str">
        <f>TEXT(ROW(A976)-ROW($A$4),"000")</f>
        <v>972</v>
      </c>
      <c r="B976" s="221"/>
      <c r="C976" s="221" t="s">
        <v>49</v>
      </c>
      <c r="D976" s="221" t="s">
        <v>4012</v>
      </c>
      <c r="E976" s="221" t="s">
        <v>3295</v>
      </c>
      <c r="F976" s="221" t="s">
        <v>3299</v>
      </c>
      <c r="G976" s="222">
        <v>45401</v>
      </c>
      <c r="H976" s="223">
        <v>0.52430555555555558</v>
      </c>
      <c r="I976" s="221" t="s">
        <v>4916</v>
      </c>
      <c r="J976" s="221" t="s">
        <v>3023</v>
      </c>
      <c r="K976" s="224" t="s">
        <v>3070</v>
      </c>
      <c r="L976" s="225" t="str">
        <f>VLOOKUP(Logfile_S[[#This Row],[Material Name]],Sheet2!B:C,2,0)</f>
        <v>ZTE1002</v>
      </c>
      <c r="M976" s="225" t="str">
        <f>_xlfn.XLOOKUP(Logfile_S[[#This Row],[Material Name]],Sum_WH!E:E,Sum_WH!F:F,"",0)</f>
        <v>Pcs</v>
      </c>
      <c r="N976" s="221">
        <v>1</v>
      </c>
      <c r="O976" s="221" t="s">
        <v>1295</v>
      </c>
      <c r="P976" s="221" t="s">
        <v>1296</v>
      </c>
      <c r="Q976" s="221"/>
      <c r="R976" s="221"/>
      <c r="S976" s="221"/>
      <c r="T976" s="221" t="s">
        <v>3258</v>
      </c>
      <c r="U976" s="221" t="s">
        <v>3228</v>
      </c>
      <c r="V976" s="221" t="s">
        <v>3337</v>
      </c>
      <c r="W976" s="221" t="s">
        <v>3338</v>
      </c>
      <c r="X976" s="221"/>
      <c r="Y976" s="227"/>
      <c r="Z976" s="227" t="str">
        <f>P976</f>
        <v>Pandanlandung RW 01 Wagir</v>
      </c>
      <c r="AA976" s="276" t="e">
        <f>VLOOKUP(Logfile_S[[#This Row],[DO number]],DO_DB!G:I,3,0)</f>
        <v>#N/A</v>
      </c>
      <c r="AB976" s="331" t="e">
        <f>EXACT(Logfile_S[[#This Row],[date pick]],Logfile_S[[#This Row],[Date]])</f>
        <v>#N/A</v>
      </c>
      <c r="AC9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77" spans="1:29" ht="14.5">
      <c r="A977" s="220" t="str">
        <f>TEXT(ROW(A977)-ROW($A$4),"000")</f>
        <v>973</v>
      </c>
      <c r="B977" s="221"/>
      <c r="C977" s="221" t="s">
        <v>49</v>
      </c>
      <c r="D977" s="221" t="s">
        <v>4024</v>
      </c>
      <c r="E977" s="221" t="s">
        <v>3295</v>
      </c>
      <c r="F977" s="221" t="s">
        <v>3299</v>
      </c>
      <c r="G977" s="222">
        <v>45405</v>
      </c>
      <c r="H977" s="223">
        <v>0.71666666666666667</v>
      </c>
      <c r="I977" s="221" t="s">
        <v>4916</v>
      </c>
      <c r="J977" s="221" t="s">
        <v>3023</v>
      </c>
      <c r="K977" s="224" t="s">
        <v>3073</v>
      </c>
      <c r="L977" s="225" t="str">
        <f>VLOOKUP(Logfile_S[[#This Row],[Material Name]],Sheet2!B:C,2,0)</f>
        <v>ZTE2001</v>
      </c>
      <c r="M977" s="225" t="str">
        <f>_xlfn.XLOOKUP(Logfile_S[[#This Row],[Material Name]],Sum_WH!E:E,Sum_WH!F:F,"",0)</f>
        <v>Meter</v>
      </c>
      <c r="N977" s="221">
        <v>4000</v>
      </c>
      <c r="O977" s="221" t="s">
        <v>1295</v>
      </c>
      <c r="P977" s="221" t="s">
        <v>1296</v>
      </c>
      <c r="Q977" s="221"/>
      <c r="R977" s="221"/>
      <c r="S977" s="221"/>
      <c r="T977" s="221" t="s">
        <v>3258</v>
      </c>
      <c r="U977" s="221" t="s">
        <v>3228</v>
      </c>
      <c r="V977" s="221" t="s">
        <v>3337</v>
      </c>
      <c r="W977" s="221" t="s">
        <v>3338</v>
      </c>
      <c r="X977" s="221" t="s">
        <v>3503</v>
      </c>
      <c r="Y977" s="227"/>
      <c r="Z977" s="227" t="str">
        <f>P977</f>
        <v>Pandanlandung RW 01 Wagir</v>
      </c>
      <c r="AA977" s="276" t="e">
        <f>VLOOKUP(Logfile_S[[#This Row],[DO number]],DO_DB!G:I,3,0)</f>
        <v>#N/A</v>
      </c>
      <c r="AB977" s="331" t="e">
        <f>EXACT(Logfile_S[[#This Row],[date pick]],Logfile_S[[#This Row],[Date]])</f>
        <v>#N/A</v>
      </c>
      <c r="AC9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78" spans="1:29" ht="14.5">
      <c r="A978" s="220" t="str">
        <f>TEXT(ROW(A978)-ROW($A$4),"000")</f>
        <v>974</v>
      </c>
      <c r="B978" s="221"/>
      <c r="C978" s="221" t="s">
        <v>48</v>
      </c>
      <c r="D978" s="221" t="s">
        <v>3708</v>
      </c>
      <c r="E978" s="221" t="s">
        <v>3295</v>
      </c>
      <c r="F978" s="221" t="s">
        <v>3299</v>
      </c>
      <c r="G978" s="222">
        <v>45185</v>
      </c>
      <c r="H978" s="223">
        <v>15.291666666666666</v>
      </c>
      <c r="I978" s="221" t="s">
        <v>37</v>
      </c>
      <c r="J978" s="221" t="s">
        <v>3023</v>
      </c>
      <c r="K978" s="224" t="s">
        <v>3070</v>
      </c>
      <c r="L978" s="225" t="str">
        <f>VLOOKUP(Logfile_S[[#This Row],[Material Name]],Sheet2!B:C,2,0)</f>
        <v>ZTE1002</v>
      </c>
      <c r="M978" s="225" t="str">
        <f>_xlfn.XLOOKUP(Logfile_S[[#This Row],[Material Name]],Sum_WH!E:E,Sum_WH!F:F,"",0)</f>
        <v>Pcs</v>
      </c>
      <c r="N978" s="221">
        <v>3</v>
      </c>
      <c r="O978" s="221" t="s">
        <v>172</v>
      </c>
      <c r="P978" s="221" t="s">
        <v>3319</v>
      </c>
      <c r="Q978" s="221" t="s">
        <v>174</v>
      </c>
      <c r="R978" s="221" t="s">
        <v>175</v>
      </c>
      <c r="S978" s="221"/>
      <c r="T978" s="221" t="s">
        <v>3346</v>
      </c>
      <c r="U978" s="221"/>
      <c r="V978" s="221"/>
      <c r="W978" s="221"/>
      <c r="X978" s="221"/>
      <c r="Y978" s="227"/>
      <c r="Z978" s="227" t="str">
        <f>P978</f>
        <v>Pandan Landung RW 03 Wagir</v>
      </c>
      <c r="AA978" s="276">
        <f>VLOOKUP(Logfile_S[[#This Row],[DO number]],DO_DB!G:I,3,0)</f>
        <v>45185</v>
      </c>
      <c r="AB978" s="331" t="b">
        <f>EXACT(Logfile_S[[#This Row],[date pick]],Logfile_S[[#This Row],[Date]])</f>
        <v>1</v>
      </c>
      <c r="AC9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79" spans="1:29" ht="14.5">
      <c r="A979" s="220" t="str">
        <f>TEXT(ROW(A979)-ROW($A$4),"000")</f>
        <v>975</v>
      </c>
      <c r="B979" s="221"/>
      <c r="C979" s="221" t="s">
        <v>48</v>
      </c>
      <c r="D979" s="221" t="s">
        <v>3708</v>
      </c>
      <c r="E979" s="221" t="s">
        <v>3295</v>
      </c>
      <c r="F979" s="221" t="s">
        <v>3299</v>
      </c>
      <c r="G979" s="222">
        <v>45185</v>
      </c>
      <c r="H979" s="223">
        <v>15.291666666666666</v>
      </c>
      <c r="I979" s="221" t="s">
        <v>37</v>
      </c>
      <c r="J979" s="221" t="s">
        <v>3023</v>
      </c>
      <c r="K979" s="224" t="s">
        <v>3069</v>
      </c>
      <c r="L979" s="225" t="str">
        <f>VLOOKUP(Logfile_S[[#This Row],[Material Name]],Sheet2!B:C,2,0)</f>
        <v>ZTE1001</v>
      </c>
      <c r="M979" s="225" t="str">
        <f>_xlfn.XLOOKUP(Logfile_S[[#This Row],[Material Name]],Sum_WH!E:E,Sum_WH!F:F,"",0)</f>
        <v>Pcs</v>
      </c>
      <c r="N979" s="221">
        <v>23</v>
      </c>
      <c r="O979" s="221" t="s">
        <v>172</v>
      </c>
      <c r="P979" s="221" t="s">
        <v>3319</v>
      </c>
      <c r="Q979" s="221" t="s">
        <v>174</v>
      </c>
      <c r="R979" s="221" t="s">
        <v>175</v>
      </c>
      <c r="S979" s="221"/>
      <c r="T979" s="221" t="s">
        <v>3346</v>
      </c>
      <c r="U979" s="221"/>
      <c r="V979" s="221"/>
      <c r="W979" s="221"/>
      <c r="X979" s="221"/>
      <c r="Y979" s="227"/>
      <c r="Z979" s="227" t="str">
        <f>P979</f>
        <v>Pandan Landung RW 03 Wagir</v>
      </c>
      <c r="AA979" s="276">
        <f>VLOOKUP(Logfile_S[[#This Row],[DO number]],DO_DB!G:I,3,0)</f>
        <v>45185</v>
      </c>
      <c r="AB979" s="331" t="b">
        <f>EXACT(Logfile_S[[#This Row],[date pick]],Logfile_S[[#This Row],[Date]])</f>
        <v>1</v>
      </c>
      <c r="AC9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80" spans="1:29" ht="14.5">
      <c r="A980" s="220" t="str">
        <f>TEXT(ROW(A980)-ROW($A$4),"000")</f>
        <v>976</v>
      </c>
      <c r="B980" s="221"/>
      <c r="C980" s="221" t="s">
        <v>49</v>
      </c>
      <c r="D980" s="221" t="s">
        <v>3713</v>
      </c>
      <c r="E980" s="221" t="s">
        <v>3295</v>
      </c>
      <c r="F980" s="221" t="s">
        <v>3299</v>
      </c>
      <c r="G980" s="222">
        <v>45190</v>
      </c>
      <c r="H980" s="223">
        <v>0.4375</v>
      </c>
      <c r="I980" s="221" t="s">
        <v>4916</v>
      </c>
      <c r="J980" s="221" t="s">
        <v>3023</v>
      </c>
      <c r="K980" s="224" t="s">
        <v>3069</v>
      </c>
      <c r="L980" s="225" t="str">
        <f>VLOOKUP(Logfile_S[[#This Row],[Material Name]],Sheet2!B:C,2,0)</f>
        <v>ZTE1001</v>
      </c>
      <c r="M980" s="225" t="str">
        <f>_xlfn.XLOOKUP(Logfile_S[[#This Row],[Material Name]],Sum_WH!E:E,Sum_WH!F:F,"",0)</f>
        <v>Pcs</v>
      </c>
      <c r="N980" s="221">
        <v>22</v>
      </c>
      <c r="O980" s="221" t="s">
        <v>172</v>
      </c>
      <c r="P980" s="221" t="s">
        <v>3319</v>
      </c>
      <c r="Q980" s="221"/>
      <c r="R980" s="221"/>
      <c r="S980" s="221"/>
      <c r="T980" s="221" t="s">
        <v>3346</v>
      </c>
      <c r="U980" s="221" t="s">
        <v>3323</v>
      </c>
      <c r="V980" s="221" t="s">
        <v>3347</v>
      </c>
      <c r="W980" s="221" t="s">
        <v>3334</v>
      </c>
      <c r="X980" s="221"/>
      <c r="Y980" s="227"/>
      <c r="Z980" s="227" t="str">
        <f>P980</f>
        <v>Pandan Landung RW 03 Wagir</v>
      </c>
      <c r="AA980" s="276" t="e">
        <f>VLOOKUP(Logfile_S[[#This Row],[DO number]],DO_DB!G:I,3,0)</f>
        <v>#N/A</v>
      </c>
      <c r="AB980" s="331" t="e">
        <f>EXACT(Logfile_S[[#This Row],[date pick]],Logfile_S[[#This Row],[Date]])</f>
        <v>#N/A</v>
      </c>
      <c r="AC9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81" spans="1:29" ht="14.5">
      <c r="A981" s="220" t="str">
        <f>TEXT(ROW(A981)-ROW($A$4),"000")</f>
        <v>977</v>
      </c>
      <c r="B981" s="221"/>
      <c r="C981" s="221" t="s">
        <v>49</v>
      </c>
      <c r="D981" s="221" t="s">
        <v>3714</v>
      </c>
      <c r="E981" s="221" t="s">
        <v>3295</v>
      </c>
      <c r="F981" s="221" t="s">
        <v>3299</v>
      </c>
      <c r="G981" s="222">
        <v>45191</v>
      </c>
      <c r="H981" s="223">
        <v>0.3888888888888889</v>
      </c>
      <c r="I981" s="221" t="s">
        <v>4916</v>
      </c>
      <c r="J981" s="221" t="s">
        <v>3023</v>
      </c>
      <c r="K981" s="224" t="s">
        <v>3070</v>
      </c>
      <c r="L981" s="225" t="str">
        <f>VLOOKUP(Logfile_S[[#This Row],[Material Name]],Sheet2!B:C,2,0)</f>
        <v>ZTE1002</v>
      </c>
      <c r="M981" s="225" t="str">
        <f>_xlfn.XLOOKUP(Logfile_S[[#This Row],[Material Name]],Sum_WH!E:E,Sum_WH!F:F,"",0)</f>
        <v>Pcs</v>
      </c>
      <c r="N981" s="221">
        <v>3</v>
      </c>
      <c r="O981" s="221" t="s">
        <v>172</v>
      </c>
      <c r="P981" s="221" t="s">
        <v>3319</v>
      </c>
      <c r="Q981" s="221"/>
      <c r="R981" s="221"/>
      <c r="S981" s="221"/>
      <c r="T981" s="221" t="s">
        <v>3346</v>
      </c>
      <c r="U981" s="221" t="s">
        <v>3323</v>
      </c>
      <c r="V981" s="221" t="s">
        <v>3347</v>
      </c>
      <c r="W981" s="221" t="s">
        <v>3334</v>
      </c>
      <c r="X981" s="221"/>
      <c r="Y981" s="227"/>
      <c r="Z981" s="227" t="str">
        <f>P981</f>
        <v>Pandan Landung RW 03 Wagir</v>
      </c>
      <c r="AA981" s="276" t="e">
        <f>VLOOKUP(Logfile_S[[#This Row],[DO number]],DO_DB!G:I,3,0)</f>
        <v>#N/A</v>
      </c>
      <c r="AB981" s="331" t="e">
        <f>EXACT(Logfile_S[[#This Row],[date pick]],Logfile_S[[#This Row],[Date]])</f>
        <v>#N/A</v>
      </c>
      <c r="AC9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82" spans="1:29" ht="14.5">
      <c r="A982" s="220" t="str">
        <f>TEXT(ROW(A982)-ROW($A$4),"000")</f>
        <v>978</v>
      </c>
      <c r="B982" s="221"/>
      <c r="C982" s="221" t="s">
        <v>48</v>
      </c>
      <c r="D982" s="221" t="s">
        <v>3724</v>
      </c>
      <c r="E982" s="221" t="s">
        <v>3295</v>
      </c>
      <c r="F982" s="221" t="s">
        <v>3299</v>
      </c>
      <c r="G982" s="222">
        <v>45195</v>
      </c>
      <c r="H982" s="223">
        <v>15.291666666666666</v>
      </c>
      <c r="I982" s="221" t="s">
        <v>37</v>
      </c>
      <c r="J982" s="221" t="s">
        <v>3023</v>
      </c>
      <c r="K982" s="224" t="s">
        <v>3073</v>
      </c>
      <c r="L982" s="225" t="str">
        <f>VLOOKUP(Logfile_S[[#This Row],[Material Name]],Sheet2!B:C,2,0)</f>
        <v>ZTE2001</v>
      </c>
      <c r="M982" s="225" t="str">
        <f>_xlfn.XLOOKUP(Logfile_S[[#This Row],[Material Name]],Sum_WH!E:E,Sum_WH!F:F,"",0)</f>
        <v>Meter</v>
      </c>
      <c r="N982" s="221">
        <v>3000</v>
      </c>
      <c r="O982" s="221" t="s">
        <v>172</v>
      </c>
      <c r="P982" s="221" t="s">
        <v>3319</v>
      </c>
      <c r="Q982" s="221" t="s">
        <v>236</v>
      </c>
      <c r="R982" s="221" t="s">
        <v>237</v>
      </c>
      <c r="S982" s="221"/>
      <c r="T982" s="221"/>
      <c r="U982" s="221"/>
      <c r="V982" s="221"/>
      <c r="W982" s="221"/>
      <c r="X982" s="221"/>
      <c r="Y982" s="227" t="s">
        <v>4986</v>
      </c>
      <c r="Z982" s="227" t="str">
        <f>P982</f>
        <v>Pandan Landung RW 03 Wagir</v>
      </c>
      <c r="AA982" s="276">
        <f>VLOOKUP(Logfile_S[[#This Row],[DO number]],DO_DB!G:I,3,0)</f>
        <v>45195</v>
      </c>
      <c r="AB982" s="331" t="b">
        <f>EXACT(Logfile_S[[#This Row],[date pick]],Logfile_S[[#This Row],[Date]])</f>
        <v>1</v>
      </c>
      <c r="AC9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24C-2023926-01</v>
      </c>
    </row>
    <row r="983" spans="1:29" ht="14.5">
      <c r="A983" s="220" t="str">
        <f>TEXT(ROW(A983)-ROW($A$4),"000")</f>
        <v>979</v>
      </c>
      <c r="B983" s="221"/>
      <c r="C983" s="221" t="s">
        <v>49</v>
      </c>
      <c r="D983" s="221" t="s">
        <v>3730</v>
      </c>
      <c r="E983" s="221" t="s">
        <v>3295</v>
      </c>
      <c r="F983" s="221" t="s">
        <v>3299</v>
      </c>
      <c r="G983" s="222">
        <v>45196</v>
      </c>
      <c r="H983" s="223">
        <v>0.52083333333333337</v>
      </c>
      <c r="I983" s="221" t="s">
        <v>4916</v>
      </c>
      <c r="J983" s="221" t="s">
        <v>3023</v>
      </c>
      <c r="K983" s="224" t="s">
        <v>3075</v>
      </c>
      <c r="L983" s="225" t="str">
        <f>VLOOKUP(Logfile_S[[#This Row],[Material Name]],Sheet2!B:C,2,0)</f>
        <v>ZTE2003</v>
      </c>
      <c r="M983" s="225" t="str">
        <f>_xlfn.XLOOKUP(Logfile_S[[#This Row],[Material Name]],Sum_WH!E:E,Sum_WH!F:F,"",0)</f>
        <v>Meter</v>
      </c>
      <c r="N983" s="221">
        <v>3000</v>
      </c>
      <c r="O983" s="221" t="s">
        <v>172</v>
      </c>
      <c r="P983" s="221" t="s">
        <v>3319</v>
      </c>
      <c r="Q983" s="221"/>
      <c r="R983" s="221"/>
      <c r="S983" s="221"/>
      <c r="T983" s="221" t="s">
        <v>3346</v>
      </c>
      <c r="U983" s="221" t="s">
        <v>3323</v>
      </c>
      <c r="V983" s="221" t="s">
        <v>3347</v>
      </c>
      <c r="W983" s="221" t="s">
        <v>3387</v>
      </c>
      <c r="X983" s="221"/>
      <c r="Y983" s="227"/>
      <c r="Z983" s="227" t="str">
        <f>P983</f>
        <v>Pandan Landung RW 03 Wagir</v>
      </c>
      <c r="AA983" s="276" t="e">
        <f>VLOOKUP(Logfile_S[[#This Row],[DO number]],DO_DB!G:I,3,0)</f>
        <v>#N/A</v>
      </c>
      <c r="AB983" s="331" t="e">
        <f>EXACT(Logfile_S[[#This Row],[date pick]],Logfile_S[[#This Row],[Date]])</f>
        <v>#N/A</v>
      </c>
      <c r="AC9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84" spans="1:29" ht="14.5">
      <c r="A984" s="220" t="str">
        <f>TEXT(ROW(A984)-ROW($A$4),"000")</f>
        <v>980</v>
      </c>
      <c r="B984" s="221"/>
      <c r="C984" s="221" t="s">
        <v>49</v>
      </c>
      <c r="D984" s="221" t="s">
        <v>3730</v>
      </c>
      <c r="E984" s="221" t="s">
        <v>3295</v>
      </c>
      <c r="F984" s="221" t="s">
        <v>3299</v>
      </c>
      <c r="G984" s="222">
        <v>45196</v>
      </c>
      <c r="H984" s="223">
        <v>0.52083333333333337</v>
      </c>
      <c r="I984" s="221" t="s">
        <v>4916</v>
      </c>
      <c r="J984" s="221" t="s">
        <v>3024</v>
      </c>
      <c r="K984" s="224" t="s">
        <v>3097</v>
      </c>
      <c r="L984" s="225" t="str">
        <f>VLOOKUP(Logfile_S[[#This Row],[Material Name]],Sheet2!B:C,2,0)</f>
        <v>GCI1011</v>
      </c>
      <c r="M984" s="225" t="str">
        <f>_xlfn.XLOOKUP(Logfile_S[[#This Row],[Material Name]],Sum_WH!E:E,Sum_WH!F:F,"",0)</f>
        <v>Pcs</v>
      </c>
      <c r="N984" s="221">
        <v>1</v>
      </c>
      <c r="O984" s="221" t="s">
        <v>172</v>
      </c>
      <c r="P984" s="221" t="s">
        <v>3319</v>
      </c>
      <c r="Q984" s="221"/>
      <c r="R984" s="221"/>
      <c r="S984" s="221"/>
      <c r="T984" s="221" t="s">
        <v>3346</v>
      </c>
      <c r="U984" s="221" t="s">
        <v>3323</v>
      </c>
      <c r="V984" s="221" t="s">
        <v>3347</v>
      </c>
      <c r="W984" s="221" t="s">
        <v>3387</v>
      </c>
      <c r="X984" s="221"/>
      <c r="Y984" s="227"/>
      <c r="Z984" s="227" t="str">
        <f>P984</f>
        <v>Pandan Landung RW 03 Wagir</v>
      </c>
      <c r="AA984" s="276" t="e">
        <f>VLOOKUP(Logfile_S[[#This Row],[DO number]],DO_DB!G:I,3,0)</f>
        <v>#N/A</v>
      </c>
      <c r="AB984" s="331" t="e">
        <f>EXACT(Logfile_S[[#This Row],[date pick]],Logfile_S[[#This Row],[Date]])</f>
        <v>#N/A</v>
      </c>
      <c r="AC9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85" spans="1:29" ht="14.5">
      <c r="A985" s="220" t="str">
        <f>TEXT(ROW(A985)-ROW($A$4),"000")</f>
        <v>981</v>
      </c>
      <c r="B985" s="221"/>
      <c r="C985" s="221" t="s">
        <v>49</v>
      </c>
      <c r="D985" s="221" t="s">
        <v>3730</v>
      </c>
      <c r="E985" s="221" t="s">
        <v>3295</v>
      </c>
      <c r="F985" s="221" t="s">
        <v>3299</v>
      </c>
      <c r="G985" s="222">
        <v>45196</v>
      </c>
      <c r="H985" s="223">
        <v>0.52083333333333337</v>
      </c>
      <c r="I985" s="221" t="s">
        <v>4916</v>
      </c>
      <c r="J985" s="221" t="s">
        <v>3024</v>
      </c>
      <c r="K985" s="224" t="s">
        <v>3087</v>
      </c>
      <c r="L985" s="225" t="str">
        <f>VLOOKUP(Logfile_S[[#This Row],[Material Name]],Sheet2!B:C,2,0)</f>
        <v>GCI1001</v>
      </c>
      <c r="M985" s="225" t="str">
        <f>_xlfn.XLOOKUP(Logfile_S[[#This Row],[Material Name]],Sum_WH!E:E,Sum_WH!F:F,"",0)</f>
        <v>Pcs</v>
      </c>
      <c r="N985" s="221">
        <v>17</v>
      </c>
      <c r="O985" s="221" t="s">
        <v>172</v>
      </c>
      <c r="P985" s="221" t="s">
        <v>3319</v>
      </c>
      <c r="Q985" s="221"/>
      <c r="R985" s="221"/>
      <c r="S985" s="221"/>
      <c r="T985" s="221" t="s">
        <v>3346</v>
      </c>
      <c r="U985" s="221">
        <v>0</v>
      </c>
      <c r="V985" s="221" t="s">
        <v>3347</v>
      </c>
      <c r="W985" s="221" t="s">
        <v>3387</v>
      </c>
      <c r="X985" s="221"/>
      <c r="Y985" s="227"/>
      <c r="Z985" s="227" t="str">
        <f>P985</f>
        <v>Pandan Landung RW 03 Wagir</v>
      </c>
      <c r="AA985" s="276" t="e">
        <f>VLOOKUP(Logfile_S[[#This Row],[DO number]],DO_DB!G:I,3,0)</f>
        <v>#N/A</v>
      </c>
      <c r="AB985" s="331" t="e">
        <f>EXACT(Logfile_S[[#This Row],[date pick]],Logfile_S[[#This Row],[Date]])</f>
        <v>#N/A</v>
      </c>
      <c r="AC9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86" spans="1:29" ht="14.5">
      <c r="A986" s="220" t="str">
        <f>TEXT(ROW(A986)-ROW($A$4),"000")</f>
        <v>982</v>
      </c>
      <c r="B986" s="221"/>
      <c r="C986" s="221" t="s">
        <v>49</v>
      </c>
      <c r="D986" s="221" t="s">
        <v>3730</v>
      </c>
      <c r="E986" s="221" t="s">
        <v>3295</v>
      </c>
      <c r="F986" s="221" t="s">
        <v>3299</v>
      </c>
      <c r="G986" s="222">
        <v>45196</v>
      </c>
      <c r="H986" s="223">
        <v>0.52083333333333337</v>
      </c>
      <c r="I986" s="221" t="s">
        <v>4916</v>
      </c>
      <c r="J986" s="221" t="s">
        <v>3024</v>
      </c>
      <c r="K986" s="224" t="s">
        <v>5137</v>
      </c>
      <c r="L986" s="225" t="str">
        <f>VLOOKUP(Logfile_S[[#This Row],[Material Name]],Sheet2!B:C,2,0)</f>
        <v>GCI1009</v>
      </c>
      <c r="M986" s="225" t="str">
        <f>_xlfn.XLOOKUP(Logfile_S[[#This Row],[Material Name]],Sum_WH!E:E,Sum_WH!F:F,"",0)</f>
        <v>Pcs</v>
      </c>
      <c r="N986" s="221">
        <v>44</v>
      </c>
      <c r="O986" s="221" t="s">
        <v>172</v>
      </c>
      <c r="P986" s="221" t="s">
        <v>3319</v>
      </c>
      <c r="Q986" s="221"/>
      <c r="R986" s="221"/>
      <c r="S986" s="221"/>
      <c r="T986" s="221" t="s">
        <v>3346</v>
      </c>
      <c r="U986" s="221" t="s">
        <v>3323</v>
      </c>
      <c r="V986" s="221" t="s">
        <v>3347</v>
      </c>
      <c r="W986" s="221" t="s">
        <v>3387</v>
      </c>
      <c r="X986" s="221"/>
      <c r="Y986" s="227"/>
      <c r="Z986" s="227" t="str">
        <f>P986</f>
        <v>Pandan Landung RW 03 Wagir</v>
      </c>
      <c r="AA986" s="276" t="e">
        <f>VLOOKUP(Logfile_S[[#This Row],[DO number]],DO_DB!G:I,3,0)</f>
        <v>#N/A</v>
      </c>
      <c r="AB986" s="331" t="e">
        <f>EXACT(Logfile_S[[#This Row],[date pick]],Logfile_S[[#This Row],[Date]])</f>
        <v>#N/A</v>
      </c>
      <c r="AC9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87" spans="1:29" ht="14.5">
      <c r="A987" s="220" t="str">
        <f>TEXT(ROW(A987)-ROW($A$4),"000")</f>
        <v>983</v>
      </c>
      <c r="B987" s="221"/>
      <c r="C987" s="221" t="s">
        <v>49</v>
      </c>
      <c r="D987" s="221" t="s">
        <v>3730</v>
      </c>
      <c r="E987" s="221" t="s">
        <v>3295</v>
      </c>
      <c r="F987" s="221" t="s">
        <v>3299</v>
      </c>
      <c r="G987" s="222">
        <v>45196</v>
      </c>
      <c r="H987" s="223">
        <v>0.52083333333333337</v>
      </c>
      <c r="I987" s="221" t="s">
        <v>4916</v>
      </c>
      <c r="J987" s="221" t="s">
        <v>3024</v>
      </c>
      <c r="K987" s="224" t="s">
        <v>3088</v>
      </c>
      <c r="L987" s="225" t="str">
        <f>VLOOKUP(Logfile_S[[#This Row],[Material Name]],Sheet2!B:C,2,0)</f>
        <v>GCI1002</v>
      </c>
      <c r="M987" s="225" t="str">
        <f>_xlfn.XLOOKUP(Logfile_S[[#This Row],[Material Name]],Sum_WH!E:E,Sum_WH!F:F,"",0)</f>
        <v>Pcs</v>
      </c>
      <c r="N987" s="221">
        <v>1</v>
      </c>
      <c r="O987" s="221" t="s">
        <v>172</v>
      </c>
      <c r="P987" s="221" t="s">
        <v>3319</v>
      </c>
      <c r="Q987" s="221"/>
      <c r="R987" s="221"/>
      <c r="S987" s="221"/>
      <c r="T987" s="221" t="s">
        <v>3346</v>
      </c>
      <c r="U987" s="221" t="s">
        <v>3323</v>
      </c>
      <c r="V987" s="221" t="s">
        <v>3347</v>
      </c>
      <c r="W987" s="221" t="s">
        <v>3387</v>
      </c>
      <c r="X987" s="221"/>
      <c r="Y987" s="227"/>
      <c r="Z987" s="227" t="str">
        <f>P987</f>
        <v>Pandan Landung RW 03 Wagir</v>
      </c>
      <c r="AA987" s="276" t="e">
        <f>VLOOKUP(Logfile_S[[#This Row],[DO number]],DO_DB!G:I,3,0)</f>
        <v>#N/A</v>
      </c>
      <c r="AB987" s="331" t="e">
        <f>EXACT(Logfile_S[[#This Row],[date pick]],Logfile_S[[#This Row],[Date]])</f>
        <v>#N/A</v>
      </c>
      <c r="AC9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88" spans="1:29" ht="14.5">
      <c r="A988" s="220" t="str">
        <f>TEXT(ROW(A988)-ROW($A$4),"000")</f>
        <v>984</v>
      </c>
      <c r="B988" s="221"/>
      <c r="C988" s="221" t="s">
        <v>49</v>
      </c>
      <c r="D988" s="221" t="s">
        <v>3730</v>
      </c>
      <c r="E988" s="221" t="s">
        <v>3295</v>
      </c>
      <c r="F988" s="221" t="s">
        <v>3299</v>
      </c>
      <c r="G988" s="222">
        <v>45196</v>
      </c>
      <c r="H988" s="223">
        <v>0.52083333333333337</v>
      </c>
      <c r="I988" s="221" t="s">
        <v>4916</v>
      </c>
      <c r="J988" s="221" t="s">
        <v>3024</v>
      </c>
      <c r="K988" s="224" t="s">
        <v>3094</v>
      </c>
      <c r="L988" s="225" t="str">
        <f>VLOOKUP(Logfile_S[[#This Row],[Material Name]],Sheet2!B:C,2,0)</f>
        <v>GCI1008</v>
      </c>
      <c r="M988" s="225" t="str">
        <f>_xlfn.XLOOKUP(Logfile_S[[#This Row],[Material Name]],Sum_WH!E:E,Sum_WH!F:F,"",0)</f>
        <v>Pcs</v>
      </c>
      <c r="N988" s="221">
        <v>30</v>
      </c>
      <c r="O988" s="221" t="s">
        <v>172</v>
      </c>
      <c r="P988" s="221" t="s">
        <v>3319</v>
      </c>
      <c r="Q988" s="221"/>
      <c r="R988" s="221"/>
      <c r="S988" s="221"/>
      <c r="T988" s="221" t="s">
        <v>3346</v>
      </c>
      <c r="U988" s="221" t="s">
        <v>3323</v>
      </c>
      <c r="V988" s="221" t="s">
        <v>3347</v>
      </c>
      <c r="W988" s="221" t="s">
        <v>3387</v>
      </c>
      <c r="X988" s="221"/>
      <c r="Y988" s="227"/>
      <c r="Z988" s="227" t="str">
        <f>P988</f>
        <v>Pandan Landung RW 03 Wagir</v>
      </c>
      <c r="AA988" s="276" t="e">
        <f>VLOOKUP(Logfile_S[[#This Row],[DO number]],DO_DB!G:I,3,0)</f>
        <v>#N/A</v>
      </c>
      <c r="AB988" s="331" t="e">
        <f>EXACT(Logfile_S[[#This Row],[date pick]],Logfile_S[[#This Row],[Date]])</f>
        <v>#N/A</v>
      </c>
      <c r="AC9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89" spans="1:29" ht="14.5">
      <c r="A989" s="220" t="str">
        <f>TEXT(ROW(A989)-ROW($A$4),"000")</f>
        <v>985</v>
      </c>
      <c r="B989" s="221"/>
      <c r="C989" s="221" t="s">
        <v>49</v>
      </c>
      <c r="D989" s="221" t="s">
        <v>3730</v>
      </c>
      <c r="E989" s="221" t="s">
        <v>3295</v>
      </c>
      <c r="F989" s="221" t="s">
        <v>3299</v>
      </c>
      <c r="G989" s="222">
        <v>45196</v>
      </c>
      <c r="H989" s="223">
        <v>0.52083333333333337</v>
      </c>
      <c r="I989" s="221" t="s">
        <v>4916</v>
      </c>
      <c r="J989" s="221" t="s">
        <v>3024</v>
      </c>
      <c r="K989" s="224" t="s">
        <v>3092</v>
      </c>
      <c r="L989" s="225" t="str">
        <f>VLOOKUP(Logfile_S[[#This Row],[Material Name]],Sheet2!B:C,2,0)</f>
        <v>GCI1006</v>
      </c>
      <c r="M989" s="225" t="str">
        <f>_xlfn.XLOOKUP(Logfile_S[[#This Row],[Material Name]],Sum_WH!E:E,Sum_WH!F:F,"",0)</f>
        <v>Pcs</v>
      </c>
      <c r="N989" s="221">
        <v>44</v>
      </c>
      <c r="O989" s="221" t="s">
        <v>172</v>
      </c>
      <c r="P989" s="221" t="s">
        <v>3319</v>
      </c>
      <c r="Q989" s="221"/>
      <c r="R989" s="221"/>
      <c r="S989" s="221"/>
      <c r="T989" s="221" t="s">
        <v>3346</v>
      </c>
      <c r="U989" s="221" t="s">
        <v>3323</v>
      </c>
      <c r="V989" s="221" t="s">
        <v>3347</v>
      </c>
      <c r="W989" s="221" t="s">
        <v>3387</v>
      </c>
      <c r="X989" s="221"/>
      <c r="Y989" s="227"/>
      <c r="Z989" s="227" t="str">
        <f>P989</f>
        <v>Pandan Landung RW 03 Wagir</v>
      </c>
      <c r="AA989" s="276" t="e">
        <f>VLOOKUP(Logfile_S[[#This Row],[DO number]],DO_DB!G:I,3,0)</f>
        <v>#N/A</v>
      </c>
      <c r="AB989" s="331" t="e">
        <f>EXACT(Logfile_S[[#This Row],[date pick]],Logfile_S[[#This Row],[Date]])</f>
        <v>#N/A</v>
      </c>
      <c r="AC9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90" spans="1:29" ht="14.5">
      <c r="A990" s="220" t="str">
        <f>TEXT(ROW(A990)-ROW($A$4),"000")</f>
        <v>986</v>
      </c>
      <c r="B990" s="221"/>
      <c r="C990" s="221" t="s">
        <v>49</v>
      </c>
      <c r="D990" s="221" t="s">
        <v>3730</v>
      </c>
      <c r="E990" s="221" t="s">
        <v>3295</v>
      </c>
      <c r="F990" s="221" t="s">
        <v>3299</v>
      </c>
      <c r="G990" s="222">
        <v>45196</v>
      </c>
      <c r="H990" s="223">
        <v>0.52083333333333337</v>
      </c>
      <c r="I990" s="221" t="s">
        <v>4916</v>
      </c>
      <c r="J990" s="221" t="s">
        <v>3024</v>
      </c>
      <c r="K990" s="224" t="s">
        <v>3090</v>
      </c>
      <c r="L990" s="225" t="str">
        <f>VLOOKUP(Logfile_S[[#This Row],[Material Name]],Sheet2!B:C,2,0)</f>
        <v>GCI1004</v>
      </c>
      <c r="M990" s="225" t="str">
        <f>_xlfn.XLOOKUP(Logfile_S[[#This Row],[Material Name]],Sum_WH!E:E,Sum_WH!F:F,"",0)</f>
        <v>Pcs</v>
      </c>
      <c r="N990" s="221">
        <v>20</v>
      </c>
      <c r="O990" s="221" t="s">
        <v>172</v>
      </c>
      <c r="P990" s="221" t="s">
        <v>3319</v>
      </c>
      <c r="Q990" s="221"/>
      <c r="R990" s="221"/>
      <c r="S990" s="221"/>
      <c r="T990" s="221" t="s">
        <v>3346</v>
      </c>
      <c r="U990" s="221" t="s">
        <v>3323</v>
      </c>
      <c r="V990" s="221" t="s">
        <v>3347</v>
      </c>
      <c r="W990" s="221" t="s">
        <v>3387</v>
      </c>
      <c r="X990" s="221"/>
      <c r="Y990" s="227"/>
      <c r="Z990" s="227" t="str">
        <f>P990</f>
        <v>Pandan Landung RW 03 Wagir</v>
      </c>
      <c r="AA990" s="276" t="e">
        <f>VLOOKUP(Logfile_S[[#This Row],[DO number]],DO_DB!G:I,3,0)</f>
        <v>#N/A</v>
      </c>
      <c r="AB990" s="331" t="e">
        <f>EXACT(Logfile_S[[#This Row],[date pick]],Logfile_S[[#This Row],[Date]])</f>
        <v>#N/A</v>
      </c>
      <c r="AC9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91" spans="1:29" ht="14.5">
      <c r="A991" s="220" t="str">
        <f>TEXT(ROW(A991)-ROW($A$4),"000")</f>
        <v>987</v>
      </c>
      <c r="B991" s="221"/>
      <c r="C991" s="221" t="s">
        <v>48</v>
      </c>
      <c r="D991" s="221" t="s">
        <v>3737</v>
      </c>
      <c r="E991" s="221" t="s">
        <v>3295</v>
      </c>
      <c r="F991" s="221" t="s">
        <v>3299</v>
      </c>
      <c r="G991" s="222">
        <v>45201</v>
      </c>
      <c r="H991" s="223">
        <v>15.291666666666666</v>
      </c>
      <c r="I991" s="221" t="s">
        <v>38</v>
      </c>
      <c r="J991" s="221" t="s">
        <v>3024</v>
      </c>
      <c r="K991" s="224" t="s">
        <v>3092</v>
      </c>
      <c r="L991" s="225" t="str">
        <f>VLOOKUP(Logfile_S[[#This Row],[Material Name]],Sheet2!B:C,2,0)</f>
        <v>GCI1006</v>
      </c>
      <c r="M991" s="225" t="str">
        <f>_xlfn.XLOOKUP(Logfile_S[[#This Row],[Material Name]],Sum_WH!E:E,Sum_WH!F:F,"",0)</f>
        <v>Pcs</v>
      </c>
      <c r="N991" s="221">
        <v>135</v>
      </c>
      <c r="O991" s="221" t="s">
        <v>172</v>
      </c>
      <c r="P991" s="221" t="s">
        <v>3319</v>
      </c>
      <c r="Q991" s="221">
        <v>0</v>
      </c>
      <c r="R991" s="221">
        <v>0</v>
      </c>
      <c r="S991" s="221"/>
      <c r="T991" s="221"/>
      <c r="U991" s="221"/>
      <c r="V991" s="221"/>
      <c r="W991" s="221"/>
      <c r="X991" s="221"/>
      <c r="Y991" s="227"/>
      <c r="Z991" s="227" t="str">
        <f>P991</f>
        <v>Pandan Landung RW 03 Wagir</v>
      </c>
      <c r="AA991" s="276" t="e">
        <f>VLOOKUP(Logfile_S[[#This Row],[DO number]],DO_DB!G:I,3,0)</f>
        <v>#N/A</v>
      </c>
      <c r="AB991" s="331" t="e">
        <f>EXACT(Logfile_S[[#This Row],[date pick]],Logfile_S[[#This Row],[Date]])</f>
        <v>#N/A</v>
      </c>
      <c r="AC9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92" spans="1:29" ht="14.5">
      <c r="A992" s="220" t="str">
        <f>TEXT(ROW(A992)-ROW($A$4),"000")</f>
        <v>988</v>
      </c>
      <c r="B992" s="221"/>
      <c r="C992" s="221" t="s">
        <v>48</v>
      </c>
      <c r="D992" s="221" t="s">
        <v>3740</v>
      </c>
      <c r="E992" s="221" t="s">
        <v>3295</v>
      </c>
      <c r="F992" s="221" t="s">
        <v>3299</v>
      </c>
      <c r="G992" s="222">
        <v>45204</v>
      </c>
      <c r="H992" s="223">
        <v>15.291666666666666</v>
      </c>
      <c r="I992" s="221" t="s">
        <v>38</v>
      </c>
      <c r="J992" s="221" t="s">
        <v>3024</v>
      </c>
      <c r="K992" s="224" t="s">
        <v>3098</v>
      </c>
      <c r="L992" s="225" t="str">
        <f>VLOOKUP(Logfile_S[[#This Row],[Material Name]],Sheet2!B:C,2,0)</f>
        <v>GCI1012</v>
      </c>
      <c r="M992" s="225" t="str">
        <f>_xlfn.XLOOKUP(Logfile_S[[#This Row],[Material Name]],Sum_WH!E:E,Sum_WH!F:F,"",0)</f>
        <v>Pcs</v>
      </c>
      <c r="N992" s="221">
        <v>74</v>
      </c>
      <c r="O992" s="221" t="s">
        <v>172</v>
      </c>
      <c r="P992" s="221" t="s">
        <v>3319</v>
      </c>
      <c r="Q992" s="221">
        <v>0</v>
      </c>
      <c r="R992" s="221">
        <v>0</v>
      </c>
      <c r="S992" s="221"/>
      <c r="T992" s="221"/>
      <c r="U992" s="221"/>
      <c r="V992" s="221"/>
      <c r="W992" s="221"/>
      <c r="X992" s="221"/>
      <c r="Y992" s="227"/>
      <c r="Z992" s="227" t="str">
        <f>P992</f>
        <v>Pandan Landung RW 03 Wagir</v>
      </c>
      <c r="AA992" s="276" t="e">
        <f>VLOOKUP(Logfile_S[[#This Row],[DO number]],DO_DB!G:I,3,0)</f>
        <v>#N/A</v>
      </c>
      <c r="AB992" s="331" t="e">
        <f>EXACT(Logfile_S[[#This Row],[date pick]],Logfile_S[[#This Row],[Date]])</f>
        <v>#N/A</v>
      </c>
      <c r="AC9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93" spans="1:29" ht="14.5">
      <c r="A993" s="220" t="str">
        <f>TEXT(ROW(A993)-ROW($A$4),"000")</f>
        <v>989</v>
      </c>
      <c r="B993" s="221"/>
      <c r="C993" s="221" t="s">
        <v>49</v>
      </c>
      <c r="D993" s="221" t="s">
        <v>3743</v>
      </c>
      <c r="E993" s="221" t="s">
        <v>3295</v>
      </c>
      <c r="F993" s="221" t="s">
        <v>3299</v>
      </c>
      <c r="G993" s="222">
        <v>45208</v>
      </c>
      <c r="H993" s="223">
        <v>0.60763888888888895</v>
      </c>
      <c r="I993" s="221" t="s">
        <v>4916</v>
      </c>
      <c r="J993" s="221" t="s">
        <v>3023</v>
      </c>
      <c r="K993" s="224" t="s">
        <v>13</v>
      </c>
      <c r="L993" s="225" t="str">
        <f>VLOOKUP(Logfile_S[[#This Row],[Material Name]],Sheet2!B:C,2,0)</f>
        <v>ZTE2008</v>
      </c>
      <c r="M993" s="225" t="str">
        <f>_xlfn.XLOOKUP(Logfile_S[[#This Row],[Material Name]],Sum_WH!E:E,Sum_WH!F:F,"",0)</f>
        <v>Pcs</v>
      </c>
      <c r="N993" s="221">
        <v>8</v>
      </c>
      <c r="O993" s="221" t="s">
        <v>172</v>
      </c>
      <c r="P993" s="221" t="s">
        <v>3319</v>
      </c>
      <c r="Q993" s="221"/>
      <c r="R993" s="221"/>
      <c r="S993" s="221"/>
      <c r="T993" s="221" t="s">
        <v>3332</v>
      </c>
      <c r="U993" s="221">
        <v>0</v>
      </c>
      <c r="V993" s="221" t="s">
        <v>3333</v>
      </c>
      <c r="W993" s="221" t="s">
        <v>3445</v>
      </c>
      <c r="X993" s="221"/>
      <c r="Y993" s="227"/>
      <c r="Z993" s="227" t="str">
        <f>P993</f>
        <v>Pandan Landung RW 03 Wagir</v>
      </c>
      <c r="AA993" s="276" t="e">
        <f>VLOOKUP(Logfile_S[[#This Row],[DO number]],DO_DB!G:I,3,0)</f>
        <v>#N/A</v>
      </c>
      <c r="AB993" s="331" t="e">
        <f>EXACT(Logfile_S[[#This Row],[date pick]],Logfile_S[[#This Row],[Date]])</f>
        <v>#N/A</v>
      </c>
      <c r="AC9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94" spans="1:29" ht="14.5">
      <c r="A994" s="220" t="str">
        <f>TEXT(ROW(A994)-ROW($A$4),"000")</f>
        <v>990</v>
      </c>
      <c r="B994" s="221"/>
      <c r="C994" s="221" t="s">
        <v>49</v>
      </c>
      <c r="D994" s="221" t="s">
        <v>3743</v>
      </c>
      <c r="E994" s="221" t="s">
        <v>3295</v>
      </c>
      <c r="F994" s="221" t="s">
        <v>3299</v>
      </c>
      <c r="G994" s="222">
        <v>45208</v>
      </c>
      <c r="H994" s="223">
        <v>0.60763888888888895</v>
      </c>
      <c r="I994" s="221" t="s">
        <v>4916</v>
      </c>
      <c r="J994" s="221" t="s">
        <v>3023</v>
      </c>
      <c r="K994" s="224" t="s">
        <v>14</v>
      </c>
      <c r="L994" s="225" t="str">
        <f>VLOOKUP(Logfile_S[[#This Row],[Material Name]],Sheet2!B:C,2,0)</f>
        <v>ZTE2005</v>
      </c>
      <c r="M994" s="225" t="str">
        <f>_xlfn.XLOOKUP(Logfile_S[[#This Row],[Material Name]],Sum_WH!E:E,Sum_WH!F:F,"",0)</f>
        <v>Pcs</v>
      </c>
      <c r="N994" s="221">
        <v>1</v>
      </c>
      <c r="O994" s="221" t="s">
        <v>172</v>
      </c>
      <c r="P994" s="221" t="s">
        <v>3319</v>
      </c>
      <c r="Q994" s="221"/>
      <c r="R994" s="221"/>
      <c r="S994" s="221"/>
      <c r="T994" s="221" t="s">
        <v>3332</v>
      </c>
      <c r="U994" s="221">
        <v>0</v>
      </c>
      <c r="V994" s="221" t="s">
        <v>3333</v>
      </c>
      <c r="W994" s="221" t="s">
        <v>3445</v>
      </c>
      <c r="X994" s="221"/>
      <c r="Y994" s="227"/>
      <c r="Z994" s="227" t="str">
        <f>P994</f>
        <v>Pandan Landung RW 03 Wagir</v>
      </c>
      <c r="AA994" s="276" t="e">
        <f>VLOOKUP(Logfile_S[[#This Row],[DO number]],DO_DB!G:I,3,0)</f>
        <v>#N/A</v>
      </c>
      <c r="AB994" s="331" t="e">
        <f>EXACT(Logfile_S[[#This Row],[date pick]],Logfile_S[[#This Row],[Date]])</f>
        <v>#N/A</v>
      </c>
      <c r="AC9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95" spans="1:29" ht="14.5">
      <c r="A995" s="220" t="str">
        <f>TEXT(ROW(A995)-ROW($A$4),"000")</f>
        <v>991</v>
      </c>
      <c r="B995" s="221"/>
      <c r="C995" s="221" t="s">
        <v>49</v>
      </c>
      <c r="D995" s="221" t="s">
        <v>3743</v>
      </c>
      <c r="E995" s="221" t="s">
        <v>3295</v>
      </c>
      <c r="F995" s="221" t="s">
        <v>3299</v>
      </c>
      <c r="G995" s="222">
        <v>45208</v>
      </c>
      <c r="H995" s="223">
        <v>0.60763888888888895</v>
      </c>
      <c r="I995" s="221" t="s">
        <v>4916</v>
      </c>
      <c r="J995" s="221" t="s">
        <v>3024</v>
      </c>
      <c r="K995" s="224" t="s">
        <v>3230</v>
      </c>
      <c r="L995" s="225" t="str">
        <f>VLOOKUP(Logfile_S[[#This Row],[Material Name]],Sheet2!B:C,2,0)</f>
        <v>GCI1008</v>
      </c>
      <c r="M995" s="225" t="str">
        <f>_xlfn.XLOOKUP(Logfile_S[[#This Row],[Material Name]],Sum_WH!E:E,Sum_WH!F:F,"",0)</f>
        <v>Pcs</v>
      </c>
      <c r="N995" s="221">
        <v>18</v>
      </c>
      <c r="O995" s="221" t="s">
        <v>172</v>
      </c>
      <c r="P995" s="221" t="s">
        <v>3319</v>
      </c>
      <c r="Q995" s="221"/>
      <c r="R995" s="221"/>
      <c r="S995" s="221"/>
      <c r="T995" s="221" t="s">
        <v>3332</v>
      </c>
      <c r="U995" s="221">
        <v>0</v>
      </c>
      <c r="V995" s="221" t="s">
        <v>3333</v>
      </c>
      <c r="W995" s="221" t="s">
        <v>3445</v>
      </c>
      <c r="X995" s="221"/>
      <c r="Y995" s="227"/>
      <c r="Z995" s="227" t="str">
        <f>P995</f>
        <v>Pandan Landung RW 03 Wagir</v>
      </c>
      <c r="AA995" s="276" t="e">
        <f>VLOOKUP(Logfile_S[[#This Row],[DO number]],DO_DB!G:I,3,0)</f>
        <v>#N/A</v>
      </c>
      <c r="AB995" s="331" t="e">
        <f>EXACT(Logfile_S[[#This Row],[date pick]],Logfile_S[[#This Row],[Date]])</f>
        <v>#N/A</v>
      </c>
      <c r="AC9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96" spans="1:29" ht="14.5">
      <c r="A996" s="220" t="str">
        <f>TEXT(ROW(A996)-ROW($A$4),"000")</f>
        <v>992</v>
      </c>
      <c r="B996" s="221"/>
      <c r="C996" s="221" t="s">
        <v>49</v>
      </c>
      <c r="D996" s="221" t="s">
        <v>3746</v>
      </c>
      <c r="E996" s="221" t="s">
        <v>3295</v>
      </c>
      <c r="F996" s="221" t="s">
        <v>3299</v>
      </c>
      <c r="G996" s="222">
        <v>45210</v>
      </c>
      <c r="H996" s="223">
        <v>0.48402777777777778</v>
      </c>
      <c r="I996" s="221" t="s">
        <v>4916</v>
      </c>
      <c r="J996" s="221" t="s">
        <v>3023</v>
      </c>
      <c r="K996" s="224" t="s">
        <v>13</v>
      </c>
      <c r="L996" s="225" t="str">
        <f>VLOOKUP(Logfile_S[[#This Row],[Material Name]],Sheet2!B:C,2,0)</f>
        <v>ZTE2008</v>
      </c>
      <c r="M996" s="225" t="str">
        <f>_xlfn.XLOOKUP(Logfile_S[[#This Row],[Material Name]],Sum_WH!E:E,Sum_WH!F:F,"",0)</f>
        <v>Pcs</v>
      </c>
      <c r="N996" s="221">
        <v>8</v>
      </c>
      <c r="O996" s="221" t="s">
        <v>172</v>
      </c>
      <c r="P996" s="221" t="s">
        <v>3319</v>
      </c>
      <c r="Q996" s="221"/>
      <c r="R996" s="221"/>
      <c r="S996" s="221"/>
      <c r="T996" s="221" t="s">
        <v>3332</v>
      </c>
      <c r="U996" s="221">
        <v>0</v>
      </c>
      <c r="V996" s="221" t="s">
        <v>3333</v>
      </c>
      <c r="W996" s="221" t="s">
        <v>3445</v>
      </c>
      <c r="X996" s="221"/>
      <c r="Y996" s="227"/>
      <c r="Z996" s="227" t="str">
        <f>P996</f>
        <v>Pandan Landung RW 03 Wagir</v>
      </c>
      <c r="AA996" s="276" t="e">
        <f>VLOOKUP(Logfile_S[[#This Row],[DO number]],DO_DB!G:I,3,0)</f>
        <v>#N/A</v>
      </c>
      <c r="AB996" s="331" t="e">
        <f>EXACT(Logfile_S[[#This Row],[date pick]],Logfile_S[[#This Row],[Date]])</f>
        <v>#N/A</v>
      </c>
      <c r="AC9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97" spans="1:29" ht="14.5">
      <c r="A997" s="220" t="str">
        <f>TEXT(ROW(A997)-ROW($A$4),"000")</f>
        <v>993</v>
      </c>
      <c r="B997" s="221"/>
      <c r="C997" s="221" t="s">
        <v>49</v>
      </c>
      <c r="D997" s="221" t="s">
        <v>3752</v>
      </c>
      <c r="E997" s="221" t="s">
        <v>3295</v>
      </c>
      <c r="F997" s="221" t="s">
        <v>3299</v>
      </c>
      <c r="G997" s="222">
        <v>45211</v>
      </c>
      <c r="H997" s="223">
        <v>0.85486111111111107</v>
      </c>
      <c r="I997" s="221" t="s">
        <v>4916</v>
      </c>
      <c r="J997" s="221" t="s">
        <v>3024</v>
      </c>
      <c r="K997" s="224" t="s">
        <v>3098</v>
      </c>
      <c r="L997" s="225" t="str">
        <f>VLOOKUP(Logfile_S[[#This Row],[Material Name]],Sheet2!B:C,2,0)</f>
        <v>GCI1012</v>
      </c>
      <c r="M997" s="225" t="str">
        <f>_xlfn.XLOOKUP(Logfile_S[[#This Row],[Material Name]],Sum_WH!E:E,Sum_WH!F:F,"",0)</f>
        <v>Pcs</v>
      </c>
      <c r="N997" s="221">
        <v>73</v>
      </c>
      <c r="O997" s="221" t="s">
        <v>172</v>
      </c>
      <c r="P997" s="221" t="s">
        <v>3319</v>
      </c>
      <c r="Q997" s="221"/>
      <c r="R997" s="221"/>
      <c r="S997" s="221"/>
      <c r="T997" s="221" t="s">
        <v>3326</v>
      </c>
      <c r="U997" s="221">
        <v>0</v>
      </c>
      <c r="V997" s="221" t="s">
        <v>3327</v>
      </c>
      <c r="W997" s="221" t="s">
        <v>3328</v>
      </c>
      <c r="X997" s="221"/>
      <c r="Y997" s="227"/>
      <c r="Z997" s="227" t="str">
        <f>P997</f>
        <v>Pandan Landung RW 03 Wagir</v>
      </c>
      <c r="AA997" s="276" t="e">
        <f>VLOOKUP(Logfile_S[[#This Row],[DO number]],DO_DB!G:I,3,0)</f>
        <v>#N/A</v>
      </c>
      <c r="AB997" s="331" t="e">
        <f>EXACT(Logfile_S[[#This Row],[date pick]],Logfile_S[[#This Row],[Date]])</f>
        <v>#N/A</v>
      </c>
      <c r="AC9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98" spans="1:29" ht="14.5">
      <c r="A998" s="220" t="str">
        <f>TEXT(ROW(A998)-ROW($A$4),"000")</f>
        <v>994</v>
      </c>
      <c r="B998" s="221"/>
      <c r="C998" s="221" t="s">
        <v>49</v>
      </c>
      <c r="D998" s="221" t="s">
        <v>3765</v>
      </c>
      <c r="E998" s="221" t="s">
        <v>3295</v>
      </c>
      <c r="F998" s="221" t="s">
        <v>3299</v>
      </c>
      <c r="G998" s="222">
        <v>45217</v>
      </c>
      <c r="H998" s="223">
        <v>0.58680555555555558</v>
      </c>
      <c r="I998" s="221" t="s">
        <v>4916</v>
      </c>
      <c r="J998" s="221" t="s">
        <v>3024</v>
      </c>
      <c r="K998" s="224" t="s">
        <v>3087</v>
      </c>
      <c r="L998" s="225" t="str">
        <f>VLOOKUP(Logfile_S[[#This Row],[Material Name]],Sheet2!B:C,2,0)</f>
        <v>GCI1001</v>
      </c>
      <c r="M998" s="225" t="str">
        <f>_xlfn.XLOOKUP(Logfile_S[[#This Row],[Material Name]],Sum_WH!E:E,Sum_WH!F:F,"",0)</f>
        <v>Pcs</v>
      </c>
      <c r="N998" s="221">
        <v>6</v>
      </c>
      <c r="O998" s="221" t="s">
        <v>172</v>
      </c>
      <c r="P998" s="221" t="s">
        <v>3319</v>
      </c>
      <c r="Q998" s="221"/>
      <c r="R998" s="221"/>
      <c r="S998" s="221"/>
      <c r="T998" s="221" t="s">
        <v>3346</v>
      </c>
      <c r="U998" s="221">
        <v>0</v>
      </c>
      <c r="V998" s="221" t="s">
        <v>3347</v>
      </c>
      <c r="W998" s="221" t="s">
        <v>3334</v>
      </c>
      <c r="X998" s="221"/>
      <c r="Y998" s="227"/>
      <c r="Z998" s="227" t="str">
        <f>P998</f>
        <v>Pandan Landung RW 03 Wagir</v>
      </c>
      <c r="AA998" s="276" t="e">
        <f>VLOOKUP(Logfile_S[[#This Row],[DO number]],DO_DB!G:I,3,0)</f>
        <v>#N/A</v>
      </c>
      <c r="AB998" s="331" t="e">
        <f>EXACT(Logfile_S[[#This Row],[date pick]],Logfile_S[[#This Row],[Date]])</f>
        <v>#N/A</v>
      </c>
      <c r="AC9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999" spans="1:29" ht="14.5">
      <c r="A999" s="220" t="str">
        <f>TEXT(ROW(A999)-ROW($A$4),"000")</f>
        <v>995</v>
      </c>
      <c r="B999" s="221"/>
      <c r="C999" s="221" t="s">
        <v>49</v>
      </c>
      <c r="D999" s="221" t="s">
        <v>3765</v>
      </c>
      <c r="E999" s="221" t="s">
        <v>3295</v>
      </c>
      <c r="F999" s="221" t="s">
        <v>3299</v>
      </c>
      <c r="G999" s="222">
        <v>45217</v>
      </c>
      <c r="H999" s="223">
        <v>0.58680555555555558</v>
      </c>
      <c r="I999" s="221" t="s">
        <v>4916</v>
      </c>
      <c r="J999" s="221" t="s">
        <v>3024</v>
      </c>
      <c r="K999" s="224" t="s">
        <v>5137</v>
      </c>
      <c r="L999" s="225" t="str">
        <f>VLOOKUP(Logfile_S[[#This Row],[Material Name]],Sheet2!B:C,2,0)</f>
        <v>GCI1009</v>
      </c>
      <c r="M999" s="225" t="str">
        <f>_xlfn.XLOOKUP(Logfile_S[[#This Row],[Material Name]],Sum_WH!E:E,Sum_WH!F:F,"",0)</f>
        <v>Pcs</v>
      </c>
      <c r="N999" s="221">
        <v>50</v>
      </c>
      <c r="O999" s="221" t="s">
        <v>172</v>
      </c>
      <c r="P999" s="221" t="s">
        <v>3319</v>
      </c>
      <c r="Q999" s="221"/>
      <c r="R999" s="221"/>
      <c r="S999" s="221"/>
      <c r="T999" s="221" t="s">
        <v>3346</v>
      </c>
      <c r="U999" s="221">
        <v>0</v>
      </c>
      <c r="V999" s="221" t="s">
        <v>3347</v>
      </c>
      <c r="W999" s="221" t="s">
        <v>3334</v>
      </c>
      <c r="X999" s="221"/>
      <c r="Y999" s="227"/>
      <c r="Z999" s="227" t="str">
        <f>P999</f>
        <v>Pandan Landung RW 03 Wagir</v>
      </c>
      <c r="AA999" s="276" t="e">
        <f>VLOOKUP(Logfile_S[[#This Row],[DO number]],DO_DB!G:I,3,0)</f>
        <v>#N/A</v>
      </c>
      <c r="AB999" s="331" t="e">
        <f>EXACT(Logfile_S[[#This Row],[date pick]],Logfile_S[[#This Row],[Date]])</f>
        <v>#N/A</v>
      </c>
      <c r="AC9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00" spans="1:29" ht="14.5">
      <c r="A1000" s="220" t="str">
        <f>TEXT(ROW(A1000)-ROW($A$4),"000")</f>
        <v>996</v>
      </c>
      <c r="B1000" s="221"/>
      <c r="C1000" s="221" t="s">
        <v>49</v>
      </c>
      <c r="D1000" s="221" t="s">
        <v>3765</v>
      </c>
      <c r="E1000" s="221" t="s">
        <v>3295</v>
      </c>
      <c r="F1000" s="221" t="s">
        <v>3299</v>
      </c>
      <c r="G1000" s="222">
        <v>45217</v>
      </c>
      <c r="H1000" s="223">
        <v>0.58680555555555558</v>
      </c>
      <c r="I1000" s="221" t="s">
        <v>4916</v>
      </c>
      <c r="J1000" s="221" t="s">
        <v>3024</v>
      </c>
      <c r="K1000" s="224" t="s">
        <v>3093</v>
      </c>
      <c r="L1000" s="225" t="str">
        <f>VLOOKUP(Logfile_S[[#This Row],[Material Name]],Sheet2!B:C,2,0)</f>
        <v>GCI1007</v>
      </c>
      <c r="M1000" s="225" t="str">
        <f>_xlfn.XLOOKUP(Logfile_S[[#This Row],[Material Name]],Sum_WH!E:E,Sum_WH!F:F,"",0)</f>
        <v>Pcs</v>
      </c>
      <c r="N1000" s="221">
        <v>50</v>
      </c>
      <c r="O1000" s="221" t="s">
        <v>172</v>
      </c>
      <c r="P1000" s="221" t="s">
        <v>3319</v>
      </c>
      <c r="Q1000" s="221"/>
      <c r="R1000" s="221"/>
      <c r="S1000" s="221"/>
      <c r="T1000" s="221" t="s">
        <v>3346</v>
      </c>
      <c r="U1000" s="221">
        <v>0</v>
      </c>
      <c r="V1000" s="221" t="s">
        <v>3347</v>
      </c>
      <c r="W1000" s="221" t="s">
        <v>3334</v>
      </c>
      <c r="X1000" s="221"/>
      <c r="Y1000" s="227"/>
      <c r="Z1000" s="227" t="str">
        <f>P1000</f>
        <v>Pandan Landung RW 03 Wagir</v>
      </c>
      <c r="AA1000" s="276" t="e">
        <f>VLOOKUP(Logfile_S[[#This Row],[DO number]],DO_DB!G:I,3,0)</f>
        <v>#N/A</v>
      </c>
      <c r="AB1000" s="331" t="e">
        <f>EXACT(Logfile_S[[#This Row],[date pick]],Logfile_S[[#This Row],[Date]])</f>
        <v>#N/A</v>
      </c>
      <c r="AC10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01" spans="1:29" ht="14.5">
      <c r="A1001" s="220" t="str">
        <f>TEXT(ROW(A1001)-ROW($A$4),"000")</f>
        <v>997</v>
      </c>
      <c r="B1001" s="221"/>
      <c r="C1001" s="221" t="s">
        <v>49</v>
      </c>
      <c r="D1001" s="221" t="s">
        <v>3765</v>
      </c>
      <c r="E1001" s="221" t="s">
        <v>3295</v>
      </c>
      <c r="F1001" s="221" t="s">
        <v>3299</v>
      </c>
      <c r="G1001" s="222">
        <v>45217</v>
      </c>
      <c r="H1001" s="223">
        <v>0.58680555555555558</v>
      </c>
      <c r="I1001" s="221" t="s">
        <v>4916</v>
      </c>
      <c r="J1001" s="221" t="s">
        <v>3024</v>
      </c>
      <c r="K1001" s="224" t="s">
        <v>3092</v>
      </c>
      <c r="L1001" s="225" t="str">
        <f>VLOOKUP(Logfile_S[[#This Row],[Material Name]],Sheet2!B:C,2,0)</f>
        <v>GCI1006</v>
      </c>
      <c r="M1001" s="225" t="str">
        <f>_xlfn.XLOOKUP(Logfile_S[[#This Row],[Material Name]],Sum_WH!E:E,Sum_WH!F:F,"",0)</f>
        <v>Pcs</v>
      </c>
      <c r="N1001" s="221">
        <v>50</v>
      </c>
      <c r="O1001" s="221" t="s">
        <v>172</v>
      </c>
      <c r="P1001" s="221" t="s">
        <v>3319</v>
      </c>
      <c r="Q1001" s="221"/>
      <c r="R1001" s="221"/>
      <c r="S1001" s="221"/>
      <c r="T1001" s="221" t="s">
        <v>3346</v>
      </c>
      <c r="U1001" s="221">
        <v>0</v>
      </c>
      <c r="V1001" s="221" t="s">
        <v>3347</v>
      </c>
      <c r="W1001" s="221" t="s">
        <v>3334</v>
      </c>
      <c r="X1001" s="221"/>
      <c r="Y1001" s="227"/>
      <c r="Z1001" s="227" t="str">
        <f>P1001</f>
        <v>Pandan Landung RW 03 Wagir</v>
      </c>
      <c r="AA1001" s="276" t="e">
        <f>VLOOKUP(Logfile_S[[#This Row],[DO number]],DO_DB!G:I,3,0)</f>
        <v>#N/A</v>
      </c>
      <c r="AB1001" s="331" t="e">
        <f>EXACT(Logfile_S[[#This Row],[date pick]],Logfile_S[[#This Row],[Date]])</f>
        <v>#N/A</v>
      </c>
      <c r="AC10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02" spans="1:29" ht="14.5">
      <c r="A1002" s="220" t="str">
        <f>TEXT(ROW(A1002)-ROW($A$4),"000")</f>
        <v>998</v>
      </c>
      <c r="B1002" s="221"/>
      <c r="C1002" s="221" t="s">
        <v>49</v>
      </c>
      <c r="D1002" s="221" t="s">
        <v>3810</v>
      </c>
      <c r="E1002" s="221" t="s">
        <v>3295</v>
      </c>
      <c r="F1002" s="221" t="s">
        <v>3299</v>
      </c>
      <c r="G1002" s="222">
        <v>45251</v>
      </c>
      <c r="H1002" s="223">
        <v>0.63472222222222219</v>
      </c>
      <c r="I1002" s="221" t="s">
        <v>4916</v>
      </c>
      <c r="J1002" s="221" t="s">
        <v>3023</v>
      </c>
      <c r="K1002" s="224" t="s">
        <v>3071</v>
      </c>
      <c r="L1002" s="225" t="str">
        <f>VLOOKUP(Logfile_S[[#This Row],[Material Name]],Sheet2!B:C,2,0)</f>
        <v>ZTE1003</v>
      </c>
      <c r="M1002" s="225" t="str">
        <f>_xlfn.XLOOKUP(Logfile_S[[#This Row],[Material Name]],Sum_WH!E:E,Sum_WH!F:F,"",0)</f>
        <v>Pcs</v>
      </c>
      <c r="N1002" s="221">
        <v>7</v>
      </c>
      <c r="O1002" s="221" t="s">
        <v>172</v>
      </c>
      <c r="P1002" s="221" t="s">
        <v>3319</v>
      </c>
      <c r="Q1002" s="221"/>
      <c r="R1002" s="221"/>
      <c r="S1002" s="221"/>
      <c r="T1002" s="221" t="s">
        <v>3332</v>
      </c>
      <c r="U1002" s="221">
        <v>0</v>
      </c>
      <c r="V1002" s="221" t="s">
        <v>3333</v>
      </c>
      <c r="W1002" s="221" t="s">
        <v>3572</v>
      </c>
      <c r="X1002" s="221"/>
      <c r="Y1002" s="227"/>
      <c r="Z1002" s="227" t="str">
        <f>P1002</f>
        <v>Pandan Landung RW 03 Wagir</v>
      </c>
      <c r="AA1002" s="276" t="e">
        <f>VLOOKUP(Logfile_S[[#This Row],[DO number]],DO_DB!G:I,3,0)</f>
        <v>#N/A</v>
      </c>
      <c r="AB1002" s="331" t="e">
        <f>EXACT(Logfile_S[[#This Row],[date pick]],Logfile_S[[#This Row],[Date]])</f>
        <v>#N/A</v>
      </c>
      <c r="AC10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03" spans="1:29" ht="14.5">
      <c r="A1003" s="220" t="str">
        <f>TEXT(ROW(A1003)-ROW($A$4),"000")</f>
        <v>999</v>
      </c>
      <c r="B1003" s="221"/>
      <c r="C1003" s="221" t="s">
        <v>49</v>
      </c>
      <c r="D1003" s="221" t="s">
        <v>3831</v>
      </c>
      <c r="E1003" s="221" t="s">
        <v>3295</v>
      </c>
      <c r="F1003" s="221" t="s">
        <v>3299</v>
      </c>
      <c r="G1003" s="222">
        <v>45267</v>
      </c>
      <c r="H1003" s="223">
        <v>0.89583333333333337</v>
      </c>
      <c r="I1003" s="221" t="s">
        <v>4916</v>
      </c>
      <c r="J1003" s="221" t="s">
        <v>3024</v>
      </c>
      <c r="K1003" s="224" t="s">
        <v>5137</v>
      </c>
      <c r="L1003" s="225" t="str">
        <f>VLOOKUP(Logfile_S[[#This Row],[Material Name]],Sheet2!B:C,2,0)</f>
        <v>GCI1009</v>
      </c>
      <c r="M1003" s="225" t="str">
        <f>_xlfn.XLOOKUP(Logfile_S[[#This Row],[Material Name]],Sum_WH!E:E,Sum_WH!F:F,"",0)</f>
        <v>Pcs</v>
      </c>
      <c r="N1003" s="221">
        <v>46</v>
      </c>
      <c r="O1003" s="221" t="s">
        <v>172</v>
      </c>
      <c r="P1003" s="221" t="s">
        <v>3319</v>
      </c>
      <c r="Q1003" s="221"/>
      <c r="R1003" s="221"/>
      <c r="S1003" s="221"/>
      <c r="T1003" s="221" t="s">
        <v>3231</v>
      </c>
      <c r="U1003" s="221">
        <v>0</v>
      </c>
      <c r="V1003" s="221" t="s">
        <v>3375</v>
      </c>
      <c r="W1003" s="221" t="s">
        <v>3249</v>
      </c>
      <c r="X1003" s="221"/>
      <c r="Y1003" s="227"/>
      <c r="Z1003" s="227" t="str">
        <f>P1003</f>
        <v>Pandan Landung RW 03 Wagir</v>
      </c>
      <c r="AA1003" s="276" t="e">
        <f>VLOOKUP(Logfile_S[[#This Row],[DO number]],DO_DB!G:I,3,0)</f>
        <v>#N/A</v>
      </c>
      <c r="AB1003" s="331" t="e">
        <f>EXACT(Logfile_S[[#This Row],[date pick]],Logfile_S[[#This Row],[Date]])</f>
        <v>#N/A</v>
      </c>
      <c r="AC10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04" spans="1:29" ht="14.5">
      <c r="A1004" s="220" t="str">
        <f>TEXT(ROW(A1004)-ROW($A$4),"000")</f>
        <v>1000</v>
      </c>
      <c r="B1004" s="221"/>
      <c r="C1004" s="221" t="s">
        <v>49</v>
      </c>
      <c r="D1004" s="221" t="s">
        <v>3831</v>
      </c>
      <c r="E1004" s="221" t="s">
        <v>3295</v>
      </c>
      <c r="F1004" s="221" t="s">
        <v>3299</v>
      </c>
      <c r="G1004" s="222">
        <v>45267</v>
      </c>
      <c r="H1004" s="223">
        <v>0.89583333333333337</v>
      </c>
      <c r="I1004" s="221" t="s">
        <v>4916</v>
      </c>
      <c r="J1004" s="221" t="s">
        <v>3023</v>
      </c>
      <c r="K1004" s="224" t="s">
        <v>3069</v>
      </c>
      <c r="L1004" s="225" t="str">
        <f>VLOOKUP(Logfile_S[[#This Row],[Material Name]],Sheet2!B:C,2,0)</f>
        <v>ZTE1001</v>
      </c>
      <c r="M1004" s="225" t="str">
        <f>_xlfn.XLOOKUP(Logfile_S[[#This Row],[Material Name]],Sum_WH!E:E,Sum_WH!F:F,"",0)</f>
        <v>Pcs</v>
      </c>
      <c r="N1004" s="221">
        <v>2</v>
      </c>
      <c r="O1004" s="221" t="s">
        <v>172</v>
      </c>
      <c r="P1004" s="221" t="s">
        <v>3319</v>
      </c>
      <c r="Q1004" s="221"/>
      <c r="R1004" s="221"/>
      <c r="S1004" s="221"/>
      <c r="T1004" s="221" t="s">
        <v>3231</v>
      </c>
      <c r="U1004" s="221">
        <v>0</v>
      </c>
      <c r="V1004" s="221" t="s">
        <v>3375</v>
      </c>
      <c r="W1004" s="221" t="s">
        <v>3249</v>
      </c>
      <c r="X1004" s="221"/>
      <c r="Y1004" s="227"/>
      <c r="Z1004" s="227" t="str">
        <f>P1004</f>
        <v>Pandan Landung RW 03 Wagir</v>
      </c>
      <c r="AA1004" s="276" t="e">
        <f>VLOOKUP(Logfile_S[[#This Row],[DO number]],DO_DB!G:I,3,0)</f>
        <v>#N/A</v>
      </c>
      <c r="AB1004" s="331" t="e">
        <f>EXACT(Logfile_S[[#This Row],[date pick]],Logfile_S[[#This Row],[Date]])</f>
        <v>#N/A</v>
      </c>
      <c r="AC10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05" spans="1:29" ht="14.5">
      <c r="A1005" s="220" t="str">
        <f>TEXT(ROW(A1005)-ROW($A$4),"000")</f>
        <v>1001</v>
      </c>
      <c r="B1005" s="221"/>
      <c r="C1005" s="221" t="s">
        <v>49</v>
      </c>
      <c r="D1005" s="221" t="s">
        <v>3831</v>
      </c>
      <c r="E1005" s="221" t="s">
        <v>3295</v>
      </c>
      <c r="F1005" s="221" t="s">
        <v>3299</v>
      </c>
      <c r="G1005" s="222">
        <v>45267</v>
      </c>
      <c r="H1005" s="223">
        <v>0.89583333333333337</v>
      </c>
      <c r="I1005" s="221" t="s">
        <v>4916</v>
      </c>
      <c r="J1005" s="221" t="s">
        <v>3024</v>
      </c>
      <c r="K1005" s="224" t="s">
        <v>3094</v>
      </c>
      <c r="L1005" s="225" t="str">
        <f>VLOOKUP(Logfile_S[[#This Row],[Material Name]],Sheet2!B:C,2,0)</f>
        <v>GCI1008</v>
      </c>
      <c r="M1005" s="225" t="str">
        <f>_xlfn.XLOOKUP(Logfile_S[[#This Row],[Material Name]],Sum_WH!E:E,Sum_WH!F:F,"",0)</f>
        <v>Pcs</v>
      </c>
      <c r="N1005" s="221">
        <v>15</v>
      </c>
      <c r="O1005" s="221" t="s">
        <v>172</v>
      </c>
      <c r="P1005" s="221" t="s">
        <v>3319</v>
      </c>
      <c r="Q1005" s="221"/>
      <c r="R1005" s="221"/>
      <c r="S1005" s="221"/>
      <c r="T1005" s="221" t="s">
        <v>3231</v>
      </c>
      <c r="U1005" s="221">
        <v>0</v>
      </c>
      <c r="V1005" s="221" t="s">
        <v>3375</v>
      </c>
      <c r="W1005" s="221" t="s">
        <v>3249</v>
      </c>
      <c r="X1005" s="221"/>
      <c r="Y1005" s="227"/>
      <c r="Z1005" s="227" t="str">
        <f>P1005</f>
        <v>Pandan Landung RW 03 Wagir</v>
      </c>
      <c r="AA1005" s="276" t="e">
        <f>VLOOKUP(Logfile_S[[#This Row],[DO number]],DO_DB!G:I,3,0)</f>
        <v>#N/A</v>
      </c>
      <c r="AB1005" s="331" t="e">
        <f>EXACT(Logfile_S[[#This Row],[date pick]],Logfile_S[[#This Row],[Date]])</f>
        <v>#N/A</v>
      </c>
      <c r="AC10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06" spans="1:29" ht="14.5">
      <c r="A1006" s="220" t="str">
        <f>TEXT(ROW(A1006)-ROW($A$4),"000")</f>
        <v>1002</v>
      </c>
      <c r="B1006" s="221"/>
      <c r="C1006" s="221" t="s">
        <v>49</v>
      </c>
      <c r="D1006" s="221" t="s">
        <v>3831</v>
      </c>
      <c r="E1006" s="221" t="s">
        <v>3295</v>
      </c>
      <c r="F1006" s="221" t="s">
        <v>3299</v>
      </c>
      <c r="G1006" s="222">
        <v>45267</v>
      </c>
      <c r="H1006" s="223">
        <v>0.89583333333333337</v>
      </c>
      <c r="I1006" s="221" t="s">
        <v>4916</v>
      </c>
      <c r="J1006" s="221" t="s">
        <v>3024</v>
      </c>
      <c r="K1006" s="224" t="s">
        <v>3106</v>
      </c>
      <c r="L1006" s="225" t="str">
        <f>VLOOKUP(Logfile_S[[#This Row],[Material Name]],Sheet2!B:C,2,0)</f>
        <v>GCI1018</v>
      </c>
      <c r="M1006" s="225" t="str">
        <f>_xlfn.XLOOKUP(Logfile_S[[#This Row],[Material Name]],Sum_WH!E:E,Sum_WH!F:F,"",0)</f>
        <v>Pcs</v>
      </c>
      <c r="N1006" s="221">
        <v>8</v>
      </c>
      <c r="O1006" s="221" t="s">
        <v>172</v>
      </c>
      <c r="P1006" s="221" t="s">
        <v>3319</v>
      </c>
      <c r="Q1006" s="221"/>
      <c r="R1006" s="221"/>
      <c r="S1006" s="221"/>
      <c r="T1006" s="221" t="s">
        <v>3231</v>
      </c>
      <c r="U1006" s="221">
        <v>0</v>
      </c>
      <c r="V1006" s="221" t="s">
        <v>3375</v>
      </c>
      <c r="W1006" s="221" t="s">
        <v>3249</v>
      </c>
      <c r="X1006" s="221"/>
      <c r="Y1006" s="227"/>
      <c r="Z1006" s="227" t="str">
        <f>P1006</f>
        <v>Pandan Landung RW 03 Wagir</v>
      </c>
      <c r="AA1006" s="276" t="e">
        <f>VLOOKUP(Logfile_S[[#This Row],[DO number]],DO_DB!G:I,3,0)</f>
        <v>#N/A</v>
      </c>
      <c r="AB1006" s="331" t="e">
        <f>EXACT(Logfile_S[[#This Row],[date pick]],Logfile_S[[#This Row],[Date]])</f>
        <v>#N/A</v>
      </c>
      <c r="AC10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07" spans="1:29" ht="14.5">
      <c r="A1007" s="220" t="str">
        <f>TEXT(ROW(A1007)-ROW($A$4),"000")</f>
        <v>1003</v>
      </c>
      <c r="B1007" s="221"/>
      <c r="C1007" s="221" t="s">
        <v>49</v>
      </c>
      <c r="D1007" s="221" t="s">
        <v>3831</v>
      </c>
      <c r="E1007" s="221" t="s">
        <v>3295</v>
      </c>
      <c r="F1007" s="221" t="s">
        <v>3299</v>
      </c>
      <c r="G1007" s="222">
        <v>45267</v>
      </c>
      <c r="H1007" s="223">
        <v>0.89583333333333337</v>
      </c>
      <c r="I1007" s="221" t="s">
        <v>4916</v>
      </c>
      <c r="J1007" s="221" t="s">
        <v>3024</v>
      </c>
      <c r="K1007" s="224" t="s">
        <v>3090</v>
      </c>
      <c r="L1007" s="225" t="str">
        <f>VLOOKUP(Logfile_S[[#This Row],[Material Name]],Sheet2!B:C,2,0)</f>
        <v>GCI1004</v>
      </c>
      <c r="M1007" s="225" t="str">
        <f>_xlfn.XLOOKUP(Logfile_S[[#This Row],[Material Name]],Sum_WH!E:E,Sum_WH!F:F,"",0)</f>
        <v>Pcs</v>
      </c>
      <c r="N1007" s="221">
        <v>5</v>
      </c>
      <c r="O1007" s="221" t="s">
        <v>172</v>
      </c>
      <c r="P1007" s="221" t="s">
        <v>3319</v>
      </c>
      <c r="Q1007" s="221"/>
      <c r="R1007" s="221"/>
      <c r="S1007" s="221"/>
      <c r="T1007" s="221" t="s">
        <v>3231</v>
      </c>
      <c r="U1007" s="221">
        <v>0</v>
      </c>
      <c r="V1007" s="221" t="s">
        <v>3375</v>
      </c>
      <c r="W1007" s="221" t="s">
        <v>3249</v>
      </c>
      <c r="X1007" s="221"/>
      <c r="Y1007" s="227"/>
      <c r="Z1007" s="227" t="str">
        <f>P1007</f>
        <v>Pandan Landung RW 03 Wagir</v>
      </c>
      <c r="AA1007" s="276" t="e">
        <f>VLOOKUP(Logfile_S[[#This Row],[DO number]],DO_DB!G:I,3,0)</f>
        <v>#N/A</v>
      </c>
      <c r="AB1007" s="331" t="e">
        <f>EXACT(Logfile_S[[#This Row],[date pick]],Logfile_S[[#This Row],[Date]])</f>
        <v>#N/A</v>
      </c>
      <c r="AC10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08" spans="1:29" ht="14.5">
      <c r="A1008" s="220" t="str">
        <f>TEXT(ROW(A1008)-ROW($A$4),"000")</f>
        <v>1004</v>
      </c>
      <c r="B1008" s="221"/>
      <c r="C1008" s="221" t="s">
        <v>48</v>
      </c>
      <c r="D1008" s="221" t="s">
        <v>3708</v>
      </c>
      <c r="E1008" s="221" t="s">
        <v>3295</v>
      </c>
      <c r="F1008" s="221" t="s">
        <v>3299</v>
      </c>
      <c r="G1008" s="222">
        <v>45185</v>
      </c>
      <c r="H1008" s="223">
        <v>15.291666666666666</v>
      </c>
      <c r="I1008" s="221" t="s">
        <v>37</v>
      </c>
      <c r="J1008" s="221" t="s">
        <v>3023</v>
      </c>
      <c r="K1008" s="224" t="s">
        <v>3072</v>
      </c>
      <c r="L1008" s="225" t="str">
        <f>VLOOKUP(Logfile_S[[#This Row],[Material Name]],Sheet2!B:C,2,0)</f>
        <v>ZTE1004</v>
      </c>
      <c r="M1008" s="225" t="str">
        <f>_xlfn.XLOOKUP(Logfile_S[[#This Row],[Material Name]],Sum_WH!E:E,Sum_WH!F:F,"",0)</f>
        <v>Pcs</v>
      </c>
      <c r="N1008" s="221">
        <v>1</v>
      </c>
      <c r="O1008" s="221" t="s">
        <v>172</v>
      </c>
      <c r="P1008" s="221" t="s">
        <v>3526</v>
      </c>
      <c r="Q1008" s="221" t="s">
        <v>174</v>
      </c>
      <c r="R1008" s="221" t="s">
        <v>175</v>
      </c>
      <c r="S1008" s="221"/>
      <c r="T1008" s="221"/>
      <c r="U1008" s="221"/>
      <c r="V1008" s="221"/>
      <c r="W1008" s="221"/>
      <c r="X1008" s="221"/>
      <c r="Y1008" s="227"/>
      <c r="Z1008" s="227" t="str">
        <f>P1008</f>
        <v>Pandanlandung RW   03   Wagir</v>
      </c>
      <c r="AA1008" s="276">
        <f>VLOOKUP(Logfile_S[[#This Row],[DO number]],DO_DB!G:I,3,0)</f>
        <v>45185</v>
      </c>
      <c r="AB1008" s="331" t="b">
        <f>EXACT(Logfile_S[[#This Row],[date pick]],Logfile_S[[#This Row],[Date]])</f>
        <v>1</v>
      </c>
      <c r="AC10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09" spans="1:29" ht="14.5">
      <c r="A1009" s="220" t="str">
        <f>TEXT(ROW(A1009)-ROW($A$4),"000")</f>
        <v>1005</v>
      </c>
      <c r="B1009" s="221"/>
      <c r="C1009" s="221" t="s">
        <v>48</v>
      </c>
      <c r="D1009" s="221" t="s">
        <v>3709</v>
      </c>
      <c r="E1009" s="221" t="s">
        <v>3295</v>
      </c>
      <c r="F1009" s="221" t="s">
        <v>3299</v>
      </c>
      <c r="G1009" s="222">
        <v>45188</v>
      </c>
      <c r="H1009" s="223">
        <v>15.291666666666666</v>
      </c>
      <c r="I1009" s="221" t="s">
        <v>37</v>
      </c>
      <c r="J1009" s="221" t="s">
        <v>3023</v>
      </c>
      <c r="K1009" s="224" t="s">
        <v>13</v>
      </c>
      <c r="L1009" s="225" t="str">
        <f>VLOOKUP(Logfile_S[[#This Row],[Material Name]],Sheet2!B:C,2,0)</f>
        <v>ZTE2008</v>
      </c>
      <c r="M1009" s="225" t="str">
        <f>_xlfn.XLOOKUP(Logfile_S[[#This Row],[Material Name]],Sum_WH!E:E,Sum_WH!F:F,"",0)</f>
        <v>Pcs</v>
      </c>
      <c r="N1009" s="221">
        <v>16</v>
      </c>
      <c r="O1009" s="221" t="s">
        <v>172</v>
      </c>
      <c r="P1009" s="221" t="s">
        <v>3526</v>
      </c>
      <c r="Q1009" s="221" t="s">
        <v>178</v>
      </c>
      <c r="R1009" s="221" t="s">
        <v>179</v>
      </c>
      <c r="S1009" s="221"/>
      <c r="T1009" s="221"/>
      <c r="U1009" s="221"/>
      <c r="V1009" s="221"/>
      <c r="W1009" s="221"/>
      <c r="X1009" s="221"/>
      <c r="Y1009" s="227"/>
      <c r="Z1009" s="227" t="str">
        <f>P1009</f>
        <v>Pandanlandung RW   03   Wagir</v>
      </c>
      <c r="AA1009" s="276">
        <f>VLOOKUP(Logfile_S[[#This Row],[DO number]],DO_DB!G:I,3,0)</f>
        <v>45188</v>
      </c>
      <c r="AB1009" s="331" t="b">
        <f>EXACT(Logfile_S[[#This Row],[date pick]],Logfile_S[[#This Row],[Date]])</f>
        <v>1</v>
      </c>
      <c r="AC10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10" spans="1:29" ht="14.5">
      <c r="A1010" s="220" t="str">
        <f>TEXT(ROW(A1010)-ROW($A$4),"000")</f>
        <v>1006</v>
      </c>
      <c r="B1010" s="221"/>
      <c r="C1010" s="221" t="s">
        <v>49</v>
      </c>
      <c r="D1010" s="221" t="s">
        <v>3752</v>
      </c>
      <c r="E1010" s="221" t="s">
        <v>3295</v>
      </c>
      <c r="F1010" s="221" t="s">
        <v>3299</v>
      </c>
      <c r="G1010" s="222">
        <v>45211</v>
      </c>
      <c r="H1010" s="223">
        <v>0.85486111111111107</v>
      </c>
      <c r="I1010" s="221" t="s">
        <v>4916</v>
      </c>
      <c r="J1010" s="221" t="s">
        <v>3023</v>
      </c>
      <c r="K1010" s="224" t="s">
        <v>3072</v>
      </c>
      <c r="L1010" s="225" t="str">
        <f>VLOOKUP(Logfile_S[[#This Row],[Material Name]],Sheet2!B:C,2,0)</f>
        <v>ZTE1004</v>
      </c>
      <c r="M1010" s="225" t="str">
        <f>_xlfn.XLOOKUP(Logfile_S[[#This Row],[Material Name]],Sum_WH!E:E,Sum_WH!F:F,"",0)</f>
        <v>Pcs</v>
      </c>
      <c r="N1010" s="221">
        <v>1</v>
      </c>
      <c r="O1010" s="221" t="s">
        <v>172</v>
      </c>
      <c r="P1010" s="221" t="s">
        <v>173</v>
      </c>
      <c r="Q1010" s="221"/>
      <c r="R1010" s="221"/>
      <c r="S1010" s="221"/>
      <c r="T1010" s="221" t="s">
        <v>3326</v>
      </c>
      <c r="U1010" s="221">
        <v>0</v>
      </c>
      <c r="V1010" s="221" t="s">
        <v>3327</v>
      </c>
      <c r="W1010" s="221" t="s">
        <v>3328</v>
      </c>
      <c r="X1010" s="221"/>
      <c r="Y1010" s="227"/>
      <c r="Z1010" s="227" t="str">
        <f>P1010</f>
        <v>Pandanlandung RW 03 Wagir</v>
      </c>
      <c r="AA1010" s="276" t="e">
        <f>VLOOKUP(Logfile_S[[#This Row],[DO number]],DO_DB!G:I,3,0)</f>
        <v>#N/A</v>
      </c>
      <c r="AB1010" s="331" t="e">
        <f>EXACT(Logfile_S[[#This Row],[date pick]],Logfile_S[[#This Row],[Date]])</f>
        <v>#N/A</v>
      </c>
      <c r="AC10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11" spans="1:29" ht="14.5">
      <c r="A1011" s="220" t="str">
        <f>TEXT(ROW(A1011)-ROW($A$4),"000")</f>
        <v>1007</v>
      </c>
      <c r="B1011" s="221">
        <v>1</v>
      </c>
      <c r="C1011" s="221" t="s">
        <v>48</v>
      </c>
      <c r="D1011" s="221" t="s">
        <v>4485</v>
      </c>
      <c r="E1011" s="221" t="s">
        <v>3295</v>
      </c>
      <c r="F1011" s="221" t="s">
        <v>3299</v>
      </c>
      <c r="G1011" s="222">
        <v>45266</v>
      </c>
      <c r="H1011" s="223">
        <v>0.87270833333333331</v>
      </c>
      <c r="I1011" s="221" t="s">
        <v>3017</v>
      </c>
      <c r="J1011" s="221" t="s">
        <v>3023</v>
      </c>
      <c r="K1011" s="224" t="s">
        <v>3071</v>
      </c>
      <c r="L1011" s="225" t="str">
        <f>VLOOKUP(Logfile_S[[#This Row],[Material Name]],Sheet2!B:C,2,0)</f>
        <v>ZTE1003</v>
      </c>
      <c r="M1011" s="225" t="str">
        <f>_xlfn.XLOOKUP(Logfile_S[[#This Row],[Material Name]],Sum_WH!E:E,Sum_WH!F:F,"",0)</f>
        <v>Pcs</v>
      </c>
      <c r="N1011" s="221">
        <v>3</v>
      </c>
      <c r="O1011" s="221" t="s">
        <v>172</v>
      </c>
      <c r="P1011" s="221" t="s">
        <v>173</v>
      </c>
      <c r="Q1011" s="221" t="s">
        <v>174</v>
      </c>
      <c r="R1011" s="221" t="s">
        <v>175</v>
      </c>
      <c r="S1011" s="221"/>
      <c r="T1011" s="221"/>
      <c r="U1011" s="221"/>
      <c r="V1011" s="221"/>
      <c r="W1011" s="221"/>
      <c r="X1011" s="221"/>
      <c r="Y1011" s="227"/>
      <c r="Z1011" s="227" t="str">
        <f>P1011</f>
        <v>Pandanlandung RW 03 Wagir</v>
      </c>
      <c r="AA1011" s="276">
        <f>VLOOKUP(Logfile_S[[#This Row],[DO number]],DO_DB!G:I,3,0)</f>
        <v>45185</v>
      </c>
      <c r="AB1011" s="331" t="b">
        <f>EXACT(Logfile_S[[#This Row],[date pick]],Logfile_S[[#This Row],[Date]])</f>
        <v>0</v>
      </c>
      <c r="AC10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12" spans="1:29" ht="14.5">
      <c r="A1012" s="220" t="str">
        <f>TEXT(ROW(A1012)-ROW($A$4),"000")</f>
        <v>1008</v>
      </c>
      <c r="B1012" s="221"/>
      <c r="C1012" s="221" t="s">
        <v>48</v>
      </c>
      <c r="D1012" s="221" t="s">
        <v>3708</v>
      </c>
      <c r="E1012" s="221" t="s">
        <v>3295</v>
      </c>
      <c r="F1012" s="221" t="s">
        <v>3299</v>
      </c>
      <c r="G1012" s="222">
        <v>45185</v>
      </c>
      <c r="H1012" s="223">
        <v>15.291666666666666</v>
      </c>
      <c r="I1012" s="221" t="s">
        <v>37</v>
      </c>
      <c r="J1012" s="221" t="s">
        <v>3023</v>
      </c>
      <c r="K1012" s="224" t="s">
        <v>3075</v>
      </c>
      <c r="L1012" s="225" t="str">
        <f>VLOOKUP(Logfile_S[[#This Row],[Material Name]],Sheet2!B:C,2,0)</f>
        <v>ZTE2003</v>
      </c>
      <c r="M1012" s="225" t="str">
        <f>_xlfn.XLOOKUP(Logfile_S[[#This Row],[Material Name]],Sum_WH!E:E,Sum_WH!F:F,"",0)</f>
        <v>Meter</v>
      </c>
      <c r="N1012" s="221">
        <v>3000</v>
      </c>
      <c r="O1012" s="221" t="s">
        <v>164</v>
      </c>
      <c r="P1012" s="221" t="s">
        <v>3320</v>
      </c>
      <c r="Q1012" s="221" t="s">
        <v>166</v>
      </c>
      <c r="R1012" s="221" t="s">
        <v>167</v>
      </c>
      <c r="S1012" s="221"/>
      <c r="T1012" s="221"/>
      <c r="U1012" s="221"/>
      <c r="V1012" s="221"/>
      <c r="W1012" s="221"/>
      <c r="X1012" s="221"/>
      <c r="Y1012" s="227" t="s">
        <v>5051</v>
      </c>
      <c r="Z1012" s="227" t="str">
        <f>P1012</f>
        <v>Pandan Landung RW 04 Wagir</v>
      </c>
      <c r="AA1012" s="276">
        <f>VLOOKUP(Logfile_S[[#This Row],[DO number]],DO_DB!G:I,3,0)</f>
        <v>45185</v>
      </c>
      <c r="AB1012" s="331" t="b">
        <f>EXACT(Logfile_S[[#This Row],[date pick]],Logfile_S[[#This Row],[Date]])</f>
        <v>1</v>
      </c>
      <c r="AC10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48C-2023916-01</v>
      </c>
    </row>
    <row r="1013" spans="1:29" ht="14.5">
      <c r="A1013" s="220" t="str">
        <f>TEXT(ROW(A1013)-ROW($A$4),"000")</f>
        <v>1009</v>
      </c>
      <c r="B1013" s="221"/>
      <c r="C1013" s="221" t="s">
        <v>48</v>
      </c>
      <c r="D1013" s="221" t="s">
        <v>3708</v>
      </c>
      <c r="E1013" s="221" t="s">
        <v>3295</v>
      </c>
      <c r="F1013" s="221" t="s">
        <v>3299</v>
      </c>
      <c r="G1013" s="222">
        <v>45185</v>
      </c>
      <c r="H1013" s="223">
        <v>15.291666666666666</v>
      </c>
      <c r="I1013" s="221" t="s">
        <v>37</v>
      </c>
      <c r="J1013" s="221" t="s">
        <v>3023</v>
      </c>
      <c r="K1013" s="224" t="s">
        <v>3070</v>
      </c>
      <c r="L1013" s="225" t="str">
        <f>VLOOKUP(Logfile_S[[#This Row],[Material Name]],Sheet2!B:C,2,0)</f>
        <v>ZTE1002</v>
      </c>
      <c r="M1013" s="225" t="str">
        <f>_xlfn.XLOOKUP(Logfile_S[[#This Row],[Material Name]],Sum_WH!E:E,Sum_WH!F:F,"",0)</f>
        <v>Pcs</v>
      </c>
      <c r="N1013" s="221">
        <v>4</v>
      </c>
      <c r="O1013" s="221" t="s">
        <v>164</v>
      </c>
      <c r="P1013" s="221" t="s">
        <v>3320</v>
      </c>
      <c r="Q1013" s="221" t="s">
        <v>170</v>
      </c>
      <c r="R1013" s="221" t="s">
        <v>171</v>
      </c>
      <c r="S1013" s="221"/>
      <c r="T1013" s="221" t="s">
        <v>3346</v>
      </c>
      <c r="U1013" s="221"/>
      <c r="V1013" s="221"/>
      <c r="W1013" s="221"/>
      <c r="X1013" s="221"/>
      <c r="Y1013" s="227"/>
      <c r="Z1013" s="227" t="str">
        <f>P1013</f>
        <v>Pandan Landung RW 04 Wagir</v>
      </c>
      <c r="AA1013" s="276">
        <f>VLOOKUP(Logfile_S[[#This Row],[DO number]],DO_DB!G:I,3,0)</f>
        <v>45185</v>
      </c>
      <c r="AB1013" s="331" t="b">
        <f>EXACT(Logfile_S[[#This Row],[date pick]],Logfile_S[[#This Row],[Date]])</f>
        <v>1</v>
      </c>
      <c r="AC10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14" spans="1:29" ht="14.5">
      <c r="A1014" s="220" t="str">
        <f>TEXT(ROW(A1014)-ROW($A$4),"000")</f>
        <v>1010</v>
      </c>
      <c r="B1014" s="221"/>
      <c r="C1014" s="221" t="s">
        <v>48</v>
      </c>
      <c r="D1014" s="221" t="s">
        <v>3708</v>
      </c>
      <c r="E1014" s="221" t="s">
        <v>3295</v>
      </c>
      <c r="F1014" s="221" t="s">
        <v>3299</v>
      </c>
      <c r="G1014" s="222">
        <v>45185</v>
      </c>
      <c r="H1014" s="223">
        <v>15.291666666666666</v>
      </c>
      <c r="I1014" s="221" t="s">
        <v>37</v>
      </c>
      <c r="J1014" s="221" t="s">
        <v>3023</v>
      </c>
      <c r="K1014" s="224" t="s">
        <v>3069</v>
      </c>
      <c r="L1014" s="225" t="str">
        <f>VLOOKUP(Logfile_S[[#This Row],[Material Name]],Sheet2!B:C,2,0)</f>
        <v>ZTE1001</v>
      </c>
      <c r="M1014" s="225" t="str">
        <f>_xlfn.XLOOKUP(Logfile_S[[#This Row],[Material Name]],Sum_WH!E:E,Sum_WH!F:F,"",0)</f>
        <v>Pcs</v>
      </c>
      <c r="N1014" s="221">
        <v>42</v>
      </c>
      <c r="O1014" s="221" t="s">
        <v>164</v>
      </c>
      <c r="P1014" s="221" t="s">
        <v>3320</v>
      </c>
      <c r="Q1014" s="221" t="s">
        <v>170</v>
      </c>
      <c r="R1014" s="221" t="s">
        <v>171</v>
      </c>
      <c r="S1014" s="221"/>
      <c r="T1014" s="221" t="s">
        <v>3346</v>
      </c>
      <c r="U1014" s="221"/>
      <c r="V1014" s="221"/>
      <c r="W1014" s="221"/>
      <c r="X1014" s="221"/>
      <c r="Y1014" s="227"/>
      <c r="Z1014" s="227" t="str">
        <f>P1014</f>
        <v>Pandan Landung RW 04 Wagir</v>
      </c>
      <c r="AA1014" s="276">
        <f>VLOOKUP(Logfile_S[[#This Row],[DO number]],DO_DB!G:I,3,0)</f>
        <v>45185</v>
      </c>
      <c r="AB1014" s="331" t="b">
        <f>EXACT(Logfile_S[[#This Row],[date pick]],Logfile_S[[#This Row],[Date]])</f>
        <v>1</v>
      </c>
      <c r="AC10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15" spans="1:29" ht="14.5">
      <c r="A1015" s="220" t="str">
        <f>TEXT(ROW(A1015)-ROW($A$4),"000")</f>
        <v>1011</v>
      </c>
      <c r="B1015" s="221"/>
      <c r="C1015" s="221" t="s">
        <v>48</v>
      </c>
      <c r="D1015" s="221" t="s">
        <v>3708</v>
      </c>
      <c r="E1015" s="221" t="s">
        <v>3295</v>
      </c>
      <c r="F1015" s="221" t="s">
        <v>3299</v>
      </c>
      <c r="G1015" s="222">
        <v>45185</v>
      </c>
      <c r="H1015" s="223">
        <v>15.291666666666666</v>
      </c>
      <c r="I1015" s="221" t="s">
        <v>37</v>
      </c>
      <c r="J1015" s="221" t="s">
        <v>3023</v>
      </c>
      <c r="K1015" s="224" t="s">
        <v>3071</v>
      </c>
      <c r="L1015" s="225" t="str">
        <f>VLOOKUP(Logfile_S[[#This Row],[Material Name]],Sheet2!B:C,2,0)</f>
        <v>ZTE1003</v>
      </c>
      <c r="M1015" s="225" t="str">
        <f>_xlfn.XLOOKUP(Logfile_S[[#This Row],[Material Name]],Sum_WH!E:E,Sum_WH!F:F,"",0)</f>
        <v>Pcs</v>
      </c>
      <c r="N1015" s="221">
        <v>2</v>
      </c>
      <c r="O1015" s="221" t="s">
        <v>164</v>
      </c>
      <c r="P1015" s="221" t="s">
        <v>3320</v>
      </c>
      <c r="Q1015" s="221" t="s">
        <v>170</v>
      </c>
      <c r="R1015" s="221" t="s">
        <v>171</v>
      </c>
      <c r="S1015" s="221"/>
      <c r="T1015" s="221"/>
      <c r="U1015" s="221"/>
      <c r="V1015" s="221"/>
      <c r="W1015" s="221"/>
      <c r="X1015" s="221"/>
      <c r="Y1015" s="227"/>
      <c r="Z1015" s="227" t="str">
        <f>P1015</f>
        <v>Pandan Landung RW 04 Wagir</v>
      </c>
      <c r="AA1015" s="276">
        <f>VLOOKUP(Logfile_S[[#This Row],[DO number]],DO_DB!G:I,3,0)</f>
        <v>45185</v>
      </c>
      <c r="AB1015" s="331" t="b">
        <f>EXACT(Logfile_S[[#This Row],[date pick]],Logfile_S[[#This Row],[Date]])</f>
        <v>1</v>
      </c>
      <c r="AC10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16" spans="1:29" ht="14.5">
      <c r="A1016" s="220" t="str">
        <f>TEXT(ROW(A1016)-ROW($A$4),"000")</f>
        <v>1012</v>
      </c>
      <c r="B1016" s="221"/>
      <c r="C1016" s="221" t="s">
        <v>49</v>
      </c>
      <c r="D1016" s="221" t="s">
        <v>3714</v>
      </c>
      <c r="E1016" s="221" t="s">
        <v>3295</v>
      </c>
      <c r="F1016" s="221" t="s">
        <v>3299</v>
      </c>
      <c r="G1016" s="222">
        <v>45191</v>
      </c>
      <c r="H1016" s="223">
        <v>0.3888888888888889</v>
      </c>
      <c r="I1016" s="221" t="s">
        <v>4916</v>
      </c>
      <c r="J1016" s="221" t="s">
        <v>3023</v>
      </c>
      <c r="K1016" s="224" t="s">
        <v>3069</v>
      </c>
      <c r="L1016" s="225" t="str">
        <f>VLOOKUP(Logfile_S[[#This Row],[Material Name]],Sheet2!B:C,2,0)</f>
        <v>ZTE1001</v>
      </c>
      <c r="M1016" s="225" t="str">
        <f>_xlfn.XLOOKUP(Logfile_S[[#This Row],[Material Name]],Sum_WH!E:E,Sum_WH!F:F,"",0)</f>
        <v>Pcs</v>
      </c>
      <c r="N1016" s="221">
        <v>19</v>
      </c>
      <c r="O1016" s="221" t="s">
        <v>164</v>
      </c>
      <c r="P1016" s="221" t="s">
        <v>3320</v>
      </c>
      <c r="Q1016" s="221"/>
      <c r="R1016" s="221"/>
      <c r="S1016" s="221"/>
      <c r="T1016" s="221" t="s">
        <v>3346</v>
      </c>
      <c r="U1016" s="221" t="s">
        <v>3323</v>
      </c>
      <c r="V1016" s="221" t="s">
        <v>3347</v>
      </c>
      <c r="W1016" s="221" t="s">
        <v>3334</v>
      </c>
      <c r="X1016" s="221"/>
      <c r="Y1016" s="227"/>
      <c r="Z1016" s="227" t="str">
        <f>P1016</f>
        <v>Pandan Landung RW 04 Wagir</v>
      </c>
      <c r="AA1016" s="276" t="e">
        <f>VLOOKUP(Logfile_S[[#This Row],[DO number]],DO_DB!G:I,3,0)</f>
        <v>#N/A</v>
      </c>
      <c r="AB1016" s="331" t="e">
        <f>EXACT(Logfile_S[[#This Row],[date pick]],Logfile_S[[#This Row],[Date]])</f>
        <v>#N/A</v>
      </c>
      <c r="AC10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17" spans="1:29" ht="14.5">
      <c r="A1017" s="220" t="str">
        <f>TEXT(ROW(A1017)-ROW($A$4),"000")</f>
        <v>1013</v>
      </c>
      <c r="B1017" s="221"/>
      <c r="C1017" s="221" t="s">
        <v>49</v>
      </c>
      <c r="D1017" s="221" t="s">
        <v>3738</v>
      </c>
      <c r="E1017" s="221" t="s">
        <v>3295</v>
      </c>
      <c r="F1017" s="221" t="s">
        <v>3299</v>
      </c>
      <c r="G1017" s="222">
        <v>45203</v>
      </c>
      <c r="H1017" s="223">
        <v>0.40277777777777773</v>
      </c>
      <c r="I1017" s="221" t="s">
        <v>4916</v>
      </c>
      <c r="J1017" s="221" t="s">
        <v>3024</v>
      </c>
      <c r="K1017" s="224" t="s">
        <v>3213</v>
      </c>
      <c r="L1017" s="225" t="str">
        <f>VLOOKUP(Logfile_S[[#This Row],[Material Name]],Sheet2!B:C,2,0)</f>
        <v>GCI1005</v>
      </c>
      <c r="M1017" s="225" t="str">
        <f>_xlfn.XLOOKUP(Logfile_S[[#This Row],[Material Name]],Sum_WH!E:E,Sum_WH!F:F,"",0)</f>
        <v>Pcs</v>
      </c>
      <c r="N1017" s="221">
        <v>44</v>
      </c>
      <c r="O1017" s="221" t="s">
        <v>164</v>
      </c>
      <c r="P1017" s="221" t="s">
        <v>3320</v>
      </c>
      <c r="Q1017" s="221"/>
      <c r="R1017" s="221"/>
      <c r="S1017" s="221"/>
      <c r="T1017" s="221" t="s">
        <v>3346</v>
      </c>
      <c r="U1017" s="221">
        <v>0</v>
      </c>
      <c r="V1017" s="221" t="s">
        <v>3347</v>
      </c>
      <c r="W1017" s="221" t="s">
        <v>3334</v>
      </c>
      <c r="X1017" s="221"/>
      <c r="Y1017" s="227"/>
      <c r="Z1017" s="227" t="str">
        <f>P1017</f>
        <v>Pandan Landung RW 04 Wagir</v>
      </c>
      <c r="AA1017" s="276" t="e">
        <f>VLOOKUP(Logfile_S[[#This Row],[DO number]],DO_DB!G:I,3,0)</f>
        <v>#N/A</v>
      </c>
      <c r="AB1017" s="331" t="e">
        <f>EXACT(Logfile_S[[#This Row],[date pick]],Logfile_S[[#This Row],[Date]])</f>
        <v>#N/A</v>
      </c>
      <c r="AC10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18" spans="1:29" ht="14.5">
      <c r="A1018" s="220" t="str">
        <f>TEXT(ROW(A1018)-ROW($A$4),"000")</f>
        <v>1014</v>
      </c>
      <c r="B1018" s="221"/>
      <c r="C1018" s="221" t="s">
        <v>49</v>
      </c>
      <c r="D1018" s="221" t="s">
        <v>3738</v>
      </c>
      <c r="E1018" s="221" t="s">
        <v>3295</v>
      </c>
      <c r="F1018" s="221" t="s">
        <v>3299</v>
      </c>
      <c r="G1018" s="222">
        <v>45203</v>
      </c>
      <c r="H1018" s="223">
        <v>0.40277777777777773</v>
      </c>
      <c r="I1018" s="221" t="s">
        <v>4916</v>
      </c>
      <c r="J1018" s="221" t="s">
        <v>3024</v>
      </c>
      <c r="K1018" s="224" t="s">
        <v>3087</v>
      </c>
      <c r="L1018" s="225" t="str">
        <f>VLOOKUP(Logfile_S[[#This Row],[Material Name]],Sheet2!B:C,2,0)</f>
        <v>GCI1001</v>
      </c>
      <c r="M1018" s="225" t="str">
        <f>_xlfn.XLOOKUP(Logfile_S[[#This Row],[Material Name]],Sum_WH!E:E,Sum_WH!F:F,"",0)</f>
        <v>Pcs</v>
      </c>
      <c r="N1018" s="221">
        <v>8</v>
      </c>
      <c r="O1018" s="221" t="s">
        <v>164</v>
      </c>
      <c r="P1018" s="221" t="s">
        <v>3320</v>
      </c>
      <c r="Q1018" s="221"/>
      <c r="R1018" s="221"/>
      <c r="S1018" s="221"/>
      <c r="T1018" s="221" t="s">
        <v>3346</v>
      </c>
      <c r="U1018" s="221">
        <v>0</v>
      </c>
      <c r="V1018" s="221" t="s">
        <v>3347</v>
      </c>
      <c r="W1018" s="221" t="s">
        <v>3334</v>
      </c>
      <c r="X1018" s="221"/>
      <c r="Y1018" s="227"/>
      <c r="Z1018" s="227" t="str">
        <f>P1018</f>
        <v>Pandan Landung RW 04 Wagir</v>
      </c>
      <c r="AA1018" s="276" t="e">
        <f>VLOOKUP(Logfile_S[[#This Row],[DO number]],DO_DB!G:I,3,0)</f>
        <v>#N/A</v>
      </c>
      <c r="AB1018" s="331" t="e">
        <f>EXACT(Logfile_S[[#This Row],[date pick]],Logfile_S[[#This Row],[Date]])</f>
        <v>#N/A</v>
      </c>
      <c r="AC10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19" spans="1:29" ht="14.5">
      <c r="A1019" s="220" t="str">
        <f>TEXT(ROW(A1019)-ROW($A$4),"000")</f>
        <v>1015</v>
      </c>
      <c r="B1019" s="221"/>
      <c r="C1019" s="221" t="s">
        <v>49</v>
      </c>
      <c r="D1019" s="221" t="s">
        <v>3738</v>
      </c>
      <c r="E1019" s="221" t="s">
        <v>3295</v>
      </c>
      <c r="F1019" s="221" t="s">
        <v>3299</v>
      </c>
      <c r="G1019" s="222">
        <v>45203</v>
      </c>
      <c r="H1019" s="223">
        <v>0.40277777777777773</v>
      </c>
      <c r="I1019" s="221" t="s">
        <v>4916</v>
      </c>
      <c r="J1019" s="221" t="s">
        <v>3024</v>
      </c>
      <c r="K1019" s="224" t="s">
        <v>5137</v>
      </c>
      <c r="L1019" s="225" t="str">
        <f>VLOOKUP(Logfile_S[[#This Row],[Material Name]],Sheet2!B:C,2,0)</f>
        <v>GCI1009</v>
      </c>
      <c r="M1019" s="225" t="str">
        <f>_xlfn.XLOOKUP(Logfile_S[[#This Row],[Material Name]],Sum_WH!E:E,Sum_WH!F:F,"",0)</f>
        <v>Pcs</v>
      </c>
      <c r="N1019" s="221">
        <v>10</v>
      </c>
      <c r="O1019" s="221" t="s">
        <v>164</v>
      </c>
      <c r="P1019" s="221" t="s">
        <v>3320</v>
      </c>
      <c r="Q1019" s="221"/>
      <c r="R1019" s="221"/>
      <c r="S1019" s="221"/>
      <c r="T1019" s="221" t="s">
        <v>3346</v>
      </c>
      <c r="U1019" s="221">
        <v>0</v>
      </c>
      <c r="V1019" s="221" t="s">
        <v>3347</v>
      </c>
      <c r="W1019" s="221" t="s">
        <v>3334</v>
      </c>
      <c r="X1019" s="221"/>
      <c r="Y1019" s="227"/>
      <c r="Z1019" s="227" t="str">
        <f>P1019</f>
        <v>Pandan Landung RW 04 Wagir</v>
      </c>
      <c r="AA1019" s="276" t="e">
        <f>VLOOKUP(Logfile_S[[#This Row],[DO number]],DO_DB!G:I,3,0)</f>
        <v>#N/A</v>
      </c>
      <c r="AB1019" s="331" t="e">
        <f>EXACT(Logfile_S[[#This Row],[date pick]],Logfile_S[[#This Row],[Date]])</f>
        <v>#N/A</v>
      </c>
      <c r="AC10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20" spans="1:29" ht="14.5">
      <c r="A1020" s="220" t="str">
        <f>TEXT(ROW(A1020)-ROW($A$4),"000")</f>
        <v>1016</v>
      </c>
      <c r="B1020" s="221"/>
      <c r="C1020" s="221" t="s">
        <v>49</v>
      </c>
      <c r="D1020" s="221" t="s">
        <v>3738</v>
      </c>
      <c r="E1020" s="221" t="s">
        <v>3295</v>
      </c>
      <c r="F1020" s="221" t="s">
        <v>3299</v>
      </c>
      <c r="G1020" s="222">
        <v>45203</v>
      </c>
      <c r="H1020" s="223">
        <v>0.40277777777777773</v>
      </c>
      <c r="I1020" s="221" t="s">
        <v>4916</v>
      </c>
      <c r="J1020" s="221" t="s">
        <v>3024</v>
      </c>
      <c r="K1020" s="224" t="s">
        <v>3235</v>
      </c>
      <c r="L1020" s="225" t="str">
        <f>VLOOKUP(Logfile_S[[#This Row],[Material Name]],Sheet2!B:C,2,0)</f>
        <v>GCI1002</v>
      </c>
      <c r="M1020" s="225" t="str">
        <f>_xlfn.XLOOKUP(Logfile_S[[#This Row],[Material Name]],Sum_WH!E:E,Sum_WH!F:F,"",0)</f>
        <v>Pcs</v>
      </c>
      <c r="N1020" s="221">
        <v>1</v>
      </c>
      <c r="O1020" s="221" t="s">
        <v>164</v>
      </c>
      <c r="P1020" s="221" t="s">
        <v>3320</v>
      </c>
      <c r="Q1020" s="221"/>
      <c r="R1020" s="221"/>
      <c r="S1020" s="221"/>
      <c r="T1020" s="221" t="s">
        <v>3346</v>
      </c>
      <c r="U1020" s="221">
        <v>0</v>
      </c>
      <c r="V1020" s="221" t="s">
        <v>3347</v>
      </c>
      <c r="W1020" s="221" t="s">
        <v>3334</v>
      </c>
      <c r="X1020" s="221"/>
      <c r="Y1020" s="227"/>
      <c r="Z1020" s="227" t="str">
        <f>P1020</f>
        <v>Pandan Landung RW 04 Wagir</v>
      </c>
      <c r="AA1020" s="276" t="e">
        <f>VLOOKUP(Logfile_S[[#This Row],[DO number]],DO_DB!G:I,3,0)</f>
        <v>#N/A</v>
      </c>
      <c r="AB1020" s="331" t="e">
        <f>EXACT(Logfile_S[[#This Row],[date pick]],Logfile_S[[#This Row],[Date]])</f>
        <v>#N/A</v>
      </c>
      <c r="AC10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21" spans="1:29" ht="14.5">
      <c r="A1021" s="220" t="str">
        <f>TEXT(ROW(A1021)-ROW($A$4),"000")</f>
        <v>1017</v>
      </c>
      <c r="B1021" s="221"/>
      <c r="C1021" s="221" t="s">
        <v>49</v>
      </c>
      <c r="D1021" s="221" t="s">
        <v>3738</v>
      </c>
      <c r="E1021" s="221" t="s">
        <v>3295</v>
      </c>
      <c r="F1021" s="221" t="s">
        <v>3299</v>
      </c>
      <c r="G1021" s="222">
        <v>45203</v>
      </c>
      <c r="H1021" s="223">
        <v>0.40277777777777773</v>
      </c>
      <c r="I1021" s="221" t="s">
        <v>4916</v>
      </c>
      <c r="J1021" s="221" t="s">
        <v>3023</v>
      </c>
      <c r="K1021" s="224" t="s">
        <v>3211</v>
      </c>
      <c r="L1021" s="225" t="str">
        <f>VLOOKUP(Logfile_S[[#This Row],[Material Name]],Sheet2!B:C,2,0)</f>
        <v>ZTE1002</v>
      </c>
      <c r="M1021" s="225" t="str">
        <f>_xlfn.XLOOKUP(Logfile_S[[#This Row],[Material Name]],Sum_WH!E:E,Sum_WH!F:F,"",0)</f>
        <v>Pcs</v>
      </c>
      <c r="N1021" s="221">
        <v>2</v>
      </c>
      <c r="O1021" s="221" t="s">
        <v>164</v>
      </c>
      <c r="P1021" s="221" t="s">
        <v>3320</v>
      </c>
      <c r="Q1021" s="221"/>
      <c r="R1021" s="221"/>
      <c r="S1021" s="221"/>
      <c r="T1021" s="221" t="s">
        <v>3346</v>
      </c>
      <c r="U1021" s="221">
        <v>0</v>
      </c>
      <c r="V1021" s="221" t="s">
        <v>3347</v>
      </c>
      <c r="W1021" s="221" t="s">
        <v>3334</v>
      </c>
      <c r="X1021" s="221"/>
      <c r="Y1021" s="227"/>
      <c r="Z1021" s="227" t="str">
        <f>P1021</f>
        <v>Pandan Landung RW 04 Wagir</v>
      </c>
      <c r="AA1021" s="276" t="e">
        <f>VLOOKUP(Logfile_S[[#This Row],[DO number]],DO_DB!G:I,3,0)</f>
        <v>#N/A</v>
      </c>
      <c r="AB1021" s="331" t="e">
        <f>EXACT(Logfile_S[[#This Row],[date pick]],Logfile_S[[#This Row],[Date]])</f>
        <v>#N/A</v>
      </c>
      <c r="AC10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22" spans="1:29" ht="14.5">
      <c r="A1022" s="220" t="str">
        <f>TEXT(ROW(A1022)-ROW($A$4),"000")</f>
        <v>1018</v>
      </c>
      <c r="B1022" s="221"/>
      <c r="C1022" s="221" t="s">
        <v>49</v>
      </c>
      <c r="D1022" s="221" t="s">
        <v>3738</v>
      </c>
      <c r="E1022" s="221" t="s">
        <v>3295</v>
      </c>
      <c r="F1022" s="221" t="s">
        <v>3299</v>
      </c>
      <c r="G1022" s="222">
        <v>45203</v>
      </c>
      <c r="H1022" s="223">
        <v>0.40277777777777773</v>
      </c>
      <c r="I1022" s="221" t="s">
        <v>4916</v>
      </c>
      <c r="J1022" s="221" t="s">
        <v>3023</v>
      </c>
      <c r="K1022" s="224" t="s">
        <v>3069</v>
      </c>
      <c r="L1022" s="225" t="str">
        <f>VLOOKUP(Logfile_S[[#This Row],[Material Name]],Sheet2!B:C,2,0)</f>
        <v>ZTE1001</v>
      </c>
      <c r="M1022" s="225" t="str">
        <f>_xlfn.XLOOKUP(Logfile_S[[#This Row],[Material Name]],Sum_WH!E:E,Sum_WH!F:F,"",0)</f>
        <v>Pcs</v>
      </c>
      <c r="N1022" s="221">
        <v>1</v>
      </c>
      <c r="O1022" s="221" t="s">
        <v>164</v>
      </c>
      <c r="P1022" s="221" t="s">
        <v>3320</v>
      </c>
      <c r="Q1022" s="221"/>
      <c r="R1022" s="221"/>
      <c r="S1022" s="221"/>
      <c r="T1022" s="221" t="s">
        <v>3346</v>
      </c>
      <c r="U1022" s="221">
        <v>0</v>
      </c>
      <c r="V1022" s="221" t="s">
        <v>3347</v>
      </c>
      <c r="W1022" s="221" t="s">
        <v>3334</v>
      </c>
      <c r="X1022" s="221"/>
      <c r="Y1022" s="227"/>
      <c r="Z1022" s="227" t="str">
        <f>P1022</f>
        <v>Pandan Landung RW 04 Wagir</v>
      </c>
      <c r="AA1022" s="276" t="e">
        <f>VLOOKUP(Logfile_S[[#This Row],[DO number]],DO_DB!G:I,3,0)</f>
        <v>#N/A</v>
      </c>
      <c r="AB1022" s="331" t="e">
        <f>EXACT(Logfile_S[[#This Row],[date pick]],Logfile_S[[#This Row],[Date]])</f>
        <v>#N/A</v>
      </c>
      <c r="AC10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23" spans="1:29" ht="14.5">
      <c r="A1023" s="220" t="str">
        <f>TEXT(ROW(A1023)-ROW($A$4),"000")</f>
        <v>1019</v>
      </c>
      <c r="B1023" s="221"/>
      <c r="C1023" s="221" t="s">
        <v>49</v>
      </c>
      <c r="D1023" s="221" t="s">
        <v>3738</v>
      </c>
      <c r="E1023" s="221" t="s">
        <v>3295</v>
      </c>
      <c r="F1023" s="221" t="s">
        <v>3299</v>
      </c>
      <c r="G1023" s="222">
        <v>45203</v>
      </c>
      <c r="H1023" s="223">
        <v>0.40277777777777773</v>
      </c>
      <c r="I1023" s="221" t="s">
        <v>4916</v>
      </c>
      <c r="J1023" s="221" t="s">
        <v>3024</v>
      </c>
      <c r="K1023" s="224" t="s">
        <v>3215</v>
      </c>
      <c r="L1023" s="225" t="str">
        <f>VLOOKUP(Logfile_S[[#This Row],[Material Name]],Sheet2!B:C,2,0)</f>
        <v>GCI1008</v>
      </c>
      <c r="M1023" s="225" t="str">
        <f>_xlfn.XLOOKUP(Logfile_S[[#This Row],[Material Name]],Sum_WH!E:E,Sum_WH!F:F,"",0)</f>
        <v>Pcs</v>
      </c>
      <c r="N1023" s="221">
        <v>10</v>
      </c>
      <c r="O1023" s="221" t="s">
        <v>164</v>
      </c>
      <c r="P1023" s="221" t="s">
        <v>3320</v>
      </c>
      <c r="Q1023" s="221"/>
      <c r="R1023" s="221"/>
      <c r="S1023" s="221"/>
      <c r="T1023" s="221" t="s">
        <v>3346</v>
      </c>
      <c r="U1023" s="221">
        <v>0</v>
      </c>
      <c r="V1023" s="221" t="s">
        <v>3347</v>
      </c>
      <c r="W1023" s="221" t="s">
        <v>3334</v>
      </c>
      <c r="X1023" s="221"/>
      <c r="Y1023" s="227"/>
      <c r="Z1023" s="227" t="str">
        <f>P1023</f>
        <v>Pandan Landung RW 04 Wagir</v>
      </c>
      <c r="AA1023" s="276" t="e">
        <f>VLOOKUP(Logfile_S[[#This Row],[DO number]],DO_DB!G:I,3,0)</f>
        <v>#N/A</v>
      </c>
      <c r="AB1023" s="331" t="e">
        <f>EXACT(Logfile_S[[#This Row],[date pick]],Logfile_S[[#This Row],[Date]])</f>
        <v>#N/A</v>
      </c>
      <c r="AC10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24" spans="1:29" ht="14.5">
      <c r="A1024" s="220" t="str">
        <f>TEXT(ROW(A1024)-ROW($A$4),"000")</f>
        <v>1020</v>
      </c>
      <c r="B1024" s="221"/>
      <c r="C1024" s="221" t="s">
        <v>49</v>
      </c>
      <c r="D1024" s="221" t="s">
        <v>3738</v>
      </c>
      <c r="E1024" s="221" t="s">
        <v>3295</v>
      </c>
      <c r="F1024" s="221" t="s">
        <v>3299</v>
      </c>
      <c r="G1024" s="222">
        <v>45203</v>
      </c>
      <c r="H1024" s="223">
        <v>0.40277777777777773</v>
      </c>
      <c r="I1024" s="221" t="s">
        <v>4916</v>
      </c>
      <c r="J1024" s="221" t="s">
        <v>3024</v>
      </c>
      <c r="K1024" s="224" t="s">
        <v>3465</v>
      </c>
      <c r="L1024" s="225" t="str">
        <f>VLOOKUP(Logfile_S[[#This Row],[Material Name]],Sheet2!B:C,2,0)</f>
        <v>GCI1006</v>
      </c>
      <c r="M1024" s="225" t="str">
        <f>_xlfn.XLOOKUP(Logfile_S[[#This Row],[Material Name]],Sum_WH!E:E,Sum_WH!F:F,"",0)</f>
        <v>Pcs</v>
      </c>
      <c r="N1024" s="221">
        <v>10</v>
      </c>
      <c r="O1024" s="221" t="s">
        <v>164</v>
      </c>
      <c r="P1024" s="221" t="s">
        <v>3320</v>
      </c>
      <c r="Q1024" s="221"/>
      <c r="R1024" s="221"/>
      <c r="S1024" s="221"/>
      <c r="T1024" s="221" t="s">
        <v>3346</v>
      </c>
      <c r="U1024" s="221">
        <v>0</v>
      </c>
      <c r="V1024" s="221" t="s">
        <v>3347</v>
      </c>
      <c r="W1024" s="221" t="s">
        <v>3334</v>
      </c>
      <c r="X1024" s="221"/>
      <c r="Y1024" s="227"/>
      <c r="Z1024" s="227" t="str">
        <f>P1024</f>
        <v>Pandan Landung RW 04 Wagir</v>
      </c>
      <c r="AA1024" s="276" t="e">
        <f>VLOOKUP(Logfile_S[[#This Row],[DO number]],DO_DB!G:I,3,0)</f>
        <v>#N/A</v>
      </c>
      <c r="AB1024" s="331" t="e">
        <f>EXACT(Logfile_S[[#This Row],[date pick]],Logfile_S[[#This Row],[Date]])</f>
        <v>#N/A</v>
      </c>
      <c r="AC10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25" spans="1:29" ht="14.5">
      <c r="A1025" s="220" t="str">
        <f>TEXT(ROW(A1025)-ROW($A$4),"000")</f>
        <v>1021</v>
      </c>
      <c r="B1025" s="221"/>
      <c r="C1025" s="221" t="s">
        <v>49</v>
      </c>
      <c r="D1025" s="221" t="s">
        <v>3738</v>
      </c>
      <c r="E1025" s="221" t="s">
        <v>3295</v>
      </c>
      <c r="F1025" s="221" t="s">
        <v>3299</v>
      </c>
      <c r="G1025" s="222">
        <v>45203</v>
      </c>
      <c r="H1025" s="223">
        <v>0.40277777777777773</v>
      </c>
      <c r="I1025" s="221" t="s">
        <v>4916</v>
      </c>
      <c r="J1025" s="221" t="s">
        <v>3024</v>
      </c>
      <c r="K1025" s="224" t="s">
        <v>3301</v>
      </c>
      <c r="L1025" s="225" t="str">
        <f>VLOOKUP(Logfile_S[[#This Row],[Material Name]],Sheet2!B:C,2,0)</f>
        <v>GCI1003</v>
      </c>
      <c r="M1025" s="225" t="str">
        <f>_xlfn.XLOOKUP(Logfile_S[[#This Row],[Material Name]],Sum_WH!E:E,Sum_WH!F:F,"",0)</f>
        <v>Pcs</v>
      </c>
      <c r="N1025" s="221">
        <v>200</v>
      </c>
      <c r="O1025" s="221" t="s">
        <v>164</v>
      </c>
      <c r="P1025" s="221" t="s">
        <v>3320</v>
      </c>
      <c r="Q1025" s="221"/>
      <c r="R1025" s="221"/>
      <c r="S1025" s="221"/>
      <c r="T1025" s="221" t="s">
        <v>3346</v>
      </c>
      <c r="U1025" s="221">
        <v>0</v>
      </c>
      <c r="V1025" s="221" t="s">
        <v>3347</v>
      </c>
      <c r="W1025" s="221" t="s">
        <v>3334</v>
      </c>
      <c r="X1025" s="221"/>
      <c r="Y1025" s="227"/>
      <c r="Z1025" s="227" t="str">
        <f>P1025</f>
        <v>Pandan Landung RW 04 Wagir</v>
      </c>
      <c r="AA1025" s="276" t="e">
        <f>VLOOKUP(Logfile_S[[#This Row],[DO number]],DO_DB!G:I,3,0)</f>
        <v>#N/A</v>
      </c>
      <c r="AB1025" s="331" t="e">
        <f>EXACT(Logfile_S[[#This Row],[date pick]],Logfile_S[[#This Row],[Date]])</f>
        <v>#N/A</v>
      </c>
      <c r="AC10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26" spans="1:29" ht="14.5">
      <c r="A1026" s="220" t="str">
        <f>TEXT(ROW(A1026)-ROW($A$4),"000")</f>
        <v>1022</v>
      </c>
      <c r="B1026" s="221"/>
      <c r="C1026" s="221" t="s">
        <v>48</v>
      </c>
      <c r="D1026" s="221" t="s">
        <v>3740</v>
      </c>
      <c r="E1026" s="221" t="s">
        <v>3295</v>
      </c>
      <c r="F1026" s="221" t="s">
        <v>3299</v>
      </c>
      <c r="G1026" s="222">
        <v>45204</v>
      </c>
      <c r="H1026" s="223">
        <v>15.291666666666666</v>
      </c>
      <c r="I1026" s="221" t="s">
        <v>38</v>
      </c>
      <c r="J1026" s="221" t="s">
        <v>3024</v>
      </c>
      <c r="K1026" s="224" t="s">
        <v>3098</v>
      </c>
      <c r="L1026" s="225" t="str">
        <f>VLOOKUP(Logfile_S[[#This Row],[Material Name]],Sheet2!B:C,2,0)</f>
        <v>GCI1012</v>
      </c>
      <c r="M1026" s="225" t="str">
        <f>_xlfn.XLOOKUP(Logfile_S[[#This Row],[Material Name]],Sum_WH!E:E,Sum_WH!F:F,"",0)</f>
        <v>Pcs</v>
      </c>
      <c r="N1026" s="221">
        <v>60</v>
      </c>
      <c r="O1026" s="221" t="s">
        <v>164</v>
      </c>
      <c r="P1026" s="221" t="s">
        <v>3320</v>
      </c>
      <c r="Q1026" s="221">
        <v>0</v>
      </c>
      <c r="R1026" s="221">
        <v>0</v>
      </c>
      <c r="S1026" s="221"/>
      <c r="T1026" s="221"/>
      <c r="U1026" s="221"/>
      <c r="V1026" s="221"/>
      <c r="W1026" s="221"/>
      <c r="X1026" s="221"/>
      <c r="Y1026" s="227"/>
      <c r="Z1026" s="227" t="str">
        <f>P1026</f>
        <v>Pandan Landung RW 04 Wagir</v>
      </c>
      <c r="AA1026" s="276" t="e">
        <f>VLOOKUP(Logfile_S[[#This Row],[DO number]],DO_DB!G:I,3,0)</f>
        <v>#N/A</v>
      </c>
      <c r="AB1026" s="331" t="e">
        <f>EXACT(Logfile_S[[#This Row],[date pick]],Logfile_S[[#This Row],[Date]])</f>
        <v>#N/A</v>
      </c>
      <c r="AC10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27" spans="1:29" ht="14.5">
      <c r="A1027" s="220" t="str">
        <f>TEXT(ROW(A1027)-ROW($A$4),"000")</f>
        <v>1023</v>
      </c>
      <c r="B1027" s="221"/>
      <c r="C1027" s="221" t="s">
        <v>49</v>
      </c>
      <c r="D1027" s="221" t="s">
        <v>3746</v>
      </c>
      <c r="E1027" s="221" t="s">
        <v>3295</v>
      </c>
      <c r="F1027" s="221" t="s">
        <v>3299</v>
      </c>
      <c r="G1027" s="222">
        <v>45210</v>
      </c>
      <c r="H1027" s="223">
        <v>0.48402777777777778</v>
      </c>
      <c r="I1027" s="221" t="s">
        <v>4916</v>
      </c>
      <c r="J1027" s="221" t="s">
        <v>3023</v>
      </c>
      <c r="K1027" s="224" t="s">
        <v>13</v>
      </c>
      <c r="L1027" s="225" t="str">
        <f>VLOOKUP(Logfile_S[[#This Row],[Material Name]],Sheet2!B:C,2,0)</f>
        <v>ZTE2008</v>
      </c>
      <c r="M1027" s="225" t="str">
        <f>_xlfn.XLOOKUP(Logfile_S[[#This Row],[Material Name]],Sum_WH!E:E,Sum_WH!F:F,"",0)</f>
        <v>Pcs</v>
      </c>
      <c r="N1027" s="221">
        <v>10</v>
      </c>
      <c r="O1027" s="221" t="s">
        <v>164</v>
      </c>
      <c r="P1027" s="221" t="s">
        <v>3320</v>
      </c>
      <c r="Q1027" s="221"/>
      <c r="R1027" s="221"/>
      <c r="S1027" s="221"/>
      <c r="T1027" s="221" t="s">
        <v>3332</v>
      </c>
      <c r="U1027" s="221">
        <v>0</v>
      </c>
      <c r="V1027" s="221" t="s">
        <v>3333</v>
      </c>
      <c r="W1027" s="221" t="s">
        <v>3445</v>
      </c>
      <c r="X1027" s="221"/>
      <c r="Y1027" s="227"/>
      <c r="Z1027" s="227" t="str">
        <f>P1027</f>
        <v>Pandan Landung RW 04 Wagir</v>
      </c>
      <c r="AA1027" s="276" t="e">
        <f>VLOOKUP(Logfile_S[[#This Row],[DO number]],DO_DB!G:I,3,0)</f>
        <v>#N/A</v>
      </c>
      <c r="AB1027" s="331" t="e">
        <f>EXACT(Logfile_S[[#This Row],[date pick]],Logfile_S[[#This Row],[Date]])</f>
        <v>#N/A</v>
      </c>
      <c r="AC10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28" spans="1:29" ht="14.5">
      <c r="A1028" s="220" t="str">
        <f>TEXT(ROW(A1028)-ROW($A$4),"000")</f>
        <v>1024</v>
      </c>
      <c r="B1028" s="221"/>
      <c r="C1028" s="221" t="s">
        <v>49</v>
      </c>
      <c r="D1028" s="221" t="s">
        <v>3750</v>
      </c>
      <c r="E1028" s="221" t="s">
        <v>3295</v>
      </c>
      <c r="F1028" s="221" t="s">
        <v>3299</v>
      </c>
      <c r="G1028" s="222">
        <v>45211</v>
      </c>
      <c r="H1028" s="223">
        <v>0.52083333333333337</v>
      </c>
      <c r="I1028" s="221" t="s">
        <v>4916</v>
      </c>
      <c r="J1028" s="221" t="s">
        <v>3023</v>
      </c>
      <c r="K1028" s="224" t="s">
        <v>3075</v>
      </c>
      <c r="L1028" s="225" t="str">
        <f>VLOOKUP(Logfile_S[[#This Row],[Material Name]],Sheet2!B:C,2,0)</f>
        <v>ZTE2003</v>
      </c>
      <c r="M1028" s="225" t="str">
        <f>_xlfn.XLOOKUP(Logfile_S[[#This Row],[Material Name]],Sum_WH!E:E,Sum_WH!F:F,"",0)</f>
        <v>Meter</v>
      </c>
      <c r="N1028" s="221">
        <v>3000</v>
      </c>
      <c r="O1028" s="221" t="s">
        <v>164</v>
      </c>
      <c r="P1028" s="221" t="s">
        <v>3320</v>
      </c>
      <c r="Q1028" s="221"/>
      <c r="R1028" s="221"/>
      <c r="S1028" s="221"/>
      <c r="T1028" s="221" t="s">
        <v>3346</v>
      </c>
      <c r="U1028" s="221" t="s">
        <v>3323</v>
      </c>
      <c r="V1028" s="221" t="s">
        <v>3347</v>
      </c>
      <c r="W1028" s="221" t="s">
        <v>3387</v>
      </c>
      <c r="X1028" s="221"/>
      <c r="Y1028" s="227"/>
      <c r="Z1028" s="227" t="str">
        <f>P1028</f>
        <v>Pandan Landung RW 04 Wagir</v>
      </c>
      <c r="AA1028" s="276" t="e">
        <f>VLOOKUP(Logfile_S[[#This Row],[DO number]],DO_DB!G:I,3,0)</f>
        <v>#N/A</v>
      </c>
      <c r="AB1028" s="331" t="e">
        <f>EXACT(Logfile_S[[#This Row],[date pick]],Logfile_S[[#This Row],[Date]])</f>
        <v>#N/A</v>
      </c>
      <c r="AC10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29" spans="1:29" ht="14.5">
      <c r="A1029" s="220" t="str">
        <f>TEXT(ROW(A1029)-ROW($A$4),"000")</f>
        <v>1025</v>
      </c>
      <c r="B1029" s="221"/>
      <c r="C1029" s="221" t="s">
        <v>49</v>
      </c>
      <c r="D1029" s="221" t="s">
        <v>3752</v>
      </c>
      <c r="E1029" s="221" t="s">
        <v>3295</v>
      </c>
      <c r="F1029" s="221" t="s">
        <v>3299</v>
      </c>
      <c r="G1029" s="222">
        <v>45211</v>
      </c>
      <c r="H1029" s="223">
        <v>0.85486111111111107</v>
      </c>
      <c r="I1029" s="221" t="s">
        <v>4916</v>
      </c>
      <c r="J1029" s="221" t="s">
        <v>3024</v>
      </c>
      <c r="K1029" s="224" t="s">
        <v>3098</v>
      </c>
      <c r="L1029" s="225" t="str">
        <f>VLOOKUP(Logfile_S[[#This Row],[Material Name]],Sheet2!B:C,2,0)</f>
        <v>GCI1012</v>
      </c>
      <c r="M1029" s="225" t="str">
        <f>_xlfn.XLOOKUP(Logfile_S[[#This Row],[Material Name]],Sum_WH!E:E,Sum_WH!F:F,"",0)</f>
        <v>Pcs</v>
      </c>
      <c r="N1029" s="221">
        <v>59</v>
      </c>
      <c r="O1029" s="221" t="s">
        <v>164</v>
      </c>
      <c r="P1029" s="221" t="s">
        <v>3320</v>
      </c>
      <c r="Q1029" s="221"/>
      <c r="R1029" s="221"/>
      <c r="S1029" s="221"/>
      <c r="T1029" s="221" t="s">
        <v>3326</v>
      </c>
      <c r="U1029" s="221">
        <v>0</v>
      </c>
      <c r="V1029" s="221" t="s">
        <v>3327</v>
      </c>
      <c r="W1029" s="221" t="s">
        <v>3328</v>
      </c>
      <c r="X1029" s="221"/>
      <c r="Y1029" s="227"/>
      <c r="Z1029" s="227" t="str">
        <f>P1029</f>
        <v>Pandan Landung RW 04 Wagir</v>
      </c>
      <c r="AA1029" s="276" t="e">
        <f>VLOOKUP(Logfile_S[[#This Row],[DO number]],DO_DB!G:I,3,0)</f>
        <v>#N/A</v>
      </c>
      <c r="AB1029" s="331" t="e">
        <f>EXACT(Logfile_S[[#This Row],[date pick]],Logfile_S[[#This Row],[Date]])</f>
        <v>#N/A</v>
      </c>
      <c r="AC10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30" spans="1:29" ht="14.5">
      <c r="A1030" s="220" t="str">
        <f>TEXT(ROW(A1030)-ROW($A$4),"000")</f>
        <v>1026</v>
      </c>
      <c r="B1030" s="221"/>
      <c r="C1030" s="221" t="s">
        <v>49</v>
      </c>
      <c r="D1030" s="221" t="s">
        <v>3752</v>
      </c>
      <c r="E1030" s="221" t="s">
        <v>3295</v>
      </c>
      <c r="F1030" s="221" t="s">
        <v>3299</v>
      </c>
      <c r="G1030" s="222">
        <v>45211</v>
      </c>
      <c r="H1030" s="223">
        <v>0.85486111111111107</v>
      </c>
      <c r="I1030" s="221" t="s">
        <v>4916</v>
      </c>
      <c r="J1030" s="221" t="s">
        <v>3023</v>
      </c>
      <c r="K1030" s="224" t="s">
        <v>14</v>
      </c>
      <c r="L1030" s="225" t="str">
        <f>VLOOKUP(Logfile_S[[#This Row],[Material Name]],Sheet2!B:C,2,0)</f>
        <v>ZTE2005</v>
      </c>
      <c r="M1030" s="225" t="str">
        <f>_xlfn.XLOOKUP(Logfile_S[[#This Row],[Material Name]],Sum_WH!E:E,Sum_WH!F:F,"",0)</f>
        <v>Pcs</v>
      </c>
      <c r="N1030" s="221">
        <v>1</v>
      </c>
      <c r="O1030" s="221" t="s">
        <v>164</v>
      </c>
      <c r="P1030" s="221" t="s">
        <v>3320</v>
      </c>
      <c r="Q1030" s="221"/>
      <c r="R1030" s="221"/>
      <c r="S1030" s="221"/>
      <c r="T1030" s="221" t="s">
        <v>3326</v>
      </c>
      <c r="U1030" s="221">
        <v>0</v>
      </c>
      <c r="V1030" s="221" t="s">
        <v>3327</v>
      </c>
      <c r="W1030" s="221" t="s">
        <v>3328</v>
      </c>
      <c r="X1030" s="221"/>
      <c r="Y1030" s="227"/>
      <c r="Z1030" s="227" t="str">
        <f>P1030</f>
        <v>Pandan Landung RW 04 Wagir</v>
      </c>
      <c r="AA1030" s="276" t="e">
        <f>VLOOKUP(Logfile_S[[#This Row],[DO number]],DO_DB!G:I,3,0)</f>
        <v>#N/A</v>
      </c>
      <c r="AB1030" s="331" t="e">
        <f>EXACT(Logfile_S[[#This Row],[date pick]],Logfile_S[[#This Row],[Date]])</f>
        <v>#N/A</v>
      </c>
      <c r="AC10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31" spans="1:29" ht="14.5">
      <c r="A1031" s="220" t="str">
        <f>TEXT(ROW(A1031)-ROW($A$4),"000")</f>
        <v>1027</v>
      </c>
      <c r="B1031" s="221"/>
      <c r="C1031" s="221" t="s">
        <v>49</v>
      </c>
      <c r="D1031" s="221" t="s">
        <v>3831</v>
      </c>
      <c r="E1031" s="221" t="s">
        <v>3295</v>
      </c>
      <c r="F1031" s="221" t="s">
        <v>3299</v>
      </c>
      <c r="G1031" s="222">
        <v>45267</v>
      </c>
      <c r="H1031" s="223">
        <v>0.89583333333333337</v>
      </c>
      <c r="I1031" s="221" t="s">
        <v>4916</v>
      </c>
      <c r="J1031" s="221" t="s">
        <v>3023</v>
      </c>
      <c r="K1031" s="224" t="s">
        <v>3070</v>
      </c>
      <c r="L1031" s="225" t="str">
        <f>VLOOKUP(Logfile_S[[#This Row],[Material Name]],Sheet2!B:C,2,0)</f>
        <v>ZTE1002</v>
      </c>
      <c r="M1031" s="225" t="str">
        <f>_xlfn.XLOOKUP(Logfile_S[[#This Row],[Material Name]],Sum_WH!E:E,Sum_WH!F:F,"",0)</f>
        <v>Pcs</v>
      </c>
      <c r="N1031" s="221">
        <v>1</v>
      </c>
      <c r="O1031" s="221" t="s">
        <v>164</v>
      </c>
      <c r="P1031" s="221" t="s">
        <v>3320</v>
      </c>
      <c r="Q1031" s="221"/>
      <c r="R1031" s="221"/>
      <c r="S1031" s="221"/>
      <c r="T1031" s="221" t="s">
        <v>3231</v>
      </c>
      <c r="U1031" s="221">
        <v>0</v>
      </c>
      <c r="V1031" s="221" t="s">
        <v>3375</v>
      </c>
      <c r="W1031" s="221" t="s">
        <v>3249</v>
      </c>
      <c r="X1031" s="221"/>
      <c r="Y1031" s="227"/>
      <c r="Z1031" s="227" t="str">
        <f>P1031</f>
        <v>Pandan Landung RW 04 Wagir</v>
      </c>
      <c r="AA1031" s="276" t="e">
        <f>VLOOKUP(Logfile_S[[#This Row],[DO number]],DO_DB!G:I,3,0)</f>
        <v>#N/A</v>
      </c>
      <c r="AB1031" s="331" t="e">
        <f>EXACT(Logfile_S[[#This Row],[date pick]],Logfile_S[[#This Row],[Date]])</f>
        <v>#N/A</v>
      </c>
      <c r="AC10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32" spans="1:29" ht="14.5">
      <c r="A1032" s="220" t="str">
        <f>TEXT(ROW(A1032)-ROW($A$4),"000")</f>
        <v>1028</v>
      </c>
      <c r="B1032" s="221"/>
      <c r="C1032" s="221" t="s">
        <v>48</v>
      </c>
      <c r="D1032" s="221" t="s">
        <v>3832</v>
      </c>
      <c r="E1032" s="221" t="s">
        <v>3295</v>
      </c>
      <c r="F1032" s="221" t="s">
        <v>3299</v>
      </c>
      <c r="G1032" s="222">
        <v>45268</v>
      </c>
      <c r="H1032" s="223">
        <v>15.291666666666666</v>
      </c>
      <c r="I1032" s="221" t="s">
        <v>3586</v>
      </c>
      <c r="J1032" s="221" t="s">
        <v>3023</v>
      </c>
      <c r="K1032" s="224" t="s">
        <v>3070</v>
      </c>
      <c r="L1032" s="225" t="str">
        <f>VLOOKUP(Logfile_S[[#This Row],[Material Name]],Sheet2!B:C,2,0)</f>
        <v>ZTE1002</v>
      </c>
      <c r="M1032" s="225" t="str">
        <f>_xlfn.XLOOKUP(Logfile_S[[#This Row],[Material Name]],Sum_WH!E:E,Sum_WH!F:F,"",0)</f>
        <v>Pcs</v>
      </c>
      <c r="N1032" s="221">
        <v>1</v>
      </c>
      <c r="O1032" s="221" t="s">
        <v>164</v>
      </c>
      <c r="P1032" s="221" t="s">
        <v>3320</v>
      </c>
      <c r="Q1032" s="221" t="s">
        <v>170</v>
      </c>
      <c r="R1032" s="221" t="s">
        <v>171</v>
      </c>
      <c r="S1032" s="221"/>
      <c r="T1032" s="221" t="s">
        <v>3346</v>
      </c>
      <c r="U1032" s="221"/>
      <c r="V1032" s="221"/>
      <c r="W1032" s="221"/>
      <c r="X1032" s="221"/>
      <c r="Y1032" s="227"/>
      <c r="Z1032" s="227" t="str">
        <f>P1032</f>
        <v>Pandan Landung RW 04 Wagir</v>
      </c>
      <c r="AA1032" s="276">
        <f>VLOOKUP(Logfile_S[[#This Row],[DO number]],DO_DB!G:I,3,0)</f>
        <v>45185</v>
      </c>
      <c r="AB1032" s="331" t="b">
        <f>EXACT(Logfile_S[[#This Row],[date pick]],Logfile_S[[#This Row],[Date]])</f>
        <v>0</v>
      </c>
      <c r="AC10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33" spans="1:29" ht="14.5">
      <c r="A1033" s="220" t="str">
        <f>TEXT(ROW(A1033)-ROW($A$4),"000")</f>
        <v>1029</v>
      </c>
      <c r="B1033" s="221"/>
      <c r="C1033" s="221" t="s">
        <v>48</v>
      </c>
      <c r="D1033" s="221" t="s">
        <v>3832</v>
      </c>
      <c r="E1033" s="221" t="s">
        <v>3295</v>
      </c>
      <c r="F1033" s="221" t="s">
        <v>3299</v>
      </c>
      <c r="G1033" s="222">
        <v>45268</v>
      </c>
      <c r="H1033" s="223">
        <v>15.291666666666666</v>
      </c>
      <c r="I1033" s="221" t="s">
        <v>3586</v>
      </c>
      <c r="J1033" s="221" t="s">
        <v>3023</v>
      </c>
      <c r="K1033" s="224" t="s">
        <v>3069</v>
      </c>
      <c r="L1033" s="225" t="str">
        <f>VLOOKUP(Logfile_S[[#This Row],[Material Name]],Sheet2!B:C,2,0)</f>
        <v>ZTE1001</v>
      </c>
      <c r="M1033" s="225" t="str">
        <f>_xlfn.XLOOKUP(Logfile_S[[#This Row],[Material Name]],Sum_WH!E:E,Sum_WH!F:F,"",0)</f>
        <v>Pcs</v>
      </c>
      <c r="N1033" s="221">
        <v>4</v>
      </c>
      <c r="O1033" s="221" t="s">
        <v>164</v>
      </c>
      <c r="P1033" s="221" t="s">
        <v>3320</v>
      </c>
      <c r="Q1033" s="221" t="s">
        <v>170</v>
      </c>
      <c r="R1033" s="221" t="s">
        <v>171</v>
      </c>
      <c r="S1033" s="221"/>
      <c r="T1033" s="221" t="s">
        <v>3346</v>
      </c>
      <c r="U1033" s="221"/>
      <c r="V1033" s="221"/>
      <c r="W1033" s="221"/>
      <c r="X1033" s="221" t="s">
        <v>3582</v>
      </c>
      <c r="Y1033" s="227"/>
      <c r="Z1033" s="227" t="str">
        <f>P1033</f>
        <v>Pandan Landung RW 04 Wagir</v>
      </c>
      <c r="AA1033" s="276">
        <f>VLOOKUP(Logfile_S[[#This Row],[DO number]],DO_DB!G:I,3,0)</f>
        <v>45185</v>
      </c>
      <c r="AB1033" s="331" t="b">
        <f>EXACT(Logfile_S[[#This Row],[date pick]],Logfile_S[[#This Row],[Date]])</f>
        <v>0</v>
      </c>
      <c r="AC10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34" spans="1:29" ht="14.5">
      <c r="A1034" s="220" t="str">
        <f>TEXT(ROW(A1034)-ROW($A$4),"000")</f>
        <v>1030</v>
      </c>
      <c r="B1034" s="221"/>
      <c r="C1034" s="221" t="s">
        <v>48</v>
      </c>
      <c r="D1034" s="221" t="s">
        <v>3832</v>
      </c>
      <c r="E1034" s="221" t="s">
        <v>3295</v>
      </c>
      <c r="F1034" s="221" t="s">
        <v>3299</v>
      </c>
      <c r="G1034" s="222">
        <v>45268</v>
      </c>
      <c r="H1034" s="223">
        <v>15.291666666666666</v>
      </c>
      <c r="I1034" s="221" t="s">
        <v>3586</v>
      </c>
      <c r="J1034" s="221" t="s">
        <v>3023</v>
      </c>
      <c r="K1034" s="224" t="s">
        <v>3071</v>
      </c>
      <c r="L1034" s="225" t="str">
        <f>VLOOKUP(Logfile_S[[#This Row],[Material Name]],Sheet2!B:C,2,0)</f>
        <v>ZTE1003</v>
      </c>
      <c r="M1034" s="225" t="str">
        <f>_xlfn.XLOOKUP(Logfile_S[[#This Row],[Material Name]],Sum_WH!E:E,Sum_WH!F:F,"",0)</f>
        <v>Pcs</v>
      </c>
      <c r="N1034" s="221">
        <v>2</v>
      </c>
      <c r="O1034" s="221" t="s">
        <v>164</v>
      </c>
      <c r="P1034" s="221" t="s">
        <v>3320</v>
      </c>
      <c r="Q1034" s="221" t="s">
        <v>170</v>
      </c>
      <c r="R1034" s="221" t="s">
        <v>171</v>
      </c>
      <c r="S1034" s="221"/>
      <c r="T1034" s="221"/>
      <c r="U1034" s="221"/>
      <c r="V1034" s="221"/>
      <c r="W1034" s="221"/>
      <c r="X1034" s="221" t="s">
        <v>3600</v>
      </c>
      <c r="Y1034" s="227"/>
      <c r="Z1034" s="227" t="str">
        <f>P1034</f>
        <v>Pandan Landung RW 04 Wagir</v>
      </c>
      <c r="AA1034" s="276">
        <f>VLOOKUP(Logfile_S[[#This Row],[DO number]],DO_DB!G:I,3,0)</f>
        <v>45185</v>
      </c>
      <c r="AB1034" s="331" t="b">
        <f>EXACT(Logfile_S[[#This Row],[date pick]],Logfile_S[[#This Row],[Date]])</f>
        <v>0</v>
      </c>
      <c r="AC10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35" spans="1:29" ht="14.5">
      <c r="A1035" s="220" t="str">
        <f>TEXT(ROW(A1035)-ROW($A$4),"000")</f>
        <v>1031</v>
      </c>
      <c r="B1035" s="221"/>
      <c r="C1035" s="221" t="s">
        <v>49</v>
      </c>
      <c r="D1035" s="221" t="s">
        <v>3835</v>
      </c>
      <c r="E1035" s="221" t="s">
        <v>3295</v>
      </c>
      <c r="F1035" s="221" t="s">
        <v>3299</v>
      </c>
      <c r="G1035" s="222">
        <v>45275</v>
      </c>
      <c r="H1035" s="223">
        <v>0.44097222222222227</v>
      </c>
      <c r="I1035" s="221" t="s">
        <v>4916</v>
      </c>
      <c r="J1035" s="221" t="s">
        <v>3023</v>
      </c>
      <c r="K1035" s="224" t="s">
        <v>3070</v>
      </c>
      <c r="L1035" s="225" t="str">
        <f>VLOOKUP(Logfile_S[[#This Row],[Material Name]],Sheet2!B:C,2,0)</f>
        <v>ZTE1002</v>
      </c>
      <c r="M1035" s="225" t="str">
        <f>_xlfn.XLOOKUP(Logfile_S[[#This Row],[Material Name]],Sum_WH!E:E,Sum_WH!F:F,"",0)</f>
        <v>Pcs</v>
      </c>
      <c r="N1035" s="221">
        <v>1</v>
      </c>
      <c r="O1035" s="221" t="s">
        <v>164</v>
      </c>
      <c r="P1035" s="221" t="s">
        <v>3320</v>
      </c>
      <c r="Q1035" s="221"/>
      <c r="R1035" s="221"/>
      <c r="S1035" s="221"/>
      <c r="T1035" s="221" t="s">
        <v>3351</v>
      </c>
      <c r="U1035" s="221">
        <v>0</v>
      </c>
      <c r="V1035" s="221" t="s">
        <v>3352</v>
      </c>
      <c r="W1035" s="221" t="s">
        <v>3353</v>
      </c>
      <c r="X1035" s="221"/>
      <c r="Y1035" s="227"/>
      <c r="Z1035" s="227" t="str">
        <f>P1035</f>
        <v>Pandan Landung RW 04 Wagir</v>
      </c>
      <c r="AA1035" s="276" t="e">
        <f>VLOOKUP(Logfile_S[[#This Row],[DO number]],DO_DB!G:I,3,0)</f>
        <v>#N/A</v>
      </c>
      <c r="AB1035" s="331" t="e">
        <f>EXACT(Logfile_S[[#This Row],[date pick]],Logfile_S[[#This Row],[Date]])</f>
        <v>#N/A</v>
      </c>
      <c r="AC10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36" spans="1:29" ht="14.5">
      <c r="A1036" s="220" t="str">
        <f>TEXT(ROW(A1036)-ROW($A$4),"000")</f>
        <v>1032</v>
      </c>
      <c r="B1036" s="221"/>
      <c r="C1036" s="221" t="s">
        <v>48</v>
      </c>
      <c r="D1036" s="221" t="s">
        <v>3851</v>
      </c>
      <c r="E1036" s="221" t="s">
        <v>3295</v>
      </c>
      <c r="F1036" s="221" t="s">
        <v>3299</v>
      </c>
      <c r="G1036" s="222">
        <v>45287</v>
      </c>
      <c r="H1036" s="223">
        <v>15.291666666666666</v>
      </c>
      <c r="I1036" s="221" t="s">
        <v>3586</v>
      </c>
      <c r="J1036" s="221" t="s">
        <v>3023</v>
      </c>
      <c r="K1036" s="224" t="s">
        <v>3070</v>
      </c>
      <c r="L1036" s="225" t="str">
        <f>VLOOKUP(Logfile_S[[#This Row],[Material Name]],Sheet2!B:C,2,0)</f>
        <v>ZTE1002</v>
      </c>
      <c r="M1036" s="225" t="str">
        <f>_xlfn.XLOOKUP(Logfile_S[[#This Row],[Material Name]],Sum_WH!E:E,Sum_WH!F:F,"",0)</f>
        <v>Pcs</v>
      </c>
      <c r="N1036" s="221">
        <v>27</v>
      </c>
      <c r="O1036" s="221" t="s">
        <v>164</v>
      </c>
      <c r="P1036" s="221" t="s">
        <v>3320</v>
      </c>
      <c r="Q1036" s="221" t="s">
        <v>170</v>
      </c>
      <c r="R1036" s="221" t="s">
        <v>171</v>
      </c>
      <c r="S1036" s="221"/>
      <c r="T1036" s="221"/>
      <c r="U1036" s="221"/>
      <c r="V1036" s="221"/>
      <c r="W1036" s="221"/>
      <c r="X1036" s="221" t="s">
        <v>3217</v>
      </c>
      <c r="Y1036" s="227"/>
      <c r="Z1036" s="227" t="str">
        <f>P1036</f>
        <v>Pandan Landung RW 04 Wagir</v>
      </c>
      <c r="AA1036" s="276">
        <f>VLOOKUP(Logfile_S[[#This Row],[DO number]],DO_DB!G:I,3,0)</f>
        <v>45185</v>
      </c>
      <c r="AB1036" s="331" t="b">
        <f>EXACT(Logfile_S[[#This Row],[date pick]],Logfile_S[[#This Row],[Date]])</f>
        <v>0</v>
      </c>
      <c r="AC10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37" spans="1:29" ht="14.5">
      <c r="A1037" s="220" t="str">
        <f>TEXT(ROW(A1037)-ROW($A$4),"000")</f>
        <v>1033</v>
      </c>
      <c r="B1037" s="221"/>
      <c r="C1037" s="221" t="s">
        <v>48</v>
      </c>
      <c r="D1037" s="221" t="s">
        <v>3851</v>
      </c>
      <c r="E1037" s="221" t="s">
        <v>3295</v>
      </c>
      <c r="F1037" s="221" t="s">
        <v>3299</v>
      </c>
      <c r="G1037" s="222">
        <v>45287</v>
      </c>
      <c r="H1037" s="223">
        <v>15.291666666666666</v>
      </c>
      <c r="I1037" s="221" t="s">
        <v>3586</v>
      </c>
      <c r="J1037" s="221" t="s">
        <v>3023</v>
      </c>
      <c r="K1037" s="224" t="s">
        <v>3071</v>
      </c>
      <c r="L1037" s="225" t="str">
        <f>VLOOKUP(Logfile_S[[#This Row],[Material Name]],Sheet2!B:C,2,0)</f>
        <v>ZTE1003</v>
      </c>
      <c r="M1037" s="225" t="str">
        <f>_xlfn.XLOOKUP(Logfile_S[[#This Row],[Material Name]],Sum_WH!E:E,Sum_WH!F:F,"",0)</f>
        <v>Pcs</v>
      </c>
      <c r="N1037" s="221">
        <v>2</v>
      </c>
      <c r="O1037" s="221" t="s">
        <v>164</v>
      </c>
      <c r="P1037" s="221" t="s">
        <v>3320</v>
      </c>
      <c r="Q1037" s="221" t="s">
        <v>170</v>
      </c>
      <c r="R1037" s="221" t="s">
        <v>171</v>
      </c>
      <c r="S1037" s="221"/>
      <c r="T1037" s="221"/>
      <c r="U1037" s="221"/>
      <c r="V1037" s="221"/>
      <c r="W1037" s="221"/>
      <c r="X1037" s="221" t="s">
        <v>3217</v>
      </c>
      <c r="Y1037" s="227"/>
      <c r="Z1037" s="227" t="str">
        <f>P1037</f>
        <v>Pandan Landung RW 04 Wagir</v>
      </c>
      <c r="AA1037" s="276">
        <f>VLOOKUP(Logfile_S[[#This Row],[DO number]],DO_DB!G:I,3,0)</f>
        <v>45185</v>
      </c>
      <c r="AB1037" s="331" t="b">
        <f>EXACT(Logfile_S[[#This Row],[date pick]],Logfile_S[[#This Row],[Date]])</f>
        <v>0</v>
      </c>
      <c r="AC10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38" spans="1:29" ht="14.5">
      <c r="A1038" s="220" t="str">
        <f>TEXT(ROW(A1038)-ROW($A$4),"000")</f>
        <v>1034</v>
      </c>
      <c r="B1038" s="221"/>
      <c r="C1038" s="221" t="s">
        <v>48</v>
      </c>
      <c r="D1038" s="221" t="s">
        <v>3708</v>
      </c>
      <c r="E1038" s="221" t="s">
        <v>3295</v>
      </c>
      <c r="F1038" s="221" t="s">
        <v>3299</v>
      </c>
      <c r="G1038" s="222">
        <v>45185</v>
      </c>
      <c r="H1038" s="223">
        <v>15.291666666666666</v>
      </c>
      <c r="I1038" s="221" t="s">
        <v>37</v>
      </c>
      <c r="J1038" s="221" t="s">
        <v>3023</v>
      </c>
      <c r="K1038" s="224" t="s">
        <v>13</v>
      </c>
      <c r="L1038" s="225" t="str">
        <f>VLOOKUP(Logfile_S[[#This Row],[Material Name]],Sheet2!B:C,2,0)</f>
        <v>ZTE2008</v>
      </c>
      <c r="M1038" s="225" t="str">
        <f>_xlfn.XLOOKUP(Logfile_S[[#This Row],[Material Name]],Sum_WH!E:E,Sum_WH!F:F,"",0)</f>
        <v>Pcs</v>
      </c>
      <c r="N1038" s="221">
        <v>11</v>
      </c>
      <c r="O1038" s="221" t="s">
        <v>164</v>
      </c>
      <c r="P1038" s="221" t="s">
        <v>3525</v>
      </c>
      <c r="Q1038" s="221" t="s">
        <v>166</v>
      </c>
      <c r="R1038" s="221" t="s">
        <v>167</v>
      </c>
      <c r="S1038" s="221"/>
      <c r="T1038" s="221"/>
      <c r="U1038" s="221"/>
      <c r="V1038" s="221"/>
      <c r="W1038" s="221"/>
      <c r="X1038" s="221"/>
      <c r="Y1038" s="227"/>
      <c r="Z1038" s="227" t="str">
        <f>P1038</f>
        <v>Pandanlandung RW   04   Wagir</v>
      </c>
      <c r="AA1038" s="276">
        <f>VLOOKUP(Logfile_S[[#This Row],[DO number]],DO_DB!G:I,3,0)</f>
        <v>45185</v>
      </c>
      <c r="AB1038" s="331" t="b">
        <f>EXACT(Logfile_S[[#This Row],[date pick]],Logfile_S[[#This Row],[Date]])</f>
        <v>1</v>
      </c>
      <c r="AC10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39" spans="1:29" ht="14.5">
      <c r="A1039" s="220" t="str">
        <f>TEXT(ROW(A1039)-ROW($A$4),"000")</f>
        <v>1035</v>
      </c>
      <c r="B1039" s="221"/>
      <c r="C1039" s="221" t="s">
        <v>48</v>
      </c>
      <c r="D1039" s="221" t="s">
        <v>3708</v>
      </c>
      <c r="E1039" s="221" t="s">
        <v>3295</v>
      </c>
      <c r="F1039" s="221" t="s">
        <v>3299</v>
      </c>
      <c r="G1039" s="222">
        <v>45185</v>
      </c>
      <c r="H1039" s="223">
        <v>15.291666666666666</v>
      </c>
      <c r="I1039" s="221" t="s">
        <v>37</v>
      </c>
      <c r="J1039" s="221" t="s">
        <v>3023</v>
      </c>
      <c r="K1039" s="224" t="s">
        <v>3072</v>
      </c>
      <c r="L1039" s="225" t="str">
        <f>VLOOKUP(Logfile_S[[#This Row],[Material Name]],Sheet2!B:C,2,0)</f>
        <v>ZTE1004</v>
      </c>
      <c r="M1039" s="225" t="str">
        <f>_xlfn.XLOOKUP(Logfile_S[[#This Row],[Material Name]],Sum_WH!E:E,Sum_WH!F:F,"",0)</f>
        <v>Pcs</v>
      </c>
      <c r="N1039" s="221">
        <v>1</v>
      </c>
      <c r="O1039" s="221" t="s">
        <v>164</v>
      </c>
      <c r="P1039" s="221" t="s">
        <v>3525</v>
      </c>
      <c r="Q1039" s="221" t="s">
        <v>170</v>
      </c>
      <c r="R1039" s="221" t="s">
        <v>171</v>
      </c>
      <c r="S1039" s="221"/>
      <c r="T1039" s="221"/>
      <c r="U1039" s="221"/>
      <c r="V1039" s="221"/>
      <c r="W1039" s="221"/>
      <c r="X1039" s="221"/>
      <c r="Y1039" s="227"/>
      <c r="Z1039" s="227" t="str">
        <f>P1039</f>
        <v>Pandanlandung RW   04   Wagir</v>
      </c>
      <c r="AA1039" s="276">
        <f>VLOOKUP(Logfile_S[[#This Row],[DO number]],DO_DB!G:I,3,0)</f>
        <v>45185</v>
      </c>
      <c r="AB1039" s="331" t="b">
        <f>EXACT(Logfile_S[[#This Row],[date pick]],Logfile_S[[#This Row],[Date]])</f>
        <v>1</v>
      </c>
      <c r="AC10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40" spans="1:29" ht="14.5">
      <c r="A1040" s="220" t="str">
        <f>TEXT(ROW(A1040)-ROW($A$4),"000")</f>
        <v>1036</v>
      </c>
      <c r="B1040" s="221"/>
      <c r="C1040" s="221" t="s">
        <v>48</v>
      </c>
      <c r="D1040" s="221" t="s">
        <v>3709</v>
      </c>
      <c r="E1040" s="221" t="s">
        <v>3295</v>
      </c>
      <c r="F1040" s="221" t="s">
        <v>3299</v>
      </c>
      <c r="G1040" s="222">
        <v>45188</v>
      </c>
      <c r="H1040" s="223">
        <v>15.291666666666666</v>
      </c>
      <c r="I1040" s="221" t="s">
        <v>37</v>
      </c>
      <c r="J1040" s="221" t="s">
        <v>3023</v>
      </c>
      <c r="K1040" s="224" t="s">
        <v>13</v>
      </c>
      <c r="L1040" s="225" t="str">
        <f>VLOOKUP(Logfile_S[[#This Row],[Material Name]],Sheet2!B:C,2,0)</f>
        <v>ZTE2008</v>
      </c>
      <c r="M1040" s="225" t="str">
        <f>_xlfn.XLOOKUP(Logfile_S[[#This Row],[Material Name]],Sum_WH!E:E,Sum_WH!F:F,"",0)</f>
        <v>Pcs</v>
      </c>
      <c r="N1040" s="221">
        <v>1</v>
      </c>
      <c r="O1040" s="221" t="s">
        <v>164</v>
      </c>
      <c r="P1040" s="221" t="s">
        <v>3525</v>
      </c>
      <c r="Q1040" s="221" t="s">
        <v>176</v>
      </c>
      <c r="R1040" s="221" t="s">
        <v>177</v>
      </c>
      <c r="S1040" s="221"/>
      <c r="T1040" s="221"/>
      <c r="U1040" s="221"/>
      <c r="V1040" s="221"/>
      <c r="W1040" s="221"/>
      <c r="X1040" s="221"/>
      <c r="Y1040" s="227"/>
      <c r="Z1040" s="227" t="str">
        <f>P1040</f>
        <v>Pandanlandung RW   04   Wagir</v>
      </c>
      <c r="AA1040" s="276">
        <f>VLOOKUP(Logfile_S[[#This Row],[DO number]],DO_DB!G:I,3,0)</f>
        <v>45188</v>
      </c>
      <c r="AB1040" s="331" t="b">
        <f>EXACT(Logfile_S[[#This Row],[date pick]],Logfile_S[[#This Row],[Date]])</f>
        <v>1</v>
      </c>
      <c r="AC10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41" spans="1:29" ht="14.5">
      <c r="A1041" s="220" t="str">
        <f>TEXT(ROW(A1041)-ROW($A$4),"000")</f>
        <v>1037</v>
      </c>
      <c r="B1041" s="221"/>
      <c r="C1041" s="221" t="s">
        <v>48</v>
      </c>
      <c r="D1041" s="221" t="s">
        <v>3709</v>
      </c>
      <c r="E1041" s="221" t="s">
        <v>3295</v>
      </c>
      <c r="F1041" s="221" t="s">
        <v>3299</v>
      </c>
      <c r="G1041" s="222">
        <v>45188</v>
      </c>
      <c r="H1041" s="223">
        <v>15.291666666666666</v>
      </c>
      <c r="I1041" s="221" t="s">
        <v>37</v>
      </c>
      <c r="J1041" s="221" t="s">
        <v>3023</v>
      </c>
      <c r="K1041" s="224" t="s">
        <v>14</v>
      </c>
      <c r="L1041" s="225" t="str">
        <f>VLOOKUP(Logfile_S[[#This Row],[Material Name]],Sheet2!B:C,2,0)</f>
        <v>ZTE2005</v>
      </c>
      <c r="M1041" s="225" t="str">
        <f>_xlfn.XLOOKUP(Logfile_S[[#This Row],[Material Name]],Sum_WH!E:E,Sum_WH!F:F,"",0)</f>
        <v>Pcs</v>
      </c>
      <c r="N1041" s="221">
        <v>1</v>
      </c>
      <c r="O1041" s="221" t="s">
        <v>164</v>
      </c>
      <c r="P1041" s="221" t="s">
        <v>3525</v>
      </c>
      <c r="Q1041" s="221" t="s">
        <v>176</v>
      </c>
      <c r="R1041" s="221" t="s">
        <v>177</v>
      </c>
      <c r="S1041" s="221"/>
      <c r="T1041" s="221"/>
      <c r="U1041" s="221"/>
      <c r="V1041" s="221"/>
      <c r="W1041" s="221"/>
      <c r="X1041" s="221"/>
      <c r="Y1041" s="227"/>
      <c r="Z1041" s="227" t="str">
        <f>P1041</f>
        <v>Pandanlandung RW   04   Wagir</v>
      </c>
      <c r="AA1041" s="276">
        <f>VLOOKUP(Logfile_S[[#This Row],[DO number]],DO_DB!G:I,3,0)</f>
        <v>45188</v>
      </c>
      <c r="AB1041" s="331" t="b">
        <f>EXACT(Logfile_S[[#This Row],[date pick]],Logfile_S[[#This Row],[Date]])</f>
        <v>1</v>
      </c>
      <c r="AC10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42" spans="1:29" ht="14.5">
      <c r="A1042" s="220" t="str">
        <f>TEXT(ROW(A1042)-ROW($A$4),"000")</f>
        <v>1038</v>
      </c>
      <c r="B1042" s="221"/>
      <c r="C1042" s="221" t="s">
        <v>48</v>
      </c>
      <c r="D1042" s="221" t="s">
        <v>3754</v>
      </c>
      <c r="E1042" s="221" t="s">
        <v>3295</v>
      </c>
      <c r="F1042" s="221" t="s">
        <v>3299</v>
      </c>
      <c r="G1042" s="222">
        <v>45213</v>
      </c>
      <c r="H1042" s="223">
        <v>15.291666666666666</v>
      </c>
      <c r="I1042" s="221" t="s">
        <v>37</v>
      </c>
      <c r="J1042" s="221" t="s">
        <v>3023</v>
      </c>
      <c r="K1042" s="224" t="s">
        <v>3073</v>
      </c>
      <c r="L1042" s="225" t="str">
        <f>VLOOKUP(Logfile_S[[#This Row],[Material Name]],Sheet2!B:C,2,0)</f>
        <v>ZTE2001</v>
      </c>
      <c r="M1042" s="225" t="str">
        <f>_xlfn.XLOOKUP(Logfile_S[[#This Row],[Material Name]],Sum_WH!E:E,Sum_WH!F:F,"",0)</f>
        <v>Meter</v>
      </c>
      <c r="N1042" s="221">
        <v>3000</v>
      </c>
      <c r="O1042" s="221" t="s">
        <v>328</v>
      </c>
      <c r="P1042" s="221" t="s">
        <v>329</v>
      </c>
      <c r="Q1042" s="221" t="s">
        <v>330</v>
      </c>
      <c r="R1042" s="221" t="s">
        <v>331</v>
      </c>
      <c r="S1042" s="221"/>
      <c r="T1042" s="221"/>
      <c r="U1042" s="221"/>
      <c r="V1042" s="221"/>
      <c r="W1042" s="221"/>
      <c r="X1042" s="221"/>
      <c r="Y1042" s="227" t="s">
        <v>4987</v>
      </c>
      <c r="Z1042" s="227" t="str">
        <f>P1042</f>
        <v>Sukodadi RW 01 Wagir</v>
      </c>
      <c r="AA1042" s="276">
        <f>VLOOKUP(Logfile_S[[#This Row],[DO number]],DO_DB!G:I,3,0)</f>
        <v>45213</v>
      </c>
      <c r="AB1042" s="331" t="b">
        <f>EXACT(Logfile_S[[#This Row],[date pick]],Logfile_S[[#This Row],[Date]])</f>
        <v>1</v>
      </c>
      <c r="AC10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24C-20231014-01</v>
      </c>
    </row>
    <row r="1043" spans="1:29" ht="14.5">
      <c r="A1043" s="220" t="str">
        <f>TEXT(ROW(A1043)-ROW($A$4),"000")</f>
        <v>1039</v>
      </c>
      <c r="B1043" s="221"/>
      <c r="C1043" s="221" t="s">
        <v>48</v>
      </c>
      <c r="D1043" s="221" t="s">
        <v>3754</v>
      </c>
      <c r="E1043" s="221" t="s">
        <v>3295</v>
      </c>
      <c r="F1043" s="221" t="s">
        <v>3299</v>
      </c>
      <c r="G1043" s="222">
        <v>45213</v>
      </c>
      <c r="H1043" s="223">
        <v>15.291666666666666</v>
      </c>
      <c r="I1043" s="221" t="s">
        <v>37</v>
      </c>
      <c r="J1043" s="221" t="s">
        <v>3023</v>
      </c>
      <c r="K1043" s="224" t="s">
        <v>3075</v>
      </c>
      <c r="L1043" s="225" t="str">
        <f>VLOOKUP(Logfile_S[[#This Row],[Material Name]],Sheet2!B:C,2,0)</f>
        <v>ZTE2003</v>
      </c>
      <c r="M1043" s="225" t="str">
        <f>_xlfn.XLOOKUP(Logfile_S[[#This Row],[Material Name]],Sum_WH!E:E,Sum_WH!F:F,"",0)</f>
        <v>Meter</v>
      </c>
      <c r="N1043" s="221">
        <v>3000</v>
      </c>
      <c r="O1043" s="221" t="s">
        <v>328</v>
      </c>
      <c r="P1043" s="221" t="s">
        <v>329</v>
      </c>
      <c r="Q1043" s="221" t="s">
        <v>330</v>
      </c>
      <c r="R1043" s="221" t="s">
        <v>331</v>
      </c>
      <c r="S1043" s="221"/>
      <c r="T1043" s="221"/>
      <c r="U1043" s="221"/>
      <c r="V1043" s="221"/>
      <c r="W1043" s="221"/>
      <c r="X1043" s="221"/>
      <c r="Y1043" s="227" t="s">
        <v>5054</v>
      </c>
      <c r="Z1043" s="227" t="str">
        <f>P1043</f>
        <v>Sukodadi RW 01 Wagir</v>
      </c>
      <c r="AA1043" s="276">
        <f>VLOOKUP(Logfile_S[[#This Row],[DO number]],DO_DB!G:I,3,0)</f>
        <v>45213</v>
      </c>
      <c r="AB1043" s="331" t="b">
        <f>EXACT(Logfile_S[[#This Row],[date pick]],Logfile_S[[#This Row],[Date]])</f>
        <v>1</v>
      </c>
      <c r="AC10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48C-20231014-01</v>
      </c>
    </row>
    <row r="1044" spans="1:29" ht="14.5">
      <c r="A1044" s="220" t="str">
        <f>TEXT(ROW(A1044)-ROW($A$4),"000")</f>
        <v>1040</v>
      </c>
      <c r="B1044" s="221"/>
      <c r="C1044" s="221" t="s">
        <v>48</v>
      </c>
      <c r="D1044" s="221" t="s">
        <v>3754</v>
      </c>
      <c r="E1044" s="221" t="s">
        <v>3295</v>
      </c>
      <c r="F1044" s="221" t="s">
        <v>3299</v>
      </c>
      <c r="G1044" s="222">
        <v>45213</v>
      </c>
      <c r="H1044" s="223">
        <v>15.291666666666666</v>
      </c>
      <c r="I1044" s="221" t="s">
        <v>37</v>
      </c>
      <c r="J1044" s="221" t="s">
        <v>3023</v>
      </c>
      <c r="K1044" s="224" t="s">
        <v>13</v>
      </c>
      <c r="L1044" s="225" t="str">
        <f>VLOOKUP(Logfile_S[[#This Row],[Material Name]],Sheet2!B:C,2,0)</f>
        <v>ZTE2008</v>
      </c>
      <c r="M1044" s="225" t="str">
        <f>_xlfn.XLOOKUP(Logfile_S[[#This Row],[Material Name]],Sum_WH!E:E,Sum_WH!F:F,"",0)</f>
        <v>Pcs</v>
      </c>
      <c r="N1044" s="221">
        <v>8</v>
      </c>
      <c r="O1044" s="221" t="s">
        <v>328</v>
      </c>
      <c r="P1044" s="221" t="s">
        <v>329</v>
      </c>
      <c r="Q1044" s="221" t="s">
        <v>330</v>
      </c>
      <c r="R1044" s="221" t="s">
        <v>331</v>
      </c>
      <c r="S1044" s="221"/>
      <c r="T1044" s="221"/>
      <c r="U1044" s="221"/>
      <c r="V1044" s="221"/>
      <c r="W1044" s="221"/>
      <c r="X1044" s="221"/>
      <c r="Y1044" s="227"/>
      <c r="Z1044" s="227" t="str">
        <f>P1044</f>
        <v>Sukodadi RW 01 Wagir</v>
      </c>
      <c r="AA1044" s="276">
        <f>VLOOKUP(Logfile_S[[#This Row],[DO number]],DO_DB!G:I,3,0)</f>
        <v>45213</v>
      </c>
      <c r="AB1044" s="331" t="b">
        <f>EXACT(Logfile_S[[#This Row],[date pick]],Logfile_S[[#This Row],[Date]])</f>
        <v>1</v>
      </c>
      <c r="AC10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45" spans="1:29" ht="14.5">
      <c r="A1045" s="220" t="str">
        <f>TEXT(ROW(A1045)-ROW($A$4),"000")</f>
        <v>1041</v>
      </c>
      <c r="B1045" s="221"/>
      <c r="C1045" s="221" t="s">
        <v>48</v>
      </c>
      <c r="D1045" s="221" t="s">
        <v>3754</v>
      </c>
      <c r="E1045" s="221" t="s">
        <v>3295</v>
      </c>
      <c r="F1045" s="221" t="s">
        <v>3299</v>
      </c>
      <c r="G1045" s="222">
        <v>45213</v>
      </c>
      <c r="H1045" s="223">
        <v>15.291666666666666</v>
      </c>
      <c r="I1045" s="221" t="s">
        <v>37</v>
      </c>
      <c r="J1045" s="221" t="s">
        <v>3023</v>
      </c>
      <c r="K1045" s="224" t="s">
        <v>14</v>
      </c>
      <c r="L1045" s="225" t="str">
        <f>VLOOKUP(Logfile_S[[#This Row],[Material Name]],Sheet2!B:C,2,0)</f>
        <v>ZTE2005</v>
      </c>
      <c r="M1045" s="225" t="str">
        <f>_xlfn.XLOOKUP(Logfile_S[[#This Row],[Material Name]],Sum_WH!E:E,Sum_WH!F:F,"",0)</f>
        <v>Pcs</v>
      </c>
      <c r="N1045" s="221">
        <v>1</v>
      </c>
      <c r="O1045" s="221" t="s">
        <v>328</v>
      </c>
      <c r="P1045" s="221" t="s">
        <v>329</v>
      </c>
      <c r="Q1045" s="221" t="s">
        <v>330</v>
      </c>
      <c r="R1045" s="221" t="s">
        <v>331</v>
      </c>
      <c r="S1045" s="221"/>
      <c r="T1045" s="221"/>
      <c r="U1045" s="221"/>
      <c r="V1045" s="221"/>
      <c r="W1045" s="221"/>
      <c r="X1045" s="221"/>
      <c r="Y1045" s="227"/>
      <c r="Z1045" s="227" t="str">
        <f>P1045</f>
        <v>Sukodadi RW 01 Wagir</v>
      </c>
      <c r="AA1045" s="276">
        <f>VLOOKUP(Logfile_S[[#This Row],[DO number]],DO_DB!G:I,3,0)</f>
        <v>45213</v>
      </c>
      <c r="AB1045" s="331" t="b">
        <f>EXACT(Logfile_S[[#This Row],[date pick]],Logfile_S[[#This Row],[Date]])</f>
        <v>1</v>
      </c>
      <c r="AC10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46" spans="1:29" ht="14.5">
      <c r="A1046" s="220" t="str">
        <f>TEXT(ROW(A1046)-ROW($A$4),"000")</f>
        <v>1042</v>
      </c>
      <c r="B1046" s="221"/>
      <c r="C1046" s="221" t="s">
        <v>48</v>
      </c>
      <c r="D1046" s="221" t="s">
        <v>3754</v>
      </c>
      <c r="E1046" s="221" t="s">
        <v>3295</v>
      </c>
      <c r="F1046" s="221" t="s">
        <v>3299</v>
      </c>
      <c r="G1046" s="222">
        <v>45213</v>
      </c>
      <c r="H1046" s="223">
        <v>15.291666666666666</v>
      </c>
      <c r="I1046" s="221" t="s">
        <v>37</v>
      </c>
      <c r="J1046" s="221" t="s">
        <v>3023</v>
      </c>
      <c r="K1046" s="224" t="s">
        <v>3072</v>
      </c>
      <c r="L1046" s="225" t="str">
        <f>VLOOKUP(Logfile_S[[#This Row],[Material Name]],Sheet2!B:C,2,0)</f>
        <v>ZTE1004</v>
      </c>
      <c r="M1046" s="225" t="str">
        <f>_xlfn.XLOOKUP(Logfile_S[[#This Row],[Material Name]],Sum_WH!E:E,Sum_WH!F:F,"",0)</f>
        <v>Pcs</v>
      </c>
      <c r="N1046" s="221">
        <v>1</v>
      </c>
      <c r="O1046" s="221" t="s">
        <v>328</v>
      </c>
      <c r="P1046" s="221" t="s">
        <v>329</v>
      </c>
      <c r="Q1046" s="221" t="s">
        <v>348</v>
      </c>
      <c r="R1046" s="221" t="s">
        <v>349</v>
      </c>
      <c r="S1046" s="221"/>
      <c r="T1046" s="221"/>
      <c r="U1046" s="221"/>
      <c r="V1046" s="221"/>
      <c r="W1046" s="221"/>
      <c r="X1046" s="221"/>
      <c r="Y1046" s="227"/>
      <c r="Z1046" s="227" t="str">
        <f>P1046</f>
        <v>Sukodadi RW 01 Wagir</v>
      </c>
      <c r="AA1046" s="276">
        <f>VLOOKUP(Logfile_S[[#This Row],[DO number]],DO_DB!G:I,3,0)</f>
        <v>45213</v>
      </c>
      <c r="AB1046" s="331" t="b">
        <f>EXACT(Logfile_S[[#This Row],[date pick]],Logfile_S[[#This Row],[Date]])</f>
        <v>1</v>
      </c>
      <c r="AC10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47" spans="1:29" ht="14.5">
      <c r="A1047" s="220" t="str">
        <f>TEXT(ROW(A1047)-ROW($A$4),"000")</f>
        <v>1043</v>
      </c>
      <c r="B1047" s="221"/>
      <c r="C1047" s="221" t="s">
        <v>48</v>
      </c>
      <c r="D1047" s="221" t="s">
        <v>3754</v>
      </c>
      <c r="E1047" s="221" t="s">
        <v>3295</v>
      </c>
      <c r="F1047" s="221" t="s">
        <v>3299</v>
      </c>
      <c r="G1047" s="222">
        <v>45213</v>
      </c>
      <c r="H1047" s="223">
        <v>15.291666666666666</v>
      </c>
      <c r="I1047" s="221" t="s">
        <v>37</v>
      </c>
      <c r="J1047" s="221" t="s">
        <v>3023</v>
      </c>
      <c r="K1047" s="224" t="s">
        <v>3227</v>
      </c>
      <c r="L1047" s="225" t="str">
        <f>VLOOKUP(Logfile_S[[#This Row],[Material Name]],Sheet2!B:C,2,0)</f>
        <v>ZTE1001</v>
      </c>
      <c r="M1047" s="225" t="str">
        <f>_xlfn.XLOOKUP(Logfile_S[[#This Row],[Material Name]],Sum_WH!E:E,Sum_WH!F:F,"",0)</f>
        <v>Pcs</v>
      </c>
      <c r="N1047" s="221">
        <v>24</v>
      </c>
      <c r="O1047" s="221" t="s">
        <v>328</v>
      </c>
      <c r="P1047" s="221" t="s">
        <v>329</v>
      </c>
      <c r="Q1047" s="221" t="s">
        <v>348</v>
      </c>
      <c r="R1047" s="221" t="s">
        <v>349</v>
      </c>
      <c r="S1047" s="221"/>
      <c r="T1047" s="221"/>
      <c r="U1047" s="221"/>
      <c r="V1047" s="221"/>
      <c r="W1047" s="221"/>
      <c r="X1047" s="221"/>
      <c r="Y1047" s="227"/>
      <c r="Z1047" s="227" t="str">
        <f>P1047</f>
        <v>Sukodadi RW 01 Wagir</v>
      </c>
      <c r="AA1047" s="276">
        <f>VLOOKUP(Logfile_S[[#This Row],[DO number]],DO_DB!G:I,3,0)</f>
        <v>45213</v>
      </c>
      <c r="AB1047" s="331" t="b">
        <f>EXACT(Logfile_S[[#This Row],[date pick]],Logfile_S[[#This Row],[Date]])</f>
        <v>1</v>
      </c>
      <c r="AC10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48" spans="1:29" ht="14.5">
      <c r="A1048" s="220" t="str">
        <f>TEXT(ROW(A1048)-ROW($A$4),"000")</f>
        <v>1044</v>
      </c>
      <c r="B1048" s="221"/>
      <c r="C1048" s="221" t="s">
        <v>48</v>
      </c>
      <c r="D1048" s="221" t="s">
        <v>3754</v>
      </c>
      <c r="E1048" s="221" t="s">
        <v>3295</v>
      </c>
      <c r="F1048" s="221" t="s">
        <v>3299</v>
      </c>
      <c r="G1048" s="222">
        <v>45213</v>
      </c>
      <c r="H1048" s="223">
        <v>15.291666666666666</v>
      </c>
      <c r="I1048" s="221" t="s">
        <v>37</v>
      </c>
      <c r="J1048" s="221" t="s">
        <v>3023</v>
      </c>
      <c r="K1048" s="224" t="s">
        <v>3227</v>
      </c>
      <c r="L1048" s="225" t="str">
        <f>VLOOKUP(Logfile_S[[#This Row],[Material Name]],Sheet2!B:C,2,0)</f>
        <v>ZTE1001</v>
      </c>
      <c r="M1048" s="225" t="str">
        <f>_xlfn.XLOOKUP(Logfile_S[[#This Row],[Material Name]],Sum_WH!E:E,Sum_WH!F:F,"",0)</f>
        <v>Pcs</v>
      </c>
      <c r="N1048" s="221">
        <v>27</v>
      </c>
      <c r="O1048" s="221" t="s">
        <v>328</v>
      </c>
      <c r="P1048" s="221" t="s">
        <v>329</v>
      </c>
      <c r="Q1048" s="221" t="s">
        <v>348</v>
      </c>
      <c r="R1048" s="221" t="s">
        <v>349</v>
      </c>
      <c r="S1048" s="221"/>
      <c r="T1048" s="221"/>
      <c r="U1048" s="221"/>
      <c r="V1048" s="221"/>
      <c r="W1048" s="221"/>
      <c r="X1048" s="221"/>
      <c r="Y1048" s="227"/>
      <c r="Z1048" s="227" t="str">
        <f>P1048</f>
        <v>Sukodadi RW 01 Wagir</v>
      </c>
      <c r="AA1048" s="276">
        <f>VLOOKUP(Logfile_S[[#This Row],[DO number]],DO_DB!G:I,3,0)</f>
        <v>45213</v>
      </c>
      <c r="AB1048" s="331" t="b">
        <f>EXACT(Logfile_S[[#This Row],[date pick]],Logfile_S[[#This Row],[Date]])</f>
        <v>1</v>
      </c>
      <c r="AC10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49" spans="1:29" ht="14.5">
      <c r="A1049" s="220" t="str">
        <f>TEXT(ROW(A1049)-ROW($A$4),"000")</f>
        <v>1045</v>
      </c>
      <c r="B1049" s="221"/>
      <c r="C1049" s="221" t="s">
        <v>48</v>
      </c>
      <c r="D1049" s="221" t="s">
        <v>3754</v>
      </c>
      <c r="E1049" s="221" t="s">
        <v>3295</v>
      </c>
      <c r="F1049" s="221" t="s">
        <v>3299</v>
      </c>
      <c r="G1049" s="222">
        <v>45213</v>
      </c>
      <c r="H1049" s="223">
        <v>15.291666666666666</v>
      </c>
      <c r="I1049" s="221" t="s">
        <v>37</v>
      </c>
      <c r="J1049" s="221" t="s">
        <v>3023</v>
      </c>
      <c r="K1049" s="224" t="s">
        <v>3071</v>
      </c>
      <c r="L1049" s="225" t="str">
        <f>VLOOKUP(Logfile_S[[#This Row],[Material Name]],Sheet2!B:C,2,0)</f>
        <v>ZTE1003</v>
      </c>
      <c r="M1049" s="225" t="str">
        <f>_xlfn.XLOOKUP(Logfile_S[[#This Row],[Material Name]],Sum_WH!E:E,Sum_WH!F:F,"",0)</f>
        <v>Pcs</v>
      </c>
      <c r="N1049" s="221">
        <v>2</v>
      </c>
      <c r="O1049" s="221" t="s">
        <v>328</v>
      </c>
      <c r="P1049" s="221" t="s">
        <v>329</v>
      </c>
      <c r="Q1049" s="221" t="s">
        <v>348</v>
      </c>
      <c r="R1049" s="221" t="s">
        <v>349</v>
      </c>
      <c r="S1049" s="221"/>
      <c r="T1049" s="221"/>
      <c r="U1049" s="221"/>
      <c r="V1049" s="221"/>
      <c r="W1049" s="221"/>
      <c r="X1049" s="221"/>
      <c r="Y1049" s="227"/>
      <c r="Z1049" s="227" t="str">
        <f>P1049</f>
        <v>Sukodadi RW 01 Wagir</v>
      </c>
      <c r="AA1049" s="276">
        <f>VLOOKUP(Logfile_S[[#This Row],[DO number]],DO_DB!G:I,3,0)</f>
        <v>45213</v>
      </c>
      <c r="AB1049" s="331" t="b">
        <f>EXACT(Logfile_S[[#This Row],[date pick]],Logfile_S[[#This Row],[Date]])</f>
        <v>1</v>
      </c>
      <c r="AC10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50" spans="1:29" ht="14.5">
      <c r="A1050" s="220" t="str">
        <f>TEXT(ROW(A1050)-ROW($A$4),"000")</f>
        <v>1046</v>
      </c>
      <c r="B1050" s="221"/>
      <c r="C1050" s="221" t="s">
        <v>49</v>
      </c>
      <c r="D1050" s="221" t="s">
        <v>3757</v>
      </c>
      <c r="E1050" s="221" t="s">
        <v>3295</v>
      </c>
      <c r="F1050" s="221" t="s">
        <v>3299</v>
      </c>
      <c r="G1050" s="222">
        <v>45215</v>
      </c>
      <c r="H1050" s="223">
        <v>0.2986111111111111</v>
      </c>
      <c r="I1050" s="221" t="s">
        <v>4916</v>
      </c>
      <c r="J1050" s="221" t="s">
        <v>3023</v>
      </c>
      <c r="K1050" s="224" t="s">
        <v>3069</v>
      </c>
      <c r="L1050" s="225" t="str">
        <f>VLOOKUP(Logfile_S[[#This Row],[Material Name]],Sheet2!B:C,2,0)</f>
        <v>ZTE1001</v>
      </c>
      <c r="M1050" s="225" t="str">
        <f>_xlfn.XLOOKUP(Logfile_S[[#This Row],[Material Name]],Sum_WH!E:E,Sum_WH!F:F,"",0)</f>
        <v>Pcs</v>
      </c>
      <c r="N1050" s="221">
        <v>17</v>
      </c>
      <c r="O1050" s="221" t="s">
        <v>328</v>
      </c>
      <c r="P1050" s="221" t="s">
        <v>329</v>
      </c>
      <c r="Q1050" s="221"/>
      <c r="R1050" s="221"/>
      <c r="S1050" s="221"/>
      <c r="T1050" s="221" t="s">
        <v>3487</v>
      </c>
      <c r="U1050" s="221">
        <v>0</v>
      </c>
      <c r="V1050" s="221" t="s">
        <v>3488</v>
      </c>
      <c r="W1050" s="221" t="s">
        <v>3489</v>
      </c>
      <c r="X1050" s="221"/>
      <c r="Y1050" s="227"/>
      <c r="Z1050" s="227" t="str">
        <f>P1050</f>
        <v>Sukodadi RW 01 Wagir</v>
      </c>
      <c r="AA1050" s="276" t="e">
        <f>VLOOKUP(Logfile_S[[#This Row],[DO number]],DO_DB!G:I,3,0)</f>
        <v>#N/A</v>
      </c>
      <c r="AB1050" s="331" t="e">
        <f>EXACT(Logfile_S[[#This Row],[date pick]],Logfile_S[[#This Row],[Date]])</f>
        <v>#N/A</v>
      </c>
      <c r="AC10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51" spans="1:29" ht="14.5">
      <c r="A1051" s="220" t="str">
        <f>TEXT(ROW(A1051)-ROW($A$4),"000")</f>
        <v>1047</v>
      </c>
      <c r="B1051" s="221"/>
      <c r="C1051" s="221" t="s">
        <v>49</v>
      </c>
      <c r="D1051" s="221" t="s">
        <v>3759</v>
      </c>
      <c r="E1051" s="221" t="s">
        <v>3295</v>
      </c>
      <c r="F1051" s="221" t="s">
        <v>3299</v>
      </c>
      <c r="G1051" s="222">
        <v>45216</v>
      </c>
      <c r="H1051" s="223">
        <v>0.34652777777777777</v>
      </c>
      <c r="I1051" s="221" t="s">
        <v>4916</v>
      </c>
      <c r="J1051" s="221" t="s">
        <v>3023</v>
      </c>
      <c r="K1051" s="224" t="s">
        <v>3069</v>
      </c>
      <c r="L1051" s="225" t="str">
        <f>VLOOKUP(Logfile_S[[#This Row],[Material Name]],Sheet2!B:C,2,0)</f>
        <v>ZTE1001</v>
      </c>
      <c r="M1051" s="225" t="str">
        <f>_xlfn.XLOOKUP(Logfile_S[[#This Row],[Material Name]],Sum_WH!E:E,Sum_WH!F:F,"",0)</f>
        <v>Pcs</v>
      </c>
      <c r="N1051" s="221">
        <v>17</v>
      </c>
      <c r="O1051" s="221" t="s">
        <v>328</v>
      </c>
      <c r="P1051" s="221" t="s">
        <v>329</v>
      </c>
      <c r="Q1051" s="221"/>
      <c r="R1051" s="221"/>
      <c r="S1051" s="221"/>
      <c r="T1051" s="221" t="s">
        <v>3487</v>
      </c>
      <c r="U1051" s="221">
        <v>0</v>
      </c>
      <c r="V1051" s="221" t="s">
        <v>3488</v>
      </c>
      <c r="W1051" s="221" t="s">
        <v>3489</v>
      </c>
      <c r="X1051" s="221"/>
      <c r="Y1051" s="227"/>
      <c r="Z1051" s="227" t="str">
        <f>P1051</f>
        <v>Sukodadi RW 01 Wagir</v>
      </c>
      <c r="AA1051" s="276" t="e">
        <f>VLOOKUP(Logfile_S[[#This Row],[DO number]],DO_DB!G:I,3,0)</f>
        <v>#N/A</v>
      </c>
      <c r="AB1051" s="331" t="e">
        <f>EXACT(Logfile_S[[#This Row],[date pick]],Logfile_S[[#This Row],[Date]])</f>
        <v>#N/A</v>
      </c>
      <c r="AC10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52" spans="1:29" ht="14.5">
      <c r="A1052" s="220" t="str">
        <f>TEXT(ROW(A1052)-ROW($A$4),"000")</f>
        <v>1048</v>
      </c>
      <c r="B1052" s="221"/>
      <c r="C1052" s="221" t="s">
        <v>49</v>
      </c>
      <c r="D1052" s="221" t="s">
        <v>3767</v>
      </c>
      <c r="E1052" s="221" t="s">
        <v>3295</v>
      </c>
      <c r="F1052" s="221" t="s">
        <v>3299</v>
      </c>
      <c r="G1052" s="222">
        <v>45218</v>
      </c>
      <c r="H1052" s="223">
        <v>0.34652777777777777</v>
      </c>
      <c r="I1052" s="221" t="s">
        <v>4916</v>
      </c>
      <c r="J1052" s="221" t="s">
        <v>3023</v>
      </c>
      <c r="K1052" s="224" t="s">
        <v>3069</v>
      </c>
      <c r="L1052" s="225" t="str">
        <f>VLOOKUP(Logfile_S[[#This Row],[Material Name]],Sheet2!B:C,2,0)</f>
        <v>ZTE1001</v>
      </c>
      <c r="M1052" s="225" t="str">
        <f>_xlfn.XLOOKUP(Logfile_S[[#This Row],[Material Name]],Sum_WH!E:E,Sum_WH!F:F,"",0)</f>
        <v>Pcs</v>
      </c>
      <c r="N1052" s="221">
        <v>17</v>
      </c>
      <c r="O1052" s="221" t="s">
        <v>328</v>
      </c>
      <c r="P1052" s="221" t="s">
        <v>329</v>
      </c>
      <c r="Q1052" s="221"/>
      <c r="R1052" s="221"/>
      <c r="S1052" s="221"/>
      <c r="T1052" s="221" t="s">
        <v>3487</v>
      </c>
      <c r="U1052" s="221">
        <v>0</v>
      </c>
      <c r="V1052" s="221" t="s">
        <v>3488</v>
      </c>
      <c r="W1052" s="221" t="s">
        <v>3489</v>
      </c>
      <c r="X1052" s="221"/>
      <c r="Y1052" s="227"/>
      <c r="Z1052" s="227" t="str">
        <f>P1052</f>
        <v>Sukodadi RW 01 Wagir</v>
      </c>
      <c r="AA1052" s="276" t="e">
        <f>VLOOKUP(Logfile_S[[#This Row],[DO number]],DO_DB!G:I,3,0)</f>
        <v>#N/A</v>
      </c>
      <c r="AB1052" s="331" t="e">
        <f>EXACT(Logfile_S[[#This Row],[date pick]],Logfile_S[[#This Row],[Date]])</f>
        <v>#N/A</v>
      </c>
      <c r="AC10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53" spans="1:29" ht="14.5">
      <c r="A1053" s="220" t="str">
        <f>TEXT(ROW(A1053)-ROW($A$4),"000")</f>
        <v>1049</v>
      </c>
      <c r="B1053" s="221"/>
      <c r="C1053" s="221" t="s">
        <v>49</v>
      </c>
      <c r="D1053" s="221" t="s">
        <v>3770</v>
      </c>
      <c r="E1053" s="221" t="s">
        <v>3295</v>
      </c>
      <c r="F1053" s="221" t="s">
        <v>3299</v>
      </c>
      <c r="G1053" s="222">
        <v>45220</v>
      </c>
      <c r="H1053" s="223">
        <v>0.34652777777777777</v>
      </c>
      <c r="I1053" s="221" t="s">
        <v>4916</v>
      </c>
      <c r="J1053" s="221" t="s">
        <v>3023</v>
      </c>
      <c r="K1053" s="224" t="s">
        <v>3069</v>
      </c>
      <c r="L1053" s="225" t="str">
        <f>VLOOKUP(Logfile_S[[#This Row],[Material Name]],Sheet2!B:C,2,0)</f>
        <v>ZTE1001</v>
      </c>
      <c r="M1053" s="225" t="str">
        <f>_xlfn.XLOOKUP(Logfile_S[[#This Row],[Material Name]],Sum_WH!E:E,Sum_WH!F:F,"",0)</f>
        <v>Pcs</v>
      </c>
      <c r="N1053" s="221">
        <v>3</v>
      </c>
      <c r="O1053" s="221" t="s">
        <v>328</v>
      </c>
      <c r="P1053" s="221" t="s">
        <v>329</v>
      </c>
      <c r="Q1053" s="221"/>
      <c r="R1053" s="221"/>
      <c r="S1053" s="221"/>
      <c r="T1053" s="221" t="s">
        <v>3487</v>
      </c>
      <c r="U1053" s="221">
        <v>0</v>
      </c>
      <c r="V1053" s="221" t="s">
        <v>3488</v>
      </c>
      <c r="W1053" s="221" t="s">
        <v>3489</v>
      </c>
      <c r="X1053" s="221"/>
      <c r="Y1053" s="227"/>
      <c r="Z1053" s="227" t="str">
        <f>P1053</f>
        <v>Sukodadi RW 01 Wagir</v>
      </c>
      <c r="AA1053" s="276" t="e">
        <f>VLOOKUP(Logfile_S[[#This Row],[DO number]],DO_DB!G:I,3,0)</f>
        <v>#N/A</v>
      </c>
      <c r="AB1053" s="331" t="e">
        <f>EXACT(Logfile_S[[#This Row],[date pick]],Logfile_S[[#This Row],[Date]])</f>
        <v>#N/A</v>
      </c>
      <c r="AC10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54" spans="1:29" ht="14.5">
      <c r="A1054" s="220" t="str">
        <f>TEXT(ROW(A1054)-ROW($A$4),"000")</f>
        <v>1050</v>
      </c>
      <c r="B1054" s="221"/>
      <c r="C1054" s="221" t="s">
        <v>49</v>
      </c>
      <c r="D1054" s="221" t="s">
        <v>3788</v>
      </c>
      <c r="E1054" s="221" t="s">
        <v>3295</v>
      </c>
      <c r="F1054" s="221" t="s">
        <v>3299</v>
      </c>
      <c r="G1054" s="222">
        <v>45221</v>
      </c>
      <c r="H1054" s="223">
        <v>0.9375</v>
      </c>
      <c r="I1054" s="221" t="s">
        <v>4916</v>
      </c>
      <c r="J1054" s="221" t="s">
        <v>3024</v>
      </c>
      <c r="K1054" s="224" t="s">
        <v>3213</v>
      </c>
      <c r="L1054" s="225" t="str">
        <f>VLOOKUP(Logfile_S[[#This Row],[Material Name]],Sheet2!B:C,2,0)</f>
        <v>GCI1005</v>
      </c>
      <c r="M1054" s="225" t="str">
        <f>_xlfn.XLOOKUP(Logfile_S[[#This Row],[Material Name]],Sum_WH!E:E,Sum_WH!F:F,"",0)</f>
        <v>Pcs</v>
      </c>
      <c r="N1054" s="221">
        <v>17</v>
      </c>
      <c r="O1054" s="221" t="s">
        <v>328</v>
      </c>
      <c r="P1054" s="221" t="s">
        <v>329</v>
      </c>
      <c r="Q1054" s="221"/>
      <c r="R1054" s="221"/>
      <c r="S1054" s="221"/>
      <c r="T1054" s="221" t="s">
        <v>3332</v>
      </c>
      <c r="U1054" s="221">
        <v>0</v>
      </c>
      <c r="V1054" s="221" t="s">
        <v>3333</v>
      </c>
      <c r="W1054" s="221" t="s">
        <v>3334</v>
      </c>
      <c r="X1054" s="221"/>
      <c r="Y1054" s="227"/>
      <c r="Z1054" s="227" t="str">
        <f>P1054</f>
        <v>Sukodadi RW 01 Wagir</v>
      </c>
      <c r="AA1054" s="276" t="e">
        <f>VLOOKUP(Logfile_S[[#This Row],[DO number]],DO_DB!G:I,3,0)</f>
        <v>#N/A</v>
      </c>
      <c r="AB1054" s="331" t="e">
        <f>EXACT(Logfile_S[[#This Row],[date pick]],Logfile_S[[#This Row],[Date]])</f>
        <v>#N/A</v>
      </c>
      <c r="AC10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55" spans="1:29" ht="14.5">
      <c r="A1055" s="220" t="str">
        <f>TEXT(ROW(A1055)-ROW($A$4),"000")</f>
        <v>1051</v>
      </c>
      <c r="B1055" s="221"/>
      <c r="C1055" s="221" t="s">
        <v>49</v>
      </c>
      <c r="D1055" s="221" t="s">
        <v>3788</v>
      </c>
      <c r="E1055" s="221" t="s">
        <v>3295</v>
      </c>
      <c r="F1055" s="221" t="s">
        <v>3299</v>
      </c>
      <c r="G1055" s="222">
        <v>45221</v>
      </c>
      <c r="H1055" s="223">
        <v>0.9375</v>
      </c>
      <c r="I1055" s="221" t="s">
        <v>4916</v>
      </c>
      <c r="J1055" s="221" t="s">
        <v>3024</v>
      </c>
      <c r="K1055" s="224" t="s">
        <v>3087</v>
      </c>
      <c r="L1055" s="225" t="str">
        <f>VLOOKUP(Logfile_S[[#This Row],[Material Name]],Sheet2!B:C,2,0)</f>
        <v>GCI1001</v>
      </c>
      <c r="M1055" s="225" t="str">
        <f>_xlfn.XLOOKUP(Logfile_S[[#This Row],[Material Name]],Sum_WH!E:E,Sum_WH!F:F,"",0)</f>
        <v>Pcs</v>
      </c>
      <c r="N1055" s="221">
        <v>14</v>
      </c>
      <c r="O1055" s="221" t="s">
        <v>328</v>
      </c>
      <c r="P1055" s="221" t="s">
        <v>329</v>
      </c>
      <c r="Q1055" s="221"/>
      <c r="R1055" s="221"/>
      <c r="S1055" s="221"/>
      <c r="T1055" s="221" t="s">
        <v>3332</v>
      </c>
      <c r="U1055" s="221">
        <v>0</v>
      </c>
      <c r="V1055" s="221" t="s">
        <v>3333</v>
      </c>
      <c r="W1055" s="221" t="s">
        <v>3334</v>
      </c>
      <c r="X1055" s="221"/>
      <c r="Y1055" s="227"/>
      <c r="Z1055" s="227" t="str">
        <f>P1055</f>
        <v>Sukodadi RW 01 Wagir</v>
      </c>
      <c r="AA1055" s="276" t="e">
        <f>VLOOKUP(Logfile_S[[#This Row],[DO number]],DO_DB!G:I,3,0)</f>
        <v>#N/A</v>
      </c>
      <c r="AB1055" s="331" t="e">
        <f>EXACT(Logfile_S[[#This Row],[date pick]],Logfile_S[[#This Row],[Date]])</f>
        <v>#N/A</v>
      </c>
      <c r="AC10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56" spans="1:29" ht="14.5">
      <c r="A1056" s="220" t="str">
        <f>TEXT(ROW(A1056)-ROW($A$4),"000")</f>
        <v>1052</v>
      </c>
      <c r="B1056" s="221"/>
      <c r="C1056" s="221" t="s">
        <v>49</v>
      </c>
      <c r="D1056" s="221" t="s">
        <v>3788</v>
      </c>
      <c r="E1056" s="221" t="s">
        <v>3295</v>
      </c>
      <c r="F1056" s="221" t="s">
        <v>3299</v>
      </c>
      <c r="G1056" s="222">
        <v>45221</v>
      </c>
      <c r="H1056" s="223">
        <v>0.9375</v>
      </c>
      <c r="I1056" s="221" t="s">
        <v>4916</v>
      </c>
      <c r="J1056" s="221" t="s">
        <v>3024</v>
      </c>
      <c r="K1056" s="224" t="s">
        <v>5137</v>
      </c>
      <c r="L1056" s="225" t="str">
        <f>VLOOKUP(Logfile_S[[#This Row],[Material Name]],Sheet2!B:C,2,0)</f>
        <v>GCI1009</v>
      </c>
      <c r="M1056" s="225" t="str">
        <f>_xlfn.XLOOKUP(Logfile_S[[#This Row],[Material Name]],Sum_WH!E:E,Sum_WH!F:F,"",0)</f>
        <v>Pcs</v>
      </c>
      <c r="N1056" s="221">
        <v>42</v>
      </c>
      <c r="O1056" s="221" t="s">
        <v>328</v>
      </c>
      <c r="P1056" s="221" t="s">
        <v>329</v>
      </c>
      <c r="Q1056" s="221"/>
      <c r="R1056" s="221"/>
      <c r="S1056" s="221"/>
      <c r="T1056" s="221" t="s">
        <v>3332</v>
      </c>
      <c r="U1056" s="221">
        <v>0</v>
      </c>
      <c r="V1056" s="221" t="s">
        <v>3333</v>
      </c>
      <c r="W1056" s="221" t="s">
        <v>3334</v>
      </c>
      <c r="X1056" s="221"/>
      <c r="Y1056" s="227"/>
      <c r="Z1056" s="227" t="str">
        <f>P1056</f>
        <v>Sukodadi RW 01 Wagir</v>
      </c>
      <c r="AA1056" s="276" t="e">
        <f>VLOOKUP(Logfile_S[[#This Row],[DO number]],DO_DB!G:I,3,0)</f>
        <v>#N/A</v>
      </c>
      <c r="AB1056" s="331" t="e">
        <f>EXACT(Logfile_S[[#This Row],[date pick]],Logfile_S[[#This Row],[Date]])</f>
        <v>#N/A</v>
      </c>
      <c r="AC10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57" spans="1:29" ht="14.5">
      <c r="A1057" s="220" t="str">
        <f>TEXT(ROW(A1057)-ROW($A$4),"000")</f>
        <v>1053</v>
      </c>
      <c r="B1057" s="221"/>
      <c r="C1057" s="221" t="s">
        <v>49</v>
      </c>
      <c r="D1057" s="221" t="s">
        <v>3788</v>
      </c>
      <c r="E1057" s="221" t="s">
        <v>3295</v>
      </c>
      <c r="F1057" s="221" t="s">
        <v>3299</v>
      </c>
      <c r="G1057" s="222">
        <v>45221</v>
      </c>
      <c r="H1057" s="223">
        <v>0.9375</v>
      </c>
      <c r="I1057" s="221" t="s">
        <v>4916</v>
      </c>
      <c r="J1057" s="221" t="s">
        <v>3024</v>
      </c>
      <c r="K1057" s="224" t="s">
        <v>3224</v>
      </c>
      <c r="L1057" s="225" t="str">
        <f>VLOOKUP(Logfile_S[[#This Row],[Material Name]],Sheet2!B:C,2,0)</f>
        <v>GCI1002</v>
      </c>
      <c r="M1057" s="225" t="str">
        <f>_xlfn.XLOOKUP(Logfile_S[[#This Row],[Material Name]],Sum_WH!E:E,Sum_WH!F:F,"",0)</f>
        <v>Pcs</v>
      </c>
      <c r="N1057" s="221">
        <v>1</v>
      </c>
      <c r="O1057" s="221" t="s">
        <v>328</v>
      </c>
      <c r="P1057" s="221" t="s">
        <v>329</v>
      </c>
      <c r="Q1057" s="221"/>
      <c r="R1057" s="221"/>
      <c r="S1057" s="221"/>
      <c r="T1057" s="221" t="s">
        <v>3332</v>
      </c>
      <c r="U1057" s="221">
        <v>0</v>
      </c>
      <c r="V1057" s="221" t="s">
        <v>3333</v>
      </c>
      <c r="W1057" s="221" t="s">
        <v>3334</v>
      </c>
      <c r="X1057" s="221"/>
      <c r="Y1057" s="227"/>
      <c r="Z1057" s="227" t="str">
        <f>P1057</f>
        <v>Sukodadi RW 01 Wagir</v>
      </c>
      <c r="AA1057" s="276" t="e">
        <f>VLOOKUP(Logfile_S[[#This Row],[DO number]],DO_DB!G:I,3,0)</f>
        <v>#N/A</v>
      </c>
      <c r="AB1057" s="331" t="e">
        <f>EXACT(Logfile_S[[#This Row],[date pick]],Logfile_S[[#This Row],[Date]])</f>
        <v>#N/A</v>
      </c>
      <c r="AC10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58" spans="1:29" ht="14.5">
      <c r="A1058" s="220" t="str">
        <f>TEXT(ROW(A1058)-ROW($A$4),"000")</f>
        <v>1054</v>
      </c>
      <c r="B1058" s="221"/>
      <c r="C1058" s="221" t="s">
        <v>49</v>
      </c>
      <c r="D1058" s="221" t="s">
        <v>3788</v>
      </c>
      <c r="E1058" s="221" t="s">
        <v>3295</v>
      </c>
      <c r="F1058" s="221" t="s">
        <v>3299</v>
      </c>
      <c r="G1058" s="222">
        <v>45221</v>
      </c>
      <c r="H1058" s="223">
        <v>0.9375</v>
      </c>
      <c r="I1058" s="221" t="s">
        <v>4916</v>
      </c>
      <c r="J1058" s="221" t="s">
        <v>3024</v>
      </c>
      <c r="K1058" s="224" t="s">
        <v>3230</v>
      </c>
      <c r="L1058" s="225" t="str">
        <f>VLOOKUP(Logfile_S[[#This Row],[Material Name]],Sheet2!B:C,2,0)</f>
        <v>GCI1008</v>
      </c>
      <c r="M1058" s="225" t="str">
        <f>_xlfn.XLOOKUP(Logfile_S[[#This Row],[Material Name]],Sum_WH!E:E,Sum_WH!F:F,"",0)</f>
        <v>Pcs</v>
      </c>
      <c r="N1058" s="221">
        <v>28</v>
      </c>
      <c r="O1058" s="221" t="s">
        <v>328</v>
      </c>
      <c r="P1058" s="221" t="s">
        <v>329</v>
      </c>
      <c r="Q1058" s="221"/>
      <c r="R1058" s="221"/>
      <c r="S1058" s="221"/>
      <c r="T1058" s="221" t="s">
        <v>3332</v>
      </c>
      <c r="U1058" s="221">
        <v>0</v>
      </c>
      <c r="V1058" s="221" t="s">
        <v>3333</v>
      </c>
      <c r="W1058" s="221" t="s">
        <v>3334</v>
      </c>
      <c r="X1058" s="221"/>
      <c r="Y1058" s="227"/>
      <c r="Z1058" s="227" t="str">
        <f>P1058</f>
        <v>Sukodadi RW 01 Wagir</v>
      </c>
      <c r="AA1058" s="276" t="e">
        <f>VLOOKUP(Logfile_S[[#This Row],[DO number]],DO_DB!G:I,3,0)</f>
        <v>#N/A</v>
      </c>
      <c r="AB1058" s="331" t="e">
        <f>EXACT(Logfile_S[[#This Row],[date pick]],Logfile_S[[#This Row],[Date]])</f>
        <v>#N/A</v>
      </c>
      <c r="AC10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59" spans="1:29" ht="14.5">
      <c r="A1059" s="220" t="str">
        <f>TEXT(ROW(A1059)-ROW($A$4),"000")</f>
        <v>1055</v>
      </c>
      <c r="B1059" s="221"/>
      <c r="C1059" s="221" t="s">
        <v>49</v>
      </c>
      <c r="D1059" s="221" t="s">
        <v>3788</v>
      </c>
      <c r="E1059" s="221" t="s">
        <v>3295</v>
      </c>
      <c r="F1059" s="221" t="s">
        <v>3299</v>
      </c>
      <c r="G1059" s="222">
        <v>45221</v>
      </c>
      <c r="H1059" s="223">
        <v>0.9375</v>
      </c>
      <c r="I1059" s="221" t="s">
        <v>4916</v>
      </c>
      <c r="J1059" s="221" t="s">
        <v>3024</v>
      </c>
      <c r="K1059" s="224" t="s">
        <v>3089</v>
      </c>
      <c r="L1059" s="225" t="str">
        <f>VLOOKUP(Logfile_S[[#This Row],[Material Name]],Sheet2!B:C,2,0)</f>
        <v>GCI1003</v>
      </c>
      <c r="M1059" s="225" t="str">
        <f>_xlfn.XLOOKUP(Logfile_S[[#This Row],[Material Name]],Sum_WH!E:E,Sum_WH!F:F,"",0)</f>
        <v>Pcs</v>
      </c>
      <c r="N1059" s="221">
        <v>50</v>
      </c>
      <c r="O1059" s="221" t="s">
        <v>328</v>
      </c>
      <c r="P1059" s="221" t="s">
        <v>329</v>
      </c>
      <c r="Q1059" s="221"/>
      <c r="R1059" s="221"/>
      <c r="S1059" s="221"/>
      <c r="T1059" s="221" t="s">
        <v>3332</v>
      </c>
      <c r="U1059" s="221">
        <v>0</v>
      </c>
      <c r="V1059" s="221" t="s">
        <v>3333</v>
      </c>
      <c r="W1059" s="221" t="s">
        <v>3334</v>
      </c>
      <c r="X1059" s="221"/>
      <c r="Y1059" s="227"/>
      <c r="Z1059" s="227" t="str">
        <f>P1059</f>
        <v>Sukodadi RW 01 Wagir</v>
      </c>
      <c r="AA1059" s="276" t="e">
        <f>VLOOKUP(Logfile_S[[#This Row],[DO number]],DO_DB!G:I,3,0)</f>
        <v>#N/A</v>
      </c>
      <c r="AB1059" s="331" t="e">
        <f>EXACT(Logfile_S[[#This Row],[date pick]],Logfile_S[[#This Row],[Date]])</f>
        <v>#N/A</v>
      </c>
      <c r="AC10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60" spans="1:29" ht="14.5">
      <c r="A1060" s="220" t="str">
        <f>TEXT(ROW(A1060)-ROW($A$4),"000")</f>
        <v>1056</v>
      </c>
      <c r="B1060" s="221"/>
      <c r="C1060" s="221" t="s">
        <v>49</v>
      </c>
      <c r="D1060" s="221" t="s">
        <v>3788</v>
      </c>
      <c r="E1060" s="221" t="s">
        <v>3295</v>
      </c>
      <c r="F1060" s="221" t="s">
        <v>3299</v>
      </c>
      <c r="G1060" s="222">
        <v>45221</v>
      </c>
      <c r="H1060" s="223">
        <v>0.9375</v>
      </c>
      <c r="I1060" s="221" t="s">
        <v>4916</v>
      </c>
      <c r="J1060" s="221" t="s">
        <v>3024</v>
      </c>
      <c r="K1060" s="224" t="s">
        <v>3234</v>
      </c>
      <c r="L1060" s="225" t="str">
        <f>VLOOKUP(Logfile_S[[#This Row],[Material Name]],Sheet2!B:C,2,0)</f>
        <v>GCI1004</v>
      </c>
      <c r="M1060" s="225" t="str">
        <f>_xlfn.XLOOKUP(Logfile_S[[#This Row],[Material Name]],Sum_WH!E:E,Sum_WH!F:F,"",0)</f>
        <v>Pcs</v>
      </c>
      <c r="N1060" s="221">
        <v>18</v>
      </c>
      <c r="O1060" s="221" t="s">
        <v>328</v>
      </c>
      <c r="P1060" s="221" t="s">
        <v>329</v>
      </c>
      <c r="Q1060" s="221"/>
      <c r="R1060" s="221"/>
      <c r="S1060" s="221"/>
      <c r="T1060" s="221" t="s">
        <v>3332</v>
      </c>
      <c r="U1060" s="221">
        <v>0</v>
      </c>
      <c r="V1060" s="221" t="s">
        <v>3333</v>
      </c>
      <c r="W1060" s="221" t="s">
        <v>3334</v>
      </c>
      <c r="X1060" s="221"/>
      <c r="Y1060" s="227"/>
      <c r="Z1060" s="227" t="str">
        <f>P1060</f>
        <v>Sukodadi RW 01 Wagir</v>
      </c>
      <c r="AA1060" s="276" t="e">
        <f>VLOOKUP(Logfile_S[[#This Row],[DO number]],DO_DB!G:I,3,0)</f>
        <v>#N/A</v>
      </c>
      <c r="AB1060" s="331" t="e">
        <f>EXACT(Logfile_S[[#This Row],[date pick]],Logfile_S[[#This Row],[Date]])</f>
        <v>#N/A</v>
      </c>
      <c r="AC10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61" spans="1:29" ht="14.5">
      <c r="A1061" s="220" t="str">
        <f>TEXT(ROW(A1061)-ROW($A$4),"000")</f>
        <v>1057</v>
      </c>
      <c r="B1061" s="221"/>
      <c r="C1061" s="221" t="s">
        <v>49</v>
      </c>
      <c r="D1061" s="221" t="s">
        <v>3790</v>
      </c>
      <c r="E1061" s="221" t="s">
        <v>3295</v>
      </c>
      <c r="F1061" s="221" t="s">
        <v>3299</v>
      </c>
      <c r="G1061" s="222">
        <v>45222</v>
      </c>
      <c r="H1061" s="223">
        <v>0.34652777777777777</v>
      </c>
      <c r="I1061" s="221" t="s">
        <v>4916</v>
      </c>
      <c r="J1061" s="221" t="s">
        <v>3023</v>
      </c>
      <c r="K1061" s="224" t="s">
        <v>3073</v>
      </c>
      <c r="L1061" s="225" t="str">
        <f>VLOOKUP(Logfile_S[[#This Row],[Material Name]],Sheet2!B:C,2,0)</f>
        <v>ZTE2001</v>
      </c>
      <c r="M1061" s="225" t="str">
        <f>_xlfn.XLOOKUP(Logfile_S[[#This Row],[Material Name]],Sum_WH!E:E,Sum_WH!F:F,"",0)</f>
        <v>Meter</v>
      </c>
      <c r="N1061" s="221">
        <v>3000</v>
      </c>
      <c r="O1061" s="221" t="s">
        <v>328</v>
      </c>
      <c r="P1061" s="221" t="s">
        <v>329</v>
      </c>
      <c r="Q1061" s="221"/>
      <c r="R1061" s="221"/>
      <c r="S1061" s="221"/>
      <c r="T1061" s="221" t="s">
        <v>3487</v>
      </c>
      <c r="U1061" s="221" t="s">
        <v>3332</v>
      </c>
      <c r="V1061" s="221" t="s">
        <v>3488</v>
      </c>
      <c r="W1061" s="221" t="s">
        <v>3489</v>
      </c>
      <c r="X1061" s="221" t="s">
        <v>5346</v>
      </c>
      <c r="Y1061" s="227" t="s">
        <v>4987</v>
      </c>
      <c r="Z1061" s="227" t="str">
        <f>P1061</f>
        <v>Sukodadi RW 01 Wagir</v>
      </c>
      <c r="AA1061" s="276" t="e">
        <f>VLOOKUP(Logfile_S[[#This Row],[DO number]],DO_DB!G:I,3,0)</f>
        <v>#N/A</v>
      </c>
      <c r="AB1061" s="331" t="e">
        <f>EXACT(Logfile_S[[#This Row],[date pick]],Logfile_S[[#This Row],[Date]])</f>
        <v>#N/A</v>
      </c>
      <c r="AC10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24C-20231014-01</v>
      </c>
    </row>
    <row r="1062" spans="1:29" ht="14.5">
      <c r="A1062" s="220" t="str">
        <f>TEXT(ROW(A1062)-ROW($A$4),"000")</f>
        <v>1058</v>
      </c>
      <c r="B1062" s="221"/>
      <c r="C1062" s="221" t="s">
        <v>49</v>
      </c>
      <c r="D1062" s="221" t="s">
        <v>3790</v>
      </c>
      <c r="E1062" s="221" t="s">
        <v>3295</v>
      </c>
      <c r="F1062" s="221" t="s">
        <v>3299</v>
      </c>
      <c r="G1062" s="222">
        <v>45222</v>
      </c>
      <c r="H1062" s="223">
        <v>0.34652777777777777</v>
      </c>
      <c r="I1062" s="221" t="s">
        <v>4916</v>
      </c>
      <c r="J1062" s="221" t="s">
        <v>3023</v>
      </c>
      <c r="K1062" s="224" t="s">
        <v>3071</v>
      </c>
      <c r="L1062" s="225" t="str">
        <f>VLOOKUP(Logfile_S[[#This Row],[Material Name]],Sheet2!B:C,2,0)</f>
        <v>ZTE1003</v>
      </c>
      <c r="M1062" s="225" t="str">
        <f>_xlfn.XLOOKUP(Logfile_S[[#This Row],[Material Name]],Sum_WH!E:E,Sum_WH!F:F,"",0)</f>
        <v>Pcs</v>
      </c>
      <c r="N1062" s="221">
        <v>1</v>
      </c>
      <c r="O1062" s="221" t="s">
        <v>328</v>
      </c>
      <c r="P1062" s="221" t="s">
        <v>329</v>
      </c>
      <c r="Q1062" s="221"/>
      <c r="R1062" s="221"/>
      <c r="S1062" s="221"/>
      <c r="T1062" s="221" t="s">
        <v>3487</v>
      </c>
      <c r="U1062" s="221">
        <v>0</v>
      </c>
      <c r="V1062" s="221" t="s">
        <v>3488</v>
      </c>
      <c r="W1062" s="221" t="s">
        <v>3489</v>
      </c>
      <c r="X1062" s="221"/>
      <c r="Y1062" s="227"/>
      <c r="Z1062" s="227" t="str">
        <f>P1062</f>
        <v>Sukodadi RW 01 Wagir</v>
      </c>
      <c r="AA1062" s="276" t="e">
        <f>VLOOKUP(Logfile_S[[#This Row],[DO number]],DO_DB!G:I,3,0)</f>
        <v>#N/A</v>
      </c>
      <c r="AB1062" s="331" t="e">
        <f>EXACT(Logfile_S[[#This Row],[date pick]],Logfile_S[[#This Row],[Date]])</f>
        <v>#N/A</v>
      </c>
      <c r="AC10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63" spans="1:29" ht="14.5">
      <c r="A1063" s="220" t="str">
        <f>TEXT(ROW(A1063)-ROW($A$4),"000")</f>
        <v>1059</v>
      </c>
      <c r="B1063" s="221"/>
      <c r="C1063" s="221" t="s">
        <v>49</v>
      </c>
      <c r="D1063" s="221" t="s">
        <v>3797</v>
      </c>
      <c r="E1063" s="221" t="s">
        <v>3295</v>
      </c>
      <c r="F1063" s="221" t="s">
        <v>3299</v>
      </c>
      <c r="G1063" s="222">
        <v>45224</v>
      </c>
      <c r="H1063" s="223">
        <v>0.52083333333333337</v>
      </c>
      <c r="I1063" s="221" t="s">
        <v>4916</v>
      </c>
      <c r="J1063" s="221" t="s">
        <v>3023</v>
      </c>
      <c r="K1063" s="224" t="s">
        <v>3075</v>
      </c>
      <c r="L1063" s="225" t="str">
        <f>VLOOKUP(Logfile_S[[#This Row],[Material Name]],Sheet2!B:C,2,0)</f>
        <v>ZTE2003</v>
      </c>
      <c r="M1063" s="225" t="str">
        <f>_xlfn.XLOOKUP(Logfile_S[[#This Row],[Material Name]],Sum_WH!E:E,Sum_WH!F:F,"",0)</f>
        <v>Meter</v>
      </c>
      <c r="N1063" s="221">
        <v>3000</v>
      </c>
      <c r="O1063" s="221" t="s">
        <v>328</v>
      </c>
      <c r="P1063" s="221" t="s">
        <v>329</v>
      </c>
      <c r="Q1063" s="221"/>
      <c r="R1063" s="221"/>
      <c r="S1063" s="221"/>
      <c r="T1063" s="221" t="s">
        <v>3346</v>
      </c>
      <c r="U1063" s="221" t="s">
        <v>3332</v>
      </c>
      <c r="V1063" s="221" t="s">
        <v>3347</v>
      </c>
      <c r="W1063" s="221" t="s">
        <v>3387</v>
      </c>
      <c r="X1063" s="221"/>
      <c r="Y1063" s="227" t="s">
        <v>5054</v>
      </c>
      <c r="Z1063" s="227" t="str">
        <f>P1063</f>
        <v>Sukodadi RW 01 Wagir</v>
      </c>
      <c r="AA1063" s="276" t="e">
        <f>VLOOKUP(Logfile_S[[#This Row],[DO number]],DO_DB!G:I,3,0)</f>
        <v>#N/A</v>
      </c>
      <c r="AB1063" s="331" t="e">
        <f>EXACT(Logfile_S[[#This Row],[date pick]],Logfile_S[[#This Row],[Date]])</f>
        <v>#N/A</v>
      </c>
      <c r="AC10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48C-20231014-01</v>
      </c>
    </row>
    <row r="1064" spans="1:29" ht="14.5">
      <c r="A1064" s="220" t="str">
        <f>TEXT(ROW(A1064)-ROW($A$4),"000")</f>
        <v>1060</v>
      </c>
      <c r="B1064" s="221"/>
      <c r="C1064" s="221" t="s">
        <v>49</v>
      </c>
      <c r="D1064" s="221" t="s">
        <v>3801</v>
      </c>
      <c r="E1064" s="221" t="s">
        <v>3295</v>
      </c>
      <c r="F1064" s="221" t="s">
        <v>3299</v>
      </c>
      <c r="G1064" s="222">
        <v>45228</v>
      </c>
      <c r="H1064" s="223">
        <v>0.9375</v>
      </c>
      <c r="I1064" s="221" t="s">
        <v>4916</v>
      </c>
      <c r="J1064" s="221" t="s">
        <v>3023</v>
      </c>
      <c r="K1064" s="224" t="s">
        <v>13</v>
      </c>
      <c r="L1064" s="225" t="str">
        <f>VLOOKUP(Logfile_S[[#This Row],[Material Name]],Sheet2!B:C,2,0)</f>
        <v>ZTE2008</v>
      </c>
      <c r="M1064" s="225" t="str">
        <f>_xlfn.XLOOKUP(Logfile_S[[#This Row],[Material Name]],Sum_WH!E:E,Sum_WH!F:F,"",0)</f>
        <v>Pcs</v>
      </c>
      <c r="N1064" s="221">
        <v>8</v>
      </c>
      <c r="O1064" s="221" t="s">
        <v>328</v>
      </c>
      <c r="P1064" s="221" t="s">
        <v>329</v>
      </c>
      <c r="Q1064" s="221"/>
      <c r="R1064" s="221"/>
      <c r="S1064" s="221"/>
      <c r="T1064" s="221" t="s">
        <v>3332</v>
      </c>
      <c r="U1064" s="221">
        <v>0</v>
      </c>
      <c r="V1064" s="221" t="s">
        <v>3333</v>
      </c>
      <c r="W1064" s="221" t="s">
        <v>3334</v>
      </c>
      <c r="X1064" s="221"/>
      <c r="Y1064" s="227"/>
      <c r="Z1064" s="227" t="str">
        <f>P1064</f>
        <v>Sukodadi RW 01 Wagir</v>
      </c>
      <c r="AA1064" s="276" t="e">
        <f>VLOOKUP(Logfile_S[[#This Row],[DO number]],DO_DB!G:I,3,0)</f>
        <v>#N/A</v>
      </c>
      <c r="AB1064" s="331" t="e">
        <f>EXACT(Logfile_S[[#This Row],[date pick]],Logfile_S[[#This Row],[Date]])</f>
        <v>#N/A</v>
      </c>
      <c r="AC10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65" spans="1:29" ht="14.5">
      <c r="A1065" s="220" t="str">
        <f>TEXT(ROW(A1065)-ROW($A$4),"000")</f>
        <v>1061</v>
      </c>
      <c r="B1065" s="221"/>
      <c r="C1065" s="221" t="s">
        <v>49</v>
      </c>
      <c r="D1065" s="221" t="s">
        <v>3801</v>
      </c>
      <c r="E1065" s="221" t="s">
        <v>3295</v>
      </c>
      <c r="F1065" s="221" t="s">
        <v>3299</v>
      </c>
      <c r="G1065" s="222">
        <v>45228</v>
      </c>
      <c r="H1065" s="223">
        <v>0.9375</v>
      </c>
      <c r="I1065" s="221" t="s">
        <v>4916</v>
      </c>
      <c r="J1065" s="221" t="s">
        <v>3023</v>
      </c>
      <c r="K1065" s="224" t="s">
        <v>14</v>
      </c>
      <c r="L1065" s="225" t="str">
        <f>VLOOKUP(Logfile_S[[#This Row],[Material Name]],Sheet2!B:C,2,0)</f>
        <v>ZTE2005</v>
      </c>
      <c r="M1065" s="225" t="str">
        <f>_xlfn.XLOOKUP(Logfile_S[[#This Row],[Material Name]],Sum_WH!E:E,Sum_WH!F:F,"",0)</f>
        <v>Pcs</v>
      </c>
      <c r="N1065" s="221">
        <v>1</v>
      </c>
      <c r="O1065" s="221" t="s">
        <v>328</v>
      </c>
      <c r="P1065" s="221" t="s">
        <v>329</v>
      </c>
      <c r="Q1065" s="221"/>
      <c r="R1065" s="221"/>
      <c r="S1065" s="221"/>
      <c r="T1065" s="221" t="s">
        <v>3332</v>
      </c>
      <c r="U1065" s="221">
        <v>0</v>
      </c>
      <c r="V1065" s="221" t="s">
        <v>3333</v>
      </c>
      <c r="W1065" s="221" t="s">
        <v>3334</v>
      </c>
      <c r="X1065" s="221"/>
      <c r="Y1065" s="227"/>
      <c r="Z1065" s="227" t="str">
        <f>P1065</f>
        <v>Sukodadi RW 01 Wagir</v>
      </c>
      <c r="AA1065" s="276" t="e">
        <f>VLOOKUP(Logfile_S[[#This Row],[DO number]],DO_DB!G:I,3,0)</f>
        <v>#N/A</v>
      </c>
      <c r="AB1065" s="331" t="e">
        <f>EXACT(Logfile_S[[#This Row],[date pick]],Logfile_S[[#This Row],[Date]])</f>
        <v>#N/A</v>
      </c>
      <c r="AC10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66" spans="1:29" ht="14.5">
      <c r="A1066" s="220" t="str">
        <f>TEXT(ROW(A1066)-ROW($A$4),"000")</f>
        <v>1062</v>
      </c>
      <c r="B1066" s="221"/>
      <c r="C1066" s="221" t="s">
        <v>49</v>
      </c>
      <c r="D1066" s="221" t="s">
        <v>3801</v>
      </c>
      <c r="E1066" s="221" t="s">
        <v>3295</v>
      </c>
      <c r="F1066" s="221" t="s">
        <v>3299</v>
      </c>
      <c r="G1066" s="222">
        <v>45228</v>
      </c>
      <c r="H1066" s="223">
        <v>0.9375</v>
      </c>
      <c r="I1066" s="221" t="s">
        <v>4916</v>
      </c>
      <c r="J1066" s="221" t="s">
        <v>3023</v>
      </c>
      <c r="K1066" s="224" t="s">
        <v>3072</v>
      </c>
      <c r="L1066" s="225" t="str">
        <f>VLOOKUP(Logfile_S[[#This Row],[Material Name]],Sheet2!B:C,2,0)</f>
        <v>ZTE1004</v>
      </c>
      <c r="M1066" s="225" t="str">
        <f>_xlfn.XLOOKUP(Logfile_S[[#This Row],[Material Name]],Sum_WH!E:E,Sum_WH!F:F,"",0)</f>
        <v>Pcs</v>
      </c>
      <c r="N1066" s="221">
        <v>1</v>
      </c>
      <c r="O1066" s="221" t="s">
        <v>328</v>
      </c>
      <c r="P1066" s="221" t="s">
        <v>329</v>
      </c>
      <c r="Q1066" s="221"/>
      <c r="R1066" s="221"/>
      <c r="S1066" s="221"/>
      <c r="T1066" s="221" t="s">
        <v>3332</v>
      </c>
      <c r="U1066" s="221">
        <v>0</v>
      </c>
      <c r="V1066" s="221" t="s">
        <v>3333</v>
      </c>
      <c r="W1066" s="221" t="s">
        <v>3334</v>
      </c>
      <c r="X1066" s="221"/>
      <c r="Y1066" s="227"/>
      <c r="Z1066" s="227" t="str">
        <f>P1066</f>
        <v>Sukodadi RW 01 Wagir</v>
      </c>
      <c r="AA1066" s="276" t="e">
        <f>VLOOKUP(Logfile_S[[#This Row],[DO number]],DO_DB!G:I,3,0)</f>
        <v>#N/A</v>
      </c>
      <c r="AB1066" s="331" t="e">
        <f>EXACT(Logfile_S[[#This Row],[date pick]],Logfile_S[[#This Row],[Date]])</f>
        <v>#N/A</v>
      </c>
      <c r="AC10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67" spans="1:29" ht="14.5">
      <c r="A1067" s="220" t="str">
        <f>TEXT(ROW(A1067)-ROW($A$4),"000")</f>
        <v>1063</v>
      </c>
      <c r="B1067" s="221"/>
      <c r="C1067" s="221" t="s">
        <v>49</v>
      </c>
      <c r="D1067" s="221" t="s">
        <v>3805</v>
      </c>
      <c r="E1067" s="221" t="s">
        <v>3295</v>
      </c>
      <c r="F1067" s="221" t="s">
        <v>3299</v>
      </c>
      <c r="G1067" s="222">
        <v>45244</v>
      </c>
      <c r="H1067" s="223">
        <v>0.75069444444444444</v>
      </c>
      <c r="I1067" s="221" t="s">
        <v>4916</v>
      </c>
      <c r="J1067" s="221" t="s">
        <v>3024</v>
      </c>
      <c r="K1067" s="224" t="s">
        <v>3097</v>
      </c>
      <c r="L1067" s="225" t="str">
        <f>VLOOKUP(Logfile_S[[#This Row],[Material Name]],Sheet2!B:C,2,0)</f>
        <v>GCI1011</v>
      </c>
      <c r="M1067" s="225" t="str">
        <f>_xlfn.XLOOKUP(Logfile_S[[#This Row],[Material Name]],Sum_WH!E:E,Sum_WH!F:F,"",0)</f>
        <v>Pcs</v>
      </c>
      <c r="N1067" s="221">
        <v>0</v>
      </c>
      <c r="O1067" s="221" t="s">
        <v>328</v>
      </c>
      <c r="P1067" s="221" t="s">
        <v>329</v>
      </c>
      <c r="Q1067" s="221"/>
      <c r="R1067" s="221"/>
      <c r="S1067" s="221"/>
      <c r="T1067" s="221" t="s">
        <v>3332</v>
      </c>
      <c r="U1067" s="221">
        <v>0</v>
      </c>
      <c r="V1067" s="221">
        <v>0</v>
      </c>
      <c r="W1067" s="221" t="s">
        <v>3460</v>
      </c>
      <c r="X1067" s="221" t="s">
        <v>3461</v>
      </c>
      <c r="Y1067" s="227"/>
      <c r="Z1067" s="227" t="str">
        <f>P1067</f>
        <v>Sukodadi RW 01 Wagir</v>
      </c>
      <c r="AA1067" s="276" t="e">
        <f>VLOOKUP(Logfile_S[[#This Row],[DO number]],DO_DB!G:I,3,0)</f>
        <v>#N/A</v>
      </c>
      <c r="AB1067" s="331" t="e">
        <f>EXACT(Logfile_S[[#This Row],[date pick]],Logfile_S[[#This Row],[Date]])</f>
        <v>#N/A</v>
      </c>
      <c r="AC10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68" spans="1:29" ht="14.5">
      <c r="A1068" s="220" t="str">
        <f>TEXT(ROW(A1068)-ROW($A$4),"000")</f>
        <v>1064</v>
      </c>
      <c r="B1068" s="221"/>
      <c r="C1068" s="221" t="s">
        <v>49</v>
      </c>
      <c r="D1068" s="221" t="s">
        <v>3808</v>
      </c>
      <c r="E1068" s="221" t="s">
        <v>3295</v>
      </c>
      <c r="F1068" s="221" t="s">
        <v>3299</v>
      </c>
      <c r="G1068" s="222">
        <v>45246</v>
      </c>
      <c r="H1068" s="223">
        <v>0.60763888888888895</v>
      </c>
      <c r="I1068" s="221" t="s">
        <v>4916</v>
      </c>
      <c r="J1068" s="221" t="s">
        <v>3024</v>
      </c>
      <c r="K1068" s="224" t="s">
        <v>3101</v>
      </c>
      <c r="L1068" s="225" t="str">
        <f>VLOOKUP(Logfile_S[[#This Row],[Material Name]],Sheet2!B:C,2,0)</f>
        <v>GCI1015</v>
      </c>
      <c r="M1068" s="225" t="str">
        <f>_xlfn.XLOOKUP(Logfile_S[[#This Row],[Material Name]],Sum_WH!E:E,Sum_WH!F:F,"",0)</f>
        <v>Pcs</v>
      </c>
      <c r="N1068" s="221">
        <v>35</v>
      </c>
      <c r="O1068" s="221" t="s">
        <v>328</v>
      </c>
      <c r="P1068" s="221" t="s">
        <v>329</v>
      </c>
      <c r="Q1068" s="221"/>
      <c r="R1068" s="221"/>
      <c r="S1068" s="221"/>
      <c r="T1068" s="221" t="s">
        <v>3332</v>
      </c>
      <c r="U1068" s="221">
        <v>0</v>
      </c>
      <c r="V1068" s="221" t="s">
        <v>3333</v>
      </c>
      <c r="W1068" s="221" t="s">
        <v>3334</v>
      </c>
      <c r="X1068" s="221"/>
      <c r="Y1068" s="227"/>
      <c r="Z1068" s="227" t="str">
        <f>P1068</f>
        <v>Sukodadi RW 01 Wagir</v>
      </c>
      <c r="AA1068" s="276" t="e">
        <f>VLOOKUP(Logfile_S[[#This Row],[DO number]],DO_DB!G:I,3,0)</f>
        <v>#N/A</v>
      </c>
      <c r="AB1068" s="331" t="e">
        <f>EXACT(Logfile_S[[#This Row],[date pick]],Logfile_S[[#This Row],[Date]])</f>
        <v>#N/A</v>
      </c>
      <c r="AC10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69" spans="1:29" ht="14.5">
      <c r="A1069" s="220" t="str">
        <f>TEXT(ROW(A1069)-ROW($A$4),"000")</f>
        <v>1065</v>
      </c>
      <c r="B1069" s="221"/>
      <c r="C1069" s="221" t="s">
        <v>48</v>
      </c>
      <c r="D1069" s="221" t="s">
        <v>3826</v>
      </c>
      <c r="E1069" s="221" t="s">
        <v>3295</v>
      </c>
      <c r="F1069" s="221" t="s">
        <v>3299</v>
      </c>
      <c r="G1069" s="222">
        <v>45261</v>
      </c>
      <c r="H1069" s="223">
        <v>15.291666666666666</v>
      </c>
      <c r="I1069" s="221" t="s">
        <v>3586</v>
      </c>
      <c r="J1069" s="221" t="s">
        <v>3024</v>
      </c>
      <c r="K1069" s="224" t="s">
        <v>3101</v>
      </c>
      <c r="L1069" s="225" t="str">
        <f>VLOOKUP(Logfile_S[[#This Row],[Material Name]],Sheet2!B:C,2,0)</f>
        <v>GCI1015</v>
      </c>
      <c r="M1069" s="225" t="str">
        <f>_xlfn.XLOOKUP(Logfile_S[[#This Row],[Material Name]],Sum_WH!E:E,Sum_WH!F:F,"",0)</f>
        <v>Pcs</v>
      </c>
      <c r="N1069" s="221">
        <v>15</v>
      </c>
      <c r="O1069" s="221" t="s">
        <v>328</v>
      </c>
      <c r="P1069" s="221" t="s">
        <v>329</v>
      </c>
      <c r="Q1069" s="221">
        <v>0</v>
      </c>
      <c r="R1069" s="221">
        <v>0</v>
      </c>
      <c r="S1069" s="221"/>
      <c r="T1069" s="221"/>
      <c r="U1069" s="221"/>
      <c r="V1069" s="221"/>
      <c r="W1069" s="221"/>
      <c r="X1069" s="221" t="s">
        <v>3219</v>
      </c>
      <c r="Y1069" s="227"/>
      <c r="Z1069" s="227" t="str">
        <f>P1069</f>
        <v>Sukodadi RW 01 Wagir</v>
      </c>
      <c r="AA1069" s="276" t="e">
        <f>VLOOKUP(Logfile_S[[#This Row],[DO number]],DO_DB!G:I,3,0)</f>
        <v>#N/A</v>
      </c>
      <c r="AB1069" s="331" t="e">
        <f>EXACT(Logfile_S[[#This Row],[date pick]],Logfile_S[[#This Row],[Date]])</f>
        <v>#N/A</v>
      </c>
      <c r="AC10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70" spans="1:29" ht="14.5">
      <c r="A1070" s="220" t="str">
        <f>TEXT(ROW(A1070)-ROW($A$4),"000")</f>
        <v>1066</v>
      </c>
      <c r="B1070" s="221"/>
      <c r="C1070" s="221" t="s">
        <v>49</v>
      </c>
      <c r="D1070" s="221" t="s">
        <v>3835</v>
      </c>
      <c r="E1070" s="221" t="s">
        <v>3295</v>
      </c>
      <c r="F1070" s="221" t="s">
        <v>3299</v>
      </c>
      <c r="G1070" s="222">
        <v>45275</v>
      </c>
      <c r="H1070" s="223">
        <v>0.44097222222222227</v>
      </c>
      <c r="I1070" s="221" t="s">
        <v>4916</v>
      </c>
      <c r="J1070" s="221" t="s">
        <v>3024</v>
      </c>
      <c r="K1070" s="224" t="s">
        <v>3213</v>
      </c>
      <c r="L1070" s="225" t="str">
        <f>VLOOKUP(Logfile_S[[#This Row],[Material Name]],Sheet2!B:C,2,0)</f>
        <v>GCI1005</v>
      </c>
      <c r="M1070" s="225" t="str">
        <f>_xlfn.XLOOKUP(Logfile_S[[#This Row],[Material Name]],Sum_WH!E:E,Sum_WH!F:F,"",0)</f>
        <v>Pcs</v>
      </c>
      <c r="N1070" s="221">
        <v>20</v>
      </c>
      <c r="O1070" s="221" t="s">
        <v>328</v>
      </c>
      <c r="P1070" s="221" t="s">
        <v>329</v>
      </c>
      <c r="Q1070" s="221"/>
      <c r="R1070" s="221"/>
      <c r="S1070" s="221"/>
      <c r="T1070" s="221" t="s">
        <v>3351</v>
      </c>
      <c r="U1070" s="221">
        <v>0</v>
      </c>
      <c r="V1070" s="221" t="s">
        <v>3352</v>
      </c>
      <c r="W1070" s="221" t="s">
        <v>3353</v>
      </c>
      <c r="X1070" s="221"/>
      <c r="Y1070" s="227"/>
      <c r="Z1070" s="227" t="str">
        <f>P1070</f>
        <v>Sukodadi RW 01 Wagir</v>
      </c>
      <c r="AA1070" s="276" t="e">
        <f>VLOOKUP(Logfile_S[[#This Row],[DO number]],DO_DB!G:I,3,0)</f>
        <v>#N/A</v>
      </c>
      <c r="AB1070" s="331" t="e">
        <f>EXACT(Logfile_S[[#This Row],[date pick]],Logfile_S[[#This Row],[Date]])</f>
        <v>#N/A</v>
      </c>
      <c r="AC10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71" spans="1:29" ht="14.5">
      <c r="A1071" s="220" t="str">
        <f>TEXT(ROW(A1071)-ROW($A$4),"000")</f>
        <v>1067</v>
      </c>
      <c r="B1071" s="221"/>
      <c r="C1071" s="221" t="s">
        <v>49</v>
      </c>
      <c r="D1071" s="221" t="s">
        <v>3835</v>
      </c>
      <c r="E1071" s="221" t="s">
        <v>3295</v>
      </c>
      <c r="F1071" s="221" t="s">
        <v>3299</v>
      </c>
      <c r="G1071" s="222">
        <v>45275</v>
      </c>
      <c r="H1071" s="223">
        <v>0.44097222222222227</v>
      </c>
      <c r="I1071" s="221" t="s">
        <v>4916</v>
      </c>
      <c r="J1071" s="221" t="s">
        <v>3024</v>
      </c>
      <c r="K1071" s="224" t="s">
        <v>5137</v>
      </c>
      <c r="L1071" s="225" t="str">
        <f>VLOOKUP(Logfile_S[[#This Row],[Material Name]],Sheet2!B:C,2,0)</f>
        <v>GCI1009</v>
      </c>
      <c r="M1071" s="225" t="str">
        <f>_xlfn.XLOOKUP(Logfile_S[[#This Row],[Material Name]],Sum_WH!E:E,Sum_WH!F:F,"",0)</f>
        <v>Pcs</v>
      </c>
      <c r="N1071" s="221">
        <v>5</v>
      </c>
      <c r="O1071" s="221" t="s">
        <v>328</v>
      </c>
      <c r="P1071" s="221" t="s">
        <v>329</v>
      </c>
      <c r="Q1071" s="221"/>
      <c r="R1071" s="221"/>
      <c r="S1071" s="221"/>
      <c r="T1071" s="221" t="s">
        <v>3351</v>
      </c>
      <c r="U1071" s="221">
        <v>0</v>
      </c>
      <c r="V1071" s="221" t="s">
        <v>3352</v>
      </c>
      <c r="W1071" s="221" t="s">
        <v>3353</v>
      </c>
      <c r="X1071" s="221"/>
      <c r="Y1071" s="227"/>
      <c r="Z1071" s="227" t="str">
        <f>P1071</f>
        <v>Sukodadi RW 01 Wagir</v>
      </c>
      <c r="AA1071" s="276" t="e">
        <f>VLOOKUP(Logfile_S[[#This Row],[DO number]],DO_DB!G:I,3,0)</f>
        <v>#N/A</v>
      </c>
      <c r="AB1071" s="331" t="e">
        <f>EXACT(Logfile_S[[#This Row],[date pick]],Logfile_S[[#This Row],[Date]])</f>
        <v>#N/A</v>
      </c>
      <c r="AC10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72" spans="1:29" ht="14.5">
      <c r="A1072" s="220" t="str">
        <f>TEXT(ROW(A1072)-ROW($A$4),"000")</f>
        <v>1068</v>
      </c>
      <c r="B1072" s="221"/>
      <c r="C1072" s="221" t="s">
        <v>49</v>
      </c>
      <c r="D1072" s="221" t="s">
        <v>3835</v>
      </c>
      <c r="E1072" s="221" t="s">
        <v>3295</v>
      </c>
      <c r="F1072" s="221" t="s">
        <v>3299</v>
      </c>
      <c r="G1072" s="222">
        <v>45275</v>
      </c>
      <c r="H1072" s="223">
        <v>0.44097222222222227</v>
      </c>
      <c r="I1072" s="221" t="s">
        <v>4916</v>
      </c>
      <c r="J1072" s="221" t="s">
        <v>3023</v>
      </c>
      <c r="K1072" s="224" t="s">
        <v>3071</v>
      </c>
      <c r="L1072" s="225" t="str">
        <f>VLOOKUP(Logfile_S[[#This Row],[Material Name]],Sheet2!B:C,2,0)</f>
        <v>ZTE1003</v>
      </c>
      <c r="M1072" s="225" t="str">
        <f>_xlfn.XLOOKUP(Logfile_S[[#This Row],[Material Name]],Sum_WH!E:E,Sum_WH!F:F,"",0)</f>
        <v>Pcs</v>
      </c>
      <c r="N1072" s="221">
        <v>1</v>
      </c>
      <c r="O1072" s="221" t="s">
        <v>328</v>
      </c>
      <c r="P1072" s="221" t="s">
        <v>329</v>
      </c>
      <c r="Q1072" s="221"/>
      <c r="R1072" s="221"/>
      <c r="S1072" s="221"/>
      <c r="T1072" s="221" t="s">
        <v>3351</v>
      </c>
      <c r="U1072" s="221">
        <v>0</v>
      </c>
      <c r="V1072" s="221" t="s">
        <v>3352</v>
      </c>
      <c r="W1072" s="221" t="s">
        <v>3353</v>
      </c>
      <c r="X1072" s="221"/>
      <c r="Y1072" s="227"/>
      <c r="Z1072" s="227" t="str">
        <f>P1072</f>
        <v>Sukodadi RW 01 Wagir</v>
      </c>
      <c r="AA1072" s="276" t="e">
        <f>VLOOKUP(Logfile_S[[#This Row],[DO number]],DO_DB!G:I,3,0)</f>
        <v>#N/A</v>
      </c>
      <c r="AB1072" s="331" t="e">
        <f>EXACT(Logfile_S[[#This Row],[date pick]],Logfile_S[[#This Row],[Date]])</f>
        <v>#N/A</v>
      </c>
      <c r="AC10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73" spans="1:29" ht="14.5">
      <c r="A1073" s="220" t="str">
        <f>TEXT(ROW(A1073)-ROW($A$4),"000")</f>
        <v>1069</v>
      </c>
      <c r="B1073" s="221"/>
      <c r="C1073" s="221" t="s">
        <v>49</v>
      </c>
      <c r="D1073" s="221" t="s">
        <v>3835</v>
      </c>
      <c r="E1073" s="221" t="s">
        <v>3295</v>
      </c>
      <c r="F1073" s="221" t="s">
        <v>3299</v>
      </c>
      <c r="G1073" s="222">
        <v>45275</v>
      </c>
      <c r="H1073" s="223">
        <v>0.44097222222222227</v>
      </c>
      <c r="I1073" s="221" t="s">
        <v>4916</v>
      </c>
      <c r="J1073" s="221" t="s">
        <v>3024</v>
      </c>
      <c r="K1073" s="224" t="s">
        <v>3215</v>
      </c>
      <c r="L1073" s="225" t="str">
        <f>VLOOKUP(Logfile_S[[#This Row],[Material Name]],Sheet2!B:C,2,0)</f>
        <v>GCI1008</v>
      </c>
      <c r="M1073" s="225" t="str">
        <f>_xlfn.XLOOKUP(Logfile_S[[#This Row],[Material Name]],Sum_WH!E:E,Sum_WH!F:F,"",0)</f>
        <v>Pcs</v>
      </c>
      <c r="N1073" s="221">
        <v>4</v>
      </c>
      <c r="O1073" s="221" t="s">
        <v>328</v>
      </c>
      <c r="P1073" s="221" t="s">
        <v>329</v>
      </c>
      <c r="Q1073" s="221"/>
      <c r="R1073" s="221"/>
      <c r="S1073" s="221"/>
      <c r="T1073" s="221" t="s">
        <v>3351</v>
      </c>
      <c r="U1073" s="221">
        <v>0</v>
      </c>
      <c r="V1073" s="221" t="s">
        <v>3352</v>
      </c>
      <c r="W1073" s="221" t="s">
        <v>3353</v>
      </c>
      <c r="X1073" s="221"/>
      <c r="Y1073" s="227"/>
      <c r="Z1073" s="227" t="str">
        <f>P1073</f>
        <v>Sukodadi RW 01 Wagir</v>
      </c>
      <c r="AA1073" s="276" t="e">
        <f>VLOOKUP(Logfile_S[[#This Row],[DO number]],DO_DB!G:I,3,0)</f>
        <v>#N/A</v>
      </c>
      <c r="AB1073" s="331" t="e">
        <f>EXACT(Logfile_S[[#This Row],[date pick]],Logfile_S[[#This Row],[Date]])</f>
        <v>#N/A</v>
      </c>
      <c r="AC10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74" spans="1:29" ht="14.5">
      <c r="A1074" s="220" t="str">
        <f>TEXT(ROW(A1074)-ROW($A$4),"000")</f>
        <v>1070</v>
      </c>
      <c r="B1074" s="221"/>
      <c r="C1074" s="221" t="s">
        <v>49</v>
      </c>
      <c r="D1074" s="221" t="s">
        <v>3792</v>
      </c>
      <c r="E1074" s="221" t="s">
        <v>3295</v>
      </c>
      <c r="F1074" s="221" t="s">
        <v>3299</v>
      </c>
      <c r="G1074" s="222">
        <v>45222</v>
      </c>
      <c r="H1074" s="223">
        <v>0.34652777777777777</v>
      </c>
      <c r="I1074" s="221" t="s">
        <v>4916</v>
      </c>
      <c r="J1074" s="221" t="s">
        <v>3023</v>
      </c>
      <c r="K1074" s="224" t="s">
        <v>3073</v>
      </c>
      <c r="L1074" s="225" t="str">
        <f>VLOOKUP(Logfile_S[[#This Row],[Material Name]],Sheet2!B:C,2,0)</f>
        <v>ZTE2001</v>
      </c>
      <c r="M1074" s="225" t="str">
        <f>_xlfn.XLOOKUP(Logfile_S[[#This Row],[Material Name]],Sum_WH!E:E,Sum_WH!F:F,"",0)</f>
        <v>Meter</v>
      </c>
      <c r="N1074" s="221">
        <v>3000</v>
      </c>
      <c r="O1074" s="221" t="s">
        <v>332</v>
      </c>
      <c r="P1074" s="221" t="s">
        <v>337</v>
      </c>
      <c r="Q1074" s="221"/>
      <c r="R1074" s="221"/>
      <c r="S1074" s="221"/>
      <c r="T1074" s="221" t="s">
        <v>3487</v>
      </c>
      <c r="U1074" s="221" t="s">
        <v>3332</v>
      </c>
      <c r="V1074" s="221" t="s">
        <v>3488</v>
      </c>
      <c r="W1074" s="221" t="s">
        <v>3489</v>
      </c>
      <c r="X1074" s="221" t="s">
        <v>3793</v>
      </c>
      <c r="Y1074" s="227" t="s">
        <v>4988</v>
      </c>
      <c r="Z1074" s="227" t="str">
        <f>P1074</f>
        <v>Sidorahayu RW 02 Wagir</v>
      </c>
      <c r="AA1074" s="276" t="e">
        <f>VLOOKUP(Logfile_S[[#This Row],[DO number]],DO_DB!G:I,3,0)</f>
        <v>#N/A</v>
      </c>
      <c r="AB1074" s="331" t="e">
        <f>EXACT(Logfile_S[[#This Row],[date pick]],Logfile_S[[#This Row],[Date]])</f>
        <v>#N/A</v>
      </c>
      <c r="AC10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24C-20231014-02</v>
      </c>
    </row>
    <row r="1075" spans="1:29" ht="14.5">
      <c r="A1075" s="220" t="str">
        <f>TEXT(ROW(A1075)-ROW($A$4),"000")</f>
        <v>1071</v>
      </c>
      <c r="B1075" s="221"/>
      <c r="C1075" s="221" t="s">
        <v>48</v>
      </c>
      <c r="D1075" s="221" t="s">
        <v>3754</v>
      </c>
      <c r="E1075" s="221" t="s">
        <v>3295</v>
      </c>
      <c r="F1075" s="221" t="s">
        <v>3299</v>
      </c>
      <c r="G1075" s="222">
        <v>45213</v>
      </c>
      <c r="H1075" s="223">
        <v>15.291666666666666</v>
      </c>
      <c r="I1075" s="221" t="s">
        <v>37</v>
      </c>
      <c r="J1075" s="221" t="s">
        <v>3023</v>
      </c>
      <c r="K1075" s="224" t="s">
        <v>3211</v>
      </c>
      <c r="L1075" s="225" t="str">
        <f>VLOOKUP(Logfile_S[[#This Row],[Material Name]],Sheet2!B:C,2,0)</f>
        <v>ZTE1002</v>
      </c>
      <c r="M1075" s="225" t="str">
        <f>_xlfn.XLOOKUP(Logfile_S[[#This Row],[Material Name]],Sum_WH!E:E,Sum_WH!F:F,"",0)</f>
        <v>Pcs</v>
      </c>
      <c r="N1075" s="221">
        <v>2</v>
      </c>
      <c r="O1075" s="221" t="s">
        <v>332</v>
      </c>
      <c r="P1075" s="221" t="s">
        <v>333</v>
      </c>
      <c r="Q1075" s="221" t="s">
        <v>350</v>
      </c>
      <c r="R1075" s="221" t="s">
        <v>351</v>
      </c>
      <c r="S1075" s="221"/>
      <c r="T1075" s="221"/>
      <c r="U1075" s="221"/>
      <c r="V1075" s="221"/>
      <c r="W1075" s="221"/>
      <c r="X1075" s="221"/>
      <c r="Y1075" s="227"/>
      <c r="Z1075" s="227" t="str">
        <f>P1075</f>
        <v>Sukodadi RW 02 Wagir</v>
      </c>
      <c r="AA1075" s="276">
        <f>VLOOKUP(Logfile_S[[#This Row],[DO number]],DO_DB!G:I,3,0)</f>
        <v>45213</v>
      </c>
      <c r="AB1075" s="331" t="b">
        <f>EXACT(Logfile_S[[#This Row],[date pick]],Logfile_S[[#This Row],[Date]])</f>
        <v>1</v>
      </c>
      <c r="AC10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76" spans="1:29" ht="14.5">
      <c r="A1076" s="220" t="str">
        <f>TEXT(ROW(A1076)-ROW($A$4),"000")</f>
        <v>1072</v>
      </c>
      <c r="B1076" s="221"/>
      <c r="C1076" s="221" t="s">
        <v>48</v>
      </c>
      <c r="D1076" s="221" t="s">
        <v>3754</v>
      </c>
      <c r="E1076" s="221" t="s">
        <v>3295</v>
      </c>
      <c r="F1076" s="221" t="s">
        <v>3299</v>
      </c>
      <c r="G1076" s="222">
        <v>45213</v>
      </c>
      <c r="H1076" s="223">
        <v>15.291666666666666</v>
      </c>
      <c r="I1076" s="221" t="s">
        <v>37</v>
      </c>
      <c r="J1076" s="221" t="s">
        <v>3023</v>
      </c>
      <c r="K1076" s="224" t="s">
        <v>3227</v>
      </c>
      <c r="L1076" s="225" t="str">
        <f>VLOOKUP(Logfile_S[[#This Row],[Material Name]],Sheet2!B:C,2,0)</f>
        <v>ZTE1001</v>
      </c>
      <c r="M1076" s="225" t="str">
        <f>_xlfn.XLOOKUP(Logfile_S[[#This Row],[Material Name]],Sum_WH!E:E,Sum_WH!F:F,"",0)</f>
        <v>Pcs</v>
      </c>
      <c r="N1076" s="221">
        <v>50</v>
      </c>
      <c r="O1076" s="221" t="s">
        <v>332</v>
      </c>
      <c r="P1076" s="221" t="s">
        <v>333</v>
      </c>
      <c r="Q1076" s="221" t="s">
        <v>350</v>
      </c>
      <c r="R1076" s="221" t="s">
        <v>351</v>
      </c>
      <c r="S1076" s="221"/>
      <c r="T1076" s="221"/>
      <c r="U1076" s="221"/>
      <c r="V1076" s="221"/>
      <c r="W1076" s="221"/>
      <c r="X1076" s="221"/>
      <c r="Y1076" s="227"/>
      <c r="Z1076" s="227" t="str">
        <f>P1076</f>
        <v>Sukodadi RW 02 Wagir</v>
      </c>
      <c r="AA1076" s="276">
        <f>VLOOKUP(Logfile_S[[#This Row],[DO number]],DO_DB!G:I,3,0)</f>
        <v>45213</v>
      </c>
      <c r="AB1076" s="331" t="b">
        <f>EXACT(Logfile_S[[#This Row],[date pick]],Logfile_S[[#This Row],[Date]])</f>
        <v>1</v>
      </c>
      <c r="AC10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77" spans="1:29" ht="14.5">
      <c r="A1077" s="220" t="str">
        <f>TEXT(ROW(A1077)-ROW($A$4),"000")</f>
        <v>1073</v>
      </c>
      <c r="B1077" s="221"/>
      <c r="C1077" s="221" t="s">
        <v>49</v>
      </c>
      <c r="D1077" s="221" t="s">
        <v>3769</v>
      </c>
      <c r="E1077" s="221" t="s">
        <v>3295</v>
      </c>
      <c r="F1077" s="221" t="s">
        <v>3299</v>
      </c>
      <c r="G1077" s="222">
        <v>45219</v>
      </c>
      <c r="H1077" s="223">
        <v>0.34652777777777777</v>
      </c>
      <c r="I1077" s="221" t="s">
        <v>4916</v>
      </c>
      <c r="J1077" s="221" t="s">
        <v>3023</v>
      </c>
      <c r="K1077" s="224" t="s">
        <v>3069</v>
      </c>
      <c r="L1077" s="225" t="str">
        <f>VLOOKUP(Logfile_S[[#This Row],[Material Name]],Sheet2!B:C,2,0)</f>
        <v>ZTE1001</v>
      </c>
      <c r="M1077" s="225" t="str">
        <f>_xlfn.XLOOKUP(Logfile_S[[#This Row],[Material Name]],Sum_WH!E:E,Sum_WH!F:F,"",0)</f>
        <v>Pcs</v>
      </c>
      <c r="N1077" s="221">
        <v>16</v>
      </c>
      <c r="O1077" s="221" t="s">
        <v>332</v>
      </c>
      <c r="P1077" s="221" t="s">
        <v>333</v>
      </c>
      <c r="Q1077" s="221"/>
      <c r="R1077" s="221"/>
      <c r="S1077" s="221"/>
      <c r="T1077" s="221" t="s">
        <v>3487</v>
      </c>
      <c r="U1077" s="221">
        <v>0</v>
      </c>
      <c r="V1077" s="221" t="s">
        <v>3488</v>
      </c>
      <c r="W1077" s="221" t="s">
        <v>3489</v>
      </c>
      <c r="X1077" s="221"/>
      <c r="Y1077" s="227"/>
      <c r="Z1077" s="227" t="str">
        <f>P1077</f>
        <v>Sukodadi RW 02 Wagir</v>
      </c>
      <c r="AA1077" s="276" t="e">
        <f>VLOOKUP(Logfile_S[[#This Row],[DO number]],DO_DB!G:I,3,0)</f>
        <v>#N/A</v>
      </c>
      <c r="AB1077" s="331" t="e">
        <f>EXACT(Logfile_S[[#This Row],[date pick]],Logfile_S[[#This Row],[Date]])</f>
        <v>#N/A</v>
      </c>
      <c r="AC10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78" spans="1:29" ht="14.5">
      <c r="A1078" s="220" t="str">
        <f>TEXT(ROW(A1078)-ROW($A$4),"000")</f>
        <v>1074</v>
      </c>
      <c r="B1078" s="221"/>
      <c r="C1078" s="221" t="s">
        <v>49</v>
      </c>
      <c r="D1078" s="221" t="s">
        <v>3770</v>
      </c>
      <c r="E1078" s="221" t="s">
        <v>3295</v>
      </c>
      <c r="F1078" s="221" t="s">
        <v>3299</v>
      </c>
      <c r="G1078" s="222">
        <v>45220</v>
      </c>
      <c r="H1078" s="223">
        <v>0.34652777777777777</v>
      </c>
      <c r="I1078" s="221" t="s">
        <v>4916</v>
      </c>
      <c r="J1078" s="221" t="s">
        <v>3023</v>
      </c>
      <c r="K1078" s="224" t="s">
        <v>3069</v>
      </c>
      <c r="L1078" s="225" t="str">
        <f>VLOOKUP(Logfile_S[[#This Row],[Material Name]],Sheet2!B:C,2,0)</f>
        <v>ZTE1001</v>
      </c>
      <c r="M1078" s="225" t="str">
        <f>_xlfn.XLOOKUP(Logfile_S[[#This Row],[Material Name]],Sum_WH!E:E,Sum_WH!F:F,"",0)</f>
        <v>Pcs</v>
      </c>
      <c r="N1078" s="221">
        <v>12</v>
      </c>
      <c r="O1078" s="221" t="s">
        <v>332</v>
      </c>
      <c r="P1078" s="221" t="s">
        <v>333</v>
      </c>
      <c r="Q1078" s="221"/>
      <c r="R1078" s="221"/>
      <c r="S1078" s="221"/>
      <c r="T1078" s="221" t="s">
        <v>3487</v>
      </c>
      <c r="U1078" s="221">
        <v>0</v>
      </c>
      <c r="V1078" s="221" t="s">
        <v>3488</v>
      </c>
      <c r="W1078" s="221" t="s">
        <v>3489</v>
      </c>
      <c r="X1078" s="221"/>
      <c r="Y1078" s="227"/>
      <c r="Z1078" s="227" t="str">
        <f>P1078</f>
        <v>Sukodadi RW 02 Wagir</v>
      </c>
      <c r="AA1078" s="276" t="e">
        <f>VLOOKUP(Logfile_S[[#This Row],[DO number]],DO_DB!G:I,3,0)</f>
        <v>#N/A</v>
      </c>
      <c r="AB1078" s="331" t="e">
        <f>EXACT(Logfile_S[[#This Row],[date pick]],Logfile_S[[#This Row],[Date]])</f>
        <v>#N/A</v>
      </c>
      <c r="AC10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79" spans="1:29" ht="14.5">
      <c r="A1079" s="220" t="str">
        <f>TEXT(ROW(A1079)-ROW($A$4),"000")</f>
        <v>1075</v>
      </c>
      <c r="B1079" s="221"/>
      <c r="C1079" s="221" t="s">
        <v>49</v>
      </c>
      <c r="D1079" s="221" t="s">
        <v>3770</v>
      </c>
      <c r="E1079" s="221" t="s">
        <v>3295</v>
      </c>
      <c r="F1079" s="221" t="s">
        <v>3299</v>
      </c>
      <c r="G1079" s="222">
        <v>45220</v>
      </c>
      <c r="H1079" s="223">
        <v>0.34652777777777777</v>
      </c>
      <c r="I1079" s="221" t="s">
        <v>4916</v>
      </c>
      <c r="J1079" s="221" t="s">
        <v>3023</v>
      </c>
      <c r="K1079" s="224" t="s">
        <v>3071</v>
      </c>
      <c r="L1079" s="225" t="str">
        <f>VLOOKUP(Logfile_S[[#This Row],[Material Name]],Sheet2!B:C,2,0)</f>
        <v>ZTE1003</v>
      </c>
      <c r="M1079" s="225" t="str">
        <f>_xlfn.XLOOKUP(Logfile_S[[#This Row],[Material Name]],Sum_WH!E:E,Sum_WH!F:F,"",0)</f>
        <v>Pcs</v>
      </c>
      <c r="N1079" s="221">
        <v>2</v>
      </c>
      <c r="O1079" s="221" t="s">
        <v>332</v>
      </c>
      <c r="P1079" s="221" t="s">
        <v>333</v>
      </c>
      <c r="Q1079" s="221"/>
      <c r="R1079" s="221"/>
      <c r="S1079" s="221"/>
      <c r="T1079" s="221" t="s">
        <v>3487</v>
      </c>
      <c r="U1079" s="221">
        <v>0</v>
      </c>
      <c r="V1079" s="221" t="s">
        <v>3488</v>
      </c>
      <c r="W1079" s="221" t="s">
        <v>3489</v>
      </c>
      <c r="X1079" s="221"/>
      <c r="Y1079" s="227"/>
      <c r="Z1079" s="227" t="str">
        <f>P1079</f>
        <v>Sukodadi RW 02 Wagir</v>
      </c>
      <c r="AA1079" s="276" t="e">
        <f>VLOOKUP(Logfile_S[[#This Row],[DO number]],DO_DB!G:I,3,0)</f>
        <v>#N/A</v>
      </c>
      <c r="AB1079" s="331" t="e">
        <f>EXACT(Logfile_S[[#This Row],[date pick]],Logfile_S[[#This Row],[Date]])</f>
        <v>#N/A</v>
      </c>
      <c r="AC10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80" spans="1:29" ht="14.5">
      <c r="A1080" s="220" t="str">
        <f>TEXT(ROW(A1080)-ROW($A$4),"000")</f>
        <v>1076</v>
      </c>
      <c r="B1080" s="221"/>
      <c r="C1080" s="221" t="s">
        <v>49</v>
      </c>
      <c r="D1080" s="221" t="s">
        <v>3788</v>
      </c>
      <c r="E1080" s="221" t="s">
        <v>3295</v>
      </c>
      <c r="F1080" s="221" t="s">
        <v>3299</v>
      </c>
      <c r="G1080" s="222">
        <v>45221</v>
      </c>
      <c r="H1080" s="223">
        <v>0.9375</v>
      </c>
      <c r="I1080" s="221" t="s">
        <v>4916</v>
      </c>
      <c r="J1080" s="221" t="s">
        <v>3024</v>
      </c>
      <c r="K1080" s="224" t="s">
        <v>3087</v>
      </c>
      <c r="L1080" s="225" t="str">
        <f>VLOOKUP(Logfile_S[[#This Row],[Material Name]],Sheet2!B:C,2,0)</f>
        <v>GCI1001</v>
      </c>
      <c r="M1080" s="225" t="str">
        <f>_xlfn.XLOOKUP(Logfile_S[[#This Row],[Material Name]],Sum_WH!E:E,Sum_WH!F:F,"",0)</f>
        <v>Pcs</v>
      </c>
      <c r="N1080" s="221">
        <v>15</v>
      </c>
      <c r="O1080" s="221" t="s">
        <v>332</v>
      </c>
      <c r="P1080" s="221" t="s">
        <v>333</v>
      </c>
      <c r="Q1080" s="221"/>
      <c r="R1080" s="221"/>
      <c r="S1080" s="221"/>
      <c r="T1080" s="221" t="s">
        <v>3332</v>
      </c>
      <c r="U1080" s="221">
        <v>0</v>
      </c>
      <c r="V1080" s="221" t="s">
        <v>3333</v>
      </c>
      <c r="W1080" s="221" t="s">
        <v>3334</v>
      </c>
      <c r="X1080" s="221"/>
      <c r="Y1080" s="227"/>
      <c r="Z1080" s="227" t="str">
        <f>P1080</f>
        <v>Sukodadi RW 02 Wagir</v>
      </c>
      <c r="AA1080" s="276" t="e">
        <f>VLOOKUP(Logfile_S[[#This Row],[DO number]],DO_DB!G:I,3,0)</f>
        <v>#N/A</v>
      </c>
      <c r="AB1080" s="331" t="e">
        <f>EXACT(Logfile_S[[#This Row],[date pick]],Logfile_S[[#This Row],[Date]])</f>
        <v>#N/A</v>
      </c>
      <c r="AC10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81" spans="1:29" ht="14.5">
      <c r="A1081" s="220" t="str">
        <f>TEXT(ROW(A1081)-ROW($A$4),"000")</f>
        <v>1077</v>
      </c>
      <c r="B1081" s="221"/>
      <c r="C1081" s="221" t="s">
        <v>49</v>
      </c>
      <c r="D1081" s="221" t="s">
        <v>3788</v>
      </c>
      <c r="E1081" s="221" t="s">
        <v>3295</v>
      </c>
      <c r="F1081" s="221" t="s">
        <v>3299</v>
      </c>
      <c r="G1081" s="222">
        <v>45221</v>
      </c>
      <c r="H1081" s="223">
        <v>0.9375</v>
      </c>
      <c r="I1081" s="221" t="s">
        <v>4916</v>
      </c>
      <c r="J1081" s="221" t="s">
        <v>3024</v>
      </c>
      <c r="K1081" s="224" t="s">
        <v>5137</v>
      </c>
      <c r="L1081" s="225" t="str">
        <f>VLOOKUP(Logfile_S[[#This Row],[Material Name]],Sheet2!B:C,2,0)</f>
        <v>GCI1009</v>
      </c>
      <c r="M1081" s="225" t="str">
        <f>_xlfn.XLOOKUP(Logfile_S[[#This Row],[Material Name]],Sum_WH!E:E,Sum_WH!F:F,"",0)</f>
        <v>Pcs</v>
      </c>
      <c r="N1081" s="221">
        <v>100</v>
      </c>
      <c r="O1081" s="221" t="s">
        <v>332</v>
      </c>
      <c r="P1081" s="221" t="s">
        <v>333</v>
      </c>
      <c r="Q1081" s="221"/>
      <c r="R1081" s="221"/>
      <c r="S1081" s="221"/>
      <c r="T1081" s="221" t="s">
        <v>3332</v>
      </c>
      <c r="U1081" s="221">
        <v>0</v>
      </c>
      <c r="V1081" s="221" t="s">
        <v>3333</v>
      </c>
      <c r="W1081" s="221" t="s">
        <v>3334</v>
      </c>
      <c r="X1081" s="221"/>
      <c r="Y1081" s="227"/>
      <c r="Z1081" s="227" t="str">
        <f>P1081</f>
        <v>Sukodadi RW 02 Wagir</v>
      </c>
      <c r="AA1081" s="276" t="e">
        <f>VLOOKUP(Logfile_S[[#This Row],[DO number]],DO_DB!G:I,3,0)</f>
        <v>#N/A</v>
      </c>
      <c r="AB1081" s="331" t="e">
        <f>EXACT(Logfile_S[[#This Row],[date pick]],Logfile_S[[#This Row],[Date]])</f>
        <v>#N/A</v>
      </c>
      <c r="AC10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82" spans="1:29" ht="14.5">
      <c r="A1082" s="220" t="str">
        <f>TEXT(ROW(A1082)-ROW($A$4),"000")</f>
        <v>1078</v>
      </c>
      <c r="B1082" s="221"/>
      <c r="C1082" s="221" t="s">
        <v>49</v>
      </c>
      <c r="D1082" s="221" t="s">
        <v>3788</v>
      </c>
      <c r="E1082" s="221" t="s">
        <v>3295</v>
      </c>
      <c r="F1082" s="221" t="s">
        <v>3299</v>
      </c>
      <c r="G1082" s="222">
        <v>45221</v>
      </c>
      <c r="H1082" s="223">
        <v>0.9375</v>
      </c>
      <c r="I1082" s="221" t="s">
        <v>4916</v>
      </c>
      <c r="J1082" s="221" t="s">
        <v>3024</v>
      </c>
      <c r="K1082" s="224" t="s">
        <v>3224</v>
      </c>
      <c r="L1082" s="225" t="str">
        <f>VLOOKUP(Logfile_S[[#This Row],[Material Name]],Sheet2!B:C,2,0)</f>
        <v>GCI1002</v>
      </c>
      <c r="M1082" s="225" t="str">
        <f>_xlfn.XLOOKUP(Logfile_S[[#This Row],[Material Name]],Sum_WH!E:E,Sum_WH!F:F,"",0)</f>
        <v>Pcs</v>
      </c>
      <c r="N1082" s="221">
        <v>2</v>
      </c>
      <c r="O1082" s="221" t="s">
        <v>332</v>
      </c>
      <c r="P1082" s="221" t="s">
        <v>333</v>
      </c>
      <c r="Q1082" s="221"/>
      <c r="R1082" s="221"/>
      <c r="S1082" s="221"/>
      <c r="T1082" s="221" t="s">
        <v>3332</v>
      </c>
      <c r="U1082" s="221">
        <v>0</v>
      </c>
      <c r="V1082" s="221" t="s">
        <v>3333</v>
      </c>
      <c r="W1082" s="221" t="s">
        <v>3334</v>
      </c>
      <c r="X1082" s="221"/>
      <c r="Y1082" s="227"/>
      <c r="Z1082" s="227" t="str">
        <f>P1082</f>
        <v>Sukodadi RW 02 Wagir</v>
      </c>
      <c r="AA1082" s="276" t="e">
        <f>VLOOKUP(Logfile_S[[#This Row],[DO number]],DO_DB!G:I,3,0)</f>
        <v>#N/A</v>
      </c>
      <c r="AB1082" s="331" t="e">
        <f>EXACT(Logfile_S[[#This Row],[date pick]],Logfile_S[[#This Row],[Date]])</f>
        <v>#N/A</v>
      </c>
      <c r="AC10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83" spans="1:29" ht="14.5">
      <c r="A1083" s="220" t="str">
        <f>TEXT(ROW(A1083)-ROW($A$4),"000")</f>
        <v>1079</v>
      </c>
      <c r="B1083" s="221"/>
      <c r="C1083" s="221" t="s">
        <v>49</v>
      </c>
      <c r="D1083" s="221" t="s">
        <v>3788</v>
      </c>
      <c r="E1083" s="221" t="s">
        <v>3295</v>
      </c>
      <c r="F1083" s="221" t="s">
        <v>3299</v>
      </c>
      <c r="G1083" s="222">
        <v>45221</v>
      </c>
      <c r="H1083" s="223">
        <v>0.9375</v>
      </c>
      <c r="I1083" s="221" t="s">
        <v>4916</v>
      </c>
      <c r="J1083" s="221" t="s">
        <v>3024</v>
      </c>
      <c r="K1083" s="224" t="s">
        <v>3215</v>
      </c>
      <c r="L1083" s="225" t="str">
        <f>VLOOKUP(Logfile_S[[#This Row],[Material Name]],Sheet2!B:C,2,0)</f>
        <v>GCI1008</v>
      </c>
      <c r="M1083" s="225" t="str">
        <f>_xlfn.XLOOKUP(Logfile_S[[#This Row],[Material Name]],Sum_WH!E:E,Sum_WH!F:F,"",0)</f>
        <v>Pcs</v>
      </c>
      <c r="N1083" s="221">
        <v>51</v>
      </c>
      <c r="O1083" s="221" t="s">
        <v>332</v>
      </c>
      <c r="P1083" s="221" t="s">
        <v>333</v>
      </c>
      <c r="Q1083" s="221"/>
      <c r="R1083" s="221"/>
      <c r="S1083" s="221"/>
      <c r="T1083" s="221" t="s">
        <v>3332</v>
      </c>
      <c r="U1083" s="221">
        <v>0</v>
      </c>
      <c r="V1083" s="221" t="s">
        <v>3333</v>
      </c>
      <c r="W1083" s="221" t="s">
        <v>3334</v>
      </c>
      <c r="X1083" s="221"/>
      <c r="Y1083" s="227"/>
      <c r="Z1083" s="227" t="str">
        <f>P1083</f>
        <v>Sukodadi RW 02 Wagir</v>
      </c>
      <c r="AA1083" s="276" t="e">
        <f>VLOOKUP(Logfile_S[[#This Row],[DO number]],DO_DB!G:I,3,0)</f>
        <v>#N/A</v>
      </c>
      <c r="AB1083" s="331" t="e">
        <f>EXACT(Logfile_S[[#This Row],[date pick]],Logfile_S[[#This Row],[Date]])</f>
        <v>#N/A</v>
      </c>
      <c r="AC10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84" spans="1:29" ht="14.5">
      <c r="A1084" s="220" t="str">
        <f>TEXT(ROW(A1084)-ROW($A$4),"000")</f>
        <v>1080</v>
      </c>
      <c r="B1084" s="221"/>
      <c r="C1084" s="221" t="s">
        <v>49</v>
      </c>
      <c r="D1084" s="221" t="s">
        <v>3788</v>
      </c>
      <c r="E1084" s="221" t="s">
        <v>3295</v>
      </c>
      <c r="F1084" s="221" t="s">
        <v>3299</v>
      </c>
      <c r="G1084" s="222">
        <v>45221</v>
      </c>
      <c r="H1084" s="223">
        <v>0.9375</v>
      </c>
      <c r="I1084" s="221" t="s">
        <v>4916</v>
      </c>
      <c r="J1084" s="221" t="s">
        <v>3024</v>
      </c>
      <c r="K1084" s="224" t="s">
        <v>3089</v>
      </c>
      <c r="L1084" s="225" t="str">
        <f>VLOOKUP(Logfile_S[[#This Row],[Material Name]],Sheet2!B:C,2,0)</f>
        <v>GCI1003</v>
      </c>
      <c r="M1084" s="225" t="str">
        <f>_xlfn.XLOOKUP(Logfile_S[[#This Row],[Material Name]],Sum_WH!E:E,Sum_WH!F:F,"",0)</f>
        <v>Pcs</v>
      </c>
      <c r="N1084" s="221">
        <v>100</v>
      </c>
      <c r="O1084" s="221" t="s">
        <v>332</v>
      </c>
      <c r="P1084" s="221" t="s">
        <v>333</v>
      </c>
      <c r="Q1084" s="221"/>
      <c r="R1084" s="221"/>
      <c r="S1084" s="221"/>
      <c r="T1084" s="221" t="s">
        <v>3332</v>
      </c>
      <c r="U1084" s="221">
        <v>0</v>
      </c>
      <c r="V1084" s="221" t="s">
        <v>3333</v>
      </c>
      <c r="W1084" s="221" t="s">
        <v>3334</v>
      </c>
      <c r="X1084" s="221"/>
      <c r="Y1084" s="227"/>
      <c r="Z1084" s="227" t="str">
        <f>P1084</f>
        <v>Sukodadi RW 02 Wagir</v>
      </c>
      <c r="AA1084" s="276" t="e">
        <f>VLOOKUP(Logfile_S[[#This Row],[DO number]],DO_DB!G:I,3,0)</f>
        <v>#N/A</v>
      </c>
      <c r="AB1084" s="331" t="e">
        <f>EXACT(Logfile_S[[#This Row],[date pick]],Logfile_S[[#This Row],[Date]])</f>
        <v>#N/A</v>
      </c>
      <c r="AC10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85" spans="1:29" ht="14.5">
      <c r="A1085" s="220" t="str">
        <f>TEXT(ROW(A1085)-ROW($A$4),"000")</f>
        <v>1081</v>
      </c>
      <c r="B1085" s="221"/>
      <c r="C1085" s="221" t="s">
        <v>49</v>
      </c>
      <c r="D1085" s="221" t="s">
        <v>3788</v>
      </c>
      <c r="E1085" s="221" t="s">
        <v>3295</v>
      </c>
      <c r="F1085" s="221" t="s">
        <v>3299</v>
      </c>
      <c r="G1085" s="222">
        <v>45221</v>
      </c>
      <c r="H1085" s="223">
        <v>0.9375</v>
      </c>
      <c r="I1085" s="221" t="s">
        <v>4916</v>
      </c>
      <c r="J1085" s="221" t="s">
        <v>3024</v>
      </c>
      <c r="K1085" s="224" t="s">
        <v>3090</v>
      </c>
      <c r="L1085" s="225" t="str">
        <f>VLOOKUP(Logfile_S[[#This Row],[Material Name]],Sheet2!B:C,2,0)</f>
        <v>GCI1004</v>
      </c>
      <c r="M1085" s="225" t="str">
        <f>_xlfn.XLOOKUP(Logfile_S[[#This Row],[Material Name]],Sum_WH!E:E,Sum_WH!F:F,"",0)</f>
        <v>Pcs</v>
      </c>
      <c r="N1085" s="221">
        <v>35</v>
      </c>
      <c r="O1085" s="221" t="s">
        <v>332</v>
      </c>
      <c r="P1085" s="221" t="s">
        <v>333</v>
      </c>
      <c r="Q1085" s="221"/>
      <c r="R1085" s="221"/>
      <c r="S1085" s="221"/>
      <c r="T1085" s="221" t="s">
        <v>3332</v>
      </c>
      <c r="U1085" s="221">
        <v>0</v>
      </c>
      <c r="V1085" s="221" t="s">
        <v>3333</v>
      </c>
      <c r="W1085" s="221" t="s">
        <v>3334</v>
      </c>
      <c r="X1085" s="221"/>
      <c r="Y1085" s="227"/>
      <c r="Z1085" s="227" t="str">
        <f>P1085</f>
        <v>Sukodadi RW 02 Wagir</v>
      </c>
      <c r="AA1085" s="276" t="e">
        <f>VLOOKUP(Logfile_S[[#This Row],[DO number]],DO_DB!G:I,3,0)</f>
        <v>#N/A</v>
      </c>
      <c r="AB1085" s="331" t="e">
        <f>EXACT(Logfile_S[[#This Row],[date pick]],Logfile_S[[#This Row],[Date]])</f>
        <v>#N/A</v>
      </c>
      <c r="AC10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86" spans="1:29" ht="14.5">
      <c r="A1086" s="220" t="str">
        <f>TEXT(ROW(A1086)-ROW($A$4),"000")</f>
        <v>1082</v>
      </c>
      <c r="B1086" s="221"/>
      <c r="C1086" s="221" t="s">
        <v>49</v>
      </c>
      <c r="D1086" s="221" t="s">
        <v>3790</v>
      </c>
      <c r="E1086" s="221" t="s">
        <v>3295</v>
      </c>
      <c r="F1086" s="221" t="s">
        <v>3299</v>
      </c>
      <c r="G1086" s="222">
        <v>45222</v>
      </c>
      <c r="H1086" s="223">
        <v>0.34652777777777777</v>
      </c>
      <c r="I1086" s="221" t="s">
        <v>4916</v>
      </c>
      <c r="J1086" s="221" t="s">
        <v>3023</v>
      </c>
      <c r="K1086" s="224" t="s">
        <v>3070</v>
      </c>
      <c r="L1086" s="225" t="str">
        <f>VLOOKUP(Logfile_S[[#This Row],[Material Name]],Sheet2!B:C,2,0)</f>
        <v>ZTE1002</v>
      </c>
      <c r="M1086" s="225" t="str">
        <f>_xlfn.XLOOKUP(Logfile_S[[#This Row],[Material Name]],Sum_WH!E:E,Sum_WH!F:F,"",0)</f>
        <v>Pcs</v>
      </c>
      <c r="N1086" s="221">
        <v>1</v>
      </c>
      <c r="O1086" s="221" t="s">
        <v>332</v>
      </c>
      <c r="P1086" s="221" t="s">
        <v>333</v>
      </c>
      <c r="Q1086" s="221"/>
      <c r="R1086" s="221"/>
      <c r="S1086" s="221"/>
      <c r="T1086" s="221" t="s">
        <v>3487</v>
      </c>
      <c r="U1086" s="221">
        <v>0</v>
      </c>
      <c r="V1086" s="221" t="s">
        <v>3488</v>
      </c>
      <c r="W1086" s="221" t="s">
        <v>3489</v>
      </c>
      <c r="X1086" s="221"/>
      <c r="Y1086" s="227"/>
      <c r="Z1086" s="227" t="str">
        <f>P1086</f>
        <v>Sukodadi RW 02 Wagir</v>
      </c>
      <c r="AA1086" s="276" t="e">
        <f>VLOOKUP(Logfile_S[[#This Row],[DO number]],DO_DB!G:I,3,0)</f>
        <v>#N/A</v>
      </c>
      <c r="AB1086" s="331" t="e">
        <f>EXACT(Logfile_S[[#This Row],[date pick]],Logfile_S[[#This Row],[Date]])</f>
        <v>#N/A</v>
      </c>
      <c r="AC10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87" spans="1:29" ht="14.5">
      <c r="A1087" s="220" t="str">
        <f>TEXT(ROW(A1087)-ROW($A$4),"000")</f>
        <v>1083</v>
      </c>
      <c r="B1087" s="221"/>
      <c r="C1087" s="221" t="s">
        <v>49</v>
      </c>
      <c r="D1087" s="221" t="s">
        <v>3801</v>
      </c>
      <c r="E1087" s="221" t="s">
        <v>3295</v>
      </c>
      <c r="F1087" s="221" t="s">
        <v>3299</v>
      </c>
      <c r="G1087" s="222">
        <v>45228</v>
      </c>
      <c r="H1087" s="223">
        <v>0.9375</v>
      </c>
      <c r="I1087" s="221" t="s">
        <v>4916</v>
      </c>
      <c r="J1087" s="221" t="s">
        <v>3023</v>
      </c>
      <c r="K1087" s="224" t="s">
        <v>13</v>
      </c>
      <c r="L1087" s="225" t="str">
        <f>VLOOKUP(Logfile_S[[#This Row],[Material Name]],Sheet2!B:C,2,0)</f>
        <v>ZTE2008</v>
      </c>
      <c r="M1087" s="225" t="str">
        <f>_xlfn.XLOOKUP(Logfile_S[[#This Row],[Material Name]],Sum_WH!E:E,Sum_WH!F:F,"",0)</f>
        <v>Pcs</v>
      </c>
      <c r="N1087" s="221">
        <v>8</v>
      </c>
      <c r="O1087" s="221" t="s">
        <v>332</v>
      </c>
      <c r="P1087" s="221" t="s">
        <v>333</v>
      </c>
      <c r="Q1087" s="221"/>
      <c r="R1087" s="221"/>
      <c r="S1087" s="221"/>
      <c r="T1087" s="221" t="s">
        <v>3332</v>
      </c>
      <c r="U1087" s="221">
        <v>0</v>
      </c>
      <c r="V1087" s="221" t="s">
        <v>3333</v>
      </c>
      <c r="W1087" s="221" t="s">
        <v>3334</v>
      </c>
      <c r="X1087" s="221"/>
      <c r="Y1087" s="227"/>
      <c r="Z1087" s="227" t="str">
        <f>P1087</f>
        <v>Sukodadi RW 02 Wagir</v>
      </c>
      <c r="AA1087" s="276" t="e">
        <f>VLOOKUP(Logfile_S[[#This Row],[DO number]],DO_DB!G:I,3,0)</f>
        <v>#N/A</v>
      </c>
      <c r="AB1087" s="331" t="e">
        <f>EXACT(Logfile_S[[#This Row],[date pick]],Logfile_S[[#This Row],[Date]])</f>
        <v>#N/A</v>
      </c>
      <c r="AC10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88" spans="1:29" ht="14.5">
      <c r="A1088" s="220" t="str">
        <f>TEXT(ROW(A1088)-ROW($A$4),"000")</f>
        <v>1084</v>
      </c>
      <c r="B1088" s="221"/>
      <c r="C1088" s="221" t="s">
        <v>49</v>
      </c>
      <c r="D1088" s="221" t="s">
        <v>3805</v>
      </c>
      <c r="E1088" s="221" t="s">
        <v>3295</v>
      </c>
      <c r="F1088" s="221" t="s">
        <v>3299</v>
      </c>
      <c r="G1088" s="222">
        <v>45244</v>
      </c>
      <c r="H1088" s="223">
        <v>0.75069444444444444</v>
      </c>
      <c r="I1088" s="221" t="s">
        <v>4916</v>
      </c>
      <c r="J1088" s="221" t="s">
        <v>3024</v>
      </c>
      <c r="K1088" s="224" t="s">
        <v>3097</v>
      </c>
      <c r="L1088" s="225" t="str">
        <f>VLOOKUP(Logfile_S[[#This Row],[Material Name]],Sheet2!B:C,2,0)</f>
        <v>GCI1011</v>
      </c>
      <c r="M1088" s="225" t="str">
        <f>_xlfn.XLOOKUP(Logfile_S[[#This Row],[Material Name]],Sum_WH!E:E,Sum_WH!F:F,"",0)</f>
        <v>Pcs</v>
      </c>
      <c r="N1088" s="221">
        <v>0</v>
      </c>
      <c r="O1088" s="221" t="s">
        <v>332</v>
      </c>
      <c r="P1088" s="221" t="s">
        <v>333</v>
      </c>
      <c r="Q1088" s="221"/>
      <c r="R1088" s="221"/>
      <c r="S1088" s="221"/>
      <c r="T1088" s="221" t="s">
        <v>3332</v>
      </c>
      <c r="U1088" s="221">
        <v>0</v>
      </c>
      <c r="V1088" s="221">
        <v>0</v>
      </c>
      <c r="W1088" s="221" t="s">
        <v>3460</v>
      </c>
      <c r="X1088" s="221"/>
      <c r="Y1088" s="227"/>
      <c r="Z1088" s="227" t="str">
        <f>P1088</f>
        <v>Sukodadi RW 02 Wagir</v>
      </c>
      <c r="AA1088" s="276" t="e">
        <f>VLOOKUP(Logfile_S[[#This Row],[DO number]],DO_DB!G:I,3,0)</f>
        <v>#N/A</v>
      </c>
      <c r="AB1088" s="331" t="e">
        <f>EXACT(Logfile_S[[#This Row],[date pick]],Logfile_S[[#This Row],[Date]])</f>
        <v>#N/A</v>
      </c>
      <c r="AC10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89" spans="1:29" ht="14.5">
      <c r="A1089" s="220" t="str">
        <f>TEXT(ROW(A1089)-ROW($A$4),"000")</f>
        <v>1085</v>
      </c>
      <c r="B1089" s="221"/>
      <c r="C1089" s="221" t="s">
        <v>48</v>
      </c>
      <c r="D1089" s="221" t="s">
        <v>3754</v>
      </c>
      <c r="E1089" s="221" t="s">
        <v>3295</v>
      </c>
      <c r="F1089" s="221" t="s">
        <v>3299</v>
      </c>
      <c r="G1089" s="222">
        <v>45213</v>
      </c>
      <c r="H1089" s="223">
        <v>15.291666666666666</v>
      </c>
      <c r="I1089" s="221" t="s">
        <v>37</v>
      </c>
      <c r="J1089" s="221" t="s">
        <v>3023</v>
      </c>
      <c r="K1089" s="224" t="s">
        <v>14</v>
      </c>
      <c r="L1089" s="225" t="str">
        <f>VLOOKUP(Logfile_S[[#This Row],[Material Name]],Sheet2!B:C,2,0)</f>
        <v>ZTE2005</v>
      </c>
      <c r="M1089" s="225" t="str">
        <f>_xlfn.XLOOKUP(Logfile_S[[#This Row],[Material Name]],Sum_WH!E:E,Sum_WH!F:F,"",0)</f>
        <v>Pcs</v>
      </c>
      <c r="N1089" s="221">
        <v>1</v>
      </c>
      <c r="O1089" s="221" t="s">
        <v>3550</v>
      </c>
      <c r="P1089" s="221" t="s">
        <v>333</v>
      </c>
      <c r="Q1089" s="221" t="s">
        <v>334</v>
      </c>
      <c r="R1089" s="221" t="s">
        <v>335</v>
      </c>
      <c r="S1089" s="221"/>
      <c r="T1089" s="221"/>
      <c r="U1089" s="221"/>
      <c r="V1089" s="221"/>
      <c r="W1089" s="221"/>
      <c r="X1089" s="221"/>
      <c r="Y1089" s="227"/>
      <c r="Z1089" s="227" t="str">
        <f>P1089</f>
        <v>Sukodadi RW 02 Wagir</v>
      </c>
      <c r="AA1089" s="276">
        <f>VLOOKUP(Logfile_S[[#This Row],[DO number]],DO_DB!G:I,3,0)</f>
        <v>45213</v>
      </c>
      <c r="AB1089" s="331" t="b">
        <f>EXACT(Logfile_S[[#This Row],[date pick]],Logfile_S[[#This Row],[Date]])</f>
        <v>1</v>
      </c>
      <c r="AC10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90" spans="1:29" ht="14.5">
      <c r="A1090" s="220" t="str">
        <f>TEXT(ROW(A1090)-ROW($A$4),"000")</f>
        <v>1086</v>
      </c>
      <c r="B1090" s="221"/>
      <c r="C1090" s="221" t="s">
        <v>48</v>
      </c>
      <c r="D1090" s="221" t="s">
        <v>3754</v>
      </c>
      <c r="E1090" s="221" t="s">
        <v>3295</v>
      </c>
      <c r="F1090" s="221" t="s">
        <v>3299</v>
      </c>
      <c r="G1090" s="222">
        <v>45213</v>
      </c>
      <c r="H1090" s="223">
        <v>15.291666666666666</v>
      </c>
      <c r="I1090" s="221" t="s">
        <v>37</v>
      </c>
      <c r="J1090" s="221" t="s">
        <v>3023</v>
      </c>
      <c r="K1090" s="224" t="s">
        <v>3073</v>
      </c>
      <c r="L1090" s="225" t="str">
        <f>VLOOKUP(Logfile_S[[#This Row],[Material Name]],Sheet2!B:C,2,0)</f>
        <v>ZTE2001</v>
      </c>
      <c r="M1090" s="225" t="str">
        <f>_xlfn.XLOOKUP(Logfile_S[[#This Row],[Material Name]],Sum_WH!E:E,Sum_WH!F:F,"",0)</f>
        <v>Meter</v>
      </c>
      <c r="N1090" s="221">
        <v>3000</v>
      </c>
      <c r="O1090" s="221" t="s">
        <v>336</v>
      </c>
      <c r="P1090" s="221" t="s">
        <v>337</v>
      </c>
      <c r="Q1090" s="221" t="s">
        <v>338</v>
      </c>
      <c r="R1090" s="221" t="s">
        <v>339</v>
      </c>
      <c r="S1090" s="221"/>
      <c r="T1090" s="221"/>
      <c r="U1090" s="221"/>
      <c r="V1090" s="221"/>
      <c r="W1090" s="221"/>
      <c r="X1090" s="221"/>
      <c r="Y1090" s="227" t="s">
        <v>4988</v>
      </c>
      <c r="Z1090" s="227" t="str">
        <f>P1090</f>
        <v>Sidorahayu RW 02 Wagir</v>
      </c>
      <c r="AA1090" s="276">
        <f>VLOOKUP(Logfile_S[[#This Row],[DO number]],DO_DB!G:I,3,0)</f>
        <v>45213</v>
      </c>
      <c r="AB1090" s="331" t="b">
        <f>EXACT(Logfile_S[[#This Row],[date pick]],Logfile_S[[#This Row],[Date]])</f>
        <v>1</v>
      </c>
      <c r="AC10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24C-20231014-02</v>
      </c>
    </row>
    <row r="1091" spans="1:29" ht="14.5">
      <c r="A1091" s="220" t="str">
        <f>TEXT(ROW(A1091)-ROW($A$4),"000")</f>
        <v>1087</v>
      </c>
      <c r="B1091" s="221"/>
      <c r="C1091" s="221" t="s">
        <v>48</v>
      </c>
      <c r="D1091" s="221" t="s">
        <v>3754</v>
      </c>
      <c r="E1091" s="221" t="s">
        <v>3295</v>
      </c>
      <c r="F1091" s="221" t="s">
        <v>3299</v>
      </c>
      <c r="G1091" s="222">
        <v>45213</v>
      </c>
      <c r="H1091" s="223">
        <v>15.291666666666666</v>
      </c>
      <c r="I1091" s="221" t="s">
        <v>37</v>
      </c>
      <c r="J1091" s="221" t="s">
        <v>3023</v>
      </c>
      <c r="K1091" s="224" t="s">
        <v>13</v>
      </c>
      <c r="L1091" s="225" t="str">
        <f>VLOOKUP(Logfile_S[[#This Row],[Material Name]],Sheet2!B:C,2,0)</f>
        <v>ZTE2008</v>
      </c>
      <c r="M1091" s="225" t="str">
        <f>_xlfn.XLOOKUP(Logfile_S[[#This Row],[Material Name]],Sum_WH!E:E,Sum_WH!F:F,"",0)</f>
        <v>Pcs</v>
      </c>
      <c r="N1091" s="221">
        <v>6</v>
      </c>
      <c r="O1091" s="221" t="s">
        <v>336</v>
      </c>
      <c r="P1091" s="221" t="s">
        <v>337</v>
      </c>
      <c r="Q1091" s="221" t="s">
        <v>338</v>
      </c>
      <c r="R1091" s="221" t="s">
        <v>339</v>
      </c>
      <c r="S1091" s="221"/>
      <c r="T1091" s="221"/>
      <c r="U1091" s="221"/>
      <c r="V1091" s="221"/>
      <c r="W1091" s="221"/>
      <c r="X1091" s="221"/>
      <c r="Y1091" s="227"/>
      <c r="Z1091" s="227" t="str">
        <f>P1091</f>
        <v>Sidorahayu RW 02 Wagir</v>
      </c>
      <c r="AA1091" s="276">
        <f>VLOOKUP(Logfile_S[[#This Row],[DO number]],DO_DB!G:I,3,0)</f>
        <v>45213</v>
      </c>
      <c r="AB1091" s="331" t="b">
        <f>EXACT(Logfile_S[[#This Row],[date pick]],Logfile_S[[#This Row],[Date]])</f>
        <v>1</v>
      </c>
      <c r="AC10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92" spans="1:29" ht="14.5">
      <c r="A1092" s="220" t="str">
        <f>TEXT(ROW(A1092)-ROW($A$4),"000")</f>
        <v>1088</v>
      </c>
      <c r="B1092" s="221"/>
      <c r="C1092" s="221" t="s">
        <v>48</v>
      </c>
      <c r="D1092" s="221" t="s">
        <v>3754</v>
      </c>
      <c r="E1092" s="221" t="s">
        <v>3295</v>
      </c>
      <c r="F1092" s="221" t="s">
        <v>3299</v>
      </c>
      <c r="G1092" s="222">
        <v>45213</v>
      </c>
      <c r="H1092" s="223">
        <v>15.291666666666666</v>
      </c>
      <c r="I1092" s="221" t="s">
        <v>37</v>
      </c>
      <c r="J1092" s="221" t="s">
        <v>3023</v>
      </c>
      <c r="K1092" s="224" t="s">
        <v>3211</v>
      </c>
      <c r="L1092" s="225" t="str">
        <f>VLOOKUP(Logfile_S[[#This Row],[Material Name]],Sheet2!B:C,2,0)</f>
        <v>ZTE1002</v>
      </c>
      <c r="M1092" s="225" t="str">
        <f>_xlfn.XLOOKUP(Logfile_S[[#This Row],[Material Name]],Sum_WH!E:E,Sum_WH!F:F,"",0)</f>
        <v>Pcs</v>
      </c>
      <c r="N1092" s="221">
        <v>4</v>
      </c>
      <c r="O1092" s="221" t="s">
        <v>336</v>
      </c>
      <c r="P1092" s="221" t="s">
        <v>337</v>
      </c>
      <c r="Q1092" s="221" t="s">
        <v>352</v>
      </c>
      <c r="R1092" s="221" t="s">
        <v>353</v>
      </c>
      <c r="S1092" s="221"/>
      <c r="T1092" s="221"/>
      <c r="U1092" s="221"/>
      <c r="V1092" s="221"/>
      <c r="W1092" s="221"/>
      <c r="X1092" s="221"/>
      <c r="Y1092" s="227"/>
      <c r="Z1092" s="227" t="str">
        <f>P1092</f>
        <v>Sidorahayu RW 02 Wagir</v>
      </c>
      <c r="AA1092" s="276">
        <f>VLOOKUP(Logfile_S[[#This Row],[DO number]],DO_DB!G:I,3,0)</f>
        <v>45213</v>
      </c>
      <c r="AB1092" s="331" t="b">
        <f>EXACT(Logfile_S[[#This Row],[date pick]],Logfile_S[[#This Row],[Date]])</f>
        <v>1</v>
      </c>
      <c r="AC10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93" spans="1:29" ht="14.5">
      <c r="A1093" s="220" t="str">
        <f>TEXT(ROW(A1093)-ROW($A$4),"000")</f>
        <v>1089</v>
      </c>
      <c r="B1093" s="221"/>
      <c r="C1093" s="221" t="s">
        <v>48</v>
      </c>
      <c r="D1093" s="221" t="s">
        <v>3754</v>
      </c>
      <c r="E1093" s="221" t="s">
        <v>3295</v>
      </c>
      <c r="F1093" s="221" t="s">
        <v>3299</v>
      </c>
      <c r="G1093" s="222">
        <v>45213</v>
      </c>
      <c r="H1093" s="223">
        <v>15.291666666666666</v>
      </c>
      <c r="I1093" s="221" t="s">
        <v>3586</v>
      </c>
      <c r="J1093" s="221" t="s">
        <v>3023</v>
      </c>
      <c r="K1093" s="224" t="s">
        <v>3227</v>
      </c>
      <c r="L1093" s="225" t="str">
        <f>VLOOKUP(Logfile_S[[#This Row],[Material Name]],Sheet2!B:C,2,0)</f>
        <v>ZTE1001</v>
      </c>
      <c r="M1093" s="225" t="str">
        <f>_xlfn.XLOOKUP(Logfile_S[[#This Row],[Material Name]],Sum_WH!E:E,Sum_WH!F:F,"",0)</f>
        <v>Pcs</v>
      </c>
      <c r="N1093" s="221">
        <v>3</v>
      </c>
      <c r="O1093" s="221" t="s">
        <v>336</v>
      </c>
      <c r="P1093" s="221" t="s">
        <v>337</v>
      </c>
      <c r="Q1093" s="221">
        <v>0</v>
      </c>
      <c r="R1093" s="221" t="s">
        <v>3147</v>
      </c>
      <c r="S1093" s="221"/>
      <c r="T1093" s="221"/>
      <c r="U1093" s="221"/>
      <c r="V1093" s="221"/>
      <c r="W1093" s="221"/>
      <c r="X1093" s="221" t="s">
        <v>3300</v>
      </c>
      <c r="Y1093" s="227"/>
      <c r="Z1093" s="227" t="str">
        <f>P1093</f>
        <v>Sidorahayu RW 02 Wagir</v>
      </c>
      <c r="AA1093" s="276" t="e">
        <f>VLOOKUP(Logfile_S[[#This Row],[DO number]],DO_DB!G:I,3,0)</f>
        <v>#N/A</v>
      </c>
      <c r="AB1093" s="331" t="e">
        <f>EXACT(Logfile_S[[#This Row],[date pick]],Logfile_S[[#This Row],[Date]])</f>
        <v>#N/A</v>
      </c>
      <c r="AC10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94" spans="1:29" ht="14.5">
      <c r="A1094" s="220" t="str">
        <f>TEXT(ROW(A1094)-ROW($A$4),"000")</f>
        <v>1090</v>
      </c>
      <c r="B1094" s="221"/>
      <c r="C1094" s="221" t="s">
        <v>49</v>
      </c>
      <c r="D1094" s="221" t="s">
        <v>3764</v>
      </c>
      <c r="E1094" s="221" t="s">
        <v>3295</v>
      </c>
      <c r="F1094" s="221" t="s">
        <v>3299</v>
      </c>
      <c r="G1094" s="222">
        <v>45217</v>
      </c>
      <c r="H1094" s="223">
        <v>0.34652777777777777</v>
      </c>
      <c r="I1094" s="221" t="s">
        <v>4916</v>
      </c>
      <c r="J1094" s="221" t="s">
        <v>3023</v>
      </c>
      <c r="K1094" s="224" t="s">
        <v>3069</v>
      </c>
      <c r="L1094" s="225" t="str">
        <f>VLOOKUP(Logfile_S[[#This Row],[Material Name]],Sheet2!B:C,2,0)</f>
        <v>ZTE1001</v>
      </c>
      <c r="M1094" s="225" t="str">
        <f>_xlfn.XLOOKUP(Logfile_S[[#This Row],[Material Name]],Sum_WH!E:E,Sum_WH!F:F,"",0)</f>
        <v>Pcs</v>
      </c>
      <c r="N1094" s="221">
        <v>17</v>
      </c>
      <c r="O1094" s="221" t="s">
        <v>336</v>
      </c>
      <c r="P1094" s="221" t="s">
        <v>337</v>
      </c>
      <c r="Q1094" s="221"/>
      <c r="R1094" s="221"/>
      <c r="S1094" s="221"/>
      <c r="T1094" s="221" t="s">
        <v>3487</v>
      </c>
      <c r="U1094" s="221">
        <v>0</v>
      </c>
      <c r="V1094" s="221" t="s">
        <v>3488</v>
      </c>
      <c r="W1094" s="221" t="s">
        <v>3489</v>
      </c>
      <c r="X1094" s="221"/>
      <c r="Y1094" s="227"/>
      <c r="Z1094" s="227" t="str">
        <f>P1094</f>
        <v>Sidorahayu RW 02 Wagir</v>
      </c>
      <c r="AA1094" s="276" t="e">
        <f>VLOOKUP(Logfile_S[[#This Row],[DO number]],DO_DB!G:I,3,0)</f>
        <v>#N/A</v>
      </c>
      <c r="AB1094" s="331" t="e">
        <f>EXACT(Logfile_S[[#This Row],[date pick]],Logfile_S[[#This Row],[Date]])</f>
        <v>#N/A</v>
      </c>
      <c r="AC10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95" spans="1:29" ht="14.5">
      <c r="A1095" s="220" t="str">
        <f>TEXT(ROW(A1095)-ROW($A$4),"000")</f>
        <v>1091</v>
      </c>
      <c r="B1095" s="221"/>
      <c r="C1095" s="221" t="s">
        <v>49</v>
      </c>
      <c r="D1095" s="221" t="s">
        <v>3788</v>
      </c>
      <c r="E1095" s="221" t="s">
        <v>3295</v>
      </c>
      <c r="F1095" s="221" t="s">
        <v>3299</v>
      </c>
      <c r="G1095" s="222">
        <v>45221</v>
      </c>
      <c r="H1095" s="223">
        <v>0.9375</v>
      </c>
      <c r="I1095" s="221" t="s">
        <v>4916</v>
      </c>
      <c r="J1095" s="221" t="s">
        <v>3024</v>
      </c>
      <c r="K1095" s="224" t="s">
        <v>3237</v>
      </c>
      <c r="L1095" s="225" t="str">
        <f>VLOOKUP(Logfile_S[[#This Row],[Material Name]],Sheet2!B:C,2,0)</f>
        <v>GCI1005</v>
      </c>
      <c r="M1095" s="225" t="str">
        <f>_xlfn.XLOOKUP(Logfile_S[[#This Row],[Material Name]],Sum_WH!E:E,Sum_WH!F:F,"",0)</f>
        <v>Pcs</v>
      </c>
      <c r="N1095" s="221">
        <v>44</v>
      </c>
      <c r="O1095" s="221" t="s">
        <v>336</v>
      </c>
      <c r="P1095" s="221" t="s">
        <v>337</v>
      </c>
      <c r="Q1095" s="221"/>
      <c r="R1095" s="221"/>
      <c r="S1095" s="221"/>
      <c r="T1095" s="221" t="s">
        <v>3332</v>
      </c>
      <c r="U1095" s="221">
        <v>0</v>
      </c>
      <c r="V1095" s="221" t="s">
        <v>3333</v>
      </c>
      <c r="W1095" s="221" t="s">
        <v>3334</v>
      </c>
      <c r="X1095" s="221"/>
      <c r="Y1095" s="227"/>
      <c r="Z1095" s="227" t="str">
        <f>P1095</f>
        <v>Sidorahayu RW 02 Wagir</v>
      </c>
      <c r="AA1095" s="276" t="e">
        <f>VLOOKUP(Logfile_S[[#This Row],[DO number]],DO_DB!G:I,3,0)</f>
        <v>#N/A</v>
      </c>
      <c r="AB1095" s="331" t="e">
        <f>EXACT(Logfile_S[[#This Row],[date pick]],Logfile_S[[#This Row],[Date]])</f>
        <v>#N/A</v>
      </c>
      <c r="AC10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96" spans="1:29" ht="14.5">
      <c r="A1096" s="220" t="str">
        <f>TEXT(ROW(A1096)-ROW($A$4),"000")</f>
        <v>1092</v>
      </c>
      <c r="B1096" s="221"/>
      <c r="C1096" s="221" t="s">
        <v>48</v>
      </c>
      <c r="D1096" s="221" t="s">
        <v>3789</v>
      </c>
      <c r="E1096" s="221" t="s">
        <v>3295</v>
      </c>
      <c r="F1096" s="221" t="s">
        <v>3299</v>
      </c>
      <c r="G1096" s="222">
        <v>45221</v>
      </c>
      <c r="H1096" s="223">
        <v>15.291666666666666</v>
      </c>
      <c r="I1096" s="221" t="s">
        <v>38</v>
      </c>
      <c r="J1096" s="221" t="s">
        <v>3024</v>
      </c>
      <c r="K1096" s="224" t="s">
        <v>3087</v>
      </c>
      <c r="L1096" s="225" t="str">
        <f>VLOOKUP(Logfile_S[[#This Row],[Material Name]],Sheet2!B:C,2,0)</f>
        <v>GCI1001</v>
      </c>
      <c r="M1096" s="225" t="str">
        <f>_xlfn.XLOOKUP(Logfile_S[[#This Row],[Material Name]],Sum_WH!E:E,Sum_WH!F:F,"",0)</f>
        <v>Pcs</v>
      </c>
      <c r="N1096" s="221">
        <v>10</v>
      </c>
      <c r="O1096" s="221" t="s">
        <v>336</v>
      </c>
      <c r="P1096" s="221" t="s">
        <v>337</v>
      </c>
      <c r="Q1096" s="221">
        <v>0</v>
      </c>
      <c r="R1096" s="221">
        <v>0</v>
      </c>
      <c r="S1096" s="221"/>
      <c r="T1096" s="221"/>
      <c r="U1096" s="221"/>
      <c r="V1096" s="221"/>
      <c r="W1096" s="221"/>
      <c r="X1096" s="221"/>
      <c r="Y1096" s="227"/>
      <c r="Z1096" s="227" t="str">
        <f>P1096</f>
        <v>Sidorahayu RW 02 Wagir</v>
      </c>
      <c r="AA1096" s="276" t="e">
        <f>VLOOKUP(Logfile_S[[#This Row],[DO number]],DO_DB!G:I,3,0)</f>
        <v>#N/A</v>
      </c>
      <c r="AB1096" s="331" t="e">
        <f>EXACT(Logfile_S[[#This Row],[date pick]],Logfile_S[[#This Row],[Date]])</f>
        <v>#N/A</v>
      </c>
      <c r="AC10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97" spans="1:29" ht="14.5">
      <c r="A1097" s="220" t="str">
        <f>TEXT(ROW(A1097)-ROW($A$4),"000")</f>
        <v>1093</v>
      </c>
      <c r="B1097" s="221"/>
      <c r="C1097" s="221" t="s">
        <v>49</v>
      </c>
      <c r="D1097" s="221" t="s">
        <v>3788</v>
      </c>
      <c r="E1097" s="221" t="s">
        <v>3295</v>
      </c>
      <c r="F1097" s="221" t="s">
        <v>3299</v>
      </c>
      <c r="G1097" s="222">
        <v>45221</v>
      </c>
      <c r="H1097" s="223">
        <v>0.9375</v>
      </c>
      <c r="I1097" s="221" t="s">
        <v>4916</v>
      </c>
      <c r="J1097" s="221" t="s">
        <v>3024</v>
      </c>
      <c r="K1097" s="224" t="s">
        <v>3087</v>
      </c>
      <c r="L1097" s="225" t="str">
        <f>VLOOKUP(Logfile_S[[#This Row],[Material Name]],Sheet2!B:C,2,0)</f>
        <v>GCI1001</v>
      </c>
      <c r="M1097" s="225" t="str">
        <f>_xlfn.XLOOKUP(Logfile_S[[#This Row],[Material Name]],Sum_WH!E:E,Sum_WH!F:F,"",0)</f>
        <v>Pcs</v>
      </c>
      <c r="N1097" s="221">
        <v>15</v>
      </c>
      <c r="O1097" s="221" t="s">
        <v>336</v>
      </c>
      <c r="P1097" s="221" t="s">
        <v>337</v>
      </c>
      <c r="Q1097" s="221"/>
      <c r="R1097" s="221"/>
      <c r="S1097" s="221"/>
      <c r="T1097" s="221" t="s">
        <v>3332</v>
      </c>
      <c r="U1097" s="221">
        <v>0</v>
      </c>
      <c r="V1097" s="221" t="s">
        <v>3333</v>
      </c>
      <c r="W1097" s="221" t="s">
        <v>3334</v>
      </c>
      <c r="X1097" s="221"/>
      <c r="Y1097" s="227"/>
      <c r="Z1097" s="227" t="str">
        <f>P1097</f>
        <v>Sidorahayu RW 02 Wagir</v>
      </c>
      <c r="AA1097" s="276" t="e">
        <f>VLOOKUP(Logfile_S[[#This Row],[DO number]],DO_DB!G:I,3,0)</f>
        <v>#N/A</v>
      </c>
      <c r="AB1097" s="331" t="e">
        <f>EXACT(Logfile_S[[#This Row],[date pick]],Logfile_S[[#This Row],[Date]])</f>
        <v>#N/A</v>
      </c>
      <c r="AC10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98" spans="1:29" ht="14.5">
      <c r="A1098" s="220" t="str">
        <f>TEXT(ROW(A1098)-ROW($A$4),"000")</f>
        <v>1094</v>
      </c>
      <c r="B1098" s="221"/>
      <c r="C1098" s="221" t="s">
        <v>49</v>
      </c>
      <c r="D1098" s="221" t="s">
        <v>3788</v>
      </c>
      <c r="E1098" s="221" t="s">
        <v>3295</v>
      </c>
      <c r="F1098" s="221" t="s">
        <v>3299</v>
      </c>
      <c r="G1098" s="222">
        <v>45221</v>
      </c>
      <c r="H1098" s="223">
        <v>0.9375</v>
      </c>
      <c r="I1098" s="221" t="s">
        <v>4916</v>
      </c>
      <c r="J1098" s="221" t="s">
        <v>3024</v>
      </c>
      <c r="K1098" s="224" t="s">
        <v>5137</v>
      </c>
      <c r="L1098" s="225" t="str">
        <f>VLOOKUP(Logfile_S[[#This Row],[Material Name]],Sheet2!B:C,2,0)</f>
        <v>GCI1009</v>
      </c>
      <c r="M1098" s="225" t="str">
        <f>_xlfn.XLOOKUP(Logfile_S[[#This Row],[Material Name]],Sum_WH!E:E,Sum_WH!F:F,"",0)</f>
        <v>Pcs</v>
      </c>
      <c r="N1098" s="221">
        <v>36</v>
      </c>
      <c r="O1098" s="221" t="s">
        <v>336</v>
      </c>
      <c r="P1098" s="221" t="s">
        <v>337</v>
      </c>
      <c r="Q1098" s="221"/>
      <c r="R1098" s="221"/>
      <c r="S1098" s="221"/>
      <c r="T1098" s="221" t="s">
        <v>3332</v>
      </c>
      <c r="U1098" s="221">
        <v>0</v>
      </c>
      <c r="V1098" s="221" t="s">
        <v>3333</v>
      </c>
      <c r="W1098" s="221" t="s">
        <v>3334</v>
      </c>
      <c r="X1098" s="221"/>
      <c r="Y1098" s="227"/>
      <c r="Z1098" s="227" t="str">
        <f>P1098</f>
        <v>Sidorahayu RW 02 Wagir</v>
      </c>
      <c r="AA1098" s="276" t="e">
        <f>VLOOKUP(Logfile_S[[#This Row],[DO number]],DO_DB!G:I,3,0)</f>
        <v>#N/A</v>
      </c>
      <c r="AB1098" s="331" t="e">
        <f>EXACT(Logfile_S[[#This Row],[date pick]],Logfile_S[[#This Row],[Date]])</f>
        <v>#N/A</v>
      </c>
      <c r="AC10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099" spans="1:29" ht="14.5">
      <c r="A1099" s="220" t="str">
        <f>TEXT(ROW(A1099)-ROW($A$4),"000")</f>
        <v>1095</v>
      </c>
      <c r="B1099" s="221"/>
      <c r="C1099" s="221" t="s">
        <v>49</v>
      </c>
      <c r="D1099" s="221" t="s">
        <v>3788</v>
      </c>
      <c r="E1099" s="221" t="s">
        <v>3295</v>
      </c>
      <c r="F1099" s="221" t="s">
        <v>3299</v>
      </c>
      <c r="G1099" s="222">
        <v>45221</v>
      </c>
      <c r="H1099" s="223">
        <v>0.9375</v>
      </c>
      <c r="I1099" s="221" t="s">
        <v>4916</v>
      </c>
      <c r="J1099" s="221" t="s">
        <v>3024</v>
      </c>
      <c r="K1099" s="224" t="s">
        <v>3088</v>
      </c>
      <c r="L1099" s="225" t="str">
        <f>VLOOKUP(Logfile_S[[#This Row],[Material Name]],Sheet2!B:C,2,0)</f>
        <v>GCI1002</v>
      </c>
      <c r="M1099" s="225" t="str">
        <f>_xlfn.XLOOKUP(Logfile_S[[#This Row],[Material Name]],Sum_WH!E:E,Sum_WH!F:F,"",0)</f>
        <v>Pcs</v>
      </c>
      <c r="N1099" s="221">
        <v>1</v>
      </c>
      <c r="O1099" s="221" t="s">
        <v>336</v>
      </c>
      <c r="P1099" s="221" t="s">
        <v>337</v>
      </c>
      <c r="Q1099" s="221"/>
      <c r="R1099" s="221"/>
      <c r="S1099" s="221"/>
      <c r="T1099" s="221" t="s">
        <v>3332</v>
      </c>
      <c r="U1099" s="221">
        <v>0</v>
      </c>
      <c r="V1099" s="221" t="s">
        <v>3333</v>
      </c>
      <c r="W1099" s="221" t="s">
        <v>3334</v>
      </c>
      <c r="X1099" s="221"/>
      <c r="Y1099" s="227"/>
      <c r="Z1099" s="227" t="str">
        <f>P1099</f>
        <v>Sidorahayu RW 02 Wagir</v>
      </c>
      <c r="AA1099" s="276" t="e">
        <f>VLOOKUP(Logfile_S[[#This Row],[DO number]],DO_DB!G:I,3,0)</f>
        <v>#N/A</v>
      </c>
      <c r="AB1099" s="331" t="e">
        <f>EXACT(Logfile_S[[#This Row],[date pick]],Logfile_S[[#This Row],[Date]])</f>
        <v>#N/A</v>
      </c>
      <c r="AC10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00" spans="1:29" ht="14.5">
      <c r="A1100" s="220" t="str">
        <f>TEXT(ROW(A1100)-ROW($A$4),"000")</f>
        <v>1096</v>
      </c>
      <c r="B1100" s="221"/>
      <c r="C1100" s="221" t="s">
        <v>49</v>
      </c>
      <c r="D1100" s="221" t="s">
        <v>3788</v>
      </c>
      <c r="E1100" s="221" t="s">
        <v>3295</v>
      </c>
      <c r="F1100" s="221" t="s">
        <v>3299</v>
      </c>
      <c r="G1100" s="222">
        <v>45221</v>
      </c>
      <c r="H1100" s="223">
        <v>0.9375</v>
      </c>
      <c r="I1100" s="221" t="s">
        <v>4916</v>
      </c>
      <c r="J1100" s="221" t="s">
        <v>3024</v>
      </c>
      <c r="K1100" s="224" t="s">
        <v>3094</v>
      </c>
      <c r="L1100" s="225" t="str">
        <f>VLOOKUP(Logfile_S[[#This Row],[Material Name]],Sheet2!B:C,2,0)</f>
        <v>GCI1008</v>
      </c>
      <c r="M1100" s="225" t="str">
        <f>_xlfn.XLOOKUP(Logfile_S[[#This Row],[Material Name]],Sum_WH!E:E,Sum_WH!F:F,"",0)</f>
        <v>Pcs</v>
      </c>
      <c r="N1100" s="221">
        <v>35</v>
      </c>
      <c r="O1100" s="221" t="s">
        <v>336</v>
      </c>
      <c r="P1100" s="221" t="s">
        <v>337</v>
      </c>
      <c r="Q1100" s="221"/>
      <c r="R1100" s="221"/>
      <c r="S1100" s="221"/>
      <c r="T1100" s="221" t="s">
        <v>3332</v>
      </c>
      <c r="U1100" s="221">
        <v>0</v>
      </c>
      <c r="V1100" s="221" t="s">
        <v>3333</v>
      </c>
      <c r="W1100" s="221" t="s">
        <v>3334</v>
      </c>
      <c r="X1100" s="221"/>
      <c r="Y1100" s="227"/>
      <c r="Z1100" s="227" t="str">
        <f>P1100</f>
        <v>Sidorahayu RW 02 Wagir</v>
      </c>
      <c r="AA1100" s="276" t="e">
        <f>VLOOKUP(Logfile_S[[#This Row],[DO number]],DO_DB!G:I,3,0)</f>
        <v>#N/A</v>
      </c>
      <c r="AB1100" s="331" t="e">
        <f>EXACT(Logfile_S[[#This Row],[date pick]],Logfile_S[[#This Row],[Date]])</f>
        <v>#N/A</v>
      </c>
      <c r="AC11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01" spans="1:29" ht="14.5">
      <c r="A1101" s="220" t="str">
        <f>TEXT(ROW(A1101)-ROW($A$4),"000")</f>
        <v>1097</v>
      </c>
      <c r="B1101" s="221"/>
      <c r="C1101" s="221" t="s">
        <v>49</v>
      </c>
      <c r="D1101" s="221" t="s">
        <v>3788</v>
      </c>
      <c r="E1101" s="221" t="s">
        <v>3295</v>
      </c>
      <c r="F1101" s="221" t="s">
        <v>3299</v>
      </c>
      <c r="G1101" s="222">
        <v>45221</v>
      </c>
      <c r="H1101" s="223">
        <v>0.9375</v>
      </c>
      <c r="I1101" s="221" t="s">
        <v>4916</v>
      </c>
      <c r="J1101" s="221" t="s">
        <v>3024</v>
      </c>
      <c r="K1101" s="224" t="s">
        <v>3089</v>
      </c>
      <c r="L1101" s="225" t="str">
        <f>VLOOKUP(Logfile_S[[#This Row],[Material Name]],Sheet2!B:C,2,0)</f>
        <v>GCI1003</v>
      </c>
      <c r="M1101" s="225" t="str">
        <f>_xlfn.XLOOKUP(Logfile_S[[#This Row],[Material Name]],Sum_WH!E:E,Sum_WH!F:F,"",0)</f>
        <v>Pcs</v>
      </c>
      <c r="N1101" s="221">
        <v>50</v>
      </c>
      <c r="O1101" s="221" t="s">
        <v>336</v>
      </c>
      <c r="P1101" s="221" t="s">
        <v>337</v>
      </c>
      <c r="Q1101" s="221"/>
      <c r="R1101" s="221"/>
      <c r="S1101" s="221"/>
      <c r="T1101" s="221" t="s">
        <v>3332</v>
      </c>
      <c r="U1101" s="221">
        <v>0</v>
      </c>
      <c r="V1101" s="221" t="s">
        <v>3333</v>
      </c>
      <c r="W1101" s="221" t="s">
        <v>3334</v>
      </c>
      <c r="X1101" s="221"/>
      <c r="Y1101" s="227"/>
      <c r="Z1101" s="227" t="str">
        <f>P1101</f>
        <v>Sidorahayu RW 02 Wagir</v>
      </c>
      <c r="AA1101" s="276" t="e">
        <f>VLOOKUP(Logfile_S[[#This Row],[DO number]],DO_DB!G:I,3,0)</f>
        <v>#N/A</v>
      </c>
      <c r="AB1101" s="331" t="e">
        <f>EXACT(Logfile_S[[#This Row],[date pick]],Logfile_S[[#This Row],[Date]])</f>
        <v>#N/A</v>
      </c>
      <c r="AC11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02" spans="1:29" ht="14.5">
      <c r="A1102" s="220" t="str">
        <f>TEXT(ROW(A1102)-ROW($A$4),"000")</f>
        <v>1098</v>
      </c>
      <c r="B1102" s="221"/>
      <c r="C1102" s="221" t="s">
        <v>49</v>
      </c>
      <c r="D1102" s="221" t="s">
        <v>3788</v>
      </c>
      <c r="E1102" s="221" t="s">
        <v>3295</v>
      </c>
      <c r="F1102" s="221" t="s">
        <v>3299</v>
      </c>
      <c r="G1102" s="222">
        <v>45221</v>
      </c>
      <c r="H1102" s="223">
        <v>0.9375</v>
      </c>
      <c r="I1102" s="221" t="s">
        <v>4916</v>
      </c>
      <c r="J1102" s="221" t="s">
        <v>3024</v>
      </c>
      <c r="K1102" s="224" t="s">
        <v>3090</v>
      </c>
      <c r="L1102" s="225" t="str">
        <f>VLOOKUP(Logfile_S[[#This Row],[Material Name]],Sheet2!B:C,2,0)</f>
        <v>GCI1004</v>
      </c>
      <c r="M1102" s="225" t="str">
        <f>_xlfn.XLOOKUP(Logfile_S[[#This Row],[Material Name]],Sum_WH!E:E,Sum_WH!F:F,"",0)</f>
        <v>Pcs</v>
      </c>
      <c r="N1102" s="221">
        <v>14</v>
      </c>
      <c r="O1102" s="221" t="s">
        <v>336</v>
      </c>
      <c r="P1102" s="221" t="s">
        <v>337</v>
      </c>
      <c r="Q1102" s="221"/>
      <c r="R1102" s="221"/>
      <c r="S1102" s="221"/>
      <c r="T1102" s="221" t="s">
        <v>3332</v>
      </c>
      <c r="U1102" s="221">
        <v>0</v>
      </c>
      <c r="V1102" s="221" t="s">
        <v>3333</v>
      </c>
      <c r="W1102" s="221" t="s">
        <v>3334</v>
      </c>
      <c r="X1102" s="221"/>
      <c r="Y1102" s="227"/>
      <c r="Z1102" s="227" t="str">
        <f>P1102</f>
        <v>Sidorahayu RW 02 Wagir</v>
      </c>
      <c r="AA1102" s="276" t="e">
        <f>VLOOKUP(Logfile_S[[#This Row],[DO number]],DO_DB!G:I,3,0)</f>
        <v>#N/A</v>
      </c>
      <c r="AB1102" s="331" t="e">
        <f>EXACT(Logfile_S[[#This Row],[date pick]],Logfile_S[[#This Row],[Date]])</f>
        <v>#N/A</v>
      </c>
      <c r="AC11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03" spans="1:29" ht="14.5">
      <c r="A1103" s="220" t="str">
        <f>TEXT(ROW(A1103)-ROW($A$4),"000")</f>
        <v>1099</v>
      </c>
      <c r="B1103" s="221"/>
      <c r="C1103" s="221" t="s">
        <v>49</v>
      </c>
      <c r="D1103" s="221" t="s">
        <v>3801</v>
      </c>
      <c r="E1103" s="221" t="s">
        <v>3295</v>
      </c>
      <c r="F1103" s="221" t="s">
        <v>3299</v>
      </c>
      <c r="G1103" s="222">
        <v>45228</v>
      </c>
      <c r="H1103" s="223">
        <v>0.9375</v>
      </c>
      <c r="I1103" s="221" t="s">
        <v>4916</v>
      </c>
      <c r="J1103" s="221" t="s">
        <v>3023</v>
      </c>
      <c r="K1103" s="224" t="s">
        <v>13</v>
      </c>
      <c r="L1103" s="225" t="str">
        <f>VLOOKUP(Logfile_S[[#This Row],[Material Name]],Sheet2!B:C,2,0)</f>
        <v>ZTE2008</v>
      </c>
      <c r="M1103" s="225" t="str">
        <f>_xlfn.XLOOKUP(Logfile_S[[#This Row],[Material Name]],Sum_WH!E:E,Sum_WH!F:F,"",0)</f>
        <v>Pcs</v>
      </c>
      <c r="N1103" s="221">
        <v>6</v>
      </c>
      <c r="O1103" s="221" t="s">
        <v>336</v>
      </c>
      <c r="P1103" s="221" t="s">
        <v>337</v>
      </c>
      <c r="Q1103" s="221"/>
      <c r="R1103" s="221"/>
      <c r="S1103" s="221"/>
      <c r="T1103" s="221" t="s">
        <v>3332</v>
      </c>
      <c r="U1103" s="221">
        <v>0</v>
      </c>
      <c r="V1103" s="221" t="s">
        <v>3333</v>
      </c>
      <c r="W1103" s="221" t="s">
        <v>3334</v>
      </c>
      <c r="X1103" s="221"/>
      <c r="Y1103" s="227"/>
      <c r="Z1103" s="227" t="str">
        <f>P1103</f>
        <v>Sidorahayu RW 02 Wagir</v>
      </c>
      <c r="AA1103" s="276" t="e">
        <f>VLOOKUP(Logfile_S[[#This Row],[DO number]],DO_DB!G:I,3,0)</f>
        <v>#N/A</v>
      </c>
      <c r="AB1103" s="331" t="e">
        <f>EXACT(Logfile_S[[#This Row],[date pick]],Logfile_S[[#This Row],[Date]])</f>
        <v>#N/A</v>
      </c>
      <c r="AC11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04" spans="1:29" ht="14.5">
      <c r="A1104" s="220" t="str">
        <f>TEXT(ROW(A1104)-ROW($A$4),"000")</f>
        <v>1100</v>
      </c>
      <c r="B1104" s="221"/>
      <c r="C1104" s="221" t="s">
        <v>49</v>
      </c>
      <c r="D1104" s="221" t="s">
        <v>3835</v>
      </c>
      <c r="E1104" s="221" t="s">
        <v>3295</v>
      </c>
      <c r="F1104" s="221" t="s">
        <v>3299</v>
      </c>
      <c r="G1104" s="222">
        <v>45275</v>
      </c>
      <c r="H1104" s="223">
        <v>0.44097222222222227</v>
      </c>
      <c r="I1104" s="221" t="s">
        <v>4916</v>
      </c>
      <c r="J1104" s="221" t="s">
        <v>3023</v>
      </c>
      <c r="K1104" s="224" t="s">
        <v>3211</v>
      </c>
      <c r="L1104" s="225" t="str">
        <f>VLOOKUP(Logfile_S[[#This Row],[Material Name]],Sheet2!B:C,2,0)</f>
        <v>ZTE1002</v>
      </c>
      <c r="M1104" s="225" t="str">
        <f>_xlfn.XLOOKUP(Logfile_S[[#This Row],[Material Name]],Sum_WH!E:E,Sum_WH!F:F,"",0)</f>
        <v>Pcs</v>
      </c>
      <c r="N1104" s="221">
        <v>1</v>
      </c>
      <c r="O1104" s="221" t="s">
        <v>336</v>
      </c>
      <c r="P1104" s="221" t="s">
        <v>337</v>
      </c>
      <c r="Q1104" s="221"/>
      <c r="R1104" s="221"/>
      <c r="S1104" s="221"/>
      <c r="T1104" s="221" t="s">
        <v>3351</v>
      </c>
      <c r="U1104" s="221">
        <v>0</v>
      </c>
      <c r="V1104" s="221" t="s">
        <v>3352</v>
      </c>
      <c r="W1104" s="221" t="s">
        <v>3353</v>
      </c>
      <c r="X1104" s="221"/>
      <c r="Y1104" s="227"/>
      <c r="Z1104" s="227" t="str">
        <f>P1104</f>
        <v>Sidorahayu RW 02 Wagir</v>
      </c>
      <c r="AA1104" s="276" t="e">
        <f>VLOOKUP(Logfile_S[[#This Row],[DO number]],DO_DB!G:I,3,0)</f>
        <v>#N/A</v>
      </c>
      <c r="AB1104" s="331" t="e">
        <f>EXACT(Logfile_S[[#This Row],[date pick]],Logfile_S[[#This Row],[Date]])</f>
        <v>#N/A</v>
      </c>
      <c r="AC11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05" spans="1:29" ht="14.5">
      <c r="A1105" s="220" t="str">
        <f>TEXT(ROW(A1105)-ROW($A$4),"000")</f>
        <v>1101</v>
      </c>
      <c r="B1105" s="221"/>
      <c r="C1105" s="221" t="s">
        <v>49</v>
      </c>
      <c r="D1105" s="221" t="s">
        <v>3837</v>
      </c>
      <c r="E1105" s="221" t="s">
        <v>3295</v>
      </c>
      <c r="F1105" s="221" t="s">
        <v>3299</v>
      </c>
      <c r="G1105" s="222">
        <v>45276</v>
      </c>
      <c r="H1105" s="223">
        <v>0.32708333333333334</v>
      </c>
      <c r="I1105" s="221" t="s">
        <v>4916</v>
      </c>
      <c r="J1105" s="221" t="s">
        <v>3024</v>
      </c>
      <c r="K1105" s="224" t="s">
        <v>5137</v>
      </c>
      <c r="L1105" s="225" t="str">
        <f>VLOOKUP(Logfile_S[[#This Row],[Material Name]],Sheet2!B:C,2,0)</f>
        <v>GCI1009</v>
      </c>
      <c r="M1105" s="225" t="str">
        <f>_xlfn.XLOOKUP(Logfile_S[[#This Row],[Material Name]],Sum_WH!E:E,Sum_WH!F:F,"",0)</f>
        <v>Pcs</v>
      </c>
      <c r="N1105" s="221">
        <v>20</v>
      </c>
      <c r="O1105" s="221" t="s">
        <v>336</v>
      </c>
      <c r="P1105" s="221" t="s">
        <v>337</v>
      </c>
      <c r="Q1105" s="221"/>
      <c r="R1105" s="221"/>
      <c r="S1105" s="221"/>
      <c r="T1105" s="221" t="s">
        <v>3351</v>
      </c>
      <c r="U1105" s="221">
        <v>0</v>
      </c>
      <c r="V1105" s="221" t="s">
        <v>3352</v>
      </c>
      <c r="W1105" s="221" t="s">
        <v>3353</v>
      </c>
      <c r="X1105" s="221"/>
      <c r="Y1105" s="227"/>
      <c r="Z1105" s="227" t="str">
        <f>P1105</f>
        <v>Sidorahayu RW 02 Wagir</v>
      </c>
      <c r="AA1105" s="276" t="e">
        <f>VLOOKUP(Logfile_S[[#This Row],[DO number]],DO_DB!G:I,3,0)</f>
        <v>#N/A</v>
      </c>
      <c r="AB1105" s="331" t="e">
        <f>EXACT(Logfile_S[[#This Row],[date pick]],Logfile_S[[#This Row],[Date]])</f>
        <v>#N/A</v>
      </c>
      <c r="AC11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06" spans="1:29" ht="14.5">
      <c r="A1106" s="220" t="str">
        <f>TEXT(ROW(A1106)-ROW($A$4),"000")</f>
        <v>1102</v>
      </c>
      <c r="B1106" s="221"/>
      <c r="C1106" s="221" t="s">
        <v>49</v>
      </c>
      <c r="D1106" s="221" t="s">
        <v>3837</v>
      </c>
      <c r="E1106" s="221" t="s">
        <v>3295</v>
      </c>
      <c r="F1106" s="221" t="s">
        <v>3299</v>
      </c>
      <c r="G1106" s="222">
        <v>45276</v>
      </c>
      <c r="H1106" s="223">
        <v>0.32708333333333334</v>
      </c>
      <c r="I1106" s="221" t="s">
        <v>4916</v>
      </c>
      <c r="J1106" s="221" t="s">
        <v>3024</v>
      </c>
      <c r="K1106" s="224" t="s">
        <v>3094</v>
      </c>
      <c r="L1106" s="225" t="str">
        <f>VLOOKUP(Logfile_S[[#This Row],[Material Name]],Sheet2!B:C,2,0)</f>
        <v>GCI1008</v>
      </c>
      <c r="M1106" s="225" t="str">
        <f>_xlfn.XLOOKUP(Logfile_S[[#This Row],[Material Name]],Sum_WH!E:E,Sum_WH!F:F,"",0)</f>
        <v>Pcs</v>
      </c>
      <c r="N1106" s="221">
        <v>15</v>
      </c>
      <c r="O1106" s="221" t="s">
        <v>336</v>
      </c>
      <c r="P1106" s="221" t="s">
        <v>337</v>
      </c>
      <c r="Q1106" s="221"/>
      <c r="R1106" s="221"/>
      <c r="S1106" s="221"/>
      <c r="T1106" s="221" t="s">
        <v>3351</v>
      </c>
      <c r="U1106" s="221">
        <v>0</v>
      </c>
      <c r="V1106" s="221" t="s">
        <v>3352</v>
      </c>
      <c r="W1106" s="221" t="s">
        <v>3353</v>
      </c>
      <c r="X1106" s="221"/>
      <c r="Y1106" s="227"/>
      <c r="Z1106" s="227" t="str">
        <f>P1106</f>
        <v>Sidorahayu RW 02 Wagir</v>
      </c>
      <c r="AA1106" s="276" t="e">
        <f>VLOOKUP(Logfile_S[[#This Row],[DO number]],DO_DB!G:I,3,0)</f>
        <v>#N/A</v>
      </c>
      <c r="AB1106" s="331" t="e">
        <f>EXACT(Logfile_S[[#This Row],[date pick]],Logfile_S[[#This Row],[Date]])</f>
        <v>#N/A</v>
      </c>
      <c r="AC11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07" spans="1:29" ht="14.5">
      <c r="A1107" s="220" t="str">
        <f>TEXT(ROW(A1107)-ROW($A$4),"000")</f>
        <v>1103</v>
      </c>
      <c r="B1107" s="221"/>
      <c r="C1107" s="221" t="s">
        <v>48</v>
      </c>
      <c r="D1107" s="221" t="s">
        <v>3754</v>
      </c>
      <c r="E1107" s="221" t="s">
        <v>3295</v>
      </c>
      <c r="F1107" s="221" t="s">
        <v>3299</v>
      </c>
      <c r="G1107" s="222">
        <v>45213</v>
      </c>
      <c r="H1107" s="223">
        <v>15.291666666666666</v>
      </c>
      <c r="I1107" s="221" t="s">
        <v>37</v>
      </c>
      <c r="J1107" s="221" t="s">
        <v>3023</v>
      </c>
      <c r="K1107" s="224" t="s">
        <v>3075</v>
      </c>
      <c r="L1107" s="225" t="str">
        <f>VLOOKUP(Logfile_S[[#This Row],[Material Name]],Sheet2!B:C,2,0)</f>
        <v>ZTE2003</v>
      </c>
      <c r="M1107" s="225" t="str">
        <f>_xlfn.XLOOKUP(Logfile_S[[#This Row],[Material Name]],Sum_WH!E:E,Sum_WH!F:F,"",0)</f>
        <v>Meter</v>
      </c>
      <c r="N1107" s="221">
        <v>3000</v>
      </c>
      <c r="O1107" s="221" t="s">
        <v>340</v>
      </c>
      <c r="P1107" s="221" t="s">
        <v>341</v>
      </c>
      <c r="Q1107" s="221" t="s">
        <v>342</v>
      </c>
      <c r="R1107" s="221" t="s">
        <v>343</v>
      </c>
      <c r="S1107" s="221"/>
      <c r="T1107" s="221"/>
      <c r="U1107" s="221"/>
      <c r="V1107" s="221"/>
      <c r="W1107" s="221"/>
      <c r="X1107" s="221"/>
      <c r="Y1107" s="227" t="s">
        <v>5055</v>
      </c>
      <c r="Z1107" s="227" t="str">
        <f>P1107</f>
        <v>Jedong RW 08 Wagir</v>
      </c>
      <c r="AA1107" s="276">
        <f>VLOOKUP(Logfile_S[[#This Row],[DO number]],DO_DB!G:I,3,0)</f>
        <v>45213</v>
      </c>
      <c r="AB1107" s="331" t="b">
        <f>EXACT(Logfile_S[[#This Row],[date pick]],Logfile_S[[#This Row],[Date]])</f>
        <v>1</v>
      </c>
      <c r="AC11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48C-20231014-02</v>
      </c>
    </row>
    <row r="1108" spans="1:29" ht="14.5">
      <c r="A1108" s="220" t="str">
        <f>TEXT(ROW(A1108)-ROW($A$4),"000")</f>
        <v>1104</v>
      </c>
      <c r="B1108" s="221"/>
      <c r="C1108" s="221" t="s">
        <v>48</v>
      </c>
      <c r="D1108" s="221" t="s">
        <v>3754</v>
      </c>
      <c r="E1108" s="221" t="s">
        <v>3295</v>
      </c>
      <c r="F1108" s="221" t="s">
        <v>3299</v>
      </c>
      <c r="G1108" s="222">
        <v>45213</v>
      </c>
      <c r="H1108" s="223">
        <v>15.291666666666666</v>
      </c>
      <c r="I1108" s="221" t="s">
        <v>37</v>
      </c>
      <c r="J1108" s="221" t="s">
        <v>3023</v>
      </c>
      <c r="K1108" s="224" t="s">
        <v>13</v>
      </c>
      <c r="L1108" s="225" t="str">
        <f>VLOOKUP(Logfile_S[[#This Row],[Material Name]],Sheet2!B:C,2,0)</f>
        <v>ZTE2008</v>
      </c>
      <c r="M1108" s="225" t="str">
        <f>_xlfn.XLOOKUP(Logfile_S[[#This Row],[Material Name]],Sum_WH!E:E,Sum_WH!F:F,"",0)</f>
        <v>Pcs</v>
      </c>
      <c r="N1108" s="221">
        <v>5</v>
      </c>
      <c r="O1108" s="221" t="s">
        <v>340</v>
      </c>
      <c r="P1108" s="221" t="s">
        <v>341</v>
      </c>
      <c r="Q1108" s="221" t="s">
        <v>342</v>
      </c>
      <c r="R1108" s="221" t="s">
        <v>343</v>
      </c>
      <c r="S1108" s="221"/>
      <c r="T1108" s="221"/>
      <c r="U1108" s="221"/>
      <c r="V1108" s="221"/>
      <c r="W1108" s="221"/>
      <c r="X1108" s="221"/>
      <c r="Y1108" s="227"/>
      <c r="Z1108" s="227" t="str">
        <f>P1108</f>
        <v>Jedong RW 08 Wagir</v>
      </c>
      <c r="AA1108" s="276">
        <f>VLOOKUP(Logfile_S[[#This Row],[DO number]],DO_DB!G:I,3,0)</f>
        <v>45213</v>
      </c>
      <c r="AB1108" s="331" t="b">
        <f>EXACT(Logfile_S[[#This Row],[date pick]],Logfile_S[[#This Row],[Date]])</f>
        <v>1</v>
      </c>
      <c r="AC11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09" spans="1:29" ht="14.5">
      <c r="A1109" s="220" t="str">
        <f>TEXT(ROW(A1109)-ROW($A$4),"000")</f>
        <v>1105</v>
      </c>
      <c r="B1109" s="221"/>
      <c r="C1109" s="221" t="s">
        <v>48</v>
      </c>
      <c r="D1109" s="221" t="s">
        <v>3754</v>
      </c>
      <c r="E1109" s="221" t="s">
        <v>3295</v>
      </c>
      <c r="F1109" s="221" t="s">
        <v>3299</v>
      </c>
      <c r="G1109" s="222">
        <v>45213</v>
      </c>
      <c r="H1109" s="223">
        <v>15.291666666666666</v>
      </c>
      <c r="I1109" s="221" t="s">
        <v>37</v>
      </c>
      <c r="J1109" s="221" t="s">
        <v>3023</v>
      </c>
      <c r="K1109" s="224" t="s">
        <v>14</v>
      </c>
      <c r="L1109" s="225" t="str">
        <f>VLOOKUP(Logfile_S[[#This Row],[Material Name]],Sheet2!B:C,2,0)</f>
        <v>ZTE2005</v>
      </c>
      <c r="M1109" s="225" t="str">
        <f>_xlfn.XLOOKUP(Logfile_S[[#This Row],[Material Name]],Sum_WH!E:E,Sum_WH!F:F,"",0)</f>
        <v>Pcs</v>
      </c>
      <c r="N1109" s="221">
        <v>1</v>
      </c>
      <c r="O1109" s="221" t="s">
        <v>340</v>
      </c>
      <c r="P1109" s="221" t="s">
        <v>341</v>
      </c>
      <c r="Q1109" s="221" t="s">
        <v>342</v>
      </c>
      <c r="R1109" s="221" t="s">
        <v>343</v>
      </c>
      <c r="S1109" s="221"/>
      <c r="T1109" s="221"/>
      <c r="U1109" s="221"/>
      <c r="V1109" s="221"/>
      <c r="W1109" s="221"/>
      <c r="X1109" s="221"/>
      <c r="Y1109" s="227"/>
      <c r="Z1109" s="227" t="str">
        <f>P1109</f>
        <v>Jedong RW 08 Wagir</v>
      </c>
      <c r="AA1109" s="276">
        <f>VLOOKUP(Logfile_S[[#This Row],[DO number]],DO_DB!G:I,3,0)</f>
        <v>45213</v>
      </c>
      <c r="AB1109" s="331" t="b">
        <f>EXACT(Logfile_S[[#This Row],[date pick]],Logfile_S[[#This Row],[Date]])</f>
        <v>1</v>
      </c>
      <c r="AC11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10" spans="1:29" ht="14.5">
      <c r="A1110" s="220" t="str">
        <f>TEXT(ROW(A1110)-ROW($A$4),"000")</f>
        <v>1106</v>
      </c>
      <c r="B1110" s="221"/>
      <c r="C1110" s="221" t="s">
        <v>48</v>
      </c>
      <c r="D1110" s="221" t="s">
        <v>3754</v>
      </c>
      <c r="E1110" s="221" t="s">
        <v>3295</v>
      </c>
      <c r="F1110" s="221" t="s">
        <v>3299</v>
      </c>
      <c r="G1110" s="222">
        <v>45213</v>
      </c>
      <c r="H1110" s="223">
        <v>15.291666666666666</v>
      </c>
      <c r="I1110" s="221" t="s">
        <v>37</v>
      </c>
      <c r="J1110" s="221" t="s">
        <v>3023</v>
      </c>
      <c r="K1110" s="224" t="s">
        <v>3208</v>
      </c>
      <c r="L1110" s="225" t="str">
        <f>VLOOKUP(Logfile_S[[#This Row],[Material Name]],Sheet2!B:C,2,0)</f>
        <v>ZTE1002</v>
      </c>
      <c r="M1110" s="225" t="str">
        <f>_xlfn.XLOOKUP(Logfile_S[[#This Row],[Material Name]],Sum_WH!E:E,Sum_WH!F:F,"",0)</f>
        <v>Pcs</v>
      </c>
      <c r="N1110" s="221">
        <v>2</v>
      </c>
      <c r="O1110" s="221" t="s">
        <v>340</v>
      </c>
      <c r="P1110" s="221" t="s">
        <v>341</v>
      </c>
      <c r="Q1110" s="221" t="s">
        <v>344</v>
      </c>
      <c r="R1110" s="221" t="s">
        <v>345</v>
      </c>
      <c r="S1110" s="221"/>
      <c r="T1110" s="221"/>
      <c r="U1110" s="221"/>
      <c r="V1110" s="221"/>
      <c r="W1110" s="221"/>
      <c r="X1110" s="221"/>
      <c r="Y1110" s="227"/>
      <c r="Z1110" s="227" t="str">
        <f>P1110</f>
        <v>Jedong RW 08 Wagir</v>
      </c>
      <c r="AA1110" s="276">
        <f>VLOOKUP(Logfile_S[[#This Row],[DO number]],DO_DB!G:I,3,0)</f>
        <v>45213</v>
      </c>
      <c r="AB1110" s="331" t="b">
        <f>EXACT(Logfile_S[[#This Row],[date pick]],Logfile_S[[#This Row],[Date]])</f>
        <v>1</v>
      </c>
      <c r="AC11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11" spans="1:29" ht="14.5">
      <c r="A1111" s="220" t="str">
        <f>TEXT(ROW(A1111)-ROW($A$4),"000")</f>
        <v>1107</v>
      </c>
      <c r="B1111" s="221"/>
      <c r="C1111" s="221" t="s">
        <v>48</v>
      </c>
      <c r="D1111" s="221" t="s">
        <v>3754</v>
      </c>
      <c r="E1111" s="221" t="s">
        <v>3295</v>
      </c>
      <c r="F1111" s="221" t="s">
        <v>3299</v>
      </c>
      <c r="G1111" s="222">
        <v>45213</v>
      </c>
      <c r="H1111" s="223">
        <v>15.291666666666666</v>
      </c>
      <c r="I1111" s="221" t="s">
        <v>37</v>
      </c>
      <c r="J1111" s="221" t="s">
        <v>3023</v>
      </c>
      <c r="K1111" s="224" t="s">
        <v>3227</v>
      </c>
      <c r="L1111" s="225" t="str">
        <f>VLOOKUP(Logfile_S[[#This Row],[Material Name]],Sheet2!B:C,2,0)</f>
        <v>ZTE1001</v>
      </c>
      <c r="M1111" s="225" t="str">
        <f>_xlfn.XLOOKUP(Logfile_S[[#This Row],[Material Name]],Sum_WH!E:E,Sum_WH!F:F,"",0)</f>
        <v>Pcs</v>
      </c>
      <c r="N1111" s="221">
        <v>34</v>
      </c>
      <c r="O1111" s="221" t="s">
        <v>340</v>
      </c>
      <c r="P1111" s="221" t="s">
        <v>341</v>
      </c>
      <c r="Q1111" s="221" t="s">
        <v>344</v>
      </c>
      <c r="R1111" s="221" t="s">
        <v>345</v>
      </c>
      <c r="S1111" s="221"/>
      <c r="T1111" s="221"/>
      <c r="U1111" s="221"/>
      <c r="V1111" s="221"/>
      <c r="W1111" s="221"/>
      <c r="X1111" s="221"/>
      <c r="Y1111" s="227"/>
      <c r="Z1111" s="227" t="str">
        <f>P1111</f>
        <v>Jedong RW 08 Wagir</v>
      </c>
      <c r="AA1111" s="276">
        <f>VLOOKUP(Logfile_S[[#This Row],[DO number]],DO_DB!G:I,3,0)</f>
        <v>45213</v>
      </c>
      <c r="AB1111" s="331" t="b">
        <f>EXACT(Logfile_S[[#This Row],[date pick]],Logfile_S[[#This Row],[Date]])</f>
        <v>1</v>
      </c>
      <c r="AC11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12" spans="1:29" ht="14.5">
      <c r="A1112" s="220" t="str">
        <f>TEXT(ROW(A1112)-ROW($A$4),"000")</f>
        <v>1108</v>
      </c>
      <c r="B1112" s="221"/>
      <c r="C1112" s="221" t="s">
        <v>48</v>
      </c>
      <c r="D1112" s="221" t="s">
        <v>3754</v>
      </c>
      <c r="E1112" s="221" t="s">
        <v>3295</v>
      </c>
      <c r="F1112" s="221" t="s">
        <v>3299</v>
      </c>
      <c r="G1112" s="222">
        <v>45213</v>
      </c>
      <c r="H1112" s="223">
        <v>15.291666666666666</v>
      </c>
      <c r="I1112" s="221" t="s">
        <v>37</v>
      </c>
      <c r="J1112" s="221" t="s">
        <v>3023</v>
      </c>
      <c r="K1112" s="224" t="s">
        <v>3071</v>
      </c>
      <c r="L1112" s="225" t="str">
        <f>VLOOKUP(Logfile_S[[#This Row],[Material Name]],Sheet2!B:C,2,0)</f>
        <v>ZTE1003</v>
      </c>
      <c r="M1112" s="225" t="str">
        <f>_xlfn.XLOOKUP(Logfile_S[[#This Row],[Material Name]],Sum_WH!E:E,Sum_WH!F:F,"",0)</f>
        <v>Pcs</v>
      </c>
      <c r="N1112" s="221">
        <v>3</v>
      </c>
      <c r="O1112" s="221" t="s">
        <v>340</v>
      </c>
      <c r="P1112" s="221" t="s">
        <v>341</v>
      </c>
      <c r="Q1112" s="221" t="s">
        <v>344</v>
      </c>
      <c r="R1112" s="221" t="s">
        <v>345</v>
      </c>
      <c r="S1112" s="221"/>
      <c r="T1112" s="221"/>
      <c r="U1112" s="221"/>
      <c r="V1112" s="221"/>
      <c r="W1112" s="221"/>
      <c r="X1112" s="221"/>
      <c r="Y1112" s="227"/>
      <c r="Z1112" s="227" t="str">
        <f>P1112</f>
        <v>Jedong RW 08 Wagir</v>
      </c>
      <c r="AA1112" s="276">
        <f>VLOOKUP(Logfile_S[[#This Row],[DO number]],DO_DB!G:I,3,0)</f>
        <v>45213</v>
      </c>
      <c r="AB1112" s="331" t="b">
        <f>EXACT(Logfile_S[[#This Row],[date pick]],Logfile_S[[#This Row],[Date]])</f>
        <v>1</v>
      </c>
      <c r="AC11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13" spans="1:29" ht="14.5">
      <c r="A1113" s="220" t="str">
        <f>TEXT(ROW(A1113)-ROW($A$4),"000")</f>
        <v>1109</v>
      </c>
      <c r="B1113" s="221"/>
      <c r="C1113" s="221" t="s">
        <v>49</v>
      </c>
      <c r="D1113" s="221" t="s">
        <v>3763</v>
      </c>
      <c r="E1113" s="221" t="s">
        <v>3295</v>
      </c>
      <c r="F1113" s="221" t="s">
        <v>3299</v>
      </c>
      <c r="G1113" s="222">
        <v>45217</v>
      </c>
      <c r="H1113" s="223">
        <v>0.30069444444444443</v>
      </c>
      <c r="I1113" s="221" t="s">
        <v>4916</v>
      </c>
      <c r="J1113" s="221" t="s">
        <v>3023</v>
      </c>
      <c r="K1113" s="224" t="s">
        <v>3227</v>
      </c>
      <c r="L1113" s="225" t="str">
        <f>VLOOKUP(Logfile_S[[#This Row],[Material Name]],Sheet2!B:C,2,0)</f>
        <v>ZTE1001</v>
      </c>
      <c r="M1113" s="225" t="str">
        <f>_xlfn.XLOOKUP(Logfile_S[[#This Row],[Material Name]],Sum_WH!E:E,Sum_WH!F:F,"",0)</f>
        <v>Pcs</v>
      </c>
      <c r="N1113" s="221">
        <v>11</v>
      </c>
      <c r="O1113" s="221" t="s">
        <v>340</v>
      </c>
      <c r="P1113" s="221" t="s">
        <v>341</v>
      </c>
      <c r="Q1113" s="221"/>
      <c r="R1113" s="221"/>
      <c r="S1113" s="221"/>
      <c r="T1113" s="221" t="s">
        <v>3322</v>
      </c>
      <c r="U1113" s="221" t="s">
        <v>3323</v>
      </c>
      <c r="V1113" s="221" t="s">
        <v>3324</v>
      </c>
      <c r="W1113" s="221" t="s">
        <v>3325</v>
      </c>
      <c r="X1113" s="221"/>
      <c r="Y1113" s="227"/>
      <c r="Z1113" s="227" t="str">
        <f>P1113</f>
        <v>Jedong RW 08 Wagir</v>
      </c>
      <c r="AA1113" s="276" t="e">
        <f>VLOOKUP(Logfile_S[[#This Row],[DO number]],DO_DB!G:I,3,0)</f>
        <v>#N/A</v>
      </c>
      <c r="AB1113" s="331" t="e">
        <f>EXACT(Logfile_S[[#This Row],[date pick]],Logfile_S[[#This Row],[Date]])</f>
        <v>#N/A</v>
      </c>
      <c r="AC11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14" spans="1:29" ht="14.5">
      <c r="A1114" s="220" t="str">
        <f>TEXT(ROW(A1114)-ROW($A$4),"000")</f>
        <v>1110</v>
      </c>
      <c r="B1114" s="221"/>
      <c r="C1114" s="221" t="s">
        <v>49</v>
      </c>
      <c r="D1114" s="221" t="s">
        <v>3763</v>
      </c>
      <c r="E1114" s="221" t="s">
        <v>3295</v>
      </c>
      <c r="F1114" s="221" t="s">
        <v>3299</v>
      </c>
      <c r="G1114" s="222">
        <v>45217</v>
      </c>
      <c r="H1114" s="223">
        <v>0.30069444444444443</v>
      </c>
      <c r="I1114" s="221" t="s">
        <v>4916</v>
      </c>
      <c r="J1114" s="221" t="s">
        <v>3023</v>
      </c>
      <c r="K1114" s="224" t="s">
        <v>3071</v>
      </c>
      <c r="L1114" s="225" t="str">
        <f>VLOOKUP(Logfile_S[[#This Row],[Material Name]],Sheet2!B:C,2,0)</f>
        <v>ZTE1003</v>
      </c>
      <c r="M1114" s="225" t="str">
        <f>_xlfn.XLOOKUP(Logfile_S[[#This Row],[Material Name]],Sum_WH!E:E,Sum_WH!F:F,"",0)</f>
        <v>Pcs</v>
      </c>
      <c r="N1114" s="221">
        <v>2</v>
      </c>
      <c r="O1114" s="221" t="s">
        <v>340</v>
      </c>
      <c r="P1114" s="221" t="s">
        <v>341</v>
      </c>
      <c r="Q1114" s="221"/>
      <c r="R1114" s="221"/>
      <c r="S1114" s="221"/>
      <c r="T1114" s="221" t="s">
        <v>3322</v>
      </c>
      <c r="U1114" s="221" t="s">
        <v>3323</v>
      </c>
      <c r="V1114" s="221" t="s">
        <v>3324</v>
      </c>
      <c r="W1114" s="221" t="s">
        <v>3325</v>
      </c>
      <c r="X1114" s="221"/>
      <c r="Y1114" s="227"/>
      <c r="Z1114" s="227" t="str">
        <f>P1114</f>
        <v>Jedong RW 08 Wagir</v>
      </c>
      <c r="AA1114" s="276" t="e">
        <f>VLOOKUP(Logfile_S[[#This Row],[DO number]],DO_DB!G:I,3,0)</f>
        <v>#N/A</v>
      </c>
      <c r="AB1114" s="331" t="e">
        <f>EXACT(Logfile_S[[#This Row],[date pick]],Logfile_S[[#This Row],[Date]])</f>
        <v>#N/A</v>
      </c>
      <c r="AC11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15" spans="1:29" ht="14.5">
      <c r="A1115" s="220" t="str">
        <f>TEXT(ROW(A1115)-ROW($A$4),"000")</f>
        <v>1111</v>
      </c>
      <c r="B1115" s="221"/>
      <c r="C1115" s="221" t="s">
        <v>49</v>
      </c>
      <c r="D1115" s="221" t="s">
        <v>3772</v>
      </c>
      <c r="E1115" s="221" t="s">
        <v>3295</v>
      </c>
      <c r="F1115" s="221" t="s">
        <v>3299</v>
      </c>
      <c r="G1115" s="222">
        <v>45220</v>
      </c>
      <c r="H1115" s="223">
        <v>0.97499999999999998</v>
      </c>
      <c r="I1115" s="221" t="s">
        <v>4916</v>
      </c>
      <c r="J1115" s="221" t="s">
        <v>3024</v>
      </c>
      <c r="K1115" s="224" t="s">
        <v>3237</v>
      </c>
      <c r="L1115" s="225" t="str">
        <f>VLOOKUP(Logfile_S[[#This Row],[Material Name]],Sheet2!B:C,2,0)</f>
        <v>GCI1005</v>
      </c>
      <c r="M1115" s="225" t="str">
        <f>_xlfn.XLOOKUP(Logfile_S[[#This Row],[Material Name]],Sum_WH!E:E,Sum_WH!F:F,"",0)</f>
        <v>Pcs</v>
      </c>
      <c r="N1115" s="221">
        <v>22</v>
      </c>
      <c r="O1115" s="221" t="s">
        <v>340</v>
      </c>
      <c r="P1115" s="221" t="s">
        <v>341</v>
      </c>
      <c r="Q1115" s="221"/>
      <c r="R1115" s="221"/>
      <c r="S1115" s="221"/>
      <c r="T1115" s="221" t="s">
        <v>3322</v>
      </c>
      <c r="U1115" s="221" t="s">
        <v>3323</v>
      </c>
      <c r="V1115" s="221" t="s">
        <v>3324</v>
      </c>
      <c r="W1115" s="221" t="s">
        <v>3325</v>
      </c>
      <c r="X1115" s="221"/>
      <c r="Y1115" s="227"/>
      <c r="Z1115" s="227" t="str">
        <f>P1115</f>
        <v>Jedong RW 08 Wagir</v>
      </c>
      <c r="AA1115" s="276" t="e">
        <f>VLOOKUP(Logfile_S[[#This Row],[DO number]],DO_DB!G:I,3,0)</f>
        <v>#N/A</v>
      </c>
      <c r="AB1115" s="331" t="e">
        <f>EXACT(Logfile_S[[#This Row],[date pick]],Logfile_S[[#This Row],[Date]])</f>
        <v>#N/A</v>
      </c>
      <c r="AC11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16" spans="1:29" ht="14.5">
      <c r="A1116" s="220" t="str">
        <f>TEXT(ROW(A1116)-ROW($A$4),"000")</f>
        <v>1112</v>
      </c>
      <c r="B1116" s="221"/>
      <c r="C1116" s="221" t="s">
        <v>49</v>
      </c>
      <c r="D1116" s="221" t="s">
        <v>3774</v>
      </c>
      <c r="E1116" s="221" t="s">
        <v>3295</v>
      </c>
      <c r="F1116" s="221" t="s">
        <v>3299</v>
      </c>
      <c r="G1116" s="222">
        <v>45220</v>
      </c>
      <c r="H1116" s="223">
        <v>0.97499999999999998</v>
      </c>
      <c r="I1116" s="221" t="s">
        <v>4916</v>
      </c>
      <c r="J1116" s="221" t="s">
        <v>3024</v>
      </c>
      <c r="K1116" s="224" t="s">
        <v>3239</v>
      </c>
      <c r="L1116" s="225" t="str">
        <f>VLOOKUP(Logfile_S[[#This Row],[Material Name]],Sheet2!B:C,2,0)</f>
        <v>GCI1001</v>
      </c>
      <c r="M1116" s="225" t="str">
        <f>_xlfn.XLOOKUP(Logfile_S[[#This Row],[Material Name]],Sum_WH!E:E,Sum_WH!F:F,"",0)</f>
        <v>Pcs</v>
      </c>
      <c r="N1116" s="221">
        <v>26</v>
      </c>
      <c r="O1116" s="221" t="s">
        <v>340</v>
      </c>
      <c r="P1116" s="221" t="s">
        <v>341</v>
      </c>
      <c r="Q1116" s="221"/>
      <c r="R1116" s="221"/>
      <c r="S1116" s="221"/>
      <c r="T1116" s="221" t="s">
        <v>3322</v>
      </c>
      <c r="U1116" s="221" t="s">
        <v>3323</v>
      </c>
      <c r="V1116" s="221" t="s">
        <v>3324</v>
      </c>
      <c r="W1116" s="221" t="s">
        <v>3325</v>
      </c>
      <c r="X1116" s="221"/>
      <c r="Y1116" s="227"/>
      <c r="Z1116" s="227" t="str">
        <f>P1116</f>
        <v>Jedong RW 08 Wagir</v>
      </c>
      <c r="AA1116" s="276" t="e">
        <f>VLOOKUP(Logfile_S[[#This Row],[DO number]],DO_DB!G:I,3,0)</f>
        <v>#N/A</v>
      </c>
      <c r="AB1116" s="331" t="e">
        <f>EXACT(Logfile_S[[#This Row],[date pick]],Logfile_S[[#This Row],[Date]])</f>
        <v>#N/A</v>
      </c>
      <c r="AC11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17" spans="1:29" ht="14.5">
      <c r="A1117" s="220" t="str">
        <f>TEXT(ROW(A1117)-ROW($A$4),"000")</f>
        <v>1113</v>
      </c>
      <c r="B1117" s="221"/>
      <c r="C1117" s="221" t="s">
        <v>49</v>
      </c>
      <c r="D1117" s="221" t="s">
        <v>3776</v>
      </c>
      <c r="E1117" s="221" t="s">
        <v>3295</v>
      </c>
      <c r="F1117" s="221" t="s">
        <v>3299</v>
      </c>
      <c r="G1117" s="222">
        <v>45220</v>
      </c>
      <c r="H1117" s="223">
        <v>0.97499999999999998</v>
      </c>
      <c r="I1117" s="221" t="s">
        <v>4916</v>
      </c>
      <c r="J1117" s="221" t="s">
        <v>3024</v>
      </c>
      <c r="K1117" s="224" t="s">
        <v>5137</v>
      </c>
      <c r="L1117" s="225" t="str">
        <f>VLOOKUP(Logfile_S[[#This Row],[Material Name]],Sheet2!B:C,2,0)</f>
        <v>GCI1009</v>
      </c>
      <c r="M1117" s="225" t="str">
        <f>_xlfn.XLOOKUP(Logfile_S[[#This Row],[Material Name]],Sum_WH!E:E,Sum_WH!F:F,"",0)</f>
        <v>Pcs</v>
      </c>
      <c r="N1117" s="221">
        <v>72</v>
      </c>
      <c r="O1117" s="221" t="s">
        <v>340</v>
      </c>
      <c r="P1117" s="221" t="s">
        <v>341</v>
      </c>
      <c r="Q1117" s="221"/>
      <c r="R1117" s="221"/>
      <c r="S1117" s="221"/>
      <c r="T1117" s="221" t="s">
        <v>3322</v>
      </c>
      <c r="U1117" s="221" t="s">
        <v>3323</v>
      </c>
      <c r="V1117" s="221" t="s">
        <v>3324</v>
      </c>
      <c r="W1117" s="221" t="s">
        <v>3325</v>
      </c>
      <c r="X1117" s="221"/>
      <c r="Y1117" s="227"/>
      <c r="Z1117" s="227" t="str">
        <f>P1117</f>
        <v>Jedong RW 08 Wagir</v>
      </c>
      <c r="AA1117" s="276" t="e">
        <f>VLOOKUP(Logfile_S[[#This Row],[DO number]],DO_DB!G:I,3,0)</f>
        <v>#N/A</v>
      </c>
      <c r="AB1117" s="331" t="e">
        <f>EXACT(Logfile_S[[#This Row],[date pick]],Logfile_S[[#This Row],[Date]])</f>
        <v>#N/A</v>
      </c>
      <c r="AC11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18" spans="1:29" ht="14.5">
      <c r="A1118" s="220" t="str">
        <f>TEXT(ROW(A1118)-ROW($A$4),"000")</f>
        <v>1114</v>
      </c>
      <c r="B1118" s="221"/>
      <c r="C1118" s="221" t="s">
        <v>49</v>
      </c>
      <c r="D1118" s="221" t="s">
        <v>3779</v>
      </c>
      <c r="E1118" s="221" t="s">
        <v>3295</v>
      </c>
      <c r="F1118" s="221" t="s">
        <v>3299</v>
      </c>
      <c r="G1118" s="222">
        <v>45220</v>
      </c>
      <c r="H1118" s="223">
        <v>0.97499999999999998</v>
      </c>
      <c r="I1118" s="221" t="s">
        <v>4916</v>
      </c>
      <c r="J1118" s="221" t="s">
        <v>3024</v>
      </c>
      <c r="K1118" s="224" t="s">
        <v>3224</v>
      </c>
      <c r="L1118" s="225" t="str">
        <f>VLOOKUP(Logfile_S[[#This Row],[Material Name]],Sheet2!B:C,2,0)</f>
        <v>GCI1002</v>
      </c>
      <c r="M1118" s="225" t="str">
        <f>_xlfn.XLOOKUP(Logfile_S[[#This Row],[Material Name]],Sum_WH!E:E,Sum_WH!F:F,"",0)</f>
        <v>Pcs</v>
      </c>
      <c r="N1118" s="221">
        <v>3</v>
      </c>
      <c r="O1118" s="221" t="s">
        <v>340</v>
      </c>
      <c r="P1118" s="221" t="s">
        <v>341</v>
      </c>
      <c r="Q1118" s="221"/>
      <c r="R1118" s="221"/>
      <c r="S1118" s="221"/>
      <c r="T1118" s="221" t="s">
        <v>3322</v>
      </c>
      <c r="U1118" s="221" t="s">
        <v>3323</v>
      </c>
      <c r="V1118" s="221" t="s">
        <v>3324</v>
      </c>
      <c r="W1118" s="221" t="s">
        <v>3325</v>
      </c>
      <c r="X1118" s="221"/>
      <c r="Y1118" s="227"/>
      <c r="Z1118" s="227" t="str">
        <f>P1118</f>
        <v>Jedong RW 08 Wagir</v>
      </c>
      <c r="AA1118" s="276" t="e">
        <f>VLOOKUP(Logfile_S[[#This Row],[DO number]],DO_DB!G:I,3,0)</f>
        <v>#N/A</v>
      </c>
      <c r="AB1118" s="331" t="e">
        <f>EXACT(Logfile_S[[#This Row],[date pick]],Logfile_S[[#This Row],[Date]])</f>
        <v>#N/A</v>
      </c>
      <c r="AC11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19" spans="1:29" ht="14.5">
      <c r="A1119" s="220" t="str">
        <f>TEXT(ROW(A1119)-ROW($A$4),"000")</f>
        <v>1115</v>
      </c>
      <c r="B1119" s="221"/>
      <c r="C1119" s="221" t="s">
        <v>49</v>
      </c>
      <c r="D1119" s="221" t="s">
        <v>3782</v>
      </c>
      <c r="E1119" s="221" t="s">
        <v>3295</v>
      </c>
      <c r="F1119" s="221" t="s">
        <v>3299</v>
      </c>
      <c r="G1119" s="222">
        <v>45220</v>
      </c>
      <c r="H1119" s="223">
        <v>0.97499999999999998</v>
      </c>
      <c r="I1119" s="221" t="s">
        <v>4916</v>
      </c>
      <c r="J1119" s="221" t="s">
        <v>3024</v>
      </c>
      <c r="K1119" s="224" t="s">
        <v>3215</v>
      </c>
      <c r="L1119" s="225" t="str">
        <f>VLOOKUP(Logfile_S[[#This Row],[Material Name]],Sheet2!B:C,2,0)</f>
        <v>GCI1008</v>
      </c>
      <c r="M1119" s="225" t="str">
        <f>_xlfn.XLOOKUP(Logfile_S[[#This Row],[Material Name]],Sum_WH!E:E,Sum_WH!F:F,"",0)</f>
        <v>Pcs</v>
      </c>
      <c r="N1119" s="221">
        <v>44</v>
      </c>
      <c r="O1119" s="221" t="s">
        <v>340</v>
      </c>
      <c r="P1119" s="221" t="s">
        <v>341</v>
      </c>
      <c r="Q1119" s="221"/>
      <c r="R1119" s="221"/>
      <c r="S1119" s="221"/>
      <c r="T1119" s="221" t="s">
        <v>3322</v>
      </c>
      <c r="U1119" s="221" t="s">
        <v>3323</v>
      </c>
      <c r="V1119" s="221" t="s">
        <v>3324</v>
      </c>
      <c r="W1119" s="221" t="s">
        <v>3325</v>
      </c>
      <c r="X1119" s="221"/>
      <c r="Y1119" s="227"/>
      <c r="Z1119" s="227" t="str">
        <f>P1119</f>
        <v>Jedong RW 08 Wagir</v>
      </c>
      <c r="AA1119" s="276" t="e">
        <f>VLOOKUP(Logfile_S[[#This Row],[DO number]],DO_DB!G:I,3,0)</f>
        <v>#N/A</v>
      </c>
      <c r="AB1119" s="331" t="e">
        <f>EXACT(Logfile_S[[#This Row],[date pick]],Logfile_S[[#This Row],[Date]])</f>
        <v>#N/A</v>
      </c>
      <c r="AC11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20" spans="1:29" ht="14.5">
      <c r="A1120" s="220" t="str">
        <f>TEXT(ROW(A1120)-ROW($A$4),"000")</f>
        <v>1116</v>
      </c>
      <c r="B1120" s="221"/>
      <c r="C1120" s="221" t="s">
        <v>49</v>
      </c>
      <c r="D1120" s="221" t="s">
        <v>3784</v>
      </c>
      <c r="E1120" s="221" t="s">
        <v>3295</v>
      </c>
      <c r="F1120" s="221" t="s">
        <v>3299</v>
      </c>
      <c r="G1120" s="222">
        <v>45220</v>
      </c>
      <c r="H1120" s="223">
        <v>0.97499999999999998</v>
      </c>
      <c r="I1120" s="221" t="s">
        <v>4916</v>
      </c>
      <c r="J1120" s="221" t="s">
        <v>3024</v>
      </c>
      <c r="K1120" s="224" t="s">
        <v>3089</v>
      </c>
      <c r="L1120" s="225" t="str">
        <f>VLOOKUP(Logfile_S[[#This Row],[Material Name]],Sheet2!B:C,2,0)</f>
        <v>GCI1003</v>
      </c>
      <c r="M1120" s="225" t="str">
        <f>_xlfn.XLOOKUP(Logfile_S[[#This Row],[Material Name]],Sum_WH!E:E,Sum_WH!F:F,"",0)</f>
        <v>Pcs</v>
      </c>
      <c r="N1120" s="221">
        <v>100</v>
      </c>
      <c r="O1120" s="221" t="s">
        <v>340</v>
      </c>
      <c r="P1120" s="221" t="s">
        <v>341</v>
      </c>
      <c r="Q1120" s="221"/>
      <c r="R1120" s="221"/>
      <c r="S1120" s="221"/>
      <c r="T1120" s="221" t="s">
        <v>3322</v>
      </c>
      <c r="U1120" s="221" t="s">
        <v>3323</v>
      </c>
      <c r="V1120" s="221" t="s">
        <v>3324</v>
      </c>
      <c r="W1120" s="221" t="s">
        <v>3325</v>
      </c>
      <c r="X1120" s="221"/>
      <c r="Y1120" s="227"/>
      <c r="Z1120" s="227" t="str">
        <f>P1120</f>
        <v>Jedong RW 08 Wagir</v>
      </c>
      <c r="AA1120" s="276" t="e">
        <f>VLOOKUP(Logfile_S[[#This Row],[DO number]],DO_DB!G:I,3,0)</f>
        <v>#N/A</v>
      </c>
      <c r="AB1120" s="331" t="e">
        <f>EXACT(Logfile_S[[#This Row],[date pick]],Logfile_S[[#This Row],[Date]])</f>
        <v>#N/A</v>
      </c>
      <c r="AC11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21" spans="1:29" ht="14.5">
      <c r="A1121" s="220" t="str">
        <f>TEXT(ROW(A1121)-ROW($A$4),"000")</f>
        <v>1117</v>
      </c>
      <c r="B1121" s="221"/>
      <c r="C1121" s="221" t="s">
        <v>49</v>
      </c>
      <c r="D1121" s="221" t="s">
        <v>3786</v>
      </c>
      <c r="E1121" s="221" t="s">
        <v>3295</v>
      </c>
      <c r="F1121" s="221" t="s">
        <v>3299</v>
      </c>
      <c r="G1121" s="222">
        <v>45220</v>
      </c>
      <c r="H1121" s="223">
        <v>0.97499999999999998</v>
      </c>
      <c r="I1121" s="221" t="s">
        <v>4916</v>
      </c>
      <c r="J1121" s="221" t="s">
        <v>3024</v>
      </c>
      <c r="K1121" s="224" t="s">
        <v>3090</v>
      </c>
      <c r="L1121" s="225" t="str">
        <f>VLOOKUP(Logfile_S[[#This Row],[Material Name]],Sheet2!B:C,2,0)</f>
        <v>GCI1004</v>
      </c>
      <c r="M1121" s="225" t="str">
        <f>_xlfn.XLOOKUP(Logfile_S[[#This Row],[Material Name]],Sum_WH!E:E,Sum_WH!F:F,"",0)</f>
        <v>Pcs</v>
      </c>
      <c r="N1121" s="221">
        <v>39</v>
      </c>
      <c r="O1121" s="221" t="s">
        <v>340</v>
      </c>
      <c r="P1121" s="221" t="s">
        <v>341</v>
      </c>
      <c r="Q1121" s="221"/>
      <c r="R1121" s="221"/>
      <c r="S1121" s="221"/>
      <c r="T1121" s="221" t="s">
        <v>3322</v>
      </c>
      <c r="U1121" s="221" t="s">
        <v>3323</v>
      </c>
      <c r="V1121" s="221" t="s">
        <v>3324</v>
      </c>
      <c r="W1121" s="221" t="s">
        <v>3325</v>
      </c>
      <c r="X1121" s="221"/>
      <c r="Y1121" s="227"/>
      <c r="Z1121" s="227" t="str">
        <f>P1121</f>
        <v>Jedong RW 08 Wagir</v>
      </c>
      <c r="AA1121" s="276" t="e">
        <f>VLOOKUP(Logfile_S[[#This Row],[DO number]],DO_DB!G:I,3,0)</f>
        <v>#N/A</v>
      </c>
      <c r="AB1121" s="331" t="e">
        <f>EXACT(Logfile_S[[#This Row],[date pick]],Logfile_S[[#This Row],[Date]])</f>
        <v>#N/A</v>
      </c>
      <c r="AC11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22" spans="1:29" ht="14.5">
      <c r="A1122" s="220" t="str">
        <f>TEXT(ROW(A1122)-ROW($A$4),"000")</f>
        <v>1118</v>
      </c>
      <c r="B1122" s="221"/>
      <c r="C1122" s="221" t="s">
        <v>49</v>
      </c>
      <c r="D1122" s="221" t="s">
        <v>3794</v>
      </c>
      <c r="E1122" s="221" t="s">
        <v>3295</v>
      </c>
      <c r="F1122" s="221" t="s">
        <v>3299</v>
      </c>
      <c r="G1122" s="222">
        <v>45223</v>
      </c>
      <c r="H1122" s="223">
        <v>0.47222222222222227</v>
      </c>
      <c r="I1122" s="221" t="s">
        <v>4916</v>
      </c>
      <c r="J1122" s="221" t="s">
        <v>3023</v>
      </c>
      <c r="K1122" s="224" t="s">
        <v>13</v>
      </c>
      <c r="L1122" s="225" t="str">
        <f>VLOOKUP(Logfile_S[[#This Row],[Material Name]],Sheet2!B:C,2,0)</f>
        <v>ZTE2008</v>
      </c>
      <c r="M1122" s="225" t="str">
        <f>_xlfn.XLOOKUP(Logfile_S[[#This Row],[Material Name]],Sum_WH!E:E,Sum_WH!F:F,"",0)</f>
        <v>Pcs</v>
      </c>
      <c r="N1122" s="221">
        <v>5</v>
      </c>
      <c r="O1122" s="221" t="s">
        <v>340</v>
      </c>
      <c r="P1122" s="221" t="s">
        <v>341</v>
      </c>
      <c r="Q1122" s="221"/>
      <c r="R1122" s="221"/>
      <c r="S1122" s="221"/>
      <c r="T1122" s="221" t="s">
        <v>3322</v>
      </c>
      <c r="U1122" s="221" t="s">
        <v>3323</v>
      </c>
      <c r="V1122" s="221" t="s">
        <v>3324</v>
      </c>
      <c r="W1122" s="221" t="s">
        <v>3349</v>
      </c>
      <c r="X1122" s="221"/>
      <c r="Y1122" s="227"/>
      <c r="Z1122" s="227" t="str">
        <f>P1122</f>
        <v>Jedong RW 08 Wagir</v>
      </c>
      <c r="AA1122" s="276" t="e">
        <f>VLOOKUP(Logfile_S[[#This Row],[DO number]],DO_DB!G:I,3,0)</f>
        <v>#N/A</v>
      </c>
      <c r="AB1122" s="331" t="e">
        <f>EXACT(Logfile_S[[#This Row],[date pick]],Logfile_S[[#This Row],[Date]])</f>
        <v>#N/A</v>
      </c>
      <c r="AC11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23" spans="1:29" ht="14.5">
      <c r="A1123" s="220" t="str">
        <f>TEXT(ROW(A1123)-ROW($A$4),"000")</f>
        <v>1119</v>
      </c>
      <c r="B1123" s="221"/>
      <c r="C1123" s="221" t="s">
        <v>49</v>
      </c>
      <c r="D1123" s="221" t="s">
        <v>3794</v>
      </c>
      <c r="E1123" s="221" t="s">
        <v>3295</v>
      </c>
      <c r="F1123" s="221" t="s">
        <v>3299</v>
      </c>
      <c r="G1123" s="222">
        <v>45223</v>
      </c>
      <c r="H1123" s="223">
        <v>0.47222222222222227</v>
      </c>
      <c r="I1123" s="221" t="s">
        <v>4916</v>
      </c>
      <c r="J1123" s="221" t="s">
        <v>3023</v>
      </c>
      <c r="K1123" s="224" t="s">
        <v>14</v>
      </c>
      <c r="L1123" s="225" t="str">
        <f>VLOOKUP(Logfile_S[[#This Row],[Material Name]],Sheet2!B:C,2,0)</f>
        <v>ZTE2005</v>
      </c>
      <c r="M1123" s="225" t="str">
        <f>_xlfn.XLOOKUP(Logfile_S[[#This Row],[Material Name]],Sum_WH!E:E,Sum_WH!F:F,"",0)</f>
        <v>Pcs</v>
      </c>
      <c r="N1123" s="221">
        <v>1</v>
      </c>
      <c r="O1123" s="221" t="s">
        <v>340</v>
      </c>
      <c r="P1123" s="221" t="s">
        <v>341</v>
      </c>
      <c r="Q1123" s="221"/>
      <c r="R1123" s="221"/>
      <c r="S1123" s="221"/>
      <c r="T1123" s="221" t="s">
        <v>3322</v>
      </c>
      <c r="U1123" s="221" t="s">
        <v>3323</v>
      </c>
      <c r="V1123" s="221" t="s">
        <v>3324</v>
      </c>
      <c r="W1123" s="221" t="s">
        <v>3349</v>
      </c>
      <c r="X1123" s="221"/>
      <c r="Y1123" s="227"/>
      <c r="Z1123" s="227" t="str">
        <f>P1123</f>
        <v>Jedong RW 08 Wagir</v>
      </c>
      <c r="AA1123" s="276" t="e">
        <f>VLOOKUP(Logfile_S[[#This Row],[DO number]],DO_DB!G:I,3,0)</f>
        <v>#N/A</v>
      </c>
      <c r="AB1123" s="331" t="e">
        <f>EXACT(Logfile_S[[#This Row],[date pick]],Logfile_S[[#This Row],[Date]])</f>
        <v>#N/A</v>
      </c>
      <c r="AC11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24" spans="1:29" ht="14.5">
      <c r="A1124" s="220" t="str">
        <f>TEXT(ROW(A1124)-ROW($A$4),"000")</f>
        <v>1120</v>
      </c>
      <c r="B1124" s="221"/>
      <c r="C1124" s="221" t="s">
        <v>49</v>
      </c>
      <c r="D1124" s="221" t="s">
        <v>3796</v>
      </c>
      <c r="E1124" s="221" t="s">
        <v>3295</v>
      </c>
      <c r="F1124" s="221" t="s">
        <v>3299</v>
      </c>
      <c r="G1124" s="222">
        <v>45223</v>
      </c>
      <c r="H1124" s="223">
        <v>0.57638888888888895</v>
      </c>
      <c r="I1124" s="221" t="s">
        <v>4916</v>
      </c>
      <c r="J1124" s="221" t="s">
        <v>3023</v>
      </c>
      <c r="K1124" s="224" t="s">
        <v>3071</v>
      </c>
      <c r="L1124" s="225" t="str">
        <f>VLOOKUP(Logfile_S[[#This Row],[Material Name]],Sheet2!B:C,2,0)</f>
        <v>ZTE1003</v>
      </c>
      <c r="M1124" s="225" t="str">
        <f>_xlfn.XLOOKUP(Logfile_S[[#This Row],[Material Name]],Sum_WH!E:E,Sum_WH!F:F,"",0)</f>
        <v>Pcs</v>
      </c>
      <c r="N1124" s="221">
        <v>1</v>
      </c>
      <c r="O1124" s="221" t="s">
        <v>340</v>
      </c>
      <c r="P1124" s="221" t="s">
        <v>341</v>
      </c>
      <c r="Q1124" s="221"/>
      <c r="R1124" s="221"/>
      <c r="S1124" s="221"/>
      <c r="T1124" s="221" t="s">
        <v>3322</v>
      </c>
      <c r="U1124" s="221" t="s">
        <v>3323</v>
      </c>
      <c r="V1124" s="221" t="s">
        <v>3324</v>
      </c>
      <c r="W1124" s="221" t="s">
        <v>3386</v>
      </c>
      <c r="X1124" s="221"/>
      <c r="Y1124" s="227"/>
      <c r="Z1124" s="227" t="str">
        <f>P1124</f>
        <v>Jedong RW 08 Wagir</v>
      </c>
      <c r="AA1124" s="276" t="e">
        <f>VLOOKUP(Logfile_S[[#This Row],[DO number]],DO_DB!G:I,3,0)</f>
        <v>#N/A</v>
      </c>
      <c r="AB1124" s="331" t="e">
        <f>EXACT(Logfile_S[[#This Row],[date pick]],Logfile_S[[#This Row],[Date]])</f>
        <v>#N/A</v>
      </c>
      <c r="AC11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25" spans="1:29" ht="14.5">
      <c r="A1125" s="220" t="str">
        <f>TEXT(ROW(A1125)-ROW($A$4),"000")</f>
        <v>1121</v>
      </c>
      <c r="B1125" s="221"/>
      <c r="C1125" s="221" t="s">
        <v>49</v>
      </c>
      <c r="D1125" s="221" t="s">
        <v>3811</v>
      </c>
      <c r="E1125" s="221" t="s">
        <v>3295</v>
      </c>
      <c r="F1125" s="221" t="s">
        <v>3299</v>
      </c>
      <c r="G1125" s="222">
        <v>45254</v>
      </c>
      <c r="H1125" s="223">
        <v>0.45833333333333331</v>
      </c>
      <c r="I1125" s="221" t="s">
        <v>4916</v>
      </c>
      <c r="J1125" s="221" t="s">
        <v>3024</v>
      </c>
      <c r="K1125" s="224" t="s">
        <v>3087</v>
      </c>
      <c r="L1125" s="225" t="str">
        <f>VLOOKUP(Logfile_S[[#This Row],[Material Name]],Sheet2!B:C,2,0)</f>
        <v>GCI1001</v>
      </c>
      <c r="M1125" s="225" t="str">
        <f>_xlfn.XLOOKUP(Logfile_S[[#This Row],[Material Name]],Sum_WH!E:E,Sum_WH!F:F,"",0)</f>
        <v>Pcs</v>
      </c>
      <c r="N1125" s="221">
        <v>1</v>
      </c>
      <c r="O1125" s="221" t="s">
        <v>340</v>
      </c>
      <c r="P1125" s="221" t="s">
        <v>341</v>
      </c>
      <c r="Q1125" s="221"/>
      <c r="R1125" s="221"/>
      <c r="S1125" s="221"/>
      <c r="T1125" s="221" t="s">
        <v>3233</v>
      </c>
      <c r="U1125" s="221">
        <v>0</v>
      </c>
      <c r="V1125" s="221" t="s">
        <v>3390</v>
      </c>
      <c r="W1125" s="221" t="s">
        <v>3391</v>
      </c>
      <c r="X1125" s="221"/>
      <c r="Y1125" s="227"/>
      <c r="Z1125" s="227" t="str">
        <f>P1125</f>
        <v>Jedong RW 08 Wagir</v>
      </c>
      <c r="AA1125" s="276" t="e">
        <f>VLOOKUP(Logfile_S[[#This Row],[DO number]],DO_DB!G:I,3,0)</f>
        <v>#N/A</v>
      </c>
      <c r="AB1125" s="331" t="e">
        <f>EXACT(Logfile_S[[#This Row],[date pick]],Logfile_S[[#This Row],[Date]])</f>
        <v>#N/A</v>
      </c>
      <c r="AC11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26" spans="1:29" ht="14.5">
      <c r="A1126" s="220" t="str">
        <f>TEXT(ROW(A1126)-ROW($A$4),"000")</f>
        <v>1122</v>
      </c>
      <c r="B1126" s="221"/>
      <c r="C1126" s="221" t="s">
        <v>49</v>
      </c>
      <c r="D1126" s="221" t="s">
        <v>3811</v>
      </c>
      <c r="E1126" s="221" t="s">
        <v>3295</v>
      </c>
      <c r="F1126" s="221" t="s">
        <v>3299</v>
      </c>
      <c r="G1126" s="222">
        <v>45254</v>
      </c>
      <c r="H1126" s="223">
        <v>0.45833333333333331</v>
      </c>
      <c r="I1126" s="221" t="s">
        <v>4916</v>
      </c>
      <c r="J1126" s="221" t="s">
        <v>3024</v>
      </c>
      <c r="K1126" s="224" t="s">
        <v>5137</v>
      </c>
      <c r="L1126" s="225" t="str">
        <f>VLOOKUP(Logfile_S[[#This Row],[Material Name]],Sheet2!B:C,2,0)</f>
        <v>GCI1009</v>
      </c>
      <c r="M1126" s="225" t="str">
        <f>_xlfn.XLOOKUP(Logfile_S[[#This Row],[Material Name]],Sum_WH!E:E,Sum_WH!F:F,"",0)</f>
        <v>Pcs</v>
      </c>
      <c r="N1126" s="221">
        <v>10</v>
      </c>
      <c r="O1126" s="221" t="s">
        <v>340</v>
      </c>
      <c r="P1126" s="221" t="s">
        <v>341</v>
      </c>
      <c r="Q1126" s="221"/>
      <c r="R1126" s="221"/>
      <c r="S1126" s="221"/>
      <c r="T1126" s="221" t="s">
        <v>3233</v>
      </c>
      <c r="U1126" s="221">
        <v>0</v>
      </c>
      <c r="V1126" s="221" t="s">
        <v>3390</v>
      </c>
      <c r="W1126" s="221" t="s">
        <v>3391</v>
      </c>
      <c r="X1126" s="221"/>
      <c r="Y1126" s="227"/>
      <c r="Z1126" s="227" t="str">
        <f>P1126</f>
        <v>Jedong RW 08 Wagir</v>
      </c>
      <c r="AA1126" s="276" t="e">
        <f>VLOOKUP(Logfile_S[[#This Row],[DO number]],DO_DB!G:I,3,0)</f>
        <v>#N/A</v>
      </c>
      <c r="AB1126" s="331" t="e">
        <f>EXACT(Logfile_S[[#This Row],[date pick]],Logfile_S[[#This Row],[Date]])</f>
        <v>#N/A</v>
      </c>
      <c r="AC11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27" spans="1:29" ht="14.5">
      <c r="A1127" s="220" t="str">
        <f>TEXT(ROW(A1127)-ROW($A$4),"000")</f>
        <v>1123</v>
      </c>
      <c r="B1127" s="221"/>
      <c r="C1127" s="221" t="s">
        <v>49</v>
      </c>
      <c r="D1127" s="221" t="s">
        <v>3812</v>
      </c>
      <c r="E1127" s="221" t="s">
        <v>3295</v>
      </c>
      <c r="F1127" s="221" t="s">
        <v>3299</v>
      </c>
      <c r="G1127" s="222">
        <v>45255</v>
      </c>
      <c r="H1127" s="223">
        <v>0.3</v>
      </c>
      <c r="I1127" s="221" t="s">
        <v>4916</v>
      </c>
      <c r="J1127" s="221" t="s">
        <v>3024</v>
      </c>
      <c r="K1127" s="224" t="s">
        <v>3088</v>
      </c>
      <c r="L1127" s="225" t="str">
        <f>VLOOKUP(Logfile_S[[#This Row],[Material Name]],Sheet2!B:C,2,0)</f>
        <v>GCI1002</v>
      </c>
      <c r="M1127" s="225" t="str">
        <f>_xlfn.XLOOKUP(Logfile_S[[#This Row],[Material Name]],Sum_WH!E:E,Sum_WH!F:F,"",0)</f>
        <v>Pcs</v>
      </c>
      <c r="N1127" s="221">
        <v>1</v>
      </c>
      <c r="O1127" s="221" t="s">
        <v>340</v>
      </c>
      <c r="P1127" s="221" t="s">
        <v>341</v>
      </c>
      <c r="Q1127" s="221"/>
      <c r="R1127" s="221"/>
      <c r="S1127" s="221"/>
      <c r="T1127" s="221" t="s">
        <v>3351</v>
      </c>
      <c r="U1127" s="221">
        <v>0</v>
      </c>
      <c r="V1127" s="221" t="s">
        <v>3352</v>
      </c>
      <c r="W1127" s="221" t="s">
        <v>3353</v>
      </c>
      <c r="X1127" s="221"/>
      <c r="Y1127" s="227"/>
      <c r="Z1127" s="227" t="str">
        <f>P1127</f>
        <v>Jedong RW 08 Wagir</v>
      </c>
      <c r="AA1127" s="276" t="e">
        <f>VLOOKUP(Logfile_S[[#This Row],[DO number]],DO_DB!G:I,3,0)</f>
        <v>#N/A</v>
      </c>
      <c r="AB1127" s="331" t="e">
        <f>EXACT(Logfile_S[[#This Row],[date pick]],Logfile_S[[#This Row],[Date]])</f>
        <v>#N/A</v>
      </c>
      <c r="AC11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28" spans="1:29" ht="14.5">
      <c r="A1128" s="220" t="str">
        <f>TEXT(ROW(A1128)-ROW($A$4),"000")</f>
        <v>1124</v>
      </c>
      <c r="B1128" s="221"/>
      <c r="C1128" s="221" t="s">
        <v>49</v>
      </c>
      <c r="D1128" s="221" t="s">
        <v>3812</v>
      </c>
      <c r="E1128" s="221" t="s">
        <v>3295</v>
      </c>
      <c r="F1128" s="221" t="s">
        <v>3299</v>
      </c>
      <c r="G1128" s="222">
        <v>45255</v>
      </c>
      <c r="H1128" s="223">
        <v>0.3</v>
      </c>
      <c r="I1128" s="221" t="s">
        <v>4916</v>
      </c>
      <c r="J1128" s="221" t="s">
        <v>3023</v>
      </c>
      <c r="K1128" s="224" t="s">
        <v>3227</v>
      </c>
      <c r="L1128" s="225" t="str">
        <f>VLOOKUP(Logfile_S[[#This Row],[Material Name]],Sheet2!B:C,2,0)</f>
        <v>ZTE1001</v>
      </c>
      <c r="M1128" s="225" t="str">
        <f>_xlfn.XLOOKUP(Logfile_S[[#This Row],[Material Name]],Sum_WH!E:E,Sum_WH!F:F,"",0)</f>
        <v>Pcs</v>
      </c>
      <c r="N1128" s="221">
        <v>1</v>
      </c>
      <c r="O1128" s="221" t="s">
        <v>340</v>
      </c>
      <c r="P1128" s="221" t="s">
        <v>341</v>
      </c>
      <c r="Q1128" s="221"/>
      <c r="R1128" s="221"/>
      <c r="S1128" s="221"/>
      <c r="T1128" s="221" t="s">
        <v>3351</v>
      </c>
      <c r="U1128" s="221">
        <v>0</v>
      </c>
      <c r="V1128" s="221" t="s">
        <v>3352</v>
      </c>
      <c r="W1128" s="221" t="s">
        <v>3353</v>
      </c>
      <c r="X1128" s="221"/>
      <c r="Y1128" s="227"/>
      <c r="Z1128" s="227" t="str">
        <f>P1128</f>
        <v>Jedong RW 08 Wagir</v>
      </c>
      <c r="AA1128" s="276" t="e">
        <f>VLOOKUP(Logfile_S[[#This Row],[DO number]],DO_DB!G:I,3,0)</f>
        <v>#N/A</v>
      </c>
      <c r="AB1128" s="331" t="e">
        <f>EXACT(Logfile_S[[#This Row],[date pick]],Logfile_S[[#This Row],[Date]])</f>
        <v>#N/A</v>
      </c>
      <c r="AC11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29" spans="1:29" ht="14.5">
      <c r="A1129" s="220" t="str">
        <f>TEXT(ROW(A1129)-ROW($A$4),"000")</f>
        <v>1125</v>
      </c>
      <c r="B1129" s="221"/>
      <c r="C1129" s="221" t="s">
        <v>49</v>
      </c>
      <c r="D1129" s="221" t="s">
        <v>3816</v>
      </c>
      <c r="E1129" s="221" t="s">
        <v>3295</v>
      </c>
      <c r="F1129" s="221" t="s">
        <v>3299</v>
      </c>
      <c r="G1129" s="222">
        <v>45256</v>
      </c>
      <c r="H1129" s="223">
        <v>0.31597222222222221</v>
      </c>
      <c r="I1129" s="221" t="s">
        <v>4916</v>
      </c>
      <c r="J1129" s="221" t="s">
        <v>3024</v>
      </c>
      <c r="K1129" s="224" t="s">
        <v>3087</v>
      </c>
      <c r="L1129" s="225" t="str">
        <f>VLOOKUP(Logfile_S[[#This Row],[Material Name]],Sheet2!B:C,2,0)</f>
        <v>GCI1001</v>
      </c>
      <c r="M1129" s="225" t="str">
        <f>_xlfn.XLOOKUP(Logfile_S[[#This Row],[Material Name]],Sum_WH!E:E,Sum_WH!F:F,"",0)</f>
        <v>Pcs</v>
      </c>
      <c r="N1129" s="221">
        <v>1</v>
      </c>
      <c r="O1129" s="221" t="s">
        <v>340</v>
      </c>
      <c r="P1129" s="221" t="s">
        <v>341</v>
      </c>
      <c r="Q1129" s="221"/>
      <c r="R1129" s="221"/>
      <c r="S1129" s="221"/>
      <c r="T1129" s="221" t="s">
        <v>3351</v>
      </c>
      <c r="U1129" s="221">
        <v>0</v>
      </c>
      <c r="V1129" s="221" t="s">
        <v>3352</v>
      </c>
      <c r="W1129" s="221" t="s">
        <v>3353</v>
      </c>
      <c r="X1129" s="221"/>
      <c r="Y1129" s="227"/>
      <c r="Z1129" s="227" t="str">
        <f>P1129</f>
        <v>Jedong RW 08 Wagir</v>
      </c>
      <c r="AA1129" s="276" t="e">
        <f>VLOOKUP(Logfile_S[[#This Row],[DO number]],DO_DB!G:I,3,0)</f>
        <v>#N/A</v>
      </c>
      <c r="AB1129" s="331" t="e">
        <f>EXACT(Logfile_S[[#This Row],[date pick]],Logfile_S[[#This Row],[Date]])</f>
        <v>#N/A</v>
      </c>
      <c r="AC11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30" spans="1:29" ht="14.5">
      <c r="A1130" s="220" t="str">
        <f>TEXT(ROW(A1130)-ROW($A$4),"000")</f>
        <v>1126</v>
      </c>
      <c r="B1130" s="221"/>
      <c r="C1130" s="221" t="s">
        <v>49</v>
      </c>
      <c r="D1130" s="221" t="s">
        <v>3817</v>
      </c>
      <c r="E1130" s="221" t="s">
        <v>3295</v>
      </c>
      <c r="F1130" s="221" t="s">
        <v>3299</v>
      </c>
      <c r="G1130" s="222">
        <v>45256</v>
      </c>
      <c r="H1130" s="223">
        <v>0.55833333333333335</v>
      </c>
      <c r="I1130" s="221" t="s">
        <v>4916</v>
      </c>
      <c r="J1130" s="221" t="s">
        <v>3024</v>
      </c>
      <c r="K1130" s="224" t="s">
        <v>3094</v>
      </c>
      <c r="L1130" s="225" t="str">
        <f>VLOOKUP(Logfile_S[[#This Row],[Material Name]],Sheet2!B:C,2,0)</f>
        <v>GCI1008</v>
      </c>
      <c r="M1130" s="225" t="str">
        <f>_xlfn.XLOOKUP(Logfile_S[[#This Row],[Material Name]],Sum_WH!E:E,Sum_WH!F:F,"",0)</f>
        <v>Pcs</v>
      </c>
      <c r="N1130" s="221">
        <v>2</v>
      </c>
      <c r="O1130" s="221" t="s">
        <v>340</v>
      </c>
      <c r="P1130" s="221" t="s">
        <v>341</v>
      </c>
      <c r="Q1130" s="221"/>
      <c r="R1130" s="221"/>
      <c r="S1130" s="221"/>
      <c r="T1130" s="221" t="s">
        <v>3351</v>
      </c>
      <c r="U1130" s="221">
        <v>0</v>
      </c>
      <c r="V1130" s="221" t="s">
        <v>3352</v>
      </c>
      <c r="W1130" s="221" t="s">
        <v>3353</v>
      </c>
      <c r="X1130" s="221"/>
      <c r="Y1130" s="227"/>
      <c r="Z1130" s="227" t="str">
        <f>P1130</f>
        <v>Jedong RW 08 Wagir</v>
      </c>
      <c r="AA1130" s="276" t="e">
        <f>VLOOKUP(Logfile_S[[#This Row],[DO number]],DO_DB!G:I,3,0)</f>
        <v>#N/A</v>
      </c>
      <c r="AB1130" s="331" t="e">
        <f>EXACT(Logfile_S[[#This Row],[date pick]],Logfile_S[[#This Row],[Date]])</f>
        <v>#N/A</v>
      </c>
      <c r="AC11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31" spans="1:29" ht="14.5">
      <c r="A1131" s="220" t="str">
        <f>TEXT(ROW(A1131)-ROW($A$4),"000")</f>
        <v>1127</v>
      </c>
      <c r="B1131" s="221"/>
      <c r="C1131" s="221" t="s">
        <v>49</v>
      </c>
      <c r="D1131" s="221" t="s">
        <v>3817</v>
      </c>
      <c r="E1131" s="221" t="s">
        <v>3295</v>
      </c>
      <c r="F1131" s="221" t="s">
        <v>3299</v>
      </c>
      <c r="G1131" s="222">
        <v>45256</v>
      </c>
      <c r="H1131" s="223">
        <v>0.55833333333333335</v>
      </c>
      <c r="I1131" s="221" t="s">
        <v>4916</v>
      </c>
      <c r="J1131" s="221" t="s">
        <v>3024</v>
      </c>
      <c r="K1131" s="224" t="s">
        <v>3090</v>
      </c>
      <c r="L1131" s="225" t="str">
        <f>VLOOKUP(Logfile_S[[#This Row],[Material Name]],Sheet2!B:C,2,0)</f>
        <v>GCI1004</v>
      </c>
      <c r="M1131" s="225" t="str">
        <f>_xlfn.XLOOKUP(Logfile_S[[#This Row],[Material Name]],Sum_WH!E:E,Sum_WH!F:F,"",0)</f>
        <v>Pcs</v>
      </c>
      <c r="N1131" s="221">
        <v>7</v>
      </c>
      <c r="O1131" s="221" t="s">
        <v>340</v>
      </c>
      <c r="P1131" s="221" t="s">
        <v>341</v>
      </c>
      <c r="Q1131" s="221"/>
      <c r="R1131" s="221"/>
      <c r="S1131" s="221"/>
      <c r="T1131" s="221" t="s">
        <v>3351</v>
      </c>
      <c r="U1131" s="221">
        <v>0</v>
      </c>
      <c r="V1131" s="221" t="s">
        <v>3352</v>
      </c>
      <c r="W1131" s="221" t="s">
        <v>3353</v>
      </c>
      <c r="X1131" s="221"/>
      <c r="Y1131" s="227"/>
      <c r="Z1131" s="227" t="str">
        <f>P1131</f>
        <v>Jedong RW 08 Wagir</v>
      </c>
      <c r="AA1131" s="276" t="e">
        <f>VLOOKUP(Logfile_S[[#This Row],[DO number]],DO_DB!G:I,3,0)</f>
        <v>#N/A</v>
      </c>
      <c r="AB1131" s="331" t="e">
        <f>EXACT(Logfile_S[[#This Row],[date pick]],Logfile_S[[#This Row],[Date]])</f>
        <v>#N/A</v>
      </c>
      <c r="AC11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32" spans="1:29" ht="14.5">
      <c r="A1132" s="220" t="str">
        <f>TEXT(ROW(A1132)-ROW($A$4),"000")</f>
        <v>1128</v>
      </c>
      <c r="B1132" s="221"/>
      <c r="C1132" s="221" t="s">
        <v>48</v>
      </c>
      <c r="D1132" s="221" t="s">
        <v>3823</v>
      </c>
      <c r="E1132" s="221" t="s">
        <v>3295</v>
      </c>
      <c r="F1132" s="221" t="s">
        <v>3299</v>
      </c>
      <c r="G1132" s="222">
        <v>45257</v>
      </c>
      <c r="H1132" s="223">
        <v>15.291666666666666</v>
      </c>
      <c r="I1132" s="221" t="s">
        <v>38</v>
      </c>
      <c r="J1132" s="221" t="s">
        <v>3024</v>
      </c>
      <c r="K1132" s="224" t="s">
        <v>3088</v>
      </c>
      <c r="L1132" s="225" t="str">
        <f>VLOOKUP(Logfile_S[[#This Row],[Material Name]],Sheet2!B:C,2,0)</f>
        <v>GCI1002</v>
      </c>
      <c r="M1132" s="225" t="str">
        <f>_xlfn.XLOOKUP(Logfile_S[[#This Row],[Material Name]],Sum_WH!E:E,Sum_WH!F:F,"",0)</f>
        <v>Pcs</v>
      </c>
      <c r="N1132" s="221">
        <v>1</v>
      </c>
      <c r="O1132" s="221" t="s">
        <v>340</v>
      </c>
      <c r="P1132" s="221" t="s">
        <v>341</v>
      </c>
      <c r="Q1132" s="221">
        <v>0</v>
      </c>
      <c r="R1132" s="221">
        <v>0</v>
      </c>
      <c r="S1132" s="221"/>
      <c r="T1132" s="221"/>
      <c r="U1132" s="221"/>
      <c r="V1132" s="221"/>
      <c r="W1132" s="221"/>
      <c r="X1132" s="221" t="s">
        <v>3444</v>
      </c>
      <c r="Y1132" s="227"/>
      <c r="Z1132" s="227" t="str">
        <f>P1132</f>
        <v>Jedong RW 08 Wagir</v>
      </c>
      <c r="AA1132" s="276" t="e">
        <f>VLOOKUP(Logfile_S[[#This Row],[DO number]],DO_DB!G:I,3,0)</f>
        <v>#N/A</v>
      </c>
      <c r="AB1132" s="331" t="e">
        <f>EXACT(Logfile_S[[#This Row],[date pick]],Logfile_S[[#This Row],[Date]])</f>
        <v>#N/A</v>
      </c>
      <c r="AC11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33" spans="1:29" ht="14.5">
      <c r="A1133" s="220" t="str">
        <f>TEXT(ROW(A1133)-ROW($A$4),"000")</f>
        <v>1129</v>
      </c>
      <c r="B1133" s="221"/>
      <c r="C1133" s="221" t="s">
        <v>48</v>
      </c>
      <c r="D1133" s="221" t="s">
        <v>3823</v>
      </c>
      <c r="E1133" s="221" t="s">
        <v>3295</v>
      </c>
      <c r="F1133" s="221" t="s">
        <v>3299</v>
      </c>
      <c r="G1133" s="222">
        <v>45257</v>
      </c>
      <c r="H1133" s="223">
        <v>15.291666666666666</v>
      </c>
      <c r="I1133" s="221" t="s">
        <v>38</v>
      </c>
      <c r="J1133" s="221" t="s">
        <v>3024</v>
      </c>
      <c r="K1133" s="224" t="s">
        <v>3094</v>
      </c>
      <c r="L1133" s="225" t="str">
        <f>VLOOKUP(Logfile_S[[#This Row],[Material Name]],Sheet2!B:C,2,0)</f>
        <v>GCI1008</v>
      </c>
      <c r="M1133" s="225" t="str">
        <f>_xlfn.XLOOKUP(Logfile_S[[#This Row],[Material Name]],Sum_WH!E:E,Sum_WH!F:F,"",0)</f>
        <v>Pcs</v>
      </c>
      <c r="N1133" s="221">
        <v>2</v>
      </c>
      <c r="O1133" s="221" t="s">
        <v>340</v>
      </c>
      <c r="P1133" s="221" t="s">
        <v>341</v>
      </c>
      <c r="Q1133" s="221">
        <v>0</v>
      </c>
      <c r="R1133" s="221">
        <v>0</v>
      </c>
      <c r="S1133" s="221"/>
      <c r="T1133" s="221"/>
      <c r="U1133" s="221"/>
      <c r="V1133" s="221"/>
      <c r="W1133" s="221"/>
      <c r="X1133" s="221" t="s">
        <v>3444</v>
      </c>
      <c r="Y1133" s="227"/>
      <c r="Z1133" s="227" t="str">
        <f>P1133</f>
        <v>Jedong RW 08 Wagir</v>
      </c>
      <c r="AA1133" s="276" t="e">
        <f>VLOOKUP(Logfile_S[[#This Row],[DO number]],DO_DB!G:I,3,0)</f>
        <v>#N/A</v>
      </c>
      <c r="AB1133" s="331" t="e">
        <f>EXACT(Logfile_S[[#This Row],[date pick]],Logfile_S[[#This Row],[Date]])</f>
        <v>#N/A</v>
      </c>
      <c r="AC11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34" spans="1:29" ht="14.5">
      <c r="A1134" s="220" t="str">
        <f>TEXT(ROW(A1134)-ROW($A$4),"000")</f>
        <v>1130</v>
      </c>
      <c r="B1134" s="221"/>
      <c r="C1134" s="221" t="s">
        <v>48</v>
      </c>
      <c r="D1134" s="221" t="s">
        <v>3823</v>
      </c>
      <c r="E1134" s="221" t="s">
        <v>3295</v>
      </c>
      <c r="F1134" s="221" t="s">
        <v>3299</v>
      </c>
      <c r="G1134" s="222">
        <v>45257</v>
      </c>
      <c r="H1134" s="223">
        <v>15.291666666666666</v>
      </c>
      <c r="I1134" s="221" t="s">
        <v>38</v>
      </c>
      <c r="J1134" s="221" t="s">
        <v>3024</v>
      </c>
      <c r="K1134" s="224" t="s">
        <v>3090</v>
      </c>
      <c r="L1134" s="225" t="str">
        <f>VLOOKUP(Logfile_S[[#This Row],[Material Name]],Sheet2!B:C,2,0)</f>
        <v>GCI1004</v>
      </c>
      <c r="M1134" s="225" t="str">
        <f>_xlfn.XLOOKUP(Logfile_S[[#This Row],[Material Name]],Sum_WH!E:E,Sum_WH!F:F,"",0)</f>
        <v>Pcs</v>
      </c>
      <c r="N1134" s="221">
        <v>4</v>
      </c>
      <c r="O1134" s="221" t="s">
        <v>340</v>
      </c>
      <c r="P1134" s="221" t="s">
        <v>341</v>
      </c>
      <c r="Q1134" s="221">
        <v>0</v>
      </c>
      <c r="R1134" s="221">
        <v>0</v>
      </c>
      <c r="S1134" s="221"/>
      <c r="T1134" s="221"/>
      <c r="U1134" s="221"/>
      <c r="V1134" s="221"/>
      <c r="W1134" s="221"/>
      <c r="X1134" s="221" t="s">
        <v>3444</v>
      </c>
      <c r="Y1134" s="227"/>
      <c r="Z1134" s="227" t="str">
        <f>P1134</f>
        <v>Jedong RW 08 Wagir</v>
      </c>
      <c r="AA1134" s="276" t="e">
        <f>VLOOKUP(Logfile_S[[#This Row],[DO number]],DO_DB!G:I,3,0)</f>
        <v>#N/A</v>
      </c>
      <c r="AB1134" s="331" t="e">
        <f>EXACT(Logfile_S[[#This Row],[date pick]],Logfile_S[[#This Row],[Date]])</f>
        <v>#N/A</v>
      </c>
      <c r="AC11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35" spans="1:29" ht="14.5">
      <c r="A1135" s="220" t="str">
        <f>TEXT(ROW(A1135)-ROW($A$4),"000")</f>
        <v>1131</v>
      </c>
      <c r="B1135" s="221"/>
      <c r="C1135" s="221" t="s">
        <v>48</v>
      </c>
      <c r="D1135" s="221" t="s">
        <v>3754</v>
      </c>
      <c r="E1135" s="221" t="s">
        <v>3295</v>
      </c>
      <c r="F1135" s="221" t="s">
        <v>3299</v>
      </c>
      <c r="G1135" s="222">
        <v>45213</v>
      </c>
      <c r="H1135" s="223">
        <v>15.291666666666666</v>
      </c>
      <c r="I1135" s="221" t="s">
        <v>37</v>
      </c>
      <c r="J1135" s="221" t="s">
        <v>3023</v>
      </c>
      <c r="K1135" s="224" t="s">
        <v>3073</v>
      </c>
      <c r="L1135" s="225" t="str">
        <f>VLOOKUP(Logfile_S[[#This Row],[Material Name]],Sheet2!B:C,2,0)</f>
        <v>ZTE2001</v>
      </c>
      <c r="M1135" s="225" t="str">
        <f>_xlfn.XLOOKUP(Logfile_S[[#This Row],[Material Name]],Sum_WH!E:E,Sum_WH!F:F,"",0)</f>
        <v>Meter</v>
      </c>
      <c r="N1135" s="221">
        <v>3000</v>
      </c>
      <c r="O1135" s="221" t="s">
        <v>324</v>
      </c>
      <c r="P1135" s="221" t="s">
        <v>325</v>
      </c>
      <c r="Q1135" s="221" t="s">
        <v>326</v>
      </c>
      <c r="R1135" s="221" t="s">
        <v>327</v>
      </c>
      <c r="S1135" s="221"/>
      <c r="T1135" s="221"/>
      <c r="U1135" s="221"/>
      <c r="V1135" s="221"/>
      <c r="W1135" s="221"/>
      <c r="X1135" s="221"/>
      <c r="Y1135" s="227" t="s">
        <v>4989</v>
      </c>
      <c r="Z1135" s="227" t="str">
        <f>P1135</f>
        <v>Jedong RW 09 Wagir</v>
      </c>
      <c r="AA1135" s="276">
        <f>VLOOKUP(Logfile_S[[#This Row],[DO number]],DO_DB!G:I,3,0)</f>
        <v>45213</v>
      </c>
      <c r="AB1135" s="331" t="b">
        <f>EXACT(Logfile_S[[#This Row],[date pick]],Logfile_S[[#This Row],[Date]])</f>
        <v>1</v>
      </c>
      <c r="AC11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24C-20231014-03</v>
      </c>
    </row>
    <row r="1136" spans="1:29" ht="14.5">
      <c r="A1136" s="220" t="str">
        <f>TEXT(ROW(A1136)-ROW($A$4),"000")</f>
        <v>1132</v>
      </c>
      <c r="B1136" s="221"/>
      <c r="C1136" s="221" t="s">
        <v>48</v>
      </c>
      <c r="D1136" s="221" t="s">
        <v>3754</v>
      </c>
      <c r="E1136" s="221" t="s">
        <v>3295</v>
      </c>
      <c r="F1136" s="221" t="s">
        <v>3299</v>
      </c>
      <c r="G1136" s="222">
        <v>45213</v>
      </c>
      <c r="H1136" s="223">
        <v>15.291666666666666</v>
      </c>
      <c r="I1136" s="221" t="s">
        <v>37</v>
      </c>
      <c r="J1136" s="221" t="s">
        <v>3023</v>
      </c>
      <c r="K1136" s="224" t="s">
        <v>13</v>
      </c>
      <c r="L1136" s="225" t="str">
        <f>VLOOKUP(Logfile_S[[#This Row],[Material Name]],Sheet2!B:C,2,0)</f>
        <v>ZTE2008</v>
      </c>
      <c r="M1136" s="225" t="str">
        <f>_xlfn.XLOOKUP(Logfile_S[[#This Row],[Material Name]],Sum_WH!E:E,Sum_WH!F:F,"",0)</f>
        <v>Pcs</v>
      </c>
      <c r="N1136" s="221">
        <v>14</v>
      </c>
      <c r="O1136" s="221" t="s">
        <v>324</v>
      </c>
      <c r="P1136" s="221" t="s">
        <v>325</v>
      </c>
      <c r="Q1136" s="221" t="s">
        <v>326</v>
      </c>
      <c r="R1136" s="221" t="s">
        <v>327</v>
      </c>
      <c r="S1136" s="221"/>
      <c r="T1136" s="221"/>
      <c r="U1136" s="221"/>
      <c r="V1136" s="221"/>
      <c r="W1136" s="221"/>
      <c r="X1136" s="221"/>
      <c r="Y1136" s="227"/>
      <c r="Z1136" s="227" t="str">
        <f>P1136</f>
        <v>Jedong RW 09 Wagir</v>
      </c>
      <c r="AA1136" s="276">
        <f>VLOOKUP(Logfile_S[[#This Row],[DO number]],DO_DB!G:I,3,0)</f>
        <v>45213</v>
      </c>
      <c r="AB1136" s="331" t="b">
        <f>EXACT(Logfile_S[[#This Row],[date pick]],Logfile_S[[#This Row],[Date]])</f>
        <v>1</v>
      </c>
      <c r="AC11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37" spans="1:29" ht="14.5">
      <c r="A1137" s="220" t="str">
        <f>TEXT(ROW(A1137)-ROW($A$4),"000")</f>
        <v>1133</v>
      </c>
      <c r="B1137" s="221"/>
      <c r="C1137" s="221" t="s">
        <v>48</v>
      </c>
      <c r="D1137" s="221" t="s">
        <v>3754</v>
      </c>
      <c r="E1137" s="221" t="s">
        <v>3295</v>
      </c>
      <c r="F1137" s="221" t="s">
        <v>3299</v>
      </c>
      <c r="G1137" s="222">
        <v>45213</v>
      </c>
      <c r="H1137" s="223">
        <v>15.291666666666666</v>
      </c>
      <c r="I1137" s="221" t="s">
        <v>37</v>
      </c>
      <c r="J1137" s="221" t="s">
        <v>3023</v>
      </c>
      <c r="K1137" s="224" t="s">
        <v>3211</v>
      </c>
      <c r="L1137" s="225" t="str">
        <f>VLOOKUP(Logfile_S[[#This Row],[Material Name]],Sheet2!B:C,2,0)</f>
        <v>ZTE1002</v>
      </c>
      <c r="M1137" s="225" t="str">
        <f>_xlfn.XLOOKUP(Logfile_S[[#This Row],[Material Name]],Sum_WH!E:E,Sum_WH!F:F,"",0)</f>
        <v>Pcs</v>
      </c>
      <c r="N1137" s="221">
        <v>2</v>
      </c>
      <c r="O1137" s="221" t="s">
        <v>324</v>
      </c>
      <c r="P1137" s="221" t="s">
        <v>325</v>
      </c>
      <c r="Q1137" s="221" t="s">
        <v>346</v>
      </c>
      <c r="R1137" s="221" t="s">
        <v>347</v>
      </c>
      <c r="S1137" s="221"/>
      <c r="T1137" s="221"/>
      <c r="U1137" s="221"/>
      <c r="V1137" s="221"/>
      <c r="W1137" s="221"/>
      <c r="X1137" s="221"/>
      <c r="Y1137" s="227"/>
      <c r="Z1137" s="227" t="str">
        <f>P1137</f>
        <v>Jedong RW 09 Wagir</v>
      </c>
      <c r="AA1137" s="276">
        <f>VLOOKUP(Logfile_S[[#This Row],[DO number]],DO_DB!G:I,3,0)</f>
        <v>45213</v>
      </c>
      <c r="AB1137" s="331" t="b">
        <f>EXACT(Logfile_S[[#This Row],[date pick]],Logfile_S[[#This Row],[Date]])</f>
        <v>1</v>
      </c>
      <c r="AC11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38" spans="1:29" ht="14.5">
      <c r="A1138" s="220" t="str">
        <f>TEXT(ROW(A1138)-ROW($A$4),"000")</f>
        <v>1134</v>
      </c>
      <c r="B1138" s="221"/>
      <c r="C1138" s="221" t="s">
        <v>48</v>
      </c>
      <c r="D1138" s="221" t="s">
        <v>3754</v>
      </c>
      <c r="E1138" s="221" t="s">
        <v>3295</v>
      </c>
      <c r="F1138" s="221" t="s">
        <v>3299</v>
      </c>
      <c r="G1138" s="222">
        <v>45213</v>
      </c>
      <c r="H1138" s="223">
        <v>15.291666666666666</v>
      </c>
      <c r="I1138" s="221" t="s">
        <v>37</v>
      </c>
      <c r="J1138" s="221" t="s">
        <v>3023</v>
      </c>
      <c r="K1138" s="224" t="s">
        <v>3227</v>
      </c>
      <c r="L1138" s="225" t="str">
        <f>VLOOKUP(Logfile_S[[#This Row],[Material Name]],Sheet2!B:C,2,0)</f>
        <v>ZTE1001</v>
      </c>
      <c r="M1138" s="225" t="str">
        <f>_xlfn.XLOOKUP(Logfile_S[[#This Row],[Material Name]],Sum_WH!E:E,Sum_WH!F:F,"",0)</f>
        <v>Pcs</v>
      </c>
      <c r="N1138" s="221">
        <v>14</v>
      </c>
      <c r="O1138" s="221" t="s">
        <v>324</v>
      </c>
      <c r="P1138" s="221" t="s">
        <v>325</v>
      </c>
      <c r="Q1138" s="221" t="s">
        <v>346</v>
      </c>
      <c r="R1138" s="221" t="s">
        <v>347</v>
      </c>
      <c r="S1138" s="221"/>
      <c r="T1138" s="221"/>
      <c r="U1138" s="221"/>
      <c r="V1138" s="221"/>
      <c r="W1138" s="221"/>
      <c r="X1138" s="221"/>
      <c r="Y1138" s="227"/>
      <c r="Z1138" s="227" t="str">
        <f>P1138</f>
        <v>Jedong RW 09 Wagir</v>
      </c>
      <c r="AA1138" s="276">
        <f>VLOOKUP(Logfile_S[[#This Row],[DO number]],DO_DB!G:I,3,0)</f>
        <v>45213</v>
      </c>
      <c r="AB1138" s="331" t="b">
        <f>EXACT(Logfile_S[[#This Row],[date pick]],Logfile_S[[#This Row],[Date]])</f>
        <v>1</v>
      </c>
      <c r="AC11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39" spans="1:29" ht="14.5">
      <c r="A1139" s="220" t="str">
        <f>TEXT(ROW(A1139)-ROW($A$4),"000")</f>
        <v>1135</v>
      </c>
      <c r="B1139" s="221"/>
      <c r="C1139" s="221" t="s">
        <v>48</v>
      </c>
      <c r="D1139" s="221" t="s">
        <v>3754</v>
      </c>
      <c r="E1139" s="221" t="s">
        <v>3295</v>
      </c>
      <c r="F1139" s="221" t="s">
        <v>3299</v>
      </c>
      <c r="G1139" s="222">
        <v>45213</v>
      </c>
      <c r="H1139" s="223">
        <v>15.291666666666666</v>
      </c>
      <c r="I1139" s="221" t="s">
        <v>37</v>
      </c>
      <c r="J1139" s="221" t="s">
        <v>3023</v>
      </c>
      <c r="K1139" s="224" t="s">
        <v>3227</v>
      </c>
      <c r="L1139" s="225" t="str">
        <f>VLOOKUP(Logfile_S[[#This Row],[Material Name]],Sheet2!B:C,2,0)</f>
        <v>ZTE1001</v>
      </c>
      <c r="M1139" s="225" t="str">
        <f>_xlfn.XLOOKUP(Logfile_S[[#This Row],[Material Name]],Sum_WH!E:E,Sum_WH!F:F,"",0)</f>
        <v>Pcs</v>
      </c>
      <c r="N1139" s="221">
        <v>22</v>
      </c>
      <c r="O1139" s="221" t="s">
        <v>324</v>
      </c>
      <c r="P1139" s="221" t="s">
        <v>325</v>
      </c>
      <c r="Q1139" s="221" t="s">
        <v>346</v>
      </c>
      <c r="R1139" s="221" t="s">
        <v>347</v>
      </c>
      <c r="S1139" s="221"/>
      <c r="T1139" s="221"/>
      <c r="U1139" s="221"/>
      <c r="V1139" s="221"/>
      <c r="W1139" s="221"/>
      <c r="X1139" s="221"/>
      <c r="Y1139" s="227"/>
      <c r="Z1139" s="227" t="str">
        <f>P1139</f>
        <v>Jedong RW 09 Wagir</v>
      </c>
      <c r="AA1139" s="276">
        <f>VLOOKUP(Logfile_S[[#This Row],[DO number]],DO_DB!G:I,3,0)</f>
        <v>45213</v>
      </c>
      <c r="AB1139" s="331" t="b">
        <f>EXACT(Logfile_S[[#This Row],[date pick]],Logfile_S[[#This Row],[Date]])</f>
        <v>1</v>
      </c>
      <c r="AC11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40" spans="1:29" ht="14.5">
      <c r="A1140" s="220" t="str">
        <f>TEXT(ROW(A1140)-ROW($A$4),"000")</f>
        <v>1136</v>
      </c>
      <c r="B1140" s="221"/>
      <c r="C1140" s="221" t="s">
        <v>48</v>
      </c>
      <c r="D1140" s="221" t="s">
        <v>3754</v>
      </c>
      <c r="E1140" s="221" t="s">
        <v>3295</v>
      </c>
      <c r="F1140" s="221" t="s">
        <v>3299</v>
      </c>
      <c r="G1140" s="222">
        <v>45213</v>
      </c>
      <c r="H1140" s="223">
        <v>15.291666666666666</v>
      </c>
      <c r="I1140" s="221" t="s">
        <v>37</v>
      </c>
      <c r="J1140" s="221" t="s">
        <v>3023</v>
      </c>
      <c r="K1140" s="224" t="s">
        <v>3071</v>
      </c>
      <c r="L1140" s="225" t="str">
        <f>VLOOKUP(Logfile_S[[#This Row],[Material Name]],Sheet2!B:C,2,0)</f>
        <v>ZTE1003</v>
      </c>
      <c r="M1140" s="225" t="str">
        <f>_xlfn.XLOOKUP(Logfile_S[[#This Row],[Material Name]],Sum_WH!E:E,Sum_WH!F:F,"",0)</f>
        <v>Pcs</v>
      </c>
      <c r="N1140" s="221">
        <v>4</v>
      </c>
      <c r="O1140" s="221" t="s">
        <v>324</v>
      </c>
      <c r="P1140" s="221" t="s">
        <v>325</v>
      </c>
      <c r="Q1140" s="221" t="s">
        <v>346</v>
      </c>
      <c r="R1140" s="221" t="s">
        <v>347</v>
      </c>
      <c r="S1140" s="221"/>
      <c r="T1140" s="221"/>
      <c r="U1140" s="221"/>
      <c r="V1140" s="221"/>
      <c r="W1140" s="221"/>
      <c r="X1140" s="221"/>
      <c r="Y1140" s="227"/>
      <c r="Z1140" s="227" t="str">
        <f>P1140</f>
        <v>Jedong RW 09 Wagir</v>
      </c>
      <c r="AA1140" s="276">
        <f>VLOOKUP(Logfile_S[[#This Row],[DO number]],DO_DB!G:I,3,0)</f>
        <v>45213</v>
      </c>
      <c r="AB1140" s="331" t="b">
        <f>EXACT(Logfile_S[[#This Row],[date pick]],Logfile_S[[#This Row],[Date]])</f>
        <v>1</v>
      </c>
      <c r="AC11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41" spans="1:29" ht="14.5">
      <c r="A1141" s="220" t="str">
        <f>TEXT(ROW(A1141)-ROW($A$4),"000")</f>
        <v>1137</v>
      </c>
      <c r="B1141" s="221"/>
      <c r="C1141" s="221" t="s">
        <v>49</v>
      </c>
      <c r="D1141" s="221" t="s">
        <v>3756</v>
      </c>
      <c r="E1141" s="221" t="s">
        <v>3295</v>
      </c>
      <c r="F1141" s="221" t="s">
        <v>3299</v>
      </c>
      <c r="G1141" s="222">
        <v>45215</v>
      </c>
      <c r="H1141" s="223">
        <v>0.2986111111111111</v>
      </c>
      <c r="I1141" s="221" t="s">
        <v>4916</v>
      </c>
      <c r="J1141" s="221" t="s">
        <v>3023</v>
      </c>
      <c r="K1141" s="224" t="s">
        <v>3211</v>
      </c>
      <c r="L1141" s="225" t="str">
        <f>VLOOKUP(Logfile_S[[#This Row],[Material Name]],Sheet2!B:C,2,0)</f>
        <v>ZTE1002</v>
      </c>
      <c r="M1141" s="225" t="str">
        <f>_xlfn.XLOOKUP(Logfile_S[[#This Row],[Material Name]],Sum_WH!E:E,Sum_WH!F:F,"",0)</f>
        <v>Pcs</v>
      </c>
      <c r="N1141" s="221">
        <v>3</v>
      </c>
      <c r="O1141" s="221" t="s">
        <v>324</v>
      </c>
      <c r="P1141" s="221" t="s">
        <v>325</v>
      </c>
      <c r="Q1141" s="221"/>
      <c r="R1141" s="221"/>
      <c r="S1141" s="221"/>
      <c r="T1141" s="221" t="s">
        <v>3322</v>
      </c>
      <c r="U1141" s="221" t="s">
        <v>3323</v>
      </c>
      <c r="V1141" s="221" t="s">
        <v>3324</v>
      </c>
      <c r="W1141" s="221" t="s">
        <v>3325</v>
      </c>
      <c r="X1141" s="221"/>
      <c r="Y1141" s="227"/>
      <c r="Z1141" s="227" t="str">
        <f>P1141</f>
        <v>Jedong RW 09 Wagir</v>
      </c>
      <c r="AA1141" s="276" t="e">
        <f>VLOOKUP(Logfile_S[[#This Row],[DO number]],DO_DB!G:I,3,0)</f>
        <v>#N/A</v>
      </c>
      <c r="AB1141" s="331" t="e">
        <f>EXACT(Logfile_S[[#This Row],[date pick]],Logfile_S[[#This Row],[Date]])</f>
        <v>#N/A</v>
      </c>
      <c r="AC11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42" spans="1:29" ht="14.5">
      <c r="A1142" s="220" t="str">
        <f>TEXT(ROW(A1142)-ROW($A$4),"000")</f>
        <v>1138</v>
      </c>
      <c r="B1142" s="221"/>
      <c r="C1142" s="221" t="s">
        <v>49</v>
      </c>
      <c r="D1142" s="221" t="s">
        <v>3758</v>
      </c>
      <c r="E1142" s="221" t="s">
        <v>3295</v>
      </c>
      <c r="F1142" s="221" t="s">
        <v>3299</v>
      </c>
      <c r="G1142" s="222">
        <v>45215</v>
      </c>
      <c r="H1142" s="223">
        <v>0.2986111111111111</v>
      </c>
      <c r="I1142" s="221" t="s">
        <v>4916</v>
      </c>
      <c r="J1142" s="221" t="s">
        <v>3023</v>
      </c>
      <c r="K1142" s="224" t="s">
        <v>3227</v>
      </c>
      <c r="L1142" s="225" t="str">
        <f>VLOOKUP(Logfile_S[[#This Row],[Material Name]],Sheet2!B:C,2,0)</f>
        <v>ZTE1001</v>
      </c>
      <c r="M1142" s="225" t="str">
        <f>_xlfn.XLOOKUP(Logfile_S[[#This Row],[Material Name]],Sum_WH!E:E,Sum_WH!F:F,"",0)</f>
        <v>Pcs</v>
      </c>
      <c r="N1142" s="221">
        <v>14</v>
      </c>
      <c r="O1142" s="221" t="s">
        <v>324</v>
      </c>
      <c r="P1142" s="221" t="s">
        <v>325</v>
      </c>
      <c r="Q1142" s="221"/>
      <c r="R1142" s="221"/>
      <c r="S1142" s="221"/>
      <c r="T1142" s="221" t="s">
        <v>3322</v>
      </c>
      <c r="U1142" s="221" t="s">
        <v>3323</v>
      </c>
      <c r="V1142" s="221" t="s">
        <v>3324</v>
      </c>
      <c r="W1142" s="221" t="s">
        <v>3325</v>
      </c>
      <c r="X1142" s="221"/>
      <c r="Y1142" s="227"/>
      <c r="Z1142" s="227" t="str">
        <f>P1142</f>
        <v>Jedong RW 09 Wagir</v>
      </c>
      <c r="AA1142" s="276" t="e">
        <f>VLOOKUP(Logfile_S[[#This Row],[DO number]],DO_DB!G:I,3,0)</f>
        <v>#N/A</v>
      </c>
      <c r="AB1142" s="331" t="e">
        <f>EXACT(Logfile_S[[#This Row],[date pick]],Logfile_S[[#This Row],[Date]])</f>
        <v>#N/A</v>
      </c>
      <c r="AC11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43" spans="1:29" ht="14.5">
      <c r="A1143" s="220" t="str">
        <f>TEXT(ROW(A1143)-ROW($A$4),"000")</f>
        <v>1139</v>
      </c>
      <c r="B1143" s="221"/>
      <c r="C1143" s="221" t="s">
        <v>49</v>
      </c>
      <c r="D1143" s="221" t="s">
        <v>3760</v>
      </c>
      <c r="E1143" s="221" t="s">
        <v>3295</v>
      </c>
      <c r="F1143" s="221" t="s">
        <v>3299</v>
      </c>
      <c r="G1143" s="222">
        <v>45216</v>
      </c>
      <c r="H1143" s="223">
        <v>0.34652777777777777</v>
      </c>
      <c r="I1143" s="221" t="s">
        <v>4916</v>
      </c>
      <c r="J1143" s="221" t="s">
        <v>3023</v>
      </c>
      <c r="K1143" s="224" t="s">
        <v>3227</v>
      </c>
      <c r="L1143" s="225" t="str">
        <f>VLOOKUP(Logfile_S[[#This Row],[Material Name]],Sheet2!B:C,2,0)</f>
        <v>ZTE1001</v>
      </c>
      <c r="M1143" s="225" t="str">
        <f>_xlfn.XLOOKUP(Logfile_S[[#This Row],[Material Name]],Sum_WH!E:E,Sum_WH!F:F,"",0)</f>
        <v>Pcs</v>
      </c>
      <c r="N1143" s="221">
        <v>17</v>
      </c>
      <c r="O1143" s="221" t="s">
        <v>324</v>
      </c>
      <c r="P1143" s="221" t="s">
        <v>325</v>
      </c>
      <c r="Q1143" s="221"/>
      <c r="R1143" s="221"/>
      <c r="S1143" s="221"/>
      <c r="T1143" s="221" t="s">
        <v>3322</v>
      </c>
      <c r="U1143" s="221" t="s">
        <v>3323</v>
      </c>
      <c r="V1143" s="221" t="s">
        <v>3324</v>
      </c>
      <c r="W1143" s="221" t="s">
        <v>3325</v>
      </c>
      <c r="X1143" s="221"/>
      <c r="Y1143" s="227"/>
      <c r="Z1143" s="227" t="str">
        <f>P1143</f>
        <v>Jedong RW 09 Wagir</v>
      </c>
      <c r="AA1143" s="276" t="e">
        <f>VLOOKUP(Logfile_S[[#This Row],[DO number]],DO_DB!G:I,3,0)</f>
        <v>#N/A</v>
      </c>
      <c r="AB1143" s="331" t="e">
        <f>EXACT(Logfile_S[[#This Row],[date pick]],Logfile_S[[#This Row],[Date]])</f>
        <v>#N/A</v>
      </c>
      <c r="AC11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44" spans="1:29" ht="14.5">
      <c r="A1144" s="220" t="str">
        <f>TEXT(ROW(A1144)-ROW($A$4),"000")</f>
        <v>1140</v>
      </c>
      <c r="B1144" s="221"/>
      <c r="C1144" s="221" t="s">
        <v>49</v>
      </c>
      <c r="D1144" s="221" t="s">
        <v>3763</v>
      </c>
      <c r="E1144" s="221" t="s">
        <v>3295</v>
      </c>
      <c r="F1144" s="221" t="s">
        <v>3299</v>
      </c>
      <c r="G1144" s="222">
        <v>45217</v>
      </c>
      <c r="H1144" s="223">
        <v>0.30069444444444443</v>
      </c>
      <c r="I1144" s="221" t="s">
        <v>4916</v>
      </c>
      <c r="J1144" s="221" t="s">
        <v>3023</v>
      </c>
      <c r="K1144" s="224" t="s">
        <v>3227</v>
      </c>
      <c r="L1144" s="225" t="str">
        <f>VLOOKUP(Logfile_S[[#This Row],[Material Name]],Sheet2!B:C,2,0)</f>
        <v>ZTE1001</v>
      </c>
      <c r="M1144" s="225" t="str">
        <f>_xlfn.XLOOKUP(Logfile_S[[#This Row],[Material Name]],Sum_WH!E:E,Sum_WH!F:F,"",0)</f>
        <v>Pcs</v>
      </c>
      <c r="N1144" s="221">
        <v>3</v>
      </c>
      <c r="O1144" s="221" t="s">
        <v>324</v>
      </c>
      <c r="P1144" s="221" t="s">
        <v>325</v>
      </c>
      <c r="Q1144" s="221"/>
      <c r="R1144" s="221"/>
      <c r="S1144" s="221"/>
      <c r="T1144" s="221" t="s">
        <v>3322</v>
      </c>
      <c r="U1144" s="221" t="s">
        <v>3323</v>
      </c>
      <c r="V1144" s="221" t="s">
        <v>3324</v>
      </c>
      <c r="W1144" s="221" t="s">
        <v>3325</v>
      </c>
      <c r="X1144" s="221"/>
      <c r="Y1144" s="227"/>
      <c r="Z1144" s="227" t="str">
        <f>P1144</f>
        <v>Jedong RW 09 Wagir</v>
      </c>
      <c r="AA1144" s="276" t="e">
        <f>VLOOKUP(Logfile_S[[#This Row],[DO number]],DO_DB!G:I,3,0)</f>
        <v>#N/A</v>
      </c>
      <c r="AB1144" s="331" t="e">
        <f>EXACT(Logfile_S[[#This Row],[date pick]],Logfile_S[[#This Row],[Date]])</f>
        <v>#N/A</v>
      </c>
      <c r="AC11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45" spans="1:29" ht="14.5">
      <c r="A1145" s="220" t="str">
        <f>TEXT(ROW(A1145)-ROW($A$4),"000")</f>
        <v>1141</v>
      </c>
      <c r="B1145" s="221"/>
      <c r="C1145" s="221" t="s">
        <v>49</v>
      </c>
      <c r="D1145" s="221" t="s">
        <v>3763</v>
      </c>
      <c r="E1145" s="221" t="s">
        <v>3295</v>
      </c>
      <c r="F1145" s="221" t="s">
        <v>3299</v>
      </c>
      <c r="G1145" s="222">
        <v>45217</v>
      </c>
      <c r="H1145" s="223">
        <v>0.30069444444444443</v>
      </c>
      <c r="I1145" s="221" t="s">
        <v>4916</v>
      </c>
      <c r="J1145" s="221" t="s">
        <v>3023</v>
      </c>
      <c r="K1145" s="224" t="s">
        <v>3071</v>
      </c>
      <c r="L1145" s="225" t="str">
        <f>VLOOKUP(Logfile_S[[#This Row],[Material Name]],Sheet2!B:C,2,0)</f>
        <v>ZTE1003</v>
      </c>
      <c r="M1145" s="225" t="str">
        <f>_xlfn.XLOOKUP(Logfile_S[[#This Row],[Material Name]],Sum_WH!E:E,Sum_WH!F:F,"",0)</f>
        <v>Pcs</v>
      </c>
      <c r="N1145" s="221">
        <v>1</v>
      </c>
      <c r="O1145" s="221" t="s">
        <v>324</v>
      </c>
      <c r="P1145" s="221" t="s">
        <v>325</v>
      </c>
      <c r="Q1145" s="221"/>
      <c r="R1145" s="221"/>
      <c r="S1145" s="221"/>
      <c r="T1145" s="221" t="s">
        <v>3322</v>
      </c>
      <c r="U1145" s="221" t="s">
        <v>3323</v>
      </c>
      <c r="V1145" s="221" t="s">
        <v>3324</v>
      </c>
      <c r="W1145" s="221" t="s">
        <v>3325</v>
      </c>
      <c r="X1145" s="221"/>
      <c r="Y1145" s="227"/>
      <c r="Z1145" s="227" t="str">
        <f>P1145</f>
        <v>Jedong RW 09 Wagir</v>
      </c>
      <c r="AA1145" s="276" t="e">
        <f>VLOOKUP(Logfile_S[[#This Row],[DO number]],DO_DB!G:I,3,0)</f>
        <v>#N/A</v>
      </c>
      <c r="AB1145" s="331" t="e">
        <f>EXACT(Logfile_S[[#This Row],[date pick]],Logfile_S[[#This Row],[Date]])</f>
        <v>#N/A</v>
      </c>
      <c r="AC11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46" spans="1:29" ht="14.5">
      <c r="A1146" s="220" t="str">
        <f>TEXT(ROW(A1146)-ROW($A$4),"000")</f>
        <v>1142</v>
      </c>
      <c r="B1146" s="221"/>
      <c r="C1146" s="221" t="s">
        <v>49</v>
      </c>
      <c r="D1146" s="221" t="s">
        <v>3768</v>
      </c>
      <c r="E1146" s="221" t="s">
        <v>3295</v>
      </c>
      <c r="F1146" s="221" t="s">
        <v>3299</v>
      </c>
      <c r="G1146" s="222">
        <v>45218</v>
      </c>
      <c r="H1146" s="223">
        <v>0.33263888888888887</v>
      </c>
      <c r="I1146" s="221" t="s">
        <v>4916</v>
      </c>
      <c r="J1146" s="221" t="s">
        <v>3023</v>
      </c>
      <c r="K1146" s="224" t="s">
        <v>3073</v>
      </c>
      <c r="L1146" s="225" t="str">
        <f>VLOOKUP(Logfile_S[[#This Row],[Material Name]],Sheet2!B:C,2,0)</f>
        <v>ZTE2001</v>
      </c>
      <c r="M1146" s="225" t="str">
        <f>_xlfn.XLOOKUP(Logfile_S[[#This Row],[Material Name]],Sum_WH!E:E,Sum_WH!F:F,"",0)</f>
        <v>Meter</v>
      </c>
      <c r="N1146" s="221">
        <v>3000</v>
      </c>
      <c r="O1146" s="221" t="s">
        <v>324</v>
      </c>
      <c r="P1146" s="221" t="s">
        <v>325</v>
      </c>
      <c r="Q1146" s="221"/>
      <c r="R1146" s="221"/>
      <c r="S1146" s="221"/>
      <c r="T1146" s="221" t="s">
        <v>3322</v>
      </c>
      <c r="U1146" s="221" t="s">
        <v>3323</v>
      </c>
      <c r="V1146" s="221" t="s">
        <v>3324</v>
      </c>
      <c r="W1146" s="221" t="s">
        <v>3325</v>
      </c>
      <c r="X1146" s="221" t="s">
        <v>3486</v>
      </c>
      <c r="Y1146" s="227" t="s">
        <v>4989</v>
      </c>
      <c r="Z1146" s="227" t="str">
        <f>P1146</f>
        <v>Jedong RW 09 Wagir</v>
      </c>
      <c r="AA1146" s="276" t="e">
        <f>VLOOKUP(Logfile_S[[#This Row],[DO number]],DO_DB!G:I,3,0)</f>
        <v>#N/A</v>
      </c>
      <c r="AB1146" s="331" t="e">
        <f>EXACT(Logfile_S[[#This Row],[date pick]],Logfile_S[[#This Row],[Date]])</f>
        <v>#N/A</v>
      </c>
      <c r="AC11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24C-20231014-03</v>
      </c>
    </row>
    <row r="1147" spans="1:29" ht="14.5">
      <c r="A1147" s="220" t="str">
        <f>TEXT(ROW(A1147)-ROW($A$4),"000")</f>
        <v>1143</v>
      </c>
      <c r="B1147" s="221"/>
      <c r="C1147" s="221" t="s">
        <v>49</v>
      </c>
      <c r="D1147" s="221" t="s">
        <v>3772</v>
      </c>
      <c r="E1147" s="221" t="s">
        <v>3295</v>
      </c>
      <c r="F1147" s="221" t="s">
        <v>3299</v>
      </c>
      <c r="G1147" s="222">
        <v>45220</v>
      </c>
      <c r="H1147" s="223">
        <v>0.97499999999999998</v>
      </c>
      <c r="I1147" s="221" t="s">
        <v>4916</v>
      </c>
      <c r="J1147" s="221" t="s">
        <v>3024</v>
      </c>
      <c r="K1147" s="224" t="s">
        <v>3213</v>
      </c>
      <c r="L1147" s="225" t="str">
        <f>VLOOKUP(Logfile_S[[#This Row],[Material Name]],Sheet2!B:C,2,0)</f>
        <v>GCI1005</v>
      </c>
      <c r="M1147" s="225" t="str">
        <f>_xlfn.XLOOKUP(Logfile_S[[#This Row],[Material Name]],Sum_WH!E:E,Sum_WH!F:F,"",0)</f>
        <v>Pcs</v>
      </c>
      <c r="N1147" s="221">
        <v>60</v>
      </c>
      <c r="O1147" s="221" t="s">
        <v>324</v>
      </c>
      <c r="P1147" s="221" t="s">
        <v>325</v>
      </c>
      <c r="Q1147" s="221"/>
      <c r="R1147" s="221"/>
      <c r="S1147" s="221"/>
      <c r="T1147" s="221" t="s">
        <v>3322</v>
      </c>
      <c r="U1147" s="221" t="s">
        <v>3323</v>
      </c>
      <c r="V1147" s="221" t="s">
        <v>3324</v>
      </c>
      <c r="W1147" s="221" t="s">
        <v>3325</v>
      </c>
      <c r="X1147" s="221"/>
      <c r="Y1147" s="227"/>
      <c r="Z1147" s="227" t="str">
        <f>P1147</f>
        <v>Jedong RW 09 Wagir</v>
      </c>
      <c r="AA1147" s="276" t="e">
        <f>VLOOKUP(Logfile_S[[#This Row],[DO number]],DO_DB!G:I,3,0)</f>
        <v>#N/A</v>
      </c>
      <c r="AB1147" s="331" t="e">
        <f>EXACT(Logfile_S[[#This Row],[date pick]],Logfile_S[[#This Row],[Date]])</f>
        <v>#N/A</v>
      </c>
      <c r="AC11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48" spans="1:29" ht="14.5">
      <c r="A1148" s="220" t="str">
        <f>TEXT(ROW(A1148)-ROW($A$4),"000")</f>
        <v>1144</v>
      </c>
      <c r="B1148" s="221"/>
      <c r="C1148" s="221" t="s">
        <v>49</v>
      </c>
      <c r="D1148" s="221" t="s">
        <v>3772</v>
      </c>
      <c r="E1148" s="221" t="s">
        <v>3295</v>
      </c>
      <c r="F1148" s="221" t="s">
        <v>3299</v>
      </c>
      <c r="G1148" s="222">
        <v>45220</v>
      </c>
      <c r="H1148" s="223">
        <v>0.97499999999999998</v>
      </c>
      <c r="I1148" s="221" t="s">
        <v>4916</v>
      </c>
      <c r="J1148" s="221" t="s">
        <v>3024</v>
      </c>
      <c r="K1148" s="224" t="s">
        <v>3226</v>
      </c>
      <c r="L1148" s="225" t="str">
        <f>VLOOKUP(Logfile_S[[#This Row],[Material Name]],Sheet2!B:C,2,0)</f>
        <v>GCI1001</v>
      </c>
      <c r="M1148" s="225" t="str">
        <f>_xlfn.XLOOKUP(Logfile_S[[#This Row],[Material Name]],Sum_WH!E:E,Sum_WH!F:F,"",0)</f>
        <v>Pcs</v>
      </c>
      <c r="N1148" s="221">
        <v>18</v>
      </c>
      <c r="O1148" s="221" t="s">
        <v>324</v>
      </c>
      <c r="P1148" s="221" t="s">
        <v>325</v>
      </c>
      <c r="Q1148" s="221"/>
      <c r="R1148" s="221"/>
      <c r="S1148" s="221"/>
      <c r="T1148" s="221" t="s">
        <v>3322</v>
      </c>
      <c r="U1148" s="221" t="s">
        <v>3323</v>
      </c>
      <c r="V1148" s="221" t="s">
        <v>3324</v>
      </c>
      <c r="W1148" s="221" t="s">
        <v>3325</v>
      </c>
      <c r="X1148" s="221"/>
      <c r="Y1148" s="227"/>
      <c r="Z1148" s="227" t="str">
        <f>P1148</f>
        <v>Jedong RW 09 Wagir</v>
      </c>
      <c r="AA1148" s="276" t="e">
        <f>VLOOKUP(Logfile_S[[#This Row],[DO number]],DO_DB!G:I,3,0)</f>
        <v>#N/A</v>
      </c>
      <c r="AB1148" s="331" t="e">
        <f>EXACT(Logfile_S[[#This Row],[date pick]],Logfile_S[[#This Row],[Date]])</f>
        <v>#N/A</v>
      </c>
      <c r="AC11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49" spans="1:29" ht="14.5">
      <c r="A1149" s="220" t="str">
        <f>TEXT(ROW(A1149)-ROW($A$4),"000")</f>
        <v>1145</v>
      </c>
      <c r="B1149" s="221"/>
      <c r="C1149" s="221" t="s">
        <v>49</v>
      </c>
      <c r="D1149" s="221" t="s">
        <v>3776</v>
      </c>
      <c r="E1149" s="221" t="s">
        <v>3295</v>
      </c>
      <c r="F1149" s="221" t="s">
        <v>3299</v>
      </c>
      <c r="G1149" s="222">
        <v>45220</v>
      </c>
      <c r="H1149" s="223">
        <v>0.97499999999999998</v>
      </c>
      <c r="I1149" s="221" t="s">
        <v>4916</v>
      </c>
      <c r="J1149" s="221" t="s">
        <v>3024</v>
      </c>
      <c r="K1149" s="224" t="s">
        <v>5137</v>
      </c>
      <c r="L1149" s="225" t="str">
        <f>VLOOKUP(Logfile_S[[#This Row],[Material Name]],Sheet2!B:C,2,0)</f>
        <v>GCI1009</v>
      </c>
      <c r="M1149" s="225" t="str">
        <f>_xlfn.XLOOKUP(Logfile_S[[#This Row],[Material Name]],Sum_WH!E:E,Sum_WH!F:F,"",0)</f>
        <v>Pcs</v>
      </c>
      <c r="N1149" s="221">
        <v>60</v>
      </c>
      <c r="O1149" s="221" t="s">
        <v>324</v>
      </c>
      <c r="P1149" s="221" t="s">
        <v>325</v>
      </c>
      <c r="Q1149" s="221"/>
      <c r="R1149" s="221"/>
      <c r="S1149" s="221"/>
      <c r="T1149" s="221" t="s">
        <v>3322</v>
      </c>
      <c r="U1149" s="221" t="s">
        <v>3323</v>
      </c>
      <c r="V1149" s="221" t="s">
        <v>3324</v>
      </c>
      <c r="W1149" s="221" t="s">
        <v>3325</v>
      </c>
      <c r="X1149" s="221"/>
      <c r="Y1149" s="227"/>
      <c r="Z1149" s="227" t="str">
        <f>P1149</f>
        <v>Jedong RW 09 Wagir</v>
      </c>
      <c r="AA1149" s="276" t="e">
        <f>VLOOKUP(Logfile_S[[#This Row],[DO number]],DO_DB!G:I,3,0)</f>
        <v>#N/A</v>
      </c>
      <c r="AB1149" s="331" t="e">
        <f>EXACT(Logfile_S[[#This Row],[date pick]],Logfile_S[[#This Row],[Date]])</f>
        <v>#N/A</v>
      </c>
      <c r="AC11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50" spans="1:29" ht="14.5">
      <c r="A1150" s="220" t="str">
        <f>TEXT(ROW(A1150)-ROW($A$4),"000")</f>
        <v>1146</v>
      </c>
      <c r="B1150" s="221"/>
      <c r="C1150" s="221" t="s">
        <v>49</v>
      </c>
      <c r="D1150" s="221" t="s">
        <v>3779</v>
      </c>
      <c r="E1150" s="221" t="s">
        <v>3295</v>
      </c>
      <c r="F1150" s="221" t="s">
        <v>3299</v>
      </c>
      <c r="G1150" s="222">
        <v>45220</v>
      </c>
      <c r="H1150" s="223">
        <v>0.97499999999999998</v>
      </c>
      <c r="I1150" s="221" t="s">
        <v>4916</v>
      </c>
      <c r="J1150" s="221" t="s">
        <v>3024</v>
      </c>
      <c r="K1150" s="224" t="s">
        <v>3224</v>
      </c>
      <c r="L1150" s="225" t="str">
        <f>VLOOKUP(Logfile_S[[#This Row],[Material Name]],Sheet2!B:C,2,0)</f>
        <v>GCI1002</v>
      </c>
      <c r="M1150" s="225" t="str">
        <f>_xlfn.XLOOKUP(Logfile_S[[#This Row],[Material Name]],Sum_WH!E:E,Sum_WH!F:F,"",0)</f>
        <v>Pcs</v>
      </c>
      <c r="N1150" s="221">
        <v>1</v>
      </c>
      <c r="O1150" s="221" t="s">
        <v>324</v>
      </c>
      <c r="P1150" s="221" t="s">
        <v>325</v>
      </c>
      <c r="Q1150" s="221"/>
      <c r="R1150" s="221"/>
      <c r="S1150" s="221"/>
      <c r="T1150" s="221" t="s">
        <v>3322</v>
      </c>
      <c r="U1150" s="221" t="s">
        <v>3323</v>
      </c>
      <c r="V1150" s="221" t="s">
        <v>3324</v>
      </c>
      <c r="W1150" s="221" t="s">
        <v>3325</v>
      </c>
      <c r="X1150" s="221"/>
      <c r="Y1150" s="227"/>
      <c r="Z1150" s="227" t="str">
        <f>P1150</f>
        <v>Jedong RW 09 Wagir</v>
      </c>
      <c r="AA1150" s="276" t="e">
        <f>VLOOKUP(Logfile_S[[#This Row],[DO number]],DO_DB!G:I,3,0)</f>
        <v>#N/A</v>
      </c>
      <c r="AB1150" s="331" t="e">
        <f>EXACT(Logfile_S[[#This Row],[date pick]],Logfile_S[[#This Row],[Date]])</f>
        <v>#N/A</v>
      </c>
      <c r="AC11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51" spans="1:29" ht="14.5">
      <c r="A1151" s="220" t="str">
        <f>TEXT(ROW(A1151)-ROW($A$4),"000")</f>
        <v>1147</v>
      </c>
      <c r="B1151" s="221"/>
      <c r="C1151" s="221" t="s">
        <v>49</v>
      </c>
      <c r="D1151" s="221" t="s">
        <v>3779</v>
      </c>
      <c r="E1151" s="221" t="s">
        <v>3295</v>
      </c>
      <c r="F1151" s="221" t="s">
        <v>3299</v>
      </c>
      <c r="G1151" s="222">
        <v>45220</v>
      </c>
      <c r="H1151" s="223">
        <v>0.97499999999999998</v>
      </c>
      <c r="I1151" s="221" t="s">
        <v>4916</v>
      </c>
      <c r="J1151" s="221" t="s">
        <v>3023</v>
      </c>
      <c r="K1151" s="224" t="s">
        <v>3070</v>
      </c>
      <c r="L1151" s="225" t="str">
        <f>VLOOKUP(Logfile_S[[#This Row],[Material Name]],Sheet2!B:C,2,0)</f>
        <v>ZTE1002</v>
      </c>
      <c r="M1151" s="225" t="str">
        <f>_xlfn.XLOOKUP(Logfile_S[[#This Row],[Material Name]],Sum_WH!E:E,Sum_WH!F:F,"",0)</f>
        <v>Pcs</v>
      </c>
      <c r="N1151" s="221">
        <v>12</v>
      </c>
      <c r="O1151" s="221" t="s">
        <v>324</v>
      </c>
      <c r="P1151" s="221" t="s">
        <v>325</v>
      </c>
      <c r="Q1151" s="221"/>
      <c r="R1151" s="221"/>
      <c r="S1151" s="221"/>
      <c r="T1151" s="221" t="s">
        <v>3322</v>
      </c>
      <c r="U1151" s="221" t="s">
        <v>3323</v>
      </c>
      <c r="V1151" s="221" t="s">
        <v>3324</v>
      </c>
      <c r="W1151" s="221" t="s">
        <v>3325</v>
      </c>
      <c r="X1151" s="221"/>
      <c r="Y1151" s="227"/>
      <c r="Z1151" s="227" t="str">
        <f>P1151</f>
        <v>Jedong RW 09 Wagir</v>
      </c>
      <c r="AA1151" s="276" t="e">
        <f>VLOOKUP(Logfile_S[[#This Row],[DO number]],DO_DB!G:I,3,0)</f>
        <v>#N/A</v>
      </c>
      <c r="AB1151" s="331" t="e">
        <f>EXACT(Logfile_S[[#This Row],[date pick]],Logfile_S[[#This Row],[Date]])</f>
        <v>#N/A</v>
      </c>
      <c r="AC11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52" spans="1:29" ht="14.5">
      <c r="A1152" s="220" t="str">
        <f>TEXT(ROW(A1152)-ROW($A$4),"000")</f>
        <v>1148</v>
      </c>
      <c r="B1152" s="221"/>
      <c r="C1152" s="221" t="s">
        <v>49</v>
      </c>
      <c r="D1152" s="221" t="s">
        <v>3779</v>
      </c>
      <c r="E1152" s="221" t="s">
        <v>3295</v>
      </c>
      <c r="F1152" s="221" t="s">
        <v>3299</v>
      </c>
      <c r="G1152" s="222">
        <v>45220</v>
      </c>
      <c r="H1152" s="223">
        <v>0.97499999999999998</v>
      </c>
      <c r="I1152" s="221" t="s">
        <v>4916</v>
      </c>
      <c r="J1152" s="221" t="s">
        <v>3023</v>
      </c>
      <c r="K1152" s="224" t="s">
        <v>3069</v>
      </c>
      <c r="L1152" s="225" t="str">
        <f>VLOOKUP(Logfile_S[[#This Row],[Material Name]],Sheet2!B:C,2,0)</f>
        <v>ZTE1001</v>
      </c>
      <c r="M1152" s="225" t="str">
        <f>_xlfn.XLOOKUP(Logfile_S[[#This Row],[Material Name]],Sum_WH!E:E,Sum_WH!F:F,"",0)</f>
        <v>Pcs</v>
      </c>
      <c r="N1152" s="221">
        <v>5</v>
      </c>
      <c r="O1152" s="221" t="s">
        <v>324</v>
      </c>
      <c r="P1152" s="221" t="s">
        <v>325</v>
      </c>
      <c r="Q1152" s="221"/>
      <c r="R1152" s="221"/>
      <c r="S1152" s="221"/>
      <c r="T1152" s="221" t="s">
        <v>3322</v>
      </c>
      <c r="U1152" s="221" t="s">
        <v>3323</v>
      </c>
      <c r="V1152" s="221" t="s">
        <v>3324</v>
      </c>
      <c r="W1152" s="221" t="s">
        <v>3325</v>
      </c>
      <c r="X1152" s="221"/>
      <c r="Y1152" s="227"/>
      <c r="Z1152" s="227" t="str">
        <f>P1152</f>
        <v>Jedong RW 09 Wagir</v>
      </c>
      <c r="AA1152" s="276" t="e">
        <f>VLOOKUP(Logfile_S[[#This Row],[DO number]],DO_DB!G:I,3,0)</f>
        <v>#N/A</v>
      </c>
      <c r="AB1152" s="331" t="e">
        <f>EXACT(Logfile_S[[#This Row],[date pick]],Logfile_S[[#This Row],[Date]])</f>
        <v>#N/A</v>
      </c>
      <c r="AC11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53" spans="1:29" ht="14.5">
      <c r="A1153" s="220" t="str">
        <f>TEXT(ROW(A1153)-ROW($A$4),"000")</f>
        <v>1149</v>
      </c>
      <c r="B1153" s="221"/>
      <c r="C1153" s="221" t="s">
        <v>49</v>
      </c>
      <c r="D1153" s="221" t="s">
        <v>3782</v>
      </c>
      <c r="E1153" s="221" t="s">
        <v>3295</v>
      </c>
      <c r="F1153" s="221" t="s">
        <v>3299</v>
      </c>
      <c r="G1153" s="222">
        <v>45220</v>
      </c>
      <c r="H1153" s="223">
        <v>0.97499999999999998</v>
      </c>
      <c r="I1153" s="221" t="s">
        <v>4916</v>
      </c>
      <c r="J1153" s="221" t="s">
        <v>3024</v>
      </c>
      <c r="K1153" s="224" t="s">
        <v>3215</v>
      </c>
      <c r="L1153" s="225" t="str">
        <f>VLOOKUP(Logfile_S[[#This Row],[Material Name]],Sheet2!B:C,2,0)</f>
        <v>GCI1008</v>
      </c>
      <c r="M1153" s="225" t="str">
        <f>_xlfn.XLOOKUP(Logfile_S[[#This Row],[Material Name]],Sum_WH!E:E,Sum_WH!F:F,"",0)</f>
        <v>Pcs</v>
      </c>
      <c r="N1153" s="221">
        <v>46</v>
      </c>
      <c r="O1153" s="221" t="s">
        <v>324</v>
      </c>
      <c r="P1153" s="221" t="s">
        <v>325</v>
      </c>
      <c r="Q1153" s="221"/>
      <c r="R1153" s="221"/>
      <c r="S1153" s="221"/>
      <c r="T1153" s="221" t="s">
        <v>3322</v>
      </c>
      <c r="U1153" s="221" t="s">
        <v>3323</v>
      </c>
      <c r="V1153" s="221" t="s">
        <v>3324</v>
      </c>
      <c r="W1153" s="221" t="s">
        <v>3325</v>
      </c>
      <c r="X1153" s="221"/>
      <c r="Y1153" s="227"/>
      <c r="Z1153" s="227" t="str">
        <f>P1153</f>
        <v>Jedong RW 09 Wagir</v>
      </c>
      <c r="AA1153" s="276" t="e">
        <f>VLOOKUP(Logfile_S[[#This Row],[DO number]],DO_DB!G:I,3,0)</f>
        <v>#N/A</v>
      </c>
      <c r="AB1153" s="331" t="e">
        <f>EXACT(Logfile_S[[#This Row],[date pick]],Logfile_S[[#This Row],[Date]])</f>
        <v>#N/A</v>
      </c>
      <c r="AC11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54" spans="1:29" ht="14.5">
      <c r="A1154" s="220" t="str">
        <f>TEXT(ROW(A1154)-ROW($A$4),"000")</f>
        <v>1150</v>
      </c>
      <c r="B1154" s="221"/>
      <c r="C1154" s="221" t="s">
        <v>49</v>
      </c>
      <c r="D1154" s="221" t="s">
        <v>3784</v>
      </c>
      <c r="E1154" s="221" t="s">
        <v>3295</v>
      </c>
      <c r="F1154" s="221" t="s">
        <v>3299</v>
      </c>
      <c r="G1154" s="222">
        <v>45220</v>
      </c>
      <c r="H1154" s="223">
        <v>0.97499999999999998</v>
      </c>
      <c r="I1154" s="221" t="s">
        <v>4916</v>
      </c>
      <c r="J1154" s="221" t="s">
        <v>3024</v>
      </c>
      <c r="K1154" s="224" t="s">
        <v>3089</v>
      </c>
      <c r="L1154" s="225" t="str">
        <f>VLOOKUP(Logfile_S[[#This Row],[Material Name]],Sheet2!B:C,2,0)</f>
        <v>GCI1003</v>
      </c>
      <c r="M1154" s="225" t="str">
        <f>_xlfn.XLOOKUP(Logfile_S[[#This Row],[Material Name]],Sum_WH!E:E,Sum_WH!F:F,"",0)</f>
        <v>Pcs</v>
      </c>
      <c r="N1154" s="221">
        <v>100</v>
      </c>
      <c r="O1154" s="221" t="s">
        <v>324</v>
      </c>
      <c r="P1154" s="221" t="s">
        <v>325</v>
      </c>
      <c r="Q1154" s="221"/>
      <c r="R1154" s="221"/>
      <c r="S1154" s="221"/>
      <c r="T1154" s="221" t="s">
        <v>3322</v>
      </c>
      <c r="U1154" s="221" t="s">
        <v>3323</v>
      </c>
      <c r="V1154" s="221" t="s">
        <v>3324</v>
      </c>
      <c r="W1154" s="221" t="s">
        <v>3325</v>
      </c>
      <c r="X1154" s="221"/>
      <c r="Y1154" s="227"/>
      <c r="Z1154" s="227" t="str">
        <f>P1154</f>
        <v>Jedong RW 09 Wagir</v>
      </c>
      <c r="AA1154" s="276" t="e">
        <f>VLOOKUP(Logfile_S[[#This Row],[DO number]],DO_DB!G:I,3,0)</f>
        <v>#N/A</v>
      </c>
      <c r="AB1154" s="331" t="e">
        <f>EXACT(Logfile_S[[#This Row],[date pick]],Logfile_S[[#This Row],[Date]])</f>
        <v>#N/A</v>
      </c>
      <c r="AC11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55" spans="1:29" ht="14.5">
      <c r="A1155" s="220" t="str">
        <f>TEXT(ROW(A1155)-ROW($A$4),"000")</f>
        <v>1151</v>
      </c>
      <c r="B1155" s="221"/>
      <c r="C1155" s="221" t="s">
        <v>49</v>
      </c>
      <c r="D1155" s="221" t="s">
        <v>3786</v>
      </c>
      <c r="E1155" s="221" t="s">
        <v>3295</v>
      </c>
      <c r="F1155" s="221" t="s">
        <v>3299</v>
      </c>
      <c r="G1155" s="222">
        <v>45220</v>
      </c>
      <c r="H1155" s="223">
        <v>0.97499999999999998</v>
      </c>
      <c r="I1155" s="221" t="s">
        <v>4916</v>
      </c>
      <c r="J1155" s="221" t="s">
        <v>3024</v>
      </c>
      <c r="K1155" s="224" t="s">
        <v>3234</v>
      </c>
      <c r="L1155" s="225" t="str">
        <f>VLOOKUP(Logfile_S[[#This Row],[Material Name]],Sheet2!B:C,2,0)</f>
        <v>GCI1004</v>
      </c>
      <c r="M1155" s="225" t="str">
        <f>_xlfn.XLOOKUP(Logfile_S[[#This Row],[Material Name]],Sum_WH!E:E,Sum_WH!F:F,"",0)</f>
        <v>Pcs</v>
      </c>
      <c r="N1155" s="221">
        <v>21</v>
      </c>
      <c r="O1155" s="221" t="s">
        <v>324</v>
      </c>
      <c r="P1155" s="221" t="s">
        <v>325</v>
      </c>
      <c r="Q1155" s="221"/>
      <c r="R1155" s="221"/>
      <c r="S1155" s="221"/>
      <c r="T1155" s="221" t="s">
        <v>3322</v>
      </c>
      <c r="U1155" s="221" t="s">
        <v>3323</v>
      </c>
      <c r="V1155" s="221" t="s">
        <v>3324</v>
      </c>
      <c r="W1155" s="221" t="s">
        <v>3325</v>
      </c>
      <c r="X1155" s="221"/>
      <c r="Y1155" s="227"/>
      <c r="Z1155" s="227" t="str">
        <f>P1155</f>
        <v>Jedong RW 09 Wagir</v>
      </c>
      <c r="AA1155" s="276" t="e">
        <f>VLOOKUP(Logfile_S[[#This Row],[DO number]],DO_DB!G:I,3,0)</f>
        <v>#N/A</v>
      </c>
      <c r="AB1155" s="331" t="e">
        <f>EXACT(Logfile_S[[#This Row],[date pick]],Logfile_S[[#This Row],[Date]])</f>
        <v>#N/A</v>
      </c>
      <c r="AC11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56" spans="1:29" ht="14.5">
      <c r="A1156" s="220" t="str">
        <f>TEXT(ROW(A1156)-ROW($A$4),"000")</f>
        <v>1152</v>
      </c>
      <c r="B1156" s="221"/>
      <c r="C1156" s="221" t="s">
        <v>49</v>
      </c>
      <c r="D1156" s="221" t="s">
        <v>3794</v>
      </c>
      <c r="E1156" s="221" t="s">
        <v>3295</v>
      </c>
      <c r="F1156" s="221" t="s">
        <v>3299</v>
      </c>
      <c r="G1156" s="222">
        <v>45223</v>
      </c>
      <c r="H1156" s="223">
        <v>0.47222222222222227</v>
      </c>
      <c r="I1156" s="221" t="s">
        <v>4916</v>
      </c>
      <c r="J1156" s="221" t="s">
        <v>3023</v>
      </c>
      <c r="K1156" s="224" t="s">
        <v>13</v>
      </c>
      <c r="L1156" s="225" t="str">
        <f>VLOOKUP(Logfile_S[[#This Row],[Material Name]],Sheet2!B:C,2,0)</f>
        <v>ZTE2008</v>
      </c>
      <c r="M1156" s="225" t="str">
        <f>_xlfn.XLOOKUP(Logfile_S[[#This Row],[Material Name]],Sum_WH!E:E,Sum_WH!F:F,"",0)</f>
        <v>Pcs</v>
      </c>
      <c r="N1156" s="221">
        <v>14</v>
      </c>
      <c r="O1156" s="221" t="s">
        <v>324</v>
      </c>
      <c r="P1156" s="221" t="s">
        <v>325</v>
      </c>
      <c r="Q1156" s="221"/>
      <c r="R1156" s="221"/>
      <c r="S1156" s="221"/>
      <c r="T1156" s="221" t="s">
        <v>3322</v>
      </c>
      <c r="U1156" s="221" t="s">
        <v>3323</v>
      </c>
      <c r="V1156" s="221" t="s">
        <v>3324</v>
      </c>
      <c r="W1156" s="221" t="s">
        <v>3349</v>
      </c>
      <c r="X1156" s="221"/>
      <c r="Y1156" s="227"/>
      <c r="Z1156" s="227" t="str">
        <f>P1156</f>
        <v>Jedong RW 09 Wagir</v>
      </c>
      <c r="AA1156" s="276" t="e">
        <f>VLOOKUP(Logfile_S[[#This Row],[DO number]],DO_DB!G:I,3,0)</f>
        <v>#N/A</v>
      </c>
      <c r="AB1156" s="331" t="e">
        <f>EXACT(Logfile_S[[#This Row],[date pick]],Logfile_S[[#This Row],[Date]])</f>
        <v>#N/A</v>
      </c>
      <c r="AC11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57" spans="1:29" ht="14.5">
      <c r="A1157" s="220" t="str">
        <f>TEXT(ROW(A1157)-ROW($A$4),"000")</f>
        <v>1153</v>
      </c>
      <c r="B1157" s="221"/>
      <c r="C1157" s="221" t="s">
        <v>49</v>
      </c>
      <c r="D1157" s="221" t="s">
        <v>3802</v>
      </c>
      <c r="E1157" s="221" t="s">
        <v>3295</v>
      </c>
      <c r="F1157" s="221" t="s">
        <v>3299</v>
      </c>
      <c r="G1157" s="222">
        <v>45235</v>
      </c>
      <c r="H1157" s="223">
        <v>0.50416666666666665</v>
      </c>
      <c r="I1157" s="221" t="s">
        <v>4916</v>
      </c>
      <c r="J1157" s="221" t="s">
        <v>3024</v>
      </c>
      <c r="K1157" s="224" t="s">
        <v>3097</v>
      </c>
      <c r="L1157" s="225" t="str">
        <f>VLOOKUP(Logfile_S[[#This Row],[Material Name]],Sheet2!B:C,2,0)</f>
        <v>GCI1011</v>
      </c>
      <c r="M1157" s="225" t="str">
        <f>_xlfn.XLOOKUP(Logfile_S[[#This Row],[Material Name]],Sum_WH!E:E,Sum_WH!F:F,"",0)</f>
        <v>Pcs</v>
      </c>
      <c r="N1157" s="221">
        <v>0</v>
      </c>
      <c r="O1157" s="221" t="s">
        <v>324</v>
      </c>
      <c r="P1157" s="221" t="s">
        <v>325</v>
      </c>
      <c r="Q1157" s="221"/>
      <c r="R1157" s="221"/>
      <c r="S1157" s="221"/>
      <c r="T1157" s="221" t="s">
        <v>3322</v>
      </c>
      <c r="U1157" s="221">
        <v>0</v>
      </c>
      <c r="V1157" s="221" t="s">
        <v>3324</v>
      </c>
      <c r="W1157" s="221" t="s">
        <v>3386</v>
      </c>
      <c r="X1157" s="221" t="s">
        <v>3459</v>
      </c>
      <c r="Y1157" s="227"/>
      <c r="Z1157" s="227" t="str">
        <f>P1157</f>
        <v>Jedong RW 09 Wagir</v>
      </c>
      <c r="AA1157" s="276" t="e">
        <f>VLOOKUP(Logfile_S[[#This Row],[DO number]],DO_DB!G:I,3,0)</f>
        <v>#N/A</v>
      </c>
      <c r="AB1157" s="331" t="e">
        <f>EXACT(Logfile_S[[#This Row],[date pick]],Logfile_S[[#This Row],[Date]])</f>
        <v>#N/A</v>
      </c>
      <c r="AC11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58" spans="1:29" ht="14.5">
      <c r="A1158" s="220" t="str">
        <f>TEXT(ROW(A1158)-ROW($A$4),"000")</f>
        <v>1154</v>
      </c>
      <c r="B1158" s="221"/>
      <c r="C1158" s="221" t="s">
        <v>48</v>
      </c>
      <c r="D1158" s="221" t="s">
        <v>3806</v>
      </c>
      <c r="E1158" s="221" t="s">
        <v>3295</v>
      </c>
      <c r="F1158" s="221" t="s">
        <v>3299</v>
      </c>
      <c r="G1158" s="222">
        <v>45245</v>
      </c>
      <c r="H1158" s="223">
        <v>15.291666666666666</v>
      </c>
      <c r="I1158" s="221" t="s">
        <v>37</v>
      </c>
      <c r="J1158" s="221" t="s">
        <v>3023</v>
      </c>
      <c r="K1158" s="224" t="s">
        <v>3073</v>
      </c>
      <c r="L1158" s="225" t="str">
        <f>VLOOKUP(Logfile_S[[#This Row],[Material Name]],Sheet2!B:C,2,0)</f>
        <v>ZTE2001</v>
      </c>
      <c r="M1158" s="225" t="str">
        <f>_xlfn.XLOOKUP(Logfile_S[[#This Row],[Material Name]],Sum_WH!E:E,Sum_WH!F:F,"",0)</f>
        <v>Meter</v>
      </c>
      <c r="N1158" s="221">
        <v>3000</v>
      </c>
      <c r="O1158" s="221" t="s">
        <v>468</v>
      </c>
      <c r="P1158" s="221" t="s">
        <v>469</v>
      </c>
      <c r="Q1158" s="221" t="s">
        <v>540</v>
      </c>
      <c r="R1158" s="221" t="s">
        <v>541</v>
      </c>
      <c r="S1158" s="221"/>
      <c r="T1158" s="221"/>
      <c r="U1158" s="221"/>
      <c r="V1158" s="221"/>
      <c r="W1158" s="221"/>
      <c r="X1158" s="221"/>
      <c r="Y1158" s="227" t="s">
        <v>4990</v>
      </c>
      <c r="Z1158" s="227" t="str">
        <f>P1158</f>
        <v>Jedong RW 07 Wagir</v>
      </c>
      <c r="AA1158" s="276">
        <f>VLOOKUP(Logfile_S[[#This Row],[DO number]],DO_DB!G:I,3,0)</f>
        <v>45245</v>
      </c>
      <c r="AB1158" s="331" t="b">
        <f>EXACT(Logfile_S[[#This Row],[date pick]],Logfile_S[[#This Row],[Date]])</f>
        <v>1</v>
      </c>
      <c r="AC11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24C-20231115-01</v>
      </c>
    </row>
    <row r="1159" spans="1:29" ht="14.5">
      <c r="A1159" s="220" t="str">
        <f>TEXT(ROW(A1159)-ROW($A$4),"000")</f>
        <v>1155</v>
      </c>
      <c r="B1159" s="221"/>
      <c r="C1159" s="221" t="s">
        <v>48</v>
      </c>
      <c r="D1159" s="221" t="s">
        <v>3806</v>
      </c>
      <c r="E1159" s="221" t="s">
        <v>3295</v>
      </c>
      <c r="F1159" s="221" t="s">
        <v>3299</v>
      </c>
      <c r="G1159" s="222">
        <v>45245</v>
      </c>
      <c r="H1159" s="223">
        <v>15.291666666666666</v>
      </c>
      <c r="I1159" s="221" t="s">
        <v>37</v>
      </c>
      <c r="J1159" s="221" t="s">
        <v>3023</v>
      </c>
      <c r="K1159" s="224" t="s">
        <v>3075</v>
      </c>
      <c r="L1159" s="225" t="str">
        <f>VLOOKUP(Logfile_S[[#This Row],[Material Name]],Sheet2!B:C,2,0)</f>
        <v>ZTE2003</v>
      </c>
      <c r="M1159" s="225" t="str">
        <f>_xlfn.XLOOKUP(Logfile_S[[#This Row],[Material Name]],Sum_WH!E:E,Sum_WH!F:F,"",0)</f>
        <v>Meter</v>
      </c>
      <c r="N1159" s="221">
        <v>3000</v>
      </c>
      <c r="O1159" s="221" t="s">
        <v>468</v>
      </c>
      <c r="P1159" s="221" t="s">
        <v>469</v>
      </c>
      <c r="Q1159" s="221" t="s">
        <v>540</v>
      </c>
      <c r="R1159" s="221" t="s">
        <v>541</v>
      </c>
      <c r="S1159" s="221"/>
      <c r="T1159" s="221"/>
      <c r="U1159" s="221"/>
      <c r="V1159" s="221"/>
      <c r="W1159" s="221"/>
      <c r="X1159" s="221"/>
      <c r="Y1159" s="227" t="s">
        <v>5056</v>
      </c>
      <c r="Z1159" s="227" t="str">
        <f>P1159</f>
        <v>Jedong RW 07 Wagir</v>
      </c>
      <c r="AA1159" s="276">
        <f>VLOOKUP(Logfile_S[[#This Row],[DO number]],DO_DB!G:I,3,0)</f>
        <v>45245</v>
      </c>
      <c r="AB1159" s="331" t="b">
        <f>EXACT(Logfile_S[[#This Row],[date pick]],Logfile_S[[#This Row],[Date]])</f>
        <v>1</v>
      </c>
      <c r="AC11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48C-20231115-01</v>
      </c>
    </row>
    <row r="1160" spans="1:29" ht="14.5">
      <c r="A1160" s="220" t="str">
        <f>TEXT(ROW(A1160)-ROW($A$4),"000")</f>
        <v>1156</v>
      </c>
      <c r="B1160" s="221"/>
      <c r="C1160" s="221" t="s">
        <v>48</v>
      </c>
      <c r="D1160" s="221" t="s">
        <v>3806</v>
      </c>
      <c r="E1160" s="221" t="s">
        <v>3295</v>
      </c>
      <c r="F1160" s="221" t="s">
        <v>3299</v>
      </c>
      <c r="G1160" s="222">
        <v>45245</v>
      </c>
      <c r="H1160" s="223">
        <v>15.291666666666666</v>
      </c>
      <c r="I1160" s="221" t="s">
        <v>37</v>
      </c>
      <c r="J1160" s="221" t="s">
        <v>3023</v>
      </c>
      <c r="K1160" s="224" t="s">
        <v>14</v>
      </c>
      <c r="L1160" s="225" t="str">
        <f>VLOOKUP(Logfile_S[[#This Row],[Material Name]],Sheet2!B:C,2,0)</f>
        <v>ZTE2005</v>
      </c>
      <c r="M1160" s="225" t="str">
        <f>_xlfn.XLOOKUP(Logfile_S[[#This Row],[Material Name]],Sum_WH!E:E,Sum_WH!F:F,"",0)</f>
        <v>Pcs</v>
      </c>
      <c r="N1160" s="221">
        <v>1</v>
      </c>
      <c r="O1160" s="221" t="s">
        <v>468</v>
      </c>
      <c r="P1160" s="221" t="s">
        <v>469</v>
      </c>
      <c r="Q1160" s="221" t="s">
        <v>540</v>
      </c>
      <c r="R1160" s="221" t="s">
        <v>541</v>
      </c>
      <c r="S1160" s="221"/>
      <c r="T1160" s="221"/>
      <c r="U1160" s="221"/>
      <c r="V1160" s="221"/>
      <c r="W1160" s="221"/>
      <c r="X1160" s="221"/>
      <c r="Y1160" s="227"/>
      <c r="Z1160" s="227" t="str">
        <f>P1160</f>
        <v>Jedong RW 07 Wagir</v>
      </c>
      <c r="AA1160" s="276">
        <f>VLOOKUP(Logfile_S[[#This Row],[DO number]],DO_DB!G:I,3,0)</f>
        <v>45245</v>
      </c>
      <c r="AB1160" s="331" t="b">
        <f>EXACT(Logfile_S[[#This Row],[date pick]],Logfile_S[[#This Row],[Date]])</f>
        <v>1</v>
      </c>
      <c r="AC11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61" spans="1:29" ht="14.5">
      <c r="A1161" s="220" t="str">
        <f>TEXT(ROW(A1161)-ROW($A$4),"000")</f>
        <v>1157</v>
      </c>
      <c r="B1161" s="221"/>
      <c r="C1161" s="221" t="s">
        <v>48</v>
      </c>
      <c r="D1161" s="221" t="s">
        <v>3806</v>
      </c>
      <c r="E1161" s="221" t="s">
        <v>3295</v>
      </c>
      <c r="F1161" s="221" t="s">
        <v>3299</v>
      </c>
      <c r="G1161" s="222">
        <v>45245</v>
      </c>
      <c r="H1161" s="223">
        <v>15.291666666666666</v>
      </c>
      <c r="I1161" s="221" t="s">
        <v>37</v>
      </c>
      <c r="J1161" s="221" t="s">
        <v>3023</v>
      </c>
      <c r="K1161" s="224" t="s">
        <v>3070</v>
      </c>
      <c r="L1161" s="225" t="str">
        <f>VLOOKUP(Logfile_S[[#This Row],[Material Name]],Sheet2!B:C,2,0)</f>
        <v>ZTE1002</v>
      </c>
      <c r="M1161" s="225" t="str">
        <f>_xlfn.XLOOKUP(Logfile_S[[#This Row],[Material Name]],Sum_WH!E:E,Sum_WH!F:F,"",0)</f>
        <v>Pcs</v>
      </c>
      <c r="N1161" s="221">
        <v>26</v>
      </c>
      <c r="O1161" s="221" t="s">
        <v>468</v>
      </c>
      <c r="P1161" s="221" t="s">
        <v>469</v>
      </c>
      <c r="Q1161" s="221" t="s">
        <v>542</v>
      </c>
      <c r="R1161" s="221" t="s">
        <v>543</v>
      </c>
      <c r="S1161" s="221"/>
      <c r="T1161" s="221"/>
      <c r="U1161" s="221"/>
      <c r="V1161" s="221"/>
      <c r="W1161" s="221"/>
      <c r="X1161" s="221"/>
      <c r="Y1161" s="227"/>
      <c r="Z1161" s="227" t="str">
        <f>P1161</f>
        <v>Jedong RW 07 Wagir</v>
      </c>
      <c r="AA1161" s="276">
        <f>VLOOKUP(Logfile_S[[#This Row],[DO number]],DO_DB!G:I,3,0)</f>
        <v>45245</v>
      </c>
      <c r="AB1161" s="331" t="b">
        <f>EXACT(Logfile_S[[#This Row],[date pick]],Logfile_S[[#This Row],[Date]])</f>
        <v>1</v>
      </c>
      <c r="AC11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62" spans="1:29" ht="14.5">
      <c r="A1162" s="220" t="str">
        <f>TEXT(ROW(A1162)-ROW($A$4),"000")</f>
        <v>1158</v>
      </c>
      <c r="B1162" s="221"/>
      <c r="C1162" s="221" t="s">
        <v>48</v>
      </c>
      <c r="D1162" s="221" t="s">
        <v>3806</v>
      </c>
      <c r="E1162" s="221" t="s">
        <v>3295</v>
      </c>
      <c r="F1162" s="221" t="s">
        <v>3299</v>
      </c>
      <c r="G1162" s="222">
        <v>45245</v>
      </c>
      <c r="H1162" s="223">
        <v>15.291666666666666</v>
      </c>
      <c r="I1162" s="221" t="s">
        <v>37</v>
      </c>
      <c r="J1162" s="221" t="s">
        <v>3023</v>
      </c>
      <c r="K1162" s="224" t="s">
        <v>3225</v>
      </c>
      <c r="L1162" s="225" t="str">
        <f>VLOOKUP(Logfile_S[[#This Row],[Material Name]],Sheet2!B:C,2,0)</f>
        <v>ZTE1001</v>
      </c>
      <c r="M1162" s="225" t="str">
        <f>_xlfn.XLOOKUP(Logfile_S[[#This Row],[Material Name]],Sum_WH!E:E,Sum_WH!F:F,"",0)</f>
        <v>Pcs</v>
      </c>
      <c r="N1162" s="221">
        <v>36</v>
      </c>
      <c r="O1162" s="221" t="s">
        <v>468</v>
      </c>
      <c r="P1162" s="221" t="s">
        <v>469</v>
      </c>
      <c r="Q1162" s="221" t="s">
        <v>542</v>
      </c>
      <c r="R1162" s="221" t="s">
        <v>543</v>
      </c>
      <c r="S1162" s="221"/>
      <c r="T1162" s="221"/>
      <c r="U1162" s="221"/>
      <c r="V1162" s="221"/>
      <c r="W1162" s="221"/>
      <c r="X1162" s="221"/>
      <c r="Y1162" s="227"/>
      <c r="Z1162" s="227" t="str">
        <f>P1162</f>
        <v>Jedong RW 07 Wagir</v>
      </c>
      <c r="AA1162" s="276">
        <f>VLOOKUP(Logfile_S[[#This Row],[DO number]],DO_DB!G:I,3,0)</f>
        <v>45245</v>
      </c>
      <c r="AB1162" s="331" t="b">
        <f>EXACT(Logfile_S[[#This Row],[date pick]],Logfile_S[[#This Row],[Date]])</f>
        <v>1</v>
      </c>
      <c r="AC11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63" spans="1:29" ht="14.5">
      <c r="A1163" s="220" t="str">
        <f>TEXT(ROW(A1163)-ROW($A$4),"000")</f>
        <v>1159</v>
      </c>
      <c r="B1163" s="221"/>
      <c r="C1163" s="221" t="s">
        <v>49</v>
      </c>
      <c r="D1163" s="221" t="s">
        <v>3810</v>
      </c>
      <c r="E1163" s="221" t="s">
        <v>3295</v>
      </c>
      <c r="F1163" s="221" t="s">
        <v>3299</v>
      </c>
      <c r="G1163" s="222">
        <v>45251</v>
      </c>
      <c r="H1163" s="223">
        <v>0.63472222222222219</v>
      </c>
      <c r="I1163" s="221" t="s">
        <v>4916</v>
      </c>
      <c r="J1163" s="221" t="s">
        <v>3023</v>
      </c>
      <c r="K1163" s="224" t="s">
        <v>3070</v>
      </c>
      <c r="L1163" s="225" t="str">
        <f>VLOOKUP(Logfile_S[[#This Row],[Material Name]],Sheet2!B:C,2,0)</f>
        <v>ZTE1002</v>
      </c>
      <c r="M1163" s="225" t="str">
        <f>_xlfn.XLOOKUP(Logfile_S[[#This Row],[Material Name]],Sum_WH!E:E,Sum_WH!F:F,"",0)</f>
        <v>Pcs</v>
      </c>
      <c r="N1163" s="221">
        <v>4</v>
      </c>
      <c r="O1163" s="221" t="s">
        <v>468</v>
      </c>
      <c r="P1163" s="221" t="s">
        <v>469</v>
      </c>
      <c r="Q1163" s="221"/>
      <c r="R1163" s="221"/>
      <c r="S1163" s="221"/>
      <c r="T1163" s="221" t="s">
        <v>3332</v>
      </c>
      <c r="U1163" s="221">
        <v>0</v>
      </c>
      <c r="V1163" s="221" t="s">
        <v>3333</v>
      </c>
      <c r="W1163" s="221" t="s">
        <v>3572</v>
      </c>
      <c r="X1163" s="221"/>
      <c r="Y1163" s="227"/>
      <c r="Z1163" s="227" t="str">
        <f>P1163</f>
        <v>Jedong RW 07 Wagir</v>
      </c>
      <c r="AA1163" s="276" t="e">
        <f>VLOOKUP(Logfile_S[[#This Row],[DO number]],DO_DB!G:I,3,0)</f>
        <v>#N/A</v>
      </c>
      <c r="AB1163" s="331" t="e">
        <f>EXACT(Logfile_S[[#This Row],[date pick]],Logfile_S[[#This Row],[Date]])</f>
        <v>#N/A</v>
      </c>
      <c r="AC11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64" spans="1:29" ht="14.5">
      <c r="A1164" s="220" t="str">
        <f>TEXT(ROW(A1164)-ROW($A$4),"000")</f>
        <v>1160</v>
      </c>
      <c r="B1164" s="221"/>
      <c r="C1164" s="221" t="s">
        <v>49</v>
      </c>
      <c r="D1164" s="221" t="s">
        <v>3810</v>
      </c>
      <c r="E1164" s="221" t="s">
        <v>3295</v>
      </c>
      <c r="F1164" s="221" t="s">
        <v>3299</v>
      </c>
      <c r="G1164" s="222">
        <v>45251</v>
      </c>
      <c r="H1164" s="223">
        <v>0.63472222222222219</v>
      </c>
      <c r="I1164" s="221" t="s">
        <v>4916</v>
      </c>
      <c r="J1164" s="221" t="s">
        <v>3023</v>
      </c>
      <c r="K1164" s="224" t="s">
        <v>3227</v>
      </c>
      <c r="L1164" s="225" t="str">
        <f>VLOOKUP(Logfile_S[[#This Row],[Material Name]],Sheet2!B:C,2,0)</f>
        <v>ZTE1001</v>
      </c>
      <c r="M1164" s="225" t="str">
        <f>_xlfn.XLOOKUP(Logfile_S[[#This Row],[Material Name]],Sum_WH!E:E,Sum_WH!F:F,"",0)</f>
        <v>Pcs</v>
      </c>
      <c r="N1164" s="221">
        <v>50</v>
      </c>
      <c r="O1164" s="221" t="s">
        <v>468</v>
      </c>
      <c r="P1164" s="221" t="s">
        <v>469</v>
      </c>
      <c r="Q1164" s="221"/>
      <c r="R1164" s="221"/>
      <c r="S1164" s="221"/>
      <c r="T1164" s="221" t="s">
        <v>3332</v>
      </c>
      <c r="U1164" s="221">
        <v>0</v>
      </c>
      <c r="V1164" s="221" t="s">
        <v>3333</v>
      </c>
      <c r="W1164" s="221" t="s">
        <v>3572</v>
      </c>
      <c r="X1164" s="221"/>
      <c r="Y1164" s="227"/>
      <c r="Z1164" s="227" t="str">
        <f>P1164</f>
        <v>Jedong RW 07 Wagir</v>
      </c>
      <c r="AA1164" s="276" t="e">
        <f>VLOOKUP(Logfile_S[[#This Row],[DO number]],DO_DB!G:I,3,0)</f>
        <v>#N/A</v>
      </c>
      <c r="AB1164" s="331" t="e">
        <f>EXACT(Logfile_S[[#This Row],[date pick]],Logfile_S[[#This Row],[Date]])</f>
        <v>#N/A</v>
      </c>
      <c r="AC11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65" spans="1:29" ht="14.5">
      <c r="A1165" s="220" t="str">
        <f>TEXT(ROW(A1165)-ROW($A$4),"000")</f>
        <v>1161</v>
      </c>
      <c r="B1165" s="221"/>
      <c r="C1165" s="221" t="s">
        <v>49</v>
      </c>
      <c r="D1165" s="221" t="s">
        <v>3815</v>
      </c>
      <c r="E1165" s="221" t="s">
        <v>3295</v>
      </c>
      <c r="F1165" s="221" t="s">
        <v>3299</v>
      </c>
      <c r="G1165" s="222">
        <v>45255</v>
      </c>
      <c r="H1165" s="223">
        <v>0.37916666666666665</v>
      </c>
      <c r="I1165" s="221" t="s">
        <v>4916</v>
      </c>
      <c r="J1165" s="221" t="s">
        <v>3023</v>
      </c>
      <c r="K1165" s="224" t="s">
        <v>3073</v>
      </c>
      <c r="L1165" s="225" t="str">
        <f>VLOOKUP(Logfile_S[[#This Row],[Material Name]],Sheet2!B:C,2,0)</f>
        <v>ZTE2001</v>
      </c>
      <c r="M1165" s="225" t="str">
        <f>_xlfn.XLOOKUP(Logfile_S[[#This Row],[Material Name]],Sum_WH!E:E,Sum_WH!F:F,"",0)</f>
        <v>Meter</v>
      </c>
      <c r="N1165" s="221">
        <v>3000</v>
      </c>
      <c r="O1165" s="221" t="s">
        <v>468</v>
      </c>
      <c r="P1165" s="221" t="s">
        <v>469</v>
      </c>
      <c r="Q1165" s="221"/>
      <c r="R1165" s="221"/>
      <c r="S1165" s="221"/>
      <c r="T1165" s="221" t="s">
        <v>3346</v>
      </c>
      <c r="U1165" s="221" t="s">
        <v>3332</v>
      </c>
      <c r="V1165" s="221" t="s">
        <v>3347</v>
      </c>
      <c r="W1165" s="221" t="s">
        <v>3334</v>
      </c>
      <c r="X1165" s="221"/>
      <c r="Y1165" s="227" t="s">
        <v>4990</v>
      </c>
      <c r="Z1165" s="227" t="str">
        <f>P1165</f>
        <v>Jedong RW 07 Wagir</v>
      </c>
      <c r="AA1165" s="276" t="e">
        <f>VLOOKUP(Logfile_S[[#This Row],[DO number]],DO_DB!G:I,3,0)</f>
        <v>#N/A</v>
      </c>
      <c r="AB1165" s="331" t="e">
        <f>EXACT(Logfile_S[[#This Row],[date pick]],Logfile_S[[#This Row],[Date]])</f>
        <v>#N/A</v>
      </c>
      <c r="AC11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24C-20231115-01</v>
      </c>
    </row>
    <row r="1166" spans="1:29" ht="14.5">
      <c r="A1166" s="220" t="str">
        <f>TEXT(ROW(A1166)-ROW($A$4),"000")</f>
        <v>1162</v>
      </c>
      <c r="B1166" s="221"/>
      <c r="C1166" s="221" t="s">
        <v>49</v>
      </c>
      <c r="D1166" s="221" t="s">
        <v>3813</v>
      </c>
      <c r="E1166" s="221" t="s">
        <v>3295</v>
      </c>
      <c r="F1166" s="221" t="s">
        <v>3299</v>
      </c>
      <c r="G1166" s="222">
        <v>45255</v>
      </c>
      <c r="H1166" s="223">
        <v>0.37916666666666665</v>
      </c>
      <c r="I1166" s="221" t="s">
        <v>4916</v>
      </c>
      <c r="J1166" s="221" t="s">
        <v>3023</v>
      </c>
      <c r="K1166" s="224" t="s">
        <v>3075</v>
      </c>
      <c r="L1166" s="225" t="str">
        <f>VLOOKUP(Logfile_S[[#This Row],[Material Name]],Sheet2!B:C,2,0)</f>
        <v>ZTE2003</v>
      </c>
      <c r="M1166" s="225" t="str">
        <f>_xlfn.XLOOKUP(Logfile_S[[#This Row],[Material Name]],Sum_WH!E:E,Sum_WH!F:F,"",0)</f>
        <v>Meter</v>
      </c>
      <c r="N1166" s="221">
        <v>3000</v>
      </c>
      <c r="O1166" s="221" t="s">
        <v>468</v>
      </c>
      <c r="P1166" s="221" t="s">
        <v>469</v>
      </c>
      <c r="Q1166" s="221"/>
      <c r="R1166" s="221"/>
      <c r="S1166" s="221"/>
      <c r="T1166" s="221" t="s">
        <v>3346</v>
      </c>
      <c r="U1166" s="221" t="s">
        <v>3332</v>
      </c>
      <c r="V1166" s="221" t="s">
        <v>3347</v>
      </c>
      <c r="W1166" s="221" t="s">
        <v>3334</v>
      </c>
      <c r="X1166" s="221"/>
      <c r="Y1166" s="227" t="s">
        <v>5056</v>
      </c>
      <c r="Z1166" s="227" t="str">
        <f>P1166</f>
        <v>Jedong RW 07 Wagir</v>
      </c>
      <c r="AA1166" s="276" t="e">
        <f>VLOOKUP(Logfile_S[[#This Row],[DO number]],DO_DB!G:I,3,0)</f>
        <v>#N/A</v>
      </c>
      <c r="AB1166" s="331" t="e">
        <f>EXACT(Logfile_S[[#This Row],[date pick]],Logfile_S[[#This Row],[Date]])</f>
        <v>#N/A</v>
      </c>
      <c r="AC11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48C-20231115-01</v>
      </c>
    </row>
    <row r="1167" spans="1:29" ht="14.5">
      <c r="A1167" s="220" t="str">
        <f>TEXT(ROW(A1167)-ROW($A$4),"000")</f>
        <v>1163</v>
      </c>
      <c r="B1167" s="221"/>
      <c r="C1167" s="221" t="s">
        <v>49</v>
      </c>
      <c r="D1167" s="221" t="s">
        <v>3814</v>
      </c>
      <c r="E1167" s="221" t="s">
        <v>3295</v>
      </c>
      <c r="F1167" s="221" t="s">
        <v>3299</v>
      </c>
      <c r="G1167" s="222">
        <v>45255</v>
      </c>
      <c r="H1167" s="223">
        <v>0.63472222222222219</v>
      </c>
      <c r="I1167" s="221" t="s">
        <v>4916</v>
      </c>
      <c r="J1167" s="221" t="s">
        <v>3023</v>
      </c>
      <c r="K1167" s="224" t="s">
        <v>3071</v>
      </c>
      <c r="L1167" s="225" t="str">
        <f>VLOOKUP(Logfile_S[[#This Row],[Material Name]],Sheet2!B:C,2,0)</f>
        <v>ZTE1003</v>
      </c>
      <c r="M1167" s="225" t="str">
        <f>_xlfn.XLOOKUP(Logfile_S[[#This Row],[Material Name]],Sum_WH!E:E,Sum_WH!F:F,"",0)</f>
        <v>Pcs</v>
      </c>
      <c r="N1167" s="221">
        <v>3</v>
      </c>
      <c r="O1167" s="221" t="s">
        <v>468</v>
      </c>
      <c r="P1167" s="221" t="s">
        <v>469</v>
      </c>
      <c r="Q1167" s="221"/>
      <c r="R1167" s="221"/>
      <c r="S1167" s="221"/>
      <c r="T1167" s="221" t="s">
        <v>3346</v>
      </c>
      <c r="U1167" s="221">
        <v>0</v>
      </c>
      <c r="V1167" s="221" t="s">
        <v>3347</v>
      </c>
      <c r="W1167" s="221" t="s">
        <v>3334</v>
      </c>
      <c r="X1167" s="221"/>
      <c r="Y1167" s="227"/>
      <c r="Z1167" s="227" t="str">
        <f>P1167</f>
        <v>Jedong RW 07 Wagir</v>
      </c>
      <c r="AA1167" s="276" t="e">
        <f>VLOOKUP(Logfile_S[[#This Row],[DO number]],DO_DB!G:I,3,0)</f>
        <v>#N/A</v>
      </c>
      <c r="AB1167" s="331" t="e">
        <f>EXACT(Logfile_S[[#This Row],[date pick]],Logfile_S[[#This Row],[Date]])</f>
        <v>#N/A</v>
      </c>
      <c r="AC11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68" spans="1:29" ht="14.5">
      <c r="A1168" s="220" t="str">
        <f>TEXT(ROW(A1168)-ROW($A$4),"000")</f>
        <v>1164</v>
      </c>
      <c r="B1168" s="221"/>
      <c r="C1168" s="221" t="s">
        <v>49</v>
      </c>
      <c r="D1168" s="221" t="s">
        <v>3821</v>
      </c>
      <c r="E1168" s="221" t="s">
        <v>3295</v>
      </c>
      <c r="F1168" s="221" t="s">
        <v>3299</v>
      </c>
      <c r="G1168" s="222">
        <v>45257</v>
      </c>
      <c r="H1168" s="223">
        <v>0.92847222222222225</v>
      </c>
      <c r="I1168" s="221" t="s">
        <v>4916</v>
      </c>
      <c r="J1168" s="221" t="s">
        <v>3023</v>
      </c>
      <c r="K1168" s="224" t="s">
        <v>13</v>
      </c>
      <c r="L1168" s="225" t="str">
        <f>VLOOKUP(Logfile_S[[#This Row],[Material Name]],Sheet2!B:C,2,0)</f>
        <v>ZTE2008</v>
      </c>
      <c r="M1168" s="225" t="str">
        <f>_xlfn.XLOOKUP(Logfile_S[[#This Row],[Material Name]],Sum_WH!E:E,Sum_WH!F:F,"",0)</f>
        <v>Pcs</v>
      </c>
      <c r="N1168" s="221">
        <v>7</v>
      </c>
      <c r="O1168" s="221" t="s">
        <v>468</v>
      </c>
      <c r="P1168" s="221" t="s">
        <v>469</v>
      </c>
      <c r="Q1168" s="221"/>
      <c r="R1168" s="221"/>
      <c r="S1168" s="221"/>
      <c r="T1168" s="221" t="s">
        <v>3181</v>
      </c>
      <c r="U1168" s="221">
        <v>0</v>
      </c>
      <c r="V1168" s="221">
        <v>0</v>
      </c>
      <c r="W1168" s="221" t="s">
        <v>3530</v>
      </c>
      <c r="X1168" s="221"/>
      <c r="Y1168" s="227"/>
      <c r="Z1168" s="227" t="str">
        <f>P1168</f>
        <v>Jedong RW 07 Wagir</v>
      </c>
      <c r="AA1168" s="276" t="e">
        <f>VLOOKUP(Logfile_S[[#This Row],[DO number]],DO_DB!G:I,3,0)</f>
        <v>#N/A</v>
      </c>
      <c r="AB1168" s="331" t="e">
        <f>EXACT(Logfile_S[[#This Row],[date pick]],Logfile_S[[#This Row],[Date]])</f>
        <v>#N/A</v>
      </c>
      <c r="AC11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69" spans="1:29" ht="14.5">
      <c r="A1169" s="220" t="str">
        <f>TEXT(ROW(A1169)-ROW($A$4),"000")</f>
        <v>1165</v>
      </c>
      <c r="B1169" s="221"/>
      <c r="C1169" s="221" t="s">
        <v>49</v>
      </c>
      <c r="D1169" s="221" t="s">
        <v>3821</v>
      </c>
      <c r="E1169" s="221" t="s">
        <v>3295</v>
      </c>
      <c r="F1169" s="221" t="s">
        <v>3299</v>
      </c>
      <c r="G1169" s="222">
        <v>45257</v>
      </c>
      <c r="H1169" s="223">
        <v>0.92847222222222225</v>
      </c>
      <c r="I1169" s="221" t="s">
        <v>4916</v>
      </c>
      <c r="J1169" s="221" t="s">
        <v>3023</v>
      </c>
      <c r="K1169" s="224" t="s">
        <v>13</v>
      </c>
      <c r="L1169" s="225" t="str">
        <f>VLOOKUP(Logfile_S[[#This Row],[Material Name]],Sheet2!B:C,2,0)</f>
        <v>ZTE2008</v>
      </c>
      <c r="M1169" s="225" t="str">
        <f>_xlfn.XLOOKUP(Logfile_S[[#This Row],[Material Name]],Sum_WH!E:E,Sum_WH!F:F,"",0)</f>
        <v>Pcs</v>
      </c>
      <c r="N1169" s="221">
        <v>15</v>
      </c>
      <c r="O1169" s="221" t="s">
        <v>468</v>
      </c>
      <c r="P1169" s="221" t="s">
        <v>469</v>
      </c>
      <c r="Q1169" s="221"/>
      <c r="R1169" s="221"/>
      <c r="S1169" s="221"/>
      <c r="T1169" s="221" t="s">
        <v>3181</v>
      </c>
      <c r="U1169" s="221">
        <v>0</v>
      </c>
      <c r="V1169" s="221">
        <v>0</v>
      </c>
      <c r="W1169" s="221" t="s">
        <v>3530</v>
      </c>
      <c r="X1169" s="221"/>
      <c r="Y1169" s="227"/>
      <c r="Z1169" s="227" t="str">
        <f>P1169</f>
        <v>Jedong RW 07 Wagir</v>
      </c>
      <c r="AA1169" s="276" t="e">
        <f>VLOOKUP(Logfile_S[[#This Row],[DO number]],DO_DB!G:I,3,0)</f>
        <v>#N/A</v>
      </c>
      <c r="AB1169" s="331" t="e">
        <f>EXACT(Logfile_S[[#This Row],[date pick]],Logfile_S[[#This Row],[Date]])</f>
        <v>#N/A</v>
      </c>
      <c r="AC11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70" spans="1:29" ht="14.5">
      <c r="A1170" s="220" t="str">
        <f>TEXT(ROW(A1170)-ROW($A$4),"000")</f>
        <v>1166</v>
      </c>
      <c r="B1170" s="221"/>
      <c r="C1170" s="221" t="s">
        <v>49</v>
      </c>
      <c r="D1170" s="221" t="s">
        <v>3824</v>
      </c>
      <c r="E1170" s="221" t="s">
        <v>3295</v>
      </c>
      <c r="F1170" s="221" t="s">
        <v>3299</v>
      </c>
      <c r="G1170" s="222">
        <v>45258</v>
      </c>
      <c r="H1170" s="223">
        <v>0.65069444444444446</v>
      </c>
      <c r="I1170" s="221" t="s">
        <v>4916</v>
      </c>
      <c r="J1170" s="221" t="s">
        <v>3023</v>
      </c>
      <c r="K1170" s="224" t="s">
        <v>14</v>
      </c>
      <c r="L1170" s="225" t="str">
        <f>VLOOKUP(Logfile_S[[#This Row],[Material Name]],Sheet2!B:C,2,0)</f>
        <v>ZTE2005</v>
      </c>
      <c r="M1170" s="225" t="str">
        <f>_xlfn.XLOOKUP(Logfile_S[[#This Row],[Material Name]],Sum_WH!E:E,Sum_WH!F:F,"",0)</f>
        <v>Pcs</v>
      </c>
      <c r="N1170" s="221">
        <v>1</v>
      </c>
      <c r="O1170" s="221" t="s">
        <v>468</v>
      </c>
      <c r="P1170" s="221" t="s">
        <v>469</v>
      </c>
      <c r="Q1170" s="221"/>
      <c r="R1170" s="221"/>
      <c r="S1170" s="221"/>
      <c r="T1170" s="221" t="s">
        <v>3346</v>
      </c>
      <c r="U1170" s="221">
        <v>0</v>
      </c>
      <c r="V1170" s="221" t="s">
        <v>3347</v>
      </c>
      <c r="W1170" s="221" t="s">
        <v>3334</v>
      </c>
      <c r="X1170" s="221"/>
      <c r="Y1170" s="227"/>
      <c r="Z1170" s="227" t="str">
        <f>P1170</f>
        <v>Jedong RW 07 Wagir</v>
      </c>
      <c r="AA1170" s="276" t="e">
        <f>VLOOKUP(Logfile_S[[#This Row],[DO number]],DO_DB!G:I,3,0)</f>
        <v>#N/A</v>
      </c>
      <c r="AB1170" s="331" t="e">
        <f>EXACT(Logfile_S[[#This Row],[date pick]],Logfile_S[[#This Row],[Date]])</f>
        <v>#N/A</v>
      </c>
      <c r="AC11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71" spans="1:29" ht="14.5">
      <c r="A1171" s="220" t="str">
        <f>TEXT(ROW(A1171)-ROW($A$4),"000")</f>
        <v>1167</v>
      </c>
      <c r="B1171" s="221"/>
      <c r="C1171" s="221" t="s">
        <v>49</v>
      </c>
      <c r="D1171" s="221" t="s">
        <v>3824</v>
      </c>
      <c r="E1171" s="221" t="s">
        <v>3295</v>
      </c>
      <c r="F1171" s="221" t="s">
        <v>3299</v>
      </c>
      <c r="G1171" s="222">
        <v>45258</v>
      </c>
      <c r="H1171" s="223">
        <v>0.65069444444444446</v>
      </c>
      <c r="I1171" s="221" t="s">
        <v>4916</v>
      </c>
      <c r="J1171" s="221" t="s">
        <v>3024</v>
      </c>
      <c r="K1171" s="224" t="s">
        <v>3441</v>
      </c>
      <c r="L1171" s="225" t="str">
        <f>VLOOKUP(Logfile_S[[#This Row],[Material Name]],Sheet2!B:C,2,0)</f>
        <v>GCI1019</v>
      </c>
      <c r="M1171" s="225" t="str">
        <f>_xlfn.XLOOKUP(Logfile_S[[#This Row],[Material Name]],Sum_WH!E:E,Sum_WH!F:F,"",0)</f>
        <v>Pcs</v>
      </c>
      <c r="N1171" s="221">
        <v>25</v>
      </c>
      <c r="O1171" s="221" t="s">
        <v>468</v>
      </c>
      <c r="P1171" s="221" t="s">
        <v>469</v>
      </c>
      <c r="Q1171" s="221"/>
      <c r="R1171" s="221"/>
      <c r="S1171" s="221"/>
      <c r="T1171" s="221" t="s">
        <v>3346</v>
      </c>
      <c r="U1171" s="221">
        <v>0</v>
      </c>
      <c r="V1171" s="221" t="s">
        <v>3347</v>
      </c>
      <c r="W1171" s="221" t="s">
        <v>3334</v>
      </c>
      <c r="X1171" s="221"/>
      <c r="Y1171" s="227"/>
      <c r="Z1171" s="227" t="str">
        <f>P1171</f>
        <v>Jedong RW 07 Wagir</v>
      </c>
      <c r="AA1171" s="276" t="e">
        <f>VLOOKUP(Logfile_S[[#This Row],[DO number]],DO_DB!G:I,3,0)</f>
        <v>#N/A</v>
      </c>
      <c r="AB1171" s="331" t="e">
        <f>EXACT(Logfile_S[[#This Row],[date pick]],Logfile_S[[#This Row],[Date]])</f>
        <v>#N/A</v>
      </c>
      <c r="AC11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72" spans="1:29" ht="14.5">
      <c r="A1172" s="220" t="str">
        <f>TEXT(ROW(A1172)-ROW($A$4),"000")</f>
        <v>1168</v>
      </c>
      <c r="B1172" s="221"/>
      <c r="C1172" s="221" t="s">
        <v>49</v>
      </c>
      <c r="D1172" s="221" t="s">
        <v>3824</v>
      </c>
      <c r="E1172" s="221" t="s">
        <v>3295</v>
      </c>
      <c r="F1172" s="221" t="s">
        <v>3299</v>
      </c>
      <c r="G1172" s="222">
        <v>45258</v>
      </c>
      <c r="H1172" s="223">
        <v>0.65069444444444446</v>
      </c>
      <c r="I1172" s="221" t="s">
        <v>4916</v>
      </c>
      <c r="J1172" s="221" t="s">
        <v>3024</v>
      </c>
      <c r="K1172" s="224" t="s">
        <v>3090</v>
      </c>
      <c r="L1172" s="225" t="str">
        <f>VLOOKUP(Logfile_S[[#This Row],[Material Name]],Sheet2!B:C,2,0)</f>
        <v>GCI1004</v>
      </c>
      <c r="M1172" s="225" t="str">
        <f>_xlfn.XLOOKUP(Logfile_S[[#This Row],[Material Name]],Sum_WH!E:E,Sum_WH!F:F,"",0)</f>
        <v>Pcs</v>
      </c>
      <c r="N1172" s="221">
        <v>50</v>
      </c>
      <c r="O1172" s="221" t="s">
        <v>468</v>
      </c>
      <c r="P1172" s="221" t="s">
        <v>469</v>
      </c>
      <c r="Q1172" s="221"/>
      <c r="R1172" s="221"/>
      <c r="S1172" s="221"/>
      <c r="T1172" s="221" t="s">
        <v>3346</v>
      </c>
      <c r="U1172" s="221">
        <v>0</v>
      </c>
      <c r="V1172" s="221" t="s">
        <v>3347</v>
      </c>
      <c r="W1172" s="221" t="s">
        <v>3334</v>
      </c>
      <c r="X1172" s="221"/>
      <c r="Y1172" s="227"/>
      <c r="Z1172" s="227" t="str">
        <f>P1172</f>
        <v>Jedong RW 07 Wagir</v>
      </c>
      <c r="AA1172" s="276" t="e">
        <f>VLOOKUP(Logfile_S[[#This Row],[DO number]],DO_DB!G:I,3,0)</f>
        <v>#N/A</v>
      </c>
      <c r="AB1172" s="331" t="e">
        <f>EXACT(Logfile_S[[#This Row],[date pick]],Logfile_S[[#This Row],[Date]])</f>
        <v>#N/A</v>
      </c>
      <c r="AC11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73" spans="1:29" ht="14.5">
      <c r="A1173" s="220" t="str">
        <f>TEXT(ROW(A1173)-ROW($A$4),"000")</f>
        <v>1169</v>
      </c>
      <c r="B1173" s="221"/>
      <c r="C1173" s="221" t="s">
        <v>49</v>
      </c>
      <c r="D1173" s="221" t="s">
        <v>3827</v>
      </c>
      <c r="E1173" s="221" t="s">
        <v>3295</v>
      </c>
      <c r="F1173" s="221" t="s">
        <v>3299</v>
      </c>
      <c r="G1173" s="222">
        <v>45264</v>
      </c>
      <c r="H1173" s="223">
        <v>0.47916666666666669</v>
      </c>
      <c r="I1173" s="221" t="s">
        <v>4916</v>
      </c>
      <c r="J1173" s="221" t="s">
        <v>3023</v>
      </c>
      <c r="K1173" s="224" t="s">
        <v>3069</v>
      </c>
      <c r="L1173" s="225" t="str">
        <f>VLOOKUP(Logfile_S[[#This Row],[Material Name]],Sheet2!B:C,2,0)</f>
        <v>ZTE1001</v>
      </c>
      <c r="M1173" s="225" t="str">
        <f>_xlfn.XLOOKUP(Logfile_S[[#This Row],[Material Name]],Sum_WH!E:E,Sum_WH!F:F,"",0)</f>
        <v>Pcs</v>
      </c>
      <c r="N1173" s="221">
        <v>7</v>
      </c>
      <c r="O1173" s="221" t="s">
        <v>468</v>
      </c>
      <c r="P1173" s="221" t="s">
        <v>469</v>
      </c>
      <c r="Q1173" s="221"/>
      <c r="R1173" s="221"/>
      <c r="S1173" s="221"/>
      <c r="T1173" s="221" t="s">
        <v>3487</v>
      </c>
      <c r="U1173" s="221">
        <v>0</v>
      </c>
      <c r="V1173" s="221" t="s">
        <v>3488</v>
      </c>
      <c r="W1173" s="221" t="s">
        <v>3489</v>
      </c>
      <c r="X1173" s="221"/>
      <c r="Y1173" s="227"/>
      <c r="Z1173" s="227" t="str">
        <f>P1173</f>
        <v>Jedong RW 07 Wagir</v>
      </c>
      <c r="AA1173" s="276" t="e">
        <f>VLOOKUP(Logfile_S[[#This Row],[DO number]],DO_DB!G:I,3,0)</f>
        <v>#N/A</v>
      </c>
      <c r="AB1173" s="331" t="e">
        <f>EXACT(Logfile_S[[#This Row],[date pick]],Logfile_S[[#This Row],[Date]])</f>
        <v>#N/A</v>
      </c>
      <c r="AC11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74" spans="1:29" ht="14.5">
      <c r="A1174" s="220" t="str">
        <f>TEXT(ROW(A1174)-ROW($A$4),"000")</f>
        <v>1170</v>
      </c>
      <c r="B1174" s="221"/>
      <c r="C1174" s="221" t="s">
        <v>49</v>
      </c>
      <c r="D1174" s="221" t="s">
        <v>3830</v>
      </c>
      <c r="E1174" s="221" t="s">
        <v>3295</v>
      </c>
      <c r="F1174" s="221" t="s">
        <v>3299</v>
      </c>
      <c r="G1174" s="222">
        <v>45266</v>
      </c>
      <c r="H1174" s="223">
        <v>0.39999999999999997</v>
      </c>
      <c r="I1174" s="221" t="s">
        <v>4916</v>
      </c>
      <c r="J1174" s="221" t="s">
        <v>3024</v>
      </c>
      <c r="K1174" s="224" t="s">
        <v>3097</v>
      </c>
      <c r="L1174" s="225" t="str">
        <f>VLOOKUP(Logfile_S[[#This Row],[Material Name]],Sheet2!B:C,2,0)</f>
        <v>GCI1011</v>
      </c>
      <c r="M1174" s="225" t="str">
        <f>_xlfn.XLOOKUP(Logfile_S[[#This Row],[Material Name]],Sum_WH!E:E,Sum_WH!F:F,"",0)</f>
        <v>Pcs</v>
      </c>
      <c r="N1174" s="221">
        <v>1</v>
      </c>
      <c r="O1174" s="221" t="s">
        <v>468</v>
      </c>
      <c r="P1174" s="221" t="s">
        <v>469</v>
      </c>
      <c r="Q1174" s="221"/>
      <c r="R1174" s="221"/>
      <c r="S1174" s="221"/>
      <c r="T1174" s="221" t="s">
        <v>3346</v>
      </c>
      <c r="U1174" s="221">
        <v>0</v>
      </c>
      <c r="V1174" s="221" t="s">
        <v>3347</v>
      </c>
      <c r="W1174" s="221" t="s">
        <v>3334</v>
      </c>
      <c r="X1174" s="221"/>
      <c r="Y1174" s="227"/>
      <c r="Z1174" s="227" t="str">
        <f>P1174</f>
        <v>Jedong RW 07 Wagir</v>
      </c>
      <c r="AA1174" s="276" t="e">
        <f>VLOOKUP(Logfile_S[[#This Row],[DO number]],DO_DB!G:I,3,0)</f>
        <v>#N/A</v>
      </c>
      <c r="AB1174" s="331" t="e">
        <f>EXACT(Logfile_S[[#This Row],[date pick]],Logfile_S[[#This Row],[Date]])</f>
        <v>#N/A</v>
      </c>
      <c r="AC11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75" spans="1:29" ht="14.5">
      <c r="A1175" s="220" t="str">
        <f>TEXT(ROW(A1175)-ROW($A$4),"000")</f>
        <v>1171</v>
      </c>
      <c r="B1175" s="221"/>
      <c r="C1175" s="221" t="s">
        <v>49</v>
      </c>
      <c r="D1175" s="221" t="s">
        <v>3830</v>
      </c>
      <c r="E1175" s="221" t="s">
        <v>3295</v>
      </c>
      <c r="F1175" s="221" t="s">
        <v>3299</v>
      </c>
      <c r="G1175" s="222">
        <v>45266</v>
      </c>
      <c r="H1175" s="223">
        <v>0.39999999999999997</v>
      </c>
      <c r="I1175" s="221" t="s">
        <v>4916</v>
      </c>
      <c r="J1175" s="221" t="s">
        <v>3024</v>
      </c>
      <c r="K1175" s="224" t="s">
        <v>3087</v>
      </c>
      <c r="L1175" s="225" t="str">
        <f>VLOOKUP(Logfile_S[[#This Row],[Material Name]],Sheet2!B:C,2,0)</f>
        <v>GCI1001</v>
      </c>
      <c r="M1175" s="225" t="str">
        <f>_xlfn.XLOOKUP(Logfile_S[[#This Row],[Material Name]],Sum_WH!E:E,Sum_WH!F:F,"",0)</f>
        <v>Pcs</v>
      </c>
      <c r="N1175" s="221">
        <v>4</v>
      </c>
      <c r="O1175" s="221" t="s">
        <v>468</v>
      </c>
      <c r="P1175" s="221" t="s">
        <v>469</v>
      </c>
      <c r="Q1175" s="221"/>
      <c r="R1175" s="221"/>
      <c r="S1175" s="221"/>
      <c r="T1175" s="221" t="s">
        <v>3346</v>
      </c>
      <c r="U1175" s="221">
        <v>0</v>
      </c>
      <c r="V1175" s="221" t="s">
        <v>3347</v>
      </c>
      <c r="W1175" s="221" t="s">
        <v>3334</v>
      </c>
      <c r="X1175" s="221"/>
      <c r="Y1175" s="227"/>
      <c r="Z1175" s="227" t="str">
        <f>P1175</f>
        <v>Jedong RW 07 Wagir</v>
      </c>
      <c r="AA1175" s="276" t="e">
        <f>VLOOKUP(Logfile_S[[#This Row],[DO number]],DO_DB!G:I,3,0)</f>
        <v>#N/A</v>
      </c>
      <c r="AB1175" s="331" t="e">
        <f>EXACT(Logfile_S[[#This Row],[date pick]],Logfile_S[[#This Row],[Date]])</f>
        <v>#N/A</v>
      </c>
      <c r="AC11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76" spans="1:29" ht="14.5">
      <c r="A1176" s="220" t="str">
        <f>TEXT(ROW(A1176)-ROW($A$4),"000")</f>
        <v>1172</v>
      </c>
      <c r="B1176" s="221"/>
      <c r="C1176" s="221" t="s">
        <v>49</v>
      </c>
      <c r="D1176" s="221" t="s">
        <v>3830</v>
      </c>
      <c r="E1176" s="221" t="s">
        <v>3295</v>
      </c>
      <c r="F1176" s="221" t="s">
        <v>3299</v>
      </c>
      <c r="G1176" s="222">
        <v>45266</v>
      </c>
      <c r="H1176" s="223">
        <v>0.39999999999999997</v>
      </c>
      <c r="I1176" s="221" t="s">
        <v>4916</v>
      </c>
      <c r="J1176" s="221" t="s">
        <v>3024</v>
      </c>
      <c r="K1176" s="224" t="s">
        <v>3087</v>
      </c>
      <c r="L1176" s="225" t="str">
        <f>VLOOKUP(Logfile_S[[#This Row],[Material Name]],Sheet2!B:C,2,0)</f>
        <v>GCI1001</v>
      </c>
      <c r="M1176" s="225" t="str">
        <f>_xlfn.XLOOKUP(Logfile_S[[#This Row],[Material Name]],Sum_WH!E:E,Sum_WH!F:F,"",0)</f>
        <v>Pcs</v>
      </c>
      <c r="N1176" s="221">
        <v>18</v>
      </c>
      <c r="O1176" s="221" t="s">
        <v>468</v>
      </c>
      <c r="P1176" s="221" t="s">
        <v>469</v>
      </c>
      <c r="Q1176" s="221"/>
      <c r="R1176" s="221"/>
      <c r="S1176" s="221"/>
      <c r="T1176" s="221" t="s">
        <v>3346</v>
      </c>
      <c r="U1176" s="221">
        <v>0</v>
      </c>
      <c r="V1176" s="221" t="s">
        <v>3347</v>
      </c>
      <c r="W1176" s="221" t="s">
        <v>3334</v>
      </c>
      <c r="X1176" s="221"/>
      <c r="Y1176" s="227"/>
      <c r="Z1176" s="227" t="str">
        <f>P1176</f>
        <v>Jedong RW 07 Wagir</v>
      </c>
      <c r="AA1176" s="276" t="e">
        <f>VLOOKUP(Logfile_S[[#This Row],[DO number]],DO_DB!G:I,3,0)</f>
        <v>#N/A</v>
      </c>
      <c r="AB1176" s="331" t="e">
        <f>EXACT(Logfile_S[[#This Row],[date pick]],Logfile_S[[#This Row],[Date]])</f>
        <v>#N/A</v>
      </c>
      <c r="AC11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77" spans="1:29" ht="14.5">
      <c r="A1177" s="220" t="str">
        <f>TEXT(ROW(A1177)-ROW($A$4),"000")</f>
        <v>1173</v>
      </c>
      <c r="B1177" s="221"/>
      <c r="C1177" s="221" t="s">
        <v>49</v>
      </c>
      <c r="D1177" s="221" t="s">
        <v>3830</v>
      </c>
      <c r="E1177" s="221" t="s">
        <v>3295</v>
      </c>
      <c r="F1177" s="221" t="s">
        <v>3299</v>
      </c>
      <c r="G1177" s="222">
        <v>45266</v>
      </c>
      <c r="H1177" s="223">
        <v>0.39999999999999997</v>
      </c>
      <c r="I1177" s="221" t="s">
        <v>4916</v>
      </c>
      <c r="J1177" s="221" t="s">
        <v>3024</v>
      </c>
      <c r="K1177" s="224" t="s">
        <v>3088</v>
      </c>
      <c r="L1177" s="225" t="str">
        <f>VLOOKUP(Logfile_S[[#This Row],[Material Name]],Sheet2!B:C,2,0)</f>
        <v>GCI1002</v>
      </c>
      <c r="M1177" s="225" t="str">
        <f>_xlfn.XLOOKUP(Logfile_S[[#This Row],[Material Name]],Sum_WH!E:E,Sum_WH!F:F,"",0)</f>
        <v>Pcs</v>
      </c>
      <c r="N1177" s="221">
        <v>1</v>
      </c>
      <c r="O1177" s="221" t="s">
        <v>468</v>
      </c>
      <c r="P1177" s="221" t="s">
        <v>469</v>
      </c>
      <c r="Q1177" s="221"/>
      <c r="R1177" s="221"/>
      <c r="S1177" s="221"/>
      <c r="T1177" s="221" t="s">
        <v>3346</v>
      </c>
      <c r="U1177" s="221">
        <v>0</v>
      </c>
      <c r="V1177" s="221" t="s">
        <v>3347</v>
      </c>
      <c r="W1177" s="221" t="s">
        <v>3334</v>
      </c>
      <c r="X1177" s="221"/>
      <c r="Y1177" s="227"/>
      <c r="Z1177" s="227" t="str">
        <f>P1177</f>
        <v>Jedong RW 07 Wagir</v>
      </c>
      <c r="AA1177" s="276" t="e">
        <f>VLOOKUP(Logfile_S[[#This Row],[DO number]],DO_DB!G:I,3,0)</f>
        <v>#N/A</v>
      </c>
      <c r="AB1177" s="331" t="e">
        <f>EXACT(Logfile_S[[#This Row],[date pick]],Logfile_S[[#This Row],[Date]])</f>
        <v>#N/A</v>
      </c>
      <c r="AC11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78" spans="1:29" ht="14.5">
      <c r="A1178" s="220" t="str">
        <f>TEXT(ROW(A1178)-ROW($A$4),"000")</f>
        <v>1174</v>
      </c>
      <c r="B1178" s="221"/>
      <c r="C1178" s="221" t="s">
        <v>49</v>
      </c>
      <c r="D1178" s="221" t="s">
        <v>3830</v>
      </c>
      <c r="E1178" s="221" t="s">
        <v>3295</v>
      </c>
      <c r="F1178" s="221" t="s">
        <v>3299</v>
      </c>
      <c r="G1178" s="222">
        <v>45266</v>
      </c>
      <c r="H1178" s="223">
        <v>0.39999999999999997</v>
      </c>
      <c r="I1178" s="221" t="s">
        <v>4916</v>
      </c>
      <c r="J1178" s="221" t="s">
        <v>3023</v>
      </c>
      <c r="K1178" s="224" t="s">
        <v>3069</v>
      </c>
      <c r="L1178" s="225" t="str">
        <f>VLOOKUP(Logfile_S[[#This Row],[Material Name]],Sheet2!B:C,2,0)</f>
        <v>ZTE1001</v>
      </c>
      <c r="M1178" s="225" t="str">
        <f>_xlfn.XLOOKUP(Logfile_S[[#This Row],[Material Name]],Sum_WH!E:E,Sum_WH!F:F,"",0)</f>
        <v>Pcs</v>
      </c>
      <c r="N1178" s="221">
        <v>4</v>
      </c>
      <c r="O1178" s="221" t="s">
        <v>468</v>
      </c>
      <c r="P1178" s="221" t="s">
        <v>469</v>
      </c>
      <c r="Q1178" s="221"/>
      <c r="R1178" s="221"/>
      <c r="S1178" s="221"/>
      <c r="T1178" s="221" t="s">
        <v>3346</v>
      </c>
      <c r="U1178" s="221">
        <v>0</v>
      </c>
      <c r="V1178" s="221" t="s">
        <v>3347</v>
      </c>
      <c r="W1178" s="221" t="s">
        <v>3334</v>
      </c>
      <c r="X1178" s="221"/>
      <c r="Y1178" s="227"/>
      <c r="Z1178" s="227" t="str">
        <f>P1178</f>
        <v>Jedong RW 07 Wagir</v>
      </c>
      <c r="AA1178" s="276" t="e">
        <f>VLOOKUP(Logfile_S[[#This Row],[DO number]],DO_DB!G:I,3,0)</f>
        <v>#N/A</v>
      </c>
      <c r="AB1178" s="331" t="e">
        <f>EXACT(Logfile_S[[#This Row],[date pick]],Logfile_S[[#This Row],[Date]])</f>
        <v>#N/A</v>
      </c>
      <c r="AC11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79" spans="1:29" ht="14.5">
      <c r="A1179" s="220" t="str">
        <f>TEXT(ROW(A1179)-ROW($A$4),"000")</f>
        <v>1175</v>
      </c>
      <c r="B1179" s="221"/>
      <c r="C1179" s="221" t="s">
        <v>49</v>
      </c>
      <c r="D1179" s="221" t="s">
        <v>3834</v>
      </c>
      <c r="E1179" s="221" t="s">
        <v>3295</v>
      </c>
      <c r="F1179" s="221" t="s">
        <v>3299</v>
      </c>
      <c r="G1179" s="222">
        <v>45271</v>
      </c>
      <c r="H1179" s="223">
        <v>0.47916666666666669</v>
      </c>
      <c r="I1179" s="221" t="s">
        <v>4916</v>
      </c>
      <c r="J1179" s="221" t="s">
        <v>3024</v>
      </c>
      <c r="K1179" s="224" t="s">
        <v>3087</v>
      </c>
      <c r="L1179" s="225" t="str">
        <f>VLOOKUP(Logfile_S[[#This Row],[Material Name]],Sheet2!B:C,2,0)</f>
        <v>GCI1001</v>
      </c>
      <c r="M1179" s="225" t="str">
        <f>_xlfn.XLOOKUP(Logfile_S[[#This Row],[Material Name]],Sum_WH!E:E,Sum_WH!F:F,"",0)</f>
        <v>Pcs</v>
      </c>
      <c r="N1179" s="221">
        <v>3</v>
      </c>
      <c r="O1179" s="221" t="s">
        <v>468</v>
      </c>
      <c r="P1179" s="221" t="s">
        <v>469</v>
      </c>
      <c r="Q1179" s="221"/>
      <c r="R1179" s="221"/>
      <c r="S1179" s="221"/>
      <c r="T1179" s="221" t="s">
        <v>3346</v>
      </c>
      <c r="U1179" s="221">
        <v>0</v>
      </c>
      <c r="V1179" s="221" t="s">
        <v>3347</v>
      </c>
      <c r="W1179" s="221" t="s">
        <v>3334</v>
      </c>
      <c r="X1179" s="221"/>
      <c r="Y1179" s="227"/>
      <c r="Z1179" s="227" t="str">
        <f>P1179</f>
        <v>Jedong RW 07 Wagir</v>
      </c>
      <c r="AA1179" s="276" t="e">
        <f>VLOOKUP(Logfile_S[[#This Row],[DO number]],DO_DB!G:I,3,0)</f>
        <v>#N/A</v>
      </c>
      <c r="AB1179" s="331" t="e">
        <f>EXACT(Logfile_S[[#This Row],[date pick]],Logfile_S[[#This Row],[Date]])</f>
        <v>#N/A</v>
      </c>
      <c r="AC11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80" spans="1:29" ht="14.5">
      <c r="A1180" s="220" t="str">
        <f>TEXT(ROW(A1180)-ROW($A$4),"000")</f>
        <v>1176</v>
      </c>
      <c r="B1180" s="221"/>
      <c r="C1180" s="221" t="s">
        <v>49</v>
      </c>
      <c r="D1180" s="221" t="s">
        <v>3834</v>
      </c>
      <c r="E1180" s="221" t="s">
        <v>3295</v>
      </c>
      <c r="F1180" s="221" t="s">
        <v>3299</v>
      </c>
      <c r="G1180" s="222">
        <v>45271</v>
      </c>
      <c r="H1180" s="223">
        <v>0.47916666666666669</v>
      </c>
      <c r="I1180" s="221" t="s">
        <v>4916</v>
      </c>
      <c r="J1180" s="221" t="s">
        <v>3023</v>
      </c>
      <c r="K1180" s="224" t="s">
        <v>3211</v>
      </c>
      <c r="L1180" s="225" t="str">
        <f>VLOOKUP(Logfile_S[[#This Row],[Material Name]],Sheet2!B:C,2,0)</f>
        <v>ZTE1002</v>
      </c>
      <c r="M1180" s="225" t="str">
        <f>_xlfn.XLOOKUP(Logfile_S[[#This Row],[Material Name]],Sum_WH!E:E,Sum_WH!F:F,"",0)</f>
        <v>Pcs</v>
      </c>
      <c r="N1180" s="221">
        <v>2</v>
      </c>
      <c r="O1180" s="221" t="s">
        <v>468</v>
      </c>
      <c r="P1180" s="221" t="s">
        <v>469</v>
      </c>
      <c r="Q1180" s="221"/>
      <c r="R1180" s="221"/>
      <c r="S1180" s="221"/>
      <c r="T1180" s="221" t="s">
        <v>3346</v>
      </c>
      <c r="U1180" s="221">
        <v>0</v>
      </c>
      <c r="V1180" s="221" t="s">
        <v>3347</v>
      </c>
      <c r="W1180" s="221" t="s">
        <v>3334</v>
      </c>
      <c r="X1180" s="221"/>
      <c r="Y1180" s="227"/>
      <c r="Z1180" s="227" t="str">
        <f>P1180</f>
        <v>Jedong RW 07 Wagir</v>
      </c>
      <c r="AA1180" s="276" t="e">
        <f>VLOOKUP(Logfile_S[[#This Row],[DO number]],DO_DB!G:I,3,0)</f>
        <v>#N/A</v>
      </c>
      <c r="AB1180" s="331" t="e">
        <f>EXACT(Logfile_S[[#This Row],[date pick]],Logfile_S[[#This Row],[Date]])</f>
        <v>#N/A</v>
      </c>
      <c r="AC11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81" spans="1:29" ht="14.5">
      <c r="A1181" s="220" t="str">
        <f>TEXT(ROW(A1181)-ROW($A$4),"000")</f>
        <v>1177</v>
      </c>
      <c r="B1181" s="221"/>
      <c r="C1181" s="221" t="s">
        <v>49</v>
      </c>
      <c r="D1181" s="221" t="s">
        <v>3834</v>
      </c>
      <c r="E1181" s="221" t="s">
        <v>3295</v>
      </c>
      <c r="F1181" s="221" t="s">
        <v>3299</v>
      </c>
      <c r="G1181" s="222">
        <v>45271</v>
      </c>
      <c r="H1181" s="223">
        <v>0.47916666666666669</v>
      </c>
      <c r="I1181" s="221" t="s">
        <v>4916</v>
      </c>
      <c r="J1181" s="221" t="s">
        <v>3023</v>
      </c>
      <c r="K1181" s="224" t="s">
        <v>3069</v>
      </c>
      <c r="L1181" s="225" t="str">
        <f>VLOOKUP(Logfile_S[[#This Row],[Material Name]],Sheet2!B:C,2,0)</f>
        <v>ZTE1001</v>
      </c>
      <c r="M1181" s="225" t="str">
        <f>_xlfn.XLOOKUP(Logfile_S[[#This Row],[Material Name]],Sum_WH!E:E,Sum_WH!F:F,"",0)</f>
        <v>Pcs</v>
      </c>
      <c r="N1181" s="221">
        <v>1</v>
      </c>
      <c r="O1181" s="221" t="s">
        <v>468</v>
      </c>
      <c r="P1181" s="221" t="s">
        <v>469</v>
      </c>
      <c r="Q1181" s="221"/>
      <c r="R1181" s="221"/>
      <c r="S1181" s="221"/>
      <c r="T1181" s="221" t="s">
        <v>3346</v>
      </c>
      <c r="U1181" s="221">
        <v>0</v>
      </c>
      <c r="V1181" s="221" t="s">
        <v>3347</v>
      </c>
      <c r="W1181" s="221" t="s">
        <v>3334</v>
      </c>
      <c r="X1181" s="221"/>
      <c r="Y1181" s="227"/>
      <c r="Z1181" s="227" t="str">
        <f>P1181</f>
        <v>Jedong RW 07 Wagir</v>
      </c>
      <c r="AA1181" s="276" t="e">
        <f>VLOOKUP(Logfile_S[[#This Row],[DO number]],DO_DB!G:I,3,0)</f>
        <v>#N/A</v>
      </c>
      <c r="AB1181" s="331" t="e">
        <f>EXACT(Logfile_S[[#This Row],[date pick]],Logfile_S[[#This Row],[Date]])</f>
        <v>#N/A</v>
      </c>
      <c r="AC11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82" spans="1:29" ht="14.5">
      <c r="A1182" s="220" t="str">
        <f>TEXT(ROW(A1182)-ROW($A$4),"000")</f>
        <v>1178</v>
      </c>
      <c r="B1182" s="221"/>
      <c r="C1182" s="221" t="s">
        <v>49</v>
      </c>
      <c r="D1182" s="221" t="s">
        <v>3834</v>
      </c>
      <c r="E1182" s="221" t="s">
        <v>3295</v>
      </c>
      <c r="F1182" s="221" t="s">
        <v>3299</v>
      </c>
      <c r="G1182" s="222">
        <v>45271</v>
      </c>
      <c r="H1182" s="223">
        <v>0.47916666666666669</v>
      </c>
      <c r="I1182" s="221" t="s">
        <v>4916</v>
      </c>
      <c r="J1182" s="221" t="s">
        <v>3024</v>
      </c>
      <c r="K1182" s="224" t="s">
        <v>3094</v>
      </c>
      <c r="L1182" s="225" t="str">
        <f>VLOOKUP(Logfile_S[[#This Row],[Material Name]],Sheet2!B:C,2,0)</f>
        <v>GCI1008</v>
      </c>
      <c r="M1182" s="225" t="str">
        <f>_xlfn.XLOOKUP(Logfile_S[[#This Row],[Material Name]],Sum_WH!E:E,Sum_WH!F:F,"",0)</f>
        <v>Pcs</v>
      </c>
      <c r="N1182" s="221">
        <v>50</v>
      </c>
      <c r="O1182" s="221" t="s">
        <v>468</v>
      </c>
      <c r="P1182" s="221" t="s">
        <v>469</v>
      </c>
      <c r="Q1182" s="221"/>
      <c r="R1182" s="221"/>
      <c r="S1182" s="221"/>
      <c r="T1182" s="221" t="s">
        <v>3346</v>
      </c>
      <c r="U1182" s="221">
        <v>0</v>
      </c>
      <c r="V1182" s="221" t="s">
        <v>3347</v>
      </c>
      <c r="W1182" s="221" t="s">
        <v>3334</v>
      </c>
      <c r="X1182" s="221"/>
      <c r="Y1182" s="227"/>
      <c r="Z1182" s="227" t="str">
        <f>P1182</f>
        <v>Jedong RW 07 Wagir</v>
      </c>
      <c r="AA1182" s="276" t="e">
        <f>VLOOKUP(Logfile_S[[#This Row],[DO number]],DO_DB!G:I,3,0)</f>
        <v>#N/A</v>
      </c>
      <c r="AB1182" s="331" t="e">
        <f>EXACT(Logfile_S[[#This Row],[date pick]],Logfile_S[[#This Row],[Date]])</f>
        <v>#N/A</v>
      </c>
      <c r="AC11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83" spans="1:29" ht="14.5">
      <c r="A1183" s="220" t="str">
        <f>TEXT(ROW(A1183)-ROW($A$4),"000")</f>
        <v>1179</v>
      </c>
      <c r="B1183" s="221"/>
      <c r="C1183" s="221" t="s">
        <v>49</v>
      </c>
      <c r="D1183" s="221" t="s">
        <v>3840</v>
      </c>
      <c r="E1183" s="221" t="s">
        <v>3295</v>
      </c>
      <c r="F1183" s="221" t="s">
        <v>3299</v>
      </c>
      <c r="G1183" s="222">
        <v>45283</v>
      </c>
      <c r="H1183" s="223">
        <v>0.39999999999999997</v>
      </c>
      <c r="I1183" s="221" t="s">
        <v>4916</v>
      </c>
      <c r="J1183" s="221" t="s">
        <v>3024</v>
      </c>
      <c r="K1183" s="224" t="s">
        <v>3097</v>
      </c>
      <c r="L1183" s="225" t="str">
        <f>VLOOKUP(Logfile_S[[#This Row],[Material Name]],Sheet2!B:C,2,0)</f>
        <v>GCI1011</v>
      </c>
      <c r="M1183" s="225" t="str">
        <f>_xlfn.XLOOKUP(Logfile_S[[#This Row],[Material Name]],Sum_WH!E:E,Sum_WH!F:F,"",0)</f>
        <v>Pcs</v>
      </c>
      <c r="N1183" s="221">
        <v>1</v>
      </c>
      <c r="O1183" s="221" t="s">
        <v>468</v>
      </c>
      <c r="P1183" s="221" t="s">
        <v>469</v>
      </c>
      <c r="Q1183" s="221"/>
      <c r="R1183" s="221"/>
      <c r="S1183" s="221"/>
      <c r="T1183" s="221" t="s">
        <v>3346</v>
      </c>
      <c r="U1183" s="221">
        <v>0</v>
      </c>
      <c r="V1183" s="221" t="s">
        <v>3347</v>
      </c>
      <c r="W1183" s="221" t="s">
        <v>3334</v>
      </c>
      <c r="X1183" s="221"/>
      <c r="Y1183" s="227"/>
      <c r="Z1183" s="227" t="str">
        <f>P1183</f>
        <v>Jedong RW 07 Wagir</v>
      </c>
      <c r="AA1183" s="276" t="e">
        <f>VLOOKUP(Logfile_S[[#This Row],[DO number]],DO_DB!G:I,3,0)</f>
        <v>#N/A</v>
      </c>
      <c r="AB1183" s="331" t="e">
        <f>EXACT(Logfile_S[[#This Row],[date pick]],Logfile_S[[#This Row],[Date]])</f>
        <v>#N/A</v>
      </c>
      <c r="AC11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84" spans="1:29" ht="14.5">
      <c r="A1184" s="220" t="str">
        <f>TEXT(ROW(A1184)-ROW($A$4),"000")</f>
        <v>1180</v>
      </c>
      <c r="B1184" s="221"/>
      <c r="C1184" s="221" t="s">
        <v>48</v>
      </c>
      <c r="D1184" s="221" t="s">
        <v>3912</v>
      </c>
      <c r="E1184" s="221" t="s">
        <v>3295</v>
      </c>
      <c r="F1184" s="221" t="s">
        <v>3299</v>
      </c>
      <c r="G1184" s="222">
        <v>45328</v>
      </c>
      <c r="H1184" s="223">
        <v>15.291666666666666</v>
      </c>
      <c r="I1184" s="221" t="s">
        <v>3017</v>
      </c>
      <c r="J1184" s="221" t="s">
        <v>3024</v>
      </c>
      <c r="K1184" s="224" t="s">
        <v>3087</v>
      </c>
      <c r="L1184" s="225" t="str">
        <f>VLOOKUP(Logfile_S[[#This Row],[Material Name]],Sheet2!B:C,2,0)</f>
        <v>GCI1001</v>
      </c>
      <c r="M1184" s="225" t="str">
        <f>_xlfn.XLOOKUP(Logfile_S[[#This Row],[Material Name]],Sum_WH!E:E,Sum_WH!F:F,"",0)</f>
        <v>Pcs</v>
      </c>
      <c r="N1184" s="221">
        <v>1</v>
      </c>
      <c r="O1184" s="221" t="s">
        <v>468</v>
      </c>
      <c r="P1184" s="221" t="s">
        <v>469</v>
      </c>
      <c r="Q1184" s="221" t="s">
        <v>3359</v>
      </c>
      <c r="R1184" s="221">
        <v>0</v>
      </c>
      <c r="S1184" s="221"/>
      <c r="T1184" s="221"/>
      <c r="U1184" s="221"/>
      <c r="V1184" s="221"/>
      <c r="W1184" s="221"/>
      <c r="X1184" s="221"/>
      <c r="Y1184" s="227"/>
      <c r="Z1184" s="227" t="str">
        <f>P1184</f>
        <v>Jedong RW 07 Wagir</v>
      </c>
      <c r="AA1184" s="276" t="e">
        <f>VLOOKUP(Logfile_S[[#This Row],[DO number]],DO_DB!G:I,3,0)</f>
        <v>#N/A</v>
      </c>
      <c r="AB1184" s="331" t="e">
        <f>EXACT(Logfile_S[[#This Row],[date pick]],Logfile_S[[#This Row],[Date]])</f>
        <v>#N/A</v>
      </c>
      <c r="AC11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85" spans="1:29" ht="14.5">
      <c r="A1185" s="220" t="str">
        <f>TEXT(ROW(A1185)-ROW($A$4),"000")</f>
        <v>1181</v>
      </c>
      <c r="B1185" s="221"/>
      <c r="C1185" s="221" t="s">
        <v>49</v>
      </c>
      <c r="D1185" s="221" t="s">
        <v>4013</v>
      </c>
      <c r="E1185" s="221" t="s">
        <v>3295</v>
      </c>
      <c r="F1185" s="221" t="s">
        <v>3299</v>
      </c>
      <c r="G1185" s="222">
        <v>45401</v>
      </c>
      <c r="H1185" s="223">
        <v>0.72291666666666676</v>
      </c>
      <c r="I1185" s="221" t="s">
        <v>4916</v>
      </c>
      <c r="J1185" s="221" t="s">
        <v>3023</v>
      </c>
      <c r="K1185" s="224" t="s">
        <v>3080</v>
      </c>
      <c r="L1185" s="225" t="str">
        <f>VLOOKUP(Logfile_S[[#This Row],[Material Name]],Sheet2!B:C,2,0)</f>
        <v>ZTE2010</v>
      </c>
      <c r="M1185" s="225" t="str">
        <f>_xlfn.XLOOKUP(Logfile_S[[#This Row],[Material Name]],Sum_WH!E:E,Sum_WH!F:F,"",0)</f>
        <v>Pcs</v>
      </c>
      <c r="N1185" s="221">
        <v>1</v>
      </c>
      <c r="O1185" s="221" t="s">
        <v>1155</v>
      </c>
      <c r="P1185" s="221" t="s">
        <v>1156</v>
      </c>
      <c r="Q1185" s="221"/>
      <c r="R1185" s="221"/>
      <c r="S1185" s="221"/>
      <c r="T1185" s="221" t="s">
        <v>3231</v>
      </c>
      <c r="U1185" s="221">
        <v>0</v>
      </c>
      <c r="V1185" s="221" t="s">
        <v>3232</v>
      </c>
      <c r="W1185" s="221" t="s">
        <v>3246</v>
      </c>
      <c r="X1185" s="221"/>
      <c r="Y1185" s="227"/>
      <c r="Z1185" s="227" t="str">
        <f>P1185</f>
        <v>Tanjungtirto RW 05 Singosari</v>
      </c>
      <c r="AA1185" s="276" t="e">
        <f>VLOOKUP(Logfile_S[[#This Row],[DO number]],DO_DB!G:I,3,0)</f>
        <v>#N/A</v>
      </c>
      <c r="AB1185" s="331" t="e">
        <f>EXACT(Logfile_S[[#This Row],[date pick]],Logfile_S[[#This Row],[Date]])</f>
        <v>#N/A</v>
      </c>
      <c r="AC11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86" spans="1:29" ht="14.5">
      <c r="A1186" s="220" t="str">
        <f>TEXT(ROW(A1186)-ROW($A$4),"000")</f>
        <v>1182</v>
      </c>
      <c r="B1186" s="221"/>
      <c r="C1186" s="221" t="s">
        <v>48</v>
      </c>
      <c r="D1186" s="221" t="s">
        <v>3849</v>
      </c>
      <c r="E1186" s="221" t="s">
        <v>3295</v>
      </c>
      <c r="F1186" s="221" t="s">
        <v>3299</v>
      </c>
      <c r="G1186" s="222">
        <v>45287</v>
      </c>
      <c r="H1186" s="223">
        <v>15.291666666666666</v>
      </c>
      <c r="I1186" s="221" t="s">
        <v>37</v>
      </c>
      <c r="J1186" s="221" t="s">
        <v>3023</v>
      </c>
      <c r="K1186" s="224" t="s">
        <v>3073</v>
      </c>
      <c r="L1186" s="225" t="str">
        <f>VLOOKUP(Logfile_S[[#This Row],[Material Name]],Sheet2!B:C,2,0)</f>
        <v>ZTE2001</v>
      </c>
      <c r="M1186" s="225" t="str">
        <f>_xlfn.XLOOKUP(Logfile_S[[#This Row],[Material Name]],Sum_WH!E:E,Sum_WH!F:F,"",0)</f>
        <v>Meter</v>
      </c>
      <c r="N1186" s="227">
        <v>3000</v>
      </c>
      <c r="O1186" s="221" t="s">
        <v>742</v>
      </c>
      <c r="P1186" s="221" t="s">
        <v>743</v>
      </c>
      <c r="Q1186" s="221"/>
      <c r="R1186" s="221"/>
      <c r="S1186" s="221"/>
      <c r="T1186" s="221"/>
      <c r="U1186" s="221"/>
      <c r="V1186" s="221"/>
      <c r="W1186" s="221"/>
      <c r="X1186" s="221" t="s">
        <v>3217</v>
      </c>
      <c r="Y1186" s="236" t="s">
        <v>4991</v>
      </c>
      <c r="Z1186" s="227" t="str">
        <f>P1186</f>
        <v>Baturetno RW 03 Singosari</v>
      </c>
      <c r="AA1186" s="276" t="e">
        <f>VLOOKUP(Logfile_S[[#This Row],[DO number]],DO_DB!G:I,3,0)</f>
        <v>#N/A</v>
      </c>
      <c r="AB1186" s="331" t="e">
        <f>EXACT(Logfile_S[[#This Row],[date pick]],Logfile_S[[#This Row],[Date]])</f>
        <v>#N/A</v>
      </c>
      <c r="AC11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24C-20231227-01</v>
      </c>
    </row>
    <row r="1187" spans="1:29" ht="14.5">
      <c r="A1187" s="237" t="str">
        <f>TEXT(ROW(A1187)-ROW($A$4),"000")</f>
        <v>1183</v>
      </c>
      <c r="B1187" s="221"/>
      <c r="C1187" s="221" t="s">
        <v>48</v>
      </c>
      <c r="D1187" s="221" t="s">
        <v>3849</v>
      </c>
      <c r="E1187" s="221" t="s">
        <v>3295</v>
      </c>
      <c r="F1187" s="221" t="s">
        <v>3299</v>
      </c>
      <c r="G1187" s="222">
        <v>45287</v>
      </c>
      <c r="H1187" s="223">
        <v>15.291666666666666</v>
      </c>
      <c r="I1187" s="221" t="s">
        <v>37</v>
      </c>
      <c r="J1187" s="221" t="s">
        <v>3023</v>
      </c>
      <c r="K1187" s="224" t="s">
        <v>3073</v>
      </c>
      <c r="L1187" s="225" t="str">
        <f>VLOOKUP(Logfile_S[[#This Row],[Material Name]],Sheet2!B:C,2,0)</f>
        <v>ZTE2001</v>
      </c>
      <c r="M1187" s="225" t="str">
        <f>_xlfn.XLOOKUP(Logfile_S[[#This Row],[Material Name]],Sum_WH!E:E,Sum_WH!F:F,"",0)</f>
        <v>Meter</v>
      </c>
      <c r="N1187" s="227">
        <v>3000</v>
      </c>
      <c r="O1187" s="221" t="s">
        <v>742</v>
      </c>
      <c r="P1187" s="221" t="s">
        <v>743</v>
      </c>
      <c r="Q1187" s="227"/>
      <c r="R1187" s="227"/>
      <c r="S1187" s="227"/>
      <c r="T1187" s="227"/>
      <c r="U1187" s="227"/>
      <c r="V1187" s="227"/>
      <c r="W1187" s="227"/>
      <c r="X1187" s="227"/>
      <c r="Y1187" s="243" t="s">
        <v>4992</v>
      </c>
      <c r="Z1187" s="227" t="str">
        <f>P1187</f>
        <v>Baturetno RW 03 Singosari</v>
      </c>
      <c r="AA1187" s="276" t="e">
        <f>VLOOKUP(Logfile_S[[#This Row],[DO number]],DO_DB!G:I,3,0)</f>
        <v>#N/A</v>
      </c>
      <c r="AB1187" s="331" t="e">
        <f>EXACT(Logfile_S[[#This Row],[date pick]],Logfile_S[[#This Row],[Date]])</f>
        <v>#N/A</v>
      </c>
      <c r="AC11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24C-20231227-02</v>
      </c>
    </row>
    <row r="1188" spans="1:29" ht="14.5">
      <c r="A1188" s="237" t="str">
        <f>TEXT(ROW(A1188)-ROW($A$4),"000")</f>
        <v>1184</v>
      </c>
      <c r="B1188" s="221"/>
      <c r="C1188" s="221" t="s">
        <v>48</v>
      </c>
      <c r="D1188" s="221" t="s">
        <v>3849</v>
      </c>
      <c r="E1188" s="221" t="s">
        <v>3295</v>
      </c>
      <c r="F1188" s="221" t="s">
        <v>3299</v>
      </c>
      <c r="G1188" s="222">
        <v>45287</v>
      </c>
      <c r="H1188" s="223">
        <v>15.291666666666666</v>
      </c>
      <c r="I1188" s="221" t="s">
        <v>37</v>
      </c>
      <c r="J1188" s="221" t="s">
        <v>3023</v>
      </c>
      <c r="K1188" s="224" t="s">
        <v>3073</v>
      </c>
      <c r="L1188" s="225" t="str">
        <f>VLOOKUP(Logfile_S[[#This Row],[Material Name]],Sheet2!B:C,2,0)</f>
        <v>ZTE2001</v>
      </c>
      <c r="M1188" s="225" t="str">
        <f>_xlfn.XLOOKUP(Logfile_S[[#This Row],[Material Name]],Sum_WH!E:E,Sum_WH!F:F,"",0)</f>
        <v>Meter</v>
      </c>
      <c r="N1188" s="227">
        <v>3000</v>
      </c>
      <c r="O1188" s="221" t="s">
        <v>742</v>
      </c>
      <c r="P1188" s="221" t="s">
        <v>743</v>
      </c>
      <c r="Q1188" s="227"/>
      <c r="R1188" s="227"/>
      <c r="S1188" s="227"/>
      <c r="T1188" s="227"/>
      <c r="U1188" s="227"/>
      <c r="V1188" s="227"/>
      <c r="W1188" s="227"/>
      <c r="X1188" s="227"/>
      <c r="Y1188" s="243" t="s">
        <v>4993</v>
      </c>
      <c r="Z1188" s="227" t="str">
        <f>P1188</f>
        <v>Baturetno RW 03 Singosari</v>
      </c>
      <c r="AA1188" s="276" t="e">
        <f>VLOOKUP(Logfile_S[[#This Row],[DO number]],DO_DB!G:I,3,0)</f>
        <v>#N/A</v>
      </c>
      <c r="AB1188" s="331" t="e">
        <f>EXACT(Logfile_S[[#This Row],[date pick]],Logfile_S[[#This Row],[Date]])</f>
        <v>#N/A</v>
      </c>
      <c r="AC11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24C-20231227-03</v>
      </c>
    </row>
    <row r="1189" spans="1:29" ht="14.5">
      <c r="A1189" s="220" t="str">
        <f>TEXT(ROW(A1189)-ROW($A$4),"000")</f>
        <v>1185</v>
      </c>
      <c r="B1189" s="221"/>
      <c r="C1189" s="221" t="s">
        <v>49</v>
      </c>
      <c r="D1189" s="221" t="s">
        <v>3855</v>
      </c>
      <c r="E1189" s="221" t="s">
        <v>3295</v>
      </c>
      <c r="F1189" s="221" t="s">
        <v>3299</v>
      </c>
      <c r="G1189" s="222">
        <v>45296</v>
      </c>
      <c r="H1189" s="223">
        <v>0.64166666666666672</v>
      </c>
      <c r="I1189" s="221" t="s">
        <v>4916</v>
      </c>
      <c r="J1189" s="221" t="s">
        <v>3023</v>
      </c>
      <c r="K1189" s="224" t="s">
        <v>3069</v>
      </c>
      <c r="L1189" s="225" t="str">
        <f>VLOOKUP(Logfile_S[[#This Row],[Material Name]],Sheet2!B:C,2,0)</f>
        <v>ZTE1001</v>
      </c>
      <c r="M1189" s="225" t="str">
        <f>_xlfn.XLOOKUP(Logfile_S[[#This Row],[Material Name]],Sum_WH!E:E,Sum_WH!F:F,"",0)</f>
        <v>Pcs</v>
      </c>
      <c r="N1189" s="221">
        <v>26</v>
      </c>
      <c r="O1189" s="221" t="s">
        <v>742</v>
      </c>
      <c r="P1189" s="221" t="s">
        <v>743</v>
      </c>
      <c r="Q1189" s="221"/>
      <c r="R1189" s="221"/>
      <c r="S1189" s="221"/>
      <c r="T1189" s="221" t="s">
        <v>3258</v>
      </c>
      <c r="U1189" s="221" t="s">
        <v>3228</v>
      </c>
      <c r="V1189" s="221" t="s">
        <v>3337</v>
      </c>
      <c r="W1189" s="221" t="s">
        <v>3338</v>
      </c>
      <c r="X1189" s="221"/>
      <c r="Y1189" s="227"/>
      <c r="Z1189" s="227" t="str">
        <f>P1189</f>
        <v>Baturetno RW 03 Singosari</v>
      </c>
      <c r="AA1189" s="276" t="e">
        <f>VLOOKUP(Logfile_S[[#This Row],[DO number]],DO_DB!G:I,3,0)</f>
        <v>#N/A</v>
      </c>
      <c r="AB1189" s="331" t="e">
        <f>EXACT(Logfile_S[[#This Row],[date pick]],Logfile_S[[#This Row],[Date]])</f>
        <v>#N/A</v>
      </c>
      <c r="AC11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90" spans="1:29" ht="14.5">
      <c r="A1190" s="220" t="str">
        <f>TEXT(ROW(A1190)-ROW($A$4),"000")</f>
        <v>1186</v>
      </c>
      <c r="B1190" s="221"/>
      <c r="C1190" s="221" t="s">
        <v>49</v>
      </c>
      <c r="D1190" s="221" t="s">
        <v>3856</v>
      </c>
      <c r="E1190" s="221" t="s">
        <v>3295</v>
      </c>
      <c r="F1190" s="221" t="s">
        <v>3299</v>
      </c>
      <c r="G1190" s="222">
        <v>45297</v>
      </c>
      <c r="H1190" s="223">
        <v>0.37083333333333335</v>
      </c>
      <c r="I1190" s="221" t="s">
        <v>4916</v>
      </c>
      <c r="J1190" s="221" t="s">
        <v>3023</v>
      </c>
      <c r="K1190" s="224" t="s">
        <v>3069</v>
      </c>
      <c r="L1190" s="225" t="str">
        <f>VLOOKUP(Logfile_S[[#This Row],[Material Name]],Sheet2!B:C,2,0)</f>
        <v>ZTE1001</v>
      </c>
      <c r="M1190" s="225" t="str">
        <f>_xlfn.XLOOKUP(Logfile_S[[#This Row],[Material Name]],Sum_WH!E:E,Sum_WH!F:F,"",0)</f>
        <v>Pcs</v>
      </c>
      <c r="N1190" s="221">
        <v>26</v>
      </c>
      <c r="O1190" s="221" t="s">
        <v>742</v>
      </c>
      <c r="P1190" s="221" t="s">
        <v>743</v>
      </c>
      <c r="Q1190" s="221"/>
      <c r="R1190" s="221"/>
      <c r="S1190" s="221"/>
      <c r="T1190" s="221" t="s">
        <v>3258</v>
      </c>
      <c r="U1190" s="221" t="s">
        <v>3228</v>
      </c>
      <c r="V1190" s="221" t="s">
        <v>3337</v>
      </c>
      <c r="W1190" s="221" t="s">
        <v>3338</v>
      </c>
      <c r="X1190" s="221"/>
      <c r="Y1190" s="227"/>
      <c r="Z1190" s="227" t="str">
        <f>P1190</f>
        <v>Baturetno RW 03 Singosari</v>
      </c>
      <c r="AA1190" s="276" t="e">
        <f>VLOOKUP(Logfile_S[[#This Row],[DO number]],DO_DB!G:I,3,0)</f>
        <v>#N/A</v>
      </c>
      <c r="AB1190" s="331" t="e">
        <f>EXACT(Logfile_S[[#This Row],[date pick]],Logfile_S[[#This Row],[Date]])</f>
        <v>#N/A</v>
      </c>
      <c r="AC11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91" spans="1:29" ht="14.5">
      <c r="A1191" s="220" t="str">
        <f>TEXT(ROW(A1191)-ROW($A$4),"000")</f>
        <v>1187</v>
      </c>
      <c r="B1191" s="221"/>
      <c r="C1191" s="221" t="s">
        <v>49</v>
      </c>
      <c r="D1191" s="221" t="s">
        <v>3857</v>
      </c>
      <c r="E1191" s="221" t="s">
        <v>3295</v>
      </c>
      <c r="F1191" s="221" t="s">
        <v>3299</v>
      </c>
      <c r="G1191" s="222">
        <v>45299</v>
      </c>
      <c r="H1191" s="223">
        <v>0.34166666666666662</v>
      </c>
      <c r="I1191" s="221" t="s">
        <v>4916</v>
      </c>
      <c r="J1191" s="221" t="s">
        <v>3023</v>
      </c>
      <c r="K1191" s="224" t="s">
        <v>3069</v>
      </c>
      <c r="L1191" s="225" t="str">
        <f>VLOOKUP(Logfile_S[[#This Row],[Material Name]],Sheet2!B:C,2,0)</f>
        <v>ZTE1001</v>
      </c>
      <c r="M1191" s="225" t="str">
        <f>_xlfn.XLOOKUP(Logfile_S[[#This Row],[Material Name]],Sum_WH!E:E,Sum_WH!F:F,"",0)</f>
        <v>Pcs</v>
      </c>
      <c r="N1191" s="221">
        <v>24</v>
      </c>
      <c r="O1191" s="221" t="s">
        <v>742</v>
      </c>
      <c r="P1191" s="221" t="s">
        <v>743</v>
      </c>
      <c r="Q1191" s="221"/>
      <c r="R1191" s="221"/>
      <c r="S1191" s="221"/>
      <c r="T1191" s="221" t="s">
        <v>3258</v>
      </c>
      <c r="U1191" s="221" t="s">
        <v>3228</v>
      </c>
      <c r="V1191" s="221" t="s">
        <v>3337</v>
      </c>
      <c r="W1191" s="221" t="s">
        <v>3338</v>
      </c>
      <c r="X1191" s="221" t="s">
        <v>3858</v>
      </c>
      <c r="Y1191" s="227"/>
      <c r="Z1191" s="227" t="str">
        <f>P1191</f>
        <v>Baturetno RW 03 Singosari</v>
      </c>
      <c r="AA1191" s="276" t="e">
        <f>VLOOKUP(Logfile_S[[#This Row],[DO number]],DO_DB!G:I,3,0)</f>
        <v>#N/A</v>
      </c>
      <c r="AB1191" s="331" t="e">
        <f>EXACT(Logfile_S[[#This Row],[date pick]],Logfile_S[[#This Row],[Date]])</f>
        <v>#N/A</v>
      </c>
      <c r="AC11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92" spans="1:29" ht="14.5">
      <c r="A1192" s="220" t="str">
        <f>TEXT(ROW(A1192)-ROW($A$4),"000")</f>
        <v>1188</v>
      </c>
      <c r="B1192" s="221"/>
      <c r="C1192" s="221" t="s">
        <v>48</v>
      </c>
      <c r="D1192" s="221" t="s">
        <v>3867</v>
      </c>
      <c r="E1192" s="221" t="s">
        <v>3295</v>
      </c>
      <c r="F1192" s="221" t="s">
        <v>3299</v>
      </c>
      <c r="G1192" s="222">
        <v>45307</v>
      </c>
      <c r="H1192" s="223">
        <v>15.291666666666666</v>
      </c>
      <c r="I1192" s="221" t="s">
        <v>37</v>
      </c>
      <c r="J1192" s="221" t="s">
        <v>3023</v>
      </c>
      <c r="K1192" s="224" t="s">
        <v>13</v>
      </c>
      <c r="L1192" s="225" t="str">
        <f>VLOOKUP(Logfile_S[[#This Row],[Material Name]],Sheet2!B:C,2,0)</f>
        <v>ZTE2008</v>
      </c>
      <c r="M1192" s="225" t="str">
        <f>_xlfn.XLOOKUP(Logfile_S[[#This Row],[Material Name]],Sum_WH!E:E,Sum_WH!F:F,"",0)</f>
        <v>Pcs</v>
      </c>
      <c r="N1192" s="221">
        <v>24</v>
      </c>
      <c r="O1192" s="221" t="s">
        <v>742</v>
      </c>
      <c r="P1192" s="221" t="s">
        <v>743</v>
      </c>
      <c r="Q1192" s="221" t="s">
        <v>850</v>
      </c>
      <c r="R1192" s="221" t="s">
        <v>851</v>
      </c>
      <c r="S1192" s="221"/>
      <c r="T1192" s="221"/>
      <c r="U1192" s="221"/>
      <c r="V1192" s="221"/>
      <c r="W1192" s="221"/>
      <c r="X1192" s="221" t="s">
        <v>3217</v>
      </c>
      <c r="Y1192" s="227"/>
      <c r="Z1192" s="227" t="str">
        <f>P1192</f>
        <v>Baturetno RW 03 Singosari</v>
      </c>
      <c r="AA1192" s="276">
        <f>VLOOKUP(Logfile_S[[#This Row],[DO number]],DO_DB!G:I,3,0)</f>
        <v>45307</v>
      </c>
      <c r="AB1192" s="331" t="b">
        <f>EXACT(Logfile_S[[#This Row],[date pick]],Logfile_S[[#This Row],[Date]])</f>
        <v>1</v>
      </c>
      <c r="AC11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93" spans="1:29" ht="14.5">
      <c r="A1193" s="220" t="str">
        <f>TEXT(ROW(A1193)-ROW($A$4),"000")</f>
        <v>1189</v>
      </c>
      <c r="B1193" s="221"/>
      <c r="C1193" s="221" t="s">
        <v>49</v>
      </c>
      <c r="D1193" s="221" t="s">
        <v>3864</v>
      </c>
      <c r="E1193" s="221" t="s">
        <v>3295</v>
      </c>
      <c r="F1193" s="221" t="s">
        <v>3299</v>
      </c>
      <c r="G1193" s="222">
        <v>45307</v>
      </c>
      <c r="H1193" s="223">
        <v>0.3520833333333333</v>
      </c>
      <c r="I1193" s="221" t="s">
        <v>4916</v>
      </c>
      <c r="J1193" s="221" t="s">
        <v>3023</v>
      </c>
      <c r="K1193" s="224" t="s">
        <v>3070</v>
      </c>
      <c r="L1193" s="225" t="str">
        <f>VLOOKUP(Logfile_S[[#This Row],[Material Name]],Sheet2!B:C,2,0)</f>
        <v>ZTE1002</v>
      </c>
      <c r="M1193" s="225" t="str">
        <f>_xlfn.XLOOKUP(Logfile_S[[#This Row],[Material Name]],Sum_WH!E:E,Sum_WH!F:F,"",0)</f>
        <v>Pcs</v>
      </c>
      <c r="N1193" s="221">
        <v>9</v>
      </c>
      <c r="O1193" s="221" t="s">
        <v>742</v>
      </c>
      <c r="P1193" s="221" t="s">
        <v>743</v>
      </c>
      <c r="Q1193" s="221"/>
      <c r="R1193" s="221"/>
      <c r="S1193" s="221"/>
      <c r="T1193" s="221" t="s">
        <v>3258</v>
      </c>
      <c r="U1193" s="221" t="s">
        <v>3228</v>
      </c>
      <c r="V1193" s="221" t="s">
        <v>3337</v>
      </c>
      <c r="W1193" s="221" t="s">
        <v>3338</v>
      </c>
      <c r="X1193" s="221"/>
      <c r="Y1193" s="227"/>
      <c r="Z1193" s="227" t="str">
        <f>P1193</f>
        <v>Baturetno RW 03 Singosari</v>
      </c>
      <c r="AA1193" s="276" t="e">
        <f>VLOOKUP(Logfile_S[[#This Row],[DO number]],DO_DB!G:I,3,0)</f>
        <v>#N/A</v>
      </c>
      <c r="AB1193" s="331" t="e">
        <f>EXACT(Logfile_S[[#This Row],[date pick]],Logfile_S[[#This Row],[Date]])</f>
        <v>#N/A</v>
      </c>
      <c r="AC11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94" spans="1:29" ht="14.5">
      <c r="A1194" s="220" t="str">
        <f>TEXT(ROW(A1194)-ROW($A$4),"000")</f>
        <v>1190</v>
      </c>
      <c r="B1194" s="221"/>
      <c r="C1194" s="221" t="s">
        <v>48</v>
      </c>
      <c r="D1194" s="221" t="s">
        <v>3867</v>
      </c>
      <c r="E1194" s="221" t="s">
        <v>3295</v>
      </c>
      <c r="F1194" s="221" t="s">
        <v>3299</v>
      </c>
      <c r="G1194" s="222">
        <v>45307</v>
      </c>
      <c r="H1194" s="223">
        <v>15.291666666666666</v>
      </c>
      <c r="I1194" s="221" t="s">
        <v>37</v>
      </c>
      <c r="J1194" s="221" t="s">
        <v>3023</v>
      </c>
      <c r="K1194" s="224" t="s">
        <v>3071</v>
      </c>
      <c r="L1194" s="225" t="str">
        <f>VLOOKUP(Logfile_S[[#This Row],[Material Name]],Sheet2!B:C,2,0)</f>
        <v>ZTE1003</v>
      </c>
      <c r="M1194" s="225" t="str">
        <f>_xlfn.XLOOKUP(Logfile_S[[#This Row],[Material Name]],Sum_WH!E:E,Sum_WH!F:F,"",0)</f>
        <v>Pcs</v>
      </c>
      <c r="N1194" s="221">
        <v>10</v>
      </c>
      <c r="O1194" s="221" t="s">
        <v>742</v>
      </c>
      <c r="P1194" s="221" t="s">
        <v>743</v>
      </c>
      <c r="Q1194" s="221" t="s">
        <v>832</v>
      </c>
      <c r="R1194" s="221" t="s">
        <v>833</v>
      </c>
      <c r="S1194" s="221"/>
      <c r="T1194" s="221"/>
      <c r="U1194" s="221"/>
      <c r="V1194" s="221"/>
      <c r="W1194" s="221"/>
      <c r="X1194" s="221"/>
      <c r="Y1194" s="227"/>
      <c r="Z1194" s="227" t="str">
        <f>P1194</f>
        <v>Baturetno RW 03 Singosari</v>
      </c>
      <c r="AA1194" s="276">
        <f>VLOOKUP(Logfile_S[[#This Row],[DO number]],DO_DB!G:I,3,0)</f>
        <v>45307</v>
      </c>
      <c r="AB1194" s="331" t="b">
        <f>EXACT(Logfile_S[[#This Row],[date pick]],Logfile_S[[#This Row],[Date]])</f>
        <v>1</v>
      </c>
      <c r="AC11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95" spans="1:29" ht="14.5">
      <c r="A1195" s="220" t="str">
        <f>TEXT(ROW(A1195)-ROW($A$4),"000")</f>
        <v>1191</v>
      </c>
      <c r="B1195" s="221"/>
      <c r="C1195" s="221" t="s">
        <v>49</v>
      </c>
      <c r="D1195" s="221" t="s">
        <v>3871</v>
      </c>
      <c r="E1195" s="221" t="s">
        <v>3295</v>
      </c>
      <c r="F1195" s="221" t="s">
        <v>3299</v>
      </c>
      <c r="G1195" s="222">
        <v>45308</v>
      </c>
      <c r="H1195" s="223">
        <v>0.43541666666666662</v>
      </c>
      <c r="I1195" s="221" t="s">
        <v>4916</v>
      </c>
      <c r="J1195" s="221" t="s">
        <v>3023</v>
      </c>
      <c r="K1195" s="224" t="s">
        <v>3071</v>
      </c>
      <c r="L1195" s="225" t="str">
        <f>VLOOKUP(Logfile_S[[#This Row],[Material Name]],Sheet2!B:C,2,0)</f>
        <v>ZTE1003</v>
      </c>
      <c r="M1195" s="225" t="str">
        <f>_xlfn.XLOOKUP(Logfile_S[[#This Row],[Material Name]],Sum_WH!E:E,Sum_WH!F:F,"",0)</f>
        <v>Pcs</v>
      </c>
      <c r="N1195" s="221">
        <v>6</v>
      </c>
      <c r="O1195" s="221" t="s">
        <v>742</v>
      </c>
      <c r="P1195" s="221" t="s">
        <v>743</v>
      </c>
      <c r="Q1195" s="221"/>
      <c r="R1195" s="221"/>
      <c r="S1195" s="221"/>
      <c r="T1195" s="221" t="s">
        <v>3258</v>
      </c>
      <c r="U1195" s="221" t="s">
        <v>3228</v>
      </c>
      <c r="V1195" s="221" t="s">
        <v>3337</v>
      </c>
      <c r="W1195" s="221" t="s">
        <v>3338</v>
      </c>
      <c r="X1195" s="221"/>
      <c r="Y1195" s="227"/>
      <c r="Z1195" s="227" t="str">
        <f>P1195</f>
        <v>Baturetno RW 03 Singosari</v>
      </c>
      <c r="AA1195" s="276" t="e">
        <f>VLOOKUP(Logfile_S[[#This Row],[DO number]],DO_DB!G:I,3,0)</f>
        <v>#N/A</v>
      </c>
      <c r="AB1195" s="331" t="e">
        <f>EXACT(Logfile_S[[#This Row],[date pick]],Logfile_S[[#This Row],[Date]])</f>
        <v>#N/A</v>
      </c>
      <c r="AC11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96" spans="1:29" ht="14.5">
      <c r="A1196" s="220" t="str">
        <f>TEXT(ROW(A1196)-ROW($A$4),"000")</f>
        <v>1192</v>
      </c>
      <c r="B1196" s="221"/>
      <c r="C1196" s="221" t="s">
        <v>49</v>
      </c>
      <c r="D1196" s="221" t="s">
        <v>3889</v>
      </c>
      <c r="E1196" s="221" t="s">
        <v>3295</v>
      </c>
      <c r="F1196" s="221" t="s">
        <v>3299</v>
      </c>
      <c r="G1196" s="222">
        <v>45313</v>
      </c>
      <c r="H1196" s="223">
        <v>0.81041666666666667</v>
      </c>
      <c r="I1196" s="221" t="s">
        <v>4916</v>
      </c>
      <c r="J1196" s="221" t="s">
        <v>3024</v>
      </c>
      <c r="K1196" s="224" t="s">
        <v>3087</v>
      </c>
      <c r="L1196" s="225" t="str">
        <f>VLOOKUP(Logfile_S[[#This Row],[Material Name]],Sheet2!B:C,2,0)</f>
        <v>GCI1001</v>
      </c>
      <c r="M1196" s="225" t="str">
        <f>_xlfn.XLOOKUP(Logfile_S[[#This Row],[Material Name]],Sum_WH!E:E,Sum_WH!F:F,"",0)</f>
        <v>Pcs</v>
      </c>
      <c r="N1196" s="221">
        <v>27</v>
      </c>
      <c r="O1196" s="221" t="s">
        <v>742</v>
      </c>
      <c r="P1196" s="221" t="s">
        <v>743</v>
      </c>
      <c r="Q1196" s="221"/>
      <c r="R1196" s="221"/>
      <c r="S1196" s="221"/>
      <c r="T1196" s="221" t="s">
        <v>3258</v>
      </c>
      <c r="U1196" s="221" t="s">
        <v>3228</v>
      </c>
      <c r="V1196" s="221" t="s">
        <v>3337</v>
      </c>
      <c r="W1196" s="221" t="s">
        <v>3338</v>
      </c>
      <c r="X1196" s="221"/>
      <c r="Y1196" s="227"/>
      <c r="Z1196" s="227" t="str">
        <f>P1196</f>
        <v>Baturetno RW 03 Singosari</v>
      </c>
      <c r="AA1196" s="276" t="e">
        <f>VLOOKUP(Logfile_S[[#This Row],[DO number]],DO_DB!G:I,3,0)</f>
        <v>#N/A</v>
      </c>
      <c r="AB1196" s="331" t="e">
        <f>EXACT(Logfile_S[[#This Row],[date pick]],Logfile_S[[#This Row],[Date]])</f>
        <v>#N/A</v>
      </c>
      <c r="AC11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97" spans="1:29" ht="14.5">
      <c r="A1197" s="220" t="str">
        <f>TEXT(ROW(A1197)-ROW($A$4),"000")</f>
        <v>1193</v>
      </c>
      <c r="B1197" s="221"/>
      <c r="C1197" s="221" t="s">
        <v>49</v>
      </c>
      <c r="D1197" s="221" t="s">
        <v>3889</v>
      </c>
      <c r="E1197" s="221" t="s">
        <v>3295</v>
      </c>
      <c r="F1197" s="221" t="s">
        <v>3299</v>
      </c>
      <c r="G1197" s="222">
        <v>45313</v>
      </c>
      <c r="H1197" s="223">
        <v>0.81041666666666667</v>
      </c>
      <c r="I1197" s="221" t="s">
        <v>4916</v>
      </c>
      <c r="J1197" s="221" t="s">
        <v>3024</v>
      </c>
      <c r="K1197" s="224" t="s">
        <v>5137</v>
      </c>
      <c r="L1197" s="225" t="str">
        <f>VLOOKUP(Logfile_S[[#This Row],[Material Name]],Sheet2!B:C,2,0)</f>
        <v>GCI1009</v>
      </c>
      <c r="M1197" s="225" t="str">
        <f>_xlfn.XLOOKUP(Logfile_S[[#This Row],[Material Name]],Sum_WH!E:E,Sum_WH!F:F,"",0)</f>
        <v>Pcs</v>
      </c>
      <c r="N1197" s="221">
        <v>100</v>
      </c>
      <c r="O1197" s="221" t="s">
        <v>742</v>
      </c>
      <c r="P1197" s="221" t="s">
        <v>743</v>
      </c>
      <c r="Q1197" s="221"/>
      <c r="R1197" s="221"/>
      <c r="S1197" s="221"/>
      <c r="T1197" s="221" t="s">
        <v>3258</v>
      </c>
      <c r="U1197" s="221" t="s">
        <v>3228</v>
      </c>
      <c r="V1197" s="221" t="s">
        <v>3337</v>
      </c>
      <c r="W1197" s="221" t="s">
        <v>3338</v>
      </c>
      <c r="X1197" s="221"/>
      <c r="Y1197" s="227"/>
      <c r="Z1197" s="227" t="str">
        <f>P1197</f>
        <v>Baturetno RW 03 Singosari</v>
      </c>
      <c r="AA1197" s="276" t="e">
        <f>VLOOKUP(Logfile_S[[#This Row],[DO number]],DO_DB!G:I,3,0)</f>
        <v>#N/A</v>
      </c>
      <c r="AB1197" s="331" t="e">
        <f>EXACT(Logfile_S[[#This Row],[date pick]],Logfile_S[[#This Row],[Date]])</f>
        <v>#N/A</v>
      </c>
      <c r="AC11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98" spans="1:29" ht="14.5">
      <c r="A1198" s="220" t="str">
        <f>TEXT(ROW(A1198)-ROW($A$4),"000")</f>
        <v>1194</v>
      </c>
      <c r="B1198" s="221"/>
      <c r="C1198" s="221" t="s">
        <v>49</v>
      </c>
      <c r="D1198" s="221" t="s">
        <v>3887</v>
      </c>
      <c r="E1198" s="221" t="s">
        <v>3295</v>
      </c>
      <c r="F1198" s="221" t="s">
        <v>3299</v>
      </c>
      <c r="G1198" s="222">
        <v>45313</v>
      </c>
      <c r="H1198" s="223">
        <v>0.62291666666666667</v>
      </c>
      <c r="I1198" s="221" t="s">
        <v>4916</v>
      </c>
      <c r="J1198" s="221" t="s">
        <v>3023</v>
      </c>
      <c r="K1198" s="224" t="s">
        <v>14</v>
      </c>
      <c r="L1198" s="225" t="str">
        <f>VLOOKUP(Logfile_S[[#This Row],[Material Name]],Sheet2!B:C,2,0)</f>
        <v>ZTE2005</v>
      </c>
      <c r="M1198" s="225" t="str">
        <f>_xlfn.XLOOKUP(Logfile_S[[#This Row],[Material Name]],Sum_WH!E:E,Sum_WH!F:F,"",0)</f>
        <v>Pcs</v>
      </c>
      <c r="N1198" s="221">
        <v>1</v>
      </c>
      <c r="O1198" s="221" t="s">
        <v>742</v>
      </c>
      <c r="P1198" s="221" t="s">
        <v>743</v>
      </c>
      <c r="Q1198" s="221"/>
      <c r="R1198" s="221"/>
      <c r="S1198" s="221"/>
      <c r="T1198" s="221" t="s">
        <v>3231</v>
      </c>
      <c r="U1198" s="221" t="s">
        <v>3228</v>
      </c>
      <c r="V1198" s="221" t="s">
        <v>3232</v>
      </c>
      <c r="W1198" s="221" t="s">
        <v>3246</v>
      </c>
      <c r="X1198" s="221"/>
      <c r="Y1198" s="227"/>
      <c r="Z1198" s="227" t="str">
        <f>P1198</f>
        <v>Baturetno RW 03 Singosari</v>
      </c>
      <c r="AA1198" s="276" t="e">
        <f>VLOOKUP(Logfile_S[[#This Row],[DO number]],DO_DB!G:I,3,0)</f>
        <v>#N/A</v>
      </c>
      <c r="AB1198" s="331" t="e">
        <f>EXACT(Logfile_S[[#This Row],[date pick]],Logfile_S[[#This Row],[Date]])</f>
        <v>#N/A</v>
      </c>
      <c r="AC11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199" spans="1:29" ht="14.5">
      <c r="A1199" s="220" t="str">
        <f>TEXT(ROW(A1199)-ROW($A$4),"000")</f>
        <v>1195</v>
      </c>
      <c r="B1199" s="221"/>
      <c r="C1199" s="221" t="s">
        <v>49</v>
      </c>
      <c r="D1199" s="221" t="s">
        <v>3889</v>
      </c>
      <c r="E1199" s="221" t="s">
        <v>3295</v>
      </c>
      <c r="F1199" s="221" t="s">
        <v>3299</v>
      </c>
      <c r="G1199" s="222">
        <v>45313</v>
      </c>
      <c r="H1199" s="223">
        <v>0.81041666666666667</v>
      </c>
      <c r="I1199" s="221" t="s">
        <v>4916</v>
      </c>
      <c r="J1199" s="221" t="s">
        <v>3024</v>
      </c>
      <c r="K1199" s="224" t="s">
        <v>3088</v>
      </c>
      <c r="L1199" s="225" t="str">
        <f>VLOOKUP(Logfile_S[[#This Row],[Material Name]],Sheet2!B:C,2,0)</f>
        <v>GCI1002</v>
      </c>
      <c r="M1199" s="225" t="str">
        <f>_xlfn.XLOOKUP(Logfile_S[[#This Row],[Material Name]],Sum_WH!E:E,Sum_WH!F:F,"",0)</f>
        <v>Pcs</v>
      </c>
      <c r="N1199" s="221">
        <v>1</v>
      </c>
      <c r="O1199" s="221" t="s">
        <v>742</v>
      </c>
      <c r="P1199" s="221" t="s">
        <v>743</v>
      </c>
      <c r="Q1199" s="221"/>
      <c r="R1199" s="221"/>
      <c r="S1199" s="221"/>
      <c r="T1199" s="221" t="s">
        <v>3258</v>
      </c>
      <c r="U1199" s="221" t="s">
        <v>3228</v>
      </c>
      <c r="V1199" s="221" t="s">
        <v>3337</v>
      </c>
      <c r="W1199" s="221" t="s">
        <v>3338</v>
      </c>
      <c r="X1199" s="221"/>
      <c r="Y1199" s="227"/>
      <c r="Z1199" s="227" t="str">
        <f>P1199</f>
        <v>Baturetno RW 03 Singosari</v>
      </c>
      <c r="AA1199" s="276" t="e">
        <f>VLOOKUP(Logfile_S[[#This Row],[DO number]],DO_DB!G:I,3,0)</f>
        <v>#N/A</v>
      </c>
      <c r="AB1199" s="331" t="e">
        <f>EXACT(Logfile_S[[#This Row],[date pick]],Logfile_S[[#This Row],[Date]])</f>
        <v>#N/A</v>
      </c>
      <c r="AC11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00" spans="1:29" ht="14.5">
      <c r="A1200" s="220" t="str">
        <f>TEXT(ROW(A1200)-ROW($A$4),"000")</f>
        <v>1196</v>
      </c>
      <c r="B1200" s="221"/>
      <c r="C1200" s="221" t="s">
        <v>49</v>
      </c>
      <c r="D1200" s="221" t="s">
        <v>3889</v>
      </c>
      <c r="E1200" s="221" t="s">
        <v>3295</v>
      </c>
      <c r="F1200" s="221" t="s">
        <v>3299</v>
      </c>
      <c r="G1200" s="222">
        <v>45313</v>
      </c>
      <c r="H1200" s="223">
        <v>0.81041666666666667</v>
      </c>
      <c r="I1200" s="221" t="s">
        <v>4916</v>
      </c>
      <c r="J1200" s="221" t="s">
        <v>3024</v>
      </c>
      <c r="K1200" s="224" t="s">
        <v>3094</v>
      </c>
      <c r="L1200" s="225" t="str">
        <f>VLOOKUP(Logfile_S[[#This Row],[Material Name]],Sheet2!B:C,2,0)</f>
        <v>GCI1008</v>
      </c>
      <c r="M1200" s="225" t="str">
        <f>_xlfn.XLOOKUP(Logfile_S[[#This Row],[Material Name]],Sum_WH!E:E,Sum_WH!F:F,"",0)</f>
        <v>Pcs</v>
      </c>
      <c r="N1200" s="221">
        <v>50</v>
      </c>
      <c r="O1200" s="221" t="s">
        <v>742</v>
      </c>
      <c r="P1200" s="221" t="s">
        <v>743</v>
      </c>
      <c r="Q1200" s="221"/>
      <c r="R1200" s="221"/>
      <c r="S1200" s="221"/>
      <c r="T1200" s="221" t="s">
        <v>3258</v>
      </c>
      <c r="U1200" s="221" t="s">
        <v>3228</v>
      </c>
      <c r="V1200" s="221" t="s">
        <v>3337</v>
      </c>
      <c r="W1200" s="221" t="s">
        <v>3338</v>
      </c>
      <c r="X1200" s="221"/>
      <c r="Y1200" s="227"/>
      <c r="Z1200" s="227" t="str">
        <f>P1200</f>
        <v>Baturetno RW 03 Singosari</v>
      </c>
      <c r="AA1200" s="276" t="e">
        <f>VLOOKUP(Logfile_S[[#This Row],[DO number]],DO_DB!G:I,3,0)</f>
        <v>#N/A</v>
      </c>
      <c r="AB1200" s="331" t="e">
        <f>EXACT(Logfile_S[[#This Row],[date pick]],Logfile_S[[#This Row],[Date]])</f>
        <v>#N/A</v>
      </c>
      <c r="AC12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01" spans="1:29" ht="14.5">
      <c r="A1201" s="220" t="str">
        <f>TEXT(ROW(A1201)-ROW($A$4),"000")</f>
        <v>1197</v>
      </c>
      <c r="B1201" s="221"/>
      <c r="C1201" s="221" t="s">
        <v>49</v>
      </c>
      <c r="D1201" s="221" t="s">
        <v>3889</v>
      </c>
      <c r="E1201" s="221" t="s">
        <v>3295</v>
      </c>
      <c r="F1201" s="221" t="s">
        <v>3299</v>
      </c>
      <c r="G1201" s="222">
        <v>45313</v>
      </c>
      <c r="H1201" s="223">
        <v>0.81041666666666667</v>
      </c>
      <c r="I1201" s="221" t="s">
        <v>4916</v>
      </c>
      <c r="J1201" s="221" t="s">
        <v>3024</v>
      </c>
      <c r="K1201" s="224" t="s">
        <v>3089</v>
      </c>
      <c r="L1201" s="225" t="str">
        <f>VLOOKUP(Logfile_S[[#This Row],[Material Name]],Sheet2!B:C,2,0)</f>
        <v>GCI1003</v>
      </c>
      <c r="M1201" s="225" t="str">
        <f>_xlfn.XLOOKUP(Logfile_S[[#This Row],[Material Name]],Sum_WH!E:E,Sum_WH!F:F,"",0)</f>
        <v>Pcs</v>
      </c>
      <c r="N1201" s="221">
        <v>100</v>
      </c>
      <c r="O1201" s="221" t="s">
        <v>742</v>
      </c>
      <c r="P1201" s="221" t="s">
        <v>743</v>
      </c>
      <c r="Q1201" s="221"/>
      <c r="R1201" s="221"/>
      <c r="S1201" s="221"/>
      <c r="T1201" s="221" t="s">
        <v>3258</v>
      </c>
      <c r="U1201" s="221" t="s">
        <v>3228</v>
      </c>
      <c r="V1201" s="221" t="s">
        <v>3337</v>
      </c>
      <c r="W1201" s="221" t="s">
        <v>3338</v>
      </c>
      <c r="X1201" s="221"/>
      <c r="Y1201" s="227"/>
      <c r="Z1201" s="227" t="str">
        <f>P1201</f>
        <v>Baturetno RW 03 Singosari</v>
      </c>
      <c r="AA1201" s="276" t="e">
        <f>VLOOKUP(Logfile_S[[#This Row],[DO number]],DO_DB!G:I,3,0)</f>
        <v>#N/A</v>
      </c>
      <c r="AB1201" s="331" t="e">
        <f>EXACT(Logfile_S[[#This Row],[date pick]],Logfile_S[[#This Row],[Date]])</f>
        <v>#N/A</v>
      </c>
      <c r="AC12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02" spans="1:29" ht="14.5">
      <c r="A1202" s="220" t="str">
        <f>TEXT(ROW(A1202)-ROW($A$4),"000")</f>
        <v>1198</v>
      </c>
      <c r="B1202" s="221"/>
      <c r="C1202" s="221" t="s">
        <v>49</v>
      </c>
      <c r="D1202" s="221" t="s">
        <v>3889</v>
      </c>
      <c r="E1202" s="221" t="s">
        <v>3295</v>
      </c>
      <c r="F1202" s="221" t="s">
        <v>3299</v>
      </c>
      <c r="G1202" s="222">
        <v>45313</v>
      </c>
      <c r="H1202" s="223">
        <v>0.81041666666666667</v>
      </c>
      <c r="I1202" s="221" t="s">
        <v>4916</v>
      </c>
      <c r="J1202" s="221" t="s">
        <v>3024</v>
      </c>
      <c r="K1202" s="224" t="s">
        <v>3090</v>
      </c>
      <c r="L1202" s="225" t="str">
        <f>VLOOKUP(Logfile_S[[#This Row],[Material Name]],Sheet2!B:C,2,0)</f>
        <v>GCI1004</v>
      </c>
      <c r="M1202" s="225" t="str">
        <f>_xlfn.XLOOKUP(Logfile_S[[#This Row],[Material Name]],Sum_WH!E:E,Sum_WH!F:F,"",0)</f>
        <v>Pcs</v>
      </c>
      <c r="N1202" s="221">
        <v>70</v>
      </c>
      <c r="O1202" s="221" t="s">
        <v>742</v>
      </c>
      <c r="P1202" s="221" t="s">
        <v>743</v>
      </c>
      <c r="Q1202" s="221"/>
      <c r="R1202" s="221"/>
      <c r="S1202" s="221"/>
      <c r="T1202" s="221" t="s">
        <v>3258</v>
      </c>
      <c r="U1202" s="221" t="s">
        <v>3228</v>
      </c>
      <c r="V1202" s="221" t="s">
        <v>3337</v>
      </c>
      <c r="W1202" s="221" t="s">
        <v>3338</v>
      </c>
      <c r="X1202" s="221"/>
      <c r="Y1202" s="227"/>
      <c r="Z1202" s="227" t="str">
        <f>P1202</f>
        <v>Baturetno RW 03 Singosari</v>
      </c>
      <c r="AA1202" s="276" t="e">
        <f>VLOOKUP(Logfile_S[[#This Row],[DO number]],DO_DB!G:I,3,0)</f>
        <v>#N/A</v>
      </c>
      <c r="AB1202" s="331" t="e">
        <f>EXACT(Logfile_S[[#This Row],[date pick]],Logfile_S[[#This Row],[Date]])</f>
        <v>#N/A</v>
      </c>
      <c r="AC12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03" spans="1:29" ht="14.5">
      <c r="A1203" s="220" t="str">
        <f>TEXT(ROW(A1203)-ROW($A$4),"000")</f>
        <v>1199</v>
      </c>
      <c r="B1203" s="221"/>
      <c r="C1203" s="221" t="s">
        <v>49</v>
      </c>
      <c r="D1203" s="221" t="s">
        <v>3895</v>
      </c>
      <c r="E1203" s="221" t="s">
        <v>3295</v>
      </c>
      <c r="F1203" s="221" t="s">
        <v>3299</v>
      </c>
      <c r="G1203" s="222">
        <v>45314</v>
      </c>
      <c r="H1203" s="223">
        <v>0.84097222222222223</v>
      </c>
      <c r="I1203" s="221" t="s">
        <v>4916</v>
      </c>
      <c r="J1203" s="221" t="s">
        <v>3024</v>
      </c>
      <c r="K1203" s="224" t="s">
        <v>5137</v>
      </c>
      <c r="L1203" s="225" t="str">
        <f>VLOOKUP(Logfile_S[[#This Row],[Material Name]],Sheet2!B:C,2,0)</f>
        <v>GCI1009</v>
      </c>
      <c r="M1203" s="225" t="str">
        <f>_xlfn.XLOOKUP(Logfile_S[[#This Row],[Material Name]],Sum_WH!E:E,Sum_WH!F:F,"",0)</f>
        <v>Pcs</v>
      </c>
      <c r="N1203" s="221">
        <v>20</v>
      </c>
      <c r="O1203" s="221" t="s">
        <v>742</v>
      </c>
      <c r="P1203" s="221" t="s">
        <v>743</v>
      </c>
      <c r="Q1203" s="221"/>
      <c r="R1203" s="221"/>
      <c r="S1203" s="221"/>
      <c r="T1203" s="221" t="s">
        <v>3258</v>
      </c>
      <c r="U1203" s="221" t="s">
        <v>3228</v>
      </c>
      <c r="V1203" s="221" t="s">
        <v>3337</v>
      </c>
      <c r="W1203" s="221" t="s">
        <v>3338</v>
      </c>
      <c r="X1203" s="221"/>
      <c r="Y1203" s="227"/>
      <c r="Z1203" s="227" t="str">
        <f>P1203</f>
        <v>Baturetno RW 03 Singosari</v>
      </c>
      <c r="AA1203" s="276" t="e">
        <f>VLOOKUP(Logfile_S[[#This Row],[DO number]],DO_DB!G:I,3,0)</f>
        <v>#N/A</v>
      </c>
      <c r="AB1203" s="331" t="e">
        <f>EXACT(Logfile_S[[#This Row],[date pick]],Logfile_S[[#This Row],[Date]])</f>
        <v>#N/A</v>
      </c>
      <c r="AC12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04" spans="1:29" ht="14.5">
      <c r="A1204" s="220" t="str">
        <f>TEXT(ROW(A1204)-ROW($A$4),"000")</f>
        <v>1200</v>
      </c>
      <c r="B1204" s="221"/>
      <c r="C1204" s="221" t="s">
        <v>49</v>
      </c>
      <c r="D1204" s="221" t="s">
        <v>3895</v>
      </c>
      <c r="E1204" s="221" t="s">
        <v>3295</v>
      </c>
      <c r="F1204" s="221" t="s">
        <v>3299</v>
      </c>
      <c r="G1204" s="222">
        <v>45314</v>
      </c>
      <c r="H1204" s="223">
        <v>0.84097222222222223</v>
      </c>
      <c r="I1204" s="221" t="s">
        <v>4916</v>
      </c>
      <c r="J1204" s="221" t="s">
        <v>3024</v>
      </c>
      <c r="K1204" s="224" t="s">
        <v>3094</v>
      </c>
      <c r="L1204" s="225" t="str">
        <f>VLOOKUP(Logfile_S[[#This Row],[Material Name]],Sheet2!B:C,2,0)</f>
        <v>GCI1008</v>
      </c>
      <c r="M1204" s="225" t="str">
        <f>_xlfn.XLOOKUP(Logfile_S[[#This Row],[Material Name]],Sum_WH!E:E,Sum_WH!F:F,"",0)</f>
        <v>Pcs</v>
      </c>
      <c r="N1204" s="221">
        <v>20</v>
      </c>
      <c r="O1204" s="221" t="s">
        <v>742</v>
      </c>
      <c r="P1204" s="221" t="s">
        <v>743</v>
      </c>
      <c r="Q1204" s="221"/>
      <c r="R1204" s="221"/>
      <c r="S1204" s="221"/>
      <c r="T1204" s="221" t="s">
        <v>3258</v>
      </c>
      <c r="U1204" s="221" t="s">
        <v>3228</v>
      </c>
      <c r="V1204" s="221" t="s">
        <v>3337</v>
      </c>
      <c r="W1204" s="221" t="s">
        <v>3338</v>
      </c>
      <c r="X1204" s="221"/>
      <c r="Y1204" s="227"/>
      <c r="Z1204" s="227" t="str">
        <f>P1204</f>
        <v>Baturetno RW 03 Singosari</v>
      </c>
      <c r="AA1204" s="276" t="e">
        <f>VLOOKUP(Logfile_S[[#This Row],[DO number]],DO_DB!G:I,3,0)</f>
        <v>#N/A</v>
      </c>
      <c r="AB1204" s="331" t="e">
        <f>EXACT(Logfile_S[[#This Row],[date pick]],Logfile_S[[#This Row],[Date]])</f>
        <v>#N/A</v>
      </c>
      <c r="AC12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05" spans="1:29" ht="14.5">
      <c r="A1205" s="220" t="str">
        <f>TEXT(ROW(A1205)-ROW($A$4),"000")</f>
        <v>1201</v>
      </c>
      <c r="B1205" s="221"/>
      <c r="C1205" s="221" t="s">
        <v>48</v>
      </c>
      <c r="D1205" s="221" t="s">
        <v>3901</v>
      </c>
      <c r="E1205" s="221" t="s">
        <v>3295</v>
      </c>
      <c r="F1205" s="221" t="s">
        <v>3299</v>
      </c>
      <c r="G1205" s="222">
        <v>45316</v>
      </c>
      <c r="H1205" s="223">
        <v>15.291666666666666</v>
      </c>
      <c r="I1205" s="221" t="s">
        <v>38</v>
      </c>
      <c r="J1205" s="221" t="s">
        <v>3024</v>
      </c>
      <c r="K1205" s="224" t="s">
        <v>3087</v>
      </c>
      <c r="L1205" s="225" t="str">
        <f>VLOOKUP(Logfile_S[[#This Row],[Material Name]],Sheet2!B:C,2,0)</f>
        <v>GCI1001</v>
      </c>
      <c r="M1205" s="225" t="str">
        <f>_xlfn.XLOOKUP(Logfile_S[[#This Row],[Material Name]],Sum_WH!E:E,Sum_WH!F:F,"",0)</f>
        <v>Pcs</v>
      </c>
      <c r="N1205" s="221">
        <v>2</v>
      </c>
      <c r="O1205" s="221" t="s">
        <v>742</v>
      </c>
      <c r="P1205" s="221" t="s">
        <v>743</v>
      </c>
      <c r="Q1205" s="221">
        <v>0</v>
      </c>
      <c r="R1205" s="221">
        <v>0</v>
      </c>
      <c r="S1205" s="221"/>
      <c r="T1205" s="221"/>
      <c r="U1205" s="221"/>
      <c r="V1205" s="221"/>
      <c r="W1205" s="221"/>
      <c r="X1205" s="221"/>
      <c r="Y1205" s="227"/>
      <c r="Z1205" s="227" t="str">
        <f>P1205</f>
        <v>Baturetno RW 03 Singosari</v>
      </c>
      <c r="AA1205" s="276" t="e">
        <f>VLOOKUP(Logfile_S[[#This Row],[DO number]],DO_DB!G:I,3,0)</f>
        <v>#N/A</v>
      </c>
      <c r="AB1205" s="331" t="e">
        <f>EXACT(Logfile_S[[#This Row],[date pick]],Logfile_S[[#This Row],[Date]])</f>
        <v>#N/A</v>
      </c>
      <c r="AC12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06" spans="1:29" ht="14.5">
      <c r="A1206" s="220" t="str">
        <f>TEXT(ROW(A1206)-ROW($A$4),"000")</f>
        <v>1202</v>
      </c>
      <c r="B1206" s="221"/>
      <c r="C1206" s="221" t="s">
        <v>48</v>
      </c>
      <c r="D1206" s="221" t="s">
        <v>3901</v>
      </c>
      <c r="E1206" s="221" t="s">
        <v>3295</v>
      </c>
      <c r="F1206" s="221" t="s">
        <v>3299</v>
      </c>
      <c r="G1206" s="222">
        <v>45316</v>
      </c>
      <c r="H1206" s="223">
        <v>15.291666666666666</v>
      </c>
      <c r="I1206" s="221" t="s">
        <v>38</v>
      </c>
      <c r="J1206" s="221" t="s">
        <v>3024</v>
      </c>
      <c r="K1206" s="224" t="s">
        <v>5137</v>
      </c>
      <c r="L1206" s="225" t="str">
        <f>VLOOKUP(Logfile_S[[#This Row],[Material Name]],Sheet2!B:C,2,0)</f>
        <v>GCI1009</v>
      </c>
      <c r="M1206" s="225" t="str">
        <f>_xlfn.XLOOKUP(Logfile_S[[#This Row],[Material Name]],Sum_WH!E:E,Sum_WH!F:F,"",0)</f>
        <v>Pcs</v>
      </c>
      <c r="N1206" s="221">
        <v>20</v>
      </c>
      <c r="O1206" s="221" t="s">
        <v>742</v>
      </c>
      <c r="P1206" s="221" t="s">
        <v>743</v>
      </c>
      <c r="Q1206" s="221">
        <v>0</v>
      </c>
      <c r="R1206" s="221">
        <v>0</v>
      </c>
      <c r="S1206" s="221"/>
      <c r="T1206" s="221"/>
      <c r="U1206" s="221"/>
      <c r="V1206" s="221"/>
      <c r="W1206" s="221"/>
      <c r="X1206" s="221"/>
      <c r="Y1206" s="227"/>
      <c r="Z1206" s="227" t="str">
        <f>P1206</f>
        <v>Baturetno RW 03 Singosari</v>
      </c>
      <c r="AA1206" s="276" t="e">
        <f>VLOOKUP(Logfile_S[[#This Row],[DO number]],DO_DB!G:I,3,0)</f>
        <v>#N/A</v>
      </c>
      <c r="AB1206" s="331" t="e">
        <f>EXACT(Logfile_S[[#This Row],[date pick]],Logfile_S[[#This Row],[Date]])</f>
        <v>#N/A</v>
      </c>
      <c r="AC12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07" spans="1:29" ht="14.5">
      <c r="A1207" s="220" t="str">
        <f>TEXT(ROW(A1207)-ROW($A$4),"000")</f>
        <v>1203</v>
      </c>
      <c r="B1207" s="221"/>
      <c r="C1207" s="221" t="s">
        <v>49</v>
      </c>
      <c r="D1207" s="221" t="s">
        <v>3898</v>
      </c>
      <c r="E1207" s="221" t="s">
        <v>3295</v>
      </c>
      <c r="F1207" s="221" t="s">
        <v>3299</v>
      </c>
      <c r="G1207" s="222">
        <v>45316</v>
      </c>
      <c r="H1207" s="223">
        <v>0.47569444444444442</v>
      </c>
      <c r="I1207" s="221" t="s">
        <v>4916</v>
      </c>
      <c r="J1207" s="221" t="s">
        <v>3023</v>
      </c>
      <c r="K1207" s="224" t="s">
        <v>13</v>
      </c>
      <c r="L1207" s="225" t="str">
        <f>VLOOKUP(Logfile_S[[#This Row],[Material Name]],Sheet2!B:C,2,0)</f>
        <v>ZTE2008</v>
      </c>
      <c r="M1207" s="225" t="str">
        <f>_xlfn.XLOOKUP(Logfile_S[[#This Row],[Material Name]],Sum_WH!E:E,Sum_WH!F:F,"",0)</f>
        <v>Pcs</v>
      </c>
      <c r="N1207" s="221">
        <v>24</v>
      </c>
      <c r="O1207" s="221" t="s">
        <v>742</v>
      </c>
      <c r="P1207" s="221" t="s">
        <v>743</v>
      </c>
      <c r="Q1207" s="221"/>
      <c r="R1207" s="221"/>
      <c r="S1207" s="221"/>
      <c r="T1207" s="221" t="s">
        <v>3231</v>
      </c>
      <c r="U1207" s="221" t="s">
        <v>3228</v>
      </c>
      <c r="V1207" s="221" t="s">
        <v>3232</v>
      </c>
      <c r="W1207" s="221" t="s">
        <v>3246</v>
      </c>
      <c r="X1207" s="221"/>
      <c r="Y1207" s="227"/>
      <c r="Z1207" s="227" t="str">
        <f>P1207</f>
        <v>Baturetno RW 03 Singosari</v>
      </c>
      <c r="AA1207" s="276" t="e">
        <f>VLOOKUP(Logfile_S[[#This Row],[DO number]],DO_DB!G:I,3,0)</f>
        <v>#N/A</v>
      </c>
      <c r="AB1207" s="331" t="e">
        <f>EXACT(Logfile_S[[#This Row],[date pick]],Logfile_S[[#This Row],[Date]])</f>
        <v>#N/A</v>
      </c>
      <c r="AC12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08" spans="1:29" ht="14.5">
      <c r="A1208" s="220" t="str">
        <f>TEXT(ROW(A1208)-ROW($A$4),"000")</f>
        <v>1204</v>
      </c>
      <c r="B1208" s="221"/>
      <c r="C1208" s="221" t="s">
        <v>48</v>
      </c>
      <c r="D1208" s="221" t="s">
        <v>3901</v>
      </c>
      <c r="E1208" s="221" t="s">
        <v>3295</v>
      </c>
      <c r="F1208" s="221" t="s">
        <v>3299</v>
      </c>
      <c r="G1208" s="222">
        <v>45316</v>
      </c>
      <c r="H1208" s="223">
        <v>15.291666666666666</v>
      </c>
      <c r="I1208" s="221" t="s">
        <v>38</v>
      </c>
      <c r="J1208" s="221" t="s">
        <v>3024</v>
      </c>
      <c r="K1208" s="224" t="s">
        <v>3094</v>
      </c>
      <c r="L1208" s="225" t="str">
        <f>VLOOKUP(Logfile_S[[#This Row],[Material Name]],Sheet2!B:C,2,0)</f>
        <v>GCI1008</v>
      </c>
      <c r="M1208" s="225" t="str">
        <f>_xlfn.XLOOKUP(Logfile_S[[#This Row],[Material Name]],Sum_WH!E:E,Sum_WH!F:F,"",0)</f>
        <v>Pcs</v>
      </c>
      <c r="N1208" s="221">
        <v>5</v>
      </c>
      <c r="O1208" s="221" t="s">
        <v>742</v>
      </c>
      <c r="P1208" s="221" t="s">
        <v>743</v>
      </c>
      <c r="Q1208" s="221">
        <v>0</v>
      </c>
      <c r="R1208" s="221">
        <v>0</v>
      </c>
      <c r="S1208" s="221"/>
      <c r="T1208" s="221"/>
      <c r="U1208" s="221"/>
      <c r="V1208" s="221"/>
      <c r="W1208" s="221"/>
      <c r="X1208" s="221"/>
      <c r="Y1208" s="227"/>
      <c r="Z1208" s="227" t="str">
        <f>P1208</f>
        <v>Baturetno RW 03 Singosari</v>
      </c>
      <c r="AA1208" s="276" t="e">
        <f>VLOOKUP(Logfile_S[[#This Row],[DO number]],DO_DB!G:I,3,0)</f>
        <v>#N/A</v>
      </c>
      <c r="AB1208" s="331" t="e">
        <f>EXACT(Logfile_S[[#This Row],[date pick]],Logfile_S[[#This Row],[Date]])</f>
        <v>#N/A</v>
      </c>
      <c r="AC12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09" spans="1:29" ht="14.5">
      <c r="A1209" s="220" t="str">
        <f>TEXT(ROW(A1209)-ROW($A$4),"000")</f>
        <v>1205</v>
      </c>
      <c r="B1209" s="221"/>
      <c r="C1209" s="221" t="s">
        <v>48</v>
      </c>
      <c r="D1209" s="221" t="s">
        <v>3901</v>
      </c>
      <c r="E1209" s="221" t="s">
        <v>3295</v>
      </c>
      <c r="F1209" s="221" t="s">
        <v>3299</v>
      </c>
      <c r="G1209" s="222">
        <v>45316</v>
      </c>
      <c r="H1209" s="223">
        <v>15.291666666666666</v>
      </c>
      <c r="I1209" s="221" t="s">
        <v>38</v>
      </c>
      <c r="J1209" s="221" t="s">
        <v>3024</v>
      </c>
      <c r="K1209" s="224" t="s">
        <v>3090</v>
      </c>
      <c r="L1209" s="225" t="str">
        <f>VLOOKUP(Logfile_S[[#This Row],[Material Name]],Sheet2!B:C,2,0)</f>
        <v>GCI1004</v>
      </c>
      <c r="M1209" s="225" t="str">
        <f>_xlfn.XLOOKUP(Logfile_S[[#This Row],[Material Name]],Sum_WH!E:E,Sum_WH!F:F,"",0)</f>
        <v>Pcs</v>
      </c>
      <c r="N1209" s="221">
        <v>30</v>
      </c>
      <c r="O1209" s="221" t="s">
        <v>742</v>
      </c>
      <c r="P1209" s="221" t="s">
        <v>743</v>
      </c>
      <c r="Q1209" s="221">
        <v>0</v>
      </c>
      <c r="R1209" s="221">
        <v>0</v>
      </c>
      <c r="S1209" s="221"/>
      <c r="T1209" s="221"/>
      <c r="U1209" s="221"/>
      <c r="V1209" s="221"/>
      <c r="W1209" s="221"/>
      <c r="X1209" s="221"/>
      <c r="Y1209" s="227"/>
      <c r="Z1209" s="227" t="str">
        <f>P1209</f>
        <v>Baturetno RW 03 Singosari</v>
      </c>
      <c r="AA1209" s="276" t="e">
        <f>VLOOKUP(Logfile_S[[#This Row],[DO number]],DO_DB!G:I,3,0)</f>
        <v>#N/A</v>
      </c>
      <c r="AB1209" s="331" t="e">
        <f>EXACT(Logfile_S[[#This Row],[date pick]],Logfile_S[[#This Row],[Date]])</f>
        <v>#N/A</v>
      </c>
      <c r="AC12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10" spans="1:29" ht="14.5">
      <c r="A1210" s="220" t="str">
        <f>TEXT(ROW(A1210)-ROW($A$4),"000")</f>
        <v>1206</v>
      </c>
      <c r="B1210" s="221"/>
      <c r="C1210" s="221" t="s">
        <v>49</v>
      </c>
      <c r="D1210" s="221" t="s">
        <v>3908</v>
      </c>
      <c r="E1210" s="221" t="s">
        <v>3295</v>
      </c>
      <c r="F1210" s="221" t="s">
        <v>3299</v>
      </c>
      <c r="G1210" s="222">
        <v>45319</v>
      </c>
      <c r="H1210" s="223">
        <v>0.62361111111111112</v>
      </c>
      <c r="I1210" s="221" t="s">
        <v>4916</v>
      </c>
      <c r="J1210" s="221" t="s">
        <v>3024</v>
      </c>
      <c r="K1210" s="224" t="s">
        <v>3097</v>
      </c>
      <c r="L1210" s="225" t="str">
        <f>VLOOKUP(Logfile_S[[#This Row],[Material Name]],Sheet2!B:C,2,0)</f>
        <v>GCI1011</v>
      </c>
      <c r="M1210" s="225" t="str">
        <f>_xlfn.XLOOKUP(Logfile_S[[#This Row],[Material Name]],Sum_WH!E:E,Sum_WH!F:F,"",0)</f>
        <v>Pcs</v>
      </c>
      <c r="N1210" s="221">
        <v>1</v>
      </c>
      <c r="O1210" s="221" t="s">
        <v>742</v>
      </c>
      <c r="P1210" s="221" t="s">
        <v>743</v>
      </c>
      <c r="Q1210" s="221"/>
      <c r="R1210" s="221"/>
      <c r="S1210" s="221"/>
      <c r="T1210" s="221" t="s">
        <v>3258</v>
      </c>
      <c r="U1210" s="221" t="s">
        <v>3228</v>
      </c>
      <c r="V1210" s="221" t="s">
        <v>3337</v>
      </c>
      <c r="W1210" s="221" t="s">
        <v>3338</v>
      </c>
      <c r="X1210" s="221"/>
      <c r="Y1210" s="227"/>
      <c r="Z1210" s="227" t="str">
        <f>P1210</f>
        <v>Baturetno RW 03 Singosari</v>
      </c>
      <c r="AA1210" s="276" t="e">
        <f>VLOOKUP(Logfile_S[[#This Row],[DO number]],DO_DB!G:I,3,0)</f>
        <v>#N/A</v>
      </c>
      <c r="AB1210" s="331" t="e">
        <f>EXACT(Logfile_S[[#This Row],[date pick]],Logfile_S[[#This Row],[Date]])</f>
        <v>#N/A</v>
      </c>
      <c r="AC12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11" spans="1:29" ht="14.5">
      <c r="A1211" s="220" t="str">
        <f>TEXT(ROW(A1211)-ROW($A$4),"000")</f>
        <v>1207</v>
      </c>
      <c r="B1211" s="221"/>
      <c r="C1211" s="221" t="s">
        <v>49</v>
      </c>
      <c r="D1211" s="221" t="s">
        <v>3908</v>
      </c>
      <c r="E1211" s="221" t="s">
        <v>3295</v>
      </c>
      <c r="F1211" s="221" t="s">
        <v>3299</v>
      </c>
      <c r="G1211" s="222">
        <v>45319</v>
      </c>
      <c r="H1211" s="223">
        <v>0.62361111111111112</v>
      </c>
      <c r="I1211" s="221" t="s">
        <v>4916</v>
      </c>
      <c r="J1211" s="221" t="s">
        <v>3024</v>
      </c>
      <c r="K1211" s="224" t="s">
        <v>3091</v>
      </c>
      <c r="L1211" s="225" t="str">
        <f>VLOOKUP(Logfile_S[[#This Row],[Material Name]],Sheet2!B:C,2,0)</f>
        <v>GCI1005</v>
      </c>
      <c r="M1211" s="225" t="str">
        <f>_xlfn.XLOOKUP(Logfile_S[[#This Row],[Material Name]],Sum_WH!E:E,Sum_WH!F:F,"",0)</f>
        <v>Pcs</v>
      </c>
      <c r="N1211" s="221">
        <v>110</v>
      </c>
      <c r="O1211" s="221" t="s">
        <v>742</v>
      </c>
      <c r="P1211" s="221" t="s">
        <v>743</v>
      </c>
      <c r="Q1211" s="221"/>
      <c r="R1211" s="221"/>
      <c r="S1211" s="221"/>
      <c r="T1211" s="221" t="s">
        <v>3258</v>
      </c>
      <c r="U1211" s="221" t="s">
        <v>3228</v>
      </c>
      <c r="V1211" s="221" t="s">
        <v>3337</v>
      </c>
      <c r="W1211" s="221" t="s">
        <v>3338</v>
      </c>
      <c r="X1211" s="221"/>
      <c r="Y1211" s="227"/>
      <c r="Z1211" s="227" t="str">
        <f>P1211</f>
        <v>Baturetno RW 03 Singosari</v>
      </c>
      <c r="AA1211" s="276" t="e">
        <f>VLOOKUP(Logfile_S[[#This Row],[DO number]],DO_DB!G:I,3,0)</f>
        <v>#N/A</v>
      </c>
      <c r="AB1211" s="331" t="e">
        <f>EXACT(Logfile_S[[#This Row],[date pick]],Logfile_S[[#This Row],[Date]])</f>
        <v>#N/A</v>
      </c>
      <c r="AC12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12" spans="1:29" ht="14.5">
      <c r="A1212" s="220" t="str">
        <f>TEXT(ROW(A1212)-ROW($A$4),"000")</f>
        <v>1208</v>
      </c>
      <c r="B1212" s="221"/>
      <c r="C1212" s="221" t="s">
        <v>49</v>
      </c>
      <c r="D1212" s="221" t="s">
        <v>3908</v>
      </c>
      <c r="E1212" s="221" t="s">
        <v>3295</v>
      </c>
      <c r="F1212" s="221" t="s">
        <v>3299</v>
      </c>
      <c r="G1212" s="222">
        <v>45319</v>
      </c>
      <c r="H1212" s="223">
        <v>0.62361111111111112</v>
      </c>
      <c r="I1212" s="221" t="s">
        <v>4916</v>
      </c>
      <c r="J1212" s="221" t="s">
        <v>3024</v>
      </c>
      <c r="K1212" s="224" t="s">
        <v>3094</v>
      </c>
      <c r="L1212" s="225" t="str">
        <f>VLOOKUP(Logfile_S[[#This Row],[Material Name]],Sheet2!B:C,2,0)</f>
        <v>GCI1008</v>
      </c>
      <c r="M1212" s="225" t="str">
        <f>_xlfn.XLOOKUP(Logfile_S[[#This Row],[Material Name]],Sum_WH!E:E,Sum_WH!F:F,"",0)</f>
        <v>Pcs</v>
      </c>
      <c r="N1212" s="221">
        <v>36</v>
      </c>
      <c r="O1212" s="221" t="s">
        <v>742</v>
      </c>
      <c r="P1212" s="221" t="s">
        <v>743</v>
      </c>
      <c r="Q1212" s="221"/>
      <c r="R1212" s="221"/>
      <c r="S1212" s="221"/>
      <c r="T1212" s="221" t="s">
        <v>3258</v>
      </c>
      <c r="U1212" s="221" t="s">
        <v>3228</v>
      </c>
      <c r="V1212" s="221" t="s">
        <v>3337</v>
      </c>
      <c r="W1212" s="221" t="s">
        <v>3338</v>
      </c>
      <c r="X1212" s="221"/>
      <c r="Y1212" s="227"/>
      <c r="Z1212" s="227" t="str">
        <f>P1212</f>
        <v>Baturetno RW 03 Singosari</v>
      </c>
      <c r="AA1212" s="276" t="e">
        <f>VLOOKUP(Logfile_S[[#This Row],[DO number]],DO_DB!G:I,3,0)</f>
        <v>#N/A</v>
      </c>
      <c r="AB1212" s="331" t="e">
        <f>EXACT(Logfile_S[[#This Row],[date pick]],Logfile_S[[#This Row],[Date]])</f>
        <v>#N/A</v>
      </c>
      <c r="AC12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13" spans="1:29" ht="14.5">
      <c r="A1213" s="220" t="str">
        <f>TEXT(ROW(A1213)-ROW($A$4),"000")</f>
        <v>1209</v>
      </c>
      <c r="B1213" s="221"/>
      <c r="C1213" s="221" t="s">
        <v>49</v>
      </c>
      <c r="D1213" s="221" t="s">
        <v>3909</v>
      </c>
      <c r="E1213" s="221" t="s">
        <v>3295</v>
      </c>
      <c r="F1213" s="221" t="s">
        <v>3299</v>
      </c>
      <c r="G1213" s="222">
        <v>45322</v>
      </c>
      <c r="H1213" s="223">
        <v>0.72013888888888899</v>
      </c>
      <c r="I1213" s="221" t="s">
        <v>4916</v>
      </c>
      <c r="J1213" s="221" t="s">
        <v>3023</v>
      </c>
      <c r="K1213" s="224" t="s">
        <v>3070</v>
      </c>
      <c r="L1213" s="225" t="str">
        <f>VLOOKUP(Logfile_S[[#This Row],[Material Name]],Sheet2!B:C,2,0)</f>
        <v>ZTE1002</v>
      </c>
      <c r="M1213" s="225" t="str">
        <f>_xlfn.XLOOKUP(Logfile_S[[#This Row],[Material Name]],Sum_WH!E:E,Sum_WH!F:F,"",0)</f>
        <v>Pcs</v>
      </c>
      <c r="N1213" s="221">
        <v>1</v>
      </c>
      <c r="O1213" s="221" t="s">
        <v>742</v>
      </c>
      <c r="P1213" s="221" t="s">
        <v>743</v>
      </c>
      <c r="Q1213" s="221"/>
      <c r="R1213" s="221"/>
      <c r="S1213" s="221"/>
      <c r="T1213" s="221" t="s">
        <v>3258</v>
      </c>
      <c r="U1213" s="221" t="s">
        <v>3228</v>
      </c>
      <c r="V1213" s="221" t="s">
        <v>3337</v>
      </c>
      <c r="W1213" s="221" t="s">
        <v>3338</v>
      </c>
      <c r="X1213" s="221"/>
      <c r="Y1213" s="227"/>
      <c r="Z1213" s="227" t="str">
        <f>P1213</f>
        <v>Baturetno RW 03 Singosari</v>
      </c>
      <c r="AA1213" s="276" t="e">
        <f>VLOOKUP(Logfile_S[[#This Row],[DO number]],DO_DB!G:I,3,0)</f>
        <v>#N/A</v>
      </c>
      <c r="AB1213" s="331" t="e">
        <f>EXACT(Logfile_S[[#This Row],[date pick]],Logfile_S[[#This Row],[Date]])</f>
        <v>#N/A</v>
      </c>
      <c r="AC12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14" spans="1:29" ht="14.5">
      <c r="A1214" s="220" t="str">
        <f>TEXT(ROW(A1214)-ROW($A$4),"000")</f>
        <v>1210</v>
      </c>
      <c r="B1214" s="221"/>
      <c r="C1214" s="221" t="s">
        <v>49</v>
      </c>
      <c r="D1214" s="221" t="s">
        <v>3909</v>
      </c>
      <c r="E1214" s="221" t="s">
        <v>3295</v>
      </c>
      <c r="F1214" s="221" t="s">
        <v>3299</v>
      </c>
      <c r="G1214" s="222">
        <v>45322</v>
      </c>
      <c r="H1214" s="223">
        <v>0.72013888888888899</v>
      </c>
      <c r="I1214" s="221" t="s">
        <v>4916</v>
      </c>
      <c r="J1214" s="221" t="s">
        <v>3023</v>
      </c>
      <c r="K1214" s="224" t="s">
        <v>3069</v>
      </c>
      <c r="L1214" s="225" t="str">
        <f>VLOOKUP(Logfile_S[[#This Row],[Material Name]],Sheet2!B:C,2,0)</f>
        <v>ZTE1001</v>
      </c>
      <c r="M1214" s="225" t="str">
        <f>_xlfn.XLOOKUP(Logfile_S[[#This Row],[Material Name]],Sum_WH!E:E,Sum_WH!F:F,"",0)</f>
        <v>Pcs</v>
      </c>
      <c r="N1214" s="221">
        <v>1</v>
      </c>
      <c r="O1214" s="221" t="s">
        <v>742</v>
      </c>
      <c r="P1214" s="221" t="s">
        <v>743</v>
      </c>
      <c r="Q1214" s="221"/>
      <c r="R1214" s="221"/>
      <c r="S1214" s="221"/>
      <c r="T1214" s="221" t="s">
        <v>3258</v>
      </c>
      <c r="U1214" s="221" t="s">
        <v>3228</v>
      </c>
      <c r="V1214" s="221" t="s">
        <v>3337</v>
      </c>
      <c r="W1214" s="221" t="s">
        <v>3338</v>
      </c>
      <c r="X1214" s="221"/>
      <c r="Y1214" s="227"/>
      <c r="Z1214" s="227" t="str">
        <f>P1214</f>
        <v>Baturetno RW 03 Singosari</v>
      </c>
      <c r="AA1214" s="276" t="e">
        <f>VLOOKUP(Logfile_S[[#This Row],[DO number]],DO_DB!G:I,3,0)</f>
        <v>#N/A</v>
      </c>
      <c r="AB1214" s="331" t="e">
        <f>EXACT(Logfile_S[[#This Row],[date pick]],Logfile_S[[#This Row],[Date]])</f>
        <v>#N/A</v>
      </c>
      <c r="AC12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15" spans="1:29" ht="14.5">
      <c r="A1215" s="220" t="str">
        <f>TEXT(ROW(A1215)-ROW($A$4),"000")</f>
        <v>1211</v>
      </c>
      <c r="B1215" s="221"/>
      <c r="C1215" s="221" t="s">
        <v>49</v>
      </c>
      <c r="D1215" s="221" t="s">
        <v>3911</v>
      </c>
      <c r="E1215" s="221" t="s">
        <v>3295</v>
      </c>
      <c r="F1215" s="221" t="s">
        <v>3299</v>
      </c>
      <c r="G1215" s="222">
        <v>45324</v>
      </c>
      <c r="H1215" s="223">
        <v>0.63194444444444442</v>
      </c>
      <c r="I1215" s="221" t="s">
        <v>4916</v>
      </c>
      <c r="J1215" s="221" t="s">
        <v>3024</v>
      </c>
      <c r="K1215" s="224" t="s">
        <v>3087</v>
      </c>
      <c r="L1215" s="225" t="str">
        <f>VLOOKUP(Logfile_S[[#This Row],[Material Name]],Sheet2!B:C,2,0)</f>
        <v>GCI1001</v>
      </c>
      <c r="M1215" s="225" t="str">
        <f>_xlfn.XLOOKUP(Logfile_S[[#This Row],[Material Name]],Sum_WH!E:E,Sum_WH!F:F,"",0)</f>
        <v>Pcs</v>
      </c>
      <c r="N1215" s="221">
        <v>1</v>
      </c>
      <c r="O1215" s="221" t="s">
        <v>742</v>
      </c>
      <c r="P1215" s="221" t="s">
        <v>743</v>
      </c>
      <c r="Q1215" s="221"/>
      <c r="R1215" s="221"/>
      <c r="S1215" s="221"/>
      <c r="T1215" s="221" t="s">
        <v>3258</v>
      </c>
      <c r="U1215" s="221" t="s">
        <v>3228</v>
      </c>
      <c r="V1215" s="221" t="s">
        <v>3337</v>
      </c>
      <c r="W1215" s="221" t="s">
        <v>3338</v>
      </c>
      <c r="X1215" s="221"/>
      <c r="Y1215" s="227"/>
      <c r="Z1215" s="227" t="str">
        <f>P1215</f>
        <v>Baturetno RW 03 Singosari</v>
      </c>
      <c r="AA1215" s="276" t="e">
        <f>VLOOKUP(Logfile_S[[#This Row],[DO number]],DO_DB!G:I,3,0)</f>
        <v>#N/A</v>
      </c>
      <c r="AB1215" s="331" t="e">
        <f>EXACT(Logfile_S[[#This Row],[date pick]],Logfile_S[[#This Row],[Date]])</f>
        <v>#N/A</v>
      </c>
      <c r="AC12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16" spans="1:29" ht="14.5">
      <c r="A1216" s="220" t="str">
        <f>TEXT(ROW(A1216)-ROW($A$4),"000")</f>
        <v>1212</v>
      </c>
      <c r="B1216" s="221"/>
      <c r="C1216" s="221" t="s">
        <v>48</v>
      </c>
      <c r="D1216" s="221" t="s">
        <v>3924</v>
      </c>
      <c r="E1216" s="221" t="s">
        <v>3295</v>
      </c>
      <c r="F1216" s="221" t="s">
        <v>3299</v>
      </c>
      <c r="G1216" s="222">
        <v>45337</v>
      </c>
      <c r="H1216" s="223">
        <v>15.291666666666666</v>
      </c>
      <c r="I1216" s="221" t="s">
        <v>3017</v>
      </c>
      <c r="J1216" s="221" t="s">
        <v>3024</v>
      </c>
      <c r="K1216" s="224" t="s">
        <v>3089</v>
      </c>
      <c r="L1216" s="225" t="str">
        <f>VLOOKUP(Logfile_S[[#This Row],[Material Name]],Sheet2!B:C,2,0)</f>
        <v>GCI1003</v>
      </c>
      <c r="M1216" s="225" t="str">
        <f>_xlfn.XLOOKUP(Logfile_S[[#This Row],[Material Name]],Sum_WH!E:E,Sum_WH!F:F,"",0)</f>
        <v>Pcs</v>
      </c>
      <c r="N1216" s="221">
        <v>67</v>
      </c>
      <c r="O1216" s="221" t="s">
        <v>742</v>
      </c>
      <c r="P1216" s="221" t="s">
        <v>743</v>
      </c>
      <c r="Q1216" s="221" t="s">
        <v>3359</v>
      </c>
      <c r="R1216" s="221">
        <v>0</v>
      </c>
      <c r="S1216" s="221"/>
      <c r="T1216" s="221"/>
      <c r="U1216" s="221"/>
      <c r="V1216" s="221"/>
      <c r="W1216" s="221"/>
      <c r="X1216" s="221"/>
      <c r="Y1216" s="227"/>
      <c r="Z1216" s="227" t="str">
        <f>P1216</f>
        <v>Baturetno RW 03 Singosari</v>
      </c>
      <c r="AA1216" s="276" t="e">
        <f>VLOOKUP(Logfile_S[[#This Row],[DO number]],DO_DB!G:I,3,0)</f>
        <v>#N/A</v>
      </c>
      <c r="AB1216" s="331" t="e">
        <f>EXACT(Logfile_S[[#This Row],[date pick]],Logfile_S[[#This Row],[Date]])</f>
        <v>#N/A</v>
      </c>
      <c r="AC12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17" spans="1:29" ht="14.5">
      <c r="A1217" s="220" t="str">
        <f>TEXT(ROW(A1217)-ROW($A$4),"000")</f>
        <v>1213</v>
      </c>
      <c r="B1217" s="221"/>
      <c r="C1217" s="221" t="s">
        <v>49</v>
      </c>
      <c r="D1217" s="221" t="s">
        <v>3982</v>
      </c>
      <c r="E1217" s="221" t="s">
        <v>3295</v>
      </c>
      <c r="F1217" s="221" t="s">
        <v>3299</v>
      </c>
      <c r="G1217" s="222">
        <v>45371</v>
      </c>
      <c r="H1217" s="223">
        <v>0.4284722222222222</v>
      </c>
      <c r="I1217" s="221" t="s">
        <v>4916</v>
      </c>
      <c r="J1217" s="221" t="s">
        <v>3023</v>
      </c>
      <c r="K1217" s="224" t="s">
        <v>3070</v>
      </c>
      <c r="L1217" s="225" t="str">
        <f>VLOOKUP(Logfile_S[[#This Row],[Material Name]],Sheet2!B:C,2,0)</f>
        <v>ZTE1002</v>
      </c>
      <c r="M1217" s="225" t="str">
        <f>_xlfn.XLOOKUP(Logfile_S[[#This Row],[Material Name]],Sum_WH!E:E,Sum_WH!F:F,"",0)</f>
        <v>Pcs</v>
      </c>
      <c r="N1217" s="221">
        <v>4</v>
      </c>
      <c r="O1217" s="221" t="s">
        <v>1161</v>
      </c>
      <c r="P1217" s="221" t="s">
        <v>1162</v>
      </c>
      <c r="Q1217" s="221"/>
      <c r="R1217" s="221"/>
      <c r="S1217" s="221"/>
      <c r="T1217" s="221" t="s">
        <v>3363</v>
      </c>
      <c r="U1217" s="221" t="s">
        <v>3228</v>
      </c>
      <c r="V1217" s="221" t="s">
        <v>3364</v>
      </c>
      <c r="W1217" s="221" t="s">
        <v>3365</v>
      </c>
      <c r="X1217" s="221"/>
      <c r="Y1217" s="227"/>
      <c r="Z1217" s="227" t="str">
        <f>P1217</f>
        <v>Tunjungtirto RW 01 Singosari</v>
      </c>
      <c r="AA1217" s="276" t="e">
        <f>VLOOKUP(Logfile_S[[#This Row],[DO number]],DO_DB!G:I,3,0)</f>
        <v>#N/A</v>
      </c>
      <c r="AB1217" s="331" t="e">
        <f>EXACT(Logfile_S[[#This Row],[date pick]],Logfile_S[[#This Row],[Date]])</f>
        <v>#N/A</v>
      </c>
      <c r="AC12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18" spans="1:29" ht="14.5">
      <c r="A1218" s="220" t="str">
        <f>TEXT(ROW(A1218)-ROW($A$4),"000")</f>
        <v>1214</v>
      </c>
      <c r="B1218" s="221"/>
      <c r="C1218" s="221" t="s">
        <v>49</v>
      </c>
      <c r="D1218" s="221" t="s">
        <v>3982</v>
      </c>
      <c r="E1218" s="221" t="s">
        <v>3295</v>
      </c>
      <c r="F1218" s="221" t="s">
        <v>3299</v>
      </c>
      <c r="G1218" s="222">
        <v>45371</v>
      </c>
      <c r="H1218" s="223">
        <v>0.4284722222222222</v>
      </c>
      <c r="I1218" s="221" t="s">
        <v>4916</v>
      </c>
      <c r="J1218" s="221" t="s">
        <v>3023</v>
      </c>
      <c r="K1218" s="224" t="s">
        <v>3069</v>
      </c>
      <c r="L1218" s="225" t="str">
        <f>VLOOKUP(Logfile_S[[#This Row],[Material Name]],Sheet2!B:C,2,0)</f>
        <v>ZTE1001</v>
      </c>
      <c r="M1218" s="225" t="str">
        <f>_xlfn.XLOOKUP(Logfile_S[[#This Row],[Material Name]],Sum_WH!E:E,Sum_WH!F:F,"",0)</f>
        <v>Pcs</v>
      </c>
      <c r="N1218" s="221">
        <v>20</v>
      </c>
      <c r="O1218" s="221" t="s">
        <v>1161</v>
      </c>
      <c r="P1218" s="221" t="s">
        <v>1162</v>
      </c>
      <c r="Q1218" s="221"/>
      <c r="R1218" s="221"/>
      <c r="S1218" s="221"/>
      <c r="T1218" s="221" t="s">
        <v>3363</v>
      </c>
      <c r="U1218" s="221" t="s">
        <v>3228</v>
      </c>
      <c r="V1218" s="221" t="s">
        <v>3364</v>
      </c>
      <c r="W1218" s="221" t="s">
        <v>3365</v>
      </c>
      <c r="X1218" s="221"/>
      <c r="Y1218" s="227"/>
      <c r="Z1218" s="227" t="str">
        <f>P1218</f>
        <v>Tunjungtirto RW 01 Singosari</v>
      </c>
      <c r="AA1218" s="276" t="e">
        <f>VLOOKUP(Logfile_S[[#This Row],[DO number]],DO_DB!G:I,3,0)</f>
        <v>#N/A</v>
      </c>
      <c r="AB1218" s="331" t="e">
        <f>EXACT(Logfile_S[[#This Row],[date pick]],Logfile_S[[#This Row],[Date]])</f>
        <v>#N/A</v>
      </c>
      <c r="AC12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19" spans="1:29" ht="14.5">
      <c r="A1219" s="220" t="str">
        <f>TEXT(ROW(A1219)-ROW($A$4),"000")</f>
        <v>1215</v>
      </c>
      <c r="B1219" s="221"/>
      <c r="C1219" s="221" t="s">
        <v>49</v>
      </c>
      <c r="D1219" s="221" t="s">
        <v>3987</v>
      </c>
      <c r="E1219" s="221" t="s">
        <v>3295</v>
      </c>
      <c r="F1219" s="221" t="s">
        <v>3299</v>
      </c>
      <c r="G1219" s="222">
        <v>45374</v>
      </c>
      <c r="H1219" s="223">
        <v>0.4284722222222222</v>
      </c>
      <c r="I1219" s="221" t="s">
        <v>4916</v>
      </c>
      <c r="J1219" s="221" t="s">
        <v>3023</v>
      </c>
      <c r="K1219" s="224" t="s">
        <v>3070</v>
      </c>
      <c r="L1219" s="225" t="str">
        <f>VLOOKUP(Logfile_S[[#This Row],[Material Name]],Sheet2!B:C,2,0)</f>
        <v>ZTE1002</v>
      </c>
      <c r="M1219" s="225" t="str">
        <f>_xlfn.XLOOKUP(Logfile_S[[#This Row],[Material Name]],Sum_WH!E:E,Sum_WH!F:F,"",0)</f>
        <v>Pcs</v>
      </c>
      <c r="N1219" s="221">
        <v>3</v>
      </c>
      <c r="O1219" s="221" t="s">
        <v>1161</v>
      </c>
      <c r="P1219" s="221" t="s">
        <v>1162</v>
      </c>
      <c r="Q1219" s="221"/>
      <c r="R1219" s="221"/>
      <c r="S1219" s="221"/>
      <c r="T1219" s="221" t="s">
        <v>3363</v>
      </c>
      <c r="U1219" s="221" t="s">
        <v>3228</v>
      </c>
      <c r="V1219" s="221" t="s">
        <v>3364</v>
      </c>
      <c r="W1219" s="221" t="s">
        <v>3365</v>
      </c>
      <c r="X1219" s="221"/>
      <c r="Y1219" s="227"/>
      <c r="Z1219" s="227" t="str">
        <f>P1219</f>
        <v>Tunjungtirto RW 01 Singosari</v>
      </c>
      <c r="AA1219" s="276" t="e">
        <f>VLOOKUP(Logfile_S[[#This Row],[DO number]],DO_DB!G:I,3,0)</f>
        <v>#N/A</v>
      </c>
      <c r="AB1219" s="331" t="e">
        <f>EXACT(Logfile_S[[#This Row],[date pick]],Logfile_S[[#This Row],[Date]])</f>
        <v>#N/A</v>
      </c>
      <c r="AC12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20" spans="1:29" ht="14.5">
      <c r="A1220" s="220" t="str">
        <f>TEXT(ROW(A1220)-ROW($A$4),"000")</f>
        <v>1216</v>
      </c>
      <c r="B1220" s="221"/>
      <c r="C1220" s="221" t="s">
        <v>49</v>
      </c>
      <c r="D1220" s="221" t="s">
        <v>3987</v>
      </c>
      <c r="E1220" s="221" t="s">
        <v>3295</v>
      </c>
      <c r="F1220" s="221" t="s">
        <v>3299</v>
      </c>
      <c r="G1220" s="222">
        <v>45374</v>
      </c>
      <c r="H1220" s="223">
        <v>0.4284722222222222</v>
      </c>
      <c r="I1220" s="221" t="s">
        <v>4916</v>
      </c>
      <c r="J1220" s="221" t="s">
        <v>3023</v>
      </c>
      <c r="K1220" s="224" t="s">
        <v>3069</v>
      </c>
      <c r="L1220" s="225" t="str">
        <f>VLOOKUP(Logfile_S[[#This Row],[Material Name]],Sheet2!B:C,2,0)</f>
        <v>ZTE1001</v>
      </c>
      <c r="M1220" s="225" t="str">
        <f>_xlfn.XLOOKUP(Logfile_S[[#This Row],[Material Name]],Sum_WH!E:E,Sum_WH!F:F,"",0)</f>
        <v>Pcs</v>
      </c>
      <c r="N1220" s="221">
        <v>21</v>
      </c>
      <c r="O1220" s="221" t="s">
        <v>1161</v>
      </c>
      <c r="P1220" s="221" t="s">
        <v>1162</v>
      </c>
      <c r="Q1220" s="221"/>
      <c r="R1220" s="221"/>
      <c r="S1220" s="221"/>
      <c r="T1220" s="221" t="s">
        <v>3363</v>
      </c>
      <c r="U1220" s="221" t="s">
        <v>3228</v>
      </c>
      <c r="V1220" s="221" t="s">
        <v>3364</v>
      </c>
      <c r="W1220" s="221" t="s">
        <v>3365</v>
      </c>
      <c r="X1220" s="221"/>
      <c r="Y1220" s="227"/>
      <c r="Z1220" s="227" t="str">
        <f>P1220</f>
        <v>Tunjungtirto RW 01 Singosari</v>
      </c>
      <c r="AA1220" s="276" t="e">
        <f>VLOOKUP(Logfile_S[[#This Row],[DO number]],DO_DB!G:I,3,0)</f>
        <v>#N/A</v>
      </c>
      <c r="AB1220" s="331" t="e">
        <f>EXACT(Logfile_S[[#This Row],[date pick]],Logfile_S[[#This Row],[Date]])</f>
        <v>#N/A</v>
      </c>
      <c r="AC12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21" spans="1:29" ht="14.5">
      <c r="A1221" s="220" t="str">
        <f>TEXT(ROW(A1221)-ROW($A$4),"000")</f>
        <v>1217</v>
      </c>
      <c r="B1221" s="221"/>
      <c r="C1221" s="221" t="s">
        <v>49</v>
      </c>
      <c r="D1221" s="221" t="s">
        <v>3989</v>
      </c>
      <c r="E1221" s="221" t="s">
        <v>3295</v>
      </c>
      <c r="F1221" s="221" t="s">
        <v>3299</v>
      </c>
      <c r="G1221" s="222">
        <v>45376</v>
      </c>
      <c r="H1221" s="223">
        <v>0.43611111111111112</v>
      </c>
      <c r="I1221" s="221" t="s">
        <v>4916</v>
      </c>
      <c r="J1221" s="221" t="s">
        <v>3023</v>
      </c>
      <c r="K1221" s="224" t="s">
        <v>3080</v>
      </c>
      <c r="L1221" s="225" t="str">
        <f>VLOOKUP(Logfile_S[[#This Row],[Material Name]],Sheet2!B:C,2,0)</f>
        <v>ZTE2010</v>
      </c>
      <c r="M1221" s="225" t="str">
        <f>_xlfn.XLOOKUP(Logfile_S[[#This Row],[Material Name]],Sum_WH!E:E,Sum_WH!F:F,"",0)</f>
        <v>Pcs</v>
      </c>
      <c r="N1221" s="221">
        <v>3</v>
      </c>
      <c r="O1221" s="221" t="s">
        <v>1161</v>
      </c>
      <c r="P1221" s="221" t="s">
        <v>1162</v>
      </c>
      <c r="Q1221" s="221"/>
      <c r="R1221" s="221"/>
      <c r="S1221" s="221"/>
      <c r="T1221" s="221" t="s">
        <v>3231</v>
      </c>
      <c r="U1221" s="221">
        <v>0</v>
      </c>
      <c r="V1221" s="221" t="s">
        <v>3232</v>
      </c>
      <c r="W1221" s="221" t="s">
        <v>3246</v>
      </c>
      <c r="X1221" s="221"/>
      <c r="Y1221" s="227"/>
      <c r="Z1221" s="227" t="str">
        <f>P1221</f>
        <v>Tunjungtirto RW 01 Singosari</v>
      </c>
      <c r="AA1221" s="276" t="e">
        <f>VLOOKUP(Logfile_S[[#This Row],[DO number]],DO_DB!G:I,3,0)</f>
        <v>#N/A</v>
      </c>
      <c r="AB1221" s="331" t="e">
        <f>EXACT(Logfile_S[[#This Row],[date pick]],Logfile_S[[#This Row],[Date]])</f>
        <v>#N/A</v>
      </c>
      <c r="AC12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22" spans="1:29" ht="14.5">
      <c r="A1222" s="220" t="str">
        <f>TEXT(ROW(A1222)-ROW($A$4),"000")</f>
        <v>1218</v>
      </c>
      <c r="B1222" s="221"/>
      <c r="C1222" s="221" t="s">
        <v>49</v>
      </c>
      <c r="D1222" s="221" t="s">
        <v>3989</v>
      </c>
      <c r="E1222" s="221" t="s">
        <v>3295</v>
      </c>
      <c r="F1222" s="221" t="s">
        <v>3299</v>
      </c>
      <c r="G1222" s="222">
        <v>45376</v>
      </c>
      <c r="H1222" s="223">
        <v>0.43611111111111112</v>
      </c>
      <c r="I1222" s="221" t="s">
        <v>4916</v>
      </c>
      <c r="J1222" s="221" t="s">
        <v>3023</v>
      </c>
      <c r="K1222" s="224" t="s">
        <v>13</v>
      </c>
      <c r="L1222" s="225" t="str">
        <f>VLOOKUP(Logfile_S[[#This Row],[Material Name]],Sheet2!B:C,2,0)</f>
        <v>ZTE2008</v>
      </c>
      <c r="M1222" s="225" t="str">
        <f>_xlfn.XLOOKUP(Logfile_S[[#This Row],[Material Name]],Sum_WH!E:E,Sum_WH!F:F,"",0)</f>
        <v>Pcs</v>
      </c>
      <c r="N1222" s="221">
        <v>17</v>
      </c>
      <c r="O1222" s="221" t="s">
        <v>1161</v>
      </c>
      <c r="P1222" s="221" t="s">
        <v>1162</v>
      </c>
      <c r="Q1222" s="221"/>
      <c r="R1222" s="221"/>
      <c r="S1222" s="221"/>
      <c r="T1222" s="221" t="s">
        <v>3231</v>
      </c>
      <c r="U1222" s="221">
        <v>0</v>
      </c>
      <c r="V1222" s="221" t="s">
        <v>3232</v>
      </c>
      <c r="W1222" s="221" t="s">
        <v>3246</v>
      </c>
      <c r="X1222" s="221"/>
      <c r="Y1222" s="227"/>
      <c r="Z1222" s="227" t="str">
        <f>P1222</f>
        <v>Tunjungtirto RW 01 Singosari</v>
      </c>
      <c r="AA1222" s="276" t="e">
        <f>VLOOKUP(Logfile_S[[#This Row],[DO number]],DO_DB!G:I,3,0)</f>
        <v>#N/A</v>
      </c>
      <c r="AB1222" s="331" t="e">
        <f>EXACT(Logfile_S[[#This Row],[date pick]],Logfile_S[[#This Row],[Date]])</f>
        <v>#N/A</v>
      </c>
      <c r="AC12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23" spans="1:29" ht="14.5">
      <c r="A1223" s="220" t="str">
        <f>TEXT(ROW(A1223)-ROW($A$4),"000")</f>
        <v>1219</v>
      </c>
      <c r="B1223" s="221"/>
      <c r="C1223" s="221" t="s">
        <v>49</v>
      </c>
      <c r="D1223" s="221" t="s">
        <v>3989</v>
      </c>
      <c r="E1223" s="221" t="s">
        <v>3295</v>
      </c>
      <c r="F1223" s="221" t="s">
        <v>3299</v>
      </c>
      <c r="G1223" s="222">
        <v>45376</v>
      </c>
      <c r="H1223" s="223">
        <v>0.43611111111111112</v>
      </c>
      <c r="I1223" s="221" t="s">
        <v>4916</v>
      </c>
      <c r="J1223" s="221" t="s">
        <v>3023</v>
      </c>
      <c r="K1223" s="224" t="s">
        <v>14</v>
      </c>
      <c r="L1223" s="225" t="str">
        <f>VLOOKUP(Logfile_S[[#This Row],[Material Name]],Sheet2!B:C,2,0)</f>
        <v>ZTE2005</v>
      </c>
      <c r="M1223" s="225" t="str">
        <f>_xlfn.XLOOKUP(Logfile_S[[#This Row],[Material Name]],Sum_WH!E:E,Sum_WH!F:F,"",0)</f>
        <v>Pcs</v>
      </c>
      <c r="N1223" s="221">
        <v>2</v>
      </c>
      <c r="O1223" s="221" t="s">
        <v>1161</v>
      </c>
      <c r="P1223" s="221" t="s">
        <v>1162</v>
      </c>
      <c r="Q1223" s="221"/>
      <c r="R1223" s="221"/>
      <c r="S1223" s="221"/>
      <c r="T1223" s="221" t="s">
        <v>3231</v>
      </c>
      <c r="U1223" s="221">
        <v>0</v>
      </c>
      <c r="V1223" s="221" t="s">
        <v>3232</v>
      </c>
      <c r="W1223" s="221" t="s">
        <v>3246</v>
      </c>
      <c r="X1223" s="221"/>
      <c r="Y1223" s="227"/>
      <c r="Z1223" s="227" t="str">
        <f>P1223</f>
        <v>Tunjungtirto RW 01 Singosari</v>
      </c>
      <c r="AA1223" s="276" t="e">
        <f>VLOOKUP(Logfile_S[[#This Row],[DO number]],DO_DB!G:I,3,0)</f>
        <v>#N/A</v>
      </c>
      <c r="AB1223" s="331" t="e">
        <f>EXACT(Logfile_S[[#This Row],[date pick]],Logfile_S[[#This Row],[Date]])</f>
        <v>#N/A</v>
      </c>
      <c r="AC12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24" spans="1:29" ht="14.5">
      <c r="A1224" s="220" t="str">
        <f>TEXT(ROW(A1224)-ROW($A$4),"000")</f>
        <v>1220</v>
      </c>
      <c r="B1224" s="221"/>
      <c r="C1224" s="221" t="s">
        <v>49</v>
      </c>
      <c r="D1224" s="221" t="s">
        <v>3989</v>
      </c>
      <c r="E1224" s="221" t="s">
        <v>3295</v>
      </c>
      <c r="F1224" s="221" t="s">
        <v>3299</v>
      </c>
      <c r="G1224" s="222">
        <v>45376</v>
      </c>
      <c r="H1224" s="223">
        <v>0.43611111111111112</v>
      </c>
      <c r="I1224" s="221" t="s">
        <v>4916</v>
      </c>
      <c r="J1224" s="221" t="s">
        <v>3023</v>
      </c>
      <c r="K1224" s="224" t="s">
        <v>3072</v>
      </c>
      <c r="L1224" s="225" t="str">
        <f>VLOOKUP(Logfile_S[[#This Row],[Material Name]],Sheet2!B:C,2,0)</f>
        <v>ZTE1004</v>
      </c>
      <c r="M1224" s="225" t="str">
        <f>_xlfn.XLOOKUP(Logfile_S[[#This Row],[Material Name]],Sum_WH!E:E,Sum_WH!F:F,"",0)</f>
        <v>Pcs</v>
      </c>
      <c r="N1224" s="221">
        <v>2</v>
      </c>
      <c r="O1224" s="221" t="s">
        <v>1161</v>
      </c>
      <c r="P1224" s="221" t="s">
        <v>1162</v>
      </c>
      <c r="Q1224" s="221"/>
      <c r="R1224" s="221"/>
      <c r="S1224" s="221"/>
      <c r="T1224" s="221" t="s">
        <v>3231</v>
      </c>
      <c r="U1224" s="221">
        <v>0</v>
      </c>
      <c r="V1224" s="221" t="s">
        <v>3232</v>
      </c>
      <c r="W1224" s="221" t="s">
        <v>3246</v>
      </c>
      <c r="X1224" s="221"/>
      <c r="Y1224" s="227"/>
      <c r="Z1224" s="227" t="str">
        <f>P1224</f>
        <v>Tunjungtirto RW 01 Singosari</v>
      </c>
      <c r="AA1224" s="276" t="e">
        <f>VLOOKUP(Logfile_S[[#This Row],[DO number]],DO_DB!G:I,3,0)</f>
        <v>#N/A</v>
      </c>
      <c r="AB1224" s="331" t="e">
        <f>EXACT(Logfile_S[[#This Row],[date pick]],Logfile_S[[#This Row],[Date]])</f>
        <v>#N/A</v>
      </c>
      <c r="AC12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25" spans="1:29" ht="14.5">
      <c r="A1225" s="220" t="str">
        <f>TEXT(ROW(A1225)-ROW($A$4),"000")</f>
        <v>1221</v>
      </c>
      <c r="B1225" s="221"/>
      <c r="C1225" s="221" t="s">
        <v>49</v>
      </c>
      <c r="D1225" s="221" t="s">
        <v>3993</v>
      </c>
      <c r="E1225" s="221" t="s">
        <v>3295</v>
      </c>
      <c r="F1225" s="221" t="s">
        <v>3299</v>
      </c>
      <c r="G1225" s="222">
        <v>45379</v>
      </c>
      <c r="H1225" s="223">
        <v>0.4145833333333333</v>
      </c>
      <c r="I1225" s="221" t="s">
        <v>4916</v>
      </c>
      <c r="J1225" s="221" t="s">
        <v>3024</v>
      </c>
      <c r="K1225" s="224" t="s">
        <v>3087</v>
      </c>
      <c r="L1225" s="225" t="str">
        <f>VLOOKUP(Logfile_S[[#This Row],[Material Name]],Sheet2!B:C,2,0)</f>
        <v>GCI1001</v>
      </c>
      <c r="M1225" s="225" t="str">
        <f>_xlfn.XLOOKUP(Logfile_S[[#This Row],[Material Name]],Sum_WH!E:E,Sum_WH!F:F,"",0)</f>
        <v>Pcs</v>
      </c>
      <c r="N1225" s="221">
        <v>17</v>
      </c>
      <c r="O1225" s="221" t="s">
        <v>1161</v>
      </c>
      <c r="P1225" s="221" t="s">
        <v>1162</v>
      </c>
      <c r="Q1225" s="221"/>
      <c r="R1225" s="221"/>
      <c r="S1225" s="221"/>
      <c r="T1225" s="221" t="s">
        <v>3363</v>
      </c>
      <c r="U1225" s="221" t="s">
        <v>3228</v>
      </c>
      <c r="V1225" s="221" t="s">
        <v>3364</v>
      </c>
      <c r="W1225" s="221" t="s">
        <v>3365</v>
      </c>
      <c r="X1225" s="221"/>
      <c r="Y1225" s="227"/>
      <c r="Z1225" s="227" t="str">
        <f>P1225</f>
        <v>Tunjungtirto RW 01 Singosari</v>
      </c>
      <c r="AA1225" s="276" t="e">
        <f>VLOOKUP(Logfile_S[[#This Row],[DO number]],DO_DB!G:I,3,0)</f>
        <v>#N/A</v>
      </c>
      <c r="AB1225" s="331" t="e">
        <f>EXACT(Logfile_S[[#This Row],[date pick]],Logfile_S[[#This Row],[Date]])</f>
        <v>#N/A</v>
      </c>
      <c r="AC12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26" spans="1:29" ht="14.5">
      <c r="A1226" s="220" t="str">
        <f>TEXT(ROW(A1226)-ROW($A$4),"000")</f>
        <v>1222</v>
      </c>
      <c r="B1226" s="221"/>
      <c r="C1226" s="221" t="s">
        <v>49</v>
      </c>
      <c r="D1226" s="221" t="s">
        <v>3993</v>
      </c>
      <c r="E1226" s="221" t="s">
        <v>3295</v>
      </c>
      <c r="F1226" s="221" t="s">
        <v>3299</v>
      </c>
      <c r="G1226" s="222">
        <v>45379</v>
      </c>
      <c r="H1226" s="223">
        <v>0.4145833333333333</v>
      </c>
      <c r="I1226" s="221" t="s">
        <v>4916</v>
      </c>
      <c r="J1226" s="221" t="s">
        <v>3024</v>
      </c>
      <c r="K1226" s="224" t="s">
        <v>5137</v>
      </c>
      <c r="L1226" s="225" t="str">
        <f>VLOOKUP(Logfile_S[[#This Row],[Material Name]],Sheet2!B:C,2,0)</f>
        <v>GCI1009</v>
      </c>
      <c r="M1226" s="225" t="str">
        <f>_xlfn.XLOOKUP(Logfile_S[[#This Row],[Material Name]],Sum_WH!E:E,Sum_WH!F:F,"",0)</f>
        <v>Pcs</v>
      </c>
      <c r="N1226" s="221">
        <v>150</v>
      </c>
      <c r="O1226" s="221" t="s">
        <v>1161</v>
      </c>
      <c r="P1226" s="221" t="s">
        <v>1162</v>
      </c>
      <c r="Q1226" s="221"/>
      <c r="R1226" s="221"/>
      <c r="S1226" s="221"/>
      <c r="T1226" s="221" t="s">
        <v>3363</v>
      </c>
      <c r="U1226" s="221" t="s">
        <v>3228</v>
      </c>
      <c r="V1226" s="221" t="s">
        <v>3364</v>
      </c>
      <c r="W1226" s="221" t="s">
        <v>3365</v>
      </c>
      <c r="X1226" s="221"/>
      <c r="Y1226" s="227"/>
      <c r="Z1226" s="227" t="str">
        <f>P1226</f>
        <v>Tunjungtirto RW 01 Singosari</v>
      </c>
      <c r="AA1226" s="276" t="e">
        <f>VLOOKUP(Logfile_S[[#This Row],[DO number]],DO_DB!G:I,3,0)</f>
        <v>#N/A</v>
      </c>
      <c r="AB1226" s="331" t="e">
        <f>EXACT(Logfile_S[[#This Row],[date pick]],Logfile_S[[#This Row],[Date]])</f>
        <v>#N/A</v>
      </c>
      <c r="AC12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27" spans="1:29" ht="14.5">
      <c r="A1227" s="220" t="str">
        <f>TEXT(ROW(A1227)-ROW($A$4),"000")</f>
        <v>1223</v>
      </c>
      <c r="B1227" s="221"/>
      <c r="C1227" s="221" t="s">
        <v>49</v>
      </c>
      <c r="D1227" s="221" t="s">
        <v>3993</v>
      </c>
      <c r="E1227" s="221" t="s">
        <v>3295</v>
      </c>
      <c r="F1227" s="221" t="s">
        <v>3299</v>
      </c>
      <c r="G1227" s="222">
        <v>45379</v>
      </c>
      <c r="H1227" s="223">
        <v>0.4145833333333333</v>
      </c>
      <c r="I1227" s="221" t="s">
        <v>4916</v>
      </c>
      <c r="J1227" s="221" t="s">
        <v>3024</v>
      </c>
      <c r="K1227" s="224" t="s">
        <v>3088</v>
      </c>
      <c r="L1227" s="225" t="str">
        <f>VLOOKUP(Logfile_S[[#This Row],[Material Name]],Sheet2!B:C,2,0)</f>
        <v>GCI1002</v>
      </c>
      <c r="M1227" s="225" t="str">
        <f>_xlfn.XLOOKUP(Logfile_S[[#This Row],[Material Name]],Sum_WH!E:E,Sum_WH!F:F,"",0)</f>
        <v>Pcs</v>
      </c>
      <c r="N1227" s="221">
        <v>2</v>
      </c>
      <c r="O1227" s="221" t="s">
        <v>1161</v>
      </c>
      <c r="P1227" s="221" t="s">
        <v>1162</v>
      </c>
      <c r="Q1227" s="221"/>
      <c r="R1227" s="221"/>
      <c r="S1227" s="221"/>
      <c r="T1227" s="221" t="s">
        <v>3363</v>
      </c>
      <c r="U1227" s="221" t="s">
        <v>3228</v>
      </c>
      <c r="V1227" s="221" t="s">
        <v>3364</v>
      </c>
      <c r="W1227" s="221" t="s">
        <v>3365</v>
      </c>
      <c r="X1227" s="221"/>
      <c r="Y1227" s="227"/>
      <c r="Z1227" s="227" t="str">
        <f>P1227</f>
        <v>Tunjungtirto RW 01 Singosari</v>
      </c>
      <c r="AA1227" s="276" t="e">
        <f>VLOOKUP(Logfile_S[[#This Row],[DO number]],DO_DB!G:I,3,0)</f>
        <v>#N/A</v>
      </c>
      <c r="AB1227" s="331" t="e">
        <f>EXACT(Logfile_S[[#This Row],[date pick]],Logfile_S[[#This Row],[Date]])</f>
        <v>#N/A</v>
      </c>
      <c r="AC12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28" spans="1:29" ht="14.5">
      <c r="A1228" s="220" t="str">
        <f>TEXT(ROW(A1228)-ROW($A$4),"000")</f>
        <v>1224</v>
      </c>
      <c r="B1228" s="221"/>
      <c r="C1228" s="221" t="s">
        <v>48</v>
      </c>
      <c r="D1228" s="221" t="s">
        <v>3995</v>
      </c>
      <c r="E1228" s="221" t="s">
        <v>3295</v>
      </c>
      <c r="F1228" s="221" t="s">
        <v>3299</v>
      </c>
      <c r="G1228" s="222">
        <v>45379</v>
      </c>
      <c r="H1228" s="223">
        <v>15.291666666666666</v>
      </c>
      <c r="I1228" s="221" t="s">
        <v>37</v>
      </c>
      <c r="J1228" s="221" t="s">
        <v>3023</v>
      </c>
      <c r="K1228" s="224" t="s">
        <v>3070</v>
      </c>
      <c r="L1228" s="225" t="str">
        <f>VLOOKUP(Logfile_S[[#This Row],[Material Name]],Sheet2!B:C,2,0)</f>
        <v>ZTE1002</v>
      </c>
      <c r="M1228" s="225" t="str">
        <f>_xlfn.XLOOKUP(Logfile_S[[#This Row],[Material Name]],Sum_WH!E:E,Sum_WH!F:F,"",0)</f>
        <v>Pcs</v>
      </c>
      <c r="N1228" s="221">
        <v>4</v>
      </c>
      <c r="O1228" s="221" t="s">
        <v>1161</v>
      </c>
      <c r="P1228" s="221" t="s">
        <v>1162</v>
      </c>
      <c r="Q1228" s="221" t="s">
        <v>1165</v>
      </c>
      <c r="R1228" s="221" t="s">
        <v>1166</v>
      </c>
      <c r="S1228" s="221"/>
      <c r="T1228" s="221"/>
      <c r="U1228" s="221"/>
      <c r="V1228" s="221"/>
      <c r="W1228" s="221"/>
      <c r="X1228" s="221"/>
      <c r="Y1228" s="227"/>
      <c r="Z1228" s="227" t="str">
        <f>P1228</f>
        <v>Tunjungtirto RW 01 Singosari</v>
      </c>
      <c r="AA1228" s="276">
        <f>VLOOKUP(Logfile_S[[#This Row],[DO number]],DO_DB!G:I,3,0)</f>
        <v>45370</v>
      </c>
      <c r="AB1228" s="331" t="b">
        <f>EXACT(Logfile_S[[#This Row],[date pick]],Logfile_S[[#This Row],[Date]])</f>
        <v>0</v>
      </c>
      <c r="AC12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29" spans="1:29" ht="14.5">
      <c r="A1229" s="220" t="str">
        <f>TEXT(ROW(A1229)-ROW($A$4),"000")</f>
        <v>1225</v>
      </c>
      <c r="B1229" s="221"/>
      <c r="C1229" s="221" t="s">
        <v>49</v>
      </c>
      <c r="D1229" s="221" t="s">
        <v>3994</v>
      </c>
      <c r="E1229" s="221" t="s">
        <v>3295</v>
      </c>
      <c r="F1229" s="221" t="s">
        <v>3299</v>
      </c>
      <c r="G1229" s="222">
        <v>45379</v>
      </c>
      <c r="H1229" s="223">
        <v>0.7715277777777777</v>
      </c>
      <c r="I1229" s="221" t="s">
        <v>4916</v>
      </c>
      <c r="J1229" s="221" t="s">
        <v>3023</v>
      </c>
      <c r="K1229" s="224" t="s">
        <v>3069</v>
      </c>
      <c r="L1229" s="225" t="str">
        <f>VLOOKUP(Logfile_S[[#This Row],[Material Name]],Sheet2!B:C,2,0)</f>
        <v>ZTE1001</v>
      </c>
      <c r="M1229" s="225" t="str">
        <f>_xlfn.XLOOKUP(Logfile_S[[#This Row],[Material Name]],Sum_WH!E:E,Sum_WH!F:F,"",0)</f>
        <v>Pcs</v>
      </c>
      <c r="N1229" s="221">
        <v>6</v>
      </c>
      <c r="O1229" s="221" t="s">
        <v>1161</v>
      </c>
      <c r="P1229" s="221" t="s">
        <v>1162</v>
      </c>
      <c r="Q1229" s="221"/>
      <c r="R1229" s="221"/>
      <c r="S1229" s="221"/>
      <c r="T1229" s="221" t="s">
        <v>3363</v>
      </c>
      <c r="U1229" s="221" t="s">
        <v>3228</v>
      </c>
      <c r="V1229" s="221" t="s">
        <v>3364</v>
      </c>
      <c r="W1229" s="221" t="s">
        <v>3365</v>
      </c>
      <c r="X1229" s="221"/>
      <c r="Y1229" s="227"/>
      <c r="Z1229" s="227" t="str">
        <f>P1229</f>
        <v>Tunjungtirto RW 01 Singosari</v>
      </c>
      <c r="AA1229" s="276" t="e">
        <f>VLOOKUP(Logfile_S[[#This Row],[DO number]],DO_DB!G:I,3,0)</f>
        <v>#N/A</v>
      </c>
      <c r="AB1229" s="331" t="e">
        <f>EXACT(Logfile_S[[#This Row],[date pick]],Logfile_S[[#This Row],[Date]])</f>
        <v>#N/A</v>
      </c>
      <c r="AC12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30" spans="1:29" ht="14.5">
      <c r="A1230" s="220" t="str">
        <f>TEXT(ROW(A1230)-ROW($A$4),"000")</f>
        <v>1226</v>
      </c>
      <c r="B1230" s="221"/>
      <c r="C1230" s="221" t="s">
        <v>49</v>
      </c>
      <c r="D1230" s="221" t="s">
        <v>3992</v>
      </c>
      <c r="E1230" s="221" t="s">
        <v>3295</v>
      </c>
      <c r="F1230" s="221" t="s">
        <v>3299</v>
      </c>
      <c r="G1230" s="222">
        <v>45379</v>
      </c>
      <c r="H1230" s="223">
        <v>0.3972222222222222</v>
      </c>
      <c r="I1230" s="221" t="s">
        <v>4916</v>
      </c>
      <c r="J1230" s="221" t="s">
        <v>3023</v>
      </c>
      <c r="K1230" s="224" t="s">
        <v>3069</v>
      </c>
      <c r="L1230" s="225" t="str">
        <f>VLOOKUP(Logfile_S[[#This Row],[Material Name]],Sheet2!B:C,2,0)</f>
        <v>ZTE1001</v>
      </c>
      <c r="M1230" s="225" t="str">
        <f>_xlfn.XLOOKUP(Logfile_S[[#This Row],[Material Name]],Sum_WH!E:E,Sum_WH!F:F,"",0)</f>
        <v>Pcs</v>
      </c>
      <c r="N1230" s="221">
        <v>7</v>
      </c>
      <c r="O1230" s="221" t="s">
        <v>1161</v>
      </c>
      <c r="P1230" s="221" t="s">
        <v>1162</v>
      </c>
      <c r="Q1230" s="221"/>
      <c r="R1230" s="221"/>
      <c r="S1230" s="221"/>
      <c r="T1230" s="221" t="s">
        <v>3363</v>
      </c>
      <c r="U1230" s="221" t="s">
        <v>3228</v>
      </c>
      <c r="V1230" s="221" t="s">
        <v>3364</v>
      </c>
      <c r="W1230" s="221" t="s">
        <v>3365</v>
      </c>
      <c r="X1230" s="221"/>
      <c r="Y1230" s="227"/>
      <c r="Z1230" s="227" t="str">
        <f>P1230</f>
        <v>Tunjungtirto RW 01 Singosari</v>
      </c>
      <c r="AA1230" s="276" t="e">
        <f>VLOOKUP(Logfile_S[[#This Row],[DO number]],DO_DB!G:I,3,0)</f>
        <v>#N/A</v>
      </c>
      <c r="AB1230" s="331" t="e">
        <f>EXACT(Logfile_S[[#This Row],[date pick]],Logfile_S[[#This Row],[Date]])</f>
        <v>#N/A</v>
      </c>
      <c r="AC12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31" spans="1:29" ht="14.5">
      <c r="A1231" s="220" t="str">
        <f>TEXT(ROW(A1231)-ROW($A$4),"000")</f>
        <v>1227</v>
      </c>
      <c r="B1231" s="221"/>
      <c r="C1231" s="221" t="s">
        <v>49</v>
      </c>
      <c r="D1231" s="221" t="s">
        <v>3993</v>
      </c>
      <c r="E1231" s="221" t="s">
        <v>3295</v>
      </c>
      <c r="F1231" s="221" t="s">
        <v>3299</v>
      </c>
      <c r="G1231" s="222">
        <v>45379</v>
      </c>
      <c r="H1231" s="223">
        <v>0.4145833333333333</v>
      </c>
      <c r="I1231" s="221" t="s">
        <v>4916</v>
      </c>
      <c r="J1231" s="221" t="s">
        <v>3024</v>
      </c>
      <c r="K1231" s="224" t="s">
        <v>3094</v>
      </c>
      <c r="L1231" s="225" t="str">
        <f>VLOOKUP(Logfile_S[[#This Row],[Material Name]],Sheet2!B:C,2,0)</f>
        <v>GCI1008</v>
      </c>
      <c r="M1231" s="225" t="str">
        <f>_xlfn.XLOOKUP(Logfile_S[[#This Row],[Material Name]],Sum_WH!E:E,Sum_WH!F:F,"",0)</f>
        <v>Pcs</v>
      </c>
      <c r="N1231" s="221">
        <v>50</v>
      </c>
      <c r="O1231" s="221" t="s">
        <v>1161</v>
      </c>
      <c r="P1231" s="221" t="s">
        <v>1162</v>
      </c>
      <c r="Q1231" s="221"/>
      <c r="R1231" s="221"/>
      <c r="S1231" s="221"/>
      <c r="T1231" s="221" t="s">
        <v>3363</v>
      </c>
      <c r="U1231" s="221" t="s">
        <v>3228</v>
      </c>
      <c r="V1231" s="221" t="s">
        <v>3364</v>
      </c>
      <c r="W1231" s="221" t="s">
        <v>3365</v>
      </c>
      <c r="X1231" s="221"/>
      <c r="Y1231" s="227"/>
      <c r="Z1231" s="227" t="str">
        <f>P1231</f>
        <v>Tunjungtirto RW 01 Singosari</v>
      </c>
      <c r="AA1231" s="276" t="e">
        <f>VLOOKUP(Logfile_S[[#This Row],[DO number]],DO_DB!G:I,3,0)</f>
        <v>#N/A</v>
      </c>
      <c r="AB1231" s="331" t="e">
        <f>EXACT(Logfile_S[[#This Row],[date pick]],Logfile_S[[#This Row],[Date]])</f>
        <v>#N/A</v>
      </c>
      <c r="AC12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32" spans="1:29" ht="14.5">
      <c r="A1232" s="220" t="str">
        <f>TEXT(ROW(A1232)-ROW($A$4),"000")</f>
        <v>1228</v>
      </c>
      <c r="B1232" s="221"/>
      <c r="C1232" s="221" t="s">
        <v>49</v>
      </c>
      <c r="D1232" s="221" t="s">
        <v>3993</v>
      </c>
      <c r="E1232" s="221" t="s">
        <v>3295</v>
      </c>
      <c r="F1232" s="221" t="s">
        <v>3299</v>
      </c>
      <c r="G1232" s="222">
        <v>45379</v>
      </c>
      <c r="H1232" s="223">
        <v>0.4145833333333333</v>
      </c>
      <c r="I1232" s="221" t="s">
        <v>4916</v>
      </c>
      <c r="J1232" s="221" t="s">
        <v>3024</v>
      </c>
      <c r="K1232" s="224" t="s">
        <v>3089</v>
      </c>
      <c r="L1232" s="225" t="str">
        <f>VLOOKUP(Logfile_S[[#This Row],[Material Name]],Sheet2!B:C,2,0)</f>
        <v>GCI1003</v>
      </c>
      <c r="M1232" s="225" t="str">
        <f>_xlfn.XLOOKUP(Logfile_S[[#This Row],[Material Name]],Sum_WH!E:E,Sum_WH!F:F,"",0)</f>
        <v>Pcs</v>
      </c>
      <c r="N1232" s="221">
        <v>100</v>
      </c>
      <c r="O1232" s="221" t="s">
        <v>1161</v>
      </c>
      <c r="P1232" s="221" t="s">
        <v>1162</v>
      </c>
      <c r="Q1232" s="221"/>
      <c r="R1232" s="221"/>
      <c r="S1232" s="221"/>
      <c r="T1232" s="221" t="s">
        <v>3363</v>
      </c>
      <c r="U1232" s="221" t="s">
        <v>3228</v>
      </c>
      <c r="V1232" s="221" t="s">
        <v>3364</v>
      </c>
      <c r="W1232" s="221" t="s">
        <v>3365</v>
      </c>
      <c r="X1232" s="221"/>
      <c r="Y1232" s="227"/>
      <c r="Z1232" s="227" t="str">
        <f>P1232</f>
        <v>Tunjungtirto RW 01 Singosari</v>
      </c>
      <c r="AA1232" s="276" t="e">
        <f>VLOOKUP(Logfile_S[[#This Row],[DO number]],DO_DB!G:I,3,0)</f>
        <v>#N/A</v>
      </c>
      <c r="AB1232" s="331" t="e">
        <f>EXACT(Logfile_S[[#This Row],[date pick]],Logfile_S[[#This Row],[Date]])</f>
        <v>#N/A</v>
      </c>
      <c r="AC12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33" spans="1:29" ht="14.5">
      <c r="A1233" s="220" t="str">
        <f>TEXT(ROW(A1233)-ROW($A$4),"000")</f>
        <v>1229</v>
      </c>
      <c r="B1233" s="221"/>
      <c r="C1233" s="221" t="s">
        <v>49</v>
      </c>
      <c r="D1233" s="221" t="s">
        <v>4035</v>
      </c>
      <c r="E1233" s="221" t="s">
        <v>3295</v>
      </c>
      <c r="F1233" s="221" t="s">
        <v>3299</v>
      </c>
      <c r="G1233" s="222">
        <v>45416</v>
      </c>
      <c r="H1233" s="223">
        <v>0.42708333333333331</v>
      </c>
      <c r="I1233" s="221" t="s">
        <v>4916</v>
      </c>
      <c r="J1233" s="221" t="s">
        <v>3023</v>
      </c>
      <c r="K1233" s="224" t="s">
        <v>3070</v>
      </c>
      <c r="L1233" s="225" t="str">
        <f>VLOOKUP(Logfile_S[[#This Row],[Material Name]],Sheet2!B:C,2,0)</f>
        <v>ZTE1002</v>
      </c>
      <c r="M1233" s="225" t="str">
        <f>_xlfn.XLOOKUP(Logfile_S[[#This Row],[Material Name]],Sum_WH!E:E,Sum_WH!F:F,"",0)</f>
        <v>Pcs</v>
      </c>
      <c r="N1233" s="221">
        <v>1</v>
      </c>
      <c r="O1233" s="221" t="s">
        <v>1161</v>
      </c>
      <c r="P1233" s="221" t="s">
        <v>1162</v>
      </c>
      <c r="Q1233" s="221"/>
      <c r="R1233" s="221"/>
      <c r="S1233" s="221"/>
      <c r="T1233" s="221" t="s">
        <v>3363</v>
      </c>
      <c r="U1233" s="221" t="s">
        <v>3228</v>
      </c>
      <c r="V1233" s="221" t="s">
        <v>3364</v>
      </c>
      <c r="W1233" s="221" t="s">
        <v>3372</v>
      </c>
      <c r="X1233" s="221"/>
      <c r="Y1233" s="227"/>
      <c r="Z1233" s="227" t="str">
        <f>P1233</f>
        <v>Tunjungtirto RW 01 Singosari</v>
      </c>
      <c r="AA1233" s="276" t="e">
        <f>VLOOKUP(Logfile_S[[#This Row],[DO number]],DO_DB!G:I,3,0)</f>
        <v>#N/A</v>
      </c>
      <c r="AB1233" s="331" t="e">
        <f>EXACT(Logfile_S[[#This Row],[date pick]],Logfile_S[[#This Row],[Date]])</f>
        <v>#N/A</v>
      </c>
      <c r="AC12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34" spans="1:29" ht="14.5">
      <c r="A1234" s="220" t="str">
        <f>TEXT(ROW(A1234)-ROW($A$4),"000")</f>
        <v>1230</v>
      </c>
      <c r="B1234" s="221"/>
      <c r="C1234" s="221" t="s">
        <v>48</v>
      </c>
      <c r="D1234" s="221" t="s">
        <v>3980</v>
      </c>
      <c r="E1234" s="221" t="s">
        <v>3295</v>
      </c>
      <c r="F1234" s="221" t="s">
        <v>3299</v>
      </c>
      <c r="G1234" s="222">
        <v>45370</v>
      </c>
      <c r="H1234" s="223">
        <v>15.291666666666666</v>
      </c>
      <c r="I1234" s="221" t="s">
        <v>37</v>
      </c>
      <c r="J1234" s="221" t="s">
        <v>3023</v>
      </c>
      <c r="K1234" s="224" t="s">
        <v>3073</v>
      </c>
      <c r="L1234" s="225" t="str">
        <f>VLOOKUP(Logfile_S[[#This Row],[Material Name]],Sheet2!B:C,2,0)</f>
        <v>ZTE2001</v>
      </c>
      <c r="M1234" s="225" t="str">
        <f>_xlfn.XLOOKUP(Logfile_S[[#This Row],[Material Name]],Sum_WH!E:E,Sum_WH!F:F,"",0)</f>
        <v>Meter</v>
      </c>
      <c r="N1234" s="221">
        <v>3000</v>
      </c>
      <c r="O1234" s="221" t="s">
        <v>1151</v>
      </c>
      <c r="P1234" s="221" t="s">
        <v>1152</v>
      </c>
      <c r="Q1234" s="221" t="s">
        <v>1153</v>
      </c>
      <c r="R1234" s="221" t="s">
        <v>1154</v>
      </c>
      <c r="S1234" s="221"/>
      <c r="T1234" s="221"/>
      <c r="U1234" s="221"/>
      <c r="V1234" s="221"/>
      <c r="W1234" s="221"/>
      <c r="X1234" s="221"/>
      <c r="Y1234" s="227" t="s">
        <v>4997</v>
      </c>
      <c r="Z1234" s="227" t="str">
        <f>P1234</f>
        <v>Tunjungtirto RW 08 Singosari</v>
      </c>
      <c r="AA1234" s="276">
        <f>VLOOKUP(Logfile_S[[#This Row],[DO number]],DO_DB!G:I,3,0)</f>
        <v>45370</v>
      </c>
      <c r="AB1234" s="331" t="b">
        <f>EXACT(Logfile_S[[#This Row],[date pick]],Logfile_S[[#This Row],[Date]])</f>
        <v>1</v>
      </c>
      <c r="AC12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24C-2024319-01</v>
      </c>
    </row>
    <row r="1235" spans="1:29" ht="14.5">
      <c r="A1235" s="220" t="str">
        <f>TEXT(ROW(A1235)-ROW($A$4),"000")</f>
        <v>1231</v>
      </c>
      <c r="B1235" s="221"/>
      <c r="C1235" s="221" t="s">
        <v>49</v>
      </c>
      <c r="D1235" s="221" t="s">
        <v>3997</v>
      </c>
      <c r="E1235" s="221" t="s">
        <v>3295</v>
      </c>
      <c r="F1235" s="221" t="s">
        <v>3299</v>
      </c>
      <c r="G1235" s="222">
        <v>45383</v>
      </c>
      <c r="H1235" s="223">
        <v>0.38472222222222219</v>
      </c>
      <c r="I1235" s="221" t="s">
        <v>4916</v>
      </c>
      <c r="J1235" s="221" t="s">
        <v>3024</v>
      </c>
      <c r="K1235" s="224" t="s">
        <v>3091</v>
      </c>
      <c r="L1235" s="225" t="str">
        <f>VLOOKUP(Logfile_S[[#This Row],[Material Name]],Sheet2!B:C,2,0)</f>
        <v>GCI1005</v>
      </c>
      <c r="M1235" s="225" t="str">
        <f>_xlfn.XLOOKUP(Logfile_S[[#This Row],[Material Name]],Sum_WH!E:E,Sum_WH!F:F,"",0)</f>
        <v>Pcs</v>
      </c>
      <c r="N1235" s="221">
        <v>22</v>
      </c>
      <c r="O1235" s="221" t="s">
        <v>1151</v>
      </c>
      <c r="P1235" s="221" t="s">
        <v>1152</v>
      </c>
      <c r="Q1235" s="221"/>
      <c r="R1235" s="221"/>
      <c r="S1235" s="221"/>
      <c r="T1235" s="221" t="s">
        <v>3363</v>
      </c>
      <c r="U1235" s="221" t="s">
        <v>3228</v>
      </c>
      <c r="V1235" s="221" t="s">
        <v>3364</v>
      </c>
      <c r="W1235" s="221" t="s">
        <v>3365</v>
      </c>
      <c r="X1235" s="221"/>
      <c r="Y1235" s="227"/>
      <c r="Z1235" s="227" t="str">
        <f>P1235</f>
        <v>Tunjungtirto RW 08 Singosari</v>
      </c>
      <c r="AA1235" s="276" t="e">
        <f>VLOOKUP(Logfile_S[[#This Row],[DO number]],DO_DB!G:I,3,0)</f>
        <v>#N/A</v>
      </c>
      <c r="AB1235" s="331" t="e">
        <f>EXACT(Logfile_S[[#This Row],[date pick]],Logfile_S[[#This Row],[Date]])</f>
        <v>#N/A</v>
      </c>
      <c r="AC12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36" spans="1:29" ht="14.5">
      <c r="A1236" s="220" t="str">
        <f>TEXT(ROW(A1236)-ROW($A$4),"000")</f>
        <v>1232</v>
      </c>
      <c r="B1236" s="221"/>
      <c r="C1236" s="221" t="s">
        <v>49</v>
      </c>
      <c r="D1236" s="221" t="s">
        <v>3997</v>
      </c>
      <c r="E1236" s="221" t="s">
        <v>3295</v>
      </c>
      <c r="F1236" s="221" t="s">
        <v>3299</v>
      </c>
      <c r="G1236" s="222">
        <v>45383</v>
      </c>
      <c r="H1236" s="223">
        <v>0.38472222222222219</v>
      </c>
      <c r="I1236" s="221" t="s">
        <v>4916</v>
      </c>
      <c r="J1236" s="221" t="s">
        <v>3024</v>
      </c>
      <c r="K1236" s="224" t="s">
        <v>5137</v>
      </c>
      <c r="L1236" s="225" t="str">
        <f>VLOOKUP(Logfile_S[[#This Row],[Material Name]],Sheet2!B:C,2,0)</f>
        <v>GCI1009</v>
      </c>
      <c r="M1236" s="225" t="str">
        <f>_xlfn.XLOOKUP(Logfile_S[[#This Row],[Material Name]],Sum_WH!E:E,Sum_WH!F:F,"",0)</f>
        <v>Pcs</v>
      </c>
      <c r="N1236" s="221">
        <v>25</v>
      </c>
      <c r="O1236" s="221" t="s">
        <v>1151</v>
      </c>
      <c r="P1236" s="221" t="s">
        <v>1152</v>
      </c>
      <c r="Q1236" s="221"/>
      <c r="R1236" s="221"/>
      <c r="S1236" s="221"/>
      <c r="T1236" s="221" t="s">
        <v>3363</v>
      </c>
      <c r="U1236" s="221" t="s">
        <v>3228</v>
      </c>
      <c r="V1236" s="221" t="s">
        <v>3364</v>
      </c>
      <c r="W1236" s="221" t="s">
        <v>3365</v>
      </c>
      <c r="X1236" s="221"/>
      <c r="Y1236" s="227"/>
      <c r="Z1236" s="227" t="str">
        <f>P1236</f>
        <v>Tunjungtirto RW 08 Singosari</v>
      </c>
      <c r="AA1236" s="276" t="e">
        <f>VLOOKUP(Logfile_S[[#This Row],[DO number]],DO_DB!G:I,3,0)</f>
        <v>#N/A</v>
      </c>
      <c r="AB1236" s="331" t="e">
        <f>EXACT(Logfile_S[[#This Row],[date pick]],Logfile_S[[#This Row],[Date]])</f>
        <v>#N/A</v>
      </c>
      <c r="AC12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37" spans="1:29" ht="14.5">
      <c r="A1237" s="220" t="str">
        <f>TEXT(ROW(A1237)-ROW($A$4),"000")</f>
        <v>1233</v>
      </c>
      <c r="B1237" s="221"/>
      <c r="C1237" s="221" t="s">
        <v>49</v>
      </c>
      <c r="D1237" s="221" t="s">
        <v>3997</v>
      </c>
      <c r="E1237" s="221" t="s">
        <v>3295</v>
      </c>
      <c r="F1237" s="221" t="s">
        <v>3299</v>
      </c>
      <c r="G1237" s="222">
        <v>45383</v>
      </c>
      <c r="H1237" s="223">
        <v>0.38472222222222219</v>
      </c>
      <c r="I1237" s="221" t="s">
        <v>4916</v>
      </c>
      <c r="J1237" s="221" t="s">
        <v>3024</v>
      </c>
      <c r="K1237" s="224" t="s">
        <v>3088</v>
      </c>
      <c r="L1237" s="225" t="str">
        <f>VLOOKUP(Logfile_S[[#This Row],[Material Name]],Sheet2!B:C,2,0)</f>
        <v>GCI1002</v>
      </c>
      <c r="M1237" s="225" t="str">
        <f>_xlfn.XLOOKUP(Logfile_S[[#This Row],[Material Name]],Sum_WH!E:E,Sum_WH!F:F,"",0)</f>
        <v>Pcs</v>
      </c>
      <c r="N1237" s="221">
        <v>1</v>
      </c>
      <c r="O1237" s="221" t="s">
        <v>1151</v>
      </c>
      <c r="P1237" s="221" t="s">
        <v>1152</v>
      </c>
      <c r="Q1237" s="221"/>
      <c r="R1237" s="221"/>
      <c r="S1237" s="221"/>
      <c r="T1237" s="221" t="s">
        <v>3363</v>
      </c>
      <c r="U1237" s="221" t="s">
        <v>3228</v>
      </c>
      <c r="V1237" s="221" t="s">
        <v>3364</v>
      </c>
      <c r="W1237" s="221" t="s">
        <v>3365</v>
      </c>
      <c r="X1237" s="221"/>
      <c r="Y1237" s="227"/>
      <c r="Z1237" s="227" t="str">
        <f>P1237</f>
        <v>Tunjungtirto RW 08 Singosari</v>
      </c>
      <c r="AA1237" s="276" t="e">
        <f>VLOOKUP(Logfile_S[[#This Row],[DO number]],DO_DB!G:I,3,0)</f>
        <v>#N/A</v>
      </c>
      <c r="AB1237" s="331" t="e">
        <f>EXACT(Logfile_S[[#This Row],[date pick]],Logfile_S[[#This Row],[Date]])</f>
        <v>#N/A</v>
      </c>
      <c r="AC12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38" spans="1:29" ht="14.5">
      <c r="A1238" s="220" t="str">
        <f>TEXT(ROW(A1238)-ROW($A$4),"000")</f>
        <v>1234</v>
      </c>
      <c r="B1238" s="221"/>
      <c r="C1238" s="221" t="s">
        <v>49</v>
      </c>
      <c r="D1238" s="221" t="s">
        <v>3999</v>
      </c>
      <c r="E1238" s="221" t="s">
        <v>3295</v>
      </c>
      <c r="F1238" s="221" t="s">
        <v>3299</v>
      </c>
      <c r="G1238" s="222">
        <v>45383</v>
      </c>
      <c r="H1238" s="223">
        <v>0.55486111111111114</v>
      </c>
      <c r="I1238" s="221" t="s">
        <v>4916</v>
      </c>
      <c r="J1238" s="221" t="s">
        <v>3023</v>
      </c>
      <c r="K1238" s="224" t="s">
        <v>3070</v>
      </c>
      <c r="L1238" s="225" t="str">
        <f>VLOOKUP(Logfile_S[[#This Row],[Material Name]],Sheet2!B:C,2,0)</f>
        <v>ZTE1002</v>
      </c>
      <c r="M1238" s="225" t="str">
        <f>_xlfn.XLOOKUP(Logfile_S[[#This Row],[Material Name]],Sum_WH!E:E,Sum_WH!F:F,"",0)</f>
        <v>Pcs</v>
      </c>
      <c r="N1238" s="221">
        <v>1</v>
      </c>
      <c r="O1238" s="221" t="s">
        <v>1151</v>
      </c>
      <c r="P1238" s="221" t="s">
        <v>1152</v>
      </c>
      <c r="Q1238" s="221"/>
      <c r="R1238" s="221"/>
      <c r="S1238" s="221"/>
      <c r="T1238" s="221" t="s">
        <v>3363</v>
      </c>
      <c r="U1238" s="221" t="s">
        <v>3228</v>
      </c>
      <c r="V1238" s="221" t="s">
        <v>3364</v>
      </c>
      <c r="W1238" s="221" t="s">
        <v>3365</v>
      </c>
      <c r="X1238" s="221"/>
      <c r="Y1238" s="227"/>
      <c r="Z1238" s="227" t="str">
        <f>P1238</f>
        <v>Tunjungtirto RW 08 Singosari</v>
      </c>
      <c r="AA1238" s="276" t="e">
        <f>VLOOKUP(Logfile_S[[#This Row],[DO number]],DO_DB!G:I,3,0)</f>
        <v>#N/A</v>
      </c>
      <c r="AB1238" s="331" t="e">
        <f>EXACT(Logfile_S[[#This Row],[date pick]],Logfile_S[[#This Row],[Date]])</f>
        <v>#N/A</v>
      </c>
      <c r="AC12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39" spans="1:29" ht="14.5">
      <c r="A1239" s="220" t="str">
        <f>TEXT(ROW(A1239)-ROW($A$4),"000")</f>
        <v>1235</v>
      </c>
      <c r="B1239" s="221"/>
      <c r="C1239" s="221" t="s">
        <v>49</v>
      </c>
      <c r="D1239" s="221" t="s">
        <v>3999</v>
      </c>
      <c r="E1239" s="221" t="s">
        <v>3295</v>
      </c>
      <c r="F1239" s="221" t="s">
        <v>3299</v>
      </c>
      <c r="G1239" s="222">
        <v>45383</v>
      </c>
      <c r="H1239" s="223">
        <v>0.55486111111111114</v>
      </c>
      <c r="I1239" s="221" t="s">
        <v>4916</v>
      </c>
      <c r="J1239" s="221" t="s">
        <v>3023</v>
      </c>
      <c r="K1239" s="224" t="s">
        <v>3069</v>
      </c>
      <c r="L1239" s="225" t="str">
        <f>VLOOKUP(Logfile_S[[#This Row],[Material Name]],Sheet2!B:C,2,0)</f>
        <v>ZTE1001</v>
      </c>
      <c r="M1239" s="225" t="str">
        <f>_xlfn.XLOOKUP(Logfile_S[[#This Row],[Material Name]],Sum_WH!E:E,Sum_WH!F:F,"",0)</f>
        <v>Pcs</v>
      </c>
      <c r="N1239" s="221">
        <v>5</v>
      </c>
      <c r="O1239" s="221" t="s">
        <v>1151</v>
      </c>
      <c r="P1239" s="221" t="s">
        <v>1152</v>
      </c>
      <c r="Q1239" s="221"/>
      <c r="R1239" s="221"/>
      <c r="S1239" s="221"/>
      <c r="T1239" s="221" t="s">
        <v>3363</v>
      </c>
      <c r="U1239" s="221" t="s">
        <v>3228</v>
      </c>
      <c r="V1239" s="221" t="s">
        <v>3364</v>
      </c>
      <c r="W1239" s="221" t="s">
        <v>3365</v>
      </c>
      <c r="X1239" s="221"/>
      <c r="Y1239" s="227"/>
      <c r="Z1239" s="227" t="str">
        <f>P1239</f>
        <v>Tunjungtirto RW 08 Singosari</v>
      </c>
      <c r="AA1239" s="276" t="e">
        <f>VLOOKUP(Logfile_S[[#This Row],[DO number]],DO_DB!G:I,3,0)</f>
        <v>#N/A</v>
      </c>
      <c r="AB1239" s="331" t="e">
        <f>EXACT(Logfile_S[[#This Row],[date pick]],Logfile_S[[#This Row],[Date]])</f>
        <v>#N/A</v>
      </c>
      <c r="AC12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40" spans="1:29" ht="14.5">
      <c r="A1240" s="220" t="str">
        <f>TEXT(ROW(A1240)-ROW($A$4),"000")</f>
        <v>1236</v>
      </c>
      <c r="B1240" s="221"/>
      <c r="C1240" s="221" t="s">
        <v>49</v>
      </c>
      <c r="D1240" s="221" t="s">
        <v>3997</v>
      </c>
      <c r="E1240" s="221" t="s">
        <v>3295</v>
      </c>
      <c r="F1240" s="221" t="s">
        <v>3299</v>
      </c>
      <c r="G1240" s="222">
        <v>45383</v>
      </c>
      <c r="H1240" s="223">
        <v>0.38472222222222219</v>
      </c>
      <c r="I1240" s="221" t="s">
        <v>4916</v>
      </c>
      <c r="J1240" s="221" t="s">
        <v>3024</v>
      </c>
      <c r="K1240" s="224" t="s">
        <v>3094</v>
      </c>
      <c r="L1240" s="225" t="str">
        <f>VLOOKUP(Logfile_S[[#This Row],[Material Name]],Sheet2!B:C,2,0)</f>
        <v>GCI1008</v>
      </c>
      <c r="M1240" s="225" t="str">
        <f>_xlfn.XLOOKUP(Logfile_S[[#This Row],[Material Name]],Sum_WH!E:E,Sum_WH!F:F,"",0)</f>
        <v>Pcs</v>
      </c>
      <c r="N1240" s="221">
        <v>55</v>
      </c>
      <c r="O1240" s="221" t="s">
        <v>1151</v>
      </c>
      <c r="P1240" s="221" t="s">
        <v>1152</v>
      </c>
      <c r="Q1240" s="221"/>
      <c r="R1240" s="221"/>
      <c r="S1240" s="221"/>
      <c r="T1240" s="221" t="s">
        <v>3363</v>
      </c>
      <c r="U1240" s="221" t="s">
        <v>3228</v>
      </c>
      <c r="V1240" s="221" t="s">
        <v>3364</v>
      </c>
      <c r="W1240" s="221" t="s">
        <v>3365</v>
      </c>
      <c r="X1240" s="221"/>
      <c r="Y1240" s="227"/>
      <c r="Z1240" s="227" t="str">
        <f>P1240</f>
        <v>Tunjungtirto RW 08 Singosari</v>
      </c>
      <c r="AA1240" s="276" t="e">
        <f>VLOOKUP(Logfile_S[[#This Row],[DO number]],DO_DB!G:I,3,0)</f>
        <v>#N/A</v>
      </c>
      <c r="AB1240" s="331" t="e">
        <f>EXACT(Logfile_S[[#This Row],[date pick]],Logfile_S[[#This Row],[Date]])</f>
        <v>#N/A</v>
      </c>
      <c r="AC12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41" spans="1:29" ht="14.5">
      <c r="A1241" s="220" t="str">
        <f>TEXT(ROW(A1241)-ROW($A$4),"000")</f>
        <v>1237</v>
      </c>
      <c r="B1241" s="221"/>
      <c r="C1241" s="221" t="s">
        <v>49</v>
      </c>
      <c r="D1241" s="221" t="s">
        <v>3997</v>
      </c>
      <c r="E1241" s="221" t="s">
        <v>3295</v>
      </c>
      <c r="F1241" s="221" t="s">
        <v>3299</v>
      </c>
      <c r="G1241" s="222">
        <v>45383</v>
      </c>
      <c r="H1241" s="223">
        <v>0.38472222222222219</v>
      </c>
      <c r="I1241" s="221" t="s">
        <v>4916</v>
      </c>
      <c r="J1241" s="221" t="s">
        <v>3024</v>
      </c>
      <c r="K1241" s="224" t="s">
        <v>3089</v>
      </c>
      <c r="L1241" s="225" t="str">
        <f>VLOOKUP(Logfile_S[[#This Row],[Material Name]],Sheet2!B:C,2,0)</f>
        <v>GCI1003</v>
      </c>
      <c r="M1241" s="225" t="str">
        <f>_xlfn.XLOOKUP(Logfile_S[[#This Row],[Material Name]],Sum_WH!E:E,Sum_WH!F:F,"",0)</f>
        <v>Pcs</v>
      </c>
      <c r="N1241" s="221">
        <v>50</v>
      </c>
      <c r="O1241" s="221" t="s">
        <v>1151</v>
      </c>
      <c r="P1241" s="221" t="s">
        <v>1152</v>
      </c>
      <c r="Q1241" s="221"/>
      <c r="R1241" s="221"/>
      <c r="S1241" s="221"/>
      <c r="T1241" s="221" t="s">
        <v>3363</v>
      </c>
      <c r="U1241" s="221" t="s">
        <v>3228</v>
      </c>
      <c r="V1241" s="221" t="s">
        <v>3364</v>
      </c>
      <c r="W1241" s="221" t="s">
        <v>3365</v>
      </c>
      <c r="X1241" s="221"/>
      <c r="Y1241" s="227"/>
      <c r="Z1241" s="227" t="str">
        <f>P1241</f>
        <v>Tunjungtirto RW 08 Singosari</v>
      </c>
      <c r="AA1241" s="276" t="e">
        <f>VLOOKUP(Logfile_S[[#This Row],[DO number]],DO_DB!G:I,3,0)</f>
        <v>#N/A</v>
      </c>
      <c r="AB1241" s="331" t="e">
        <f>EXACT(Logfile_S[[#This Row],[date pick]],Logfile_S[[#This Row],[Date]])</f>
        <v>#N/A</v>
      </c>
      <c r="AC12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42" spans="1:29" ht="14.5">
      <c r="A1242" s="220" t="str">
        <f>TEXT(ROW(A1242)-ROW($A$4),"000")</f>
        <v>1238</v>
      </c>
      <c r="B1242" s="221"/>
      <c r="C1242" s="221" t="s">
        <v>49</v>
      </c>
      <c r="D1242" s="221" t="s">
        <v>4005</v>
      </c>
      <c r="E1242" s="221" t="s">
        <v>3295</v>
      </c>
      <c r="F1242" s="221" t="s">
        <v>3299</v>
      </c>
      <c r="G1242" s="222">
        <v>45386</v>
      </c>
      <c r="H1242" s="223">
        <v>0.65208333333333335</v>
      </c>
      <c r="I1242" s="221" t="s">
        <v>4916</v>
      </c>
      <c r="J1242" s="221" t="s">
        <v>3023</v>
      </c>
      <c r="K1242" s="224" t="s">
        <v>3073</v>
      </c>
      <c r="L1242" s="225" t="str">
        <f>VLOOKUP(Logfile_S[[#This Row],[Material Name]],Sheet2!B:C,2,0)</f>
        <v>ZTE2001</v>
      </c>
      <c r="M1242" s="225" t="str">
        <f>_xlfn.XLOOKUP(Logfile_S[[#This Row],[Material Name]],Sum_WH!E:E,Sum_WH!F:F,"",0)</f>
        <v>Meter</v>
      </c>
      <c r="N1242" s="221">
        <v>3000</v>
      </c>
      <c r="O1242" s="221" t="s">
        <v>1151</v>
      </c>
      <c r="P1242" s="221" t="s">
        <v>1152</v>
      </c>
      <c r="Q1242" s="221"/>
      <c r="R1242" s="221"/>
      <c r="S1242" s="221"/>
      <c r="T1242" s="221" t="s">
        <v>3363</v>
      </c>
      <c r="U1242" s="221" t="s">
        <v>3228</v>
      </c>
      <c r="V1242" s="221" t="s">
        <v>3364</v>
      </c>
      <c r="W1242" s="221" t="s">
        <v>3365</v>
      </c>
      <c r="X1242" s="221"/>
      <c r="Y1242" s="227"/>
      <c r="Z1242" s="227" t="str">
        <f>P1242</f>
        <v>Tunjungtirto RW 08 Singosari</v>
      </c>
      <c r="AA1242" s="276" t="e">
        <f>VLOOKUP(Logfile_S[[#This Row],[DO number]],DO_DB!G:I,3,0)</f>
        <v>#N/A</v>
      </c>
      <c r="AB1242" s="331" t="e">
        <f>EXACT(Logfile_S[[#This Row],[date pick]],Logfile_S[[#This Row],[Date]])</f>
        <v>#N/A</v>
      </c>
      <c r="AC12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43" spans="1:29" ht="14.5">
      <c r="A1243" s="220" t="str">
        <f>TEXT(ROW(A1243)-ROW($A$4),"000")</f>
        <v>1239</v>
      </c>
      <c r="B1243" s="221"/>
      <c r="C1243" s="221" t="s">
        <v>49</v>
      </c>
      <c r="D1243" s="221" t="s">
        <v>4003</v>
      </c>
      <c r="E1243" s="221" t="s">
        <v>3295</v>
      </c>
      <c r="F1243" s="221" t="s">
        <v>3299</v>
      </c>
      <c r="G1243" s="222">
        <v>45386</v>
      </c>
      <c r="H1243" s="223">
        <v>0.65208333333333335</v>
      </c>
      <c r="I1243" s="221" t="s">
        <v>4916</v>
      </c>
      <c r="J1243" s="221" t="s">
        <v>3024</v>
      </c>
      <c r="K1243" s="224" t="s">
        <v>3087</v>
      </c>
      <c r="L1243" s="225" t="str">
        <f>VLOOKUP(Logfile_S[[#This Row],[Material Name]],Sheet2!B:C,2,0)</f>
        <v>GCI1001</v>
      </c>
      <c r="M1243" s="225" t="str">
        <f>_xlfn.XLOOKUP(Logfile_S[[#This Row],[Material Name]],Sum_WH!E:E,Sum_WH!F:F,"",0)</f>
        <v>Pcs</v>
      </c>
      <c r="N1243" s="221">
        <v>14</v>
      </c>
      <c r="O1243" s="221" t="s">
        <v>1151</v>
      </c>
      <c r="P1243" s="221" t="s">
        <v>1152</v>
      </c>
      <c r="Q1243" s="221"/>
      <c r="R1243" s="221"/>
      <c r="S1243" s="221"/>
      <c r="T1243" s="221" t="s">
        <v>3363</v>
      </c>
      <c r="U1243" s="221" t="s">
        <v>3228</v>
      </c>
      <c r="V1243" s="221" t="s">
        <v>3364</v>
      </c>
      <c r="W1243" s="221" t="s">
        <v>3365</v>
      </c>
      <c r="X1243" s="221"/>
      <c r="Y1243" s="227"/>
      <c r="Z1243" s="227" t="str">
        <f>P1243</f>
        <v>Tunjungtirto RW 08 Singosari</v>
      </c>
      <c r="AA1243" s="276" t="e">
        <f>VLOOKUP(Logfile_S[[#This Row],[DO number]],DO_DB!G:I,3,0)</f>
        <v>#N/A</v>
      </c>
      <c r="AB1243" s="331" t="e">
        <f>EXACT(Logfile_S[[#This Row],[date pick]],Logfile_S[[#This Row],[Date]])</f>
        <v>#N/A</v>
      </c>
      <c r="AC12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44" spans="1:29" ht="14.5">
      <c r="A1244" s="220" t="str">
        <f>TEXT(ROW(A1244)-ROW($A$4),"000")</f>
        <v>1240</v>
      </c>
      <c r="B1244" s="221"/>
      <c r="C1244" s="221" t="s">
        <v>49</v>
      </c>
      <c r="D1244" s="221" t="s">
        <v>4008</v>
      </c>
      <c r="E1244" s="221" t="s">
        <v>3295</v>
      </c>
      <c r="F1244" s="221" t="s">
        <v>3299</v>
      </c>
      <c r="G1244" s="222">
        <v>45400</v>
      </c>
      <c r="H1244" s="223">
        <v>0.42499999999999999</v>
      </c>
      <c r="I1244" s="221" t="s">
        <v>4916</v>
      </c>
      <c r="J1244" s="221" t="s">
        <v>3023</v>
      </c>
      <c r="K1244" s="224" t="s">
        <v>3071</v>
      </c>
      <c r="L1244" s="225" t="str">
        <f>VLOOKUP(Logfile_S[[#This Row],[Material Name]],Sheet2!B:C,2,0)</f>
        <v>ZTE1003</v>
      </c>
      <c r="M1244" s="225" t="str">
        <f>_xlfn.XLOOKUP(Logfile_S[[#This Row],[Material Name]],Sum_WH!E:E,Sum_WH!F:F,"",0)</f>
        <v>Pcs</v>
      </c>
      <c r="N1244" s="221">
        <v>2</v>
      </c>
      <c r="O1244" s="221" t="s">
        <v>1151</v>
      </c>
      <c r="P1244" s="221" t="s">
        <v>1152</v>
      </c>
      <c r="Q1244" s="221"/>
      <c r="R1244" s="221"/>
      <c r="S1244" s="221"/>
      <c r="T1244" s="221" t="s">
        <v>3363</v>
      </c>
      <c r="U1244" s="221" t="s">
        <v>3228</v>
      </c>
      <c r="V1244" s="221" t="s">
        <v>3364</v>
      </c>
      <c r="W1244" s="221" t="s">
        <v>3365</v>
      </c>
      <c r="X1244" s="221"/>
      <c r="Y1244" s="227"/>
      <c r="Z1244" s="227" t="str">
        <f>P1244</f>
        <v>Tunjungtirto RW 08 Singosari</v>
      </c>
      <c r="AA1244" s="276" t="e">
        <f>VLOOKUP(Logfile_S[[#This Row],[DO number]],DO_DB!G:I,3,0)</f>
        <v>#N/A</v>
      </c>
      <c r="AB1244" s="331" t="e">
        <f>EXACT(Logfile_S[[#This Row],[date pick]],Logfile_S[[#This Row],[Date]])</f>
        <v>#N/A</v>
      </c>
      <c r="AC12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45" spans="1:29" ht="14.5">
      <c r="A1245" s="220" t="str">
        <f>TEXT(ROW(A1245)-ROW($A$4),"000")</f>
        <v>1241</v>
      </c>
      <c r="B1245" s="221"/>
      <c r="C1245" s="221" t="s">
        <v>49</v>
      </c>
      <c r="D1245" s="221" t="s">
        <v>4037</v>
      </c>
      <c r="E1245" s="221" t="s">
        <v>3295</v>
      </c>
      <c r="F1245" s="221" t="s">
        <v>3299</v>
      </c>
      <c r="G1245" s="222">
        <v>45420</v>
      </c>
      <c r="H1245" s="223">
        <v>0.39027777777777778</v>
      </c>
      <c r="I1245" s="221" t="s">
        <v>4916</v>
      </c>
      <c r="J1245" s="221" t="s">
        <v>3023</v>
      </c>
      <c r="K1245" s="224" t="s">
        <v>3071</v>
      </c>
      <c r="L1245" s="225" t="str">
        <f>VLOOKUP(Logfile_S[[#This Row],[Material Name]],Sheet2!B:C,2,0)</f>
        <v>ZTE1003</v>
      </c>
      <c r="M1245" s="225" t="str">
        <f>_xlfn.XLOOKUP(Logfile_S[[#This Row],[Material Name]],Sum_WH!E:E,Sum_WH!F:F,"",0)</f>
        <v>Pcs</v>
      </c>
      <c r="N1245" s="221">
        <v>1</v>
      </c>
      <c r="O1245" s="221" t="s">
        <v>1151</v>
      </c>
      <c r="P1245" s="221" t="s">
        <v>1152</v>
      </c>
      <c r="Q1245" s="221"/>
      <c r="R1245" s="221"/>
      <c r="S1245" s="221"/>
      <c r="T1245" s="221" t="s">
        <v>3363</v>
      </c>
      <c r="U1245" s="221" t="s">
        <v>3228</v>
      </c>
      <c r="V1245" s="221" t="s">
        <v>3364</v>
      </c>
      <c r="W1245" s="221" t="s">
        <v>3372</v>
      </c>
      <c r="X1245" s="221"/>
      <c r="Y1245" s="227"/>
      <c r="Z1245" s="227" t="str">
        <f>P1245</f>
        <v>Tunjungtirto RW 08 Singosari</v>
      </c>
      <c r="AA1245" s="276" t="e">
        <f>VLOOKUP(Logfile_S[[#This Row],[DO number]],DO_DB!G:I,3,0)</f>
        <v>#N/A</v>
      </c>
      <c r="AB1245" s="331" t="e">
        <f>EXACT(Logfile_S[[#This Row],[date pick]],Logfile_S[[#This Row],[Date]])</f>
        <v>#N/A</v>
      </c>
      <c r="AC12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46" spans="1:29" ht="14.5">
      <c r="A1246" s="220" t="str">
        <f>TEXT(ROW(A1246)-ROW($A$4),"000")</f>
        <v>1242</v>
      </c>
      <c r="B1246" s="221"/>
      <c r="C1246" s="221" t="s">
        <v>49</v>
      </c>
      <c r="D1246" s="221" t="s">
        <v>4096</v>
      </c>
      <c r="E1246" s="221" t="s">
        <v>3295</v>
      </c>
      <c r="F1246" s="221" t="s">
        <v>3299</v>
      </c>
      <c r="G1246" s="222">
        <v>45464</v>
      </c>
      <c r="H1246" s="223">
        <v>0.51180555555555551</v>
      </c>
      <c r="I1246" s="221" t="s">
        <v>4916</v>
      </c>
      <c r="J1246" s="221" t="s">
        <v>3024</v>
      </c>
      <c r="K1246" s="224" t="s">
        <v>3087</v>
      </c>
      <c r="L1246" s="225" t="str">
        <f>VLOOKUP(Logfile_S[[#This Row],[Material Name]],Sheet2!B:C,2,0)</f>
        <v>GCI1001</v>
      </c>
      <c r="M1246" s="225" t="str">
        <f>_xlfn.XLOOKUP(Logfile_S[[#This Row],[Material Name]],Sum_WH!E:E,Sum_WH!F:F,"",0)</f>
        <v>Pcs</v>
      </c>
      <c r="N1246" s="221">
        <v>10</v>
      </c>
      <c r="O1246" s="221" t="s">
        <v>1689</v>
      </c>
      <c r="P1246" s="221" t="s">
        <v>1690</v>
      </c>
      <c r="Q1246" s="221"/>
      <c r="R1246" s="221"/>
      <c r="S1246" s="221"/>
      <c r="T1246" s="221" t="s">
        <v>3258</v>
      </c>
      <c r="U1246" s="221" t="s">
        <v>3228</v>
      </c>
      <c r="V1246" s="221" t="s">
        <v>3337</v>
      </c>
      <c r="W1246" s="221" t="s">
        <v>3338</v>
      </c>
      <c r="X1246" s="221"/>
      <c r="Y1246" s="227"/>
      <c r="Z1246" s="227" t="str">
        <f>P1246</f>
        <v>Kebonagung RW 13 Pakisaji</v>
      </c>
      <c r="AA1246" s="276" t="e">
        <f>VLOOKUP(Logfile_S[[#This Row],[DO number]],DO_DB!G:I,3,0)</f>
        <v>#N/A</v>
      </c>
      <c r="AB1246" s="331" t="e">
        <f>EXACT(Logfile_S[[#This Row],[date pick]],Logfile_S[[#This Row],[Date]])</f>
        <v>#N/A</v>
      </c>
      <c r="AC12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47" spans="1:29" ht="14.5">
      <c r="A1247" s="220" t="str">
        <f>TEXT(ROW(A1247)-ROW($A$4),"000")</f>
        <v>1243</v>
      </c>
      <c r="B1247" s="221"/>
      <c r="C1247" s="221" t="s">
        <v>49</v>
      </c>
      <c r="D1247" s="221" t="s">
        <v>4096</v>
      </c>
      <c r="E1247" s="221" t="s">
        <v>3295</v>
      </c>
      <c r="F1247" s="221" t="s">
        <v>3299</v>
      </c>
      <c r="G1247" s="222">
        <v>45464</v>
      </c>
      <c r="H1247" s="223">
        <v>0.51180555555555551</v>
      </c>
      <c r="I1247" s="221" t="s">
        <v>4916</v>
      </c>
      <c r="J1247" s="221" t="s">
        <v>3024</v>
      </c>
      <c r="K1247" s="224" t="s">
        <v>5137</v>
      </c>
      <c r="L1247" s="225" t="str">
        <f>VLOOKUP(Logfile_S[[#This Row],[Material Name]],Sheet2!B:C,2,0)</f>
        <v>GCI1009</v>
      </c>
      <c r="M1247" s="225" t="str">
        <f>_xlfn.XLOOKUP(Logfile_S[[#This Row],[Material Name]],Sum_WH!E:E,Sum_WH!F:F,"",0)</f>
        <v>Pcs</v>
      </c>
      <c r="N1247" s="221">
        <v>60</v>
      </c>
      <c r="O1247" s="221" t="s">
        <v>1689</v>
      </c>
      <c r="P1247" s="221" t="s">
        <v>1690</v>
      </c>
      <c r="Q1247" s="221"/>
      <c r="R1247" s="221"/>
      <c r="S1247" s="221"/>
      <c r="T1247" s="221" t="s">
        <v>3258</v>
      </c>
      <c r="U1247" s="221" t="s">
        <v>3228</v>
      </c>
      <c r="V1247" s="221" t="s">
        <v>3337</v>
      </c>
      <c r="W1247" s="221" t="s">
        <v>3338</v>
      </c>
      <c r="X1247" s="221"/>
      <c r="Y1247" s="227"/>
      <c r="Z1247" s="227" t="str">
        <f>P1247</f>
        <v>Kebonagung RW 13 Pakisaji</v>
      </c>
      <c r="AA1247" s="276" t="e">
        <f>VLOOKUP(Logfile_S[[#This Row],[DO number]],DO_DB!G:I,3,0)</f>
        <v>#N/A</v>
      </c>
      <c r="AB1247" s="331" t="e">
        <f>EXACT(Logfile_S[[#This Row],[date pick]],Logfile_S[[#This Row],[Date]])</f>
        <v>#N/A</v>
      </c>
      <c r="AC12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48" spans="1:29" ht="14.5">
      <c r="A1248" s="220" t="str">
        <f>TEXT(ROW(A1248)-ROW($A$4),"000")</f>
        <v>1244</v>
      </c>
      <c r="B1248" s="221"/>
      <c r="C1248" s="221" t="s">
        <v>49</v>
      </c>
      <c r="D1248" s="221" t="s">
        <v>4096</v>
      </c>
      <c r="E1248" s="221" t="s">
        <v>3295</v>
      </c>
      <c r="F1248" s="221" t="s">
        <v>3299</v>
      </c>
      <c r="G1248" s="222">
        <v>45464</v>
      </c>
      <c r="H1248" s="223">
        <v>0.51180555555555551</v>
      </c>
      <c r="I1248" s="221" t="s">
        <v>4916</v>
      </c>
      <c r="J1248" s="221" t="s">
        <v>3023</v>
      </c>
      <c r="K1248" s="224" t="s">
        <v>3070</v>
      </c>
      <c r="L1248" s="225" t="str">
        <f>VLOOKUP(Logfile_S[[#This Row],[Material Name]],Sheet2!B:C,2,0)</f>
        <v>ZTE1002</v>
      </c>
      <c r="M1248" s="225" t="str">
        <f>_xlfn.XLOOKUP(Logfile_S[[#This Row],[Material Name]],Sum_WH!E:E,Sum_WH!F:F,"",0)</f>
        <v>Pcs</v>
      </c>
      <c r="N1248" s="221">
        <v>4</v>
      </c>
      <c r="O1248" s="221" t="s">
        <v>1689</v>
      </c>
      <c r="P1248" s="221" t="s">
        <v>1690</v>
      </c>
      <c r="Q1248" s="221"/>
      <c r="R1248" s="221"/>
      <c r="S1248" s="221"/>
      <c r="T1248" s="221" t="s">
        <v>3258</v>
      </c>
      <c r="U1248" s="221" t="s">
        <v>3228</v>
      </c>
      <c r="V1248" s="221" t="s">
        <v>3337</v>
      </c>
      <c r="W1248" s="221" t="s">
        <v>3338</v>
      </c>
      <c r="X1248" s="221"/>
      <c r="Y1248" s="227"/>
      <c r="Z1248" s="227" t="str">
        <f>P1248</f>
        <v>Kebonagung RW 13 Pakisaji</v>
      </c>
      <c r="AA1248" s="276" t="e">
        <f>VLOOKUP(Logfile_S[[#This Row],[DO number]],DO_DB!G:I,3,0)</f>
        <v>#N/A</v>
      </c>
      <c r="AB1248" s="331" t="e">
        <f>EXACT(Logfile_S[[#This Row],[date pick]],Logfile_S[[#This Row],[Date]])</f>
        <v>#N/A</v>
      </c>
      <c r="AC12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49" spans="1:29" ht="14.5">
      <c r="A1249" s="220" t="str">
        <f>TEXT(ROW(A1249)-ROW($A$4),"000")</f>
        <v>1245</v>
      </c>
      <c r="B1249" s="221"/>
      <c r="C1249" s="221" t="s">
        <v>49</v>
      </c>
      <c r="D1249" s="221" t="s">
        <v>4096</v>
      </c>
      <c r="E1249" s="221" t="s">
        <v>3295</v>
      </c>
      <c r="F1249" s="221" t="s">
        <v>3299</v>
      </c>
      <c r="G1249" s="222">
        <v>45464</v>
      </c>
      <c r="H1249" s="223">
        <v>0.51180555555555551</v>
      </c>
      <c r="I1249" s="221" t="s">
        <v>4916</v>
      </c>
      <c r="J1249" s="221" t="s">
        <v>3023</v>
      </c>
      <c r="K1249" s="224" t="s">
        <v>3069</v>
      </c>
      <c r="L1249" s="225" t="str">
        <f>VLOOKUP(Logfile_S[[#This Row],[Material Name]],Sheet2!B:C,2,0)</f>
        <v>ZTE1001</v>
      </c>
      <c r="M1249" s="225" t="str">
        <f>_xlfn.XLOOKUP(Logfile_S[[#This Row],[Material Name]],Sum_WH!E:E,Sum_WH!F:F,"",0)</f>
        <v>Pcs</v>
      </c>
      <c r="N1249" s="221">
        <v>21</v>
      </c>
      <c r="O1249" s="221" t="s">
        <v>1689</v>
      </c>
      <c r="P1249" s="221" t="s">
        <v>1690</v>
      </c>
      <c r="Q1249" s="221"/>
      <c r="R1249" s="221"/>
      <c r="S1249" s="221"/>
      <c r="T1249" s="221" t="s">
        <v>3258</v>
      </c>
      <c r="U1249" s="221" t="s">
        <v>3228</v>
      </c>
      <c r="V1249" s="221" t="s">
        <v>3337</v>
      </c>
      <c r="W1249" s="221" t="s">
        <v>3338</v>
      </c>
      <c r="X1249" s="221"/>
      <c r="Y1249" s="227"/>
      <c r="Z1249" s="227" t="str">
        <f>P1249</f>
        <v>Kebonagung RW 13 Pakisaji</v>
      </c>
      <c r="AA1249" s="276" t="e">
        <f>VLOOKUP(Logfile_S[[#This Row],[DO number]],DO_DB!G:I,3,0)</f>
        <v>#N/A</v>
      </c>
      <c r="AB1249" s="331" t="e">
        <f>EXACT(Logfile_S[[#This Row],[date pick]],Logfile_S[[#This Row],[Date]])</f>
        <v>#N/A</v>
      </c>
      <c r="AC12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50" spans="1:29" ht="14.5">
      <c r="A1250" s="220" t="str">
        <f>TEXT(ROW(A1250)-ROW($A$4),"000")</f>
        <v>1246</v>
      </c>
      <c r="B1250" s="221"/>
      <c r="C1250" s="221" t="s">
        <v>49</v>
      </c>
      <c r="D1250" s="221" t="s">
        <v>4096</v>
      </c>
      <c r="E1250" s="221" t="s">
        <v>3295</v>
      </c>
      <c r="F1250" s="221" t="s">
        <v>3299</v>
      </c>
      <c r="G1250" s="222">
        <v>45464</v>
      </c>
      <c r="H1250" s="223">
        <v>0.51180555555555551</v>
      </c>
      <c r="I1250" s="221" t="s">
        <v>4916</v>
      </c>
      <c r="J1250" s="221" t="s">
        <v>3024</v>
      </c>
      <c r="K1250" s="224" t="s">
        <v>3094</v>
      </c>
      <c r="L1250" s="225" t="str">
        <f>VLOOKUP(Logfile_S[[#This Row],[Material Name]],Sheet2!B:C,2,0)</f>
        <v>GCI1008</v>
      </c>
      <c r="M1250" s="225" t="str">
        <f>_xlfn.XLOOKUP(Logfile_S[[#This Row],[Material Name]],Sum_WH!E:E,Sum_WH!F:F,"",0)</f>
        <v>Pcs</v>
      </c>
      <c r="N1250" s="221">
        <v>53</v>
      </c>
      <c r="O1250" s="221" t="s">
        <v>1689</v>
      </c>
      <c r="P1250" s="221" t="s">
        <v>1690</v>
      </c>
      <c r="Q1250" s="221"/>
      <c r="R1250" s="221"/>
      <c r="S1250" s="221"/>
      <c r="T1250" s="221" t="s">
        <v>3258</v>
      </c>
      <c r="U1250" s="221" t="s">
        <v>3228</v>
      </c>
      <c r="V1250" s="221" t="s">
        <v>3337</v>
      </c>
      <c r="W1250" s="221" t="s">
        <v>3338</v>
      </c>
      <c r="X1250" s="221"/>
      <c r="Y1250" s="227"/>
      <c r="Z1250" s="227" t="str">
        <f>P1250</f>
        <v>Kebonagung RW 13 Pakisaji</v>
      </c>
      <c r="AA1250" s="276" t="e">
        <f>VLOOKUP(Logfile_S[[#This Row],[DO number]],DO_DB!G:I,3,0)</f>
        <v>#N/A</v>
      </c>
      <c r="AB1250" s="331" t="e">
        <f>EXACT(Logfile_S[[#This Row],[date pick]],Logfile_S[[#This Row],[Date]])</f>
        <v>#N/A</v>
      </c>
      <c r="AC12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51" spans="1:29" ht="14.5">
      <c r="A1251" s="220" t="str">
        <f>TEXT(ROW(A1251)-ROW($A$4),"000")</f>
        <v>1247</v>
      </c>
      <c r="B1251" s="221"/>
      <c r="C1251" s="221" t="s">
        <v>49</v>
      </c>
      <c r="D1251" s="221" t="s">
        <v>4096</v>
      </c>
      <c r="E1251" s="221" t="s">
        <v>3295</v>
      </c>
      <c r="F1251" s="221" t="s">
        <v>3299</v>
      </c>
      <c r="G1251" s="222">
        <v>45464</v>
      </c>
      <c r="H1251" s="223">
        <v>0.51180555555555551</v>
      </c>
      <c r="I1251" s="221" t="s">
        <v>4916</v>
      </c>
      <c r="J1251" s="221" t="s">
        <v>3024</v>
      </c>
      <c r="K1251" s="224" t="s">
        <v>3090</v>
      </c>
      <c r="L1251" s="225" t="str">
        <f>VLOOKUP(Logfile_S[[#This Row],[Material Name]],Sheet2!B:C,2,0)</f>
        <v>GCI1004</v>
      </c>
      <c r="M1251" s="225" t="str">
        <f>_xlfn.XLOOKUP(Logfile_S[[#This Row],[Material Name]],Sum_WH!E:E,Sum_WH!F:F,"",0)</f>
        <v>Pcs</v>
      </c>
      <c r="N1251" s="221">
        <v>15</v>
      </c>
      <c r="O1251" s="221" t="s">
        <v>1689</v>
      </c>
      <c r="P1251" s="221" t="s">
        <v>1690</v>
      </c>
      <c r="Q1251" s="221"/>
      <c r="R1251" s="221"/>
      <c r="S1251" s="221"/>
      <c r="T1251" s="221" t="s">
        <v>3258</v>
      </c>
      <c r="U1251" s="221" t="s">
        <v>3228</v>
      </c>
      <c r="V1251" s="221" t="s">
        <v>3337</v>
      </c>
      <c r="W1251" s="221" t="s">
        <v>3338</v>
      </c>
      <c r="X1251" s="221"/>
      <c r="Y1251" s="227"/>
      <c r="Z1251" s="227" t="str">
        <f>P1251</f>
        <v>Kebonagung RW 13 Pakisaji</v>
      </c>
      <c r="AA1251" s="276" t="e">
        <f>VLOOKUP(Logfile_S[[#This Row],[DO number]],DO_DB!G:I,3,0)</f>
        <v>#N/A</v>
      </c>
      <c r="AB1251" s="331" t="e">
        <f>EXACT(Logfile_S[[#This Row],[date pick]],Logfile_S[[#This Row],[Date]])</f>
        <v>#N/A</v>
      </c>
      <c r="AC12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52" spans="1:29" ht="14.5">
      <c r="A1252" s="220" t="str">
        <f>TEXT(ROW(A1252)-ROW($A$4),"000")</f>
        <v>1248</v>
      </c>
      <c r="B1252" s="221"/>
      <c r="C1252" s="221" t="s">
        <v>49</v>
      </c>
      <c r="D1252" s="221" t="s">
        <v>4097</v>
      </c>
      <c r="E1252" s="221" t="s">
        <v>3295</v>
      </c>
      <c r="F1252" s="221" t="s">
        <v>3299</v>
      </c>
      <c r="G1252" s="222">
        <v>45465</v>
      </c>
      <c r="H1252" s="223">
        <v>0.62569444444444444</v>
      </c>
      <c r="I1252" s="221" t="s">
        <v>4916</v>
      </c>
      <c r="J1252" s="221" t="s">
        <v>3023</v>
      </c>
      <c r="K1252" s="224" t="s">
        <v>3075</v>
      </c>
      <c r="L1252" s="225" t="str">
        <f>VLOOKUP(Logfile_S[[#This Row],[Material Name]],Sheet2!B:C,2,0)</f>
        <v>ZTE2003</v>
      </c>
      <c r="M1252" s="225" t="str">
        <f>_xlfn.XLOOKUP(Logfile_S[[#This Row],[Material Name]],Sum_WH!E:E,Sum_WH!F:F,"",0)</f>
        <v>Meter</v>
      </c>
      <c r="N1252" s="221">
        <v>3000</v>
      </c>
      <c r="O1252" s="221" t="s">
        <v>1689</v>
      </c>
      <c r="P1252" s="221" t="s">
        <v>1690</v>
      </c>
      <c r="Q1252" s="221"/>
      <c r="R1252" s="221"/>
      <c r="S1252" s="221"/>
      <c r="T1252" s="221" t="s">
        <v>3258</v>
      </c>
      <c r="U1252" s="221" t="s">
        <v>3228</v>
      </c>
      <c r="V1252" s="221" t="s">
        <v>3337</v>
      </c>
      <c r="W1252" s="221" t="s">
        <v>3338</v>
      </c>
      <c r="X1252" s="221" t="s">
        <v>3564</v>
      </c>
      <c r="Y1252" s="227"/>
      <c r="Z1252" s="227" t="str">
        <f>P1252</f>
        <v>Kebonagung RW 13 Pakisaji</v>
      </c>
      <c r="AA1252" s="276" t="e">
        <f>VLOOKUP(Logfile_S[[#This Row],[DO number]],DO_DB!G:I,3,0)</f>
        <v>#N/A</v>
      </c>
      <c r="AB1252" s="331" t="e">
        <f>EXACT(Logfile_S[[#This Row],[date pick]],Logfile_S[[#This Row],[Date]])</f>
        <v>#N/A</v>
      </c>
      <c r="AC12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53" spans="1:29" ht="14.5">
      <c r="A1253" s="220" t="str">
        <f>TEXT(ROW(A1253)-ROW($A$4),"000")</f>
        <v>1249</v>
      </c>
      <c r="B1253" s="221"/>
      <c r="C1253" s="221" t="s">
        <v>49</v>
      </c>
      <c r="D1253" s="221" t="s">
        <v>4097</v>
      </c>
      <c r="E1253" s="221" t="s">
        <v>3295</v>
      </c>
      <c r="F1253" s="221" t="s">
        <v>3299</v>
      </c>
      <c r="G1253" s="222">
        <v>45465</v>
      </c>
      <c r="H1253" s="223">
        <v>0.62569444444444444</v>
      </c>
      <c r="I1253" s="221" t="s">
        <v>4916</v>
      </c>
      <c r="J1253" s="221" t="s">
        <v>3024</v>
      </c>
      <c r="K1253" s="224" t="s">
        <v>3091</v>
      </c>
      <c r="L1253" s="225" t="str">
        <f>VLOOKUP(Logfile_S[[#This Row],[Material Name]],Sheet2!B:C,2,0)</f>
        <v>GCI1005</v>
      </c>
      <c r="M1253" s="225" t="str">
        <f>_xlfn.XLOOKUP(Logfile_S[[#This Row],[Material Name]],Sum_WH!E:E,Sum_WH!F:F,"",0)</f>
        <v>Pcs</v>
      </c>
      <c r="N1253" s="221">
        <v>40</v>
      </c>
      <c r="O1253" s="221" t="s">
        <v>1689</v>
      </c>
      <c r="P1253" s="221" t="s">
        <v>1690</v>
      </c>
      <c r="Q1253" s="221"/>
      <c r="R1253" s="221"/>
      <c r="S1253" s="221"/>
      <c r="T1253" s="221" t="s">
        <v>3258</v>
      </c>
      <c r="U1253" s="221" t="s">
        <v>3228</v>
      </c>
      <c r="V1253" s="221" t="s">
        <v>3337</v>
      </c>
      <c r="W1253" s="221" t="s">
        <v>3338</v>
      </c>
      <c r="X1253" s="221"/>
      <c r="Y1253" s="227"/>
      <c r="Z1253" s="227" t="str">
        <f>P1253</f>
        <v>Kebonagung RW 13 Pakisaji</v>
      </c>
      <c r="AA1253" s="276" t="e">
        <f>VLOOKUP(Logfile_S[[#This Row],[DO number]],DO_DB!G:I,3,0)</f>
        <v>#N/A</v>
      </c>
      <c r="AB1253" s="331" t="e">
        <f>EXACT(Logfile_S[[#This Row],[date pick]],Logfile_S[[#This Row],[Date]])</f>
        <v>#N/A</v>
      </c>
      <c r="AC12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54" spans="1:29" ht="14.5">
      <c r="A1254" s="220" t="str">
        <f>TEXT(ROW(A1254)-ROW($A$4),"000")</f>
        <v>1250</v>
      </c>
      <c r="B1254" s="221"/>
      <c r="C1254" s="221" t="s">
        <v>49</v>
      </c>
      <c r="D1254" s="221" t="s">
        <v>4097</v>
      </c>
      <c r="E1254" s="221" t="s">
        <v>3295</v>
      </c>
      <c r="F1254" s="221" t="s">
        <v>3299</v>
      </c>
      <c r="G1254" s="222">
        <v>45465</v>
      </c>
      <c r="H1254" s="223">
        <v>0.62569444444444444</v>
      </c>
      <c r="I1254" s="221" t="s">
        <v>4916</v>
      </c>
      <c r="J1254" s="221" t="s">
        <v>3024</v>
      </c>
      <c r="K1254" s="224" t="s">
        <v>3087</v>
      </c>
      <c r="L1254" s="225" t="str">
        <f>VLOOKUP(Logfile_S[[#This Row],[Material Name]],Sheet2!B:C,2,0)</f>
        <v>GCI1001</v>
      </c>
      <c r="M1254" s="225" t="str">
        <f>_xlfn.XLOOKUP(Logfile_S[[#This Row],[Material Name]],Sum_WH!E:E,Sum_WH!F:F,"",0)</f>
        <v>Pcs</v>
      </c>
      <c r="N1254" s="221">
        <v>7</v>
      </c>
      <c r="O1254" s="221" t="s">
        <v>1689</v>
      </c>
      <c r="P1254" s="221" t="s">
        <v>1690</v>
      </c>
      <c r="Q1254" s="221"/>
      <c r="R1254" s="221"/>
      <c r="S1254" s="221"/>
      <c r="T1254" s="221" t="s">
        <v>3258</v>
      </c>
      <c r="U1254" s="221" t="s">
        <v>3228</v>
      </c>
      <c r="V1254" s="221" t="s">
        <v>3337</v>
      </c>
      <c r="W1254" s="221" t="s">
        <v>3338</v>
      </c>
      <c r="X1254" s="221"/>
      <c r="Y1254" s="227"/>
      <c r="Z1254" s="227" t="str">
        <f>P1254</f>
        <v>Kebonagung RW 13 Pakisaji</v>
      </c>
      <c r="AA1254" s="276" t="e">
        <f>VLOOKUP(Logfile_S[[#This Row],[DO number]],DO_DB!G:I,3,0)</f>
        <v>#N/A</v>
      </c>
      <c r="AB1254" s="331" t="e">
        <f>EXACT(Logfile_S[[#This Row],[date pick]],Logfile_S[[#This Row],[Date]])</f>
        <v>#N/A</v>
      </c>
      <c r="AC12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55" spans="1:29" ht="14.5">
      <c r="A1255" s="220" t="str">
        <f>TEXT(ROW(A1255)-ROW($A$4),"000")</f>
        <v>1251</v>
      </c>
      <c r="B1255" s="221"/>
      <c r="C1255" s="221" t="s">
        <v>49</v>
      </c>
      <c r="D1255" s="221" t="s">
        <v>4097</v>
      </c>
      <c r="E1255" s="221" t="s">
        <v>3295</v>
      </c>
      <c r="F1255" s="221" t="s">
        <v>3299</v>
      </c>
      <c r="G1255" s="222">
        <v>45465</v>
      </c>
      <c r="H1255" s="223">
        <v>0.62569444444444444</v>
      </c>
      <c r="I1255" s="221" t="s">
        <v>4916</v>
      </c>
      <c r="J1255" s="221" t="s">
        <v>3023</v>
      </c>
      <c r="K1255" s="224" t="s">
        <v>3070</v>
      </c>
      <c r="L1255" s="225" t="str">
        <f>VLOOKUP(Logfile_S[[#This Row],[Material Name]],Sheet2!B:C,2,0)</f>
        <v>ZTE1002</v>
      </c>
      <c r="M1255" s="225" t="str">
        <f>_xlfn.XLOOKUP(Logfile_S[[#This Row],[Material Name]],Sum_WH!E:E,Sum_WH!F:F,"",0)</f>
        <v>Pcs</v>
      </c>
      <c r="N1255" s="221">
        <v>3</v>
      </c>
      <c r="O1255" s="221" t="s">
        <v>1689</v>
      </c>
      <c r="P1255" s="221" t="s">
        <v>1690</v>
      </c>
      <c r="Q1255" s="221"/>
      <c r="R1255" s="221"/>
      <c r="S1255" s="221"/>
      <c r="T1255" s="221" t="s">
        <v>3258</v>
      </c>
      <c r="U1255" s="221" t="s">
        <v>3228</v>
      </c>
      <c r="V1255" s="221" t="s">
        <v>3337</v>
      </c>
      <c r="W1255" s="221" t="s">
        <v>3338</v>
      </c>
      <c r="X1255" s="221"/>
      <c r="Y1255" s="227"/>
      <c r="Z1255" s="227" t="str">
        <f>P1255</f>
        <v>Kebonagung RW 13 Pakisaji</v>
      </c>
      <c r="AA1255" s="276" t="e">
        <f>VLOOKUP(Logfile_S[[#This Row],[DO number]],DO_DB!G:I,3,0)</f>
        <v>#N/A</v>
      </c>
      <c r="AB1255" s="331" t="e">
        <f>EXACT(Logfile_S[[#This Row],[date pick]],Logfile_S[[#This Row],[Date]])</f>
        <v>#N/A</v>
      </c>
      <c r="AC12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56" spans="1:29" ht="14.5">
      <c r="A1256" s="220" t="str">
        <f>TEXT(ROW(A1256)-ROW($A$4),"000")</f>
        <v>1252</v>
      </c>
      <c r="B1256" s="221"/>
      <c r="C1256" s="221" t="s">
        <v>49</v>
      </c>
      <c r="D1256" s="221" t="s">
        <v>4097</v>
      </c>
      <c r="E1256" s="221" t="s">
        <v>3295</v>
      </c>
      <c r="F1256" s="221" t="s">
        <v>3299</v>
      </c>
      <c r="G1256" s="222">
        <v>45465</v>
      </c>
      <c r="H1256" s="223">
        <v>0.62569444444444444</v>
      </c>
      <c r="I1256" s="221" t="s">
        <v>4916</v>
      </c>
      <c r="J1256" s="221" t="s">
        <v>3023</v>
      </c>
      <c r="K1256" s="224" t="s">
        <v>3069</v>
      </c>
      <c r="L1256" s="225" t="str">
        <f>VLOOKUP(Logfile_S[[#This Row],[Material Name]],Sheet2!B:C,2,0)</f>
        <v>ZTE1001</v>
      </c>
      <c r="M1256" s="225" t="str">
        <f>_xlfn.XLOOKUP(Logfile_S[[#This Row],[Material Name]],Sum_WH!E:E,Sum_WH!F:F,"",0)</f>
        <v>Pcs</v>
      </c>
      <c r="N1256" s="221">
        <v>22</v>
      </c>
      <c r="O1256" s="221" t="s">
        <v>1689</v>
      </c>
      <c r="P1256" s="221" t="s">
        <v>1690</v>
      </c>
      <c r="Q1256" s="221"/>
      <c r="R1256" s="221"/>
      <c r="S1256" s="221"/>
      <c r="T1256" s="221" t="s">
        <v>3258</v>
      </c>
      <c r="U1256" s="221" t="s">
        <v>3228</v>
      </c>
      <c r="V1256" s="221" t="s">
        <v>3337</v>
      </c>
      <c r="W1256" s="221" t="s">
        <v>3338</v>
      </c>
      <c r="X1256" s="221"/>
      <c r="Y1256" s="227"/>
      <c r="Z1256" s="227" t="str">
        <f>P1256</f>
        <v>Kebonagung RW 13 Pakisaji</v>
      </c>
      <c r="AA1256" s="276" t="e">
        <f>VLOOKUP(Logfile_S[[#This Row],[DO number]],DO_DB!G:I,3,0)</f>
        <v>#N/A</v>
      </c>
      <c r="AB1256" s="331" t="e">
        <f>EXACT(Logfile_S[[#This Row],[date pick]],Logfile_S[[#This Row],[Date]])</f>
        <v>#N/A</v>
      </c>
      <c r="AC12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57" spans="1:29" ht="14.5">
      <c r="A1257" s="220" t="str">
        <f>TEXT(ROW(A1257)-ROW($A$4),"000")</f>
        <v>1253</v>
      </c>
      <c r="B1257" s="221"/>
      <c r="C1257" s="221" t="s">
        <v>48</v>
      </c>
      <c r="D1257" s="221" t="s">
        <v>4098</v>
      </c>
      <c r="E1257" s="221" t="s">
        <v>3295</v>
      </c>
      <c r="F1257" s="221" t="s">
        <v>3299</v>
      </c>
      <c r="G1257" s="222">
        <v>45467</v>
      </c>
      <c r="H1257" s="223">
        <v>15.291666666666666</v>
      </c>
      <c r="I1257" s="221" t="s">
        <v>37</v>
      </c>
      <c r="J1257" s="221" t="s">
        <v>3023</v>
      </c>
      <c r="K1257" s="224" t="s">
        <v>3075</v>
      </c>
      <c r="L1257" s="225" t="str">
        <f>VLOOKUP(Logfile_S[[#This Row],[Material Name]],Sheet2!B:C,2,0)</f>
        <v>ZTE2003</v>
      </c>
      <c r="M1257" s="225" t="str">
        <f>_xlfn.XLOOKUP(Logfile_S[[#This Row],[Material Name]],Sum_WH!E:E,Sum_WH!F:F,"",0)</f>
        <v>Meter</v>
      </c>
      <c r="N1257" s="221">
        <v>3000</v>
      </c>
      <c r="O1257" s="221" t="s">
        <v>1689</v>
      </c>
      <c r="P1257" s="221" t="s">
        <v>1690</v>
      </c>
      <c r="Q1257" s="221" t="s">
        <v>1691</v>
      </c>
      <c r="R1257" s="221" t="s">
        <v>1692</v>
      </c>
      <c r="S1257" s="221"/>
      <c r="T1257" s="221"/>
      <c r="U1257" s="221"/>
      <c r="V1257" s="221"/>
      <c r="W1257" s="221"/>
      <c r="X1257" s="221"/>
      <c r="Y1257" s="227" t="s">
        <v>5065</v>
      </c>
      <c r="Z1257" s="227" t="str">
        <f>P1257</f>
        <v>Kebonagung RW 13 Pakisaji</v>
      </c>
      <c r="AA1257" s="276">
        <f>VLOOKUP(Logfile_S[[#This Row],[DO number]],DO_DB!G:I,3,0)</f>
        <v>45467</v>
      </c>
      <c r="AB1257" s="331" t="b">
        <f>EXACT(Logfile_S[[#This Row],[date pick]],Logfile_S[[#This Row],[Date]])</f>
        <v>1</v>
      </c>
      <c r="AC12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48C-2024624-01</v>
      </c>
    </row>
    <row r="1258" spans="1:29" ht="14.5">
      <c r="A1258" s="220" t="str">
        <f>TEXT(ROW(A1258)-ROW($A$4),"000")</f>
        <v>1254</v>
      </c>
      <c r="B1258" s="221"/>
      <c r="C1258" s="221" t="s">
        <v>49</v>
      </c>
      <c r="D1258" s="221" t="s">
        <v>4101</v>
      </c>
      <c r="E1258" s="221" t="s">
        <v>3295</v>
      </c>
      <c r="F1258" s="221" t="s">
        <v>3299</v>
      </c>
      <c r="G1258" s="222">
        <v>45468</v>
      </c>
      <c r="H1258" s="223">
        <v>0.53749999999999998</v>
      </c>
      <c r="I1258" s="221" t="s">
        <v>4916</v>
      </c>
      <c r="J1258" s="221" t="s">
        <v>3023</v>
      </c>
      <c r="K1258" s="224" t="s">
        <v>13</v>
      </c>
      <c r="L1258" s="225" t="str">
        <f>VLOOKUP(Logfile_S[[#This Row],[Material Name]],Sheet2!B:C,2,0)</f>
        <v>ZTE2008</v>
      </c>
      <c r="M1258" s="225" t="str">
        <f>_xlfn.XLOOKUP(Logfile_S[[#This Row],[Material Name]],Sum_WH!E:E,Sum_WH!F:F,"",0)</f>
        <v>Pcs</v>
      </c>
      <c r="N1258" s="221">
        <v>18</v>
      </c>
      <c r="O1258" s="221" t="s">
        <v>1689</v>
      </c>
      <c r="P1258" s="221" t="s">
        <v>1690</v>
      </c>
      <c r="Q1258" s="221"/>
      <c r="R1258" s="221"/>
      <c r="S1258" s="221"/>
      <c r="T1258" s="221" t="s">
        <v>3258</v>
      </c>
      <c r="U1258" s="221" t="s">
        <v>3228</v>
      </c>
      <c r="V1258" s="221" t="s">
        <v>3337</v>
      </c>
      <c r="W1258" s="221" t="s">
        <v>3338</v>
      </c>
      <c r="X1258" s="221"/>
      <c r="Y1258" s="227"/>
      <c r="Z1258" s="227" t="str">
        <f>P1258</f>
        <v>Kebonagung RW 13 Pakisaji</v>
      </c>
      <c r="AA1258" s="276" t="e">
        <f>VLOOKUP(Logfile_S[[#This Row],[DO number]],DO_DB!G:I,3,0)</f>
        <v>#N/A</v>
      </c>
      <c r="AB1258" s="331" t="e">
        <f>EXACT(Logfile_S[[#This Row],[date pick]],Logfile_S[[#This Row],[Date]])</f>
        <v>#N/A</v>
      </c>
      <c r="AC12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59" spans="1:29" ht="14.5">
      <c r="A1259" s="220" t="str">
        <f>TEXT(ROW(A1259)-ROW($A$4),"000")</f>
        <v>1255</v>
      </c>
      <c r="B1259" s="221"/>
      <c r="C1259" s="221" t="s">
        <v>49</v>
      </c>
      <c r="D1259" s="221" t="s">
        <v>4104</v>
      </c>
      <c r="E1259" s="221" t="s">
        <v>3295</v>
      </c>
      <c r="F1259" s="221" t="s">
        <v>3299</v>
      </c>
      <c r="G1259" s="222">
        <v>45469</v>
      </c>
      <c r="H1259" s="223">
        <v>0.4145833333333333</v>
      </c>
      <c r="I1259" s="221" t="s">
        <v>4916</v>
      </c>
      <c r="J1259" s="221" t="s">
        <v>3024</v>
      </c>
      <c r="K1259" s="224" t="s">
        <v>5137</v>
      </c>
      <c r="L1259" s="225" t="str">
        <f>VLOOKUP(Logfile_S[[#This Row],[Material Name]],Sheet2!B:C,2,0)</f>
        <v>GCI1009</v>
      </c>
      <c r="M1259" s="225" t="str">
        <f>_xlfn.XLOOKUP(Logfile_S[[#This Row],[Material Name]],Sum_WH!E:E,Sum_WH!F:F,"",0)</f>
        <v>Pcs</v>
      </c>
      <c r="N1259" s="221">
        <v>222</v>
      </c>
      <c r="O1259" s="221" t="s">
        <v>1689</v>
      </c>
      <c r="P1259" s="221" t="s">
        <v>1690</v>
      </c>
      <c r="Q1259" s="221"/>
      <c r="R1259" s="221"/>
      <c r="S1259" s="221"/>
      <c r="T1259" s="221" t="s">
        <v>3258</v>
      </c>
      <c r="U1259" s="221" t="s">
        <v>3228</v>
      </c>
      <c r="V1259" s="221" t="s">
        <v>3337</v>
      </c>
      <c r="W1259" s="221" t="s">
        <v>3338</v>
      </c>
      <c r="X1259" s="221"/>
      <c r="Y1259" s="227"/>
      <c r="Z1259" s="227" t="str">
        <f>P1259</f>
        <v>Kebonagung RW 13 Pakisaji</v>
      </c>
      <c r="AA1259" s="276" t="e">
        <f>VLOOKUP(Logfile_S[[#This Row],[DO number]],DO_DB!G:I,3,0)</f>
        <v>#N/A</v>
      </c>
      <c r="AB1259" s="331" t="e">
        <f>EXACT(Logfile_S[[#This Row],[date pick]],Logfile_S[[#This Row],[Date]])</f>
        <v>#N/A</v>
      </c>
      <c r="AC12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60" spans="1:29" ht="14.5">
      <c r="A1260" s="220" t="str">
        <f>TEXT(ROW(A1260)-ROW($A$4),"000")</f>
        <v>1256</v>
      </c>
      <c r="B1260" s="221"/>
      <c r="C1260" s="221" t="s">
        <v>49</v>
      </c>
      <c r="D1260" s="221" t="s">
        <v>4105</v>
      </c>
      <c r="E1260" s="221" t="s">
        <v>3295</v>
      </c>
      <c r="F1260" s="221" t="s">
        <v>3299</v>
      </c>
      <c r="G1260" s="222">
        <v>45469</v>
      </c>
      <c r="H1260" s="223">
        <v>0.8847222222222223</v>
      </c>
      <c r="I1260" s="221" t="s">
        <v>4916</v>
      </c>
      <c r="J1260" s="221" t="s">
        <v>3023</v>
      </c>
      <c r="K1260" s="224" t="s">
        <v>14</v>
      </c>
      <c r="L1260" s="225" t="str">
        <f>VLOOKUP(Logfile_S[[#This Row],[Material Name]],Sheet2!B:C,2,0)</f>
        <v>ZTE2005</v>
      </c>
      <c r="M1260" s="225" t="str">
        <f>_xlfn.XLOOKUP(Logfile_S[[#This Row],[Material Name]],Sum_WH!E:E,Sum_WH!F:F,"",0)</f>
        <v>Pcs</v>
      </c>
      <c r="N1260" s="221">
        <v>1</v>
      </c>
      <c r="O1260" s="221" t="s">
        <v>1689</v>
      </c>
      <c r="P1260" s="221" t="s">
        <v>1690</v>
      </c>
      <c r="Q1260" s="221"/>
      <c r="R1260" s="221"/>
      <c r="S1260" s="221"/>
      <c r="T1260" s="221" t="s">
        <v>3471</v>
      </c>
      <c r="U1260" s="221">
        <v>0</v>
      </c>
      <c r="V1260" s="221" t="s">
        <v>3472</v>
      </c>
      <c r="W1260" s="221" t="s">
        <v>3473</v>
      </c>
      <c r="X1260" s="221"/>
      <c r="Y1260" s="227"/>
      <c r="Z1260" s="227" t="str">
        <f>P1260</f>
        <v>Kebonagung RW 13 Pakisaji</v>
      </c>
      <c r="AA1260" s="276" t="e">
        <f>VLOOKUP(Logfile_S[[#This Row],[DO number]],DO_DB!G:I,3,0)</f>
        <v>#N/A</v>
      </c>
      <c r="AB1260" s="331" t="e">
        <f>EXACT(Logfile_S[[#This Row],[date pick]],Logfile_S[[#This Row],[Date]])</f>
        <v>#N/A</v>
      </c>
      <c r="AC12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61" spans="1:29" ht="14.5">
      <c r="A1261" s="220" t="str">
        <f>TEXT(ROW(A1261)-ROW($A$4),"000")</f>
        <v>1257</v>
      </c>
      <c r="B1261" s="221"/>
      <c r="C1261" s="221" t="s">
        <v>49</v>
      </c>
      <c r="D1261" s="221" t="s">
        <v>4105</v>
      </c>
      <c r="E1261" s="221" t="s">
        <v>3295</v>
      </c>
      <c r="F1261" s="221" t="s">
        <v>3299</v>
      </c>
      <c r="G1261" s="222">
        <v>45469</v>
      </c>
      <c r="H1261" s="223">
        <v>0.8847222222222223</v>
      </c>
      <c r="I1261" s="221" t="s">
        <v>4916</v>
      </c>
      <c r="J1261" s="221" t="s">
        <v>3023</v>
      </c>
      <c r="K1261" s="224" t="s">
        <v>3072</v>
      </c>
      <c r="L1261" s="225" t="str">
        <f>VLOOKUP(Logfile_S[[#This Row],[Material Name]],Sheet2!B:C,2,0)</f>
        <v>ZTE1004</v>
      </c>
      <c r="M1261" s="225" t="str">
        <f>_xlfn.XLOOKUP(Logfile_S[[#This Row],[Material Name]],Sum_WH!E:E,Sum_WH!F:F,"",0)</f>
        <v>Pcs</v>
      </c>
      <c r="N1261" s="221">
        <v>1</v>
      </c>
      <c r="O1261" s="221" t="s">
        <v>1689</v>
      </c>
      <c r="P1261" s="221" t="s">
        <v>1690</v>
      </c>
      <c r="Q1261" s="221"/>
      <c r="R1261" s="221"/>
      <c r="S1261" s="221"/>
      <c r="T1261" s="221" t="s">
        <v>3471</v>
      </c>
      <c r="U1261" s="221">
        <v>0</v>
      </c>
      <c r="V1261" s="221" t="s">
        <v>3472</v>
      </c>
      <c r="W1261" s="221" t="s">
        <v>3473</v>
      </c>
      <c r="X1261" s="221"/>
      <c r="Y1261" s="227"/>
      <c r="Z1261" s="227" t="str">
        <f>P1261</f>
        <v>Kebonagung RW 13 Pakisaji</v>
      </c>
      <c r="AA1261" s="276" t="e">
        <f>VLOOKUP(Logfile_S[[#This Row],[DO number]],DO_DB!G:I,3,0)</f>
        <v>#N/A</v>
      </c>
      <c r="AB1261" s="331" t="e">
        <f>EXACT(Logfile_S[[#This Row],[date pick]],Logfile_S[[#This Row],[Date]])</f>
        <v>#N/A</v>
      </c>
      <c r="AC12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62" spans="1:29" ht="14.5">
      <c r="A1262" s="220" t="str">
        <f>TEXT(ROW(A1262)-ROW($A$4),"000")</f>
        <v>1258</v>
      </c>
      <c r="B1262" s="221"/>
      <c r="C1262" s="221" t="s">
        <v>49</v>
      </c>
      <c r="D1262" s="221" t="s">
        <v>4104</v>
      </c>
      <c r="E1262" s="221" t="s">
        <v>3295</v>
      </c>
      <c r="F1262" s="221" t="s">
        <v>3299</v>
      </c>
      <c r="G1262" s="222">
        <v>45469</v>
      </c>
      <c r="H1262" s="223">
        <v>0.4145833333333333</v>
      </c>
      <c r="I1262" s="221" t="s">
        <v>4916</v>
      </c>
      <c r="J1262" s="221" t="s">
        <v>3024</v>
      </c>
      <c r="K1262" s="224" t="s">
        <v>3094</v>
      </c>
      <c r="L1262" s="225" t="str">
        <f>VLOOKUP(Logfile_S[[#This Row],[Material Name]],Sheet2!B:C,2,0)</f>
        <v>GCI1008</v>
      </c>
      <c r="M1262" s="225" t="str">
        <f>_xlfn.XLOOKUP(Logfile_S[[#This Row],[Material Name]],Sum_WH!E:E,Sum_WH!F:F,"",0)</f>
        <v>Pcs</v>
      </c>
      <c r="N1262" s="221">
        <v>60</v>
      </c>
      <c r="O1262" s="221" t="s">
        <v>1689</v>
      </c>
      <c r="P1262" s="221" t="s">
        <v>1690</v>
      </c>
      <c r="Q1262" s="221"/>
      <c r="R1262" s="221"/>
      <c r="S1262" s="221"/>
      <c r="T1262" s="221" t="s">
        <v>3258</v>
      </c>
      <c r="U1262" s="221" t="s">
        <v>3228</v>
      </c>
      <c r="V1262" s="221" t="s">
        <v>3337</v>
      </c>
      <c r="W1262" s="221" t="s">
        <v>3338</v>
      </c>
      <c r="X1262" s="221"/>
      <c r="Y1262" s="227"/>
      <c r="Z1262" s="227" t="str">
        <f>P1262</f>
        <v>Kebonagung RW 13 Pakisaji</v>
      </c>
      <c r="AA1262" s="276" t="e">
        <f>VLOOKUP(Logfile_S[[#This Row],[DO number]],DO_DB!G:I,3,0)</f>
        <v>#N/A</v>
      </c>
      <c r="AB1262" s="331" t="e">
        <f>EXACT(Logfile_S[[#This Row],[date pick]],Logfile_S[[#This Row],[Date]])</f>
        <v>#N/A</v>
      </c>
      <c r="AC12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63" spans="1:29" ht="14.5">
      <c r="A1263" s="220" t="str">
        <f>TEXT(ROW(A1263)-ROW($A$4),"000")</f>
        <v>1259</v>
      </c>
      <c r="B1263" s="221"/>
      <c r="C1263" s="221" t="s">
        <v>49</v>
      </c>
      <c r="D1263" s="221" t="s">
        <v>4104</v>
      </c>
      <c r="E1263" s="221" t="s">
        <v>3295</v>
      </c>
      <c r="F1263" s="221" t="s">
        <v>3299</v>
      </c>
      <c r="G1263" s="222">
        <v>45469</v>
      </c>
      <c r="H1263" s="223">
        <v>0.4145833333333333</v>
      </c>
      <c r="I1263" s="221" t="s">
        <v>4916</v>
      </c>
      <c r="J1263" s="221" t="s">
        <v>3024</v>
      </c>
      <c r="K1263" s="224" t="s">
        <v>3106</v>
      </c>
      <c r="L1263" s="225" t="str">
        <f>VLOOKUP(Logfile_S[[#This Row],[Material Name]],Sheet2!B:C,2,0)</f>
        <v>GCI1018</v>
      </c>
      <c r="M1263" s="225" t="str">
        <f>_xlfn.XLOOKUP(Logfile_S[[#This Row],[Material Name]],Sum_WH!E:E,Sum_WH!F:F,"",0)</f>
        <v>Pcs</v>
      </c>
      <c r="N1263" s="221">
        <v>15</v>
      </c>
      <c r="O1263" s="221" t="s">
        <v>1689</v>
      </c>
      <c r="P1263" s="221" t="s">
        <v>1690</v>
      </c>
      <c r="Q1263" s="221"/>
      <c r="R1263" s="221"/>
      <c r="S1263" s="221"/>
      <c r="T1263" s="221" t="s">
        <v>3258</v>
      </c>
      <c r="U1263" s="221" t="s">
        <v>3228</v>
      </c>
      <c r="V1263" s="221" t="s">
        <v>3337</v>
      </c>
      <c r="W1263" s="221" t="s">
        <v>3338</v>
      </c>
      <c r="X1263" s="221"/>
      <c r="Y1263" s="227"/>
      <c r="Z1263" s="227" t="str">
        <f>P1263</f>
        <v>Kebonagung RW 13 Pakisaji</v>
      </c>
      <c r="AA1263" s="276" t="e">
        <f>VLOOKUP(Logfile_S[[#This Row],[DO number]],DO_DB!G:I,3,0)</f>
        <v>#N/A</v>
      </c>
      <c r="AB1263" s="331" t="e">
        <f>EXACT(Logfile_S[[#This Row],[date pick]],Logfile_S[[#This Row],[Date]])</f>
        <v>#N/A</v>
      </c>
      <c r="AC12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64" spans="1:29" ht="14.5">
      <c r="A1264" s="220" t="str">
        <f>TEXT(ROW(A1264)-ROW($A$4),"000")</f>
        <v>1260</v>
      </c>
      <c r="B1264" s="221"/>
      <c r="C1264" s="221" t="s">
        <v>49</v>
      </c>
      <c r="D1264" s="221" t="s">
        <v>4104</v>
      </c>
      <c r="E1264" s="221" t="s">
        <v>3295</v>
      </c>
      <c r="F1264" s="221" t="s">
        <v>3299</v>
      </c>
      <c r="G1264" s="222">
        <v>45469</v>
      </c>
      <c r="H1264" s="223">
        <v>0.4145833333333333</v>
      </c>
      <c r="I1264" s="221" t="s">
        <v>4916</v>
      </c>
      <c r="J1264" s="221" t="s">
        <v>3024</v>
      </c>
      <c r="K1264" s="224" t="s">
        <v>3090</v>
      </c>
      <c r="L1264" s="225" t="str">
        <f>VLOOKUP(Logfile_S[[#This Row],[Material Name]],Sheet2!B:C,2,0)</f>
        <v>GCI1004</v>
      </c>
      <c r="M1264" s="225" t="str">
        <f>_xlfn.XLOOKUP(Logfile_S[[#This Row],[Material Name]],Sum_WH!E:E,Sum_WH!F:F,"",0)</f>
        <v>Pcs</v>
      </c>
      <c r="N1264" s="221">
        <v>51</v>
      </c>
      <c r="O1264" s="221" t="s">
        <v>1689</v>
      </c>
      <c r="P1264" s="221" t="s">
        <v>1690</v>
      </c>
      <c r="Q1264" s="221"/>
      <c r="R1264" s="221"/>
      <c r="S1264" s="221"/>
      <c r="T1264" s="221" t="s">
        <v>3258</v>
      </c>
      <c r="U1264" s="221" t="s">
        <v>3228</v>
      </c>
      <c r="V1264" s="221" t="s">
        <v>3337</v>
      </c>
      <c r="W1264" s="221" t="s">
        <v>3338</v>
      </c>
      <c r="X1264" s="221"/>
      <c r="Y1264" s="227"/>
      <c r="Z1264" s="227" t="str">
        <f>P1264</f>
        <v>Kebonagung RW 13 Pakisaji</v>
      </c>
      <c r="AA1264" s="276" t="e">
        <f>VLOOKUP(Logfile_S[[#This Row],[DO number]],DO_DB!G:I,3,0)</f>
        <v>#N/A</v>
      </c>
      <c r="AB1264" s="331" t="e">
        <f>EXACT(Logfile_S[[#This Row],[date pick]],Logfile_S[[#This Row],[Date]])</f>
        <v>#N/A</v>
      </c>
      <c r="AC12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65" spans="1:29" ht="14.5">
      <c r="A1265" s="220" t="str">
        <f>TEXT(ROW(A1265)-ROW($A$4),"000")</f>
        <v>1261</v>
      </c>
      <c r="B1265" s="221"/>
      <c r="C1265" s="221" t="s">
        <v>49</v>
      </c>
      <c r="D1265" s="221" t="s">
        <v>4106</v>
      </c>
      <c r="E1265" s="221" t="s">
        <v>3295</v>
      </c>
      <c r="F1265" s="221" t="s">
        <v>3299</v>
      </c>
      <c r="G1265" s="222">
        <v>45470</v>
      </c>
      <c r="H1265" s="223">
        <v>0.53680555555555554</v>
      </c>
      <c r="I1265" s="221" t="s">
        <v>4916</v>
      </c>
      <c r="J1265" s="221" t="s">
        <v>3023</v>
      </c>
      <c r="K1265" s="224" t="s">
        <v>3071</v>
      </c>
      <c r="L1265" s="225" t="str">
        <f>VLOOKUP(Logfile_S[[#This Row],[Material Name]],Sheet2!B:C,2,0)</f>
        <v>ZTE1003</v>
      </c>
      <c r="M1265" s="225" t="str">
        <f>_xlfn.XLOOKUP(Logfile_S[[#This Row],[Material Name]],Sum_WH!E:E,Sum_WH!F:F,"",0)</f>
        <v>Pcs</v>
      </c>
      <c r="N1265" s="221">
        <v>4</v>
      </c>
      <c r="O1265" s="221" t="s">
        <v>1689</v>
      </c>
      <c r="P1265" s="221" t="s">
        <v>1690</v>
      </c>
      <c r="Q1265" s="221"/>
      <c r="R1265" s="221"/>
      <c r="S1265" s="221"/>
      <c r="T1265" s="221" t="s">
        <v>3258</v>
      </c>
      <c r="U1265" s="221" t="s">
        <v>3228</v>
      </c>
      <c r="V1265" s="221" t="s">
        <v>3337</v>
      </c>
      <c r="W1265" s="221" t="s">
        <v>3338</v>
      </c>
      <c r="X1265" s="221"/>
      <c r="Y1265" s="227"/>
      <c r="Z1265" s="227" t="str">
        <f>P1265</f>
        <v>Kebonagung RW 13 Pakisaji</v>
      </c>
      <c r="AA1265" s="276" t="e">
        <f>VLOOKUP(Logfile_S[[#This Row],[DO number]],DO_DB!G:I,3,0)</f>
        <v>#N/A</v>
      </c>
      <c r="AB1265" s="331" t="e">
        <f>EXACT(Logfile_S[[#This Row],[date pick]],Logfile_S[[#This Row],[Date]])</f>
        <v>#N/A</v>
      </c>
      <c r="AC12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66" spans="1:29" ht="14.5">
      <c r="A1266" s="220" t="str">
        <f>TEXT(ROW(A1266)-ROW($A$4),"000")</f>
        <v>1262</v>
      </c>
      <c r="B1266" s="221"/>
      <c r="C1266" s="221" t="s">
        <v>48</v>
      </c>
      <c r="D1266" s="221" t="s">
        <v>4113</v>
      </c>
      <c r="E1266" s="221" t="s">
        <v>3295</v>
      </c>
      <c r="F1266" s="221" t="s">
        <v>3299</v>
      </c>
      <c r="G1266" s="222">
        <v>45481</v>
      </c>
      <c r="H1266" s="223">
        <v>15.291666666666666</v>
      </c>
      <c r="I1266" s="221" t="s">
        <v>37</v>
      </c>
      <c r="J1266" s="221" t="s">
        <v>3023</v>
      </c>
      <c r="K1266" s="224" t="s">
        <v>14</v>
      </c>
      <c r="L1266" s="225" t="str">
        <f>VLOOKUP(Logfile_S[[#This Row],[Material Name]],Sheet2!B:C,2,0)</f>
        <v>ZTE2005</v>
      </c>
      <c r="M1266" s="225" t="str">
        <f>_xlfn.XLOOKUP(Logfile_S[[#This Row],[Material Name]],Sum_WH!E:E,Sum_WH!F:F,"",0)</f>
        <v>Pcs</v>
      </c>
      <c r="N1266" s="221">
        <v>6</v>
      </c>
      <c r="O1266" s="221" t="s">
        <v>1689</v>
      </c>
      <c r="P1266" s="221" t="s">
        <v>1690</v>
      </c>
      <c r="Q1266" s="221">
        <v>0</v>
      </c>
      <c r="R1266" s="221">
        <v>0</v>
      </c>
      <c r="S1266" s="221"/>
      <c r="T1266" s="221"/>
      <c r="U1266" s="221"/>
      <c r="V1266" s="221"/>
      <c r="W1266" s="221"/>
      <c r="X1266" s="221"/>
      <c r="Y1266" s="227"/>
      <c r="Z1266" s="227" t="str">
        <f>P1266</f>
        <v>Kebonagung RW 13 Pakisaji</v>
      </c>
      <c r="AA1266" s="276" t="e">
        <f>VLOOKUP(Logfile_S[[#This Row],[DO number]],DO_DB!G:I,3,0)</f>
        <v>#N/A</v>
      </c>
      <c r="AB1266" s="331" t="e">
        <f>EXACT(Logfile_S[[#This Row],[date pick]],Logfile_S[[#This Row],[Date]])</f>
        <v>#N/A</v>
      </c>
      <c r="AC12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67" spans="1:29" ht="14.5">
      <c r="A1267" s="220" t="str">
        <f>TEXT(ROW(A1267)-ROW($A$4),"000")</f>
        <v>1263</v>
      </c>
      <c r="B1267" s="221"/>
      <c r="C1267" s="221" t="s">
        <v>49</v>
      </c>
      <c r="D1267" s="221" t="s">
        <v>4109</v>
      </c>
      <c r="E1267" s="221" t="s">
        <v>3295</v>
      </c>
      <c r="F1267" s="221" t="s">
        <v>3299</v>
      </c>
      <c r="G1267" s="222">
        <v>45477</v>
      </c>
      <c r="H1267" s="223">
        <v>0.4236111111111111</v>
      </c>
      <c r="I1267" s="221" t="s">
        <v>4916</v>
      </c>
      <c r="J1267" s="221" t="s">
        <v>3023</v>
      </c>
      <c r="K1267" s="224" t="s">
        <v>3069</v>
      </c>
      <c r="L1267" s="225" t="str">
        <f>VLOOKUP(Logfile_S[[#This Row],[Material Name]],Sheet2!B:C,2,0)</f>
        <v>ZTE1001</v>
      </c>
      <c r="M1267" s="225" t="str">
        <f>_xlfn.XLOOKUP(Logfile_S[[#This Row],[Material Name]],Sum_WH!E:E,Sum_WH!F:F,"",0)</f>
        <v>Pcs</v>
      </c>
      <c r="N1267" s="221">
        <v>28</v>
      </c>
      <c r="O1267" s="221" t="s">
        <v>2013</v>
      </c>
      <c r="P1267" s="221" t="s">
        <v>2014</v>
      </c>
      <c r="Q1267" s="221"/>
      <c r="R1267" s="221"/>
      <c r="S1267" s="221"/>
      <c r="T1267" s="221" t="s">
        <v>3258</v>
      </c>
      <c r="U1267" s="221" t="s">
        <v>3228</v>
      </c>
      <c r="V1267" s="221" t="s">
        <v>3337</v>
      </c>
      <c r="W1267" s="221" t="s">
        <v>3338</v>
      </c>
      <c r="X1267" s="221"/>
      <c r="Y1267" s="227"/>
      <c r="Z1267" s="227" t="str">
        <f>P1267</f>
        <v>Perumahan Panca Garden</v>
      </c>
      <c r="AA1267" s="276" t="e">
        <f>VLOOKUP(Logfile_S[[#This Row],[DO number]],DO_DB!G:I,3,0)</f>
        <v>#N/A</v>
      </c>
      <c r="AB1267" s="331" t="e">
        <f>EXACT(Logfile_S[[#This Row],[date pick]],Logfile_S[[#This Row],[Date]])</f>
        <v>#N/A</v>
      </c>
      <c r="AC12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68" spans="1:29" ht="14.5">
      <c r="A1268" s="220" t="str">
        <f>TEXT(ROW(A1268)-ROW($A$4),"000")</f>
        <v>1264</v>
      </c>
      <c r="B1268" s="221"/>
      <c r="C1268" s="221" t="s">
        <v>49</v>
      </c>
      <c r="D1268" s="221" t="s">
        <v>4109</v>
      </c>
      <c r="E1268" s="221" t="s">
        <v>3295</v>
      </c>
      <c r="F1268" s="221" t="s">
        <v>3299</v>
      </c>
      <c r="G1268" s="222">
        <v>45477</v>
      </c>
      <c r="H1268" s="223">
        <v>0.4236111111111111</v>
      </c>
      <c r="I1268" s="221" t="s">
        <v>4916</v>
      </c>
      <c r="J1268" s="221" t="s">
        <v>3024</v>
      </c>
      <c r="K1268" s="224" t="s">
        <v>3094</v>
      </c>
      <c r="L1268" s="225" t="str">
        <f>VLOOKUP(Logfile_S[[#This Row],[Material Name]],Sheet2!B:C,2,0)</f>
        <v>GCI1008</v>
      </c>
      <c r="M1268" s="225" t="str">
        <f>_xlfn.XLOOKUP(Logfile_S[[#This Row],[Material Name]],Sum_WH!E:E,Sum_WH!F:F,"",0)</f>
        <v>Pcs</v>
      </c>
      <c r="N1268" s="221">
        <v>100</v>
      </c>
      <c r="O1268" s="221" t="s">
        <v>2013</v>
      </c>
      <c r="P1268" s="221" t="s">
        <v>2014</v>
      </c>
      <c r="Q1268" s="221"/>
      <c r="R1268" s="221"/>
      <c r="S1268" s="221"/>
      <c r="T1268" s="221" t="s">
        <v>3258</v>
      </c>
      <c r="U1268" s="221" t="s">
        <v>3228</v>
      </c>
      <c r="V1268" s="221" t="s">
        <v>3337</v>
      </c>
      <c r="W1268" s="221" t="s">
        <v>3338</v>
      </c>
      <c r="X1268" s="221"/>
      <c r="Y1268" s="227"/>
      <c r="Z1268" s="227" t="str">
        <f>P1268</f>
        <v>Perumahan Panca Garden</v>
      </c>
      <c r="AA1268" s="276" t="e">
        <f>VLOOKUP(Logfile_S[[#This Row],[DO number]],DO_DB!G:I,3,0)</f>
        <v>#N/A</v>
      </c>
      <c r="AB1268" s="331" t="e">
        <f>EXACT(Logfile_S[[#This Row],[date pick]],Logfile_S[[#This Row],[Date]])</f>
        <v>#N/A</v>
      </c>
      <c r="AC12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69" spans="1:29" ht="14.5">
      <c r="A1269" s="220" t="str">
        <f>TEXT(ROW(A1269)-ROW($A$4),"000")</f>
        <v>1265</v>
      </c>
      <c r="B1269" s="221"/>
      <c r="C1269" s="221" t="s">
        <v>49</v>
      </c>
      <c r="D1269" s="221" t="s">
        <v>4118</v>
      </c>
      <c r="E1269" s="221" t="s">
        <v>3295</v>
      </c>
      <c r="F1269" s="221" t="s">
        <v>3299</v>
      </c>
      <c r="G1269" s="222">
        <v>45487</v>
      </c>
      <c r="H1269" s="223">
        <v>0.67222222222222228</v>
      </c>
      <c r="I1269" s="221" t="s">
        <v>4916</v>
      </c>
      <c r="J1269" s="221" t="s">
        <v>3023</v>
      </c>
      <c r="K1269" s="224" t="s">
        <v>13</v>
      </c>
      <c r="L1269" s="225" t="str">
        <f>VLOOKUP(Logfile_S[[#This Row],[Material Name]],Sheet2!B:C,2,0)</f>
        <v>ZTE2008</v>
      </c>
      <c r="M1269" s="225" t="str">
        <f>_xlfn.XLOOKUP(Logfile_S[[#This Row],[Material Name]],Sum_WH!E:E,Sum_WH!F:F,"",0)</f>
        <v>Pcs</v>
      </c>
      <c r="N1269" s="221">
        <v>9</v>
      </c>
      <c r="O1269" s="221" t="s">
        <v>2013</v>
      </c>
      <c r="P1269" s="221" t="s">
        <v>2014</v>
      </c>
      <c r="Q1269" s="221"/>
      <c r="R1269" s="221"/>
      <c r="S1269" s="221"/>
      <c r="T1269" s="221" t="s">
        <v>3258</v>
      </c>
      <c r="U1269" s="221" t="s">
        <v>3228</v>
      </c>
      <c r="V1269" s="221" t="s">
        <v>3337</v>
      </c>
      <c r="W1269" s="221" t="s">
        <v>3338</v>
      </c>
      <c r="X1269" s="221"/>
      <c r="Y1269" s="227"/>
      <c r="Z1269" s="227" t="str">
        <f>P1269</f>
        <v>Perumahan Panca Garden</v>
      </c>
      <c r="AA1269" s="276" t="e">
        <f>VLOOKUP(Logfile_S[[#This Row],[DO number]],DO_DB!G:I,3,0)</f>
        <v>#N/A</v>
      </c>
      <c r="AB1269" s="331" t="e">
        <f>EXACT(Logfile_S[[#This Row],[date pick]],Logfile_S[[#This Row],[Date]])</f>
        <v>#N/A</v>
      </c>
      <c r="AC12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70" spans="1:29" ht="14.5">
      <c r="A1270" s="220" t="str">
        <f>TEXT(ROW(A1270)-ROW($A$4),"000")</f>
        <v>1266</v>
      </c>
      <c r="B1270" s="221"/>
      <c r="C1270" s="221" t="s">
        <v>49</v>
      </c>
      <c r="D1270" s="221" t="s">
        <v>4118</v>
      </c>
      <c r="E1270" s="221" t="s">
        <v>3295</v>
      </c>
      <c r="F1270" s="221" t="s">
        <v>3299</v>
      </c>
      <c r="G1270" s="222">
        <v>45487</v>
      </c>
      <c r="H1270" s="223">
        <v>0.67222222222222228</v>
      </c>
      <c r="I1270" s="221" t="s">
        <v>4916</v>
      </c>
      <c r="J1270" s="221" t="s">
        <v>3023</v>
      </c>
      <c r="K1270" s="224" t="s">
        <v>14</v>
      </c>
      <c r="L1270" s="225" t="str">
        <f>VLOOKUP(Logfile_S[[#This Row],[Material Name]],Sheet2!B:C,2,0)</f>
        <v>ZTE2005</v>
      </c>
      <c r="M1270" s="225" t="str">
        <f>_xlfn.XLOOKUP(Logfile_S[[#This Row],[Material Name]],Sum_WH!E:E,Sum_WH!F:F,"",0)</f>
        <v>Pcs</v>
      </c>
      <c r="N1270" s="221">
        <v>1</v>
      </c>
      <c r="O1270" s="221" t="s">
        <v>2013</v>
      </c>
      <c r="P1270" s="221" t="s">
        <v>2014</v>
      </c>
      <c r="Q1270" s="221"/>
      <c r="R1270" s="221"/>
      <c r="S1270" s="221"/>
      <c r="T1270" s="221" t="s">
        <v>3258</v>
      </c>
      <c r="U1270" s="221" t="s">
        <v>3228</v>
      </c>
      <c r="V1270" s="221" t="s">
        <v>3337</v>
      </c>
      <c r="W1270" s="221" t="s">
        <v>3338</v>
      </c>
      <c r="X1270" s="221"/>
      <c r="Y1270" s="227"/>
      <c r="Z1270" s="227" t="str">
        <f>P1270</f>
        <v>Perumahan Panca Garden</v>
      </c>
      <c r="AA1270" s="276" t="e">
        <f>VLOOKUP(Logfile_S[[#This Row],[DO number]],DO_DB!G:I,3,0)</f>
        <v>#N/A</v>
      </c>
      <c r="AB1270" s="331" t="e">
        <f>EXACT(Logfile_S[[#This Row],[date pick]],Logfile_S[[#This Row],[Date]])</f>
        <v>#N/A</v>
      </c>
      <c r="AC12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71" spans="1:29" ht="14.5">
      <c r="A1271" s="220" t="str">
        <f>TEXT(ROW(A1271)-ROW($A$4),"000")</f>
        <v>1267</v>
      </c>
      <c r="B1271" s="221"/>
      <c r="C1271" s="221" t="s">
        <v>49</v>
      </c>
      <c r="D1271" s="221" t="s">
        <v>4160</v>
      </c>
      <c r="E1271" s="221" t="s">
        <v>3295</v>
      </c>
      <c r="F1271" s="221" t="s">
        <v>3299</v>
      </c>
      <c r="G1271" s="222">
        <v>45519</v>
      </c>
      <c r="H1271" s="223">
        <v>0.89444444444444449</v>
      </c>
      <c r="I1271" s="221" t="s">
        <v>4916</v>
      </c>
      <c r="J1271" s="221" t="s">
        <v>3023</v>
      </c>
      <c r="K1271" s="224" t="s">
        <v>13</v>
      </c>
      <c r="L1271" s="225" t="str">
        <f>VLOOKUP(Logfile_S[[#This Row],[Material Name]],Sheet2!B:C,2,0)</f>
        <v>ZTE2008</v>
      </c>
      <c r="M1271" s="225" t="str">
        <f>_xlfn.XLOOKUP(Logfile_S[[#This Row],[Material Name]],Sum_WH!E:E,Sum_WH!F:F,"",0)</f>
        <v>Pcs</v>
      </c>
      <c r="N1271" s="221">
        <v>4</v>
      </c>
      <c r="O1271" s="221" t="s">
        <v>2013</v>
      </c>
      <c r="P1271" s="221" t="s">
        <v>2014</v>
      </c>
      <c r="Q1271" s="221"/>
      <c r="R1271" s="221"/>
      <c r="S1271" s="221"/>
      <c r="T1271" s="221" t="s">
        <v>3231</v>
      </c>
      <c r="U1271" s="221">
        <v>0</v>
      </c>
      <c r="V1271" s="221" t="s">
        <v>3232</v>
      </c>
      <c r="W1271" s="221" t="s">
        <v>3254</v>
      </c>
      <c r="X1271" s="221"/>
      <c r="Y1271" s="227"/>
      <c r="Z1271" s="227" t="str">
        <f>P1271</f>
        <v>Perumahan Panca Garden</v>
      </c>
      <c r="AA1271" s="276" t="e">
        <f>VLOOKUP(Logfile_S[[#This Row],[DO number]],DO_DB!G:I,3,0)</f>
        <v>#N/A</v>
      </c>
      <c r="AB1271" s="331" t="e">
        <f>EXACT(Logfile_S[[#This Row],[date pick]],Logfile_S[[#This Row],[Date]])</f>
        <v>#N/A</v>
      </c>
      <c r="AC12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72" spans="1:29" ht="14.5">
      <c r="A1272" s="220" t="str">
        <f>TEXT(ROW(A1272)-ROW($A$4),"000")</f>
        <v>1268</v>
      </c>
      <c r="B1272" s="221"/>
      <c r="C1272" s="221" t="s">
        <v>48</v>
      </c>
      <c r="D1272" s="221" t="s">
        <v>4228</v>
      </c>
      <c r="E1272" s="221" t="s">
        <v>3295</v>
      </c>
      <c r="F1272" s="221" t="s">
        <v>3299</v>
      </c>
      <c r="G1272" s="222">
        <v>45555</v>
      </c>
      <c r="H1272" s="223">
        <v>15.291666666666666</v>
      </c>
      <c r="I1272" s="221" t="s">
        <v>37</v>
      </c>
      <c r="J1272" s="221" t="s">
        <v>3023</v>
      </c>
      <c r="K1272" s="224" t="s">
        <v>3071</v>
      </c>
      <c r="L1272" s="225" t="str">
        <f>VLOOKUP(Logfile_S[[#This Row],[Material Name]],Sheet2!B:C,2,0)</f>
        <v>ZTE1003</v>
      </c>
      <c r="M1272" s="225" t="str">
        <f>_xlfn.XLOOKUP(Logfile_S[[#This Row],[Material Name]],Sum_WH!E:E,Sum_WH!F:F,"",0)</f>
        <v>Pcs</v>
      </c>
      <c r="N1272" s="221">
        <v>10</v>
      </c>
      <c r="O1272" s="221" t="s">
        <v>2013</v>
      </c>
      <c r="P1272" s="221" t="s">
        <v>2014</v>
      </c>
      <c r="Q1272" s="221">
        <v>0</v>
      </c>
      <c r="R1272" s="221">
        <v>0</v>
      </c>
      <c r="S1272" s="221"/>
      <c r="T1272" s="221"/>
      <c r="U1272" s="221"/>
      <c r="V1272" s="221"/>
      <c r="W1272" s="221"/>
      <c r="X1272" s="221"/>
      <c r="Y1272" s="227"/>
      <c r="Z1272" s="227" t="str">
        <f>P1272</f>
        <v>Perumahan Panca Garden</v>
      </c>
      <c r="AA1272" s="276" t="e">
        <f>VLOOKUP(Logfile_S[[#This Row],[DO number]],DO_DB!G:I,3,0)</f>
        <v>#N/A</v>
      </c>
      <c r="AB1272" s="331" t="e">
        <f>EXACT(Logfile_S[[#This Row],[date pick]],Logfile_S[[#This Row],[Date]])</f>
        <v>#N/A</v>
      </c>
      <c r="AC12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73" spans="1:29" ht="14.5">
      <c r="A1273" s="220" t="str">
        <f>TEXT(ROW(A1273)-ROW($A$4),"000")</f>
        <v>1269</v>
      </c>
      <c r="B1273" s="221"/>
      <c r="C1273" s="221" t="s">
        <v>49</v>
      </c>
      <c r="D1273" s="221" t="s">
        <v>4280</v>
      </c>
      <c r="E1273" s="221" t="s">
        <v>3295</v>
      </c>
      <c r="F1273" s="221" t="s">
        <v>3299</v>
      </c>
      <c r="G1273" s="222">
        <v>45617</v>
      </c>
      <c r="H1273" s="223">
        <v>0.44097222222222221</v>
      </c>
      <c r="I1273" s="221" t="s">
        <v>4916</v>
      </c>
      <c r="J1273" s="221" t="s">
        <v>3023</v>
      </c>
      <c r="K1273" s="224" t="s">
        <v>3075</v>
      </c>
      <c r="L1273" s="225" t="str">
        <f>VLOOKUP(Logfile_S[[#This Row],[Material Name]],Sheet2!B:C,2,0)</f>
        <v>ZTE2003</v>
      </c>
      <c r="M1273" s="225" t="str">
        <f>_xlfn.XLOOKUP(Logfile_S[[#This Row],[Material Name]],Sum_WH!E:E,Sum_WH!F:F,"",0)</f>
        <v>Meter</v>
      </c>
      <c r="N1273" s="221">
        <v>3000</v>
      </c>
      <c r="O1273" s="221" t="s">
        <v>2013</v>
      </c>
      <c r="P1273" s="221" t="s">
        <v>2014</v>
      </c>
      <c r="Q1273" s="221"/>
      <c r="R1273" s="221"/>
      <c r="S1273" s="221"/>
      <c r="T1273" s="221" t="s">
        <v>3420</v>
      </c>
      <c r="U1273" s="221" t="s">
        <v>3247</v>
      </c>
      <c r="V1273" s="221" t="s">
        <v>3421</v>
      </c>
      <c r="W1273" s="221" t="s">
        <v>3256</v>
      </c>
      <c r="X1273" s="221" t="s">
        <v>4281</v>
      </c>
      <c r="Y1273" s="227"/>
      <c r="Z1273" s="227" t="str">
        <f>P1273</f>
        <v>Perumahan Panca Garden</v>
      </c>
      <c r="AA1273" s="276" t="e">
        <f>VLOOKUP(Logfile_S[[#This Row],[DO number]],DO_DB!G:I,3,0)</f>
        <v>#N/A</v>
      </c>
      <c r="AB1273" s="331" t="e">
        <f>EXACT(Logfile_S[[#This Row],[date pick]],Logfile_S[[#This Row],[Date]])</f>
        <v>#N/A</v>
      </c>
      <c r="AC12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74" spans="1:29" ht="14.5">
      <c r="A1274" s="220" t="str">
        <f>TEXT(ROW(A1274)-ROW($A$4),"000")</f>
        <v>1270</v>
      </c>
      <c r="B1274" s="221"/>
      <c r="C1274" s="221" t="s">
        <v>49</v>
      </c>
      <c r="D1274" s="221" t="s">
        <v>4280</v>
      </c>
      <c r="E1274" s="221" t="s">
        <v>3295</v>
      </c>
      <c r="F1274" s="221" t="s">
        <v>3299</v>
      </c>
      <c r="G1274" s="222">
        <v>45617</v>
      </c>
      <c r="H1274" s="223">
        <v>0.44097222222222221</v>
      </c>
      <c r="I1274" s="221" t="s">
        <v>4916</v>
      </c>
      <c r="J1274" s="221" t="s">
        <v>3024</v>
      </c>
      <c r="K1274" s="224" t="s">
        <v>5137</v>
      </c>
      <c r="L1274" s="225" t="str">
        <f>VLOOKUP(Logfile_S[[#This Row],[Material Name]],Sheet2!B:C,2,0)</f>
        <v>GCI1009</v>
      </c>
      <c r="M1274" s="225" t="str">
        <f>_xlfn.XLOOKUP(Logfile_S[[#This Row],[Material Name]],Sum_WH!E:E,Sum_WH!F:F,"",0)</f>
        <v>Pcs</v>
      </c>
      <c r="N1274" s="221">
        <v>14</v>
      </c>
      <c r="O1274" s="221" t="s">
        <v>2013</v>
      </c>
      <c r="P1274" s="221" t="s">
        <v>2014</v>
      </c>
      <c r="Q1274" s="221"/>
      <c r="R1274" s="221"/>
      <c r="S1274" s="221"/>
      <c r="T1274" s="221" t="s">
        <v>3420</v>
      </c>
      <c r="U1274" s="221">
        <v>0</v>
      </c>
      <c r="V1274" s="221" t="s">
        <v>3421</v>
      </c>
      <c r="W1274" s="221" t="s">
        <v>3256</v>
      </c>
      <c r="X1274" s="221"/>
      <c r="Y1274" s="227"/>
      <c r="Z1274" s="227" t="str">
        <f>P1274</f>
        <v>Perumahan Panca Garden</v>
      </c>
      <c r="AA1274" s="276" t="e">
        <f>VLOOKUP(Logfile_S[[#This Row],[DO number]],DO_DB!G:I,3,0)</f>
        <v>#N/A</v>
      </c>
      <c r="AB1274" s="331" t="e">
        <f>EXACT(Logfile_S[[#This Row],[date pick]],Logfile_S[[#This Row],[Date]])</f>
        <v>#N/A</v>
      </c>
      <c r="AC12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75" spans="1:29" ht="14.5">
      <c r="A1275" s="220" t="str">
        <f>TEXT(ROW(A1275)-ROW($A$4),"000")</f>
        <v>1271</v>
      </c>
      <c r="B1275" s="221"/>
      <c r="C1275" s="221" t="s">
        <v>49</v>
      </c>
      <c r="D1275" s="221" t="s">
        <v>4280</v>
      </c>
      <c r="E1275" s="221" t="s">
        <v>3295</v>
      </c>
      <c r="F1275" s="221" t="s">
        <v>3299</v>
      </c>
      <c r="G1275" s="222">
        <v>45617</v>
      </c>
      <c r="H1275" s="223">
        <v>0.44097222222222221</v>
      </c>
      <c r="I1275" s="221" t="s">
        <v>4916</v>
      </c>
      <c r="J1275" s="221" t="s">
        <v>3024</v>
      </c>
      <c r="K1275" s="224" t="s">
        <v>3094</v>
      </c>
      <c r="L1275" s="225" t="str">
        <f>VLOOKUP(Logfile_S[[#This Row],[Material Name]],Sheet2!B:C,2,0)</f>
        <v>GCI1008</v>
      </c>
      <c r="M1275" s="225" t="str">
        <f>_xlfn.XLOOKUP(Logfile_S[[#This Row],[Material Name]],Sum_WH!E:E,Sum_WH!F:F,"",0)</f>
        <v>Pcs</v>
      </c>
      <c r="N1275" s="221">
        <v>10</v>
      </c>
      <c r="O1275" s="221" t="s">
        <v>2013</v>
      </c>
      <c r="P1275" s="221" t="s">
        <v>2014</v>
      </c>
      <c r="Q1275" s="221"/>
      <c r="R1275" s="221"/>
      <c r="S1275" s="221"/>
      <c r="T1275" s="221" t="s">
        <v>3420</v>
      </c>
      <c r="U1275" s="221">
        <v>0</v>
      </c>
      <c r="V1275" s="221" t="s">
        <v>3421</v>
      </c>
      <c r="W1275" s="221" t="s">
        <v>3256</v>
      </c>
      <c r="X1275" s="221"/>
      <c r="Y1275" s="227"/>
      <c r="Z1275" s="227" t="str">
        <f>P1275</f>
        <v>Perumahan Panca Garden</v>
      </c>
      <c r="AA1275" s="276" t="e">
        <f>VLOOKUP(Logfile_S[[#This Row],[DO number]],DO_DB!G:I,3,0)</f>
        <v>#N/A</v>
      </c>
      <c r="AB1275" s="331" t="e">
        <f>EXACT(Logfile_S[[#This Row],[date pick]],Logfile_S[[#This Row],[Date]])</f>
        <v>#N/A</v>
      </c>
      <c r="AC12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76" spans="1:29" ht="14.5">
      <c r="A1276" s="220" t="str">
        <f>TEXT(ROW(A1276)-ROW($A$4),"000")</f>
        <v>1272</v>
      </c>
      <c r="B1276" s="221"/>
      <c r="C1276" s="221" t="s">
        <v>49</v>
      </c>
      <c r="D1276" s="221" t="s">
        <v>4280</v>
      </c>
      <c r="E1276" s="221" t="s">
        <v>3295</v>
      </c>
      <c r="F1276" s="221" t="s">
        <v>3299</v>
      </c>
      <c r="G1276" s="222">
        <v>45617</v>
      </c>
      <c r="H1276" s="223">
        <v>0.44097222222222221</v>
      </c>
      <c r="I1276" s="221" t="s">
        <v>4916</v>
      </c>
      <c r="J1276" s="221" t="s">
        <v>3024</v>
      </c>
      <c r="K1276" s="224" t="s">
        <v>3090</v>
      </c>
      <c r="L1276" s="225" t="str">
        <f>VLOOKUP(Logfile_S[[#This Row],[Material Name]],Sheet2!B:C,2,0)</f>
        <v>GCI1004</v>
      </c>
      <c r="M1276" s="225" t="str">
        <f>_xlfn.XLOOKUP(Logfile_S[[#This Row],[Material Name]],Sum_WH!E:E,Sum_WH!F:F,"",0)</f>
        <v>Pcs</v>
      </c>
      <c r="N1276" s="221">
        <v>7</v>
      </c>
      <c r="O1276" s="221" t="s">
        <v>2013</v>
      </c>
      <c r="P1276" s="221" t="s">
        <v>2014</v>
      </c>
      <c r="Q1276" s="221"/>
      <c r="R1276" s="221"/>
      <c r="S1276" s="221"/>
      <c r="T1276" s="221" t="s">
        <v>3420</v>
      </c>
      <c r="U1276" s="221">
        <v>0</v>
      </c>
      <c r="V1276" s="221" t="s">
        <v>3421</v>
      </c>
      <c r="W1276" s="221" t="s">
        <v>3256</v>
      </c>
      <c r="X1276" s="221"/>
      <c r="Y1276" s="227"/>
      <c r="Z1276" s="227" t="str">
        <f>P1276</f>
        <v>Perumahan Panca Garden</v>
      </c>
      <c r="AA1276" s="276" t="e">
        <f>VLOOKUP(Logfile_S[[#This Row],[DO number]],DO_DB!G:I,3,0)</f>
        <v>#N/A</v>
      </c>
      <c r="AB1276" s="331" t="e">
        <f>EXACT(Logfile_S[[#This Row],[date pick]],Logfile_S[[#This Row],[Date]])</f>
        <v>#N/A</v>
      </c>
      <c r="AC12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77" spans="1:29" ht="14.5">
      <c r="A1277" s="220" t="str">
        <f>TEXT(ROW(A1277)-ROW($A$4),"000")</f>
        <v>1273</v>
      </c>
      <c r="B1277" s="221"/>
      <c r="C1277" s="221" t="s">
        <v>49</v>
      </c>
      <c r="D1277" s="221" t="s">
        <v>4302</v>
      </c>
      <c r="E1277" s="221" t="s">
        <v>3295</v>
      </c>
      <c r="F1277" s="221" t="s">
        <v>3299</v>
      </c>
      <c r="G1277" s="222">
        <v>45641</v>
      </c>
      <c r="H1277" s="223">
        <v>0.64513888888888893</v>
      </c>
      <c r="I1277" s="221" t="s">
        <v>4916</v>
      </c>
      <c r="J1277" s="221" t="s">
        <v>3024</v>
      </c>
      <c r="K1277" s="224" t="s">
        <v>3087</v>
      </c>
      <c r="L1277" s="225" t="str">
        <f>VLOOKUP(Logfile_S[[#This Row],[Material Name]],Sheet2!B:C,2,0)</f>
        <v>GCI1001</v>
      </c>
      <c r="M1277" s="225" t="str">
        <f>_xlfn.XLOOKUP(Logfile_S[[#This Row],[Material Name]],Sum_WH!E:E,Sum_WH!F:F,"",0)</f>
        <v>Pcs</v>
      </c>
      <c r="N1277" s="221">
        <v>3</v>
      </c>
      <c r="O1277" s="221" t="s">
        <v>2013</v>
      </c>
      <c r="P1277" s="221" t="s">
        <v>2014</v>
      </c>
      <c r="Q1277" s="221"/>
      <c r="R1277" s="221"/>
      <c r="S1277" s="221"/>
      <c r="T1277" s="221" t="s">
        <v>3231</v>
      </c>
      <c r="U1277" s="221">
        <v>0</v>
      </c>
      <c r="V1277" s="221" t="s">
        <v>3375</v>
      </c>
      <c r="W1277" s="221" t="s">
        <v>3249</v>
      </c>
      <c r="X1277" s="221"/>
      <c r="Y1277" s="227"/>
      <c r="Z1277" s="227" t="str">
        <f>P1277</f>
        <v>Perumahan Panca Garden</v>
      </c>
      <c r="AA1277" s="276" t="e">
        <f>VLOOKUP(Logfile_S[[#This Row],[DO number]],DO_DB!G:I,3,0)</f>
        <v>#N/A</v>
      </c>
      <c r="AB1277" s="331" t="e">
        <f>EXACT(Logfile_S[[#This Row],[date pick]],Logfile_S[[#This Row],[Date]])</f>
        <v>#N/A</v>
      </c>
      <c r="AC12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78" spans="1:29" ht="14.5">
      <c r="A1278" s="220" t="str">
        <f>TEXT(ROW(A1278)-ROW($A$4),"000")</f>
        <v>1274</v>
      </c>
      <c r="B1278" s="221"/>
      <c r="C1278" s="221" t="s">
        <v>49</v>
      </c>
      <c r="D1278" s="221" t="s">
        <v>4302</v>
      </c>
      <c r="E1278" s="221" t="s">
        <v>3295</v>
      </c>
      <c r="F1278" s="221" t="s">
        <v>3299</v>
      </c>
      <c r="G1278" s="222">
        <v>45641</v>
      </c>
      <c r="H1278" s="223">
        <v>0.64513888888888893</v>
      </c>
      <c r="I1278" s="221" t="s">
        <v>4916</v>
      </c>
      <c r="J1278" s="221" t="s">
        <v>3024</v>
      </c>
      <c r="K1278" s="224" t="s">
        <v>5137</v>
      </c>
      <c r="L1278" s="225" t="str">
        <f>VLOOKUP(Logfile_S[[#This Row],[Material Name]],Sheet2!B:C,2,0)</f>
        <v>GCI1009</v>
      </c>
      <c r="M1278" s="225" t="str">
        <f>_xlfn.XLOOKUP(Logfile_S[[#This Row],[Material Name]],Sum_WH!E:E,Sum_WH!F:F,"",0)</f>
        <v>Pcs</v>
      </c>
      <c r="N1278" s="221">
        <v>30</v>
      </c>
      <c r="O1278" s="221" t="s">
        <v>2013</v>
      </c>
      <c r="P1278" s="221" t="s">
        <v>2014</v>
      </c>
      <c r="Q1278" s="221"/>
      <c r="R1278" s="221"/>
      <c r="S1278" s="221"/>
      <c r="T1278" s="221" t="s">
        <v>3231</v>
      </c>
      <c r="U1278" s="221">
        <v>0</v>
      </c>
      <c r="V1278" s="221" t="s">
        <v>3375</v>
      </c>
      <c r="W1278" s="221" t="s">
        <v>3249</v>
      </c>
      <c r="X1278" s="221"/>
      <c r="Y1278" s="227"/>
      <c r="Z1278" s="227" t="str">
        <f>P1278</f>
        <v>Perumahan Panca Garden</v>
      </c>
      <c r="AA1278" s="276" t="e">
        <f>VLOOKUP(Logfile_S[[#This Row],[DO number]],DO_DB!G:I,3,0)</f>
        <v>#N/A</v>
      </c>
      <c r="AB1278" s="331" t="e">
        <f>EXACT(Logfile_S[[#This Row],[date pick]],Logfile_S[[#This Row],[Date]])</f>
        <v>#N/A</v>
      </c>
      <c r="AC12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79" spans="1:29" ht="14.5">
      <c r="A1279" s="220" t="str">
        <f>TEXT(ROW(A1279)-ROW($A$4),"000")</f>
        <v>1275</v>
      </c>
      <c r="B1279" s="221"/>
      <c r="C1279" s="221" t="s">
        <v>49</v>
      </c>
      <c r="D1279" s="221" t="s">
        <v>4302</v>
      </c>
      <c r="E1279" s="221" t="s">
        <v>3295</v>
      </c>
      <c r="F1279" s="221" t="s">
        <v>3299</v>
      </c>
      <c r="G1279" s="222">
        <v>45641</v>
      </c>
      <c r="H1279" s="223">
        <v>0.64513888888888893</v>
      </c>
      <c r="I1279" s="221" t="s">
        <v>4916</v>
      </c>
      <c r="J1279" s="221" t="s">
        <v>3023</v>
      </c>
      <c r="K1279" s="224" t="s">
        <v>3069</v>
      </c>
      <c r="L1279" s="225" t="str">
        <f>VLOOKUP(Logfile_S[[#This Row],[Material Name]],Sheet2!B:C,2,0)</f>
        <v>ZTE1001</v>
      </c>
      <c r="M1279" s="225" t="str">
        <f>_xlfn.XLOOKUP(Logfile_S[[#This Row],[Material Name]],Sum_WH!E:E,Sum_WH!F:F,"",0)</f>
        <v>Pcs</v>
      </c>
      <c r="N1279" s="221">
        <v>21</v>
      </c>
      <c r="O1279" s="221" t="s">
        <v>2013</v>
      </c>
      <c r="P1279" s="221" t="s">
        <v>2014</v>
      </c>
      <c r="Q1279" s="221"/>
      <c r="R1279" s="221"/>
      <c r="S1279" s="221"/>
      <c r="T1279" s="221" t="s">
        <v>3231</v>
      </c>
      <c r="U1279" s="221">
        <v>0</v>
      </c>
      <c r="V1279" s="221" t="s">
        <v>3375</v>
      </c>
      <c r="W1279" s="221" t="s">
        <v>3249</v>
      </c>
      <c r="X1279" s="221"/>
      <c r="Y1279" s="227"/>
      <c r="Z1279" s="227" t="str">
        <f>P1279</f>
        <v>Perumahan Panca Garden</v>
      </c>
      <c r="AA1279" s="276" t="e">
        <f>VLOOKUP(Logfile_S[[#This Row],[DO number]],DO_DB!G:I,3,0)</f>
        <v>#N/A</v>
      </c>
      <c r="AB1279" s="331" t="e">
        <f>EXACT(Logfile_S[[#This Row],[date pick]],Logfile_S[[#This Row],[Date]])</f>
        <v>#N/A</v>
      </c>
      <c r="AC12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80" spans="1:29" ht="14.5">
      <c r="A1280" s="220" t="str">
        <f>TEXT(ROW(A1280)-ROW($A$4),"000")</f>
        <v>1276</v>
      </c>
      <c r="B1280" s="221"/>
      <c r="C1280" s="221" t="s">
        <v>49</v>
      </c>
      <c r="D1280" s="221" t="s">
        <v>4302</v>
      </c>
      <c r="E1280" s="221" t="s">
        <v>3295</v>
      </c>
      <c r="F1280" s="221" t="s">
        <v>3299</v>
      </c>
      <c r="G1280" s="222">
        <v>45641</v>
      </c>
      <c r="H1280" s="223">
        <v>0.64513888888888893</v>
      </c>
      <c r="I1280" s="221" t="s">
        <v>4916</v>
      </c>
      <c r="J1280" s="221" t="s">
        <v>3024</v>
      </c>
      <c r="K1280" s="224" t="s">
        <v>3094</v>
      </c>
      <c r="L1280" s="225" t="str">
        <f>VLOOKUP(Logfile_S[[#This Row],[Material Name]],Sheet2!B:C,2,0)</f>
        <v>GCI1008</v>
      </c>
      <c r="M1280" s="225" t="str">
        <f>_xlfn.XLOOKUP(Logfile_S[[#This Row],[Material Name]],Sum_WH!E:E,Sum_WH!F:F,"",0)</f>
        <v>Pcs</v>
      </c>
      <c r="N1280" s="221">
        <v>26</v>
      </c>
      <c r="O1280" s="221" t="s">
        <v>2013</v>
      </c>
      <c r="P1280" s="221" t="s">
        <v>2014</v>
      </c>
      <c r="Q1280" s="221"/>
      <c r="R1280" s="221"/>
      <c r="S1280" s="221"/>
      <c r="T1280" s="221" t="s">
        <v>3231</v>
      </c>
      <c r="U1280" s="221">
        <v>0</v>
      </c>
      <c r="V1280" s="221" t="s">
        <v>3375</v>
      </c>
      <c r="W1280" s="221" t="s">
        <v>3249</v>
      </c>
      <c r="X1280" s="221"/>
      <c r="Y1280" s="227"/>
      <c r="Z1280" s="227" t="str">
        <f>P1280</f>
        <v>Perumahan Panca Garden</v>
      </c>
      <c r="AA1280" s="276" t="e">
        <f>VLOOKUP(Logfile_S[[#This Row],[DO number]],DO_DB!G:I,3,0)</f>
        <v>#N/A</v>
      </c>
      <c r="AB1280" s="331" t="e">
        <f>EXACT(Logfile_S[[#This Row],[date pick]],Logfile_S[[#This Row],[Date]])</f>
        <v>#N/A</v>
      </c>
      <c r="AC12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81" spans="1:29" ht="14.5">
      <c r="A1281" s="220" t="str">
        <f>TEXT(ROW(A1281)-ROW($A$4),"000")</f>
        <v>1277</v>
      </c>
      <c r="B1281" s="221"/>
      <c r="C1281" s="221" t="s">
        <v>49</v>
      </c>
      <c r="D1281" s="221" t="s">
        <v>4303</v>
      </c>
      <c r="E1281" s="221" t="s">
        <v>3295</v>
      </c>
      <c r="F1281" s="221" t="s">
        <v>3299</v>
      </c>
      <c r="G1281" s="222">
        <v>45642</v>
      </c>
      <c r="H1281" s="223">
        <v>0.60902777777777772</v>
      </c>
      <c r="I1281" s="221" t="s">
        <v>4916</v>
      </c>
      <c r="J1281" s="221" t="s">
        <v>3024</v>
      </c>
      <c r="K1281" s="224" t="s">
        <v>3087</v>
      </c>
      <c r="L1281" s="225" t="str">
        <f>VLOOKUP(Logfile_S[[#This Row],[Material Name]],Sheet2!B:C,2,0)</f>
        <v>GCI1001</v>
      </c>
      <c r="M1281" s="225" t="str">
        <f>_xlfn.XLOOKUP(Logfile_S[[#This Row],[Material Name]],Sum_WH!E:E,Sum_WH!F:F,"",0)</f>
        <v>Pcs</v>
      </c>
      <c r="N1281" s="221">
        <v>1</v>
      </c>
      <c r="O1281" s="221" t="s">
        <v>2013</v>
      </c>
      <c r="P1281" s="221" t="s">
        <v>2014</v>
      </c>
      <c r="Q1281" s="221"/>
      <c r="R1281" s="221"/>
      <c r="S1281" s="221"/>
      <c r="T1281" s="221" t="s">
        <v>3231</v>
      </c>
      <c r="U1281" s="221">
        <v>0</v>
      </c>
      <c r="V1281" s="221" t="s">
        <v>3375</v>
      </c>
      <c r="W1281" s="221" t="s">
        <v>3249</v>
      </c>
      <c r="X1281" s="221"/>
      <c r="Y1281" s="227"/>
      <c r="Z1281" s="227" t="str">
        <f>P1281</f>
        <v>Perumahan Panca Garden</v>
      </c>
      <c r="AA1281" s="276" t="e">
        <f>VLOOKUP(Logfile_S[[#This Row],[DO number]],DO_DB!G:I,3,0)</f>
        <v>#N/A</v>
      </c>
      <c r="AB1281" s="331" t="e">
        <f>EXACT(Logfile_S[[#This Row],[date pick]],Logfile_S[[#This Row],[Date]])</f>
        <v>#N/A</v>
      </c>
      <c r="AC12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82" spans="1:29" ht="14.5">
      <c r="A1282" s="220" t="str">
        <f>TEXT(ROW(A1282)-ROW($A$4),"000")</f>
        <v>1278</v>
      </c>
      <c r="B1282" s="221"/>
      <c r="C1282" s="221" t="s">
        <v>49</v>
      </c>
      <c r="D1282" s="221" t="s">
        <v>4303</v>
      </c>
      <c r="E1282" s="221" t="s">
        <v>3295</v>
      </c>
      <c r="F1282" s="221" t="s">
        <v>3299</v>
      </c>
      <c r="G1282" s="222">
        <v>45642</v>
      </c>
      <c r="H1282" s="223">
        <v>0.60902777777777772</v>
      </c>
      <c r="I1282" s="221" t="s">
        <v>4916</v>
      </c>
      <c r="J1282" s="221" t="s">
        <v>3023</v>
      </c>
      <c r="K1282" s="224" t="s">
        <v>3069</v>
      </c>
      <c r="L1282" s="225" t="str">
        <f>VLOOKUP(Logfile_S[[#This Row],[Material Name]],Sheet2!B:C,2,0)</f>
        <v>ZTE1001</v>
      </c>
      <c r="M1282" s="225" t="str">
        <f>_xlfn.XLOOKUP(Logfile_S[[#This Row],[Material Name]],Sum_WH!E:E,Sum_WH!F:F,"",0)</f>
        <v>Pcs</v>
      </c>
      <c r="N1282" s="221">
        <v>9</v>
      </c>
      <c r="O1282" s="221" t="s">
        <v>2013</v>
      </c>
      <c r="P1282" s="221" t="s">
        <v>2014</v>
      </c>
      <c r="Q1282" s="221"/>
      <c r="R1282" s="221"/>
      <c r="S1282" s="221"/>
      <c r="T1282" s="221" t="s">
        <v>3231</v>
      </c>
      <c r="U1282" s="221">
        <v>0</v>
      </c>
      <c r="V1282" s="221" t="s">
        <v>3375</v>
      </c>
      <c r="W1282" s="221" t="s">
        <v>3249</v>
      </c>
      <c r="X1282" s="221"/>
      <c r="Y1282" s="227"/>
      <c r="Z1282" s="227" t="str">
        <f>P1282</f>
        <v>Perumahan Panca Garden</v>
      </c>
      <c r="AA1282" s="276" t="e">
        <f>VLOOKUP(Logfile_S[[#This Row],[DO number]],DO_DB!G:I,3,0)</f>
        <v>#N/A</v>
      </c>
      <c r="AB1282" s="331" t="e">
        <f>EXACT(Logfile_S[[#This Row],[date pick]],Logfile_S[[#This Row],[Date]])</f>
        <v>#N/A</v>
      </c>
      <c r="AC12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83" spans="1:29" ht="14.5">
      <c r="A1283" s="220" t="str">
        <f>TEXT(ROW(A1283)-ROW($A$4),"000")</f>
        <v>1279</v>
      </c>
      <c r="B1283" s="221"/>
      <c r="C1283" s="221" t="s">
        <v>48</v>
      </c>
      <c r="D1283" s="221" t="s">
        <v>4328</v>
      </c>
      <c r="E1283" s="221" t="s">
        <v>3295</v>
      </c>
      <c r="F1283" s="221" t="s">
        <v>3299</v>
      </c>
      <c r="G1283" s="222">
        <v>45693</v>
      </c>
      <c r="H1283" s="223">
        <v>15.291666666666666</v>
      </c>
      <c r="I1283" s="221" t="s">
        <v>37</v>
      </c>
      <c r="J1283" s="221" t="s">
        <v>3023</v>
      </c>
      <c r="K1283" s="224" t="s">
        <v>3073</v>
      </c>
      <c r="L1283" s="225" t="str">
        <f>VLOOKUP(Logfile_S[[#This Row],[Material Name]],Sheet2!B:C,2,0)</f>
        <v>ZTE2001</v>
      </c>
      <c r="M1283" s="225" t="str">
        <f>_xlfn.XLOOKUP(Logfile_S[[#This Row],[Material Name]],Sum_WH!E:E,Sum_WH!F:F,"",0)</f>
        <v>Meter</v>
      </c>
      <c r="N1283" s="221">
        <v>3000</v>
      </c>
      <c r="O1283" s="221" t="s">
        <v>2633</v>
      </c>
      <c r="P1283" s="221" t="s">
        <v>2634</v>
      </c>
      <c r="Q1283" s="221">
        <v>0</v>
      </c>
      <c r="R1283" s="221">
        <v>0</v>
      </c>
      <c r="S1283" s="221"/>
      <c r="T1283" s="221"/>
      <c r="U1283" s="221"/>
      <c r="V1283" s="221"/>
      <c r="W1283" s="221"/>
      <c r="X1283" s="221"/>
      <c r="Y1283" s="227" t="s">
        <v>5017</v>
      </c>
      <c r="Z1283" s="227" t="str">
        <f>P1283</f>
        <v>Perumahan De Wira Green View</v>
      </c>
      <c r="AA1283" s="276" t="e">
        <f>VLOOKUP(Logfile_S[[#This Row],[DO number]],DO_DB!G:I,3,0)</f>
        <v>#N/A</v>
      </c>
      <c r="AB1283" s="331" t="e">
        <f>EXACT(Logfile_S[[#This Row],[date pick]],Logfile_S[[#This Row],[Date]])</f>
        <v>#N/A</v>
      </c>
      <c r="AC12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24C-202525-01</v>
      </c>
    </row>
    <row r="1284" spans="1:29" ht="14.5">
      <c r="A1284" s="220" t="str">
        <f>TEXT(ROW(A1284)-ROW($A$4),"000")</f>
        <v>1280</v>
      </c>
      <c r="B1284" s="221"/>
      <c r="C1284" s="221" t="s">
        <v>48</v>
      </c>
      <c r="D1284" s="221" t="s">
        <v>4328</v>
      </c>
      <c r="E1284" s="221" t="s">
        <v>3295</v>
      </c>
      <c r="F1284" s="221" t="s">
        <v>3299</v>
      </c>
      <c r="G1284" s="222">
        <v>45693</v>
      </c>
      <c r="H1284" s="223">
        <v>15.291666666666666</v>
      </c>
      <c r="I1284" s="221" t="s">
        <v>37</v>
      </c>
      <c r="J1284" s="221" t="s">
        <v>3023</v>
      </c>
      <c r="K1284" s="224" t="s">
        <v>13</v>
      </c>
      <c r="L1284" s="225" t="str">
        <f>VLOOKUP(Logfile_S[[#This Row],[Material Name]],Sheet2!B:C,2,0)</f>
        <v>ZTE2008</v>
      </c>
      <c r="M1284" s="225" t="str">
        <f>_xlfn.XLOOKUP(Logfile_S[[#This Row],[Material Name]],Sum_WH!E:E,Sum_WH!F:F,"",0)</f>
        <v>Pcs</v>
      </c>
      <c r="N1284" s="221">
        <v>7</v>
      </c>
      <c r="O1284" s="221" t="s">
        <v>2633</v>
      </c>
      <c r="P1284" s="221" t="s">
        <v>2634</v>
      </c>
      <c r="Q1284" s="221">
        <v>0</v>
      </c>
      <c r="R1284" s="221">
        <v>0</v>
      </c>
      <c r="S1284" s="221"/>
      <c r="T1284" s="221"/>
      <c r="U1284" s="221"/>
      <c r="V1284" s="221"/>
      <c r="W1284" s="221"/>
      <c r="X1284" s="221"/>
      <c r="Y1284" s="227"/>
      <c r="Z1284" s="227" t="str">
        <f>P1284</f>
        <v>Perumahan De Wira Green View</v>
      </c>
      <c r="AA1284" s="276" t="e">
        <f>VLOOKUP(Logfile_S[[#This Row],[DO number]],DO_DB!G:I,3,0)</f>
        <v>#N/A</v>
      </c>
      <c r="AB1284" s="331" t="e">
        <f>EXACT(Logfile_S[[#This Row],[date pick]],Logfile_S[[#This Row],[Date]])</f>
        <v>#N/A</v>
      </c>
      <c r="AC12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85" spans="1:29" ht="14.5">
      <c r="A1285" s="220" t="str">
        <f>TEXT(ROW(A1285)-ROW($A$4),"000")</f>
        <v>1281</v>
      </c>
      <c r="B1285" s="221"/>
      <c r="C1285" s="221" t="s">
        <v>48</v>
      </c>
      <c r="D1285" s="221" t="s">
        <v>4328</v>
      </c>
      <c r="E1285" s="221" t="s">
        <v>3295</v>
      </c>
      <c r="F1285" s="221" t="s">
        <v>3299</v>
      </c>
      <c r="G1285" s="222">
        <v>45693</v>
      </c>
      <c r="H1285" s="223">
        <v>15.291666666666666</v>
      </c>
      <c r="I1285" s="221" t="s">
        <v>37</v>
      </c>
      <c r="J1285" s="221" t="s">
        <v>3023</v>
      </c>
      <c r="K1285" s="224" t="s">
        <v>14</v>
      </c>
      <c r="L1285" s="225" t="str">
        <f>VLOOKUP(Logfile_S[[#This Row],[Material Name]],Sheet2!B:C,2,0)</f>
        <v>ZTE2005</v>
      </c>
      <c r="M1285" s="225" t="str">
        <f>_xlfn.XLOOKUP(Logfile_S[[#This Row],[Material Name]],Sum_WH!E:E,Sum_WH!F:F,"",0)</f>
        <v>Pcs</v>
      </c>
      <c r="N1285" s="221">
        <v>1</v>
      </c>
      <c r="O1285" s="221" t="s">
        <v>2633</v>
      </c>
      <c r="P1285" s="221" t="s">
        <v>2634</v>
      </c>
      <c r="Q1285" s="221">
        <v>0</v>
      </c>
      <c r="R1285" s="221">
        <v>0</v>
      </c>
      <c r="S1285" s="221"/>
      <c r="T1285" s="221"/>
      <c r="U1285" s="221"/>
      <c r="V1285" s="221"/>
      <c r="W1285" s="221"/>
      <c r="X1285" s="221"/>
      <c r="Y1285" s="227"/>
      <c r="Z1285" s="227" t="str">
        <f>P1285</f>
        <v>Perumahan De Wira Green View</v>
      </c>
      <c r="AA1285" s="276" t="e">
        <f>VLOOKUP(Logfile_S[[#This Row],[DO number]],DO_DB!G:I,3,0)</f>
        <v>#N/A</v>
      </c>
      <c r="AB1285" s="331" t="e">
        <f>EXACT(Logfile_S[[#This Row],[date pick]],Logfile_S[[#This Row],[Date]])</f>
        <v>#N/A</v>
      </c>
      <c r="AC12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86" spans="1:29" ht="14.5">
      <c r="A1286" s="220" t="str">
        <f>TEXT(ROW(A1286)-ROW($A$4),"000")</f>
        <v>1282</v>
      </c>
      <c r="B1286" s="221"/>
      <c r="C1286" s="221" t="s">
        <v>49</v>
      </c>
      <c r="D1286" s="221" t="s">
        <v>4329</v>
      </c>
      <c r="E1286" s="221" t="s">
        <v>3295</v>
      </c>
      <c r="F1286" s="221" t="s">
        <v>3299</v>
      </c>
      <c r="G1286" s="222">
        <v>45694</v>
      </c>
      <c r="H1286" s="223">
        <v>0.39930555555555558</v>
      </c>
      <c r="I1286" s="221" t="s">
        <v>4916</v>
      </c>
      <c r="J1286" s="221" t="s">
        <v>3024</v>
      </c>
      <c r="K1286" s="224" t="s">
        <v>16</v>
      </c>
      <c r="L1286" s="225" t="str">
        <f>VLOOKUP(Logfile_S[[#This Row],[Material Name]],Sheet2!B:C,2,0)</f>
        <v>ZTE2020</v>
      </c>
      <c r="M1286" s="225" t="str">
        <f>_xlfn.XLOOKUP(Logfile_S[[#This Row],[Material Name]],Sum_WH!E:E,Sum_WH!F:F,"",0)</f>
        <v>Meter</v>
      </c>
      <c r="N1286" s="221">
        <v>2</v>
      </c>
      <c r="O1286" s="221" t="s">
        <v>2633</v>
      </c>
      <c r="P1286" s="221" t="s">
        <v>3410</v>
      </c>
      <c r="Q1286" s="221"/>
      <c r="R1286" s="221"/>
      <c r="S1286" s="221"/>
      <c r="T1286" s="221" t="s">
        <v>3258</v>
      </c>
      <c r="U1286" s="221">
        <v>0</v>
      </c>
      <c r="V1286" s="221" t="s">
        <v>3337</v>
      </c>
      <c r="W1286" s="221" t="s">
        <v>3338</v>
      </c>
      <c r="X1286" s="221"/>
      <c r="Y1286" s="227"/>
      <c r="Z1286" s="227" t="str">
        <f>P1286</f>
        <v>PERUMAHAN DE WIRA GREEN VIEW</v>
      </c>
      <c r="AA1286" s="276" t="e">
        <f>VLOOKUP(Logfile_S[[#This Row],[DO number]],DO_DB!G:I,3,0)</f>
        <v>#N/A</v>
      </c>
      <c r="AB1286" s="331" t="e">
        <f>EXACT(Logfile_S[[#This Row],[date pick]],Logfile_S[[#This Row],[Date]])</f>
        <v>#N/A</v>
      </c>
      <c r="AC12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87" spans="1:29" ht="14.5">
      <c r="A1287" s="220" t="str">
        <f>TEXT(ROW(A1287)-ROW($A$4),"000")</f>
        <v>1283</v>
      </c>
      <c r="B1287" s="221"/>
      <c r="C1287" s="221" t="s">
        <v>49</v>
      </c>
      <c r="D1287" s="221" t="s">
        <v>4329</v>
      </c>
      <c r="E1287" s="221" t="s">
        <v>3295</v>
      </c>
      <c r="F1287" s="221" t="s">
        <v>3299</v>
      </c>
      <c r="G1287" s="222">
        <v>45694</v>
      </c>
      <c r="H1287" s="223">
        <v>0.39930555555555558</v>
      </c>
      <c r="I1287" s="221" t="s">
        <v>4916</v>
      </c>
      <c r="J1287" s="221" t="s">
        <v>3024</v>
      </c>
      <c r="K1287" s="224" t="s">
        <v>3087</v>
      </c>
      <c r="L1287" s="225" t="str">
        <f>VLOOKUP(Logfile_S[[#This Row],[Material Name]],Sheet2!B:C,2,0)</f>
        <v>GCI1001</v>
      </c>
      <c r="M1287" s="225" t="str">
        <f>_xlfn.XLOOKUP(Logfile_S[[#This Row],[Material Name]],Sum_WH!E:E,Sum_WH!F:F,"",0)</f>
        <v>Pcs</v>
      </c>
      <c r="N1287" s="221">
        <v>7</v>
      </c>
      <c r="O1287" s="221" t="s">
        <v>2633</v>
      </c>
      <c r="P1287" s="221" t="s">
        <v>3410</v>
      </c>
      <c r="Q1287" s="221"/>
      <c r="R1287" s="221"/>
      <c r="S1287" s="221"/>
      <c r="T1287" s="221" t="s">
        <v>3258</v>
      </c>
      <c r="U1287" s="221">
        <v>0</v>
      </c>
      <c r="V1287" s="221" t="s">
        <v>3337</v>
      </c>
      <c r="W1287" s="221" t="s">
        <v>3338</v>
      </c>
      <c r="X1287" s="221"/>
      <c r="Y1287" s="227"/>
      <c r="Z1287" s="227" t="str">
        <f>P1287</f>
        <v>PERUMAHAN DE WIRA GREEN VIEW</v>
      </c>
      <c r="AA1287" s="276" t="e">
        <f>VLOOKUP(Logfile_S[[#This Row],[DO number]],DO_DB!G:I,3,0)</f>
        <v>#N/A</v>
      </c>
      <c r="AB1287" s="331" t="e">
        <f>EXACT(Logfile_S[[#This Row],[date pick]],Logfile_S[[#This Row],[Date]])</f>
        <v>#N/A</v>
      </c>
      <c r="AC12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88" spans="1:29" ht="14.5">
      <c r="A1288" s="220" t="str">
        <f>TEXT(ROW(A1288)-ROW($A$4),"000")</f>
        <v>1284</v>
      </c>
      <c r="B1288" s="221"/>
      <c r="C1288" s="221" t="s">
        <v>49</v>
      </c>
      <c r="D1288" s="221" t="s">
        <v>4329</v>
      </c>
      <c r="E1288" s="221" t="s">
        <v>3295</v>
      </c>
      <c r="F1288" s="221" t="s">
        <v>3299</v>
      </c>
      <c r="G1288" s="222">
        <v>45694</v>
      </c>
      <c r="H1288" s="223">
        <v>0.39930555555555558</v>
      </c>
      <c r="I1288" s="221" t="s">
        <v>4916</v>
      </c>
      <c r="J1288" s="221" t="s">
        <v>3024</v>
      </c>
      <c r="K1288" s="224" t="s">
        <v>5137</v>
      </c>
      <c r="L1288" s="225" t="str">
        <f>VLOOKUP(Logfile_S[[#This Row],[Material Name]],Sheet2!B:C,2,0)</f>
        <v>GCI1009</v>
      </c>
      <c r="M1288" s="225" t="str">
        <f>_xlfn.XLOOKUP(Logfile_S[[#This Row],[Material Name]],Sum_WH!E:E,Sum_WH!F:F,"",0)</f>
        <v>Pcs</v>
      </c>
      <c r="N1288" s="221">
        <v>30</v>
      </c>
      <c r="O1288" s="221" t="s">
        <v>2633</v>
      </c>
      <c r="P1288" s="221" t="s">
        <v>3410</v>
      </c>
      <c r="Q1288" s="221"/>
      <c r="R1288" s="221"/>
      <c r="S1288" s="221"/>
      <c r="T1288" s="221" t="s">
        <v>3258</v>
      </c>
      <c r="U1288" s="221">
        <v>0</v>
      </c>
      <c r="V1288" s="221" t="s">
        <v>3337</v>
      </c>
      <c r="W1288" s="221" t="s">
        <v>3338</v>
      </c>
      <c r="X1288" s="221"/>
      <c r="Y1288" s="227"/>
      <c r="Z1288" s="227" t="str">
        <f>P1288</f>
        <v>PERUMAHAN DE WIRA GREEN VIEW</v>
      </c>
      <c r="AA1288" s="276" t="e">
        <f>VLOOKUP(Logfile_S[[#This Row],[DO number]],DO_DB!G:I,3,0)</f>
        <v>#N/A</v>
      </c>
      <c r="AB1288" s="331" t="e">
        <f>EXACT(Logfile_S[[#This Row],[date pick]],Logfile_S[[#This Row],[Date]])</f>
        <v>#N/A</v>
      </c>
      <c r="AC12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89" spans="1:29" ht="14.5">
      <c r="A1289" s="220" t="str">
        <f>TEXT(ROW(A1289)-ROW($A$4),"000")</f>
        <v>1285</v>
      </c>
      <c r="B1289" s="221"/>
      <c r="C1289" s="221" t="s">
        <v>49</v>
      </c>
      <c r="D1289" s="221" t="s">
        <v>4329</v>
      </c>
      <c r="E1289" s="221" t="s">
        <v>3295</v>
      </c>
      <c r="F1289" s="221" t="s">
        <v>3299</v>
      </c>
      <c r="G1289" s="222">
        <v>45694</v>
      </c>
      <c r="H1289" s="223">
        <v>0.39930555555555558</v>
      </c>
      <c r="I1289" s="221" t="s">
        <v>4916</v>
      </c>
      <c r="J1289" s="221" t="s">
        <v>3023</v>
      </c>
      <c r="K1289" s="224" t="s">
        <v>13</v>
      </c>
      <c r="L1289" s="225" t="str">
        <f>VLOOKUP(Logfile_S[[#This Row],[Material Name]],Sheet2!B:C,2,0)</f>
        <v>ZTE2008</v>
      </c>
      <c r="M1289" s="225" t="str">
        <f>_xlfn.XLOOKUP(Logfile_S[[#This Row],[Material Name]],Sum_WH!E:E,Sum_WH!F:F,"",0)</f>
        <v>Pcs</v>
      </c>
      <c r="N1289" s="221">
        <v>7</v>
      </c>
      <c r="O1289" s="221" t="s">
        <v>2633</v>
      </c>
      <c r="P1289" s="221" t="s">
        <v>3410</v>
      </c>
      <c r="Q1289" s="221"/>
      <c r="R1289" s="221"/>
      <c r="S1289" s="221"/>
      <c r="T1289" s="221" t="s">
        <v>3258</v>
      </c>
      <c r="U1289" s="221">
        <v>0</v>
      </c>
      <c r="V1289" s="221" t="s">
        <v>3337</v>
      </c>
      <c r="W1289" s="221" t="s">
        <v>3338</v>
      </c>
      <c r="X1289" s="221"/>
      <c r="Y1289" s="227"/>
      <c r="Z1289" s="227" t="str">
        <f>P1289</f>
        <v>PERUMAHAN DE WIRA GREEN VIEW</v>
      </c>
      <c r="AA1289" s="276" t="e">
        <f>VLOOKUP(Logfile_S[[#This Row],[DO number]],DO_DB!G:I,3,0)</f>
        <v>#N/A</v>
      </c>
      <c r="AB1289" s="331" t="e">
        <f>EXACT(Logfile_S[[#This Row],[date pick]],Logfile_S[[#This Row],[Date]])</f>
        <v>#N/A</v>
      </c>
      <c r="AC12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90" spans="1:29" ht="14.5">
      <c r="A1290" s="220" t="str">
        <f>TEXT(ROW(A1290)-ROW($A$4),"000")</f>
        <v>1286</v>
      </c>
      <c r="B1290" s="221"/>
      <c r="C1290" s="221" t="s">
        <v>49</v>
      </c>
      <c r="D1290" s="221" t="s">
        <v>4329</v>
      </c>
      <c r="E1290" s="221" t="s">
        <v>3295</v>
      </c>
      <c r="F1290" s="221" t="s">
        <v>3299</v>
      </c>
      <c r="G1290" s="222">
        <v>45694</v>
      </c>
      <c r="H1290" s="223">
        <v>0.39930555555555558</v>
      </c>
      <c r="I1290" s="221" t="s">
        <v>4916</v>
      </c>
      <c r="J1290" s="221" t="s">
        <v>3023</v>
      </c>
      <c r="K1290" s="224" t="s">
        <v>14</v>
      </c>
      <c r="L1290" s="225" t="str">
        <f>VLOOKUP(Logfile_S[[#This Row],[Material Name]],Sheet2!B:C,2,0)</f>
        <v>ZTE2005</v>
      </c>
      <c r="M1290" s="225" t="str">
        <f>_xlfn.XLOOKUP(Logfile_S[[#This Row],[Material Name]],Sum_WH!E:E,Sum_WH!F:F,"",0)</f>
        <v>Pcs</v>
      </c>
      <c r="N1290" s="221">
        <v>1</v>
      </c>
      <c r="O1290" s="221" t="s">
        <v>2633</v>
      </c>
      <c r="P1290" s="221" t="s">
        <v>3410</v>
      </c>
      <c r="Q1290" s="221"/>
      <c r="R1290" s="221"/>
      <c r="S1290" s="221"/>
      <c r="T1290" s="221" t="s">
        <v>3258</v>
      </c>
      <c r="U1290" s="221">
        <v>0</v>
      </c>
      <c r="V1290" s="221" t="s">
        <v>3337</v>
      </c>
      <c r="W1290" s="221" t="s">
        <v>3338</v>
      </c>
      <c r="X1290" s="221"/>
      <c r="Y1290" s="227"/>
      <c r="Z1290" s="227" t="str">
        <f>P1290</f>
        <v>PERUMAHAN DE WIRA GREEN VIEW</v>
      </c>
      <c r="AA1290" s="276" t="e">
        <f>VLOOKUP(Logfile_S[[#This Row],[DO number]],DO_DB!G:I,3,0)</f>
        <v>#N/A</v>
      </c>
      <c r="AB1290" s="331" t="e">
        <f>EXACT(Logfile_S[[#This Row],[date pick]],Logfile_S[[#This Row],[Date]])</f>
        <v>#N/A</v>
      </c>
      <c r="AC12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91" spans="1:29" ht="14.5">
      <c r="A1291" s="220" t="str">
        <f>TEXT(ROW(A1291)-ROW($A$4),"000")</f>
        <v>1287</v>
      </c>
      <c r="B1291" s="221"/>
      <c r="C1291" s="221" t="s">
        <v>49</v>
      </c>
      <c r="D1291" s="221" t="s">
        <v>4329</v>
      </c>
      <c r="E1291" s="221" t="s">
        <v>3295</v>
      </c>
      <c r="F1291" s="221" t="s">
        <v>3299</v>
      </c>
      <c r="G1291" s="222">
        <v>45694</v>
      </c>
      <c r="H1291" s="223">
        <v>0.39930555555555558</v>
      </c>
      <c r="I1291" s="221" t="s">
        <v>4916</v>
      </c>
      <c r="J1291" s="221" t="s">
        <v>3023</v>
      </c>
      <c r="K1291" s="224" t="s">
        <v>3070</v>
      </c>
      <c r="L1291" s="225" t="str">
        <f>VLOOKUP(Logfile_S[[#This Row],[Material Name]],Sheet2!B:C,2,0)</f>
        <v>ZTE1002</v>
      </c>
      <c r="M1291" s="225" t="str">
        <f>_xlfn.XLOOKUP(Logfile_S[[#This Row],[Material Name]],Sum_WH!E:E,Sum_WH!F:F,"",0)</f>
        <v>Pcs</v>
      </c>
      <c r="N1291" s="221">
        <v>21</v>
      </c>
      <c r="O1291" s="221" t="s">
        <v>2633</v>
      </c>
      <c r="P1291" s="221" t="s">
        <v>3410</v>
      </c>
      <c r="Q1291" s="221"/>
      <c r="R1291" s="221"/>
      <c r="S1291" s="221"/>
      <c r="T1291" s="221" t="s">
        <v>3258</v>
      </c>
      <c r="U1291" s="221">
        <v>0</v>
      </c>
      <c r="V1291" s="221" t="s">
        <v>3337</v>
      </c>
      <c r="W1291" s="221" t="s">
        <v>3338</v>
      </c>
      <c r="X1291" s="221"/>
      <c r="Y1291" s="227"/>
      <c r="Z1291" s="227" t="str">
        <f>P1291</f>
        <v>PERUMAHAN DE WIRA GREEN VIEW</v>
      </c>
      <c r="AA1291" s="276" t="e">
        <f>VLOOKUP(Logfile_S[[#This Row],[DO number]],DO_DB!G:I,3,0)</f>
        <v>#N/A</v>
      </c>
      <c r="AB1291" s="331" t="e">
        <f>EXACT(Logfile_S[[#This Row],[date pick]],Logfile_S[[#This Row],[Date]])</f>
        <v>#N/A</v>
      </c>
      <c r="AC12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92" spans="1:29" ht="14.5">
      <c r="A1292" s="220" t="str">
        <f>TEXT(ROW(A1292)-ROW($A$4),"000")</f>
        <v>1288</v>
      </c>
      <c r="B1292" s="221"/>
      <c r="C1292" s="221" t="s">
        <v>49</v>
      </c>
      <c r="D1292" s="221" t="s">
        <v>4329</v>
      </c>
      <c r="E1292" s="221" t="s">
        <v>3295</v>
      </c>
      <c r="F1292" s="221" t="s">
        <v>3299</v>
      </c>
      <c r="G1292" s="222">
        <v>45694</v>
      </c>
      <c r="H1292" s="223">
        <v>0.39930555555555558</v>
      </c>
      <c r="I1292" s="221" t="s">
        <v>4916</v>
      </c>
      <c r="J1292" s="221" t="s">
        <v>3023</v>
      </c>
      <c r="K1292" s="224" t="s">
        <v>3069</v>
      </c>
      <c r="L1292" s="225" t="str">
        <f>VLOOKUP(Logfile_S[[#This Row],[Material Name]],Sheet2!B:C,2,0)</f>
        <v>ZTE1001</v>
      </c>
      <c r="M1292" s="225" t="str">
        <f>_xlfn.XLOOKUP(Logfile_S[[#This Row],[Material Name]],Sum_WH!E:E,Sum_WH!F:F,"",0)</f>
        <v>Pcs</v>
      </c>
      <c r="N1292" s="221">
        <v>1</v>
      </c>
      <c r="O1292" s="221" t="s">
        <v>2633</v>
      </c>
      <c r="P1292" s="221" t="s">
        <v>3410</v>
      </c>
      <c r="Q1292" s="221"/>
      <c r="R1292" s="221"/>
      <c r="S1292" s="221"/>
      <c r="T1292" s="221" t="s">
        <v>3258</v>
      </c>
      <c r="U1292" s="221">
        <v>0</v>
      </c>
      <c r="V1292" s="221" t="s">
        <v>3337</v>
      </c>
      <c r="W1292" s="221" t="s">
        <v>3338</v>
      </c>
      <c r="X1292" s="221"/>
      <c r="Y1292" s="227"/>
      <c r="Z1292" s="227" t="str">
        <f>P1292</f>
        <v>PERUMAHAN DE WIRA GREEN VIEW</v>
      </c>
      <c r="AA1292" s="276" t="e">
        <f>VLOOKUP(Logfile_S[[#This Row],[DO number]],DO_DB!G:I,3,0)</f>
        <v>#N/A</v>
      </c>
      <c r="AB1292" s="331" t="e">
        <f>EXACT(Logfile_S[[#This Row],[date pick]],Logfile_S[[#This Row],[Date]])</f>
        <v>#N/A</v>
      </c>
      <c r="AC12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93" spans="1:29" ht="14.5">
      <c r="A1293" s="220" t="str">
        <f>TEXT(ROW(A1293)-ROW($A$4),"000")</f>
        <v>1289</v>
      </c>
      <c r="B1293" s="221"/>
      <c r="C1293" s="221" t="s">
        <v>49</v>
      </c>
      <c r="D1293" s="221" t="s">
        <v>4329</v>
      </c>
      <c r="E1293" s="221" t="s">
        <v>3295</v>
      </c>
      <c r="F1293" s="221" t="s">
        <v>3299</v>
      </c>
      <c r="G1293" s="222">
        <v>45694</v>
      </c>
      <c r="H1293" s="223">
        <v>0.39930555555555558</v>
      </c>
      <c r="I1293" s="221" t="s">
        <v>4916</v>
      </c>
      <c r="J1293" s="221" t="s">
        <v>3024</v>
      </c>
      <c r="K1293" s="224" t="s">
        <v>3456</v>
      </c>
      <c r="L1293" s="225" t="str">
        <f>VLOOKUP(Logfile_S[[#This Row],[Material Name]],Sheet2!B:C,2,0)</f>
        <v>GCI1008</v>
      </c>
      <c r="M1293" s="225" t="str">
        <f>_xlfn.XLOOKUP(Logfile_S[[#This Row],[Material Name]],Sum_WH!E:E,Sum_WH!F:F,"",0)</f>
        <v>Pcs</v>
      </c>
      <c r="N1293" s="221">
        <v>30</v>
      </c>
      <c r="O1293" s="221" t="s">
        <v>2633</v>
      </c>
      <c r="P1293" s="221" t="s">
        <v>3410</v>
      </c>
      <c r="Q1293" s="221"/>
      <c r="R1293" s="221"/>
      <c r="S1293" s="221"/>
      <c r="T1293" s="221" t="s">
        <v>3258</v>
      </c>
      <c r="U1293" s="221">
        <v>0</v>
      </c>
      <c r="V1293" s="221" t="s">
        <v>3337</v>
      </c>
      <c r="W1293" s="221" t="s">
        <v>3338</v>
      </c>
      <c r="X1293" s="221"/>
      <c r="Y1293" s="227"/>
      <c r="Z1293" s="227" t="str">
        <f>P1293</f>
        <v>PERUMAHAN DE WIRA GREEN VIEW</v>
      </c>
      <c r="AA1293" s="276" t="e">
        <f>VLOOKUP(Logfile_S[[#This Row],[DO number]],DO_DB!G:I,3,0)</f>
        <v>#N/A</v>
      </c>
      <c r="AB1293" s="331" t="e">
        <f>EXACT(Logfile_S[[#This Row],[date pick]],Logfile_S[[#This Row],[Date]])</f>
        <v>#N/A</v>
      </c>
      <c r="AC12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94" spans="1:29" ht="14.5">
      <c r="A1294" s="220" t="str">
        <f>TEXT(ROW(A1294)-ROW($A$4),"000")</f>
        <v>1290</v>
      </c>
      <c r="B1294" s="221"/>
      <c r="C1294" s="221" t="s">
        <v>49</v>
      </c>
      <c r="D1294" s="221" t="s">
        <v>4330</v>
      </c>
      <c r="E1294" s="221" t="s">
        <v>3295</v>
      </c>
      <c r="F1294" s="221" t="s">
        <v>3299</v>
      </c>
      <c r="G1294" s="222">
        <v>45698</v>
      </c>
      <c r="H1294" s="223">
        <v>0.45902777777777776</v>
      </c>
      <c r="I1294" s="221" t="s">
        <v>4916</v>
      </c>
      <c r="J1294" s="221" t="s">
        <v>3024</v>
      </c>
      <c r="K1294" s="224" t="s">
        <v>3087</v>
      </c>
      <c r="L1294" s="225" t="str">
        <f>VLOOKUP(Logfile_S[[#This Row],[Material Name]],Sheet2!B:C,2,0)</f>
        <v>GCI1001</v>
      </c>
      <c r="M1294" s="225" t="str">
        <f>_xlfn.XLOOKUP(Logfile_S[[#This Row],[Material Name]],Sum_WH!E:E,Sum_WH!F:F,"",0)</f>
        <v>Pcs</v>
      </c>
      <c r="N1294" s="221">
        <v>1</v>
      </c>
      <c r="O1294" s="221" t="s">
        <v>2633</v>
      </c>
      <c r="P1294" s="221" t="s">
        <v>3410</v>
      </c>
      <c r="Q1294" s="221"/>
      <c r="R1294" s="221"/>
      <c r="S1294" s="221"/>
      <c r="T1294" s="221" t="s">
        <v>3411</v>
      </c>
      <c r="U1294" s="221">
        <v>0</v>
      </c>
      <c r="V1294" s="221">
        <v>0</v>
      </c>
      <c r="W1294" s="221" t="s">
        <v>3412</v>
      </c>
      <c r="X1294" s="221"/>
      <c r="Y1294" s="227"/>
      <c r="Z1294" s="227" t="str">
        <f>P1294</f>
        <v>PERUMAHAN DE WIRA GREEN VIEW</v>
      </c>
      <c r="AA1294" s="276" t="e">
        <f>VLOOKUP(Logfile_S[[#This Row],[DO number]],DO_DB!G:I,3,0)</f>
        <v>#N/A</v>
      </c>
      <c r="AB1294" s="331" t="e">
        <f>EXACT(Logfile_S[[#This Row],[date pick]],Logfile_S[[#This Row],[Date]])</f>
        <v>#N/A</v>
      </c>
      <c r="AC12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95" spans="1:29" ht="14.5">
      <c r="A1295" s="220" t="str">
        <f>TEXT(ROW(A1295)-ROW($A$4),"000")</f>
        <v>1291</v>
      </c>
      <c r="B1295" s="221"/>
      <c r="C1295" s="221" t="s">
        <v>49</v>
      </c>
      <c r="D1295" s="221" t="s">
        <v>4330</v>
      </c>
      <c r="E1295" s="221" t="s">
        <v>3295</v>
      </c>
      <c r="F1295" s="221" t="s">
        <v>3299</v>
      </c>
      <c r="G1295" s="222">
        <v>45698</v>
      </c>
      <c r="H1295" s="223">
        <v>0.45902777777777776</v>
      </c>
      <c r="I1295" s="221" t="s">
        <v>4916</v>
      </c>
      <c r="J1295" s="221" t="s">
        <v>3023</v>
      </c>
      <c r="K1295" s="224" t="s">
        <v>3072</v>
      </c>
      <c r="L1295" s="225" t="str">
        <f>VLOOKUP(Logfile_S[[#This Row],[Material Name]],Sheet2!B:C,2,0)</f>
        <v>ZTE1004</v>
      </c>
      <c r="M1295" s="225" t="str">
        <f>_xlfn.XLOOKUP(Logfile_S[[#This Row],[Material Name]],Sum_WH!E:E,Sum_WH!F:F,"",0)</f>
        <v>Pcs</v>
      </c>
      <c r="N1295" s="221">
        <v>1</v>
      </c>
      <c r="O1295" s="221" t="s">
        <v>2633</v>
      </c>
      <c r="P1295" s="221" t="s">
        <v>3410</v>
      </c>
      <c r="Q1295" s="221"/>
      <c r="R1295" s="221"/>
      <c r="S1295" s="221"/>
      <c r="T1295" s="221" t="s">
        <v>3411</v>
      </c>
      <c r="U1295" s="221">
        <v>0</v>
      </c>
      <c r="V1295" s="221">
        <v>0</v>
      </c>
      <c r="W1295" s="221" t="s">
        <v>3412</v>
      </c>
      <c r="X1295" s="221"/>
      <c r="Y1295" s="227"/>
      <c r="Z1295" s="227" t="str">
        <f>P1295</f>
        <v>PERUMAHAN DE WIRA GREEN VIEW</v>
      </c>
      <c r="AA1295" s="276" t="e">
        <f>VLOOKUP(Logfile_S[[#This Row],[DO number]],DO_DB!G:I,3,0)</f>
        <v>#N/A</v>
      </c>
      <c r="AB1295" s="331" t="e">
        <f>EXACT(Logfile_S[[#This Row],[date pick]],Logfile_S[[#This Row],[Date]])</f>
        <v>#N/A</v>
      </c>
      <c r="AC12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96" spans="1:29" ht="14.5">
      <c r="A1296" s="220" t="str">
        <f>TEXT(ROW(A1296)-ROW($A$4),"000")</f>
        <v>1292</v>
      </c>
      <c r="B1296" s="221"/>
      <c r="C1296" s="221" t="s">
        <v>49</v>
      </c>
      <c r="D1296" s="221" t="s">
        <v>4301</v>
      </c>
      <c r="E1296" s="221" t="s">
        <v>3295</v>
      </c>
      <c r="F1296" s="221" t="s">
        <v>3299</v>
      </c>
      <c r="G1296" s="222">
        <v>45640</v>
      </c>
      <c r="H1296" s="223">
        <v>0.48541666666666666</v>
      </c>
      <c r="I1296" s="221" t="s">
        <v>4916</v>
      </c>
      <c r="J1296" s="221" t="s">
        <v>3024</v>
      </c>
      <c r="K1296" s="224" t="s">
        <v>5137</v>
      </c>
      <c r="L1296" s="225" t="str">
        <f>VLOOKUP(Logfile_S[[#This Row],[Material Name]],Sheet2!B:C,2,0)</f>
        <v>GCI1009</v>
      </c>
      <c r="M1296" s="225" t="str">
        <f>_xlfn.XLOOKUP(Logfile_S[[#This Row],[Material Name]],Sum_WH!E:E,Sum_WH!F:F,"",0)</f>
        <v>Pcs</v>
      </c>
      <c r="N1296" s="221">
        <v>100</v>
      </c>
      <c r="O1296" s="221" t="s">
        <v>2535</v>
      </c>
      <c r="P1296" s="221" t="s">
        <v>3422</v>
      </c>
      <c r="Q1296" s="221"/>
      <c r="R1296" s="221"/>
      <c r="S1296" s="221"/>
      <c r="T1296" s="221" t="s">
        <v>3258</v>
      </c>
      <c r="U1296" s="221">
        <v>0</v>
      </c>
      <c r="V1296" s="221" t="s">
        <v>3337</v>
      </c>
      <c r="W1296" s="221" t="s">
        <v>3338</v>
      </c>
      <c r="X1296" s="221"/>
      <c r="Y1296" s="227"/>
      <c r="Z1296" s="227" t="str">
        <f>P1296</f>
        <v>DUSUN CUPAK RW 01</v>
      </c>
      <c r="AA1296" s="276" t="e">
        <f>VLOOKUP(Logfile_S[[#This Row],[DO number]],DO_DB!G:I,3,0)</f>
        <v>#N/A</v>
      </c>
      <c r="AB1296" s="331" t="e">
        <f>EXACT(Logfile_S[[#This Row],[date pick]],Logfile_S[[#This Row],[Date]])</f>
        <v>#N/A</v>
      </c>
      <c r="AC12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97" spans="1:29" ht="14.5">
      <c r="A1297" s="220" t="str">
        <f>TEXT(ROW(A1297)-ROW($A$4),"000")</f>
        <v>1293</v>
      </c>
      <c r="B1297" s="221"/>
      <c r="C1297" s="221" t="s">
        <v>49</v>
      </c>
      <c r="D1297" s="221" t="s">
        <v>4301</v>
      </c>
      <c r="E1297" s="221" t="s">
        <v>3295</v>
      </c>
      <c r="F1297" s="221" t="s">
        <v>3299</v>
      </c>
      <c r="G1297" s="222">
        <v>45640</v>
      </c>
      <c r="H1297" s="223">
        <v>0.48541666666666666</v>
      </c>
      <c r="I1297" s="221" t="s">
        <v>4916</v>
      </c>
      <c r="J1297" s="221" t="s">
        <v>3023</v>
      </c>
      <c r="K1297" s="224" t="s">
        <v>3070</v>
      </c>
      <c r="L1297" s="225" t="str">
        <f>VLOOKUP(Logfile_S[[#This Row],[Material Name]],Sheet2!B:C,2,0)</f>
        <v>ZTE1002</v>
      </c>
      <c r="M1297" s="225" t="str">
        <f>_xlfn.XLOOKUP(Logfile_S[[#This Row],[Material Name]],Sum_WH!E:E,Sum_WH!F:F,"",0)</f>
        <v>Pcs</v>
      </c>
      <c r="N1297" s="221">
        <v>8</v>
      </c>
      <c r="O1297" s="221" t="s">
        <v>2535</v>
      </c>
      <c r="P1297" s="221" t="s">
        <v>3422</v>
      </c>
      <c r="Q1297" s="221"/>
      <c r="R1297" s="221"/>
      <c r="S1297" s="221"/>
      <c r="T1297" s="221" t="s">
        <v>3258</v>
      </c>
      <c r="U1297" s="221">
        <v>0</v>
      </c>
      <c r="V1297" s="221" t="s">
        <v>3337</v>
      </c>
      <c r="W1297" s="221" t="s">
        <v>3338</v>
      </c>
      <c r="X1297" s="221"/>
      <c r="Y1297" s="227"/>
      <c r="Z1297" s="227" t="str">
        <f>P1297</f>
        <v>DUSUN CUPAK RW 01</v>
      </c>
      <c r="AA1297" s="276" t="e">
        <f>VLOOKUP(Logfile_S[[#This Row],[DO number]],DO_DB!G:I,3,0)</f>
        <v>#N/A</v>
      </c>
      <c r="AB1297" s="331" t="e">
        <f>EXACT(Logfile_S[[#This Row],[date pick]],Logfile_S[[#This Row],[Date]])</f>
        <v>#N/A</v>
      </c>
      <c r="AC12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98" spans="1:29" ht="14.5">
      <c r="A1298" s="220" t="str">
        <f>TEXT(ROW(A1298)-ROW($A$4),"000")</f>
        <v>1294</v>
      </c>
      <c r="B1298" s="221"/>
      <c r="C1298" s="221" t="s">
        <v>49</v>
      </c>
      <c r="D1298" s="221" t="s">
        <v>4301</v>
      </c>
      <c r="E1298" s="221" t="s">
        <v>3295</v>
      </c>
      <c r="F1298" s="221" t="s">
        <v>3299</v>
      </c>
      <c r="G1298" s="222">
        <v>45640</v>
      </c>
      <c r="H1298" s="223">
        <v>0.48541666666666666</v>
      </c>
      <c r="I1298" s="221" t="s">
        <v>4916</v>
      </c>
      <c r="J1298" s="221" t="s">
        <v>3023</v>
      </c>
      <c r="K1298" s="224" t="s">
        <v>3069</v>
      </c>
      <c r="L1298" s="225" t="str">
        <f>VLOOKUP(Logfile_S[[#This Row],[Material Name]],Sheet2!B:C,2,0)</f>
        <v>ZTE1001</v>
      </c>
      <c r="M1298" s="225" t="str">
        <f>_xlfn.XLOOKUP(Logfile_S[[#This Row],[Material Name]],Sum_WH!E:E,Sum_WH!F:F,"",0)</f>
        <v>Pcs</v>
      </c>
      <c r="N1298" s="221">
        <v>76</v>
      </c>
      <c r="O1298" s="221" t="s">
        <v>2535</v>
      </c>
      <c r="P1298" s="221" t="s">
        <v>3422</v>
      </c>
      <c r="Q1298" s="221"/>
      <c r="R1298" s="221"/>
      <c r="S1298" s="221"/>
      <c r="T1298" s="221" t="s">
        <v>3258</v>
      </c>
      <c r="U1298" s="221">
        <v>0</v>
      </c>
      <c r="V1298" s="221" t="s">
        <v>3337</v>
      </c>
      <c r="W1298" s="221" t="s">
        <v>3338</v>
      </c>
      <c r="X1298" s="221"/>
      <c r="Y1298" s="227"/>
      <c r="Z1298" s="227" t="str">
        <f>P1298</f>
        <v>DUSUN CUPAK RW 01</v>
      </c>
      <c r="AA1298" s="276" t="e">
        <f>VLOOKUP(Logfile_S[[#This Row],[DO number]],DO_DB!G:I,3,0)</f>
        <v>#N/A</v>
      </c>
      <c r="AB1298" s="331" t="e">
        <f>EXACT(Logfile_S[[#This Row],[date pick]],Logfile_S[[#This Row],[Date]])</f>
        <v>#N/A</v>
      </c>
      <c r="AC12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299" spans="1:29" ht="14.5">
      <c r="A1299" s="220" t="str">
        <f>TEXT(ROW(A1299)-ROW($A$4),"000")</f>
        <v>1295</v>
      </c>
      <c r="B1299" s="221"/>
      <c r="C1299" s="221" t="s">
        <v>49</v>
      </c>
      <c r="D1299" s="221" t="s">
        <v>4307</v>
      </c>
      <c r="E1299" s="221" t="s">
        <v>3295</v>
      </c>
      <c r="F1299" s="221" t="s">
        <v>3299</v>
      </c>
      <c r="G1299" s="222">
        <v>45643</v>
      </c>
      <c r="H1299" s="223">
        <v>0.87708333333333333</v>
      </c>
      <c r="I1299" s="221" t="s">
        <v>4916</v>
      </c>
      <c r="J1299" s="221" t="s">
        <v>3023</v>
      </c>
      <c r="K1299" s="224" t="s">
        <v>13</v>
      </c>
      <c r="L1299" s="225" t="str">
        <f>VLOOKUP(Logfile_S[[#This Row],[Material Name]],Sheet2!B:C,2,0)</f>
        <v>ZTE2008</v>
      </c>
      <c r="M1299" s="225" t="str">
        <f>_xlfn.XLOOKUP(Logfile_S[[#This Row],[Material Name]],Sum_WH!E:E,Sum_WH!F:F,"",0)</f>
        <v>Pcs</v>
      </c>
      <c r="N1299" s="221">
        <v>18</v>
      </c>
      <c r="O1299" s="221" t="s">
        <v>2535</v>
      </c>
      <c r="P1299" s="221" t="s">
        <v>3422</v>
      </c>
      <c r="Q1299" s="221"/>
      <c r="R1299" s="221"/>
      <c r="S1299" s="221"/>
      <c r="T1299" s="221" t="s">
        <v>3356</v>
      </c>
      <c r="U1299" s="221">
        <v>0</v>
      </c>
      <c r="V1299" s="221">
        <v>0</v>
      </c>
      <c r="W1299" s="221" t="s">
        <v>3358</v>
      </c>
      <c r="X1299" s="221"/>
      <c r="Y1299" s="227"/>
      <c r="Z1299" s="227" t="str">
        <f>P1299</f>
        <v>DUSUN CUPAK RW 01</v>
      </c>
      <c r="AA1299" s="276" t="e">
        <f>VLOOKUP(Logfile_S[[#This Row],[DO number]],DO_DB!G:I,3,0)</f>
        <v>#N/A</v>
      </c>
      <c r="AB1299" s="331" t="e">
        <f>EXACT(Logfile_S[[#This Row],[date pick]],Logfile_S[[#This Row],[Date]])</f>
        <v>#N/A</v>
      </c>
      <c r="AC12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00" spans="1:29" ht="14.5">
      <c r="A1300" s="220" t="str">
        <f>TEXT(ROW(A1300)-ROW($A$4),"000")</f>
        <v>1296</v>
      </c>
      <c r="B1300" s="221"/>
      <c r="C1300" s="221" t="s">
        <v>49</v>
      </c>
      <c r="D1300" s="221" t="s">
        <v>4307</v>
      </c>
      <c r="E1300" s="221" t="s">
        <v>3295</v>
      </c>
      <c r="F1300" s="221" t="s">
        <v>3299</v>
      </c>
      <c r="G1300" s="222">
        <v>45643</v>
      </c>
      <c r="H1300" s="223">
        <v>0.87708333333333333</v>
      </c>
      <c r="I1300" s="221" t="s">
        <v>4916</v>
      </c>
      <c r="J1300" s="221" t="s">
        <v>3023</v>
      </c>
      <c r="K1300" s="224" t="s">
        <v>14</v>
      </c>
      <c r="L1300" s="225" t="str">
        <f>VLOOKUP(Logfile_S[[#This Row],[Material Name]],Sheet2!B:C,2,0)</f>
        <v>ZTE2005</v>
      </c>
      <c r="M1300" s="225" t="str">
        <f>_xlfn.XLOOKUP(Logfile_S[[#This Row],[Material Name]],Sum_WH!E:E,Sum_WH!F:F,"",0)</f>
        <v>Pcs</v>
      </c>
      <c r="N1300" s="221">
        <v>2</v>
      </c>
      <c r="O1300" s="221" t="s">
        <v>2535</v>
      </c>
      <c r="P1300" s="221" t="s">
        <v>3422</v>
      </c>
      <c r="Q1300" s="221"/>
      <c r="R1300" s="221"/>
      <c r="S1300" s="221"/>
      <c r="T1300" s="221" t="s">
        <v>3356</v>
      </c>
      <c r="U1300" s="221">
        <v>0</v>
      </c>
      <c r="V1300" s="221">
        <v>0</v>
      </c>
      <c r="W1300" s="221" t="s">
        <v>3358</v>
      </c>
      <c r="X1300" s="221"/>
      <c r="Y1300" s="227"/>
      <c r="Z1300" s="227" t="str">
        <f>P1300</f>
        <v>DUSUN CUPAK RW 01</v>
      </c>
      <c r="AA1300" s="276" t="e">
        <f>VLOOKUP(Logfile_S[[#This Row],[DO number]],DO_DB!G:I,3,0)</f>
        <v>#N/A</v>
      </c>
      <c r="AB1300" s="331" t="e">
        <f>EXACT(Logfile_S[[#This Row],[date pick]],Logfile_S[[#This Row],[Date]])</f>
        <v>#N/A</v>
      </c>
      <c r="AC13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01" spans="1:29" ht="14.5">
      <c r="A1301" s="220" t="str">
        <f>TEXT(ROW(A1301)-ROW($A$4),"000")</f>
        <v>1297</v>
      </c>
      <c r="B1301" s="221"/>
      <c r="C1301" s="221" t="s">
        <v>49</v>
      </c>
      <c r="D1301" s="221" t="s">
        <v>4307</v>
      </c>
      <c r="E1301" s="221" t="s">
        <v>3295</v>
      </c>
      <c r="F1301" s="221" t="s">
        <v>3299</v>
      </c>
      <c r="G1301" s="222">
        <v>45643</v>
      </c>
      <c r="H1301" s="223">
        <v>0.87708333333333333</v>
      </c>
      <c r="I1301" s="221" t="s">
        <v>4916</v>
      </c>
      <c r="J1301" s="221" t="s">
        <v>3023</v>
      </c>
      <c r="K1301" s="224" t="s">
        <v>3072</v>
      </c>
      <c r="L1301" s="225" t="str">
        <f>VLOOKUP(Logfile_S[[#This Row],[Material Name]],Sheet2!B:C,2,0)</f>
        <v>ZTE1004</v>
      </c>
      <c r="M1301" s="225" t="str">
        <f>_xlfn.XLOOKUP(Logfile_S[[#This Row],[Material Name]],Sum_WH!E:E,Sum_WH!F:F,"",0)</f>
        <v>Pcs</v>
      </c>
      <c r="N1301" s="221">
        <v>1</v>
      </c>
      <c r="O1301" s="221" t="s">
        <v>2535</v>
      </c>
      <c r="P1301" s="221" t="s">
        <v>3422</v>
      </c>
      <c r="Q1301" s="221"/>
      <c r="R1301" s="221"/>
      <c r="S1301" s="221"/>
      <c r="T1301" s="221" t="s">
        <v>3356</v>
      </c>
      <c r="U1301" s="221">
        <v>0</v>
      </c>
      <c r="V1301" s="221">
        <v>0</v>
      </c>
      <c r="W1301" s="221" t="s">
        <v>3358</v>
      </c>
      <c r="X1301" s="221"/>
      <c r="Y1301" s="227"/>
      <c r="Z1301" s="227" t="str">
        <f>P1301</f>
        <v>DUSUN CUPAK RW 01</v>
      </c>
      <c r="AA1301" s="276" t="e">
        <f>VLOOKUP(Logfile_S[[#This Row],[DO number]],DO_DB!G:I,3,0)</f>
        <v>#N/A</v>
      </c>
      <c r="AB1301" s="331" t="e">
        <f>EXACT(Logfile_S[[#This Row],[date pick]],Logfile_S[[#This Row],[Date]])</f>
        <v>#N/A</v>
      </c>
      <c r="AC13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02" spans="1:29" ht="14.5">
      <c r="A1302" s="220" t="str">
        <f>TEXT(ROW(A1302)-ROW($A$4),"000")</f>
        <v>1298</v>
      </c>
      <c r="B1302" s="221"/>
      <c r="C1302" s="221" t="s">
        <v>49</v>
      </c>
      <c r="D1302" s="221" t="s">
        <v>4310</v>
      </c>
      <c r="E1302" s="221" t="s">
        <v>3295</v>
      </c>
      <c r="F1302" s="221" t="s">
        <v>3299</v>
      </c>
      <c r="G1302" s="222">
        <v>45648</v>
      </c>
      <c r="H1302" s="223">
        <v>0.79027777777777775</v>
      </c>
      <c r="I1302" s="221" t="s">
        <v>4916</v>
      </c>
      <c r="J1302" s="221" t="s">
        <v>3023</v>
      </c>
      <c r="K1302" s="224" t="s">
        <v>13</v>
      </c>
      <c r="L1302" s="225" t="str">
        <f>VLOOKUP(Logfile_S[[#This Row],[Material Name]],Sheet2!B:C,2,0)</f>
        <v>ZTE2008</v>
      </c>
      <c r="M1302" s="225" t="str">
        <f>_xlfn.XLOOKUP(Logfile_S[[#This Row],[Material Name]],Sum_WH!E:E,Sum_WH!F:F,"",0)</f>
        <v>Pcs</v>
      </c>
      <c r="N1302" s="221">
        <v>2</v>
      </c>
      <c r="O1302" s="221" t="s">
        <v>2535</v>
      </c>
      <c r="P1302" s="221" t="s">
        <v>3422</v>
      </c>
      <c r="Q1302" s="221"/>
      <c r="R1302" s="221"/>
      <c r="S1302" s="221"/>
      <c r="T1302" s="221" t="s">
        <v>3231</v>
      </c>
      <c r="U1302" s="221">
        <v>0</v>
      </c>
      <c r="V1302" s="221" t="s">
        <v>3232</v>
      </c>
      <c r="W1302" s="221" t="s">
        <v>3254</v>
      </c>
      <c r="X1302" s="221"/>
      <c r="Y1302" s="227"/>
      <c r="Z1302" s="227" t="str">
        <f>P1302</f>
        <v>DUSUN CUPAK RW 01</v>
      </c>
      <c r="AA1302" s="276" t="e">
        <f>VLOOKUP(Logfile_S[[#This Row],[DO number]],DO_DB!G:I,3,0)</f>
        <v>#N/A</v>
      </c>
      <c r="AB1302" s="331" t="e">
        <f>EXACT(Logfile_S[[#This Row],[date pick]],Logfile_S[[#This Row],[Date]])</f>
        <v>#N/A</v>
      </c>
      <c r="AC13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03" spans="1:29" ht="14.5">
      <c r="A1303" s="220" t="str">
        <f>TEXT(ROW(A1303)-ROW($A$4),"000")</f>
        <v>1299</v>
      </c>
      <c r="B1303" s="221"/>
      <c r="C1303" s="221" t="s">
        <v>49</v>
      </c>
      <c r="D1303" s="221" t="s">
        <v>4309</v>
      </c>
      <c r="E1303" s="221" t="s">
        <v>3295</v>
      </c>
      <c r="F1303" s="221" t="s">
        <v>3299</v>
      </c>
      <c r="G1303" s="222">
        <v>45644</v>
      </c>
      <c r="H1303" s="223">
        <v>0.87708333333333333</v>
      </c>
      <c r="I1303" s="221" t="s">
        <v>4916</v>
      </c>
      <c r="J1303" s="221" t="s">
        <v>3023</v>
      </c>
      <c r="K1303" s="224" t="s">
        <v>3073</v>
      </c>
      <c r="L1303" s="225" t="str">
        <f>VLOOKUP(Logfile_S[[#This Row],[Material Name]],Sheet2!B:C,2,0)</f>
        <v>ZTE2001</v>
      </c>
      <c r="M1303" s="225" t="str">
        <f>_xlfn.XLOOKUP(Logfile_S[[#This Row],[Material Name]],Sum_WH!E:E,Sum_WH!F:F,"",0)</f>
        <v>Meter</v>
      </c>
      <c r="N1303" s="221">
        <v>3000</v>
      </c>
      <c r="O1303" s="221" t="s">
        <v>2543</v>
      </c>
      <c r="P1303" s="221" t="s">
        <v>2544</v>
      </c>
      <c r="Q1303" s="221"/>
      <c r="R1303" s="221"/>
      <c r="S1303" s="221"/>
      <c r="T1303" s="221" t="s">
        <v>3258</v>
      </c>
      <c r="U1303" s="221" t="s">
        <v>5107</v>
      </c>
      <c r="V1303" s="221" t="s">
        <v>3337</v>
      </c>
      <c r="W1303" s="221" t="s">
        <v>3338</v>
      </c>
      <c r="X1303" s="221"/>
      <c r="Y1303" s="227"/>
      <c r="Z1303" s="227" t="str">
        <f>P1303</f>
        <v>Dusun Cupak RW 02</v>
      </c>
      <c r="AA1303" s="276" t="e">
        <f>VLOOKUP(Logfile_S[[#This Row],[DO number]],DO_DB!G:I,3,0)</f>
        <v>#N/A</v>
      </c>
      <c r="AB1303" s="331" t="e">
        <f>EXACT(Logfile_S[[#This Row],[date pick]],Logfile_S[[#This Row],[Date]])</f>
        <v>#N/A</v>
      </c>
      <c r="AC13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04" spans="1:29" ht="14.5">
      <c r="A1304" s="220" t="str">
        <f>TEXT(ROW(A1304)-ROW($A$4),"000")</f>
        <v>1300</v>
      </c>
      <c r="B1304" s="221"/>
      <c r="C1304" s="221" t="s">
        <v>49</v>
      </c>
      <c r="D1304" s="221" t="s">
        <v>4314</v>
      </c>
      <c r="E1304" s="221" t="s">
        <v>3295</v>
      </c>
      <c r="F1304" s="221" t="s">
        <v>3299</v>
      </c>
      <c r="G1304" s="222">
        <v>45652</v>
      </c>
      <c r="H1304" s="223">
        <v>0.87708333333333333</v>
      </c>
      <c r="I1304" s="221" t="s">
        <v>4916</v>
      </c>
      <c r="J1304" s="221" t="s">
        <v>3023</v>
      </c>
      <c r="K1304" s="224" t="s">
        <v>3070</v>
      </c>
      <c r="L1304" s="225" t="str">
        <f>VLOOKUP(Logfile_S[[#This Row],[Material Name]],Sheet2!B:C,2,0)</f>
        <v>ZTE1002</v>
      </c>
      <c r="M1304" s="225" t="str">
        <f>_xlfn.XLOOKUP(Logfile_S[[#This Row],[Material Name]],Sum_WH!E:E,Sum_WH!F:F,"",0)</f>
        <v>Pcs</v>
      </c>
      <c r="N1304" s="221">
        <v>3</v>
      </c>
      <c r="O1304" s="221" t="s">
        <v>2543</v>
      </c>
      <c r="P1304" s="221" t="s">
        <v>2544</v>
      </c>
      <c r="Q1304" s="221"/>
      <c r="R1304" s="221"/>
      <c r="S1304" s="221"/>
      <c r="T1304" s="221" t="s">
        <v>3258</v>
      </c>
      <c r="U1304" s="221">
        <v>0</v>
      </c>
      <c r="V1304" s="221" t="s">
        <v>3337</v>
      </c>
      <c r="W1304" s="221" t="s">
        <v>3338</v>
      </c>
      <c r="X1304" s="221"/>
      <c r="Y1304" s="227"/>
      <c r="Z1304" s="227" t="str">
        <f>P1304</f>
        <v>Dusun Cupak RW 02</v>
      </c>
      <c r="AA1304" s="276" t="e">
        <f>VLOOKUP(Logfile_S[[#This Row],[DO number]],DO_DB!G:I,3,0)</f>
        <v>#N/A</v>
      </c>
      <c r="AB1304" s="331" t="e">
        <f>EXACT(Logfile_S[[#This Row],[date pick]],Logfile_S[[#This Row],[Date]])</f>
        <v>#N/A</v>
      </c>
      <c r="AC13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05" spans="1:29" ht="14.5">
      <c r="A1305" s="220" t="str">
        <f>TEXT(ROW(A1305)-ROW($A$4),"000")</f>
        <v>1301</v>
      </c>
      <c r="B1305" s="221"/>
      <c r="C1305" s="221" t="s">
        <v>49</v>
      </c>
      <c r="D1305" s="221" t="s">
        <v>4106</v>
      </c>
      <c r="E1305" s="221" t="s">
        <v>3295</v>
      </c>
      <c r="F1305" s="221" t="s">
        <v>3299</v>
      </c>
      <c r="G1305" s="222">
        <v>45470</v>
      </c>
      <c r="H1305" s="223">
        <v>0.53680555555555554</v>
      </c>
      <c r="I1305" s="221" t="s">
        <v>4916</v>
      </c>
      <c r="J1305" s="221" t="s">
        <v>3023</v>
      </c>
      <c r="K1305" s="224" t="s">
        <v>3075</v>
      </c>
      <c r="L1305" s="225" t="str">
        <f>VLOOKUP(Logfile_S[[#This Row],[Material Name]],Sheet2!B:C,2,0)</f>
        <v>ZTE2003</v>
      </c>
      <c r="M1305" s="225" t="str">
        <f>_xlfn.XLOOKUP(Logfile_S[[#This Row],[Material Name]],Sum_WH!E:E,Sum_WH!F:F,"",0)</f>
        <v>Meter</v>
      </c>
      <c r="N1305" s="221">
        <v>3000</v>
      </c>
      <c r="O1305" s="221" t="s">
        <v>1721</v>
      </c>
      <c r="P1305" s="221" t="s">
        <v>1722</v>
      </c>
      <c r="Q1305" s="221"/>
      <c r="R1305" s="221"/>
      <c r="S1305" s="221"/>
      <c r="T1305" s="221" t="s">
        <v>3258</v>
      </c>
      <c r="U1305" s="221" t="s">
        <v>3228</v>
      </c>
      <c r="V1305" s="221" t="s">
        <v>3337</v>
      </c>
      <c r="W1305" s="221" t="s">
        <v>3338</v>
      </c>
      <c r="X1305" s="221">
        <v>2875</v>
      </c>
      <c r="Y1305" s="227"/>
      <c r="Z1305" s="227" t="str">
        <f>P1305</f>
        <v>Perumahan Perumnas Talangagung I Malang</v>
      </c>
      <c r="AA1305" s="276" t="e">
        <f>VLOOKUP(Logfile_S[[#This Row],[DO number]],DO_DB!G:I,3,0)</f>
        <v>#N/A</v>
      </c>
      <c r="AB1305" s="331" t="e">
        <f>EXACT(Logfile_S[[#This Row],[date pick]],Logfile_S[[#This Row],[Date]])</f>
        <v>#N/A</v>
      </c>
      <c r="AC13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06" spans="1:29" ht="14.5">
      <c r="A1306" s="220" t="str">
        <f>TEXT(ROW(A1306)-ROW($A$4),"000")</f>
        <v>1302</v>
      </c>
      <c r="B1306" s="221"/>
      <c r="C1306" s="221" t="s">
        <v>49</v>
      </c>
      <c r="D1306" s="221" t="s">
        <v>4111</v>
      </c>
      <c r="E1306" s="221" t="s">
        <v>3295</v>
      </c>
      <c r="F1306" s="221" t="s">
        <v>3299</v>
      </c>
      <c r="G1306" s="222">
        <v>45478</v>
      </c>
      <c r="H1306" s="223">
        <v>0.54791666666666672</v>
      </c>
      <c r="I1306" s="221" t="s">
        <v>4916</v>
      </c>
      <c r="J1306" s="221" t="s">
        <v>3024</v>
      </c>
      <c r="K1306" s="224" t="s">
        <v>3097</v>
      </c>
      <c r="L1306" s="225" t="str">
        <f>VLOOKUP(Logfile_S[[#This Row],[Material Name]],Sheet2!B:C,2,0)</f>
        <v>GCI1011</v>
      </c>
      <c r="M1306" s="225" t="str">
        <f>_xlfn.XLOOKUP(Logfile_S[[#This Row],[Material Name]],Sum_WH!E:E,Sum_WH!F:F,"",0)</f>
        <v>Pcs</v>
      </c>
      <c r="N1306" s="221">
        <v>1</v>
      </c>
      <c r="O1306" s="221" t="s">
        <v>1721</v>
      </c>
      <c r="P1306" s="221" t="s">
        <v>1722</v>
      </c>
      <c r="Q1306" s="221"/>
      <c r="R1306" s="221"/>
      <c r="S1306" s="221"/>
      <c r="T1306" s="221" t="s">
        <v>3258</v>
      </c>
      <c r="U1306" s="221" t="s">
        <v>3228</v>
      </c>
      <c r="V1306" s="221" t="s">
        <v>3337</v>
      </c>
      <c r="W1306" s="221" t="s">
        <v>3338</v>
      </c>
      <c r="X1306" s="221"/>
      <c r="Y1306" s="227"/>
      <c r="Z1306" s="227" t="str">
        <f>P1306</f>
        <v>Perumahan Perumnas Talangagung I Malang</v>
      </c>
      <c r="AA1306" s="276" t="e">
        <f>VLOOKUP(Logfile_S[[#This Row],[DO number]],DO_DB!G:I,3,0)</f>
        <v>#N/A</v>
      </c>
      <c r="AB1306" s="331" t="e">
        <f>EXACT(Logfile_S[[#This Row],[date pick]],Logfile_S[[#This Row],[Date]])</f>
        <v>#N/A</v>
      </c>
      <c r="AC13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07" spans="1:29" ht="14.5">
      <c r="A1307" s="220" t="str">
        <f>TEXT(ROW(A1307)-ROW($A$4),"000")</f>
        <v>1303</v>
      </c>
      <c r="B1307" s="221"/>
      <c r="C1307" s="221" t="s">
        <v>49</v>
      </c>
      <c r="D1307" s="221" t="s">
        <v>4111</v>
      </c>
      <c r="E1307" s="221" t="s">
        <v>3295</v>
      </c>
      <c r="F1307" s="221" t="s">
        <v>3299</v>
      </c>
      <c r="G1307" s="222">
        <v>45478</v>
      </c>
      <c r="H1307" s="223">
        <v>0.54791666666666672</v>
      </c>
      <c r="I1307" s="221" t="s">
        <v>4916</v>
      </c>
      <c r="J1307" s="221" t="s">
        <v>3024</v>
      </c>
      <c r="K1307" s="224" t="s">
        <v>3091</v>
      </c>
      <c r="L1307" s="225" t="str">
        <f>VLOOKUP(Logfile_S[[#This Row],[Material Name]],Sheet2!B:C,2,0)</f>
        <v>GCI1005</v>
      </c>
      <c r="M1307" s="225" t="str">
        <f>_xlfn.XLOOKUP(Logfile_S[[#This Row],[Material Name]],Sum_WH!E:E,Sum_WH!F:F,"",0)</f>
        <v>Pcs</v>
      </c>
      <c r="N1307" s="221">
        <v>100</v>
      </c>
      <c r="O1307" s="221" t="s">
        <v>1721</v>
      </c>
      <c r="P1307" s="221" t="s">
        <v>1722</v>
      </c>
      <c r="Q1307" s="221"/>
      <c r="R1307" s="221"/>
      <c r="S1307" s="221"/>
      <c r="T1307" s="221" t="s">
        <v>3258</v>
      </c>
      <c r="U1307" s="221" t="s">
        <v>3228</v>
      </c>
      <c r="V1307" s="221" t="s">
        <v>3337</v>
      </c>
      <c r="W1307" s="221" t="s">
        <v>3338</v>
      </c>
      <c r="X1307" s="221"/>
      <c r="Y1307" s="227"/>
      <c r="Z1307" s="227" t="str">
        <f>P1307</f>
        <v>Perumahan Perumnas Talangagung I Malang</v>
      </c>
      <c r="AA1307" s="276" t="e">
        <f>VLOOKUP(Logfile_S[[#This Row],[DO number]],DO_DB!G:I,3,0)</f>
        <v>#N/A</v>
      </c>
      <c r="AB1307" s="331" t="e">
        <f>EXACT(Logfile_S[[#This Row],[date pick]],Logfile_S[[#This Row],[Date]])</f>
        <v>#N/A</v>
      </c>
      <c r="AC13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08" spans="1:29" ht="14.5">
      <c r="A1308" s="220" t="str">
        <f>TEXT(ROW(A1308)-ROW($A$4),"000")</f>
        <v>1304</v>
      </c>
      <c r="B1308" s="221"/>
      <c r="C1308" s="221" t="s">
        <v>49</v>
      </c>
      <c r="D1308" s="221" t="s">
        <v>4111</v>
      </c>
      <c r="E1308" s="221" t="s">
        <v>3295</v>
      </c>
      <c r="F1308" s="221" t="s">
        <v>3299</v>
      </c>
      <c r="G1308" s="222">
        <v>45478</v>
      </c>
      <c r="H1308" s="223">
        <v>0.54791666666666672</v>
      </c>
      <c r="I1308" s="221" t="s">
        <v>4916</v>
      </c>
      <c r="J1308" s="221" t="s">
        <v>3024</v>
      </c>
      <c r="K1308" s="224" t="s">
        <v>3087</v>
      </c>
      <c r="L1308" s="225" t="str">
        <f>VLOOKUP(Logfile_S[[#This Row],[Material Name]],Sheet2!B:C,2,0)</f>
        <v>GCI1001</v>
      </c>
      <c r="M1308" s="225" t="str">
        <f>_xlfn.XLOOKUP(Logfile_S[[#This Row],[Material Name]],Sum_WH!E:E,Sum_WH!F:F,"",0)</f>
        <v>Pcs</v>
      </c>
      <c r="N1308" s="221">
        <v>89</v>
      </c>
      <c r="O1308" s="221" t="s">
        <v>1721</v>
      </c>
      <c r="P1308" s="221" t="s">
        <v>1722</v>
      </c>
      <c r="Q1308" s="221"/>
      <c r="R1308" s="221"/>
      <c r="S1308" s="221"/>
      <c r="T1308" s="221" t="s">
        <v>3258</v>
      </c>
      <c r="U1308" s="221" t="s">
        <v>3228</v>
      </c>
      <c r="V1308" s="221" t="s">
        <v>3337</v>
      </c>
      <c r="W1308" s="221" t="s">
        <v>3338</v>
      </c>
      <c r="X1308" s="221"/>
      <c r="Y1308" s="227"/>
      <c r="Z1308" s="227" t="str">
        <f>P1308</f>
        <v>Perumahan Perumnas Talangagung I Malang</v>
      </c>
      <c r="AA1308" s="276" t="e">
        <f>VLOOKUP(Logfile_S[[#This Row],[DO number]],DO_DB!G:I,3,0)</f>
        <v>#N/A</v>
      </c>
      <c r="AB1308" s="331" t="e">
        <f>EXACT(Logfile_S[[#This Row],[date pick]],Logfile_S[[#This Row],[Date]])</f>
        <v>#N/A</v>
      </c>
      <c r="AC13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09" spans="1:29" ht="14.5">
      <c r="A1309" s="220" t="str">
        <f>TEXT(ROW(A1309)-ROW($A$4),"000")</f>
        <v>1305</v>
      </c>
      <c r="B1309" s="221"/>
      <c r="C1309" s="221" t="s">
        <v>49</v>
      </c>
      <c r="D1309" s="221" t="s">
        <v>4111</v>
      </c>
      <c r="E1309" s="221" t="s">
        <v>3295</v>
      </c>
      <c r="F1309" s="221" t="s">
        <v>3299</v>
      </c>
      <c r="G1309" s="222">
        <v>45478</v>
      </c>
      <c r="H1309" s="223">
        <v>0.54791666666666672</v>
      </c>
      <c r="I1309" s="221" t="s">
        <v>4916</v>
      </c>
      <c r="J1309" s="221" t="s">
        <v>3024</v>
      </c>
      <c r="K1309" s="224" t="s">
        <v>5137</v>
      </c>
      <c r="L1309" s="225" t="str">
        <f>VLOOKUP(Logfile_S[[#This Row],[Material Name]],Sheet2!B:C,2,0)</f>
        <v>GCI1009</v>
      </c>
      <c r="M1309" s="225" t="str">
        <f>_xlfn.XLOOKUP(Logfile_S[[#This Row],[Material Name]],Sum_WH!E:E,Sum_WH!F:F,"",0)</f>
        <v>Pcs</v>
      </c>
      <c r="N1309" s="221">
        <v>55</v>
      </c>
      <c r="O1309" s="221" t="s">
        <v>1721</v>
      </c>
      <c r="P1309" s="221" t="s">
        <v>1722</v>
      </c>
      <c r="Q1309" s="221"/>
      <c r="R1309" s="221"/>
      <c r="S1309" s="221"/>
      <c r="T1309" s="221" t="s">
        <v>3258</v>
      </c>
      <c r="U1309" s="221" t="s">
        <v>3228</v>
      </c>
      <c r="V1309" s="221" t="s">
        <v>3337</v>
      </c>
      <c r="W1309" s="221" t="s">
        <v>3338</v>
      </c>
      <c r="X1309" s="221"/>
      <c r="Y1309" s="227"/>
      <c r="Z1309" s="227" t="str">
        <f>P1309</f>
        <v>Perumahan Perumnas Talangagung I Malang</v>
      </c>
      <c r="AA1309" s="276" t="e">
        <f>VLOOKUP(Logfile_S[[#This Row],[DO number]],DO_DB!G:I,3,0)</f>
        <v>#N/A</v>
      </c>
      <c r="AB1309" s="331" t="e">
        <f>EXACT(Logfile_S[[#This Row],[date pick]],Logfile_S[[#This Row],[Date]])</f>
        <v>#N/A</v>
      </c>
      <c r="AC13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10" spans="1:29" ht="14.5">
      <c r="A1310" s="220" t="str">
        <f>TEXT(ROW(A1310)-ROW($A$4),"000")</f>
        <v>1306</v>
      </c>
      <c r="B1310" s="221"/>
      <c r="C1310" s="221" t="s">
        <v>49</v>
      </c>
      <c r="D1310" s="221" t="s">
        <v>4111</v>
      </c>
      <c r="E1310" s="221" t="s">
        <v>3295</v>
      </c>
      <c r="F1310" s="221" t="s">
        <v>3299</v>
      </c>
      <c r="G1310" s="222">
        <v>45478</v>
      </c>
      <c r="H1310" s="223">
        <v>0.54791666666666672</v>
      </c>
      <c r="I1310" s="221" t="s">
        <v>4916</v>
      </c>
      <c r="J1310" s="221" t="s">
        <v>3024</v>
      </c>
      <c r="K1310" s="224" t="s">
        <v>3094</v>
      </c>
      <c r="L1310" s="225" t="str">
        <f>VLOOKUP(Logfile_S[[#This Row],[Material Name]],Sheet2!B:C,2,0)</f>
        <v>GCI1008</v>
      </c>
      <c r="M1310" s="225" t="str">
        <f>_xlfn.XLOOKUP(Logfile_S[[#This Row],[Material Name]],Sum_WH!E:E,Sum_WH!F:F,"",0)</f>
        <v>Pcs</v>
      </c>
      <c r="N1310" s="221">
        <v>50</v>
      </c>
      <c r="O1310" s="221" t="s">
        <v>1721</v>
      </c>
      <c r="P1310" s="221" t="s">
        <v>1722</v>
      </c>
      <c r="Q1310" s="221"/>
      <c r="R1310" s="221"/>
      <c r="S1310" s="221"/>
      <c r="T1310" s="221" t="s">
        <v>3258</v>
      </c>
      <c r="U1310" s="221" t="s">
        <v>3228</v>
      </c>
      <c r="V1310" s="221" t="s">
        <v>3337</v>
      </c>
      <c r="W1310" s="221" t="s">
        <v>3338</v>
      </c>
      <c r="X1310" s="221"/>
      <c r="Y1310" s="227"/>
      <c r="Z1310" s="227" t="str">
        <f>P1310</f>
        <v>Perumahan Perumnas Talangagung I Malang</v>
      </c>
      <c r="AA1310" s="276" t="e">
        <f>VLOOKUP(Logfile_S[[#This Row],[DO number]],DO_DB!G:I,3,0)</f>
        <v>#N/A</v>
      </c>
      <c r="AB1310" s="331" t="e">
        <f>EXACT(Logfile_S[[#This Row],[date pick]],Logfile_S[[#This Row],[Date]])</f>
        <v>#N/A</v>
      </c>
      <c r="AC13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11" spans="1:29" ht="14.5">
      <c r="A1311" s="220" t="str">
        <f>TEXT(ROW(A1311)-ROW($A$4),"000")</f>
        <v>1307</v>
      </c>
      <c r="B1311" s="221"/>
      <c r="C1311" s="221" t="s">
        <v>48</v>
      </c>
      <c r="D1311" s="221" t="s">
        <v>4113</v>
      </c>
      <c r="E1311" s="221" t="s">
        <v>3295</v>
      </c>
      <c r="F1311" s="221" t="s">
        <v>3299</v>
      </c>
      <c r="G1311" s="222">
        <v>45481</v>
      </c>
      <c r="H1311" s="223">
        <v>15.291666666666666</v>
      </c>
      <c r="I1311" s="221" t="s">
        <v>37</v>
      </c>
      <c r="J1311" s="221" t="s">
        <v>3023</v>
      </c>
      <c r="K1311" s="224" t="s">
        <v>13</v>
      </c>
      <c r="L1311" s="225" t="str">
        <f>VLOOKUP(Logfile_S[[#This Row],[Material Name]],Sheet2!B:C,2,0)</f>
        <v>ZTE2008</v>
      </c>
      <c r="M1311" s="225" t="str">
        <f>_xlfn.XLOOKUP(Logfile_S[[#This Row],[Material Name]],Sum_WH!E:E,Sum_WH!F:F,"",0)</f>
        <v>Pcs</v>
      </c>
      <c r="N1311" s="221">
        <v>60</v>
      </c>
      <c r="O1311" s="221" t="s">
        <v>1721</v>
      </c>
      <c r="P1311" s="221" t="s">
        <v>1722</v>
      </c>
      <c r="Q1311" s="221">
        <v>0</v>
      </c>
      <c r="R1311" s="221">
        <v>0</v>
      </c>
      <c r="S1311" s="221"/>
      <c r="T1311" s="221"/>
      <c r="U1311" s="221"/>
      <c r="V1311" s="221"/>
      <c r="W1311" s="221"/>
      <c r="X1311" s="221"/>
      <c r="Y1311" s="227"/>
      <c r="Z1311" s="227" t="str">
        <f>P1311</f>
        <v>Perumahan Perumnas Talangagung I Malang</v>
      </c>
      <c r="AA1311" s="276" t="e">
        <f>VLOOKUP(Logfile_S[[#This Row],[DO number]],DO_DB!G:I,3,0)</f>
        <v>#N/A</v>
      </c>
      <c r="AB1311" s="331" t="e">
        <f>EXACT(Logfile_S[[#This Row],[date pick]],Logfile_S[[#This Row],[Date]])</f>
        <v>#N/A</v>
      </c>
      <c r="AC13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12" spans="1:29" ht="14.5">
      <c r="A1312" s="220" t="str">
        <f>TEXT(ROW(A1312)-ROW($A$4),"000")</f>
        <v>1308</v>
      </c>
      <c r="B1312" s="221"/>
      <c r="C1312" s="221" t="s">
        <v>49</v>
      </c>
      <c r="D1312" s="221" t="s">
        <v>4114</v>
      </c>
      <c r="E1312" s="221" t="s">
        <v>3295</v>
      </c>
      <c r="F1312" s="221" t="s">
        <v>3299</v>
      </c>
      <c r="G1312" s="222">
        <v>45483</v>
      </c>
      <c r="H1312" s="223">
        <v>0.40277777777777779</v>
      </c>
      <c r="I1312" s="221" t="s">
        <v>4916</v>
      </c>
      <c r="J1312" s="221" t="s">
        <v>3023</v>
      </c>
      <c r="K1312" s="224" t="s">
        <v>13</v>
      </c>
      <c r="L1312" s="225" t="str">
        <f>VLOOKUP(Logfile_S[[#This Row],[Material Name]],Sheet2!B:C,2,0)</f>
        <v>ZTE2008</v>
      </c>
      <c r="M1312" s="225" t="str">
        <f>_xlfn.XLOOKUP(Logfile_S[[#This Row],[Material Name]],Sum_WH!E:E,Sum_WH!F:F,"",0)</f>
        <v>Pcs</v>
      </c>
      <c r="N1312" s="221">
        <v>15</v>
      </c>
      <c r="O1312" s="221" t="s">
        <v>1721</v>
      </c>
      <c r="P1312" s="221" t="s">
        <v>1722</v>
      </c>
      <c r="Q1312" s="221"/>
      <c r="R1312" s="221"/>
      <c r="S1312" s="221"/>
      <c r="T1312" s="221" t="s">
        <v>3231</v>
      </c>
      <c r="U1312" s="221">
        <v>0</v>
      </c>
      <c r="V1312" s="221" t="s">
        <v>3232</v>
      </c>
      <c r="W1312" s="221" t="s">
        <v>3254</v>
      </c>
      <c r="X1312" s="221"/>
      <c r="Y1312" s="227"/>
      <c r="Z1312" s="227" t="str">
        <f>P1312</f>
        <v>Perumahan Perumnas Talangagung I Malang</v>
      </c>
      <c r="AA1312" s="276" t="e">
        <f>VLOOKUP(Logfile_S[[#This Row],[DO number]],DO_DB!G:I,3,0)</f>
        <v>#N/A</v>
      </c>
      <c r="AB1312" s="331" t="e">
        <f>EXACT(Logfile_S[[#This Row],[date pick]],Logfile_S[[#This Row],[Date]])</f>
        <v>#N/A</v>
      </c>
      <c r="AC13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13" spans="1:29" ht="14.5">
      <c r="A1313" s="220" t="str">
        <f>TEXT(ROW(A1313)-ROW($A$4),"000")</f>
        <v>1309</v>
      </c>
      <c r="B1313" s="221"/>
      <c r="C1313" s="221" t="s">
        <v>49</v>
      </c>
      <c r="D1313" s="221" t="s">
        <v>4114</v>
      </c>
      <c r="E1313" s="221" t="s">
        <v>3295</v>
      </c>
      <c r="F1313" s="221" t="s">
        <v>3299</v>
      </c>
      <c r="G1313" s="222">
        <v>45483</v>
      </c>
      <c r="H1313" s="223">
        <v>0.40277777777777779</v>
      </c>
      <c r="I1313" s="221" t="s">
        <v>4916</v>
      </c>
      <c r="J1313" s="221" t="s">
        <v>3023</v>
      </c>
      <c r="K1313" s="224" t="s">
        <v>14</v>
      </c>
      <c r="L1313" s="225" t="str">
        <f>VLOOKUP(Logfile_S[[#This Row],[Material Name]],Sheet2!B:C,2,0)</f>
        <v>ZTE2005</v>
      </c>
      <c r="M1313" s="225" t="str">
        <f>_xlfn.XLOOKUP(Logfile_S[[#This Row],[Material Name]],Sum_WH!E:E,Sum_WH!F:F,"",0)</f>
        <v>Pcs</v>
      </c>
      <c r="N1313" s="221">
        <v>1</v>
      </c>
      <c r="O1313" s="221" t="s">
        <v>1721</v>
      </c>
      <c r="P1313" s="221" t="s">
        <v>1722</v>
      </c>
      <c r="Q1313" s="221"/>
      <c r="R1313" s="221"/>
      <c r="S1313" s="221"/>
      <c r="T1313" s="221" t="s">
        <v>3231</v>
      </c>
      <c r="U1313" s="221">
        <v>0</v>
      </c>
      <c r="V1313" s="221" t="s">
        <v>3232</v>
      </c>
      <c r="W1313" s="221" t="s">
        <v>3254</v>
      </c>
      <c r="X1313" s="221"/>
      <c r="Y1313" s="227"/>
      <c r="Z1313" s="227" t="str">
        <f>P1313</f>
        <v>Perumahan Perumnas Talangagung I Malang</v>
      </c>
      <c r="AA1313" s="276" t="e">
        <f>VLOOKUP(Logfile_S[[#This Row],[DO number]],DO_DB!G:I,3,0)</f>
        <v>#N/A</v>
      </c>
      <c r="AB1313" s="331" t="e">
        <f>EXACT(Logfile_S[[#This Row],[date pick]],Logfile_S[[#This Row],[Date]])</f>
        <v>#N/A</v>
      </c>
      <c r="AC13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14" spans="1:29" ht="14.5">
      <c r="A1314" s="220" t="str">
        <f>TEXT(ROW(A1314)-ROW($A$4),"000")</f>
        <v>1310</v>
      </c>
      <c r="B1314" s="221"/>
      <c r="C1314" s="221" t="s">
        <v>49</v>
      </c>
      <c r="D1314" s="221" t="s">
        <v>4116</v>
      </c>
      <c r="E1314" s="221" t="s">
        <v>3295</v>
      </c>
      <c r="F1314" s="221" t="s">
        <v>3299</v>
      </c>
      <c r="G1314" s="222">
        <v>45484</v>
      </c>
      <c r="H1314" s="223">
        <v>0.89444444444444449</v>
      </c>
      <c r="I1314" s="221" t="s">
        <v>4916</v>
      </c>
      <c r="J1314" s="221" t="s">
        <v>3023</v>
      </c>
      <c r="K1314" s="224" t="s">
        <v>13</v>
      </c>
      <c r="L1314" s="225" t="str">
        <f>VLOOKUP(Logfile_S[[#This Row],[Material Name]],Sheet2!B:C,2,0)</f>
        <v>ZTE2008</v>
      </c>
      <c r="M1314" s="225" t="str">
        <f>_xlfn.XLOOKUP(Logfile_S[[#This Row],[Material Name]],Sum_WH!E:E,Sum_WH!F:F,"",0)</f>
        <v>Pcs</v>
      </c>
      <c r="N1314" s="221">
        <v>14</v>
      </c>
      <c r="O1314" s="221" t="s">
        <v>1721</v>
      </c>
      <c r="P1314" s="221" t="s">
        <v>1722</v>
      </c>
      <c r="Q1314" s="221"/>
      <c r="R1314" s="221"/>
      <c r="S1314" s="221"/>
      <c r="T1314" s="221" t="s">
        <v>3231</v>
      </c>
      <c r="U1314" s="221">
        <v>0</v>
      </c>
      <c r="V1314" s="221" t="s">
        <v>3232</v>
      </c>
      <c r="W1314" s="221" t="s">
        <v>3254</v>
      </c>
      <c r="X1314" s="221"/>
      <c r="Y1314" s="227"/>
      <c r="Z1314" s="227" t="str">
        <f>P1314</f>
        <v>Perumahan Perumnas Talangagung I Malang</v>
      </c>
      <c r="AA1314" s="276" t="e">
        <f>VLOOKUP(Logfile_S[[#This Row],[DO number]],DO_DB!G:I,3,0)</f>
        <v>#N/A</v>
      </c>
      <c r="AB1314" s="331" t="e">
        <f>EXACT(Logfile_S[[#This Row],[date pick]],Logfile_S[[#This Row],[Date]])</f>
        <v>#N/A</v>
      </c>
      <c r="AC13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15" spans="1:29" ht="14.5">
      <c r="A1315" s="220" t="str">
        <f>TEXT(ROW(A1315)-ROW($A$4),"000")</f>
        <v>1311</v>
      </c>
      <c r="B1315" s="221"/>
      <c r="C1315" s="221" t="s">
        <v>49</v>
      </c>
      <c r="D1315" s="221" t="s">
        <v>4116</v>
      </c>
      <c r="E1315" s="221" t="s">
        <v>3295</v>
      </c>
      <c r="F1315" s="221" t="s">
        <v>3299</v>
      </c>
      <c r="G1315" s="222">
        <v>45484</v>
      </c>
      <c r="H1315" s="223">
        <v>0.89444444444444449</v>
      </c>
      <c r="I1315" s="221" t="s">
        <v>4916</v>
      </c>
      <c r="J1315" s="221" t="s">
        <v>3023</v>
      </c>
      <c r="K1315" s="224" t="s">
        <v>14</v>
      </c>
      <c r="L1315" s="225" t="str">
        <f>VLOOKUP(Logfile_S[[#This Row],[Material Name]],Sheet2!B:C,2,0)</f>
        <v>ZTE2005</v>
      </c>
      <c r="M1315" s="225" t="str">
        <f>_xlfn.XLOOKUP(Logfile_S[[#This Row],[Material Name]],Sum_WH!E:E,Sum_WH!F:F,"",0)</f>
        <v>Pcs</v>
      </c>
      <c r="N1315" s="221">
        <v>1</v>
      </c>
      <c r="O1315" s="221" t="s">
        <v>1721</v>
      </c>
      <c r="P1315" s="221" t="s">
        <v>1722</v>
      </c>
      <c r="Q1315" s="221"/>
      <c r="R1315" s="221"/>
      <c r="S1315" s="221"/>
      <c r="T1315" s="221" t="s">
        <v>3231</v>
      </c>
      <c r="U1315" s="221">
        <v>0</v>
      </c>
      <c r="V1315" s="221" t="s">
        <v>3232</v>
      </c>
      <c r="W1315" s="221" t="s">
        <v>3254</v>
      </c>
      <c r="X1315" s="221"/>
      <c r="Y1315" s="227"/>
      <c r="Z1315" s="227" t="str">
        <f>P1315</f>
        <v>Perumahan Perumnas Talangagung I Malang</v>
      </c>
      <c r="AA1315" s="276" t="e">
        <f>VLOOKUP(Logfile_S[[#This Row],[DO number]],DO_DB!G:I,3,0)</f>
        <v>#N/A</v>
      </c>
      <c r="AB1315" s="331" t="e">
        <f>EXACT(Logfile_S[[#This Row],[date pick]],Logfile_S[[#This Row],[Date]])</f>
        <v>#N/A</v>
      </c>
      <c r="AC13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16" spans="1:29" ht="14.5">
      <c r="A1316" s="220" t="str">
        <f>TEXT(ROW(A1316)-ROW($A$4),"000")</f>
        <v>1312</v>
      </c>
      <c r="B1316" s="221"/>
      <c r="C1316" s="221" t="s">
        <v>49</v>
      </c>
      <c r="D1316" s="221" t="s">
        <v>4118</v>
      </c>
      <c r="E1316" s="221" t="s">
        <v>3295</v>
      </c>
      <c r="F1316" s="221" t="s">
        <v>3299</v>
      </c>
      <c r="G1316" s="222">
        <v>45487</v>
      </c>
      <c r="H1316" s="223">
        <v>0.67222222222222228</v>
      </c>
      <c r="I1316" s="221" t="s">
        <v>4916</v>
      </c>
      <c r="J1316" s="221" t="s">
        <v>3024</v>
      </c>
      <c r="K1316" s="224" t="s">
        <v>5137</v>
      </c>
      <c r="L1316" s="225" t="str">
        <f>VLOOKUP(Logfile_S[[#This Row],[Material Name]],Sheet2!B:C,2,0)</f>
        <v>GCI1009</v>
      </c>
      <c r="M1316" s="225" t="str">
        <f>_xlfn.XLOOKUP(Logfile_S[[#This Row],[Material Name]],Sum_WH!E:E,Sum_WH!F:F,"",0)</f>
        <v>Pcs</v>
      </c>
      <c r="N1316" s="221">
        <v>50</v>
      </c>
      <c r="O1316" s="221" t="s">
        <v>1721</v>
      </c>
      <c r="P1316" s="221" t="s">
        <v>1722</v>
      </c>
      <c r="Q1316" s="221"/>
      <c r="R1316" s="221"/>
      <c r="S1316" s="221"/>
      <c r="T1316" s="221" t="s">
        <v>3258</v>
      </c>
      <c r="U1316" s="221" t="s">
        <v>3228</v>
      </c>
      <c r="V1316" s="221" t="s">
        <v>3337</v>
      </c>
      <c r="W1316" s="221" t="s">
        <v>3338</v>
      </c>
      <c r="X1316" s="221"/>
      <c r="Y1316" s="227"/>
      <c r="Z1316" s="227" t="str">
        <f>P1316</f>
        <v>Perumahan Perumnas Talangagung I Malang</v>
      </c>
      <c r="AA1316" s="276" t="e">
        <f>VLOOKUP(Logfile_S[[#This Row],[DO number]],DO_DB!G:I,3,0)</f>
        <v>#N/A</v>
      </c>
      <c r="AB1316" s="331" t="e">
        <f>EXACT(Logfile_S[[#This Row],[date pick]],Logfile_S[[#This Row],[Date]])</f>
        <v>#N/A</v>
      </c>
      <c r="AC13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17" spans="1:29" ht="14.5">
      <c r="A1317" s="220" t="str">
        <f>TEXT(ROW(A1317)-ROW($A$4),"000")</f>
        <v>1313</v>
      </c>
      <c r="B1317" s="221"/>
      <c r="C1317" s="221" t="s">
        <v>49</v>
      </c>
      <c r="D1317" s="221" t="s">
        <v>4118</v>
      </c>
      <c r="E1317" s="221" t="s">
        <v>3295</v>
      </c>
      <c r="F1317" s="221" t="s">
        <v>3299</v>
      </c>
      <c r="G1317" s="222">
        <v>45487</v>
      </c>
      <c r="H1317" s="223">
        <v>0.67222222222222228</v>
      </c>
      <c r="I1317" s="221" t="s">
        <v>4916</v>
      </c>
      <c r="J1317" s="221" t="s">
        <v>3023</v>
      </c>
      <c r="K1317" s="224" t="s">
        <v>3069</v>
      </c>
      <c r="L1317" s="225" t="str">
        <f>VLOOKUP(Logfile_S[[#This Row],[Material Name]],Sheet2!B:C,2,0)</f>
        <v>ZTE1001</v>
      </c>
      <c r="M1317" s="225" t="str">
        <f>_xlfn.XLOOKUP(Logfile_S[[#This Row],[Material Name]],Sum_WH!E:E,Sum_WH!F:F,"",0)</f>
        <v>Pcs</v>
      </c>
      <c r="N1317" s="221">
        <v>20</v>
      </c>
      <c r="O1317" s="221" t="s">
        <v>1721</v>
      </c>
      <c r="P1317" s="221" t="s">
        <v>1722</v>
      </c>
      <c r="Q1317" s="221"/>
      <c r="R1317" s="221"/>
      <c r="S1317" s="221"/>
      <c r="T1317" s="221" t="s">
        <v>3258</v>
      </c>
      <c r="U1317" s="221" t="s">
        <v>3228</v>
      </c>
      <c r="V1317" s="221" t="s">
        <v>3337</v>
      </c>
      <c r="W1317" s="221" t="s">
        <v>3338</v>
      </c>
      <c r="X1317" s="221"/>
      <c r="Y1317" s="227"/>
      <c r="Z1317" s="227" t="str">
        <f>P1317</f>
        <v>Perumahan Perumnas Talangagung I Malang</v>
      </c>
      <c r="AA1317" s="276" t="e">
        <f>VLOOKUP(Logfile_S[[#This Row],[DO number]],DO_DB!G:I,3,0)</f>
        <v>#N/A</v>
      </c>
      <c r="AB1317" s="331" t="e">
        <f>EXACT(Logfile_S[[#This Row],[date pick]],Logfile_S[[#This Row],[Date]])</f>
        <v>#N/A</v>
      </c>
      <c r="AC13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18" spans="1:29" ht="14.5">
      <c r="A1318" s="220" t="str">
        <f>TEXT(ROW(A1318)-ROW($A$4),"000")</f>
        <v>1314</v>
      </c>
      <c r="B1318" s="221"/>
      <c r="C1318" s="221" t="s">
        <v>49</v>
      </c>
      <c r="D1318" s="221" t="s">
        <v>4118</v>
      </c>
      <c r="E1318" s="221" t="s">
        <v>3295</v>
      </c>
      <c r="F1318" s="221" t="s">
        <v>3299</v>
      </c>
      <c r="G1318" s="222">
        <v>45487</v>
      </c>
      <c r="H1318" s="223">
        <v>0.67222222222222228</v>
      </c>
      <c r="I1318" s="221" t="s">
        <v>4916</v>
      </c>
      <c r="J1318" s="221" t="s">
        <v>3024</v>
      </c>
      <c r="K1318" s="224" t="s">
        <v>3094</v>
      </c>
      <c r="L1318" s="225" t="str">
        <f>VLOOKUP(Logfile_S[[#This Row],[Material Name]],Sheet2!B:C,2,0)</f>
        <v>GCI1008</v>
      </c>
      <c r="M1318" s="225" t="str">
        <f>_xlfn.XLOOKUP(Logfile_S[[#This Row],[Material Name]],Sum_WH!E:E,Sum_WH!F:F,"",0)</f>
        <v>Pcs</v>
      </c>
      <c r="N1318" s="221">
        <v>50</v>
      </c>
      <c r="O1318" s="221" t="s">
        <v>1721</v>
      </c>
      <c r="P1318" s="221" t="s">
        <v>1722</v>
      </c>
      <c r="Q1318" s="221"/>
      <c r="R1318" s="221"/>
      <c r="S1318" s="221"/>
      <c r="T1318" s="221" t="s">
        <v>3258</v>
      </c>
      <c r="U1318" s="221" t="s">
        <v>3228</v>
      </c>
      <c r="V1318" s="221" t="s">
        <v>3337</v>
      </c>
      <c r="W1318" s="221" t="s">
        <v>3338</v>
      </c>
      <c r="X1318" s="221"/>
      <c r="Y1318" s="227"/>
      <c r="Z1318" s="227" t="str">
        <f>P1318</f>
        <v>Perumahan Perumnas Talangagung I Malang</v>
      </c>
      <c r="AA1318" s="276" t="e">
        <f>VLOOKUP(Logfile_S[[#This Row],[DO number]],DO_DB!G:I,3,0)</f>
        <v>#N/A</v>
      </c>
      <c r="AB1318" s="331" t="e">
        <f>EXACT(Logfile_S[[#This Row],[date pick]],Logfile_S[[#This Row],[Date]])</f>
        <v>#N/A</v>
      </c>
      <c r="AC13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19" spans="1:29" ht="14.5">
      <c r="A1319" s="220" t="str">
        <f>TEXT(ROW(A1319)-ROW($A$4),"000")</f>
        <v>1315</v>
      </c>
      <c r="B1319" s="221"/>
      <c r="C1319" s="221" t="s">
        <v>49</v>
      </c>
      <c r="D1319" s="221" t="s">
        <v>4106</v>
      </c>
      <c r="E1319" s="221" t="s">
        <v>3295</v>
      </c>
      <c r="F1319" s="221" t="s">
        <v>3299</v>
      </c>
      <c r="G1319" s="222">
        <v>45470</v>
      </c>
      <c r="H1319" s="223">
        <v>0.53680555555555554</v>
      </c>
      <c r="I1319" s="221" t="s">
        <v>4916</v>
      </c>
      <c r="J1319" s="221" t="s">
        <v>3023</v>
      </c>
      <c r="K1319" s="224" t="s">
        <v>3075</v>
      </c>
      <c r="L1319" s="225" t="str">
        <f>VLOOKUP(Logfile_S[[#This Row],[Material Name]],Sheet2!B:C,2,0)</f>
        <v>ZTE2003</v>
      </c>
      <c r="M1319" s="225" t="str">
        <f>_xlfn.XLOOKUP(Logfile_S[[#This Row],[Material Name]],Sum_WH!E:E,Sum_WH!F:F,"",0)</f>
        <v>Meter</v>
      </c>
      <c r="N1319" s="221">
        <v>3000</v>
      </c>
      <c r="O1319" s="221" t="s">
        <v>1705</v>
      </c>
      <c r="P1319" s="221" t="s">
        <v>1706</v>
      </c>
      <c r="Q1319" s="221"/>
      <c r="R1319" s="221"/>
      <c r="S1319" s="221"/>
      <c r="T1319" s="221" t="s">
        <v>3258</v>
      </c>
      <c r="U1319" s="221" t="s">
        <v>3228</v>
      </c>
      <c r="V1319" s="221" t="s">
        <v>3337</v>
      </c>
      <c r="W1319" s="221" t="s">
        <v>3338</v>
      </c>
      <c r="X1319" s="221">
        <v>2725</v>
      </c>
      <c r="Y1319" s="227"/>
      <c r="Z1319" s="227" t="str">
        <f>P1319</f>
        <v>Perumahan Kepanjen Permai II</v>
      </c>
      <c r="AA1319" s="276" t="e">
        <f>VLOOKUP(Logfile_S[[#This Row],[DO number]],DO_DB!G:I,3,0)</f>
        <v>#N/A</v>
      </c>
      <c r="AB1319" s="331" t="e">
        <f>EXACT(Logfile_S[[#This Row],[date pick]],Logfile_S[[#This Row],[Date]])</f>
        <v>#N/A</v>
      </c>
      <c r="AC13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20" spans="1:29" ht="14.5">
      <c r="A1320" s="220" t="str">
        <f>TEXT(ROW(A1320)-ROW($A$4),"000")</f>
        <v>1316</v>
      </c>
      <c r="B1320" s="221"/>
      <c r="C1320" s="221" t="s">
        <v>49</v>
      </c>
      <c r="D1320" s="221" t="s">
        <v>4106</v>
      </c>
      <c r="E1320" s="221" t="s">
        <v>3295</v>
      </c>
      <c r="F1320" s="221" t="s">
        <v>3299</v>
      </c>
      <c r="G1320" s="222">
        <v>45470</v>
      </c>
      <c r="H1320" s="223">
        <v>0.53680555555555554</v>
      </c>
      <c r="I1320" s="221" t="s">
        <v>4916</v>
      </c>
      <c r="J1320" s="221" t="s">
        <v>3024</v>
      </c>
      <c r="K1320" s="224" t="s">
        <v>3088</v>
      </c>
      <c r="L1320" s="225" t="str">
        <f>VLOOKUP(Logfile_S[[#This Row],[Material Name]],Sheet2!B:C,2,0)</f>
        <v>GCI1002</v>
      </c>
      <c r="M1320" s="225" t="str">
        <f>_xlfn.XLOOKUP(Logfile_S[[#This Row],[Material Name]],Sum_WH!E:E,Sum_WH!F:F,"",0)</f>
        <v>Pcs</v>
      </c>
      <c r="N1320" s="221">
        <v>2</v>
      </c>
      <c r="O1320" s="221" t="s">
        <v>1705</v>
      </c>
      <c r="P1320" s="221" t="s">
        <v>1706</v>
      </c>
      <c r="Q1320" s="221"/>
      <c r="R1320" s="221"/>
      <c r="S1320" s="221"/>
      <c r="T1320" s="221" t="s">
        <v>3258</v>
      </c>
      <c r="U1320" s="221" t="s">
        <v>3228</v>
      </c>
      <c r="V1320" s="221" t="s">
        <v>3337</v>
      </c>
      <c r="W1320" s="221" t="s">
        <v>3338</v>
      </c>
      <c r="X1320" s="221"/>
      <c r="Y1320" s="227"/>
      <c r="Z1320" s="227" t="str">
        <f>P1320</f>
        <v>Perumahan Kepanjen Permai II</v>
      </c>
      <c r="AA1320" s="276" t="e">
        <f>VLOOKUP(Logfile_S[[#This Row],[DO number]],DO_DB!G:I,3,0)</f>
        <v>#N/A</v>
      </c>
      <c r="AB1320" s="331" t="e">
        <f>EXACT(Logfile_S[[#This Row],[date pick]],Logfile_S[[#This Row],[Date]])</f>
        <v>#N/A</v>
      </c>
      <c r="AC13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21" spans="1:29" ht="14.5">
      <c r="A1321" s="220" t="str">
        <f>TEXT(ROW(A1321)-ROW($A$4),"000")</f>
        <v>1317</v>
      </c>
      <c r="B1321" s="221"/>
      <c r="C1321" s="221" t="s">
        <v>49</v>
      </c>
      <c r="D1321" s="221" t="s">
        <v>4106</v>
      </c>
      <c r="E1321" s="221" t="s">
        <v>3295</v>
      </c>
      <c r="F1321" s="221" t="s">
        <v>3299</v>
      </c>
      <c r="G1321" s="222">
        <v>45470</v>
      </c>
      <c r="H1321" s="223">
        <v>0.53680555555555554</v>
      </c>
      <c r="I1321" s="221" t="s">
        <v>4916</v>
      </c>
      <c r="J1321" s="221" t="s">
        <v>3023</v>
      </c>
      <c r="K1321" s="224" t="s">
        <v>3069</v>
      </c>
      <c r="L1321" s="225" t="str">
        <f>VLOOKUP(Logfile_S[[#This Row],[Material Name]],Sheet2!B:C,2,0)</f>
        <v>ZTE1001</v>
      </c>
      <c r="M1321" s="225" t="str">
        <f>_xlfn.XLOOKUP(Logfile_S[[#This Row],[Material Name]],Sum_WH!E:E,Sum_WH!F:F,"",0)</f>
        <v>Pcs</v>
      </c>
      <c r="N1321" s="221">
        <v>117</v>
      </c>
      <c r="O1321" s="221" t="s">
        <v>1705</v>
      </c>
      <c r="P1321" s="221" t="s">
        <v>1706</v>
      </c>
      <c r="Q1321" s="221"/>
      <c r="R1321" s="221"/>
      <c r="S1321" s="221"/>
      <c r="T1321" s="221" t="s">
        <v>3258</v>
      </c>
      <c r="U1321" s="221" t="s">
        <v>3228</v>
      </c>
      <c r="V1321" s="221" t="s">
        <v>3337</v>
      </c>
      <c r="W1321" s="221" t="s">
        <v>3338</v>
      </c>
      <c r="X1321" s="221"/>
      <c r="Y1321" s="227"/>
      <c r="Z1321" s="227" t="str">
        <f>P1321</f>
        <v>Perumahan Kepanjen Permai II</v>
      </c>
      <c r="AA1321" s="276" t="e">
        <f>VLOOKUP(Logfile_S[[#This Row],[DO number]],DO_DB!G:I,3,0)</f>
        <v>#N/A</v>
      </c>
      <c r="AB1321" s="331" t="e">
        <f>EXACT(Logfile_S[[#This Row],[date pick]],Logfile_S[[#This Row],[Date]])</f>
        <v>#N/A</v>
      </c>
      <c r="AC13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22" spans="1:29" ht="14.5">
      <c r="A1322" s="220" t="str">
        <f>TEXT(ROW(A1322)-ROW($A$4),"000")</f>
        <v>1318</v>
      </c>
      <c r="B1322" s="221"/>
      <c r="C1322" s="221" t="s">
        <v>49</v>
      </c>
      <c r="D1322" s="221" t="s">
        <v>4106</v>
      </c>
      <c r="E1322" s="221" t="s">
        <v>3295</v>
      </c>
      <c r="F1322" s="221" t="s">
        <v>3299</v>
      </c>
      <c r="G1322" s="222">
        <v>45470</v>
      </c>
      <c r="H1322" s="223">
        <v>0.53680555555555554</v>
      </c>
      <c r="I1322" s="221" t="s">
        <v>4916</v>
      </c>
      <c r="J1322" s="221" t="s">
        <v>3024</v>
      </c>
      <c r="K1322" s="224" t="s">
        <v>3089</v>
      </c>
      <c r="L1322" s="225" t="str">
        <f>VLOOKUP(Logfile_S[[#This Row],[Material Name]],Sheet2!B:C,2,0)</f>
        <v>GCI1003</v>
      </c>
      <c r="M1322" s="225" t="str">
        <f>_xlfn.XLOOKUP(Logfile_S[[#This Row],[Material Name]],Sum_WH!E:E,Sum_WH!F:F,"",0)</f>
        <v>Pcs</v>
      </c>
      <c r="N1322" s="221">
        <v>127</v>
      </c>
      <c r="O1322" s="221" t="s">
        <v>1705</v>
      </c>
      <c r="P1322" s="221" t="s">
        <v>1706</v>
      </c>
      <c r="Q1322" s="221"/>
      <c r="R1322" s="221"/>
      <c r="S1322" s="221"/>
      <c r="T1322" s="221" t="s">
        <v>3258</v>
      </c>
      <c r="U1322" s="221" t="s">
        <v>3228</v>
      </c>
      <c r="V1322" s="221" t="s">
        <v>3337</v>
      </c>
      <c r="W1322" s="221" t="s">
        <v>3338</v>
      </c>
      <c r="X1322" s="221"/>
      <c r="Y1322" s="227"/>
      <c r="Z1322" s="227" t="str">
        <f>P1322</f>
        <v>Perumahan Kepanjen Permai II</v>
      </c>
      <c r="AA1322" s="276" t="e">
        <f>VLOOKUP(Logfile_S[[#This Row],[DO number]],DO_DB!G:I,3,0)</f>
        <v>#N/A</v>
      </c>
      <c r="AB1322" s="331" t="e">
        <f>EXACT(Logfile_S[[#This Row],[date pick]],Logfile_S[[#This Row],[Date]])</f>
        <v>#N/A</v>
      </c>
      <c r="AC13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23" spans="1:29" ht="14.5">
      <c r="A1323" s="220" t="str">
        <f>TEXT(ROW(A1323)-ROW($A$4),"000")</f>
        <v>1319</v>
      </c>
      <c r="B1323" s="221"/>
      <c r="C1323" s="221" t="s">
        <v>49</v>
      </c>
      <c r="D1323" s="221" t="s">
        <v>4106</v>
      </c>
      <c r="E1323" s="221" t="s">
        <v>3295</v>
      </c>
      <c r="F1323" s="221" t="s">
        <v>3299</v>
      </c>
      <c r="G1323" s="222">
        <v>45470</v>
      </c>
      <c r="H1323" s="223">
        <v>0.53680555555555554</v>
      </c>
      <c r="I1323" s="221" t="s">
        <v>4916</v>
      </c>
      <c r="J1323" s="221" t="s">
        <v>3024</v>
      </c>
      <c r="K1323" s="224" t="s">
        <v>3090</v>
      </c>
      <c r="L1323" s="225" t="str">
        <f>VLOOKUP(Logfile_S[[#This Row],[Material Name]],Sheet2!B:C,2,0)</f>
        <v>GCI1004</v>
      </c>
      <c r="M1323" s="225" t="str">
        <f>_xlfn.XLOOKUP(Logfile_S[[#This Row],[Material Name]],Sum_WH!E:E,Sum_WH!F:F,"",0)</f>
        <v>Pcs</v>
      </c>
      <c r="N1323" s="221">
        <v>50</v>
      </c>
      <c r="O1323" s="221" t="s">
        <v>1705</v>
      </c>
      <c r="P1323" s="221" t="s">
        <v>1706</v>
      </c>
      <c r="Q1323" s="221"/>
      <c r="R1323" s="221"/>
      <c r="S1323" s="221"/>
      <c r="T1323" s="221" t="s">
        <v>3258</v>
      </c>
      <c r="U1323" s="221" t="s">
        <v>3228</v>
      </c>
      <c r="V1323" s="221" t="s">
        <v>3337</v>
      </c>
      <c r="W1323" s="221" t="s">
        <v>3338</v>
      </c>
      <c r="X1323" s="221"/>
      <c r="Y1323" s="227"/>
      <c r="Z1323" s="227" t="str">
        <f>P1323</f>
        <v>Perumahan Kepanjen Permai II</v>
      </c>
      <c r="AA1323" s="276" t="e">
        <f>VLOOKUP(Logfile_S[[#This Row],[DO number]],DO_DB!G:I,3,0)</f>
        <v>#N/A</v>
      </c>
      <c r="AB1323" s="331" t="e">
        <f>EXACT(Logfile_S[[#This Row],[date pick]],Logfile_S[[#This Row],[Date]])</f>
        <v>#N/A</v>
      </c>
      <c r="AC13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24" spans="1:29" ht="14.5">
      <c r="A1324" s="220" t="str">
        <f>TEXT(ROW(A1324)-ROW($A$4),"000")</f>
        <v>1320</v>
      </c>
      <c r="B1324" s="221"/>
      <c r="C1324" s="221" t="s">
        <v>49</v>
      </c>
      <c r="D1324" s="221" t="s">
        <v>4107</v>
      </c>
      <c r="E1324" s="221" t="s">
        <v>3295</v>
      </c>
      <c r="F1324" s="221" t="s">
        <v>3299</v>
      </c>
      <c r="G1324" s="222">
        <v>45476</v>
      </c>
      <c r="H1324" s="223">
        <v>0.60416666666666663</v>
      </c>
      <c r="I1324" s="221" t="s">
        <v>4916</v>
      </c>
      <c r="J1324" s="221" t="s">
        <v>3023</v>
      </c>
      <c r="K1324" s="224" t="s">
        <v>3070</v>
      </c>
      <c r="L1324" s="225" t="str">
        <f>VLOOKUP(Logfile_S[[#This Row],[Material Name]],Sheet2!B:C,2,0)</f>
        <v>ZTE1002</v>
      </c>
      <c r="M1324" s="225" t="str">
        <f>_xlfn.XLOOKUP(Logfile_S[[#This Row],[Material Name]],Sum_WH!E:E,Sum_WH!F:F,"",0)</f>
        <v>Pcs</v>
      </c>
      <c r="N1324" s="221">
        <v>9</v>
      </c>
      <c r="O1324" s="221" t="s">
        <v>1705</v>
      </c>
      <c r="P1324" s="221" t="s">
        <v>1706</v>
      </c>
      <c r="Q1324" s="221"/>
      <c r="R1324" s="221"/>
      <c r="S1324" s="221"/>
      <c r="T1324" s="221" t="s">
        <v>3258</v>
      </c>
      <c r="U1324" s="221" t="s">
        <v>3228</v>
      </c>
      <c r="V1324" s="221" t="s">
        <v>3337</v>
      </c>
      <c r="W1324" s="221" t="s">
        <v>3338</v>
      </c>
      <c r="X1324" s="221"/>
      <c r="Y1324" s="227"/>
      <c r="Z1324" s="227" t="str">
        <f>P1324</f>
        <v>Perumahan Kepanjen Permai II</v>
      </c>
      <c r="AA1324" s="276" t="e">
        <f>VLOOKUP(Logfile_S[[#This Row],[DO number]],DO_DB!G:I,3,0)</f>
        <v>#N/A</v>
      </c>
      <c r="AB1324" s="331" t="e">
        <f>EXACT(Logfile_S[[#This Row],[date pick]],Logfile_S[[#This Row],[Date]])</f>
        <v>#N/A</v>
      </c>
      <c r="AC13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25" spans="1:29" ht="14.5">
      <c r="A1325" s="220" t="str">
        <f>TEXT(ROW(A1325)-ROW($A$4),"000")</f>
        <v>1321</v>
      </c>
      <c r="B1325" s="221"/>
      <c r="C1325" s="221" t="s">
        <v>49</v>
      </c>
      <c r="D1325" s="221" t="s">
        <v>4107</v>
      </c>
      <c r="E1325" s="221" t="s">
        <v>3295</v>
      </c>
      <c r="F1325" s="221" t="s">
        <v>3299</v>
      </c>
      <c r="G1325" s="222">
        <v>45476</v>
      </c>
      <c r="H1325" s="223">
        <v>0.60416666666666663</v>
      </c>
      <c r="I1325" s="221" t="s">
        <v>4916</v>
      </c>
      <c r="J1325" s="221" t="s">
        <v>3023</v>
      </c>
      <c r="K1325" s="224" t="s">
        <v>3069</v>
      </c>
      <c r="L1325" s="225" t="str">
        <f>VLOOKUP(Logfile_S[[#This Row],[Material Name]],Sheet2!B:C,2,0)</f>
        <v>ZTE1001</v>
      </c>
      <c r="M1325" s="225" t="str">
        <f>_xlfn.XLOOKUP(Logfile_S[[#This Row],[Material Name]],Sum_WH!E:E,Sum_WH!F:F,"",0)</f>
        <v>Pcs</v>
      </c>
      <c r="N1325" s="221">
        <v>11</v>
      </c>
      <c r="O1325" s="221" t="s">
        <v>1705</v>
      </c>
      <c r="P1325" s="221" t="s">
        <v>1706</v>
      </c>
      <c r="Q1325" s="221"/>
      <c r="R1325" s="221"/>
      <c r="S1325" s="221"/>
      <c r="T1325" s="221" t="s">
        <v>3258</v>
      </c>
      <c r="U1325" s="221" t="s">
        <v>3228</v>
      </c>
      <c r="V1325" s="221" t="s">
        <v>3337</v>
      </c>
      <c r="W1325" s="221" t="s">
        <v>3338</v>
      </c>
      <c r="X1325" s="221"/>
      <c r="Y1325" s="227"/>
      <c r="Z1325" s="227" t="str">
        <f>P1325</f>
        <v>Perumahan Kepanjen Permai II</v>
      </c>
      <c r="AA1325" s="276" t="e">
        <f>VLOOKUP(Logfile_S[[#This Row],[DO number]],DO_DB!G:I,3,0)</f>
        <v>#N/A</v>
      </c>
      <c r="AB1325" s="331" t="e">
        <f>EXACT(Logfile_S[[#This Row],[date pick]],Logfile_S[[#This Row],[Date]])</f>
        <v>#N/A</v>
      </c>
      <c r="AC13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26" spans="1:29" ht="14.5">
      <c r="A1326" s="220" t="str">
        <f>TEXT(ROW(A1326)-ROW($A$4),"000")</f>
        <v>1322</v>
      </c>
      <c r="B1326" s="221"/>
      <c r="C1326" s="221" t="s">
        <v>49</v>
      </c>
      <c r="D1326" s="221" t="s">
        <v>4110</v>
      </c>
      <c r="E1326" s="221" t="s">
        <v>3295</v>
      </c>
      <c r="F1326" s="221" t="s">
        <v>3299</v>
      </c>
      <c r="G1326" s="222">
        <v>45478</v>
      </c>
      <c r="H1326" s="223">
        <v>0.4236111111111111</v>
      </c>
      <c r="I1326" s="221" t="s">
        <v>4916</v>
      </c>
      <c r="J1326" s="221" t="s">
        <v>3024</v>
      </c>
      <c r="K1326" s="224" t="s">
        <v>3094</v>
      </c>
      <c r="L1326" s="225" t="str">
        <f>VLOOKUP(Logfile_S[[#This Row],[Material Name]],Sheet2!B:C,2,0)</f>
        <v>GCI1008</v>
      </c>
      <c r="M1326" s="225" t="str">
        <f>_xlfn.XLOOKUP(Logfile_S[[#This Row],[Material Name]],Sum_WH!E:E,Sum_WH!F:F,"",0)</f>
        <v>Pcs</v>
      </c>
      <c r="N1326" s="221">
        <v>60</v>
      </c>
      <c r="O1326" s="221" t="s">
        <v>1705</v>
      </c>
      <c r="P1326" s="221" t="s">
        <v>1706</v>
      </c>
      <c r="Q1326" s="221"/>
      <c r="R1326" s="221"/>
      <c r="S1326" s="221"/>
      <c r="T1326" s="221" t="s">
        <v>3258</v>
      </c>
      <c r="U1326" s="221" t="s">
        <v>3228</v>
      </c>
      <c r="V1326" s="221" t="s">
        <v>3337</v>
      </c>
      <c r="W1326" s="221" t="s">
        <v>3338</v>
      </c>
      <c r="X1326" s="221"/>
      <c r="Y1326" s="227"/>
      <c r="Z1326" s="227" t="str">
        <f>P1326</f>
        <v>Perumahan Kepanjen Permai II</v>
      </c>
      <c r="AA1326" s="276" t="e">
        <f>VLOOKUP(Logfile_S[[#This Row],[DO number]],DO_DB!G:I,3,0)</f>
        <v>#N/A</v>
      </c>
      <c r="AB1326" s="331" t="e">
        <f>EXACT(Logfile_S[[#This Row],[date pick]],Logfile_S[[#This Row],[Date]])</f>
        <v>#N/A</v>
      </c>
      <c r="AC13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27" spans="1:29" ht="14.5">
      <c r="A1327" s="220" t="str">
        <f>TEXT(ROW(A1327)-ROW($A$4),"000")</f>
        <v>1323</v>
      </c>
      <c r="B1327" s="221"/>
      <c r="C1327" s="221" t="s">
        <v>48</v>
      </c>
      <c r="D1327" s="221" t="s">
        <v>4113</v>
      </c>
      <c r="E1327" s="221" t="s">
        <v>3295</v>
      </c>
      <c r="F1327" s="221" t="s">
        <v>3299</v>
      </c>
      <c r="G1327" s="222">
        <v>45481</v>
      </c>
      <c r="H1327" s="223">
        <v>15.291666666666666</v>
      </c>
      <c r="I1327" s="221" t="s">
        <v>37</v>
      </c>
      <c r="J1327" s="221" t="s">
        <v>3023</v>
      </c>
      <c r="K1327" s="224" t="s">
        <v>3075</v>
      </c>
      <c r="L1327" s="225" t="str">
        <f>VLOOKUP(Logfile_S[[#This Row],[Material Name]],Sheet2!B:C,2,0)</f>
        <v>ZTE2003</v>
      </c>
      <c r="M1327" s="225" t="str">
        <f>_xlfn.XLOOKUP(Logfile_S[[#This Row],[Material Name]],Sum_WH!E:E,Sum_WH!F:F,"",0)</f>
        <v>Meter</v>
      </c>
      <c r="N1327" s="221">
        <v>3000</v>
      </c>
      <c r="O1327" s="221" t="s">
        <v>1705</v>
      </c>
      <c r="P1327" s="221" t="s">
        <v>1706</v>
      </c>
      <c r="Q1327" s="221" t="s">
        <v>1715</v>
      </c>
      <c r="R1327" s="221" t="s">
        <v>1716</v>
      </c>
      <c r="S1327" s="221"/>
      <c r="T1327" s="221"/>
      <c r="U1327" s="221"/>
      <c r="V1327" s="221"/>
      <c r="W1327" s="221"/>
      <c r="X1327" s="221"/>
      <c r="Y1327" s="227" t="s">
        <v>5066</v>
      </c>
      <c r="Z1327" s="227" t="str">
        <f>P1327</f>
        <v>Perumahan Kepanjen Permai II</v>
      </c>
      <c r="AA1327" s="276">
        <f>VLOOKUP(Logfile_S[[#This Row],[DO number]],DO_DB!G:I,3,0)</f>
        <v>45481</v>
      </c>
      <c r="AB1327" s="331" t="b">
        <f>EXACT(Logfile_S[[#This Row],[date pick]],Logfile_S[[#This Row],[Date]])</f>
        <v>1</v>
      </c>
      <c r="AC13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48C-202478-01</v>
      </c>
    </row>
    <row r="1328" spans="1:29" ht="14.5">
      <c r="A1328" s="220" t="str">
        <f>TEXT(ROW(A1328)-ROW($A$4),"000")</f>
        <v>1324</v>
      </c>
      <c r="B1328" s="221"/>
      <c r="C1328" s="221" t="s">
        <v>49</v>
      </c>
      <c r="D1328" s="221" t="s">
        <v>4115</v>
      </c>
      <c r="E1328" s="221" t="s">
        <v>3295</v>
      </c>
      <c r="F1328" s="221" t="s">
        <v>3299</v>
      </c>
      <c r="G1328" s="222">
        <v>45483</v>
      </c>
      <c r="H1328" s="223">
        <v>0.65347222222222223</v>
      </c>
      <c r="I1328" s="221" t="s">
        <v>4916</v>
      </c>
      <c r="J1328" s="221" t="s">
        <v>3023</v>
      </c>
      <c r="K1328" s="224" t="s">
        <v>13</v>
      </c>
      <c r="L1328" s="225" t="str">
        <f>VLOOKUP(Logfile_S[[#This Row],[Material Name]],Sheet2!B:C,2,0)</f>
        <v>ZTE2008</v>
      </c>
      <c r="M1328" s="225" t="str">
        <f>_xlfn.XLOOKUP(Logfile_S[[#This Row],[Material Name]],Sum_WH!E:E,Sum_WH!F:F,"",0)</f>
        <v>Pcs</v>
      </c>
      <c r="N1328" s="221">
        <v>31</v>
      </c>
      <c r="O1328" s="221" t="s">
        <v>1705</v>
      </c>
      <c r="P1328" s="221" t="s">
        <v>1706</v>
      </c>
      <c r="Q1328" s="221"/>
      <c r="R1328" s="221"/>
      <c r="S1328" s="221"/>
      <c r="T1328" s="221" t="s">
        <v>3471</v>
      </c>
      <c r="U1328" s="221">
        <v>0</v>
      </c>
      <c r="V1328" s="221" t="s">
        <v>3472</v>
      </c>
      <c r="W1328" s="221" t="s">
        <v>3473</v>
      </c>
      <c r="X1328" s="221"/>
      <c r="Y1328" s="227"/>
      <c r="Z1328" s="227" t="str">
        <f>P1328</f>
        <v>Perumahan Kepanjen Permai II</v>
      </c>
      <c r="AA1328" s="276" t="e">
        <f>VLOOKUP(Logfile_S[[#This Row],[DO number]],DO_DB!G:I,3,0)</f>
        <v>#N/A</v>
      </c>
      <c r="AB1328" s="331" t="e">
        <f>EXACT(Logfile_S[[#This Row],[date pick]],Logfile_S[[#This Row],[Date]])</f>
        <v>#N/A</v>
      </c>
      <c r="AC13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29" spans="1:29" ht="14.5">
      <c r="A1329" s="220" t="str">
        <f>TEXT(ROW(A1329)-ROW($A$4),"000")</f>
        <v>1325</v>
      </c>
      <c r="B1329" s="221"/>
      <c r="C1329" s="221" t="s">
        <v>49</v>
      </c>
      <c r="D1329" s="221" t="s">
        <v>4115</v>
      </c>
      <c r="E1329" s="221" t="s">
        <v>3295</v>
      </c>
      <c r="F1329" s="221" t="s">
        <v>3299</v>
      </c>
      <c r="G1329" s="222">
        <v>45483</v>
      </c>
      <c r="H1329" s="223">
        <v>0.65347222222222223</v>
      </c>
      <c r="I1329" s="221" t="s">
        <v>4916</v>
      </c>
      <c r="J1329" s="221" t="s">
        <v>3023</v>
      </c>
      <c r="K1329" s="224" t="s">
        <v>14</v>
      </c>
      <c r="L1329" s="225" t="str">
        <f>VLOOKUP(Logfile_S[[#This Row],[Material Name]],Sheet2!B:C,2,0)</f>
        <v>ZTE2005</v>
      </c>
      <c r="M1329" s="225" t="str">
        <f>_xlfn.XLOOKUP(Logfile_S[[#This Row],[Material Name]],Sum_WH!E:E,Sum_WH!F:F,"",0)</f>
        <v>Pcs</v>
      </c>
      <c r="N1329" s="221">
        <v>2</v>
      </c>
      <c r="O1329" s="221" t="s">
        <v>1705</v>
      </c>
      <c r="P1329" s="221" t="s">
        <v>1706</v>
      </c>
      <c r="Q1329" s="221"/>
      <c r="R1329" s="221"/>
      <c r="S1329" s="221"/>
      <c r="T1329" s="221" t="s">
        <v>3471</v>
      </c>
      <c r="U1329" s="221">
        <v>0</v>
      </c>
      <c r="V1329" s="221" t="s">
        <v>3472</v>
      </c>
      <c r="W1329" s="221" t="s">
        <v>3473</v>
      </c>
      <c r="X1329" s="221"/>
      <c r="Y1329" s="227"/>
      <c r="Z1329" s="227" t="str">
        <f>P1329</f>
        <v>Perumahan Kepanjen Permai II</v>
      </c>
      <c r="AA1329" s="276" t="e">
        <f>VLOOKUP(Logfile_S[[#This Row],[DO number]],DO_DB!G:I,3,0)</f>
        <v>#N/A</v>
      </c>
      <c r="AB1329" s="331" t="e">
        <f>EXACT(Logfile_S[[#This Row],[date pick]],Logfile_S[[#This Row],[Date]])</f>
        <v>#N/A</v>
      </c>
      <c r="AC13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30" spans="1:29" ht="14.5">
      <c r="A1330" s="220" t="str">
        <f>TEXT(ROW(A1330)-ROW($A$4),"000")</f>
        <v>1326</v>
      </c>
      <c r="B1330" s="221"/>
      <c r="C1330" s="221" t="s">
        <v>49</v>
      </c>
      <c r="D1330" s="221" t="s">
        <v>4220</v>
      </c>
      <c r="E1330" s="221" t="s">
        <v>3295</v>
      </c>
      <c r="F1330" s="221" t="s">
        <v>3299</v>
      </c>
      <c r="G1330" s="222">
        <v>45548</v>
      </c>
      <c r="H1330" s="223">
        <v>0.34791666666666665</v>
      </c>
      <c r="I1330" s="221" t="s">
        <v>4916</v>
      </c>
      <c r="J1330" s="221" t="s">
        <v>3023</v>
      </c>
      <c r="K1330" s="224" t="s">
        <v>3069</v>
      </c>
      <c r="L1330" s="225" t="str">
        <f>VLOOKUP(Logfile_S[[#This Row],[Material Name]],Sheet2!B:C,2,0)</f>
        <v>ZTE1001</v>
      </c>
      <c r="M1330" s="225" t="str">
        <f>_xlfn.XLOOKUP(Logfile_S[[#This Row],[Material Name]],Sum_WH!E:E,Sum_WH!F:F,"",0)</f>
        <v>Pcs</v>
      </c>
      <c r="N1330" s="221">
        <v>1</v>
      </c>
      <c r="O1330" s="221" t="s">
        <v>1705</v>
      </c>
      <c r="P1330" s="221" t="s">
        <v>1706</v>
      </c>
      <c r="Q1330" s="221"/>
      <c r="R1330" s="221"/>
      <c r="S1330" s="221"/>
      <c r="T1330" s="221" t="s">
        <v>3258</v>
      </c>
      <c r="U1330" s="221">
        <v>0</v>
      </c>
      <c r="V1330" s="221" t="s">
        <v>3337</v>
      </c>
      <c r="W1330" s="221" t="s">
        <v>3338</v>
      </c>
      <c r="X1330" s="221"/>
      <c r="Y1330" s="227"/>
      <c r="Z1330" s="227" t="str">
        <f>P1330</f>
        <v>Perumahan Kepanjen Permai II</v>
      </c>
      <c r="AA1330" s="276" t="e">
        <f>VLOOKUP(Logfile_S[[#This Row],[DO number]],DO_DB!G:I,3,0)</f>
        <v>#N/A</v>
      </c>
      <c r="AB1330" s="331" t="e">
        <f>EXACT(Logfile_S[[#This Row],[date pick]],Logfile_S[[#This Row],[Date]])</f>
        <v>#N/A</v>
      </c>
      <c r="AC13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31" spans="1:29" ht="14.5">
      <c r="A1331" s="220" t="str">
        <f>TEXT(ROW(A1331)-ROW($A$4),"000")</f>
        <v>1327</v>
      </c>
      <c r="B1331" s="221"/>
      <c r="C1331" s="221" t="s">
        <v>48</v>
      </c>
      <c r="D1331" s="221" t="s">
        <v>3863</v>
      </c>
      <c r="E1331" s="221" t="s">
        <v>3295</v>
      </c>
      <c r="F1331" s="221" t="s">
        <v>3299</v>
      </c>
      <c r="G1331" s="222">
        <v>45307</v>
      </c>
      <c r="H1331" s="223">
        <v>15.291666666666666</v>
      </c>
      <c r="I1331" s="221" t="s">
        <v>37</v>
      </c>
      <c r="J1331" s="221" t="s">
        <v>3023</v>
      </c>
      <c r="K1331" s="224" t="s">
        <v>3075</v>
      </c>
      <c r="L1331" s="225" t="str">
        <f>VLOOKUP(Logfile_S[[#This Row],[Material Name]],Sheet2!B:C,2,0)</f>
        <v>ZTE2003</v>
      </c>
      <c r="M1331" s="225" t="str">
        <f>_xlfn.XLOOKUP(Logfile_S[[#This Row],[Material Name]],Sum_WH!E:E,Sum_WH!F:F,"",0)</f>
        <v>Meter</v>
      </c>
      <c r="N1331" s="221">
        <v>3000</v>
      </c>
      <c r="O1331" s="221" t="s">
        <v>838</v>
      </c>
      <c r="P1331" s="221" t="s">
        <v>3361</v>
      </c>
      <c r="Q1331" s="221" t="s">
        <v>842</v>
      </c>
      <c r="R1331" s="221" t="s">
        <v>843</v>
      </c>
      <c r="S1331" s="221"/>
      <c r="T1331" s="221"/>
      <c r="U1331" s="221"/>
      <c r="V1331" s="221"/>
      <c r="W1331" s="221"/>
      <c r="X1331" s="221"/>
      <c r="Y1331" s="227" t="s">
        <v>5058</v>
      </c>
      <c r="Z1331" s="227" t="str">
        <f>P1331</f>
        <v>TAMANHARJO RW 04 SINGOSARI</v>
      </c>
      <c r="AA1331" s="276">
        <f>VLOOKUP(Logfile_S[[#This Row],[DO number]],DO_DB!G:I,3,0)</f>
        <v>45307</v>
      </c>
      <c r="AB1331" s="331" t="b">
        <f>EXACT(Logfile_S[[#This Row],[date pick]],Logfile_S[[#This Row],[Date]])</f>
        <v>1</v>
      </c>
      <c r="AC13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48C-2024116-02</v>
      </c>
    </row>
    <row r="1332" spans="1:29" ht="14.5">
      <c r="A1332" s="220" t="str">
        <f>TEXT(ROW(A1332)-ROW($A$4),"000")</f>
        <v>1328</v>
      </c>
      <c r="B1332" s="221"/>
      <c r="C1332" s="221" t="s">
        <v>48</v>
      </c>
      <c r="D1332" s="221" t="s">
        <v>3867</v>
      </c>
      <c r="E1332" s="221" t="s">
        <v>3295</v>
      </c>
      <c r="F1332" s="221" t="s">
        <v>3299</v>
      </c>
      <c r="G1332" s="222">
        <v>45307</v>
      </c>
      <c r="H1332" s="223">
        <v>15.291666666666666</v>
      </c>
      <c r="I1332" s="221" t="s">
        <v>37</v>
      </c>
      <c r="J1332" s="221" t="s">
        <v>3023</v>
      </c>
      <c r="K1332" s="224" t="s">
        <v>14</v>
      </c>
      <c r="L1332" s="225" t="str">
        <f>VLOOKUP(Logfile_S[[#This Row],[Material Name]],Sheet2!B:C,2,0)</f>
        <v>ZTE2005</v>
      </c>
      <c r="M1332" s="225" t="str">
        <f>_xlfn.XLOOKUP(Logfile_S[[#This Row],[Material Name]],Sum_WH!E:E,Sum_WH!F:F,"",0)</f>
        <v>Pcs</v>
      </c>
      <c r="N1332" s="221">
        <v>1</v>
      </c>
      <c r="O1332" s="221" t="s">
        <v>838</v>
      </c>
      <c r="P1332" s="221" t="s">
        <v>3361</v>
      </c>
      <c r="Q1332" s="221" t="s">
        <v>842</v>
      </c>
      <c r="R1332" s="221" t="s">
        <v>843</v>
      </c>
      <c r="S1332" s="221"/>
      <c r="T1332" s="221"/>
      <c r="U1332" s="221"/>
      <c r="V1332" s="221"/>
      <c r="W1332" s="221"/>
      <c r="X1332" s="221"/>
      <c r="Y1332" s="227"/>
      <c r="Z1332" s="227" t="str">
        <f>P1332</f>
        <v>TAMANHARJO RW 04 SINGOSARI</v>
      </c>
      <c r="AA1332" s="276">
        <f>VLOOKUP(Logfile_S[[#This Row],[DO number]],DO_DB!G:I,3,0)</f>
        <v>45307</v>
      </c>
      <c r="AB1332" s="331" t="b">
        <f>EXACT(Logfile_S[[#This Row],[date pick]],Logfile_S[[#This Row],[Date]])</f>
        <v>1</v>
      </c>
      <c r="AC13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33" spans="1:29" ht="14.5">
      <c r="A1333" s="220" t="str">
        <f>TEXT(ROW(A1333)-ROW($A$4),"000")</f>
        <v>1329</v>
      </c>
      <c r="B1333" s="221"/>
      <c r="C1333" s="221" t="s">
        <v>48</v>
      </c>
      <c r="D1333" s="221" t="s">
        <v>3867</v>
      </c>
      <c r="E1333" s="221" t="s">
        <v>3295</v>
      </c>
      <c r="F1333" s="221" t="s">
        <v>3299</v>
      </c>
      <c r="G1333" s="222">
        <v>45307</v>
      </c>
      <c r="H1333" s="223">
        <v>15.291666666666666</v>
      </c>
      <c r="I1333" s="221" t="s">
        <v>37</v>
      </c>
      <c r="J1333" s="221" t="s">
        <v>3023</v>
      </c>
      <c r="K1333" s="224" t="s">
        <v>3072</v>
      </c>
      <c r="L1333" s="225" t="str">
        <f>VLOOKUP(Logfile_S[[#This Row],[Material Name]],Sheet2!B:C,2,0)</f>
        <v>ZTE1004</v>
      </c>
      <c r="M1333" s="225" t="str">
        <f>_xlfn.XLOOKUP(Logfile_S[[#This Row],[Material Name]],Sum_WH!E:E,Sum_WH!F:F,"",0)</f>
        <v>Pcs</v>
      </c>
      <c r="N1333" s="221">
        <v>1</v>
      </c>
      <c r="O1333" s="221" t="s">
        <v>838</v>
      </c>
      <c r="P1333" s="221" t="s">
        <v>3361</v>
      </c>
      <c r="Q1333" s="221"/>
      <c r="R1333" s="221"/>
      <c r="S1333" s="221"/>
      <c r="T1333" s="221"/>
      <c r="U1333" s="221"/>
      <c r="V1333" s="221"/>
      <c r="W1333" s="221"/>
      <c r="X1333" s="221"/>
      <c r="Y1333" s="227"/>
      <c r="Z1333" s="227" t="str">
        <f>P1333</f>
        <v>TAMANHARJO RW 04 SINGOSARI</v>
      </c>
      <c r="AA1333" s="276" t="e">
        <f>VLOOKUP(Logfile_S[[#This Row],[DO number]],DO_DB!G:I,3,0)</f>
        <v>#N/A</v>
      </c>
      <c r="AB1333" s="331" t="e">
        <f>EXACT(Logfile_S[[#This Row],[date pick]],Logfile_S[[#This Row],[Date]])</f>
        <v>#N/A</v>
      </c>
      <c r="AC13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34" spans="1:29" ht="14.5">
      <c r="A1334" s="220" t="str">
        <f>TEXT(ROW(A1334)-ROW($A$4),"000")</f>
        <v>1330</v>
      </c>
      <c r="B1334" s="221"/>
      <c r="C1334" s="221" t="s">
        <v>48</v>
      </c>
      <c r="D1334" s="221" t="s">
        <v>3867</v>
      </c>
      <c r="E1334" s="221" t="s">
        <v>3295</v>
      </c>
      <c r="F1334" s="221" t="s">
        <v>3299</v>
      </c>
      <c r="G1334" s="222">
        <v>45307</v>
      </c>
      <c r="H1334" s="223">
        <v>15.291666666666666</v>
      </c>
      <c r="I1334" s="221" t="s">
        <v>37</v>
      </c>
      <c r="J1334" s="221" t="s">
        <v>3023</v>
      </c>
      <c r="K1334" s="224" t="s">
        <v>3070</v>
      </c>
      <c r="L1334" s="225" t="str">
        <f>VLOOKUP(Logfile_S[[#This Row],[Material Name]],Sheet2!B:C,2,0)</f>
        <v>ZTE1002</v>
      </c>
      <c r="M1334" s="225" t="str">
        <f>_xlfn.XLOOKUP(Logfile_S[[#This Row],[Material Name]],Sum_WH!E:E,Sum_WH!F:F,"",0)</f>
        <v>Pcs</v>
      </c>
      <c r="N1334" s="221">
        <v>17</v>
      </c>
      <c r="O1334" s="221" t="s">
        <v>838</v>
      </c>
      <c r="P1334" s="221" t="s">
        <v>3361</v>
      </c>
      <c r="Q1334" s="221" t="s">
        <v>840</v>
      </c>
      <c r="R1334" s="221" t="s">
        <v>841</v>
      </c>
      <c r="S1334" s="221"/>
      <c r="T1334" s="221"/>
      <c r="U1334" s="221"/>
      <c r="V1334" s="221"/>
      <c r="W1334" s="221"/>
      <c r="X1334" s="221"/>
      <c r="Y1334" s="227"/>
      <c r="Z1334" s="227" t="str">
        <f>P1334</f>
        <v>TAMANHARJO RW 04 SINGOSARI</v>
      </c>
      <c r="AA1334" s="276">
        <f>VLOOKUP(Logfile_S[[#This Row],[DO number]],DO_DB!G:I,3,0)</f>
        <v>45307</v>
      </c>
      <c r="AB1334" s="331" t="b">
        <f>EXACT(Logfile_S[[#This Row],[date pick]],Logfile_S[[#This Row],[Date]])</f>
        <v>1</v>
      </c>
      <c r="AC13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35" spans="1:29" ht="14.5">
      <c r="A1335" s="220" t="str">
        <f>TEXT(ROW(A1335)-ROW($A$4),"000")</f>
        <v>1331</v>
      </c>
      <c r="B1335" s="221"/>
      <c r="C1335" s="221" t="s">
        <v>48</v>
      </c>
      <c r="D1335" s="221" t="s">
        <v>3867</v>
      </c>
      <c r="E1335" s="221" t="s">
        <v>3295</v>
      </c>
      <c r="F1335" s="221" t="s">
        <v>3299</v>
      </c>
      <c r="G1335" s="222">
        <v>45307</v>
      </c>
      <c r="H1335" s="223">
        <v>15.291666666666666</v>
      </c>
      <c r="I1335" s="221" t="s">
        <v>37</v>
      </c>
      <c r="J1335" s="221" t="s">
        <v>3023</v>
      </c>
      <c r="K1335" s="224" t="s">
        <v>3069</v>
      </c>
      <c r="L1335" s="225" t="str">
        <f>VLOOKUP(Logfile_S[[#This Row],[Material Name]],Sheet2!B:C,2,0)</f>
        <v>ZTE1001</v>
      </c>
      <c r="M1335" s="225" t="str">
        <f>_xlfn.XLOOKUP(Logfile_S[[#This Row],[Material Name]],Sum_WH!E:E,Sum_WH!F:F,"",0)</f>
        <v>Pcs</v>
      </c>
      <c r="N1335" s="221">
        <v>33</v>
      </c>
      <c r="O1335" s="221" t="s">
        <v>838</v>
      </c>
      <c r="P1335" s="221" t="s">
        <v>3361</v>
      </c>
      <c r="Q1335" s="221" t="s">
        <v>840</v>
      </c>
      <c r="R1335" s="221" t="s">
        <v>841</v>
      </c>
      <c r="S1335" s="221"/>
      <c r="T1335" s="221"/>
      <c r="U1335" s="221"/>
      <c r="V1335" s="221"/>
      <c r="W1335" s="221"/>
      <c r="X1335" s="221"/>
      <c r="Y1335" s="227"/>
      <c r="Z1335" s="227" t="str">
        <f>P1335</f>
        <v>TAMANHARJO RW 04 SINGOSARI</v>
      </c>
      <c r="AA1335" s="276">
        <f>VLOOKUP(Logfile_S[[#This Row],[DO number]],DO_DB!G:I,3,0)</f>
        <v>45307</v>
      </c>
      <c r="AB1335" s="331" t="b">
        <f>EXACT(Logfile_S[[#This Row],[date pick]],Logfile_S[[#This Row],[Date]])</f>
        <v>1</v>
      </c>
      <c r="AC13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36" spans="1:29" ht="14.5">
      <c r="A1336" s="220" t="str">
        <f>TEXT(ROW(A1336)-ROW($A$4),"000")</f>
        <v>1332</v>
      </c>
      <c r="B1336" s="221"/>
      <c r="C1336" s="221" t="s">
        <v>49</v>
      </c>
      <c r="D1336" s="221" t="s">
        <v>3938</v>
      </c>
      <c r="E1336" s="221" t="s">
        <v>3295</v>
      </c>
      <c r="F1336" s="221" t="s">
        <v>3299</v>
      </c>
      <c r="G1336" s="222">
        <v>45343</v>
      </c>
      <c r="H1336" s="223">
        <v>0.78888888888888886</v>
      </c>
      <c r="I1336" s="221" t="s">
        <v>4916</v>
      </c>
      <c r="J1336" s="221" t="s">
        <v>3024</v>
      </c>
      <c r="K1336" s="224" t="s">
        <v>3087</v>
      </c>
      <c r="L1336" s="225" t="str">
        <f>VLOOKUP(Logfile_S[[#This Row],[Material Name]],Sheet2!B:C,2,0)</f>
        <v>GCI1001</v>
      </c>
      <c r="M1336" s="225" t="str">
        <f>_xlfn.XLOOKUP(Logfile_S[[#This Row],[Material Name]],Sum_WH!E:E,Sum_WH!F:F,"",0)</f>
        <v>Pcs</v>
      </c>
      <c r="N1336" s="221">
        <v>7</v>
      </c>
      <c r="O1336" s="221" t="s">
        <v>838</v>
      </c>
      <c r="P1336" s="221" t="s">
        <v>3361</v>
      </c>
      <c r="Q1336" s="221"/>
      <c r="R1336" s="221"/>
      <c r="S1336" s="221"/>
      <c r="T1336" s="221" t="s">
        <v>3258</v>
      </c>
      <c r="U1336" s="221" t="s">
        <v>3228</v>
      </c>
      <c r="V1336" s="221" t="s">
        <v>3337</v>
      </c>
      <c r="W1336" s="221" t="s">
        <v>3338</v>
      </c>
      <c r="X1336" s="221"/>
      <c r="Y1336" s="227"/>
      <c r="Z1336" s="227" t="str">
        <f>P1336</f>
        <v>TAMANHARJO RW 04 SINGOSARI</v>
      </c>
      <c r="AA1336" s="276" t="e">
        <f>VLOOKUP(Logfile_S[[#This Row],[DO number]],DO_DB!G:I,3,0)</f>
        <v>#N/A</v>
      </c>
      <c r="AB1336" s="331" t="e">
        <f>EXACT(Logfile_S[[#This Row],[date pick]],Logfile_S[[#This Row],[Date]])</f>
        <v>#N/A</v>
      </c>
      <c r="AC13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37" spans="1:29" ht="14.5">
      <c r="A1337" s="220" t="str">
        <f>TEXT(ROW(A1337)-ROW($A$4),"000")</f>
        <v>1333</v>
      </c>
      <c r="B1337" s="221"/>
      <c r="C1337" s="221" t="s">
        <v>49</v>
      </c>
      <c r="D1337" s="221" t="s">
        <v>3938</v>
      </c>
      <c r="E1337" s="221" t="s">
        <v>3295</v>
      </c>
      <c r="F1337" s="221" t="s">
        <v>3299</v>
      </c>
      <c r="G1337" s="222">
        <v>45343</v>
      </c>
      <c r="H1337" s="223">
        <v>0.78888888888888886</v>
      </c>
      <c r="I1337" s="221" t="s">
        <v>4916</v>
      </c>
      <c r="J1337" s="221" t="s">
        <v>3024</v>
      </c>
      <c r="K1337" s="224" t="s">
        <v>5137</v>
      </c>
      <c r="L1337" s="225" t="str">
        <f>VLOOKUP(Logfile_S[[#This Row],[Material Name]],Sheet2!B:C,2,0)</f>
        <v>GCI1009</v>
      </c>
      <c r="M1337" s="225" t="str">
        <f>_xlfn.XLOOKUP(Logfile_S[[#This Row],[Material Name]],Sum_WH!E:E,Sum_WH!F:F,"",0)</f>
        <v>Pcs</v>
      </c>
      <c r="N1337" s="221">
        <v>50</v>
      </c>
      <c r="O1337" s="221" t="s">
        <v>838</v>
      </c>
      <c r="P1337" s="221" t="s">
        <v>3361</v>
      </c>
      <c r="Q1337" s="221"/>
      <c r="R1337" s="221"/>
      <c r="S1337" s="221"/>
      <c r="T1337" s="221" t="s">
        <v>3258</v>
      </c>
      <c r="U1337" s="221" t="s">
        <v>3228</v>
      </c>
      <c r="V1337" s="221" t="s">
        <v>3337</v>
      </c>
      <c r="W1337" s="221" t="s">
        <v>3338</v>
      </c>
      <c r="X1337" s="221"/>
      <c r="Y1337" s="227"/>
      <c r="Z1337" s="227" t="str">
        <f>P1337</f>
        <v>TAMANHARJO RW 04 SINGOSARI</v>
      </c>
      <c r="AA1337" s="276" t="e">
        <f>VLOOKUP(Logfile_S[[#This Row],[DO number]],DO_DB!G:I,3,0)</f>
        <v>#N/A</v>
      </c>
      <c r="AB1337" s="331" t="e">
        <f>EXACT(Logfile_S[[#This Row],[date pick]],Logfile_S[[#This Row],[Date]])</f>
        <v>#N/A</v>
      </c>
      <c r="AC13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38" spans="1:29" ht="14.5">
      <c r="A1338" s="220" t="str">
        <f>TEXT(ROW(A1338)-ROW($A$4),"000")</f>
        <v>1334</v>
      </c>
      <c r="B1338" s="221"/>
      <c r="C1338" s="221" t="s">
        <v>49</v>
      </c>
      <c r="D1338" s="221" t="s">
        <v>3936</v>
      </c>
      <c r="E1338" s="221" t="s">
        <v>3295</v>
      </c>
      <c r="F1338" s="221" t="s">
        <v>3299</v>
      </c>
      <c r="G1338" s="222">
        <v>45343</v>
      </c>
      <c r="H1338" s="223">
        <v>0.68055555555555547</v>
      </c>
      <c r="I1338" s="221" t="s">
        <v>4916</v>
      </c>
      <c r="J1338" s="221" t="s">
        <v>3023</v>
      </c>
      <c r="K1338" s="224" t="s">
        <v>3070</v>
      </c>
      <c r="L1338" s="225" t="str">
        <f>VLOOKUP(Logfile_S[[#This Row],[Material Name]],Sheet2!B:C,2,0)</f>
        <v>ZTE1002</v>
      </c>
      <c r="M1338" s="225" t="str">
        <f>_xlfn.XLOOKUP(Logfile_S[[#This Row],[Material Name]],Sum_WH!E:E,Sum_WH!F:F,"",0)</f>
        <v>Pcs</v>
      </c>
      <c r="N1338" s="221">
        <v>7</v>
      </c>
      <c r="O1338" s="221" t="s">
        <v>838</v>
      </c>
      <c r="P1338" s="221" t="s">
        <v>3361</v>
      </c>
      <c r="Q1338" s="221"/>
      <c r="R1338" s="221"/>
      <c r="S1338" s="221"/>
      <c r="T1338" s="221" t="s">
        <v>3258</v>
      </c>
      <c r="U1338" s="221" t="s">
        <v>3228</v>
      </c>
      <c r="V1338" s="221" t="s">
        <v>3337</v>
      </c>
      <c r="W1338" s="221" t="s">
        <v>3338</v>
      </c>
      <c r="X1338" s="221"/>
      <c r="Y1338" s="227"/>
      <c r="Z1338" s="227" t="str">
        <f>P1338</f>
        <v>TAMANHARJO RW 04 SINGOSARI</v>
      </c>
      <c r="AA1338" s="276" t="e">
        <f>VLOOKUP(Logfile_S[[#This Row],[DO number]],DO_DB!G:I,3,0)</f>
        <v>#N/A</v>
      </c>
      <c r="AB1338" s="331" t="e">
        <f>EXACT(Logfile_S[[#This Row],[date pick]],Logfile_S[[#This Row],[Date]])</f>
        <v>#N/A</v>
      </c>
      <c r="AC13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39" spans="1:29" ht="14.5">
      <c r="A1339" s="220" t="str">
        <f>TEXT(ROW(A1339)-ROW($A$4),"000")</f>
        <v>1335</v>
      </c>
      <c r="B1339" s="221"/>
      <c r="C1339" s="221" t="s">
        <v>49</v>
      </c>
      <c r="D1339" s="221" t="s">
        <v>3936</v>
      </c>
      <c r="E1339" s="221" t="s">
        <v>3295</v>
      </c>
      <c r="F1339" s="221" t="s">
        <v>3299</v>
      </c>
      <c r="G1339" s="222">
        <v>45343</v>
      </c>
      <c r="H1339" s="223">
        <v>0.68055555555555547</v>
      </c>
      <c r="I1339" s="221" t="s">
        <v>4916</v>
      </c>
      <c r="J1339" s="221" t="s">
        <v>3023</v>
      </c>
      <c r="K1339" s="224" t="s">
        <v>3069</v>
      </c>
      <c r="L1339" s="225" t="str">
        <f>VLOOKUP(Logfile_S[[#This Row],[Material Name]],Sheet2!B:C,2,0)</f>
        <v>ZTE1001</v>
      </c>
      <c r="M1339" s="225" t="str">
        <f>_xlfn.XLOOKUP(Logfile_S[[#This Row],[Material Name]],Sum_WH!E:E,Sum_WH!F:F,"",0)</f>
        <v>Pcs</v>
      </c>
      <c r="N1339" s="221">
        <v>5</v>
      </c>
      <c r="O1339" s="221" t="s">
        <v>838</v>
      </c>
      <c r="P1339" s="221" t="s">
        <v>3361</v>
      </c>
      <c r="Q1339" s="221"/>
      <c r="R1339" s="221"/>
      <c r="S1339" s="221"/>
      <c r="T1339" s="221" t="s">
        <v>3258</v>
      </c>
      <c r="U1339" s="221" t="s">
        <v>3228</v>
      </c>
      <c r="V1339" s="221" t="s">
        <v>3337</v>
      </c>
      <c r="W1339" s="221" t="s">
        <v>3338</v>
      </c>
      <c r="X1339" s="221"/>
      <c r="Y1339" s="227"/>
      <c r="Z1339" s="227" t="str">
        <f>P1339</f>
        <v>TAMANHARJO RW 04 SINGOSARI</v>
      </c>
      <c r="AA1339" s="276" t="e">
        <f>VLOOKUP(Logfile_S[[#This Row],[DO number]],DO_DB!G:I,3,0)</f>
        <v>#N/A</v>
      </c>
      <c r="AB1339" s="331" t="e">
        <f>EXACT(Logfile_S[[#This Row],[date pick]],Logfile_S[[#This Row],[Date]])</f>
        <v>#N/A</v>
      </c>
      <c r="AC13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40" spans="1:29" ht="14.5">
      <c r="A1340" s="220" t="str">
        <f>TEXT(ROW(A1340)-ROW($A$4),"000")</f>
        <v>1336</v>
      </c>
      <c r="B1340" s="221"/>
      <c r="C1340" s="221" t="s">
        <v>49</v>
      </c>
      <c r="D1340" s="221" t="s">
        <v>3935</v>
      </c>
      <c r="E1340" s="221" t="s">
        <v>3295</v>
      </c>
      <c r="F1340" s="221" t="s">
        <v>3299</v>
      </c>
      <c r="G1340" s="222">
        <v>45343</v>
      </c>
      <c r="H1340" s="223">
        <v>0.53819444444444442</v>
      </c>
      <c r="I1340" s="221" t="s">
        <v>4916</v>
      </c>
      <c r="J1340" s="221" t="s">
        <v>3023</v>
      </c>
      <c r="K1340" s="224" t="s">
        <v>3069</v>
      </c>
      <c r="L1340" s="225" t="str">
        <f>VLOOKUP(Logfile_S[[#This Row],[Material Name]],Sheet2!B:C,2,0)</f>
        <v>ZTE1001</v>
      </c>
      <c r="M1340" s="225" t="str">
        <f>_xlfn.XLOOKUP(Logfile_S[[#This Row],[Material Name]],Sum_WH!E:E,Sum_WH!F:F,"",0)</f>
        <v>Pcs</v>
      </c>
      <c r="N1340" s="221">
        <v>21</v>
      </c>
      <c r="O1340" s="221" t="s">
        <v>838</v>
      </c>
      <c r="P1340" s="221" t="s">
        <v>3361</v>
      </c>
      <c r="Q1340" s="221"/>
      <c r="R1340" s="221"/>
      <c r="S1340" s="221"/>
      <c r="T1340" s="221" t="s">
        <v>3258</v>
      </c>
      <c r="U1340" s="221" t="s">
        <v>3228</v>
      </c>
      <c r="V1340" s="221" t="s">
        <v>3337</v>
      </c>
      <c r="W1340" s="221" t="s">
        <v>3338</v>
      </c>
      <c r="X1340" s="221"/>
      <c r="Y1340" s="227"/>
      <c r="Z1340" s="227" t="str">
        <f>P1340</f>
        <v>TAMANHARJO RW 04 SINGOSARI</v>
      </c>
      <c r="AA1340" s="276" t="e">
        <f>VLOOKUP(Logfile_S[[#This Row],[DO number]],DO_DB!G:I,3,0)</f>
        <v>#N/A</v>
      </c>
      <c r="AB1340" s="331" t="e">
        <f>EXACT(Logfile_S[[#This Row],[date pick]],Logfile_S[[#This Row],[Date]])</f>
        <v>#N/A</v>
      </c>
      <c r="AC13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41" spans="1:29" ht="14.5">
      <c r="A1341" s="220" t="str">
        <f>TEXT(ROW(A1341)-ROW($A$4),"000")</f>
        <v>1337</v>
      </c>
      <c r="B1341" s="221"/>
      <c r="C1341" s="221" t="s">
        <v>49</v>
      </c>
      <c r="D1341" s="221" t="s">
        <v>3936</v>
      </c>
      <c r="E1341" s="221" t="s">
        <v>3295</v>
      </c>
      <c r="F1341" s="221" t="s">
        <v>3299</v>
      </c>
      <c r="G1341" s="222">
        <v>45343</v>
      </c>
      <c r="H1341" s="223">
        <v>0.68055555555555547</v>
      </c>
      <c r="I1341" s="221" t="s">
        <v>4916</v>
      </c>
      <c r="J1341" s="221" t="s">
        <v>3023</v>
      </c>
      <c r="K1341" s="224" t="s">
        <v>3071</v>
      </c>
      <c r="L1341" s="225" t="str">
        <f>VLOOKUP(Logfile_S[[#This Row],[Material Name]],Sheet2!B:C,2,0)</f>
        <v>ZTE1003</v>
      </c>
      <c r="M1341" s="225" t="str">
        <f>_xlfn.XLOOKUP(Logfile_S[[#This Row],[Material Name]],Sum_WH!E:E,Sum_WH!F:F,"",0)</f>
        <v>Pcs</v>
      </c>
      <c r="N1341" s="221">
        <v>1</v>
      </c>
      <c r="O1341" s="221" t="s">
        <v>838</v>
      </c>
      <c r="P1341" s="221" t="s">
        <v>3361</v>
      </c>
      <c r="Q1341" s="221"/>
      <c r="R1341" s="221"/>
      <c r="S1341" s="221"/>
      <c r="T1341" s="221" t="s">
        <v>3258</v>
      </c>
      <c r="U1341" s="221" t="s">
        <v>3228</v>
      </c>
      <c r="V1341" s="221" t="s">
        <v>3337</v>
      </c>
      <c r="W1341" s="221" t="s">
        <v>3338</v>
      </c>
      <c r="X1341" s="221"/>
      <c r="Y1341" s="227"/>
      <c r="Z1341" s="227" t="str">
        <f>P1341</f>
        <v>TAMANHARJO RW 04 SINGOSARI</v>
      </c>
      <c r="AA1341" s="276" t="e">
        <f>VLOOKUP(Logfile_S[[#This Row],[DO number]],DO_DB!G:I,3,0)</f>
        <v>#N/A</v>
      </c>
      <c r="AB1341" s="331" t="e">
        <f>EXACT(Logfile_S[[#This Row],[date pick]],Logfile_S[[#This Row],[Date]])</f>
        <v>#N/A</v>
      </c>
      <c r="AC13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42" spans="1:29" ht="14.5">
      <c r="A1342" s="220" t="str">
        <f>TEXT(ROW(A1342)-ROW($A$4),"000")</f>
        <v>1338</v>
      </c>
      <c r="B1342" s="221"/>
      <c r="C1342" s="221" t="s">
        <v>49</v>
      </c>
      <c r="D1342" s="221" t="s">
        <v>3938</v>
      </c>
      <c r="E1342" s="221" t="s">
        <v>3295</v>
      </c>
      <c r="F1342" s="221" t="s">
        <v>3299</v>
      </c>
      <c r="G1342" s="222">
        <v>45343</v>
      </c>
      <c r="H1342" s="223">
        <v>0.78888888888888886</v>
      </c>
      <c r="I1342" s="221" t="s">
        <v>4916</v>
      </c>
      <c r="J1342" s="221" t="s">
        <v>3024</v>
      </c>
      <c r="K1342" s="224" t="s">
        <v>3094</v>
      </c>
      <c r="L1342" s="225" t="str">
        <f>VLOOKUP(Logfile_S[[#This Row],[Material Name]],Sheet2!B:C,2,0)</f>
        <v>GCI1008</v>
      </c>
      <c r="M1342" s="225" t="str">
        <f>_xlfn.XLOOKUP(Logfile_S[[#This Row],[Material Name]],Sum_WH!E:E,Sum_WH!F:F,"",0)</f>
        <v>Pcs</v>
      </c>
      <c r="N1342" s="221">
        <v>39</v>
      </c>
      <c r="O1342" s="221" t="s">
        <v>838</v>
      </c>
      <c r="P1342" s="221" t="s">
        <v>3361</v>
      </c>
      <c r="Q1342" s="221"/>
      <c r="R1342" s="221"/>
      <c r="S1342" s="221"/>
      <c r="T1342" s="221" t="s">
        <v>3258</v>
      </c>
      <c r="U1342" s="221" t="s">
        <v>3228</v>
      </c>
      <c r="V1342" s="221" t="s">
        <v>3337</v>
      </c>
      <c r="W1342" s="221" t="s">
        <v>3338</v>
      </c>
      <c r="X1342" s="221"/>
      <c r="Y1342" s="227"/>
      <c r="Z1342" s="227" t="str">
        <f>P1342</f>
        <v>TAMANHARJO RW 04 SINGOSARI</v>
      </c>
      <c r="AA1342" s="276" t="e">
        <f>VLOOKUP(Logfile_S[[#This Row],[DO number]],DO_DB!G:I,3,0)</f>
        <v>#N/A</v>
      </c>
      <c r="AB1342" s="331" t="e">
        <f>EXACT(Logfile_S[[#This Row],[date pick]],Logfile_S[[#This Row],[Date]])</f>
        <v>#N/A</v>
      </c>
      <c r="AC13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43" spans="1:29" ht="14.5">
      <c r="A1343" s="220" t="str">
        <f>TEXT(ROW(A1343)-ROW($A$4),"000")</f>
        <v>1339</v>
      </c>
      <c r="B1343" s="221"/>
      <c r="C1343" s="221" t="s">
        <v>49</v>
      </c>
      <c r="D1343" s="221" t="s">
        <v>3938</v>
      </c>
      <c r="E1343" s="221" t="s">
        <v>3295</v>
      </c>
      <c r="F1343" s="221" t="s">
        <v>3299</v>
      </c>
      <c r="G1343" s="222">
        <v>45343</v>
      </c>
      <c r="H1343" s="223">
        <v>0.78888888888888886</v>
      </c>
      <c r="I1343" s="221" t="s">
        <v>4916</v>
      </c>
      <c r="J1343" s="221" t="s">
        <v>3024</v>
      </c>
      <c r="K1343" s="224" t="s">
        <v>3089</v>
      </c>
      <c r="L1343" s="225" t="str">
        <f>VLOOKUP(Logfile_S[[#This Row],[Material Name]],Sheet2!B:C,2,0)</f>
        <v>GCI1003</v>
      </c>
      <c r="M1343" s="225" t="str">
        <f>_xlfn.XLOOKUP(Logfile_S[[#This Row],[Material Name]],Sum_WH!E:E,Sum_WH!F:F,"",0)</f>
        <v>Pcs</v>
      </c>
      <c r="N1343" s="221">
        <v>50</v>
      </c>
      <c r="O1343" s="221" t="s">
        <v>838</v>
      </c>
      <c r="P1343" s="221" t="s">
        <v>3361</v>
      </c>
      <c r="Q1343" s="221"/>
      <c r="R1343" s="221"/>
      <c r="S1343" s="221"/>
      <c r="T1343" s="221" t="s">
        <v>3258</v>
      </c>
      <c r="U1343" s="221" t="s">
        <v>3228</v>
      </c>
      <c r="V1343" s="221" t="s">
        <v>3337</v>
      </c>
      <c r="W1343" s="221" t="s">
        <v>3338</v>
      </c>
      <c r="X1343" s="221"/>
      <c r="Y1343" s="227"/>
      <c r="Z1343" s="227" t="str">
        <f>P1343</f>
        <v>TAMANHARJO RW 04 SINGOSARI</v>
      </c>
      <c r="AA1343" s="276" t="e">
        <f>VLOOKUP(Logfile_S[[#This Row],[DO number]],DO_DB!G:I,3,0)</f>
        <v>#N/A</v>
      </c>
      <c r="AB1343" s="331" t="e">
        <f>EXACT(Logfile_S[[#This Row],[date pick]],Logfile_S[[#This Row],[Date]])</f>
        <v>#N/A</v>
      </c>
      <c r="AC13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44" spans="1:29" ht="14.5">
      <c r="A1344" s="220" t="str">
        <f>TEXT(ROW(A1344)-ROW($A$4),"000")</f>
        <v>1340</v>
      </c>
      <c r="B1344" s="221"/>
      <c r="C1344" s="221" t="s">
        <v>49</v>
      </c>
      <c r="D1344" s="221" t="s">
        <v>3938</v>
      </c>
      <c r="E1344" s="221" t="s">
        <v>3295</v>
      </c>
      <c r="F1344" s="221" t="s">
        <v>3299</v>
      </c>
      <c r="G1344" s="222">
        <v>45343</v>
      </c>
      <c r="H1344" s="223">
        <v>0.78888888888888886</v>
      </c>
      <c r="I1344" s="221" t="s">
        <v>4916</v>
      </c>
      <c r="J1344" s="221" t="s">
        <v>3024</v>
      </c>
      <c r="K1344" s="224" t="s">
        <v>3090</v>
      </c>
      <c r="L1344" s="225" t="str">
        <f>VLOOKUP(Logfile_S[[#This Row],[Material Name]],Sheet2!B:C,2,0)</f>
        <v>GCI1004</v>
      </c>
      <c r="M1344" s="225" t="str">
        <f>_xlfn.XLOOKUP(Logfile_S[[#This Row],[Material Name]],Sum_WH!E:E,Sum_WH!F:F,"",0)</f>
        <v>Pcs</v>
      </c>
      <c r="N1344" s="221">
        <v>14</v>
      </c>
      <c r="O1344" s="221" t="s">
        <v>838</v>
      </c>
      <c r="P1344" s="221" t="s">
        <v>3361</v>
      </c>
      <c r="Q1344" s="221"/>
      <c r="R1344" s="221"/>
      <c r="S1344" s="221"/>
      <c r="T1344" s="221" t="s">
        <v>3258</v>
      </c>
      <c r="U1344" s="221" t="s">
        <v>3228</v>
      </c>
      <c r="V1344" s="221" t="s">
        <v>3337</v>
      </c>
      <c r="W1344" s="221" t="s">
        <v>3338</v>
      </c>
      <c r="X1344" s="221"/>
      <c r="Y1344" s="227"/>
      <c r="Z1344" s="227" t="str">
        <f>P1344</f>
        <v>TAMANHARJO RW 04 SINGOSARI</v>
      </c>
      <c r="AA1344" s="276" t="e">
        <f>VLOOKUP(Logfile_S[[#This Row],[DO number]],DO_DB!G:I,3,0)</f>
        <v>#N/A</v>
      </c>
      <c r="AB1344" s="331" t="e">
        <f>EXACT(Logfile_S[[#This Row],[date pick]],Logfile_S[[#This Row],[Date]])</f>
        <v>#N/A</v>
      </c>
      <c r="AC13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45" spans="1:29" ht="14.5">
      <c r="A1345" s="220" t="str">
        <f>TEXT(ROW(A1345)-ROW($A$4),"000")</f>
        <v>1341</v>
      </c>
      <c r="B1345" s="221"/>
      <c r="C1345" s="221" t="s">
        <v>49</v>
      </c>
      <c r="D1345" s="221" t="s">
        <v>3940</v>
      </c>
      <c r="E1345" s="221" t="s">
        <v>3295</v>
      </c>
      <c r="F1345" s="221" t="s">
        <v>3299</v>
      </c>
      <c r="G1345" s="222">
        <v>45344</v>
      </c>
      <c r="H1345" s="223">
        <v>0.63541666666666663</v>
      </c>
      <c r="I1345" s="221" t="s">
        <v>4916</v>
      </c>
      <c r="J1345" s="221" t="s">
        <v>3023</v>
      </c>
      <c r="K1345" s="224" t="s">
        <v>3075</v>
      </c>
      <c r="L1345" s="225" t="str">
        <f>VLOOKUP(Logfile_S[[#This Row],[Material Name]],Sheet2!B:C,2,0)</f>
        <v>ZTE2003</v>
      </c>
      <c r="M1345" s="225" t="str">
        <f>_xlfn.XLOOKUP(Logfile_S[[#This Row],[Material Name]],Sum_WH!E:E,Sum_WH!F:F,"",0)</f>
        <v>Meter</v>
      </c>
      <c r="N1345" s="221">
        <v>3000</v>
      </c>
      <c r="O1345" s="221" t="s">
        <v>838</v>
      </c>
      <c r="P1345" s="221" t="s">
        <v>3361</v>
      </c>
      <c r="Q1345" s="221"/>
      <c r="R1345" s="221"/>
      <c r="S1345" s="221"/>
      <c r="T1345" s="221" t="s">
        <v>3258</v>
      </c>
      <c r="U1345" s="221" t="s">
        <v>3228</v>
      </c>
      <c r="V1345" s="221" t="s">
        <v>3337</v>
      </c>
      <c r="W1345" s="221" t="s">
        <v>3338</v>
      </c>
      <c r="X1345" s="221" t="s">
        <v>3546</v>
      </c>
      <c r="Y1345" s="227"/>
      <c r="Z1345" s="227" t="str">
        <f>P1345</f>
        <v>TAMANHARJO RW 04 SINGOSARI</v>
      </c>
      <c r="AA1345" s="276" t="e">
        <f>VLOOKUP(Logfile_S[[#This Row],[DO number]],DO_DB!G:I,3,0)</f>
        <v>#N/A</v>
      </c>
      <c r="AB1345" s="331" t="e">
        <f>EXACT(Logfile_S[[#This Row],[date pick]],Logfile_S[[#This Row],[Date]])</f>
        <v>#N/A</v>
      </c>
      <c r="AC13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46" spans="1:29" ht="14.5">
      <c r="A1346" s="220" t="str">
        <f>TEXT(ROW(A1346)-ROW($A$4),"000")</f>
        <v>1342</v>
      </c>
      <c r="B1346" s="221"/>
      <c r="C1346" s="221" t="s">
        <v>49</v>
      </c>
      <c r="D1346" s="221" t="s">
        <v>3940</v>
      </c>
      <c r="E1346" s="221" t="s">
        <v>3295</v>
      </c>
      <c r="F1346" s="221" t="s">
        <v>3299</v>
      </c>
      <c r="G1346" s="222">
        <v>45344</v>
      </c>
      <c r="H1346" s="223">
        <v>0.63541666666666663</v>
      </c>
      <c r="I1346" s="221" t="s">
        <v>4916</v>
      </c>
      <c r="J1346" s="221" t="s">
        <v>3024</v>
      </c>
      <c r="K1346" s="224" t="s">
        <v>3087</v>
      </c>
      <c r="L1346" s="225" t="str">
        <f>VLOOKUP(Logfile_S[[#This Row],[Material Name]],Sheet2!B:C,2,0)</f>
        <v>GCI1001</v>
      </c>
      <c r="M1346" s="225" t="str">
        <f>_xlfn.XLOOKUP(Logfile_S[[#This Row],[Material Name]],Sum_WH!E:E,Sum_WH!F:F,"",0)</f>
        <v>Pcs</v>
      </c>
      <c r="N1346" s="221">
        <v>13</v>
      </c>
      <c r="O1346" s="221" t="s">
        <v>838</v>
      </c>
      <c r="P1346" s="221" t="s">
        <v>3361</v>
      </c>
      <c r="Q1346" s="221"/>
      <c r="R1346" s="221"/>
      <c r="S1346" s="221"/>
      <c r="T1346" s="221" t="s">
        <v>3258</v>
      </c>
      <c r="U1346" s="221" t="s">
        <v>3228</v>
      </c>
      <c r="V1346" s="221" t="s">
        <v>3337</v>
      </c>
      <c r="W1346" s="221" t="s">
        <v>3338</v>
      </c>
      <c r="X1346" s="221"/>
      <c r="Y1346" s="227"/>
      <c r="Z1346" s="227" t="str">
        <f>P1346</f>
        <v>TAMANHARJO RW 04 SINGOSARI</v>
      </c>
      <c r="AA1346" s="276" t="e">
        <f>VLOOKUP(Logfile_S[[#This Row],[DO number]],DO_DB!G:I,3,0)</f>
        <v>#N/A</v>
      </c>
      <c r="AB1346" s="331" t="e">
        <f>EXACT(Logfile_S[[#This Row],[date pick]],Logfile_S[[#This Row],[Date]])</f>
        <v>#N/A</v>
      </c>
      <c r="AC13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47" spans="1:29" ht="14.5">
      <c r="A1347" s="220" t="str">
        <f>TEXT(ROW(A1347)-ROW($A$4),"000")</f>
        <v>1343</v>
      </c>
      <c r="B1347" s="221"/>
      <c r="C1347" s="221" t="s">
        <v>49</v>
      </c>
      <c r="D1347" s="221" t="s">
        <v>3940</v>
      </c>
      <c r="E1347" s="221" t="s">
        <v>3295</v>
      </c>
      <c r="F1347" s="221" t="s">
        <v>3299</v>
      </c>
      <c r="G1347" s="222">
        <v>45344</v>
      </c>
      <c r="H1347" s="223">
        <v>0.63541666666666663</v>
      </c>
      <c r="I1347" s="221" t="s">
        <v>4916</v>
      </c>
      <c r="J1347" s="221" t="s">
        <v>3024</v>
      </c>
      <c r="K1347" s="224" t="s">
        <v>5137</v>
      </c>
      <c r="L1347" s="225" t="str">
        <f>VLOOKUP(Logfile_S[[#This Row],[Material Name]],Sheet2!B:C,2,0)</f>
        <v>GCI1009</v>
      </c>
      <c r="M1347" s="225" t="str">
        <f>_xlfn.XLOOKUP(Logfile_S[[#This Row],[Material Name]],Sum_WH!E:E,Sum_WH!F:F,"",0)</f>
        <v>Pcs</v>
      </c>
      <c r="N1347" s="221">
        <v>38</v>
      </c>
      <c r="O1347" s="221" t="s">
        <v>838</v>
      </c>
      <c r="P1347" s="221" t="s">
        <v>3361</v>
      </c>
      <c r="Q1347" s="221"/>
      <c r="R1347" s="221"/>
      <c r="S1347" s="221"/>
      <c r="T1347" s="221" t="s">
        <v>3258</v>
      </c>
      <c r="U1347" s="221" t="s">
        <v>3228</v>
      </c>
      <c r="V1347" s="221" t="s">
        <v>3337</v>
      </c>
      <c r="W1347" s="221" t="s">
        <v>3338</v>
      </c>
      <c r="X1347" s="221"/>
      <c r="Y1347" s="227"/>
      <c r="Z1347" s="227" t="str">
        <f>P1347</f>
        <v>TAMANHARJO RW 04 SINGOSARI</v>
      </c>
      <c r="AA1347" s="276" t="e">
        <f>VLOOKUP(Logfile_S[[#This Row],[DO number]],DO_DB!G:I,3,0)</f>
        <v>#N/A</v>
      </c>
      <c r="AB1347" s="331" t="e">
        <f>EXACT(Logfile_S[[#This Row],[date pick]],Logfile_S[[#This Row],[Date]])</f>
        <v>#N/A</v>
      </c>
      <c r="AC13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48" spans="1:29" ht="14.5">
      <c r="A1348" s="220" t="str">
        <f>TEXT(ROW(A1348)-ROW($A$4),"000")</f>
        <v>1344</v>
      </c>
      <c r="B1348" s="221"/>
      <c r="C1348" s="221" t="s">
        <v>49</v>
      </c>
      <c r="D1348" s="221" t="s">
        <v>3940</v>
      </c>
      <c r="E1348" s="221" t="s">
        <v>3295</v>
      </c>
      <c r="F1348" s="221" t="s">
        <v>3299</v>
      </c>
      <c r="G1348" s="222">
        <v>45344</v>
      </c>
      <c r="H1348" s="223">
        <v>0.63541666666666663</v>
      </c>
      <c r="I1348" s="221" t="s">
        <v>4916</v>
      </c>
      <c r="J1348" s="221" t="s">
        <v>3023</v>
      </c>
      <c r="K1348" s="224" t="s">
        <v>3069</v>
      </c>
      <c r="L1348" s="225" t="str">
        <f>VLOOKUP(Logfile_S[[#This Row],[Material Name]],Sheet2!B:C,2,0)</f>
        <v>ZTE1001</v>
      </c>
      <c r="M1348" s="225" t="str">
        <f>_xlfn.XLOOKUP(Logfile_S[[#This Row],[Material Name]],Sum_WH!E:E,Sum_WH!F:F,"",0)</f>
        <v>Pcs</v>
      </c>
      <c r="N1348" s="221">
        <v>1</v>
      </c>
      <c r="O1348" s="221" t="s">
        <v>838</v>
      </c>
      <c r="P1348" s="221" t="s">
        <v>3361</v>
      </c>
      <c r="Q1348" s="221"/>
      <c r="R1348" s="221"/>
      <c r="S1348" s="221"/>
      <c r="T1348" s="221" t="s">
        <v>3258</v>
      </c>
      <c r="U1348" s="221" t="s">
        <v>3228</v>
      </c>
      <c r="V1348" s="221" t="s">
        <v>3337</v>
      </c>
      <c r="W1348" s="221" t="s">
        <v>3338</v>
      </c>
      <c r="X1348" s="221"/>
      <c r="Y1348" s="227"/>
      <c r="Z1348" s="227" t="str">
        <f>P1348</f>
        <v>TAMANHARJO RW 04 SINGOSARI</v>
      </c>
      <c r="AA1348" s="276" t="e">
        <f>VLOOKUP(Logfile_S[[#This Row],[DO number]],DO_DB!G:I,3,0)</f>
        <v>#N/A</v>
      </c>
      <c r="AB1348" s="331" t="e">
        <f>EXACT(Logfile_S[[#This Row],[date pick]],Logfile_S[[#This Row],[Date]])</f>
        <v>#N/A</v>
      </c>
      <c r="AC13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49" spans="1:29" ht="14.5">
      <c r="A1349" s="220" t="str">
        <f>TEXT(ROW(A1349)-ROW($A$4),"000")</f>
        <v>1345</v>
      </c>
      <c r="B1349" s="221"/>
      <c r="C1349" s="221" t="s">
        <v>49</v>
      </c>
      <c r="D1349" s="221" t="s">
        <v>3940</v>
      </c>
      <c r="E1349" s="221" t="s">
        <v>3295</v>
      </c>
      <c r="F1349" s="221" t="s">
        <v>3299</v>
      </c>
      <c r="G1349" s="222">
        <v>45344</v>
      </c>
      <c r="H1349" s="223">
        <v>0.63541666666666663</v>
      </c>
      <c r="I1349" s="221" t="s">
        <v>4916</v>
      </c>
      <c r="J1349" s="221" t="s">
        <v>3024</v>
      </c>
      <c r="K1349" s="224" t="s">
        <v>3094</v>
      </c>
      <c r="L1349" s="225" t="str">
        <f>VLOOKUP(Logfile_S[[#This Row],[Material Name]],Sheet2!B:C,2,0)</f>
        <v>GCI1008</v>
      </c>
      <c r="M1349" s="225" t="str">
        <f>_xlfn.XLOOKUP(Logfile_S[[#This Row],[Material Name]],Sum_WH!E:E,Sum_WH!F:F,"",0)</f>
        <v>Pcs</v>
      </c>
      <c r="N1349" s="221">
        <v>33</v>
      </c>
      <c r="O1349" s="221" t="s">
        <v>838</v>
      </c>
      <c r="P1349" s="221" t="s">
        <v>3361</v>
      </c>
      <c r="Q1349" s="221"/>
      <c r="R1349" s="221"/>
      <c r="S1349" s="221"/>
      <c r="T1349" s="221" t="s">
        <v>3258</v>
      </c>
      <c r="U1349" s="221" t="s">
        <v>3228</v>
      </c>
      <c r="V1349" s="221" t="s">
        <v>3337</v>
      </c>
      <c r="W1349" s="221" t="s">
        <v>3338</v>
      </c>
      <c r="X1349" s="221"/>
      <c r="Y1349" s="227"/>
      <c r="Z1349" s="227" t="str">
        <f>P1349</f>
        <v>TAMANHARJO RW 04 SINGOSARI</v>
      </c>
      <c r="AA1349" s="276" t="e">
        <f>VLOOKUP(Logfile_S[[#This Row],[DO number]],DO_DB!G:I,3,0)</f>
        <v>#N/A</v>
      </c>
      <c r="AB1349" s="331" t="e">
        <f>EXACT(Logfile_S[[#This Row],[date pick]],Logfile_S[[#This Row],[Date]])</f>
        <v>#N/A</v>
      </c>
      <c r="AC13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50" spans="1:29" ht="14.5">
      <c r="A1350" s="220" t="str">
        <f>TEXT(ROW(A1350)-ROW($A$4),"000")</f>
        <v>1346</v>
      </c>
      <c r="B1350" s="221"/>
      <c r="C1350" s="221" t="s">
        <v>49</v>
      </c>
      <c r="D1350" s="221" t="s">
        <v>3940</v>
      </c>
      <c r="E1350" s="221" t="s">
        <v>3295</v>
      </c>
      <c r="F1350" s="221" t="s">
        <v>3299</v>
      </c>
      <c r="G1350" s="222">
        <v>45344</v>
      </c>
      <c r="H1350" s="223">
        <v>0.63541666666666663</v>
      </c>
      <c r="I1350" s="221" t="s">
        <v>4916</v>
      </c>
      <c r="J1350" s="221" t="s">
        <v>3024</v>
      </c>
      <c r="K1350" s="224" t="s">
        <v>3090</v>
      </c>
      <c r="L1350" s="225" t="str">
        <f>VLOOKUP(Logfile_S[[#This Row],[Material Name]],Sheet2!B:C,2,0)</f>
        <v>GCI1004</v>
      </c>
      <c r="M1350" s="225" t="str">
        <f>_xlfn.XLOOKUP(Logfile_S[[#This Row],[Material Name]],Sum_WH!E:E,Sum_WH!F:F,"",0)</f>
        <v>Pcs</v>
      </c>
      <c r="N1350" s="221">
        <v>15</v>
      </c>
      <c r="O1350" s="221" t="s">
        <v>838</v>
      </c>
      <c r="P1350" s="221" t="s">
        <v>3361</v>
      </c>
      <c r="Q1350" s="221"/>
      <c r="R1350" s="221"/>
      <c r="S1350" s="221"/>
      <c r="T1350" s="221" t="s">
        <v>3258</v>
      </c>
      <c r="U1350" s="221" t="s">
        <v>3228</v>
      </c>
      <c r="V1350" s="221" t="s">
        <v>3337</v>
      </c>
      <c r="W1350" s="221" t="s">
        <v>3338</v>
      </c>
      <c r="X1350" s="221"/>
      <c r="Y1350" s="227"/>
      <c r="Z1350" s="227" t="str">
        <f>P1350</f>
        <v>TAMANHARJO RW 04 SINGOSARI</v>
      </c>
      <c r="AA1350" s="276" t="e">
        <f>VLOOKUP(Logfile_S[[#This Row],[DO number]],DO_DB!G:I,3,0)</f>
        <v>#N/A</v>
      </c>
      <c r="AB1350" s="331" t="e">
        <f>EXACT(Logfile_S[[#This Row],[date pick]],Logfile_S[[#This Row],[Date]])</f>
        <v>#N/A</v>
      </c>
      <c r="AC13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51" spans="1:29" ht="14.5">
      <c r="A1351" s="220" t="str">
        <f>TEXT(ROW(A1351)-ROW($A$4),"000")</f>
        <v>1347</v>
      </c>
      <c r="B1351" s="221"/>
      <c r="C1351" s="221" t="s">
        <v>49</v>
      </c>
      <c r="D1351" s="221" t="s">
        <v>3945</v>
      </c>
      <c r="E1351" s="221" t="s">
        <v>3295</v>
      </c>
      <c r="F1351" s="221" t="s">
        <v>3299</v>
      </c>
      <c r="G1351" s="222">
        <v>45345</v>
      </c>
      <c r="H1351" s="223">
        <v>0.3840277777777778</v>
      </c>
      <c r="I1351" s="221" t="s">
        <v>4916</v>
      </c>
      <c r="J1351" s="221" t="s">
        <v>3023</v>
      </c>
      <c r="K1351" s="224" t="s">
        <v>13</v>
      </c>
      <c r="L1351" s="225" t="str">
        <f>VLOOKUP(Logfile_S[[#This Row],[Material Name]],Sheet2!B:C,2,0)</f>
        <v>ZTE2008</v>
      </c>
      <c r="M1351" s="225" t="str">
        <f>_xlfn.XLOOKUP(Logfile_S[[#This Row],[Material Name]],Sum_WH!E:E,Sum_WH!F:F,"",0)</f>
        <v>Pcs</v>
      </c>
      <c r="N1351" s="221">
        <v>18</v>
      </c>
      <c r="O1351" s="221" t="s">
        <v>838</v>
      </c>
      <c r="P1351" s="221" t="s">
        <v>3361</v>
      </c>
      <c r="Q1351" s="221"/>
      <c r="R1351" s="221"/>
      <c r="S1351" s="221"/>
      <c r="T1351" s="221" t="s">
        <v>3231</v>
      </c>
      <c r="U1351" s="221" t="s">
        <v>3228</v>
      </c>
      <c r="V1351" s="221" t="s">
        <v>3232</v>
      </c>
      <c r="W1351" s="221" t="s">
        <v>3246</v>
      </c>
      <c r="X1351" s="221"/>
      <c r="Y1351" s="227"/>
      <c r="Z1351" s="227" t="str">
        <f>P1351</f>
        <v>TAMANHARJO RW 04 SINGOSARI</v>
      </c>
      <c r="AA1351" s="276" t="e">
        <f>VLOOKUP(Logfile_S[[#This Row],[DO number]],DO_DB!G:I,3,0)</f>
        <v>#N/A</v>
      </c>
      <c r="AB1351" s="331" t="e">
        <f>EXACT(Logfile_S[[#This Row],[date pick]],Logfile_S[[#This Row],[Date]])</f>
        <v>#N/A</v>
      </c>
      <c r="AC13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52" spans="1:29" ht="14.5">
      <c r="A1352" s="220" t="str">
        <f>TEXT(ROW(A1352)-ROW($A$4),"000")</f>
        <v>1348</v>
      </c>
      <c r="B1352" s="221"/>
      <c r="C1352" s="221" t="s">
        <v>49</v>
      </c>
      <c r="D1352" s="221" t="s">
        <v>3945</v>
      </c>
      <c r="E1352" s="221" t="s">
        <v>3295</v>
      </c>
      <c r="F1352" s="221" t="s">
        <v>3299</v>
      </c>
      <c r="G1352" s="222">
        <v>45345</v>
      </c>
      <c r="H1352" s="223">
        <v>0.3840277777777778</v>
      </c>
      <c r="I1352" s="221" t="s">
        <v>4916</v>
      </c>
      <c r="J1352" s="221" t="s">
        <v>3023</v>
      </c>
      <c r="K1352" s="224" t="s">
        <v>14</v>
      </c>
      <c r="L1352" s="225" t="str">
        <f>VLOOKUP(Logfile_S[[#This Row],[Material Name]],Sheet2!B:C,2,0)</f>
        <v>ZTE2005</v>
      </c>
      <c r="M1352" s="225" t="str">
        <f>_xlfn.XLOOKUP(Logfile_S[[#This Row],[Material Name]],Sum_WH!E:E,Sum_WH!F:F,"",0)</f>
        <v>Pcs</v>
      </c>
      <c r="N1352" s="221">
        <v>1</v>
      </c>
      <c r="O1352" s="221" t="s">
        <v>838</v>
      </c>
      <c r="P1352" s="221" t="s">
        <v>3361</v>
      </c>
      <c r="Q1352" s="221"/>
      <c r="R1352" s="221"/>
      <c r="S1352" s="221"/>
      <c r="T1352" s="221" t="s">
        <v>3231</v>
      </c>
      <c r="U1352" s="221" t="s">
        <v>3228</v>
      </c>
      <c r="V1352" s="221" t="s">
        <v>3232</v>
      </c>
      <c r="W1352" s="221" t="s">
        <v>3246</v>
      </c>
      <c r="X1352" s="221"/>
      <c r="Y1352" s="227"/>
      <c r="Z1352" s="227" t="str">
        <f>P1352</f>
        <v>TAMANHARJO RW 04 SINGOSARI</v>
      </c>
      <c r="AA1352" s="276" t="e">
        <f>VLOOKUP(Logfile_S[[#This Row],[DO number]],DO_DB!G:I,3,0)</f>
        <v>#N/A</v>
      </c>
      <c r="AB1352" s="331" t="e">
        <f>EXACT(Logfile_S[[#This Row],[date pick]],Logfile_S[[#This Row],[Date]])</f>
        <v>#N/A</v>
      </c>
      <c r="AC13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53" spans="1:29" ht="14.5">
      <c r="A1353" s="220" t="str">
        <f>TEXT(ROW(A1353)-ROW($A$4),"000")</f>
        <v>1349</v>
      </c>
      <c r="B1353" s="221"/>
      <c r="C1353" s="221" t="s">
        <v>49</v>
      </c>
      <c r="D1353" s="221" t="s">
        <v>3945</v>
      </c>
      <c r="E1353" s="221" t="s">
        <v>3295</v>
      </c>
      <c r="F1353" s="221" t="s">
        <v>3299</v>
      </c>
      <c r="G1353" s="222">
        <v>45345</v>
      </c>
      <c r="H1353" s="223">
        <v>0.3840277777777778</v>
      </c>
      <c r="I1353" s="221" t="s">
        <v>4916</v>
      </c>
      <c r="J1353" s="221" t="s">
        <v>3023</v>
      </c>
      <c r="K1353" s="224" t="s">
        <v>3072</v>
      </c>
      <c r="L1353" s="225" t="str">
        <f>VLOOKUP(Logfile_S[[#This Row],[Material Name]],Sheet2!B:C,2,0)</f>
        <v>ZTE1004</v>
      </c>
      <c r="M1353" s="225" t="str">
        <f>_xlfn.XLOOKUP(Logfile_S[[#This Row],[Material Name]],Sum_WH!E:E,Sum_WH!F:F,"",0)</f>
        <v>Pcs</v>
      </c>
      <c r="N1353" s="221">
        <v>1</v>
      </c>
      <c r="O1353" s="221" t="s">
        <v>838</v>
      </c>
      <c r="P1353" s="221" t="s">
        <v>3361</v>
      </c>
      <c r="Q1353" s="221"/>
      <c r="R1353" s="221"/>
      <c r="S1353" s="221"/>
      <c r="T1353" s="221" t="s">
        <v>3231</v>
      </c>
      <c r="U1353" s="221" t="s">
        <v>3228</v>
      </c>
      <c r="V1353" s="221" t="s">
        <v>3232</v>
      </c>
      <c r="W1353" s="221" t="s">
        <v>3246</v>
      </c>
      <c r="X1353" s="221"/>
      <c r="Y1353" s="227"/>
      <c r="Z1353" s="227" t="str">
        <f>P1353</f>
        <v>TAMANHARJO RW 04 SINGOSARI</v>
      </c>
      <c r="AA1353" s="276" t="e">
        <f>VLOOKUP(Logfile_S[[#This Row],[DO number]],DO_DB!G:I,3,0)</f>
        <v>#N/A</v>
      </c>
      <c r="AB1353" s="331" t="e">
        <f>EXACT(Logfile_S[[#This Row],[date pick]],Logfile_S[[#This Row],[Date]])</f>
        <v>#N/A</v>
      </c>
      <c r="AC13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54" spans="1:29" ht="14.5">
      <c r="A1354" s="220" t="str">
        <f>TEXT(ROW(A1354)-ROW($A$4),"000")</f>
        <v>1350</v>
      </c>
      <c r="B1354" s="221"/>
      <c r="C1354" s="221" t="s">
        <v>49</v>
      </c>
      <c r="D1354" s="221" t="s">
        <v>3949</v>
      </c>
      <c r="E1354" s="221" t="s">
        <v>3295</v>
      </c>
      <c r="F1354" s="221" t="s">
        <v>3299</v>
      </c>
      <c r="G1354" s="222">
        <v>45346</v>
      </c>
      <c r="H1354" s="223">
        <v>0.63541666666666663</v>
      </c>
      <c r="I1354" s="221" t="s">
        <v>4916</v>
      </c>
      <c r="J1354" s="221" t="s">
        <v>3024</v>
      </c>
      <c r="K1354" s="224" t="s">
        <v>3091</v>
      </c>
      <c r="L1354" s="225" t="str">
        <f>VLOOKUP(Logfile_S[[#This Row],[Material Name]],Sheet2!B:C,2,0)</f>
        <v>GCI1005</v>
      </c>
      <c r="M1354" s="225" t="str">
        <f>_xlfn.XLOOKUP(Logfile_S[[#This Row],[Material Name]],Sum_WH!E:E,Sum_WH!F:F,"",0)</f>
        <v>Pcs</v>
      </c>
      <c r="N1354" s="221">
        <v>40</v>
      </c>
      <c r="O1354" s="221" t="s">
        <v>838</v>
      </c>
      <c r="P1354" s="221" t="s">
        <v>3361</v>
      </c>
      <c r="Q1354" s="221"/>
      <c r="R1354" s="221"/>
      <c r="S1354" s="221"/>
      <c r="T1354" s="221" t="s">
        <v>3258</v>
      </c>
      <c r="U1354" s="221" t="s">
        <v>3228</v>
      </c>
      <c r="V1354" s="221" t="s">
        <v>3337</v>
      </c>
      <c r="W1354" s="221" t="s">
        <v>3338</v>
      </c>
      <c r="X1354" s="221"/>
      <c r="Y1354" s="227"/>
      <c r="Z1354" s="227" t="str">
        <f>P1354</f>
        <v>TAMANHARJO RW 04 SINGOSARI</v>
      </c>
      <c r="AA1354" s="276" t="e">
        <f>VLOOKUP(Logfile_S[[#This Row],[DO number]],DO_DB!G:I,3,0)</f>
        <v>#N/A</v>
      </c>
      <c r="AB1354" s="331" t="e">
        <f>EXACT(Logfile_S[[#This Row],[date pick]],Logfile_S[[#This Row],[Date]])</f>
        <v>#N/A</v>
      </c>
      <c r="AC13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55" spans="1:29" ht="14.5">
      <c r="A1355" s="220" t="str">
        <f>TEXT(ROW(A1355)-ROW($A$4),"000")</f>
        <v>1351</v>
      </c>
      <c r="B1355" s="221"/>
      <c r="C1355" s="221" t="s">
        <v>48</v>
      </c>
      <c r="D1355" s="221" t="s">
        <v>3922</v>
      </c>
      <c r="E1355" s="221" t="s">
        <v>3295</v>
      </c>
      <c r="F1355" s="221" t="s">
        <v>3299</v>
      </c>
      <c r="G1355" s="222">
        <v>45337</v>
      </c>
      <c r="H1355" s="223">
        <v>15.291666666666666</v>
      </c>
      <c r="I1355" s="221" t="s">
        <v>37</v>
      </c>
      <c r="J1355" s="221" t="s">
        <v>3023</v>
      </c>
      <c r="K1355" s="224" t="s">
        <v>3080</v>
      </c>
      <c r="L1355" s="225" t="str">
        <f>VLOOKUP(Logfile_S[[#This Row],[Material Name]],Sheet2!B:C,2,0)</f>
        <v>ZTE2010</v>
      </c>
      <c r="M1355" s="225" t="str">
        <f>_xlfn.XLOOKUP(Logfile_S[[#This Row],[Material Name]],Sum_WH!E:E,Sum_WH!F:F,"",0)</f>
        <v>Pcs</v>
      </c>
      <c r="N1355" s="221">
        <v>3</v>
      </c>
      <c r="O1355" s="221" t="s">
        <v>911</v>
      </c>
      <c r="P1355" s="221" t="s">
        <v>912</v>
      </c>
      <c r="Q1355" s="221" t="s">
        <v>913</v>
      </c>
      <c r="R1355" s="221" t="s">
        <v>914</v>
      </c>
      <c r="S1355" s="221"/>
      <c r="T1355" s="221"/>
      <c r="U1355" s="221"/>
      <c r="V1355" s="221"/>
      <c r="W1355" s="221"/>
      <c r="X1355" s="221"/>
      <c r="Y1355" s="227"/>
      <c r="Z1355" s="227" t="str">
        <f>P1355</f>
        <v>Bandulan RW 08 Sukun</v>
      </c>
      <c r="AA1355" s="276">
        <f>VLOOKUP(Logfile_S[[#This Row],[DO number]],DO_DB!G:I,3,0)</f>
        <v>45337</v>
      </c>
      <c r="AB1355" s="331" t="b">
        <f>EXACT(Logfile_S[[#This Row],[date pick]],Logfile_S[[#This Row],[Date]])</f>
        <v>1</v>
      </c>
      <c r="AC13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56" spans="1:29" ht="14.5">
      <c r="A1356" s="220" t="str">
        <f>TEXT(ROW(A1356)-ROW($A$4),"000")</f>
        <v>1352</v>
      </c>
      <c r="B1356" s="221"/>
      <c r="C1356" s="221" t="s">
        <v>49</v>
      </c>
      <c r="D1356" s="221" t="s">
        <v>3923</v>
      </c>
      <c r="E1356" s="221" t="s">
        <v>3295</v>
      </c>
      <c r="F1356" s="221" t="s">
        <v>3299</v>
      </c>
      <c r="G1356" s="222">
        <v>45337</v>
      </c>
      <c r="H1356" s="223">
        <v>0.46111111111111108</v>
      </c>
      <c r="I1356" s="221" t="s">
        <v>4916</v>
      </c>
      <c r="J1356" s="221" t="s">
        <v>3024</v>
      </c>
      <c r="K1356" s="224" t="s">
        <v>3091</v>
      </c>
      <c r="L1356" s="225" t="str">
        <f>VLOOKUP(Logfile_S[[#This Row],[Material Name]],Sheet2!B:C,2,0)</f>
        <v>GCI1005</v>
      </c>
      <c r="M1356" s="225" t="str">
        <f>_xlfn.XLOOKUP(Logfile_S[[#This Row],[Material Name]],Sum_WH!E:E,Sum_WH!F:F,"",0)</f>
        <v>Pcs</v>
      </c>
      <c r="N1356" s="221">
        <v>25</v>
      </c>
      <c r="O1356" s="221" t="s">
        <v>911</v>
      </c>
      <c r="P1356" s="221" t="s">
        <v>912</v>
      </c>
      <c r="Q1356" s="221"/>
      <c r="R1356" s="221"/>
      <c r="S1356" s="221"/>
      <c r="T1356" s="221" t="s">
        <v>3258</v>
      </c>
      <c r="U1356" s="221" t="s">
        <v>3228</v>
      </c>
      <c r="V1356" s="221" t="s">
        <v>3337</v>
      </c>
      <c r="W1356" s="221" t="s">
        <v>3338</v>
      </c>
      <c r="X1356" s="221"/>
      <c r="Y1356" s="227"/>
      <c r="Z1356" s="227" t="str">
        <f>P1356</f>
        <v>Bandulan RW 08 Sukun</v>
      </c>
      <c r="AA1356" s="276" t="e">
        <f>VLOOKUP(Logfile_S[[#This Row],[DO number]],DO_DB!G:I,3,0)</f>
        <v>#N/A</v>
      </c>
      <c r="AB1356" s="331" t="e">
        <f>EXACT(Logfile_S[[#This Row],[date pick]],Logfile_S[[#This Row],[Date]])</f>
        <v>#N/A</v>
      </c>
      <c r="AC13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57" spans="1:29" ht="14.5">
      <c r="A1357" s="220" t="str">
        <f>TEXT(ROW(A1357)-ROW($A$4),"000")</f>
        <v>1353</v>
      </c>
      <c r="B1357" s="221"/>
      <c r="C1357" s="221" t="s">
        <v>49</v>
      </c>
      <c r="D1357" s="221" t="s">
        <v>3923</v>
      </c>
      <c r="E1357" s="221" t="s">
        <v>3295</v>
      </c>
      <c r="F1357" s="221" t="s">
        <v>3299</v>
      </c>
      <c r="G1357" s="222">
        <v>45337</v>
      </c>
      <c r="H1357" s="223">
        <v>0.46111111111111108</v>
      </c>
      <c r="I1357" s="221" t="s">
        <v>4916</v>
      </c>
      <c r="J1357" s="221" t="s">
        <v>3024</v>
      </c>
      <c r="K1357" s="224" t="s">
        <v>3087</v>
      </c>
      <c r="L1357" s="225" t="str">
        <f>VLOOKUP(Logfile_S[[#This Row],[Material Name]],Sheet2!B:C,2,0)</f>
        <v>GCI1001</v>
      </c>
      <c r="M1357" s="225" t="str">
        <f>_xlfn.XLOOKUP(Logfile_S[[#This Row],[Material Name]],Sum_WH!E:E,Sum_WH!F:F,"",0)</f>
        <v>Pcs</v>
      </c>
      <c r="N1357" s="221">
        <v>6</v>
      </c>
      <c r="O1357" s="221" t="s">
        <v>911</v>
      </c>
      <c r="P1357" s="221" t="s">
        <v>912</v>
      </c>
      <c r="Q1357" s="221"/>
      <c r="R1357" s="221"/>
      <c r="S1357" s="221"/>
      <c r="T1357" s="221" t="s">
        <v>3258</v>
      </c>
      <c r="U1357" s="221" t="s">
        <v>3228</v>
      </c>
      <c r="V1357" s="221" t="s">
        <v>3337</v>
      </c>
      <c r="W1357" s="221" t="s">
        <v>3338</v>
      </c>
      <c r="X1357" s="221"/>
      <c r="Y1357" s="227"/>
      <c r="Z1357" s="227" t="str">
        <f>P1357</f>
        <v>Bandulan RW 08 Sukun</v>
      </c>
      <c r="AA1357" s="276" t="e">
        <f>VLOOKUP(Logfile_S[[#This Row],[DO number]],DO_DB!G:I,3,0)</f>
        <v>#N/A</v>
      </c>
      <c r="AB1357" s="331" t="e">
        <f>EXACT(Logfile_S[[#This Row],[date pick]],Logfile_S[[#This Row],[Date]])</f>
        <v>#N/A</v>
      </c>
      <c r="AC13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58" spans="1:29" ht="14.5">
      <c r="A1358" s="220" t="str">
        <f>TEXT(ROW(A1358)-ROW($A$4),"000")</f>
        <v>1354</v>
      </c>
      <c r="B1358" s="221"/>
      <c r="C1358" s="221" t="s">
        <v>49</v>
      </c>
      <c r="D1358" s="221" t="s">
        <v>3923</v>
      </c>
      <c r="E1358" s="221" t="s">
        <v>3295</v>
      </c>
      <c r="F1358" s="221" t="s">
        <v>3299</v>
      </c>
      <c r="G1358" s="222">
        <v>45337</v>
      </c>
      <c r="H1358" s="223">
        <v>0.46111111111111108</v>
      </c>
      <c r="I1358" s="221" t="s">
        <v>4916</v>
      </c>
      <c r="J1358" s="221" t="s">
        <v>3024</v>
      </c>
      <c r="K1358" s="224" t="s">
        <v>5137</v>
      </c>
      <c r="L1358" s="225" t="str">
        <f>VLOOKUP(Logfile_S[[#This Row],[Material Name]],Sheet2!B:C,2,0)</f>
        <v>GCI1009</v>
      </c>
      <c r="M1358" s="225" t="str">
        <f>_xlfn.XLOOKUP(Logfile_S[[#This Row],[Material Name]],Sum_WH!E:E,Sum_WH!F:F,"",0)</f>
        <v>Pcs</v>
      </c>
      <c r="N1358" s="221">
        <v>50</v>
      </c>
      <c r="O1358" s="221" t="s">
        <v>911</v>
      </c>
      <c r="P1358" s="221" t="s">
        <v>912</v>
      </c>
      <c r="Q1358" s="221"/>
      <c r="R1358" s="221"/>
      <c r="S1358" s="221"/>
      <c r="T1358" s="221" t="s">
        <v>3258</v>
      </c>
      <c r="U1358" s="221" t="s">
        <v>3228</v>
      </c>
      <c r="V1358" s="221" t="s">
        <v>3337</v>
      </c>
      <c r="W1358" s="221" t="s">
        <v>3338</v>
      </c>
      <c r="X1358" s="221"/>
      <c r="Y1358" s="227"/>
      <c r="Z1358" s="227" t="str">
        <f>P1358</f>
        <v>Bandulan RW 08 Sukun</v>
      </c>
      <c r="AA1358" s="276" t="e">
        <f>VLOOKUP(Logfile_S[[#This Row],[DO number]],DO_DB!G:I,3,0)</f>
        <v>#N/A</v>
      </c>
      <c r="AB1358" s="331" t="e">
        <f>EXACT(Logfile_S[[#This Row],[date pick]],Logfile_S[[#This Row],[Date]])</f>
        <v>#N/A</v>
      </c>
      <c r="AC13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59" spans="1:29" ht="14.5">
      <c r="A1359" s="220" t="str">
        <f>TEXT(ROW(A1359)-ROW($A$4),"000")</f>
        <v>1355</v>
      </c>
      <c r="B1359" s="221"/>
      <c r="C1359" s="221" t="s">
        <v>48</v>
      </c>
      <c r="D1359" s="221" t="s">
        <v>3924</v>
      </c>
      <c r="E1359" s="221" t="s">
        <v>3295</v>
      </c>
      <c r="F1359" s="221" t="s">
        <v>3299</v>
      </c>
      <c r="G1359" s="222">
        <v>45337</v>
      </c>
      <c r="H1359" s="223">
        <v>15.291666666666666</v>
      </c>
      <c r="I1359" s="221" t="s">
        <v>37</v>
      </c>
      <c r="J1359" s="221" t="s">
        <v>3023</v>
      </c>
      <c r="K1359" s="224" t="s">
        <v>14</v>
      </c>
      <c r="L1359" s="225" t="str">
        <f>VLOOKUP(Logfile_S[[#This Row],[Material Name]],Sheet2!B:C,2,0)</f>
        <v>ZTE2005</v>
      </c>
      <c r="M1359" s="225" t="str">
        <f>_xlfn.XLOOKUP(Logfile_S[[#This Row],[Material Name]],Sum_WH!E:E,Sum_WH!F:F,"",0)</f>
        <v>Pcs</v>
      </c>
      <c r="N1359" s="221">
        <v>1</v>
      </c>
      <c r="O1359" s="221" t="s">
        <v>911</v>
      </c>
      <c r="P1359" s="221" t="s">
        <v>912</v>
      </c>
      <c r="Q1359" s="221" t="s">
        <v>913</v>
      </c>
      <c r="R1359" s="221" t="s">
        <v>914</v>
      </c>
      <c r="S1359" s="221"/>
      <c r="T1359" s="221"/>
      <c r="U1359" s="221"/>
      <c r="V1359" s="221"/>
      <c r="W1359" s="221"/>
      <c r="X1359" s="221"/>
      <c r="Y1359" s="227"/>
      <c r="Z1359" s="227" t="str">
        <f>P1359</f>
        <v>Bandulan RW 08 Sukun</v>
      </c>
      <c r="AA1359" s="276">
        <f>VLOOKUP(Logfile_S[[#This Row],[DO number]],DO_DB!G:I,3,0)</f>
        <v>45337</v>
      </c>
      <c r="AB1359" s="331" t="b">
        <f>EXACT(Logfile_S[[#This Row],[date pick]],Logfile_S[[#This Row],[Date]])</f>
        <v>1</v>
      </c>
      <c r="AC13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60" spans="1:29" ht="14.5">
      <c r="A1360" s="220" t="str">
        <f>TEXT(ROW(A1360)-ROW($A$4),"000")</f>
        <v>1356</v>
      </c>
      <c r="B1360" s="221"/>
      <c r="C1360" s="221" t="s">
        <v>48</v>
      </c>
      <c r="D1360" s="221" t="s">
        <v>3924</v>
      </c>
      <c r="E1360" s="221" t="s">
        <v>3295</v>
      </c>
      <c r="F1360" s="221" t="s">
        <v>3299</v>
      </c>
      <c r="G1360" s="222">
        <v>45337</v>
      </c>
      <c r="H1360" s="223">
        <v>15.291666666666666</v>
      </c>
      <c r="I1360" s="221" t="s">
        <v>37</v>
      </c>
      <c r="J1360" s="221" t="s">
        <v>3023</v>
      </c>
      <c r="K1360" s="224" t="s">
        <v>3070</v>
      </c>
      <c r="L1360" s="225" t="str">
        <f>VLOOKUP(Logfile_S[[#This Row],[Material Name]],Sheet2!B:C,2,0)</f>
        <v>ZTE1002</v>
      </c>
      <c r="M1360" s="225" t="str">
        <f>_xlfn.XLOOKUP(Logfile_S[[#This Row],[Material Name]],Sum_WH!E:E,Sum_WH!F:F,"",0)</f>
        <v>Pcs</v>
      </c>
      <c r="N1360" s="221">
        <v>7</v>
      </c>
      <c r="O1360" s="221" t="s">
        <v>911</v>
      </c>
      <c r="P1360" s="221" t="s">
        <v>912</v>
      </c>
      <c r="Q1360" s="221" t="s">
        <v>915</v>
      </c>
      <c r="R1360" s="221" t="s">
        <v>916</v>
      </c>
      <c r="S1360" s="221"/>
      <c r="T1360" s="221"/>
      <c r="U1360" s="221"/>
      <c r="V1360" s="221"/>
      <c r="W1360" s="221"/>
      <c r="X1360" s="221"/>
      <c r="Y1360" s="227"/>
      <c r="Z1360" s="227" t="str">
        <f>P1360</f>
        <v>Bandulan RW 08 Sukun</v>
      </c>
      <c r="AA1360" s="276">
        <f>VLOOKUP(Logfile_S[[#This Row],[DO number]],DO_DB!G:I,3,0)</f>
        <v>45337</v>
      </c>
      <c r="AB1360" s="331" t="b">
        <f>EXACT(Logfile_S[[#This Row],[date pick]],Logfile_S[[#This Row],[Date]])</f>
        <v>1</v>
      </c>
      <c r="AC13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61" spans="1:29" ht="14.5">
      <c r="A1361" s="220" t="str">
        <f>TEXT(ROW(A1361)-ROW($A$4),"000")</f>
        <v>1357</v>
      </c>
      <c r="B1361" s="221"/>
      <c r="C1361" s="221" t="s">
        <v>49</v>
      </c>
      <c r="D1361" s="221" t="s">
        <v>3923</v>
      </c>
      <c r="E1361" s="221" t="s">
        <v>3295</v>
      </c>
      <c r="F1361" s="221" t="s">
        <v>3299</v>
      </c>
      <c r="G1361" s="222">
        <v>45337</v>
      </c>
      <c r="H1361" s="223">
        <v>0.46111111111111108</v>
      </c>
      <c r="I1361" s="221" t="s">
        <v>4916</v>
      </c>
      <c r="J1361" s="221" t="s">
        <v>3023</v>
      </c>
      <c r="K1361" s="224" t="s">
        <v>3070</v>
      </c>
      <c r="L1361" s="225" t="str">
        <f>VLOOKUP(Logfile_S[[#This Row],[Material Name]],Sheet2!B:C,2,0)</f>
        <v>ZTE1002</v>
      </c>
      <c r="M1361" s="225" t="str">
        <f>_xlfn.XLOOKUP(Logfile_S[[#This Row],[Material Name]],Sum_WH!E:E,Sum_WH!F:F,"",0)</f>
        <v>Pcs</v>
      </c>
      <c r="N1361" s="221">
        <v>7</v>
      </c>
      <c r="O1361" s="221" t="s">
        <v>911</v>
      </c>
      <c r="P1361" s="221" t="s">
        <v>912</v>
      </c>
      <c r="Q1361" s="221"/>
      <c r="R1361" s="221"/>
      <c r="S1361" s="221"/>
      <c r="T1361" s="221" t="s">
        <v>3258</v>
      </c>
      <c r="U1361" s="221" t="s">
        <v>3228</v>
      </c>
      <c r="V1361" s="221" t="s">
        <v>3337</v>
      </c>
      <c r="W1361" s="221" t="s">
        <v>3338</v>
      </c>
      <c r="X1361" s="221"/>
      <c r="Y1361" s="227"/>
      <c r="Z1361" s="227" t="str">
        <f>P1361</f>
        <v>Bandulan RW 08 Sukun</v>
      </c>
      <c r="AA1361" s="276" t="e">
        <f>VLOOKUP(Logfile_S[[#This Row],[DO number]],DO_DB!G:I,3,0)</f>
        <v>#N/A</v>
      </c>
      <c r="AB1361" s="331" t="e">
        <f>EXACT(Logfile_S[[#This Row],[date pick]],Logfile_S[[#This Row],[Date]])</f>
        <v>#N/A</v>
      </c>
      <c r="AC13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62" spans="1:29" ht="14.5">
      <c r="A1362" s="220" t="str">
        <f>TEXT(ROW(A1362)-ROW($A$4),"000")</f>
        <v>1358</v>
      </c>
      <c r="B1362" s="221"/>
      <c r="C1362" s="221" t="s">
        <v>49</v>
      </c>
      <c r="D1362" s="221" t="s">
        <v>3923</v>
      </c>
      <c r="E1362" s="221" t="s">
        <v>3295</v>
      </c>
      <c r="F1362" s="221" t="s">
        <v>3299</v>
      </c>
      <c r="G1362" s="222">
        <v>45337</v>
      </c>
      <c r="H1362" s="223">
        <v>0.46111111111111108</v>
      </c>
      <c r="I1362" s="221" t="s">
        <v>4916</v>
      </c>
      <c r="J1362" s="221" t="s">
        <v>3023</v>
      </c>
      <c r="K1362" s="224" t="s">
        <v>3069</v>
      </c>
      <c r="L1362" s="225" t="str">
        <f>VLOOKUP(Logfile_S[[#This Row],[Material Name]],Sheet2!B:C,2,0)</f>
        <v>ZTE1001</v>
      </c>
      <c r="M1362" s="225" t="str">
        <f>_xlfn.XLOOKUP(Logfile_S[[#This Row],[Material Name]],Sum_WH!E:E,Sum_WH!F:F,"",0)</f>
        <v>Pcs</v>
      </c>
      <c r="N1362" s="221">
        <v>15</v>
      </c>
      <c r="O1362" s="221" t="s">
        <v>911</v>
      </c>
      <c r="P1362" s="221" t="s">
        <v>912</v>
      </c>
      <c r="Q1362" s="221"/>
      <c r="R1362" s="221"/>
      <c r="S1362" s="221"/>
      <c r="T1362" s="221" t="s">
        <v>3258</v>
      </c>
      <c r="U1362" s="221" t="s">
        <v>3228</v>
      </c>
      <c r="V1362" s="221" t="s">
        <v>3337</v>
      </c>
      <c r="W1362" s="221" t="s">
        <v>3338</v>
      </c>
      <c r="X1362" s="221"/>
      <c r="Y1362" s="227"/>
      <c r="Z1362" s="227" t="str">
        <f>P1362</f>
        <v>Bandulan RW 08 Sukun</v>
      </c>
      <c r="AA1362" s="276" t="e">
        <f>VLOOKUP(Logfile_S[[#This Row],[DO number]],DO_DB!G:I,3,0)</f>
        <v>#N/A</v>
      </c>
      <c r="AB1362" s="331" t="e">
        <f>EXACT(Logfile_S[[#This Row],[date pick]],Logfile_S[[#This Row],[Date]])</f>
        <v>#N/A</v>
      </c>
      <c r="AC13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63" spans="1:29" ht="14.5">
      <c r="A1363" s="220" t="str">
        <f>TEXT(ROW(A1363)-ROW($A$4),"000")</f>
        <v>1359</v>
      </c>
      <c r="B1363" s="221"/>
      <c r="C1363" s="221" t="s">
        <v>49</v>
      </c>
      <c r="D1363" s="221" t="s">
        <v>3923</v>
      </c>
      <c r="E1363" s="221" t="s">
        <v>3295</v>
      </c>
      <c r="F1363" s="221" t="s">
        <v>3299</v>
      </c>
      <c r="G1363" s="222">
        <v>45337</v>
      </c>
      <c r="H1363" s="223">
        <v>0.46111111111111108</v>
      </c>
      <c r="I1363" s="221" t="s">
        <v>4916</v>
      </c>
      <c r="J1363" s="221" t="s">
        <v>3024</v>
      </c>
      <c r="K1363" s="224" t="s">
        <v>3089</v>
      </c>
      <c r="L1363" s="225" t="str">
        <f>VLOOKUP(Logfile_S[[#This Row],[Material Name]],Sheet2!B:C,2,0)</f>
        <v>GCI1003</v>
      </c>
      <c r="M1363" s="225" t="str">
        <f>_xlfn.XLOOKUP(Logfile_S[[#This Row],[Material Name]],Sum_WH!E:E,Sum_WH!F:F,"",0)</f>
        <v>Pcs</v>
      </c>
      <c r="N1363" s="221">
        <v>60</v>
      </c>
      <c r="O1363" s="221" t="s">
        <v>911</v>
      </c>
      <c r="P1363" s="221" t="s">
        <v>912</v>
      </c>
      <c r="Q1363" s="221"/>
      <c r="R1363" s="221"/>
      <c r="S1363" s="221"/>
      <c r="T1363" s="221" t="s">
        <v>3258</v>
      </c>
      <c r="U1363" s="221" t="s">
        <v>3228</v>
      </c>
      <c r="V1363" s="221" t="s">
        <v>3337</v>
      </c>
      <c r="W1363" s="221" t="s">
        <v>3338</v>
      </c>
      <c r="X1363" s="221"/>
      <c r="Y1363" s="227"/>
      <c r="Z1363" s="227" t="str">
        <f>P1363</f>
        <v>Bandulan RW 08 Sukun</v>
      </c>
      <c r="AA1363" s="276" t="e">
        <f>VLOOKUP(Logfile_S[[#This Row],[DO number]],DO_DB!G:I,3,0)</f>
        <v>#N/A</v>
      </c>
      <c r="AB1363" s="331" t="e">
        <f>EXACT(Logfile_S[[#This Row],[date pick]],Logfile_S[[#This Row],[Date]])</f>
        <v>#N/A</v>
      </c>
      <c r="AC13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64" spans="1:29" ht="14.5">
      <c r="A1364" s="220" t="str">
        <f>TEXT(ROW(A1364)-ROW($A$4),"000")</f>
        <v>1360</v>
      </c>
      <c r="B1364" s="221"/>
      <c r="C1364" s="221" t="s">
        <v>49</v>
      </c>
      <c r="D1364" s="221" t="s">
        <v>3923</v>
      </c>
      <c r="E1364" s="221" t="s">
        <v>3295</v>
      </c>
      <c r="F1364" s="221" t="s">
        <v>3299</v>
      </c>
      <c r="G1364" s="222">
        <v>45337</v>
      </c>
      <c r="H1364" s="223">
        <v>0.46111111111111108</v>
      </c>
      <c r="I1364" s="221" t="s">
        <v>4916</v>
      </c>
      <c r="J1364" s="221" t="s">
        <v>3024</v>
      </c>
      <c r="K1364" s="224" t="s">
        <v>3090</v>
      </c>
      <c r="L1364" s="225" t="str">
        <f>VLOOKUP(Logfile_S[[#This Row],[Material Name]],Sheet2!B:C,2,0)</f>
        <v>GCI1004</v>
      </c>
      <c r="M1364" s="225" t="str">
        <f>_xlfn.XLOOKUP(Logfile_S[[#This Row],[Material Name]],Sum_WH!E:E,Sum_WH!F:F,"",0)</f>
        <v>Pcs</v>
      </c>
      <c r="N1364" s="221">
        <v>7</v>
      </c>
      <c r="O1364" s="221" t="s">
        <v>911</v>
      </c>
      <c r="P1364" s="221" t="s">
        <v>912</v>
      </c>
      <c r="Q1364" s="221"/>
      <c r="R1364" s="221"/>
      <c r="S1364" s="221"/>
      <c r="T1364" s="221" t="s">
        <v>3258</v>
      </c>
      <c r="U1364" s="221" t="s">
        <v>3228</v>
      </c>
      <c r="V1364" s="221" t="s">
        <v>3337</v>
      </c>
      <c r="W1364" s="221" t="s">
        <v>3338</v>
      </c>
      <c r="X1364" s="221"/>
      <c r="Y1364" s="227"/>
      <c r="Z1364" s="227" t="str">
        <f>P1364</f>
        <v>Bandulan RW 08 Sukun</v>
      </c>
      <c r="AA1364" s="276" t="e">
        <f>VLOOKUP(Logfile_S[[#This Row],[DO number]],DO_DB!G:I,3,0)</f>
        <v>#N/A</v>
      </c>
      <c r="AB1364" s="331" t="e">
        <f>EXACT(Logfile_S[[#This Row],[date pick]],Logfile_S[[#This Row],[Date]])</f>
        <v>#N/A</v>
      </c>
      <c r="AC13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65" spans="1:29" ht="14.5">
      <c r="A1365" s="220" t="str">
        <f>TEXT(ROW(A1365)-ROW($A$4),"000")</f>
        <v>1361</v>
      </c>
      <c r="B1365" s="221"/>
      <c r="C1365" s="221" t="s">
        <v>49</v>
      </c>
      <c r="D1365" s="221" t="s">
        <v>3927</v>
      </c>
      <c r="E1365" s="221" t="s">
        <v>3295</v>
      </c>
      <c r="F1365" s="221" t="s">
        <v>3299</v>
      </c>
      <c r="G1365" s="222">
        <v>45338</v>
      </c>
      <c r="H1365" s="223">
        <v>0.54236111111111118</v>
      </c>
      <c r="I1365" s="221" t="s">
        <v>4916</v>
      </c>
      <c r="J1365" s="221" t="s">
        <v>3023</v>
      </c>
      <c r="K1365" s="224" t="s">
        <v>3073</v>
      </c>
      <c r="L1365" s="225" t="str">
        <f>VLOOKUP(Logfile_S[[#This Row],[Material Name]],Sheet2!B:C,2,0)</f>
        <v>ZTE2001</v>
      </c>
      <c r="M1365" s="225" t="str">
        <f>_xlfn.XLOOKUP(Logfile_S[[#This Row],[Material Name]],Sum_WH!E:E,Sum_WH!F:F,"",0)</f>
        <v>Meter</v>
      </c>
      <c r="N1365" s="221">
        <v>3000</v>
      </c>
      <c r="O1365" s="221" t="s">
        <v>911</v>
      </c>
      <c r="P1365" s="221" t="s">
        <v>912</v>
      </c>
      <c r="Q1365" s="221"/>
      <c r="R1365" s="221"/>
      <c r="S1365" s="221"/>
      <c r="T1365" s="221" t="s">
        <v>3258</v>
      </c>
      <c r="U1365" s="221" t="s">
        <v>3228</v>
      </c>
      <c r="V1365" s="221" t="s">
        <v>3337</v>
      </c>
      <c r="W1365" s="221" t="s">
        <v>3338</v>
      </c>
      <c r="X1365" s="221"/>
      <c r="Y1365" s="227"/>
      <c r="Z1365" s="227" t="str">
        <f>P1365</f>
        <v>Bandulan RW 08 Sukun</v>
      </c>
      <c r="AA1365" s="276" t="e">
        <f>VLOOKUP(Logfile_S[[#This Row],[DO number]],DO_DB!G:I,3,0)</f>
        <v>#N/A</v>
      </c>
      <c r="AB1365" s="331" t="e">
        <f>EXACT(Logfile_S[[#This Row],[date pick]],Logfile_S[[#This Row],[Date]])</f>
        <v>#N/A</v>
      </c>
      <c r="AC13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66" spans="1:29" ht="14.5">
      <c r="A1366" s="220" t="str">
        <f>TEXT(ROW(A1366)-ROW($A$4),"000")</f>
        <v>1362</v>
      </c>
      <c r="B1366" s="221"/>
      <c r="C1366" s="221" t="s">
        <v>48</v>
      </c>
      <c r="D1366" s="221" t="s">
        <v>3926</v>
      </c>
      <c r="E1366" s="221" t="s">
        <v>3295</v>
      </c>
      <c r="F1366" s="221" t="s">
        <v>3299</v>
      </c>
      <c r="G1366" s="222">
        <v>45338</v>
      </c>
      <c r="H1366" s="223">
        <v>15.291666666666666</v>
      </c>
      <c r="I1366" s="221" t="s">
        <v>3017</v>
      </c>
      <c r="J1366" s="221" t="s">
        <v>3023</v>
      </c>
      <c r="K1366" s="224" t="s">
        <v>3070</v>
      </c>
      <c r="L1366" s="225" t="str">
        <f>VLOOKUP(Logfile_S[[#This Row],[Material Name]],Sheet2!B:C,2,0)</f>
        <v>ZTE1002</v>
      </c>
      <c r="M1366" s="225" t="str">
        <f>_xlfn.XLOOKUP(Logfile_S[[#This Row],[Material Name]],Sum_WH!E:E,Sum_WH!F:F,"",0)</f>
        <v>Pcs</v>
      </c>
      <c r="N1366" s="221">
        <v>1</v>
      </c>
      <c r="O1366" s="221" t="s">
        <v>911</v>
      </c>
      <c r="P1366" s="221" t="s">
        <v>912</v>
      </c>
      <c r="Q1366" s="221" t="s">
        <v>3359</v>
      </c>
      <c r="R1366" s="221">
        <v>0</v>
      </c>
      <c r="S1366" s="221"/>
      <c r="T1366" s="221"/>
      <c r="U1366" s="221"/>
      <c r="V1366" s="221"/>
      <c r="W1366" s="221"/>
      <c r="X1366" s="221"/>
      <c r="Y1366" s="227"/>
      <c r="Z1366" s="227" t="str">
        <f>P1366</f>
        <v>Bandulan RW 08 Sukun</v>
      </c>
      <c r="AA1366" s="276" t="e">
        <f>VLOOKUP(Logfile_S[[#This Row],[DO number]],DO_DB!G:I,3,0)</f>
        <v>#N/A</v>
      </c>
      <c r="AB1366" s="331" t="e">
        <f>EXACT(Logfile_S[[#This Row],[date pick]],Logfile_S[[#This Row],[Date]])</f>
        <v>#N/A</v>
      </c>
      <c r="AC13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67" spans="1:29" ht="14.5">
      <c r="A1367" s="220" t="str">
        <f>TEXT(ROW(A1367)-ROW($A$4),"000")</f>
        <v>1363</v>
      </c>
      <c r="B1367" s="221"/>
      <c r="C1367" s="221" t="s">
        <v>48</v>
      </c>
      <c r="D1367" s="221" t="s">
        <v>3931</v>
      </c>
      <c r="E1367" s="221" t="s">
        <v>3295</v>
      </c>
      <c r="F1367" s="221" t="s">
        <v>3299</v>
      </c>
      <c r="G1367" s="222">
        <v>45341</v>
      </c>
      <c r="H1367" s="223">
        <v>15.291666666666666</v>
      </c>
      <c r="I1367" s="221" t="s">
        <v>3017</v>
      </c>
      <c r="J1367" s="221" t="s">
        <v>3024</v>
      </c>
      <c r="K1367" s="224" t="s">
        <v>5137</v>
      </c>
      <c r="L1367" s="225" t="str">
        <f>VLOOKUP(Logfile_S[[#This Row],[Material Name]],Sheet2!B:C,2,0)</f>
        <v>GCI1009</v>
      </c>
      <c r="M1367" s="225" t="str">
        <f>_xlfn.XLOOKUP(Logfile_S[[#This Row],[Material Name]],Sum_WH!E:E,Sum_WH!F:F,"",0)</f>
        <v>Pcs</v>
      </c>
      <c r="N1367" s="221">
        <v>50</v>
      </c>
      <c r="O1367" s="221" t="s">
        <v>911</v>
      </c>
      <c r="P1367" s="221" t="s">
        <v>912</v>
      </c>
      <c r="Q1367" s="221" t="s">
        <v>3359</v>
      </c>
      <c r="R1367" s="221">
        <v>0</v>
      </c>
      <c r="S1367" s="221"/>
      <c r="T1367" s="221"/>
      <c r="U1367" s="221"/>
      <c r="V1367" s="221"/>
      <c r="W1367" s="221"/>
      <c r="X1367" s="221"/>
      <c r="Y1367" s="227"/>
      <c r="Z1367" s="227" t="str">
        <f>P1367</f>
        <v>Bandulan RW 08 Sukun</v>
      </c>
      <c r="AA1367" s="276" t="e">
        <f>VLOOKUP(Logfile_S[[#This Row],[DO number]],DO_DB!G:I,3,0)</f>
        <v>#N/A</v>
      </c>
      <c r="AB1367" s="331" t="e">
        <f>EXACT(Logfile_S[[#This Row],[date pick]],Logfile_S[[#This Row],[Date]])</f>
        <v>#N/A</v>
      </c>
      <c r="AC13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68" spans="1:29" ht="14.5">
      <c r="A1368" s="220" t="str">
        <f>TEXT(ROW(A1368)-ROW($A$4),"000")</f>
        <v>1364</v>
      </c>
      <c r="B1368" s="221"/>
      <c r="C1368" s="221" t="s">
        <v>49</v>
      </c>
      <c r="D1368" s="221" t="s">
        <v>3930</v>
      </c>
      <c r="E1368" s="221" t="s">
        <v>3295</v>
      </c>
      <c r="F1368" s="221" t="s">
        <v>3299</v>
      </c>
      <c r="G1368" s="222">
        <v>45341</v>
      </c>
      <c r="H1368" s="223">
        <v>0.68958333333333333</v>
      </c>
      <c r="I1368" s="221" t="s">
        <v>4916</v>
      </c>
      <c r="J1368" s="221" t="s">
        <v>3023</v>
      </c>
      <c r="K1368" s="224" t="s">
        <v>13</v>
      </c>
      <c r="L1368" s="225" t="str">
        <f>VLOOKUP(Logfile_S[[#This Row],[Material Name]],Sheet2!B:C,2,0)</f>
        <v>ZTE2008</v>
      </c>
      <c r="M1368" s="225" t="str">
        <f>_xlfn.XLOOKUP(Logfile_S[[#This Row],[Material Name]],Sum_WH!E:E,Sum_WH!F:F,"",0)</f>
        <v>Pcs</v>
      </c>
      <c r="N1368" s="221">
        <v>7</v>
      </c>
      <c r="O1368" s="221" t="s">
        <v>911</v>
      </c>
      <c r="P1368" s="221" t="s">
        <v>912</v>
      </c>
      <c r="Q1368" s="221"/>
      <c r="R1368" s="221"/>
      <c r="S1368" s="221"/>
      <c r="T1368" s="221" t="s">
        <v>3231</v>
      </c>
      <c r="U1368" s="221" t="s">
        <v>3228</v>
      </c>
      <c r="V1368" s="221" t="s">
        <v>3232</v>
      </c>
      <c r="W1368" s="221" t="s">
        <v>3246</v>
      </c>
      <c r="X1368" s="221"/>
      <c r="Y1368" s="227"/>
      <c r="Z1368" s="227" t="str">
        <f>P1368</f>
        <v>Bandulan RW 08 Sukun</v>
      </c>
      <c r="AA1368" s="276" t="e">
        <f>VLOOKUP(Logfile_S[[#This Row],[DO number]],DO_DB!G:I,3,0)</f>
        <v>#N/A</v>
      </c>
      <c r="AB1368" s="331" t="e">
        <f>EXACT(Logfile_S[[#This Row],[date pick]],Logfile_S[[#This Row],[Date]])</f>
        <v>#N/A</v>
      </c>
      <c r="AC13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69" spans="1:29" ht="14.5">
      <c r="A1369" s="220" t="str">
        <f>TEXT(ROW(A1369)-ROW($A$4),"000")</f>
        <v>1365</v>
      </c>
      <c r="B1369" s="221"/>
      <c r="C1369" s="221" t="s">
        <v>49</v>
      </c>
      <c r="D1369" s="221" t="s">
        <v>3930</v>
      </c>
      <c r="E1369" s="221" t="s">
        <v>3295</v>
      </c>
      <c r="F1369" s="221" t="s">
        <v>3299</v>
      </c>
      <c r="G1369" s="222">
        <v>45341</v>
      </c>
      <c r="H1369" s="223">
        <v>0.68958333333333333</v>
      </c>
      <c r="I1369" s="221" t="s">
        <v>4916</v>
      </c>
      <c r="J1369" s="221" t="s">
        <v>3023</v>
      </c>
      <c r="K1369" s="224" t="s">
        <v>14</v>
      </c>
      <c r="L1369" s="225" t="str">
        <f>VLOOKUP(Logfile_S[[#This Row],[Material Name]],Sheet2!B:C,2,0)</f>
        <v>ZTE2005</v>
      </c>
      <c r="M1369" s="225" t="str">
        <f>_xlfn.XLOOKUP(Logfile_S[[#This Row],[Material Name]],Sum_WH!E:E,Sum_WH!F:F,"",0)</f>
        <v>Pcs</v>
      </c>
      <c r="N1369" s="221">
        <v>1</v>
      </c>
      <c r="O1369" s="221" t="s">
        <v>911</v>
      </c>
      <c r="P1369" s="221" t="s">
        <v>912</v>
      </c>
      <c r="Q1369" s="221"/>
      <c r="R1369" s="221"/>
      <c r="S1369" s="221"/>
      <c r="T1369" s="221" t="s">
        <v>3231</v>
      </c>
      <c r="U1369" s="221" t="s">
        <v>3228</v>
      </c>
      <c r="V1369" s="221" t="s">
        <v>3232</v>
      </c>
      <c r="W1369" s="221" t="s">
        <v>3246</v>
      </c>
      <c r="X1369" s="221"/>
      <c r="Y1369" s="227"/>
      <c r="Z1369" s="227" t="str">
        <f>P1369</f>
        <v>Bandulan RW 08 Sukun</v>
      </c>
      <c r="AA1369" s="276" t="e">
        <f>VLOOKUP(Logfile_S[[#This Row],[DO number]],DO_DB!G:I,3,0)</f>
        <v>#N/A</v>
      </c>
      <c r="AB1369" s="331" t="e">
        <f>EXACT(Logfile_S[[#This Row],[date pick]],Logfile_S[[#This Row],[Date]])</f>
        <v>#N/A</v>
      </c>
      <c r="AC13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70" spans="1:29" ht="14.5">
      <c r="A1370" s="220" t="str">
        <f>TEXT(ROW(A1370)-ROW($A$4),"000")</f>
        <v>1366</v>
      </c>
      <c r="B1370" s="221"/>
      <c r="C1370" s="221" t="s">
        <v>49</v>
      </c>
      <c r="D1370" s="221" t="s">
        <v>3949</v>
      </c>
      <c r="E1370" s="221" t="s">
        <v>3295</v>
      </c>
      <c r="F1370" s="221" t="s">
        <v>3299</v>
      </c>
      <c r="G1370" s="222">
        <v>45346</v>
      </c>
      <c r="H1370" s="223">
        <v>0.63541666666666663</v>
      </c>
      <c r="I1370" s="221" t="s">
        <v>4916</v>
      </c>
      <c r="J1370" s="221" t="s">
        <v>3024</v>
      </c>
      <c r="K1370" s="224" t="s">
        <v>3087</v>
      </c>
      <c r="L1370" s="225" t="str">
        <f>VLOOKUP(Logfile_S[[#This Row],[Material Name]],Sheet2!B:C,2,0)</f>
        <v>GCI1001</v>
      </c>
      <c r="M1370" s="225" t="str">
        <f>_xlfn.XLOOKUP(Logfile_S[[#This Row],[Material Name]],Sum_WH!E:E,Sum_WH!F:F,"",0)</f>
        <v>Pcs</v>
      </c>
      <c r="N1370" s="221">
        <v>3</v>
      </c>
      <c r="O1370" s="221" t="s">
        <v>911</v>
      </c>
      <c r="P1370" s="221" t="s">
        <v>912</v>
      </c>
      <c r="Q1370" s="221"/>
      <c r="R1370" s="221"/>
      <c r="S1370" s="221"/>
      <c r="T1370" s="221" t="s">
        <v>3258</v>
      </c>
      <c r="U1370" s="221" t="s">
        <v>3228</v>
      </c>
      <c r="V1370" s="221" t="s">
        <v>3337</v>
      </c>
      <c r="W1370" s="221" t="s">
        <v>3338</v>
      </c>
      <c r="X1370" s="221"/>
      <c r="Y1370" s="227"/>
      <c r="Z1370" s="227" t="str">
        <f>P1370</f>
        <v>Bandulan RW 08 Sukun</v>
      </c>
      <c r="AA1370" s="276" t="e">
        <f>VLOOKUP(Logfile_S[[#This Row],[DO number]],DO_DB!G:I,3,0)</f>
        <v>#N/A</v>
      </c>
      <c r="AB1370" s="331" t="e">
        <f>EXACT(Logfile_S[[#This Row],[date pick]],Logfile_S[[#This Row],[Date]])</f>
        <v>#N/A</v>
      </c>
      <c r="AC13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71" spans="1:29" ht="14.5">
      <c r="A1371" s="220" t="str">
        <f>TEXT(ROW(A1371)-ROW($A$4),"000")</f>
        <v>1367</v>
      </c>
      <c r="B1371" s="221"/>
      <c r="C1371" s="221" t="s">
        <v>49</v>
      </c>
      <c r="D1371" s="221" t="s">
        <v>3977</v>
      </c>
      <c r="E1371" s="221" t="s">
        <v>3295</v>
      </c>
      <c r="F1371" s="221" t="s">
        <v>3299</v>
      </c>
      <c r="G1371" s="222">
        <v>45363</v>
      </c>
      <c r="H1371" s="223">
        <v>0.42499999999999999</v>
      </c>
      <c r="I1371" s="221" t="s">
        <v>4916</v>
      </c>
      <c r="J1371" s="221" t="s">
        <v>3023</v>
      </c>
      <c r="K1371" s="224" t="s">
        <v>3070</v>
      </c>
      <c r="L1371" s="225" t="str">
        <f>VLOOKUP(Logfile_S[[#This Row],[Material Name]],Sheet2!B:C,2,0)</f>
        <v>ZTE1002</v>
      </c>
      <c r="M1371" s="225" t="str">
        <f>_xlfn.XLOOKUP(Logfile_S[[#This Row],[Material Name]],Sum_WH!E:E,Sum_WH!F:F,"",0)</f>
        <v>Pcs</v>
      </c>
      <c r="N1371" s="221">
        <v>8</v>
      </c>
      <c r="O1371" s="221" t="s">
        <v>1087</v>
      </c>
      <c r="P1371" s="221" t="s">
        <v>1088</v>
      </c>
      <c r="Q1371" s="221"/>
      <c r="R1371" s="221"/>
      <c r="S1371" s="221"/>
      <c r="T1371" s="221" t="s">
        <v>3258</v>
      </c>
      <c r="U1371" s="221" t="s">
        <v>3228</v>
      </c>
      <c r="V1371" s="221" t="s">
        <v>3337</v>
      </c>
      <c r="W1371" s="221" t="s">
        <v>3338</v>
      </c>
      <c r="X1371" s="221"/>
      <c r="Y1371" s="227"/>
      <c r="Z1371" s="227" t="str">
        <f>P1371</f>
        <v>Dalisodo RW 01 Wagir</v>
      </c>
      <c r="AA1371" s="276" t="e">
        <f>VLOOKUP(Logfile_S[[#This Row],[DO number]],DO_DB!G:I,3,0)</f>
        <v>#N/A</v>
      </c>
      <c r="AB1371" s="331" t="e">
        <f>EXACT(Logfile_S[[#This Row],[date pick]],Logfile_S[[#This Row],[Date]])</f>
        <v>#N/A</v>
      </c>
      <c r="AC13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72" spans="1:29" ht="14.5">
      <c r="A1372" s="220" t="str">
        <f>TEXT(ROW(A1372)-ROW($A$4),"000")</f>
        <v>1368</v>
      </c>
      <c r="B1372" s="221"/>
      <c r="C1372" s="221" t="s">
        <v>49</v>
      </c>
      <c r="D1372" s="221" t="s">
        <v>3977</v>
      </c>
      <c r="E1372" s="221" t="s">
        <v>3295</v>
      </c>
      <c r="F1372" s="221" t="s">
        <v>3299</v>
      </c>
      <c r="G1372" s="222">
        <v>45363</v>
      </c>
      <c r="H1372" s="223">
        <v>0.42499999999999999</v>
      </c>
      <c r="I1372" s="221" t="s">
        <v>4916</v>
      </c>
      <c r="J1372" s="221" t="s">
        <v>3023</v>
      </c>
      <c r="K1372" s="224" t="s">
        <v>3069</v>
      </c>
      <c r="L1372" s="225" t="str">
        <f>VLOOKUP(Logfile_S[[#This Row],[Material Name]],Sheet2!B:C,2,0)</f>
        <v>ZTE1001</v>
      </c>
      <c r="M1372" s="225" t="str">
        <f>_xlfn.XLOOKUP(Logfile_S[[#This Row],[Material Name]],Sum_WH!E:E,Sum_WH!F:F,"",0)</f>
        <v>Pcs</v>
      </c>
      <c r="N1372" s="221">
        <v>131</v>
      </c>
      <c r="O1372" s="221" t="s">
        <v>1087</v>
      </c>
      <c r="P1372" s="221" t="s">
        <v>1088</v>
      </c>
      <c r="Q1372" s="221"/>
      <c r="R1372" s="221"/>
      <c r="S1372" s="221"/>
      <c r="T1372" s="221" t="s">
        <v>3258</v>
      </c>
      <c r="U1372" s="221" t="s">
        <v>3228</v>
      </c>
      <c r="V1372" s="221" t="s">
        <v>3337</v>
      </c>
      <c r="W1372" s="221" t="s">
        <v>3338</v>
      </c>
      <c r="X1372" s="221"/>
      <c r="Y1372" s="227"/>
      <c r="Z1372" s="227" t="str">
        <f>P1372</f>
        <v>Dalisodo RW 01 Wagir</v>
      </c>
      <c r="AA1372" s="276" t="e">
        <f>VLOOKUP(Logfile_S[[#This Row],[DO number]],DO_DB!G:I,3,0)</f>
        <v>#N/A</v>
      </c>
      <c r="AB1372" s="331" t="e">
        <f>EXACT(Logfile_S[[#This Row],[date pick]],Logfile_S[[#This Row],[Date]])</f>
        <v>#N/A</v>
      </c>
      <c r="AC13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73" spans="1:29" ht="14.5">
      <c r="A1373" s="220" t="str">
        <f>TEXT(ROW(A1373)-ROW($A$4),"000")</f>
        <v>1369</v>
      </c>
      <c r="B1373" s="221"/>
      <c r="C1373" s="221" t="s">
        <v>49</v>
      </c>
      <c r="D1373" s="221" t="s">
        <v>3978</v>
      </c>
      <c r="E1373" s="221" t="s">
        <v>3295</v>
      </c>
      <c r="F1373" s="221" t="s">
        <v>3299</v>
      </c>
      <c r="G1373" s="222">
        <v>45366</v>
      </c>
      <c r="H1373" s="223">
        <v>0.71666666666666667</v>
      </c>
      <c r="I1373" s="221" t="s">
        <v>4916</v>
      </c>
      <c r="J1373" s="221" t="s">
        <v>3023</v>
      </c>
      <c r="K1373" s="224" t="s">
        <v>3075</v>
      </c>
      <c r="L1373" s="225" t="str">
        <f>VLOOKUP(Logfile_S[[#This Row],[Material Name]],Sheet2!B:C,2,0)</f>
        <v>ZTE2003</v>
      </c>
      <c r="M1373" s="225" t="str">
        <f>_xlfn.XLOOKUP(Logfile_S[[#This Row],[Material Name]],Sum_WH!E:E,Sum_WH!F:F,"",0)</f>
        <v>Meter</v>
      </c>
      <c r="N1373" s="221">
        <v>3000</v>
      </c>
      <c r="O1373" s="221" t="s">
        <v>1087</v>
      </c>
      <c r="P1373" s="221" t="s">
        <v>1088</v>
      </c>
      <c r="Q1373" s="221"/>
      <c r="R1373" s="221"/>
      <c r="S1373" s="221"/>
      <c r="T1373" s="221" t="s">
        <v>3258</v>
      </c>
      <c r="U1373" s="221" t="s">
        <v>3228</v>
      </c>
      <c r="V1373" s="221" t="s">
        <v>3337</v>
      </c>
      <c r="W1373" s="221" t="s">
        <v>3338</v>
      </c>
      <c r="X1373" s="221">
        <v>320</v>
      </c>
      <c r="Y1373" s="227"/>
      <c r="Z1373" s="227" t="str">
        <f>P1373</f>
        <v>Dalisodo RW 01 Wagir</v>
      </c>
      <c r="AA1373" s="276" t="e">
        <f>VLOOKUP(Logfile_S[[#This Row],[DO number]],DO_DB!G:I,3,0)</f>
        <v>#N/A</v>
      </c>
      <c r="AB1373" s="331" t="e">
        <f>EXACT(Logfile_S[[#This Row],[date pick]],Logfile_S[[#This Row],[Date]])</f>
        <v>#N/A</v>
      </c>
      <c r="AC13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74" spans="1:29" ht="14.5">
      <c r="A1374" s="220" t="str">
        <f>TEXT(ROW(A1374)-ROW($A$4),"000")</f>
        <v>1370</v>
      </c>
      <c r="B1374" s="221"/>
      <c r="C1374" s="221" t="s">
        <v>49</v>
      </c>
      <c r="D1374" s="221" t="s">
        <v>3978</v>
      </c>
      <c r="E1374" s="221" t="s">
        <v>3295</v>
      </c>
      <c r="F1374" s="221" t="s">
        <v>3299</v>
      </c>
      <c r="G1374" s="222">
        <v>45366</v>
      </c>
      <c r="H1374" s="223">
        <v>0.71666666666666667</v>
      </c>
      <c r="I1374" s="221" t="s">
        <v>4916</v>
      </c>
      <c r="J1374" s="221" t="s">
        <v>3024</v>
      </c>
      <c r="K1374" s="224" t="s">
        <v>3091</v>
      </c>
      <c r="L1374" s="225" t="str">
        <f>VLOOKUP(Logfile_S[[#This Row],[Material Name]],Sheet2!B:C,2,0)</f>
        <v>GCI1005</v>
      </c>
      <c r="M1374" s="225" t="str">
        <f>_xlfn.XLOOKUP(Logfile_S[[#This Row],[Material Name]],Sum_WH!E:E,Sum_WH!F:F,"",0)</f>
        <v>Pcs</v>
      </c>
      <c r="N1374" s="221">
        <v>42</v>
      </c>
      <c r="O1374" s="221" t="s">
        <v>1087</v>
      </c>
      <c r="P1374" s="221" t="s">
        <v>1088</v>
      </c>
      <c r="Q1374" s="221"/>
      <c r="R1374" s="221"/>
      <c r="S1374" s="221"/>
      <c r="T1374" s="221" t="s">
        <v>3258</v>
      </c>
      <c r="U1374" s="221" t="s">
        <v>3228</v>
      </c>
      <c r="V1374" s="221" t="s">
        <v>3337</v>
      </c>
      <c r="W1374" s="221" t="s">
        <v>3338</v>
      </c>
      <c r="X1374" s="221"/>
      <c r="Y1374" s="227"/>
      <c r="Z1374" s="227" t="str">
        <f>P1374</f>
        <v>Dalisodo RW 01 Wagir</v>
      </c>
      <c r="AA1374" s="276" t="e">
        <f>VLOOKUP(Logfile_S[[#This Row],[DO number]],DO_DB!G:I,3,0)</f>
        <v>#N/A</v>
      </c>
      <c r="AB1374" s="331" t="e">
        <f>EXACT(Logfile_S[[#This Row],[date pick]],Logfile_S[[#This Row],[Date]])</f>
        <v>#N/A</v>
      </c>
      <c r="AC13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75" spans="1:29" ht="14.5">
      <c r="A1375" s="220" t="str">
        <f>TEXT(ROW(A1375)-ROW($A$4),"000")</f>
        <v>1371</v>
      </c>
      <c r="B1375" s="221"/>
      <c r="C1375" s="221" t="s">
        <v>49</v>
      </c>
      <c r="D1375" s="221" t="s">
        <v>3978</v>
      </c>
      <c r="E1375" s="221" t="s">
        <v>3295</v>
      </c>
      <c r="F1375" s="221" t="s">
        <v>3299</v>
      </c>
      <c r="G1375" s="222">
        <v>45366</v>
      </c>
      <c r="H1375" s="223">
        <v>0.71666666666666667</v>
      </c>
      <c r="I1375" s="221" t="s">
        <v>4916</v>
      </c>
      <c r="J1375" s="221" t="s">
        <v>3024</v>
      </c>
      <c r="K1375" s="224" t="s">
        <v>5137</v>
      </c>
      <c r="L1375" s="225" t="str">
        <f>VLOOKUP(Logfile_S[[#This Row],[Material Name]],Sheet2!B:C,2,0)</f>
        <v>GCI1009</v>
      </c>
      <c r="M1375" s="225" t="str">
        <f>_xlfn.XLOOKUP(Logfile_S[[#This Row],[Material Name]],Sum_WH!E:E,Sum_WH!F:F,"",0)</f>
        <v>Pcs</v>
      </c>
      <c r="N1375" s="221">
        <v>50</v>
      </c>
      <c r="O1375" s="221" t="s">
        <v>1087</v>
      </c>
      <c r="P1375" s="221" t="s">
        <v>1088</v>
      </c>
      <c r="Q1375" s="221"/>
      <c r="R1375" s="221"/>
      <c r="S1375" s="221"/>
      <c r="T1375" s="221" t="s">
        <v>3258</v>
      </c>
      <c r="U1375" s="221" t="s">
        <v>3228</v>
      </c>
      <c r="V1375" s="221" t="s">
        <v>3337</v>
      </c>
      <c r="W1375" s="221" t="s">
        <v>3338</v>
      </c>
      <c r="X1375" s="221"/>
      <c r="Y1375" s="227"/>
      <c r="Z1375" s="227" t="str">
        <f>P1375</f>
        <v>Dalisodo RW 01 Wagir</v>
      </c>
      <c r="AA1375" s="276" t="e">
        <f>VLOOKUP(Logfile_S[[#This Row],[DO number]],DO_DB!G:I,3,0)</f>
        <v>#N/A</v>
      </c>
      <c r="AB1375" s="331" t="e">
        <f>EXACT(Logfile_S[[#This Row],[date pick]],Logfile_S[[#This Row],[Date]])</f>
        <v>#N/A</v>
      </c>
      <c r="AC13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76" spans="1:29" ht="14.5">
      <c r="A1376" s="220" t="str">
        <f>TEXT(ROW(A1376)-ROW($A$4),"000")</f>
        <v>1372</v>
      </c>
      <c r="B1376" s="221"/>
      <c r="C1376" s="221" t="s">
        <v>49</v>
      </c>
      <c r="D1376" s="221" t="s">
        <v>3978</v>
      </c>
      <c r="E1376" s="221" t="s">
        <v>3295</v>
      </c>
      <c r="F1376" s="221" t="s">
        <v>3299</v>
      </c>
      <c r="G1376" s="222">
        <v>45366</v>
      </c>
      <c r="H1376" s="223">
        <v>0.71666666666666667</v>
      </c>
      <c r="I1376" s="221" t="s">
        <v>4916</v>
      </c>
      <c r="J1376" s="221" t="s">
        <v>3023</v>
      </c>
      <c r="K1376" s="224" t="s">
        <v>3069</v>
      </c>
      <c r="L1376" s="225" t="str">
        <f>VLOOKUP(Logfile_S[[#This Row],[Material Name]],Sheet2!B:C,2,0)</f>
        <v>ZTE1001</v>
      </c>
      <c r="M1376" s="225" t="str">
        <f>_xlfn.XLOOKUP(Logfile_S[[#This Row],[Material Name]],Sum_WH!E:E,Sum_WH!F:F,"",0)</f>
        <v>Pcs</v>
      </c>
      <c r="N1376" s="221">
        <v>18</v>
      </c>
      <c r="O1376" s="221" t="s">
        <v>1087</v>
      </c>
      <c r="P1376" s="221" t="s">
        <v>1088</v>
      </c>
      <c r="Q1376" s="221"/>
      <c r="R1376" s="221"/>
      <c r="S1376" s="221"/>
      <c r="T1376" s="221" t="s">
        <v>3258</v>
      </c>
      <c r="U1376" s="221" t="s">
        <v>3228</v>
      </c>
      <c r="V1376" s="221" t="s">
        <v>3337</v>
      </c>
      <c r="W1376" s="221" t="s">
        <v>3338</v>
      </c>
      <c r="X1376" s="221"/>
      <c r="Y1376" s="227"/>
      <c r="Z1376" s="227" t="str">
        <f>P1376</f>
        <v>Dalisodo RW 01 Wagir</v>
      </c>
      <c r="AA1376" s="276" t="e">
        <f>VLOOKUP(Logfile_S[[#This Row],[DO number]],DO_DB!G:I,3,0)</f>
        <v>#N/A</v>
      </c>
      <c r="AB1376" s="331" t="e">
        <f>EXACT(Logfile_S[[#This Row],[date pick]],Logfile_S[[#This Row],[Date]])</f>
        <v>#N/A</v>
      </c>
      <c r="AC13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77" spans="1:29" ht="14.5">
      <c r="A1377" s="220" t="str">
        <f>TEXT(ROW(A1377)-ROW($A$4),"000")</f>
        <v>1373</v>
      </c>
      <c r="B1377" s="221"/>
      <c r="C1377" s="221" t="s">
        <v>49</v>
      </c>
      <c r="D1377" s="221" t="s">
        <v>3978</v>
      </c>
      <c r="E1377" s="221" t="s">
        <v>3295</v>
      </c>
      <c r="F1377" s="221" t="s">
        <v>3299</v>
      </c>
      <c r="G1377" s="222">
        <v>45366</v>
      </c>
      <c r="H1377" s="223">
        <v>0.71666666666666667</v>
      </c>
      <c r="I1377" s="221" t="s">
        <v>4916</v>
      </c>
      <c r="J1377" s="221" t="s">
        <v>3024</v>
      </c>
      <c r="K1377" s="224" t="s">
        <v>3094</v>
      </c>
      <c r="L1377" s="225" t="str">
        <f>VLOOKUP(Logfile_S[[#This Row],[Material Name]],Sheet2!B:C,2,0)</f>
        <v>GCI1008</v>
      </c>
      <c r="M1377" s="225" t="str">
        <f>_xlfn.XLOOKUP(Logfile_S[[#This Row],[Material Name]],Sum_WH!E:E,Sum_WH!F:F,"",0)</f>
        <v>Pcs</v>
      </c>
      <c r="N1377" s="221">
        <v>40</v>
      </c>
      <c r="O1377" s="221" t="s">
        <v>1087</v>
      </c>
      <c r="P1377" s="221" t="s">
        <v>1088</v>
      </c>
      <c r="Q1377" s="221"/>
      <c r="R1377" s="221"/>
      <c r="S1377" s="221"/>
      <c r="T1377" s="221" t="s">
        <v>3258</v>
      </c>
      <c r="U1377" s="221" t="s">
        <v>3228</v>
      </c>
      <c r="V1377" s="221" t="s">
        <v>3337</v>
      </c>
      <c r="W1377" s="221" t="s">
        <v>3338</v>
      </c>
      <c r="X1377" s="221"/>
      <c r="Y1377" s="227"/>
      <c r="Z1377" s="227" t="str">
        <f>P1377</f>
        <v>Dalisodo RW 01 Wagir</v>
      </c>
      <c r="AA1377" s="276" t="e">
        <f>VLOOKUP(Logfile_S[[#This Row],[DO number]],DO_DB!G:I,3,0)</f>
        <v>#N/A</v>
      </c>
      <c r="AB1377" s="331" t="e">
        <f>EXACT(Logfile_S[[#This Row],[date pick]],Logfile_S[[#This Row],[Date]])</f>
        <v>#N/A</v>
      </c>
      <c r="AC13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78" spans="1:29" ht="14.5">
      <c r="A1378" s="220" t="str">
        <f>TEXT(ROW(A1378)-ROW($A$4),"000")</f>
        <v>1374</v>
      </c>
      <c r="B1378" s="221"/>
      <c r="C1378" s="221" t="s">
        <v>49</v>
      </c>
      <c r="D1378" s="221" t="s">
        <v>3978</v>
      </c>
      <c r="E1378" s="221" t="s">
        <v>3295</v>
      </c>
      <c r="F1378" s="221" t="s">
        <v>3299</v>
      </c>
      <c r="G1378" s="222">
        <v>45366</v>
      </c>
      <c r="H1378" s="223">
        <v>0.71666666666666667</v>
      </c>
      <c r="I1378" s="221" t="s">
        <v>4916</v>
      </c>
      <c r="J1378" s="221" t="s">
        <v>3024</v>
      </c>
      <c r="K1378" s="224" t="s">
        <v>3089</v>
      </c>
      <c r="L1378" s="225" t="str">
        <f>VLOOKUP(Logfile_S[[#This Row],[Material Name]],Sheet2!B:C,2,0)</f>
        <v>GCI1003</v>
      </c>
      <c r="M1378" s="225" t="str">
        <f>_xlfn.XLOOKUP(Logfile_S[[#This Row],[Material Name]],Sum_WH!E:E,Sum_WH!F:F,"",0)</f>
        <v>Pcs</v>
      </c>
      <c r="N1378" s="221">
        <v>100</v>
      </c>
      <c r="O1378" s="221" t="s">
        <v>1087</v>
      </c>
      <c r="P1378" s="221" t="s">
        <v>1088</v>
      </c>
      <c r="Q1378" s="221"/>
      <c r="R1378" s="221"/>
      <c r="S1378" s="221"/>
      <c r="T1378" s="221" t="s">
        <v>3258</v>
      </c>
      <c r="U1378" s="221" t="s">
        <v>3228</v>
      </c>
      <c r="V1378" s="221" t="s">
        <v>3337</v>
      </c>
      <c r="W1378" s="221" t="s">
        <v>3338</v>
      </c>
      <c r="X1378" s="221"/>
      <c r="Y1378" s="227"/>
      <c r="Z1378" s="227" t="str">
        <f>P1378</f>
        <v>Dalisodo RW 01 Wagir</v>
      </c>
      <c r="AA1378" s="276" t="e">
        <f>VLOOKUP(Logfile_S[[#This Row],[DO number]],DO_DB!G:I,3,0)</f>
        <v>#N/A</v>
      </c>
      <c r="AB1378" s="331" t="e">
        <f>EXACT(Logfile_S[[#This Row],[date pick]],Logfile_S[[#This Row],[Date]])</f>
        <v>#N/A</v>
      </c>
      <c r="AC13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79" spans="1:29" ht="14.5">
      <c r="A1379" s="220" t="str">
        <f>TEXT(ROW(A1379)-ROW($A$4),"000")</f>
        <v>1375</v>
      </c>
      <c r="B1379" s="221"/>
      <c r="C1379" s="221" t="s">
        <v>49</v>
      </c>
      <c r="D1379" s="221" t="s">
        <v>3978</v>
      </c>
      <c r="E1379" s="221" t="s">
        <v>3295</v>
      </c>
      <c r="F1379" s="221" t="s">
        <v>3299</v>
      </c>
      <c r="G1379" s="222">
        <v>45366</v>
      </c>
      <c r="H1379" s="223">
        <v>0.71666666666666667</v>
      </c>
      <c r="I1379" s="221" t="s">
        <v>4916</v>
      </c>
      <c r="J1379" s="221" t="s">
        <v>3024</v>
      </c>
      <c r="K1379" s="224" t="s">
        <v>3090</v>
      </c>
      <c r="L1379" s="225" t="str">
        <f>VLOOKUP(Logfile_S[[#This Row],[Material Name]],Sheet2!B:C,2,0)</f>
        <v>GCI1004</v>
      </c>
      <c r="M1379" s="225" t="str">
        <f>_xlfn.XLOOKUP(Logfile_S[[#This Row],[Material Name]],Sum_WH!E:E,Sum_WH!F:F,"",0)</f>
        <v>Pcs</v>
      </c>
      <c r="N1379" s="221">
        <v>50</v>
      </c>
      <c r="O1379" s="221" t="s">
        <v>1087</v>
      </c>
      <c r="P1379" s="221" t="s">
        <v>1088</v>
      </c>
      <c r="Q1379" s="221"/>
      <c r="R1379" s="221"/>
      <c r="S1379" s="221"/>
      <c r="T1379" s="221" t="s">
        <v>3258</v>
      </c>
      <c r="U1379" s="221" t="s">
        <v>3228</v>
      </c>
      <c r="V1379" s="221" t="s">
        <v>3337</v>
      </c>
      <c r="W1379" s="221" t="s">
        <v>3338</v>
      </c>
      <c r="X1379" s="221"/>
      <c r="Y1379" s="227"/>
      <c r="Z1379" s="227" t="str">
        <f>P1379</f>
        <v>Dalisodo RW 01 Wagir</v>
      </c>
      <c r="AA1379" s="276" t="e">
        <f>VLOOKUP(Logfile_S[[#This Row],[DO number]],DO_DB!G:I,3,0)</f>
        <v>#N/A</v>
      </c>
      <c r="AB1379" s="331" t="e">
        <f>EXACT(Logfile_S[[#This Row],[date pick]],Logfile_S[[#This Row],[Date]])</f>
        <v>#N/A</v>
      </c>
      <c r="AC13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80" spans="1:29" ht="14.5">
      <c r="A1380" s="220" t="str">
        <f>TEXT(ROW(A1380)-ROW($A$4),"000")</f>
        <v>1376</v>
      </c>
      <c r="B1380" s="221"/>
      <c r="C1380" s="221" t="s">
        <v>49</v>
      </c>
      <c r="D1380" s="221" t="s">
        <v>3983</v>
      </c>
      <c r="E1380" s="221" t="s">
        <v>3295</v>
      </c>
      <c r="F1380" s="221" t="s">
        <v>3299</v>
      </c>
      <c r="G1380" s="222">
        <v>45372</v>
      </c>
      <c r="H1380" s="223">
        <v>0.40625</v>
      </c>
      <c r="I1380" s="221" t="s">
        <v>4916</v>
      </c>
      <c r="J1380" s="221" t="s">
        <v>3023</v>
      </c>
      <c r="K1380" s="224" t="s">
        <v>3069</v>
      </c>
      <c r="L1380" s="225" t="str">
        <f>VLOOKUP(Logfile_S[[#This Row],[Material Name]],Sheet2!B:C,2,0)</f>
        <v>ZTE1001</v>
      </c>
      <c r="M1380" s="225" t="str">
        <f>_xlfn.XLOOKUP(Logfile_S[[#This Row],[Material Name]],Sum_WH!E:E,Sum_WH!F:F,"",0)</f>
        <v>Pcs</v>
      </c>
      <c r="N1380" s="221">
        <v>11</v>
      </c>
      <c r="O1380" s="221" t="s">
        <v>1087</v>
      </c>
      <c r="P1380" s="221" t="s">
        <v>1088</v>
      </c>
      <c r="Q1380" s="221"/>
      <c r="R1380" s="221"/>
      <c r="S1380" s="221"/>
      <c r="T1380" s="221" t="s">
        <v>3258</v>
      </c>
      <c r="U1380" s="221" t="s">
        <v>3228</v>
      </c>
      <c r="V1380" s="221" t="s">
        <v>3337</v>
      </c>
      <c r="W1380" s="221" t="s">
        <v>3338</v>
      </c>
      <c r="X1380" s="221"/>
      <c r="Y1380" s="227"/>
      <c r="Z1380" s="227" t="str">
        <f>P1380</f>
        <v>Dalisodo RW 01 Wagir</v>
      </c>
      <c r="AA1380" s="276" t="e">
        <f>VLOOKUP(Logfile_S[[#This Row],[DO number]],DO_DB!G:I,3,0)</f>
        <v>#N/A</v>
      </c>
      <c r="AB1380" s="331" t="e">
        <f>EXACT(Logfile_S[[#This Row],[date pick]],Logfile_S[[#This Row],[Date]])</f>
        <v>#N/A</v>
      </c>
      <c r="AC13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81" spans="1:29" ht="14.5">
      <c r="A1381" s="220" t="str">
        <f>TEXT(ROW(A1381)-ROW($A$4),"000")</f>
        <v>1377</v>
      </c>
      <c r="B1381" s="221"/>
      <c r="C1381" s="221" t="s">
        <v>49</v>
      </c>
      <c r="D1381" s="221" t="s">
        <v>3983</v>
      </c>
      <c r="E1381" s="221" t="s">
        <v>3295</v>
      </c>
      <c r="F1381" s="221" t="s">
        <v>3299</v>
      </c>
      <c r="G1381" s="222">
        <v>45372</v>
      </c>
      <c r="H1381" s="223">
        <v>0.40625</v>
      </c>
      <c r="I1381" s="221" t="s">
        <v>4916</v>
      </c>
      <c r="J1381" s="221" t="s">
        <v>3023</v>
      </c>
      <c r="K1381" s="224" t="s">
        <v>3071</v>
      </c>
      <c r="L1381" s="225" t="str">
        <f>VLOOKUP(Logfile_S[[#This Row],[Material Name]],Sheet2!B:C,2,0)</f>
        <v>ZTE1003</v>
      </c>
      <c r="M1381" s="225" t="str">
        <f>_xlfn.XLOOKUP(Logfile_S[[#This Row],[Material Name]],Sum_WH!E:E,Sum_WH!F:F,"",0)</f>
        <v>Pcs</v>
      </c>
      <c r="N1381" s="221">
        <v>1</v>
      </c>
      <c r="O1381" s="221" t="s">
        <v>1087</v>
      </c>
      <c r="P1381" s="221" t="s">
        <v>1088</v>
      </c>
      <c r="Q1381" s="221"/>
      <c r="R1381" s="221"/>
      <c r="S1381" s="221"/>
      <c r="T1381" s="221" t="s">
        <v>3258</v>
      </c>
      <c r="U1381" s="221" t="s">
        <v>3228</v>
      </c>
      <c r="V1381" s="221" t="s">
        <v>3337</v>
      </c>
      <c r="W1381" s="221" t="s">
        <v>3338</v>
      </c>
      <c r="X1381" s="221"/>
      <c r="Y1381" s="227"/>
      <c r="Z1381" s="227" t="str">
        <f>P1381</f>
        <v>Dalisodo RW 01 Wagir</v>
      </c>
      <c r="AA1381" s="276" t="e">
        <f>VLOOKUP(Logfile_S[[#This Row],[DO number]],DO_DB!G:I,3,0)</f>
        <v>#N/A</v>
      </c>
      <c r="AB1381" s="331" t="e">
        <f>EXACT(Logfile_S[[#This Row],[date pick]],Logfile_S[[#This Row],[Date]])</f>
        <v>#N/A</v>
      </c>
      <c r="AC13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82" spans="1:29" ht="14.5">
      <c r="A1382" s="220" t="str">
        <f>TEXT(ROW(A1382)-ROW($A$4),"000")</f>
        <v>1378</v>
      </c>
      <c r="B1382" s="221"/>
      <c r="C1382" s="221" t="s">
        <v>49</v>
      </c>
      <c r="D1382" s="221" t="s">
        <v>3988</v>
      </c>
      <c r="E1382" s="221" t="s">
        <v>3295</v>
      </c>
      <c r="F1382" s="221" t="s">
        <v>3299</v>
      </c>
      <c r="G1382" s="222">
        <v>45374</v>
      </c>
      <c r="H1382" s="223">
        <v>0.76666666666666661</v>
      </c>
      <c r="I1382" s="221" t="s">
        <v>4916</v>
      </c>
      <c r="J1382" s="221" t="s">
        <v>3023</v>
      </c>
      <c r="K1382" s="224" t="s">
        <v>3073</v>
      </c>
      <c r="L1382" s="225" t="str">
        <f>VLOOKUP(Logfile_S[[#This Row],[Material Name]],Sheet2!B:C,2,0)</f>
        <v>ZTE2001</v>
      </c>
      <c r="M1382" s="225" t="str">
        <f>_xlfn.XLOOKUP(Logfile_S[[#This Row],[Material Name]],Sum_WH!E:E,Sum_WH!F:F,"",0)</f>
        <v>Meter</v>
      </c>
      <c r="N1382" s="221">
        <v>3000</v>
      </c>
      <c r="O1382" s="221" t="s">
        <v>1087</v>
      </c>
      <c r="P1382" s="221" t="s">
        <v>1088</v>
      </c>
      <c r="Q1382" s="221"/>
      <c r="R1382" s="221"/>
      <c r="S1382" s="221"/>
      <c r="T1382" s="221" t="s">
        <v>3258</v>
      </c>
      <c r="U1382" s="221" t="s">
        <v>3228</v>
      </c>
      <c r="V1382" s="221" t="s">
        <v>3337</v>
      </c>
      <c r="W1382" s="221" t="s">
        <v>3338</v>
      </c>
      <c r="X1382" s="221"/>
      <c r="Y1382" s="227"/>
      <c r="Z1382" s="227" t="str">
        <f>P1382</f>
        <v>Dalisodo RW 01 Wagir</v>
      </c>
      <c r="AA1382" s="276" t="e">
        <f>VLOOKUP(Logfile_S[[#This Row],[DO number]],DO_DB!G:I,3,0)</f>
        <v>#N/A</v>
      </c>
      <c r="AB1382" s="331" t="e">
        <f>EXACT(Logfile_S[[#This Row],[date pick]],Logfile_S[[#This Row],[Date]])</f>
        <v>#N/A</v>
      </c>
      <c r="AC13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83" spans="1:29" ht="14.5">
      <c r="A1383" s="237" t="str">
        <f>TEXT(ROW(A1383)-ROW($A$4),"000")</f>
        <v>1379</v>
      </c>
      <c r="B1383" s="221"/>
      <c r="C1383" s="221" t="s">
        <v>49</v>
      </c>
      <c r="D1383" s="221" t="s">
        <v>3988</v>
      </c>
      <c r="E1383" s="221" t="s">
        <v>3295</v>
      </c>
      <c r="F1383" s="221" t="s">
        <v>3299</v>
      </c>
      <c r="G1383" s="222">
        <v>45374</v>
      </c>
      <c r="H1383" s="223">
        <v>0.76666666666666661</v>
      </c>
      <c r="I1383" s="221" t="s">
        <v>4916</v>
      </c>
      <c r="J1383" s="221" t="s">
        <v>3023</v>
      </c>
      <c r="K1383" s="224" t="s">
        <v>3073</v>
      </c>
      <c r="L1383" s="225" t="str">
        <f>VLOOKUP(Logfile_S[[#This Row],[Material Name]],Sheet2!B:C,2,0)</f>
        <v>ZTE2001</v>
      </c>
      <c r="M1383" s="225" t="str">
        <f>_xlfn.XLOOKUP(Logfile_S[[#This Row],[Material Name]],Sum_WH!E:E,Sum_WH!F:F,"",0)</f>
        <v>Meter</v>
      </c>
      <c r="N1383" s="221">
        <v>3000</v>
      </c>
      <c r="O1383" s="221" t="s">
        <v>1087</v>
      </c>
      <c r="P1383" s="221" t="s">
        <v>1088</v>
      </c>
      <c r="Q1383" s="221"/>
      <c r="R1383" s="227"/>
      <c r="S1383" s="227"/>
      <c r="T1383" s="221" t="s">
        <v>3258</v>
      </c>
      <c r="U1383" s="221" t="s">
        <v>3228</v>
      </c>
      <c r="V1383" s="221" t="s">
        <v>3337</v>
      </c>
      <c r="W1383" s="221" t="s">
        <v>3338</v>
      </c>
      <c r="X1383" s="221"/>
      <c r="Y1383" s="238"/>
      <c r="Z1383" s="227" t="str">
        <f>P1383</f>
        <v>Dalisodo RW 01 Wagir</v>
      </c>
      <c r="AA1383" s="276" t="e">
        <f>VLOOKUP(Logfile_S[[#This Row],[DO number]],DO_DB!G:I,3,0)</f>
        <v>#N/A</v>
      </c>
      <c r="AB1383" s="331" t="e">
        <f>EXACT(Logfile_S[[#This Row],[date pick]],Logfile_S[[#This Row],[Date]])</f>
        <v>#N/A</v>
      </c>
      <c r="AC13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84" spans="1:29" ht="14.5">
      <c r="A1384" s="220" t="str">
        <f>TEXT(ROW(A1384)-ROW($A$4),"000")</f>
        <v>1380</v>
      </c>
      <c r="B1384" s="221"/>
      <c r="C1384" s="221" t="s">
        <v>49</v>
      </c>
      <c r="D1384" s="221" t="s">
        <v>3988</v>
      </c>
      <c r="E1384" s="221" t="s">
        <v>3295</v>
      </c>
      <c r="F1384" s="221" t="s">
        <v>3299</v>
      </c>
      <c r="G1384" s="222">
        <v>45374</v>
      </c>
      <c r="H1384" s="223">
        <v>0.76666666666666661</v>
      </c>
      <c r="I1384" s="221" t="s">
        <v>4916</v>
      </c>
      <c r="J1384" s="221" t="s">
        <v>3024</v>
      </c>
      <c r="K1384" s="224" t="s">
        <v>3088</v>
      </c>
      <c r="L1384" s="225" t="str">
        <f>VLOOKUP(Logfile_S[[#This Row],[Material Name]],Sheet2!B:C,2,0)</f>
        <v>GCI1002</v>
      </c>
      <c r="M1384" s="225" t="str">
        <f>_xlfn.XLOOKUP(Logfile_S[[#This Row],[Material Name]],Sum_WH!E:E,Sum_WH!F:F,"",0)</f>
        <v>Pcs</v>
      </c>
      <c r="N1384" s="221">
        <v>2</v>
      </c>
      <c r="O1384" s="221" t="s">
        <v>1087</v>
      </c>
      <c r="P1384" s="221" t="s">
        <v>1088</v>
      </c>
      <c r="Q1384" s="221"/>
      <c r="R1384" s="221"/>
      <c r="S1384" s="221"/>
      <c r="T1384" s="221" t="s">
        <v>3258</v>
      </c>
      <c r="U1384" s="221" t="s">
        <v>3228</v>
      </c>
      <c r="V1384" s="221" t="s">
        <v>3337</v>
      </c>
      <c r="W1384" s="221" t="s">
        <v>3338</v>
      </c>
      <c r="X1384" s="221"/>
      <c r="Y1384" s="227"/>
      <c r="Z1384" s="227" t="str">
        <f>P1384</f>
        <v>Dalisodo RW 01 Wagir</v>
      </c>
      <c r="AA1384" s="276" t="e">
        <f>VLOOKUP(Logfile_S[[#This Row],[DO number]],DO_DB!G:I,3,0)</f>
        <v>#N/A</v>
      </c>
      <c r="AB1384" s="331" t="e">
        <f>EXACT(Logfile_S[[#This Row],[date pick]],Logfile_S[[#This Row],[Date]])</f>
        <v>#N/A</v>
      </c>
      <c r="AC13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85" spans="1:29" ht="14.5">
      <c r="A1385" s="220" t="str">
        <f>TEXT(ROW(A1385)-ROW($A$4),"000")</f>
        <v>1381</v>
      </c>
      <c r="B1385" s="221"/>
      <c r="C1385" s="221" t="s">
        <v>49</v>
      </c>
      <c r="D1385" s="221" t="s">
        <v>3988</v>
      </c>
      <c r="E1385" s="221" t="s">
        <v>3295</v>
      </c>
      <c r="F1385" s="221" t="s">
        <v>3299</v>
      </c>
      <c r="G1385" s="222">
        <v>45374</v>
      </c>
      <c r="H1385" s="223">
        <v>0.76666666666666661</v>
      </c>
      <c r="I1385" s="221" t="s">
        <v>4916</v>
      </c>
      <c r="J1385" s="221" t="s">
        <v>3024</v>
      </c>
      <c r="K1385" s="224" t="s">
        <v>3094</v>
      </c>
      <c r="L1385" s="225" t="str">
        <f>VLOOKUP(Logfile_S[[#This Row],[Material Name]],Sheet2!B:C,2,0)</f>
        <v>GCI1008</v>
      </c>
      <c r="M1385" s="225" t="str">
        <f>_xlfn.XLOOKUP(Logfile_S[[#This Row],[Material Name]],Sum_WH!E:E,Sum_WH!F:F,"",0)</f>
        <v>Pcs</v>
      </c>
      <c r="N1385" s="221">
        <v>100</v>
      </c>
      <c r="O1385" s="221" t="s">
        <v>1087</v>
      </c>
      <c r="P1385" s="221" t="s">
        <v>1088</v>
      </c>
      <c r="Q1385" s="221"/>
      <c r="R1385" s="221"/>
      <c r="S1385" s="221"/>
      <c r="T1385" s="221" t="s">
        <v>3258</v>
      </c>
      <c r="U1385" s="221" t="s">
        <v>3228</v>
      </c>
      <c r="V1385" s="221" t="s">
        <v>3337</v>
      </c>
      <c r="W1385" s="221" t="s">
        <v>3338</v>
      </c>
      <c r="X1385" s="221"/>
      <c r="Y1385" s="227"/>
      <c r="Z1385" s="227" t="str">
        <f>P1385</f>
        <v>Dalisodo RW 01 Wagir</v>
      </c>
      <c r="AA1385" s="276" t="e">
        <f>VLOOKUP(Logfile_S[[#This Row],[DO number]],DO_DB!G:I,3,0)</f>
        <v>#N/A</v>
      </c>
      <c r="AB1385" s="331" t="e">
        <f>EXACT(Logfile_S[[#This Row],[date pick]],Logfile_S[[#This Row],[Date]])</f>
        <v>#N/A</v>
      </c>
      <c r="AC13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86" spans="1:29" ht="14.5">
      <c r="A1386" s="220" t="str">
        <f>TEXT(ROW(A1386)-ROW($A$4),"000")</f>
        <v>1382</v>
      </c>
      <c r="B1386" s="221"/>
      <c r="C1386" s="221" t="s">
        <v>49</v>
      </c>
      <c r="D1386" s="221" t="s">
        <v>3988</v>
      </c>
      <c r="E1386" s="221" t="s">
        <v>3295</v>
      </c>
      <c r="F1386" s="221" t="s">
        <v>3299</v>
      </c>
      <c r="G1386" s="222">
        <v>45374</v>
      </c>
      <c r="H1386" s="223">
        <v>0.76666666666666661</v>
      </c>
      <c r="I1386" s="221" t="s">
        <v>4916</v>
      </c>
      <c r="J1386" s="221" t="s">
        <v>3024</v>
      </c>
      <c r="K1386" s="224" t="s">
        <v>3089</v>
      </c>
      <c r="L1386" s="225" t="str">
        <f>VLOOKUP(Logfile_S[[#This Row],[Material Name]],Sheet2!B:C,2,0)</f>
        <v>GCI1003</v>
      </c>
      <c r="M1386" s="225" t="str">
        <f>_xlfn.XLOOKUP(Logfile_S[[#This Row],[Material Name]],Sum_WH!E:E,Sum_WH!F:F,"",0)</f>
        <v>Pcs</v>
      </c>
      <c r="N1386" s="221">
        <v>100</v>
      </c>
      <c r="O1386" s="221" t="s">
        <v>1087</v>
      </c>
      <c r="P1386" s="221" t="s">
        <v>1088</v>
      </c>
      <c r="Q1386" s="221"/>
      <c r="R1386" s="221"/>
      <c r="S1386" s="221"/>
      <c r="T1386" s="221" t="s">
        <v>3258</v>
      </c>
      <c r="U1386" s="221" t="s">
        <v>3228</v>
      </c>
      <c r="V1386" s="221" t="s">
        <v>3337</v>
      </c>
      <c r="W1386" s="221" t="s">
        <v>3338</v>
      </c>
      <c r="X1386" s="221"/>
      <c r="Y1386" s="227"/>
      <c r="Z1386" s="227" t="str">
        <f>P1386</f>
        <v>Dalisodo RW 01 Wagir</v>
      </c>
      <c r="AA1386" s="276" t="e">
        <f>VLOOKUP(Logfile_S[[#This Row],[DO number]],DO_DB!G:I,3,0)</f>
        <v>#N/A</v>
      </c>
      <c r="AB1386" s="331" t="e">
        <f>EXACT(Logfile_S[[#This Row],[date pick]],Logfile_S[[#This Row],[Date]])</f>
        <v>#N/A</v>
      </c>
      <c r="AC13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87" spans="1:29" ht="14.5">
      <c r="A1387" s="220" t="str">
        <f>TEXT(ROW(A1387)-ROW($A$4),"000")</f>
        <v>1383</v>
      </c>
      <c r="B1387" s="221"/>
      <c r="C1387" s="221" t="s">
        <v>49</v>
      </c>
      <c r="D1387" s="221" t="s">
        <v>3988</v>
      </c>
      <c r="E1387" s="221" t="s">
        <v>3295</v>
      </c>
      <c r="F1387" s="221" t="s">
        <v>3299</v>
      </c>
      <c r="G1387" s="222">
        <v>45374</v>
      </c>
      <c r="H1387" s="223">
        <v>0.76666666666666661</v>
      </c>
      <c r="I1387" s="221" t="s">
        <v>4916</v>
      </c>
      <c r="J1387" s="221" t="s">
        <v>3024</v>
      </c>
      <c r="K1387" s="224" t="s">
        <v>3090</v>
      </c>
      <c r="L1387" s="225" t="str">
        <f>VLOOKUP(Logfile_S[[#This Row],[Material Name]],Sheet2!B:C,2,0)</f>
        <v>GCI1004</v>
      </c>
      <c r="M1387" s="225" t="str">
        <f>_xlfn.XLOOKUP(Logfile_S[[#This Row],[Material Name]],Sum_WH!E:E,Sum_WH!F:F,"",0)</f>
        <v>Pcs</v>
      </c>
      <c r="N1387" s="221">
        <v>100</v>
      </c>
      <c r="O1387" s="221" t="s">
        <v>1087</v>
      </c>
      <c r="P1387" s="221" t="s">
        <v>1088</v>
      </c>
      <c r="Q1387" s="221"/>
      <c r="R1387" s="221"/>
      <c r="S1387" s="221"/>
      <c r="T1387" s="221" t="s">
        <v>3258</v>
      </c>
      <c r="U1387" s="221" t="s">
        <v>3228</v>
      </c>
      <c r="V1387" s="221" t="s">
        <v>3337</v>
      </c>
      <c r="W1387" s="221" t="s">
        <v>3338</v>
      </c>
      <c r="X1387" s="221"/>
      <c r="Y1387" s="227"/>
      <c r="Z1387" s="227" t="str">
        <f>P1387</f>
        <v>Dalisodo RW 01 Wagir</v>
      </c>
      <c r="AA1387" s="276" t="e">
        <f>VLOOKUP(Logfile_S[[#This Row],[DO number]],DO_DB!G:I,3,0)</f>
        <v>#N/A</v>
      </c>
      <c r="AB1387" s="331" t="e">
        <f>EXACT(Logfile_S[[#This Row],[date pick]],Logfile_S[[#This Row],[Date]])</f>
        <v>#N/A</v>
      </c>
      <c r="AC13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88" spans="1:29" ht="14.5">
      <c r="A1388" s="220" t="str">
        <f>TEXT(ROW(A1388)-ROW($A$4),"000")</f>
        <v>1384</v>
      </c>
      <c r="B1388" s="221"/>
      <c r="C1388" s="221" t="s">
        <v>49</v>
      </c>
      <c r="D1388" s="221" t="s">
        <v>3991</v>
      </c>
      <c r="E1388" s="221" t="s">
        <v>3295</v>
      </c>
      <c r="F1388" s="221" t="s">
        <v>3299</v>
      </c>
      <c r="G1388" s="222">
        <v>45377</v>
      </c>
      <c r="H1388" s="223">
        <v>0.93819444444444444</v>
      </c>
      <c r="I1388" s="221" t="s">
        <v>4916</v>
      </c>
      <c r="J1388" s="221" t="s">
        <v>3024</v>
      </c>
      <c r="K1388" s="224" t="s">
        <v>3097</v>
      </c>
      <c r="L1388" s="225" t="str">
        <f>VLOOKUP(Logfile_S[[#This Row],[Material Name]],Sheet2!B:C,2,0)</f>
        <v>GCI1011</v>
      </c>
      <c r="M1388" s="225" t="str">
        <f>_xlfn.XLOOKUP(Logfile_S[[#This Row],[Material Name]],Sum_WH!E:E,Sum_WH!F:F,"",0)</f>
        <v>Pcs</v>
      </c>
      <c r="N1388" s="221">
        <v>1</v>
      </c>
      <c r="O1388" s="221" t="s">
        <v>1087</v>
      </c>
      <c r="P1388" s="221" t="s">
        <v>1088</v>
      </c>
      <c r="Q1388" s="221"/>
      <c r="R1388" s="221"/>
      <c r="S1388" s="221"/>
      <c r="T1388" s="221" t="s">
        <v>3258</v>
      </c>
      <c r="U1388" s="221" t="s">
        <v>3228</v>
      </c>
      <c r="V1388" s="221" t="s">
        <v>3337</v>
      </c>
      <c r="W1388" s="221" t="s">
        <v>3338</v>
      </c>
      <c r="X1388" s="221"/>
      <c r="Y1388" s="227"/>
      <c r="Z1388" s="227" t="str">
        <f>P1388</f>
        <v>Dalisodo RW 01 Wagir</v>
      </c>
      <c r="AA1388" s="276" t="e">
        <f>VLOOKUP(Logfile_S[[#This Row],[DO number]],DO_DB!G:I,3,0)</f>
        <v>#N/A</v>
      </c>
      <c r="AB1388" s="331" t="e">
        <f>EXACT(Logfile_S[[#This Row],[date pick]],Logfile_S[[#This Row],[Date]])</f>
        <v>#N/A</v>
      </c>
      <c r="AC13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89" spans="1:29" ht="14.5">
      <c r="A1389" s="220" t="str">
        <f>TEXT(ROW(A1389)-ROW($A$4),"000")</f>
        <v>1385</v>
      </c>
      <c r="B1389" s="221"/>
      <c r="C1389" s="221" t="s">
        <v>49</v>
      </c>
      <c r="D1389" s="221" t="s">
        <v>3991</v>
      </c>
      <c r="E1389" s="221" t="s">
        <v>3295</v>
      </c>
      <c r="F1389" s="221" t="s">
        <v>3299</v>
      </c>
      <c r="G1389" s="222">
        <v>45377</v>
      </c>
      <c r="H1389" s="223">
        <v>0.93819444444444444</v>
      </c>
      <c r="I1389" s="221" t="s">
        <v>4916</v>
      </c>
      <c r="J1389" s="221" t="s">
        <v>3024</v>
      </c>
      <c r="K1389" s="224" t="s">
        <v>3091</v>
      </c>
      <c r="L1389" s="225" t="str">
        <f>VLOOKUP(Logfile_S[[#This Row],[Material Name]],Sheet2!B:C,2,0)</f>
        <v>GCI1005</v>
      </c>
      <c r="M1389" s="225" t="str">
        <f>_xlfn.XLOOKUP(Logfile_S[[#This Row],[Material Name]],Sum_WH!E:E,Sum_WH!F:F,"",0)</f>
        <v>Pcs</v>
      </c>
      <c r="N1389" s="221">
        <v>20</v>
      </c>
      <c r="O1389" s="221" t="s">
        <v>1087</v>
      </c>
      <c r="P1389" s="221" t="s">
        <v>1088</v>
      </c>
      <c r="Q1389" s="221"/>
      <c r="R1389" s="221"/>
      <c r="S1389" s="221"/>
      <c r="T1389" s="221" t="s">
        <v>3258</v>
      </c>
      <c r="U1389" s="221" t="s">
        <v>3228</v>
      </c>
      <c r="V1389" s="221" t="s">
        <v>3337</v>
      </c>
      <c r="W1389" s="221" t="s">
        <v>3338</v>
      </c>
      <c r="X1389" s="221"/>
      <c r="Y1389" s="227"/>
      <c r="Z1389" s="227" t="str">
        <f>P1389</f>
        <v>Dalisodo RW 01 Wagir</v>
      </c>
      <c r="AA1389" s="276" t="e">
        <f>VLOOKUP(Logfile_S[[#This Row],[DO number]],DO_DB!G:I,3,0)</f>
        <v>#N/A</v>
      </c>
      <c r="AB1389" s="331" t="e">
        <f>EXACT(Logfile_S[[#This Row],[date pick]],Logfile_S[[#This Row],[Date]])</f>
        <v>#N/A</v>
      </c>
      <c r="AC13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90" spans="1:29" ht="14.5">
      <c r="A1390" s="220" t="str">
        <f>TEXT(ROW(A1390)-ROW($A$4),"000")</f>
        <v>1386</v>
      </c>
      <c r="B1390" s="221"/>
      <c r="C1390" s="221" t="s">
        <v>49</v>
      </c>
      <c r="D1390" s="221" t="s">
        <v>3991</v>
      </c>
      <c r="E1390" s="221" t="s">
        <v>3295</v>
      </c>
      <c r="F1390" s="221" t="s">
        <v>3299</v>
      </c>
      <c r="G1390" s="222">
        <v>45377</v>
      </c>
      <c r="H1390" s="223">
        <v>0.93819444444444444</v>
      </c>
      <c r="I1390" s="221" t="s">
        <v>4916</v>
      </c>
      <c r="J1390" s="221" t="s">
        <v>3024</v>
      </c>
      <c r="K1390" s="224" t="s">
        <v>3087</v>
      </c>
      <c r="L1390" s="225" t="str">
        <f>VLOOKUP(Logfile_S[[#This Row],[Material Name]],Sheet2!B:C,2,0)</f>
        <v>GCI1001</v>
      </c>
      <c r="M1390" s="225" t="str">
        <f>_xlfn.XLOOKUP(Logfile_S[[#This Row],[Material Name]],Sum_WH!E:E,Sum_WH!F:F,"",0)</f>
        <v>Pcs</v>
      </c>
      <c r="N1390" s="221">
        <v>45</v>
      </c>
      <c r="O1390" s="221" t="s">
        <v>1087</v>
      </c>
      <c r="P1390" s="221" t="s">
        <v>1088</v>
      </c>
      <c r="Q1390" s="221"/>
      <c r="R1390" s="221"/>
      <c r="S1390" s="221"/>
      <c r="T1390" s="221" t="s">
        <v>3258</v>
      </c>
      <c r="U1390" s="221" t="s">
        <v>3228</v>
      </c>
      <c r="V1390" s="221" t="s">
        <v>3337</v>
      </c>
      <c r="W1390" s="221" t="s">
        <v>3338</v>
      </c>
      <c r="X1390" s="221"/>
      <c r="Y1390" s="227"/>
      <c r="Z1390" s="227" t="str">
        <f>P1390</f>
        <v>Dalisodo RW 01 Wagir</v>
      </c>
      <c r="AA1390" s="276" t="e">
        <f>VLOOKUP(Logfile_S[[#This Row],[DO number]],DO_DB!G:I,3,0)</f>
        <v>#N/A</v>
      </c>
      <c r="AB1390" s="331" t="e">
        <f>EXACT(Logfile_S[[#This Row],[date pick]],Logfile_S[[#This Row],[Date]])</f>
        <v>#N/A</v>
      </c>
      <c r="AC13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91" spans="1:29" ht="14.5">
      <c r="A1391" s="220" t="str">
        <f>TEXT(ROW(A1391)-ROW($A$4),"000")</f>
        <v>1387</v>
      </c>
      <c r="B1391" s="221"/>
      <c r="C1391" s="221" t="s">
        <v>49</v>
      </c>
      <c r="D1391" s="221" t="s">
        <v>3991</v>
      </c>
      <c r="E1391" s="221" t="s">
        <v>3295</v>
      </c>
      <c r="F1391" s="221" t="s">
        <v>3299</v>
      </c>
      <c r="G1391" s="222">
        <v>45377</v>
      </c>
      <c r="H1391" s="223">
        <v>0.93819444444444444</v>
      </c>
      <c r="I1391" s="221" t="s">
        <v>4916</v>
      </c>
      <c r="J1391" s="221" t="s">
        <v>3024</v>
      </c>
      <c r="K1391" s="224" t="s">
        <v>5137</v>
      </c>
      <c r="L1391" s="225" t="str">
        <f>VLOOKUP(Logfile_S[[#This Row],[Material Name]],Sheet2!B:C,2,0)</f>
        <v>GCI1009</v>
      </c>
      <c r="M1391" s="225" t="str">
        <f>_xlfn.XLOOKUP(Logfile_S[[#This Row],[Material Name]],Sum_WH!E:E,Sum_WH!F:F,"",0)</f>
        <v>Pcs</v>
      </c>
      <c r="N1391" s="221">
        <v>200</v>
      </c>
      <c r="O1391" s="221" t="s">
        <v>1087</v>
      </c>
      <c r="P1391" s="221" t="s">
        <v>1088</v>
      </c>
      <c r="Q1391" s="221"/>
      <c r="R1391" s="221"/>
      <c r="S1391" s="221"/>
      <c r="T1391" s="221" t="s">
        <v>3258</v>
      </c>
      <c r="U1391" s="221" t="s">
        <v>3228</v>
      </c>
      <c r="V1391" s="221" t="s">
        <v>3337</v>
      </c>
      <c r="W1391" s="221" t="s">
        <v>3338</v>
      </c>
      <c r="X1391" s="221"/>
      <c r="Y1391" s="227"/>
      <c r="Z1391" s="227" t="str">
        <f>P1391</f>
        <v>Dalisodo RW 01 Wagir</v>
      </c>
      <c r="AA1391" s="276" t="e">
        <f>VLOOKUP(Logfile_S[[#This Row],[DO number]],DO_DB!G:I,3,0)</f>
        <v>#N/A</v>
      </c>
      <c r="AB1391" s="331" t="e">
        <f>EXACT(Logfile_S[[#This Row],[date pick]],Logfile_S[[#This Row],[Date]])</f>
        <v>#N/A</v>
      </c>
      <c r="AC13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92" spans="1:29" ht="14.5">
      <c r="A1392" s="220" t="str">
        <f>TEXT(ROW(A1392)-ROW($A$4),"000")</f>
        <v>1388</v>
      </c>
      <c r="B1392" s="221"/>
      <c r="C1392" s="221" t="s">
        <v>48</v>
      </c>
      <c r="D1392" s="221" t="s">
        <v>3961</v>
      </c>
      <c r="E1392" s="221" t="s">
        <v>3295</v>
      </c>
      <c r="F1392" s="221" t="s">
        <v>3299</v>
      </c>
      <c r="G1392" s="222">
        <v>45352</v>
      </c>
      <c r="H1392" s="223">
        <v>15.291666666666666</v>
      </c>
      <c r="I1392" s="221" t="s">
        <v>37</v>
      </c>
      <c r="J1392" s="221" t="s">
        <v>3023</v>
      </c>
      <c r="K1392" s="224" t="s">
        <v>3073</v>
      </c>
      <c r="L1392" s="225" t="str">
        <f>VLOOKUP(Logfile_S[[#This Row],[Material Name]],Sheet2!B:C,2,0)</f>
        <v>ZTE2001</v>
      </c>
      <c r="M1392" s="225" t="str">
        <f>_xlfn.XLOOKUP(Logfile_S[[#This Row],[Material Name]],Sum_WH!E:E,Sum_WH!F:F,"",0)</f>
        <v>Meter</v>
      </c>
      <c r="N1392" s="227">
        <v>3000</v>
      </c>
      <c r="O1392" s="221" t="s">
        <v>1099</v>
      </c>
      <c r="P1392" s="221" t="s">
        <v>1100</v>
      </c>
      <c r="Q1392" s="221" t="s">
        <v>1209</v>
      </c>
      <c r="R1392" s="221" t="s">
        <v>1210</v>
      </c>
      <c r="S1392" s="221"/>
      <c r="T1392" s="221"/>
      <c r="U1392" s="221"/>
      <c r="V1392" s="221"/>
      <c r="W1392" s="221"/>
      <c r="X1392" s="221"/>
      <c r="Y1392" s="236" t="s">
        <v>4948</v>
      </c>
      <c r="Z1392" s="227" t="str">
        <f>P1392</f>
        <v>Dalisodo RW 03 Wagir</v>
      </c>
      <c r="AA1392" s="276">
        <f>VLOOKUP(Logfile_S[[#This Row],[DO number]],DO_DB!G:I,3,0)</f>
        <v>45374</v>
      </c>
      <c r="AB1392" s="331" t="b">
        <f>EXACT(Logfile_S[[#This Row],[date pick]],Logfile_S[[#This Row],[Date]])</f>
        <v>0</v>
      </c>
      <c r="AC13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24C-202431-01</v>
      </c>
    </row>
    <row r="1393" spans="1:29" ht="14.5">
      <c r="A1393" s="237" t="str">
        <f>TEXT(ROW(A1393)-ROW($A$4),"000")</f>
        <v>1389</v>
      </c>
      <c r="B1393" s="221"/>
      <c r="C1393" s="227" t="s">
        <v>48</v>
      </c>
      <c r="D1393" s="227" t="s">
        <v>3961</v>
      </c>
      <c r="E1393" s="227" t="s">
        <v>3295</v>
      </c>
      <c r="F1393" s="227" t="s">
        <v>3299</v>
      </c>
      <c r="G1393" s="239">
        <v>45352</v>
      </c>
      <c r="H1393" s="240">
        <v>15.291666666666666</v>
      </c>
      <c r="I1393" s="227" t="s">
        <v>37</v>
      </c>
      <c r="J1393" s="227" t="s">
        <v>3023</v>
      </c>
      <c r="K1393" s="241" t="s">
        <v>3073</v>
      </c>
      <c r="L1393" s="225" t="str">
        <f>VLOOKUP(Logfile_S[[#This Row],[Material Name]],Sheet2!B:C,2,0)</f>
        <v>ZTE2001</v>
      </c>
      <c r="M1393" s="242" t="s">
        <v>20</v>
      </c>
      <c r="N1393" s="227">
        <v>3000</v>
      </c>
      <c r="O1393" s="227" t="s">
        <v>1099</v>
      </c>
      <c r="P1393" s="227" t="s">
        <v>1100</v>
      </c>
      <c r="Q1393" s="227" t="s">
        <v>1209</v>
      </c>
      <c r="R1393" s="227" t="s">
        <v>1210</v>
      </c>
      <c r="S1393" s="227"/>
      <c r="T1393" s="227"/>
      <c r="U1393" s="227"/>
      <c r="V1393" s="227"/>
      <c r="W1393" s="227"/>
      <c r="X1393" s="227"/>
      <c r="Y1393" s="236" t="s">
        <v>4996</v>
      </c>
      <c r="Z1393" s="227" t="str">
        <f>P1393</f>
        <v>Dalisodo RW 03 Wagir</v>
      </c>
      <c r="AA1393" s="276">
        <f>VLOOKUP(Logfile_S[[#This Row],[DO number]],DO_DB!G:I,3,0)</f>
        <v>45374</v>
      </c>
      <c r="AB1393" s="331" t="b">
        <f>EXACT(Logfile_S[[#This Row],[date pick]],Logfile_S[[#This Row],[Date]])</f>
        <v>0</v>
      </c>
      <c r="AC13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24C-202431-02</v>
      </c>
    </row>
    <row r="1394" spans="1:29" ht="14.5">
      <c r="A1394" s="220" t="str">
        <f>TEXT(ROW(A1394)-ROW($A$4),"000")</f>
        <v>1390</v>
      </c>
      <c r="B1394" s="221"/>
      <c r="C1394" s="221" t="s">
        <v>48</v>
      </c>
      <c r="D1394" s="221" t="s">
        <v>3986</v>
      </c>
      <c r="E1394" s="221" t="s">
        <v>3295</v>
      </c>
      <c r="F1394" s="221" t="s">
        <v>3299</v>
      </c>
      <c r="G1394" s="222">
        <v>45374</v>
      </c>
      <c r="H1394" s="223">
        <v>15.291666666666666</v>
      </c>
      <c r="I1394" s="221" t="s">
        <v>37</v>
      </c>
      <c r="J1394" s="221" t="s">
        <v>3023</v>
      </c>
      <c r="K1394" s="224" t="s">
        <v>3073</v>
      </c>
      <c r="L1394" s="225" t="str">
        <f>VLOOKUP(Logfile_S[[#This Row],[Material Name]],Sheet2!B:C,2,0)</f>
        <v>ZTE2001</v>
      </c>
      <c r="M1394" s="225" t="str">
        <f>_xlfn.XLOOKUP(Logfile_S[[#This Row],[Material Name]],Sum_WH!E:E,Sum_WH!F:F,"",0)</f>
        <v>Meter</v>
      </c>
      <c r="N1394" s="221">
        <v>3000</v>
      </c>
      <c r="O1394" s="221" t="s">
        <v>1099</v>
      </c>
      <c r="P1394" s="221" t="s">
        <v>1100</v>
      </c>
      <c r="Q1394" s="221" t="s">
        <v>1209</v>
      </c>
      <c r="R1394" s="221" t="s">
        <v>1210</v>
      </c>
      <c r="S1394" s="221"/>
      <c r="T1394" s="221"/>
      <c r="U1394" s="221"/>
      <c r="V1394" s="221"/>
      <c r="W1394" s="221"/>
      <c r="X1394" s="221"/>
      <c r="Y1394" s="227" t="s">
        <v>4998</v>
      </c>
      <c r="Z1394" s="227" t="str">
        <f>P1394</f>
        <v>Dalisodo RW 03 Wagir</v>
      </c>
      <c r="AA1394" s="276">
        <f>VLOOKUP(Logfile_S[[#This Row],[DO number]],DO_DB!G:I,3,0)</f>
        <v>45374</v>
      </c>
      <c r="AB1394" s="331" t="b">
        <f>EXACT(Logfile_S[[#This Row],[date pick]],Logfile_S[[#This Row],[Date]])</f>
        <v>1</v>
      </c>
      <c r="AC13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24C-2024323-01</v>
      </c>
    </row>
    <row r="1395" spans="1:29" ht="14.5">
      <c r="A1395" s="220" t="str">
        <f>TEXT(ROW(A1395)-ROW($A$4),"000")</f>
        <v>1391</v>
      </c>
      <c r="B1395" s="221"/>
      <c r="C1395" s="221" t="s">
        <v>49</v>
      </c>
      <c r="D1395" s="221" t="s">
        <v>3998</v>
      </c>
      <c r="E1395" s="221" t="s">
        <v>3295</v>
      </c>
      <c r="F1395" s="221" t="s">
        <v>3299</v>
      </c>
      <c r="G1395" s="222">
        <v>45383</v>
      </c>
      <c r="H1395" s="223">
        <v>0.40138888888888885</v>
      </c>
      <c r="I1395" s="221" t="s">
        <v>4916</v>
      </c>
      <c r="J1395" s="221" t="s">
        <v>3023</v>
      </c>
      <c r="K1395" s="224" t="s">
        <v>3069</v>
      </c>
      <c r="L1395" s="225" t="str">
        <f>VLOOKUP(Logfile_S[[#This Row],[Material Name]],Sheet2!B:C,2,0)</f>
        <v>ZTE1001</v>
      </c>
      <c r="M1395" s="225" t="str">
        <f>_xlfn.XLOOKUP(Logfile_S[[#This Row],[Material Name]],Sum_WH!E:E,Sum_WH!F:F,"",0)</f>
        <v>Pcs</v>
      </c>
      <c r="N1395" s="221">
        <v>4</v>
      </c>
      <c r="O1395" s="221" t="s">
        <v>1099</v>
      </c>
      <c r="P1395" s="221" t="s">
        <v>1100</v>
      </c>
      <c r="Q1395" s="221"/>
      <c r="R1395" s="221"/>
      <c r="S1395" s="221"/>
      <c r="T1395" s="221" t="s">
        <v>3258</v>
      </c>
      <c r="U1395" s="221" t="s">
        <v>3228</v>
      </c>
      <c r="V1395" s="221" t="s">
        <v>3337</v>
      </c>
      <c r="W1395" s="221" t="s">
        <v>3338</v>
      </c>
      <c r="X1395" s="221"/>
      <c r="Y1395" s="227"/>
      <c r="Z1395" s="227" t="str">
        <f>P1395</f>
        <v>Dalisodo RW 03 Wagir</v>
      </c>
      <c r="AA1395" s="276" t="e">
        <f>VLOOKUP(Logfile_S[[#This Row],[DO number]],DO_DB!G:I,3,0)</f>
        <v>#N/A</v>
      </c>
      <c r="AB1395" s="331" t="e">
        <f>EXACT(Logfile_S[[#This Row],[date pick]],Logfile_S[[#This Row],[Date]])</f>
        <v>#N/A</v>
      </c>
      <c r="AC13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96" spans="1:29" ht="14.5">
      <c r="A1396" s="220" t="str">
        <f>TEXT(ROW(A1396)-ROW($A$4),"000")</f>
        <v>1392</v>
      </c>
      <c r="B1396" s="221"/>
      <c r="C1396" s="221" t="s">
        <v>49</v>
      </c>
      <c r="D1396" s="221" t="s">
        <v>3998</v>
      </c>
      <c r="E1396" s="221" t="s">
        <v>3295</v>
      </c>
      <c r="F1396" s="221" t="s">
        <v>3299</v>
      </c>
      <c r="G1396" s="222">
        <v>45383</v>
      </c>
      <c r="H1396" s="223">
        <v>0.40138888888888885</v>
      </c>
      <c r="I1396" s="221" t="s">
        <v>4916</v>
      </c>
      <c r="J1396" s="221" t="s">
        <v>3024</v>
      </c>
      <c r="K1396" s="224" t="s">
        <v>3094</v>
      </c>
      <c r="L1396" s="225" t="str">
        <f>VLOOKUP(Logfile_S[[#This Row],[Material Name]],Sheet2!B:C,2,0)</f>
        <v>GCI1008</v>
      </c>
      <c r="M1396" s="225" t="str">
        <f>_xlfn.XLOOKUP(Logfile_S[[#This Row],[Material Name]],Sum_WH!E:E,Sum_WH!F:F,"",0)</f>
        <v>Pcs</v>
      </c>
      <c r="N1396" s="221">
        <v>20</v>
      </c>
      <c r="O1396" s="221" t="s">
        <v>1099</v>
      </c>
      <c r="P1396" s="221" t="s">
        <v>1100</v>
      </c>
      <c r="Q1396" s="221"/>
      <c r="R1396" s="221"/>
      <c r="S1396" s="221"/>
      <c r="T1396" s="221" t="s">
        <v>3258</v>
      </c>
      <c r="U1396" s="221" t="s">
        <v>3228</v>
      </c>
      <c r="V1396" s="221" t="s">
        <v>3337</v>
      </c>
      <c r="W1396" s="221" t="s">
        <v>3338</v>
      </c>
      <c r="X1396" s="221"/>
      <c r="Y1396" s="227"/>
      <c r="Z1396" s="227" t="str">
        <f>P1396</f>
        <v>Dalisodo RW 03 Wagir</v>
      </c>
      <c r="AA1396" s="276" t="e">
        <f>VLOOKUP(Logfile_S[[#This Row],[DO number]],DO_DB!G:I,3,0)</f>
        <v>#N/A</v>
      </c>
      <c r="AB1396" s="331" t="e">
        <f>EXACT(Logfile_S[[#This Row],[date pick]],Logfile_S[[#This Row],[Date]])</f>
        <v>#N/A</v>
      </c>
      <c r="AC13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97" spans="1:29" ht="14.5">
      <c r="A1397" s="220" t="str">
        <f>TEXT(ROW(A1397)-ROW($A$4),"000")</f>
        <v>1393</v>
      </c>
      <c r="B1397" s="221"/>
      <c r="C1397" s="221" t="s">
        <v>49</v>
      </c>
      <c r="D1397" s="221" t="s">
        <v>4006</v>
      </c>
      <c r="E1397" s="221" t="s">
        <v>3295</v>
      </c>
      <c r="F1397" s="221" t="s">
        <v>3299</v>
      </c>
      <c r="G1397" s="222">
        <v>45387</v>
      </c>
      <c r="H1397" s="223">
        <v>0.43611111111111112</v>
      </c>
      <c r="I1397" s="221" t="s">
        <v>4916</v>
      </c>
      <c r="J1397" s="221" t="s">
        <v>3023</v>
      </c>
      <c r="K1397" s="224" t="s">
        <v>3080</v>
      </c>
      <c r="L1397" s="225" t="str">
        <f>VLOOKUP(Logfile_S[[#This Row],[Material Name]],Sheet2!B:C,2,0)</f>
        <v>ZTE2010</v>
      </c>
      <c r="M1397" s="225" t="str">
        <f>_xlfn.XLOOKUP(Logfile_S[[#This Row],[Material Name]],Sum_WH!E:E,Sum_WH!F:F,"",0)</f>
        <v>Pcs</v>
      </c>
      <c r="N1397" s="221">
        <v>5</v>
      </c>
      <c r="O1397" s="221" t="s">
        <v>1099</v>
      </c>
      <c r="P1397" s="221" t="s">
        <v>1100</v>
      </c>
      <c r="Q1397" s="221"/>
      <c r="R1397" s="221"/>
      <c r="S1397" s="221"/>
      <c r="T1397" s="221" t="s">
        <v>3231</v>
      </c>
      <c r="U1397" s="221">
        <v>0</v>
      </c>
      <c r="V1397" s="221" t="s">
        <v>3232</v>
      </c>
      <c r="W1397" s="221" t="s">
        <v>3246</v>
      </c>
      <c r="X1397" s="221"/>
      <c r="Y1397" s="227"/>
      <c r="Z1397" s="227" t="str">
        <f>P1397</f>
        <v>Dalisodo RW 03 Wagir</v>
      </c>
      <c r="AA1397" s="276" t="e">
        <f>VLOOKUP(Logfile_S[[#This Row],[DO number]],DO_DB!G:I,3,0)</f>
        <v>#N/A</v>
      </c>
      <c r="AB1397" s="331" t="e">
        <f>EXACT(Logfile_S[[#This Row],[date pick]],Logfile_S[[#This Row],[Date]])</f>
        <v>#N/A</v>
      </c>
      <c r="AC13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98" spans="1:29" ht="14.5">
      <c r="A1398" s="220" t="str">
        <f>TEXT(ROW(A1398)-ROW($A$4),"000")</f>
        <v>1394</v>
      </c>
      <c r="B1398" s="221"/>
      <c r="C1398" s="221" t="s">
        <v>49</v>
      </c>
      <c r="D1398" s="221" t="s">
        <v>4006</v>
      </c>
      <c r="E1398" s="221" t="s">
        <v>3295</v>
      </c>
      <c r="F1398" s="221" t="s">
        <v>3299</v>
      </c>
      <c r="G1398" s="222">
        <v>45387</v>
      </c>
      <c r="H1398" s="223">
        <v>0.43611111111111112</v>
      </c>
      <c r="I1398" s="221" t="s">
        <v>4916</v>
      </c>
      <c r="J1398" s="221" t="s">
        <v>3023</v>
      </c>
      <c r="K1398" s="224" t="s">
        <v>13</v>
      </c>
      <c r="L1398" s="225" t="str">
        <f>VLOOKUP(Logfile_S[[#This Row],[Material Name]],Sheet2!B:C,2,0)</f>
        <v>ZTE2008</v>
      </c>
      <c r="M1398" s="225" t="str">
        <f>_xlfn.XLOOKUP(Logfile_S[[#This Row],[Material Name]],Sum_WH!E:E,Sum_WH!F:F,"",0)</f>
        <v>Pcs</v>
      </c>
      <c r="N1398" s="221">
        <v>38</v>
      </c>
      <c r="O1398" s="221" t="s">
        <v>1099</v>
      </c>
      <c r="P1398" s="221" t="s">
        <v>1100</v>
      </c>
      <c r="Q1398" s="221"/>
      <c r="R1398" s="221"/>
      <c r="S1398" s="221"/>
      <c r="T1398" s="221" t="s">
        <v>3231</v>
      </c>
      <c r="U1398" s="221">
        <v>0</v>
      </c>
      <c r="V1398" s="221" t="s">
        <v>3232</v>
      </c>
      <c r="W1398" s="221" t="s">
        <v>3246</v>
      </c>
      <c r="X1398" s="221"/>
      <c r="Y1398" s="227"/>
      <c r="Z1398" s="227" t="str">
        <f>P1398</f>
        <v>Dalisodo RW 03 Wagir</v>
      </c>
      <c r="AA1398" s="276" t="e">
        <f>VLOOKUP(Logfile_S[[#This Row],[DO number]],DO_DB!G:I,3,0)</f>
        <v>#N/A</v>
      </c>
      <c r="AB1398" s="331" t="e">
        <f>EXACT(Logfile_S[[#This Row],[date pick]],Logfile_S[[#This Row],[Date]])</f>
        <v>#N/A</v>
      </c>
      <c r="AC13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399" spans="1:29" ht="14.5">
      <c r="A1399" s="220" t="str">
        <f>TEXT(ROW(A1399)-ROW($A$4),"000")</f>
        <v>1395</v>
      </c>
      <c r="B1399" s="221"/>
      <c r="C1399" s="221" t="s">
        <v>49</v>
      </c>
      <c r="D1399" s="221" t="s">
        <v>4006</v>
      </c>
      <c r="E1399" s="221" t="s">
        <v>3295</v>
      </c>
      <c r="F1399" s="221" t="s">
        <v>3299</v>
      </c>
      <c r="G1399" s="222">
        <v>45387</v>
      </c>
      <c r="H1399" s="223">
        <v>0.43611111111111112</v>
      </c>
      <c r="I1399" s="221" t="s">
        <v>4916</v>
      </c>
      <c r="J1399" s="221" t="s">
        <v>3023</v>
      </c>
      <c r="K1399" s="224" t="s">
        <v>14</v>
      </c>
      <c r="L1399" s="225" t="str">
        <f>VLOOKUP(Logfile_S[[#This Row],[Material Name]],Sheet2!B:C,2,0)</f>
        <v>ZTE2005</v>
      </c>
      <c r="M1399" s="225" t="str">
        <f>_xlfn.XLOOKUP(Logfile_S[[#This Row],[Material Name]],Sum_WH!E:E,Sum_WH!F:F,"",0)</f>
        <v>Pcs</v>
      </c>
      <c r="N1399" s="221">
        <v>2</v>
      </c>
      <c r="O1399" s="221" t="s">
        <v>1099</v>
      </c>
      <c r="P1399" s="221" t="s">
        <v>1100</v>
      </c>
      <c r="Q1399" s="221"/>
      <c r="R1399" s="221"/>
      <c r="S1399" s="221"/>
      <c r="T1399" s="221" t="s">
        <v>3231</v>
      </c>
      <c r="U1399" s="221">
        <v>0</v>
      </c>
      <c r="V1399" s="221" t="s">
        <v>3232</v>
      </c>
      <c r="W1399" s="221" t="s">
        <v>3246</v>
      </c>
      <c r="X1399" s="221"/>
      <c r="Y1399" s="227"/>
      <c r="Z1399" s="227" t="str">
        <f>P1399</f>
        <v>Dalisodo RW 03 Wagir</v>
      </c>
      <c r="AA1399" s="276" t="e">
        <f>VLOOKUP(Logfile_S[[#This Row],[DO number]],DO_DB!G:I,3,0)</f>
        <v>#N/A</v>
      </c>
      <c r="AB1399" s="331" t="e">
        <f>EXACT(Logfile_S[[#This Row],[date pick]],Logfile_S[[#This Row],[Date]])</f>
        <v>#N/A</v>
      </c>
      <c r="AC13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00" spans="1:29" ht="14.5">
      <c r="A1400" s="220" t="str">
        <f>TEXT(ROW(A1400)-ROW($A$4),"000")</f>
        <v>1396</v>
      </c>
      <c r="B1400" s="221"/>
      <c r="C1400" s="221" t="s">
        <v>49</v>
      </c>
      <c r="D1400" s="221" t="s">
        <v>4042</v>
      </c>
      <c r="E1400" s="221" t="s">
        <v>3295</v>
      </c>
      <c r="F1400" s="221" t="s">
        <v>3299</v>
      </c>
      <c r="G1400" s="222">
        <v>45428</v>
      </c>
      <c r="H1400" s="223">
        <v>0.53888888888888886</v>
      </c>
      <c r="I1400" s="221" t="s">
        <v>4916</v>
      </c>
      <c r="J1400" s="221" t="s">
        <v>3024</v>
      </c>
      <c r="K1400" s="224" t="s">
        <v>5137</v>
      </c>
      <c r="L1400" s="225" t="str">
        <f>VLOOKUP(Logfile_S[[#This Row],[Material Name]],Sheet2!B:C,2,0)</f>
        <v>GCI1009</v>
      </c>
      <c r="M1400" s="225" t="str">
        <f>_xlfn.XLOOKUP(Logfile_S[[#This Row],[Material Name]],Sum_WH!E:E,Sum_WH!F:F,"",0)</f>
        <v>Pcs</v>
      </c>
      <c r="N1400" s="221">
        <v>12</v>
      </c>
      <c r="O1400" s="221" t="s">
        <v>1099</v>
      </c>
      <c r="P1400" s="221" t="s">
        <v>1100</v>
      </c>
      <c r="Q1400" s="221"/>
      <c r="R1400" s="221"/>
      <c r="S1400" s="221"/>
      <c r="T1400" s="221" t="s">
        <v>3258</v>
      </c>
      <c r="U1400" s="221" t="s">
        <v>3228</v>
      </c>
      <c r="V1400" s="221" t="s">
        <v>3337</v>
      </c>
      <c r="W1400" s="221" t="s">
        <v>3338</v>
      </c>
      <c r="X1400" s="221"/>
      <c r="Y1400" s="227"/>
      <c r="Z1400" s="227" t="str">
        <f>P1400</f>
        <v>Dalisodo RW 03 Wagir</v>
      </c>
      <c r="AA1400" s="276" t="e">
        <f>VLOOKUP(Logfile_S[[#This Row],[DO number]],DO_DB!G:I,3,0)</f>
        <v>#N/A</v>
      </c>
      <c r="AB1400" s="331" t="e">
        <f>EXACT(Logfile_S[[#This Row],[date pick]],Logfile_S[[#This Row],[Date]])</f>
        <v>#N/A</v>
      </c>
      <c r="AC14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01" spans="1:29" ht="14.5">
      <c r="A1401" s="220" t="str">
        <f>TEXT(ROW(A1401)-ROW($A$4),"000")</f>
        <v>1397</v>
      </c>
      <c r="B1401" s="221"/>
      <c r="C1401" s="221" t="s">
        <v>49</v>
      </c>
      <c r="D1401" s="221" t="s">
        <v>4042</v>
      </c>
      <c r="E1401" s="221" t="s">
        <v>3295</v>
      </c>
      <c r="F1401" s="221" t="s">
        <v>3299</v>
      </c>
      <c r="G1401" s="222">
        <v>45428</v>
      </c>
      <c r="H1401" s="223">
        <v>0.53888888888888886</v>
      </c>
      <c r="I1401" s="221" t="s">
        <v>4916</v>
      </c>
      <c r="J1401" s="221" t="s">
        <v>3024</v>
      </c>
      <c r="K1401" s="224" t="s">
        <v>3094</v>
      </c>
      <c r="L1401" s="225" t="str">
        <f>VLOOKUP(Logfile_S[[#This Row],[Material Name]],Sheet2!B:C,2,0)</f>
        <v>GCI1008</v>
      </c>
      <c r="M1401" s="225" t="str">
        <f>_xlfn.XLOOKUP(Logfile_S[[#This Row],[Material Name]],Sum_WH!E:E,Sum_WH!F:F,"",0)</f>
        <v>Pcs</v>
      </c>
      <c r="N1401" s="221">
        <v>6</v>
      </c>
      <c r="O1401" s="221" t="s">
        <v>1099</v>
      </c>
      <c r="P1401" s="221" t="s">
        <v>1100</v>
      </c>
      <c r="Q1401" s="221"/>
      <c r="R1401" s="221"/>
      <c r="S1401" s="221"/>
      <c r="T1401" s="221" t="s">
        <v>3258</v>
      </c>
      <c r="U1401" s="221" t="s">
        <v>3228</v>
      </c>
      <c r="V1401" s="221" t="s">
        <v>3337</v>
      </c>
      <c r="W1401" s="221" t="s">
        <v>3338</v>
      </c>
      <c r="X1401" s="221"/>
      <c r="Y1401" s="227"/>
      <c r="Z1401" s="227" t="str">
        <f>P1401</f>
        <v>Dalisodo RW 03 Wagir</v>
      </c>
      <c r="AA1401" s="276" t="e">
        <f>VLOOKUP(Logfile_S[[#This Row],[DO number]],DO_DB!G:I,3,0)</f>
        <v>#N/A</v>
      </c>
      <c r="AB1401" s="331" t="e">
        <f>EXACT(Logfile_S[[#This Row],[date pick]],Logfile_S[[#This Row],[Date]])</f>
        <v>#N/A</v>
      </c>
      <c r="AC14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02" spans="1:29" ht="14.5">
      <c r="A1402" s="220" t="str">
        <f>TEXT(ROW(A1402)-ROW($A$4),"000")</f>
        <v>1398</v>
      </c>
      <c r="B1402" s="221"/>
      <c r="C1402" s="221" t="s">
        <v>49</v>
      </c>
      <c r="D1402" s="221" t="s">
        <v>3989</v>
      </c>
      <c r="E1402" s="221" t="s">
        <v>3295</v>
      </c>
      <c r="F1402" s="221" t="s">
        <v>3299</v>
      </c>
      <c r="G1402" s="222">
        <v>45376</v>
      </c>
      <c r="H1402" s="223">
        <v>0.43611111111111112</v>
      </c>
      <c r="I1402" s="221" t="s">
        <v>4916</v>
      </c>
      <c r="J1402" s="221" t="s">
        <v>3023</v>
      </c>
      <c r="K1402" s="224" t="s">
        <v>3080</v>
      </c>
      <c r="L1402" s="225" t="str">
        <f>VLOOKUP(Logfile_S[[#This Row],[Material Name]],Sheet2!B:C,2,0)</f>
        <v>ZTE2010</v>
      </c>
      <c r="M1402" s="225" t="str">
        <f>_xlfn.XLOOKUP(Logfile_S[[#This Row],[Material Name]],Sum_WH!E:E,Sum_WH!F:F,"",0)</f>
        <v>Pcs</v>
      </c>
      <c r="N1402" s="221">
        <v>2</v>
      </c>
      <c r="O1402" s="221" t="s">
        <v>1103</v>
      </c>
      <c r="P1402" s="221" t="s">
        <v>1104</v>
      </c>
      <c r="Q1402" s="221"/>
      <c r="R1402" s="221"/>
      <c r="S1402" s="221"/>
      <c r="T1402" s="221" t="s">
        <v>3231</v>
      </c>
      <c r="U1402" s="221">
        <v>0</v>
      </c>
      <c r="V1402" s="221" t="s">
        <v>3232</v>
      </c>
      <c r="W1402" s="221" t="s">
        <v>3246</v>
      </c>
      <c r="X1402" s="221"/>
      <c r="Y1402" s="227"/>
      <c r="Z1402" s="227" t="str">
        <f>P1402</f>
        <v>Dalisodo RW 04 Wagir</v>
      </c>
      <c r="AA1402" s="276" t="e">
        <f>VLOOKUP(Logfile_S[[#This Row],[DO number]],DO_DB!G:I,3,0)</f>
        <v>#N/A</v>
      </c>
      <c r="AB1402" s="331" t="e">
        <f>EXACT(Logfile_S[[#This Row],[date pick]],Logfile_S[[#This Row],[Date]])</f>
        <v>#N/A</v>
      </c>
      <c r="AC14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03" spans="1:29" ht="14.5">
      <c r="A1403" s="220" t="str">
        <f>TEXT(ROW(A1403)-ROW($A$4),"000")</f>
        <v>1399</v>
      </c>
      <c r="B1403" s="221"/>
      <c r="C1403" s="221" t="s">
        <v>49</v>
      </c>
      <c r="D1403" s="221" t="s">
        <v>3989</v>
      </c>
      <c r="E1403" s="221" t="s">
        <v>3295</v>
      </c>
      <c r="F1403" s="221" t="s">
        <v>3299</v>
      </c>
      <c r="G1403" s="222">
        <v>45376</v>
      </c>
      <c r="H1403" s="223">
        <v>0.43611111111111112</v>
      </c>
      <c r="I1403" s="221" t="s">
        <v>4916</v>
      </c>
      <c r="J1403" s="221" t="s">
        <v>3023</v>
      </c>
      <c r="K1403" s="224" t="s">
        <v>13</v>
      </c>
      <c r="L1403" s="225" t="str">
        <f>VLOOKUP(Logfile_S[[#This Row],[Material Name]],Sheet2!B:C,2,0)</f>
        <v>ZTE2008</v>
      </c>
      <c r="M1403" s="225" t="str">
        <f>_xlfn.XLOOKUP(Logfile_S[[#This Row],[Material Name]],Sum_WH!E:E,Sum_WH!F:F,"",0)</f>
        <v>Pcs</v>
      </c>
      <c r="N1403" s="221">
        <v>12</v>
      </c>
      <c r="O1403" s="221" t="s">
        <v>1103</v>
      </c>
      <c r="P1403" s="221" t="s">
        <v>1104</v>
      </c>
      <c r="Q1403" s="221"/>
      <c r="R1403" s="221"/>
      <c r="S1403" s="221"/>
      <c r="T1403" s="221" t="s">
        <v>3231</v>
      </c>
      <c r="U1403" s="221">
        <v>0</v>
      </c>
      <c r="V1403" s="221" t="s">
        <v>3232</v>
      </c>
      <c r="W1403" s="221" t="s">
        <v>3246</v>
      </c>
      <c r="X1403" s="221"/>
      <c r="Y1403" s="227"/>
      <c r="Z1403" s="227" t="str">
        <f>P1403</f>
        <v>Dalisodo RW 04 Wagir</v>
      </c>
      <c r="AA1403" s="276" t="e">
        <f>VLOOKUP(Logfile_S[[#This Row],[DO number]],DO_DB!G:I,3,0)</f>
        <v>#N/A</v>
      </c>
      <c r="AB1403" s="331" t="e">
        <f>EXACT(Logfile_S[[#This Row],[date pick]],Logfile_S[[#This Row],[Date]])</f>
        <v>#N/A</v>
      </c>
      <c r="AC14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04" spans="1:29" ht="14.5">
      <c r="A1404" s="220" t="str">
        <f>TEXT(ROW(A1404)-ROW($A$4),"000")</f>
        <v>1400</v>
      </c>
      <c r="B1404" s="221"/>
      <c r="C1404" s="221" t="s">
        <v>49</v>
      </c>
      <c r="D1404" s="221" t="s">
        <v>3989</v>
      </c>
      <c r="E1404" s="221" t="s">
        <v>3295</v>
      </c>
      <c r="F1404" s="221" t="s">
        <v>3299</v>
      </c>
      <c r="G1404" s="222">
        <v>45376</v>
      </c>
      <c r="H1404" s="223">
        <v>0.43611111111111112</v>
      </c>
      <c r="I1404" s="221" t="s">
        <v>4916</v>
      </c>
      <c r="J1404" s="221" t="s">
        <v>3023</v>
      </c>
      <c r="K1404" s="224" t="s">
        <v>14</v>
      </c>
      <c r="L1404" s="225" t="str">
        <f>VLOOKUP(Logfile_S[[#This Row],[Material Name]],Sheet2!B:C,2,0)</f>
        <v>ZTE2005</v>
      </c>
      <c r="M1404" s="225" t="str">
        <f>_xlfn.XLOOKUP(Logfile_S[[#This Row],[Material Name]],Sum_WH!E:E,Sum_WH!F:F,"",0)</f>
        <v>Pcs</v>
      </c>
      <c r="N1404" s="221">
        <v>1</v>
      </c>
      <c r="O1404" s="221" t="s">
        <v>1103</v>
      </c>
      <c r="P1404" s="221" t="s">
        <v>1104</v>
      </c>
      <c r="Q1404" s="221"/>
      <c r="R1404" s="221"/>
      <c r="S1404" s="221"/>
      <c r="T1404" s="221" t="s">
        <v>3231</v>
      </c>
      <c r="U1404" s="221">
        <v>0</v>
      </c>
      <c r="V1404" s="221" t="s">
        <v>3232</v>
      </c>
      <c r="W1404" s="221" t="s">
        <v>3246</v>
      </c>
      <c r="X1404" s="221"/>
      <c r="Y1404" s="227"/>
      <c r="Z1404" s="227" t="str">
        <f>P1404</f>
        <v>Dalisodo RW 04 Wagir</v>
      </c>
      <c r="AA1404" s="276" t="e">
        <f>VLOOKUP(Logfile_S[[#This Row],[DO number]],DO_DB!G:I,3,0)</f>
        <v>#N/A</v>
      </c>
      <c r="AB1404" s="331" t="e">
        <f>EXACT(Logfile_S[[#This Row],[date pick]],Logfile_S[[#This Row],[Date]])</f>
        <v>#N/A</v>
      </c>
      <c r="AC14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05" spans="1:29" ht="14.5">
      <c r="A1405" s="220" t="str">
        <f>TEXT(ROW(A1405)-ROW($A$4),"000")</f>
        <v>1401</v>
      </c>
      <c r="B1405" s="221"/>
      <c r="C1405" s="221" t="s">
        <v>48</v>
      </c>
      <c r="D1405" s="221" t="s">
        <v>3986</v>
      </c>
      <c r="E1405" s="221" t="s">
        <v>3295</v>
      </c>
      <c r="F1405" s="221" t="s">
        <v>3299</v>
      </c>
      <c r="G1405" s="222">
        <v>45374</v>
      </c>
      <c r="H1405" s="223">
        <v>15.291666666666666</v>
      </c>
      <c r="I1405" s="221" t="s">
        <v>37</v>
      </c>
      <c r="J1405" s="221" t="s">
        <v>3023</v>
      </c>
      <c r="K1405" s="224" t="s">
        <v>3073</v>
      </c>
      <c r="L1405" s="225" t="str">
        <f>VLOOKUP(Logfile_S[[#This Row],[Material Name]],Sheet2!B:C,2,0)</f>
        <v>ZTE2001</v>
      </c>
      <c r="M1405" s="225" t="str">
        <f>_xlfn.XLOOKUP(Logfile_S[[#This Row],[Material Name]],Sum_WH!E:E,Sum_WH!F:F,"",0)</f>
        <v>Meter</v>
      </c>
      <c r="N1405" s="221">
        <v>3000</v>
      </c>
      <c r="O1405" s="221" t="s">
        <v>1109</v>
      </c>
      <c r="P1405" s="221" t="s">
        <v>1110</v>
      </c>
      <c r="Q1405" s="221" t="s">
        <v>1211</v>
      </c>
      <c r="R1405" s="221" t="s">
        <v>1212</v>
      </c>
      <c r="S1405" s="221"/>
      <c r="T1405" s="221"/>
      <c r="U1405" s="221"/>
      <c r="V1405" s="221"/>
      <c r="W1405" s="221"/>
      <c r="X1405" s="221"/>
      <c r="Y1405" s="227" t="s">
        <v>4999</v>
      </c>
      <c r="Z1405" s="227" t="str">
        <f>P1405</f>
        <v>Dalisodo RW 05 Wagir</v>
      </c>
      <c r="AA1405" s="276">
        <f>VLOOKUP(Logfile_S[[#This Row],[DO number]],DO_DB!G:I,3,0)</f>
        <v>45374</v>
      </c>
      <c r="AB1405" s="331" t="b">
        <f>EXACT(Logfile_S[[#This Row],[date pick]],Logfile_S[[#This Row],[Date]])</f>
        <v>1</v>
      </c>
      <c r="AC14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24C-2024323-02</v>
      </c>
    </row>
    <row r="1406" spans="1:29" ht="14.5">
      <c r="A1406" s="220" t="str">
        <f>TEXT(ROW(A1406)-ROW($A$4),"000")</f>
        <v>1402</v>
      </c>
      <c r="B1406" s="221"/>
      <c r="C1406" s="221" t="s">
        <v>48</v>
      </c>
      <c r="D1406" s="221" t="s">
        <v>3922</v>
      </c>
      <c r="E1406" s="221" t="s">
        <v>3295</v>
      </c>
      <c r="F1406" s="221" t="s">
        <v>3299</v>
      </c>
      <c r="G1406" s="222">
        <v>45337</v>
      </c>
      <c r="H1406" s="223">
        <v>15.291666666666666</v>
      </c>
      <c r="I1406" s="221" t="s">
        <v>37</v>
      </c>
      <c r="J1406" s="221" t="s">
        <v>3023</v>
      </c>
      <c r="K1406" s="224" t="s">
        <v>3073</v>
      </c>
      <c r="L1406" s="225" t="str">
        <f>VLOOKUP(Logfile_S[[#This Row],[Material Name]],Sheet2!B:C,2,0)</f>
        <v>ZTE2001</v>
      </c>
      <c r="M1406" s="225" t="str">
        <f>_xlfn.XLOOKUP(Logfile_S[[#This Row],[Material Name]],Sum_WH!E:E,Sum_WH!F:F,"",0)</f>
        <v>Meter</v>
      </c>
      <c r="N1406" s="221">
        <v>3000</v>
      </c>
      <c r="O1406" s="221" t="s">
        <v>921</v>
      </c>
      <c r="P1406" s="221" t="s">
        <v>922</v>
      </c>
      <c r="Q1406" s="221" t="s">
        <v>929</v>
      </c>
      <c r="R1406" s="221" t="s">
        <v>930</v>
      </c>
      <c r="S1406" s="221"/>
      <c r="T1406" s="221"/>
      <c r="U1406" s="221"/>
      <c r="V1406" s="221"/>
      <c r="W1406" s="221"/>
      <c r="X1406" s="221"/>
      <c r="Y1406" s="227" t="s">
        <v>4995</v>
      </c>
      <c r="Z1406" s="227" t="str">
        <f>P1406</f>
        <v>Bumiayu RW 03 Kedungkandang</v>
      </c>
      <c r="AA1406" s="276">
        <f>VLOOKUP(Logfile_S[[#This Row],[DO number]],DO_DB!G:I,3,0)</f>
        <v>45337</v>
      </c>
      <c r="AB1406" s="331" t="b">
        <f>EXACT(Logfile_S[[#This Row],[date pick]],Logfile_S[[#This Row],[Date]])</f>
        <v>1</v>
      </c>
      <c r="AC14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24C-2024215-01</v>
      </c>
    </row>
    <row r="1407" spans="1:29" ht="14.5">
      <c r="A1407" s="220" t="str">
        <f>TEXT(ROW(A1407)-ROW($A$4),"000")</f>
        <v>1403</v>
      </c>
      <c r="B1407" s="221"/>
      <c r="C1407" s="221" t="s">
        <v>48</v>
      </c>
      <c r="D1407" s="221" t="s">
        <v>3922</v>
      </c>
      <c r="E1407" s="221" t="s">
        <v>3295</v>
      </c>
      <c r="F1407" s="221" t="s">
        <v>3299</v>
      </c>
      <c r="G1407" s="222">
        <v>45337</v>
      </c>
      <c r="H1407" s="223">
        <v>15.291666666666666</v>
      </c>
      <c r="I1407" s="221" t="s">
        <v>37</v>
      </c>
      <c r="J1407" s="221" t="s">
        <v>3023</v>
      </c>
      <c r="K1407" s="224" t="s">
        <v>3075</v>
      </c>
      <c r="L1407" s="225" t="str">
        <f>VLOOKUP(Logfile_S[[#This Row],[Material Name]],Sheet2!B:C,2,0)</f>
        <v>ZTE2003</v>
      </c>
      <c r="M1407" s="225" t="str">
        <f>_xlfn.XLOOKUP(Logfile_S[[#This Row],[Material Name]],Sum_WH!E:E,Sum_WH!F:F,"",0)</f>
        <v>Meter</v>
      </c>
      <c r="N1407" s="221">
        <v>3000</v>
      </c>
      <c r="O1407" s="221" t="s">
        <v>921</v>
      </c>
      <c r="P1407" s="221" t="s">
        <v>922</v>
      </c>
      <c r="Q1407" s="221" t="s">
        <v>929</v>
      </c>
      <c r="R1407" s="221" t="s">
        <v>930</v>
      </c>
      <c r="S1407" s="221"/>
      <c r="T1407" s="221"/>
      <c r="U1407" s="221"/>
      <c r="V1407" s="221"/>
      <c r="W1407" s="221"/>
      <c r="X1407" s="221"/>
      <c r="Y1407" s="227" t="s">
        <v>5059</v>
      </c>
      <c r="Z1407" s="227" t="str">
        <f>P1407</f>
        <v>Bumiayu RW 03 Kedungkandang</v>
      </c>
      <c r="AA1407" s="276">
        <f>VLOOKUP(Logfile_S[[#This Row],[DO number]],DO_DB!G:I,3,0)</f>
        <v>45337</v>
      </c>
      <c r="AB1407" s="331" t="b">
        <f>EXACT(Logfile_S[[#This Row],[date pick]],Logfile_S[[#This Row],[Date]])</f>
        <v>1</v>
      </c>
      <c r="AC14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48C-2024215-01</v>
      </c>
    </row>
    <row r="1408" spans="1:29" ht="14.5">
      <c r="A1408" s="237" t="str">
        <f>TEXT(ROW(A1408)-ROW($A$4),"000")</f>
        <v>1404</v>
      </c>
      <c r="B1408" s="221"/>
      <c r="C1408" s="221" t="s">
        <v>48</v>
      </c>
      <c r="D1408" s="221" t="s">
        <v>3922</v>
      </c>
      <c r="E1408" s="221" t="s">
        <v>3295</v>
      </c>
      <c r="F1408" s="221" t="s">
        <v>3299</v>
      </c>
      <c r="G1408" s="222">
        <v>45337</v>
      </c>
      <c r="H1408" s="223">
        <v>15.291666666666666</v>
      </c>
      <c r="I1408" s="221" t="s">
        <v>37</v>
      </c>
      <c r="J1408" s="221" t="s">
        <v>3023</v>
      </c>
      <c r="K1408" s="224" t="s">
        <v>3075</v>
      </c>
      <c r="L1408" s="225" t="str">
        <f>VLOOKUP(Logfile_S[[#This Row],[Material Name]],Sheet2!B:C,2,0)</f>
        <v>ZTE2003</v>
      </c>
      <c r="M1408" s="225" t="str">
        <f>_xlfn.XLOOKUP(Logfile_S[[#This Row],[Material Name]],Sum_WH!E:E,Sum_WH!F:F,"",0)</f>
        <v>Meter</v>
      </c>
      <c r="N1408" s="221">
        <v>3000</v>
      </c>
      <c r="O1408" s="221" t="s">
        <v>921</v>
      </c>
      <c r="P1408" s="221" t="s">
        <v>922</v>
      </c>
      <c r="Q1408" s="221" t="s">
        <v>929</v>
      </c>
      <c r="R1408" s="221" t="s">
        <v>930</v>
      </c>
      <c r="S1408" s="227"/>
      <c r="T1408" s="227"/>
      <c r="U1408" s="227"/>
      <c r="V1408" s="227"/>
      <c r="W1408" s="227"/>
      <c r="X1408" s="227"/>
      <c r="Y1408" s="238" t="s">
        <v>5060</v>
      </c>
      <c r="Z1408" s="227" t="str">
        <f>P1408</f>
        <v>Bumiayu RW 03 Kedungkandang</v>
      </c>
      <c r="AA1408" s="276">
        <f>VLOOKUP(Logfile_S[[#This Row],[DO number]],DO_DB!G:I,3,0)</f>
        <v>45337</v>
      </c>
      <c r="AB1408" s="331" t="b">
        <f>EXACT(Logfile_S[[#This Row],[date pick]],Logfile_S[[#This Row],[Date]])</f>
        <v>1</v>
      </c>
      <c r="AC14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48C-2024215-02</v>
      </c>
    </row>
    <row r="1409" spans="1:29" ht="14.5">
      <c r="A1409" s="220" t="str">
        <f>TEXT(ROW(A1409)-ROW($A$4),"000")</f>
        <v>1405</v>
      </c>
      <c r="B1409" s="221"/>
      <c r="C1409" s="221" t="s">
        <v>48</v>
      </c>
      <c r="D1409" s="221" t="s">
        <v>3924</v>
      </c>
      <c r="E1409" s="221" t="s">
        <v>3295</v>
      </c>
      <c r="F1409" s="221" t="s">
        <v>3299</v>
      </c>
      <c r="G1409" s="222">
        <v>45337</v>
      </c>
      <c r="H1409" s="223">
        <v>15.291666666666666</v>
      </c>
      <c r="I1409" s="221" t="s">
        <v>37</v>
      </c>
      <c r="J1409" s="221" t="s">
        <v>3023</v>
      </c>
      <c r="K1409" s="224" t="s">
        <v>3080</v>
      </c>
      <c r="L1409" s="225" t="str">
        <f>VLOOKUP(Logfile_S[[#This Row],[Material Name]],Sheet2!B:C,2,0)</f>
        <v>ZTE2010</v>
      </c>
      <c r="M1409" s="225" t="str">
        <f>_xlfn.XLOOKUP(Logfile_S[[#This Row],[Material Name]],Sum_WH!E:E,Sum_WH!F:F,"",0)</f>
        <v>Pcs</v>
      </c>
      <c r="N1409" s="221">
        <v>6</v>
      </c>
      <c r="O1409" s="221" t="s">
        <v>921</v>
      </c>
      <c r="P1409" s="221" t="s">
        <v>922</v>
      </c>
      <c r="Q1409" s="221" t="s">
        <v>929</v>
      </c>
      <c r="R1409" s="221" t="s">
        <v>930</v>
      </c>
      <c r="S1409" s="221"/>
      <c r="T1409" s="221"/>
      <c r="U1409" s="221"/>
      <c r="V1409" s="221"/>
      <c r="W1409" s="221"/>
      <c r="X1409" s="221"/>
      <c r="Y1409" s="227"/>
      <c r="Z1409" s="227" t="str">
        <f>P1409</f>
        <v>Bumiayu RW 03 Kedungkandang</v>
      </c>
      <c r="AA1409" s="276">
        <f>VLOOKUP(Logfile_S[[#This Row],[DO number]],DO_DB!G:I,3,0)</f>
        <v>45337</v>
      </c>
      <c r="AB1409" s="331" t="b">
        <f>EXACT(Logfile_S[[#This Row],[date pick]],Logfile_S[[#This Row],[Date]])</f>
        <v>1</v>
      </c>
      <c r="AC14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10" spans="1:29" ht="14.5">
      <c r="A1410" s="220" t="str">
        <f>TEXT(ROW(A1410)-ROW($A$4),"000")</f>
        <v>1406</v>
      </c>
      <c r="B1410" s="221"/>
      <c r="C1410" s="221" t="s">
        <v>48</v>
      </c>
      <c r="D1410" s="221" t="s">
        <v>3924</v>
      </c>
      <c r="E1410" s="221" t="s">
        <v>3295</v>
      </c>
      <c r="F1410" s="221" t="s">
        <v>3299</v>
      </c>
      <c r="G1410" s="222">
        <v>45337</v>
      </c>
      <c r="H1410" s="223">
        <v>15.291666666666666</v>
      </c>
      <c r="I1410" s="221" t="s">
        <v>37</v>
      </c>
      <c r="J1410" s="221" t="s">
        <v>3023</v>
      </c>
      <c r="K1410" s="224" t="s">
        <v>3103</v>
      </c>
      <c r="L1410" s="225" t="str">
        <f>VLOOKUP(Logfile_S[[#This Row],[Material Name]],Sheet2!B:C,2,0)</f>
        <v>GCI2013</v>
      </c>
      <c r="M1410" s="225" t="str">
        <f>_xlfn.XLOOKUP(Logfile_S[[#This Row],[Material Name]],Sum_WH!E:E,Sum_WH!F:F,"",0)</f>
        <v>Pcs</v>
      </c>
      <c r="N1410" s="221">
        <v>45</v>
      </c>
      <c r="O1410" s="221" t="s">
        <v>921</v>
      </c>
      <c r="P1410" s="221" t="s">
        <v>922</v>
      </c>
      <c r="Q1410" s="221"/>
      <c r="R1410" s="221"/>
      <c r="S1410" s="221"/>
      <c r="T1410" s="221"/>
      <c r="U1410" s="221"/>
      <c r="V1410" s="221"/>
      <c r="W1410" s="221"/>
      <c r="X1410" s="221"/>
      <c r="Y1410" s="227"/>
      <c r="Z1410" s="227" t="str">
        <f>P1410</f>
        <v>Bumiayu RW 03 Kedungkandang</v>
      </c>
      <c r="AA1410" s="276" t="e">
        <f>VLOOKUP(Logfile_S[[#This Row],[DO number]],DO_DB!G:I,3,0)</f>
        <v>#N/A</v>
      </c>
      <c r="AB1410" s="331" t="e">
        <f>EXACT(Logfile_S[[#This Row],[date pick]],Logfile_S[[#This Row],[Date]])</f>
        <v>#N/A</v>
      </c>
      <c r="AC14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11" spans="1:29" ht="14.5">
      <c r="A1411" s="220" t="str">
        <f>TEXT(ROW(A1411)-ROW($A$4),"000")</f>
        <v>1407</v>
      </c>
      <c r="B1411" s="221"/>
      <c r="C1411" s="221" t="s">
        <v>48</v>
      </c>
      <c r="D1411" s="221" t="s">
        <v>3924</v>
      </c>
      <c r="E1411" s="221" t="s">
        <v>3295</v>
      </c>
      <c r="F1411" s="221" t="s">
        <v>3299</v>
      </c>
      <c r="G1411" s="222">
        <v>45337</v>
      </c>
      <c r="H1411" s="223">
        <v>15.291666666666666</v>
      </c>
      <c r="I1411" s="221" t="s">
        <v>37</v>
      </c>
      <c r="J1411" s="221" t="s">
        <v>3023</v>
      </c>
      <c r="K1411" s="224" t="s">
        <v>14</v>
      </c>
      <c r="L1411" s="225" t="str">
        <f>VLOOKUP(Logfile_S[[#This Row],[Material Name]],Sheet2!B:C,2,0)</f>
        <v>ZTE2005</v>
      </c>
      <c r="M1411" s="225" t="str">
        <f>_xlfn.XLOOKUP(Logfile_S[[#This Row],[Material Name]],Sum_WH!E:E,Sum_WH!F:F,"",0)</f>
        <v>Pcs</v>
      </c>
      <c r="N1411" s="221">
        <v>2</v>
      </c>
      <c r="O1411" s="221" t="s">
        <v>921</v>
      </c>
      <c r="P1411" s="221" t="s">
        <v>922</v>
      </c>
      <c r="Q1411" s="221" t="s">
        <v>929</v>
      </c>
      <c r="R1411" s="221" t="s">
        <v>930</v>
      </c>
      <c r="S1411" s="221"/>
      <c r="T1411" s="221"/>
      <c r="U1411" s="221"/>
      <c r="V1411" s="221"/>
      <c r="W1411" s="221"/>
      <c r="X1411" s="221" t="s">
        <v>3217</v>
      </c>
      <c r="Y1411" s="227"/>
      <c r="Z1411" s="227" t="str">
        <f>P1411</f>
        <v>Bumiayu RW 03 Kedungkandang</v>
      </c>
      <c r="AA1411" s="276">
        <f>VLOOKUP(Logfile_S[[#This Row],[DO number]],DO_DB!G:I,3,0)</f>
        <v>45337</v>
      </c>
      <c r="AB1411" s="331" t="b">
        <f>EXACT(Logfile_S[[#This Row],[date pick]],Logfile_S[[#This Row],[Date]])</f>
        <v>1</v>
      </c>
      <c r="AC14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12" spans="1:29" ht="14.5">
      <c r="A1412" s="220" t="str">
        <f>TEXT(ROW(A1412)-ROW($A$4),"000")</f>
        <v>1408</v>
      </c>
      <c r="B1412" s="221"/>
      <c r="C1412" s="221" t="s">
        <v>48</v>
      </c>
      <c r="D1412" s="221" t="s">
        <v>3924</v>
      </c>
      <c r="E1412" s="221" t="s">
        <v>3295</v>
      </c>
      <c r="F1412" s="221" t="s">
        <v>3299</v>
      </c>
      <c r="G1412" s="222">
        <v>45337</v>
      </c>
      <c r="H1412" s="223">
        <v>15.291666666666666</v>
      </c>
      <c r="I1412" s="221" t="s">
        <v>37</v>
      </c>
      <c r="J1412" s="221" t="s">
        <v>3023</v>
      </c>
      <c r="K1412" s="224" t="s">
        <v>3070</v>
      </c>
      <c r="L1412" s="225" t="str">
        <f>VLOOKUP(Logfile_S[[#This Row],[Material Name]],Sheet2!B:C,2,0)</f>
        <v>ZTE1002</v>
      </c>
      <c r="M1412" s="225" t="str">
        <f>_xlfn.XLOOKUP(Logfile_S[[#This Row],[Material Name]],Sum_WH!E:E,Sum_WH!F:F,"",0)</f>
        <v>Pcs</v>
      </c>
      <c r="N1412" s="221">
        <v>15</v>
      </c>
      <c r="O1412" s="221" t="s">
        <v>921</v>
      </c>
      <c r="P1412" s="221" t="s">
        <v>922</v>
      </c>
      <c r="Q1412" s="221" t="s">
        <v>923</v>
      </c>
      <c r="R1412" s="221" t="s">
        <v>924</v>
      </c>
      <c r="S1412" s="221"/>
      <c r="T1412" s="221"/>
      <c r="U1412" s="221"/>
      <c r="V1412" s="221"/>
      <c r="W1412" s="221"/>
      <c r="X1412" s="221"/>
      <c r="Y1412" s="227"/>
      <c r="Z1412" s="227" t="str">
        <f>P1412</f>
        <v>Bumiayu RW 03 Kedungkandang</v>
      </c>
      <c r="AA1412" s="276">
        <f>VLOOKUP(Logfile_S[[#This Row],[DO number]],DO_DB!G:I,3,0)</f>
        <v>45337</v>
      </c>
      <c r="AB1412" s="331" t="b">
        <f>EXACT(Logfile_S[[#This Row],[date pick]],Logfile_S[[#This Row],[Date]])</f>
        <v>1</v>
      </c>
      <c r="AC14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13" spans="1:29" ht="14.5">
      <c r="A1413" s="220" t="str">
        <f>TEXT(ROW(A1413)-ROW($A$4),"000")</f>
        <v>1409</v>
      </c>
      <c r="B1413" s="221"/>
      <c r="C1413" s="221" t="s">
        <v>48</v>
      </c>
      <c r="D1413" s="221" t="s">
        <v>3924</v>
      </c>
      <c r="E1413" s="221" t="s">
        <v>3295</v>
      </c>
      <c r="F1413" s="221" t="s">
        <v>3299</v>
      </c>
      <c r="G1413" s="222">
        <v>45337</v>
      </c>
      <c r="H1413" s="223">
        <v>15.291666666666666</v>
      </c>
      <c r="I1413" s="221" t="s">
        <v>37</v>
      </c>
      <c r="J1413" s="221" t="s">
        <v>3023</v>
      </c>
      <c r="K1413" s="224" t="s">
        <v>3069</v>
      </c>
      <c r="L1413" s="225" t="str">
        <f>VLOOKUP(Logfile_S[[#This Row],[Material Name]],Sheet2!B:C,2,0)</f>
        <v>ZTE1001</v>
      </c>
      <c r="M1413" s="225" t="str">
        <f>_xlfn.XLOOKUP(Logfile_S[[#This Row],[Material Name]],Sum_WH!E:E,Sum_WH!F:F,"",0)</f>
        <v>Pcs</v>
      </c>
      <c r="N1413" s="221">
        <v>113</v>
      </c>
      <c r="O1413" s="221" t="s">
        <v>921</v>
      </c>
      <c r="P1413" s="221" t="s">
        <v>922</v>
      </c>
      <c r="Q1413" s="221" t="s">
        <v>923</v>
      </c>
      <c r="R1413" s="221" t="s">
        <v>924</v>
      </c>
      <c r="S1413" s="221"/>
      <c r="T1413" s="221"/>
      <c r="U1413" s="221"/>
      <c r="V1413" s="221"/>
      <c r="W1413" s="221"/>
      <c r="X1413" s="221"/>
      <c r="Y1413" s="227"/>
      <c r="Z1413" s="227" t="str">
        <f>P1413</f>
        <v>Bumiayu RW 03 Kedungkandang</v>
      </c>
      <c r="AA1413" s="276">
        <f>VLOOKUP(Logfile_S[[#This Row],[DO number]],DO_DB!G:I,3,0)</f>
        <v>45337</v>
      </c>
      <c r="AB1413" s="331" t="b">
        <f>EXACT(Logfile_S[[#This Row],[date pick]],Logfile_S[[#This Row],[Date]])</f>
        <v>1</v>
      </c>
      <c r="AC14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14" spans="1:29" ht="14.5">
      <c r="A1414" s="220" t="str">
        <f>TEXT(ROW(A1414)-ROW($A$4),"000")</f>
        <v>1410</v>
      </c>
      <c r="B1414" s="221"/>
      <c r="C1414" s="221" t="s">
        <v>49</v>
      </c>
      <c r="D1414" s="221" t="s">
        <v>3934</v>
      </c>
      <c r="E1414" s="221" t="s">
        <v>3295</v>
      </c>
      <c r="F1414" s="221" t="s">
        <v>3299</v>
      </c>
      <c r="G1414" s="222">
        <v>45342</v>
      </c>
      <c r="H1414" s="223">
        <v>0.69861111111111107</v>
      </c>
      <c r="I1414" s="221" t="s">
        <v>4916</v>
      </c>
      <c r="J1414" s="221" t="s">
        <v>3023</v>
      </c>
      <c r="K1414" s="224" t="s">
        <v>3070</v>
      </c>
      <c r="L1414" s="225" t="str">
        <f>VLOOKUP(Logfile_S[[#This Row],[Material Name]],Sheet2!B:C,2,0)</f>
        <v>ZTE1002</v>
      </c>
      <c r="M1414" s="225" t="str">
        <f>_xlfn.XLOOKUP(Logfile_S[[#This Row],[Material Name]],Sum_WH!E:E,Sum_WH!F:F,"",0)</f>
        <v>Pcs</v>
      </c>
      <c r="N1414" s="221">
        <v>9</v>
      </c>
      <c r="O1414" s="221" t="s">
        <v>921</v>
      </c>
      <c r="P1414" s="221" t="s">
        <v>922</v>
      </c>
      <c r="Q1414" s="221"/>
      <c r="R1414" s="221"/>
      <c r="S1414" s="221"/>
      <c r="T1414" s="221" t="s">
        <v>3363</v>
      </c>
      <c r="U1414" s="221" t="s">
        <v>3228</v>
      </c>
      <c r="V1414" s="221" t="s">
        <v>3364</v>
      </c>
      <c r="W1414" s="221" t="s">
        <v>3365</v>
      </c>
      <c r="X1414" s="221"/>
      <c r="Y1414" s="227"/>
      <c r="Z1414" s="227" t="str">
        <f>P1414</f>
        <v>Bumiayu RW 03 Kedungkandang</v>
      </c>
      <c r="AA1414" s="276" t="e">
        <f>VLOOKUP(Logfile_S[[#This Row],[DO number]],DO_DB!G:I,3,0)</f>
        <v>#N/A</v>
      </c>
      <c r="AB1414" s="331" t="e">
        <f>EXACT(Logfile_S[[#This Row],[date pick]],Logfile_S[[#This Row],[Date]])</f>
        <v>#N/A</v>
      </c>
      <c r="AC14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15" spans="1:29" ht="14.5">
      <c r="A1415" s="220" t="str">
        <f>TEXT(ROW(A1415)-ROW($A$4),"000")</f>
        <v>1411</v>
      </c>
      <c r="B1415" s="221"/>
      <c r="C1415" s="221" t="s">
        <v>49</v>
      </c>
      <c r="D1415" s="221" t="s">
        <v>3934</v>
      </c>
      <c r="E1415" s="221" t="s">
        <v>3295</v>
      </c>
      <c r="F1415" s="221" t="s">
        <v>3299</v>
      </c>
      <c r="G1415" s="222">
        <v>45342</v>
      </c>
      <c r="H1415" s="223">
        <v>0.69861111111111107</v>
      </c>
      <c r="I1415" s="221" t="s">
        <v>4916</v>
      </c>
      <c r="J1415" s="221" t="s">
        <v>3023</v>
      </c>
      <c r="K1415" s="224" t="s">
        <v>3069</v>
      </c>
      <c r="L1415" s="225" t="str">
        <f>VLOOKUP(Logfile_S[[#This Row],[Material Name]],Sheet2!B:C,2,0)</f>
        <v>ZTE1001</v>
      </c>
      <c r="M1415" s="225" t="str">
        <f>_xlfn.XLOOKUP(Logfile_S[[#This Row],[Material Name]],Sum_WH!E:E,Sum_WH!F:F,"",0)</f>
        <v>Pcs</v>
      </c>
      <c r="N1415" s="221">
        <v>14</v>
      </c>
      <c r="O1415" s="221" t="s">
        <v>921</v>
      </c>
      <c r="P1415" s="221" t="s">
        <v>922</v>
      </c>
      <c r="Q1415" s="221"/>
      <c r="R1415" s="221"/>
      <c r="S1415" s="221"/>
      <c r="T1415" s="221" t="s">
        <v>3363</v>
      </c>
      <c r="U1415" s="221" t="s">
        <v>3228</v>
      </c>
      <c r="V1415" s="221" t="s">
        <v>3364</v>
      </c>
      <c r="W1415" s="221" t="s">
        <v>3365</v>
      </c>
      <c r="X1415" s="221"/>
      <c r="Y1415" s="227"/>
      <c r="Z1415" s="227" t="str">
        <f>P1415</f>
        <v>Bumiayu RW 03 Kedungkandang</v>
      </c>
      <c r="AA1415" s="276" t="e">
        <f>VLOOKUP(Logfile_S[[#This Row],[DO number]],DO_DB!G:I,3,0)</f>
        <v>#N/A</v>
      </c>
      <c r="AB1415" s="331" t="e">
        <f>EXACT(Logfile_S[[#This Row],[date pick]],Logfile_S[[#This Row],[Date]])</f>
        <v>#N/A</v>
      </c>
      <c r="AC14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16" spans="1:29" ht="14.5">
      <c r="A1416" s="220" t="str">
        <f>TEXT(ROW(A1416)-ROW($A$4),"000")</f>
        <v>1412</v>
      </c>
      <c r="B1416" s="221"/>
      <c r="C1416" s="221" t="s">
        <v>49</v>
      </c>
      <c r="D1416" s="221" t="s">
        <v>3932</v>
      </c>
      <c r="E1416" s="221" t="s">
        <v>3295</v>
      </c>
      <c r="F1416" s="221" t="s">
        <v>3299</v>
      </c>
      <c r="G1416" s="222">
        <v>45342</v>
      </c>
      <c r="H1416" s="223">
        <v>0.36874999999999997</v>
      </c>
      <c r="I1416" s="221" t="s">
        <v>4916</v>
      </c>
      <c r="J1416" s="221" t="s">
        <v>3023</v>
      </c>
      <c r="K1416" s="224" t="s">
        <v>3069</v>
      </c>
      <c r="L1416" s="225" t="str">
        <f>VLOOKUP(Logfile_S[[#This Row],[Material Name]],Sheet2!B:C,2,0)</f>
        <v>ZTE1001</v>
      </c>
      <c r="M1416" s="225" t="str">
        <f>_xlfn.XLOOKUP(Logfile_S[[#This Row],[Material Name]],Sum_WH!E:E,Sum_WH!F:F,"",0)</f>
        <v>Pcs</v>
      </c>
      <c r="N1416" s="221">
        <v>25</v>
      </c>
      <c r="O1416" s="221" t="s">
        <v>921</v>
      </c>
      <c r="P1416" s="221" t="s">
        <v>922</v>
      </c>
      <c r="Q1416" s="221"/>
      <c r="R1416" s="221"/>
      <c r="S1416" s="221"/>
      <c r="T1416" s="221" t="s">
        <v>3363</v>
      </c>
      <c r="U1416" s="221" t="s">
        <v>3228</v>
      </c>
      <c r="V1416" s="221" t="s">
        <v>3364</v>
      </c>
      <c r="W1416" s="221" t="s">
        <v>3365</v>
      </c>
      <c r="X1416" s="221"/>
      <c r="Y1416" s="227"/>
      <c r="Z1416" s="227" t="str">
        <f>P1416</f>
        <v>Bumiayu RW 03 Kedungkandang</v>
      </c>
      <c r="AA1416" s="276" t="e">
        <f>VLOOKUP(Logfile_S[[#This Row],[DO number]],DO_DB!G:I,3,0)</f>
        <v>#N/A</v>
      </c>
      <c r="AB1416" s="331" t="e">
        <f>EXACT(Logfile_S[[#This Row],[date pick]],Logfile_S[[#This Row],[Date]])</f>
        <v>#N/A</v>
      </c>
      <c r="AC14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17" spans="1:29" ht="14.5">
      <c r="A1417" s="220" t="str">
        <f>TEXT(ROW(A1417)-ROW($A$4),"000")</f>
        <v>1413</v>
      </c>
      <c r="B1417" s="221"/>
      <c r="C1417" s="221" t="s">
        <v>49</v>
      </c>
      <c r="D1417" s="221" t="s">
        <v>3934</v>
      </c>
      <c r="E1417" s="221" t="s">
        <v>3295</v>
      </c>
      <c r="F1417" s="221" t="s">
        <v>3299</v>
      </c>
      <c r="G1417" s="222">
        <v>45342</v>
      </c>
      <c r="H1417" s="223">
        <v>0.69861111111111107</v>
      </c>
      <c r="I1417" s="221" t="s">
        <v>4916</v>
      </c>
      <c r="J1417" s="221" t="s">
        <v>3023</v>
      </c>
      <c r="K1417" s="224" t="s">
        <v>3071</v>
      </c>
      <c r="L1417" s="225" t="str">
        <f>VLOOKUP(Logfile_S[[#This Row],[Material Name]],Sheet2!B:C,2,0)</f>
        <v>ZTE1003</v>
      </c>
      <c r="M1417" s="225" t="str">
        <f>_xlfn.XLOOKUP(Logfile_S[[#This Row],[Material Name]],Sum_WH!E:E,Sum_WH!F:F,"",0)</f>
        <v>Pcs</v>
      </c>
      <c r="N1417" s="221">
        <v>2</v>
      </c>
      <c r="O1417" s="221" t="s">
        <v>921</v>
      </c>
      <c r="P1417" s="221" t="s">
        <v>922</v>
      </c>
      <c r="Q1417" s="221"/>
      <c r="R1417" s="221"/>
      <c r="S1417" s="221"/>
      <c r="T1417" s="221" t="s">
        <v>3363</v>
      </c>
      <c r="U1417" s="221" t="s">
        <v>3228</v>
      </c>
      <c r="V1417" s="221" t="s">
        <v>3364</v>
      </c>
      <c r="W1417" s="221" t="s">
        <v>3365</v>
      </c>
      <c r="X1417" s="221"/>
      <c r="Y1417" s="227"/>
      <c r="Z1417" s="227" t="str">
        <f>P1417</f>
        <v>Bumiayu RW 03 Kedungkandang</v>
      </c>
      <c r="AA1417" s="276" t="e">
        <f>VLOOKUP(Logfile_S[[#This Row],[DO number]],DO_DB!G:I,3,0)</f>
        <v>#N/A</v>
      </c>
      <c r="AB1417" s="331" t="e">
        <f>EXACT(Logfile_S[[#This Row],[date pick]],Logfile_S[[#This Row],[Date]])</f>
        <v>#N/A</v>
      </c>
      <c r="AC14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18" spans="1:29" ht="14.5">
      <c r="A1418" s="220" t="str">
        <f>TEXT(ROW(A1418)-ROW($A$4),"000")</f>
        <v>1414</v>
      </c>
      <c r="B1418" s="221"/>
      <c r="C1418" s="221" t="s">
        <v>49</v>
      </c>
      <c r="D1418" s="221" t="s">
        <v>3937</v>
      </c>
      <c r="E1418" s="221" t="s">
        <v>3295</v>
      </c>
      <c r="F1418" s="221" t="s">
        <v>3299</v>
      </c>
      <c r="G1418" s="222">
        <v>45343</v>
      </c>
      <c r="H1418" s="223">
        <v>0.71319444444444446</v>
      </c>
      <c r="I1418" s="221" t="s">
        <v>4916</v>
      </c>
      <c r="J1418" s="221" t="s">
        <v>3023</v>
      </c>
      <c r="K1418" s="224" t="s">
        <v>3069</v>
      </c>
      <c r="L1418" s="225" t="str">
        <f>VLOOKUP(Logfile_S[[#This Row],[Material Name]],Sheet2!B:C,2,0)</f>
        <v>ZTE1001</v>
      </c>
      <c r="M1418" s="225" t="str">
        <f>_xlfn.XLOOKUP(Logfile_S[[#This Row],[Material Name]],Sum_WH!E:E,Sum_WH!F:F,"",0)</f>
        <v>Pcs</v>
      </c>
      <c r="N1418" s="221">
        <v>23</v>
      </c>
      <c r="O1418" s="221" t="s">
        <v>921</v>
      </c>
      <c r="P1418" s="221" t="s">
        <v>922</v>
      </c>
      <c r="Q1418" s="221"/>
      <c r="R1418" s="221"/>
      <c r="S1418" s="221"/>
      <c r="T1418" s="221" t="s">
        <v>3363</v>
      </c>
      <c r="U1418" s="221" t="s">
        <v>3228</v>
      </c>
      <c r="V1418" s="221" t="s">
        <v>3364</v>
      </c>
      <c r="W1418" s="221" t="s">
        <v>3365</v>
      </c>
      <c r="X1418" s="221"/>
      <c r="Y1418" s="227"/>
      <c r="Z1418" s="227" t="str">
        <f>P1418</f>
        <v>Bumiayu RW 03 Kedungkandang</v>
      </c>
      <c r="AA1418" s="276" t="e">
        <f>VLOOKUP(Logfile_S[[#This Row],[DO number]],DO_DB!G:I,3,0)</f>
        <v>#N/A</v>
      </c>
      <c r="AB1418" s="331" t="e">
        <f>EXACT(Logfile_S[[#This Row],[date pick]],Logfile_S[[#This Row],[Date]])</f>
        <v>#N/A</v>
      </c>
      <c r="AC14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19" spans="1:29" ht="14.5">
      <c r="A1419" s="220" t="str">
        <f>TEXT(ROW(A1419)-ROW($A$4),"000")</f>
        <v>1415</v>
      </c>
      <c r="B1419" s="221"/>
      <c r="C1419" s="221" t="s">
        <v>49</v>
      </c>
      <c r="D1419" s="221" t="s">
        <v>3937</v>
      </c>
      <c r="E1419" s="221" t="s">
        <v>3295</v>
      </c>
      <c r="F1419" s="221" t="s">
        <v>3299</v>
      </c>
      <c r="G1419" s="222">
        <v>45343</v>
      </c>
      <c r="H1419" s="223">
        <v>0.71319444444444446</v>
      </c>
      <c r="I1419" s="221" t="s">
        <v>4916</v>
      </c>
      <c r="J1419" s="221" t="s">
        <v>3023</v>
      </c>
      <c r="K1419" s="224" t="s">
        <v>3071</v>
      </c>
      <c r="L1419" s="225" t="str">
        <f>VLOOKUP(Logfile_S[[#This Row],[Material Name]],Sheet2!B:C,2,0)</f>
        <v>ZTE1003</v>
      </c>
      <c r="M1419" s="225" t="str">
        <f>_xlfn.XLOOKUP(Logfile_S[[#This Row],[Material Name]],Sum_WH!E:E,Sum_WH!F:F,"",0)</f>
        <v>Pcs</v>
      </c>
      <c r="N1419" s="221">
        <v>2</v>
      </c>
      <c r="O1419" s="221" t="s">
        <v>921</v>
      </c>
      <c r="P1419" s="221" t="s">
        <v>922</v>
      </c>
      <c r="Q1419" s="221"/>
      <c r="R1419" s="221"/>
      <c r="S1419" s="221"/>
      <c r="T1419" s="221" t="s">
        <v>3363</v>
      </c>
      <c r="U1419" s="221" t="s">
        <v>3228</v>
      </c>
      <c r="V1419" s="221" t="s">
        <v>3364</v>
      </c>
      <c r="W1419" s="221" t="s">
        <v>3365</v>
      </c>
      <c r="X1419" s="221"/>
      <c r="Y1419" s="227"/>
      <c r="Z1419" s="227" t="str">
        <f>P1419</f>
        <v>Bumiayu RW 03 Kedungkandang</v>
      </c>
      <c r="AA1419" s="276" t="e">
        <f>VLOOKUP(Logfile_S[[#This Row],[DO number]],DO_DB!G:I,3,0)</f>
        <v>#N/A</v>
      </c>
      <c r="AB1419" s="331" t="e">
        <f>EXACT(Logfile_S[[#This Row],[date pick]],Logfile_S[[#This Row],[Date]])</f>
        <v>#N/A</v>
      </c>
      <c r="AC14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20" spans="1:29" ht="14.5">
      <c r="A1420" s="220" t="str">
        <f>TEXT(ROW(A1420)-ROW($A$4),"000")</f>
        <v>1416</v>
      </c>
      <c r="B1420" s="221"/>
      <c r="C1420" s="221" t="s">
        <v>48</v>
      </c>
      <c r="D1420" s="221" t="s">
        <v>3941</v>
      </c>
      <c r="E1420" s="221" t="s">
        <v>3295</v>
      </c>
      <c r="F1420" s="221" t="s">
        <v>3299</v>
      </c>
      <c r="G1420" s="222">
        <v>45344</v>
      </c>
      <c r="H1420" s="223">
        <v>15.291666666666666</v>
      </c>
      <c r="I1420" s="221" t="s">
        <v>38</v>
      </c>
      <c r="J1420" s="221" t="s">
        <v>3024</v>
      </c>
      <c r="K1420" s="224" t="s">
        <v>3091</v>
      </c>
      <c r="L1420" s="225" t="str">
        <f>VLOOKUP(Logfile_S[[#This Row],[Material Name]],Sheet2!B:C,2,0)</f>
        <v>GCI1005</v>
      </c>
      <c r="M1420" s="225" t="str">
        <f>_xlfn.XLOOKUP(Logfile_S[[#This Row],[Material Name]],Sum_WH!E:E,Sum_WH!F:F,"",0)</f>
        <v>Pcs</v>
      </c>
      <c r="N1420" s="221">
        <v>54</v>
      </c>
      <c r="O1420" s="221" t="s">
        <v>921</v>
      </c>
      <c r="P1420" s="221" t="s">
        <v>922</v>
      </c>
      <c r="Q1420" s="221">
        <v>0</v>
      </c>
      <c r="R1420" s="221">
        <v>0</v>
      </c>
      <c r="S1420" s="221"/>
      <c r="T1420" s="221"/>
      <c r="U1420" s="221"/>
      <c r="V1420" s="221"/>
      <c r="W1420" s="221"/>
      <c r="X1420" s="221" t="s">
        <v>3360</v>
      </c>
      <c r="Y1420" s="227"/>
      <c r="Z1420" s="227" t="str">
        <f>P1420</f>
        <v>Bumiayu RW 03 Kedungkandang</v>
      </c>
      <c r="AA1420" s="276" t="e">
        <f>VLOOKUP(Logfile_S[[#This Row],[DO number]],DO_DB!G:I,3,0)</f>
        <v>#N/A</v>
      </c>
      <c r="AB1420" s="331" t="e">
        <f>EXACT(Logfile_S[[#This Row],[date pick]],Logfile_S[[#This Row],[Date]])</f>
        <v>#N/A</v>
      </c>
      <c r="AC14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21" spans="1:29" ht="14.5">
      <c r="A1421" s="220" t="str">
        <f>TEXT(ROW(A1421)-ROW($A$4),"000")</f>
        <v>1417</v>
      </c>
      <c r="B1421" s="221"/>
      <c r="C1421" s="221" t="s">
        <v>48</v>
      </c>
      <c r="D1421" s="221" t="s">
        <v>3941</v>
      </c>
      <c r="E1421" s="221" t="s">
        <v>3295</v>
      </c>
      <c r="F1421" s="221" t="s">
        <v>3299</v>
      </c>
      <c r="G1421" s="222">
        <v>45344</v>
      </c>
      <c r="H1421" s="223">
        <v>15.291666666666666</v>
      </c>
      <c r="I1421" s="221" t="s">
        <v>38</v>
      </c>
      <c r="J1421" s="221" t="s">
        <v>3024</v>
      </c>
      <c r="K1421" s="224" t="s">
        <v>3087</v>
      </c>
      <c r="L1421" s="225" t="str">
        <f>VLOOKUP(Logfile_S[[#This Row],[Material Name]],Sheet2!B:C,2,0)</f>
        <v>GCI1001</v>
      </c>
      <c r="M1421" s="225" t="str">
        <f>_xlfn.XLOOKUP(Logfile_S[[#This Row],[Material Name]],Sum_WH!E:E,Sum_WH!F:F,"",0)</f>
        <v>Pcs</v>
      </c>
      <c r="N1421" s="221">
        <v>10</v>
      </c>
      <c r="O1421" s="221" t="s">
        <v>921</v>
      </c>
      <c r="P1421" s="221" t="s">
        <v>922</v>
      </c>
      <c r="Q1421" s="221">
        <v>0</v>
      </c>
      <c r="R1421" s="221">
        <v>0</v>
      </c>
      <c r="S1421" s="221"/>
      <c r="T1421" s="221"/>
      <c r="U1421" s="221"/>
      <c r="V1421" s="221"/>
      <c r="W1421" s="221"/>
      <c r="X1421" s="221" t="s">
        <v>3360</v>
      </c>
      <c r="Y1421" s="227"/>
      <c r="Z1421" s="227" t="str">
        <f>P1421</f>
        <v>Bumiayu RW 03 Kedungkandang</v>
      </c>
      <c r="AA1421" s="276" t="e">
        <f>VLOOKUP(Logfile_S[[#This Row],[DO number]],DO_DB!G:I,3,0)</f>
        <v>#N/A</v>
      </c>
      <c r="AB1421" s="331" t="e">
        <f>EXACT(Logfile_S[[#This Row],[date pick]],Logfile_S[[#This Row],[Date]])</f>
        <v>#N/A</v>
      </c>
      <c r="AC14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22" spans="1:29" ht="14.5">
      <c r="A1422" s="220" t="str">
        <f>TEXT(ROW(A1422)-ROW($A$4),"000")</f>
        <v>1418</v>
      </c>
      <c r="B1422" s="221"/>
      <c r="C1422" s="221" t="s">
        <v>48</v>
      </c>
      <c r="D1422" s="221" t="s">
        <v>3941</v>
      </c>
      <c r="E1422" s="221" t="s">
        <v>3295</v>
      </c>
      <c r="F1422" s="221" t="s">
        <v>3299</v>
      </c>
      <c r="G1422" s="222">
        <v>45344</v>
      </c>
      <c r="H1422" s="223">
        <v>15.291666666666666</v>
      </c>
      <c r="I1422" s="221" t="s">
        <v>38</v>
      </c>
      <c r="J1422" s="221" t="s">
        <v>3024</v>
      </c>
      <c r="K1422" s="224" t="s">
        <v>5137</v>
      </c>
      <c r="L1422" s="225" t="str">
        <f>VLOOKUP(Logfile_S[[#This Row],[Material Name]],Sheet2!B:C,2,0)</f>
        <v>GCI1009</v>
      </c>
      <c r="M1422" s="225" t="str">
        <f>_xlfn.XLOOKUP(Logfile_S[[#This Row],[Material Name]],Sum_WH!E:E,Sum_WH!F:F,"",0)</f>
        <v>Pcs</v>
      </c>
      <c r="N1422" s="221">
        <v>86</v>
      </c>
      <c r="O1422" s="221" t="s">
        <v>921</v>
      </c>
      <c r="P1422" s="221" t="s">
        <v>922</v>
      </c>
      <c r="Q1422" s="221">
        <v>0</v>
      </c>
      <c r="R1422" s="221">
        <v>0</v>
      </c>
      <c r="S1422" s="221"/>
      <c r="T1422" s="221"/>
      <c r="U1422" s="221"/>
      <c r="V1422" s="221"/>
      <c r="W1422" s="221"/>
      <c r="X1422" s="221" t="s">
        <v>3360</v>
      </c>
      <c r="Y1422" s="227"/>
      <c r="Z1422" s="227" t="str">
        <f>P1422</f>
        <v>Bumiayu RW 03 Kedungkandang</v>
      </c>
      <c r="AA1422" s="276" t="e">
        <f>VLOOKUP(Logfile_S[[#This Row],[DO number]],DO_DB!G:I,3,0)</f>
        <v>#N/A</v>
      </c>
      <c r="AB1422" s="331" t="e">
        <f>EXACT(Logfile_S[[#This Row],[date pick]],Logfile_S[[#This Row],[Date]])</f>
        <v>#N/A</v>
      </c>
      <c r="AC14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23" spans="1:29" ht="14.5">
      <c r="A1423" s="220" t="str">
        <f>TEXT(ROW(A1423)-ROW($A$4),"000")</f>
        <v>1419</v>
      </c>
      <c r="B1423" s="221"/>
      <c r="C1423" s="221" t="s">
        <v>48</v>
      </c>
      <c r="D1423" s="221" t="s">
        <v>3941</v>
      </c>
      <c r="E1423" s="221" t="s">
        <v>3295</v>
      </c>
      <c r="F1423" s="221" t="s">
        <v>3299</v>
      </c>
      <c r="G1423" s="222">
        <v>45344</v>
      </c>
      <c r="H1423" s="223">
        <v>15.291666666666666</v>
      </c>
      <c r="I1423" s="221" t="s">
        <v>38</v>
      </c>
      <c r="J1423" s="221" t="s">
        <v>3024</v>
      </c>
      <c r="K1423" s="224" t="s">
        <v>3088</v>
      </c>
      <c r="L1423" s="225" t="str">
        <f>VLOOKUP(Logfile_S[[#This Row],[Material Name]],Sheet2!B:C,2,0)</f>
        <v>GCI1002</v>
      </c>
      <c r="M1423" s="225" t="str">
        <f>_xlfn.XLOOKUP(Logfile_S[[#This Row],[Material Name]],Sum_WH!E:E,Sum_WH!F:F,"",0)</f>
        <v>Pcs</v>
      </c>
      <c r="N1423" s="221">
        <v>1</v>
      </c>
      <c r="O1423" s="221" t="s">
        <v>921</v>
      </c>
      <c r="P1423" s="221" t="s">
        <v>922</v>
      </c>
      <c r="Q1423" s="221">
        <v>0</v>
      </c>
      <c r="R1423" s="221">
        <v>0</v>
      </c>
      <c r="S1423" s="221"/>
      <c r="T1423" s="221"/>
      <c r="U1423" s="221"/>
      <c r="V1423" s="221"/>
      <c r="W1423" s="221"/>
      <c r="X1423" s="221" t="s">
        <v>3360</v>
      </c>
      <c r="Y1423" s="227"/>
      <c r="Z1423" s="227" t="str">
        <f>P1423</f>
        <v>Bumiayu RW 03 Kedungkandang</v>
      </c>
      <c r="AA1423" s="276" t="e">
        <f>VLOOKUP(Logfile_S[[#This Row],[DO number]],DO_DB!G:I,3,0)</f>
        <v>#N/A</v>
      </c>
      <c r="AB1423" s="331" t="e">
        <f>EXACT(Logfile_S[[#This Row],[date pick]],Logfile_S[[#This Row],[Date]])</f>
        <v>#N/A</v>
      </c>
      <c r="AC14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24" spans="1:29" ht="14.5">
      <c r="A1424" s="220" t="str">
        <f>TEXT(ROW(A1424)-ROW($A$4),"000")</f>
        <v>1420</v>
      </c>
      <c r="B1424" s="221"/>
      <c r="C1424" s="221" t="s">
        <v>49</v>
      </c>
      <c r="D1424" s="221" t="s">
        <v>3939</v>
      </c>
      <c r="E1424" s="221" t="s">
        <v>3295</v>
      </c>
      <c r="F1424" s="221" t="s">
        <v>3299</v>
      </c>
      <c r="G1424" s="222">
        <v>45344</v>
      </c>
      <c r="H1424" s="223">
        <v>0.49791666666666662</v>
      </c>
      <c r="I1424" s="221" t="s">
        <v>4916</v>
      </c>
      <c r="J1424" s="221" t="s">
        <v>3023</v>
      </c>
      <c r="K1424" s="224" t="s">
        <v>3069</v>
      </c>
      <c r="L1424" s="225" t="str">
        <f>VLOOKUP(Logfile_S[[#This Row],[Material Name]],Sheet2!B:C,2,0)</f>
        <v>ZTE1001</v>
      </c>
      <c r="M1424" s="225" t="str">
        <f>_xlfn.XLOOKUP(Logfile_S[[#This Row],[Material Name]],Sum_WH!E:E,Sum_WH!F:F,"",0)</f>
        <v>Pcs</v>
      </c>
      <c r="N1424" s="221">
        <v>25</v>
      </c>
      <c r="O1424" s="221" t="s">
        <v>921</v>
      </c>
      <c r="P1424" s="221" t="s">
        <v>922</v>
      </c>
      <c r="Q1424" s="221"/>
      <c r="R1424" s="221"/>
      <c r="S1424" s="221"/>
      <c r="T1424" s="221" t="s">
        <v>3363</v>
      </c>
      <c r="U1424" s="221" t="s">
        <v>3228</v>
      </c>
      <c r="V1424" s="221" t="s">
        <v>3364</v>
      </c>
      <c r="W1424" s="221" t="s">
        <v>3365</v>
      </c>
      <c r="X1424" s="221"/>
      <c r="Y1424" s="227"/>
      <c r="Z1424" s="227" t="str">
        <f>P1424</f>
        <v>Bumiayu RW 03 Kedungkandang</v>
      </c>
      <c r="AA1424" s="276" t="e">
        <f>VLOOKUP(Logfile_S[[#This Row],[DO number]],DO_DB!G:I,3,0)</f>
        <v>#N/A</v>
      </c>
      <c r="AB1424" s="331" t="e">
        <f>EXACT(Logfile_S[[#This Row],[date pick]],Logfile_S[[#This Row],[Date]])</f>
        <v>#N/A</v>
      </c>
      <c r="AC14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25" spans="1:29" ht="14.5">
      <c r="A1425" s="220" t="str">
        <f>TEXT(ROW(A1425)-ROW($A$4),"000")</f>
        <v>1421</v>
      </c>
      <c r="B1425" s="221"/>
      <c r="C1425" s="221" t="s">
        <v>48</v>
      </c>
      <c r="D1425" s="221" t="s">
        <v>3941</v>
      </c>
      <c r="E1425" s="221" t="s">
        <v>3295</v>
      </c>
      <c r="F1425" s="221" t="s">
        <v>3299</v>
      </c>
      <c r="G1425" s="222">
        <v>45344</v>
      </c>
      <c r="H1425" s="223">
        <v>15.291666666666666</v>
      </c>
      <c r="I1425" s="221" t="s">
        <v>38</v>
      </c>
      <c r="J1425" s="221" t="s">
        <v>3024</v>
      </c>
      <c r="K1425" s="224" t="s">
        <v>3094</v>
      </c>
      <c r="L1425" s="225" t="str">
        <f>VLOOKUP(Logfile_S[[#This Row],[Material Name]],Sheet2!B:C,2,0)</f>
        <v>GCI1008</v>
      </c>
      <c r="M1425" s="225" t="str">
        <f>_xlfn.XLOOKUP(Logfile_S[[#This Row],[Material Name]],Sum_WH!E:E,Sum_WH!F:F,"",0)</f>
        <v>Pcs</v>
      </c>
      <c r="N1425" s="221">
        <v>43</v>
      </c>
      <c r="O1425" s="221" t="s">
        <v>921</v>
      </c>
      <c r="P1425" s="221" t="s">
        <v>922</v>
      </c>
      <c r="Q1425" s="221">
        <v>0</v>
      </c>
      <c r="R1425" s="221">
        <v>0</v>
      </c>
      <c r="S1425" s="221"/>
      <c r="T1425" s="221"/>
      <c r="U1425" s="221"/>
      <c r="V1425" s="221"/>
      <c r="W1425" s="221"/>
      <c r="X1425" s="221" t="s">
        <v>3360</v>
      </c>
      <c r="Y1425" s="227"/>
      <c r="Z1425" s="227" t="str">
        <f>P1425</f>
        <v>Bumiayu RW 03 Kedungkandang</v>
      </c>
      <c r="AA1425" s="276" t="e">
        <f>VLOOKUP(Logfile_S[[#This Row],[DO number]],DO_DB!G:I,3,0)</f>
        <v>#N/A</v>
      </c>
      <c r="AB1425" s="331" t="e">
        <f>EXACT(Logfile_S[[#This Row],[date pick]],Logfile_S[[#This Row],[Date]])</f>
        <v>#N/A</v>
      </c>
      <c r="AC14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26" spans="1:29" ht="14.5">
      <c r="A1426" s="220" t="str">
        <f>TEXT(ROW(A1426)-ROW($A$4),"000")</f>
        <v>1422</v>
      </c>
      <c r="B1426" s="221"/>
      <c r="C1426" s="221" t="s">
        <v>48</v>
      </c>
      <c r="D1426" s="221" t="s">
        <v>3941</v>
      </c>
      <c r="E1426" s="221" t="s">
        <v>3295</v>
      </c>
      <c r="F1426" s="221" t="s">
        <v>3299</v>
      </c>
      <c r="G1426" s="222">
        <v>45344</v>
      </c>
      <c r="H1426" s="223">
        <v>15.291666666666666</v>
      </c>
      <c r="I1426" s="221" t="s">
        <v>38</v>
      </c>
      <c r="J1426" s="221" t="s">
        <v>3024</v>
      </c>
      <c r="K1426" s="224" t="s">
        <v>3089</v>
      </c>
      <c r="L1426" s="225" t="str">
        <f>VLOOKUP(Logfile_S[[#This Row],[Material Name]],Sheet2!B:C,2,0)</f>
        <v>GCI1003</v>
      </c>
      <c r="M1426" s="225" t="str">
        <f>_xlfn.XLOOKUP(Logfile_S[[#This Row],[Material Name]],Sum_WH!E:E,Sum_WH!F:F,"",0)</f>
        <v>Pcs</v>
      </c>
      <c r="N1426" s="221">
        <v>51</v>
      </c>
      <c r="O1426" s="221" t="s">
        <v>921</v>
      </c>
      <c r="P1426" s="221" t="s">
        <v>922</v>
      </c>
      <c r="Q1426" s="221">
        <v>0</v>
      </c>
      <c r="R1426" s="221">
        <v>0</v>
      </c>
      <c r="S1426" s="221"/>
      <c r="T1426" s="221"/>
      <c r="U1426" s="221"/>
      <c r="V1426" s="221"/>
      <c r="W1426" s="221"/>
      <c r="X1426" s="221" t="s">
        <v>3360</v>
      </c>
      <c r="Y1426" s="227"/>
      <c r="Z1426" s="227" t="str">
        <f>P1426</f>
        <v>Bumiayu RW 03 Kedungkandang</v>
      </c>
      <c r="AA1426" s="276" t="e">
        <f>VLOOKUP(Logfile_S[[#This Row],[DO number]],DO_DB!G:I,3,0)</f>
        <v>#N/A</v>
      </c>
      <c r="AB1426" s="331" t="e">
        <f>EXACT(Logfile_S[[#This Row],[date pick]],Logfile_S[[#This Row],[Date]])</f>
        <v>#N/A</v>
      </c>
      <c r="AC14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27" spans="1:29" ht="14.5">
      <c r="A1427" s="220" t="str">
        <f>TEXT(ROW(A1427)-ROW($A$4),"000")</f>
        <v>1423</v>
      </c>
      <c r="B1427" s="221"/>
      <c r="C1427" s="221" t="s">
        <v>48</v>
      </c>
      <c r="D1427" s="221" t="s">
        <v>3941</v>
      </c>
      <c r="E1427" s="221" t="s">
        <v>3295</v>
      </c>
      <c r="F1427" s="221" t="s">
        <v>3299</v>
      </c>
      <c r="G1427" s="222">
        <v>45344</v>
      </c>
      <c r="H1427" s="223">
        <v>15.291666666666666</v>
      </c>
      <c r="I1427" s="221" t="s">
        <v>38</v>
      </c>
      <c r="J1427" s="221" t="s">
        <v>3024</v>
      </c>
      <c r="K1427" s="224" t="s">
        <v>3090</v>
      </c>
      <c r="L1427" s="225" t="str">
        <f>VLOOKUP(Logfile_S[[#This Row],[Material Name]],Sheet2!B:C,2,0)</f>
        <v>GCI1004</v>
      </c>
      <c r="M1427" s="225" t="str">
        <f>_xlfn.XLOOKUP(Logfile_S[[#This Row],[Material Name]],Sum_WH!E:E,Sum_WH!F:F,"",0)</f>
        <v>Pcs</v>
      </c>
      <c r="N1427" s="221">
        <v>22</v>
      </c>
      <c r="O1427" s="221" t="s">
        <v>921</v>
      </c>
      <c r="P1427" s="221" t="s">
        <v>922</v>
      </c>
      <c r="Q1427" s="221">
        <v>0</v>
      </c>
      <c r="R1427" s="221">
        <v>0</v>
      </c>
      <c r="S1427" s="221"/>
      <c r="T1427" s="221"/>
      <c r="U1427" s="221"/>
      <c r="V1427" s="221"/>
      <c r="W1427" s="221"/>
      <c r="X1427" s="221" t="s">
        <v>3360</v>
      </c>
      <c r="Y1427" s="227"/>
      <c r="Z1427" s="227" t="str">
        <f>P1427</f>
        <v>Bumiayu RW 03 Kedungkandang</v>
      </c>
      <c r="AA1427" s="276" t="e">
        <f>VLOOKUP(Logfile_S[[#This Row],[DO number]],DO_DB!G:I,3,0)</f>
        <v>#N/A</v>
      </c>
      <c r="AB1427" s="331" t="e">
        <f>EXACT(Logfile_S[[#This Row],[date pick]],Logfile_S[[#This Row],[Date]])</f>
        <v>#N/A</v>
      </c>
      <c r="AC14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28" spans="1:29" ht="14.5">
      <c r="A1428" s="220" t="str">
        <f>TEXT(ROW(A1428)-ROW($A$4),"000")</f>
        <v>1424</v>
      </c>
      <c r="B1428" s="221"/>
      <c r="C1428" s="221" t="s">
        <v>49</v>
      </c>
      <c r="D1428" s="221" t="s">
        <v>3946</v>
      </c>
      <c r="E1428" s="221" t="s">
        <v>3295</v>
      </c>
      <c r="F1428" s="221" t="s">
        <v>3299</v>
      </c>
      <c r="G1428" s="222">
        <v>45345</v>
      </c>
      <c r="H1428" s="223">
        <v>0.78263888888888899</v>
      </c>
      <c r="I1428" s="221" t="s">
        <v>4916</v>
      </c>
      <c r="J1428" s="221" t="s">
        <v>3023</v>
      </c>
      <c r="K1428" s="224" t="s">
        <v>3075</v>
      </c>
      <c r="L1428" s="225" t="str">
        <f>VLOOKUP(Logfile_S[[#This Row],[Material Name]],Sheet2!B:C,2,0)</f>
        <v>ZTE2003</v>
      </c>
      <c r="M1428" s="225" t="str">
        <f>_xlfn.XLOOKUP(Logfile_S[[#This Row],[Material Name]],Sum_WH!E:E,Sum_WH!F:F,"",0)</f>
        <v>Meter</v>
      </c>
      <c r="N1428" s="221">
        <v>3000</v>
      </c>
      <c r="O1428" s="221" t="s">
        <v>921</v>
      </c>
      <c r="P1428" s="221" t="s">
        <v>922</v>
      </c>
      <c r="Q1428" s="221"/>
      <c r="R1428" s="221"/>
      <c r="S1428" s="221"/>
      <c r="T1428" s="221" t="s">
        <v>3363</v>
      </c>
      <c r="U1428" s="221" t="s">
        <v>3228</v>
      </c>
      <c r="V1428" s="221" t="s">
        <v>3364</v>
      </c>
      <c r="W1428" s="221" t="s">
        <v>3365</v>
      </c>
      <c r="X1428" s="221" t="s">
        <v>3551</v>
      </c>
      <c r="Y1428" s="227"/>
      <c r="Z1428" s="227" t="str">
        <f>P1428</f>
        <v>Bumiayu RW 03 Kedungkandang</v>
      </c>
      <c r="AA1428" s="276" t="e">
        <f>VLOOKUP(Logfile_S[[#This Row],[DO number]],DO_DB!G:I,3,0)</f>
        <v>#N/A</v>
      </c>
      <c r="AB1428" s="331" t="e">
        <f>EXACT(Logfile_S[[#This Row],[date pick]],Logfile_S[[#This Row],[Date]])</f>
        <v>#N/A</v>
      </c>
      <c r="AC14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29" spans="1:29" ht="14.5">
      <c r="A1429" s="220" t="str">
        <f>TEXT(ROW(A1429)-ROW($A$4),"000")</f>
        <v>1425</v>
      </c>
      <c r="B1429" s="221"/>
      <c r="C1429" s="221" t="s">
        <v>49</v>
      </c>
      <c r="D1429" s="221" t="s">
        <v>3948</v>
      </c>
      <c r="E1429" s="221" t="s">
        <v>3295</v>
      </c>
      <c r="F1429" s="221" t="s">
        <v>3299</v>
      </c>
      <c r="G1429" s="222">
        <v>45345</v>
      </c>
      <c r="H1429" s="223">
        <v>0.86597222222222225</v>
      </c>
      <c r="I1429" s="221" t="s">
        <v>4916</v>
      </c>
      <c r="J1429" s="221" t="s">
        <v>3023</v>
      </c>
      <c r="K1429" s="224" t="s">
        <v>3075</v>
      </c>
      <c r="L1429" s="225" t="str">
        <f>VLOOKUP(Logfile_S[[#This Row],[Material Name]],Sheet2!B:C,2,0)</f>
        <v>ZTE2003</v>
      </c>
      <c r="M1429" s="225" t="str">
        <f>_xlfn.XLOOKUP(Logfile_S[[#This Row],[Material Name]],Sum_WH!E:E,Sum_WH!F:F,"",0)</f>
        <v>Meter</v>
      </c>
      <c r="N1429" s="221">
        <v>3000</v>
      </c>
      <c r="O1429" s="221" t="s">
        <v>921</v>
      </c>
      <c r="P1429" s="221" t="s">
        <v>922</v>
      </c>
      <c r="Q1429" s="221"/>
      <c r="R1429" s="221"/>
      <c r="S1429" s="221"/>
      <c r="T1429" s="221" t="s">
        <v>3363</v>
      </c>
      <c r="U1429" s="221" t="s">
        <v>3228</v>
      </c>
      <c r="V1429" s="221" t="s">
        <v>3364</v>
      </c>
      <c r="W1429" s="221" t="s">
        <v>3365</v>
      </c>
      <c r="X1429" s="221" t="s">
        <v>3549</v>
      </c>
      <c r="Y1429" s="227"/>
      <c r="Z1429" s="227" t="str">
        <f>P1429</f>
        <v>Bumiayu RW 03 Kedungkandang</v>
      </c>
      <c r="AA1429" s="276" t="e">
        <f>VLOOKUP(Logfile_S[[#This Row],[DO number]],DO_DB!G:I,3,0)</f>
        <v>#N/A</v>
      </c>
      <c r="AB1429" s="331" t="e">
        <f>EXACT(Logfile_S[[#This Row],[date pick]],Logfile_S[[#This Row],[Date]])</f>
        <v>#N/A</v>
      </c>
      <c r="AC14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30" spans="1:29" ht="14.5">
      <c r="A1430" s="237" t="str">
        <f>TEXT(ROW(A1430)-ROW($A$4),"000")</f>
        <v>1426</v>
      </c>
      <c r="B1430" s="221"/>
      <c r="C1430" s="221" t="s">
        <v>49</v>
      </c>
      <c r="D1430" s="221" t="s">
        <v>3948</v>
      </c>
      <c r="E1430" s="221" t="s">
        <v>3295</v>
      </c>
      <c r="F1430" s="221" t="s">
        <v>3299</v>
      </c>
      <c r="G1430" s="222">
        <v>45345</v>
      </c>
      <c r="H1430" s="223">
        <v>0.86597222222222225</v>
      </c>
      <c r="I1430" s="221" t="s">
        <v>4916</v>
      </c>
      <c r="J1430" s="221" t="s">
        <v>3023</v>
      </c>
      <c r="K1430" s="224" t="s">
        <v>3075</v>
      </c>
      <c r="L1430" s="225" t="str">
        <f>VLOOKUP(Logfile_S[[#This Row],[Material Name]],Sheet2!B:C,2,0)</f>
        <v>ZTE2003</v>
      </c>
      <c r="M1430" s="225" t="str">
        <f>_xlfn.XLOOKUP(Logfile_S[[#This Row],[Material Name]],Sum_WH!E:E,Sum_WH!F:F,"",0)</f>
        <v>Meter</v>
      </c>
      <c r="N1430" s="221">
        <v>3000</v>
      </c>
      <c r="O1430" s="221" t="s">
        <v>921</v>
      </c>
      <c r="P1430" s="221" t="s">
        <v>922</v>
      </c>
      <c r="Q1430" s="221"/>
      <c r="R1430" s="227"/>
      <c r="S1430" s="227"/>
      <c r="T1430" s="221" t="s">
        <v>3363</v>
      </c>
      <c r="U1430" s="221" t="s">
        <v>3228</v>
      </c>
      <c r="V1430" s="221" t="s">
        <v>3364</v>
      </c>
      <c r="W1430" s="221" t="s">
        <v>3365</v>
      </c>
      <c r="X1430" s="221" t="s">
        <v>3549</v>
      </c>
      <c r="Y1430" s="238"/>
      <c r="Z1430" s="227" t="str">
        <f>P1430</f>
        <v>Bumiayu RW 03 Kedungkandang</v>
      </c>
      <c r="AA1430" s="276" t="e">
        <f>VLOOKUP(Logfile_S[[#This Row],[DO number]],DO_DB!G:I,3,0)</f>
        <v>#N/A</v>
      </c>
      <c r="AB1430" s="331" t="e">
        <f>EXACT(Logfile_S[[#This Row],[date pick]],Logfile_S[[#This Row],[Date]])</f>
        <v>#N/A</v>
      </c>
      <c r="AC14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31" spans="1:29" ht="14.5">
      <c r="A1431" s="220" t="str">
        <f>TEXT(ROW(A1431)-ROW($A$4),"000")</f>
        <v>1427</v>
      </c>
      <c r="B1431" s="221"/>
      <c r="C1431" s="221" t="s">
        <v>49</v>
      </c>
      <c r="D1431" s="221" t="s">
        <v>3946</v>
      </c>
      <c r="E1431" s="221" t="s">
        <v>3295</v>
      </c>
      <c r="F1431" s="221" t="s">
        <v>3299</v>
      </c>
      <c r="G1431" s="222">
        <v>45345</v>
      </c>
      <c r="H1431" s="223">
        <v>0.78263888888888899</v>
      </c>
      <c r="I1431" s="221" t="s">
        <v>4916</v>
      </c>
      <c r="J1431" s="221" t="s">
        <v>3024</v>
      </c>
      <c r="K1431" s="224" t="s">
        <v>16</v>
      </c>
      <c r="L1431" s="225" t="str">
        <f>VLOOKUP(Logfile_S[[#This Row],[Material Name]],Sheet2!B:C,2,0)</f>
        <v>ZTE2020</v>
      </c>
      <c r="M1431" s="225" t="str">
        <f>_xlfn.XLOOKUP(Logfile_S[[#This Row],[Material Name]],Sum_WH!E:E,Sum_WH!F:F,"",0)</f>
        <v>Meter</v>
      </c>
      <c r="N1431" s="221">
        <v>1</v>
      </c>
      <c r="O1431" s="221" t="s">
        <v>921</v>
      </c>
      <c r="P1431" s="221" t="s">
        <v>922</v>
      </c>
      <c r="Q1431" s="221"/>
      <c r="R1431" s="221"/>
      <c r="S1431" s="221"/>
      <c r="T1431" s="221" t="s">
        <v>3363</v>
      </c>
      <c r="U1431" s="221" t="s">
        <v>3228</v>
      </c>
      <c r="V1431" s="221" t="s">
        <v>3364</v>
      </c>
      <c r="W1431" s="221" t="s">
        <v>3365</v>
      </c>
      <c r="X1431" s="221" t="s">
        <v>3427</v>
      </c>
      <c r="Y1431" s="227"/>
      <c r="Z1431" s="227" t="str">
        <f>P1431</f>
        <v>Bumiayu RW 03 Kedungkandang</v>
      </c>
      <c r="AA1431" s="276" t="e">
        <f>VLOOKUP(Logfile_S[[#This Row],[DO number]],DO_DB!G:I,3,0)</f>
        <v>#N/A</v>
      </c>
      <c r="AB1431" s="331" t="e">
        <f>EXACT(Logfile_S[[#This Row],[date pick]],Logfile_S[[#This Row],[Date]])</f>
        <v>#N/A</v>
      </c>
      <c r="AC14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32" spans="1:29" ht="14.5">
      <c r="A1432" s="220" t="str">
        <f>TEXT(ROW(A1432)-ROW($A$4),"000")</f>
        <v>1428</v>
      </c>
      <c r="B1432" s="221"/>
      <c r="C1432" s="221" t="s">
        <v>49</v>
      </c>
      <c r="D1432" s="221" t="s">
        <v>3947</v>
      </c>
      <c r="E1432" s="221" t="s">
        <v>3295</v>
      </c>
      <c r="F1432" s="221" t="s">
        <v>3299</v>
      </c>
      <c r="G1432" s="222">
        <v>45345</v>
      </c>
      <c r="H1432" s="223">
        <v>0.79652777777777783</v>
      </c>
      <c r="I1432" s="221" t="s">
        <v>4916</v>
      </c>
      <c r="J1432" s="221" t="s">
        <v>3023</v>
      </c>
      <c r="K1432" s="224" t="s">
        <v>13</v>
      </c>
      <c r="L1432" s="225" t="str">
        <f>VLOOKUP(Logfile_S[[#This Row],[Material Name]],Sheet2!B:C,2,0)</f>
        <v>ZTE2008</v>
      </c>
      <c r="M1432" s="225" t="str">
        <f>_xlfn.XLOOKUP(Logfile_S[[#This Row],[Material Name]],Sum_WH!E:E,Sum_WH!F:F,"",0)</f>
        <v>Pcs</v>
      </c>
      <c r="N1432" s="221">
        <v>11</v>
      </c>
      <c r="O1432" s="221" t="s">
        <v>921</v>
      </c>
      <c r="P1432" s="221" t="s">
        <v>922</v>
      </c>
      <c r="Q1432" s="221"/>
      <c r="R1432" s="221"/>
      <c r="S1432" s="221"/>
      <c r="T1432" s="221" t="s">
        <v>3231</v>
      </c>
      <c r="U1432" s="221" t="s">
        <v>3228</v>
      </c>
      <c r="V1432" s="221" t="s">
        <v>3232</v>
      </c>
      <c r="W1432" s="221" t="s">
        <v>3246</v>
      </c>
      <c r="X1432" s="221"/>
      <c r="Y1432" s="227"/>
      <c r="Z1432" s="227" t="str">
        <f>P1432</f>
        <v>Bumiayu RW 03 Kedungkandang</v>
      </c>
      <c r="AA1432" s="276" t="e">
        <f>VLOOKUP(Logfile_S[[#This Row],[DO number]],DO_DB!G:I,3,0)</f>
        <v>#N/A</v>
      </c>
      <c r="AB1432" s="331" t="e">
        <f>EXACT(Logfile_S[[#This Row],[date pick]],Logfile_S[[#This Row],[Date]])</f>
        <v>#N/A</v>
      </c>
      <c r="AC14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33" spans="1:29" ht="14.5">
      <c r="A1433" s="220" t="str">
        <f>TEXT(ROW(A1433)-ROW($A$4),"000")</f>
        <v>1429</v>
      </c>
      <c r="B1433" s="221"/>
      <c r="C1433" s="221" t="s">
        <v>49</v>
      </c>
      <c r="D1433" s="221" t="s">
        <v>3947</v>
      </c>
      <c r="E1433" s="221" t="s">
        <v>3295</v>
      </c>
      <c r="F1433" s="221" t="s">
        <v>3299</v>
      </c>
      <c r="G1433" s="222">
        <v>45345</v>
      </c>
      <c r="H1433" s="223">
        <v>0.79652777777777783</v>
      </c>
      <c r="I1433" s="221" t="s">
        <v>4916</v>
      </c>
      <c r="J1433" s="221" t="s">
        <v>3023</v>
      </c>
      <c r="K1433" s="224" t="s">
        <v>3103</v>
      </c>
      <c r="L1433" s="225" t="str">
        <f>VLOOKUP(Logfile_S[[#This Row],[Material Name]],Sheet2!B:C,2,0)</f>
        <v>GCI2013</v>
      </c>
      <c r="M1433" s="225" t="str">
        <f>_xlfn.XLOOKUP(Logfile_S[[#This Row],[Material Name]],Sum_WH!E:E,Sum_WH!F:F,"",0)</f>
        <v>Pcs</v>
      </c>
      <c r="N1433" s="221">
        <v>22</v>
      </c>
      <c r="O1433" s="221" t="s">
        <v>921</v>
      </c>
      <c r="P1433" s="221" t="s">
        <v>922</v>
      </c>
      <c r="Q1433" s="221"/>
      <c r="R1433" s="221"/>
      <c r="S1433" s="221"/>
      <c r="T1433" s="221" t="s">
        <v>3231</v>
      </c>
      <c r="U1433" s="221" t="s">
        <v>3228</v>
      </c>
      <c r="V1433" s="221" t="s">
        <v>3232</v>
      </c>
      <c r="W1433" s="221" t="s">
        <v>3246</v>
      </c>
      <c r="X1433" s="221"/>
      <c r="Y1433" s="227"/>
      <c r="Z1433" s="227" t="str">
        <f>P1433</f>
        <v>Bumiayu RW 03 Kedungkandang</v>
      </c>
      <c r="AA1433" s="276" t="e">
        <f>VLOOKUP(Logfile_S[[#This Row],[DO number]],DO_DB!G:I,3,0)</f>
        <v>#N/A</v>
      </c>
      <c r="AB1433" s="331" t="e">
        <f>EXACT(Logfile_S[[#This Row],[date pick]],Logfile_S[[#This Row],[Date]])</f>
        <v>#N/A</v>
      </c>
      <c r="AC14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34" spans="1:29" ht="14.5">
      <c r="A1434" s="220" t="str">
        <f>TEXT(ROW(A1434)-ROW($A$4),"000")</f>
        <v>1430</v>
      </c>
      <c r="B1434" s="221"/>
      <c r="C1434" s="221" t="s">
        <v>49</v>
      </c>
      <c r="D1434" s="221" t="s">
        <v>3947</v>
      </c>
      <c r="E1434" s="221" t="s">
        <v>3295</v>
      </c>
      <c r="F1434" s="221" t="s">
        <v>3299</v>
      </c>
      <c r="G1434" s="222">
        <v>45345</v>
      </c>
      <c r="H1434" s="223">
        <v>0.79652777777777783</v>
      </c>
      <c r="I1434" s="221" t="s">
        <v>4916</v>
      </c>
      <c r="J1434" s="221" t="s">
        <v>3023</v>
      </c>
      <c r="K1434" s="224" t="s">
        <v>14</v>
      </c>
      <c r="L1434" s="225" t="str">
        <f>VLOOKUP(Logfile_S[[#This Row],[Material Name]],Sheet2!B:C,2,0)</f>
        <v>ZTE2005</v>
      </c>
      <c r="M1434" s="225" t="str">
        <f>_xlfn.XLOOKUP(Logfile_S[[#This Row],[Material Name]],Sum_WH!E:E,Sum_WH!F:F,"",0)</f>
        <v>Pcs</v>
      </c>
      <c r="N1434" s="221">
        <v>2</v>
      </c>
      <c r="O1434" s="221" t="s">
        <v>921</v>
      </c>
      <c r="P1434" s="221" t="s">
        <v>922</v>
      </c>
      <c r="Q1434" s="221"/>
      <c r="R1434" s="221"/>
      <c r="S1434" s="221"/>
      <c r="T1434" s="221" t="s">
        <v>3231</v>
      </c>
      <c r="U1434" s="221" t="s">
        <v>3228</v>
      </c>
      <c r="V1434" s="221" t="s">
        <v>3232</v>
      </c>
      <c r="W1434" s="221" t="s">
        <v>3246</v>
      </c>
      <c r="X1434" s="221"/>
      <c r="Y1434" s="227"/>
      <c r="Z1434" s="227" t="str">
        <f>P1434</f>
        <v>Bumiayu RW 03 Kedungkandang</v>
      </c>
      <c r="AA1434" s="276" t="e">
        <f>VLOOKUP(Logfile_S[[#This Row],[DO number]],DO_DB!G:I,3,0)</f>
        <v>#N/A</v>
      </c>
      <c r="AB1434" s="331" t="e">
        <f>EXACT(Logfile_S[[#This Row],[date pick]],Logfile_S[[#This Row],[Date]])</f>
        <v>#N/A</v>
      </c>
      <c r="AC14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35" spans="1:29" ht="14.5">
      <c r="A1435" s="220" t="str">
        <f>TEXT(ROW(A1435)-ROW($A$4),"000")</f>
        <v>1431</v>
      </c>
      <c r="B1435" s="221"/>
      <c r="C1435" s="221" t="s">
        <v>49</v>
      </c>
      <c r="D1435" s="221" t="s">
        <v>3947</v>
      </c>
      <c r="E1435" s="221" t="s">
        <v>3295</v>
      </c>
      <c r="F1435" s="221" t="s">
        <v>3299</v>
      </c>
      <c r="G1435" s="222">
        <v>45345</v>
      </c>
      <c r="H1435" s="223">
        <v>0.79652777777777783</v>
      </c>
      <c r="I1435" s="221" t="s">
        <v>4916</v>
      </c>
      <c r="J1435" s="221" t="s">
        <v>3023</v>
      </c>
      <c r="K1435" s="224" t="s">
        <v>3072</v>
      </c>
      <c r="L1435" s="225" t="str">
        <f>VLOOKUP(Logfile_S[[#This Row],[Material Name]],Sheet2!B:C,2,0)</f>
        <v>ZTE1004</v>
      </c>
      <c r="M1435" s="225" t="str">
        <f>_xlfn.XLOOKUP(Logfile_S[[#This Row],[Material Name]],Sum_WH!E:E,Sum_WH!F:F,"",0)</f>
        <v>Pcs</v>
      </c>
      <c r="N1435" s="221">
        <v>2</v>
      </c>
      <c r="O1435" s="221" t="s">
        <v>921</v>
      </c>
      <c r="P1435" s="221" t="s">
        <v>922</v>
      </c>
      <c r="Q1435" s="221"/>
      <c r="R1435" s="221"/>
      <c r="S1435" s="221"/>
      <c r="T1435" s="221" t="s">
        <v>3231</v>
      </c>
      <c r="U1435" s="221" t="s">
        <v>3228</v>
      </c>
      <c r="V1435" s="221" t="s">
        <v>3232</v>
      </c>
      <c r="W1435" s="221" t="s">
        <v>3246</v>
      </c>
      <c r="X1435" s="221"/>
      <c r="Y1435" s="227"/>
      <c r="Z1435" s="227" t="str">
        <f>P1435</f>
        <v>Bumiayu RW 03 Kedungkandang</v>
      </c>
      <c r="AA1435" s="276" t="e">
        <f>VLOOKUP(Logfile_S[[#This Row],[DO number]],DO_DB!G:I,3,0)</f>
        <v>#N/A</v>
      </c>
      <c r="AB1435" s="331" t="e">
        <f>EXACT(Logfile_S[[#This Row],[date pick]],Logfile_S[[#This Row],[Date]])</f>
        <v>#N/A</v>
      </c>
      <c r="AC14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36" spans="1:29" ht="14.5">
      <c r="A1436" s="220" t="str">
        <f>TEXT(ROW(A1436)-ROW($A$4),"000")</f>
        <v>1432</v>
      </c>
      <c r="B1436" s="221"/>
      <c r="C1436" s="221" t="s">
        <v>49</v>
      </c>
      <c r="D1436" s="221" t="s">
        <v>3950</v>
      </c>
      <c r="E1436" s="221" t="s">
        <v>3295</v>
      </c>
      <c r="F1436" s="221" t="s">
        <v>3299</v>
      </c>
      <c r="G1436" s="222">
        <v>45348</v>
      </c>
      <c r="H1436" s="223">
        <v>0.35902777777777778</v>
      </c>
      <c r="I1436" s="221" t="s">
        <v>4916</v>
      </c>
      <c r="J1436" s="221" t="s">
        <v>3024</v>
      </c>
      <c r="K1436" s="224" t="s">
        <v>3087</v>
      </c>
      <c r="L1436" s="225" t="str">
        <f>VLOOKUP(Logfile_S[[#This Row],[Material Name]],Sheet2!B:C,2,0)</f>
        <v>GCI1001</v>
      </c>
      <c r="M1436" s="225" t="str">
        <f>_xlfn.XLOOKUP(Logfile_S[[#This Row],[Material Name]],Sum_WH!E:E,Sum_WH!F:F,"",0)</f>
        <v>Pcs</v>
      </c>
      <c r="N1436" s="221">
        <v>22</v>
      </c>
      <c r="O1436" s="221" t="s">
        <v>921</v>
      </c>
      <c r="P1436" s="221" t="s">
        <v>922</v>
      </c>
      <c r="Q1436" s="221"/>
      <c r="R1436" s="221"/>
      <c r="S1436" s="221"/>
      <c r="T1436" s="221" t="s">
        <v>3363</v>
      </c>
      <c r="U1436" s="221" t="s">
        <v>3228</v>
      </c>
      <c r="V1436" s="221" t="s">
        <v>3364</v>
      </c>
      <c r="W1436" s="221" t="s">
        <v>3365</v>
      </c>
      <c r="X1436" s="221"/>
      <c r="Y1436" s="227"/>
      <c r="Z1436" s="227" t="str">
        <f>P1436</f>
        <v>Bumiayu RW 03 Kedungkandang</v>
      </c>
      <c r="AA1436" s="276" t="e">
        <f>VLOOKUP(Logfile_S[[#This Row],[DO number]],DO_DB!G:I,3,0)</f>
        <v>#N/A</v>
      </c>
      <c r="AB1436" s="331" t="e">
        <f>EXACT(Logfile_S[[#This Row],[date pick]],Logfile_S[[#This Row],[Date]])</f>
        <v>#N/A</v>
      </c>
      <c r="AC14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37" spans="1:29" ht="14.5">
      <c r="A1437" s="220" t="str">
        <f>TEXT(ROW(A1437)-ROW($A$4),"000")</f>
        <v>1433</v>
      </c>
      <c r="B1437" s="221"/>
      <c r="C1437" s="221" t="s">
        <v>49</v>
      </c>
      <c r="D1437" s="221" t="s">
        <v>3950</v>
      </c>
      <c r="E1437" s="221" t="s">
        <v>3295</v>
      </c>
      <c r="F1437" s="221" t="s">
        <v>3299</v>
      </c>
      <c r="G1437" s="222">
        <v>45348</v>
      </c>
      <c r="H1437" s="223">
        <v>0.35902777777777778</v>
      </c>
      <c r="I1437" s="221" t="s">
        <v>4916</v>
      </c>
      <c r="J1437" s="221" t="s">
        <v>3024</v>
      </c>
      <c r="K1437" s="224" t="s">
        <v>3088</v>
      </c>
      <c r="L1437" s="225" t="str">
        <f>VLOOKUP(Logfile_S[[#This Row],[Material Name]],Sheet2!B:C,2,0)</f>
        <v>GCI1002</v>
      </c>
      <c r="M1437" s="225" t="str">
        <f>_xlfn.XLOOKUP(Logfile_S[[#This Row],[Material Name]],Sum_WH!E:E,Sum_WH!F:F,"",0)</f>
        <v>Pcs</v>
      </c>
      <c r="N1437" s="221">
        <v>3</v>
      </c>
      <c r="O1437" s="221" t="s">
        <v>921</v>
      </c>
      <c r="P1437" s="221" t="s">
        <v>922</v>
      </c>
      <c r="Q1437" s="221"/>
      <c r="R1437" s="221"/>
      <c r="S1437" s="221"/>
      <c r="T1437" s="221" t="s">
        <v>3363</v>
      </c>
      <c r="U1437" s="221" t="s">
        <v>3228</v>
      </c>
      <c r="V1437" s="221" t="s">
        <v>3364</v>
      </c>
      <c r="W1437" s="221" t="s">
        <v>3365</v>
      </c>
      <c r="X1437" s="221"/>
      <c r="Y1437" s="227"/>
      <c r="Z1437" s="227" t="str">
        <f>P1437</f>
        <v>Bumiayu RW 03 Kedungkandang</v>
      </c>
      <c r="AA1437" s="276" t="e">
        <f>VLOOKUP(Logfile_S[[#This Row],[DO number]],DO_DB!G:I,3,0)</f>
        <v>#N/A</v>
      </c>
      <c r="AB1437" s="331" t="e">
        <f>EXACT(Logfile_S[[#This Row],[date pick]],Logfile_S[[#This Row],[Date]])</f>
        <v>#N/A</v>
      </c>
      <c r="AC14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38" spans="1:29" ht="14.5">
      <c r="A1438" s="220" t="str">
        <f>TEXT(ROW(A1438)-ROW($A$4),"000")</f>
        <v>1434</v>
      </c>
      <c r="B1438" s="221"/>
      <c r="C1438" s="221" t="s">
        <v>49</v>
      </c>
      <c r="D1438" s="221" t="s">
        <v>3950</v>
      </c>
      <c r="E1438" s="221" t="s">
        <v>3295</v>
      </c>
      <c r="F1438" s="221" t="s">
        <v>3299</v>
      </c>
      <c r="G1438" s="222">
        <v>45348</v>
      </c>
      <c r="H1438" s="223">
        <v>0.35902777777777778</v>
      </c>
      <c r="I1438" s="221" t="s">
        <v>4916</v>
      </c>
      <c r="J1438" s="221" t="s">
        <v>3023</v>
      </c>
      <c r="K1438" s="224" t="s">
        <v>3070</v>
      </c>
      <c r="L1438" s="225" t="str">
        <f>VLOOKUP(Logfile_S[[#This Row],[Material Name]],Sheet2!B:C,2,0)</f>
        <v>ZTE1002</v>
      </c>
      <c r="M1438" s="225" t="str">
        <f>_xlfn.XLOOKUP(Logfile_S[[#This Row],[Material Name]],Sum_WH!E:E,Sum_WH!F:F,"",0)</f>
        <v>Pcs</v>
      </c>
      <c r="N1438" s="221">
        <v>5</v>
      </c>
      <c r="O1438" s="221" t="s">
        <v>921</v>
      </c>
      <c r="P1438" s="221" t="s">
        <v>922</v>
      </c>
      <c r="Q1438" s="221"/>
      <c r="R1438" s="221"/>
      <c r="S1438" s="221"/>
      <c r="T1438" s="221" t="s">
        <v>3363</v>
      </c>
      <c r="U1438" s="221" t="s">
        <v>3228</v>
      </c>
      <c r="V1438" s="221" t="s">
        <v>3364</v>
      </c>
      <c r="W1438" s="221" t="s">
        <v>3365</v>
      </c>
      <c r="X1438" s="221"/>
      <c r="Y1438" s="227"/>
      <c r="Z1438" s="227" t="str">
        <f>P1438</f>
        <v>Bumiayu RW 03 Kedungkandang</v>
      </c>
      <c r="AA1438" s="276" t="e">
        <f>VLOOKUP(Logfile_S[[#This Row],[DO number]],DO_DB!G:I,3,0)</f>
        <v>#N/A</v>
      </c>
      <c r="AB1438" s="331" t="e">
        <f>EXACT(Logfile_S[[#This Row],[date pick]],Logfile_S[[#This Row],[Date]])</f>
        <v>#N/A</v>
      </c>
      <c r="AC14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39" spans="1:29" ht="14.5">
      <c r="A1439" s="220" t="str">
        <f>TEXT(ROW(A1439)-ROW($A$4),"000")</f>
        <v>1435</v>
      </c>
      <c r="B1439" s="221"/>
      <c r="C1439" s="221" t="s">
        <v>49</v>
      </c>
      <c r="D1439" s="221" t="s">
        <v>3950</v>
      </c>
      <c r="E1439" s="221" t="s">
        <v>3295</v>
      </c>
      <c r="F1439" s="221" t="s">
        <v>3299</v>
      </c>
      <c r="G1439" s="222">
        <v>45348</v>
      </c>
      <c r="H1439" s="223">
        <v>0.35902777777777778</v>
      </c>
      <c r="I1439" s="221" t="s">
        <v>4916</v>
      </c>
      <c r="J1439" s="221" t="s">
        <v>3023</v>
      </c>
      <c r="K1439" s="224" t="s">
        <v>3069</v>
      </c>
      <c r="L1439" s="225" t="str">
        <f>VLOOKUP(Logfile_S[[#This Row],[Material Name]],Sheet2!B:C,2,0)</f>
        <v>ZTE1001</v>
      </c>
      <c r="M1439" s="225" t="str">
        <f>_xlfn.XLOOKUP(Logfile_S[[#This Row],[Material Name]],Sum_WH!E:E,Sum_WH!F:F,"",0)</f>
        <v>Pcs</v>
      </c>
      <c r="N1439" s="221">
        <v>8</v>
      </c>
      <c r="O1439" s="221" t="s">
        <v>921</v>
      </c>
      <c r="P1439" s="221" t="s">
        <v>922</v>
      </c>
      <c r="Q1439" s="221"/>
      <c r="R1439" s="221"/>
      <c r="S1439" s="221"/>
      <c r="T1439" s="221" t="s">
        <v>3363</v>
      </c>
      <c r="U1439" s="221" t="s">
        <v>3228</v>
      </c>
      <c r="V1439" s="221" t="s">
        <v>3364</v>
      </c>
      <c r="W1439" s="221" t="s">
        <v>3365</v>
      </c>
      <c r="X1439" s="221"/>
      <c r="Y1439" s="227"/>
      <c r="Z1439" s="227" t="str">
        <f>P1439</f>
        <v>Bumiayu RW 03 Kedungkandang</v>
      </c>
      <c r="AA1439" s="276" t="e">
        <f>VLOOKUP(Logfile_S[[#This Row],[DO number]],DO_DB!G:I,3,0)</f>
        <v>#N/A</v>
      </c>
      <c r="AB1439" s="331" t="e">
        <f>EXACT(Logfile_S[[#This Row],[date pick]],Logfile_S[[#This Row],[Date]])</f>
        <v>#N/A</v>
      </c>
      <c r="AC14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40" spans="1:29" ht="14.5">
      <c r="A1440" s="220" t="str">
        <f>TEXT(ROW(A1440)-ROW($A$4),"000")</f>
        <v>1436</v>
      </c>
      <c r="B1440" s="221"/>
      <c r="C1440" s="221" t="s">
        <v>49</v>
      </c>
      <c r="D1440" s="221" t="s">
        <v>3950</v>
      </c>
      <c r="E1440" s="221" t="s">
        <v>3295</v>
      </c>
      <c r="F1440" s="221" t="s">
        <v>3299</v>
      </c>
      <c r="G1440" s="222">
        <v>45348</v>
      </c>
      <c r="H1440" s="223">
        <v>0.35902777777777778</v>
      </c>
      <c r="I1440" s="221" t="s">
        <v>4916</v>
      </c>
      <c r="J1440" s="221" t="s">
        <v>3024</v>
      </c>
      <c r="K1440" s="224" t="s">
        <v>3089</v>
      </c>
      <c r="L1440" s="225" t="str">
        <f>VLOOKUP(Logfile_S[[#This Row],[Material Name]],Sheet2!B:C,2,0)</f>
        <v>GCI1003</v>
      </c>
      <c r="M1440" s="225" t="str">
        <f>_xlfn.XLOOKUP(Logfile_S[[#This Row],[Material Name]],Sum_WH!E:E,Sum_WH!F:F,"",0)</f>
        <v>Pcs</v>
      </c>
      <c r="N1440" s="221">
        <v>128</v>
      </c>
      <c r="O1440" s="221" t="s">
        <v>921</v>
      </c>
      <c r="P1440" s="221" t="s">
        <v>922</v>
      </c>
      <c r="Q1440" s="221"/>
      <c r="R1440" s="221"/>
      <c r="S1440" s="221"/>
      <c r="T1440" s="221" t="s">
        <v>3363</v>
      </c>
      <c r="U1440" s="221" t="s">
        <v>3228</v>
      </c>
      <c r="V1440" s="221" t="s">
        <v>3364</v>
      </c>
      <c r="W1440" s="221" t="s">
        <v>3365</v>
      </c>
      <c r="X1440" s="221"/>
      <c r="Y1440" s="227"/>
      <c r="Z1440" s="227" t="str">
        <f>P1440</f>
        <v>Bumiayu RW 03 Kedungkandang</v>
      </c>
      <c r="AA1440" s="276" t="e">
        <f>VLOOKUP(Logfile_S[[#This Row],[DO number]],DO_DB!G:I,3,0)</f>
        <v>#N/A</v>
      </c>
      <c r="AB1440" s="331" t="e">
        <f>EXACT(Logfile_S[[#This Row],[date pick]],Logfile_S[[#This Row],[Date]])</f>
        <v>#N/A</v>
      </c>
      <c r="AC14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41" spans="1:29" ht="14.5">
      <c r="A1441" s="220" t="str">
        <f>TEXT(ROW(A1441)-ROW($A$4),"000")</f>
        <v>1437</v>
      </c>
      <c r="B1441" s="221"/>
      <c r="C1441" s="221" t="s">
        <v>49</v>
      </c>
      <c r="D1441" s="221" t="s">
        <v>3955</v>
      </c>
      <c r="E1441" s="221" t="s">
        <v>3295</v>
      </c>
      <c r="F1441" s="221" t="s">
        <v>3299</v>
      </c>
      <c r="G1441" s="222">
        <v>45350</v>
      </c>
      <c r="H1441" s="223">
        <v>0.4861111111111111</v>
      </c>
      <c r="I1441" s="221" t="s">
        <v>4916</v>
      </c>
      <c r="J1441" s="221" t="s">
        <v>3024</v>
      </c>
      <c r="K1441" s="224" t="s">
        <v>16</v>
      </c>
      <c r="L1441" s="225" t="str">
        <f>VLOOKUP(Logfile_S[[#This Row],[Material Name]],Sheet2!B:C,2,0)</f>
        <v>ZTE2020</v>
      </c>
      <c r="M1441" s="225" t="str">
        <f>_xlfn.XLOOKUP(Logfile_S[[#This Row],[Material Name]],Sum_WH!E:E,Sum_WH!F:F,"",0)</f>
        <v>Meter</v>
      </c>
      <c r="N1441" s="221">
        <v>1</v>
      </c>
      <c r="O1441" s="221" t="s">
        <v>921</v>
      </c>
      <c r="P1441" s="221" t="s">
        <v>922</v>
      </c>
      <c r="Q1441" s="221"/>
      <c r="R1441" s="221"/>
      <c r="S1441" s="221"/>
      <c r="T1441" s="221" t="s">
        <v>3258</v>
      </c>
      <c r="U1441" s="221" t="s">
        <v>3228</v>
      </c>
      <c r="V1441" s="221" t="s">
        <v>3337</v>
      </c>
      <c r="W1441" s="221" t="s">
        <v>3365</v>
      </c>
      <c r="X1441" s="221" t="s">
        <v>3428</v>
      </c>
      <c r="Y1441" s="227"/>
      <c r="Z1441" s="227" t="str">
        <f>P1441</f>
        <v>Bumiayu RW 03 Kedungkandang</v>
      </c>
      <c r="AA1441" s="276" t="e">
        <f>VLOOKUP(Logfile_S[[#This Row],[DO number]],DO_DB!G:I,3,0)</f>
        <v>#N/A</v>
      </c>
      <c r="AB1441" s="331" t="e">
        <f>EXACT(Logfile_S[[#This Row],[date pick]],Logfile_S[[#This Row],[Date]])</f>
        <v>#N/A</v>
      </c>
      <c r="AC14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42" spans="1:29" ht="14.5">
      <c r="A1442" s="220" t="str">
        <f>TEXT(ROW(A1442)-ROW($A$4),"000")</f>
        <v>1438</v>
      </c>
      <c r="B1442" s="221"/>
      <c r="C1442" s="221" t="s">
        <v>49</v>
      </c>
      <c r="D1442" s="221" t="s">
        <v>3954</v>
      </c>
      <c r="E1442" s="221" t="s">
        <v>3295</v>
      </c>
      <c r="F1442" s="221" t="s">
        <v>3299</v>
      </c>
      <c r="G1442" s="222">
        <v>45350</v>
      </c>
      <c r="H1442" s="223">
        <v>0.3833333333333333</v>
      </c>
      <c r="I1442" s="221" t="s">
        <v>4916</v>
      </c>
      <c r="J1442" s="221" t="s">
        <v>3024</v>
      </c>
      <c r="K1442" s="224" t="s">
        <v>3097</v>
      </c>
      <c r="L1442" s="225" t="str">
        <f>VLOOKUP(Logfile_S[[#This Row],[Material Name]],Sheet2!B:C,2,0)</f>
        <v>GCI1011</v>
      </c>
      <c r="M1442" s="225" t="str">
        <f>_xlfn.XLOOKUP(Logfile_S[[#This Row],[Material Name]],Sum_WH!E:E,Sum_WH!F:F,"",0)</f>
        <v>Pcs</v>
      </c>
      <c r="N1442" s="221">
        <v>1</v>
      </c>
      <c r="O1442" s="221" t="s">
        <v>921</v>
      </c>
      <c r="P1442" s="221" t="s">
        <v>922</v>
      </c>
      <c r="Q1442" s="221"/>
      <c r="R1442" s="221"/>
      <c r="S1442" s="221"/>
      <c r="T1442" s="221" t="s">
        <v>3363</v>
      </c>
      <c r="U1442" s="221" t="s">
        <v>3228</v>
      </c>
      <c r="V1442" s="221" t="s">
        <v>3364</v>
      </c>
      <c r="W1442" s="221" t="s">
        <v>3365</v>
      </c>
      <c r="X1442" s="221"/>
      <c r="Y1442" s="227"/>
      <c r="Z1442" s="227" t="str">
        <f>P1442</f>
        <v>Bumiayu RW 03 Kedungkandang</v>
      </c>
      <c r="AA1442" s="276" t="e">
        <f>VLOOKUP(Logfile_S[[#This Row],[DO number]],DO_DB!G:I,3,0)</f>
        <v>#N/A</v>
      </c>
      <c r="AB1442" s="331" t="e">
        <f>EXACT(Logfile_S[[#This Row],[date pick]],Logfile_S[[#This Row],[Date]])</f>
        <v>#N/A</v>
      </c>
      <c r="AC14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43" spans="1:29" ht="14.5">
      <c r="A1443" s="220" t="str">
        <f>TEXT(ROW(A1443)-ROW($A$4),"000")</f>
        <v>1439</v>
      </c>
      <c r="B1443" s="221"/>
      <c r="C1443" s="221" t="s">
        <v>49</v>
      </c>
      <c r="D1443" s="221" t="s">
        <v>3954</v>
      </c>
      <c r="E1443" s="221" t="s">
        <v>3295</v>
      </c>
      <c r="F1443" s="221" t="s">
        <v>3299</v>
      </c>
      <c r="G1443" s="222">
        <v>45350</v>
      </c>
      <c r="H1443" s="223">
        <v>0.3833333333333333</v>
      </c>
      <c r="I1443" s="221" t="s">
        <v>4916</v>
      </c>
      <c r="J1443" s="221" t="s">
        <v>3024</v>
      </c>
      <c r="K1443" s="224" t="s">
        <v>3091</v>
      </c>
      <c r="L1443" s="225" t="str">
        <f>VLOOKUP(Logfile_S[[#This Row],[Material Name]],Sheet2!B:C,2,0)</f>
        <v>GCI1005</v>
      </c>
      <c r="M1443" s="225" t="str">
        <f>_xlfn.XLOOKUP(Logfile_S[[#This Row],[Material Name]],Sum_WH!E:E,Sum_WH!F:F,"",0)</f>
        <v>Pcs</v>
      </c>
      <c r="N1443" s="221">
        <v>50</v>
      </c>
      <c r="O1443" s="221" t="s">
        <v>921</v>
      </c>
      <c r="P1443" s="221" t="s">
        <v>922</v>
      </c>
      <c r="Q1443" s="221"/>
      <c r="R1443" s="221"/>
      <c r="S1443" s="221"/>
      <c r="T1443" s="221" t="s">
        <v>3363</v>
      </c>
      <c r="U1443" s="221" t="s">
        <v>3228</v>
      </c>
      <c r="V1443" s="221" t="s">
        <v>3364</v>
      </c>
      <c r="W1443" s="221" t="s">
        <v>3365</v>
      </c>
      <c r="X1443" s="221"/>
      <c r="Y1443" s="227"/>
      <c r="Z1443" s="227" t="str">
        <f>P1443</f>
        <v>Bumiayu RW 03 Kedungkandang</v>
      </c>
      <c r="AA1443" s="276" t="e">
        <f>VLOOKUP(Logfile_S[[#This Row],[DO number]],DO_DB!G:I,3,0)</f>
        <v>#N/A</v>
      </c>
      <c r="AB1443" s="331" t="e">
        <f>EXACT(Logfile_S[[#This Row],[date pick]],Logfile_S[[#This Row],[Date]])</f>
        <v>#N/A</v>
      </c>
      <c r="AC14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44" spans="1:29" ht="14.5">
      <c r="A1444" s="220" t="str">
        <f>TEXT(ROW(A1444)-ROW($A$4),"000")</f>
        <v>1440</v>
      </c>
      <c r="B1444" s="221"/>
      <c r="C1444" s="221" t="s">
        <v>49</v>
      </c>
      <c r="D1444" s="221" t="s">
        <v>3954</v>
      </c>
      <c r="E1444" s="221" t="s">
        <v>3295</v>
      </c>
      <c r="F1444" s="221" t="s">
        <v>3299</v>
      </c>
      <c r="G1444" s="222">
        <v>45350</v>
      </c>
      <c r="H1444" s="223">
        <v>0.3833333333333333</v>
      </c>
      <c r="I1444" s="221" t="s">
        <v>4916</v>
      </c>
      <c r="J1444" s="221" t="s">
        <v>3024</v>
      </c>
      <c r="K1444" s="224" t="s">
        <v>5137</v>
      </c>
      <c r="L1444" s="225" t="str">
        <f>VLOOKUP(Logfile_S[[#This Row],[Material Name]],Sheet2!B:C,2,0)</f>
        <v>GCI1009</v>
      </c>
      <c r="M1444" s="225" t="str">
        <f>_xlfn.XLOOKUP(Logfile_S[[#This Row],[Material Name]],Sum_WH!E:E,Sum_WH!F:F,"",0)</f>
        <v>Pcs</v>
      </c>
      <c r="N1444" s="221">
        <v>220</v>
      </c>
      <c r="O1444" s="221" t="s">
        <v>921</v>
      </c>
      <c r="P1444" s="221" t="s">
        <v>922</v>
      </c>
      <c r="Q1444" s="221"/>
      <c r="R1444" s="221"/>
      <c r="S1444" s="221"/>
      <c r="T1444" s="221" t="s">
        <v>3363</v>
      </c>
      <c r="U1444" s="221" t="s">
        <v>3228</v>
      </c>
      <c r="V1444" s="221" t="s">
        <v>3364</v>
      </c>
      <c r="W1444" s="221" t="s">
        <v>3365</v>
      </c>
      <c r="X1444" s="221"/>
      <c r="Y1444" s="227"/>
      <c r="Z1444" s="227" t="str">
        <f>P1444</f>
        <v>Bumiayu RW 03 Kedungkandang</v>
      </c>
      <c r="AA1444" s="276" t="e">
        <f>VLOOKUP(Logfile_S[[#This Row],[DO number]],DO_DB!G:I,3,0)</f>
        <v>#N/A</v>
      </c>
      <c r="AB1444" s="331" t="e">
        <f>EXACT(Logfile_S[[#This Row],[date pick]],Logfile_S[[#This Row],[Date]])</f>
        <v>#N/A</v>
      </c>
      <c r="AC14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45" spans="1:29" ht="14.5">
      <c r="A1445" s="220" t="str">
        <f>TEXT(ROW(A1445)-ROW($A$4),"000")</f>
        <v>1441</v>
      </c>
      <c r="B1445" s="221"/>
      <c r="C1445" s="221" t="s">
        <v>49</v>
      </c>
      <c r="D1445" s="221" t="s">
        <v>3954</v>
      </c>
      <c r="E1445" s="221" t="s">
        <v>3295</v>
      </c>
      <c r="F1445" s="221" t="s">
        <v>3299</v>
      </c>
      <c r="G1445" s="222">
        <v>45350</v>
      </c>
      <c r="H1445" s="223">
        <v>0.3833333333333333</v>
      </c>
      <c r="I1445" s="221" t="s">
        <v>4916</v>
      </c>
      <c r="J1445" s="221" t="s">
        <v>3024</v>
      </c>
      <c r="K1445" s="224" t="s">
        <v>3094</v>
      </c>
      <c r="L1445" s="225" t="str">
        <f>VLOOKUP(Logfile_S[[#This Row],[Material Name]],Sheet2!B:C,2,0)</f>
        <v>GCI1008</v>
      </c>
      <c r="M1445" s="225" t="str">
        <f>_xlfn.XLOOKUP(Logfile_S[[#This Row],[Material Name]],Sum_WH!E:E,Sum_WH!F:F,"",0)</f>
        <v>Pcs</v>
      </c>
      <c r="N1445" s="221">
        <v>150</v>
      </c>
      <c r="O1445" s="221" t="s">
        <v>921</v>
      </c>
      <c r="P1445" s="221" t="s">
        <v>922</v>
      </c>
      <c r="Q1445" s="221"/>
      <c r="R1445" s="221"/>
      <c r="S1445" s="221"/>
      <c r="T1445" s="221" t="s">
        <v>3363</v>
      </c>
      <c r="U1445" s="221" t="s">
        <v>3228</v>
      </c>
      <c r="V1445" s="221" t="s">
        <v>3364</v>
      </c>
      <c r="W1445" s="221" t="s">
        <v>3365</v>
      </c>
      <c r="X1445" s="221"/>
      <c r="Y1445" s="227"/>
      <c r="Z1445" s="227" t="str">
        <f>P1445</f>
        <v>Bumiayu RW 03 Kedungkandang</v>
      </c>
      <c r="AA1445" s="276" t="e">
        <f>VLOOKUP(Logfile_S[[#This Row],[DO number]],DO_DB!G:I,3,0)</f>
        <v>#N/A</v>
      </c>
      <c r="AB1445" s="331" t="e">
        <f>EXACT(Logfile_S[[#This Row],[date pick]],Logfile_S[[#This Row],[Date]])</f>
        <v>#N/A</v>
      </c>
      <c r="AC14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46" spans="1:29" ht="14.5">
      <c r="A1446" s="220" t="str">
        <f>TEXT(ROW(A1446)-ROW($A$4),"000")</f>
        <v>1442</v>
      </c>
      <c r="B1446" s="221"/>
      <c r="C1446" s="221" t="s">
        <v>49</v>
      </c>
      <c r="D1446" s="221" t="s">
        <v>3954</v>
      </c>
      <c r="E1446" s="221" t="s">
        <v>3295</v>
      </c>
      <c r="F1446" s="221" t="s">
        <v>3299</v>
      </c>
      <c r="G1446" s="222">
        <v>45350</v>
      </c>
      <c r="H1446" s="223">
        <v>0.3833333333333333</v>
      </c>
      <c r="I1446" s="221" t="s">
        <v>4916</v>
      </c>
      <c r="J1446" s="221" t="s">
        <v>3024</v>
      </c>
      <c r="K1446" s="224" t="s">
        <v>3089</v>
      </c>
      <c r="L1446" s="225" t="str">
        <f>VLOOKUP(Logfile_S[[#This Row],[Material Name]],Sheet2!B:C,2,0)</f>
        <v>GCI1003</v>
      </c>
      <c r="M1446" s="225" t="str">
        <f>_xlfn.XLOOKUP(Logfile_S[[#This Row],[Material Name]],Sum_WH!E:E,Sum_WH!F:F,"",0)</f>
        <v>Pcs</v>
      </c>
      <c r="N1446" s="221">
        <v>12</v>
      </c>
      <c r="O1446" s="221" t="s">
        <v>921</v>
      </c>
      <c r="P1446" s="221" t="s">
        <v>922</v>
      </c>
      <c r="Q1446" s="221"/>
      <c r="R1446" s="221"/>
      <c r="S1446" s="221"/>
      <c r="T1446" s="221" t="s">
        <v>3363</v>
      </c>
      <c r="U1446" s="221" t="s">
        <v>3228</v>
      </c>
      <c r="V1446" s="221" t="s">
        <v>3364</v>
      </c>
      <c r="W1446" s="221" t="s">
        <v>3365</v>
      </c>
      <c r="X1446" s="221"/>
      <c r="Y1446" s="227"/>
      <c r="Z1446" s="227" t="str">
        <f>P1446</f>
        <v>Bumiayu RW 03 Kedungkandang</v>
      </c>
      <c r="AA1446" s="276" t="e">
        <f>VLOOKUP(Logfile_S[[#This Row],[DO number]],DO_DB!G:I,3,0)</f>
        <v>#N/A</v>
      </c>
      <c r="AB1446" s="331" t="e">
        <f>EXACT(Logfile_S[[#This Row],[date pick]],Logfile_S[[#This Row],[Date]])</f>
        <v>#N/A</v>
      </c>
      <c r="AC14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47" spans="1:29" ht="14.5">
      <c r="A1447" s="220" t="str">
        <f>TEXT(ROW(A1447)-ROW($A$4),"000")</f>
        <v>1443</v>
      </c>
      <c r="B1447" s="221"/>
      <c r="C1447" s="221" t="s">
        <v>49</v>
      </c>
      <c r="D1447" s="221" t="s">
        <v>3954</v>
      </c>
      <c r="E1447" s="221" t="s">
        <v>3295</v>
      </c>
      <c r="F1447" s="221" t="s">
        <v>3299</v>
      </c>
      <c r="G1447" s="222">
        <v>45350</v>
      </c>
      <c r="H1447" s="223">
        <v>0.3833333333333333</v>
      </c>
      <c r="I1447" s="221" t="s">
        <v>4916</v>
      </c>
      <c r="J1447" s="221" t="s">
        <v>3024</v>
      </c>
      <c r="K1447" s="224" t="s">
        <v>3090</v>
      </c>
      <c r="L1447" s="225" t="str">
        <f>VLOOKUP(Logfile_S[[#This Row],[Material Name]],Sheet2!B:C,2,0)</f>
        <v>GCI1004</v>
      </c>
      <c r="M1447" s="225" t="str">
        <f>_xlfn.XLOOKUP(Logfile_S[[#This Row],[Material Name]],Sum_WH!E:E,Sum_WH!F:F,"",0)</f>
        <v>Pcs</v>
      </c>
      <c r="N1447" s="221">
        <v>60</v>
      </c>
      <c r="O1447" s="221" t="s">
        <v>921</v>
      </c>
      <c r="P1447" s="221" t="s">
        <v>922</v>
      </c>
      <c r="Q1447" s="221"/>
      <c r="R1447" s="221"/>
      <c r="S1447" s="221"/>
      <c r="T1447" s="221" t="s">
        <v>3363</v>
      </c>
      <c r="U1447" s="221" t="s">
        <v>3228</v>
      </c>
      <c r="V1447" s="221" t="s">
        <v>3364</v>
      </c>
      <c r="W1447" s="221" t="s">
        <v>3365</v>
      </c>
      <c r="X1447" s="221"/>
      <c r="Y1447" s="227"/>
      <c r="Z1447" s="227" t="str">
        <f>P1447</f>
        <v>Bumiayu RW 03 Kedungkandang</v>
      </c>
      <c r="AA1447" s="276" t="e">
        <f>VLOOKUP(Logfile_S[[#This Row],[DO number]],DO_DB!G:I,3,0)</f>
        <v>#N/A</v>
      </c>
      <c r="AB1447" s="331" t="e">
        <f>EXACT(Logfile_S[[#This Row],[date pick]],Logfile_S[[#This Row],[Date]])</f>
        <v>#N/A</v>
      </c>
      <c r="AC14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48" spans="1:29" ht="14.5">
      <c r="A1448" s="220" t="str">
        <f>TEXT(ROW(A1448)-ROW($A$4),"000")</f>
        <v>1444</v>
      </c>
      <c r="B1448" s="221"/>
      <c r="C1448" s="221" t="s">
        <v>48</v>
      </c>
      <c r="D1448" s="221" t="s">
        <v>3958</v>
      </c>
      <c r="E1448" s="221" t="s">
        <v>3295</v>
      </c>
      <c r="F1448" s="221" t="s">
        <v>3299</v>
      </c>
      <c r="G1448" s="222">
        <v>45351</v>
      </c>
      <c r="H1448" s="223">
        <v>15.291666666666666</v>
      </c>
      <c r="I1448" s="221" t="s">
        <v>37</v>
      </c>
      <c r="J1448" s="221" t="s">
        <v>3023</v>
      </c>
      <c r="K1448" s="224" t="s">
        <v>3075</v>
      </c>
      <c r="L1448" s="225" t="str">
        <f>VLOOKUP(Logfile_S[[#This Row],[Material Name]],Sheet2!B:C,2,0)</f>
        <v>ZTE2003</v>
      </c>
      <c r="M1448" s="225" t="str">
        <f>_xlfn.XLOOKUP(Logfile_S[[#This Row],[Material Name]],Sum_WH!E:E,Sum_WH!F:F,"",0)</f>
        <v>Meter</v>
      </c>
      <c r="N1448" s="221">
        <v>3000</v>
      </c>
      <c r="O1448" s="221" t="s">
        <v>921</v>
      </c>
      <c r="P1448" s="221" t="s">
        <v>922</v>
      </c>
      <c r="Q1448" s="221" t="s">
        <v>929</v>
      </c>
      <c r="R1448" s="221" t="s">
        <v>930</v>
      </c>
      <c r="S1448" s="221"/>
      <c r="T1448" s="221"/>
      <c r="U1448" s="221"/>
      <c r="V1448" s="221"/>
      <c r="W1448" s="221"/>
      <c r="X1448" s="221"/>
      <c r="Y1448" s="227" t="s">
        <v>5061</v>
      </c>
      <c r="Z1448" s="227" t="str">
        <f>P1448</f>
        <v>Bumiayu RW 03 Kedungkandang</v>
      </c>
      <c r="AA1448" s="276">
        <f>VLOOKUP(Logfile_S[[#This Row],[DO number]],DO_DB!G:I,3,0)</f>
        <v>45337</v>
      </c>
      <c r="AB1448" s="331" t="b">
        <f>EXACT(Logfile_S[[#This Row],[date pick]],Logfile_S[[#This Row],[Date]])</f>
        <v>0</v>
      </c>
      <c r="AC14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48C-2024229-01</v>
      </c>
    </row>
    <row r="1449" spans="1:29" ht="14.5">
      <c r="A1449" s="220" t="str">
        <f>TEXT(ROW(A1449)-ROW($A$4),"000")</f>
        <v>1445</v>
      </c>
      <c r="B1449" s="221"/>
      <c r="C1449" s="221" t="s">
        <v>49</v>
      </c>
      <c r="D1449" s="221" t="s">
        <v>3963</v>
      </c>
      <c r="E1449" s="221" t="s">
        <v>3295</v>
      </c>
      <c r="F1449" s="221" t="s">
        <v>3299</v>
      </c>
      <c r="G1449" s="222">
        <v>45352</v>
      </c>
      <c r="H1449" s="223">
        <v>0.39097222222222222</v>
      </c>
      <c r="I1449" s="221" t="s">
        <v>4916</v>
      </c>
      <c r="J1449" s="221" t="s">
        <v>3024</v>
      </c>
      <c r="K1449" s="224" t="s">
        <v>3087</v>
      </c>
      <c r="L1449" s="225" t="str">
        <f>VLOOKUP(Logfile_S[[#This Row],[Material Name]],Sheet2!B:C,2,0)</f>
        <v>GCI1001</v>
      </c>
      <c r="M1449" s="225" t="str">
        <f>_xlfn.XLOOKUP(Logfile_S[[#This Row],[Material Name]],Sum_WH!E:E,Sum_WH!F:F,"",0)</f>
        <v>Pcs</v>
      </c>
      <c r="N1449" s="221">
        <v>23</v>
      </c>
      <c r="O1449" s="221" t="s">
        <v>921</v>
      </c>
      <c r="P1449" s="221" t="s">
        <v>922</v>
      </c>
      <c r="Q1449" s="221"/>
      <c r="R1449" s="221"/>
      <c r="S1449" s="221"/>
      <c r="T1449" s="221" t="s">
        <v>3258</v>
      </c>
      <c r="U1449" s="221" t="s">
        <v>3228</v>
      </c>
      <c r="V1449" s="221" t="s">
        <v>3337</v>
      </c>
      <c r="W1449" s="221" t="s">
        <v>3365</v>
      </c>
      <c r="X1449" s="221"/>
      <c r="Y1449" s="227"/>
      <c r="Z1449" s="227" t="str">
        <f>P1449</f>
        <v>Bumiayu RW 03 Kedungkandang</v>
      </c>
      <c r="AA1449" s="276" t="e">
        <f>VLOOKUP(Logfile_S[[#This Row],[DO number]],DO_DB!G:I,3,0)</f>
        <v>#N/A</v>
      </c>
      <c r="AB1449" s="331" t="e">
        <f>EXACT(Logfile_S[[#This Row],[date pick]],Logfile_S[[#This Row],[Date]])</f>
        <v>#N/A</v>
      </c>
      <c r="AC14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50" spans="1:29" ht="14.5">
      <c r="A1450" s="220" t="str">
        <f>TEXT(ROW(A1450)-ROW($A$4),"000")</f>
        <v>1446</v>
      </c>
      <c r="B1450" s="221"/>
      <c r="C1450" s="221" t="s">
        <v>48</v>
      </c>
      <c r="D1450" s="221" t="s">
        <v>3968</v>
      </c>
      <c r="E1450" s="221" t="s">
        <v>3295</v>
      </c>
      <c r="F1450" s="221" t="s">
        <v>3299</v>
      </c>
      <c r="G1450" s="222">
        <v>45353</v>
      </c>
      <c r="H1450" s="223">
        <v>15.291666666666666</v>
      </c>
      <c r="I1450" s="221" t="s">
        <v>37</v>
      </c>
      <c r="J1450" s="221" t="s">
        <v>3023</v>
      </c>
      <c r="K1450" s="224" t="s">
        <v>3070</v>
      </c>
      <c r="L1450" s="225" t="str">
        <f>VLOOKUP(Logfile_S[[#This Row],[Material Name]],Sheet2!B:C,2,0)</f>
        <v>ZTE1002</v>
      </c>
      <c r="M1450" s="225" t="str">
        <f>_xlfn.XLOOKUP(Logfile_S[[#This Row],[Material Name]],Sum_WH!E:E,Sum_WH!F:F,"",0)</f>
        <v>Pcs</v>
      </c>
      <c r="N1450" s="221">
        <v>1</v>
      </c>
      <c r="O1450" s="221" t="s">
        <v>921</v>
      </c>
      <c r="P1450" s="221" t="s">
        <v>922</v>
      </c>
      <c r="Q1450" s="221" t="s">
        <v>923</v>
      </c>
      <c r="R1450" s="221" t="s">
        <v>924</v>
      </c>
      <c r="S1450" s="221"/>
      <c r="T1450" s="221"/>
      <c r="U1450" s="221"/>
      <c r="V1450" s="221"/>
      <c r="W1450" s="221"/>
      <c r="X1450" s="221"/>
      <c r="Y1450" s="227"/>
      <c r="Z1450" s="227" t="str">
        <f>P1450</f>
        <v>Bumiayu RW 03 Kedungkandang</v>
      </c>
      <c r="AA1450" s="276">
        <f>VLOOKUP(Logfile_S[[#This Row],[DO number]],DO_DB!G:I,3,0)</f>
        <v>45337</v>
      </c>
      <c r="AB1450" s="331" t="b">
        <f>EXACT(Logfile_S[[#This Row],[date pick]],Logfile_S[[#This Row],[Date]])</f>
        <v>0</v>
      </c>
      <c r="AC14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51" spans="1:29" ht="14.5">
      <c r="A1451" s="220" t="str">
        <f>TEXT(ROW(A1451)-ROW($A$4),"000")</f>
        <v>1447</v>
      </c>
      <c r="B1451" s="221"/>
      <c r="C1451" s="221" t="s">
        <v>49</v>
      </c>
      <c r="D1451" s="221" t="s">
        <v>3966</v>
      </c>
      <c r="E1451" s="221" t="s">
        <v>3295</v>
      </c>
      <c r="F1451" s="221" t="s">
        <v>3299</v>
      </c>
      <c r="G1451" s="222">
        <v>45353</v>
      </c>
      <c r="H1451" s="223">
        <v>0.35902777777777778</v>
      </c>
      <c r="I1451" s="221" t="s">
        <v>4916</v>
      </c>
      <c r="J1451" s="221" t="s">
        <v>3023</v>
      </c>
      <c r="K1451" s="224" t="s">
        <v>3069</v>
      </c>
      <c r="L1451" s="225" t="str">
        <f>VLOOKUP(Logfile_S[[#This Row],[Material Name]],Sheet2!B:C,2,0)</f>
        <v>ZTE1001</v>
      </c>
      <c r="M1451" s="225" t="str">
        <f>_xlfn.XLOOKUP(Logfile_S[[#This Row],[Material Name]],Sum_WH!E:E,Sum_WH!F:F,"",0)</f>
        <v>Pcs</v>
      </c>
      <c r="N1451" s="221">
        <v>1</v>
      </c>
      <c r="O1451" s="221" t="s">
        <v>921</v>
      </c>
      <c r="P1451" s="221" t="s">
        <v>922</v>
      </c>
      <c r="Q1451" s="221"/>
      <c r="R1451" s="221"/>
      <c r="S1451" s="221"/>
      <c r="T1451" s="221" t="s">
        <v>3363</v>
      </c>
      <c r="U1451" s="221" t="s">
        <v>3228</v>
      </c>
      <c r="V1451" s="221" t="s">
        <v>3364</v>
      </c>
      <c r="W1451" s="221" t="s">
        <v>3365</v>
      </c>
      <c r="X1451" s="221"/>
      <c r="Y1451" s="227"/>
      <c r="Z1451" s="227" t="str">
        <f>P1451</f>
        <v>Bumiayu RW 03 Kedungkandang</v>
      </c>
      <c r="AA1451" s="276" t="e">
        <f>VLOOKUP(Logfile_S[[#This Row],[DO number]],DO_DB!G:I,3,0)</f>
        <v>#N/A</v>
      </c>
      <c r="AB1451" s="331" t="e">
        <f>EXACT(Logfile_S[[#This Row],[date pick]],Logfile_S[[#This Row],[Date]])</f>
        <v>#N/A</v>
      </c>
      <c r="AC14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52" spans="1:29" ht="14.5">
      <c r="A1452" s="220" t="str">
        <f>TEXT(ROW(A1452)-ROW($A$4),"000")</f>
        <v>1448</v>
      </c>
      <c r="B1452" s="221"/>
      <c r="C1452" s="221" t="s">
        <v>49</v>
      </c>
      <c r="D1452" s="221" t="s">
        <v>3952</v>
      </c>
      <c r="E1452" s="221" t="s">
        <v>3295</v>
      </c>
      <c r="F1452" s="221" t="s">
        <v>3299</v>
      </c>
      <c r="G1452" s="222">
        <v>45349</v>
      </c>
      <c r="H1452" s="223">
        <v>0.59375</v>
      </c>
      <c r="I1452" s="221" t="s">
        <v>4916</v>
      </c>
      <c r="J1452" s="221" t="s">
        <v>3023</v>
      </c>
      <c r="K1452" s="224" t="s">
        <v>3069</v>
      </c>
      <c r="L1452" s="225" t="str">
        <f>VLOOKUP(Logfile_S[[#This Row],[Material Name]],Sheet2!B:C,2,0)</f>
        <v>ZTE1001</v>
      </c>
      <c r="M1452" s="225" t="str">
        <f>_xlfn.XLOOKUP(Logfile_S[[#This Row],[Material Name]],Sum_WH!E:E,Sum_WH!F:F,"",0)</f>
        <v>Pcs</v>
      </c>
      <c r="N1452" s="221">
        <v>21</v>
      </c>
      <c r="O1452" s="221" t="s">
        <v>1013</v>
      </c>
      <c r="P1452" s="221" t="s">
        <v>1014</v>
      </c>
      <c r="Q1452" s="221"/>
      <c r="R1452" s="221"/>
      <c r="S1452" s="221"/>
      <c r="T1452" s="221" t="s">
        <v>3258</v>
      </c>
      <c r="U1452" s="221" t="s">
        <v>3228</v>
      </c>
      <c r="V1452" s="221" t="s">
        <v>3337</v>
      </c>
      <c r="W1452" s="221" t="s">
        <v>3338</v>
      </c>
      <c r="X1452" s="221"/>
      <c r="Y1452" s="227"/>
      <c r="Z1452" s="227" t="str">
        <f>P1452</f>
        <v>Bumiayu RW 05 Kedungkandang</v>
      </c>
      <c r="AA1452" s="276" t="e">
        <f>VLOOKUP(Logfile_S[[#This Row],[DO number]],DO_DB!G:I,3,0)</f>
        <v>#N/A</v>
      </c>
      <c r="AB1452" s="331" t="e">
        <f>EXACT(Logfile_S[[#This Row],[date pick]],Logfile_S[[#This Row],[Date]])</f>
        <v>#N/A</v>
      </c>
      <c r="AC14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53" spans="1:29" ht="14.5">
      <c r="A1453" s="220" t="str">
        <f>TEXT(ROW(A1453)-ROW($A$4),"000")</f>
        <v>1449</v>
      </c>
      <c r="B1453" s="221"/>
      <c r="C1453" s="221" t="s">
        <v>49</v>
      </c>
      <c r="D1453" s="221" t="s">
        <v>3956</v>
      </c>
      <c r="E1453" s="221" t="s">
        <v>3295</v>
      </c>
      <c r="F1453" s="221" t="s">
        <v>3299</v>
      </c>
      <c r="G1453" s="222">
        <v>45350</v>
      </c>
      <c r="H1453" s="223">
        <v>0.4861111111111111</v>
      </c>
      <c r="I1453" s="221" t="s">
        <v>4916</v>
      </c>
      <c r="J1453" s="221" t="s">
        <v>3024</v>
      </c>
      <c r="K1453" s="224" t="s">
        <v>16</v>
      </c>
      <c r="L1453" s="225" t="str">
        <f>VLOOKUP(Logfile_S[[#This Row],[Material Name]],Sheet2!B:C,2,0)</f>
        <v>ZTE2020</v>
      </c>
      <c r="M1453" s="225" t="str">
        <f>_xlfn.XLOOKUP(Logfile_S[[#This Row],[Material Name]],Sum_WH!E:E,Sum_WH!F:F,"",0)</f>
        <v>Meter</v>
      </c>
      <c r="N1453" s="221">
        <v>4</v>
      </c>
      <c r="O1453" s="221" t="s">
        <v>1013</v>
      </c>
      <c r="P1453" s="221" t="s">
        <v>1014</v>
      </c>
      <c r="Q1453" s="221"/>
      <c r="R1453" s="221"/>
      <c r="S1453" s="221"/>
      <c r="T1453" s="221"/>
      <c r="U1453" s="221"/>
      <c r="V1453" s="221"/>
      <c r="W1453" s="221"/>
      <c r="X1453" s="221"/>
      <c r="Y1453" s="227"/>
      <c r="Z1453" s="227" t="str">
        <f>P1453</f>
        <v>Bumiayu RW 05 Kedungkandang</v>
      </c>
      <c r="AA1453" s="276" t="e">
        <f>VLOOKUP(Logfile_S[[#This Row],[DO number]],DO_DB!G:I,3,0)</f>
        <v>#N/A</v>
      </c>
      <c r="AB1453" s="331" t="e">
        <f>EXACT(Logfile_S[[#This Row],[date pick]],Logfile_S[[#This Row],[Date]])</f>
        <v>#N/A</v>
      </c>
      <c r="AC14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54" spans="1:29" ht="14.5">
      <c r="A1454" s="220" t="str">
        <f>TEXT(ROW(A1454)-ROW($A$4),"000")</f>
        <v>1450</v>
      </c>
      <c r="B1454" s="221"/>
      <c r="C1454" s="221" t="s">
        <v>49</v>
      </c>
      <c r="D1454" s="221" t="s">
        <v>3955</v>
      </c>
      <c r="E1454" s="221" t="s">
        <v>3295</v>
      </c>
      <c r="F1454" s="221" t="s">
        <v>3299</v>
      </c>
      <c r="G1454" s="222">
        <v>45350</v>
      </c>
      <c r="H1454" s="223">
        <v>0.4861111111111111</v>
      </c>
      <c r="I1454" s="221" t="s">
        <v>4916</v>
      </c>
      <c r="J1454" s="221" t="s">
        <v>3024</v>
      </c>
      <c r="K1454" s="224" t="s">
        <v>5137</v>
      </c>
      <c r="L1454" s="225" t="str">
        <f>VLOOKUP(Logfile_S[[#This Row],[Material Name]],Sheet2!B:C,2,0)</f>
        <v>GCI1009</v>
      </c>
      <c r="M1454" s="225" t="str">
        <f>_xlfn.XLOOKUP(Logfile_S[[#This Row],[Material Name]],Sum_WH!E:E,Sum_WH!F:F,"",0)</f>
        <v>Pcs</v>
      </c>
      <c r="N1454" s="221">
        <v>14</v>
      </c>
      <c r="O1454" s="221" t="s">
        <v>1013</v>
      </c>
      <c r="P1454" s="221" t="s">
        <v>1014</v>
      </c>
      <c r="Q1454" s="221"/>
      <c r="R1454" s="221"/>
      <c r="S1454" s="221"/>
      <c r="T1454" s="221" t="s">
        <v>3258</v>
      </c>
      <c r="U1454" s="221" t="s">
        <v>3228</v>
      </c>
      <c r="V1454" s="221" t="s">
        <v>3337</v>
      </c>
      <c r="W1454" s="221" t="s">
        <v>3338</v>
      </c>
      <c r="X1454" s="221"/>
      <c r="Y1454" s="227"/>
      <c r="Z1454" s="227" t="str">
        <f>P1454</f>
        <v>Bumiayu RW 05 Kedungkandang</v>
      </c>
      <c r="AA1454" s="276" t="e">
        <f>VLOOKUP(Logfile_S[[#This Row],[DO number]],DO_DB!G:I,3,0)</f>
        <v>#N/A</v>
      </c>
      <c r="AB1454" s="331" t="e">
        <f>EXACT(Logfile_S[[#This Row],[date pick]],Logfile_S[[#This Row],[Date]])</f>
        <v>#N/A</v>
      </c>
      <c r="AC14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55" spans="1:29" ht="14.5">
      <c r="A1455" s="220" t="str">
        <f>TEXT(ROW(A1455)-ROW($A$4),"000")</f>
        <v>1451</v>
      </c>
      <c r="B1455" s="221"/>
      <c r="C1455" s="221" t="s">
        <v>49</v>
      </c>
      <c r="D1455" s="221" t="s">
        <v>3957</v>
      </c>
      <c r="E1455" s="221" t="s">
        <v>3295</v>
      </c>
      <c r="F1455" s="221" t="s">
        <v>3299</v>
      </c>
      <c r="G1455" s="222">
        <v>45350</v>
      </c>
      <c r="H1455" s="223">
        <v>0.4861111111111111</v>
      </c>
      <c r="I1455" s="221" t="s">
        <v>4916</v>
      </c>
      <c r="J1455" s="221" t="s">
        <v>3023</v>
      </c>
      <c r="K1455" s="224" t="s">
        <v>3070</v>
      </c>
      <c r="L1455" s="225" t="str">
        <f>VLOOKUP(Logfile_S[[#This Row],[Material Name]],Sheet2!B:C,2,0)</f>
        <v>ZTE1002</v>
      </c>
      <c r="M1455" s="225" t="str">
        <f>_xlfn.XLOOKUP(Logfile_S[[#This Row],[Material Name]],Sum_WH!E:E,Sum_WH!F:F,"",0)</f>
        <v>Pcs</v>
      </c>
      <c r="N1455" s="221">
        <v>1</v>
      </c>
      <c r="O1455" s="221" t="s">
        <v>1013</v>
      </c>
      <c r="P1455" s="221" t="s">
        <v>1014</v>
      </c>
      <c r="Q1455" s="221"/>
      <c r="R1455" s="221"/>
      <c r="S1455" s="221"/>
      <c r="T1455" s="221" t="s">
        <v>3258</v>
      </c>
      <c r="U1455" s="221" t="s">
        <v>3228</v>
      </c>
      <c r="V1455" s="221" t="s">
        <v>3337</v>
      </c>
      <c r="W1455" s="221" t="s">
        <v>3338</v>
      </c>
      <c r="X1455" s="221"/>
      <c r="Y1455" s="227"/>
      <c r="Z1455" s="227" t="str">
        <f>P1455</f>
        <v>Bumiayu RW 05 Kedungkandang</v>
      </c>
      <c r="AA1455" s="276" t="e">
        <f>VLOOKUP(Logfile_S[[#This Row],[DO number]],DO_DB!G:I,3,0)</f>
        <v>#N/A</v>
      </c>
      <c r="AB1455" s="331" t="e">
        <f>EXACT(Logfile_S[[#This Row],[date pick]],Logfile_S[[#This Row],[Date]])</f>
        <v>#N/A</v>
      </c>
      <c r="AC14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56" spans="1:29" ht="14.5">
      <c r="A1456" s="220" t="str">
        <f>TEXT(ROW(A1456)-ROW($A$4),"000")</f>
        <v>1452</v>
      </c>
      <c r="B1456" s="221"/>
      <c r="C1456" s="221" t="s">
        <v>49</v>
      </c>
      <c r="D1456" s="221" t="s">
        <v>3957</v>
      </c>
      <c r="E1456" s="221" t="s">
        <v>3295</v>
      </c>
      <c r="F1456" s="221" t="s">
        <v>3299</v>
      </c>
      <c r="G1456" s="222">
        <v>45350</v>
      </c>
      <c r="H1456" s="223">
        <v>0.4861111111111111</v>
      </c>
      <c r="I1456" s="221" t="s">
        <v>4916</v>
      </c>
      <c r="J1456" s="221" t="s">
        <v>3023</v>
      </c>
      <c r="K1456" s="224" t="s">
        <v>3069</v>
      </c>
      <c r="L1456" s="225" t="str">
        <f>VLOOKUP(Logfile_S[[#This Row],[Material Name]],Sheet2!B:C,2,0)</f>
        <v>ZTE1001</v>
      </c>
      <c r="M1456" s="225" t="str">
        <f>_xlfn.XLOOKUP(Logfile_S[[#This Row],[Material Name]],Sum_WH!E:E,Sum_WH!F:F,"",0)</f>
        <v>Pcs</v>
      </c>
      <c r="N1456" s="221">
        <v>18</v>
      </c>
      <c r="O1456" s="221" t="s">
        <v>1013</v>
      </c>
      <c r="P1456" s="221" t="s">
        <v>1014</v>
      </c>
      <c r="Q1456" s="221"/>
      <c r="R1456" s="221"/>
      <c r="S1456" s="221"/>
      <c r="T1456" s="221" t="s">
        <v>3258</v>
      </c>
      <c r="U1456" s="221" t="s">
        <v>3228</v>
      </c>
      <c r="V1456" s="221" t="s">
        <v>3337</v>
      </c>
      <c r="W1456" s="221" t="s">
        <v>3338</v>
      </c>
      <c r="X1456" s="221"/>
      <c r="Y1456" s="227"/>
      <c r="Z1456" s="227" t="str">
        <f>P1456</f>
        <v>Bumiayu RW 05 Kedungkandang</v>
      </c>
      <c r="AA1456" s="276" t="e">
        <f>VLOOKUP(Logfile_S[[#This Row],[DO number]],DO_DB!G:I,3,0)</f>
        <v>#N/A</v>
      </c>
      <c r="AB1456" s="331" t="e">
        <f>EXACT(Logfile_S[[#This Row],[date pick]],Logfile_S[[#This Row],[Date]])</f>
        <v>#N/A</v>
      </c>
      <c r="AC14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57" spans="1:29" ht="14.5">
      <c r="A1457" s="220" t="str">
        <f>TEXT(ROW(A1457)-ROW($A$4),"000")</f>
        <v>1453</v>
      </c>
      <c r="B1457" s="221"/>
      <c r="C1457" s="221" t="s">
        <v>49</v>
      </c>
      <c r="D1457" s="221" t="s">
        <v>3957</v>
      </c>
      <c r="E1457" s="221" t="s">
        <v>3295</v>
      </c>
      <c r="F1457" s="221" t="s">
        <v>3299</v>
      </c>
      <c r="G1457" s="222">
        <v>45350</v>
      </c>
      <c r="H1457" s="223">
        <v>0.4861111111111111</v>
      </c>
      <c r="I1457" s="221" t="s">
        <v>4916</v>
      </c>
      <c r="J1457" s="221" t="s">
        <v>3024</v>
      </c>
      <c r="K1457" s="224" t="s">
        <v>3094</v>
      </c>
      <c r="L1457" s="225" t="str">
        <f>VLOOKUP(Logfile_S[[#This Row],[Material Name]],Sheet2!B:C,2,0)</f>
        <v>GCI1008</v>
      </c>
      <c r="M1457" s="225" t="str">
        <f>_xlfn.XLOOKUP(Logfile_S[[#This Row],[Material Name]],Sum_WH!E:E,Sum_WH!F:F,"",0)</f>
        <v>Pcs</v>
      </c>
      <c r="N1457" s="221">
        <v>9</v>
      </c>
      <c r="O1457" s="221" t="s">
        <v>1013</v>
      </c>
      <c r="P1457" s="221" t="s">
        <v>1014</v>
      </c>
      <c r="Q1457" s="221"/>
      <c r="R1457" s="221"/>
      <c r="S1457" s="221"/>
      <c r="T1457" s="221" t="s">
        <v>3258</v>
      </c>
      <c r="U1457" s="221" t="s">
        <v>3228</v>
      </c>
      <c r="V1457" s="221" t="s">
        <v>3337</v>
      </c>
      <c r="W1457" s="221" t="s">
        <v>3338</v>
      </c>
      <c r="X1457" s="221"/>
      <c r="Y1457" s="227"/>
      <c r="Z1457" s="227" t="str">
        <f>P1457</f>
        <v>Bumiayu RW 05 Kedungkandang</v>
      </c>
      <c r="AA1457" s="276" t="e">
        <f>VLOOKUP(Logfile_S[[#This Row],[DO number]],DO_DB!G:I,3,0)</f>
        <v>#N/A</v>
      </c>
      <c r="AB1457" s="331" t="e">
        <f>EXACT(Logfile_S[[#This Row],[date pick]],Logfile_S[[#This Row],[Date]])</f>
        <v>#N/A</v>
      </c>
      <c r="AC14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58" spans="1:29" ht="14.5">
      <c r="A1458" s="220" t="str">
        <f>TEXT(ROW(A1458)-ROW($A$4),"000")</f>
        <v>1454</v>
      </c>
      <c r="B1458" s="221"/>
      <c r="C1458" s="221" t="s">
        <v>49</v>
      </c>
      <c r="D1458" s="221" t="s">
        <v>3957</v>
      </c>
      <c r="E1458" s="221" t="s">
        <v>3295</v>
      </c>
      <c r="F1458" s="221" t="s">
        <v>3299</v>
      </c>
      <c r="G1458" s="222">
        <v>45350</v>
      </c>
      <c r="H1458" s="223">
        <v>0.4861111111111111</v>
      </c>
      <c r="I1458" s="221" t="s">
        <v>4916</v>
      </c>
      <c r="J1458" s="221" t="s">
        <v>3024</v>
      </c>
      <c r="K1458" s="224" t="s">
        <v>3090</v>
      </c>
      <c r="L1458" s="225" t="str">
        <f>VLOOKUP(Logfile_S[[#This Row],[Material Name]],Sheet2!B:C,2,0)</f>
        <v>GCI1004</v>
      </c>
      <c r="M1458" s="225" t="str">
        <f>_xlfn.XLOOKUP(Logfile_S[[#This Row],[Material Name]],Sum_WH!E:E,Sum_WH!F:F,"",0)</f>
        <v>Pcs</v>
      </c>
      <c r="N1458" s="221">
        <v>6</v>
      </c>
      <c r="O1458" s="221" t="s">
        <v>1013</v>
      </c>
      <c r="P1458" s="221" t="s">
        <v>1014</v>
      </c>
      <c r="Q1458" s="221"/>
      <c r="R1458" s="221"/>
      <c r="S1458" s="221"/>
      <c r="T1458" s="221" t="s">
        <v>3258</v>
      </c>
      <c r="U1458" s="221" t="s">
        <v>3228</v>
      </c>
      <c r="V1458" s="221" t="s">
        <v>3337</v>
      </c>
      <c r="W1458" s="221" t="s">
        <v>3338</v>
      </c>
      <c r="X1458" s="221"/>
      <c r="Y1458" s="227"/>
      <c r="Z1458" s="227" t="str">
        <f>P1458</f>
        <v>Bumiayu RW 05 Kedungkandang</v>
      </c>
      <c r="AA1458" s="276" t="e">
        <f>VLOOKUP(Logfile_S[[#This Row],[DO number]],DO_DB!G:I,3,0)</f>
        <v>#N/A</v>
      </c>
      <c r="AB1458" s="331" t="e">
        <f>EXACT(Logfile_S[[#This Row],[date pick]],Logfile_S[[#This Row],[Date]])</f>
        <v>#N/A</v>
      </c>
      <c r="AC14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59" spans="1:29" ht="14.5">
      <c r="A1459" s="220" t="str">
        <f>TEXT(ROW(A1459)-ROW($A$4),"000")</f>
        <v>1455</v>
      </c>
      <c r="B1459" s="221"/>
      <c r="C1459" s="221" t="s">
        <v>48</v>
      </c>
      <c r="D1459" s="221" t="s">
        <v>3958</v>
      </c>
      <c r="E1459" s="221" t="s">
        <v>3295</v>
      </c>
      <c r="F1459" s="221" t="s">
        <v>3299</v>
      </c>
      <c r="G1459" s="222">
        <v>45351</v>
      </c>
      <c r="H1459" s="223">
        <v>15.291666666666666</v>
      </c>
      <c r="I1459" s="221" t="s">
        <v>37</v>
      </c>
      <c r="J1459" s="221" t="s">
        <v>3023</v>
      </c>
      <c r="K1459" s="224" t="s">
        <v>3075</v>
      </c>
      <c r="L1459" s="225" t="str">
        <f>VLOOKUP(Logfile_S[[#This Row],[Material Name]],Sheet2!B:C,2,0)</f>
        <v>ZTE2003</v>
      </c>
      <c r="M1459" s="225" t="str">
        <f>_xlfn.XLOOKUP(Logfile_S[[#This Row],[Material Name]],Sum_WH!E:E,Sum_WH!F:F,"",0)</f>
        <v>Meter</v>
      </c>
      <c r="N1459" s="221">
        <v>3000</v>
      </c>
      <c r="O1459" s="221" t="s">
        <v>1013</v>
      </c>
      <c r="P1459" s="221" t="s">
        <v>1014</v>
      </c>
      <c r="Q1459" s="221" t="s">
        <v>1015</v>
      </c>
      <c r="R1459" s="221" t="s">
        <v>1016</v>
      </c>
      <c r="S1459" s="221"/>
      <c r="T1459" s="221"/>
      <c r="U1459" s="221"/>
      <c r="V1459" s="221"/>
      <c r="W1459" s="221"/>
      <c r="X1459" s="221"/>
      <c r="Y1459" s="227" t="s">
        <v>5062</v>
      </c>
      <c r="Z1459" s="227" t="str">
        <f>P1459</f>
        <v>Bumiayu RW 05 Kedungkandang</v>
      </c>
      <c r="AA1459" s="276">
        <f>VLOOKUP(Logfile_S[[#This Row],[DO number]],DO_DB!G:I,3,0)</f>
        <v>45351</v>
      </c>
      <c r="AB1459" s="331" t="b">
        <f>EXACT(Logfile_S[[#This Row],[date pick]],Logfile_S[[#This Row],[Date]])</f>
        <v>1</v>
      </c>
      <c r="AC14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48C-2024229-02</v>
      </c>
    </row>
    <row r="1460" spans="1:29" ht="14.5">
      <c r="A1460" s="220" t="str">
        <f>TEXT(ROW(A1460)-ROW($A$4),"000")</f>
        <v>1456</v>
      </c>
      <c r="B1460" s="221"/>
      <c r="C1460" s="221" t="s">
        <v>48</v>
      </c>
      <c r="D1460" s="221" t="s">
        <v>3960</v>
      </c>
      <c r="E1460" s="221" t="s">
        <v>3295</v>
      </c>
      <c r="F1460" s="221" t="s">
        <v>3299</v>
      </c>
      <c r="G1460" s="222">
        <v>45351</v>
      </c>
      <c r="H1460" s="223">
        <v>15.291666666666666</v>
      </c>
      <c r="I1460" s="221" t="s">
        <v>37</v>
      </c>
      <c r="J1460" s="221" t="s">
        <v>3023</v>
      </c>
      <c r="K1460" s="224" t="s">
        <v>3080</v>
      </c>
      <c r="L1460" s="225" t="str">
        <f>VLOOKUP(Logfile_S[[#This Row],[Material Name]],Sheet2!B:C,2,0)</f>
        <v>ZTE2010</v>
      </c>
      <c r="M1460" s="225" t="str">
        <f>_xlfn.XLOOKUP(Logfile_S[[#This Row],[Material Name]],Sum_WH!E:E,Sum_WH!F:F,"",0)</f>
        <v>Pcs</v>
      </c>
      <c r="N1460" s="221">
        <v>3</v>
      </c>
      <c r="O1460" s="221" t="s">
        <v>1013</v>
      </c>
      <c r="P1460" s="221" t="s">
        <v>1014</v>
      </c>
      <c r="Q1460" s="221" t="s">
        <v>1015</v>
      </c>
      <c r="R1460" s="221" t="s">
        <v>1016</v>
      </c>
      <c r="S1460" s="221"/>
      <c r="T1460" s="221"/>
      <c r="U1460" s="221"/>
      <c r="V1460" s="221"/>
      <c r="W1460" s="221"/>
      <c r="X1460" s="221"/>
      <c r="Y1460" s="227"/>
      <c r="Z1460" s="227" t="str">
        <f>P1460</f>
        <v>Bumiayu RW 05 Kedungkandang</v>
      </c>
      <c r="AA1460" s="276">
        <f>VLOOKUP(Logfile_S[[#This Row],[DO number]],DO_DB!G:I,3,0)</f>
        <v>45351</v>
      </c>
      <c r="AB1460" s="331" t="b">
        <f>EXACT(Logfile_S[[#This Row],[date pick]],Logfile_S[[#This Row],[Date]])</f>
        <v>1</v>
      </c>
      <c r="AC14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61" spans="1:29" ht="14.5">
      <c r="A1461" s="220" t="str">
        <f>TEXT(ROW(A1461)-ROW($A$4),"000")</f>
        <v>1457</v>
      </c>
      <c r="B1461" s="221"/>
      <c r="C1461" s="221" t="s">
        <v>49</v>
      </c>
      <c r="D1461" s="221" t="s">
        <v>3959</v>
      </c>
      <c r="E1461" s="221" t="s">
        <v>3295</v>
      </c>
      <c r="F1461" s="221" t="s">
        <v>3299</v>
      </c>
      <c r="G1461" s="222">
        <v>45351</v>
      </c>
      <c r="H1461" s="223">
        <v>0.55555555555555558</v>
      </c>
      <c r="I1461" s="221" t="s">
        <v>4916</v>
      </c>
      <c r="J1461" s="221" t="s">
        <v>3023</v>
      </c>
      <c r="K1461" s="224" t="s">
        <v>3080</v>
      </c>
      <c r="L1461" s="225" t="str">
        <f>VLOOKUP(Logfile_S[[#This Row],[Material Name]],Sheet2!B:C,2,0)</f>
        <v>ZTE2010</v>
      </c>
      <c r="M1461" s="225" t="str">
        <f>_xlfn.XLOOKUP(Logfile_S[[#This Row],[Material Name]],Sum_WH!E:E,Sum_WH!F:F,"",0)</f>
        <v>Pcs</v>
      </c>
      <c r="N1461" s="221">
        <v>3</v>
      </c>
      <c r="O1461" s="221" t="s">
        <v>1013</v>
      </c>
      <c r="P1461" s="221" t="s">
        <v>1014</v>
      </c>
      <c r="Q1461" s="221"/>
      <c r="R1461" s="221"/>
      <c r="S1461" s="221"/>
      <c r="T1461" s="221" t="s">
        <v>3231</v>
      </c>
      <c r="U1461" s="221" t="s">
        <v>3228</v>
      </c>
      <c r="V1461" s="221" t="s">
        <v>3232</v>
      </c>
      <c r="W1461" s="221" t="s">
        <v>3246</v>
      </c>
      <c r="X1461" s="221"/>
      <c r="Y1461" s="227"/>
      <c r="Z1461" s="227" t="str">
        <f>P1461</f>
        <v>Bumiayu RW 05 Kedungkandang</v>
      </c>
      <c r="AA1461" s="276" t="e">
        <f>VLOOKUP(Logfile_S[[#This Row],[DO number]],DO_DB!G:I,3,0)</f>
        <v>#N/A</v>
      </c>
      <c r="AB1461" s="331" t="e">
        <f>EXACT(Logfile_S[[#This Row],[date pick]],Logfile_S[[#This Row],[Date]])</f>
        <v>#N/A</v>
      </c>
      <c r="AC14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62" spans="1:29" ht="14.5">
      <c r="A1462" s="220" t="str">
        <f>TEXT(ROW(A1462)-ROW($A$4),"000")</f>
        <v>1458</v>
      </c>
      <c r="B1462" s="221"/>
      <c r="C1462" s="221" t="s">
        <v>49</v>
      </c>
      <c r="D1462" s="221" t="s">
        <v>3959</v>
      </c>
      <c r="E1462" s="221" t="s">
        <v>3295</v>
      </c>
      <c r="F1462" s="221" t="s">
        <v>3299</v>
      </c>
      <c r="G1462" s="222">
        <v>45351</v>
      </c>
      <c r="H1462" s="223">
        <v>0.55555555555555558</v>
      </c>
      <c r="I1462" s="221" t="s">
        <v>4916</v>
      </c>
      <c r="J1462" s="221" t="s">
        <v>3023</v>
      </c>
      <c r="K1462" s="224" t="s">
        <v>3103</v>
      </c>
      <c r="L1462" s="225" t="str">
        <f>VLOOKUP(Logfile_S[[#This Row],[Material Name]],Sheet2!B:C,2,0)</f>
        <v>GCI2013</v>
      </c>
      <c r="M1462" s="225" t="str">
        <f>_xlfn.XLOOKUP(Logfile_S[[#This Row],[Material Name]],Sum_WH!E:E,Sum_WH!F:F,"",0)</f>
        <v>Pcs</v>
      </c>
      <c r="N1462" s="221">
        <v>22</v>
      </c>
      <c r="O1462" s="221" t="s">
        <v>1013</v>
      </c>
      <c r="P1462" s="221" t="s">
        <v>1014</v>
      </c>
      <c r="Q1462" s="221"/>
      <c r="R1462" s="221"/>
      <c r="S1462" s="221"/>
      <c r="T1462" s="221" t="s">
        <v>3231</v>
      </c>
      <c r="U1462" s="221" t="s">
        <v>3228</v>
      </c>
      <c r="V1462" s="221" t="s">
        <v>3232</v>
      </c>
      <c r="W1462" s="221" t="s">
        <v>3246</v>
      </c>
      <c r="X1462" s="221"/>
      <c r="Y1462" s="227"/>
      <c r="Z1462" s="227" t="str">
        <f>P1462</f>
        <v>Bumiayu RW 05 Kedungkandang</v>
      </c>
      <c r="AA1462" s="276" t="e">
        <f>VLOOKUP(Logfile_S[[#This Row],[DO number]],DO_DB!G:I,3,0)</f>
        <v>#N/A</v>
      </c>
      <c r="AB1462" s="331" t="e">
        <f>EXACT(Logfile_S[[#This Row],[date pick]],Logfile_S[[#This Row],[Date]])</f>
        <v>#N/A</v>
      </c>
      <c r="AC14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63" spans="1:29" ht="14.5">
      <c r="A1463" s="220" t="str">
        <f>TEXT(ROW(A1463)-ROW($A$4),"000")</f>
        <v>1459</v>
      </c>
      <c r="B1463" s="221"/>
      <c r="C1463" s="221" t="s">
        <v>48</v>
      </c>
      <c r="D1463" s="221" t="s">
        <v>3960</v>
      </c>
      <c r="E1463" s="221" t="s">
        <v>3295</v>
      </c>
      <c r="F1463" s="221" t="s">
        <v>3299</v>
      </c>
      <c r="G1463" s="222">
        <v>45351</v>
      </c>
      <c r="H1463" s="223">
        <v>15.291666666666666</v>
      </c>
      <c r="I1463" s="221" t="s">
        <v>37</v>
      </c>
      <c r="J1463" s="221" t="s">
        <v>3023</v>
      </c>
      <c r="K1463" s="224" t="s">
        <v>14</v>
      </c>
      <c r="L1463" s="225" t="str">
        <f>VLOOKUP(Logfile_S[[#This Row],[Material Name]],Sheet2!B:C,2,0)</f>
        <v>ZTE2005</v>
      </c>
      <c r="M1463" s="225" t="str">
        <f>_xlfn.XLOOKUP(Logfile_S[[#This Row],[Material Name]],Sum_WH!E:E,Sum_WH!F:F,"",0)</f>
        <v>Pcs</v>
      </c>
      <c r="N1463" s="221">
        <v>1</v>
      </c>
      <c r="O1463" s="221" t="s">
        <v>1013</v>
      </c>
      <c r="P1463" s="221" t="s">
        <v>1014</v>
      </c>
      <c r="Q1463" s="221" t="s">
        <v>1015</v>
      </c>
      <c r="R1463" s="221" t="s">
        <v>1016</v>
      </c>
      <c r="S1463" s="221"/>
      <c r="T1463" s="221"/>
      <c r="U1463" s="221"/>
      <c r="V1463" s="221"/>
      <c r="W1463" s="221"/>
      <c r="X1463" s="221"/>
      <c r="Y1463" s="227"/>
      <c r="Z1463" s="227" t="str">
        <f>P1463</f>
        <v>Bumiayu RW 05 Kedungkandang</v>
      </c>
      <c r="AA1463" s="276">
        <f>VLOOKUP(Logfile_S[[#This Row],[DO number]],DO_DB!G:I,3,0)</f>
        <v>45351</v>
      </c>
      <c r="AB1463" s="331" t="b">
        <f>EXACT(Logfile_S[[#This Row],[date pick]],Logfile_S[[#This Row],[Date]])</f>
        <v>1</v>
      </c>
      <c r="AC14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64" spans="1:29" ht="14.5">
      <c r="A1464" s="220" t="str">
        <f>TEXT(ROW(A1464)-ROW($A$4),"000")</f>
        <v>1460</v>
      </c>
      <c r="B1464" s="221"/>
      <c r="C1464" s="221" t="s">
        <v>49</v>
      </c>
      <c r="D1464" s="221" t="s">
        <v>3959</v>
      </c>
      <c r="E1464" s="221" t="s">
        <v>3295</v>
      </c>
      <c r="F1464" s="221" t="s">
        <v>3299</v>
      </c>
      <c r="G1464" s="222">
        <v>45351</v>
      </c>
      <c r="H1464" s="223">
        <v>0.55555555555555558</v>
      </c>
      <c r="I1464" s="221" t="s">
        <v>4916</v>
      </c>
      <c r="J1464" s="221" t="s">
        <v>3023</v>
      </c>
      <c r="K1464" s="224" t="s">
        <v>14</v>
      </c>
      <c r="L1464" s="225" t="str">
        <f>VLOOKUP(Logfile_S[[#This Row],[Material Name]],Sheet2!B:C,2,0)</f>
        <v>ZTE2005</v>
      </c>
      <c r="M1464" s="225" t="str">
        <f>_xlfn.XLOOKUP(Logfile_S[[#This Row],[Material Name]],Sum_WH!E:E,Sum_WH!F:F,"",0)</f>
        <v>Pcs</v>
      </c>
      <c r="N1464" s="221">
        <v>1</v>
      </c>
      <c r="O1464" s="221" t="s">
        <v>1013</v>
      </c>
      <c r="P1464" s="221" t="s">
        <v>1014</v>
      </c>
      <c r="Q1464" s="221"/>
      <c r="R1464" s="221"/>
      <c r="S1464" s="221"/>
      <c r="T1464" s="221" t="s">
        <v>3231</v>
      </c>
      <c r="U1464" s="221" t="s">
        <v>3228</v>
      </c>
      <c r="V1464" s="221" t="s">
        <v>3232</v>
      </c>
      <c r="W1464" s="221" t="s">
        <v>3246</v>
      </c>
      <c r="X1464" s="221"/>
      <c r="Y1464" s="227"/>
      <c r="Z1464" s="227" t="str">
        <f>P1464</f>
        <v>Bumiayu RW 05 Kedungkandang</v>
      </c>
      <c r="AA1464" s="276" t="e">
        <f>VLOOKUP(Logfile_S[[#This Row],[DO number]],DO_DB!G:I,3,0)</f>
        <v>#N/A</v>
      </c>
      <c r="AB1464" s="331" t="e">
        <f>EXACT(Logfile_S[[#This Row],[date pick]],Logfile_S[[#This Row],[Date]])</f>
        <v>#N/A</v>
      </c>
      <c r="AC14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65" spans="1:29" ht="14.5">
      <c r="A1465" s="220" t="str">
        <f>TEXT(ROW(A1465)-ROW($A$4),"000")</f>
        <v>1461</v>
      </c>
      <c r="B1465" s="221"/>
      <c r="C1465" s="221" t="s">
        <v>48</v>
      </c>
      <c r="D1465" s="221" t="s">
        <v>3960</v>
      </c>
      <c r="E1465" s="221" t="s">
        <v>3295</v>
      </c>
      <c r="F1465" s="221" t="s">
        <v>3299</v>
      </c>
      <c r="G1465" s="222">
        <v>45351</v>
      </c>
      <c r="H1465" s="223">
        <v>15.291666666666666</v>
      </c>
      <c r="I1465" s="221" t="s">
        <v>37</v>
      </c>
      <c r="J1465" s="221" t="s">
        <v>3023</v>
      </c>
      <c r="K1465" s="224" t="s">
        <v>3070</v>
      </c>
      <c r="L1465" s="225" t="str">
        <f>VLOOKUP(Logfile_S[[#This Row],[Material Name]],Sheet2!B:C,2,0)</f>
        <v>ZTE1002</v>
      </c>
      <c r="M1465" s="225" t="str">
        <f>_xlfn.XLOOKUP(Logfile_S[[#This Row],[Material Name]],Sum_WH!E:E,Sum_WH!F:F,"",0)</f>
        <v>Pcs</v>
      </c>
      <c r="N1465" s="221">
        <v>17</v>
      </c>
      <c r="O1465" s="221" t="s">
        <v>1013</v>
      </c>
      <c r="P1465" s="221" t="s">
        <v>1014</v>
      </c>
      <c r="Q1465" s="221" t="s">
        <v>1017</v>
      </c>
      <c r="R1465" s="221" t="s">
        <v>1018</v>
      </c>
      <c r="S1465" s="221"/>
      <c r="T1465" s="221"/>
      <c r="U1465" s="221"/>
      <c r="V1465" s="221"/>
      <c r="W1465" s="221"/>
      <c r="X1465" s="221"/>
      <c r="Y1465" s="227"/>
      <c r="Z1465" s="227" t="str">
        <f>P1465</f>
        <v>Bumiayu RW 05 Kedungkandang</v>
      </c>
      <c r="AA1465" s="276">
        <f>VLOOKUP(Logfile_S[[#This Row],[DO number]],DO_DB!G:I,3,0)</f>
        <v>45351</v>
      </c>
      <c r="AB1465" s="331" t="b">
        <f>EXACT(Logfile_S[[#This Row],[date pick]],Logfile_S[[#This Row],[Date]])</f>
        <v>1</v>
      </c>
      <c r="AC14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66" spans="1:29" ht="14.5">
      <c r="A1466" s="220" t="str">
        <f>TEXT(ROW(A1466)-ROW($A$4),"000")</f>
        <v>1462</v>
      </c>
      <c r="B1466" s="221"/>
      <c r="C1466" s="221" t="s">
        <v>48</v>
      </c>
      <c r="D1466" s="221" t="s">
        <v>3960</v>
      </c>
      <c r="E1466" s="221" t="s">
        <v>3295</v>
      </c>
      <c r="F1466" s="221" t="s">
        <v>3299</v>
      </c>
      <c r="G1466" s="222">
        <v>45351</v>
      </c>
      <c r="H1466" s="223">
        <v>15.291666666666666</v>
      </c>
      <c r="I1466" s="221" t="s">
        <v>37</v>
      </c>
      <c r="J1466" s="221" t="s">
        <v>3023</v>
      </c>
      <c r="K1466" s="224" t="s">
        <v>3069</v>
      </c>
      <c r="L1466" s="225" t="str">
        <f>VLOOKUP(Logfile_S[[#This Row],[Material Name]],Sheet2!B:C,2,0)</f>
        <v>ZTE1001</v>
      </c>
      <c r="M1466" s="225" t="str">
        <f>_xlfn.XLOOKUP(Logfile_S[[#This Row],[Material Name]],Sum_WH!E:E,Sum_WH!F:F,"",0)</f>
        <v>Pcs</v>
      </c>
      <c r="N1466" s="221">
        <v>51</v>
      </c>
      <c r="O1466" s="221" t="s">
        <v>1013</v>
      </c>
      <c r="P1466" s="221" t="s">
        <v>1014</v>
      </c>
      <c r="Q1466" s="221" t="s">
        <v>1017</v>
      </c>
      <c r="R1466" s="221" t="s">
        <v>1018</v>
      </c>
      <c r="S1466" s="221"/>
      <c r="T1466" s="221"/>
      <c r="U1466" s="221"/>
      <c r="V1466" s="221"/>
      <c r="W1466" s="221"/>
      <c r="X1466" s="221"/>
      <c r="Y1466" s="227"/>
      <c r="Z1466" s="227" t="str">
        <f>P1466</f>
        <v>Bumiayu RW 05 Kedungkandang</v>
      </c>
      <c r="AA1466" s="276">
        <f>VLOOKUP(Logfile_S[[#This Row],[DO number]],DO_DB!G:I,3,0)</f>
        <v>45351</v>
      </c>
      <c r="AB1466" s="331" t="b">
        <f>EXACT(Logfile_S[[#This Row],[date pick]],Logfile_S[[#This Row],[Date]])</f>
        <v>1</v>
      </c>
      <c r="AC14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67" spans="1:29" ht="14.5">
      <c r="A1467" s="220" t="str">
        <f>TEXT(ROW(A1467)-ROW($A$4),"000")</f>
        <v>1463</v>
      </c>
      <c r="B1467" s="221"/>
      <c r="C1467" s="221" t="s">
        <v>49</v>
      </c>
      <c r="D1467" s="221" t="s">
        <v>3963</v>
      </c>
      <c r="E1467" s="221" t="s">
        <v>3295</v>
      </c>
      <c r="F1467" s="221" t="s">
        <v>3299</v>
      </c>
      <c r="G1467" s="222">
        <v>45352</v>
      </c>
      <c r="H1467" s="223">
        <v>0.39097222222222222</v>
      </c>
      <c r="I1467" s="221" t="s">
        <v>4916</v>
      </c>
      <c r="J1467" s="221" t="s">
        <v>3023</v>
      </c>
      <c r="K1467" s="224" t="s">
        <v>3075</v>
      </c>
      <c r="L1467" s="225" t="str">
        <f>VLOOKUP(Logfile_S[[#This Row],[Material Name]],Sheet2!B:C,2,0)</f>
        <v>ZTE2003</v>
      </c>
      <c r="M1467" s="225" t="str">
        <f>_xlfn.XLOOKUP(Logfile_S[[#This Row],[Material Name]],Sum_WH!E:E,Sum_WH!F:F,"",0)</f>
        <v>Meter</v>
      </c>
      <c r="N1467" s="221">
        <v>3000</v>
      </c>
      <c r="O1467" s="221" t="s">
        <v>1013</v>
      </c>
      <c r="P1467" s="221" t="s">
        <v>1014</v>
      </c>
      <c r="Q1467" s="221"/>
      <c r="R1467" s="221"/>
      <c r="S1467" s="221"/>
      <c r="T1467" s="221" t="s">
        <v>3258</v>
      </c>
      <c r="U1467" s="221" t="s">
        <v>3228</v>
      </c>
      <c r="V1467" s="221" t="s">
        <v>3337</v>
      </c>
      <c r="W1467" s="221" t="s">
        <v>3365</v>
      </c>
      <c r="X1467" s="221" t="s">
        <v>3553</v>
      </c>
      <c r="Y1467" s="227"/>
      <c r="Z1467" s="227" t="str">
        <f>P1467</f>
        <v>Bumiayu RW 05 Kedungkandang</v>
      </c>
      <c r="AA1467" s="276" t="e">
        <f>VLOOKUP(Logfile_S[[#This Row],[DO number]],DO_DB!G:I,3,0)</f>
        <v>#N/A</v>
      </c>
      <c r="AB1467" s="331" t="e">
        <f>EXACT(Logfile_S[[#This Row],[date pick]],Logfile_S[[#This Row],[Date]])</f>
        <v>#N/A</v>
      </c>
      <c r="AC14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68" spans="1:29" ht="14.5">
      <c r="A1468" s="220" t="str">
        <f>TEXT(ROW(A1468)-ROW($A$4),"000")</f>
        <v>1464</v>
      </c>
      <c r="B1468" s="221"/>
      <c r="C1468" s="221" t="s">
        <v>49</v>
      </c>
      <c r="D1468" s="221" t="s">
        <v>3963</v>
      </c>
      <c r="E1468" s="221" t="s">
        <v>3295</v>
      </c>
      <c r="F1468" s="221" t="s">
        <v>3299</v>
      </c>
      <c r="G1468" s="222">
        <v>45352</v>
      </c>
      <c r="H1468" s="223">
        <v>0.39097222222222222</v>
      </c>
      <c r="I1468" s="221" t="s">
        <v>4916</v>
      </c>
      <c r="J1468" s="221" t="s">
        <v>3024</v>
      </c>
      <c r="K1468" s="224" t="s">
        <v>5137</v>
      </c>
      <c r="L1468" s="225" t="str">
        <f>VLOOKUP(Logfile_S[[#This Row],[Material Name]],Sheet2!B:C,2,0)</f>
        <v>GCI1009</v>
      </c>
      <c r="M1468" s="225" t="str">
        <f>_xlfn.XLOOKUP(Logfile_S[[#This Row],[Material Name]],Sum_WH!E:E,Sum_WH!F:F,"",0)</f>
        <v>Pcs</v>
      </c>
      <c r="N1468" s="221">
        <v>14</v>
      </c>
      <c r="O1468" s="221" t="s">
        <v>1013</v>
      </c>
      <c r="P1468" s="221" t="s">
        <v>1014</v>
      </c>
      <c r="Q1468" s="221"/>
      <c r="R1468" s="221"/>
      <c r="S1468" s="221"/>
      <c r="T1468" s="221" t="s">
        <v>3258</v>
      </c>
      <c r="U1468" s="221" t="s">
        <v>3228</v>
      </c>
      <c r="V1468" s="221" t="s">
        <v>3337</v>
      </c>
      <c r="W1468" s="221" t="s">
        <v>3338</v>
      </c>
      <c r="X1468" s="221"/>
      <c r="Y1468" s="227"/>
      <c r="Z1468" s="227" t="str">
        <f>P1468</f>
        <v>Bumiayu RW 05 Kedungkandang</v>
      </c>
      <c r="AA1468" s="276" t="e">
        <f>VLOOKUP(Logfile_S[[#This Row],[DO number]],DO_DB!G:I,3,0)</f>
        <v>#N/A</v>
      </c>
      <c r="AB1468" s="331" t="e">
        <f>EXACT(Logfile_S[[#This Row],[date pick]],Logfile_S[[#This Row],[Date]])</f>
        <v>#N/A</v>
      </c>
      <c r="AC14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69" spans="1:29" ht="14.5">
      <c r="A1469" s="220" t="str">
        <f>TEXT(ROW(A1469)-ROW($A$4),"000")</f>
        <v>1465</v>
      </c>
      <c r="B1469" s="221"/>
      <c r="C1469" s="221" t="s">
        <v>49</v>
      </c>
      <c r="D1469" s="221" t="s">
        <v>3964</v>
      </c>
      <c r="E1469" s="221" t="s">
        <v>3295</v>
      </c>
      <c r="F1469" s="221" t="s">
        <v>3299</v>
      </c>
      <c r="G1469" s="222">
        <v>45352</v>
      </c>
      <c r="H1469" s="223">
        <v>0.42499999999999999</v>
      </c>
      <c r="I1469" s="221" t="s">
        <v>4916</v>
      </c>
      <c r="J1469" s="221" t="s">
        <v>3024</v>
      </c>
      <c r="K1469" s="224" t="s">
        <v>5137</v>
      </c>
      <c r="L1469" s="225" t="str">
        <f>VLOOKUP(Logfile_S[[#This Row],[Material Name]],Sheet2!B:C,2,0)</f>
        <v>GCI1009</v>
      </c>
      <c r="M1469" s="225" t="str">
        <f>_xlfn.XLOOKUP(Logfile_S[[#This Row],[Material Name]],Sum_WH!E:E,Sum_WH!F:F,"",0)</f>
        <v>Pcs</v>
      </c>
      <c r="N1469" s="221">
        <v>40</v>
      </c>
      <c r="O1469" s="221" t="s">
        <v>1013</v>
      </c>
      <c r="P1469" s="221" t="s">
        <v>1014</v>
      </c>
      <c r="Q1469" s="221"/>
      <c r="R1469" s="221"/>
      <c r="S1469" s="221"/>
      <c r="T1469" s="221" t="s">
        <v>3258</v>
      </c>
      <c r="U1469" s="221" t="s">
        <v>3228</v>
      </c>
      <c r="V1469" s="221" t="s">
        <v>3337</v>
      </c>
      <c r="W1469" s="221" t="s">
        <v>3338</v>
      </c>
      <c r="X1469" s="221"/>
      <c r="Y1469" s="227"/>
      <c r="Z1469" s="227" t="str">
        <f>P1469</f>
        <v>Bumiayu RW 05 Kedungkandang</v>
      </c>
      <c r="AA1469" s="276" t="e">
        <f>VLOOKUP(Logfile_S[[#This Row],[DO number]],DO_DB!G:I,3,0)</f>
        <v>#N/A</v>
      </c>
      <c r="AB1469" s="331" t="e">
        <f>EXACT(Logfile_S[[#This Row],[date pick]],Logfile_S[[#This Row],[Date]])</f>
        <v>#N/A</v>
      </c>
      <c r="AC14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70" spans="1:29" ht="14.5">
      <c r="A1470" s="220" t="str">
        <f>TEXT(ROW(A1470)-ROW($A$4),"000")</f>
        <v>1466</v>
      </c>
      <c r="B1470" s="221"/>
      <c r="C1470" s="221" t="s">
        <v>49</v>
      </c>
      <c r="D1470" s="221" t="s">
        <v>3963</v>
      </c>
      <c r="E1470" s="221" t="s">
        <v>3295</v>
      </c>
      <c r="F1470" s="221" t="s">
        <v>3299</v>
      </c>
      <c r="G1470" s="222">
        <v>45352</v>
      </c>
      <c r="H1470" s="223">
        <v>0.39097222222222222</v>
      </c>
      <c r="I1470" s="221" t="s">
        <v>4916</v>
      </c>
      <c r="J1470" s="221" t="s">
        <v>3024</v>
      </c>
      <c r="K1470" s="224" t="s">
        <v>3094</v>
      </c>
      <c r="L1470" s="225" t="str">
        <f>VLOOKUP(Logfile_S[[#This Row],[Material Name]],Sheet2!B:C,2,0)</f>
        <v>GCI1008</v>
      </c>
      <c r="M1470" s="225" t="str">
        <f>_xlfn.XLOOKUP(Logfile_S[[#This Row],[Material Name]],Sum_WH!E:E,Sum_WH!F:F,"",0)</f>
        <v>Pcs</v>
      </c>
      <c r="N1470" s="221">
        <v>10</v>
      </c>
      <c r="O1470" s="221" t="s">
        <v>1013</v>
      </c>
      <c r="P1470" s="221" t="s">
        <v>1014</v>
      </c>
      <c r="Q1470" s="221"/>
      <c r="R1470" s="221"/>
      <c r="S1470" s="221"/>
      <c r="T1470" s="221" t="s">
        <v>3258</v>
      </c>
      <c r="U1470" s="221" t="s">
        <v>3228</v>
      </c>
      <c r="V1470" s="221" t="s">
        <v>3337</v>
      </c>
      <c r="W1470" s="221" t="s">
        <v>3338</v>
      </c>
      <c r="X1470" s="221"/>
      <c r="Y1470" s="227"/>
      <c r="Z1470" s="227" t="str">
        <f>P1470</f>
        <v>Bumiayu RW 05 Kedungkandang</v>
      </c>
      <c r="AA1470" s="276" t="e">
        <f>VLOOKUP(Logfile_S[[#This Row],[DO number]],DO_DB!G:I,3,0)</f>
        <v>#N/A</v>
      </c>
      <c r="AB1470" s="331" t="e">
        <f>EXACT(Logfile_S[[#This Row],[date pick]],Logfile_S[[#This Row],[Date]])</f>
        <v>#N/A</v>
      </c>
      <c r="AC14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71" spans="1:29" ht="14.5">
      <c r="A1471" s="220" t="str">
        <f>TEXT(ROW(A1471)-ROW($A$4),"000")</f>
        <v>1467</v>
      </c>
      <c r="B1471" s="221"/>
      <c r="C1471" s="221" t="s">
        <v>49</v>
      </c>
      <c r="D1471" s="221" t="s">
        <v>3964</v>
      </c>
      <c r="E1471" s="221" t="s">
        <v>3295</v>
      </c>
      <c r="F1471" s="221" t="s">
        <v>3299</v>
      </c>
      <c r="G1471" s="222">
        <v>45352</v>
      </c>
      <c r="H1471" s="223">
        <v>0.42499999999999999</v>
      </c>
      <c r="I1471" s="221" t="s">
        <v>4916</v>
      </c>
      <c r="J1471" s="221" t="s">
        <v>3024</v>
      </c>
      <c r="K1471" s="224" t="s">
        <v>3094</v>
      </c>
      <c r="L1471" s="225" t="str">
        <f>VLOOKUP(Logfile_S[[#This Row],[Material Name]],Sheet2!B:C,2,0)</f>
        <v>GCI1008</v>
      </c>
      <c r="M1471" s="225" t="str">
        <f>_xlfn.XLOOKUP(Logfile_S[[#This Row],[Material Name]],Sum_WH!E:E,Sum_WH!F:F,"",0)</f>
        <v>Pcs</v>
      </c>
      <c r="N1471" s="221">
        <v>25</v>
      </c>
      <c r="O1471" s="221" t="s">
        <v>1013</v>
      </c>
      <c r="P1471" s="221" t="s">
        <v>1014</v>
      </c>
      <c r="Q1471" s="221"/>
      <c r="R1471" s="221"/>
      <c r="S1471" s="221"/>
      <c r="T1471" s="221" t="s">
        <v>3258</v>
      </c>
      <c r="U1471" s="221" t="s">
        <v>3228</v>
      </c>
      <c r="V1471" s="221" t="s">
        <v>3337</v>
      </c>
      <c r="W1471" s="221" t="s">
        <v>3338</v>
      </c>
      <c r="X1471" s="221"/>
      <c r="Y1471" s="227"/>
      <c r="Z1471" s="227" t="str">
        <f>P1471</f>
        <v>Bumiayu RW 05 Kedungkandang</v>
      </c>
      <c r="AA1471" s="276" t="e">
        <f>VLOOKUP(Logfile_S[[#This Row],[DO number]],DO_DB!G:I,3,0)</f>
        <v>#N/A</v>
      </c>
      <c r="AB1471" s="331" t="e">
        <f>EXACT(Logfile_S[[#This Row],[date pick]],Logfile_S[[#This Row],[Date]])</f>
        <v>#N/A</v>
      </c>
      <c r="AC14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72" spans="1:29" ht="14.5">
      <c r="A1472" s="220" t="str">
        <f>TEXT(ROW(A1472)-ROW($A$4),"000")</f>
        <v>1468</v>
      </c>
      <c r="B1472" s="221"/>
      <c r="C1472" s="221" t="s">
        <v>49</v>
      </c>
      <c r="D1472" s="221" t="s">
        <v>3963</v>
      </c>
      <c r="E1472" s="221" t="s">
        <v>3295</v>
      </c>
      <c r="F1472" s="221" t="s">
        <v>3299</v>
      </c>
      <c r="G1472" s="222">
        <v>45352</v>
      </c>
      <c r="H1472" s="223">
        <v>0.39097222222222222</v>
      </c>
      <c r="I1472" s="221" t="s">
        <v>4916</v>
      </c>
      <c r="J1472" s="221" t="s">
        <v>3024</v>
      </c>
      <c r="K1472" s="224" t="s">
        <v>3089</v>
      </c>
      <c r="L1472" s="225" t="str">
        <f>VLOOKUP(Logfile_S[[#This Row],[Material Name]],Sheet2!B:C,2,0)</f>
        <v>GCI1003</v>
      </c>
      <c r="M1472" s="225" t="str">
        <f>_xlfn.XLOOKUP(Logfile_S[[#This Row],[Material Name]],Sum_WH!E:E,Sum_WH!F:F,"",0)</f>
        <v>Pcs</v>
      </c>
      <c r="N1472" s="221">
        <v>50</v>
      </c>
      <c r="O1472" s="221" t="s">
        <v>1013</v>
      </c>
      <c r="P1472" s="221" t="s">
        <v>1014</v>
      </c>
      <c r="Q1472" s="221"/>
      <c r="R1472" s="221"/>
      <c r="S1472" s="221"/>
      <c r="T1472" s="221" t="s">
        <v>3258</v>
      </c>
      <c r="U1472" s="221" t="s">
        <v>3228</v>
      </c>
      <c r="V1472" s="221" t="s">
        <v>3337</v>
      </c>
      <c r="W1472" s="221" t="s">
        <v>3338</v>
      </c>
      <c r="X1472" s="221"/>
      <c r="Y1472" s="227"/>
      <c r="Z1472" s="227" t="str">
        <f>P1472</f>
        <v>Bumiayu RW 05 Kedungkandang</v>
      </c>
      <c r="AA1472" s="276" t="e">
        <f>VLOOKUP(Logfile_S[[#This Row],[DO number]],DO_DB!G:I,3,0)</f>
        <v>#N/A</v>
      </c>
      <c r="AB1472" s="331" t="e">
        <f>EXACT(Logfile_S[[#This Row],[date pick]],Logfile_S[[#This Row],[Date]])</f>
        <v>#N/A</v>
      </c>
      <c r="AC14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73" spans="1:29" ht="14.5">
      <c r="A1473" s="220" t="str">
        <f>TEXT(ROW(A1473)-ROW($A$4),"000")</f>
        <v>1469</v>
      </c>
      <c r="B1473" s="221"/>
      <c r="C1473" s="221" t="s">
        <v>49</v>
      </c>
      <c r="D1473" s="221" t="s">
        <v>3967</v>
      </c>
      <c r="E1473" s="221" t="s">
        <v>3295</v>
      </c>
      <c r="F1473" s="221" t="s">
        <v>3299</v>
      </c>
      <c r="G1473" s="222">
        <v>45353</v>
      </c>
      <c r="H1473" s="223">
        <v>0.42499999999999999</v>
      </c>
      <c r="I1473" s="221" t="s">
        <v>4916</v>
      </c>
      <c r="J1473" s="221" t="s">
        <v>3024</v>
      </c>
      <c r="K1473" s="224" t="s">
        <v>5137</v>
      </c>
      <c r="L1473" s="225" t="str">
        <f>VLOOKUP(Logfile_S[[#This Row],[Material Name]],Sheet2!B:C,2,0)</f>
        <v>GCI1009</v>
      </c>
      <c r="M1473" s="225" t="str">
        <f>_xlfn.XLOOKUP(Logfile_S[[#This Row],[Material Name]],Sum_WH!E:E,Sum_WH!F:F,"",0)</f>
        <v>Pcs</v>
      </c>
      <c r="N1473" s="221">
        <v>40</v>
      </c>
      <c r="O1473" s="221" t="s">
        <v>1013</v>
      </c>
      <c r="P1473" s="221" t="s">
        <v>1014</v>
      </c>
      <c r="Q1473" s="221"/>
      <c r="R1473" s="221"/>
      <c r="S1473" s="221"/>
      <c r="T1473" s="221" t="s">
        <v>3258</v>
      </c>
      <c r="U1473" s="221" t="s">
        <v>3228</v>
      </c>
      <c r="V1473" s="221" t="s">
        <v>3337</v>
      </c>
      <c r="W1473" s="221" t="s">
        <v>3338</v>
      </c>
      <c r="X1473" s="221"/>
      <c r="Y1473" s="227"/>
      <c r="Z1473" s="227" t="str">
        <f>P1473</f>
        <v>Bumiayu RW 05 Kedungkandang</v>
      </c>
      <c r="AA1473" s="276" t="e">
        <f>VLOOKUP(Logfile_S[[#This Row],[DO number]],DO_DB!G:I,3,0)</f>
        <v>#N/A</v>
      </c>
      <c r="AB1473" s="331" t="e">
        <f>EXACT(Logfile_S[[#This Row],[date pick]],Logfile_S[[#This Row],[Date]])</f>
        <v>#N/A</v>
      </c>
      <c r="AC14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74" spans="1:29" ht="14.5">
      <c r="A1474" s="220" t="str">
        <f>TEXT(ROW(A1474)-ROW($A$4),"000")</f>
        <v>1470</v>
      </c>
      <c r="B1474" s="221"/>
      <c r="C1474" s="221" t="s">
        <v>49</v>
      </c>
      <c r="D1474" s="221" t="s">
        <v>3967</v>
      </c>
      <c r="E1474" s="221" t="s">
        <v>3295</v>
      </c>
      <c r="F1474" s="221" t="s">
        <v>3299</v>
      </c>
      <c r="G1474" s="222">
        <v>45353</v>
      </c>
      <c r="H1474" s="223">
        <v>0.42499999999999999</v>
      </c>
      <c r="I1474" s="221" t="s">
        <v>4916</v>
      </c>
      <c r="J1474" s="221" t="s">
        <v>3024</v>
      </c>
      <c r="K1474" s="224" t="s">
        <v>3094</v>
      </c>
      <c r="L1474" s="225" t="str">
        <f>VLOOKUP(Logfile_S[[#This Row],[Material Name]],Sheet2!B:C,2,0)</f>
        <v>GCI1008</v>
      </c>
      <c r="M1474" s="225" t="str">
        <f>_xlfn.XLOOKUP(Logfile_S[[#This Row],[Material Name]],Sum_WH!E:E,Sum_WH!F:F,"",0)</f>
        <v>Pcs</v>
      </c>
      <c r="N1474" s="221">
        <v>25</v>
      </c>
      <c r="O1474" s="221" t="s">
        <v>1013</v>
      </c>
      <c r="P1474" s="221" t="s">
        <v>1014</v>
      </c>
      <c r="Q1474" s="221"/>
      <c r="R1474" s="221"/>
      <c r="S1474" s="221"/>
      <c r="T1474" s="221" t="s">
        <v>3258</v>
      </c>
      <c r="U1474" s="221" t="s">
        <v>3228</v>
      </c>
      <c r="V1474" s="221" t="s">
        <v>3337</v>
      </c>
      <c r="W1474" s="221" t="s">
        <v>3338</v>
      </c>
      <c r="X1474" s="221"/>
      <c r="Y1474" s="227"/>
      <c r="Z1474" s="227" t="str">
        <f>P1474</f>
        <v>Bumiayu RW 05 Kedungkandang</v>
      </c>
      <c r="AA1474" s="276" t="e">
        <f>VLOOKUP(Logfile_S[[#This Row],[DO number]],DO_DB!G:I,3,0)</f>
        <v>#N/A</v>
      </c>
      <c r="AB1474" s="331" t="e">
        <f>EXACT(Logfile_S[[#This Row],[date pick]],Logfile_S[[#This Row],[Date]])</f>
        <v>#N/A</v>
      </c>
      <c r="AC14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75" spans="1:29" ht="14.5">
      <c r="A1475" s="220" t="str">
        <f>TEXT(ROW(A1475)-ROW($A$4),"000")</f>
        <v>1471</v>
      </c>
      <c r="B1475" s="221"/>
      <c r="C1475" s="221" t="s">
        <v>49</v>
      </c>
      <c r="D1475" s="221" t="s">
        <v>3969</v>
      </c>
      <c r="E1475" s="221" t="s">
        <v>3295</v>
      </c>
      <c r="F1475" s="221" t="s">
        <v>3299</v>
      </c>
      <c r="G1475" s="222">
        <v>45355</v>
      </c>
      <c r="H1475" s="223">
        <v>0.57916666666666672</v>
      </c>
      <c r="I1475" s="221" t="s">
        <v>4916</v>
      </c>
      <c r="J1475" s="221" t="s">
        <v>3024</v>
      </c>
      <c r="K1475" s="224" t="s">
        <v>3091</v>
      </c>
      <c r="L1475" s="225" t="str">
        <f>VLOOKUP(Logfile_S[[#This Row],[Material Name]],Sheet2!B:C,2,0)</f>
        <v>GCI1005</v>
      </c>
      <c r="M1475" s="225" t="str">
        <f>_xlfn.XLOOKUP(Logfile_S[[#This Row],[Material Name]],Sum_WH!E:E,Sum_WH!F:F,"",0)</f>
        <v>Pcs</v>
      </c>
      <c r="N1475" s="221">
        <v>50</v>
      </c>
      <c r="O1475" s="221" t="s">
        <v>1013</v>
      </c>
      <c r="P1475" s="221" t="s">
        <v>1014</v>
      </c>
      <c r="Q1475" s="221"/>
      <c r="R1475" s="221"/>
      <c r="S1475" s="221"/>
      <c r="T1475" s="221" t="s">
        <v>3258</v>
      </c>
      <c r="U1475" s="221" t="s">
        <v>3228</v>
      </c>
      <c r="V1475" s="221" t="s">
        <v>3337</v>
      </c>
      <c r="W1475" s="221" t="s">
        <v>3338</v>
      </c>
      <c r="X1475" s="221"/>
      <c r="Y1475" s="227"/>
      <c r="Z1475" s="227" t="str">
        <f>P1475</f>
        <v>Bumiayu RW 05 Kedungkandang</v>
      </c>
      <c r="AA1475" s="276" t="e">
        <f>VLOOKUP(Logfile_S[[#This Row],[DO number]],DO_DB!G:I,3,0)</f>
        <v>#N/A</v>
      </c>
      <c r="AB1475" s="331" t="e">
        <f>EXACT(Logfile_S[[#This Row],[date pick]],Logfile_S[[#This Row],[Date]])</f>
        <v>#N/A</v>
      </c>
      <c r="AC14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76" spans="1:29" ht="14.5">
      <c r="A1476" s="220" t="str">
        <f>TEXT(ROW(A1476)-ROW($A$4),"000")</f>
        <v>1472</v>
      </c>
      <c r="B1476" s="221"/>
      <c r="C1476" s="221" t="s">
        <v>49</v>
      </c>
      <c r="D1476" s="221" t="s">
        <v>3969</v>
      </c>
      <c r="E1476" s="221" t="s">
        <v>3295</v>
      </c>
      <c r="F1476" s="221" t="s">
        <v>3299</v>
      </c>
      <c r="G1476" s="222">
        <v>45355</v>
      </c>
      <c r="H1476" s="223">
        <v>0.57916666666666672</v>
      </c>
      <c r="I1476" s="221" t="s">
        <v>4916</v>
      </c>
      <c r="J1476" s="221" t="s">
        <v>3024</v>
      </c>
      <c r="K1476" s="224" t="s">
        <v>5137</v>
      </c>
      <c r="L1476" s="225" t="str">
        <f>VLOOKUP(Logfile_S[[#This Row],[Material Name]],Sheet2!B:C,2,0)</f>
        <v>GCI1009</v>
      </c>
      <c r="M1476" s="225" t="str">
        <f>_xlfn.XLOOKUP(Logfile_S[[#This Row],[Material Name]],Sum_WH!E:E,Sum_WH!F:F,"",0)</f>
        <v>Pcs</v>
      </c>
      <c r="N1476" s="221">
        <v>12</v>
      </c>
      <c r="O1476" s="221" t="s">
        <v>1013</v>
      </c>
      <c r="P1476" s="221" t="s">
        <v>1014</v>
      </c>
      <c r="Q1476" s="221"/>
      <c r="R1476" s="221"/>
      <c r="S1476" s="221"/>
      <c r="T1476" s="221" t="s">
        <v>3258</v>
      </c>
      <c r="U1476" s="221" t="s">
        <v>3228</v>
      </c>
      <c r="V1476" s="221" t="s">
        <v>3337</v>
      </c>
      <c r="W1476" s="221" t="s">
        <v>3338</v>
      </c>
      <c r="X1476" s="221"/>
      <c r="Y1476" s="227"/>
      <c r="Z1476" s="227" t="str">
        <f>P1476</f>
        <v>Bumiayu RW 05 Kedungkandang</v>
      </c>
      <c r="AA1476" s="276" t="e">
        <f>VLOOKUP(Logfile_S[[#This Row],[DO number]],DO_DB!G:I,3,0)</f>
        <v>#N/A</v>
      </c>
      <c r="AB1476" s="331" t="e">
        <f>EXACT(Logfile_S[[#This Row],[date pick]],Logfile_S[[#This Row],[Date]])</f>
        <v>#N/A</v>
      </c>
      <c r="AC14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77" spans="1:29" ht="14.5">
      <c r="A1477" s="220" t="str">
        <f>TEXT(ROW(A1477)-ROW($A$4),"000")</f>
        <v>1473</v>
      </c>
      <c r="B1477" s="221"/>
      <c r="C1477" s="221" t="s">
        <v>49</v>
      </c>
      <c r="D1477" s="221" t="s">
        <v>3969</v>
      </c>
      <c r="E1477" s="221" t="s">
        <v>3295</v>
      </c>
      <c r="F1477" s="221" t="s">
        <v>3299</v>
      </c>
      <c r="G1477" s="222">
        <v>45355</v>
      </c>
      <c r="H1477" s="223">
        <v>0.57916666666666672</v>
      </c>
      <c r="I1477" s="221" t="s">
        <v>4916</v>
      </c>
      <c r="J1477" s="221" t="s">
        <v>3024</v>
      </c>
      <c r="K1477" s="224" t="s">
        <v>3088</v>
      </c>
      <c r="L1477" s="225" t="str">
        <f>VLOOKUP(Logfile_S[[#This Row],[Material Name]],Sheet2!B:C,2,0)</f>
        <v>GCI1002</v>
      </c>
      <c r="M1477" s="225" t="str">
        <f>_xlfn.XLOOKUP(Logfile_S[[#This Row],[Material Name]],Sum_WH!E:E,Sum_WH!F:F,"",0)</f>
        <v>Pcs</v>
      </c>
      <c r="N1477" s="221">
        <v>1</v>
      </c>
      <c r="O1477" s="221" t="s">
        <v>1013</v>
      </c>
      <c r="P1477" s="221" t="s">
        <v>1014</v>
      </c>
      <c r="Q1477" s="221"/>
      <c r="R1477" s="221"/>
      <c r="S1477" s="221"/>
      <c r="T1477" s="221" t="s">
        <v>3258</v>
      </c>
      <c r="U1477" s="221" t="s">
        <v>3228</v>
      </c>
      <c r="V1477" s="221" t="s">
        <v>3337</v>
      </c>
      <c r="W1477" s="221" t="s">
        <v>3338</v>
      </c>
      <c r="X1477" s="221"/>
      <c r="Y1477" s="227"/>
      <c r="Z1477" s="227" t="str">
        <f>P1477</f>
        <v>Bumiayu RW 05 Kedungkandang</v>
      </c>
      <c r="AA1477" s="276" t="e">
        <f>VLOOKUP(Logfile_S[[#This Row],[DO number]],DO_DB!G:I,3,0)</f>
        <v>#N/A</v>
      </c>
      <c r="AB1477" s="331" t="e">
        <f>EXACT(Logfile_S[[#This Row],[date pick]],Logfile_S[[#This Row],[Date]])</f>
        <v>#N/A</v>
      </c>
      <c r="AC14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78" spans="1:29" ht="14.5">
      <c r="A1478" s="220" t="str">
        <f>TEXT(ROW(A1478)-ROW($A$4),"000")</f>
        <v>1474</v>
      </c>
      <c r="B1478" s="221"/>
      <c r="C1478" s="221" t="s">
        <v>49</v>
      </c>
      <c r="D1478" s="221" t="s">
        <v>3969</v>
      </c>
      <c r="E1478" s="221" t="s">
        <v>3295</v>
      </c>
      <c r="F1478" s="221" t="s">
        <v>3299</v>
      </c>
      <c r="G1478" s="222">
        <v>45355</v>
      </c>
      <c r="H1478" s="223">
        <v>0.57916666666666672</v>
      </c>
      <c r="I1478" s="221" t="s">
        <v>4916</v>
      </c>
      <c r="J1478" s="221" t="s">
        <v>3023</v>
      </c>
      <c r="K1478" s="224" t="s">
        <v>3070</v>
      </c>
      <c r="L1478" s="225" t="str">
        <f>VLOOKUP(Logfile_S[[#This Row],[Material Name]],Sheet2!B:C,2,0)</f>
        <v>ZTE1002</v>
      </c>
      <c r="M1478" s="225" t="str">
        <f>_xlfn.XLOOKUP(Logfile_S[[#This Row],[Material Name]],Sum_WH!E:E,Sum_WH!F:F,"",0)</f>
        <v>Pcs</v>
      </c>
      <c r="N1478" s="221">
        <v>5</v>
      </c>
      <c r="O1478" s="221" t="s">
        <v>1013</v>
      </c>
      <c r="P1478" s="221" t="s">
        <v>1014</v>
      </c>
      <c r="Q1478" s="221"/>
      <c r="R1478" s="221"/>
      <c r="S1478" s="221"/>
      <c r="T1478" s="221" t="s">
        <v>3258</v>
      </c>
      <c r="U1478" s="221" t="s">
        <v>3228</v>
      </c>
      <c r="V1478" s="221" t="s">
        <v>3337</v>
      </c>
      <c r="W1478" s="221" t="s">
        <v>3338</v>
      </c>
      <c r="X1478" s="221"/>
      <c r="Y1478" s="227"/>
      <c r="Z1478" s="227" t="str">
        <f>P1478</f>
        <v>Bumiayu RW 05 Kedungkandang</v>
      </c>
      <c r="AA1478" s="276" t="e">
        <f>VLOOKUP(Logfile_S[[#This Row],[DO number]],DO_DB!G:I,3,0)</f>
        <v>#N/A</v>
      </c>
      <c r="AB1478" s="331" t="e">
        <f>EXACT(Logfile_S[[#This Row],[date pick]],Logfile_S[[#This Row],[Date]])</f>
        <v>#N/A</v>
      </c>
      <c r="AC14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79" spans="1:29" ht="14.5">
      <c r="A1479" s="220" t="str">
        <f>TEXT(ROW(A1479)-ROW($A$4),"000")</f>
        <v>1475</v>
      </c>
      <c r="B1479" s="221"/>
      <c r="C1479" s="221" t="s">
        <v>49</v>
      </c>
      <c r="D1479" s="221" t="s">
        <v>3972</v>
      </c>
      <c r="E1479" s="221" t="s">
        <v>3295</v>
      </c>
      <c r="F1479" s="221" t="s">
        <v>3299</v>
      </c>
      <c r="G1479" s="222">
        <v>45357</v>
      </c>
      <c r="H1479" s="223">
        <v>0.39166666666666666</v>
      </c>
      <c r="I1479" s="221" t="s">
        <v>4916</v>
      </c>
      <c r="J1479" s="221" t="s">
        <v>3023</v>
      </c>
      <c r="K1479" s="224" t="s">
        <v>3072</v>
      </c>
      <c r="L1479" s="225" t="str">
        <f>VLOOKUP(Logfile_S[[#This Row],[Material Name]],Sheet2!B:C,2,0)</f>
        <v>ZTE1004</v>
      </c>
      <c r="M1479" s="225" t="str">
        <f>_xlfn.XLOOKUP(Logfile_S[[#This Row],[Material Name]],Sum_WH!E:E,Sum_WH!F:F,"",0)</f>
        <v>Pcs</v>
      </c>
      <c r="N1479" s="221">
        <v>1</v>
      </c>
      <c r="O1479" s="221" t="s">
        <v>1013</v>
      </c>
      <c r="P1479" s="221" t="s">
        <v>1014</v>
      </c>
      <c r="Q1479" s="221"/>
      <c r="R1479" s="221"/>
      <c r="S1479" s="221"/>
      <c r="T1479" s="221" t="s">
        <v>3231</v>
      </c>
      <c r="U1479" s="221" t="s">
        <v>3228</v>
      </c>
      <c r="V1479" s="221" t="s">
        <v>3232</v>
      </c>
      <c r="W1479" s="221" t="s">
        <v>3246</v>
      </c>
      <c r="X1479" s="221"/>
      <c r="Y1479" s="227"/>
      <c r="Z1479" s="227" t="str">
        <f>P1479</f>
        <v>Bumiayu RW 05 Kedungkandang</v>
      </c>
      <c r="AA1479" s="276" t="e">
        <f>VLOOKUP(Logfile_S[[#This Row],[DO number]],DO_DB!G:I,3,0)</f>
        <v>#N/A</v>
      </c>
      <c r="AB1479" s="331" t="e">
        <f>EXACT(Logfile_S[[#This Row],[date pick]],Logfile_S[[#This Row],[Date]])</f>
        <v>#N/A</v>
      </c>
      <c r="AC14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80" spans="1:29" ht="14.5">
      <c r="A1480" s="220" t="str">
        <f>TEXT(ROW(A1480)-ROW($A$4),"000")</f>
        <v>1476</v>
      </c>
      <c r="B1480" s="221"/>
      <c r="C1480" s="221" t="s">
        <v>49</v>
      </c>
      <c r="D1480" s="221" t="s">
        <v>3917</v>
      </c>
      <c r="E1480" s="221" t="s">
        <v>3295</v>
      </c>
      <c r="F1480" s="221" t="s">
        <v>3299</v>
      </c>
      <c r="G1480" s="222">
        <v>45331</v>
      </c>
      <c r="H1480" s="223">
        <v>0.42569444444444443</v>
      </c>
      <c r="I1480" s="221" t="s">
        <v>4916</v>
      </c>
      <c r="J1480" s="221" t="s">
        <v>3024</v>
      </c>
      <c r="K1480" s="224" t="s">
        <v>3087</v>
      </c>
      <c r="L1480" s="225" t="str">
        <f>VLOOKUP(Logfile_S[[#This Row],[Material Name]],Sheet2!B:C,2,0)</f>
        <v>GCI1001</v>
      </c>
      <c r="M1480" s="225" t="str">
        <f>_xlfn.XLOOKUP(Logfile_S[[#This Row],[Material Name]],Sum_WH!E:E,Sum_WH!F:F,"",0)</f>
        <v>Pcs</v>
      </c>
      <c r="N1480" s="221">
        <v>5</v>
      </c>
      <c r="O1480" s="221" t="s">
        <v>925</v>
      </c>
      <c r="P1480" s="221" t="s">
        <v>926</v>
      </c>
      <c r="Q1480" s="221"/>
      <c r="R1480" s="221"/>
      <c r="S1480" s="221"/>
      <c r="T1480" s="221" t="s">
        <v>3258</v>
      </c>
      <c r="U1480" s="221" t="s">
        <v>3228</v>
      </c>
      <c r="V1480" s="221" t="s">
        <v>3337</v>
      </c>
      <c r="W1480" s="221" t="s">
        <v>3338</v>
      </c>
      <c r="X1480" s="221"/>
      <c r="Y1480" s="227"/>
      <c r="Z1480" s="227" t="str">
        <f>P1480</f>
        <v>Dengkol RW 02 Singosari Malang</v>
      </c>
      <c r="AA1480" s="276" t="e">
        <f>VLOOKUP(Logfile_S[[#This Row],[DO number]],DO_DB!G:I,3,0)</f>
        <v>#N/A</v>
      </c>
      <c r="AB1480" s="331" t="e">
        <f>EXACT(Logfile_S[[#This Row],[date pick]],Logfile_S[[#This Row],[Date]])</f>
        <v>#N/A</v>
      </c>
      <c r="AC14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81" spans="1:29" ht="14.5">
      <c r="A1481" s="220" t="str">
        <f>TEXT(ROW(A1481)-ROW($A$4),"000")</f>
        <v>1477</v>
      </c>
      <c r="B1481" s="221"/>
      <c r="C1481" s="221" t="s">
        <v>49</v>
      </c>
      <c r="D1481" s="221" t="s">
        <v>3917</v>
      </c>
      <c r="E1481" s="221" t="s">
        <v>3295</v>
      </c>
      <c r="F1481" s="221" t="s">
        <v>3299</v>
      </c>
      <c r="G1481" s="222">
        <v>45331</v>
      </c>
      <c r="H1481" s="223">
        <v>0.42569444444444443</v>
      </c>
      <c r="I1481" s="221" t="s">
        <v>4916</v>
      </c>
      <c r="J1481" s="221" t="s">
        <v>3024</v>
      </c>
      <c r="K1481" s="224" t="s">
        <v>5137</v>
      </c>
      <c r="L1481" s="225" t="str">
        <f>VLOOKUP(Logfile_S[[#This Row],[Material Name]],Sheet2!B:C,2,0)</f>
        <v>GCI1009</v>
      </c>
      <c r="M1481" s="225" t="str">
        <f>_xlfn.XLOOKUP(Logfile_S[[#This Row],[Material Name]],Sum_WH!E:E,Sum_WH!F:F,"",0)</f>
        <v>Pcs</v>
      </c>
      <c r="N1481" s="221">
        <v>16</v>
      </c>
      <c r="O1481" s="221" t="s">
        <v>925</v>
      </c>
      <c r="P1481" s="221" t="s">
        <v>926</v>
      </c>
      <c r="Q1481" s="221"/>
      <c r="R1481" s="221"/>
      <c r="S1481" s="221"/>
      <c r="T1481" s="221" t="s">
        <v>3258</v>
      </c>
      <c r="U1481" s="221" t="s">
        <v>3228</v>
      </c>
      <c r="V1481" s="221" t="s">
        <v>3337</v>
      </c>
      <c r="W1481" s="221" t="s">
        <v>3338</v>
      </c>
      <c r="X1481" s="221"/>
      <c r="Y1481" s="227"/>
      <c r="Z1481" s="227" t="str">
        <f>P1481</f>
        <v>Dengkol RW 02 Singosari Malang</v>
      </c>
      <c r="AA1481" s="276" t="e">
        <f>VLOOKUP(Logfile_S[[#This Row],[DO number]],DO_DB!G:I,3,0)</f>
        <v>#N/A</v>
      </c>
      <c r="AB1481" s="331" t="e">
        <f>EXACT(Logfile_S[[#This Row],[date pick]],Logfile_S[[#This Row],[Date]])</f>
        <v>#N/A</v>
      </c>
      <c r="AC14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82" spans="1:29" ht="14.5">
      <c r="A1482" s="220" t="str">
        <f>TEXT(ROW(A1482)-ROW($A$4),"000")</f>
        <v>1478</v>
      </c>
      <c r="B1482" s="221"/>
      <c r="C1482" s="221" t="s">
        <v>49</v>
      </c>
      <c r="D1482" s="221" t="s">
        <v>3917</v>
      </c>
      <c r="E1482" s="221" t="s">
        <v>3295</v>
      </c>
      <c r="F1482" s="221" t="s">
        <v>3299</v>
      </c>
      <c r="G1482" s="222">
        <v>45331</v>
      </c>
      <c r="H1482" s="223">
        <v>0.42569444444444443</v>
      </c>
      <c r="I1482" s="221" t="s">
        <v>4916</v>
      </c>
      <c r="J1482" s="221" t="s">
        <v>3024</v>
      </c>
      <c r="K1482" s="224" t="s">
        <v>3088</v>
      </c>
      <c r="L1482" s="225" t="str">
        <f>VLOOKUP(Logfile_S[[#This Row],[Material Name]],Sheet2!B:C,2,0)</f>
        <v>GCI1002</v>
      </c>
      <c r="M1482" s="225" t="str">
        <f>_xlfn.XLOOKUP(Logfile_S[[#This Row],[Material Name]],Sum_WH!E:E,Sum_WH!F:F,"",0)</f>
        <v>Pcs</v>
      </c>
      <c r="N1482" s="221">
        <v>1</v>
      </c>
      <c r="O1482" s="221" t="s">
        <v>925</v>
      </c>
      <c r="P1482" s="221" t="s">
        <v>926</v>
      </c>
      <c r="Q1482" s="221"/>
      <c r="R1482" s="221"/>
      <c r="S1482" s="221"/>
      <c r="T1482" s="221" t="s">
        <v>3258</v>
      </c>
      <c r="U1482" s="221" t="s">
        <v>3228</v>
      </c>
      <c r="V1482" s="221" t="s">
        <v>3337</v>
      </c>
      <c r="W1482" s="221" t="s">
        <v>3338</v>
      </c>
      <c r="X1482" s="221"/>
      <c r="Y1482" s="227"/>
      <c r="Z1482" s="227" t="str">
        <f>P1482</f>
        <v>Dengkol RW 02 Singosari Malang</v>
      </c>
      <c r="AA1482" s="276" t="e">
        <f>VLOOKUP(Logfile_S[[#This Row],[DO number]],DO_DB!G:I,3,0)</f>
        <v>#N/A</v>
      </c>
      <c r="AB1482" s="331" t="e">
        <f>EXACT(Logfile_S[[#This Row],[date pick]],Logfile_S[[#This Row],[Date]])</f>
        <v>#N/A</v>
      </c>
      <c r="AC14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83" spans="1:29" ht="14.5">
      <c r="A1483" s="220" t="str">
        <f>TEXT(ROW(A1483)-ROW($A$4),"000")</f>
        <v>1479</v>
      </c>
      <c r="B1483" s="221"/>
      <c r="C1483" s="221" t="s">
        <v>49</v>
      </c>
      <c r="D1483" s="221" t="s">
        <v>3917</v>
      </c>
      <c r="E1483" s="221" t="s">
        <v>3295</v>
      </c>
      <c r="F1483" s="221" t="s">
        <v>3299</v>
      </c>
      <c r="G1483" s="222">
        <v>45331</v>
      </c>
      <c r="H1483" s="223">
        <v>0.42569444444444443</v>
      </c>
      <c r="I1483" s="221" t="s">
        <v>4916</v>
      </c>
      <c r="J1483" s="221" t="s">
        <v>3024</v>
      </c>
      <c r="K1483" s="224" t="s">
        <v>3094</v>
      </c>
      <c r="L1483" s="225" t="str">
        <f>VLOOKUP(Logfile_S[[#This Row],[Material Name]],Sheet2!B:C,2,0)</f>
        <v>GCI1008</v>
      </c>
      <c r="M1483" s="225" t="str">
        <f>_xlfn.XLOOKUP(Logfile_S[[#This Row],[Material Name]],Sum_WH!E:E,Sum_WH!F:F,"",0)</f>
        <v>Pcs</v>
      </c>
      <c r="N1483" s="221">
        <v>7</v>
      </c>
      <c r="O1483" s="221" t="s">
        <v>925</v>
      </c>
      <c r="P1483" s="221" t="s">
        <v>926</v>
      </c>
      <c r="Q1483" s="221"/>
      <c r="R1483" s="221"/>
      <c r="S1483" s="221"/>
      <c r="T1483" s="221" t="s">
        <v>3258</v>
      </c>
      <c r="U1483" s="221" t="s">
        <v>3228</v>
      </c>
      <c r="V1483" s="221" t="s">
        <v>3337</v>
      </c>
      <c r="W1483" s="221" t="s">
        <v>3338</v>
      </c>
      <c r="X1483" s="221"/>
      <c r="Y1483" s="227"/>
      <c r="Z1483" s="227" t="str">
        <f>P1483</f>
        <v>Dengkol RW 02 Singosari Malang</v>
      </c>
      <c r="AA1483" s="276" t="e">
        <f>VLOOKUP(Logfile_S[[#This Row],[DO number]],DO_DB!G:I,3,0)</f>
        <v>#N/A</v>
      </c>
      <c r="AB1483" s="331" t="e">
        <f>EXACT(Logfile_S[[#This Row],[date pick]],Logfile_S[[#This Row],[Date]])</f>
        <v>#N/A</v>
      </c>
      <c r="AC14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84" spans="1:29" ht="14.5">
      <c r="A1484" s="220" t="str">
        <f>TEXT(ROW(A1484)-ROW($A$4),"000")</f>
        <v>1480</v>
      </c>
      <c r="B1484" s="221"/>
      <c r="C1484" s="221" t="s">
        <v>49</v>
      </c>
      <c r="D1484" s="221" t="s">
        <v>3917</v>
      </c>
      <c r="E1484" s="221" t="s">
        <v>3295</v>
      </c>
      <c r="F1484" s="221" t="s">
        <v>3299</v>
      </c>
      <c r="G1484" s="222">
        <v>45331</v>
      </c>
      <c r="H1484" s="223">
        <v>0.42569444444444443</v>
      </c>
      <c r="I1484" s="221" t="s">
        <v>4916</v>
      </c>
      <c r="J1484" s="221" t="s">
        <v>3024</v>
      </c>
      <c r="K1484" s="224" t="s">
        <v>3089</v>
      </c>
      <c r="L1484" s="225" t="str">
        <f>VLOOKUP(Logfile_S[[#This Row],[Material Name]],Sheet2!B:C,2,0)</f>
        <v>GCI1003</v>
      </c>
      <c r="M1484" s="225" t="str">
        <f>_xlfn.XLOOKUP(Logfile_S[[#This Row],[Material Name]],Sum_WH!E:E,Sum_WH!F:F,"",0)</f>
        <v>Pcs</v>
      </c>
      <c r="N1484" s="221">
        <v>50</v>
      </c>
      <c r="O1484" s="221" t="s">
        <v>925</v>
      </c>
      <c r="P1484" s="221" t="s">
        <v>926</v>
      </c>
      <c r="Q1484" s="221"/>
      <c r="R1484" s="221"/>
      <c r="S1484" s="221"/>
      <c r="T1484" s="221" t="s">
        <v>3258</v>
      </c>
      <c r="U1484" s="221" t="s">
        <v>3228</v>
      </c>
      <c r="V1484" s="221" t="s">
        <v>3337</v>
      </c>
      <c r="W1484" s="221" t="s">
        <v>3338</v>
      </c>
      <c r="X1484" s="221"/>
      <c r="Y1484" s="227"/>
      <c r="Z1484" s="227" t="str">
        <f>P1484</f>
        <v>Dengkol RW 02 Singosari Malang</v>
      </c>
      <c r="AA1484" s="276" t="e">
        <f>VLOOKUP(Logfile_S[[#This Row],[DO number]],DO_DB!G:I,3,0)</f>
        <v>#N/A</v>
      </c>
      <c r="AB1484" s="331" t="e">
        <f>EXACT(Logfile_S[[#This Row],[date pick]],Logfile_S[[#This Row],[Date]])</f>
        <v>#N/A</v>
      </c>
      <c r="AC14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85" spans="1:29" ht="14.5">
      <c r="A1485" s="220" t="str">
        <f>TEXT(ROW(A1485)-ROW($A$4),"000")</f>
        <v>1481</v>
      </c>
      <c r="B1485" s="221"/>
      <c r="C1485" s="221" t="s">
        <v>49</v>
      </c>
      <c r="D1485" s="221" t="s">
        <v>3917</v>
      </c>
      <c r="E1485" s="221" t="s">
        <v>3295</v>
      </c>
      <c r="F1485" s="221" t="s">
        <v>3299</v>
      </c>
      <c r="G1485" s="222">
        <v>45331</v>
      </c>
      <c r="H1485" s="223">
        <v>0.42569444444444443</v>
      </c>
      <c r="I1485" s="221" t="s">
        <v>4916</v>
      </c>
      <c r="J1485" s="221" t="s">
        <v>3024</v>
      </c>
      <c r="K1485" s="224" t="s">
        <v>3090</v>
      </c>
      <c r="L1485" s="225" t="str">
        <f>VLOOKUP(Logfile_S[[#This Row],[Material Name]],Sheet2!B:C,2,0)</f>
        <v>GCI1004</v>
      </c>
      <c r="M1485" s="225" t="str">
        <f>_xlfn.XLOOKUP(Logfile_S[[#This Row],[Material Name]],Sum_WH!E:E,Sum_WH!F:F,"",0)</f>
        <v>Pcs</v>
      </c>
      <c r="N1485" s="221">
        <v>13</v>
      </c>
      <c r="O1485" s="221" t="s">
        <v>925</v>
      </c>
      <c r="P1485" s="221" t="s">
        <v>926</v>
      </c>
      <c r="Q1485" s="221"/>
      <c r="R1485" s="221"/>
      <c r="S1485" s="221"/>
      <c r="T1485" s="221" t="s">
        <v>3258</v>
      </c>
      <c r="U1485" s="221" t="s">
        <v>3228</v>
      </c>
      <c r="V1485" s="221" t="s">
        <v>3337</v>
      </c>
      <c r="W1485" s="221" t="s">
        <v>3338</v>
      </c>
      <c r="X1485" s="221"/>
      <c r="Y1485" s="227"/>
      <c r="Z1485" s="227" t="str">
        <f>P1485</f>
        <v>Dengkol RW 02 Singosari Malang</v>
      </c>
      <c r="AA1485" s="276" t="e">
        <f>VLOOKUP(Logfile_S[[#This Row],[DO number]],DO_DB!G:I,3,0)</f>
        <v>#N/A</v>
      </c>
      <c r="AB1485" s="331" t="e">
        <f>EXACT(Logfile_S[[#This Row],[date pick]],Logfile_S[[#This Row],[Date]])</f>
        <v>#N/A</v>
      </c>
      <c r="AC14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86" spans="1:29" ht="14.5">
      <c r="A1486" s="220" t="str">
        <f>TEXT(ROW(A1486)-ROW($A$4),"000")</f>
        <v>1482</v>
      </c>
      <c r="B1486" s="221"/>
      <c r="C1486" s="221" t="s">
        <v>49</v>
      </c>
      <c r="D1486" s="221" t="s">
        <v>3921</v>
      </c>
      <c r="E1486" s="221" t="s">
        <v>3295</v>
      </c>
      <c r="F1486" s="221" t="s">
        <v>3299</v>
      </c>
      <c r="G1486" s="222">
        <v>45336</v>
      </c>
      <c r="H1486" s="223">
        <v>0.55902777777777779</v>
      </c>
      <c r="I1486" s="221" t="s">
        <v>4916</v>
      </c>
      <c r="J1486" s="221" t="s">
        <v>3023</v>
      </c>
      <c r="K1486" s="224" t="s">
        <v>13</v>
      </c>
      <c r="L1486" s="225" t="str">
        <f>VLOOKUP(Logfile_S[[#This Row],[Material Name]],Sheet2!B:C,2,0)</f>
        <v>ZTE2008</v>
      </c>
      <c r="M1486" s="225" t="str">
        <f>_xlfn.XLOOKUP(Logfile_S[[#This Row],[Material Name]],Sum_WH!E:E,Sum_WH!F:F,"",0)</f>
        <v>Pcs</v>
      </c>
      <c r="N1486" s="221">
        <v>3</v>
      </c>
      <c r="O1486" s="221" t="s">
        <v>925</v>
      </c>
      <c r="P1486" s="221" t="s">
        <v>926</v>
      </c>
      <c r="Q1486" s="221"/>
      <c r="R1486" s="221"/>
      <c r="S1486" s="221"/>
      <c r="T1486" s="221" t="s">
        <v>3231</v>
      </c>
      <c r="U1486" s="221" t="s">
        <v>3228</v>
      </c>
      <c r="V1486" s="221" t="s">
        <v>3232</v>
      </c>
      <c r="W1486" s="221" t="s">
        <v>3246</v>
      </c>
      <c r="X1486" s="221"/>
      <c r="Y1486" s="227"/>
      <c r="Z1486" s="227" t="str">
        <f>P1486</f>
        <v>Dengkol RW 02 Singosari Malang</v>
      </c>
      <c r="AA1486" s="276" t="e">
        <f>VLOOKUP(Logfile_S[[#This Row],[DO number]],DO_DB!G:I,3,0)</f>
        <v>#N/A</v>
      </c>
      <c r="AB1486" s="331" t="e">
        <f>EXACT(Logfile_S[[#This Row],[date pick]],Logfile_S[[#This Row],[Date]])</f>
        <v>#N/A</v>
      </c>
      <c r="AC14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87" spans="1:29" ht="14.5">
      <c r="A1487" s="220" t="str">
        <f>TEXT(ROW(A1487)-ROW($A$4),"000")</f>
        <v>1483</v>
      </c>
      <c r="B1487" s="221"/>
      <c r="C1487" s="221" t="s">
        <v>48</v>
      </c>
      <c r="D1487" s="221" t="s">
        <v>3924</v>
      </c>
      <c r="E1487" s="221" t="s">
        <v>3295</v>
      </c>
      <c r="F1487" s="221" t="s">
        <v>3299</v>
      </c>
      <c r="G1487" s="222">
        <v>45337</v>
      </c>
      <c r="H1487" s="223">
        <v>15.291666666666666</v>
      </c>
      <c r="I1487" s="221" t="s">
        <v>37</v>
      </c>
      <c r="J1487" s="221" t="s">
        <v>3023</v>
      </c>
      <c r="K1487" s="224" t="s">
        <v>3103</v>
      </c>
      <c r="L1487" s="225" t="str">
        <f>VLOOKUP(Logfile_S[[#This Row],[Material Name]],Sheet2!B:C,2,0)</f>
        <v>GCI2013</v>
      </c>
      <c r="M1487" s="225" t="str">
        <f>_xlfn.XLOOKUP(Logfile_S[[#This Row],[Material Name]],Sum_WH!E:E,Sum_WH!F:F,"",0)</f>
        <v>Pcs</v>
      </c>
      <c r="N1487" s="221">
        <v>3</v>
      </c>
      <c r="O1487" s="221" t="s">
        <v>925</v>
      </c>
      <c r="P1487" s="221" t="s">
        <v>926</v>
      </c>
      <c r="Q1487" s="221"/>
      <c r="R1487" s="221"/>
      <c r="S1487" s="221"/>
      <c r="T1487" s="221"/>
      <c r="U1487" s="221"/>
      <c r="V1487" s="221"/>
      <c r="W1487" s="221"/>
      <c r="X1487" s="221"/>
      <c r="Y1487" s="227"/>
      <c r="Z1487" s="227" t="str">
        <f>P1487</f>
        <v>Dengkol RW 02 Singosari Malang</v>
      </c>
      <c r="AA1487" s="276" t="e">
        <f>VLOOKUP(Logfile_S[[#This Row],[DO number]],DO_DB!G:I,3,0)</f>
        <v>#N/A</v>
      </c>
      <c r="AB1487" s="331" t="e">
        <f>EXACT(Logfile_S[[#This Row],[date pick]],Logfile_S[[#This Row],[Date]])</f>
        <v>#N/A</v>
      </c>
      <c r="AC14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88" spans="1:29" ht="14.5">
      <c r="A1488" s="220" t="str">
        <f>TEXT(ROW(A1488)-ROW($A$4),"000")</f>
        <v>1484</v>
      </c>
      <c r="B1488" s="221"/>
      <c r="C1488" s="221" t="s">
        <v>49</v>
      </c>
      <c r="D1488" s="221" t="s">
        <v>3921</v>
      </c>
      <c r="E1488" s="221" t="s">
        <v>3295</v>
      </c>
      <c r="F1488" s="221" t="s">
        <v>3299</v>
      </c>
      <c r="G1488" s="222">
        <v>45336</v>
      </c>
      <c r="H1488" s="223">
        <v>0.55902777777777779</v>
      </c>
      <c r="I1488" s="221" t="s">
        <v>4916</v>
      </c>
      <c r="J1488" s="221" t="s">
        <v>3023</v>
      </c>
      <c r="K1488" s="224" t="s">
        <v>13</v>
      </c>
      <c r="L1488" s="225" t="str">
        <f>VLOOKUP(Logfile_S[[#This Row],[Material Name]],Sheet2!B:C,2,0)</f>
        <v>ZTE2008</v>
      </c>
      <c r="M1488" s="225" t="str">
        <f>_xlfn.XLOOKUP(Logfile_S[[#This Row],[Material Name]],Sum_WH!E:E,Sum_WH!F:F,"",0)</f>
        <v>Pcs</v>
      </c>
      <c r="N1488" s="221">
        <v>2</v>
      </c>
      <c r="O1488" s="221" t="s">
        <v>917</v>
      </c>
      <c r="P1488" s="221" t="s">
        <v>918</v>
      </c>
      <c r="Q1488" s="221"/>
      <c r="R1488" s="221"/>
      <c r="S1488" s="221"/>
      <c r="T1488" s="221" t="s">
        <v>3231</v>
      </c>
      <c r="U1488" s="221" t="s">
        <v>3228</v>
      </c>
      <c r="V1488" s="221" t="s">
        <v>3232</v>
      </c>
      <c r="W1488" s="221" t="s">
        <v>3246</v>
      </c>
      <c r="X1488" s="221"/>
      <c r="Y1488" s="227"/>
      <c r="Z1488" s="227" t="str">
        <f>P1488</f>
        <v>Dengkol RW 03 Singosari Malang</v>
      </c>
      <c r="AA1488" s="276" t="e">
        <f>VLOOKUP(Logfile_S[[#This Row],[DO number]],DO_DB!G:I,3,0)</f>
        <v>#N/A</v>
      </c>
      <c r="AB1488" s="331" t="e">
        <f>EXACT(Logfile_S[[#This Row],[date pick]],Logfile_S[[#This Row],[Date]])</f>
        <v>#N/A</v>
      </c>
      <c r="AC14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89" spans="1:29" ht="14.5">
      <c r="A1489" s="220" t="str">
        <f>TEXT(ROW(A1489)-ROW($A$4),"000")</f>
        <v>1485</v>
      </c>
      <c r="B1489" s="221"/>
      <c r="C1489" s="221" t="s">
        <v>48</v>
      </c>
      <c r="D1489" s="221" t="s">
        <v>3924</v>
      </c>
      <c r="E1489" s="221" t="s">
        <v>3295</v>
      </c>
      <c r="F1489" s="221" t="s">
        <v>3299</v>
      </c>
      <c r="G1489" s="222">
        <v>45337</v>
      </c>
      <c r="H1489" s="223">
        <v>15.291666666666666</v>
      </c>
      <c r="I1489" s="221" t="s">
        <v>37</v>
      </c>
      <c r="J1489" s="221" t="s">
        <v>3023</v>
      </c>
      <c r="K1489" s="224" t="s">
        <v>3103</v>
      </c>
      <c r="L1489" s="225" t="str">
        <f>VLOOKUP(Logfile_S[[#This Row],[Material Name]],Sheet2!B:C,2,0)</f>
        <v>GCI2013</v>
      </c>
      <c r="M1489" s="225" t="str">
        <f>_xlfn.XLOOKUP(Logfile_S[[#This Row],[Material Name]],Sum_WH!E:E,Sum_WH!F:F,"",0)</f>
        <v>Pcs</v>
      </c>
      <c r="N1489" s="221">
        <v>2</v>
      </c>
      <c r="O1489" s="221" t="s">
        <v>917</v>
      </c>
      <c r="P1489" s="221" t="s">
        <v>918</v>
      </c>
      <c r="Q1489" s="221"/>
      <c r="R1489" s="221"/>
      <c r="S1489" s="221"/>
      <c r="T1489" s="221"/>
      <c r="U1489" s="221"/>
      <c r="V1489" s="221"/>
      <c r="W1489" s="221"/>
      <c r="X1489" s="221"/>
      <c r="Y1489" s="227"/>
      <c r="Z1489" s="227" t="str">
        <f>P1489</f>
        <v>Dengkol RW 03 Singosari Malang</v>
      </c>
      <c r="AA1489" s="276" t="e">
        <f>VLOOKUP(Logfile_S[[#This Row],[DO number]],DO_DB!G:I,3,0)</f>
        <v>#N/A</v>
      </c>
      <c r="AB1489" s="331" t="e">
        <f>EXACT(Logfile_S[[#This Row],[date pick]],Logfile_S[[#This Row],[Date]])</f>
        <v>#N/A</v>
      </c>
      <c r="AC14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90" spans="1:29" ht="14.5">
      <c r="A1490" s="220" t="str">
        <f>TEXT(ROW(A1490)-ROW($A$4),"000")</f>
        <v>1486</v>
      </c>
      <c r="B1490" s="221"/>
      <c r="C1490" s="221" t="s">
        <v>48</v>
      </c>
      <c r="D1490" s="221" t="s">
        <v>4048</v>
      </c>
      <c r="E1490" s="221" t="s">
        <v>3295</v>
      </c>
      <c r="F1490" s="221" t="s">
        <v>3299</v>
      </c>
      <c r="G1490" s="222">
        <v>45432</v>
      </c>
      <c r="H1490" s="223">
        <v>15.291666666666666</v>
      </c>
      <c r="I1490" s="221" t="s">
        <v>37</v>
      </c>
      <c r="J1490" s="221" t="s">
        <v>3023</v>
      </c>
      <c r="K1490" s="224" t="s">
        <v>3073</v>
      </c>
      <c r="L1490" s="225" t="str">
        <f>VLOOKUP(Logfile_S[[#This Row],[Material Name]],Sheet2!B:C,2,0)</f>
        <v>ZTE2001</v>
      </c>
      <c r="M1490" s="225" t="str">
        <f>_xlfn.XLOOKUP(Logfile_S[[#This Row],[Material Name]],Sum_WH!E:E,Sum_WH!F:F,"",0)</f>
        <v>Meter</v>
      </c>
      <c r="N1490" s="221">
        <v>3000</v>
      </c>
      <c r="O1490" s="221" t="s">
        <v>1391</v>
      </c>
      <c r="P1490" s="221" t="s">
        <v>1392</v>
      </c>
      <c r="Q1490" s="221" t="s">
        <v>1393</v>
      </c>
      <c r="R1490" s="221" t="s">
        <v>1394</v>
      </c>
      <c r="S1490" s="221"/>
      <c r="T1490" s="221"/>
      <c r="U1490" s="221"/>
      <c r="V1490" s="221"/>
      <c r="W1490" s="221"/>
      <c r="X1490" s="221"/>
      <c r="Y1490" s="227" t="s">
        <v>5000</v>
      </c>
      <c r="Z1490" s="227" t="str">
        <f>P1490</f>
        <v>Klampok RW 01 Singosari</v>
      </c>
      <c r="AA1490" s="276">
        <f>VLOOKUP(Logfile_S[[#This Row],[DO number]],DO_DB!G:I,3,0)</f>
        <v>45432</v>
      </c>
      <c r="AB1490" s="331" t="b">
        <f>EXACT(Logfile_S[[#This Row],[date pick]],Logfile_S[[#This Row],[Date]])</f>
        <v>1</v>
      </c>
      <c r="AC14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24C-2024520-01</v>
      </c>
    </row>
    <row r="1491" spans="1:29" ht="14.5">
      <c r="A1491" s="220" t="str">
        <f>TEXT(ROW(A1491)-ROW($A$4),"000")</f>
        <v>1487</v>
      </c>
      <c r="B1491" s="221"/>
      <c r="C1491" s="221" t="s">
        <v>49</v>
      </c>
      <c r="D1491" s="221" t="s">
        <v>4164</v>
      </c>
      <c r="E1491" s="221" t="s">
        <v>3295</v>
      </c>
      <c r="F1491" s="221" t="s">
        <v>3299</v>
      </c>
      <c r="G1491" s="222">
        <v>45524</v>
      </c>
      <c r="H1491" s="223">
        <v>0.70416666666666672</v>
      </c>
      <c r="I1491" s="221" t="s">
        <v>4916</v>
      </c>
      <c r="J1491" s="221" t="s">
        <v>3024</v>
      </c>
      <c r="K1491" s="224" t="s">
        <v>3097</v>
      </c>
      <c r="L1491" s="225" t="str">
        <f>VLOOKUP(Logfile_S[[#This Row],[Material Name]],Sheet2!B:C,2,0)</f>
        <v>GCI1011</v>
      </c>
      <c r="M1491" s="225" t="str">
        <f>_xlfn.XLOOKUP(Logfile_S[[#This Row],[Material Name]],Sum_WH!E:E,Sum_WH!F:F,"",0)</f>
        <v>Pcs</v>
      </c>
      <c r="N1491" s="221">
        <v>1</v>
      </c>
      <c r="O1491" s="221" t="s">
        <v>1391</v>
      </c>
      <c r="P1491" s="221" t="s">
        <v>1392</v>
      </c>
      <c r="Q1491" s="221"/>
      <c r="R1491" s="221"/>
      <c r="S1491" s="221"/>
      <c r="T1491" s="221" t="s">
        <v>3244</v>
      </c>
      <c r="U1491" s="221">
        <v>0</v>
      </c>
      <c r="V1491" s="221" t="s">
        <v>3248</v>
      </c>
      <c r="W1491" s="221" t="s">
        <v>3252</v>
      </c>
      <c r="X1491" s="221"/>
      <c r="Y1491" s="227"/>
      <c r="Z1491" s="227" t="str">
        <f>P1491</f>
        <v>Klampok RW 01 Singosari</v>
      </c>
      <c r="AA1491" s="276" t="e">
        <f>VLOOKUP(Logfile_S[[#This Row],[DO number]],DO_DB!G:I,3,0)</f>
        <v>#N/A</v>
      </c>
      <c r="AB1491" s="331" t="e">
        <f>EXACT(Logfile_S[[#This Row],[date pick]],Logfile_S[[#This Row],[Date]])</f>
        <v>#N/A</v>
      </c>
      <c r="AC14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92" spans="1:29" ht="14.5">
      <c r="A1492" s="220" t="str">
        <f>TEXT(ROW(A1492)-ROW($A$4),"000")</f>
        <v>1488</v>
      </c>
      <c r="B1492" s="221"/>
      <c r="C1492" s="221" t="s">
        <v>49</v>
      </c>
      <c r="D1492" s="221" t="s">
        <v>4164</v>
      </c>
      <c r="E1492" s="221" t="s">
        <v>3295</v>
      </c>
      <c r="F1492" s="221" t="s">
        <v>3299</v>
      </c>
      <c r="G1492" s="222">
        <v>45524</v>
      </c>
      <c r="H1492" s="223">
        <v>0.70416666666666672</v>
      </c>
      <c r="I1492" s="221" t="s">
        <v>4916</v>
      </c>
      <c r="J1492" s="221" t="s">
        <v>3024</v>
      </c>
      <c r="K1492" s="224" t="s">
        <v>3091</v>
      </c>
      <c r="L1492" s="225" t="str">
        <f>VLOOKUP(Logfile_S[[#This Row],[Material Name]],Sheet2!B:C,2,0)</f>
        <v>GCI1005</v>
      </c>
      <c r="M1492" s="225" t="str">
        <f>_xlfn.XLOOKUP(Logfile_S[[#This Row],[Material Name]],Sum_WH!E:E,Sum_WH!F:F,"",0)</f>
        <v>Pcs</v>
      </c>
      <c r="N1492" s="221">
        <v>25</v>
      </c>
      <c r="O1492" s="221" t="s">
        <v>1391</v>
      </c>
      <c r="P1492" s="221" t="s">
        <v>1392</v>
      </c>
      <c r="Q1492" s="221"/>
      <c r="R1492" s="221"/>
      <c r="S1492" s="221"/>
      <c r="T1492" s="221" t="s">
        <v>3244</v>
      </c>
      <c r="U1492" s="221">
        <v>0</v>
      </c>
      <c r="V1492" s="221" t="s">
        <v>3248</v>
      </c>
      <c r="W1492" s="221" t="s">
        <v>3252</v>
      </c>
      <c r="X1492" s="221"/>
      <c r="Y1492" s="227"/>
      <c r="Z1492" s="227" t="str">
        <f>P1492</f>
        <v>Klampok RW 01 Singosari</v>
      </c>
      <c r="AA1492" s="276" t="e">
        <f>VLOOKUP(Logfile_S[[#This Row],[DO number]],DO_DB!G:I,3,0)</f>
        <v>#N/A</v>
      </c>
      <c r="AB1492" s="331" t="e">
        <f>EXACT(Logfile_S[[#This Row],[date pick]],Logfile_S[[#This Row],[Date]])</f>
        <v>#N/A</v>
      </c>
      <c r="AC14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93" spans="1:29" ht="14.5">
      <c r="A1493" s="220" t="str">
        <f>TEXT(ROW(A1493)-ROW($A$4),"000")</f>
        <v>1489</v>
      </c>
      <c r="B1493" s="221"/>
      <c r="C1493" s="221" t="s">
        <v>49</v>
      </c>
      <c r="D1493" s="221" t="s">
        <v>4164</v>
      </c>
      <c r="E1493" s="221" t="s">
        <v>3295</v>
      </c>
      <c r="F1493" s="221" t="s">
        <v>3299</v>
      </c>
      <c r="G1493" s="222">
        <v>45524</v>
      </c>
      <c r="H1493" s="223">
        <v>0.70416666666666672</v>
      </c>
      <c r="I1493" s="221" t="s">
        <v>4916</v>
      </c>
      <c r="J1493" s="221" t="s">
        <v>3024</v>
      </c>
      <c r="K1493" s="224" t="s">
        <v>3087</v>
      </c>
      <c r="L1493" s="225" t="str">
        <f>VLOOKUP(Logfile_S[[#This Row],[Material Name]],Sheet2!B:C,2,0)</f>
        <v>GCI1001</v>
      </c>
      <c r="M1493" s="225" t="str">
        <f>_xlfn.XLOOKUP(Logfile_S[[#This Row],[Material Name]],Sum_WH!E:E,Sum_WH!F:F,"",0)</f>
        <v>Pcs</v>
      </c>
      <c r="N1493" s="221">
        <v>14</v>
      </c>
      <c r="O1493" s="221" t="s">
        <v>1391</v>
      </c>
      <c r="P1493" s="221" t="s">
        <v>1392</v>
      </c>
      <c r="Q1493" s="221"/>
      <c r="R1493" s="221"/>
      <c r="S1493" s="221"/>
      <c r="T1493" s="221" t="s">
        <v>3244</v>
      </c>
      <c r="U1493" s="221">
        <v>0</v>
      </c>
      <c r="V1493" s="221" t="s">
        <v>3248</v>
      </c>
      <c r="W1493" s="221" t="s">
        <v>3252</v>
      </c>
      <c r="X1493" s="221"/>
      <c r="Y1493" s="227"/>
      <c r="Z1493" s="227" t="str">
        <f>P1493</f>
        <v>Klampok RW 01 Singosari</v>
      </c>
      <c r="AA1493" s="276" t="e">
        <f>VLOOKUP(Logfile_S[[#This Row],[DO number]],DO_DB!G:I,3,0)</f>
        <v>#N/A</v>
      </c>
      <c r="AB1493" s="331" t="e">
        <f>EXACT(Logfile_S[[#This Row],[date pick]],Logfile_S[[#This Row],[Date]])</f>
        <v>#N/A</v>
      </c>
      <c r="AC14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94" spans="1:29" ht="14.5">
      <c r="A1494" s="220" t="str">
        <f>TEXT(ROW(A1494)-ROW($A$4),"000")</f>
        <v>1490</v>
      </c>
      <c r="B1494" s="221"/>
      <c r="C1494" s="221" t="s">
        <v>49</v>
      </c>
      <c r="D1494" s="221" t="s">
        <v>4164</v>
      </c>
      <c r="E1494" s="221" t="s">
        <v>3295</v>
      </c>
      <c r="F1494" s="221" t="s">
        <v>3299</v>
      </c>
      <c r="G1494" s="222">
        <v>45524</v>
      </c>
      <c r="H1494" s="223">
        <v>0.70416666666666672</v>
      </c>
      <c r="I1494" s="221" t="s">
        <v>4916</v>
      </c>
      <c r="J1494" s="221" t="s">
        <v>3024</v>
      </c>
      <c r="K1494" s="224" t="s">
        <v>5137</v>
      </c>
      <c r="L1494" s="225" t="str">
        <f>VLOOKUP(Logfile_S[[#This Row],[Material Name]],Sheet2!B:C,2,0)</f>
        <v>GCI1009</v>
      </c>
      <c r="M1494" s="225" t="str">
        <f>_xlfn.XLOOKUP(Logfile_S[[#This Row],[Material Name]],Sum_WH!E:E,Sum_WH!F:F,"",0)</f>
        <v>Pcs</v>
      </c>
      <c r="N1494" s="221">
        <v>35</v>
      </c>
      <c r="O1494" s="221" t="s">
        <v>1391</v>
      </c>
      <c r="P1494" s="221" t="s">
        <v>1392</v>
      </c>
      <c r="Q1494" s="221"/>
      <c r="R1494" s="221"/>
      <c r="S1494" s="221"/>
      <c r="T1494" s="221" t="s">
        <v>3244</v>
      </c>
      <c r="U1494" s="221">
        <v>0</v>
      </c>
      <c r="V1494" s="221" t="s">
        <v>3248</v>
      </c>
      <c r="W1494" s="221" t="s">
        <v>3252</v>
      </c>
      <c r="X1494" s="221"/>
      <c r="Y1494" s="227"/>
      <c r="Z1494" s="227" t="str">
        <f>P1494</f>
        <v>Klampok RW 01 Singosari</v>
      </c>
      <c r="AA1494" s="276" t="e">
        <f>VLOOKUP(Logfile_S[[#This Row],[DO number]],DO_DB!G:I,3,0)</f>
        <v>#N/A</v>
      </c>
      <c r="AB1494" s="331" t="e">
        <f>EXACT(Logfile_S[[#This Row],[date pick]],Logfile_S[[#This Row],[Date]])</f>
        <v>#N/A</v>
      </c>
      <c r="AC14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95" spans="1:29" ht="14.5">
      <c r="A1495" s="220" t="str">
        <f>TEXT(ROW(A1495)-ROW($A$4),"000")</f>
        <v>1491</v>
      </c>
      <c r="B1495" s="221"/>
      <c r="C1495" s="221" t="s">
        <v>49</v>
      </c>
      <c r="D1495" s="221" t="s">
        <v>4163</v>
      </c>
      <c r="E1495" s="221" t="s">
        <v>3295</v>
      </c>
      <c r="F1495" s="221" t="s">
        <v>3299</v>
      </c>
      <c r="G1495" s="222">
        <v>45524</v>
      </c>
      <c r="H1495" s="223">
        <v>0.55555555555555558</v>
      </c>
      <c r="I1495" s="221" t="s">
        <v>4916</v>
      </c>
      <c r="J1495" s="221" t="s">
        <v>3023</v>
      </c>
      <c r="K1495" s="224" t="s">
        <v>3070</v>
      </c>
      <c r="L1495" s="225" t="str">
        <f>VLOOKUP(Logfile_S[[#This Row],[Material Name]],Sheet2!B:C,2,0)</f>
        <v>ZTE1002</v>
      </c>
      <c r="M1495" s="225" t="str">
        <f>_xlfn.XLOOKUP(Logfile_S[[#This Row],[Material Name]],Sum_WH!E:E,Sum_WH!F:F,"",0)</f>
        <v>Pcs</v>
      </c>
      <c r="N1495" s="221">
        <v>3</v>
      </c>
      <c r="O1495" s="221" t="s">
        <v>1391</v>
      </c>
      <c r="P1495" s="221" t="s">
        <v>1392</v>
      </c>
      <c r="Q1495" s="221"/>
      <c r="R1495" s="221"/>
      <c r="S1495" s="221"/>
      <c r="T1495" s="221" t="s">
        <v>3244</v>
      </c>
      <c r="U1495" s="221">
        <v>0</v>
      </c>
      <c r="V1495" s="221" t="s">
        <v>3248</v>
      </c>
      <c r="W1495" s="221" t="s">
        <v>3252</v>
      </c>
      <c r="X1495" s="221"/>
      <c r="Y1495" s="227"/>
      <c r="Z1495" s="227" t="str">
        <f>P1495</f>
        <v>Klampok RW 01 Singosari</v>
      </c>
      <c r="AA1495" s="276" t="e">
        <f>VLOOKUP(Logfile_S[[#This Row],[DO number]],DO_DB!G:I,3,0)</f>
        <v>#N/A</v>
      </c>
      <c r="AB1495" s="331" t="e">
        <f>EXACT(Logfile_S[[#This Row],[date pick]],Logfile_S[[#This Row],[Date]])</f>
        <v>#N/A</v>
      </c>
      <c r="AC14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96" spans="1:29" ht="14.5">
      <c r="A1496" s="220" t="str">
        <f>TEXT(ROW(A1496)-ROW($A$4),"000")</f>
        <v>1492</v>
      </c>
      <c r="B1496" s="221"/>
      <c r="C1496" s="221" t="s">
        <v>49</v>
      </c>
      <c r="D1496" s="221" t="s">
        <v>4164</v>
      </c>
      <c r="E1496" s="221" t="s">
        <v>3295</v>
      </c>
      <c r="F1496" s="221" t="s">
        <v>3299</v>
      </c>
      <c r="G1496" s="222">
        <v>45524</v>
      </c>
      <c r="H1496" s="223">
        <v>0.70416666666666672</v>
      </c>
      <c r="I1496" s="221" t="s">
        <v>4916</v>
      </c>
      <c r="J1496" s="221" t="s">
        <v>3023</v>
      </c>
      <c r="K1496" s="224" t="s">
        <v>3069</v>
      </c>
      <c r="L1496" s="225" t="str">
        <f>VLOOKUP(Logfile_S[[#This Row],[Material Name]],Sheet2!B:C,2,0)</f>
        <v>ZTE1001</v>
      </c>
      <c r="M1496" s="225" t="str">
        <f>_xlfn.XLOOKUP(Logfile_S[[#This Row],[Material Name]],Sum_WH!E:E,Sum_WH!F:F,"",0)</f>
        <v>Pcs</v>
      </c>
      <c r="N1496" s="221">
        <v>2</v>
      </c>
      <c r="O1496" s="221" t="s">
        <v>1391</v>
      </c>
      <c r="P1496" s="221" t="s">
        <v>1392</v>
      </c>
      <c r="Q1496" s="221"/>
      <c r="R1496" s="221"/>
      <c r="S1496" s="221"/>
      <c r="T1496" s="221" t="s">
        <v>3244</v>
      </c>
      <c r="U1496" s="221">
        <v>0</v>
      </c>
      <c r="V1496" s="221" t="s">
        <v>3248</v>
      </c>
      <c r="W1496" s="221" t="s">
        <v>3252</v>
      </c>
      <c r="X1496" s="221"/>
      <c r="Y1496" s="227"/>
      <c r="Z1496" s="227" t="str">
        <f>P1496</f>
        <v>Klampok RW 01 Singosari</v>
      </c>
      <c r="AA1496" s="276" t="e">
        <f>VLOOKUP(Logfile_S[[#This Row],[DO number]],DO_DB!G:I,3,0)</f>
        <v>#N/A</v>
      </c>
      <c r="AB1496" s="331" t="e">
        <f>EXACT(Logfile_S[[#This Row],[date pick]],Logfile_S[[#This Row],[Date]])</f>
        <v>#N/A</v>
      </c>
      <c r="AC14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97" spans="1:29" ht="14.5">
      <c r="A1497" s="220" t="str">
        <f>TEXT(ROW(A1497)-ROW($A$4),"000")</f>
        <v>1493</v>
      </c>
      <c r="B1497" s="221"/>
      <c r="C1497" s="221" t="s">
        <v>49</v>
      </c>
      <c r="D1497" s="221" t="s">
        <v>4163</v>
      </c>
      <c r="E1497" s="221" t="s">
        <v>3295</v>
      </c>
      <c r="F1497" s="221" t="s">
        <v>3299</v>
      </c>
      <c r="G1497" s="222">
        <v>45524</v>
      </c>
      <c r="H1497" s="223">
        <v>0.55555555555555558</v>
      </c>
      <c r="I1497" s="221" t="s">
        <v>4916</v>
      </c>
      <c r="J1497" s="221" t="s">
        <v>3023</v>
      </c>
      <c r="K1497" s="224" t="s">
        <v>3069</v>
      </c>
      <c r="L1497" s="225" t="str">
        <f>VLOOKUP(Logfile_S[[#This Row],[Material Name]],Sheet2!B:C,2,0)</f>
        <v>ZTE1001</v>
      </c>
      <c r="M1497" s="225" t="str">
        <f>_xlfn.XLOOKUP(Logfile_S[[#This Row],[Material Name]],Sum_WH!E:E,Sum_WH!F:F,"",0)</f>
        <v>Pcs</v>
      </c>
      <c r="N1497" s="221">
        <v>10</v>
      </c>
      <c r="O1497" s="221" t="s">
        <v>1391</v>
      </c>
      <c r="P1497" s="221" t="s">
        <v>1392</v>
      </c>
      <c r="Q1497" s="221"/>
      <c r="R1497" s="221"/>
      <c r="S1497" s="221"/>
      <c r="T1497" s="221" t="s">
        <v>3244</v>
      </c>
      <c r="U1497" s="221">
        <v>0</v>
      </c>
      <c r="V1497" s="221" t="s">
        <v>3248</v>
      </c>
      <c r="W1497" s="221" t="s">
        <v>3252</v>
      </c>
      <c r="X1497" s="221"/>
      <c r="Y1497" s="227"/>
      <c r="Z1497" s="227" t="str">
        <f>P1497</f>
        <v>Klampok RW 01 Singosari</v>
      </c>
      <c r="AA1497" s="276" t="e">
        <f>VLOOKUP(Logfile_S[[#This Row],[DO number]],DO_DB!G:I,3,0)</f>
        <v>#N/A</v>
      </c>
      <c r="AB1497" s="331" t="e">
        <f>EXACT(Logfile_S[[#This Row],[date pick]],Logfile_S[[#This Row],[Date]])</f>
        <v>#N/A</v>
      </c>
      <c r="AC14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98" spans="1:29" ht="14.5">
      <c r="A1498" s="220" t="str">
        <f>TEXT(ROW(A1498)-ROW($A$4),"000")</f>
        <v>1494</v>
      </c>
      <c r="B1498" s="221"/>
      <c r="C1498" s="221" t="s">
        <v>49</v>
      </c>
      <c r="D1498" s="221" t="s">
        <v>4162</v>
      </c>
      <c r="E1498" s="221" t="s">
        <v>3295</v>
      </c>
      <c r="F1498" s="221" t="s">
        <v>3299</v>
      </c>
      <c r="G1498" s="222">
        <v>45524</v>
      </c>
      <c r="H1498" s="223">
        <v>0.36805555555555558</v>
      </c>
      <c r="I1498" s="221" t="s">
        <v>4916</v>
      </c>
      <c r="J1498" s="221" t="s">
        <v>3023</v>
      </c>
      <c r="K1498" s="224" t="s">
        <v>3069</v>
      </c>
      <c r="L1498" s="225" t="str">
        <f>VLOOKUP(Logfile_S[[#This Row],[Material Name]],Sheet2!B:C,2,0)</f>
        <v>ZTE1001</v>
      </c>
      <c r="M1498" s="225" t="str">
        <f>_xlfn.XLOOKUP(Logfile_S[[#This Row],[Material Name]],Sum_WH!E:E,Sum_WH!F:F,"",0)</f>
        <v>Pcs</v>
      </c>
      <c r="N1498" s="221">
        <v>20</v>
      </c>
      <c r="O1498" s="221" t="s">
        <v>1391</v>
      </c>
      <c r="P1498" s="221" t="s">
        <v>1392</v>
      </c>
      <c r="Q1498" s="221"/>
      <c r="R1498" s="221"/>
      <c r="S1498" s="221"/>
      <c r="T1498" s="221" t="s">
        <v>3244</v>
      </c>
      <c r="U1498" s="221">
        <v>0</v>
      </c>
      <c r="V1498" s="221" t="s">
        <v>3248</v>
      </c>
      <c r="W1498" s="221" t="s">
        <v>3252</v>
      </c>
      <c r="X1498" s="221"/>
      <c r="Y1498" s="227"/>
      <c r="Z1498" s="227" t="str">
        <f>P1498</f>
        <v>Klampok RW 01 Singosari</v>
      </c>
      <c r="AA1498" s="276" t="e">
        <f>VLOOKUP(Logfile_S[[#This Row],[DO number]],DO_DB!G:I,3,0)</f>
        <v>#N/A</v>
      </c>
      <c r="AB1498" s="331" t="e">
        <f>EXACT(Logfile_S[[#This Row],[date pick]],Logfile_S[[#This Row],[Date]])</f>
        <v>#N/A</v>
      </c>
      <c r="AC14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499" spans="1:29" ht="14.5">
      <c r="A1499" s="220" t="str">
        <f>TEXT(ROW(A1499)-ROW($A$4),"000")</f>
        <v>1495</v>
      </c>
      <c r="B1499" s="221"/>
      <c r="C1499" s="221" t="s">
        <v>49</v>
      </c>
      <c r="D1499" s="221" t="s">
        <v>4164</v>
      </c>
      <c r="E1499" s="221" t="s">
        <v>3295</v>
      </c>
      <c r="F1499" s="221" t="s">
        <v>3299</v>
      </c>
      <c r="G1499" s="222">
        <v>45524</v>
      </c>
      <c r="H1499" s="223">
        <v>0.70416666666666672</v>
      </c>
      <c r="I1499" s="221" t="s">
        <v>4916</v>
      </c>
      <c r="J1499" s="221" t="s">
        <v>3024</v>
      </c>
      <c r="K1499" s="224" t="s">
        <v>3094</v>
      </c>
      <c r="L1499" s="225" t="str">
        <f>VLOOKUP(Logfile_S[[#This Row],[Material Name]],Sheet2!B:C,2,0)</f>
        <v>GCI1008</v>
      </c>
      <c r="M1499" s="225" t="str">
        <f>_xlfn.XLOOKUP(Logfile_S[[#This Row],[Material Name]],Sum_WH!E:E,Sum_WH!F:F,"",0)</f>
        <v>Pcs</v>
      </c>
      <c r="N1499" s="221">
        <v>30</v>
      </c>
      <c r="O1499" s="221" t="s">
        <v>1391</v>
      </c>
      <c r="P1499" s="221" t="s">
        <v>1392</v>
      </c>
      <c r="Q1499" s="221"/>
      <c r="R1499" s="221"/>
      <c r="S1499" s="221"/>
      <c r="T1499" s="221" t="s">
        <v>3244</v>
      </c>
      <c r="U1499" s="221">
        <v>0</v>
      </c>
      <c r="V1499" s="221" t="s">
        <v>3248</v>
      </c>
      <c r="W1499" s="221" t="s">
        <v>3252</v>
      </c>
      <c r="X1499" s="221"/>
      <c r="Y1499" s="227"/>
      <c r="Z1499" s="227" t="str">
        <f>P1499</f>
        <v>Klampok RW 01 Singosari</v>
      </c>
      <c r="AA1499" s="276" t="e">
        <f>VLOOKUP(Logfile_S[[#This Row],[DO number]],DO_DB!G:I,3,0)</f>
        <v>#N/A</v>
      </c>
      <c r="AB1499" s="331" t="e">
        <f>EXACT(Logfile_S[[#This Row],[date pick]],Logfile_S[[#This Row],[Date]])</f>
        <v>#N/A</v>
      </c>
      <c r="AC14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00" spans="1:29" ht="14.5">
      <c r="A1500" s="220" t="str">
        <f>TEXT(ROW(A1500)-ROW($A$4),"000")</f>
        <v>1496</v>
      </c>
      <c r="B1500" s="221"/>
      <c r="C1500" s="221" t="s">
        <v>49</v>
      </c>
      <c r="D1500" s="221" t="s">
        <v>4164</v>
      </c>
      <c r="E1500" s="221" t="s">
        <v>3295</v>
      </c>
      <c r="F1500" s="221" t="s">
        <v>3299</v>
      </c>
      <c r="G1500" s="222">
        <v>45524</v>
      </c>
      <c r="H1500" s="223">
        <v>0.70416666666666672</v>
      </c>
      <c r="I1500" s="221" t="s">
        <v>4916</v>
      </c>
      <c r="J1500" s="221" t="s">
        <v>3024</v>
      </c>
      <c r="K1500" s="224" t="s">
        <v>3089</v>
      </c>
      <c r="L1500" s="225" t="str">
        <f>VLOOKUP(Logfile_S[[#This Row],[Material Name]],Sheet2!B:C,2,0)</f>
        <v>GCI1003</v>
      </c>
      <c r="M1500" s="225" t="str">
        <f>_xlfn.XLOOKUP(Logfile_S[[#This Row],[Material Name]],Sum_WH!E:E,Sum_WH!F:F,"",0)</f>
        <v>Pcs</v>
      </c>
      <c r="N1500" s="221">
        <v>40</v>
      </c>
      <c r="O1500" s="221" t="s">
        <v>1391</v>
      </c>
      <c r="P1500" s="221" t="s">
        <v>1392</v>
      </c>
      <c r="Q1500" s="221"/>
      <c r="R1500" s="221"/>
      <c r="S1500" s="221"/>
      <c r="T1500" s="221" t="s">
        <v>3244</v>
      </c>
      <c r="U1500" s="221">
        <v>0</v>
      </c>
      <c r="V1500" s="221" t="s">
        <v>3248</v>
      </c>
      <c r="W1500" s="221" t="s">
        <v>3252</v>
      </c>
      <c r="X1500" s="221"/>
      <c r="Y1500" s="227"/>
      <c r="Z1500" s="227" t="str">
        <f>P1500</f>
        <v>Klampok RW 01 Singosari</v>
      </c>
      <c r="AA1500" s="276" t="e">
        <f>VLOOKUP(Logfile_S[[#This Row],[DO number]],DO_DB!G:I,3,0)</f>
        <v>#N/A</v>
      </c>
      <c r="AB1500" s="331" t="e">
        <f>EXACT(Logfile_S[[#This Row],[date pick]],Logfile_S[[#This Row],[Date]])</f>
        <v>#N/A</v>
      </c>
      <c r="AC15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01" spans="1:29" ht="14.5">
      <c r="A1501" s="220" t="str">
        <f>TEXT(ROW(A1501)-ROW($A$4),"000")</f>
        <v>1497</v>
      </c>
      <c r="B1501" s="221"/>
      <c r="C1501" s="221" t="s">
        <v>49</v>
      </c>
      <c r="D1501" s="221" t="s">
        <v>4164</v>
      </c>
      <c r="E1501" s="221" t="s">
        <v>3295</v>
      </c>
      <c r="F1501" s="221" t="s">
        <v>3299</v>
      </c>
      <c r="G1501" s="222">
        <v>45524</v>
      </c>
      <c r="H1501" s="223">
        <v>0.70416666666666672</v>
      </c>
      <c r="I1501" s="221" t="s">
        <v>4916</v>
      </c>
      <c r="J1501" s="221" t="s">
        <v>3024</v>
      </c>
      <c r="K1501" s="224" t="s">
        <v>3090</v>
      </c>
      <c r="L1501" s="225" t="str">
        <f>VLOOKUP(Logfile_S[[#This Row],[Material Name]],Sheet2!B:C,2,0)</f>
        <v>GCI1004</v>
      </c>
      <c r="M1501" s="225" t="str">
        <f>_xlfn.XLOOKUP(Logfile_S[[#This Row],[Material Name]],Sum_WH!E:E,Sum_WH!F:F,"",0)</f>
        <v>Pcs</v>
      </c>
      <c r="N1501" s="221">
        <v>15</v>
      </c>
      <c r="O1501" s="221" t="s">
        <v>1391</v>
      </c>
      <c r="P1501" s="221" t="s">
        <v>1392</v>
      </c>
      <c r="Q1501" s="221"/>
      <c r="R1501" s="221"/>
      <c r="S1501" s="221"/>
      <c r="T1501" s="221" t="s">
        <v>3244</v>
      </c>
      <c r="U1501" s="221">
        <v>0</v>
      </c>
      <c r="V1501" s="221" t="s">
        <v>3248</v>
      </c>
      <c r="W1501" s="221" t="s">
        <v>3252</v>
      </c>
      <c r="X1501" s="221"/>
      <c r="Y1501" s="227"/>
      <c r="Z1501" s="227" t="str">
        <f>P1501</f>
        <v>Klampok RW 01 Singosari</v>
      </c>
      <c r="AA1501" s="276" t="e">
        <f>VLOOKUP(Logfile_S[[#This Row],[DO number]],DO_DB!G:I,3,0)</f>
        <v>#N/A</v>
      </c>
      <c r="AB1501" s="331" t="e">
        <f>EXACT(Logfile_S[[#This Row],[date pick]],Logfile_S[[#This Row],[Date]])</f>
        <v>#N/A</v>
      </c>
      <c r="AC15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02" spans="1:29" ht="14.5">
      <c r="A1502" s="220" t="str">
        <f>TEXT(ROW(A1502)-ROW($A$4),"000")</f>
        <v>1498</v>
      </c>
      <c r="B1502" s="221"/>
      <c r="C1502" s="221" t="s">
        <v>49</v>
      </c>
      <c r="D1502" s="221" t="s">
        <v>4165</v>
      </c>
      <c r="E1502" s="221" t="s">
        <v>3295</v>
      </c>
      <c r="F1502" s="221" t="s">
        <v>3299</v>
      </c>
      <c r="G1502" s="222">
        <v>45525</v>
      </c>
      <c r="H1502" s="223">
        <v>0.78680555555555554</v>
      </c>
      <c r="I1502" s="221" t="s">
        <v>4916</v>
      </c>
      <c r="J1502" s="221" t="s">
        <v>3023</v>
      </c>
      <c r="K1502" s="224" t="s">
        <v>13</v>
      </c>
      <c r="L1502" s="225" t="str">
        <f>VLOOKUP(Logfile_S[[#This Row],[Material Name]],Sheet2!B:C,2,0)</f>
        <v>ZTE2008</v>
      </c>
      <c r="M1502" s="225" t="str">
        <f>_xlfn.XLOOKUP(Logfile_S[[#This Row],[Material Name]],Sum_WH!E:E,Sum_WH!F:F,"",0)</f>
        <v>Pcs</v>
      </c>
      <c r="N1502" s="221">
        <v>13</v>
      </c>
      <c r="O1502" s="221" t="s">
        <v>1391</v>
      </c>
      <c r="P1502" s="221" t="s">
        <v>1392</v>
      </c>
      <c r="Q1502" s="221"/>
      <c r="R1502" s="221"/>
      <c r="S1502" s="221"/>
      <c r="T1502" s="221" t="s">
        <v>3471</v>
      </c>
      <c r="U1502" s="221">
        <v>0</v>
      </c>
      <c r="V1502" s="221" t="s">
        <v>3472</v>
      </c>
      <c r="W1502" s="221" t="s">
        <v>3473</v>
      </c>
      <c r="X1502" s="221"/>
      <c r="Y1502" s="227"/>
      <c r="Z1502" s="227" t="str">
        <f>P1502</f>
        <v>Klampok RW 01 Singosari</v>
      </c>
      <c r="AA1502" s="276" t="e">
        <f>VLOOKUP(Logfile_S[[#This Row],[DO number]],DO_DB!G:I,3,0)</f>
        <v>#N/A</v>
      </c>
      <c r="AB1502" s="331" t="e">
        <f>EXACT(Logfile_S[[#This Row],[date pick]],Logfile_S[[#This Row],[Date]])</f>
        <v>#N/A</v>
      </c>
      <c r="AC15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03" spans="1:29" ht="14.5">
      <c r="A1503" s="220" t="str">
        <f>TEXT(ROW(A1503)-ROW($A$4),"000")</f>
        <v>1499</v>
      </c>
      <c r="B1503" s="221"/>
      <c r="C1503" s="221" t="s">
        <v>49</v>
      </c>
      <c r="D1503" s="221" t="s">
        <v>4168</v>
      </c>
      <c r="E1503" s="221" t="s">
        <v>3295</v>
      </c>
      <c r="F1503" s="221" t="s">
        <v>3299</v>
      </c>
      <c r="G1503" s="222">
        <v>45526</v>
      </c>
      <c r="H1503" s="223">
        <v>0.46736111111111112</v>
      </c>
      <c r="I1503" s="221" t="s">
        <v>4916</v>
      </c>
      <c r="J1503" s="221" t="s">
        <v>3023</v>
      </c>
      <c r="K1503" s="224" t="s">
        <v>14</v>
      </c>
      <c r="L1503" s="225" t="str">
        <f>VLOOKUP(Logfile_S[[#This Row],[Material Name]],Sheet2!B:C,2,0)</f>
        <v>ZTE2005</v>
      </c>
      <c r="M1503" s="225" t="str">
        <f>_xlfn.XLOOKUP(Logfile_S[[#This Row],[Material Name]],Sum_WH!E:E,Sum_WH!F:F,"",0)</f>
        <v>Pcs</v>
      </c>
      <c r="N1503" s="221">
        <v>1</v>
      </c>
      <c r="O1503" s="221" t="s">
        <v>1391</v>
      </c>
      <c r="P1503" s="221" t="s">
        <v>1392</v>
      </c>
      <c r="Q1503" s="221"/>
      <c r="R1503" s="221"/>
      <c r="S1503" s="221"/>
      <c r="T1503" s="221" t="s">
        <v>3471</v>
      </c>
      <c r="U1503" s="221">
        <v>0</v>
      </c>
      <c r="V1503" s="221" t="s">
        <v>3472</v>
      </c>
      <c r="W1503" s="221" t="s">
        <v>3473</v>
      </c>
      <c r="X1503" s="221"/>
      <c r="Y1503" s="227"/>
      <c r="Z1503" s="227" t="str">
        <f>P1503</f>
        <v>Klampok RW 01 Singosari</v>
      </c>
      <c r="AA1503" s="276" t="e">
        <f>VLOOKUP(Logfile_S[[#This Row],[DO number]],DO_DB!G:I,3,0)</f>
        <v>#N/A</v>
      </c>
      <c r="AB1503" s="331" t="e">
        <f>EXACT(Logfile_S[[#This Row],[date pick]],Logfile_S[[#This Row],[Date]])</f>
        <v>#N/A</v>
      </c>
      <c r="AC15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04" spans="1:29" ht="14.5">
      <c r="A1504" s="220" t="str">
        <f>TEXT(ROW(A1504)-ROW($A$4),"000")</f>
        <v>1500</v>
      </c>
      <c r="B1504" s="221"/>
      <c r="C1504" s="221" t="s">
        <v>49</v>
      </c>
      <c r="D1504" s="221" t="s">
        <v>4249</v>
      </c>
      <c r="E1504" s="221" t="s">
        <v>3295</v>
      </c>
      <c r="F1504" s="221" t="s">
        <v>3299</v>
      </c>
      <c r="G1504" s="222">
        <v>45575</v>
      </c>
      <c r="H1504" s="223">
        <v>0.56458333333333333</v>
      </c>
      <c r="I1504" s="221" t="s">
        <v>4916</v>
      </c>
      <c r="J1504" s="221" t="s">
        <v>3024</v>
      </c>
      <c r="K1504" s="224" t="s">
        <v>3087</v>
      </c>
      <c r="L1504" s="225" t="str">
        <f>VLOOKUP(Logfile_S[[#This Row],[Material Name]],Sheet2!B:C,2,0)</f>
        <v>GCI1001</v>
      </c>
      <c r="M1504" s="225" t="str">
        <f>_xlfn.XLOOKUP(Logfile_S[[#This Row],[Material Name]],Sum_WH!E:E,Sum_WH!F:F,"",0)</f>
        <v>Pcs</v>
      </c>
      <c r="N1504" s="221">
        <v>6</v>
      </c>
      <c r="O1504" s="221" t="s">
        <v>1391</v>
      </c>
      <c r="P1504" s="221" t="s">
        <v>1392</v>
      </c>
      <c r="Q1504" s="221"/>
      <c r="R1504" s="221"/>
      <c r="S1504" s="221"/>
      <c r="T1504" s="221" t="s">
        <v>3244</v>
      </c>
      <c r="U1504" s="221">
        <v>0</v>
      </c>
      <c r="V1504" s="221" t="s">
        <v>3248</v>
      </c>
      <c r="W1504" s="221" t="s">
        <v>3252</v>
      </c>
      <c r="X1504" s="221"/>
      <c r="Y1504" s="227"/>
      <c r="Z1504" s="227" t="str">
        <f>P1504</f>
        <v>Klampok RW 01 Singosari</v>
      </c>
      <c r="AA1504" s="276" t="e">
        <f>VLOOKUP(Logfile_S[[#This Row],[DO number]],DO_DB!G:I,3,0)</f>
        <v>#N/A</v>
      </c>
      <c r="AB1504" s="331" t="e">
        <f>EXACT(Logfile_S[[#This Row],[date pick]],Logfile_S[[#This Row],[Date]])</f>
        <v>#N/A</v>
      </c>
      <c r="AC15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05" spans="1:29" ht="14.5">
      <c r="A1505" s="220" t="str">
        <f>TEXT(ROW(A1505)-ROW($A$4),"000")</f>
        <v>1501</v>
      </c>
      <c r="B1505" s="221"/>
      <c r="C1505" s="221" t="s">
        <v>49</v>
      </c>
      <c r="D1505" s="221" t="s">
        <v>4249</v>
      </c>
      <c r="E1505" s="221" t="s">
        <v>3295</v>
      </c>
      <c r="F1505" s="221" t="s">
        <v>3299</v>
      </c>
      <c r="G1505" s="222">
        <v>45575</v>
      </c>
      <c r="H1505" s="223">
        <v>0.56458333333333333</v>
      </c>
      <c r="I1505" s="221" t="s">
        <v>4916</v>
      </c>
      <c r="J1505" s="221" t="s">
        <v>3024</v>
      </c>
      <c r="K1505" s="224" t="s">
        <v>5137</v>
      </c>
      <c r="L1505" s="225" t="str">
        <f>VLOOKUP(Logfile_S[[#This Row],[Material Name]],Sheet2!B:C,2,0)</f>
        <v>GCI1009</v>
      </c>
      <c r="M1505" s="225" t="str">
        <f>_xlfn.XLOOKUP(Logfile_S[[#This Row],[Material Name]],Sum_WH!E:E,Sum_WH!F:F,"",0)</f>
        <v>Pcs</v>
      </c>
      <c r="N1505" s="221">
        <v>54</v>
      </c>
      <c r="O1505" s="221" t="s">
        <v>1391</v>
      </c>
      <c r="P1505" s="221" t="s">
        <v>1392</v>
      </c>
      <c r="Q1505" s="221"/>
      <c r="R1505" s="221"/>
      <c r="S1505" s="221"/>
      <c r="T1505" s="221" t="s">
        <v>3244</v>
      </c>
      <c r="U1505" s="221">
        <v>0</v>
      </c>
      <c r="V1505" s="221" t="s">
        <v>3248</v>
      </c>
      <c r="W1505" s="221" t="s">
        <v>3252</v>
      </c>
      <c r="X1505" s="221"/>
      <c r="Y1505" s="227"/>
      <c r="Z1505" s="227" t="str">
        <f>P1505</f>
        <v>Klampok RW 01 Singosari</v>
      </c>
      <c r="AA1505" s="276" t="e">
        <f>VLOOKUP(Logfile_S[[#This Row],[DO number]],DO_DB!G:I,3,0)</f>
        <v>#N/A</v>
      </c>
      <c r="AB1505" s="331" t="e">
        <f>EXACT(Logfile_S[[#This Row],[date pick]],Logfile_S[[#This Row],[Date]])</f>
        <v>#N/A</v>
      </c>
      <c r="AC15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06" spans="1:29" ht="14.5">
      <c r="A1506" s="220" t="str">
        <f>TEXT(ROW(A1506)-ROW($A$4),"000")</f>
        <v>1502</v>
      </c>
      <c r="B1506" s="221"/>
      <c r="C1506" s="221" t="s">
        <v>49</v>
      </c>
      <c r="D1506" s="221" t="s">
        <v>4249</v>
      </c>
      <c r="E1506" s="221" t="s">
        <v>3295</v>
      </c>
      <c r="F1506" s="221" t="s">
        <v>3299</v>
      </c>
      <c r="G1506" s="222">
        <v>45575</v>
      </c>
      <c r="H1506" s="223">
        <v>0.56458333333333333</v>
      </c>
      <c r="I1506" s="221" t="s">
        <v>4916</v>
      </c>
      <c r="J1506" s="221" t="s">
        <v>3024</v>
      </c>
      <c r="K1506" s="224" t="s">
        <v>3088</v>
      </c>
      <c r="L1506" s="225" t="str">
        <f>VLOOKUP(Logfile_S[[#This Row],[Material Name]],Sheet2!B:C,2,0)</f>
        <v>GCI1002</v>
      </c>
      <c r="M1506" s="225" t="str">
        <f>_xlfn.XLOOKUP(Logfile_S[[#This Row],[Material Name]],Sum_WH!E:E,Sum_WH!F:F,"",0)</f>
        <v>Pcs</v>
      </c>
      <c r="N1506" s="221">
        <v>1</v>
      </c>
      <c r="O1506" s="221" t="s">
        <v>1391</v>
      </c>
      <c r="P1506" s="221" t="s">
        <v>1392</v>
      </c>
      <c r="Q1506" s="221"/>
      <c r="R1506" s="221"/>
      <c r="S1506" s="221"/>
      <c r="T1506" s="221" t="s">
        <v>3244</v>
      </c>
      <c r="U1506" s="221">
        <v>0</v>
      </c>
      <c r="V1506" s="221" t="s">
        <v>3248</v>
      </c>
      <c r="W1506" s="221" t="s">
        <v>3252</v>
      </c>
      <c r="X1506" s="221"/>
      <c r="Y1506" s="227"/>
      <c r="Z1506" s="227" t="str">
        <f>P1506</f>
        <v>Klampok RW 01 Singosari</v>
      </c>
      <c r="AA1506" s="276" t="e">
        <f>VLOOKUP(Logfile_S[[#This Row],[DO number]],DO_DB!G:I,3,0)</f>
        <v>#N/A</v>
      </c>
      <c r="AB1506" s="331" t="e">
        <f>EXACT(Logfile_S[[#This Row],[date pick]],Logfile_S[[#This Row],[Date]])</f>
        <v>#N/A</v>
      </c>
      <c r="AC15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07" spans="1:29" ht="14.5">
      <c r="A1507" s="220" t="str">
        <f>TEXT(ROW(A1507)-ROW($A$4),"000")</f>
        <v>1503</v>
      </c>
      <c r="B1507" s="221"/>
      <c r="C1507" s="221" t="s">
        <v>49</v>
      </c>
      <c r="D1507" s="221" t="s">
        <v>4249</v>
      </c>
      <c r="E1507" s="221" t="s">
        <v>3295</v>
      </c>
      <c r="F1507" s="221" t="s">
        <v>3299</v>
      </c>
      <c r="G1507" s="222">
        <v>45575</v>
      </c>
      <c r="H1507" s="223">
        <v>0.56458333333333333</v>
      </c>
      <c r="I1507" s="221" t="s">
        <v>4916</v>
      </c>
      <c r="J1507" s="221" t="s">
        <v>3023</v>
      </c>
      <c r="K1507" s="224" t="s">
        <v>3069</v>
      </c>
      <c r="L1507" s="225" t="str">
        <f>VLOOKUP(Logfile_S[[#This Row],[Material Name]],Sheet2!B:C,2,0)</f>
        <v>ZTE1001</v>
      </c>
      <c r="M1507" s="225" t="str">
        <f>_xlfn.XLOOKUP(Logfile_S[[#This Row],[Material Name]],Sum_WH!E:E,Sum_WH!F:F,"",0)</f>
        <v>Pcs</v>
      </c>
      <c r="N1507" s="221">
        <v>2</v>
      </c>
      <c r="O1507" s="221" t="s">
        <v>1391</v>
      </c>
      <c r="P1507" s="221" t="s">
        <v>1392</v>
      </c>
      <c r="Q1507" s="221"/>
      <c r="R1507" s="221"/>
      <c r="S1507" s="221"/>
      <c r="T1507" s="221" t="s">
        <v>3244</v>
      </c>
      <c r="U1507" s="221">
        <v>0</v>
      </c>
      <c r="V1507" s="221" t="s">
        <v>3248</v>
      </c>
      <c r="W1507" s="221" t="s">
        <v>3252</v>
      </c>
      <c r="X1507" s="221"/>
      <c r="Y1507" s="227"/>
      <c r="Z1507" s="227" t="str">
        <f>P1507</f>
        <v>Klampok RW 01 Singosari</v>
      </c>
      <c r="AA1507" s="276" t="e">
        <f>VLOOKUP(Logfile_S[[#This Row],[DO number]],DO_DB!G:I,3,0)</f>
        <v>#N/A</v>
      </c>
      <c r="AB1507" s="331" t="e">
        <f>EXACT(Logfile_S[[#This Row],[date pick]],Logfile_S[[#This Row],[Date]])</f>
        <v>#N/A</v>
      </c>
      <c r="AC15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08" spans="1:29" ht="14.5">
      <c r="A1508" s="220" t="str">
        <f>TEXT(ROW(A1508)-ROW($A$4),"000")</f>
        <v>1504</v>
      </c>
      <c r="B1508" s="221"/>
      <c r="C1508" s="221" t="s">
        <v>49</v>
      </c>
      <c r="D1508" s="221" t="s">
        <v>4249</v>
      </c>
      <c r="E1508" s="221" t="s">
        <v>3295</v>
      </c>
      <c r="F1508" s="221" t="s">
        <v>3299</v>
      </c>
      <c r="G1508" s="222">
        <v>45575</v>
      </c>
      <c r="H1508" s="223">
        <v>0.56458333333333333</v>
      </c>
      <c r="I1508" s="221" t="s">
        <v>4916</v>
      </c>
      <c r="J1508" s="221" t="s">
        <v>3024</v>
      </c>
      <c r="K1508" s="224" t="s">
        <v>3094</v>
      </c>
      <c r="L1508" s="225" t="str">
        <f>VLOOKUP(Logfile_S[[#This Row],[Material Name]],Sheet2!B:C,2,0)</f>
        <v>GCI1008</v>
      </c>
      <c r="M1508" s="225" t="str">
        <f>_xlfn.XLOOKUP(Logfile_S[[#This Row],[Material Name]],Sum_WH!E:E,Sum_WH!F:F,"",0)</f>
        <v>Pcs</v>
      </c>
      <c r="N1508" s="221">
        <v>30</v>
      </c>
      <c r="O1508" s="221" t="s">
        <v>1391</v>
      </c>
      <c r="P1508" s="221" t="s">
        <v>1392</v>
      </c>
      <c r="Q1508" s="221"/>
      <c r="R1508" s="221"/>
      <c r="S1508" s="221"/>
      <c r="T1508" s="221" t="s">
        <v>3244</v>
      </c>
      <c r="U1508" s="221">
        <v>0</v>
      </c>
      <c r="V1508" s="221" t="s">
        <v>3248</v>
      </c>
      <c r="W1508" s="221" t="s">
        <v>3252</v>
      </c>
      <c r="X1508" s="221"/>
      <c r="Y1508" s="227"/>
      <c r="Z1508" s="227" t="str">
        <f>P1508</f>
        <v>Klampok RW 01 Singosari</v>
      </c>
      <c r="AA1508" s="276" t="e">
        <f>VLOOKUP(Logfile_S[[#This Row],[DO number]],DO_DB!G:I,3,0)</f>
        <v>#N/A</v>
      </c>
      <c r="AB1508" s="331" t="e">
        <f>EXACT(Logfile_S[[#This Row],[date pick]],Logfile_S[[#This Row],[Date]])</f>
        <v>#N/A</v>
      </c>
      <c r="AC15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09" spans="1:29" ht="14.5">
      <c r="A1509" s="220" t="str">
        <f>TEXT(ROW(A1509)-ROW($A$4),"000")</f>
        <v>1505</v>
      </c>
      <c r="B1509" s="221"/>
      <c r="C1509" s="221" t="s">
        <v>49</v>
      </c>
      <c r="D1509" s="221" t="s">
        <v>4249</v>
      </c>
      <c r="E1509" s="221" t="s">
        <v>3295</v>
      </c>
      <c r="F1509" s="221" t="s">
        <v>3299</v>
      </c>
      <c r="G1509" s="222">
        <v>45575</v>
      </c>
      <c r="H1509" s="223">
        <v>0.56458333333333333</v>
      </c>
      <c r="I1509" s="221" t="s">
        <v>4916</v>
      </c>
      <c r="J1509" s="221" t="s">
        <v>3024</v>
      </c>
      <c r="K1509" s="224" t="s">
        <v>3089</v>
      </c>
      <c r="L1509" s="225" t="str">
        <f>VLOOKUP(Logfile_S[[#This Row],[Material Name]],Sheet2!B:C,2,0)</f>
        <v>GCI1003</v>
      </c>
      <c r="M1509" s="225" t="str">
        <f>_xlfn.XLOOKUP(Logfile_S[[#This Row],[Material Name]],Sum_WH!E:E,Sum_WH!F:F,"",0)</f>
        <v>Pcs</v>
      </c>
      <c r="N1509" s="221">
        <v>60</v>
      </c>
      <c r="O1509" s="221" t="s">
        <v>1391</v>
      </c>
      <c r="P1509" s="221" t="s">
        <v>1392</v>
      </c>
      <c r="Q1509" s="221"/>
      <c r="R1509" s="221"/>
      <c r="S1509" s="221"/>
      <c r="T1509" s="221" t="s">
        <v>3244</v>
      </c>
      <c r="U1509" s="221">
        <v>0</v>
      </c>
      <c r="V1509" s="221" t="s">
        <v>3248</v>
      </c>
      <c r="W1509" s="221" t="s">
        <v>3252</v>
      </c>
      <c r="X1509" s="221"/>
      <c r="Y1509" s="227"/>
      <c r="Z1509" s="227" t="str">
        <f>P1509</f>
        <v>Klampok RW 01 Singosari</v>
      </c>
      <c r="AA1509" s="276" t="e">
        <f>VLOOKUP(Logfile_S[[#This Row],[DO number]],DO_DB!G:I,3,0)</f>
        <v>#N/A</v>
      </c>
      <c r="AB1509" s="331" t="e">
        <f>EXACT(Logfile_S[[#This Row],[date pick]],Logfile_S[[#This Row],[Date]])</f>
        <v>#N/A</v>
      </c>
      <c r="AC15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10" spans="1:29" ht="14.5">
      <c r="A1510" s="220" t="str">
        <f>TEXT(ROW(A1510)-ROW($A$4),"000")</f>
        <v>1506</v>
      </c>
      <c r="B1510" s="221"/>
      <c r="C1510" s="221" t="s">
        <v>49</v>
      </c>
      <c r="D1510" s="221" t="s">
        <v>4249</v>
      </c>
      <c r="E1510" s="221" t="s">
        <v>3295</v>
      </c>
      <c r="F1510" s="221" t="s">
        <v>3299</v>
      </c>
      <c r="G1510" s="222">
        <v>45575</v>
      </c>
      <c r="H1510" s="223">
        <v>0.56458333333333333</v>
      </c>
      <c r="I1510" s="221" t="s">
        <v>4916</v>
      </c>
      <c r="J1510" s="221" t="s">
        <v>3024</v>
      </c>
      <c r="K1510" s="224" t="s">
        <v>3090</v>
      </c>
      <c r="L1510" s="225" t="str">
        <f>VLOOKUP(Logfile_S[[#This Row],[Material Name]],Sheet2!B:C,2,0)</f>
        <v>GCI1004</v>
      </c>
      <c r="M1510" s="225" t="str">
        <f>_xlfn.XLOOKUP(Logfile_S[[#This Row],[Material Name]],Sum_WH!E:E,Sum_WH!F:F,"",0)</f>
        <v>Pcs</v>
      </c>
      <c r="N1510" s="221">
        <v>50</v>
      </c>
      <c r="O1510" s="221" t="s">
        <v>1391</v>
      </c>
      <c r="P1510" s="221" t="s">
        <v>1392</v>
      </c>
      <c r="Q1510" s="221"/>
      <c r="R1510" s="221"/>
      <c r="S1510" s="221"/>
      <c r="T1510" s="221" t="s">
        <v>3244</v>
      </c>
      <c r="U1510" s="221">
        <v>0</v>
      </c>
      <c r="V1510" s="221" t="s">
        <v>3248</v>
      </c>
      <c r="W1510" s="221" t="s">
        <v>3252</v>
      </c>
      <c r="X1510" s="221"/>
      <c r="Y1510" s="227"/>
      <c r="Z1510" s="227" t="str">
        <f>P1510</f>
        <v>Klampok RW 01 Singosari</v>
      </c>
      <c r="AA1510" s="276" t="e">
        <f>VLOOKUP(Logfile_S[[#This Row],[DO number]],DO_DB!G:I,3,0)</f>
        <v>#N/A</v>
      </c>
      <c r="AB1510" s="331" t="e">
        <f>EXACT(Logfile_S[[#This Row],[date pick]],Logfile_S[[#This Row],[Date]])</f>
        <v>#N/A</v>
      </c>
      <c r="AC15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11" spans="1:29" ht="14.5">
      <c r="A1511" s="220" t="str">
        <f>TEXT(ROW(A1511)-ROW($A$4),"000")</f>
        <v>1507</v>
      </c>
      <c r="B1511" s="221"/>
      <c r="C1511" s="221" t="s">
        <v>3388</v>
      </c>
      <c r="D1511" s="221" t="s">
        <v>4887</v>
      </c>
      <c r="E1511" s="221" t="s">
        <v>3295</v>
      </c>
      <c r="F1511" s="221" t="s">
        <v>3299</v>
      </c>
      <c r="G1511" s="222">
        <v>45527</v>
      </c>
      <c r="H1511" s="223">
        <v>0.79097222222222219</v>
      </c>
      <c r="I1511" s="221" t="s">
        <v>4916</v>
      </c>
      <c r="J1511" s="221" t="s">
        <v>3023</v>
      </c>
      <c r="K1511" s="224" t="s">
        <v>3075</v>
      </c>
      <c r="L1511" s="225" t="str">
        <f>VLOOKUP(Logfile_S[[#This Row],[Material Name]],Sheet2!B:C,2,0)</f>
        <v>ZTE2003</v>
      </c>
      <c r="M1511" s="225" t="str">
        <f>_xlfn.XLOOKUP(Logfile_S[[#This Row],[Material Name]],Sum_WH!E:E,Sum_WH!F:F,"",0)</f>
        <v>Meter</v>
      </c>
      <c r="N1511" s="221">
        <v>3000</v>
      </c>
      <c r="O1511" s="221" t="s">
        <v>1391</v>
      </c>
      <c r="P1511" s="221" t="s">
        <v>3223</v>
      </c>
      <c r="Q1511" s="221"/>
      <c r="R1511" s="221"/>
      <c r="S1511" s="221"/>
      <c r="T1511" s="221" t="s">
        <v>3244</v>
      </c>
      <c r="U1511" s="221">
        <v>0</v>
      </c>
      <c r="V1511" s="221" t="s">
        <v>3248</v>
      </c>
      <c r="W1511" s="221" t="s">
        <v>3252</v>
      </c>
      <c r="X1511" s="221" t="s">
        <v>3207</v>
      </c>
      <c r="Y1511" s="227"/>
      <c r="Z1511" s="227" t="str">
        <f>P1511</f>
        <v>Transfer Gudang</v>
      </c>
      <c r="AA1511" s="276" t="e">
        <f>VLOOKUP(Logfile_S[[#This Row],[DO number]],DO_DB!G:I,3,0)</f>
        <v>#N/A</v>
      </c>
      <c r="AB1511" s="331" t="e">
        <f>EXACT(Logfile_S[[#This Row],[date pick]],Logfile_S[[#This Row],[Date]])</f>
        <v>#N/A</v>
      </c>
      <c r="AC15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1512" spans="1:29" ht="14.5">
      <c r="A1512" s="220" t="str">
        <f>TEXT(ROW(A1512)-ROW($A$4),"000")</f>
        <v>1508</v>
      </c>
      <c r="B1512" s="221"/>
      <c r="C1512" s="221" t="s">
        <v>48</v>
      </c>
      <c r="D1512" s="221" t="s">
        <v>4048</v>
      </c>
      <c r="E1512" s="221" t="s">
        <v>3295</v>
      </c>
      <c r="F1512" s="221" t="s">
        <v>3299</v>
      </c>
      <c r="G1512" s="222">
        <v>45432</v>
      </c>
      <c r="H1512" s="223">
        <v>15.291666666666666</v>
      </c>
      <c r="I1512" s="221" t="s">
        <v>37</v>
      </c>
      <c r="J1512" s="221" t="s">
        <v>3023</v>
      </c>
      <c r="K1512" s="224" t="s">
        <v>3073</v>
      </c>
      <c r="L1512" s="225" t="str">
        <f>VLOOKUP(Logfile_S[[#This Row],[Material Name]],Sheet2!B:C,2,0)</f>
        <v>ZTE2001</v>
      </c>
      <c r="M1512" s="225" t="str">
        <f>_xlfn.XLOOKUP(Logfile_S[[#This Row],[Material Name]],Sum_WH!E:E,Sum_WH!F:F,"",0)</f>
        <v>Meter</v>
      </c>
      <c r="N1512" s="221">
        <v>3000</v>
      </c>
      <c r="O1512" s="221" t="s">
        <v>1405</v>
      </c>
      <c r="P1512" s="221" t="s">
        <v>1406</v>
      </c>
      <c r="Q1512" s="221" t="s">
        <v>1411</v>
      </c>
      <c r="R1512" s="221" t="s">
        <v>1412</v>
      </c>
      <c r="S1512" s="221"/>
      <c r="T1512" s="221"/>
      <c r="U1512" s="221"/>
      <c r="V1512" s="221"/>
      <c r="W1512" s="221"/>
      <c r="X1512" s="221"/>
      <c r="Y1512" s="227" t="s">
        <v>5001</v>
      </c>
      <c r="Z1512" s="227" t="str">
        <f>P1512</f>
        <v>Lawang RW 06 Malang</v>
      </c>
      <c r="AA1512" s="276">
        <f>VLOOKUP(Logfile_S[[#This Row],[DO number]],DO_DB!G:I,3,0)</f>
        <v>45432</v>
      </c>
      <c r="AB1512" s="331" t="b">
        <f>EXACT(Logfile_S[[#This Row],[date pick]],Logfile_S[[#This Row],[Date]])</f>
        <v>1</v>
      </c>
      <c r="AC15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24C-2024520-02</v>
      </c>
    </row>
    <row r="1513" spans="1:29" ht="14.5">
      <c r="A1513" s="220" t="str">
        <f>TEXT(ROW(A1513)-ROW($A$4),"000")</f>
        <v>1509</v>
      </c>
      <c r="B1513" s="221"/>
      <c r="C1513" s="221" t="s">
        <v>49</v>
      </c>
      <c r="D1513" s="221" t="s">
        <v>4049</v>
      </c>
      <c r="E1513" s="221" t="s">
        <v>3295</v>
      </c>
      <c r="F1513" s="221" t="s">
        <v>3299</v>
      </c>
      <c r="G1513" s="222">
        <v>45432</v>
      </c>
      <c r="H1513" s="223">
        <v>0.3979166666666667</v>
      </c>
      <c r="I1513" s="221" t="s">
        <v>4916</v>
      </c>
      <c r="J1513" s="221" t="s">
        <v>3024</v>
      </c>
      <c r="K1513" s="224" t="s">
        <v>5137</v>
      </c>
      <c r="L1513" s="225" t="str">
        <f>VLOOKUP(Logfile_S[[#This Row],[Material Name]],Sheet2!B:C,2,0)</f>
        <v>GCI1009</v>
      </c>
      <c r="M1513" s="225" t="str">
        <f>_xlfn.XLOOKUP(Logfile_S[[#This Row],[Material Name]],Sum_WH!E:E,Sum_WH!F:F,"",0)</f>
        <v>Pcs</v>
      </c>
      <c r="N1513" s="221">
        <v>40</v>
      </c>
      <c r="O1513" s="221" t="s">
        <v>1405</v>
      </c>
      <c r="P1513" s="221" t="s">
        <v>1406</v>
      </c>
      <c r="Q1513" s="221"/>
      <c r="R1513" s="221"/>
      <c r="S1513" s="221"/>
      <c r="T1513" s="221" t="s">
        <v>3258</v>
      </c>
      <c r="U1513" s="221" t="s">
        <v>3228</v>
      </c>
      <c r="V1513" s="221" t="s">
        <v>3337</v>
      </c>
      <c r="W1513" s="221" t="s">
        <v>3338</v>
      </c>
      <c r="X1513" s="221"/>
      <c r="Y1513" s="227"/>
      <c r="Z1513" s="227" t="str">
        <f>P1513</f>
        <v>Lawang RW 06 Malang</v>
      </c>
      <c r="AA1513" s="276" t="e">
        <f>VLOOKUP(Logfile_S[[#This Row],[DO number]],DO_DB!G:I,3,0)</f>
        <v>#N/A</v>
      </c>
      <c r="AB1513" s="331" t="e">
        <f>EXACT(Logfile_S[[#This Row],[date pick]],Logfile_S[[#This Row],[Date]])</f>
        <v>#N/A</v>
      </c>
      <c r="AC15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14" spans="1:29" ht="14.5">
      <c r="A1514" s="220" t="str">
        <f>TEXT(ROW(A1514)-ROW($A$4),"000")</f>
        <v>1510</v>
      </c>
      <c r="B1514" s="221"/>
      <c r="C1514" s="221" t="s">
        <v>49</v>
      </c>
      <c r="D1514" s="221" t="s">
        <v>4049</v>
      </c>
      <c r="E1514" s="221" t="s">
        <v>3295</v>
      </c>
      <c r="F1514" s="221" t="s">
        <v>3299</v>
      </c>
      <c r="G1514" s="222">
        <v>45432</v>
      </c>
      <c r="H1514" s="223">
        <v>0.3979166666666667</v>
      </c>
      <c r="I1514" s="221" t="s">
        <v>4916</v>
      </c>
      <c r="J1514" s="221" t="s">
        <v>3024</v>
      </c>
      <c r="K1514" s="224" t="s">
        <v>3088</v>
      </c>
      <c r="L1514" s="225" t="str">
        <f>VLOOKUP(Logfile_S[[#This Row],[Material Name]],Sheet2!B:C,2,0)</f>
        <v>GCI1002</v>
      </c>
      <c r="M1514" s="225" t="str">
        <f>_xlfn.XLOOKUP(Logfile_S[[#This Row],[Material Name]],Sum_WH!E:E,Sum_WH!F:F,"",0)</f>
        <v>Pcs</v>
      </c>
      <c r="N1514" s="221">
        <v>1</v>
      </c>
      <c r="O1514" s="221" t="s">
        <v>1405</v>
      </c>
      <c r="P1514" s="221" t="s">
        <v>1406</v>
      </c>
      <c r="Q1514" s="221"/>
      <c r="R1514" s="221"/>
      <c r="S1514" s="221"/>
      <c r="T1514" s="221" t="s">
        <v>3258</v>
      </c>
      <c r="U1514" s="221" t="s">
        <v>3228</v>
      </c>
      <c r="V1514" s="221" t="s">
        <v>3337</v>
      </c>
      <c r="W1514" s="221" t="s">
        <v>3338</v>
      </c>
      <c r="X1514" s="221"/>
      <c r="Y1514" s="227"/>
      <c r="Z1514" s="227" t="str">
        <f>P1514</f>
        <v>Lawang RW 06 Malang</v>
      </c>
      <c r="AA1514" s="276" t="e">
        <f>VLOOKUP(Logfile_S[[#This Row],[DO number]],DO_DB!G:I,3,0)</f>
        <v>#N/A</v>
      </c>
      <c r="AB1514" s="331" t="e">
        <f>EXACT(Logfile_S[[#This Row],[date pick]],Logfile_S[[#This Row],[Date]])</f>
        <v>#N/A</v>
      </c>
      <c r="AC15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15" spans="1:29" ht="14.5">
      <c r="A1515" s="220" t="str">
        <f>TEXT(ROW(A1515)-ROW($A$4),"000")</f>
        <v>1511</v>
      </c>
      <c r="B1515" s="221"/>
      <c r="C1515" s="221" t="s">
        <v>49</v>
      </c>
      <c r="D1515" s="221" t="s">
        <v>4049</v>
      </c>
      <c r="E1515" s="221" t="s">
        <v>3295</v>
      </c>
      <c r="F1515" s="221" t="s">
        <v>3299</v>
      </c>
      <c r="G1515" s="222">
        <v>45432</v>
      </c>
      <c r="H1515" s="223">
        <v>0.3979166666666667</v>
      </c>
      <c r="I1515" s="221" t="s">
        <v>4916</v>
      </c>
      <c r="J1515" s="221" t="s">
        <v>3023</v>
      </c>
      <c r="K1515" s="224" t="s">
        <v>3069</v>
      </c>
      <c r="L1515" s="225" t="str">
        <f>VLOOKUP(Logfile_S[[#This Row],[Material Name]],Sheet2!B:C,2,0)</f>
        <v>ZTE1001</v>
      </c>
      <c r="M1515" s="225" t="str">
        <f>_xlfn.XLOOKUP(Logfile_S[[#This Row],[Material Name]],Sum_WH!E:E,Sum_WH!F:F,"",0)</f>
        <v>Pcs</v>
      </c>
      <c r="N1515" s="221">
        <v>23</v>
      </c>
      <c r="O1515" s="221" t="s">
        <v>1405</v>
      </c>
      <c r="P1515" s="221" t="s">
        <v>1406</v>
      </c>
      <c r="Q1515" s="221"/>
      <c r="R1515" s="221"/>
      <c r="S1515" s="221"/>
      <c r="T1515" s="221" t="s">
        <v>3258</v>
      </c>
      <c r="U1515" s="221">
        <v>0</v>
      </c>
      <c r="V1515" s="221" t="s">
        <v>3337</v>
      </c>
      <c r="W1515" s="221" t="s">
        <v>3338</v>
      </c>
      <c r="X1515" s="221"/>
      <c r="Y1515" s="227"/>
      <c r="Z1515" s="227" t="str">
        <f>P1515</f>
        <v>Lawang RW 06 Malang</v>
      </c>
      <c r="AA1515" s="276" t="e">
        <f>VLOOKUP(Logfile_S[[#This Row],[DO number]],DO_DB!G:I,3,0)</f>
        <v>#N/A</v>
      </c>
      <c r="AB1515" s="331" t="e">
        <f>EXACT(Logfile_S[[#This Row],[date pick]],Logfile_S[[#This Row],[Date]])</f>
        <v>#N/A</v>
      </c>
      <c r="AC15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16" spans="1:29" ht="14.5">
      <c r="A1516" s="220" t="str">
        <f>TEXT(ROW(A1516)-ROW($A$4),"000")</f>
        <v>1512</v>
      </c>
      <c r="B1516" s="221"/>
      <c r="C1516" s="221" t="s">
        <v>49</v>
      </c>
      <c r="D1516" s="221" t="s">
        <v>4049</v>
      </c>
      <c r="E1516" s="221" t="s">
        <v>3295</v>
      </c>
      <c r="F1516" s="221" t="s">
        <v>3299</v>
      </c>
      <c r="G1516" s="222">
        <v>45432</v>
      </c>
      <c r="H1516" s="223">
        <v>0.3979166666666667</v>
      </c>
      <c r="I1516" s="221" t="s">
        <v>4916</v>
      </c>
      <c r="J1516" s="221" t="s">
        <v>3024</v>
      </c>
      <c r="K1516" s="224" t="s">
        <v>3094</v>
      </c>
      <c r="L1516" s="225" t="str">
        <f>VLOOKUP(Logfile_S[[#This Row],[Material Name]],Sheet2!B:C,2,0)</f>
        <v>GCI1008</v>
      </c>
      <c r="M1516" s="225" t="str">
        <f>_xlfn.XLOOKUP(Logfile_S[[#This Row],[Material Name]],Sum_WH!E:E,Sum_WH!F:F,"",0)</f>
        <v>Pcs</v>
      </c>
      <c r="N1516" s="221">
        <v>50</v>
      </c>
      <c r="O1516" s="221" t="s">
        <v>1405</v>
      </c>
      <c r="P1516" s="221" t="s">
        <v>1406</v>
      </c>
      <c r="Q1516" s="221"/>
      <c r="R1516" s="221"/>
      <c r="S1516" s="221"/>
      <c r="T1516" s="221" t="s">
        <v>3258</v>
      </c>
      <c r="U1516" s="221" t="s">
        <v>3228</v>
      </c>
      <c r="V1516" s="221" t="s">
        <v>3337</v>
      </c>
      <c r="W1516" s="221" t="s">
        <v>3338</v>
      </c>
      <c r="X1516" s="221"/>
      <c r="Y1516" s="227"/>
      <c r="Z1516" s="227" t="str">
        <f>P1516</f>
        <v>Lawang RW 06 Malang</v>
      </c>
      <c r="AA1516" s="276" t="e">
        <f>VLOOKUP(Logfile_S[[#This Row],[DO number]],DO_DB!G:I,3,0)</f>
        <v>#N/A</v>
      </c>
      <c r="AB1516" s="331" t="e">
        <f>EXACT(Logfile_S[[#This Row],[date pick]],Logfile_S[[#This Row],[Date]])</f>
        <v>#N/A</v>
      </c>
      <c r="AC15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17" spans="1:29" ht="14.5">
      <c r="A1517" s="220" t="str">
        <f>TEXT(ROW(A1517)-ROW($A$4),"000")</f>
        <v>1513</v>
      </c>
      <c r="B1517" s="221"/>
      <c r="C1517" s="221" t="s">
        <v>49</v>
      </c>
      <c r="D1517" s="221" t="s">
        <v>4055</v>
      </c>
      <c r="E1517" s="221" t="s">
        <v>3295</v>
      </c>
      <c r="F1517" s="221" t="s">
        <v>3299</v>
      </c>
      <c r="G1517" s="222">
        <v>45433</v>
      </c>
      <c r="H1517" s="223">
        <v>0.37708333333333338</v>
      </c>
      <c r="I1517" s="221" t="s">
        <v>4916</v>
      </c>
      <c r="J1517" s="221" t="s">
        <v>3023</v>
      </c>
      <c r="K1517" s="224" t="s">
        <v>3073</v>
      </c>
      <c r="L1517" s="225" t="str">
        <f>VLOOKUP(Logfile_S[[#This Row],[Material Name]],Sheet2!B:C,2,0)</f>
        <v>ZTE2001</v>
      </c>
      <c r="M1517" s="225" t="str">
        <f>_xlfn.XLOOKUP(Logfile_S[[#This Row],[Material Name]],Sum_WH!E:E,Sum_WH!F:F,"",0)</f>
        <v>Meter</v>
      </c>
      <c r="N1517" s="221">
        <v>4000</v>
      </c>
      <c r="O1517" s="221" t="s">
        <v>1405</v>
      </c>
      <c r="P1517" s="221" t="s">
        <v>1406</v>
      </c>
      <c r="Q1517" s="221"/>
      <c r="R1517" s="221"/>
      <c r="S1517" s="221"/>
      <c r="T1517" s="221" t="s">
        <v>3258</v>
      </c>
      <c r="U1517" s="221" t="s">
        <v>3228</v>
      </c>
      <c r="V1517" s="221" t="s">
        <v>3337</v>
      </c>
      <c r="W1517" s="221" t="s">
        <v>3338</v>
      </c>
      <c r="X1517" s="221" t="s">
        <v>3504</v>
      </c>
      <c r="Y1517" s="236" t="s">
        <v>5091</v>
      </c>
      <c r="Z1517" s="227" t="str">
        <f>P1517</f>
        <v>Lawang RW 06 Malang</v>
      </c>
      <c r="AA1517" s="276" t="e">
        <f>VLOOKUP(Logfile_S[[#This Row],[DO number]],DO_DB!G:I,3,0)</f>
        <v>#N/A</v>
      </c>
      <c r="AB1517" s="331" t="e">
        <f>EXACT(Logfile_S[[#This Row],[date pick]],Logfile_S[[#This Row],[Date]])</f>
        <v>#N/A</v>
      </c>
      <c r="AC15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24C-2024419-01</v>
      </c>
    </row>
    <row r="1518" spans="1:29" ht="14.5">
      <c r="A1518" s="220" t="str">
        <f>TEXT(ROW(A1518)-ROW($A$4),"000")</f>
        <v>1514</v>
      </c>
      <c r="B1518" s="221"/>
      <c r="C1518" s="221" t="s">
        <v>49</v>
      </c>
      <c r="D1518" s="221" t="s">
        <v>4052</v>
      </c>
      <c r="E1518" s="221" t="s">
        <v>3295</v>
      </c>
      <c r="F1518" s="221" t="s">
        <v>3299</v>
      </c>
      <c r="G1518" s="222">
        <v>45433</v>
      </c>
      <c r="H1518" s="223">
        <v>0.37708333333333338</v>
      </c>
      <c r="I1518" s="221" t="s">
        <v>4916</v>
      </c>
      <c r="J1518" s="221" t="s">
        <v>3024</v>
      </c>
      <c r="K1518" s="224" t="s">
        <v>3087</v>
      </c>
      <c r="L1518" s="225" t="str">
        <f>VLOOKUP(Logfile_S[[#This Row],[Material Name]],Sheet2!B:C,2,0)</f>
        <v>GCI1001</v>
      </c>
      <c r="M1518" s="225" t="str">
        <f>_xlfn.XLOOKUP(Logfile_S[[#This Row],[Material Name]],Sum_WH!E:E,Sum_WH!F:F,"",0)</f>
        <v>Pcs</v>
      </c>
      <c r="N1518" s="221">
        <v>6</v>
      </c>
      <c r="O1518" s="221" t="s">
        <v>1405</v>
      </c>
      <c r="P1518" s="221" t="s">
        <v>1406</v>
      </c>
      <c r="Q1518" s="221"/>
      <c r="R1518" s="221"/>
      <c r="S1518" s="221"/>
      <c r="T1518" s="221" t="s">
        <v>3258</v>
      </c>
      <c r="U1518" s="221" t="s">
        <v>3228</v>
      </c>
      <c r="V1518" s="221" t="s">
        <v>3337</v>
      </c>
      <c r="W1518" s="221" t="s">
        <v>3338</v>
      </c>
      <c r="X1518" s="221"/>
      <c r="Y1518" s="227"/>
      <c r="Z1518" s="227" t="str">
        <f>P1518</f>
        <v>Lawang RW 06 Malang</v>
      </c>
      <c r="AA1518" s="276" t="e">
        <f>VLOOKUP(Logfile_S[[#This Row],[DO number]],DO_DB!G:I,3,0)</f>
        <v>#N/A</v>
      </c>
      <c r="AB1518" s="331" t="e">
        <f>EXACT(Logfile_S[[#This Row],[date pick]],Logfile_S[[#This Row],[Date]])</f>
        <v>#N/A</v>
      </c>
      <c r="AC15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19" spans="1:29" ht="14.5">
      <c r="A1519" s="220" t="str">
        <f>TEXT(ROW(A1519)-ROW($A$4),"000")</f>
        <v>1515</v>
      </c>
      <c r="B1519" s="221"/>
      <c r="C1519" s="221" t="s">
        <v>49</v>
      </c>
      <c r="D1519" s="221" t="s">
        <v>4052</v>
      </c>
      <c r="E1519" s="221" t="s">
        <v>3295</v>
      </c>
      <c r="F1519" s="221" t="s">
        <v>3299</v>
      </c>
      <c r="G1519" s="222">
        <v>45433</v>
      </c>
      <c r="H1519" s="223">
        <v>0.37708333333333338</v>
      </c>
      <c r="I1519" s="221" t="s">
        <v>4916</v>
      </c>
      <c r="J1519" s="221" t="s">
        <v>3023</v>
      </c>
      <c r="K1519" s="224" t="s">
        <v>3070</v>
      </c>
      <c r="L1519" s="225" t="str">
        <f>VLOOKUP(Logfile_S[[#This Row],[Material Name]],Sheet2!B:C,2,0)</f>
        <v>ZTE1002</v>
      </c>
      <c r="M1519" s="225" t="str">
        <f>_xlfn.XLOOKUP(Logfile_S[[#This Row],[Material Name]],Sum_WH!E:E,Sum_WH!F:F,"",0)</f>
        <v>Pcs</v>
      </c>
      <c r="N1519" s="221">
        <v>5</v>
      </c>
      <c r="O1519" s="221" t="s">
        <v>1405</v>
      </c>
      <c r="P1519" s="221" t="s">
        <v>1406</v>
      </c>
      <c r="Q1519" s="221"/>
      <c r="R1519" s="221"/>
      <c r="S1519" s="221"/>
      <c r="T1519" s="221" t="s">
        <v>3258</v>
      </c>
      <c r="U1519" s="221">
        <v>0</v>
      </c>
      <c r="V1519" s="221" t="s">
        <v>3337</v>
      </c>
      <c r="W1519" s="221" t="s">
        <v>3338</v>
      </c>
      <c r="X1519" s="221"/>
      <c r="Y1519" s="227"/>
      <c r="Z1519" s="227" t="str">
        <f>P1519</f>
        <v>Lawang RW 06 Malang</v>
      </c>
      <c r="AA1519" s="276" t="e">
        <f>VLOOKUP(Logfile_S[[#This Row],[DO number]],DO_DB!G:I,3,0)</f>
        <v>#N/A</v>
      </c>
      <c r="AB1519" s="331" t="e">
        <f>EXACT(Logfile_S[[#This Row],[date pick]],Logfile_S[[#This Row],[Date]])</f>
        <v>#N/A</v>
      </c>
      <c r="AC15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20" spans="1:29" ht="14.5">
      <c r="A1520" s="220" t="str">
        <f>TEXT(ROW(A1520)-ROW($A$4),"000")</f>
        <v>1516</v>
      </c>
      <c r="B1520" s="221"/>
      <c r="C1520" s="221" t="s">
        <v>49</v>
      </c>
      <c r="D1520" s="221" t="s">
        <v>4052</v>
      </c>
      <c r="E1520" s="221" t="s">
        <v>3295</v>
      </c>
      <c r="F1520" s="221" t="s">
        <v>3299</v>
      </c>
      <c r="G1520" s="222">
        <v>45433</v>
      </c>
      <c r="H1520" s="223">
        <v>0.37708333333333338</v>
      </c>
      <c r="I1520" s="221" t="s">
        <v>4916</v>
      </c>
      <c r="J1520" s="221" t="s">
        <v>3023</v>
      </c>
      <c r="K1520" s="224" t="s">
        <v>3069</v>
      </c>
      <c r="L1520" s="225" t="str">
        <f>VLOOKUP(Logfile_S[[#This Row],[Material Name]],Sheet2!B:C,2,0)</f>
        <v>ZTE1001</v>
      </c>
      <c r="M1520" s="225" t="str">
        <f>_xlfn.XLOOKUP(Logfile_S[[#This Row],[Material Name]],Sum_WH!E:E,Sum_WH!F:F,"",0)</f>
        <v>Pcs</v>
      </c>
      <c r="N1520" s="221">
        <v>12</v>
      </c>
      <c r="O1520" s="221" t="s">
        <v>1405</v>
      </c>
      <c r="P1520" s="221" t="s">
        <v>1406</v>
      </c>
      <c r="Q1520" s="221"/>
      <c r="R1520" s="221"/>
      <c r="S1520" s="221"/>
      <c r="T1520" s="221" t="s">
        <v>3258</v>
      </c>
      <c r="U1520" s="221">
        <v>0</v>
      </c>
      <c r="V1520" s="221" t="s">
        <v>3337</v>
      </c>
      <c r="W1520" s="221" t="s">
        <v>3338</v>
      </c>
      <c r="X1520" s="221"/>
      <c r="Y1520" s="227"/>
      <c r="Z1520" s="227" t="str">
        <f>P1520</f>
        <v>Lawang RW 06 Malang</v>
      </c>
      <c r="AA1520" s="276" t="e">
        <f>VLOOKUP(Logfile_S[[#This Row],[DO number]],DO_DB!G:I,3,0)</f>
        <v>#N/A</v>
      </c>
      <c r="AB1520" s="331" t="e">
        <f>EXACT(Logfile_S[[#This Row],[date pick]],Logfile_S[[#This Row],[Date]])</f>
        <v>#N/A</v>
      </c>
      <c r="AC15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21" spans="1:29" ht="14.5">
      <c r="A1521" s="220" t="str">
        <f>TEXT(ROW(A1521)-ROW($A$4),"000")</f>
        <v>1517</v>
      </c>
      <c r="B1521" s="221"/>
      <c r="C1521" s="221" t="s">
        <v>49</v>
      </c>
      <c r="D1521" s="221" t="s">
        <v>4052</v>
      </c>
      <c r="E1521" s="221" t="s">
        <v>3295</v>
      </c>
      <c r="F1521" s="221" t="s">
        <v>3299</v>
      </c>
      <c r="G1521" s="222">
        <v>45433</v>
      </c>
      <c r="H1521" s="223">
        <v>0.37708333333333338</v>
      </c>
      <c r="I1521" s="221" t="s">
        <v>4916</v>
      </c>
      <c r="J1521" s="221" t="s">
        <v>3023</v>
      </c>
      <c r="K1521" s="224" t="s">
        <v>3071</v>
      </c>
      <c r="L1521" s="225" t="str">
        <f>VLOOKUP(Logfile_S[[#This Row],[Material Name]],Sheet2!B:C,2,0)</f>
        <v>ZTE1003</v>
      </c>
      <c r="M1521" s="225" t="str">
        <f>_xlfn.XLOOKUP(Logfile_S[[#This Row],[Material Name]],Sum_WH!E:E,Sum_WH!F:F,"",0)</f>
        <v>Pcs</v>
      </c>
      <c r="N1521" s="221">
        <v>2</v>
      </c>
      <c r="O1521" s="221" t="s">
        <v>1405</v>
      </c>
      <c r="P1521" s="221" t="s">
        <v>1406</v>
      </c>
      <c r="Q1521" s="221"/>
      <c r="R1521" s="221"/>
      <c r="S1521" s="221"/>
      <c r="T1521" s="221" t="s">
        <v>3258</v>
      </c>
      <c r="U1521" s="221" t="s">
        <v>3228</v>
      </c>
      <c r="V1521" s="221" t="s">
        <v>3337</v>
      </c>
      <c r="W1521" s="221" t="s">
        <v>3338</v>
      </c>
      <c r="X1521" s="221"/>
      <c r="Y1521" s="227"/>
      <c r="Z1521" s="227" t="str">
        <f>P1521</f>
        <v>Lawang RW 06 Malang</v>
      </c>
      <c r="AA1521" s="276" t="e">
        <f>VLOOKUP(Logfile_S[[#This Row],[DO number]],DO_DB!G:I,3,0)</f>
        <v>#N/A</v>
      </c>
      <c r="AB1521" s="331" t="e">
        <f>EXACT(Logfile_S[[#This Row],[date pick]],Logfile_S[[#This Row],[Date]])</f>
        <v>#N/A</v>
      </c>
      <c r="AC15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22" spans="1:29" ht="14.5">
      <c r="A1522" s="220" t="str">
        <f>TEXT(ROW(A1522)-ROW($A$4),"000")</f>
        <v>1518</v>
      </c>
      <c r="B1522" s="221"/>
      <c r="C1522" s="221" t="s">
        <v>49</v>
      </c>
      <c r="D1522" s="221" t="s">
        <v>4058</v>
      </c>
      <c r="E1522" s="221" t="s">
        <v>3295</v>
      </c>
      <c r="F1522" s="221" t="s">
        <v>3299</v>
      </c>
      <c r="G1522" s="222">
        <v>45435</v>
      </c>
      <c r="H1522" s="223">
        <v>0.47361111111111115</v>
      </c>
      <c r="I1522" s="221" t="s">
        <v>4916</v>
      </c>
      <c r="J1522" s="221" t="s">
        <v>3023</v>
      </c>
      <c r="K1522" s="224" t="s">
        <v>3080</v>
      </c>
      <c r="L1522" s="225" t="str">
        <f>VLOOKUP(Logfile_S[[#This Row],[Material Name]],Sheet2!B:C,2,0)</f>
        <v>ZTE2010</v>
      </c>
      <c r="M1522" s="225" t="str">
        <f>_xlfn.XLOOKUP(Logfile_S[[#This Row],[Material Name]],Sum_WH!E:E,Sum_WH!F:F,"",0)</f>
        <v>Pcs</v>
      </c>
      <c r="N1522" s="221">
        <v>2</v>
      </c>
      <c r="O1522" s="221" t="s">
        <v>1405</v>
      </c>
      <c r="P1522" s="221" t="s">
        <v>1406</v>
      </c>
      <c r="Q1522" s="221"/>
      <c r="R1522" s="221"/>
      <c r="S1522" s="221"/>
      <c r="T1522" s="221" t="s">
        <v>3231</v>
      </c>
      <c r="U1522" s="221">
        <v>0</v>
      </c>
      <c r="V1522" s="221" t="s">
        <v>3232</v>
      </c>
      <c r="W1522" s="221" t="s">
        <v>3246</v>
      </c>
      <c r="X1522" s="221"/>
      <c r="Y1522" s="227"/>
      <c r="Z1522" s="227" t="str">
        <f>P1522</f>
        <v>Lawang RW 06 Malang</v>
      </c>
      <c r="AA1522" s="276" t="e">
        <f>VLOOKUP(Logfile_S[[#This Row],[DO number]],DO_DB!G:I,3,0)</f>
        <v>#N/A</v>
      </c>
      <c r="AB1522" s="331" t="e">
        <f>EXACT(Logfile_S[[#This Row],[date pick]],Logfile_S[[#This Row],[Date]])</f>
        <v>#N/A</v>
      </c>
      <c r="AC15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23" spans="1:29" ht="14.5">
      <c r="A1523" s="220" t="str">
        <f>TEXT(ROW(A1523)-ROW($A$4),"000")</f>
        <v>1519</v>
      </c>
      <c r="B1523" s="221"/>
      <c r="C1523" s="221" t="s">
        <v>49</v>
      </c>
      <c r="D1523" s="221" t="s">
        <v>4058</v>
      </c>
      <c r="E1523" s="221" t="s">
        <v>3295</v>
      </c>
      <c r="F1523" s="221" t="s">
        <v>3299</v>
      </c>
      <c r="G1523" s="222">
        <v>45435</v>
      </c>
      <c r="H1523" s="223">
        <v>0.47361111111111115</v>
      </c>
      <c r="I1523" s="221" t="s">
        <v>4916</v>
      </c>
      <c r="J1523" s="221" t="s">
        <v>3023</v>
      </c>
      <c r="K1523" s="224" t="s">
        <v>13</v>
      </c>
      <c r="L1523" s="225" t="str">
        <f>VLOOKUP(Logfile_S[[#This Row],[Material Name]],Sheet2!B:C,2,0)</f>
        <v>ZTE2008</v>
      </c>
      <c r="M1523" s="225" t="str">
        <f>_xlfn.XLOOKUP(Logfile_S[[#This Row],[Material Name]],Sum_WH!E:E,Sum_WH!F:F,"",0)</f>
        <v>Pcs</v>
      </c>
      <c r="N1523" s="221">
        <v>10</v>
      </c>
      <c r="O1523" s="221" t="s">
        <v>1405</v>
      </c>
      <c r="P1523" s="221" t="s">
        <v>1406</v>
      </c>
      <c r="Q1523" s="221"/>
      <c r="R1523" s="221"/>
      <c r="S1523" s="221"/>
      <c r="T1523" s="221" t="s">
        <v>3231</v>
      </c>
      <c r="U1523" s="221">
        <v>0</v>
      </c>
      <c r="V1523" s="221" t="s">
        <v>3232</v>
      </c>
      <c r="W1523" s="221" t="s">
        <v>3246</v>
      </c>
      <c r="X1523" s="221"/>
      <c r="Y1523" s="227"/>
      <c r="Z1523" s="227" t="str">
        <f>P1523</f>
        <v>Lawang RW 06 Malang</v>
      </c>
      <c r="AA1523" s="276" t="e">
        <f>VLOOKUP(Logfile_S[[#This Row],[DO number]],DO_DB!G:I,3,0)</f>
        <v>#N/A</v>
      </c>
      <c r="AB1523" s="331" t="e">
        <f>EXACT(Logfile_S[[#This Row],[date pick]],Logfile_S[[#This Row],[Date]])</f>
        <v>#N/A</v>
      </c>
      <c r="AC15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24" spans="1:29" ht="14.5">
      <c r="A1524" s="220" t="str">
        <f>TEXT(ROW(A1524)-ROW($A$4),"000")</f>
        <v>1520</v>
      </c>
      <c r="B1524" s="221"/>
      <c r="C1524" s="221" t="s">
        <v>49</v>
      </c>
      <c r="D1524" s="221" t="s">
        <v>4058</v>
      </c>
      <c r="E1524" s="221" t="s">
        <v>3295</v>
      </c>
      <c r="F1524" s="221" t="s">
        <v>3299</v>
      </c>
      <c r="G1524" s="222">
        <v>45435</v>
      </c>
      <c r="H1524" s="223">
        <v>0.47361111111111115</v>
      </c>
      <c r="I1524" s="221" t="s">
        <v>4916</v>
      </c>
      <c r="J1524" s="221" t="s">
        <v>3023</v>
      </c>
      <c r="K1524" s="224" t="s">
        <v>14</v>
      </c>
      <c r="L1524" s="225" t="str">
        <f>VLOOKUP(Logfile_S[[#This Row],[Material Name]],Sheet2!B:C,2,0)</f>
        <v>ZTE2005</v>
      </c>
      <c r="M1524" s="225" t="str">
        <f>_xlfn.XLOOKUP(Logfile_S[[#This Row],[Material Name]],Sum_WH!E:E,Sum_WH!F:F,"",0)</f>
        <v>Pcs</v>
      </c>
      <c r="N1524" s="221">
        <v>1</v>
      </c>
      <c r="O1524" s="221" t="s">
        <v>1405</v>
      </c>
      <c r="P1524" s="221" t="s">
        <v>1406</v>
      </c>
      <c r="Q1524" s="221"/>
      <c r="R1524" s="221"/>
      <c r="S1524" s="221"/>
      <c r="T1524" s="221" t="s">
        <v>3231</v>
      </c>
      <c r="U1524" s="221">
        <v>0</v>
      </c>
      <c r="V1524" s="221" t="s">
        <v>3232</v>
      </c>
      <c r="W1524" s="221" t="s">
        <v>3246</v>
      </c>
      <c r="X1524" s="221"/>
      <c r="Y1524" s="227"/>
      <c r="Z1524" s="227" t="str">
        <f>P1524</f>
        <v>Lawang RW 06 Malang</v>
      </c>
      <c r="AA1524" s="276" t="e">
        <f>VLOOKUP(Logfile_S[[#This Row],[DO number]],DO_DB!G:I,3,0)</f>
        <v>#N/A</v>
      </c>
      <c r="AB1524" s="331" t="e">
        <f>EXACT(Logfile_S[[#This Row],[date pick]],Logfile_S[[#This Row],[Date]])</f>
        <v>#N/A</v>
      </c>
      <c r="AC15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25" spans="1:29" ht="14.5">
      <c r="A1525" s="220" t="str">
        <f>TEXT(ROW(A1525)-ROW($A$4),"000")</f>
        <v>1521</v>
      </c>
      <c r="B1525" s="221"/>
      <c r="C1525" s="221" t="s">
        <v>49</v>
      </c>
      <c r="D1525" s="221" t="s">
        <v>4058</v>
      </c>
      <c r="E1525" s="221" t="s">
        <v>3295</v>
      </c>
      <c r="F1525" s="221" t="s">
        <v>3299</v>
      </c>
      <c r="G1525" s="222">
        <v>45435</v>
      </c>
      <c r="H1525" s="223">
        <v>0.47361111111111115</v>
      </c>
      <c r="I1525" s="221" t="s">
        <v>4916</v>
      </c>
      <c r="J1525" s="221" t="s">
        <v>3023</v>
      </c>
      <c r="K1525" s="224" t="s">
        <v>3072</v>
      </c>
      <c r="L1525" s="225" t="str">
        <f>VLOOKUP(Logfile_S[[#This Row],[Material Name]],Sheet2!B:C,2,0)</f>
        <v>ZTE1004</v>
      </c>
      <c r="M1525" s="225" t="str">
        <f>_xlfn.XLOOKUP(Logfile_S[[#This Row],[Material Name]],Sum_WH!E:E,Sum_WH!F:F,"",0)</f>
        <v>Pcs</v>
      </c>
      <c r="N1525" s="221">
        <v>1</v>
      </c>
      <c r="O1525" s="221" t="s">
        <v>1405</v>
      </c>
      <c r="P1525" s="221" t="s">
        <v>1406</v>
      </c>
      <c r="Q1525" s="221"/>
      <c r="R1525" s="221"/>
      <c r="S1525" s="221"/>
      <c r="T1525" s="221" t="s">
        <v>3231</v>
      </c>
      <c r="U1525" s="221">
        <v>0</v>
      </c>
      <c r="V1525" s="221" t="s">
        <v>3232</v>
      </c>
      <c r="W1525" s="221" t="s">
        <v>3246</v>
      </c>
      <c r="X1525" s="221"/>
      <c r="Y1525" s="227"/>
      <c r="Z1525" s="227" t="str">
        <f>P1525</f>
        <v>Lawang RW 06 Malang</v>
      </c>
      <c r="AA1525" s="276" t="e">
        <f>VLOOKUP(Logfile_S[[#This Row],[DO number]],DO_DB!G:I,3,0)</f>
        <v>#N/A</v>
      </c>
      <c r="AB1525" s="331" t="e">
        <f>EXACT(Logfile_S[[#This Row],[date pick]],Logfile_S[[#This Row],[Date]])</f>
        <v>#N/A</v>
      </c>
      <c r="AC15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26" spans="1:29" ht="14.5">
      <c r="A1526" s="220" t="str">
        <f>TEXT(ROW(A1526)-ROW($A$4),"000")</f>
        <v>1522</v>
      </c>
      <c r="B1526" s="221"/>
      <c r="C1526" s="221" t="s">
        <v>49</v>
      </c>
      <c r="D1526" s="221" t="s">
        <v>4014</v>
      </c>
      <c r="E1526" s="221" t="s">
        <v>3295</v>
      </c>
      <c r="F1526" s="221" t="s">
        <v>3299</v>
      </c>
      <c r="G1526" s="222">
        <v>45402</v>
      </c>
      <c r="H1526" s="223">
        <v>0.52986111111111112</v>
      </c>
      <c r="I1526" s="221" t="s">
        <v>4916</v>
      </c>
      <c r="J1526" s="221" t="s">
        <v>3023</v>
      </c>
      <c r="K1526" s="224" t="s">
        <v>3069</v>
      </c>
      <c r="L1526" s="225" t="str">
        <f>VLOOKUP(Logfile_S[[#This Row],[Material Name]],Sheet2!B:C,2,0)</f>
        <v>ZTE1001</v>
      </c>
      <c r="M1526" s="225" t="str">
        <f>_xlfn.XLOOKUP(Logfile_S[[#This Row],[Material Name]],Sum_WH!E:E,Sum_WH!F:F,"",0)</f>
        <v>Pcs</v>
      </c>
      <c r="N1526" s="221">
        <v>25</v>
      </c>
      <c r="O1526" s="221" t="s">
        <v>1291</v>
      </c>
      <c r="P1526" s="221" t="s">
        <v>1292</v>
      </c>
      <c r="Q1526" s="221"/>
      <c r="R1526" s="221"/>
      <c r="S1526" s="221"/>
      <c r="T1526" s="221" t="s">
        <v>3258</v>
      </c>
      <c r="U1526" s="221" t="s">
        <v>3228</v>
      </c>
      <c r="V1526" s="221" t="s">
        <v>3337</v>
      </c>
      <c r="W1526" s="221" t="s">
        <v>3338</v>
      </c>
      <c r="X1526" s="221"/>
      <c r="Y1526" s="227"/>
      <c r="Z1526" s="227" t="str">
        <f>P1526</f>
        <v>Pandanlandung RW 02 Wagir</v>
      </c>
      <c r="AA1526" s="276" t="e">
        <f>VLOOKUP(Logfile_S[[#This Row],[DO number]],DO_DB!G:I,3,0)</f>
        <v>#N/A</v>
      </c>
      <c r="AB1526" s="331" t="e">
        <f>EXACT(Logfile_S[[#This Row],[date pick]],Logfile_S[[#This Row],[Date]])</f>
        <v>#N/A</v>
      </c>
      <c r="AC15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27" spans="1:29" ht="14.5">
      <c r="A1527" s="220" t="str">
        <f>TEXT(ROW(A1527)-ROW($A$4),"000")</f>
        <v>1523</v>
      </c>
      <c r="B1527" s="221"/>
      <c r="C1527" s="221" t="s">
        <v>49</v>
      </c>
      <c r="D1527" s="221" t="s">
        <v>4015</v>
      </c>
      <c r="E1527" s="221" t="s">
        <v>3295</v>
      </c>
      <c r="F1527" s="221" t="s">
        <v>3299</v>
      </c>
      <c r="G1527" s="222">
        <v>45404</v>
      </c>
      <c r="H1527" s="223">
        <v>0.40902777777777777</v>
      </c>
      <c r="I1527" s="221" t="s">
        <v>4916</v>
      </c>
      <c r="J1527" s="221" t="s">
        <v>3023</v>
      </c>
      <c r="K1527" s="224" t="s">
        <v>3069</v>
      </c>
      <c r="L1527" s="225" t="str">
        <f>VLOOKUP(Logfile_S[[#This Row],[Material Name]],Sheet2!B:C,2,0)</f>
        <v>ZTE1001</v>
      </c>
      <c r="M1527" s="225" t="str">
        <f>_xlfn.XLOOKUP(Logfile_S[[#This Row],[Material Name]],Sum_WH!E:E,Sum_WH!F:F,"",0)</f>
        <v>Pcs</v>
      </c>
      <c r="N1527" s="221">
        <v>13</v>
      </c>
      <c r="O1527" s="221" t="s">
        <v>1401</v>
      </c>
      <c r="P1527" s="221" t="s">
        <v>3371</v>
      </c>
      <c r="Q1527" s="221"/>
      <c r="R1527" s="221"/>
      <c r="S1527" s="221"/>
      <c r="T1527" s="221" t="s">
        <v>3363</v>
      </c>
      <c r="U1527" s="221" t="s">
        <v>3228</v>
      </c>
      <c r="V1527" s="221" t="s">
        <v>3364</v>
      </c>
      <c r="W1527" s="221" t="s">
        <v>3372</v>
      </c>
      <c r="X1527" s="221"/>
      <c r="Y1527" s="227"/>
      <c r="Z1527" s="227" t="str">
        <f>P1527</f>
        <v>Lowokwaru RW14</v>
      </c>
      <c r="AA1527" s="276" t="e">
        <f>VLOOKUP(Logfile_S[[#This Row],[DO number]],DO_DB!G:I,3,0)</f>
        <v>#N/A</v>
      </c>
      <c r="AB1527" s="331" t="e">
        <f>EXACT(Logfile_S[[#This Row],[date pick]],Logfile_S[[#This Row],[Date]])</f>
        <v>#N/A</v>
      </c>
      <c r="AC15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28" spans="1:29" ht="14.5">
      <c r="A1528" s="220" t="str">
        <f>TEXT(ROW(A1528)-ROW($A$4),"000")</f>
        <v>1524</v>
      </c>
      <c r="B1528" s="221"/>
      <c r="C1528" s="221" t="s">
        <v>49</v>
      </c>
      <c r="D1528" s="221" t="s">
        <v>4021</v>
      </c>
      <c r="E1528" s="221" t="s">
        <v>3295</v>
      </c>
      <c r="F1528" s="221" t="s">
        <v>3299</v>
      </c>
      <c r="G1528" s="222">
        <v>45405</v>
      </c>
      <c r="H1528" s="223">
        <v>0.3756944444444445</v>
      </c>
      <c r="I1528" s="221" t="s">
        <v>4916</v>
      </c>
      <c r="J1528" s="221" t="s">
        <v>3024</v>
      </c>
      <c r="K1528" s="224" t="s">
        <v>3087</v>
      </c>
      <c r="L1528" s="225" t="str">
        <f>VLOOKUP(Logfile_S[[#This Row],[Material Name]],Sheet2!B:C,2,0)</f>
        <v>GCI1001</v>
      </c>
      <c r="M1528" s="225" t="str">
        <f>_xlfn.XLOOKUP(Logfile_S[[#This Row],[Material Name]],Sum_WH!E:E,Sum_WH!F:F,"",0)</f>
        <v>Pcs</v>
      </c>
      <c r="N1528" s="221">
        <v>2</v>
      </c>
      <c r="O1528" s="221" t="s">
        <v>1401</v>
      </c>
      <c r="P1528" s="221" t="s">
        <v>3371</v>
      </c>
      <c r="Q1528" s="221"/>
      <c r="R1528" s="221"/>
      <c r="S1528" s="221"/>
      <c r="T1528" s="221" t="s">
        <v>3363</v>
      </c>
      <c r="U1528" s="221" t="s">
        <v>3228</v>
      </c>
      <c r="V1528" s="221" t="s">
        <v>3364</v>
      </c>
      <c r="W1528" s="221" t="s">
        <v>3372</v>
      </c>
      <c r="X1528" s="221"/>
      <c r="Y1528" s="227"/>
      <c r="Z1528" s="227" t="str">
        <f>P1528</f>
        <v>Lowokwaru RW14</v>
      </c>
      <c r="AA1528" s="276" t="e">
        <f>VLOOKUP(Logfile_S[[#This Row],[DO number]],DO_DB!G:I,3,0)</f>
        <v>#N/A</v>
      </c>
      <c r="AB1528" s="331" t="e">
        <f>EXACT(Logfile_S[[#This Row],[date pick]],Logfile_S[[#This Row],[Date]])</f>
        <v>#N/A</v>
      </c>
      <c r="AC15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29" spans="1:29" ht="14.5">
      <c r="A1529" s="220" t="str">
        <f>TEXT(ROW(A1529)-ROW($A$4),"000")</f>
        <v>1525</v>
      </c>
      <c r="B1529" s="221"/>
      <c r="C1529" s="221" t="s">
        <v>49</v>
      </c>
      <c r="D1529" s="221" t="s">
        <v>4021</v>
      </c>
      <c r="E1529" s="221" t="s">
        <v>3295</v>
      </c>
      <c r="F1529" s="221" t="s">
        <v>3299</v>
      </c>
      <c r="G1529" s="222">
        <v>45405</v>
      </c>
      <c r="H1529" s="223">
        <v>0.3756944444444445</v>
      </c>
      <c r="I1529" s="221" t="s">
        <v>4916</v>
      </c>
      <c r="J1529" s="221" t="s">
        <v>3024</v>
      </c>
      <c r="K1529" s="224" t="s">
        <v>5137</v>
      </c>
      <c r="L1529" s="225" t="str">
        <f>VLOOKUP(Logfile_S[[#This Row],[Material Name]],Sheet2!B:C,2,0)</f>
        <v>GCI1009</v>
      </c>
      <c r="M1529" s="225" t="str">
        <f>_xlfn.XLOOKUP(Logfile_S[[#This Row],[Material Name]],Sum_WH!E:E,Sum_WH!F:F,"",0)</f>
        <v>Pcs</v>
      </c>
      <c r="N1529" s="221">
        <v>30</v>
      </c>
      <c r="O1529" s="221" t="s">
        <v>1401</v>
      </c>
      <c r="P1529" s="221" t="s">
        <v>3371</v>
      </c>
      <c r="Q1529" s="221"/>
      <c r="R1529" s="221"/>
      <c r="S1529" s="221"/>
      <c r="T1529" s="221" t="s">
        <v>3363</v>
      </c>
      <c r="U1529" s="221" t="s">
        <v>3228</v>
      </c>
      <c r="V1529" s="221" t="s">
        <v>3364</v>
      </c>
      <c r="W1529" s="221" t="s">
        <v>3372</v>
      </c>
      <c r="X1529" s="221"/>
      <c r="Y1529" s="227"/>
      <c r="Z1529" s="227" t="str">
        <f>P1529</f>
        <v>Lowokwaru RW14</v>
      </c>
      <c r="AA1529" s="276" t="e">
        <f>VLOOKUP(Logfile_S[[#This Row],[DO number]],DO_DB!G:I,3,0)</f>
        <v>#N/A</v>
      </c>
      <c r="AB1529" s="331" t="e">
        <f>EXACT(Logfile_S[[#This Row],[date pick]],Logfile_S[[#This Row],[Date]])</f>
        <v>#N/A</v>
      </c>
      <c r="AC15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30" spans="1:29" ht="14.5">
      <c r="A1530" s="220" t="str">
        <f>TEXT(ROW(A1530)-ROW($A$4),"000")</f>
        <v>1526</v>
      </c>
      <c r="B1530" s="221"/>
      <c r="C1530" s="221" t="s">
        <v>49</v>
      </c>
      <c r="D1530" s="221" t="s">
        <v>4021</v>
      </c>
      <c r="E1530" s="221" t="s">
        <v>3295</v>
      </c>
      <c r="F1530" s="221" t="s">
        <v>3299</v>
      </c>
      <c r="G1530" s="222">
        <v>45405</v>
      </c>
      <c r="H1530" s="223">
        <v>0.3756944444444445</v>
      </c>
      <c r="I1530" s="221" t="s">
        <v>4916</v>
      </c>
      <c r="J1530" s="221" t="s">
        <v>3023</v>
      </c>
      <c r="K1530" s="224" t="s">
        <v>3070</v>
      </c>
      <c r="L1530" s="225" t="str">
        <f>VLOOKUP(Logfile_S[[#This Row],[Material Name]],Sheet2!B:C,2,0)</f>
        <v>ZTE1002</v>
      </c>
      <c r="M1530" s="225" t="str">
        <f>_xlfn.XLOOKUP(Logfile_S[[#This Row],[Material Name]],Sum_WH!E:E,Sum_WH!F:F,"",0)</f>
        <v>Pcs</v>
      </c>
      <c r="N1530" s="221">
        <v>3</v>
      </c>
      <c r="O1530" s="221" t="s">
        <v>1401</v>
      </c>
      <c r="P1530" s="221" t="s">
        <v>3371</v>
      </c>
      <c r="Q1530" s="221"/>
      <c r="R1530" s="221"/>
      <c r="S1530" s="221"/>
      <c r="T1530" s="221" t="s">
        <v>3363</v>
      </c>
      <c r="U1530" s="221" t="s">
        <v>3228</v>
      </c>
      <c r="V1530" s="221" t="s">
        <v>3364</v>
      </c>
      <c r="W1530" s="221" t="s">
        <v>3372</v>
      </c>
      <c r="X1530" s="221"/>
      <c r="Y1530" s="227"/>
      <c r="Z1530" s="227" t="str">
        <f>P1530</f>
        <v>Lowokwaru RW14</v>
      </c>
      <c r="AA1530" s="276" t="e">
        <f>VLOOKUP(Logfile_S[[#This Row],[DO number]],DO_DB!G:I,3,0)</f>
        <v>#N/A</v>
      </c>
      <c r="AB1530" s="331" t="e">
        <f>EXACT(Logfile_S[[#This Row],[date pick]],Logfile_S[[#This Row],[Date]])</f>
        <v>#N/A</v>
      </c>
      <c r="AC15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31" spans="1:29" ht="14.5">
      <c r="A1531" s="220" t="str">
        <f>TEXT(ROW(A1531)-ROW($A$4),"000")</f>
        <v>1527</v>
      </c>
      <c r="B1531" s="221"/>
      <c r="C1531" s="221" t="s">
        <v>49</v>
      </c>
      <c r="D1531" s="221" t="s">
        <v>4021</v>
      </c>
      <c r="E1531" s="221" t="s">
        <v>3295</v>
      </c>
      <c r="F1531" s="221" t="s">
        <v>3299</v>
      </c>
      <c r="G1531" s="222">
        <v>45405</v>
      </c>
      <c r="H1531" s="223">
        <v>0.3756944444444445</v>
      </c>
      <c r="I1531" s="221" t="s">
        <v>4916</v>
      </c>
      <c r="J1531" s="221" t="s">
        <v>3023</v>
      </c>
      <c r="K1531" s="224" t="s">
        <v>3069</v>
      </c>
      <c r="L1531" s="225" t="str">
        <f>VLOOKUP(Logfile_S[[#This Row],[Material Name]],Sheet2!B:C,2,0)</f>
        <v>ZTE1001</v>
      </c>
      <c r="M1531" s="225" t="str">
        <f>_xlfn.XLOOKUP(Logfile_S[[#This Row],[Material Name]],Sum_WH!E:E,Sum_WH!F:F,"",0)</f>
        <v>Pcs</v>
      </c>
      <c r="N1531" s="221">
        <v>6</v>
      </c>
      <c r="O1531" s="221" t="s">
        <v>1401</v>
      </c>
      <c r="P1531" s="221" t="s">
        <v>3371</v>
      </c>
      <c r="Q1531" s="221"/>
      <c r="R1531" s="221"/>
      <c r="S1531" s="221"/>
      <c r="T1531" s="221" t="s">
        <v>3363</v>
      </c>
      <c r="U1531" s="221" t="s">
        <v>3228</v>
      </c>
      <c r="V1531" s="221" t="s">
        <v>3364</v>
      </c>
      <c r="W1531" s="221" t="s">
        <v>3372</v>
      </c>
      <c r="X1531" s="221"/>
      <c r="Y1531" s="227"/>
      <c r="Z1531" s="227" t="str">
        <f>P1531</f>
        <v>Lowokwaru RW14</v>
      </c>
      <c r="AA1531" s="276" t="e">
        <f>VLOOKUP(Logfile_S[[#This Row],[DO number]],DO_DB!G:I,3,0)</f>
        <v>#N/A</v>
      </c>
      <c r="AB1531" s="331" t="e">
        <f>EXACT(Logfile_S[[#This Row],[date pick]],Logfile_S[[#This Row],[Date]])</f>
        <v>#N/A</v>
      </c>
      <c r="AC15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32" spans="1:29" ht="14.5">
      <c r="A1532" s="220" t="str">
        <f>TEXT(ROW(A1532)-ROW($A$4),"000")</f>
        <v>1528</v>
      </c>
      <c r="B1532" s="221"/>
      <c r="C1532" s="221" t="s">
        <v>49</v>
      </c>
      <c r="D1532" s="221" t="s">
        <v>4021</v>
      </c>
      <c r="E1532" s="221" t="s">
        <v>3295</v>
      </c>
      <c r="F1532" s="221" t="s">
        <v>3299</v>
      </c>
      <c r="G1532" s="222">
        <v>45405</v>
      </c>
      <c r="H1532" s="223">
        <v>0.3756944444444445</v>
      </c>
      <c r="I1532" s="221" t="s">
        <v>4916</v>
      </c>
      <c r="J1532" s="221" t="s">
        <v>3024</v>
      </c>
      <c r="K1532" s="224" t="s">
        <v>3094</v>
      </c>
      <c r="L1532" s="225" t="str">
        <f>VLOOKUP(Logfile_S[[#This Row],[Material Name]],Sheet2!B:C,2,0)</f>
        <v>GCI1008</v>
      </c>
      <c r="M1532" s="225" t="str">
        <f>_xlfn.XLOOKUP(Logfile_S[[#This Row],[Material Name]],Sum_WH!E:E,Sum_WH!F:F,"",0)</f>
        <v>Pcs</v>
      </c>
      <c r="N1532" s="221">
        <v>28</v>
      </c>
      <c r="O1532" s="221" t="s">
        <v>1401</v>
      </c>
      <c r="P1532" s="221" t="s">
        <v>3371</v>
      </c>
      <c r="Q1532" s="221"/>
      <c r="R1532" s="221"/>
      <c r="S1532" s="221"/>
      <c r="T1532" s="221" t="s">
        <v>3363</v>
      </c>
      <c r="U1532" s="221" t="s">
        <v>3228</v>
      </c>
      <c r="V1532" s="221" t="s">
        <v>3364</v>
      </c>
      <c r="W1532" s="221" t="s">
        <v>3372</v>
      </c>
      <c r="X1532" s="221"/>
      <c r="Y1532" s="227"/>
      <c r="Z1532" s="227" t="str">
        <f>P1532</f>
        <v>Lowokwaru RW14</v>
      </c>
      <c r="AA1532" s="276" t="e">
        <f>VLOOKUP(Logfile_S[[#This Row],[DO number]],DO_DB!G:I,3,0)</f>
        <v>#N/A</v>
      </c>
      <c r="AB1532" s="331" t="e">
        <f>EXACT(Logfile_S[[#This Row],[date pick]],Logfile_S[[#This Row],[Date]])</f>
        <v>#N/A</v>
      </c>
      <c r="AC15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33" spans="1:29" ht="14.5">
      <c r="A1533" s="220" t="str">
        <f>TEXT(ROW(A1533)-ROW($A$4),"000")</f>
        <v>1529</v>
      </c>
      <c r="B1533" s="221"/>
      <c r="C1533" s="221" t="s">
        <v>49</v>
      </c>
      <c r="D1533" s="221" t="s">
        <v>4021</v>
      </c>
      <c r="E1533" s="221" t="s">
        <v>3295</v>
      </c>
      <c r="F1533" s="221" t="s">
        <v>3299</v>
      </c>
      <c r="G1533" s="222">
        <v>45405</v>
      </c>
      <c r="H1533" s="223">
        <v>0.3756944444444445</v>
      </c>
      <c r="I1533" s="221" t="s">
        <v>4916</v>
      </c>
      <c r="J1533" s="221" t="s">
        <v>3024</v>
      </c>
      <c r="K1533" s="224" t="s">
        <v>3090</v>
      </c>
      <c r="L1533" s="225" t="str">
        <f>VLOOKUP(Logfile_S[[#This Row],[Material Name]],Sheet2!B:C,2,0)</f>
        <v>GCI1004</v>
      </c>
      <c r="M1533" s="225" t="str">
        <f>_xlfn.XLOOKUP(Logfile_S[[#This Row],[Material Name]],Sum_WH!E:E,Sum_WH!F:F,"",0)</f>
        <v>Pcs</v>
      </c>
      <c r="N1533" s="221">
        <v>10</v>
      </c>
      <c r="O1533" s="221" t="s">
        <v>1401</v>
      </c>
      <c r="P1533" s="221" t="s">
        <v>3371</v>
      </c>
      <c r="Q1533" s="221"/>
      <c r="R1533" s="221"/>
      <c r="S1533" s="221"/>
      <c r="T1533" s="221" t="s">
        <v>3363</v>
      </c>
      <c r="U1533" s="221" t="s">
        <v>3228</v>
      </c>
      <c r="V1533" s="221" t="s">
        <v>3364</v>
      </c>
      <c r="W1533" s="221" t="s">
        <v>3372</v>
      </c>
      <c r="X1533" s="221"/>
      <c r="Y1533" s="227"/>
      <c r="Z1533" s="227" t="str">
        <f>P1533</f>
        <v>Lowokwaru RW14</v>
      </c>
      <c r="AA1533" s="276" t="e">
        <f>VLOOKUP(Logfile_S[[#This Row],[DO number]],DO_DB!G:I,3,0)</f>
        <v>#N/A</v>
      </c>
      <c r="AB1533" s="331" t="e">
        <f>EXACT(Logfile_S[[#This Row],[date pick]],Logfile_S[[#This Row],[Date]])</f>
        <v>#N/A</v>
      </c>
      <c r="AC15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34" spans="1:29" ht="14.5">
      <c r="A1534" s="220" t="str">
        <f>TEXT(ROW(A1534)-ROW($A$4),"000")</f>
        <v>1530</v>
      </c>
      <c r="B1534" s="221"/>
      <c r="C1534" s="221" t="s">
        <v>49</v>
      </c>
      <c r="D1534" s="221" t="s">
        <v>4031</v>
      </c>
      <c r="E1534" s="221" t="s">
        <v>3295</v>
      </c>
      <c r="F1534" s="221" t="s">
        <v>3299</v>
      </c>
      <c r="G1534" s="222">
        <v>45412</v>
      </c>
      <c r="H1534" s="223">
        <v>0.42708333333333331</v>
      </c>
      <c r="I1534" s="221" t="s">
        <v>4916</v>
      </c>
      <c r="J1534" s="221" t="s">
        <v>3024</v>
      </c>
      <c r="K1534" s="224" t="s">
        <v>3091</v>
      </c>
      <c r="L1534" s="225" t="str">
        <f>VLOOKUP(Logfile_S[[#This Row],[Material Name]],Sheet2!B:C,2,0)</f>
        <v>GCI1005</v>
      </c>
      <c r="M1534" s="225" t="str">
        <f>_xlfn.XLOOKUP(Logfile_S[[#This Row],[Material Name]],Sum_WH!E:E,Sum_WH!F:F,"",0)</f>
        <v>Pcs</v>
      </c>
      <c r="N1534" s="221">
        <v>30</v>
      </c>
      <c r="O1534" s="221" t="s">
        <v>1401</v>
      </c>
      <c r="P1534" s="221" t="s">
        <v>3371</v>
      </c>
      <c r="Q1534" s="221"/>
      <c r="R1534" s="221"/>
      <c r="S1534" s="221"/>
      <c r="T1534" s="221" t="s">
        <v>3363</v>
      </c>
      <c r="U1534" s="221" t="s">
        <v>3228</v>
      </c>
      <c r="V1534" s="221" t="s">
        <v>3364</v>
      </c>
      <c r="W1534" s="221" t="s">
        <v>3372</v>
      </c>
      <c r="X1534" s="221"/>
      <c r="Y1534" s="227"/>
      <c r="Z1534" s="227" t="str">
        <f>P1534</f>
        <v>Lowokwaru RW14</v>
      </c>
      <c r="AA1534" s="276" t="e">
        <f>VLOOKUP(Logfile_S[[#This Row],[DO number]],DO_DB!G:I,3,0)</f>
        <v>#N/A</v>
      </c>
      <c r="AB1534" s="331" t="e">
        <f>EXACT(Logfile_S[[#This Row],[date pick]],Logfile_S[[#This Row],[Date]])</f>
        <v>#N/A</v>
      </c>
      <c r="AC15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35" spans="1:29" ht="14.5">
      <c r="A1535" s="220" t="str">
        <f>TEXT(ROW(A1535)-ROW($A$4),"000")</f>
        <v>1531</v>
      </c>
      <c r="B1535" s="221"/>
      <c r="C1535" s="221" t="s">
        <v>49</v>
      </c>
      <c r="D1535" s="221" t="s">
        <v>4031</v>
      </c>
      <c r="E1535" s="221" t="s">
        <v>3295</v>
      </c>
      <c r="F1535" s="221" t="s">
        <v>3299</v>
      </c>
      <c r="G1535" s="222">
        <v>45412</v>
      </c>
      <c r="H1535" s="223">
        <v>0.42708333333333331</v>
      </c>
      <c r="I1535" s="221" t="s">
        <v>4916</v>
      </c>
      <c r="J1535" s="221" t="s">
        <v>3024</v>
      </c>
      <c r="K1535" s="224" t="s">
        <v>3087</v>
      </c>
      <c r="L1535" s="225" t="str">
        <f>VLOOKUP(Logfile_S[[#This Row],[Material Name]],Sheet2!B:C,2,0)</f>
        <v>GCI1001</v>
      </c>
      <c r="M1535" s="225" t="str">
        <f>_xlfn.XLOOKUP(Logfile_S[[#This Row],[Material Name]],Sum_WH!E:E,Sum_WH!F:F,"",0)</f>
        <v>Pcs</v>
      </c>
      <c r="N1535" s="221">
        <v>10</v>
      </c>
      <c r="O1535" s="221" t="s">
        <v>1401</v>
      </c>
      <c r="P1535" s="221" t="s">
        <v>3371</v>
      </c>
      <c r="Q1535" s="221"/>
      <c r="R1535" s="221"/>
      <c r="S1535" s="221"/>
      <c r="T1535" s="221" t="s">
        <v>3363</v>
      </c>
      <c r="U1535" s="221" t="s">
        <v>3228</v>
      </c>
      <c r="V1535" s="221" t="s">
        <v>3364</v>
      </c>
      <c r="W1535" s="221" t="s">
        <v>3372</v>
      </c>
      <c r="X1535" s="221"/>
      <c r="Y1535" s="227"/>
      <c r="Z1535" s="227" t="str">
        <f>P1535</f>
        <v>Lowokwaru RW14</v>
      </c>
      <c r="AA1535" s="276" t="e">
        <f>VLOOKUP(Logfile_S[[#This Row],[DO number]],DO_DB!G:I,3,0)</f>
        <v>#N/A</v>
      </c>
      <c r="AB1535" s="331" t="e">
        <f>EXACT(Logfile_S[[#This Row],[date pick]],Logfile_S[[#This Row],[Date]])</f>
        <v>#N/A</v>
      </c>
      <c r="AC15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36" spans="1:29" ht="14.5">
      <c r="A1536" s="220" t="str">
        <f>TEXT(ROW(A1536)-ROW($A$4),"000")</f>
        <v>1532</v>
      </c>
      <c r="B1536" s="221"/>
      <c r="C1536" s="221" t="s">
        <v>49</v>
      </c>
      <c r="D1536" s="221" t="s">
        <v>4031</v>
      </c>
      <c r="E1536" s="221" t="s">
        <v>3295</v>
      </c>
      <c r="F1536" s="221" t="s">
        <v>3299</v>
      </c>
      <c r="G1536" s="222">
        <v>45412</v>
      </c>
      <c r="H1536" s="223">
        <v>0.42708333333333331</v>
      </c>
      <c r="I1536" s="221" t="s">
        <v>4916</v>
      </c>
      <c r="J1536" s="221" t="s">
        <v>3024</v>
      </c>
      <c r="K1536" s="224" t="s">
        <v>5137</v>
      </c>
      <c r="L1536" s="225" t="str">
        <f>VLOOKUP(Logfile_S[[#This Row],[Material Name]],Sheet2!B:C,2,0)</f>
        <v>GCI1009</v>
      </c>
      <c r="M1536" s="225" t="str">
        <f>_xlfn.XLOOKUP(Logfile_S[[#This Row],[Material Name]],Sum_WH!E:E,Sum_WH!F:F,"",0)</f>
        <v>Pcs</v>
      </c>
      <c r="N1536" s="221">
        <v>30</v>
      </c>
      <c r="O1536" s="221" t="s">
        <v>1401</v>
      </c>
      <c r="P1536" s="221" t="s">
        <v>3371</v>
      </c>
      <c r="Q1536" s="221"/>
      <c r="R1536" s="221"/>
      <c r="S1536" s="221"/>
      <c r="T1536" s="221" t="s">
        <v>3363</v>
      </c>
      <c r="U1536" s="221" t="s">
        <v>3228</v>
      </c>
      <c r="V1536" s="221" t="s">
        <v>3364</v>
      </c>
      <c r="W1536" s="221" t="s">
        <v>3372</v>
      </c>
      <c r="X1536" s="221"/>
      <c r="Y1536" s="227"/>
      <c r="Z1536" s="227" t="str">
        <f>P1536</f>
        <v>Lowokwaru RW14</v>
      </c>
      <c r="AA1536" s="276" t="e">
        <f>VLOOKUP(Logfile_S[[#This Row],[DO number]],DO_DB!G:I,3,0)</f>
        <v>#N/A</v>
      </c>
      <c r="AB1536" s="331" t="e">
        <f>EXACT(Logfile_S[[#This Row],[date pick]],Logfile_S[[#This Row],[Date]])</f>
        <v>#N/A</v>
      </c>
      <c r="AC15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37" spans="1:29" ht="14.5">
      <c r="A1537" s="220" t="str">
        <f>TEXT(ROW(A1537)-ROW($A$4),"000")</f>
        <v>1533</v>
      </c>
      <c r="B1537" s="221"/>
      <c r="C1537" s="221" t="s">
        <v>49</v>
      </c>
      <c r="D1537" s="221" t="s">
        <v>4031</v>
      </c>
      <c r="E1537" s="221" t="s">
        <v>3295</v>
      </c>
      <c r="F1537" s="221" t="s">
        <v>3299</v>
      </c>
      <c r="G1537" s="222">
        <v>45412</v>
      </c>
      <c r="H1537" s="223">
        <v>0.42708333333333331</v>
      </c>
      <c r="I1537" s="221" t="s">
        <v>4916</v>
      </c>
      <c r="J1537" s="221" t="s">
        <v>3024</v>
      </c>
      <c r="K1537" s="224" t="s">
        <v>3094</v>
      </c>
      <c r="L1537" s="225" t="str">
        <f>VLOOKUP(Logfile_S[[#This Row],[Material Name]],Sheet2!B:C,2,0)</f>
        <v>GCI1008</v>
      </c>
      <c r="M1537" s="225" t="str">
        <f>_xlfn.XLOOKUP(Logfile_S[[#This Row],[Material Name]],Sum_WH!E:E,Sum_WH!F:F,"",0)</f>
        <v>Pcs</v>
      </c>
      <c r="N1537" s="221">
        <v>56</v>
      </c>
      <c r="O1537" s="221" t="s">
        <v>1401</v>
      </c>
      <c r="P1537" s="221" t="s">
        <v>3371</v>
      </c>
      <c r="Q1537" s="221"/>
      <c r="R1537" s="221"/>
      <c r="S1537" s="221"/>
      <c r="T1537" s="221" t="s">
        <v>3363</v>
      </c>
      <c r="U1537" s="221" t="s">
        <v>3228</v>
      </c>
      <c r="V1537" s="221" t="s">
        <v>3364</v>
      </c>
      <c r="W1537" s="221" t="s">
        <v>3372</v>
      </c>
      <c r="X1537" s="221"/>
      <c r="Y1537" s="227"/>
      <c r="Z1537" s="227" t="str">
        <f>P1537</f>
        <v>Lowokwaru RW14</v>
      </c>
      <c r="AA1537" s="276" t="e">
        <f>VLOOKUP(Logfile_S[[#This Row],[DO number]],DO_DB!G:I,3,0)</f>
        <v>#N/A</v>
      </c>
      <c r="AB1537" s="331" t="e">
        <f>EXACT(Logfile_S[[#This Row],[date pick]],Logfile_S[[#This Row],[Date]])</f>
        <v>#N/A</v>
      </c>
      <c r="AC15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38" spans="1:29" ht="14.5">
      <c r="A1538" s="220" t="str">
        <f>TEXT(ROW(A1538)-ROW($A$4),"000")</f>
        <v>1534</v>
      </c>
      <c r="B1538" s="221"/>
      <c r="C1538" s="221" t="s">
        <v>49</v>
      </c>
      <c r="D1538" s="221" t="s">
        <v>4031</v>
      </c>
      <c r="E1538" s="221" t="s">
        <v>3295</v>
      </c>
      <c r="F1538" s="221" t="s">
        <v>3299</v>
      </c>
      <c r="G1538" s="222">
        <v>45412</v>
      </c>
      <c r="H1538" s="223">
        <v>0.42708333333333331</v>
      </c>
      <c r="I1538" s="221" t="s">
        <v>4916</v>
      </c>
      <c r="J1538" s="221" t="s">
        <v>3024</v>
      </c>
      <c r="K1538" s="224" t="s">
        <v>3089</v>
      </c>
      <c r="L1538" s="225" t="str">
        <f>VLOOKUP(Logfile_S[[#This Row],[Material Name]],Sheet2!B:C,2,0)</f>
        <v>GCI1003</v>
      </c>
      <c r="M1538" s="225" t="str">
        <f>_xlfn.XLOOKUP(Logfile_S[[#This Row],[Material Name]],Sum_WH!E:E,Sum_WH!F:F,"",0)</f>
        <v>Pcs</v>
      </c>
      <c r="N1538" s="221">
        <v>100</v>
      </c>
      <c r="O1538" s="221" t="s">
        <v>1401</v>
      </c>
      <c r="P1538" s="221" t="s">
        <v>3371</v>
      </c>
      <c r="Q1538" s="221"/>
      <c r="R1538" s="221"/>
      <c r="S1538" s="221"/>
      <c r="T1538" s="221" t="s">
        <v>3363</v>
      </c>
      <c r="U1538" s="221" t="s">
        <v>3228</v>
      </c>
      <c r="V1538" s="221" t="s">
        <v>3364</v>
      </c>
      <c r="W1538" s="221" t="s">
        <v>3372</v>
      </c>
      <c r="X1538" s="221"/>
      <c r="Y1538" s="227"/>
      <c r="Z1538" s="227" t="str">
        <f>P1538</f>
        <v>Lowokwaru RW14</v>
      </c>
      <c r="AA1538" s="276" t="e">
        <f>VLOOKUP(Logfile_S[[#This Row],[DO number]],DO_DB!G:I,3,0)</f>
        <v>#N/A</v>
      </c>
      <c r="AB1538" s="331" t="e">
        <f>EXACT(Logfile_S[[#This Row],[date pick]],Logfile_S[[#This Row],[Date]])</f>
        <v>#N/A</v>
      </c>
      <c r="AC15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39" spans="1:29" ht="14.5">
      <c r="A1539" s="220" t="str">
        <f>TEXT(ROW(A1539)-ROW($A$4),"000")</f>
        <v>1535</v>
      </c>
      <c r="B1539" s="221"/>
      <c r="C1539" s="221" t="s">
        <v>49</v>
      </c>
      <c r="D1539" s="221" t="s">
        <v>4031</v>
      </c>
      <c r="E1539" s="221" t="s">
        <v>3295</v>
      </c>
      <c r="F1539" s="221" t="s">
        <v>3299</v>
      </c>
      <c r="G1539" s="222">
        <v>45412</v>
      </c>
      <c r="H1539" s="223">
        <v>0.42708333333333331</v>
      </c>
      <c r="I1539" s="221" t="s">
        <v>4916</v>
      </c>
      <c r="J1539" s="221" t="s">
        <v>3024</v>
      </c>
      <c r="K1539" s="224" t="s">
        <v>3090</v>
      </c>
      <c r="L1539" s="225" t="str">
        <f>VLOOKUP(Logfile_S[[#This Row],[Material Name]],Sheet2!B:C,2,0)</f>
        <v>GCI1004</v>
      </c>
      <c r="M1539" s="225" t="str">
        <f>_xlfn.XLOOKUP(Logfile_S[[#This Row],[Material Name]],Sum_WH!E:E,Sum_WH!F:F,"",0)</f>
        <v>Pcs</v>
      </c>
      <c r="N1539" s="221">
        <v>15</v>
      </c>
      <c r="O1539" s="221" t="s">
        <v>1401</v>
      </c>
      <c r="P1539" s="221" t="s">
        <v>3371</v>
      </c>
      <c r="Q1539" s="221"/>
      <c r="R1539" s="221"/>
      <c r="S1539" s="221"/>
      <c r="T1539" s="221" t="s">
        <v>3363</v>
      </c>
      <c r="U1539" s="221" t="s">
        <v>3228</v>
      </c>
      <c r="V1539" s="221" t="s">
        <v>3364</v>
      </c>
      <c r="W1539" s="221" t="s">
        <v>3372</v>
      </c>
      <c r="X1539" s="221"/>
      <c r="Y1539" s="227"/>
      <c r="Z1539" s="227" t="str">
        <f>P1539</f>
        <v>Lowokwaru RW14</v>
      </c>
      <c r="AA1539" s="276" t="e">
        <f>VLOOKUP(Logfile_S[[#This Row],[DO number]],DO_DB!G:I,3,0)</f>
        <v>#N/A</v>
      </c>
      <c r="AB1539" s="331" t="e">
        <f>EXACT(Logfile_S[[#This Row],[date pick]],Logfile_S[[#This Row],[Date]])</f>
        <v>#N/A</v>
      </c>
      <c r="AC15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40" spans="1:29" ht="14.5">
      <c r="A1540" s="220" t="str">
        <f>TEXT(ROW(A1540)-ROW($A$4),"000")</f>
        <v>1536</v>
      </c>
      <c r="B1540" s="221"/>
      <c r="C1540" s="221" t="s">
        <v>49</v>
      </c>
      <c r="D1540" s="221" t="s">
        <v>4007</v>
      </c>
      <c r="E1540" s="221" t="s">
        <v>3295</v>
      </c>
      <c r="F1540" s="221" t="s">
        <v>3299</v>
      </c>
      <c r="G1540" s="222">
        <v>45400</v>
      </c>
      <c r="H1540" s="223">
        <v>0.39513888888888887</v>
      </c>
      <c r="I1540" s="221" t="s">
        <v>4916</v>
      </c>
      <c r="J1540" s="221" t="s">
        <v>3024</v>
      </c>
      <c r="K1540" s="224" t="s">
        <v>3087</v>
      </c>
      <c r="L1540" s="225" t="str">
        <f>VLOOKUP(Logfile_S[[#This Row],[Material Name]],Sheet2!B:C,2,0)</f>
        <v>GCI1001</v>
      </c>
      <c r="M1540" s="225" t="str">
        <f>_xlfn.XLOOKUP(Logfile_S[[#This Row],[Material Name]],Sum_WH!E:E,Sum_WH!F:F,"",0)</f>
        <v>Pcs</v>
      </c>
      <c r="N1540" s="221">
        <v>5</v>
      </c>
      <c r="O1540" s="221" t="s">
        <v>1287</v>
      </c>
      <c r="P1540" s="221" t="s">
        <v>3394</v>
      </c>
      <c r="Q1540" s="221"/>
      <c r="R1540" s="221"/>
      <c r="S1540" s="221"/>
      <c r="T1540" s="221" t="s">
        <v>3258</v>
      </c>
      <c r="U1540" s="221" t="s">
        <v>3228</v>
      </c>
      <c r="V1540" s="221" t="s">
        <v>3337</v>
      </c>
      <c r="W1540" s="221" t="s">
        <v>3338</v>
      </c>
      <c r="X1540" s="221"/>
      <c r="Y1540" s="227"/>
      <c r="Z1540" s="227" t="str">
        <f>P1540</f>
        <v>Tunjungtirto RW 06 Singosari</v>
      </c>
      <c r="AA1540" s="276" t="e">
        <f>VLOOKUP(Logfile_S[[#This Row],[DO number]],DO_DB!G:I,3,0)</f>
        <v>#N/A</v>
      </c>
      <c r="AB1540" s="331" t="e">
        <f>EXACT(Logfile_S[[#This Row],[date pick]],Logfile_S[[#This Row],[Date]])</f>
        <v>#N/A</v>
      </c>
      <c r="AC15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41" spans="1:29" ht="14.5">
      <c r="A1541" s="220" t="str">
        <f>TEXT(ROW(A1541)-ROW($A$4),"000")</f>
        <v>1537</v>
      </c>
      <c r="B1541" s="221"/>
      <c r="C1541" s="221" t="s">
        <v>49</v>
      </c>
      <c r="D1541" s="221" t="s">
        <v>4007</v>
      </c>
      <c r="E1541" s="221" t="s">
        <v>3295</v>
      </c>
      <c r="F1541" s="221" t="s">
        <v>3299</v>
      </c>
      <c r="G1541" s="222">
        <v>45400</v>
      </c>
      <c r="H1541" s="223">
        <v>0.39513888888888887</v>
      </c>
      <c r="I1541" s="221" t="s">
        <v>4916</v>
      </c>
      <c r="J1541" s="221" t="s">
        <v>3023</v>
      </c>
      <c r="K1541" s="224" t="s">
        <v>3069</v>
      </c>
      <c r="L1541" s="225" t="str">
        <f>VLOOKUP(Logfile_S[[#This Row],[Material Name]],Sheet2!B:C,2,0)</f>
        <v>ZTE1001</v>
      </c>
      <c r="M1541" s="225" t="str">
        <f>_xlfn.XLOOKUP(Logfile_S[[#This Row],[Material Name]],Sum_WH!E:E,Sum_WH!F:F,"",0)</f>
        <v>Pcs</v>
      </c>
      <c r="N1541" s="221">
        <v>16</v>
      </c>
      <c r="O1541" s="221" t="s">
        <v>1287</v>
      </c>
      <c r="P1541" s="221" t="s">
        <v>3394</v>
      </c>
      <c r="Q1541" s="221"/>
      <c r="R1541" s="221"/>
      <c r="S1541" s="221"/>
      <c r="T1541" s="221" t="s">
        <v>3258</v>
      </c>
      <c r="U1541" s="221" t="s">
        <v>3228</v>
      </c>
      <c r="V1541" s="221" t="s">
        <v>3337</v>
      </c>
      <c r="W1541" s="221" t="s">
        <v>3338</v>
      </c>
      <c r="X1541" s="221"/>
      <c r="Y1541" s="227"/>
      <c r="Z1541" s="227" t="str">
        <f>P1541</f>
        <v>Tunjungtirto RW 06 Singosari</v>
      </c>
      <c r="AA1541" s="276" t="e">
        <f>VLOOKUP(Logfile_S[[#This Row],[DO number]],DO_DB!G:I,3,0)</f>
        <v>#N/A</v>
      </c>
      <c r="AB1541" s="331" t="e">
        <f>EXACT(Logfile_S[[#This Row],[date pick]],Logfile_S[[#This Row],[Date]])</f>
        <v>#N/A</v>
      </c>
      <c r="AC15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42" spans="1:29" ht="14.5">
      <c r="A1542" s="220" t="str">
        <f>TEXT(ROW(A1542)-ROW($A$4),"000")</f>
        <v>1538</v>
      </c>
      <c r="B1542" s="221"/>
      <c r="C1542" s="221" t="s">
        <v>49</v>
      </c>
      <c r="D1542" s="221" t="s">
        <v>4013</v>
      </c>
      <c r="E1542" s="221" t="s">
        <v>3295</v>
      </c>
      <c r="F1542" s="221" t="s">
        <v>3299</v>
      </c>
      <c r="G1542" s="222">
        <v>45401</v>
      </c>
      <c r="H1542" s="223">
        <v>0.72291666666666676</v>
      </c>
      <c r="I1542" s="221" t="s">
        <v>4916</v>
      </c>
      <c r="J1542" s="221" t="s">
        <v>3023</v>
      </c>
      <c r="K1542" s="224" t="s">
        <v>13</v>
      </c>
      <c r="L1542" s="225" t="str">
        <f>VLOOKUP(Logfile_S[[#This Row],[Material Name]],Sheet2!B:C,2,0)</f>
        <v>ZTE2008</v>
      </c>
      <c r="M1542" s="225" t="str">
        <f>_xlfn.XLOOKUP(Logfile_S[[#This Row],[Material Name]],Sum_WH!E:E,Sum_WH!F:F,"",0)</f>
        <v>Pcs</v>
      </c>
      <c r="N1542" s="221">
        <v>5</v>
      </c>
      <c r="O1542" s="221" t="s">
        <v>1287</v>
      </c>
      <c r="P1542" s="221" t="s">
        <v>3394</v>
      </c>
      <c r="Q1542" s="221"/>
      <c r="R1542" s="221"/>
      <c r="S1542" s="221"/>
      <c r="T1542" s="221" t="s">
        <v>3231</v>
      </c>
      <c r="U1542" s="221">
        <v>0</v>
      </c>
      <c r="V1542" s="221" t="s">
        <v>3232</v>
      </c>
      <c r="W1542" s="221" t="s">
        <v>3246</v>
      </c>
      <c r="X1542" s="221"/>
      <c r="Y1542" s="227"/>
      <c r="Z1542" s="227" t="str">
        <f>P1542</f>
        <v>Tunjungtirto RW 06 Singosari</v>
      </c>
      <c r="AA1542" s="276" t="e">
        <f>VLOOKUP(Logfile_S[[#This Row],[DO number]],DO_DB!G:I,3,0)</f>
        <v>#N/A</v>
      </c>
      <c r="AB1542" s="331" t="e">
        <f>EXACT(Logfile_S[[#This Row],[date pick]],Logfile_S[[#This Row],[Date]])</f>
        <v>#N/A</v>
      </c>
      <c r="AC15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43" spans="1:29" ht="14.5">
      <c r="A1543" s="220" t="str">
        <f>TEXT(ROW(A1543)-ROW($A$4),"000")</f>
        <v>1539</v>
      </c>
      <c r="B1543" s="221"/>
      <c r="C1543" s="221" t="s">
        <v>49</v>
      </c>
      <c r="D1543" s="221" t="s">
        <v>4056</v>
      </c>
      <c r="E1543" s="221" t="s">
        <v>3295</v>
      </c>
      <c r="F1543" s="221" t="s">
        <v>3299</v>
      </c>
      <c r="G1543" s="222">
        <v>45434</v>
      </c>
      <c r="H1543" s="223">
        <v>0.39166666666666666</v>
      </c>
      <c r="I1543" s="221" t="s">
        <v>4916</v>
      </c>
      <c r="J1543" s="221" t="s">
        <v>3024</v>
      </c>
      <c r="K1543" s="224" t="s">
        <v>3087</v>
      </c>
      <c r="L1543" s="225" t="str">
        <f>VLOOKUP(Logfile_S[[#This Row],[Material Name]],Sheet2!B:C,2,0)</f>
        <v>GCI1001</v>
      </c>
      <c r="M1543" s="225" t="str">
        <f>_xlfn.XLOOKUP(Logfile_S[[#This Row],[Material Name]],Sum_WH!E:E,Sum_WH!F:F,"",0)</f>
        <v>Pcs</v>
      </c>
      <c r="N1543" s="221">
        <v>18</v>
      </c>
      <c r="O1543" s="221" t="s">
        <v>1395</v>
      </c>
      <c r="P1543" s="221" t="s">
        <v>1396</v>
      </c>
      <c r="Q1543" s="221"/>
      <c r="R1543" s="221"/>
      <c r="S1543" s="221"/>
      <c r="T1543" s="221" t="s">
        <v>3258</v>
      </c>
      <c r="U1543" s="221" t="s">
        <v>3228</v>
      </c>
      <c r="V1543" s="221" t="s">
        <v>3337</v>
      </c>
      <c r="W1543" s="221" t="s">
        <v>3338</v>
      </c>
      <c r="X1543" s="221"/>
      <c r="Y1543" s="227"/>
      <c r="Z1543" s="227" t="str">
        <f>P1543</f>
        <v>Candirenggo RW 10 Singosari</v>
      </c>
      <c r="AA1543" s="276" t="e">
        <f>VLOOKUP(Logfile_S[[#This Row],[DO number]],DO_DB!G:I,3,0)</f>
        <v>#N/A</v>
      </c>
      <c r="AB1543" s="331" t="e">
        <f>EXACT(Logfile_S[[#This Row],[date pick]],Logfile_S[[#This Row],[Date]])</f>
        <v>#N/A</v>
      </c>
      <c r="AC15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44" spans="1:29" ht="14.5">
      <c r="A1544" s="220" t="str">
        <f>TEXT(ROW(A1544)-ROW($A$4),"000")</f>
        <v>1540</v>
      </c>
      <c r="B1544" s="221"/>
      <c r="C1544" s="221" t="s">
        <v>49</v>
      </c>
      <c r="D1544" s="221" t="s">
        <v>4056</v>
      </c>
      <c r="E1544" s="221" t="s">
        <v>3295</v>
      </c>
      <c r="F1544" s="221" t="s">
        <v>3299</v>
      </c>
      <c r="G1544" s="222">
        <v>45434</v>
      </c>
      <c r="H1544" s="223">
        <v>0.39166666666666666</v>
      </c>
      <c r="I1544" s="221" t="s">
        <v>4916</v>
      </c>
      <c r="J1544" s="221" t="s">
        <v>3024</v>
      </c>
      <c r="K1544" s="224" t="s">
        <v>5137</v>
      </c>
      <c r="L1544" s="225" t="str">
        <f>VLOOKUP(Logfile_S[[#This Row],[Material Name]],Sheet2!B:C,2,0)</f>
        <v>GCI1009</v>
      </c>
      <c r="M1544" s="225" t="str">
        <f>_xlfn.XLOOKUP(Logfile_S[[#This Row],[Material Name]],Sum_WH!E:E,Sum_WH!F:F,"",0)</f>
        <v>Pcs</v>
      </c>
      <c r="N1544" s="221">
        <v>70</v>
      </c>
      <c r="O1544" s="221" t="s">
        <v>1395</v>
      </c>
      <c r="P1544" s="221" t="s">
        <v>1396</v>
      </c>
      <c r="Q1544" s="221"/>
      <c r="R1544" s="221"/>
      <c r="S1544" s="221"/>
      <c r="T1544" s="221" t="s">
        <v>3258</v>
      </c>
      <c r="U1544" s="221" t="s">
        <v>3228</v>
      </c>
      <c r="V1544" s="221" t="s">
        <v>3337</v>
      </c>
      <c r="W1544" s="221" t="s">
        <v>3338</v>
      </c>
      <c r="X1544" s="221"/>
      <c r="Y1544" s="227"/>
      <c r="Z1544" s="227" t="str">
        <f>P1544</f>
        <v>Candirenggo RW 10 Singosari</v>
      </c>
      <c r="AA1544" s="276" t="e">
        <f>VLOOKUP(Logfile_S[[#This Row],[DO number]],DO_DB!G:I,3,0)</f>
        <v>#N/A</v>
      </c>
      <c r="AB1544" s="331" t="e">
        <f>EXACT(Logfile_S[[#This Row],[date pick]],Logfile_S[[#This Row],[Date]])</f>
        <v>#N/A</v>
      </c>
      <c r="AC15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45" spans="1:29" ht="14.5">
      <c r="A1545" s="220" t="str">
        <f>TEXT(ROW(A1545)-ROW($A$4),"000")</f>
        <v>1541</v>
      </c>
      <c r="B1545" s="221"/>
      <c r="C1545" s="221" t="s">
        <v>49</v>
      </c>
      <c r="D1545" s="221" t="s">
        <v>4056</v>
      </c>
      <c r="E1545" s="221" t="s">
        <v>3295</v>
      </c>
      <c r="F1545" s="221" t="s">
        <v>3299</v>
      </c>
      <c r="G1545" s="222">
        <v>45434</v>
      </c>
      <c r="H1545" s="223">
        <v>0.39166666666666666</v>
      </c>
      <c r="I1545" s="221" t="s">
        <v>4916</v>
      </c>
      <c r="J1545" s="221" t="s">
        <v>3023</v>
      </c>
      <c r="K1545" s="224" t="s">
        <v>3069</v>
      </c>
      <c r="L1545" s="225" t="str">
        <f>VLOOKUP(Logfile_S[[#This Row],[Material Name]],Sheet2!B:C,2,0)</f>
        <v>ZTE1001</v>
      </c>
      <c r="M1545" s="225" t="str">
        <f>_xlfn.XLOOKUP(Logfile_S[[#This Row],[Material Name]],Sum_WH!E:E,Sum_WH!F:F,"",0)</f>
        <v>Pcs</v>
      </c>
      <c r="N1545" s="221">
        <v>21</v>
      </c>
      <c r="O1545" s="221" t="s">
        <v>1395</v>
      </c>
      <c r="P1545" s="221" t="s">
        <v>1396</v>
      </c>
      <c r="Q1545" s="221"/>
      <c r="R1545" s="221"/>
      <c r="S1545" s="221"/>
      <c r="T1545" s="221" t="s">
        <v>3258</v>
      </c>
      <c r="U1545" s="221" t="s">
        <v>3228</v>
      </c>
      <c r="V1545" s="221" t="s">
        <v>3337</v>
      </c>
      <c r="W1545" s="221" t="s">
        <v>3338</v>
      </c>
      <c r="X1545" s="221"/>
      <c r="Y1545" s="227"/>
      <c r="Z1545" s="227" t="str">
        <f>P1545</f>
        <v>Candirenggo RW 10 Singosari</v>
      </c>
      <c r="AA1545" s="276" t="e">
        <f>VLOOKUP(Logfile_S[[#This Row],[DO number]],DO_DB!G:I,3,0)</f>
        <v>#N/A</v>
      </c>
      <c r="AB1545" s="331" t="e">
        <f>EXACT(Logfile_S[[#This Row],[date pick]],Logfile_S[[#This Row],[Date]])</f>
        <v>#N/A</v>
      </c>
      <c r="AC15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46" spans="1:29" ht="14.5">
      <c r="A1546" s="220" t="str">
        <f>TEXT(ROW(A1546)-ROW($A$4),"000")</f>
        <v>1542</v>
      </c>
      <c r="B1546" s="221"/>
      <c r="C1546" s="221" t="s">
        <v>49</v>
      </c>
      <c r="D1546" s="221" t="s">
        <v>4056</v>
      </c>
      <c r="E1546" s="221" t="s">
        <v>3295</v>
      </c>
      <c r="F1546" s="221" t="s">
        <v>3299</v>
      </c>
      <c r="G1546" s="222">
        <v>45434</v>
      </c>
      <c r="H1546" s="223">
        <v>0.39166666666666666</v>
      </c>
      <c r="I1546" s="221" t="s">
        <v>4916</v>
      </c>
      <c r="J1546" s="221" t="s">
        <v>3024</v>
      </c>
      <c r="K1546" s="224" t="s">
        <v>3094</v>
      </c>
      <c r="L1546" s="225" t="str">
        <f>VLOOKUP(Logfile_S[[#This Row],[Material Name]],Sheet2!B:C,2,0)</f>
        <v>GCI1008</v>
      </c>
      <c r="M1546" s="225" t="str">
        <f>_xlfn.XLOOKUP(Logfile_S[[#This Row],[Material Name]],Sum_WH!E:E,Sum_WH!F:F,"",0)</f>
        <v>Pcs</v>
      </c>
      <c r="N1546" s="221">
        <v>34</v>
      </c>
      <c r="O1546" s="221" t="s">
        <v>1395</v>
      </c>
      <c r="P1546" s="221" t="s">
        <v>1396</v>
      </c>
      <c r="Q1546" s="221"/>
      <c r="R1546" s="221"/>
      <c r="S1546" s="221"/>
      <c r="T1546" s="221" t="s">
        <v>3258</v>
      </c>
      <c r="U1546" s="221" t="s">
        <v>3228</v>
      </c>
      <c r="V1546" s="221" t="s">
        <v>3337</v>
      </c>
      <c r="W1546" s="221" t="s">
        <v>3338</v>
      </c>
      <c r="X1546" s="221"/>
      <c r="Y1546" s="227"/>
      <c r="Z1546" s="227" t="str">
        <f>P1546</f>
        <v>Candirenggo RW 10 Singosari</v>
      </c>
      <c r="AA1546" s="276" t="e">
        <f>VLOOKUP(Logfile_S[[#This Row],[DO number]],DO_DB!G:I,3,0)</f>
        <v>#N/A</v>
      </c>
      <c r="AB1546" s="331" t="e">
        <f>EXACT(Logfile_S[[#This Row],[date pick]],Logfile_S[[#This Row],[Date]])</f>
        <v>#N/A</v>
      </c>
      <c r="AC15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47" spans="1:29" ht="14.5">
      <c r="A1547" s="220" t="str">
        <f>TEXT(ROW(A1547)-ROW($A$4),"000")</f>
        <v>1543</v>
      </c>
      <c r="B1547" s="221"/>
      <c r="C1547" s="221" t="s">
        <v>49</v>
      </c>
      <c r="D1547" s="221" t="s">
        <v>4056</v>
      </c>
      <c r="E1547" s="221" t="s">
        <v>3295</v>
      </c>
      <c r="F1547" s="221" t="s">
        <v>3299</v>
      </c>
      <c r="G1547" s="222">
        <v>45434</v>
      </c>
      <c r="H1547" s="223">
        <v>0.39166666666666666</v>
      </c>
      <c r="I1547" s="221" t="s">
        <v>4916</v>
      </c>
      <c r="J1547" s="221" t="s">
        <v>3024</v>
      </c>
      <c r="K1547" s="224" t="s">
        <v>3090</v>
      </c>
      <c r="L1547" s="225" t="str">
        <f>VLOOKUP(Logfile_S[[#This Row],[Material Name]],Sheet2!B:C,2,0)</f>
        <v>GCI1004</v>
      </c>
      <c r="M1547" s="225" t="str">
        <f>_xlfn.XLOOKUP(Logfile_S[[#This Row],[Material Name]],Sum_WH!E:E,Sum_WH!F:F,"",0)</f>
        <v>Pcs</v>
      </c>
      <c r="N1547" s="221">
        <v>20</v>
      </c>
      <c r="O1547" s="221" t="s">
        <v>1395</v>
      </c>
      <c r="P1547" s="221" t="s">
        <v>1396</v>
      </c>
      <c r="Q1547" s="221"/>
      <c r="R1547" s="221"/>
      <c r="S1547" s="221"/>
      <c r="T1547" s="221" t="s">
        <v>3258</v>
      </c>
      <c r="U1547" s="221" t="s">
        <v>3228</v>
      </c>
      <c r="V1547" s="221" t="s">
        <v>3337</v>
      </c>
      <c r="W1547" s="221" t="s">
        <v>3338</v>
      </c>
      <c r="X1547" s="221"/>
      <c r="Y1547" s="227"/>
      <c r="Z1547" s="227" t="str">
        <f>P1547</f>
        <v>Candirenggo RW 10 Singosari</v>
      </c>
      <c r="AA1547" s="276" t="e">
        <f>VLOOKUP(Logfile_S[[#This Row],[DO number]],DO_DB!G:I,3,0)</f>
        <v>#N/A</v>
      </c>
      <c r="AB1547" s="331" t="e">
        <f>EXACT(Logfile_S[[#This Row],[date pick]],Logfile_S[[#This Row],[Date]])</f>
        <v>#N/A</v>
      </c>
      <c r="AC15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48" spans="1:29" ht="14.5">
      <c r="A1548" s="220" t="str">
        <f>TEXT(ROW(A1548)-ROW($A$4),"000")</f>
        <v>1544</v>
      </c>
      <c r="B1548" s="221"/>
      <c r="C1548" s="221" t="s">
        <v>49</v>
      </c>
      <c r="D1548" s="221" t="s">
        <v>4071</v>
      </c>
      <c r="E1548" s="221" t="s">
        <v>3295</v>
      </c>
      <c r="F1548" s="221" t="s">
        <v>3299</v>
      </c>
      <c r="G1548" s="222">
        <v>45446</v>
      </c>
      <c r="H1548" s="223">
        <v>0.42222222222222222</v>
      </c>
      <c r="I1548" s="221" t="s">
        <v>4916</v>
      </c>
      <c r="J1548" s="221" t="s">
        <v>3024</v>
      </c>
      <c r="K1548" s="224" t="s">
        <v>3091</v>
      </c>
      <c r="L1548" s="225" t="str">
        <f>VLOOKUP(Logfile_S[[#This Row],[Material Name]],Sheet2!B:C,2,0)</f>
        <v>GCI1005</v>
      </c>
      <c r="M1548" s="225" t="str">
        <f>_xlfn.XLOOKUP(Logfile_S[[#This Row],[Material Name]],Sum_WH!E:E,Sum_WH!F:F,"",0)</f>
        <v>Pcs</v>
      </c>
      <c r="N1548" s="221">
        <v>100</v>
      </c>
      <c r="O1548" s="221" t="s">
        <v>1395</v>
      </c>
      <c r="P1548" s="221" t="s">
        <v>1396</v>
      </c>
      <c r="Q1548" s="221"/>
      <c r="R1548" s="221"/>
      <c r="S1548" s="221"/>
      <c r="T1548" s="221" t="s">
        <v>3258</v>
      </c>
      <c r="U1548" s="221" t="s">
        <v>3228</v>
      </c>
      <c r="V1548" s="221" t="s">
        <v>3337</v>
      </c>
      <c r="W1548" s="221" t="s">
        <v>3338</v>
      </c>
      <c r="X1548" s="221"/>
      <c r="Y1548" s="227"/>
      <c r="Z1548" s="227" t="str">
        <f>P1548</f>
        <v>Candirenggo RW 10 Singosari</v>
      </c>
      <c r="AA1548" s="276" t="e">
        <f>VLOOKUP(Logfile_S[[#This Row],[DO number]],DO_DB!G:I,3,0)</f>
        <v>#N/A</v>
      </c>
      <c r="AB1548" s="331" t="e">
        <f>EXACT(Logfile_S[[#This Row],[date pick]],Logfile_S[[#This Row],[Date]])</f>
        <v>#N/A</v>
      </c>
      <c r="AC15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49" spans="1:29" ht="14.5">
      <c r="A1549" s="220" t="str">
        <f>TEXT(ROW(A1549)-ROW($A$4),"000")</f>
        <v>1545</v>
      </c>
      <c r="B1549" s="221"/>
      <c r="C1549" s="221" t="s">
        <v>49</v>
      </c>
      <c r="D1549" s="221" t="s">
        <v>4071</v>
      </c>
      <c r="E1549" s="221" t="s">
        <v>3295</v>
      </c>
      <c r="F1549" s="221" t="s">
        <v>3299</v>
      </c>
      <c r="G1549" s="222">
        <v>45446</v>
      </c>
      <c r="H1549" s="223">
        <v>0.42222222222222222</v>
      </c>
      <c r="I1549" s="221" t="s">
        <v>4916</v>
      </c>
      <c r="J1549" s="221" t="s">
        <v>3023</v>
      </c>
      <c r="K1549" s="224" t="s">
        <v>3070</v>
      </c>
      <c r="L1549" s="225" t="str">
        <f>VLOOKUP(Logfile_S[[#This Row],[Material Name]],Sheet2!B:C,2,0)</f>
        <v>ZTE1002</v>
      </c>
      <c r="M1549" s="225" t="str">
        <f>_xlfn.XLOOKUP(Logfile_S[[#This Row],[Material Name]],Sum_WH!E:E,Sum_WH!F:F,"",0)</f>
        <v>Pcs</v>
      </c>
      <c r="N1549" s="221">
        <v>1</v>
      </c>
      <c r="O1549" s="221" t="s">
        <v>1395</v>
      </c>
      <c r="P1549" s="221" t="s">
        <v>1396</v>
      </c>
      <c r="Q1549" s="221"/>
      <c r="R1549" s="221"/>
      <c r="S1549" s="221"/>
      <c r="T1549" s="221" t="s">
        <v>3258</v>
      </c>
      <c r="U1549" s="221" t="s">
        <v>3228</v>
      </c>
      <c r="V1549" s="221" t="s">
        <v>3337</v>
      </c>
      <c r="W1549" s="221" t="s">
        <v>3338</v>
      </c>
      <c r="X1549" s="221"/>
      <c r="Y1549" s="227"/>
      <c r="Z1549" s="227" t="str">
        <f>P1549</f>
        <v>Candirenggo RW 10 Singosari</v>
      </c>
      <c r="AA1549" s="276" t="e">
        <f>VLOOKUP(Logfile_S[[#This Row],[DO number]],DO_DB!G:I,3,0)</f>
        <v>#N/A</v>
      </c>
      <c r="AB1549" s="331" t="e">
        <f>EXACT(Logfile_S[[#This Row],[date pick]],Logfile_S[[#This Row],[Date]])</f>
        <v>#N/A</v>
      </c>
      <c r="AC15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50" spans="1:29" ht="14.5">
      <c r="A1550" s="220" t="str">
        <f>TEXT(ROW(A1550)-ROW($A$4),"000")</f>
        <v>1546</v>
      </c>
      <c r="B1550" s="221"/>
      <c r="C1550" s="221" t="s">
        <v>49</v>
      </c>
      <c r="D1550" s="221" t="s">
        <v>4071</v>
      </c>
      <c r="E1550" s="221" t="s">
        <v>3295</v>
      </c>
      <c r="F1550" s="221" t="s">
        <v>3299</v>
      </c>
      <c r="G1550" s="222">
        <v>45446</v>
      </c>
      <c r="H1550" s="223">
        <v>0.42222222222222222</v>
      </c>
      <c r="I1550" s="221" t="s">
        <v>4916</v>
      </c>
      <c r="J1550" s="221" t="s">
        <v>3024</v>
      </c>
      <c r="K1550" s="224" t="s">
        <v>3094</v>
      </c>
      <c r="L1550" s="225" t="str">
        <f>VLOOKUP(Logfile_S[[#This Row],[Material Name]],Sheet2!B:C,2,0)</f>
        <v>GCI1008</v>
      </c>
      <c r="M1550" s="225" t="str">
        <f>_xlfn.XLOOKUP(Logfile_S[[#This Row],[Material Name]],Sum_WH!E:E,Sum_WH!F:F,"",0)</f>
        <v>Pcs</v>
      </c>
      <c r="N1550" s="221">
        <v>13</v>
      </c>
      <c r="O1550" s="221" t="s">
        <v>1395</v>
      </c>
      <c r="P1550" s="221" t="s">
        <v>1396</v>
      </c>
      <c r="Q1550" s="221"/>
      <c r="R1550" s="221"/>
      <c r="S1550" s="221"/>
      <c r="T1550" s="221" t="s">
        <v>3258</v>
      </c>
      <c r="U1550" s="221" t="s">
        <v>3228</v>
      </c>
      <c r="V1550" s="221" t="s">
        <v>3337</v>
      </c>
      <c r="W1550" s="221" t="s">
        <v>3338</v>
      </c>
      <c r="X1550" s="221"/>
      <c r="Y1550" s="227"/>
      <c r="Z1550" s="227" t="str">
        <f>P1550</f>
        <v>Candirenggo RW 10 Singosari</v>
      </c>
      <c r="AA1550" s="276" t="e">
        <f>VLOOKUP(Logfile_S[[#This Row],[DO number]],DO_DB!G:I,3,0)</f>
        <v>#N/A</v>
      </c>
      <c r="AB1550" s="331" t="e">
        <f>EXACT(Logfile_S[[#This Row],[date pick]],Logfile_S[[#This Row],[Date]])</f>
        <v>#N/A</v>
      </c>
      <c r="AC15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51" spans="1:29" ht="14.5">
      <c r="A1551" s="220" t="str">
        <f>TEXT(ROW(A1551)-ROW($A$4),"000")</f>
        <v>1547</v>
      </c>
      <c r="B1551" s="221"/>
      <c r="C1551" s="221" t="s">
        <v>49</v>
      </c>
      <c r="D1551" s="221" t="s">
        <v>4074</v>
      </c>
      <c r="E1551" s="221" t="s">
        <v>3295</v>
      </c>
      <c r="F1551" s="221" t="s">
        <v>3299</v>
      </c>
      <c r="G1551" s="222">
        <v>45448</v>
      </c>
      <c r="H1551" s="223">
        <v>0.39166666666666666</v>
      </c>
      <c r="I1551" s="221" t="s">
        <v>4916</v>
      </c>
      <c r="J1551" s="221" t="s">
        <v>3023</v>
      </c>
      <c r="K1551" s="224" t="s">
        <v>3069</v>
      </c>
      <c r="L1551" s="225" t="str">
        <f>VLOOKUP(Logfile_S[[#This Row],[Material Name]],Sheet2!B:C,2,0)</f>
        <v>ZTE1001</v>
      </c>
      <c r="M1551" s="225" t="str">
        <f>_xlfn.XLOOKUP(Logfile_S[[#This Row],[Material Name]],Sum_WH!E:E,Sum_WH!F:F,"",0)</f>
        <v>Pcs</v>
      </c>
      <c r="N1551" s="221">
        <v>4</v>
      </c>
      <c r="O1551" s="221" t="s">
        <v>1395</v>
      </c>
      <c r="P1551" s="221" t="s">
        <v>1396</v>
      </c>
      <c r="Q1551" s="221"/>
      <c r="R1551" s="221"/>
      <c r="S1551" s="221"/>
      <c r="T1551" s="221" t="s">
        <v>3258</v>
      </c>
      <c r="U1551" s="221" t="s">
        <v>3228</v>
      </c>
      <c r="V1551" s="221" t="s">
        <v>3337</v>
      </c>
      <c r="W1551" s="221" t="s">
        <v>3507</v>
      </c>
      <c r="X1551" s="221"/>
      <c r="Y1551" s="227"/>
      <c r="Z1551" s="227" t="str">
        <f>P1551</f>
        <v>Candirenggo RW 10 Singosari</v>
      </c>
      <c r="AA1551" s="276" t="e">
        <f>VLOOKUP(Logfile_S[[#This Row],[DO number]],DO_DB!G:I,3,0)</f>
        <v>#N/A</v>
      </c>
      <c r="AB1551" s="331" t="e">
        <f>EXACT(Logfile_S[[#This Row],[date pick]],Logfile_S[[#This Row],[Date]])</f>
        <v>#N/A</v>
      </c>
      <c r="AC15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52" spans="1:29" ht="14.5">
      <c r="A1552" s="220" t="str">
        <f>TEXT(ROW(A1552)-ROW($A$4),"000")</f>
        <v>1548</v>
      </c>
      <c r="B1552" s="221"/>
      <c r="C1552" s="221" t="s">
        <v>49</v>
      </c>
      <c r="D1552" s="221" t="s">
        <v>4271</v>
      </c>
      <c r="E1552" s="221" t="s">
        <v>3295</v>
      </c>
      <c r="F1552" s="221" t="s">
        <v>3299</v>
      </c>
      <c r="G1552" s="222">
        <v>45602</v>
      </c>
      <c r="H1552" s="223">
        <v>0.35069444444444442</v>
      </c>
      <c r="I1552" s="221" t="s">
        <v>4916</v>
      </c>
      <c r="J1552" s="221" t="s">
        <v>3024</v>
      </c>
      <c r="K1552" s="224" t="s">
        <v>3091</v>
      </c>
      <c r="L1552" s="225" t="str">
        <f>VLOOKUP(Logfile_S[[#This Row],[Material Name]],Sheet2!B:C,2,0)</f>
        <v>GCI1005</v>
      </c>
      <c r="M1552" s="225" t="str">
        <f>_xlfn.XLOOKUP(Logfile_S[[#This Row],[Material Name]],Sum_WH!E:E,Sum_WH!F:F,"",0)</f>
        <v>Pcs</v>
      </c>
      <c r="N1552" s="221">
        <v>28</v>
      </c>
      <c r="O1552" s="221" t="s">
        <v>1395</v>
      </c>
      <c r="P1552" s="221" t="s">
        <v>1396</v>
      </c>
      <c r="Q1552" s="221"/>
      <c r="R1552" s="221"/>
      <c r="S1552" s="221"/>
      <c r="T1552" s="221" t="s">
        <v>3258</v>
      </c>
      <c r="U1552" s="221">
        <v>0</v>
      </c>
      <c r="V1552" s="221" t="s">
        <v>3337</v>
      </c>
      <c r="W1552" s="221" t="s">
        <v>3338</v>
      </c>
      <c r="X1552" s="221"/>
      <c r="Y1552" s="227"/>
      <c r="Z1552" s="227" t="str">
        <f>P1552</f>
        <v>Candirenggo RW 10 Singosari</v>
      </c>
      <c r="AA1552" s="276" t="e">
        <f>VLOOKUP(Logfile_S[[#This Row],[DO number]],DO_DB!G:I,3,0)</f>
        <v>#N/A</v>
      </c>
      <c r="AB1552" s="331" t="e">
        <f>EXACT(Logfile_S[[#This Row],[date pick]],Logfile_S[[#This Row],[Date]])</f>
        <v>#N/A</v>
      </c>
      <c r="AC15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53" spans="1:29" ht="14.5">
      <c r="A1553" s="220" t="str">
        <f>TEXT(ROW(A1553)-ROW($A$4),"000")</f>
        <v>1549</v>
      </c>
      <c r="B1553" s="221"/>
      <c r="C1553" s="221" t="s">
        <v>49</v>
      </c>
      <c r="D1553" s="221" t="s">
        <v>4271</v>
      </c>
      <c r="E1553" s="221" t="s">
        <v>3295</v>
      </c>
      <c r="F1553" s="221" t="s">
        <v>3299</v>
      </c>
      <c r="G1553" s="222">
        <v>45602</v>
      </c>
      <c r="H1553" s="223">
        <v>0.35069444444444442</v>
      </c>
      <c r="I1553" s="221" t="s">
        <v>4916</v>
      </c>
      <c r="J1553" s="221" t="s">
        <v>3024</v>
      </c>
      <c r="K1553" s="224" t="s">
        <v>3087</v>
      </c>
      <c r="L1553" s="225" t="str">
        <f>VLOOKUP(Logfile_S[[#This Row],[Material Name]],Sheet2!B:C,2,0)</f>
        <v>GCI1001</v>
      </c>
      <c r="M1553" s="225" t="str">
        <f>_xlfn.XLOOKUP(Logfile_S[[#This Row],[Material Name]],Sum_WH!E:E,Sum_WH!F:F,"",0)</f>
        <v>Pcs</v>
      </c>
      <c r="N1553" s="221">
        <v>5</v>
      </c>
      <c r="O1553" s="221" t="s">
        <v>1395</v>
      </c>
      <c r="P1553" s="221" t="s">
        <v>1396</v>
      </c>
      <c r="Q1553" s="221"/>
      <c r="R1553" s="221"/>
      <c r="S1553" s="221"/>
      <c r="T1553" s="221" t="s">
        <v>3258</v>
      </c>
      <c r="U1553" s="221">
        <v>0</v>
      </c>
      <c r="V1553" s="221" t="s">
        <v>3337</v>
      </c>
      <c r="W1553" s="221" t="s">
        <v>3338</v>
      </c>
      <c r="X1553" s="221"/>
      <c r="Y1553" s="227"/>
      <c r="Z1553" s="227" t="str">
        <f>P1553</f>
        <v>Candirenggo RW 10 Singosari</v>
      </c>
      <c r="AA1553" s="276" t="e">
        <f>VLOOKUP(Logfile_S[[#This Row],[DO number]],DO_DB!G:I,3,0)</f>
        <v>#N/A</v>
      </c>
      <c r="AB1553" s="331" t="e">
        <f>EXACT(Logfile_S[[#This Row],[date pick]],Logfile_S[[#This Row],[Date]])</f>
        <v>#N/A</v>
      </c>
      <c r="AC15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54" spans="1:29" ht="14.5">
      <c r="A1554" s="220" t="str">
        <f>TEXT(ROW(A1554)-ROW($A$4),"000")</f>
        <v>1550</v>
      </c>
      <c r="B1554" s="221"/>
      <c r="C1554" s="221" t="s">
        <v>49</v>
      </c>
      <c r="D1554" s="221" t="s">
        <v>4271</v>
      </c>
      <c r="E1554" s="221" t="s">
        <v>3295</v>
      </c>
      <c r="F1554" s="221" t="s">
        <v>3299</v>
      </c>
      <c r="G1554" s="222">
        <v>45602</v>
      </c>
      <c r="H1554" s="223">
        <v>0.35069444444444442</v>
      </c>
      <c r="I1554" s="221" t="s">
        <v>4916</v>
      </c>
      <c r="J1554" s="221" t="s">
        <v>3024</v>
      </c>
      <c r="K1554" s="224" t="s">
        <v>5137</v>
      </c>
      <c r="L1554" s="225" t="str">
        <f>VLOOKUP(Logfile_S[[#This Row],[Material Name]],Sheet2!B:C,2,0)</f>
        <v>GCI1009</v>
      </c>
      <c r="M1554" s="225" t="str">
        <f>_xlfn.XLOOKUP(Logfile_S[[#This Row],[Material Name]],Sum_WH!E:E,Sum_WH!F:F,"",0)</f>
        <v>Pcs</v>
      </c>
      <c r="N1554" s="221">
        <v>10</v>
      </c>
      <c r="O1554" s="221" t="s">
        <v>1395</v>
      </c>
      <c r="P1554" s="221" t="s">
        <v>1396</v>
      </c>
      <c r="Q1554" s="221"/>
      <c r="R1554" s="221"/>
      <c r="S1554" s="221"/>
      <c r="T1554" s="221" t="s">
        <v>3258</v>
      </c>
      <c r="U1554" s="221">
        <v>0</v>
      </c>
      <c r="V1554" s="221" t="s">
        <v>3337</v>
      </c>
      <c r="W1554" s="221" t="s">
        <v>3338</v>
      </c>
      <c r="X1554" s="221"/>
      <c r="Y1554" s="227"/>
      <c r="Z1554" s="227" t="str">
        <f>P1554</f>
        <v>Candirenggo RW 10 Singosari</v>
      </c>
      <c r="AA1554" s="276" t="e">
        <f>VLOOKUP(Logfile_S[[#This Row],[DO number]],DO_DB!G:I,3,0)</f>
        <v>#N/A</v>
      </c>
      <c r="AB1554" s="331" t="e">
        <f>EXACT(Logfile_S[[#This Row],[date pick]],Logfile_S[[#This Row],[Date]])</f>
        <v>#N/A</v>
      </c>
      <c r="AC15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55" spans="1:29" ht="14.5">
      <c r="A1555" s="220" t="str">
        <f>TEXT(ROW(A1555)-ROW($A$4),"000")</f>
        <v>1551</v>
      </c>
      <c r="B1555" s="221"/>
      <c r="C1555" s="221" t="s">
        <v>49</v>
      </c>
      <c r="D1555" s="221" t="s">
        <v>4271</v>
      </c>
      <c r="E1555" s="221" t="s">
        <v>3295</v>
      </c>
      <c r="F1555" s="221" t="s">
        <v>3299</v>
      </c>
      <c r="G1555" s="222">
        <v>45602</v>
      </c>
      <c r="H1555" s="223">
        <v>0.35069444444444442</v>
      </c>
      <c r="I1555" s="221" t="s">
        <v>4916</v>
      </c>
      <c r="J1555" s="221" t="s">
        <v>3024</v>
      </c>
      <c r="K1555" s="224" t="s">
        <v>3088</v>
      </c>
      <c r="L1555" s="225" t="str">
        <f>VLOOKUP(Logfile_S[[#This Row],[Material Name]],Sheet2!B:C,2,0)</f>
        <v>GCI1002</v>
      </c>
      <c r="M1555" s="225" t="str">
        <f>_xlfn.XLOOKUP(Logfile_S[[#This Row],[Material Name]],Sum_WH!E:E,Sum_WH!F:F,"",0)</f>
        <v>Pcs</v>
      </c>
      <c r="N1555" s="221">
        <v>1</v>
      </c>
      <c r="O1555" s="221" t="s">
        <v>1395</v>
      </c>
      <c r="P1555" s="221" t="s">
        <v>1396</v>
      </c>
      <c r="Q1555" s="221"/>
      <c r="R1555" s="221"/>
      <c r="S1555" s="221"/>
      <c r="T1555" s="221" t="s">
        <v>3258</v>
      </c>
      <c r="U1555" s="221">
        <v>0</v>
      </c>
      <c r="V1555" s="221" t="s">
        <v>3337</v>
      </c>
      <c r="W1555" s="221" t="s">
        <v>3338</v>
      </c>
      <c r="X1555" s="221"/>
      <c r="Y1555" s="227"/>
      <c r="Z1555" s="227" t="str">
        <f>P1555</f>
        <v>Candirenggo RW 10 Singosari</v>
      </c>
      <c r="AA1555" s="276" t="e">
        <f>VLOOKUP(Logfile_S[[#This Row],[DO number]],DO_DB!G:I,3,0)</f>
        <v>#N/A</v>
      </c>
      <c r="AB1555" s="331" t="e">
        <f>EXACT(Logfile_S[[#This Row],[date pick]],Logfile_S[[#This Row],[Date]])</f>
        <v>#N/A</v>
      </c>
      <c r="AC15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56" spans="1:29" ht="14.5">
      <c r="A1556" s="220" t="str">
        <f>TEXT(ROW(A1556)-ROW($A$4),"000")</f>
        <v>1552</v>
      </c>
      <c r="B1556" s="221"/>
      <c r="C1556" s="221" t="s">
        <v>49</v>
      </c>
      <c r="D1556" s="221" t="s">
        <v>4271</v>
      </c>
      <c r="E1556" s="221" t="s">
        <v>3295</v>
      </c>
      <c r="F1556" s="221" t="s">
        <v>3299</v>
      </c>
      <c r="G1556" s="222">
        <v>45602</v>
      </c>
      <c r="H1556" s="223">
        <v>0.35069444444444442</v>
      </c>
      <c r="I1556" s="221" t="s">
        <v>4916</v>
      </c>
      <c r="J1556" s="221" t="s">
        <v>3023</v>
      </c>
      <c r="K1556" s="224" t="s">
        <v>3070</v>
      </c>
      <c r="L1556" s="225" t="str">
        <f>VLOOKUP(Logfile_S[[#This Row],[Material Name]],Sheet2!B:C,2,0)</f>
        <v>ZTE1002</v>
      </c>
      <c r="M1556" s="225" t="str">
        <f>_xlfn.XLOOKUP(Logfile_S[[#This Row],[Material Name]],Sum_WH!E:E,Sum_WH!F:F,"",0)</f>
        <v>Pcs</v>
      </c>
      <c r="N1556" s="221">
        <v>3</v>
      </c>
      <c r="O1556" s="221" t="s">
        <v>1395</v>
      </c>
      <c r="P1556" s="221" t="s">
        <v>1396</v>
      </c>
      <c r="Q1556" s="221"/>
      <c r="R1556" s="221"/>
      <c r="S1556" s="221"/>
      <c r="T1556" s="221" t="s">
        <v>3258</v>
      </c>
      <c r="U1556" s="221">
        <v>0</v>
      </c>
      <c r="V1556" s="221" t="s">
        <v>3337</v>
      </c>
      <c r="W1556" s="221" t="s">
        <v>3338</v>
      </c>
      <c r="X1556" s="221"/>
      <c r="Y1556" s="227"/>
      <c r="Z1556" s="227" t="str">
        <f>P1556</f>
        <v>Candirenggo RW 10 Singosari</v>
      </c>
      <c r="AA1556" s="276" t="e">
        <f>VLOOKUP(Logfile_S[[#This Row],[DO number]],DO_DB!G:I,3,0)</f>
        <v>#N/A</v>
      </c>
      <c r="AB1556" s="331" t="e">
        <f>EXACT(Logfile_S[[#This Row],[date pick]],Logfile_S[[#This Row],[Date]])</f>
        <v>#N/A</v>
      </c>
      <c r="AC15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57" spans="1:29" ht="14.5">
      <c r="A1557" s="220" t="str">
        <f>TEXT(ROW(A1557)-ROW($A$4),"000")</f>
        <v>1553</v>
      </c>
      <c r="B1557" s="221"/>
      <c r="C1557" s="221" t="s">
        <v>49</v>
      </c>
      <c r="D1557" s="221" t="s">
        <v>4271</v>
      </c>
      <c r="E1557" s="221" t="s">
        <v>3295</v>
      </c>
      <c r="F1557" s="221" t="s">
        <v>3299</v>
      </c>
      <c r="G1557" s="222">
        <v>45602</v>
      </c>
      <c r="H1557" s="223">
        <v>0.35069444444444442</v>
      </c>
      <c r="I1557" s="221" t="s">
        <v>4916</v>
      </c>
      <c r="J1557" s="221" t="s">
        <v>3024</v>
      </c>
      <c r="K1557" s="224" t="s">
        <v>3094</v>
      </c>
      <c r="L1557" s="225" t="str">
        <f>VLOOKUP(Logfile_S[[#This Row],[Material Name]],Sheet2!B:C,2,0)</f>
        <v>GCI1008</v>
      </c>
      <c r="M1557" s="225" t="str">
        <f>_xlfn.XLOOKUP(Logfile_S[[#This Row],[Material Name]],Sum_WH!E:E,Sum_WH!F:F,"",0)</f>
        <v>Pcs</v>
      </c>
      <c r="N1557" s="221">
        <v>10</v>
      </c>
      <c r="O1557" s="221" t="s">
        <v>1395</v>
      </c>
      <c r="P1557" s="221" t="s">
        <v>1396</v>
      </c>
      <c r="Q1557" s="221"/>
      <c r="R1557" s="221"/>
      <c r="S1557" s="221"/>
      <c r="T1557" s="221" t="s">
        <v>3258</v>
      </c>
      <c r="U1557" s="221">
        <v>0</v>
      </c>
      <c r="V1557" s="221" t="s">
        <v>3337</v>
      </c>
      <c r="W1557" s="221" t="s">
        <v>3338</v>
      </c>
      <c r="X1557" s="221"/>
      <c r="Y1557" s="227"/>
      <c r="Z1557" s="227" t="str">
        <f>P1557</f>
        <v>Candirenggo RW 10 Singosari</v>
      </c>
      <c r="AA1557" s="276" t="e">
        <f>VLOOKUP(Logfile_S[[#This Row],[DO number]],DO_DB!G:I,3,0)</f>
        <v>#N/A</v>
      </c>
      <c r="AB1557" s="331" t="e">
        <f>EXACT(Logfile_S[[#This Row],[date pick]],Logfile_S[[#This Row],[Date]])</f>
        <v>#N/A</v>
      </c>
      <c r="AC15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58" spans="1:29" ht="14.5">
      <c r="A1558" s="220" t="str">
        <f>TEXT(ROW(A1558)-ROW($A$4),"000")</f>
        <v>1554</v>
      </c>
      <c r="B1558" s="221"/>
      <c r="C1558" s="221" t="s">
        <v>49</v>
      </c>
      <c r="D1558" s="221" t="s">
        <v>4271</v>
      </c>
      <c r="E1558" s="221" t="s">
        <v>3295</v>
      </c>
      <c r="F1558" s="221" t="s">
        <v>3299</v>
      </c>
      <c r="G1558" s="222">
        <v>45602</v>
      </c>
      <c r="H1558" s="223">
        <v>0.35069444444444442</v>
      </c>
      <c r="I1558" s="221" t="s">
        <v>4916</v>
      </c>
      <c r="J1558" s="221" t="s">
        <v>3024</v>
      </c>
      <c r="K1558" s="224" t="s">
        <v>3089</v>
      </c>
      <c r="L1558" s="225" t="str">
        <f>VLOOKUP(Logfile_S[[#This Row],[Material Name]],Sheet2!B:C,2,0)</f>
        <v>GCI1003</v>
      </c>
      <c r="M1558" s="225" t="str">
        <f>_xlfn.XLOOKUP(Logfile_S[[#This Row],[Material Name]],Sum_WH!E:E,Sum_WH!F:F,"",0)</f>
        <v>Pcs</v>
      </c>
      <c r="N1558" s="221">
        <v>38</v>
      </c>
      <c r="O1558" s="221" t="s">
        <v>1395</v>
      </c>
      <c r="P1558" s="221" t="s">
        <v>1396</v>
      </c>
      <c r="Q1558" s="221"/>
      <c r="R1558" s="221"/>
      <c r="S1558" s="221"/>
      <c r="T1558" s="221" t="s">
        <v>3258</v>
      </c>
      <c r="U1558" s="221">
        <v>0</v>
      </c>
      <c r="V1558" s="221" t="s">
        <v>3337</v>
      </c>
      <c r="W1558" s="221" t="s">
        <v>3338</v>
      </c>
      <c r="X1558" s="221"/>
      <c r="Y1558" s="227"/>
      <c r="Z1558" s="227" t="str">
        <f>P1558</f>
        <v>Candirenggo RW 10 Singosari</v>
      </c>
      <c r="AA1558" s="276" t="e">
        <f>VLOOKUP(Logfile_S[[#This Row],[DO number]],DO_DB!G:I,3,0)</f>
        <v>#N/A</v>
      </c>
      <c r="AB1558" s="331" t="e">
        <f>EXACT(Logfile_S[[#This Row],[date pick]],Logfile_S[[#This Row],[Date]])</f>
        <v>#N/A</v>
      </c>
      <c r="AC15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59" spans="1:29" ht="14.5">
      <c r="A1559" s="220" t="str">
        <f>TEXT(ROW(A1559)-ROW($A$4),"000")</f>
        <v>1555</v>
      </c>
      <c r="B1559" s="221"/>
      <c r="C1559" s="221" t="s">
        <v>49</v>
      </c>
      <c r="D1559" s="221" t="s">
        <v>4271</v>
      </c>
      <c r="E1559" s="221" t="s">
        <v>3295</v>
      </c>
      <c r="F1559" s="221" t="s">
        <v>3299</v>
      </c>
      <c r="G1559" s="222">
        <v>45602</v>
      </c>
      <c r="H1559" s="223">
        <v>0.35069444444444442</v>
      </c>
      <c r="I1559" s="221" t="s">
        <v>4916</v>
      </c>
      <c r="J1559" s="221" t="s">
        <v>3024</v>
      </c>
      <c r="K1559" s="224" t="s">
        <v>3090</v>
      </c>
      <c r="L1559" s="225" t="str">
        <f>VLOOKUP(Logfile_S[[#This Row],[Material Name]],Sheet2!B:C,2,0)</f>
        <v>GCI1004</v>
      </c>
      <c r="M1559" s="225" t="str">
        <f>_xlfn.XLOOKUP(Logfile_S[[#This Row],[Material Name]],Sum_WH!E:E,Sum_WH!F:F,"",0)</f>
        <v>Pcs</v>
      </c>
      <c r="N1559" s="221">
        <v>4</v>
      </c>
      <c r="O1559" s="221" t="s">
        <v>1395</v>
      </c>
      <c r="P1559" s="221" t="s">
        <v>1396</v>
      </c>
      <c r="Q1559" s="221"/>
      <c r="R1559" s="221"/>
      <c r="S1559" s="221"/>
      <c r="T1559" s="221" t="s">
        <v>3258</v>
      </c>
      <c r="U1559" s="221">
        <v>0</v>
      </c>
      <c r="V1559" s="221" t="s">
        <v>3337</v>
      </c>
      <c r="W1559" s="221" t="s">
        <v>3338</v>
      </c>
      <c r="X1559" s="221"/>
      <c r="Y1559" s="227"/>
      <c r="Z1559" s="227" t="str">
        <f>P1559</f>
        <v>Candirenggo RW 10 Singosari</v>
      </c>
      <c r="AA1559" s="276" t="e">
        <f>VLOOKUP(Logfile_S[[#This Row],[DO number]],DO_DB!G:I,3,0)</f>
        <v>#N/A</v>
      </c>
      <c r="AB1559" s="331" t="e">
        <f>EXACT(Logfile_S[[#This Row],[date pick]],Logfile_S[[#This Row],[Date]])</f>
        <v>#N/A</v>
      </c>
      <c r="AC15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60" spans="1:29" ht="14.5">
      <c r="A1560" s="220" t="str">
        <f>TEXT(ROW(A1560)-ROW($A$4),"000")</f>
        <v>1556</v>
      </c>
      <c r="B1560" s="221"/>
      <c r="C1560" s="221" t="s">
        <v>49</v>
      </c>
      <c r="D1560" s="221" t="s">
        <v>4273</v>
      </c>
      <c r="E1560" s="221" t="s">
        <v>3295</v>
      </c>
      <c r="F1560" s="221" t="s">
        <v>3299</v>
      </c>
      <c r="G1560" s="222">
        <v>45604</v>
      </c>
      <c r="H1560" s="223">
        <v>0.57152777777777775</v>
      </c>
      <c r="I1560" s="221" t="s">
        <v>4916</v>
      </c>
      <c r="J1560" s="221" t="s">
        <v>3023</v>
      </c>
      <c r="K1560" s="224" t="s">
        <v>3080</v>
      </c>
      <c r="L1560" s="225" t="str">
        <f>VLOOKUP(Logfile_S[[#This Row],[Material Name]],Sheet2!B:C,2,0)</f>
        <v>ZTE2010</v>
      </c>
      <c r="M1560" s="225" t="str">
        <f>_xlfn.XLOOKUP(Logfile_S[[#This Row],[Material Name]],Sum_WH!E:E,Sum_WH!F:F,"",0)</f>
        <v>Pcs</v>
      </c>
      <c r="N1560" s="221">
        <v>2</v>
      </c>
      <c r="O1560" s="221" t="s">
        <v>1395</v>
      </c>
      <c r="P1560" s="221" t="s">
        <v>1396</v>
      </c>
      <c r="Q1560" s="221"/>
      <c r="R1560" s="221"/>
      <c r="S1560" s="221"/>
      <c r="T1560" s="221" t="s">
        <v>3231</v>
      </c>
      <c r="U1560" s="221">
        <v>0</v>
      </c>
      <c r="V1560" s="221" t="s">
        <v>3232</v>
      </c>
      <c r="W1560" s="221" t="s">
        <v>3254</v>
      </c>
      <c r="X1560" s="221"/>
      <c r="Y1560" s="227"/>
      <c r="Z1560" s="227" t="str">
        <f>P1560</f>
        <v>Candirenggo RW 10 Singosari</v>
      </c>
      <c r="AA1560" s="276" t="e">
        <f>VLOOKUP(Logfile_S[[#This Row],[DO number]],DO_DB!G:I,3,0)</f>
        <v>#N/A</v>
      </c>
      <c r="AB1560" s="331" t="e">
        <f>EXACT(Logfile_S[[#This Row],[date pick]],Logfile_S[[#This Row],[Date]])</f>
        <v>#N/A</v>
      </c>
      <c r="AC15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61" spans="1:29" ht="14.5">
      <c r="A1561" s="220" t="str">
        <f>TEXT(ROW(A1561)-ROW($A$4),"000")</f>
        <v>1557</v>
      </c>
      <c r="B1561" s="221"/>
      <c r="C1561" s="221" t="s">
        <v>49</v>
      </c>
      <c r="D1561" s="221" t="s">
        <v>4273</v>
      </c>
      <c r="E1561" s="221" t="s">
        <v>3295</v>
      </c>
      <c r="F1561" s="221" t="s">
        <v>3299</v>
      </c>
      <c r="G1561" s="222">
        <v>45604</v>
      </c>
      <c r="H1561" s="223">
        <v>0.57152777777777775</v>
      </c>
      <c r="I1561" s="221" t="s">
        <v>4916</v>
      </c>
      <c r="J1561" s="221" t="s">
        <v>3023</v>
      </c>
      <c r="K1561" s="224" t="s">
        <v>13</v>
      </c>
      <c r="L1561" s="225" t="str">
        <f>VLOOKUP(Logfile_S[[#This Row],[Material Name]],Sheet2!B:C,2,0)</f>
        <v>ZTE2008</v>
      </c>
      <c r="M1561" s="225" t="str">
        <f>_xlfn.XLOOKUP(Logfile_S[[#This Row],[Material Name]],Sum_WH!E:E,Sum_WH!F:F,"",0)</f>
        <v>Pcs</v>
      </c>
      <c r="N1561" s="221">
        <v>9</v>
      </c>
      <c r="O1561" s="221" t="s">
        <v>1395</v>
      </c>
      <c r="P1561" s="221" t="s">
        <v>1396</v>
      </c>
      <c r="Q1561" s="221"/>
      <c r="R1561" s="221"/>
      <c r="S1561" s="221"/>
      <c r="T1561" s="221" t="s">
        <v>3231</v>
      </c>
      <c r="U1561" s="221">
        <v>0</v>
      </c>
      <c r="V1561" s="221" t="s">
        <v>3232</v>
      </c>
      <c r="W1561" s="221" t="s">
        <v>3254</v>
      </c>
      <c r="X1561" s="221"/>
      <c r="Y1561" s="227"/>
      <c r="Z1561" s="227" t="str">
        <f>P1561</f>
        <v>Candirenggo RW 10 Singosari</v>
      </c>
      <c r="AA1561" s="276" t="e">
        <f>VLOOKUP(Logfile_S[[#This Row],[DO number]],DO_DB!G:I,3,0)</f>
        <v>#N/A</v>
      </c>
      <c r="AB1561" s="331" t="e">
        <f>EXACT(Logfile_S[[#This Row],[date pick]],Logfile_S[[#This Row],[Date]])</f>
        <v>#N/A</v>
      </c>
      <c r="AC15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62" spans="1:29" ht="14.5">
      <c r="A1562" s="220" t="str">
        <f>TEXT(ROW(A1562)-ROW($A$4),"000")</f>
        <v>1558</v>
      </c>
      <c r="B1562" s="221"/>
      <c r="C1562" s="221" t="s">
        <v>49</v>
      </c>
      <c r="D1562" s="221" t="s">
        <v>4273</v>
      </c>
      <c r="E1562" s="221" t="s">
        <v>3295</v>
      </c>
      <c r="F1562" s="221" t="s">
        <v>3299</v>
      </c>
      <c r="G1562" s="222">
        <v>45604</v>
      </c>
      <c r="H1562" s="223">
        <v>0.57152777777777775</v>
      </c>
      <c r="I1562" s="221" t="s">
        <v>4916</v>
      </c>
      <c r="J1562" s="221" t="s">
        <v>3023</v>
      </c>
      <c r="K1562" s="224" t="s">
        <v>14</v>
      </c>
      <c r="L1562" s="225" t="str">
        <f>VLOOKUP(Logfile_S[[#This Row],[Material Name]],Sheet2!B:C,2,0)</f>
        <v>ZTE2005</v>
      </c>
      <c r="M1562" s="225" t="str">
        <f>_xlfn.XLOOKUP(Logfile_S[[#This Row],[Material Name]],Sum_WH!E:E,Sum_WH!F:F,"",0)</f>
        <v>Pcs</v>
      </c>
      <c r="N1562" s="221">
        <v>1</v>
      </c>
      <c r="O1562" s="221" t="s">
        <v>1395</v>
      </c>
      <c r="P1562" s="221" t="s">
        <v>1396</v>
      </c>
      <c r="Q1562" s="221"/>
      <c r="R1562" s="221"/>
      <c r="S1562" s="221"/>
      <c r="T1562" s="221" t="s">
        <v>3231</v>
      </c>
      <c r="U1562" s="221">
        <v>0</v>
      </c>
      <c r="V1562" s="221" t="s">
        <v>3232</v>
      </c>
      <c r="W1562" s="221" t="s">
        <v>3254</v>
      </c>
      <c r="X1562" s="221"/>
      <c r="Y1562" s="227"/>
      <c r="Z1562" s="227" t="str">
        <f>P1562</f>
        <v>Candirenggo RW 10 Singosari</v>
      </c>
      <c r="AA1562" s="276" t="e">
        <f>VLOOKUP(Logfile_S[[#This Row],[DO number]],DO_DB!G:I,3,0)</f>
        <v>#N/A</v>
      </c>
      <c r="AB1562" s="331" t="e">
        <f>EXACT(Logfile_S[[#This Row],[date pick]],Logfile_S[[#This Row],[Date]])</f>
        <v>#N/A</v>
      </c>
      <c r="AC15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63" spans="1:29" ht="14.5">
      <c r="A1563" s="220" t="str">
        <f>TEXT(ROW(A1563)-ROW($A$4),"000")</f>
        <v>1559</v>
      </c>
      <c r="B1563" s="221"/>
      <c r="C1563" s="221" t="s">
        <v>49</v>
      </c>
      <c r="D1563" s="221" t="s">
        <v>4274</v>
      </c>
      <c r="E1563" s="221" t="s">
        <v>3295</v>
      </c>
      <c r="F1563" s="221" t="s">
        <v>3299</v>
      </c>
      <c r="G1563" s="222">
        <v>45605</v>
      </c>
      <c r="H1563" s="223">
        <v>0.35069444444444442</v>
      </c>
      <c r="I1563" s="221" t="s">
        <v>4916</v>
      </c>
      <c r="J1563" s="221" t="s">
        <v>3024</v>
      </c>
      <c r="K1563" s="224" t="s">
        <v>3087</v>
      </c>
      <c r="L1563" s="225" t="str">
        <f>VLOOKUP(Logfile_S[[#This Row],[Material Name]],Sheet2!B:C,2,0)</f>
        <v>GCI1001</v>
      </c>
      <c r="M1563" s="225" t="str">
        <f>_xlfn.XLOOKUP(Logfile_S[[#This Row],[Material Name]],Sum_WH!E:E,Sum_WH!F:F,"",0)</f>
        <v>Pcs</v>
      </c>
      <c r="N1563" s="221">
        <v>5</v>
      </c>
      <c r="O1563" s="221" t="s">
        <v>1395</v>
      </c>
      <c r="P1563" s="221" t="s">
        <v>1396</v>
      </c>
      <c r="Q1563" s="221"/>
      <c r="R1563" s="221"/>
      <c r="S1563" s="221"/>
      <c r="T1563" s="221" t="s">
        <v>3258</v>
      </c>
      <c r="U1563" s="221">
        <v>0</v>
      </c>
      <c r="V1563" s="221" t="s">
        <v>3337</v>
      </c>
      <c r="W1563" s="221" t="s">
        <v>3338</v>
      </c>
      <c r="X1563" s="221"/>
      <c r="Y1563" s="227"/>
      <c r="Z1563" s="227" t="str">
        <f>P1563</f>
        <v>Candirenggo RW 10 Singosari</v>
      </c>
      <c r="AA1563" s="276" t="e">
        <f>VLOOKUP(Logfile_S[[#This Row],[DO number]],DO_DB!G:I,3,0)</f>
        <v>#N/A</v>
      </c>
      <c r="AB1563" s="331" t="e">
        <f>EXACT(Logfile_S[[#This Row],[date pick]],Logfile_S[[#This Row],[Date]])</f>
        <v>#N/A</v>
      </c>
      <c r="AC15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64" spans="1:29" ht="14.5">
      <c r="A1564" s="220" t="str">
        <f>TEXT(ROW(A1564)-ROW($A$4),"000")</f>
        <v>1560</v>
      </c>
      <c r="B1564" s="221"/>
      <c r="C1564" s="221" t="s">
        <v>49</v>
      </c>
      <c r="D1564" s="221" t="s">
        <v>4080</v>
      </c>
      <c r="E1564" s="221" t="s">
        <v>3295</v>
      </c>
      <c r="F1564" s="221" t="s">
        <v>3299</v>
      </c>
      <c r="G1564" s="222">
        <v>45448</v>
      </c>
      <c r="H1564" s="223">
        <v>0.74375000000000002</v>
      </c>
      <c r="I1564" s="221" t="s">
        <v>4916</v>
      </c>
      <c r="J1564" s="221" t="s">
        <v>3023</v>
      </c>
      <c r="K1564" s="224" t="s">
        <v>3073</v>
      </c>
      <c r="L1564" s="225" t="str">
        <f>VLOOKUP(Logfile_S[[#This Row],[Material Name]],Sheet2!B:C,2,0)</f>
        <v>ZTE2001</v>
      </c>
      <c r="M1564" s="225" t="str">
        <f>_xlfn.XLOOKUP(Logfile_S[[#This Row],[Material Name]],Sum_WH!E:E,Sum_WH!F:F,"",0)</f>
        <v>Meter</v>
      </c>
      <c r="N1564" s="221">
        <v>3000</v>
      </c>
      <c r="O1564" s="221" t="s">
        <v>1481</v>
      </c>
      <c r="P1564" s="221" t="s">
        <v>3508</v>
      </c>
      <c r="Q1564" s="221"/>
      <c r="R1564" s="221"/>
      <c r="S1564" s="221"/>
      <c r="T1564" s="221" t="s">
        <v>3258</v>
      </c>
      <c r="U1564" s="221" t="s">
        <v>3228</v>
      </c>
      <c r="V1564" s="221" t="s">
        <v>3337</v>
      </c>
      <c r="W1564" s="221" t="s">
        <v>3507</v>
      </c>
      <c r="X1564" s="221"/>
      <c r="Y1564" s="227"/>
      <c r="Z1564" s="227" t="str">
        <f>P1564</f>
        <v>Dusun Turi Kucur</v>
      </c>
      <c r="AA1564" s="276" t="e">
        <f>VLOOKUP(Logfile_S[[#This Row],[DO number]],DO_DB!G:I,3,0)</f>
        <v>#N/A</v>
      </c>
      <c r="AB1564" s="331" t="e">
        <f>EXACT(Logfile_S[[#This Row],[date pick]],Logfile_S[[#This Row],[Date]])</f>
        <v>#N/A</v>
      </c>
      <c r="AC15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65" spans="1:29" ht="14.5">
      <c r="A1565" s="220" t="str">
        <f>TEXT(ROW(A1565)-ROW($A$4),"000")</f>
        <v>1561</v>
      </c>
      <c r="B1565" s="221"/>
      <c r="C1565" s="221" t="s">
        <v>49</v>
      </c>
      <c r="D1565" s="221" t="s">
        <v>4086</v>
      </c>
      <c r="E1565" s="221" t="s">
        <v>3295</v>
      </c>
      <c r="F1565" s="221" t="s">
        <v>3299</v>
      </c>
      <c r="G1565" s="222">
        <v>45454</v>
      </c>
      <c r="H1565" s="223">
        <v>0.58402777777777781</v>
      </c>
      <c r="I1565" s="221" t="s">
        <v>4916</v>
      </c>
      <c r="J1565" s="221" t="s">
        <v>3023</v>
      </c>
      <c r="K1565" s="224" t="s">
        <v>13</v>
      </c>
      <c r="L1565" s="225" t="str">
        <f>VLOOKUP(Logfile_S[[#This Row],[Material Name]],Sheet2!B:C,2,0)</f>
        <v>ZTE2008</v>
      </c>
      <c r="M1565" s="225" t="str">
        <f>_xlfn.XLOOKUP(Logfile_S[[#This Row],[Material Name]],Sum_WH!E:E,Sum_WH!F:F,"",0)</f>
        <v>Pcs</v>
      </c>
      <c r="N1565" s="221">
        <v>7</v>
      </c>
      <c r="O1565" s="221" t="s">
        <v>1481</v>
      </c>
      <c r="P1565" s="221" t="s">
        <v>3508</v>
      </c>
      <c r="Q1565" s="221"/>
      <c r="R1565" s="221"/>
      <c r="S1565" s="221"/>
      <c r="T1565" s="221" t="s">
        <v>3411</v>
      </c>
      <c r="U1565" s="221">
        <v>0</v>
      </c>
      <c r="V1565" s="221">
        <v>0</v>
      </c>
      <c r="W1565" s="221" t="s">
        <v>3412</v>
      </c>
      <c r="X1565" s="221"/>
      <c r="Y1565" s="227"/>
      <c r="Z1565" s="227" t="str">
        <f>P1565</f>
        <v>Dusun Turi Kucur</v>
      </c>
      <c r="AA1565" s="276" t="e">
        <f>VLOOKUP(Logfile_S[[#This Row],[DO number]],DO_DB!G:I,3,0)</f>
        <v>#N/A</v>
      </c>
      <c r="AB1565" s="331" t="e">
        <f>EXACT(Logfile_S[[#This Row],[date pick]],Logfile_S[[#This Row],[Date]])</f>
        <v>#N/A</v>
      </c>
      <c r="AC15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66" spans="1:29" ht="14.5">
      <c r="A1566" s="220" t="str">
        <f>TEXT(ROW(A1566)-ROW($A$4),"000")</f>
        <v>1562</v>
      </c>
      <c r="B1566" s="221"/>
      <c r="C1566" s="221" t="s">
        <v>49</v>
      </c>
      <c r="D1566" s="221" t="s">
        <v>4060</v>
      </c>
      <c r="E1566" s="221" t="s">
        <v>3295</v>
      </c>
      <c r="F1566" s="221" t="s">
        <v>3299</v>
      </c>
      <c r="G1566" s="222">
        <v>45437</v>
      </c>
      <c r="H1566" s="223">
        <v>0.40277777777777773</v>
      </c>
      <c r="I1566" s="221" t="s">
        <v>4916</v>
      </c>
      <c r="J1566" s="221" t="s">
        <v>3024</v>
      </c>
      <c r="K1566" s="224" t="s">
        <v>5137</v>
      </c>
      <c r="L1566" s="225" t="str">
        <f>VLOOKUP(Logfile_S[[#This Row],[Material Name]],Sheet2!B:C,2,0)</f>
        <v>GCI1009</v>
      </c>
      <c r="M1566" s="225" t="str">
        <f>_xlfn.XLOOKUP(Logfile_S[[#This Row],[Material Name]],Sum_WH!E:E,Sum_WH!F:F,"",0)</f>
        <v>Pcs</v>
      </c>
      <c r="N1566" s="221">
        <v>162</v>
      </c>
      <c r="O1566" s="221" t="s">
        <v>1493</v>
      </c>
      <c r="P1566" s="221" t="s">
        <v>1494</v>
      </c>
      <c r="Q1566" s="221"/>
      <c r="R1566" s="221"/>
      <c r="S1566" s="221"/>
      <c r="T1566" s="221" t="s">
        <v>3258</v>
      </c>
      <c r="U1566" s="221" t="s">
        <v>3228</v>
      </c>
      <c r="V1566" s="221" t="s">
        <v>3337</v>
      </c>
      <c r="W1566" s="221" t="s">
        <v>3338</v>
      </c>
      <c r="X1566" s="221"/>
      <c r="Y1566" s="227"/>
      <c r="Z1566" s="227" t="str">
        <f>P1566</f>
        <v>Dusun Krajan Kucur</v>
      </c>
      <c r="AA1566" s="276" t="e">
        <f>VLOOKUP(Logfile_S[[#This Row],[DO number]],DO_DB!G:I,3,0)</f>
        <v>#N/A</v>
      </c>
      <c r="AB1566" s="331" t="e">
        <f>EXACT(Logfile_S[[#This Row],[date pick]],Logfile_S[[#This Row],[Date]])</f>
        <v>#N/A</v>
      </c>
      <c r="AC15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67" spans="1:29" ht="14.5">
      <c r="A1567" s="220" t="str">
        <f>TEXT(ROW(A1567)-ROW($A$4),"000")</f>
        <v>1563</v>
      </c>
      <c r="B1567" s="221"/>
      <c r="C1567" s="221" t="s">
        <v>49</v>
      </c>
      <c r="D1567" s="221" t="s">
        <v>4060</v>
      </c>
      <c r="E1567" s="221" t="s">
        <v>3295</v>
      </c>
      <c r="F1567" s="221" t="s">
        <v>3299</v>
      </c>
      <c r="G1567" s="222">
        <v>45437</v>
      </c>
      <c r="H1567" s="223">
        <v>0.40277777777777773</v>
      </c>
      <c r="I1567" s="221" t="s">
        <v>4916</v>
      </c>
      <c r="J1567" s="221" t="s">
        <v>3024</v>
      </c>
      <c r="K1567" s="224" t="s">
        <v>3088</v>
      </c>
      <c r="L1567" s="225" t="str">
        <f>VLOOKUP(Logfile_S[[#This Row],[Material Name]],Sheet2!B:C,2,0)</f>
        <v>GCI1002</v>
      </c>
      <c r="M1567" s="225" t="str">
        <f>_xlfn.XLOOKUP(Logfile_S[[#This Row],[Material Name]],Sum_WH!E:E,Sum_WH!F:F,"",0)</f>
        <v>Pcs</v>
      </c>
      <c r="N1567" s="221">
        <v>1</v>
      </c>
      <c r="O1567" s="221" t="s">
        <v>1493</v>
      </c>
      <c r="P1567" s="221" t="s">
        <v>1494</v>
      </c>
      <c r="Q1567" s="221"/>
      <c r="R1567" s="221"/>
      <c r="S1567" s="221"/>
      <c r="T1567" s="221" t="s">
        <v>3258</v>
      </c>
      <c r="U1567" s="221" t="s">
        <v>3228</v>
      </c>
      <c r="V1567" s="221" t="s">
        <v>3337</v>
      </c>
      <c r="W1567" s="221" t="s">
        <v>3338</v>
      </c>
      <c r="X1567" s="221"/>
      <c r="Y1567" s="227"/>
      <c r="Z1567" s="227" t="str">
        <f>P1567</f>
        <v>Dusun Krajan Kucur</v>
      </c>
      <c r="AA1567" s="276" t="e">
        <f>VLOOKUP(Logfile_S[[#This Row],[DO number]],DO_DB!G:I,3,0)</f>
        <v>#N/A</v>
      </c>
      <c r="AB1567" s="331" t="e">
        <f>EXACT(Logfile_S[[#This Row],[date pick]],Logfile_S[[#This Row],[Date]])</f>
        <v>#N/A</v>
      </c>
      <c r="AC15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68" spans="1:29" ht="14.5">
      <c r="A1568" s="220" t="str">
        <f>TEXT(ROW(A1568)-ROW($A$4),"000")</f>
        <v>1564</v>
      </c>
      <c r="B1568" s="221"/>
      <c r="C1568" s="221" t="s">
        <v>49</v>
      </c>
      <c r="D1568" s="221" t="s">
        <v>4062</v>
      </c>
      <c r="E1568" s="221" t="s">
        <v>3295</v>
      </c>
      <c r="F1568" s="221" t="s">
        <v>3299</v>
      </c>
      <c r="G1568" s="222">
        <v>45437</v>
      </c>
      <c r="H1568" s="223">
        <v>0.71180555555555547</v>
      </c>
      <c r="I1568" s="221" t="s">
        <v>4916</v>
      </c>
      <c r="J1568" s="221" t="s">
        <v>3023</v>
      </c>
      <c r="K1568" s="224" t="s">
        <v>3070</v>
      </c>
      <c r="L1568" s="225" t="str">
        <f>VLOOKUP(Logfile_S[[#This Row],[Material Name]],Sheet2!B:C,2,0)</f>
        <v>ZTE1002</v>
      </c>
      <c r="M1568" s="225" t="str">
        <f>_xlfn.XLOOKUP(Logfile_S[[#This Row],[Material Name]],Sum_WH!E:E,Sum_WH!F:F,"",0)</f>
        <v>Pcs</v>
      </c>
      <c r="N1568" s="221">
        <v>24</v>
      </c>
      <c r="O1568" s="221" t="s">
        <v>1493</v>
      </c>
      <c r="P1568" s="221" t="s">
        <v>1494</v>
      </c>
      <c r="Q1568" s="221"/>
      <c r="R1568" s="221"/>
      <c r="S1568" s="221"/>
      <c r="T1568" s="221" t="s">
        <v>3258</v>
      </c>
      <c r="U1568" s="221" t="s">
        <v>3228</v>
      </c>
      <c r="V1568" s="221" t="s">
        <v>3337</v>
      </c>
      <c r="W1568" s="221" t="s">
        <v>3338</v>
      </c>
      <c r="X1568" s="221"/>
      <c r="Y1568" s="227"/>
      <c r="Z1568" s="227" t="str">
        <f>P1568</f>
        <v>Dusun Krajan Kucur</v>
      </c>
      <c r="AA1568" s="276" t="e">
        <f>VLOOKUP(Logfile_S[[#This Row],[DO number]],DO_DB!G:I,3,0)</f>
        <v>#N/A</v>
      </c>
      <c r="AB1568" s="331" t="e">
        <f>EXACT(Logfile_S[[#This Row],[date pick]],Logfile_S[[#This Row],[Date]])</f>
        <v>#N/A</v>
      </c>
      <c r="AC15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69" spans="1:29" ht="14.5">
      <c r="A1569" s="220" t="str">
        <f>TEXT(ROW(A1569)-ROW($A$4),"000")</f>
        <v>1565</v>
      </c>
      <c r="B1569" s="221"/>
      <c r="C1569" s="221" t="s">
        <v>49</v>
      </c>
      <c r="D1569" s="221" t="s">
        <v>4063</v>
      </c>
      <c r="E1569" s="221" t="s">
        <v>3295</v>
      </c>
      <c r="F1569" s="221" t="s">
        <v>3299</v>
      </c>
      <c r="G1569" s="222">
        <v>45437</v>
      </c>
      <c r="H1569" s="223">
        <v>0.75</v>
      </c>
      <c r="I1569" s="221" t="s">
        <v>4916</v>
      </c>
      <c r="J1569" s="221" t="s">
        <v>3023</v>
      </c>
      <c r="K1569" s="224" t="s">
        <v>3069</v>
      </c>
      <c r="L1569" s="225" t="str">
        <f>VLOOKUP(Logfile_S[[#This Row],[Material Name]],Sheet2!B:C,2,0)</f>
        <v>ZTE1001</v>
      </c>
      <c r="M1569" s="225" t="str">
        <f>_xlfn.XLOOKUP(Logfile_S[[#This Row],[Material Name]],Sum_WH!E:E,Sum_WH!F:F,"",0)</f>
        <v>Pcs</v>
      </c>
      <c r="N1569" s="221">
        <v>2</v>
      </c>
      <c r="O1569" s="221" t="s">
        <v>1493</v>
      </c>
      <c r="P1569" s="221" t="s">
        <v>1494</v>
      </c>
      <c r="Q1569" s="221"/>
      <c r="R1569" s="221"/>
      <c r="S1569" s="221"/>
      <c r="T1569" s="221" t="s">
        <v>3233</v>
      </c>
      <c r="U1569" s="221">
        <v>0</v>
      </c>
      <c r="V1569" s="221">
        <v>0</v>
      </c>
      <c r="W1569" s="221">
        <v>0</v>
      </c>
      <c r="X1569" s="221" t="s">
        <v>3588</v>
      </c>
      <c r="Y1569" s="227"/>
      <c r="Z1569" s="227" t="str">
        <f>P1569</f>
        <v>Dusun Krajan Kucur</v>
      </c>
      <c r="AA1569" s="276" t="e">
        <f>VLOOKUP(Logfile_S[[#This Row],[DO number]],DO_DB!G:I,3,0)</f>
        <v>#N/A</v>
      </c>
      <c r="AB1569" s="331" t="e">
        <f>EXACT(Logfile_S[[#This Row],[date pick]],Logfile_S[[#This Row],[Date]])</f>
        <v>#N/A</v>
      </c>
      <c r="AC15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70" spans="1:29" ht="14.5">
      <c r="A1570" s="220" t="str">
        <f>TEXT(ROW(A1570)-ROW($A$4),"000")</f>
        <v>1566</v>
      </c>
      <c r="B1570" s="221"/>
      <c r="C1570" s="221" t="s">
        <v>49</v>
      </c>
      <c r="D1570" s="221" t="s">
        <v>4062</v>
      </c>
      <c r="E1570" s="221" t="s">
        <v>3295</v>
      </c>
      <c r="F1570" s="221" t="s">
        <v>3299</v>
      </c>
      <c r="G1570" s="222">
        <v>45437</v>
      </c>
      <c r="H1570" s="223">
        <v>0.71180555555555547</v>
      </c>
      <c r="I1570" s="221" t="s">
        <v>4916</v>
      </c>
      <c r="J1570" s="221" t="s">
        <v>3023</v>
      </c>
      <c r="K1570" s="224" t="s">
        <v>3069</v>
      </c>
      <c r="L1570" s="225" t="str">
        <f>VLOOKUP(Logfile_S[[#This Row],[Material Name]],Sheet2!B:C,2,0)</f>
        <v>ZTE1001</v>
      </c>
      <c r="M1570" s="225" t="str">
        <f>_xlfn.XLOOKUP(Logfile_S[[#This Row],[Material Name]],Sum_WH!E:E,Sum_WH!F:F,"",0)</f>
        <v>Pcs</v>
      </c>
      <c r="N1570" s="221">
        <v>82</v>
      </c>
      <c r="O1570" s="221" t="s">
        <v>1493</v>
      </c>
      <c r="P1570" s="221" t="s">
        <v>1494</v>
      </c>
      <c r="Q1570" s="221"/>
      <c r="R1570" s="221"/>
      <c r="S1570" s="221"/>
      <c r="T1570" s="221" t="s">
        <v>3258</v>
      </c>
      <c r="U1570" s="221" t="s">
        <v>3228</v>
      </c>
      <c r="V1570" s="221" t="s">
        <v>3337</v>
      </c>
      <c r="W1570" s="221" t="s">
        <v>3338</v>
      </c>
      <c r="X1570" s="221"/>
      <c r="Y1570" s="227"/>
      <c r="Z1570" s="227" t="str">
        <f>P1570</f>
        <v>Dusun Krajan Kucur</v>
      </c>
      <c r="AA1570" s="276" t="e">
        <f>VLOOKUP(Logfile_S[[#This Row],[DO number]],DO_DB!G:I,3,0)</f>
        <v>#N/A</v>
      </c>
      <c r="AB1570" s="331" t="e">
        <f>EXACT(Logfile_S[[#This Row],[date pick]],Logfile_S[[#This Row],[Date]])</f>
        <v>#N/A</v>
      </c>
      <c r="AC15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71" spans="1:29" ht="14.5">
      <c r="A1571" s="220" t="str">
        <f>TEXT(ROW(A1571)-ROW($A$4),"000")</f>
        <v>1567</v>
      </c>
      <c r="B1571" s="221"/>
      <c r="C1571" s="221" t="s">
        <v>49</v>
      </c>
      <c r="D1571" s="221" t="s">
        <v>4060</v>
      </c>
      <c r="E1571" s="221" t="s">
        <v>3295</v>
      </c>
      <c r="F1571" s="221" t="s">
        <v>3299</v>
      </c>
      <c r="G1571" s="222">
        <v>45437</v>
      </c>
      <c r="H1571" s="223">
        <v>0.40277777777777773</v>
      </c>
      <c r="I1571" s="221" t="s">
        <v>4916</v>
      </c>
      <c r="J1571" s="221" t="s">
        <v>3023</v>
      </c>
      <c r="K1571" s="224" t="s">
        <v>3069</v>
      </c>
      <c r="L1571" s="225" t="str">
        <f>VLOOKUP(Logfile_S[[#This Row],[Material Name]],Sheet2!B:C,2,0)</f>
        <v>ZTE1001</v>
      </c>
      <c r="M1571" s="225" t="str">
        <f>_xlfn.XLOOKUP(Logfile_S[[#This Row],[Material Name]],Sum_WH!E:E,Sum_WH!F:F,"",0)</f>
        <v>Pcs</v>
      </c>
      <c r="N1571" s="221">
        <v>131</v>
      </c>
      <c r="O1571" s="221" t="s">
        <v>1493</v>
      </c>
      <c r="P1571" s="221" t="s">
        <v>1494</v>
      </c>
      <c r="Q1571" s="221"/>
      <c r="R1571" s="221"/>
      <c r="S1571" s="221"/>
      <c r="T1571" s="221" t="s">
        <v>3258</v>
      </c>
      <c r="U1571" s="221" t="s">
        <v>3228</v>
      </c>
      <c r="V1571" s="221" t="s">
        <v>3337</v>
      </c>
      <c r="W1571" s="221" t="s">
        <v>3338</v>
      </c>
      <c r="X1571" s="221"/>
      <c r="Y1571" s="227"/>
      <c r="Z1571" s="227" t="str">
        <f>P1571</f>
        <v>Dusun Krajan Kucur</v>
      </c>
      <c r="AA1571" s="276" t="e">
        <f>VLOOKUP(Logfile_S[[#This Row],[DO number]],DO_DB!G:I,3,0)</f>
        <v>#N/A</v>
      </c>
      <c r="AB1571" s="331" t="e">
        <f>EXACT(Logfile_S[[#This Row],[date pick]],Logfile_S[[#This Row],[Date]])</f>
        <v>#N/A</v>
      </c>
      <c r="AC15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72" spans="1:29" ht="14.5">
      <c r="A1572" s="220" t="str">
        <f>TEXT(ROW(A1572)-ROW($A$4),"000")</f>
        <v>1568</v>
      </c>
      <c r="B1572" s="221"/>
      <c r="C1572" s="221" t="s">
        <v>49</v>
      </c>
      <c r="D1572" s="221" t="s">
        <v>4060</v>
      </c>
      <c r="E1572" s="221" t="s">
        <v>3295</v>
      </c>
      <c r="F1572" s="221" t="s">
        <v>3299</v>
      </c>
      <c r="G1572" s="222">
        <v>45437</v>
      </c>
      <c r="H1572" s="223">
        <v>0.40277777777777773</v>
      </c>
      <c r="I1572" s="221" t="s">
        <v>4916</v>
      </c>
      <c r="J1572" s="221" t="s">
        <v>3024</v>
      </c>
      <c r="K1572" s="224" t="s">
        <v>3094</v>
      </c>
      <c r="L1572" s="225" t="str">
        <f>VLOOKUP(Logfile_S[[#This Row],[Material Name]],Sheet2!B:C,2,0)</f>
        <v>GCI1008</v>
      </c>
      <c r="M1572" s="225" t="str">
        <f>_xlfn.XLOOKUP(Logfile_S[[#This Row],[Material Name]],Sum_WH!E:E,Sum_WH!F:F,"",0)</f>
        <v>Pcs</v>
      </c>
      <c r="N1572" s="221">
        <v>60</v>
      </c>
      <c r="O1572" s="221" t="s">
        <v>1493</v>
      </c>
      <c r="P1572" s="221" t="s">
        <v>1494</v>
      </c>
      <c r="Q1572" s="221"/>
      <c r="R1572" s="221"/>
      <c r="S1572" s="221"/>
      <c r="T1572" s="221" t="s">
        <v>3258</v>
      </c>
      <c r="U1572" s="221" t="s">
        <v>3228</v>
      </c>
      <c r="V1572" s="221" t="s">
        <v>3337</v>
      </c>
      <c r="W1572" s="221" t="s">
        <v>3338</v>
      </c>
      <c r="X1572" s="221"/>
      <c r="Y1572" s="227"/>
      <c r="Z1572" s="227" t="str">
        <f>P1572</f>
        <v>Dusun Krajan Kucur</v>
      </c>
      <c r="AA1572" s="276" t="e">
        <f>VLOOKUP(Logfile_S[[#This Row],[DO number]],DO_DB!G:I,3,0)</f>
        <v>#N/A</v>
      </c>
      <c r="AB1572" s="331" t="e">
        <f>EXACT(Logfile_S[[#This Row],[date pick]],Logfile_S[[#This Row],[Date]])</f>
        <v>#N/A</v>
      </c>
      <c r="AC15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73" spans="1:29" ht="14.5">
      <c r="A1573" s="220" t="str">
        <f>TEXT(ROW(A1573)-ROW($A$4),"000")</f>
        <v>1569</v>
      </c>
      <c r="B1573" s="221"/>
      <c r="C1573" s="221" t="s">
        <v>49</v>
      </c>
      <c r="D1573" s="221" t="s">
        <v>4060</v>
      </c>
      <c r="E1573" s="221" t="s">
        <v>3295</v>
      </c>
      <c r="F1573" s="221" t="s">
        <v>3299</v>
      </c>
      <c r="G1573" s="222">
        <v>45437</v>
      </c>
      <c r="H1573" s="223">
        <v>0.40277777777777773</v>
      </c>
      <c r="I1573" s="221" t="s">
        <v>4916</v>
      </c>
      <c r="J1573" s="221" t="s">
        <v>3024</v>
      </c>
      <c r="K1573" s="224" t="s">
        <v>3089</v>
      </c>
      <c r="L1573" s="225" t="str">
        <f>VLOOKUP(Logfile_S[[#This Row],[Material Name]],Sheet2!B:C,2,0)</f>
        <v>GCI1003</v>
      </c>
      <c r="M1573" s="225" t="str">
        <f>_xlfn.XLOOKUP(Logfile_S[[#This Row],[Material Name]],Sum_WH!E:E,Sum_WH!F:F,"",0)</f>
        <v>Pcs</v>
      </c>
      <c r="N1573" s="221">
        <v>100</v>
      </c>
      <c r="O1573" s="221" t="s">
        <v>1493</v>
      </c>
      <c r="P1573" s="221" t="s">
        <v>1494</v>
      </c>
      <c r="Q1573" s="221"/>
      <c r="R1573" s="221"/>
      <c r="S1573" s="221"/>
      <c r="T1573" s="221" t="s">
        <v>3258</v>
      </c>
      <c r="U1573" s="221" t="s">
        <v>3228</v>
      </c>
      <c r="V1573" s="221" t="s">
        <v>3337</v>
      </c>
      <c r="W1573" s="221" t="s">
        <v>3338</v>
      </c>
      <c r="X1573" s="221"/>
      <c r="Y1573" s="227"/>
      <c r="Z1573" s="227" t="str">
        <f>P1573</f>
        <v>Dusun Krajan Kucur</v>
      </c>
      <c r="AA1573" s="276" t="e">
        <f>VLOOKUP(Logfile_S[[#This Row],[DO number]],DO_DB!G:I,3,0)</f>
        <v>#N/A</v>
      </c>
      <c r="AB1573" s="331" t="e">
        <f>EXACT(Logfile_S[[#This Row],[date pick]],Logfile_S[[#This Row],[Date]])</f>
        <v>#N/A</v>
      </c>
      <c r="AC15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74" spans="1:29" ht="14.5">
      <c r="A1574" s="220" t="str">
        <f>TEXT(ROW(A1574)-ROW($A$4),"000")</f>
        <v>1570</v>
      </c>
      <c r="B1574" s="221"/>
      <c r="C1574" s="221" t="s">
        <v>49</v>
      </c>
      <c r="D1574" s="221" t="s">
        <v>4060</v>
      </c>
      <c r="E1574" s="221" t="s">
        <v>3295</v>
      </c>
      <c r="F1574" s="221" t="s">
        <v>3299</v>
      </c>
      <c r="G1574" s="222">
        <v>45437</v>
      </c>
      <c r="H1574" s="223">
        <v>0.40277777777777773</v>
      </c>
      <c r="I1574" s="221" t="s">
        <v>4916</v>
      </c>
      <c r="J1574" s="221" t="s">
        <v>3024</v>
      </c>
      <c r="K1574" s="224" t="s">
        <v>3090</v>
      </c>
      <c r="L1574" s="225" t="str">
        <f>VLOOKUP(Logfile_S[[#This Row],[Material Name]],Sheet2!B:C,2,0)</f>
        <v>GCI1004</v>
      </c>
      <c r="M1574" s="225" t="str">
        <f>_xlfn.XLOOKUP(Logfile_S[[#This Row],[Material Name]],Sum_WH!E:E,Sum_WH!F:F,"",0)</f>
        <v>Pcs</v>
      </c>
      <c r="N1574" s="221">
        <v>64</v>
      </c>
      <c r="O1574" s="221" t="s">
        <v>1493</v>
      </c>
      <c r="P1574" s="221" t="s">
        <v>1494</v>
      </c>
      <c r="Q1574" s="221"/>
      <c r="R1574" s="221"/>
      <c r="S1574" s="221"/>
      <c r="T1574" s="221" t="s">
        <v>3258</v>
      </c>
      <c r="U1574" s="221" t="s">
        <v>3228</v>
      </c>
      <c r="V1574" s="221" t="s">
        <v>3337</v>
      </c>
      <c r="W1574" s="221" t="s">
        <v>3338</v>
      </c>
      <c r="X1574" s="221"/>
      <c r="Y1574" s="227"/>
      <c r="Z1574" s="227" t="str">
        <f>P1574</f>
        <v>Dusun Krajan Kucur</v>
      </c>
      <c r="AA1574" s="276" t="e">
        <f>VLOOKUP(Logfile_S[[#This Row],[DO number]],DO_DB!G:I,3,0)</f>
        <v>#N/A</v>
      </c>
      <c r="AB1574" s="331" t="e">
        <f>EXACT(Logfile_S[[#This Row],[date pick]],Logfile_S[[#This Row],[Date]])</f>
        <v>#N/A</v>
      </c>
      <c r="AC15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75" spans="1:29" ht="14.5">
      <c r="A1575" s="220" t="str">
        <f>TEXT(ROW(A1575)-ROW($A$4),"000")</f>
        <v>1571</v>
      </c>
      <c r="B1575" s="221"/>
      <c r="C1575" s="221" t="s">
        <v>49</v>
      </c>
      <c r="D1575" s="221" t="s">
        <v>4065</v>
      </c>
      <c r="E1575" s="221" t="s">
        <v>3295</v>
      </c>
      <c r="F1575" s="221" t="s">
        <v>3299</v>
      </c>
      <c r="G1575" s="222">
        <v>45439</v>
      </c>
      <c r="H1575" s="223">
        <v>0.79166666666666663</v>
      </c>
      <c r="I1575" s="221" t="s">
        <v>4916</v>
      </c>
      <c r="J1575" s="221" t="s">
        <v>3023</v>
      </c>
      <c r="K1575" s="224" t="s">
        <v>3073</v>
      </c>
      <c r="L1575" s="225" t="str">
        <f>VLOOKUP(Logfile_S[[#This Row],[Material Name]],Sheet2!B:C,2,0)</f>
        <v>ZTE2001</v>
      </c>
      <c r="M1575" s="225" t="str">
        <f>_xlfn.XLOOKUP(Logfile_S[[#This Row],[Material Name]],Sum_WH!E:E,Sum_WH!F:F,"",0)</f>
        <v>Meter</v>
      </c>
      <c r="N1575" s="221">
        <v>3000</v>
      </c>
      <c r="O1575" s="221" t="s">
        <v>1493</v>
      </c>
      <c r="P1575" s="221" t="s">
        <v>1494</v>
      </c>
      <c r="Q1575" s="221"/>
      <c r="R1575" s="221"/>
      <c r="S1575" s="221"/>
      <c r="T1575" s="221" t="s">
        <v>3258</v>
      </c>
      <c r="U1575" s="221" t="s">
        <v>3228</v>
      </c>
      <c r="V1575" s="221" t="s">
        <v>3337</v>
      </c>
      <c r="W1575" s="221" t="s">
        <v>3338</v>
      </c>
      <c r="X1575" s="221" t="s">
        <v>3612</v>
      </c>
      <c r="Y1575" s="227"/>
      <c r="Z1575" s="227" t="str">
        <f>P1575</f>
        <v>Dusun Krajan Kucur</v>
      </c>
      <c r="AA1575" s="276" t="e">
        <f>VLOOKUP(Logfile_S[[#This Row],[DO number]],DO_DB!G:I,3,0)</f>
        <v>#N/A</v>
      </c>
      <c r="AB1575" s="331" t="e">
        <f>EXACT(Logfile_S[[#This Row],[date pick]],Logfile_S[[#This Row],[Date]])</f>
        <v>#N/A</v>
      </c>
      <c r="AC15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76" spans="1:29" ht="14.5">
      <c r="A1576" s="220" t="str">
        <f>TEXT(ROW(A1576)-ROW($A$4),"000")</f>
        <v>1572</v>
      </c>
      <c r="B1576" s="221"/>
      <c r="C1576" s="221" t="s">
        <v>49</v>
      </c>
      <c r="D1576" s="221" t="s">
        <v>4065</v>
      </c>
      <c r="E1576" s="221" t="s">
        <v>3295</v>
      </c>
      <c r="F1576" s="221" t="s">
        <v>3299</v>
      </c>
      <c r="G1576" s="222">
        <v>45439</v>
      </c>
      <c r="H1576" s="223">
        <v>0.79166666666666663</v>
      </c>
      <c r="I1576" s="221" t="s">
        <v>4916</v>
      </c>
      <c r="J1576" s="221" t="s">
        <v>3023</v>
      </c>
      <c r="K1576" s="224" t="s">
        <v>3075</v>
      </c>
      <c r="L1576" s="225" t="str">
        <f>VLOOKUP(Logfile_S[[#This Row],[Material Name]],Sheet2!B:C,2,0)</f>
        <v>ZTE2003</v>
      </c>
      <c r="M1576" s="225" t="str">
        <f>_xlfn.XLOOKUP(Logfile_S[[#This Row],[Material Name]],Sum_WH!E:E,Sum_WH!F:F,"",0)</f>
        <v>Meter</v>
      </c>
      <c r="N1576" s="221">
        <v>3000</v>
      </c>
      <c r="O1576" s="221" t="s">
        <v>1493</v>
      </c>
      <c r="P1576" s="221" t="s">
        <v>1494</v>
      </c>
      <c r="Q1576" s="221"/>
      <c r="R1576" s="221"/>
      <c r="S1576" s="221"/>
      <c r="T1576" s="221" t="s">
        <v>3258</v>
      </c>
      <c r="U1576" s="221" t="s">
        <v>3228</v>
      </c>
      <c r="V1576" s="221" t="s">
        <v>3337</v>
      </c>
      <c r="W1576" s="221" t="s">
        <v>3338</v>
      </c>
      <c r="X1576" s="221" t="s">
        <v>3557</v>
      </c>
      <c r="Y1576" s="227"/>
      <c r="Z1576" s="227" t="str">
        <f>P1576</f>
        <v>Dusun Krajan Kucur</v>
      </c>
      <c r="AA1576" s="276" t="e">
        <f>VLOOKUP(Logfile_S[[#This Row],[DO number]],DO_DB!G:I,3,0)</f>
        <v>#N/A</v>
      </c>
      <c r="AB1576" s="331" t="e">
        <f>EXACT(Logfile_S[[#This Row],[date pick]],Logfile_S[[#This Row],[Date]])</f>
        <v>#N/A</v>
      </c>
      <c r="AC15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77" spans="1:29" ht="14.5">
      <c r="A1577" s="220" t="str">
        <f>TEXT(ROW(A1577)-ROW($A$4),"000")</f>
        <v>1573</v>
      </c>
      <c r="B1577" s="221"/>
      <c r="C1577" s="221" t="s">
        <v>49</v>
      </c>
      <c r="D1577" s="221" t="s">
        <v>4066</v>
      </c>
      <c r="E1577" s="221" t="s">
        <v>3295</v>
      </c>
      <c r="F1577" s="221" t="s">
        <v>3299</v>
      </c>
      <c r="G1577" s="222">
        <v>45440</v>
      </c>
      <c r="H1577" s="223">
        <v>0.53125</v>
      </c>
      <c r="I1577" s="221" t="s">
        <v>4916</v>
      </c>
      <c r="J1577" s="221" t="s">
        <v>3023</v>
      </c>
      <c r="K1577" s="224" t="s">
        <v>3080</v>
      </c>
      <c r="L1577" s="225" t="str">
        <f>VLOOKUP(Logfile_S[[#This Row],[Material Name]],Sheet2!B:C,2,0)</f>
        <v>ZTE2010</v>
      </c>
      <c r="M1577" s="225" t="str">
        <f>_xlfn.XLOOKUP(Logfile_S[[#This Row],[Material Name]],Sum_WH!E:E,Sum_WH!F:F,"",0)</f>
        <v>Pcs</v>
      </c>
      <c r="N1577" s="221">
        <v>2</v>
      </c>
      <c r="O1577" s="221" t="s">
        <v>1493</v>
      </c>
      <c r="P1577" s="221" t="s">
        <v>1494</v>
      </c>
      <c r="Q1577" s="221"/>
      <c r="R1577" s="221"/>
      <c r="S1577" s="221"/>
      <c r="T1577" s="221" t="s">
        <v>3356</v>
      </c>
      <c r="U1577" s="221" t="s">
        <v>3228</v>
      </c>
      <c r="V1577" s="221" t="s">
        <v>3357</v>
      </c>
      <c r="W1577" s="221" t="s">
        <v>3358</v>
      </c>
      <c r="X1577" s="221"/>
      <c r="Y1577" s="227"/>
      <c r="Z1577" s="227" t="str">
        <f>P1577</f>
        <v>Dusun Krajan Kucur</v>
      </c>
      <c r="AA1577" s="276" t="e">
        <f>VLOOKUP(Logfile_S[[#This Row],[DO number]],DO_DB!G:I,3,0)</f>
        <v>#N/A</v>
      </c>
      <c r="AB1577" s="331" t="e">
        <f>EXACT(Logfile_S[[#This Row],[date pick]],Logfile_S[[#This Row],[Date]])</f>
        <v>#N/A</v>
      </c>
      <c r="AC15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78" spans="1:29" ht="14.5">
      <c r="A1578" s="220" t="str">
        <f>TEXT(ROW(A1578)-ROW($A$4),"000")</f>
        <v>1574</v>
      </c>
      <c r="B1578" s="221"/>
      <c r="C1578" s="221" t="s">
        <v>49</v>
      </c>
      <c r="D1578" s="221" t="s">
        <v>4066</v>
      </c>
      <c r="E1578" s="221" t="s">
        <v>3295</v>
      </c>
      <c r="F1578" s="221" t="s">
        <v>3299</v>
      </c>
      <c r="G1578" s="222">
        <v>45440</v>
      </c>
      <c r="H1578" s="223">
        <v>0.53125</v>
      </c>
      <c r="I1578" s="221" t="s">
        <v>4916</v>
      </c>
      <c r="J1578" s="221" t="s">
        <v>3023</v>
      </c>
      <c r="K1578" s="224" t="s">
        <v>13</v>
      </c>
      <c r="L1578" s="225" t="str">
        <f>VLOOKUP(Logfile_S[[#This Row],[Material Name]],Sheet2!B:C,2,0)</f>
        <v>ZTE2008</v>
      </c>
      <c r="M1578" s="225" t="str">
        <f>_xlfn.XLOOKUP(Logfile_S[[#This Row],[Material Name]],Sum_WH!E:E,Sum_WH!F:F,"",0)</f>
        <v>Pcs</v>
      </c>
      <c r="N1578" s="221">
        <v>15</v>
      </c>
      <c r="O1578" s="221" t="s">
        <v>1493</v>
      </c>
      <c r="P1578" s="221" t="s">
        <v>1494</v>
      </c>
      <c r="Q1578" s="221"/>
      <c r="R1578" s="221"/>
      <c r="S1578" s="221"/>
      <c r="T1578" s="221" t="s">
        <v>3356</v>
      </c>
      <c r="U1578" s="221" t="s">
        <v>3228</v>
      </c>
      <c r="V1578" s="221" t="s">
        <v>3357</v>
      </c>
      <c r="W1578" s="221" t="s">
        <v>3358</v>
      </c>
      <c r="X1578" s="221"/>
      <c r="Y1578" s="227"/>
      <c r="Z1578" s="227" t="str">
        <f>P1578</f>
        <v>Dusun Krajan Kucur</v>
      </c>
      <c r="AA1578" s="276" t="e">
        <f>VLOOKUP(Logfile_S[[#This Row],[DO number]],DO_DB!G:I,3,0)</f>
        <v>#N/A</v>
      </c>
      <c r="AB1578" s="331" t="e">
        <f>EXACT(Logfile_S[[#This Row],[date pick]],Logfile_S[[#This Row],[Date]])</f>
        <v>#N/A</v>
      </c>
      <c r="AC15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79" spans="1:29" ht="14.5">
      <c r="A1579" s="220" t="str">
        <f>TEXT(ROW(A1579)-ROW($A$4),"000")</f>
        <v>1575</v>
      </c>
      <c r="B1579" s="221"/>
      <c r="C1579" s="221" t="s">
        <v>49</v>
      </c>
      <c r="D1579" s="221" t="s">
        <v>4066</v>
      </c>
      <c r="E1579" s="221" t="s">
        <v>3295</v>
      </c>
      <c r="F1579" s="221" t="s">
        <v>3299</v>
      </c>
      <c r="G1579" s="222">
        <v>45440</v>
      </c>
      <c r="H1579" s="223">
        <v>0.53125</v>
      </c>
      <c r="I1579" s="221" t="s">
        <v>4916</v>
      </c>
      <c r="J1579" s="221" t="s">
        <v>3023</v>
      </c>
      <c r="K1579" s="224" t="s">
        <v>14</v>
      </c>
      <c r="L1579" s="225" t="str">
        <f>VLOOKUP(Logfile_S[[#This Row],[Material Name]],Sheet2!B:C,2,0)</f>
        <v>ZTE2005</v>
      </c>
      <c r="M1579" s="225" t="str">
        <f>_xlfn.XLOOKUP(Logfile_S[[#This Row],[Material Name]],Sum_WH!E:E,Sum_WH!F:F,"",0)</f>
        <v>Pcs</v>
      </c>
      <c r="N1579" s="221">
        <v>1</v>
      </c>
      <c r="O1579" s="221" t="s">
        <v>1493</v>
      </c>
      <c r="P1579" s="221" t="s">
        <v>1494</v>
      </c>
      <c r="Q1579" s="221"/>
      <c r="R1579" s="221"/>
      <c r="S1579" s="221"/>
      <c r="T1579" s="221" t="s">
        <v>3356</v>
      </c>
      <c r="U1579" s="221" t="s">
        <v>3228</v>
      </c>
      <c r="V1579" s="221" t="s">
        <v>3357</v>
      </c>
      <c r="W1579" s="221" t="s">
        <v>3358</v>
      </c>
      <c r="X1579" s="221"/>
      <c r="Y1579" s="227"/>
      <c r="Z1579" s="227" t="str">
        <f>P1579</f>
        <v>Dusun Krajan Kucur</v>
      </c>
      <c r="AA1579" s="276" t="e">
        <f>VLOOKUP(Logfile_S[[#This Row],[DO number]],DO_DB!G:I,3,0)</f>
        <v>#N/A</v>
      </c>
      <c r="AB1579" s="331" t="e">
        <f>EXACT(Logfile_S[[#This Row],[date pick]],Logfile_S[[#This Row],[Date]])</f>
        <v>#N/A</v>
      </c>
      <c r="AC15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80" spans="1:29" ht="14.5">
      <c r="A1580" s="220" t="str">
        <f>TEXT(ROW(A1580)-ROW($A$4),"000")</f>
        <v>1576</v>
      </c>
      <c r="B1580" s="221"/>
      <c r="C1580" s="221" t="s">
        <v>49</v>
      </c>
      <c r="D1580" s="221" t="s">
        <v>4066</v>
      </c>
      <c r="E1580" s="221" t="s">
        <v>3295</v>
      </c>
      <c r="F1580" s="221" t="s">
        <v>3299</v>
      </c>
      <c r="G1580" s="222">
        <v>45440</v>
      </c>
      <c r="H1580" s="223">
        <v>0.53125</v>
      </c>
      <c r="I1580" s="221" t="s">
        <v>4916</v>
      </c>
      <c r="J1580" s="221" t="s">
        <v>3023</v>
      </c>
      <c r="K1580" s="224" t="s">
        <v>3072</v>
      </c>
      <c r="L1580" s="225" t="str">
        <f>VLOOKUP(Logfile_S[[#This Row],[Material Name]],Sheet2!B:C,2,0)</f>
        <v>ZTE1004</v>
      </c>
      <c r="M1580" s="225" t="str">
        <f>_xlfn.XLOOKUP(Logfile_S[[#This Row],[Material Name]],Sum_WH!E:E,Sum_WH!F:F,"",0)</f>
        <v>Pcs</v>
      </c>
      <c r="N1580" s="221">
        <v>3</v>
      </c>
      <c r="O1580" s="221" t="s">
        <v>1493</v>
      </c>
      <c r="P1580" s="221" t="s">
        <v>1494</v>
      </c>
      <c r="Q1580" s="221"/>
      <c r="R1580" s="221"/>
      <c r="S1580" s="221"/>
      <c r="T1580" s="221" t="s">
        <v>3356</v>
      </c>
      <c r="U1580" s="221" t="s">
        <v>3228</v>
      </c>
      <c r="V1580" s="221" t="s">
        <v>3357</v>
      </c>
      <c r="W1580" s="221" t="s">
        <v>3358</v>
      </c>
      <c r="X1580" s="221"/>
      <c r="Y1580" s="227"/>
      <c r="Z1580" s="227" t="str">
        <f>P1580</f>
        <v>Dusun Krajan Kucur</v>
      </c>
      <c r="AA1580" s="276" t="e">
        <f>VLOOKUP(Logfile_S[[#This Row],[DO number]],DO_DB!G:I,3,0)</f>
        <v>#N/A</v>
      </c>
      <c r="AB1580" s="331" t="e">
        <f>EXACT(Logfile_S[[#This Row],[date pick]],Logfile_S[[#This Row],[Date]])</f>
        <v>#N/A</v>
      </c>
      <c r="AC15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81" spans="1:29" ht="14.5">
      <c r="A1581" s="220" t="str">
        <f>TEXT(ROW(A1581)-ROW($A$4),"000")</f>
        <v>1577</v>
      </c>
      <c r="B1581" s="221"/>
      <c r="C1581" s="221" t="s">
        <v>49</v>
      </c>
      <c r="D1581" s="221" t="s">
        <v>4067</v>
      </c>
      <c r="E1581" s="221" t="s">
        <v>3295</v>
      </c>
      <c r="F1581" s="221" t="s">
        <v>3299</v>
      </c>
      <c r="G1581" s="222">
        <v>45441</v>
      </c>
      <c r="H1581" s="223">
        <v>0.50624999999999998</v>
      </c>
      <c r="I1581" s="221" t="s">
        <v>4916</v>
      </c>
      <c r="J1581" s="221" t="s">
        <v>3024</v>
      </c>
      <c r="K1581" s="224" t="s">
        <v>3087</v>
      </c>
      <c r="L1581" s="225" t="str">
        <f>VLOOKUP(Logfile_S[[#This Row],[Material Name]],Sheet2!B:C,2,0)</f>
        <v>GCI1001</v>
      </c>
      <c r="M1581" s="225" t="str">
        <f>_xlfn.XLOOKUP(Logfile_S[[#This Row],[Material Name]],Sum_WH!E:E,Sum_WH!F:F,"",0)</f>
        <v>Pcs</v>
      </c>
      <c r="N1581" s="221">
        <v>25</v>
      </c>
      <c r="O1581" s="221" t="s">
        <v>1493</v>
      </c>
      <c r="P1581" s="221" t="s">
        <v>1494</v>
      </c>
      <c r="Q1581" s="221"/>
      <c r="R1581" s="221"/>
      <c r="S1581" s="221"/>
      <c r="T1581" s="221" t="s">
        <v>3231</v>
      </c>
      <c r="U1581" s="221">
        <v>0</v>
      </c>
      <c r="V1581" s="221" t="s">
        <v>3232</v>
      </c>
      <c r="W1581" s="221" t="s">
        <v>3246</v>
      </c>
      <c r="X1581" s="221"/>
      <c r="Y1581" s="227"/>
      <c r="Z1581" s="227" t="str">
        <f>P1581</f>
        <v>Dusun Krajan Kucur</v>
      </c>
      <c r="AA1581" s="276" t="e">
        <f>VLOOKUP(Logfile_S[[#This Row],[DO number]],DO_DB!G:I,3,0)</f>
        <v>#N/A</v>
      </c>
      <c r="AB1581" s="331" t="e">
        <f>EXACT(Logfile_S[[#This Row],[date pick]],Logfile_S[[#This Row],[Date]])</f>
        <v>#N/A</v>
      </c>
      <c r="AC15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82" spans="1:29" ht="14.5">
      <c r="A1582" s="220" t="str">
        <f>TEXT(ROW(A1582)-ROW($A$4),"000")</f>
        <v>1578</v>
      </c>
      <c r="B1582" s="221"/>
      <c r="C1582" s="221" t="s">
        <v>49</v>
      </c>
      <c r="D1582" s="221" t="s">
        <v>4068</v>
      </c>
      <c r="E1582" s="221" t="s">
        <v>3295</v>
      </c>
      <c r="F1582" s="221" t="s">
        <v>3299</v>
      </c>
      <c r="G1582" s="222">
        <v>45442</v>
      </c>
      <c r="H1582" s="223">
        <v>0.47916666666666669</v>
      </c>
      <c r="I1582" s="221" t="s">
        <v>4916</v>
      </c>
      <c r="J1582" s="221" t="s">
        <v>3024</v>
      </c>
      <c r="K1582" s="224" t="s">
        <v>3087</v>
      </c>
      <c r="L1582" s="225" t="str">
        <f>VLOOKUP(Logfile_S[[#This Row],[Material Name]],Sheet2!B:C,2,0)</f>
        <v>GCI1001</v>
      </c>
      <c r="M1582" s="225" t="str">
        <f>_xlfn.XLOOKUP(Logfile_S[[#This Row],[Material Name]],Sum_WH!E:E,Sum_WH!F:F,"",0)</f>
        <v>Pcs</v>
      </c>
      <c r="N1582" s="221">
        <v>10</v>
      </c>
      <c r="O1582" s="221" t="s">
        <v>1493</v>
      </c>
      <c r="P1582" s="221" t="s">
        <v>1494</v>
      </c>
      <c r="Q1582" s="221"/>
      <c r="R1582" s="221"/>
      <c r="S1582" s="221"/>
      <c r="T1582" s="221" t="s">
        <v>3258</v>
      </c>
      <c r="U1582" s="221" t="s">
        <v>3228</v>
      </c>
      <c r="V1582" s="221" t="s">
        <v>3337</v>
      </c>
      <c r="W1582" s="221" t="s">
        <v>3338</v>
      </c>
      <c r="X1582" s="221"/>
      <c r="Y1582" s="227"/>
      <c r="Z1582" s="227" t="str">
        <f>P1582</f>
        <v>Dusun Krajan Kucur</v>
      </c>
      <c r="AA1582" s="276" t="e">
        <f>VLOOKUP(Logfile_S[[#This Row],[DO number]],DO_DB!G:I,3,0)</f>
        <v>#N/A</v>
      </c>
      <c r="AB1582" s="331" t="e">
        <f>EXACT(Logfile_S[[#This Row],[date pick]],Logfile_S[[#This Row],[Date]])</f>
        <v>#N/A</v>
      </c>
      <c r="AC15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83" spans="1:29" ht="14.5">
      <c r="A1583" s="220" t="str">
        <f>TEXT(ROW(A1583)-ROW($A$4),"000")</f>
        <v>1579</v>
      </c>
      <c r="B1583" s="221"/>
      <c r="C1583" s="221" t="s">
        <v>49</v>
      </c>
      <c r="D1583" s="221" t="s">
        <v>4068</v>
      </c>
      <c r="E1583" s="221" t="s">
        <v>3295</v>
      </c>
      <c r="F1583" s="221" t="s">
        <v>3299</v>
      </c>
      <c r="G1583" s="222">
        <v>45442</v>
      </c>
      <c r="H1583" s="223">
        <v>0.47916666666666669</v>
      </c>
      <c r="I1583" s="221" t="s">
        <v>4916</v>
      </c>
      <c r="J1583" s="221" t="s">
        <v>3024</v>
      </c>
      <c r="K1583" s="224" t="s">
        <v>5137</v>
      </c>
      <c r="L1583" s="225" t="str">
        <f>VLOOKUP(Logfile_S[[#This Row],[Material Name]],Sheet2!B:C,2,0)</f>
        <v>GCI1009</v>
      </c>
      <c r="M1583" s="225" t="str">
        <f>_xlfn.XLOOKUP(Logfile_S[[#This Row],[Material Name]],Sum_WH!E:E,Sum_WH!F:F,"",0)</f>
        <v>Pcs</v>
      </c>
      <c r="N1583" s="221">
        <v>73</v>
      </c>
      <c r="O1583" s="221" t="s">
        <v>1493</v>
      </c>
      <c r="P1583" s="221" t="s">
        <v>1494</v>
      </c>
      <c r="Q1583" s="221"/>
      <c r="R1583" s="221"/>
      <c r="S1583" s="221"/>
      <c r="T1583" s="221" t="s">
        <v>3258</v>
      </c>
      <c r="U1583" s="221" t="s">
        <v>3228</v>
      </c>
      <c r="V1583" s="221" t="s">
        <v>3337</v>
      </c>
      <c r="W1583" s="221" t="s">
        <v>3338</v>
      </c>
      <c r="X1583" s="221"/>
      <c r="Y1583" s="227"/>
      <c r="Z1583" s="227" t="str">
        <f>P1583</f>
        <v>Dusun Krajan Kucur</v>
      </c>
      <c r="AA1583" s="276" t="e">
        <f>VLOOKUP(Logfile_S[[#This Row],[DO number]],DO_DB!G:I,3,0)</f>
        <v>#N/A</v>
      </c>
      <c r="AB1583" s="331" t="e">
        <f>EXACT(Logfile_S[[#This Row],[date pick]],Logfile_S[[#This Row],[Date]])</f>
        <v>#N/A</v>
      </c>
      <c r="AC15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84" spans="1:29" ht="14.5">
      <c r="A1584" s="220" t="str">
        <f>TEXT(ROW(A1584)-ROW($A$4),"000")</f>
        <v>1580</v>
      </c>
      <c r="B1584" s="221"/>
      <c r="C1584" s="221" t="s">
        <v>49</v>
      </c>
      <c r="D1584" s="221" t="s">
        <v>4068</v>
      </c>
      <c r="E1584" s="221" t="s">
        <v>3295</v>
      </c>
      <c r="F1584" s="221" t="s">
        <v>3299</v>
      </c>
      <c r="G1584" s="222">
        <v>45442</v>
      </c>
      <c r="H1584" s="223">
        <v>0.47916666666666669</v>
      </c>
      <c r="I1584" s="221" t="s">
        <v>4916</v>
      </c>
      <c r="J1584" s="221" t="s">
        <v>3024</v>
      </c>
      <c r="K1584" s="224" t="s">
        <v>3094</v>
      </c>
      <c r="L1584" s="225" t="str">
        <f>VLOOKUP(Logfile_S[[#This Row],[Material Name]],Sheet2!B:C,2,0)</f>
        <v>GCI1008</v>
      </c>
      <c r="M1584" s="225" t="str">
        <f>_xlfn.XLOOKUP(Logfile_S[[#This Row],[Material Name]],Sum_WH!E:E,Sum_WH!F:F,"",0)</f>
        <v>Pcs</v>
      </c>
      <c r="N1584" s="221">
        <v>21</v>
      </c>
      <c r="O1584" s="221" t="s">
        <v>1493</v>
      </c>
      <c r="P1584" s="221" t="s">
        <v>1494</v>
      </c>
      <c r="Q1584" s="221"/>
      <c r="R1584" s="221"/>
      <c r="S1584" s="221"/>
      <c r="T1584" s="221" t="s">
        <v>3258</v>
      </c>
      <c r="U1584" s="221" t="s">
        <v>3228</v>
      </c>
      <c r="V1584" s="221" t="s">
        <v>3337</v>
      </c>
      <c r="W1584" s="221" t="s">
        <v>3338</v>
      </c>
      <c r="X1584" s="221"/>
      <c r="Y1584" s="227"/>
      <c r="Z1584" s="227" t="str">
        <f>P1584</f>
        <v>Dusun Krajan Kucur</v>
      </c>
      <c r="AA1584" s="276" t="e">
        <f>VLOOKUP(Logfile_S[[#This Row],[DO number]],DO_DB!G:I,3,0)</f>
        <v>#N/A</v>
      </c>
      <c r="AB1584" s="331" t="e">
        <f>EXACT(Logfile_S[[#This Row],[date pick]],Logfile_S[[#This Row],[Date]])</f>
        <v>#N/A</v>
      </c>
      <c r="AC15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85" spans="1:29" ht="14.5">
      <c r="A1585" s="220" t="str">
        <f>TEXT(ROW(A1585)-ROW($A$4),"000")</f>
        <v>1581</v>
      </c>
      <c r="B1585" s="221"/>
      <c r="C1585" s="221" t="s">
        <v>49</v>
      </c>
      <c r="D1585" s="221" t="s">
        <v>4068</v>
      </c>
      <c r="E1585" s="221" t="s">
        <v>3295</v>
      </c>
      <c r="F1585" s="221" t="s">
        <v>3299</v>
      </c>
      <c r="G1585" s="222">
        <v>45442</v>
      </c>
      <c r="H1585" s="223">
        <v>0.47916666666666669</v>
      </c>
      <c r="I1585" s="221" t="s">
        <v>4916</v>
      </c>
      <c r="J1585" s="221" t="s">
        <v>3024</v>
      </c>
      <c r="K1585" s="224" t="s">
        <v>3089</v>
      </c>
      <c r="L1585" s="225" t="str">
        <f>VLOOKUP(Logfile_S[[#This Row],[Material Name]],Sheet2!B:C,2,0)</f>
        <v>GCI1003</v>
      </c>
      <c r="M1585" s="225" t="str">
        <f>_xlfn.XLOOKUP(Logfile_S[[#This Row],[Material Name]],Sum_WH!E:E,Sum_WH!F:F,"",0)</f>
        <v>Pcs</v>
      </c>
      <c r="N1585" s="221">
        <v>200</v>
      </c>
      <c r="O1585" s="221" t="s">
        <v>1493</v>
      </c>
      <c r="P1585" s="221" t="s">
        <v>1494</v>
      </c>
      <c r="Q1585" s="221"/>
      <c r="R1585" s="221"/>
      <c r="S1585" s="221"/>
      <c r="T1585" s="221" t="s">
        <v>3258</v>
      </c>
      <c r="U1585" s="221" t="s">
        <v>3228</v>
      </c>
      <c r="V1585" s="221" t="s">
        <v>3337</v>
      </c>
      <c r="W1585" s="221" t="s">
        <v>3338</v>
      </c>
      <c r="X1585" s="221"/>
      <c r="Y1585" s="227"/>
      <c r="Z1585" s="227" t="str">
        <f>P1585</f>
        <v>Dusun Krajan Kucur</v>
      </c>
      <c r="AA1585" s="276" t="e">
        <f>VLOOKUP(Logfile_S[[#This Row],[DO number]],DO_DB!G:I,3,0)</f>
        <v>#N/A</v>
      </c>
      <c r="AB1585" s="331" t="e">
        <f>EXACT(Logfile_S[[#This Row],[date pick]],Logfile_S[[#This Row],[Date]])</f>
        <v>#N/A</v>
      </c>
      <c r="AC15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86" spans="1:29" ht="14.5">
      <c r="A1586" s="220" t="str">
        <f>TEXT(ROW(A1586)-ROW($A$4),"000")</f>
        <v>1582</v>
      </c>
      <c r="B1586" s="221"/>
      <c r="C1586" s="221" t="s">
        <v>49</v>
      </c>
      <c r="D1586" s="221" t="s">
        <v>4068</v>
      </c>
      <c r="E1586" s="221" t="s">
        <v>3295</v>
      </c>
      <c r="F1586" s="221" t="s">
        <v>3299</v>
      </c>
      <c r="G1586" s="222">
        <v>45442</v>
      </c>
      <c r="H1586" s="223">
        <v>0.47916666666666669</v>
      </c>
      <c r="I1586" s="221" t="s">
        <v>4916</v>
      </c>
      <c r="J1586" s="221" t="s">
        <v>3024</v>
      </c>
      <c r="K1586" s="224" t="s">
        <v>3090</v>
      </c>
      <c r="L1586" s="225" t="str">
        <f>VLOOKUP(Logfile_S[[#This Row],[Material Name]],Sheet2!B:C,2,0)</f>
        <v>GCI1004</v>
      </c>
      <c r="M1586" s="225" t="str">
        <f>_xlfn.XLOOKUP(Logfile_S[[#This Row],[Material Name]],Sum_WH!E:E,Sum_WH!F:F,"",0)</f>
        <v>Pcs</v>
      </c>
      <c r="N1586" s="221">
        <v>52</v>
      </c>
      <c r="O1586" s="221" t="s">
        <v>1493</v>
      </c>
      <c r="P1586" s="221" t="s">
        <v>1494</v>
      </c>
      <c r="Q1586" s="221"/>
      <c r="R1586" s="221"/>
      <c r="S1586" s="221"/>
      <c r="T1586" s="221" t="s">
        <v>3258</v>
      </c>
      <c r="U1586" s="221" t="s">
        <v>3228</v>
      </c>
      <c r="V1586" s="221" t="s">
        <v>3337</v>
      </c>
      <c r="W1586" s="221" t="s">
        <v>3338</v>
      </c>
      <c r="X1586" s="221"/>
      <c r="Y1586" s="227"/>
      <c r="Z1586" s="227" t="str">
        <f>P1586</f>
        <v>Dusun Krajan Kucur</v>
      </c>
      <c r="AA1586" s="276" t="e">
        <f>VLOOKUP(Logfile_S[[#This Row],[DO number]],DO_DB!G:I,3,0)</f>
        <v>#N/A</v>
      </c>
      <c r="AB1586" s="331" t="e">
        <f>EXACT(Logfile_S[[#This Row],[date pick]],Logfile_S[[#This Row],[Date]])</f>
        <v>#N/A</v>
      </c>
      <c r="AC15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87" spans="1:29" ht="14.5">
      <c r="A1587" s="220" t="str">
        <f>TEXT(ROW(A1587)-ROW($A$4),"000")</f>
        <v>1583</v>
      </c>
      <c r="B1587" s="221"/>
      <c r="C1587" s="221" t="s">
        <v>49</v>
      </c>
      <c r="D1587" s="221" t="s">
        <v>4083</v>
      </c>
      <c r="E1587" s="221" t="s">
        <v>3295</v>
      </c>
      <c r="F1587" s="221" t="s">
        <v>3299</v>
      </c>
      <c r="G1587" s="222">
        <v>45450</v>
      </c>
      <c r="H1587" s="223">
        <v>0.72291666666666676</v>
      </c>
      <c r="I1587" s="221" t="s">
        <v>4916</v>
      </c>
      <c r="J1587" s="221" t="s">
        <v>3024</v>
      </c>
      <c r="K1587" s="224" t="s">
        <v>3097</v>
      </c>
      <c r="L1587" s="225" t="str">
        <f>VLOOKUP(Logfile_S[[#This Row],[Material Name]],Sheet2!B:C,2,0)</f>
        <v>GCI1011</v>
      </c>
      <c r="M1587" s="225" t="str">
        <f>_xlfn.XLOOKUP(Logfile_S[[#This Row],[Material Name]],Sum_WH!E:E,Sum_WH!F:F,"",0)</f>
        <v>Pcs</v>
      </c>
      <c r="N1587" s="221">
        <v>1</v>
      </c>
      <c r="O1587" s="221" t="s">
        <v>1493</v>
      </c>
      <c r="P1587" s="221" t="s">
        <v>1494</v>
      </c>
      <c r="Q1587" s="221"/>
      <c r="R1587" s="221"/>
      <c r="S1587" s="221"/>
      <c r="T1587" s="221" t="s">
        <v>3258</v>
      </c>
      <c r="U1587" s="221" t="s">
        <v>3228</v>
      </c>
      <c r="V1587" s="221" t="s">
        <v>3337</v>
      </c>
      <c r="W1587" s="221" t="s">
        <v>3338</v>
      </c>
      <c r="X1587" s="221"/>
      <c r="Y1587" s="227"/>
      <c r="Z1587" s="227" t="str">
        <f>P1587</f>
        <v>Dusun Krajan Kucur</v>
      </c>
      <c r="AA1587" s="276" t="e">
        <f>VLOOKUP(Logfile_S[[#This Row],[DO number]],DO_DB!G:I,3,0)</f>
        <v>#N/A</v>
      </c>
      <c r="AB1587" s="331" t="e">
        <f>EXACT(Logfile_S[[#This Row],[date pick]],Logfile_S[[#This Row],[Date]])</f>
        <v>#N/A</v>
      </c>
      <c r="AC15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88" spans="1:29" ht="14.5">
      <c r="A1588" s="220" t="str">
        <f>TEXT(ROW(A1588)-ROW($A$4),"000")</f>
        <v>1584</v>
      </c>
      <c r="B1588" s="221"/>
      <c r="C1588" s="221" t="s">
        <v>49</v>
      </c>
      <c r="D1588" s="221" t="s">
        <v>4083</v>
      </c>
      <c r="E1588" s="221" t="s">
        <v>3295</v>
      </c>
      <c r="F1588" s="221" t="s">
        <v>3299</v>
      </c>
      <c r="G1588" s="222">
        <v>45450</v>
      </c>
      <c r="H1588" s="223">
        <v>0.72291666666666676</v>
      </c>
      <c r="I1588" s="221" t="s">
        <v>4916</v>
      </c>
      <c r="J1588" s="221" t="s">
        <v>3024</v>
      </c>
      <c r="K1588" s="224" t="s">
        <v>3091</v>
      </c>
      <c r="L1588" s="225" t="str">
        <f>VLOOKUP(Logfile_S[[#This Row],[Material Name]],Sheet2!B:C,2,0)</f>
        <v>GCI1005</v>
      </c>
      <c r="M1588" s="225" t="str">
        <f>_xlfn.XLOOKUP(Logfile_S[[#This Row],[Material Name]],Sum_WH!E:E,Sum_WH!F:F,"",0)</f>
        <v>Pcs</v>
      </c>
      <c r="N1588" s="221">
        <v>12</v>
      </c>
      <c r="O1588" s="221" t="s">
        <v>1493</v>
      </c>
      <c r="P1588" s="221" t="s">
        <v>1494</v>
      </c>
      <c r="Q1588" s="221"/>
      <c r="R1588" s="221"/>
      <c r="S1588" s="221"/>
      <c r="T1588" s="221" t="s">
        <v>3258</v>
      </c>
      <c r="U1588" s="221" t="s">
        <v>3228</v>
      </c>
      <c r="V1588" s="221" t="s">
        <v>3337</v>
      </c>
      <c r="W1588" s="221" t="s">
        <v>3338</v>
      </c>
      <c r="X1588" s="221"/>
      <c r="Y1588" s="227"/>
      <c r="Z1588" s="227" t="str">
        <f>P1588</f>
        <v>Dusun Krajan Kucur</v>
      </c>
      <c r="AA1588" s="276" t="e">
        <f>VLOOKUP(Logfile_S[[#This Row],[DO number]],DO_DB!G:I,3,0)</f>
        <v>#N/A</v>
      </c>
      <c r="AB1588" s="331" t="e">
        <f>EXACT(Logfile_S[[#This Row],[date pick]],Logfile_S[[#This Row],[Date]])</f>
        <v>#N/A</v>
      </c>
      <c r="AC15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89" spans="1:29" ht="14.5">
      <c r="A1589" s="220" t="str">
        <f>TEXT(ROW(A1589)-ROW($A$4),"000")</f>
        <v>1585</v>
      </c>
      <c r="B1589" s="221"/>
      <c r="C1589" s="221" t="s">
        <v>49</v>
      </c>
      <c r="D1589" s="221" t="s">
        <v>4083</v>
      </c>
      <c r="E1589" s="221" t="s">
        <v>3295</v>
      </c>
      <c r="F1589" s="221" t="s">
        <v>3299</v>
      </c>
      <c r="G1589" s="222">
        <v>45450</v>
      </c>
      <c r="H1589" s="223">
        <v>0.72291666666666676</v>
      </c>
      <c r="I1589" s="221" t="s">
        <v>4916</v>
      </c>
      <c r="J1589" s="221" t="s">
        <v>3024</v>
      </c>
      <c r="K1589" s="224" t="s">
        <v>3087</v>
      </c>
      <c r="L1589" s="225" t="str">
        <f>VLOOKUP(Logfile_S[[#This Row],[Material Name]],Sheet2!B:C,2,0)</f>
        <v>GCI1001</v>
      </c>
      <c r="M1589" s="225" t="str">
        <f>_xlfn.XLOOKUP(Logfile_S[[#This Row],[Material Name]],Sum_WH!E:E,Sum_WH!F:F,"",0)</f>
        <v>Pcs</v>
      </c>
      <c r="N1589" s="221">
        <v>42</v>
      </c>
      <c r="O1589" s="221" t="s">
        <v>1493</v>
      </c>
      <c r="P1589" s="221" t="s">
        <v>1494</v>
      </c>
      <c r="Q1589" s="221"/>
      <c r="R1589" s="221"/>
      <c r="S1589" s="221"/>
      <c r="T1589" s="221" t="s">
        <v>3258</v>
      </c>
      <c r="U1589" s="221" t="s">
        <v>3228</v>
      </c>
      <c r="V1589" s="221" t="s">
        <v>3337</v>
      </c>
      <c r="W1589" s="221" t="s">
        <v>3338</v>
      </c>
      <c r="X1589" s="221"/>
      <c r="Y1589" s="227"/>
      <c r="Z1589" s="227" t="str">
        <f>P1589</f>
        <v>Dusun Krajan Kucur</v>
      </c>
      <c r="AA1589" s="276" t="e">
        <f>VLOOKUP(Logfile_S[[#This Row],[DO number]],DO_DB!G:I,3,0)</f>
        <v>#N/A</v>
      </c>
      <c r="AB1589" s="331" t="e">
        <f>EXACT(Logfile_S[[#This Row],[date pick]],Logfile_S[[#This Row],[Date]])</f>
        <v>#N/A</v>
      </c>
      <c r="AC15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90" spans="1:29" ht="14.5">
      <c r="A1590" s="220" t="str">
        <f>TEXT(ROW(A1590)-ROW($A$4),"000")</f>
        <v>1586</v>
      </c>
      <c r="B1590" s="221"/>
      <c r="C1590" s="221" t="s">
        <v>49</v>
      </c>
      <c r="D1590" s="221" t="s">
        <v>4083</v>
      </c>
      <c r="E1590" s="221" t="s">
        <v>3295</v>
      </c>
      <c r="F1590" s="221" t="s">
        <v>3299</v>
      </c>
      <c r="G1590" s="222">
        <v>45450</v>
      </c>
      <c r="H1590" s="223">
        <v>0.72291666666666676</v>
      </c>
      <c r="I1590" s="221" t="s">
        <v>4916</v>
      </c>
      <c r="J1590" s="221" t="s">
        <v>3024</v>
      </c>
      <c r="K1590" s="224" t="s">
        <v>5137</v>
      </c>
      <c r="L1590" s="225" t="str">
        <f>VLOOKUP(Logfile_S[[#This Row],[Material Name]],Sheet2!B:C,2,0)</f>
        <v>GCI1009</v>
      </c>
      <c r="M1590" s="225" t="str">
        <f>_xlfn.XLOOKUP(Logfile_S[[#This Row],[Material Name]],Sum_WH!E:E,Sum_WH!F:F,"",0)</f>
        <v>Pcs</v>
      </c>
      <c r="N1590" s="221">
        <v>202</v>
      </c>
      <c r="O1590" s="221" t="s">
        <v>1493</v>
      </c>
      <c r="P1590" s="221" t="s">
        <v>1494</v>
      </c>
      <c r="Q1590" s="221"/>
      <c r="R1590" s="221"/>
      <c r="S1590" s="221"/>
      <c r="T1590" s="221" t="s">
        <v>3258</v>
      </c>
      <c r="U1590" s="221" t="s">
        <v>3228</v>
      </c>
      <c r="V1590" s="221" t="s">
        <v>3337</v>
      </c>
      <c r="W1590" s="221" t="s">
        <v>3338</v>
      </c>
      <c r="X1590" s="221"/>
      <c r="Y1590" s="227"/>
      <c r="Z1590" s="227" t="str">
        <f>P1590</f>
        <v>Dusun Krajan Kucur</v>
      </c>
      <c r="AA1590" s="276" t="e">
        <f>VLOOKUP(Logfile_S[[#This Row],[DO number]],DO_DB!G:I,3,0)</f>
        <v>#N/A</v>
      </c>
      <c r="AB1590" s="331" t="e">
        <f>EXACT(Logfile_S[[#This Row],[date pick]],Logfile_S[[#This Row],[Date]])</f>
        <v>#N/A</v>
      </c>
      <c r="AC15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91" spans="1:29" ht="14.5">
      <c r="A1591" s="220" t="str">
        <f>TEXT(ROW(A1591)-ROW($A$4),"000")</f>
        <v>1587</v>
      </c>
      <c r="B1591" s="221"/>
      <c r="C1591" s="221" t="s">
        <v>49</v>
      </c>
      <c r="D1591" s="221" t="s">
        <v>4083</v>
      </c>
      <c r="E1591" s="221" t="s">
        <v>3295</v>
      </c>
      <c r="F1591" s="221" t="s">
        <v>3299</v>
      </c>
      <c r="G1591" s="222">
        <v>45450</v>
      </c>
      <c r="H1591" s="223">
        <v>0.72291666666666676</v>
      </c>
      <c r="I1591" s="221" t="s">
        <v>4916</v>
      </c>
      <c r="J1591" s="221" t="s">
        <v>3024</v>
      </c>
      <c r="K1591" s="224" t="s">
        <v>3088</v>
      </c>
      <c r="L1591" s="225" t="str">
        <f>VLOOKUP(Logfile_S[[#This Row],[Material Name]],Sheet2!B:C,2,0)</f>
        <v>GCI1002</v>
      </c>
      <c r="M1591" s="225" t="str">
        <f>_xlfn.XLOOKUP(Logfile_S[[#This Row],[Material Name]],Sum_WH!E:E,Sum_WH!F:F,"",0)</f>
        <v>Pcs</v>
      </c>
      <c r="N1591" s="221">
        <v>2</v>
      </c>
      <c r="O1591" s="221" t="s">
        <v>1493</v>
      </c>
      <c r="P1591" s="221" t="s">
        <v>1494</v>
      </c>
      <c r="Q1591" s="221"/>
      <c r="R1591" s="221"/>
      <c r="S1591" s="221"/>
      <c r="T1591" s="221" t="s">
        <v>3258</v>
      </c>
      <c r="U1591" s="221" t="s">
        <v>3228</v>
      </c>
      <c r="V1591" s="221" t="s">
        <v>3337</v>
      </c>
      <c r="W1591" s="221" t="s">
        <v>3338</v>
      </c>
      <c r="X1591" s="221"/>
      <c r="Y1591" s="227"/>
      <c r="Z1591" s="227" t="str">
        <f>P1591</f>
        <v>Dusun Krajan Kucur</v>
      </c>
      <c r="AA1591" s="276" t="e">
        <f>VLOOKUP(Logfile_S[[#This Row],[DO number]],DO_DB!G:I,3,0)</f>
        <v>#N/A</v>
      </c>
      <c r="AB1591" s="331" t="e">
        <f>EXACT(Logfile_S[[#This Row],[date pick]],Logfile_S[[#This Row],[Date]])</f>
        <v>#N/A</v>
      </c>
      <c r="AC15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92" spans="1:29" ht="14.5">
      <c r="A1592" s="220" t="str">
        <f>TEXT(ROW(A1592)-ROW($A$4),"000")</f>
        <v>1588</v>
      </c>
      <c r="B1592" s="221"/>
      <c r="C1592" s="221" t="s">
        <v>49</v>
      </c>
      <c r="D1592" s="221" t="s">
        <v>4083</v>
      </c>
      <c r="E1592" s="221" t="s">
        <v>3295</v>
      </c>
      <c r="F1592" s="221" t="s">
        <v>3299</v>
      </c>
      <c r="G1592" s="222">
        <v>45450</v>
      </c>
      <c r="H1592" s="223">
        <v>0.72291666666666676</v>
      </c>
      <c r="I1592" s="221" t="s">
        <v>4916</v>
      </c>
      <c r="J1592" s="221" t="s">
        <v>3023</v>
      </c>
      <c r="K1592" s="224" t="s">
        <v>3069</v>
      </c>
      <c r="L1592" s="225" t="str">
        <f>VLOOKUP(Logfile_S[[#This Row],[Material Name]],Sheet2!B:C,2,0)</f>
        <v>ZTE1001</v>
      </c>
      <c r="M1592" s="225" t="str">
        <f>_xlfn.XLOOKUP(Logfile_S[[#This Row],[Material Name]],Sum_WH!E:E,Sum_WH!F:F,"",0)</f>
        <v>Pcs</v>
      </c>
      <c r="N1592" s="221">
        <v>3</v>
      </c>
      <c r="O1592" s="221" t="s">
        <v>1493</v>
      </c>
      <c r="P1592" s="221" t="s">
        <v>1494</v>
      </c>
      <c r="Q1592" s="221"/>
      <c r="R1592" s="221"/>
      <c r="S1592" s="221"/>
      <c r="T1592" s="221" t="s">
        <v>3258</v>
      </c>
      <c r="U1592" s="221" t="s">
        <v>3228</v>
      </c>
      <c r="V1592" s="221" t="s">
        <v>3337</v>
      </c>
      <c r="W1592" s="221" t="s">
        <v>3338</v>
      </c>
      <c r="X1592" s="221"/>
      <c r="Y1592" s="227"/>
      <c r="Z1592" s="227" t="str">
        <f>P1592</f>
        <v>Dusun Krajan Kucur</v>
      </c>
      <c r="AA1592" s="276" t="e">
        <f>VLOOKUP(Logfile_S[[#This Row],[DO number]],DO_DB!G:I,3,0)</f>
        <v>#N/A</v>
      </c>
      <c r="AB1592" s="331" t="e">
        <f>EXACT(Logfile_S[[#This Row],[date pick]],Logfile_S[[#This Row],[Date]])</f>
        <v>#N/A</v>
      </c>
      <c r="AC15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93" spans="1:29" ht="14.5">
      <c r="A1593" s="220" t="str">
        <f>TEXT(ROW(A1593)-ROW($A$4),"000")</f>
        <v>1589</v>
      </c>
      <c r="B1593" s="221"/>
      <c r="C1593" s="221" t="s">
        <v>49</v>
      </c>
      <c r="D1593" s="221" t="s">
        <v>4083</v>
      </c>
      <c r="E1593" s="221" t="s">
        <v>3295</v>
      </c>
      <c r="F1593" s="221" t="s">
        <v>3299</v>
      </c>
      <c r="G1593" s="222">
        <v>45450</v>
      </c>
      <c r="H1593" s="223">
        <v>0.72291666666666676</v>
      </c>
      <c r="I1593" s="221" t="s">
        <v>4916</v>
      </c>
      <c r="J1593" s="221" t="s">
        <v>3024</v>
      </c>
      <c r="K1593" s="224" t="s">
        <v>3094</v>
      </c>
      <c r="L1593" s="225" t="str">
        <f>VLOOKUP(Logfile_S[[#This Row],[Material Name]],Sheet2!B:C,2,0)</f>
        <v>GCI1008</v>
      </c>
      <c r="M1593" s="225" t="str">
        <f>_xlfn.XLOOKUP(Logfile_S[[#This Row],[Material Name]],Sum_WH!E:E,Sum_WH!F:F,"",0)</f>
        <v>Pcs</v>
      </c>
      <c r="N1593" s="221">
        <v>112</v>
      </c>
      <c r="O1593" s="221" t="s">
        <v>1493</v>
      </c>
      <c r="P1593" s="221" t="s">
        <v>1494</v>
      </c>
      <c r="Q1593" s="221"/>
      <c r="R1593" s="221"/>
      <c r="S1593" s="221"/>
      <c r="T1593" s="221" t="s">
        <v>3258</v>
      </c>
      <c r="U1593" s="221" t="s">
        <v>3228</v>
      </c>
      <c r="V1593" s="221" t="s">
        <v>3337</v>
      </c>
      <c r="W1593" s="221" t="s">
        <v>3338</v>
      </c>
      <c r="X1593" s="221"/>
      <c r="Y1593" s="227"/>
      <c r="Z1593" s="227" t="str">
        <f>P1593</f>
        <v>Dusun Krajan Kucur</v>
      </c>
      <c r="AA1593" s="276" t="e">
        <f>VLOOKUP(Logfile_S[[#This Row],[DO number]],DO_DB!G:I,3,0)</f>
        <v>#N/A</v>
      </c>
      <c r="AB1593" s="331" t="e">
        <f>EXACT(Logfile_S[[#This Row],[date pick]],Logfile_S[[#This Row],[Date]])</f>
        <v>#N/A</v>
      </c>
      <c r="AC15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94" spans="1:29" ht="14.5">
      <c r="A1594" s="220" t="str">
        <f>TEXT(ROW(A1594)-ROW($A$4),"000")</f>
        <v>1590</v>
      </c>
      <c r="B1594" s="221"/>
      <c r="C1594" s="221" t="s">
        <v>49</v>
      </c>
      <c r="D1594" s="221" t="s">
        <v>4083</v>
      </c>
      <c r="E1594" s="221" t="s">
        <v>3295</v>
      </c>
      <c r="F1594" s="221" t="s">
        <v>3299</v>
      </c>
      <c r="G1594" s="222">
        <v>45450</v>
      </c>
      <c r="H1594" s="223">
        <v>0.72291666666666676</v>
      </c>
      <c r="I1594" s="221" t="s">
        <v>4916</v>
      </c>
      <c r="J1594" s="221" t="s">
        <v>3024</v>
      </c>
      <c r="K1594" s="224" t="s">
        <v>3089</v>
      </c>
      <c r="L1594" s="225" t="str">
        <f>VLOOKUP(Logfile_S[[#This Row],[Material Name]],Sheet2!B:C,2,0)</f>
        <v>GCI1003</v>
      </c>
      <c r="M1594" s="225" t="str">
        <f>_xlfn.XLOOKUP(Logfile_S[[#This Row],[Material Name]],Sum_WH!E:E,Sum_WH!F:F,"",0)</f>
        <v>Pcs</v>
      </c>
      <c r="N1594" s="221">
        <v>200</v>
      </c>
      <c r="O1594" s="221" t="s">
        <v>1493</v>
      </c>
      <c r="P1594" s="221" t="s">
        <v>1494</v>
      </c>
      <c r="Q1594" s="221"/>
      <c r="R1594" s="221"/>
      <c r="S1594" s="221"/>
      <c r="T1594" s="221" t="s">
        <v>3258</v>
      </c>
      <c r="U1594" s="221" t="s">
        <v>3228</v>
      </c>
      <c r="V1594" s="221" t="s">
        <v>3337</v>
      </c>
      <c r="W1594" s="221" t="s">
        <v>3338</v>
      </c>
      <c r="X1594" s="221"/>
      <c r="Y1594" s="227"/>
      <c r="Z1594" s="227" t="str">
        <f>P1594</f>
        <v>Dusun Krajan Kucur</v>
      </c>
      <c r="AA1594" s="276" t="e">
        <f>VLOOKUP(Logfile_S[[#This Row],[DO number]],DO_DB!G:I,3,0)</f>
        <v>#N/A</v>
      </c>
      <c r="AB1594" s="331" t="e">
        <f>EXACT(Logfile_S[[#This Row],[date pick]],Logfile_S[[#This Row],[Date]])</f>
        <v>#N/A</v>
      </c>
      <c r="AC15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95" spans="1:29" ht="14.5">
      <c r="A1595" s="220" t="str">
        <f>TEXT(ROW(A1595)-ROW($A$4),"000")</f>
        <v>1591</v>
      </c>
      <c r="B1595" s="221"/>
      <c r="C1595" s="221" t="s">
        <v>49</v>
      </c>
      <c r="D1595" s="221" t="s">
        <v>4083</v>
      </c>
      <c r="E1595" s="221" t="s">
        <v>3295</v>
      </c>
      <c r="F1595" s="221" t="s">
        <v>3299</v>
      </c>
      <c r="G1595" s="222">
        <v>45450</v>
      </c>
      <c r="H1595" s="223">
        <v>0.72291666666666676</v>
      </c>
      <c r="I1595" s="221" t="s">
        <v>4916</v>
      </c>
      <c r="J1595" s="221" t="s">
        <v>3024</v>
      </c>
      <c r="K1595" s="224" t="s">
        <v>3090</v>
      </c>
      <c r="L1595" s="225" t="str">
        <f>VLOOKUP(Logfile_S[[#This Row],[Material Name]],Sheet2!B:C,2,0)</f>
        <v>GCI1004</v>
      </c>
      <c r="M1595" s="225" t="str">
        <f>_xlfn.XLOOKUP(Logfile_S[[#This Row],[Material Name]],Sum_WH!E:E,Sum_WH!F:F,"",0)</f>
        <v>Pcs</v>
      </c>
      <c r="N1595" s="221">
        <v>106</v>
      </c>
      <c r="O1595" s="221" t="s">
        <v>1493</v>
      </c>
      <c r="P1595" s="221" t="s">
        <v>1494</v>
      </c>
      <c r="Q1595" s="221"/>
      <c r="R1595" s="221"/>
      <c r="S1595" s="221"/>
      <c r="T1595" s="221" t="s">
        <v>3258</v>
      </c>
      <c r="U1595" s="221" t="s">
        <v>3228</v>
      </c>
      <c r="V1595" s="221" t="s">
        <v>3337</v>
      </c>
      <c r="W1595" s="221" t="s">
        <v>3338</v>
      </c>
      <c r="X1595" s="221"/>
      <c r="Y1595" s="227"/>
      <c r="Z1595" s="227" t="str">
        <f>P1595</f>
        <v>Dusun Krajan Kucur</v>
      </c>
      <c r="AA1595" s="276" t="e">
        <f>VLOOKUP(Logfile_S[[#This Row],[DO number]],DO_DB!G:I,3,0)</f>
        <v>#N/A</v>
      </c>
      <c r="AB1595" s="331" t="e">
        <f>EXACT(Logfile_S[[#This Row],[date pick]],Logfile_S[[#This Row],[Date]])</f>
        <v>#N/A</v>
      </c>
      <c r="AC15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96" spans="1:29" ht="14.5">
      <c r="A1596" s="220" t="str">
        <f>TEXT(ROW(A1596)-ROW($A$4),"000")</f>
        <v>1592</v>
      </c>
      <c r="B1596" s="221"/>
      <c r="C1596" s="221" t="s">
        <v>49</v>
      </c>
      <c r="D1596" s="221" t="s">
        <v>4065</v>
      </c>
      <c r="E1596" s="221" t="s">
        <v>3295</v>
      </c>
      <c r="F1596" s="221" t="s">
        <v>3299</v>
      </c>
      <c r="G1596" s="222">
        <v>45439</v>
      </c>
      <c r="H1596" s="223">
        <v>0.79166666666666663</v>
      </c>
      <c r="I1596" s="221" t="s">
        <v>4916</v>
      </c>
      <c r="J1596" s="221" t="s">
        <v>3023</v>
      </c>
      <c r="K1596" s="224" t="s">
        <v>3075</v>
      </c>
      <c r="L1596" s="225" t="str">
        <f>VLOOKUP(Logfile_S[[#This Row],[Material Name]],Sheet2!B:C,2,0)</f>
        <v>ZTE2003</v>
      </c>
      <c r="M1596" s="225" t="str">
        <f>_xlfn.XLOOKUP(Logfile_S[[#This Row],[Material Name]],Sum_WH!E:E,Sum_WH!F:F,"",0)</f>
        <v>Meter</v>
      </c>
      <c r="N1596" s="221">
        <v>3000</v>
      </c>
      <c r="O1596" s="221" t="s">
        <v>1493</v>
      </c>
      <c r="P1596" s="221" t="s">
        <v>1474</v>
      </c>
      <c r="Q1596" s="221"/>
      <c r="R1596" s="221"/>
      <c r="S1596" s="221"/>
      <c r="T1596" s="221" t="s">
        <v>3258</v>
      </c>
      <c r="U1596" s="221" t="s">
        <v>3228</v>
      </c>
      <c r="V1596" s="221" t="s">
        <v>3337</v>
      </c>
      <c r="W1596" s="221" t="s">
        <v>3338</v>
      </c>
      <c r="X1596" s="221" t="s">
        <v>3556</v>
      </c>
      <c r="Y1596" s="227"/>
      <c r="Z1596" s="227" t="str">
        <f>P1596</f>
        <v>Dusun Sumber Bendo Kucur</v>
      </c>
      <c r="AA1596" s="276" t="e">
        <f>VLOOKUP(Logfile_S[[#This Row],[DO number]],DO_DB!G:I,3,0)</f>
        <v>#N/A</v>
      </c>
      <c r="AB1596" s="331" t="e">
        <f>EXACT(Logfile_S[[#This Row],[date pick]],Logfile_S[[#This Row],[Date]])</f>
        <v>#N/A</v>
      </c>
      <c r="AC15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97" spans="1:29" ht="14.5">
      <c r="A1597" s="220" t="str">
        <f>TEXT(ROW(A1597)-ROW($A$4),"000")</f>
        <v>1593</v>
      </c>
      <c r="B1597" s="221"/>
      <c r="C1597" s="221" t="s">
        <v>49</v>
      </c>
      <c r="D1597" s="221" t="s">
        <v>4068</v>
      </c>
      <c r="E1597" s="221" t="s">
        <v>3295</v>
      </c>
      <c r="F1597" s="221" t="s">
        <v>3299</v>
      </c>
      <c r="G1597" s="222">
        <v>45442</v>
      </c>
      <c r="H1597" s="223">
        <v>0.47916666666666669</v>
      </c>
      <c r="I1597" s="221" t="s">
        <v>4916</v>
      </c>
      <c r="J1597" s="221" t="s">
        <v>3023</v>
      </c>
      <c r="K1597" s="224" t="s">
        <v>3073</v>
      </c>
      <c r="L1597" s="225" t="str">
        <f>VLOOKUP(Logfile_S[[#This Row],[Material Name]],Sheet2!B:C,2,0)</f>
        <v>ZTE2001</v>
      </c>
      <c r="M1597" s="225" t="str">
        <f>_xlfn.XLOOKUP(Logfile_S[[#This Row],[Material Name]],Sum_WH!E:E,Sum_WH!F:F,"",0)</f>
        <v>Meter</v>
      </c>
      <c r="N1597" s="221">
        <v>3000</v>
      </c>
      <c r="O1597" s="221" t="s">
        <v>1477</v>
      </c>
      <c r="P1597" s="221" t="s">
        <v>1478</v>
      </c>
      <c r="Q1597" s="221"/>
      <c r="R1597" s="221"/>
      <c r="S1597" s="221"/>
      <c r="T1597" s="221" t="s">
        <v>3258</v>
      </c>
      <c r="U1597" s="221" t="s">
        <v>3228</v>
      </c>
      <c r="V1597" s="221" t="s">
        <v>3337</v>
      </c>
      <c r="W1597" s="221" t="s">
        <v>3338</v>
      </c>
      <c r="X1597" s="221" t="s">
        <v>3506</v>
      </c>
      <c r="Y1597" s="227"/>
      <c r="Z1597" s="227" t="str">
        <f>P1597</f>
        <v>Dusun Ketohan Kucur</v>
      </c>
      <c r="AA1597" s="276" t="e">
        <f>VLOOKUP(Logfile_S[[#This Row],[DO number]],DO_DB!G:I,3,0)</f>
        <v>#N/A</v>
      </c>
      <c r="AB1597" s="331" t="e">
        <f>EXACT(Logfile_S[[#This Row],[date pick]],Logfile_S[[#This Row],[Date]])</f>
        <v>#N/A</v>
      </c>
      <c r="AC15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98" spans="1:29" ht="14.5">
      <c r="A1598" s="220" t="str">
        <f>TEXT(ROW(A1598)-ROW($A$4),"000")</f>
        <v>1594</v>
      </c>
      <c r="B1598" s="221"/>
      <c r="C1598" s="221" t="s">
        <v>49</v>
      </c>
      <c r="D1598" s="221" t="s">
        <v>4068</v>
      </c>
      <c r="E1598" s="221" t="s">
        <v>3295</v>
      </c>
      <c r="F1598" s="221" t="s">
        <v>3299</v>
      </c>
      <c r="G1598" s="222">
        <v>45442</v>
      </c>
      <c r="H1598" s="223">
        <v>0.47916666666666669</v>
      </c>
      <c r="I1598" s="221" t="s">
        <v>4916</v>
      </c>
      <c r="J1598" s="221" t="s">
        <v>3023</v>
      </c>
      <c r="K1598" s="224" t="s">
        <v>13</v>
      </c>
      <c r="L1598" s="225" t="str">
        <f>VLOOKUP(Logfile_S[[#This Row],[Material Name]],Sheet2!B:C,2,0)</f>
        <v>ZTE2008</v>
      </c>
      <c r="M1598" s="225" t="str">
        <f>_xlfn.XLOOKUP(Logfile_S[[#This Row],[Material Name]],Sum_WH!E:E,Sum_WH!F:F,"",0)</f>
        <v>Pcs</v>
      </c>
      <c r="N1598" s="221">
        <v>5</v>
      </c>
      <c r="O1598" s="221" t="s">
        <v>1477</v>
      </c>
      <c r="P1598" s="221" t="s">
        <v>1478</v>
      </c>
      <c r="Q1598" s="221"/>
      <c r="R1598" s="221"/>
      <c r="S1598" s="221"/>
      <c r="T1598" s="221" t="s">
        <v>3258</v>
      </c>
      <c r="U1598" s="221" t="s">
        <v>3228</v>
      </c>
      <c r="V1598" s="221" t="s">
        <v>3337</v>
      </c>
      <c r="W1598" s="221" t="s">
        <v>3338</v>
      </c>
      <c r="X1598" s="221"/>
      <c r="Y1598" s="227"/>
      <c r="Z1598" s="227" t="str">
        <f>P1598</f>
        <v>Dusun Ketohan Kucur</v>
      </c>
      <c r="AA1598" s="276" t="e">
        <f>VLOOKUP(Logfile_S[[#This Row],[DO number]],DO_DB!G:I,3,0)</f>
        <v>#N/A</v>
      </c>
      <c r="AB1598" s="331" t="e">
        <f>EXACT(Logfile_S[[#This Row],[date pick]],Logfile_S[[#This Row],[Date]])</f>
        <v>#N/A</v>
      </c>
      <c r="AC15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599" spans="1:29" ht="14.5">
      <c r="A1599" s="220" t="str">
        <f>TEXT(ROW(A1599)-ROW($A$4),"000")</f>
        <v>1595</v>
      </c>
      <c r="B1599" s="221"/>
      <c r="C1599" s="221" t="s">
        <v>49</v>
      </c>
      <c r="D1599" s="221" t="s">
        <v>4068</v>
      </c>
      <c r="E1599" s="221" t="s">
        <v>3295</v>
      </c>
      <c r="F1599" s="221" t="s">
        <v>3299</v>
      </c>
      <c r="G1599" s="222">
        <v>45442</v>
      </c>
      <c r="H1599" s="223">
        <v>0.47916666666666669</v>
      </c>
      <c r="I1599" s="221" t="s">
        <v>4916</v>
      </c>
      <c r="J1599" s="221" t="s">
        <v>3023</v>
      </c>
      <c r="K1599" s="224" t="s">
        <v>14</v>
      </c>
      <c r="L1599" s="225" t="str">
        <f>VLOOKUP(Logfile_S[[#This Row],[Material Name]],Sheet2!B:C,2,0)</f>
        <v>ZTE2005</v>
      </c>
      <c r="M1599" s="225" t="str">
        <f>_xlfn.XLOOKUP(Logfile_S[[#This Row],[Material Name]],Sum_WH!E:E,Sum_WH!F:F,"",0)</f>
        <v>Pcs</v>
      </c>
      <c r="N1599" s="221">
        <v>1</v>
      </c>
      <c r="O1599" s="221" t="s">
        <v>1477</v>
      </c>
      <c r="P1599" s="221" t="s">
        <v>1478</v>
      </c>
      <c r="Q1599" s="221"/>
      <c r="R1599" s="221"/>
      <c r="S1599" s="221"/>
      <c r="T1599" s="221" t="s">
        <v>3258</v>
      </c>
      <c r="U1599" s="221" t="s">
        <v>3228</v>
      </c>
      <c r="V1599" s="221" t="s">
        <v>3337</v>
      </c>
      <c r="W1599" s="221" t="s">
        <v>3338</v>
      </c>
      <c r="X1599" s="221"/>
      <c r="Y1599" s="227"/>
      <c r="Z1599" s="227" t="str">
        <f>P1599</f>
        <v>Dusun Ketohan Kucur</v>
      </c>
      <c r="AA1599" s="276" t="e">
        <f>VLOOKUP(Logfile_S[[#This Row],[DO number]],DO_DB!G:I,3,0)</f>
        <v>#N/A</v>
      </c>
      <c r="AB1599" s="331" t="e">
        <f>EXACT(Logfile_S[[#This Row],[date pick]],Logfile_S[[#This Row],[Date]])</f>
        <v>#N/A</v>
      </c>
      <c r="AC15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00" spans="1:29" ht="14.5">
      <c r="A1600" s="220" t="str">
        <f>TEXT(ROW(A1600)-ROW($A$4),"000")</f>
        <v>1596</v>
      </c>
      <c r="B1600" s="221"/>
      <c r="C1600" s="221" t="s">
        <v>49</v>
      </c>
      <c r="D1600" s="221" t="s">
        <v>4068</v>
      </c>
      <c r="E1600" s="221" t="s">
        <v>3295</v>
      </c>
      <c r="F1600" s="221" t="s">
        <v>3299</v>
      </c>
      <c r="G1600" s="222">
        <v>45442</v>
      </c>
      <c r="H1600" s="223">
        <v>0.47916666666666669</v>
      </c>
      <c r="I1600" s="221" t="s">
        <v>4916</v>
      </c>
      <c r="J1600" s="221" t="s">
        <v>3024</v>
      </c>
      <c r="K1600" s="224" t="s">
        <v>3088</v>
      </c>
      <c r="L1600" s="225" t="str">
        <f>VLOOKUP(Logfile_S[[#This Row],[Material Name]],Sheet2!B:C,2,0)</f>
        <v>GCI1002</v>
      </c>
      <c r="M1600" s="225" t="str">
        <f>_xlfn.XLOOKUP(Logfile_S[[#This Row],[Material Name]],Sum_WH!E:E,Sum_WH!F:F,"",0)</f>
        <v>Pcs</v>
      </c>
      <c r="N1600" s="221">
        <v>2</v>
      </c>
      <c r="O1600" s="221" t="s">
        <v>1477</v>
      </c>
      <c r="P1600" s="221" t="s">
        <v>1478</v>
      </c>
      <c r="Q1600" s="221"/>
      <c r="R1600" s="221"/>
      <c r="S1600" s="221"/>
      <c r="T1600" s="221" t="s">
        <v>3258</v>
      </c>
      <c r="U1600" s="221" t="s">
        <v>3228</v>
      </c>
      <c r="V1600" s="221" t="s">
        <v>3337</v>
      </c>
      <c r="W1600" s="221" t="s">
        <v>3338</v>
      </c>
      <c r="X1600" s="221"/>
      <c r="Y1600" s="227"/>
      <c r="Z1600" s="227" t="str">
        <f>P1600</f>
        <v>Dusun Ketohan Kucur</v>
      </c>
      <c r="AA1600" s="276" t="e">
        <f>VLOOKUP(Logfile_S[[#This Row],[DO number]],DO_DB!G:I,3,0)</f>
        <v>#N/A</v>
      </c>
      <c r="AB1600" s="331" t="e">
        <f>EXACT(Logfile_S[[#This Row],[date pick]],Logfile_S[[#This Row],[Date]])</f>
        <v>#N/A</v>
      </c>
      <c r="AC16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01" spans="1:29" ht="14.5">
      <c r="A1601" s="220" t="str">
        <f>TEXT(ROW(A1601)-ROW($A$4),"000")</f>
        <v>1597</v>
      </c>
      <c r="B1601" s="221"/>
      <c r="C1601" s="221" t="s">
        <v>49</v>
      </c>
      <c r="D1601" s="221" t="s">
        <v>4059</v>
      </c>
      <c r="E1601" s="221" t="s">
        <v>3295</v>
      </c>
      <c r="F1601" s="221" t="s">
        <v>3299</v>
      </c>
      <c r="G1601" s="222">
        <v>45436</v>
      </c>
      <c r="H1601" s="223">
        <v>0.44791666666666669</v>
      </c>
      <c r="I1601" s="221" t="s">
        <v>4916</v>
      </c>
      <c r="J1601" s="221" t="s">
        <v>3023</v>
      </c>
      <c r="K1601" s="224" t="s">
        <v>3069</v>
      </c>
      <c r="L1601" s="225" t="str">
        <f>VLOOKUP(Logfile_S[[#This Row],[Material Name]],Sheet2!B:C,2,0)</f>
        <v>ZTE1001</v>
      </c>
      <c r="M1601" s="225" t="str">
        <f>_xlfn.XLOOKUP(Logfile_S[[#This Row],[Material Name]],Sum_WH!E:E,Sum_WH!F:F,"",0)</f>
        <v>Pcs</v>
      </c>
      <c r="N1601" s="221">
        <v>21</v>
      </c>
      <c r="O1601" s="221" t="s">
        <v>1469</v>
      </c>
      <c r="P1601" s="221" t="s">
        <v>1470</v>
      </c>
      <c r="Q1601" s="221"/>
      <c r="R1601" s="221"/>
      <c r="S1601" s="221"/>
      <c r="T1601" s="221" t="s">
        <v>3258</v>
      </c>
      <c r="U1601" s="221" t="s">
        <v>3228</v>
      </c>
      <c r="V1601" s="221" t="s">
        <v>3337</v>
      </c>
      <c r="W1601" s="221" t="s">
        <v>3338</v>
      </c>
      <c r="X1601" s="221"/>
      <c r="Y1601" s="227"/>
      <c r="Z1601" s="227" t="str">
        <f>P1601</f>
        <v>Dusun Klaseman Kucur</v>
      </c>
      <c r="AA1601" s="276" t="e">
        <f>VLOOKUP(Logfile_S[[#This Row],[DO number]],DO_DB!G:I,3,0)</f>
        <v>#N/A</v>
      </c>
      <c r="AB1601" s="331" t="e">
        <f>EXACT(Logfile_S[[#This Row],[date pick]],Logfile_S[[#This Row],[Date]])</f>
        <v>#N/A</v>
      </c>
      <c r="AC16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02" spans="1:29" ht="14.5">
      <c r="A1602" s="220" t="str">
        <f>TEXT(ROW(A1602)-ROW($A$4),"000")</f>
        <v>1598</v>
      </c>
      <c r="B1602" s="221"/>
      <c r="C1602" s="221" t="s">
        <v>49</v>
      </c>
      <c r="D1602" s="221" t="s">
        <v>4064</v>
      </c>
      <c r="E1602" s="221" t="s">
        <v>3295</v>
      </c>
      <c r="F1602" s="221" t="s">
        <v>3299</v>
      </c>
      <c r="G1602" s="222">
        <v>45437</v>
      </c>
      <c r="H1602" s="223">
        <v>0.40277777777777773</v>
      </c>
      <c r="I1602" s="221" t="s">
        <v>4916</v>
      </c>
      <c r="J1602" s="221" t="s">
        <v>3023</v>
      </c>
      <c r="K1602" s="224" t="s">
        <v>3073</v>
      </c>
      <c r="L1602" s="225" t="str">
        <f>VLOOKUP(Logfile_S[[#This Row],[Material Name]],Sheet2!B:C,2,0)</f>
        <v>ZTE2001</v>
      </c>
      <c r="M1602" s="225" t="str">
        <f>_xlfn.XLOOKUP(Logfile_S[[#This Row],[Material Name]],Sum_WH!E:E,Sum_WH!F:F,"",0)</f>
        <v>Meter</v>
      </c>
      <c r="N1602" s="221">
        <v>3000</v>
      </c>
      <c r="O1602" s="221" t="s">
        <v>1469</v>
      </c>
      <c r="P1602" s="221" t="s">
        <v>1470</v>
      </c>
      <c r="Q1602" s="221"/>
      <c r="R1602" s="221"/>
      <c r="S1602" s="221"/>
      <c r="T1602" s="221" t="s">
        <v>3258</v>
      </c>
      <c r="U1602" s="221" t="s">
        <v>3228</v>
      </c>
      <c r="V1602" s="221" t="s">
        <v>3337</v>
      </c>
      <c r="W1602" s="221" t="s">
        <v>3338</v>
      </c>
      <c r="X1602" s="221" t="s">
        <v>3505</v>
      </c>
      <c r="Y1602" s="227"/>
      <c r="Z1602" s="227" t="str">
        <f>P1602</f>
        <v>Dusun Klaseman Kucur</v>
      </c>
      <c r="AA1602" s="276" t="e">
        <f>VLOOKUP(Logfile_S[[#This Row],[DO number]],DO_DB!G:I,3,0)</f>
        <v>#N/A</v>
      </c>
      <c r="AB1602" s="331" t="e">
        <f>EXACT(Logfile_S[[#This Row],[date pick]],Logfile_S[[#This Row],[Date]])</f>
        <v>#N/A</v>
      </c>
      <c r="AC16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03" spans="1:29" ht="14.5">
      <c r="A1603" s="220" t="str">
        <f>TEXT(ROW(A1603)-ROW($A$4),"000")</f>
        <v>1599</v>
      </c>
      <c r="B1603" s="221"/>
      <c r="C1603" s="221" t="s">
        <v>49</v>
      </c>
      <c r="D1603" s="221" t="s">
        <v>4061</v>
      </c>
      <c r="E1603" s="221" t="s">
        <v>3295</v>
      </c>
      <c r="F1603" s="221" t="s">
        <v>3299</v>
      </c>
      <c r="G1603" s="222">
        <v>45437</v>
      </c>
      <c r="H1603" s="223">
        <v>0.47361111111111115</v>
      </c>
      <c r="I1603" s="221" t="s">
        <v>4916</v>
      </c>
      <c r="J1603" s="221" t="s">
        <v>3023</v>
      </c>
      <c r="K1603" s="224" t="s">
        <v>3080</v>
      </c>
      <c r="L1603" s="225" t="str">
        <f>VLOOKUP(Logfile_S[[#This Row],[Material Name]],Sheet2!B:C,2,0)</f>
        <v>ZTE2010</v>
      </c>
      <c r="M1603" s="225" t="str">
        <f>_xlfn.XLOOKUP(Logfile_S[[#This Row],[Material Name]],Sum_WH!E:E,Sum_WH!F:F,"",0)</f>
        <v>Pcs</v>
      </c>
      <c r="N1603" s="221">
        <v>2</v>
      </c>
      <c r="O1603" s="221" t="s">
        <v>1469</v>
      </c>
      <c r="P1603" s="221" t="s">
        <v>1470</v>
      </c>
      <c r="Q1603" s="221"/>
      <c r="R1603" s="221"/>
      <c r="S1603" s="221"/>
      <c r="T1603" s="221" t="s">
        <v>3231</v>
      </c>
      <c r="U1603" s="221">
        <v>0</v>
      </c>
      <c r="V1603" s="221" t="s">
        <v>3232</v>
      </c>
      <c r="W1603" s="221" t="s">
        <v>3246</v>
      </c>
      <c r="X1603" s="221"/>
      <c r="Y1603" s="227"/>
      <c r="Z1603" s="227" t="str">
        <f>P1603</f>
        <v>Dusun Klaseman Kucur</v>
      </c>
      <c r="AA1603" s="276" t="e">
        <f>VLOOKUP(Logfile_S[[#This Row],[DO number]],DO_DB!G:I,3,0)</f>
        <v>#N/A</v>
      </c>
      <c r="AB1603" s="331" t="e">
        <f>EXACT(Logfile_S[[#This Row],[date pick]],Logfile_S[[#This Row],[Date]])</f>
        <v>#N/A</v>
      </c>
      <c r="AC16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04" spans="1:29" ht="14.5">
      <c r="A1604" s="220" t="str">
        <f>TEXT(ROW(A1604)-ROW($A$4),"000")</f>
        <v>1600</v>
      </c>
      <c r="B1604" s="221"/>
      <c r="C1604" s="221" t="s">
        <v>49</v>
      </c>
      <c r="D1604" s="221" t="s">
        <v>4061</v>
      </c>
      <c r="E1604" s="221" t="s">
        <v>3295</v>
      </c>
      <c r="F1604" s="221" t="s">
        <v>3299</v>
      </c>
      <c r="G1604" s="222">
        <v>45437</v>
      </c>
      <c r="H1604" s="223">
        <v>0.47361111111111115</v>
      </c>
      <c r="I1604" s="221" t="s">
        <v>4916</v>
      </c>
      <c r="J1604" s="221" t="s">
        <v>3023</v>
      </c>
      <c r="K1604" s="224" t="s">
        <v>13</v>
      </c>
      <c r="L1604" s="225" t="str">
        <f>VLOOKUP(Logfile_S[[#This Row],[Material Name]],Sheet2!B:C,2,0)</f>
        <v>ZTE2008</v>
      </c>
      <c r="M1604" s="225" t="str">
        <f>_xlfn.XLOOKUP(Logfile_S[[#This Row],[Material Name]],Sum_WH!E:E,Sum_WH!F:F,"",0)</f>
        <v>Pcs</v>
      </c>
      <c r="N1604" s="221">
        <v>14</v>
      </c>
      <c r="O1604" s="221" t="s">
        <v>1469</v>
      </c>
      <c r="P1604" s="221" t="s">
        <v>1470</v>
      </c>
      <c r="Q1604" s="221"/>
      <c r="R1604" s="221"/>
      <c r="S1604" s="221"/>
      <c r="T1604" s="221" t="s">
        <v>3231</v>
      </c>
      <c r="U1604" s="221">
        <v>0</v>
      </c>
      <c r="V1604" s="221" t="s">
        <v>3232</v>
      </c>
      <c r="W1604" s="221" t="s">
        <v>3246</v>
      </c>
      <c r="X1604" s="221"/>
      <c r="Y1604" s="227"/>
      <c r="Z1604" s="227" t="str">
        <f>P1604</f>
        <v>Dusun Klaseman Kucur</v>
      </c>
      <c r="AA1604" s="276" t="e">
        <f>VLOOKUP(Logfile_S[[#This Row],[DO number]],DO_DB!G:I,3,0)</f>
        <v>#N/A</v>
      </c>
      <c r="AB1604" s="331" t="e">
        <f>EXACT(Logfile_S[[#This Row],[date pick]],Logfile_S[[#This Row],[Date]])</f>
        <v>#N/A</v>
      </c>
      <c r="AC16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05" spans="1:29" ht="14.5">
      <c r="A1605" s="220" t="str">
        <f>TEXT(ROW(A1605)-ROW($A$4),"000")</f>
        <v>1601</v>
      </c>
      <c r="B1605" s="221"/>
      <c r="C1605" s="221" t="s">
        <v>49</v>
      </c>
      <c r="D1605" s="221" t="s">
        <v>4061</v>
      </c>
      <c r="E1605" s="221" t="s">
        <v>3295</v>
      </c>
      <c r="F1605" s="221" t="s">
        <v>3299</v>
      </c>
      <c r="G1605" s="222">
        <v>45437</v>
      </c>
      <c r="H1605" s="223">
        <v>0.47361111111111115</v>
      </c>
      <c r="I1605" s="221" t="s">
        <v>4916</v>
      </c>
      <c r="J1605" s="221" t="s">
        <v>3023</v>
      </c>
      <c r="K1605" s="224" t="s">
        <v>14</v>
      </c>
      <c r="L1605" s="225" t="str">
        <f>VLOOKUP(Logfile_S[[#This Row],[Material Name]],Sheet2!B:C,2,0)</f>
        <v>ZTE2005</v>
      </c>
      <c r="M1605" s="225" t="str">
        <f>_xlfn.XLOOKUP(Logfile_S[[#This Row],[Material Name]],Sum_WH!E:E,Sum_WH!F:F,"",0)</f>
        <v>Pcs</v>
      </c>
      <c r="N1605" s="221">
        <v>1</v>
      </c>
      <c r="O1605" s="221" t="s">
        <v>1469</v>
      </c>
      <c r="P1605" s="221" t="s">
        <v>1470</v>
      </c>
      <c r="Q1605" s="221"/>
      <c r="R1605" s="221"/>
      <c r="S1605" s="221"/>
      <c r="T1605" s="221" t="s">
        <v>3231</v>
      </c>
      <c r="U1605" s="221">
        <v>0</v>
      </c>
      <c r="V1605" s="221" t="s">
        <v>3232</v>
      </c>
      <c r="W1605" s="221" t="s">
        <v>3246</v>
      </c>
      <c r="X1605" s="221"/>
      <c r="Y1605" s="227"/>
      <c r="Z1605" s="227" t="str">
        <f>P1605</f>
        <v>Dusun Klaseman Kucur</v>
      </c>
      <c r="AA1605" s="276" t="e">
        <f>VLOOKUP(Logfile_S[[#This Row],[DO number]],DO_DB!G:I,3,0)</f>
        <v>#N/A</v>
      </c>
      <c r="AB1605" s="331" t="e">
        <f>EXACT(Logfile_S[[#This Row],[date pick]],Logfile_S[[#This Row],[Date]])</f>
        <v>#N/A</v>
      </c>
      <c r="AC16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06" spans="1:29" ht="14.5">
      <c r="A1606" s="220" t="str">
        <f>TEXT(ROW(A1606)-ROW($A$4),"000")</f>
        <v>1602</v>
      </c>
      <c r="B1606" s="221"/>
      <c r="C1606" s="221" t="s">
        <v>49</v>
      </c>
      <c r="D1606" s="221" t="s">
        <v>4061</v>
      </c>
      <c r="E1606" s="221" t="s">
        <v>3295</v>
      </c>
      <c r="F1606" s="221" t="s">
        <v>3299</v>
      </c>
      <c r="G1606" s="222">
        <v>45437</v>
      </c>
      <c r="H1606" s="223">
        <v>0.47361111111111115</v>
      </c>
      <c r="I1606" s="221" t="s">
        <v>4916</v>
      </c>
      <c r="J1606" s="221" t="s">
        <v>3023</v>
      </c>
      <c r="K1606" s="224" t="s">
        <v>3072</v>
      </c>
      <c r="L1606" s="225" t="str">
        <f>VLOOKUP(Logfile_S[[#This Row],[Material Name]],Sheet2!B:C,2,0)</f>
        <v>ZTE1004</v>
      </c>
      <c r="M1606" s="225" t="str">
        <f>_xlfn.XLOOKUP(Logfile_S[[#This Row],[Material Name]],Sum_WH!E:E,Sum_WH!F:F,"",0)</f>
        <v>Pcs</v>
      </c>
      <c r="N1606" s="221">
        <v>1</v>
      </c>
      <c r="O1606" s="221" t="s">
        <v>1469</v>
      </c>
      <c r="P1606" s="221" t="s">
        <v>1470</v>
      </c>
      <c r="Q1606" s="221"/>
      <c r="R1606" s="221"/>
      <c r="S1606" s="221"/>
      <c r="T1606" s="221" t="s">
        <v>3231</v>
      </c>
      <c r="U1606" s="221">
        <v>0</v>
      </c>
      <c r="V1606" s="221" t="s">
        <v>3232</v>
      </c>
      <c r="W1606" s="221" t="s">
        <v>3246</v>
      </c>
      <c r="X1606" s="221"/>
      <c r="Y1606" s="227"/>
      <c r="Z1606" s="227" t="str">
        <f>P1606</f>
        <v>Dusun Klaseman Kucur</v>
      </c>
      <c r="AA1606" s="276" t="e">
        <f>VLOOKUP(Logfile_S[[#This Row],[DO number]],DO_DB!G:I,3,0)</f>
        <v>#N/A</v>
      </c>
      <c r="AB1606" s="331" t="e">
        <f>EXACT(Logfile_S[[#This Row],[date pick]],Logfile_S[[#This Row],[Date]])</f>
        <v>#N/A</v>
      </c>
      <c r="AC16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07" spans="1:29" ht="14.5">
      <c r="A1607" s="237" t="str">
        <f>TEXT(ROW(A1607)-ROW($A$4),"000")</f>
        <v>1603</v>
      </c>
      <c r="B1607" s="221"/>
      <c r="C1607" s="221" t="s">
        <v>48</v>
      </c>
      <c r="D1607" s="221" t="s">
        <v>4371</v>
      </c>
      <c r="E1607" s="221" t="s">
        <v>3295</v>
      </c>
      <c r="F1607" s="221" t="s">
        <v>3299</v>
      </c>
      <c r="G1607" s="222">
        <v>45820</v>
      </c>
      <c r="H1607" s="223">
        <v>15.291666666666666</v>
      </c>
      <c r="I1607" s="221" t="s">
        <v>37</v>
      </c>
      <c r="J1607" s="221" t="s">
        <v>3023</v>
      </c>
      <c r="K1607" s="224" t="s">
        <v>3075</v>
      </c>
      <c r="L1607" s="225" t="str">
        <f>VLOOKUP(Logfile_S[[#This Row],[Material Name]],Sheet2!B:C,2,0)</f>
        <v>ZTE2003</v>
      </c>
      <c r="M1607" s="225" t="str">
        <f>_xlfn.XLOOKUP(Logfile_S[[#This Row],[Material Name]],Sum_WH!E:E,Sum_WH!F:F,"",0)</f>
        <v>Meter</v>
      </c>
      <c r="N1607" s="221">
        <v>3000</v>
      </c>
      <c r="O1607" s="221" t="s">
        <v>2809</v>
      </c>
      <c r="P1607" s="221" t="s">
        <v>2810</v>
      </c>
      <c r="Q1607" s="221" t="s">
        <v>2813</v>
      </c>
      <c r="R1607" s="221" t="s">
        <v>2814</v>
      </c>
      <c r="S1607" s="227"/>
      <c r="T1607" s="227"/>
      <c r="U1607" s="227"/>
      <c r="V1607" s="227"/>
      <c r="W1607" s="227"/>
      <c r="X1607" s="227"/>
      <c r="Y1607" s="238" t="s">
        <v>5081</v>
      </c>
      <c r="Z1607" s="227" t="str">
        <f>P1607</f>
        <v>BULULAWANG RW 01, 02, 03, 04, 06   MALANG</v>
      </c>
      <c r="AA1607" s="276">
        <f>VLOOKUP(Logfile_S[[#This Row],[DO number]],DO_DB!G:I,3,0)</f>
        <v>45820</v>
      </c>
      <c r="AB1607" s="331" t="b">
        <f>EXACT(Logfile_S[[#This Row],[date pick]],Logfile_S[[#This Row],[Date]])</f>
        <v>1</v>
      </c>
      <c r="AC16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48C-2025613-01</v>
      </c>
    </row>
    <row r="1608" spans="1:29" ht="14.5">
      <c r="A1608" s="220" t="str">
        <f>TEXT(ROW(A1608)-ROW($A$4),"000")</f>
        <v>1604</v>
      </c>
      <c r="B1608" s="221"/>
      <c r="C1608" s="221" t="s">
        <v>48</v>
      </c>
      <c r="D1608" s="221" t="s">
        <v>4371</v>
      </c>
      <c r="E1608" s="221" t="s">
        <v>3295</v>
      </c>
      <c r="F1608" s="221" t="s">
        <v>3299</v>
      </c>
      <c r="G1608" s="222">
        <v>45820</v>
      </c>
      <c r="H1608" s="223">
        <v>15.291666666666666</v>
      </c>
      <c r="I1608" s="221" t="s">
        <v>37</v>
      </c>
      <c r="J1608" s="221" t="s">
        <v>3023</v>
      </c>
      <c r="K1608" s="224" t="s">
        <v>3075</v>
      </c>
      <c r="L1608" s="225" t="str">
        <f>VLOOKUP(Logfile_S[[#This Row],[Material Name]],Sheet2!B:C,2,0)</f>
        <v>ZTE2003</v>
      </c>
      <c r="M1608" s="225" t="str">
        <f>_xlfn.XLOOKUP(Logfile_S[[#This Row],[Material Name]],Sum_WH!E:E,Sum_WH!F:F,"",0)</f>
        <v>Meter</v>
      </c>
      <c r="N1608" s="221">
        <v>3000</v>
      </c>
      <c r="O1608" s="221" t="s">
        <v>2809</v>
      </c>
      <c r="P1608" s="221" t="s">
        <v>2810</v>
      </c>
      <c r="Q1608" s="221" t="s">
        <v>2813</v>
      </c>
      <c r="R1608" s="221" t="s">
        <v>2814</v>
      </c>
      <c r="S1608" s="221"/>
      <c r="T1608" s="221"/>
      <c r="U1608" s="221"/>
      <c r="V1608" s="221"/>
      <c r="W1608" s="221"/>
      <c r="X1608" s="221"/>
      <c r="Y1608" s="227" t="s">
        <v>5082</v>
      </c>
      <c r="Z1608" s="227" t="str">
        <f>P1608</f>
        <v>BULULAWANG RW 01, 02, 03, 04, 06   MALANG</v>
      </c>
      <c r="AA1608" s="276">
        <f>VLOOKUP(Logfile_S[[#This Row],[DO number]],DO_DB!G:I,3,0)</f>
        <v>45820</v>
      </c>
      <c r="AB1608" s="331" t="b">
        <f>EXACT(Logfile_S[[#This Row],[date pick]],Logfile_S[[#This Row],[Date]])</f>
        <v>1</v>
      </c>
      <c r="AC16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48C-2025613-03</v>
      </c>
    </row>
    <row r="1609" spans="1:29" ht="14.5">
      <c r="A1609" s="220" t="str">
        <f>TEXT(ROW(A1609)-ROW($A$4),"000")</f>
        <v>1605</v>
      </c>
      <c r="B1609" s="221"/>
      <c r="C1609" s="221" t="s">
        <v>49</v>
      </c>
      <c r="D1609" s="221" t="s">
        <v>4372</v>
      </c>
      <c r="E1609" s="221" t="s">
        <v>3295</v>
      </c>
      <c r="F1609" s="221" t="s">
        <v>3299</v>
      </c>
      <c r="G1609" s="222">
        <v>45822</v>
      </c>
      <c r="H1609" s="223">
        <v>0.5395833333333333</v>
      </c>
      <c r="I1609" s="221" t="s">
        <v>4916</v>
      </c>
      <c r="J1609" s="221" t="s">
        <v>3023</v>
      </c>
      <c r="K1609" s="224" t="s">
        <v>3073</v>
      </c>
      <c r="L1609" s="225" t="str">
        <f>VLOOKUP(Logfile_S[[#This Row],[Material Name]],Sheet2!B:C,2,0)</f>
        <v>ZTE2001</v>
      </c>
      <c r="M1609" s="225" t="str">
        <f>_xlfn.XLOOKUP(Logfile_S[[#This Row],[Material Name]],Sum_WH!E:E,Sum_WH!F:F,"",0)</f>
        <v>Meter</v>
      </c>
      <c r="N1609" s="221">
        <v>3000</v>
      </c>
      <c r="O1609" s="221" t="s">
        <v>2809</v>
      </c>
      <c r="P1609" s="221" t="s">
        <v>2810</v>
      </c>
      <c r="Q1609" s="221"/>
      <c r="R1609" s="221"/>
      <c r="S1609" s="221"/>
      <c r="T1609" s="221" t="s">
        <v>3258</v>
      </c>
      <c r="U1609" s="221" t="s">
        <v>5107</v>
      </c>
      <c r="V1609" s="221" t="s">
        <v>3337</v>
      </c>
      <c r="W1609" s="221" t="s">
        <v>3338</v>
      </c>
      <c r="X1609" s="221" t="s">
        <v>3516</v>
      </c>
      <c r="Y1609" s="227"/>
      <c r="Z1609" s="227" t="str">
        <f>P1609</f>
        <v>BULULAWANG RW 01, 02, 03, 04, 06   MALANG</v>
      </c>
      <c r="AA1609" s="276" t="e">
        <f>VLOOKUP(Logfile_S[[#This Row],[DO number]],DO_DB!G:I,3,0)</f>
        <v>#N/A</v>
      </c>
      <c r="AB1609" s="331" t="e">
        <f>EXACT(Logfile_S[[#This Row],[date pick]],Logfile_S[[#This Row],[Date]])</f>
        <v>#N/A</v>
      </c>
      <c r="AC16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10" spans="1:29" ht="14.5">
      <c r="A1610" s="237" t="str">
        <f>TEXT(ROW(A1610)-ROW($A$4),"000")</f>
        <v>1606</v>
      </c>
      <c r="B1610" s="221"/>
      <c r="C1610" s="227" t="s">
        <v>49</v>
      </c>
      <c r="D1610" s="227" t="s">
        <v>4372</v>
      </c>
      <c r="E1610" s="227" t="s">
        <v>3295</v>
      </c>
      <c r="F1610" s="227" t="s">
        <v>3299</v>
      </c>
      <c r="G1610" s="239">
        <v>45822</v>
      </c>
      <c r="H1610" s="240">
        <v>0.5395833333333333</v>
      </c>
      <c r="I1610" s="227" t="s">
        <v>4916</v>
      </c>
      <c r="J1610" s="227" t="s">
        <v>3023</v>
      </c>
      <c r="K1610" s="241" t="s">
        <v>3075</v>
      </c>
      <c r="L1610" s="225" t="str">
        <f>VLOOKUP(Logfile_S[[#This Row],[Material Name]],Sheet2!B:C,2,0)</f>
        <v>ZTE2003</v>
      </c>
      <c r="M1610" s="242" t="str">
        <f>_xlfn.XLOOKUP(Logfile_S[[#This Row],[Material Name]],Sum_WH!E:E,Sum_WH!F:F,"",0)</f>
        <v>Meter</v>
      </c>
      <c r="N1610" s="227">
        <v>1019</v>
      </c>
      <c r="O1610" s="227" t="s">
        <v>2809</v>
      </c>
      <c r="P1610" s="227" t="s">
        <v>2810</v>
      </c>
      <c r="Q1610" s="227"/>
      <c r="R1610" s="227"/>
      <c r="S1610" s="227"/>
      <c r="T1610" s="221" t="s">
        <v>3258</v>
      </c>
      <c r="U1610" s="221" t="s">
        <v>5107</v>
      </c>
      <c r="V1610" s="221" t="s">
        <v>3337</v>
      </c>
      <c r="W1610" s="221" t="s">
        <v>3338</v>
      </c>
      <c r="X1610" s="227"/>
      <c r="Y1610" s="227"/>
      <c r="Z1610" s="227" t="str">
        <f>P1610</f>
        <v>BULULAWANG RW 01, 02, 03, 04, 06   MALANG</v>
      </c>
      <c r="AA1610" s="276" t="e">
        <f>VLOOKUP(Logfile_S[[#This Row],[DO number]],DO_DB!G:I,3,0)</f>
        <v>#N/A</v>
      </c>
      <c r="AB1610" s="331" t="e">
        <f>EXACT(Logfile_S[[#This Row],[date pick]],Logfile_S[[#This Row],[Date]])</f>
        <v>#N/A</v>
      </c>
      <c r="AC16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11" spans="1:29" ht="14.5">
      <c r="A1611" s="220" t="str">
        <f>TEXT(ROW(A1611)-ROW($A$4),"000")</f>
        <v>1607</v>
      </c>
      <c r="B1611" s="221"/>
      <c r="C1611" s="221" t="s">
        <v>49</v>
      </c>
      <c r="D1611" s="221" t="s">
        <v>4372</v>
      </c>
      <c r="E1611" s="221" t="s">
        <v>3295</v>
      </c>
      <c r="F1611" s="221" t="s">
        <v>3299</v>
      </c>
      <c r="G1611" s="222">
        <v>45822</v>
      </c>
      <c r="H1611" s="223">
        <v>0.5395833333333333</v>
      </c>
      <c r="I1611" s="221" t="s">
        <v>4916</v>
      </c>
      <c r="J1611" s="221" t="s">
        <v>3023</v>
      </c>
      <c r="K1611" s="224" t="s">
        <v>3075</v>
      </c>
      <c r="L1611" s="225" t="str">
        <f>VLOOKUP(Logfile_S[[#This Row],[Material Name]],Sheet2!B:C,2,0)</f>
        <v>ZTE2003</v>
      </c>
      <c r="M1611" s="225" t="str">
        <f>_xlfn.XLOOKUP(Logfile_S[[#This Row],[Material Name]],Sum_WH!E:E,Sum_WH!F:F,"",0)</f>
        <v>Meter</v>
      </c>
      <c r="N1611" s="221">
        <v>3000</v>
      </c>
      <c r="O1611" s="221" t="s">
        <v>2809</v>
      </c>
      <c r="P1611" s="221" t="s">
        <v>2810</v>
      </c>
      <c r="Q1611" s="221"/>
      <c r="R1611" s="221"/>
      <c r="S1611" s="221"/>
      <c r="T1611" s="221" t="s">
        <v>3258</v>
      </c>
      <c r="U1611" s="221" t="s">
        <v>5107</v>
      </c>
      <c r="V1611" s="221" t="s">
        <v>3337</v>
      </c>
      <c r="W1611" s="221" t="s">
        <v>3338</v>
      </c>
      <c r="X1611" s="221"/>
      <c r="Y1611" s="227"/>
      <c r="Z1611" s="227" t="str">
        <f>P1611</f>
        <v>BULULAWANG RW 01, 02, 03, 04, 06   MALANG</v>
      </c>
      <c r="AA1611" s="276" t="e">
        <f>VLOOKUP(Logfile_S[[#This Row],[DO number]],DO_DB!G:I,3,0)</f>
        <v>#N/A</v>
      </c>
      <c r="AB1611" s="331" t="e">
        <f>EXACT(Logfile_S[[#This Row],[date pick]],Logfile_S[[#This Row],[Date]])</f>
        <v>#N/A</v>
      </c>
      <c r="AC16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12" spans="1:29" ht="14.5">
      <c r="A1612" s="237" t="str">
        <f>TEXT(ROW(A1612)-ROW($A$4),"000")</f>
        <v>1608</v>
      </c>
      <c r="B1612" s="221"/>
      <c r="C1612" s="221" t="s">
        <v>49</v>
      </c>
      <c r="D1612" s="221" t="s">
        <v>4372</v>
      </c>
      <c r="E1612" s="221" t="s">
        <v>3295</v>
      </c>
      <c r="F1612" s="221" t="s">
        <v>3299</v>
      </c>
      <c r="G1612" s="222">
        <v>45822</v>
      </c>
      <c r="H1612" s="223">
        <v>0.5395833333333333</v>
      </c>
      <c r="I1612" s="221" t="s">
        <v>4916</v>
      </c>
      <c r="J1612" s="221" t="s">
        <v>3023</v>
      </c>
      <c r="K1612" s="224" t="s">
        <v>3075</v>
      </c>
      <c r="L1612" s="225" t="str">
        <f>VLOOKUP(Logfile_S[[#This Row],[Material Name]],Sheet2!B:C,2,0)</f>
        <v>ZTE2003</v>
      </c>
      <c r="M1612" s="225" t="str">
        <f>_xlfn.XLOOKUP(Logfile_S[[#This Row],[Material Name]],Sum_WH!E:E,Sum_WH!F:F,"",0)</f>
        <v>Meter</v>
      </c>
      <c r="N1612" s="221">
        <v>3000</v>
      </c>
      <c r="O1612" s="221" t="s">
        <v>2809</v>
      </c>
      <c r="P1612" s="221" t="s">
        <v>2810</v>
      </c>
      <c r="Q1612" s="221"/>
      <c r="R1612" s="227"/>
      <c r="S1612" s="227"/>
      <c r="T1612" s="221" t="s">
        <v>3258</v>
      </c>
      <c r="U1612" s="221" t="s">
        <v>5107</v>
      </c>
      <c r="V1612" s="221" t="s">
        <v>3337</v>
      </c>
      <c r="W1612" s="221" t="s">
        <v>3338</v>
      </c>
      <c r="X1612" s="221"/>
      <c r="Y1612" s="238"/>
      <c r="Z1612" s="227" t="str">
        <f>P1612</f>
        <v>BULULAWANG RW 01, 02, 03, 04, 06   MALANG</v>
      </c>
      <c r="AA1612" s="276" t="e">
        <f>VLOOKUP(Logfile_S[[#This Row],[DO number]],DO_DB!G:I,3,0)</f>
        <v>#N/A</v>
      </c>
      <c r="AB1612" s="331" t="e">
        <f>EXACT(Logfile_S[[#This Row],[date pick]],Logfile_S[[#This Row],[Date]])</f>
        <v>#N/A</v>
      </c>
      <c r="AC16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13" spans="1:29" ht="14.5">
      <c r="A1613" s="220" t="str">
        <f>TEXT(ROW(A1613)-ROW($A$4),"000")</f>
        <v>1609</v>
      </c>
      <c r="B1613" s="221"/>
      <c r="C1613" s="221" t="s">
        <v>49</v>
      </c>
      <c r="D1613" s="221" t="s">
        <v>4372</v>
      </c>
      <c r="E1613" s="221" t="s">
        <v>3295</v>
      </c>
      <c r="F1613" s="221" t="s">
        <v>3299</v>
      </c>
      <c r="G1613" s="222">
        <v>45822</v>
      </c>
      <c r="H1613" s="223">
        <v>0.5395833333333333</v>
      </c>
      <c r="I1613" s="221" t="s">
        <v>4916</v>
      </c>
      <c r="J1613" s="221" t="s">
        <v>3023</v>
      </c>
      <c r="K1613" s="224" t="s">
        <v>3070</v>
      </c>
      <c r="L1613" s="225" t="str">
        <f>VLOOKUP(Logfile_S[[#This Row],[Material Name]],Sheet2!B:C,2,0)</f>
        <v>ZTE1002</v>
      </c>
      <c r="M1613" s="225" t="str">
        <f>_xlfn.XLOOKUP(Logfile_S[[#This Row],[Material Name]],Sum_WH!E:E,Sum_WH!F:F,"",0)</f>
        <v>Pcs</v>
      </c>
      <c r="N1613" s="221">
        <v>112</v>
      </c>
      <c r="O1613" s="221" t="s">
        <v>2809</v>
      </c>
      <c r="P1613" s="221" t="s">
        <v>2810</v>
      </c>
      <c r="Q1613" s="221"/>
      <c r="R1613" s="221"/>
      <c r="S1613" s="221"/>
      <c r="T1613" s="221" t="s">
        <v>3258</v>
      </c>
      <c r="U1613" s="221">
        <v>0</v>
      </c>
      <c r="V1613" s="221" t="s">
        <v>3337</v>
      </c>
      <c r="W1613" s="221" t="s">
        <v>3338</v>
      </c>
      <c r="X1613" s="221"/>
      <c r="Y1613" s="227"/>
      <c r="Z1613" s="227" t="str">
        <f>P1613</f>
        <v>BULULAWANG RW 01, 02, 03, 04, 06   MALANG</v>
      </c>
      <c r="AA1613" s="276" t="e">
        <f>VLOOKUP(Logfile_S[[#This Row],[DO number]],DO_DB!G:I,3,0)</f>
        <v>#N/A</v>
      </c>
      <c r="AB1613" s="331" t="e">
        <f>EXACT(Logfile_S[[#This Row],[date pick]],Logfile_S[[#This Row],[Date]])</f>
        <v>#N/A</v>
      </c>
      <c r="AC16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14" spans="1:29" ht="14.5">
      <c r="A1614" s="220" t="str">
        <f>TEXT(ROW(A1614)-ROW($A$4),"000")</f>
        <v>1610</v>
      </c>
      <c r="B1614" s="221"/>
      <c r="C1614" s="221" t="s">
        <v>49</v>
      </c>
      <c r="D1614" s="221" t="s">
        <v>4372</v>
      </c>
      <c r="E1614" s="221" t="s">
        <v>3295</v>
      </c>
      <c r="F1614" s="221" t="s">
        <v>3299</v>
      </c>
      <c r="G1614" s="222">
        <v>45822</v>
      </c>
      <c r="H1614" s="223">
        <v>0.5395833333333333</v>
      </c>
      <c r="I1614" s="221" t="s">
        <v>4916</v>
      </c>
      <c r="J1614" s="221" t="s">
        <v>3023</v>
      </c>
      <c r="K1614" s="224" t="s">
        <v>3069</v>
      </c>
      <c r="L1614" s="225" t="str">
        <f>VLOOKUP(Logfile_S[[#This Row],[Material Name]],Sheet2!B:C,2,0)</f>
        <v>ZTE1001</v>
      </c>
      <c r="M1614" s="225" t="str">
        <f>_xlfn.XLOOKUP(Logfile_S[[#This Row],[Material Name]],Sum_WH!E:E,Sum_WH!F:F,"",0)</f>
        <v>Pcs</v>
      </c>
      <c r="N1614" s="221">
        <v>22</v>
      </c>
      <c r="O1614" s="221" t="s">
        <v>2809</v>
      </c>
      <c r="P1614" s="221" t="s">
        <v>2810</v>
      </c>
      <c r="Q1614" s="221"/>
      <c r="R1614" s="221"/>
      <c r="S1614" s="221"/>
      <c r="T1614" s="221" t="s">
        <v>3258</v>
      </c>
      <c r="U1614" s="221">
        <v>0</v>
      </c>
      <c r="V1614" s="221" t="s">
        <v>3337</v>
      </c>
      <c r="W1614" s="221" t="s">
        <v>3338</v>
      </c>
      <c r="X1614" s="221"/>
      <c r="Y1614" s="227"/>
      <c r="Z1614" s="227" t="str">
        <f>P1614</f>
        <v>BULULAWANG RW 01, 02, 03, 04, 06   MALANG</v>
      </c>
      <c r="AA1614" s="276" t="e">
        <f>VLOOKUP(Logfile_S[[#This Row],[DO number]],DO_DB!G:I,3,0)</f>
        <v>#N/A</v>
      </c>
      <c r="AB1614" s="331" t="e">
        <f>EXACT(Logfile_S[[#This Row],[date pick]],Logfile_S[[#This Row],[Date]])</f>
        <v>#N/A</v>
      </c>
      <c r="AC16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15" spans="1:29" ht="14.5">
      <c r="A1615" s="220" t="str">
        <f>TEXT(ROW(A1615)-ROW($A$4),"000")</f>
        <v>1611</v>
      </c>
      <c r="B1615" s="221"/>
      <c r="C1615" s="221" t="s">
        <v>49</v>
      </c>
      <c r="D1615" s="221" t="s">
        <v>4373</v>
      </c>
      <c r="E1615" s="221" t="s">
        <v>3295</v>
      </c>
      <c r="F1615" s="221" t="s">
        <v>3299</v>
      </c>
      <c r="G1615" s="222">
        <v>45824</v>
      </c>
      <c r="H1615" s="223">
        <v>0.83125000000000004</v>
      </c>
      <c r="I1615" s="221" t="s">
        <v>4916</v>
      </c>
      <c r="J1615" s="221" t="s">
        <v>3023</v>
      </c>
      <c r="K1615" s="224" t="s">
        <v>13</v>
      </c>
      <c r="L1615" s="225" t="str">
        <f>VLOOKUP(Logfile_S[[#This Row],[Material Name]],Sheet2!B:C,2,0)</f>
        <v>ZTE2008</v>
      </c>
      <c r="M1615" s="225" t="str">
        <f>_xlfn.XLOOKUP(Logfile_S[[#This Row],[Material Name]],Sum_WH!E:E,Sum_WH!F:F,"",0)</f>
        <v>Pcs</v>
      </c>
      <c r="N1615" s="221">
        <v>53</v>
      </c>
      <c r="O1615" s="221" t="s">
        <v>2809</v>
      </c>
      <c r="P1615" s="221" t="s">
        <v>2810</v>
      </c>
      <c r="Q1615" s="221"/>
      <c r="R1615" s="221"/>
      <c r="S1615" s="221"/>
      <c r="T1615" s="221" t="s">
        <v>3411</v>
      </c>
      <c r="U1615" s="221">
        <v>0</v>
      </c>
      <c r="V1615" s="221">
        <v>0</v>
      </c>
      <c r="W1615" s="221" t="s">
        <v>3412</v>
      </c>
      <c r="X1615" s="221"/>
      <c r="Y1615" s="227"/>
      <c r="Z1615" s="227" t="str">
        <f>P1615</f>
        <v>BULULAWANG RW 01, 02, 03, 04, 06   MALANG</v>
      </c>
      <c r="AA1615" s="276" t="e">
        <f>VLOOKUP(Logfile_S[[#This Row],[DO number]],DO_DB!G:I,3,0)</f>
        <v>#N/A</v>
      </c>
      <c r="AB1615" s="331" t="e">
        <f>EXACT(Logfile_S[[#This Row],[date pick]],Logfile_S[[#This Row],[Date]])</f>
        <v>#N/A</v>
      </c>
      <c r="AC16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16" spans="1:29" ht="14.5">
      <c r="A1616" s="220" t="str">
        <f>TEXT(ROW(A1616)-ROW($A$4),"000")</f>
        <v>1612</v>
      </c>
      <c r="B1616" s="221"/>
      <c r="C1616" s="221" t="s">
        <v>49</v>
      </c>
      <c r="D1616" s="221" t="s">
        <v>4373</v>
      </c>
      <c r="E1616" s="221" t="s">
        <v>3295</v>
      </c>
      <c r="F1616" s="221" t="s">
        <v>3299</v>
      </c>
      <c r="G1616" s="222">
        <v>45824</v>
      </c>
      <c r="H1616" s="223">
        <v>0.83125000000000004</v>
      </c>
      <c r="I1616" s="221" t="s">
        <v>4916</v>
      </c>
      <c r="J1616" s="221" t="s">
        <v>3023</v>
      </c>
      <c r="K1616" s="224" t="s">
        <v>15</v>
      </c>
      <c r="L1616" s="225" t="str">
        <f>VLOOKUP(Logfile_S[[#This Row],[Material Name]],Sheet2!B:C,2,0)</f>
        <v>ZTE2006</v>
      </c>
      <c r="M1616" s="225" t="str">
        <f>_xlfn.XLOOKUP(Logfile_S[[#This Row],[Material Name]],Sum_WH!E:E,Sum_WH!F:F,"",0)</f>
        <v>Pcs</v>
      </c>
      <c r="N1616" s="221">
        <v>2</v>
      </c>
      <c r="O1616" s="221" t="s">
        <v>2809</v>
      </c>
      <c r="P1616" s="221" t="s">
        <v>2810</v>
      </c>
      <c r="Q1616" s="221"/>
      <c r="R1616" s="221"/>
      <c r="S1616" s="221"/>
      <c r="T1616" s="221" t="s">
        <v>3411</v>
      </c>
      <c r="U1616" s="221">
        <v>0</v>
      </c>
      <c r="V1616" s="221">
        <v>0</v>
      </c>
      <c r="W1616" s="221" t="s">
        <v>3412</v>
      </c>
      <c r="X1616" s="221"/>
      <c r="Y1616" s="227"/>
      <c r="Z1616" s="227" t="str">
        <f>P1616</f>
        <v>BULULAWANG RW 01, 02, 03, 04, 06   MALANG</v>
      </c>
      <c r="AA1616" s="276" t="e">
        <f>VLOOKUP(Logfile_S[[#This Row],[DO number]],DO_DB!G:I,3,0)</f>
        <v>#N/A</v>
      </c>
      <c r="AB1616" s="331" t="e">
        <f>EXACT(Logfile_S[[#This Row],[date pick]],Logfile_S[[#This Row],[Date]])</f>
        <v>#N/A</v>
      </c>
      <c r="AC16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17" spans="1:29" ht="14.5">
      <c r="A1617" s="220" t="str">
        <f>TEXT(ROW(A1617)-ROW($A$4),"000")</f>
        <v>1613</v>
      </c>
      <c r="B1617" s="221"/>
      <c r="C1617" s="221" t="s">
        <v>49</v>
      </c>
      <c r="D1617" s="221" t="s">
        <v>4373</v>
      </c>
      <c r="E1617" s="221" t="s">
        <v>3295</v>
      </c>
      <c r="F1617" s="221" t="s">
        <v>3299</v>
      </c>
      <c r="G1617" s="222">
        <v>45824</v>
      </c>
      <c r="H1617" s="223">
        <v>0.83125000000000004</v>
      </c>
      <c r="I1617" s="221" t="s">
        <v>4916</v>
      </c>
      <c r="J1617" s="221" t="s">
        <v>3023</v>
      </c>
      <c r="K1617" s="224" t="s">
        <v>3072</v>
      </c>
      <c r="L1617" s="225" t="str">
        <f>VLOOKUP(Logfile_S[[#This Row],[Material Name]],Sheet2!B:C,2,0)</f>
        <v>ZTE1004</v>
      </c>
      <c r="M1617" s="225" t="str">
        <f>_xlfn.XLOOKUP(Logfile_S[[#This Row],[Material Name]],Sum_WH!E:E,Sum_WH!F:F,"",0)</f>
        <v>Pcs</v>
      </c>
      <c r="N1617" s="221">
        <v>1</v>
      </c>
      <c r="O1617" s="221" t="s">
        <v>2809</v>
      </c>
      <c r="P1617" s="221" t="s">
        <v>2810</v>
      </c>
      <c r="Q1617" s="221"/>
      <c r="R1617" s="221"/>
      <c r="S1617" s="221"/>
      <c r="T1617" s="221" t="s">
        <v>3411</v>
      </c>
      <c r="U1617" s="221">
        <v>0</v>
      </c>
      <c r="V1617" s="221">
        <v>0</v>
      </c>
      <c r="W1617" s="221" t="s">
        <v>3412</v>
      </c>
      <c r="X1617" s="221"/>
      <c r="Y1617" s="227"/>
      <c r="Z1617" s="227" t="str">
        <f>P1617</f>
        <v>BULULAWANG RW 01, 02, 03, 04, 06   MALANG</v>
      </c>
      <c r="AA1617" s="276" t="e">
        <f>VLOOKUP(Logfile_S[[#This Row],[DO number]],DO_DB!G:I,3,0)</f>
        <v>#N/A</v>
      </c>
      <c r="AB1617" s="331" t="e">
        <f>EXACT(Logfile_S[[#This Row],[date pick]],Logfile_S[[#This Row],[Date]])</f>
        <v>#N/A</v>
      </c>
      <c r="AC16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18" spans="1:29" ht="14.5">
      <c r="A1618" s="220" t="str">
        <f>TEXT(ROW(A1618)-ROW($A$4),"000")</f>
        <v>1614</v>
      </c>
      <c r="B1618" s="221"/>
      <c r="C1618" s="221" t="s">
        <v>49</v>
      </c>
      <c r="D1618" s="221" t="s">
        <v>4378</v>
      </c>
      <c r="E1618" s="221" t="s">
        <v>3295</v>
      </c>
      <c r="F1618" s="221" t="s">
        <v>3299</v>
      </c>
      <c r="G1618" s="222">
        <v>45831</v>
      </c>
      <c r="H1618" s="223">
        <v>0.5395833333333333</v>
      </c>
      <c r="I1618" s="221" t="s">
        <v>4916</v>
      </c>
      <c r="J1618" s="221" t="s">
        <v>3023</v>
      </c>
      <c r="K1618" s="224" t="s">
        <v>3220</v>
      </c>
      <c r="L1618" s="225" t="str">
        <f>VLOOKUP(Logfile_S[[#This Row],[Material Name]],Sheet2!B:C,2,0)</f>
        <v>ZTE1003</v>
      </c>
      <c r="M1618" s="225" t="str">
        <f>_xlfn.XLOOKUP(Logfile_S[[#This Row],[Material Name]],Sum_WH!E:E,Sum_WH!F:F,"",0)</f>
        <v>Pcs</v>
      </c>
      <c r="N1618" s="221">
        <v>7</v>
      </c>
      <c r="O1618" s="221" t="s">
        <v>2809</v>
      </c>
      <c r="P1618" s="221" t="s">
        <v>2810</v>
      </c>
      <c r="Q1618" s="221"/>
      <c r="R1618" s="221"/>
      <c r="S1618" s="221"/>
      <c r="T1618" s="221" t="s">
        <v>3258</v>
      </c>
      <c r="U1618" s="221">
        <v>0</v>
      </c>
      <c r="V1618" s="221" t="s">
        <v>3337</v>
      </c>
      <c r="W1618" s="221" t="s">
        <v>3338</v>
      </c>
      <c r="X1618" s="221"/>
      <c r="Y1618" s="227"/>
      <c r="Z1618" s="227" t="str">
        <f>P1618</f>
        <v>BULULAWANG RW 01, 02, 03, 04, 06   MALANG</v>
      </c>
      <c r="AA1618" s="276" t="e">
        <f>VLOOKUP(Logfile_S[[#This Row],[DO number]],DO_DB!G:I,3,0)</f>
        <v>#N/A</v>
      </c>
      <c r="AB1618" s="331" t="e">
        <f>EXACT(Logfile_S[[#This Row],[date pick]],Logfile_S[[#This Row],[Date]])</f>
        <v>#N/A</v>
      </c>
      <c r="AC16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19" spans="1:29" ht="14.5">
      <c r="A1619" s="220" t="str">
        <f>TEXT(ROW(A1619)-ROW($A$4),"000")</f>
        <v>1615</v>
      </c>
      <c r="B1619" s="221"/>
      <c r="C1619" s="221" t="s">
        <v>48</v>
      </c>
      <c r="D1619" s="221" t="s">
        <v>4425</v>
      </c>
      <c r="E1619" s="221" t="s">
        <v>3295</v>
      </c>
      <c r="F1619" s="221" t="s">
        <v>3299</v>
      </c>
      <c r="G1619" s="222">
        <v>45899</v>
      </c>
      <c r="H1619" s="223">
        <v>0.64620370370370372</v>
      </c>
      <c r="I1619" s="221" t="s">
        <v>37</v>
      </c>
      <c r="J1619" s="221" t="s">
        <v>3023</v>
      </c>
      <c r="K1619" s="224" t="s">
        <v>3070</v>
      </c>
      <c r="L1619" s="225" t="str">
        <f>VLOOKUP(Logfile_S[[#This Row],[Material Name]],Sheet2!B:C,2,0)</f>
        <v>ZTE1002</v>
      </c>
      <c r="M1619" s="225" t="str">
        <f>_xlfn.XLOOKUP(Logfile_S[[#This Row],[Material Name]],Sum_WH!E:E,Sum_WH!F:F,"",0)</f>
        <v>Pcs</v>
      </c>
      <c r="N1619" s="221">
        <v>49</v>
      </c>
      <c r="O1619" s="221" t="s">
        <v>3662</v>
      </c>
      <c r="P1619" s="221" t="s">
        <v>3663</v>
      </c>
      <c r="Q1619" s="221" t="s">
        <v>3664</v>
      </c>
      <c r="R1619" s="221" t="s">
        <v>3665</v>
      </c>
      <c r="S1619" s="221"/>
      <c r="T1619" s="221"/>
      <c r="U1619" s="221"/>
      <c r="V1619" s="221"/>
      <c r="W1619" s="221"/>
      <c r="X1619" s="221"/>
      <c r="Y1619" s="227"/>
      <c r="Z1619" s="227" t="str">
        <f>P1619</f>
        <v>KREBET SENGGRONG RW 02 MALANG</v>
      </c>
      <c r="AA1619" s="276">
        <f>VLOOKUP(Logfile_S[[#This Row],[DO number]],DO_DB!G:I,3,0)</f>
        <v>45896</v>
      </c>
      <c r="AB1619" s="331" t="b">
        <f>EXACT(Logfile_S[[#This Row],[date pick]],Logfile_S[[#This Row],[Date]])</f>
        <v>0</v>
      </c>
      <c r="AC16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20" spans="1:29" ht="14.5">
      <c r="A1620" s="220" t="str">
        <f>TEXT(ROW(A1620)-ROW($A$4),"000")</f>
        <v>1616</v>
      </c>
      <c r="B1620" s="221">
        <v>1</v>
      </c>
      <c r="C1620" s="221" t="s">
        <v>49</v>
      </c>
      <c r="D1620" s="221" t="s">
        <v>4486</v>
      </c>
      <c r="E1620" s="221" t="s">
        <v>3295</v>
      </c>
      <c r="F1620" s="221" t="s">
        <v>3299</v>
      </c>
      <c r="G1620" s="222">
        <v>45902</v>
      </c>
      <c r="H1620" s="223">
        <v>0.64307870370370368</v>
      </c>
      <c r="I1620" s="221" t="s">
        <v>37</v>
      </c>
      <c r="J1620" s="221" t="s">
        <v>3023</v>
      </c>
      <c r="K1620" s="224" t="s">
        <v>3070</v>
      </c>
      <c r="L1620" s="225" t="str">
        <f>VLOOKUP(Logfile_S[[#This Row],[Material Name]],Sheet2!B:C,2,0)</f>
        <v>ZTE1002</v>
      </c>
      <c r="M1620" s="225" t="str">
        <f>_xlfn.XLOOKUP(Logfile_S[[#This Row],[Material Name]],Sum_WH!E:E,Sum_WH!F:F,"",0)</f>
        <v>Pcs</v>
      </c>
      <c r="N1620" s="221">
        <v>36</v>
      </c>
      <c r="O1620" s="221" t="s">
        <v>3662</v>
      </c>
      <c r="P1620" s="221" t="s">
        <v>3663</v>
      </c>
      <c r="Q1620" s="221" t="s">
        <v>3664</v>
      </c>
      <c r="R1620" s="221" t="s">
        <v>3665</v>
      </c>
      <c r="S1620" s="221"/>
      <c r="T1620" s="221" t="s">
        <v>3258</v>
      </c>
      <c r="U1620" s="221">
        <v>0</v>
      </c>
      <c r="V1620" s="221" t="s">
        <v>3337</v>
      </c>
      <c r="W1620" s="221" t="s">
        <v>3338</v>
      </c>
      <c r="X1620" s="221"/>
      <c r="Y1620" s="227"/>
      <c r="Z1620" s="227" t="str">
        <f>P1620</f>
        <v>KREBET SENGGRONG RW 02 MALANG</v>
      </c>
      <c r="AA1620" s="276">
        <f>VLOOKUP(Logfile_S[[#This Row],[DO number]],DO_DB!G:I,3,0)</f>
        <v>45896</v>
      </c>
      <c r="AB1620" s="331" t="b">
        <f>EXACT(Logfile_S[[#This Row],[date pick]],Logfile_S[[#This Row],[Date]])</f>
        <v>0</v>
      </c>
      <c r="AC16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21" spans="1:29" ht="14.5">
      <c r="A1621" s="237" t="str">
        <f>TEXT(ROW(A1621)-ROW($A$4),"000")</f>
        <v>1617</v>
      </c>
      <c r="B1621" s="221">
        <v>1</v>
      </c>
      <c r="C1621" s="227" t="s">
        <v>49</v>
      </c>
      <c r="D1621" s="227" t="s">
        <v>4648</v>
      </c>
      <c r="E1621" s="227" t="s">
        <v>3295</v>
      </c>
      <c r="F1621" s="227" t="s">
        <v>3299</v>
      </c>
      <c r="G1621" s="239">
        <v>45910</v>
      </c>
      <c r="H1621" s="240">
        <v>0.78784722222222225</v>
      </c>
      <c r="I1621" s="227" t="s">
        <v>3295</v>
      </c>
      <c r="J1621" s="227" t="s">
        <v>3023</v>
      </c>
      <c r="K1621" s="241" t="s">
        <v>3073</v>
      </c>
      <c r="L1621" s="225" t="str">
        <f>VLOOKUP(Logfile_S[[#This Row],[Material Name]],Sheet2!B:C,2,0)</f>
        <v>ZTE2001</v>
      </c>
      <c r="M1621" s="225" t="str">
        <f>_xlfn.XLOOKUP(Logfile_S[[#This Row],[Material Name]],Sum_WH!E:E,Sum_WH!F:F,"",0)</f>
        <v>Meter</v>
      </c>
      <c r="N1621" s="227">
        <v>3000</v>
      </c>
      <c r="O1621" s="227" t="s">
        <v>3662</v>
      </c>
      <c r="P1621" s="227" t="s">
        <v>3663</v>
      </c>
      <c r="Q1621" s="227" t="s">
        <v>3664</v>
      </c>
      <c r="R1621" s="227" t="s">
        <v>3665</v>
      </c>
      <c r="S1621" s="227"/>
      <c r="T1621" s="221" t="s">
        <v>3258</v>
      </c>
      <c r="U1621" s="221" t="s">
        <v>5107</v>
      </c>
      <c r="V1621" s="221" t="s">
        <v>3337</v>
      </c>
      <c r="W1621" s="227"/>
      <c r="X1621" s="227"/>
      <c r="Y1621" s="227"/>
      <c r="Z1621" s="227" t="str">
        <f>P1621</f>
        <v>KREBET SENGGRONG RW 02 MALANG</v>
      </c>
      <c r="AA1621" s="276">
        <f>VLOOKUP(Logfile_S[[#This Row],[DO number]],DO_DB!G:I,3,0)</f>
        <v>45896</v>
      </c>
      <c r="AB1621" s="331" t="b">
        <f>EXACT(Logfile_S[[#This Row],[date pick]],Logfile_S[[#This Row],[Date]])</f>
        <v>0</v>
      </c>
      <c r="AC16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22" spans="1:29" ht="14.5">
      <c r="A1622" s="237" t="str">
        <f>TEXT(ROW(A1622)-ROW($A$4),"000")</f>
        <v>1618</v>
      </c>
      <c r="B1622" s="221">
        <v>3</v>
      </c>
      <c r="C1622" s="227" t="s">
        <v>49</v>
      </c>
      <c r="D1622" s="227" t="s">
        <v>4652</v>
      </c>
      <c r="E1622" s="227" t="s">
        <v>3295</v>
      </c>
      <c r="F1622" s="227" t="s">
        <v>3299</v>
      </c>
      <c r="G1622" s="239">
        <v>45916</v>
      </c>
      <c r="H1622" s="240">
        <v>0.63124999999999998</v>
      </c>
      <c r="I1622" s="227" t="s">
        <v>3295</v>
      </c>
      <c r="J1622" s="227" t="s">
        <v>3023</v>
      </c>
      <c r="K1622" s="241" t="s">
        <v>13</v>
      </c>
      <c r="L1622" s="225" t="str">
        <f>VLOOKUP(Logfile_S[[#This Row],[Material Name]],Sheet2!B:C,2,0)</f>
        <v>ZTE2008</v>
      </c>
      <c r="M1622" s="225" t="str">
        <f>_xlfn.XLOOKUP(Logfile_S[[#This Row],[Material Name]],Sum_WH!E:E,Sum_WH!F:F,"",0)</f>
        <v>Pcs</v>
      </c>
      <c r="N1622" s="227">
        <v>10</v>
      </c>
      <c r="O1622" s="227" t="s">
        <v>3662</v>
      </c>
      <c r="P1622" s="227" t="s">
        <v>3663</v>
      </c>
      <c r="Q1622" s="227" t="s">
        <v>3664</v>
      </c>
      <c r="R1622" s="227" t="s">
        <v>3665</v>
      </c>
      <c r="S1622" s="227"/>
      <c r="T1622" s="227" t="s">
        <v>3231</v>
      </c>
      <c r="U1622" s="227">
        <v>0</v>
      </c>
      <c r="V1622" s="227" t="s">
        <v>3232</v>
      </c>
      <c r="W1622" s="227" t="s">
        <v>3254</v>
      </c>
      <c r="X1622" s="227"/>
      <c r="Y1622" s="227"/>
      <c r="Z1622" s="227" t="str">
        <f>P1622</f>
        <v>KREBET SENGGRONG RW 02 MALANG</v>
      </c>
      <c r="AA1622" s="276">
        <f>VLOOKUP(Logfile_S[[#This Row],[DO number]],DO_DB!G:I,3,0)</f>
        <v>45896</v>
      </c>
      <c r="AB1622" s="331" t="b">
        <f>EXACT(Logfile_S[[#This Row],[date pick]],Logfile_S[[#This Row],[Date]])</f>
        <v>0</v>
      </c>
      <c r="AC16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23" spans="1:29" ht="14.5">
      <c r="A1623" s="237" t="str">
        <f>TEXT(ROW(A1623)-ROW($A$4),"000")</f>
        <v>1619</v>
      </c>
      <c r="B1623" s="221">
        <v>1</v>
      </c>
      <c r="C1623" s="227" t="s">
        <v>49</v>
      </c>
      <c r="D1623" s="227" t="s">
        <v>4654</v>
      </c>
      <c r="E1623" s="227" t="s">
        <v>3295</v>
      </c>
      <c r="F1623" s="227" t="s">
        <v>3299</v>
      </c>
      <c r="G1623" s="239">
        <v>45918</v>
      </c>
      <c r="H1623" s="240">
        <v>0.52416666666666667</v>
      </c>
      <c r="I1623" s="227" t="s">
        <v>3295</v>
      </c>
      <c r="J1623" s="227" t="s">
        <v>3024</v>
      </c>
      <c r="K1623" s="241" t="s">
        <v>3087</v>
      </c>
      <c r="L1623" s="225" t="str">
        <f>VLOOKUP(Logfile_S[[#This Row],[Material Name]],Sheet2!B:C,2,0)</f>
        <v>GCI1001</v>
      </c>
      <c r="M1623" s="225" t="str">
        <f>_xlfn.XLOOKUP(Logfile_S[[#This Row],[Material Name]],Sum_WH!E:E,Sum_WH!F:F,"",0)</f>
        <v>Pcs</v>
      </c>
      <c r="N1623" s="227">
        <v>7</v>
      </c>
      <c r="O1623" s="227" t="s">
        <v>3662</v>
      </c>
      <c r="P1623" s="227" t="s">
        <v>3663</v>
      </c>
      <c r="Q1623" s="227" t="s">
        <v>3664</v>
      </c>
      <c r="R1623" s="227" t="s">
        <v>3665</v>
      </c>
      <c r="S1623" s="227"/>
      <c r="T1623" s="227" t="s">
        <v>3258</v>
      </c>
      <c r="U1623" s="227"/>
      <c r="V1623" s="227" t="s">
        <v>3337</v>
      </c>
      <c r="W1623" s="227" t="s">
        <v>3338</v>
      </c>
      <c r="X1623" s="227"/>
      <c r="Y1623" s="227"/>
      <c r="Z1623" s="227" t="str">
        <f>P1623</f>
        <v>KREBET SENGGRONG RW 02 MALANG</v>
      </c>
      <c r="AA1623" s="276">
        <f>VLOOKUP(Logfile_S[[#This Row],[DO number]],DO_DB!G:I,3,0)</f>
        <v>45896</v>
      </c>
      <c r="AB1623" s="331" t="b">
        <f>EXACT(Logfile_S[[#This Row],[date pick]],Logfile_S[[#This Row],[Date]])</f>
        <v>0</v>
      </c>
      <c r="AC16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24" spans="1:29" ht="14.5">
      <c r="A1624" s="220" t="str">
        <f>TEXT(ROW(A1624)-ROW($A$4),"000")</f>
        <v>1620</v>
      </c>
      <c r="B1624" s="221"/>
      <c r="C1624" s="221" t="s">
        <v>49</v>
      </c>
      <c r="D1624" s="221" t="s">
        <v>4373</v>
      </c>
      <c r="E1624" s="221" t="s">
        <v>3295</v>
      </c>
      <c r="F1624" s="221" t="s">
        <v>3299</v>
      </c>
      <c r="G1624" s="222">
        <v>45824</v>
      </c>
      <c r="H1624" s="223">
        <v>0.83125000000000004</v>
      </c>
      <c r="I1624" s="221" t="s">
        <v>4916</v>
      </c>
      <c r="J1624" s="221" t="s">
        <v>3023</v>
      </c>
      <c r="K1624" s="224" t="s">
        <v>3543</v>
      </c>
      <c r="L1624" s="225" t="str">
        <f>VLOOKUP(Logfile_S[[#This Row],[Material Name]],Sheet2!B:C,2,0)</f>
        <v>ZTE2008</v>
      </c>
      <c r="M1624" s="225" t="str">
        <f>_xlfn.XLOOKUP(Logfile_S[[#This Row],[Material Name]],Sum_WH!E:E,Sum_WH!F:F,"",0)</f>
        <v>Pcs</v>
      </c>
      <c r="N1624" s="221">
        <v>8</v>
      </c>
      <c r="O1624" s="221" t="s">
        <v>2815</v>
      </c>
      <c r="P1624" s="221" t="s">
        <v>2816</v>
      </c>
      <c r="Q1624" s="221"/>
      <c r="R1624" s="221"/>
      <c r="S1624" s="221"/>
      <c r="T1624" s="221" t="s">
        <v>3411</v>
      </c>
      <c r="U1624" s="221">
        <v>0</v>
      </c>
      <c r="V1624" s="221">
        <v>0</v>
      </c>
      <c r="W1624" s="221" t="s">
        <v>3412</v>
      </c>
      <c r="X1624" s="221"/>
      <c r="Y1624" s="227"/>
      <c r="Z1624" s="227" t="str">
        <f>P1624</f>
        <v>BULULAWANG RW 05 MALANG</v>
      </c>
      <c r="AA1624" s="276" t="e">
        <f>VLOOKUP(Logfile_S[[#This Row],[DO number]],DO_DB!G:I,3,0)</f>
        <v>#N/A</v>
      </c>
      <c r="AB1624" s="331" t="e">
        <f>EXACT(Logfile_S[[#This Row],[date pick]],Logfile_S[[#This Row],[Date]])</f>
        <v>#N/A</v>
      </c>
      <c r="AC16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25" spans="1:29" ht="14.5">
      <c r="A1625" s="220" t="str">
        <f>TEXT(ROW(A1625)-ROW($A$4),"000")</f>
        <v>1621</v>
      </c>
      <c r="B1625" s="221"/>
      <c r="C1625" s="221" t="s">
        <v>49</v>
      </c>
      <c r="D1625" s="221" t="s">
        <v>4373</v>
      </c>
      <c r="E1625" s="221" t="s">
        <v>3295</v>
      </c>
      <c r="F1625" s="221" t="s">
        <v>3299</v>
      </c>
      <c r="G1625" s="222">
        <v>45824</v>
      </c>
      <c r="H1625" s="223">
        <v>0.83125000000000004</v>
      </c>
      <c r="I1625" s="221" t="s">
        <v>4916</v>
      </c>
      <c r="J1625" s="221" t="s">
        <v>3023</v>
      </c>
      <c r="K1625" s="224" t="s">
        <v>14</v>
      </c>
      <c r="L1625" s="225" t="str">
        <f>VLOOKUP(Logfile_S[[#This Row],[Material Name]],Sheet2!B:C,2,0)</f>
        <v>ZTE2005</v>
      </c>
      <c r="M1625" s="225" t="str">
        <f>_xlfn.XLOOKUP(Logfile_S[[#This Row],[Material Name]],Sum_WH!E:E,Sum_WH!F:F,"",0)</f>
        <v>Pcs</v>
      </c>
      <c r="N1625" s="221">
        <v>1</v>
      </c>
      <c r="O1625" s="221" t="s">
        <v>2815</v>
      </c>
      <c r="P1625" s="221" t="s">
        <v>2816</v>
      </c>
      <c r="Q1625" s="221"/>
      <c r="R1625" s="221"/>
      <c r="S1625" s="221"/>
      <c r="T1625" s="221" t="s">
        <v>3411</v>
      </c>
      <c r="U1625" s="221">
        <v>0</v>
      </c>
      <c r="V1625" s="221">
        <v>0</v>
      </c>
      <c r="W1625" s="221" t="s">
        <v>3412</v>
      </c>
      <c r="X1625" s="221"/>
      <c r="Y1625" s="227"/>
      <c r="Z1625" s="227" t="str">
        <f>P1625</f>
        <v>BULULAWANG RW 05 MALANG</v>
      </c>
      <c r="AA1625" s="276" t="e">
        <f>VLOOKUP(Logfile_S[[#This Row],[DO number]],DO_DB!G:I,3,0)</f>
        <v>#N/A</v>
      </c>
      <c r="AB1625" s="331" t="e">
        <f>EXACT(Logfile_S[[#This Row],[date pick]],Logfile_S[[#This Row],[Date]])</f>
        <v>#N/A</v>
      </c>
      <c r="AC16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26" spans="1:29" ht="14.5">
      <c r="A1626" s="220" t="str">
        <f>TEXT(ROW(A1626)-ROW($A$4),"000")</f>
        <v>1622</v>
      </c>
      <c r="B1626" s="221"/>
      <c r="C1626" s="221" t="s">
        <v>48</v>
      </c>
      <c r="D1626" s="221" t="s">
        <v>4393</v>
      </c>
      <c r="E1626" s="221" t="s">
        <v>3295</v>
      </c>
      <c r="F1626" s="221" t="s">
        <v>3299</v>
      </c>
      <c r="G1626" s="222">
        <v>45850</v>
      </c>
      <c r="H1626" s="223">
        <v>15.291666666666666</v>
      </c>
      <c r="I1626" s="221" t="s">
        <v>37</v>
      </c>
      <c r="J1626" s="221" t="s">
        <v>3023</v>
      </c>
      <c r="K1626" s="224" t="s">
        <v>3075</v>
      </c>
      <c r="L1626" s="225" t="str">
        <f>VLOOKUP(Logfile_S[[#This Row],[Material Name]],Sheet2!B:C,2,0)</f>
        <v>ZTE2003</v>
      </c>
      <c r="M1626" s="225" t="str">
        <f>_xlfn.XLOOKUP(Logfile_S[[#This Row],[Material Name]],Sum_WH!E:E,Sum_WH!F:F,"",0)</f>
        <v>Meter</v>
      </c>
      <c r="N1626" s="221">
        <v>3000</v>
      </c>
      <c r="O1626" s="221" t="s">
        <v>2903</v>
      </c>
      <c r="P1626" s="221" t="s">
        <v>2904</v>
      </c>
      <c r="Q1626" s="221" t="s">
        <v>2907</v>
      </c>
      <c r="R1626" s="221" t="s">
        <v>2908</v>
      </c>
      <c r="S1626" s="221"/>
      <c r="T1626" s="221"/>
      <c r="U1626" s="221"/>
      <c r="V1626" s="221"/>
      <c r="W1626" s="221"/>
      <c r="X1626" s="221"/>
      <c r="Y1626" s="227" t="s">
        <v>5085</v>
      </c>
      <c r="Z1626" s="227" t="str">
        <f>P1626</f>
        <v>KREBET SENGGRONG RW 04</v>
      </c>
      <c r="AA1626" s="276">
        <f>VLOOKUP(Logfile_S[[#This Row],[DO number]],DO_DB!G:I,3,0)</f>
        <v>45850</v>
      </c>
      <c r="AB1626" s="331" t="b">
        <f>EXACT(Logfile_S[[#This Row],[date pick]],Logfile_S[[#This Row],[Date]])</f>
        <v>1</v>
      </c>
      <c r="AC16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48C-2025712-01</v>
      </c>
    </row>
    <row r="1627" spans="1:29" ht="14.5">
      <c r="A1627" s="220" t="str">
        <f>TEXT(ROW(A1627)-ROW($A$4),"000")</f>
        <v>1623</v>
      </c>
      <c r="B1627" s="221"/>
      <c r="C1627" s="221" t="s">
        <v>48</v>
      </c>
      <c r="D1627" s="221" t="s">
        <v>4393</v>
      </c>
      <c r="E1627" s="221" t="s">
        <v>3295</v>
      </c>
      <c r="F1627" s="221" t="s">
        <v>3299</v>
      </c>
      <c r="G1627" s="222">
        <v>45850</v>
      </c>
      <c r="H1627" s="223">
        <v>15.291666666666666</v>
      </c>
      <c r="I1627" s="221" t="s">
        <v>37</v>
      </c>
      <c r="J1627" s="221" t="s">
        <v>3023</v>
      </c>
      <c r="K1627" s="224" t="s">
        <v>13</v>
      </c>
      <c r="L1627" s="225" t="str">
        <f>VLOOKUP(Logfile_S[[#This Row],[Material Name]],Sheet2!B:C,2,0)</f>
        <v>ZTE2008</v>
      </c>
      <c r="M1627" s="225" t="str">
        <f>_xlfn.XLOOKUP(Logfile_S[[#This Row],[Material Name]],Sum_WH!E:E,Sum_WH!F:F,"",0)</f>
        <v>Pcs</v>
      </c>
      <c r="N1627" s="221">
        <v>64</v>
      </c>
      <c r="O1627" s="221" t="s">
        <v>2903</v>
      </c>
      <c r="P1627" s="221" t="s">
        <v>2904</v>
      </c>
      <c r="Q1627" s="221">
        <v>0</v>
      </c>
      <c r="R1627" s="221">
        <v>0</v>
      </c>
      <c r="S1627" s="221"/>
      <c r="T1627" s="221"/>
      <c r="U1627" s="221"/>
      <c r="V1627" s="221"/>
      <c r="W1627" s="221"/>
      <c r="X1627" s="221"/>
      <c r="Y1627" s="227"/>
      <c r="Z1627" s="227" t="str">
        <f>P1627</f>
        <v>KREBET SENGGRONG RW 04</v>
      </c>
      <c r="AA1627" s="276" t="e">
        <f>VLOOKUP(Logfile_S[[#This Row],[DO number]],DO_DB!G:I,3,0)</f>
        <v>#N/A</v>
      </c>
      <c r="AB1627" s="331" t="e">
        <f>EXACT(Logfile_S[[#This Row],[date pick]],Logfile_S[[#This Row],[Date]])</f>
        <v>#N/A</v>
      </c>
      <c r="AC16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28" spans="1:29" ht="14.5">
      <c r="A1628" s="220" t="str">
        <f>TEXT(ROW(A1628)-ROW($A$4),"000")</f>
        <v>1624</v>
      </c>
      <c r="B1628" s="221"/>
      <c r="C1628" s="221" t="s">
        <v>48</v>
      </c>
      <c r="D1628" s="221" t="s">
        <v>4393</v>
      </c>
      <c r="E1628" s="221" t="s">
        <v>3295</v>
      </c>
      <c r="F1628" s="221" t="s">
        <v>3299</v>
      </c>
      <c r="G1628" s="222">
        <v>45850</v>
      </c>
      <c r="H1628" s="223">
        <v>15.291666666666666</v>
      </c>
      <c r="I1628" s="221" t="s">
        <v>37</v>
      </c>
      <c r="J1628" s="221" t="s">
        <v>3023</v>
      </c>
      <c r="K1628" s="224" t="s">
        <v>3071</v>
      </c>
      <c r="L1628" s="225" t="str">
        <f>VLOOKUP(Logfile_S[[#This Row],[Material Name]],Sheet2!B:C,2,0)</f>
        <v>ZTE1003</v>
      </c>
      <c r="M1628" s="225" t="str">
        <f>_xlfn.XLOOKUP(Logfile_S[[#This Row],[Material Name]],Sum_WH!E:E,Sum_WH!F:F,"",0)</f>
        <v>Pcs</v>
      </c>
      <c r="N1628" s="221">
        <v>16</v>
      </c>
      <c r="O1628" s="221" t="s">
        <v>2903</v>
      </c>
      <c r="P1628" s="221" t="s">
        <v>2904</v>
      </c>
      <c r="Q1628" s="221">
        <v>0</v>
      </c>
      <c r="R1628" s="221">
        <v>0</v>
      </c>
      <c r="S1628" s="221"/>
      <c r="T1628" s="221"/>
      <c r="U1628" s="221"/>
      <c r="V1628" s="221"/>
      <c r="W1628" s="221"/>
      <c r="X1628" s="221"/>
      <c r="Y1628" s="227"/>
      <c r="Z1628" s="227" t="str">
        <f>P1628</f>
        <v>KREBET SENGGRONG RW 04</v>
      </c>
      <c r="AA1628" s="276" t="e">
        <f>VLOOKUP(Logfile_S[[#This Row],[DO number]],DO_DB!G:I,3,0)</f>
        <v>#N/A</v>
      </c>
      <c r="AB1628" s="331" t="e">
        <f>EXACT(Logfile_S[[#This Row],[date pick]],Logfile_S[[#This Row],[Date]])</f>
        <v>#N/A</v>
      </c>
      <c r="AC16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29" spans="1:29" ht="14.5">
      <c r="A1629" s="220" t="str">
        <f>TEXT(ROW(A1629)-ROW($A$4),"000")</f>
        <v>1625</v>
      </c>
      <c r="B1629" s="221"/>
      <c r="C1629" s="221" t="s">
        <v>49</v>
      </c>
      <c r="D1629" s="221" t="s">
        <v>4411</v>
      </c>
      <c r="E1629" s="221" t="s">
        <v>3295</v>
      </c>
      <c r="F1629" s="221" t="s">
        <v>3299</v>
      </c>
      <c r="G1629" s="222">
        <v>45882</v>
      </c>
      <c r="H1629" s="223">
        <v>0.65069444444444446</v>
      </c>
      <c r="I1629" s="221" t="s">
        <v>4916</v>
      </c>
      <c r="J1629" s="221" t="s">
        <v>3023</v>
      </c>
      <c r="K1629" s="224" t="s">
        <v>3075</v>
      </c>
      <c r="L1629" s="225" t="str">
        <f>VLOOKUP(Logfile_S[[#This Row],[Material Name]],Sheet2!B:C,2,0)</f>
        <v>ZTE2003</v>
      </c>
      <c r="M1629" s="225" t="str">
        <f>_xlfn.XLOOKUP(Logfile_S[[#This Row],[Material Name]],Sum_WH!E:E,Sum_WH!F:F,"",0)</f>
        <v>Meter</v>
      </c>
      <c r="N1629" s="221">
        <v>3000</v>
      </c>
      <c r="O1629" s="221" t="s">
        <v>2903</v>
      </c>
      <c r="P1629" s="221" t="s">
        <v>2904</v>
      </c>
      <c r="Q1629" s="221"/>
      <c r="R1629" s="221"/>
      <c r="S1629" s="221"/>
      <c r="T1629" s="221" t="s">
        <v>3258</v>
      </c>
      <c r="U1629" s="221" t="s">
        <v>5107</v>
      </c>
      <c r="V1629" s="221" t="s">
        <v>3337</v>
      </c>
      <c r="W1629" s="221" t="s">
        <v>3338</v>
      </c>
      <c r="X1629" s="221"/>
      <c r="Y1629" s="227"/>
      <c r="Z1629" s="227" t="str">
        <f>P1629</f>
        <v>KREBET SENGGRONG RW 04</v>
      </c>
      <c r="AA1629" s="276" t="e">
        <f>VLOOKUP(Logfile_S[[#This Row],[DO number]],DO_DB!G:I,3,0)</f>
        <v>#N/A</v>
      </c>
      <c r="AB1629" s="331" t="e">
        <f>EXACT(Logfile_S[[#This Row],[date pick]],Logfile_S[[#This Row],[Date]])</f>
        <v>#N/A</v>
      </c>
      <c r="AC16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30" spans="1:29" ht="14.5">
      <c r="A1630" s="220" t="str">
        <f>TEXT(ROW(A1630)-ROW($A$4),"000")</f>
        <v>1626</v>
      </c>
      <c r="B1630" s="221"/>
      <c r="C1630" s="221" t="s">
        <v>49</v>
      </c>
      <c r="D1630" s="221" t="s">
        <v>4411</v>
      </c>
      <c r="E1630" s="221" t="s">
        <v>3295</v>
      </c>
      <c r="F1630" s="221" t="s">
        <v>3299</v>
      </c>
      <c r="G1630" s="222">
        <v>45882</v>
      </c>
      <c r="H1630" s="223">
        <v>0.65069444444444446</v>
      </c>
      <c r="I1630" s="221" t="s">
        <v>4916</v>
      </c>
      <c r="J1630" s="221" t="s">
        <v>3023</v>
      </c>
      <c r="K1630" s="224" t="s">
        <v>3071</v>
      </c>
      <c r="L1630" s="225" t="str">
        <f>VLOOKUP(Logfile_S[[#This Row],[Material Name]],Sheet2!B:C,2,0)</f>
        <v>ZTE1003</v>
      </c>
      <c r="M1630" s="225" t="str">
        <f>_xlfn.XLOOKUP(Logfile_S[[#This Row],[Material Name]],Sum_WH!E:E,Sum_WH!F:F,"",0)</f>
        <v>Pcs</v>
      </c>
      <c r="N1630" s="221">
        <v>2</v>
      </c>
      <c r="O1630" s="221" t="s">
        <v>2903</v>
      </c>
      <c r="P1630" s="221" t="s">
        <v>2904</v>
      </c>
      <c r="Q1630" s="221"/>
      <c r="R1630" s="221"/>
      <c r="S1630" s="221"/>
      <c r="T1630" s="221" t="s">
        <v>3258</v>
      </c>
      <c r="U1630" s="221">
        <v>0</v>
      </c>
      <c r="V1630" s="221" t="s">
        <v>3337</v>
      </c>
      <c r="W1630" s="221" t="s">
        <v>3338</v>
      </c>
      <c r="X1630" s="221"/>
      <c r="Y1630" s="227"/>
      <c r="Z1630" s="227" t="str">
        <f>P1630</f>
        <v>KREBET SENGGRONG RW 04</v>
      </c>
      <c r="AA1630" s="276" t="e">
        <f>VLOOKUP(Logfile_S[[#This Row],[DO number]],DO_DB!G:I,3,0)</f>
        <v>#N/A</v>
      </c>
      <c r="AB1630" s="331" t="e">
        <f>EXACT(Logfile_S[[#This Row],[date pick]],Logfile_S[[#This Row],[Date]])</f>
        <v>#N/A</v>
      </c>
      <c r="AC16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31" spans="1:29" ht="14.5">
      <c r="A1631" s="220" t="str">
        <f>TEXT(ROW(A1631)-ROW($A$4),"000")</f>
        <v>1627</v>
      </c>
      <c r="B1631" s="221"/>
      <c r="C1631" s="221" t="s">
        <v>49</v>
      </c>
      <c r="D1631" s="221" t="s">
        <v>4412</v>
      </c>
      <c r="E1631" s="221" t="s">
        <v>3295</v>
      </c>
      <c r="F1631" s="221" t="s">
        <v>3299</v>
      </c>
      <c r="G1631" s="222">
        <v>45885</v>
      </c>
      <c r="H1631" s="223">
        <v>0.67638888888888893</v>
      </c>
      <c r="I1631" s="221" t="s">
        <v>4916</v>
      </c>
      <c r="J1631" s="221" t="s">
        <v>3023</v>
      </c>
      <c r="K1631" s="224" t="s">
        <v>13</v>
      </c>
      <c r="L1631" s="225" t="str">
        <f>VLOOKUP(Logfile_S[[#This Row],[Material Name]],Sheet2!B:C,2,0)</f>
        <v>ZTE2008</v>
      </c>
      <c r="M1631" s="225" t="str">
        <f>_xlfn.XLOOKUP(Logfile_S[[#This Row],[Material Name]],Sum_WH!E:E,Sum_WH!F:F,"",0)</f>
        <v>Pcs</v>
      </c>
      <c r="N1631" s="221">
        <v>13</v>
      </c>
      <c r="O1631" s="221" t="s">
        <v>2903</v>
      </c>
      <c r="P1631" s="221" t="s">
        <v>2904</v>
      </c>
      <c r="Q1631" s="221"/>
      <c r="R1631" s="221"/>
      <c r="S1631" s="221"/>
      <c r="T1631" s="221" t="s">
        <v>3471</v>
      </c>
      <c r="U1631" s="221">
        <v>0</v>
      </c>
      <c r="V1631" s="221" t="s">
        <v>3472</v>
      </c>
      <c r="W1631" s="221" t="s">
        <v>3545</v>
      </c>
      <c r="X1631" s="221"/>
      <c r="Y1631" s="227"/>
      <c r="Z1631" s="227" t="str">
        <f>P1631</f>
        <v>KREBET SENGGRONG RW 04</v>
      </c>
      <c r="AA1631" s="276" t="e">
        <f>VLOOKUP(Logfile_S[[#This Row],[DO number]],DO_DB!G:I,3,0)</f>
        <v>#N/A</v>
      </c>
      <c r="AB1631" s="331" t="e">
        <f>EXACT(Logfile_S[[#This Row],[date pick]],Logfile_S[[#This Row],[Date]])</f>
        <v>#N/A</v>
      </c>
      <c r="AC16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32" spans="1:29" s="202" customFormat="1" ht="14.5">
      <c r="A1632" s="237" t="str">
        <f>TEXT(ROW(A1632)-ROW($A$4),"000")</f>
        <v>1628</v>
      </c>
      <c r="B1632" s="221"/>
      <c r="C1632" s="227" t="s">
        <v>48</v>
      </c>
      <c r="D1632" s="227" t="s">
        <v>4393</v>
      </c>
      <c r="E1632" s="227" t="s">
        <v>3295</v>
      </c>
      <c r="F1632" s="227" t="s">
        <v>3299</v>
      </c>
      <c r="G1632" s="239">
        <v>45850</v>
      </c>
      <c r="H1632" s="240">
        <v>15.291666666666666</v>
      </c>
      <c r="I1632" s="227" t="s">
        <v>37</v>
      </c>
      <c r="J1632" s="227" t="s">
        <v>3023</v>
      </c>
      <c r="K1632" s="241" t="s">
        <v>3075</v>
      </c>
      <c r="L1632" s="225" t="str">
        <f>VLOOKUP(Logfile_S[[#This Row],[Material Name]],Sheet2!B:C,2,0)</f>
        <v>ZTE2003</v>
      </c>
      <c r="M1632" s="242" t="str">
        <f>_xlfn.XLOOKUP(Logfile_S[[#This Row],[Material Name]],Sum_WH!E:E,Sum_WH!F:F,"",0)</f>
        <v>Meter</v>
      </c>
      <c r="N1632" s="227">
        <v>3000</v>
      </c>
      <c r="O1632" s="227" t="s">
        <v>2909</v>
      </c>
      <c r="P1632" s="227" t="s">
        <v>2910</v>
      </c>
      <c r="Q1632" s="221" t="s">
        <v>2913</v>
      </c>
      <c r="R1632" s="221" t="s">
        <v>2914</v>
      </c>
      <c r="S1632" s="227"/>
      <c r="T1632" s="227"/>
      <c r="U1632" s="227"/>
      <c r="V1632" s="227"/>
      <c r="W1632" s="227"/>
      <c r="X1632" s="227"/>
      <c r="Y1632" s="227" t="s">
        <v>5086</v>
      </c>
      <c r="Z1632" s="227" t="str">
        <f>P1632</f>
        <v>KREBET RW 03</v>
      </c>
      <c r="AA1632" s="276">
        <f>VLOOKUP(Logfile_S[[#This Row],[DO number]],DO_DB!G:I,3,0)</f>
        <v>45850</v>
      </c>
      <c r="AB1632" s="331" t="b">
        <f>EXACT(Logfile_S[[#This Row],[date pick]],Logfile_S[[#This Row],[Date]])</f>
        <v>1</v>
      </c>
      <c r="AC16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48C-2025712-02</v>
      </c>
    </row>
    <row r="1633" spans="1:29" s="202" customFormat="1" ht="14.5">
      <c r="A1633" s="220" t="str">
        <f>TEXT(ROW(A1633)-ROW($A$4),"000")</f>
        <v>1629</v>
      </c>
      <c r="B1633" s="221"/>
      <c r="C1633" s="221" t="s">
        <v>48</v>
      </c>
      <c r="D1633" s="221" t="s">
        <v>4393</v>
      </c>
      <c r="E1633" s="221" t="s">
        <v>3295</v>
      </c>
      <c r="F1633" s="221" t="s">
        <v>3299</v>
      </c>
      <c r="G1633" s="222">
        <v>45850</v>
      </c>
      <c r="H1633" s="223">
        <v>15.291666666666666</v>
      </c>
      <c r="I1633" s="221" t="s">
        <v>37</v>
      </c>
      <c r="J1633" s="221" t="s">
        <v>3023</v>
      </c>
      <c r="K1633" s="224" t="s">
        <v>14</v>
      </c>
      <c r="L1633" s="225" t="str">
        <f>VLOOKUP(Logfile_S[[#This Row],[Material Name]],Sheet2!B:C,2,0)</f>
        <v>ZTE2005</v>
      </c>
      <c r="M1633" s="225" t="str">
        <f>_xlfn.XLOOKUP(Logfile_S[[#This Row],[Material Name]],Sum_WH!E:E,Sum_WH!F:F,"",0)</f>
        <v>Pcs</v>
      </c>
      <c r="N1633" s="221">
        <v>2</v>
      </c>
      <c r="O1633" s="221" t="s">
        <v>2909</v>
      </c>
      <c r="P1633" s="221" t="s">
        <v>2910</v>
      </c>
      <c r="Q1633" s="221">
        <v>0</v>
      </c>
      <c r="R1633" s="221">
        <v>0</v>
      </c>
      <c r="S1633" s="221"/>
      <c r="T1633" s="221"/>
      <c r="U1633" s="221"/>
      <c r="V1633" s="221"/>
      <c r="W1633" s="221"/>
      <c r="X1633" s="221"/>
      <c r="Y1633" s="227"/>
      <c r="Z1633" s="227" t="str">
        <f>P1633</f>
        <v>KREBET RW 03</v>
      </c>
      <c r="AA1633" s="276" t="e">
        <f>VLOOKUP(Logfile_S[[#This Row],[DO number]],DO_DB!G:I,3,0)</f>
        <v>#N/A</v>
      </c>
      <c r="AB1633" s="331" t="e">
        <f>EXACT(Logfile_S[[#This Row],[date pick]],Logfile_S[[#This Row],[Date]])</f>
        <v>#N/A</v>
      </c>
      <c r="AC16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34" spans="1:29" s="202" customFormat="1" ht="14.5">
      <c r="A1634" s="220" t="str">
        <f>TEXT(ROW(A1634)-ROW($A$4),"000")</f>
        <v>1630</v>
      </c>
      <c r="B1634" s="221"/>
      <c r="C1634" s="221" t="s">
        <v>48</v>
      </c>
      <c r="D1634" s="221" t="s">
        <v>4393</v>
      </c>
      <c r="E1634" s="221" t="s">
        <v>3295</v>
      </c>
      <c r="F1634" s="221" t="s">
        <v>3299</v>
      </c>
      <c r="G1634" s="222">
        <v>45850</v>
      </c>
      <c r="H1634" s="223">
        <v>15.291666666666666</v>
      </c>
      <c r="I1634" s="221" t="s">
        <v>37</v>
      </c>
      <c r="J1634" s="221" t="s">
        <v>3023</v>
      </c>
      <c r="K1634" s="224" t="s">
        <v>3070</v>
      </c>
      <c r="L1634" s="225" t="str">
        <f>VLOOKUP(Logfile_S[[#This Row],[Material Name]],Sheet2!B:C,2,0)</f>
        <v>ZTE1002</v>
      </c>
      <c r="M1634" s="225" t="str">
        <f>_xlfn.XLOOKUP(Logfile_S[[#This Row],[Material Name]],Sum_WH!E:E,Sum_WH!F:F,"",0)</f>
        <v>Pcs</v>
      </c>
      <c r="N1634" s="221">
        <v>156</v>
      </c>
      <c r="O1634" s="221" t="s">
        <v>2909</v>
      </c>
      <c r="P1634" s="221" t="s">
        <v>2910</v>
      </c>
      <c r="Q1634" s="221" t="s">
        <v>2911</v>
      </c>
      <c r="R1634" s="221" t="s">
        <v>2912</v>
      </c>
      <c r="S1634" s="221"/>
      <c r="T1634" s="221"/>
      <c r="U1634" s="221"/>
      <c r="V1634" s="221"/>
      <c r="W1634" s="221"/>
      <c r="X1634" s="221"/>
      <c r="Y1634" s="227"/>
      <c r="Z1634" s="227" t="str">
        <f>P1634</f>
        <v>KREBET RW 03</v>
      </c>
      <c r="AA1634" s="276">
        <f>VLOOKUP(Logfile_S[[#This Row],[DO number]],DO_DB!G:I,3,0)</f>
        <v>45850</v>
      </c>
      <c r="AB1634" s="331" t="b">
        <f>EXACT(Logfile_S[[#This Row],[date pick]],Logfile_S[[#This Row],[Date]])</f>
        <v>1</v>
      </c>
      <c r="AC16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35" spans="1:29" s="202" customFormat="1" ht="14.5">
      <c r="A1635" s="220" t="str">
        <f>TEXT(ROW(A1635)-ROW($A$4),"000")</f>
        <v>1631</v>
      </c>
      <c r="B1635" s="221"/>
      <c r="C1635" s="221" t="s">
        <v>49</v>
      </c>
      <c r="D1635" s="221" t="s">
        <v>4394</v>
      </c>
      <c r="E1635" s="221" t="s">
        <v>3295</v>
      </c>
      <c r="F1635" s="221" t="s">
        <v>3299</v>
      </c>
      <c r="G1635" s="222">
        <v>45854</v>
      </c>
      <c r="H1635" s="223">
        <v>0.46805555555555556</v>
      </c>
      <c r="I1635" s="221" t="s">
        <v>4916</v>
      </c>
      <c r="J1635" s="221" t="s">
        <v>3023</v>
      </c>
      <c r="K1635" s="224" t="s">
        <v>3070</v>
      </c>
      <c r="L1635" s="225" t="str">
        <f>VLOOKUP(Logfile_S[[#This Row],[Material Name]],Sheet2!B:C,2,0)</f>
        <v>ZTE1002</v>
      </c>
      <c r="M1635" s="225" t="str">
        <f>_xlfn.XLOOKUP(Logfile_S[[#This Row],[Material Name]],Sum_WH!E:E,Sum_WH!F:F,"",0)</f>
        <v>Pcs</v>
      </c>
      <c r="N1635" s="221">
        <v>154</v>
      </c>
      <c r="O1635" s="221" t="s">
        <v>2909</v>
      </c>
      <c r="P1635" s="221" t="s">
        <v>2910</v>
      </c>
      <c r="Q1635" s="221"/>
      <c r="R1635" s="221"/>
      <c r="S1635" s="221"/>
      <c r="T1635" s="221" t="s">
        <v>3258</v>
      </c>
      <c r="U1635" s="221">
        <v>0</v>
      </c>
      <c r="V1635" s="221" t="s">
        <v>3337</v>
      </c>
      <c r="W1635" s="221" t="s">
        <v>3338</v>
      </c>
      <c r="X1635" s="221"/>
      <c r="Y1635" s="227"/>
      <c r="Z1635" s="227" t="str">
        <f>P1635</f>
        <v>KREBET RW 03</v>
      </c>
      <c r="AA1635" s="276" t="e">
        <f>VLOOKUP(Logfile_S[[#This Row],[DO number]],DO_DB!G:I,3,0)</f>
        <v>#N/A</v>
      </c>
      <c r="AB1635" s="331" t="e">
        <f>EXACT(Logfile_S[[#This Row],[date pick]],Logfile_S[[#This Row],[Date]])</f>
        <v>#N/A</v>
      </c>
      <c r="AC16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36" spans="1:29" s="202" customFormat="1" ht="14.5">
      <c r="A1636" s="220" t="str">
        <f>TEXT(ROW(A1636)-ROW($A$4),"000")</f>
        <v>1632</v>
      </c>
      <c r="B1636" s="221"/>
      <c r="C1636" s="221" t="s">
        <v>49</v>
      </c>
      <c r="D1636" s="221" t="s">
        <v>4394</v>
      </c>
      <c r="E1636" s="221" t="s">
        <v>3295</v>
      </c>
      <c r="F1636" s="221" t="s">
        <v>3299</v>
      </c>
      <c r="G1636" s="222">
        <v>45854</v>
      </c>
      <c r="H1636" s="223">
        <v>0.46805555555555556</v>
      </c>
      <c r="I1636" s="221" t="s">
        <v>4916</v>
      </c>
      <c r="J1636" s="221" t="s">
        <v>3023</v>
      </c>
      <c r="K1636" s="224" t="s">
        <v>3069</v>
      </c>
      <c r="L1636" s="225" t="str">
        <f>VLOOKUP(Logfile_S[[#This Row],[Material Name]],Sheet2!B:C,2,0)</f>
        <v>ZTE1001</v>
      </c>
      <c r="M1636" s="225" t="str">
        <f>_xlfn.XLOOKUP(Logfile_S[[#This Row],[Material Name]],Sum_WH!E:E,Sum_WH!F:F,"",0)</f>
        <v>Pcs</v>
      </c>
      <c r="N1636" s="221">
        <v>11</v>
      </c>
      <c r="O1636" s="221" t="s">
        <v>2909</v>
      </c>
      <c r="P1636" s="221" t="s">
        <v>2910</v>
      </c>
      <c r="Q1636" s="221"/>
      <c r="R1636" s="221"/>
      <c r="S1636" s="221"/>
      <c r="T1636" s="221" t="s">
        <v>3258</v>
      </c>
      <c r="U1636" s="221">
        <v>0</v>
      </c>
      <c r="V1636" s="221" t="s">
        <v>3337</v>
      </c>
      <c r="W1636" s="221" t="s">
        <v>3338</v>
      </c>
      <c r="X1636" s="221"/>
      <c r="Y1636" s="227"/>
      <c r="Z1636" s="227" t="str">
        <f>P1636</f>
        <v>KREBET RW 03</v>
      </c>
      <c r="AA1636" s="276" t="e">
        <f>VLOOKUP(Logfile_S[[#This Row],[DO number]],DO_DB!G:I,3,0)</f>
        <v>#N/A</v>
      </c>
      <c r="AB1636" s="331" t="e">
        <f>EXACT(Logfile_S[[#This Row],[date pick]],Logfile_S[[#This Row],[Date]])</f>
        <v>#N/A</v>
      </c>
      <c r="AC16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37" spans="1:29" s="202" customFormat="1" ht="14.5">
      <c r="A1637" s="220" t="str">
        <f>TEXT(ROW(A1637)-ROW($A$4),"000")</f>
        <v>1633</v>
      </c>
      <c r="B1637" s="221"/>
      <c r="C1637" s="221" t="s">
        <v>49</v>
      </c>
      <c r="D1637" s="221" t="s">
        <v>4395</v>
      </c>
      <c r="E1637" s="221" t="s">
        <v>3295</v>
      </c>
      <c r="F1637" s="221" t="s">
        <v>3299</v>
      </c>
      <c r="G1637" s="222">
        <v>45856</v>
      </c>
      <c r="H1637" s="223">
        <v>0.46805555555555556</v>
      </c>
      <c r="I1637" s="221" t="s">
        <v>4916</v>
      </c>
      <c r="J1637" s="221" t="s">
        <v>3023</v>
      </c>
      <c r="K1637" s="224" t="s">
        <v>3073</v>
      </c>
      <c r="L1637" s="225" t="str">
        <f>VLOOKUP(Logfile_S[[#This Row],[Material Name]],Sheet2!B:C,2,0)</f>
        <v>ZTE2001</v>
      </c>
      <c r="M1637" s="225" t="str">
        <f>_xlfn.XLOOKUP(Logfile_S[[#This Row],[Material Name]],Sum_WH!E:E,Sum_WH!F:F,"",0)</f>
        <v>Meter</v>
      </c>
      <c r="N1637" s="221">
        <v>3000</v>
      </c>
      <c r="O1637" s="221" t="s">
        <v>2909</v>
      </c>
      <c r="P1637" s="221" t="s">
        <v>2910</v>
      </c>
      <c r="Q1637" s="221"/>
      <c r="R1637" s="221"/>
      <c r="S1637" s="221"/>
      <c r="T1637" s="221" t="s">
        <v>3258</v>
      </c>
      <c r="U1637" s="221" t="s">
        <v>5107</v>
      </c>
      <c r="V1637" s="221" t="s">
        <v>3337</v>
      </c>
      <c r="W1637" s="221" t="s">
        <v>3338</v>
      </c>
      <c r="X1637" s="221"/>
      <c r="Y1637" s="227"/>
      <c r="Z1637" s="227" t="str">
        <f>P1637</f>
        <v>KREBET RW 03</v>
      </c>
      <c r="AA1637" s="276" t="e">
        <f>VLOOKUP(Logfile_S[[#This Row],[DO number]],DO_DB!G:I,3,0)</f>
        <v>#N/A</v>
      </c>
      <c r="AB1637" s="331" t="e">
        <f>EXACT(Logfile_S[[#This Row],[date pick]],Logfile_S[[#This Row],[Date]])</f>
        <v>#N/A</v>
      </c>
      <c r="AC16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38" spans="1:29" s="202" customFormat="1" ht="14.5">
      <c r="A1638" s="220" t="str">
        <f>TEXT(ROW(A1638)-ROW($A$4),"000")</f>
        <v>1634</v>
      </c>
      <c r="B1638" s="221"/>
      <c r="C1638" s="221" t="s">
        <v>49</v>
      </c>
      <c r="D1638" s="221" t="s">
        <v>4395</v>
      </c>
      <c r="E1638" s="221" t="s">
        <v>3295</v>
      </c>
      <c r="F1638" s="221" t="s">
        <v>3299</v>
      </c>
      <c r="G1638" s="222">
        <v>45856</v>
      </c>
      <c r="H1638" s="223">
        <v>0.46805555555555556</v>
      </c>
      <c r="I1638" s="221" t="s">
        <v>4916</v>
      </c>
      <c r="J1638" s="221" t="s">
        <v>3023</v>
      </c>
      <c r="K1638" s="224" t="s">
        <v>3069</v>
      </c>
      <c r="L1638" s="225" t="str">
        <f>VLOOKUP(Logfile_S[[#This Row],[Material Name]],Sheet2!B:C,2,0)</f>
        <v>ZTE1001</v>
      </c>
      <c r="M1638" s="225" t="str">
        <f>_xlfn.XLOOKUP(Logfile_S[[#This Row],[Material Name]],Sum_WH!E:E,Sum_WH!F:F,"",0)</f>
        <v>Pcs</v>
      </c>
      <c r="N1638" s="221">
        <v>3</v>
      </c>
      <c r="O1638" s="221" t="s">
        <v>2909</v>
      </c>
      <c r="P1638" s="221" t="s">
        <v>2910</v>
      </c>
      <c r="Q1638" s="221"/>
      <c r="R1638" s="221"/>
      <c r="S1638" s="221"/>
      <c r="T1638" s="221" t="s">
        <v>3258</v>
      </c>
      <c r="U1638" s="221">
        <v>0</v>
      </c>
      <c r="V1638" s="221" t="s">
        <v>3337</v>
      </c>
      <c r="W1638" s="221" t="s">
        <v>3338</v>
      </c>
      <c r="X1638" s="221"/>
      <c r="Y1638" s="227"/>
      <c r="Z1638" s="227" t="str">
        <f>P1638</f>
        <v>KREBET RW 03</v>
      </c>
      <c r="AA1638" s="276" t="e">
        <f>VLOOKUP(Logfile_S[[#This Row],[DO number]],DO_DB!G:I,3,0)</f>
        <v>#N/A</v>
      </c>
      <c r="AB1638" s="331" t="e">
        <f>EXACT(Logfile_S[[#This Row],[date pick]],Logfile_S[[#This Row],[Date]])</f>
        <v>#N/A</v>
      </c>
      <c r="AC16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39" spans="1:29" s="202" customFormat="1" ht="14.5">
      <c r="A1639" s="220" t="str">
        <f>TEXT(ROW(A1639)-ROW($A$4),"000")</f>
        <v>1635</v>
      </c>
      <c r="B1639" s="221"/>
      <c r="C1639" s="221" t="s">
        <v>49</v>
      </c>
      <c r="D1639" s="221" t="s">
        <v>4395</v>
      </c>
      <c r="E1639" s="221" t="s">
        <v>3295</v>
      </c>
      <c r="F1639" s="221" t="s">
        <v>3299</v>
      </c>
      <c r="G1639" s="222">
        <v>45856</v>
      </c>
      <c r="H1639" s="223">
        <v>0.46805555555555556</v>
      </c>
      <c r="I1639" s="221" t="s">
        <v>4916</v>
      </c>
      <c r="J1639" s="221" t="s">
        <v>3023</v>
      </c>
      <c r="K1639" s="224" t="s">
        <v>3071</v>
      </c>
      <c r="L1639" s="225" t="str">
        <f>VLOOKUP(Logfile_S[[#This Row],[Material Name]],Sheet2!B:C,2,0)</f>
        <v>ZTE1003</v>
      </c>
      <c r="M1639" s="225" t="str">
        <f>_xlfn.XLOOKUP(Logfile_S[[#This Row],[Material Name]],Sum_WH!E:E,Sum_WH!F:F,"",0)</f>
        <v>Pcs</v>
      </c>
      <c r="N1639" s="221">
        <v>6</v>
      </c>
      <c r="O1639" s="221" t="s">
        <v>2909</v>
      </c>
      <c r="P1639" s="221" t="s">
        <v>2910</v>
      </c>
      <c r="Q1639" s="221"/>
      <c r="R1639" s="221"/>
      <c r="S1639" s="221"/>
      <c r="T1639" s="221" t="s">
        <v>3258</v>
      </c>
      <c r="U1639" s="221">
        <v>0</v>
      </c>
      <c r="V1639" s="221" t="s">
        <v>3337</v>
      </c>
      <c r="W1639" s="221" t="s">
        <v>3338</v>
      </c>
      <c r="X1639" s="221"/>
      <c r="Y1639" s="227"/>
      <c r="Z1639" s="227" t="str">
        <f>P1639</f>
        <v>KREBET RW 03</v>
      </c>
      <c r="AA1639" s="276" t="e">
        <f>VLOOKUP(Logfile_S[[#This Row],[DO number]],DO_DB!G:I,3,0)</f>
        <v>#N/A</v>
      </c>
      <c r="AB1639" s="331" t="e">
        <f>EXACT(Logfile_S[[#This Row],[date pick]],Logfile_S[[#This Row],[Date]])</f>
        <v>#N/A</v>
      </c>
      <c r="AC16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40" spans="1:29" s="202" customFormat="1" ht="14.5">
      <c r="A1640" s="220" t="str">
        <f>TEXT(ROW(A1640)-ROW($A$4),"000")</f>
        <v>1636</v>
      </c>
      <c r="B1640" s="221"/>
      <c r="C1640" s="221" t="s">
        <v>49</v>
      </c>
      <c r="D1640" s="221" t="s">
        <v>4396</v>
      </c>
      <c r="E1640" s="221" t="s">
        <v>3295</v>
      </c>
      <c r="F1640" s="221" t="s">
        <v>3299</v>
      </c>
      <c r="G1640" s="222">
        <v>45857</v>
      </c>
      <c r="H1640" s="223">
        <v>0.5395833333333333</v>
      </c>
      <c r="I1640" s="221" t="s">
        <v>4916</v>
      </c>
      <c r="J1640" s="221" t="s">
        <v>3023</v>
      </c>
      <c r="K1640" s="224" t="s">
        <v>13</v>
      </c>
      <c r="L1640" s="225" t="str">
        <f>VLOOKUP(Logfile_S[[#This Row],[Material Name]],Sheet2!B:C,2,0)</f>
        <v>ZTE2008</v>
      </c>
      <c r="M1640" s="225" t="str">
        <f>_xlfn.XLOOKUP(Logfile_S[[#This Row],[Material Name]],Sum_WH!E:E,Sum_WH!F:F,"",0)</f>
        <v>Pcs</v>
      </c>
      <c r="N1640" s="221">
        <v>15</v>
      </c>
      <c r="O1640" s="221" t="s">
        <v>2909</v>
      </c>
      <c r="P1640" s="221" t="s">
        <v>2910</v>
      </c>
      <c r="Q1640" s="221"/>
      <c r="R1640" s="221"/>
      <c r="S1640" s="221"/>
      <c r="T1640" s="221" t="s">
        <v>3258</v>
      </c>
      <c r="U1640" s="221">
        <v>0</v>
      </c>
      <c r="V1640" s="221" t="s">
        <v>3337</v>
      </c>
      <c r="W1640" s="221" t="s">
        <v>3338</v>
      </c>
      <c r="X1640" s="221"/>
      <c r="Y1640" s="227"/>
      <c r="Z1640" s="227" t="str">
        <f>P1640</f>
        <v>KREBET RW 03</v>
      </c>
      <c r="AA1640" s="276" t="e">
        <f>VLOOKUP(Logfile_S[[#This Row],[DO number]],DO_DB!G:I,3,0)</f>
        <v>#N/A</v>
      </c>
      <c r="AB1640" s="331" t="e">
        <f>EXACT(Logfile_S[[#This Row],[date pick]],Logfile_S[[#This Row],[Date]])</f>
        <v>#N/A</v>
      </c>
      <c r="AC16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41" spans="1:29" s="202" customFormat="1" ht="14.5">
      <c r="A1641" s="220" t="str">
        <f>TEXT(ROW(A1641)-ROW($A$4),"000")</f>
        <v>1637</v>
      </c>
      <c r="B1641" s="221"/>
      <c r="C1641" s="221" t="s">
        <v>49</v>
      </c>
      <c r="D1641" s="221" t="s">
        <v>4396</v>
      </c>
      <c r="E1641" s="221" t="s">
        <v>3295</v>
      </c>
      <c r="F1641" s="221" t="s">
        <v>3299</v>
      </c>
      <c r="G1641" s="222">
        <v>45857</v>
      </c>
      <c r="H1641" s="223">
        <v>0.5395833333333333</v>
      </c>
      <c r="I1641" s="221" t="s">
        <v>4916</v>
      </c>
      <c r="J1641" s="221" t="s">
        <v>3023</v>
      </c>
      <c r="K1641" s="224" t="s">
        <v>14</v>
      </c>
      <c r="L1641" s="225" t="str">
        <f>VLOOKUP(Logfile_S[[#This Row],[Material Name]],Sheet2!B:C,2,0)</f>
        <v>ZTE2005</v>
      </c>
      <c r="M1641" s="225" t="str">
        <f>_xlfn.XLOOKUP(Logfile_S[[#This Row],[Material Name]],Sum_WH!E:E,Sum_WH!F:F,"",0)</f>
        <v>Pcs</v>
      </c>
      <c r="N1641" s="221">
        <v>1</v>
      </c>
      <c r="O1641" s="221" t="s">
        <v>2909</v>
      </c>
      <c r="P1641" s="221" t="s">
        <v>2910</v>
      </c>
      <c r="Q1641" s="221"/>
      <c r="R1641" s="221"/>
      <c r="S1641" s="221"/>
      <c r="T1641" s="221" t="s">
        <v>3258</v>
      </c>
      <c r="U1641" s="221">
        <v>0</v>
      </c>
      <c r="V1641" s="221" t="s">
        <v>3337</v>
      </c>
      <c r="W1641" s="221" t="s">
        <v>3338</v>
      </c>
      <c r="X1641" s="221"/>
      <c r="Y1641" s="227"/>
      <c r="Z1641" s="227" t="str">
        <f>P1641</f>
        <v>KREBET RW 03</v>
      </c>
      <c r="AA1641" s="276" t="e">
        <f>VLOOKUP(Logfile_S[[#This Row],[DO number]],DO_DB!G:I,3,0)</f>
        <v>#N/A</v>
      </c>
      <c r="AB1641" s="331" t="e">
        <f>EXACT(Logfile_S[[#This Row],[date pick]],Logfile_S[[#This Row],[Date]])</f>
        <v>#N/A</v>
      </c>
      <c r="AC16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42" spans="1:29" s="202" customFormat="1" ht="14.5">
      <c r="A1642" s="220" t="str">
        <f>TEXT(ROW(A1642)-ROW($A$4),"000")</f>
        <v>1638</v>
      </c>
      <c r="B1642" s="221"/>
      <c r="C1642" s="221" t="s">
        <v>49</v>
      </c>
      <c r="D1642" s="221" t="s">
        <v>4397</v>
      </c>
      <c r="E1642" s="221" t="s">
        <v>3295</v>
      </c>
      <c r="F1642" s="221" t="s">
        <v>3299</v>
      </c>
      <c r="G1642" s="222">
        <v>45861</v>
      </c>
      <c r="H1642" s="223">
        <v>0.46805555555555556</v>
      </c>
      <c r="I1642" s="221" t="s">
        <v>4916</v>
      </c>
      <c r="J1642" s="221" t="s">
        <v>3023</v>
      </c>
      <c r="K1642" s="224" t="s">
        <v>3071</v>
      </c>
      <c r="L1642" s="225" t="str">
        <f>VLOOKUP(Logfile_S[[#This Row],[Material Name]],Sheet2!B:C,2,0)</f>
        <v>ZTE1003</v>
      </c>
      <c r="M1642" s="225" t="str">
        <f>_xlfn.XLOOKUP(Logfile_S[[#This Row],[Material Name]],Sum_WH!E:E,Sum_WH!F:F,"",0)</f>
        <v>Pcs</v>
      </c>
      <c r="N1642" s="221">
        <v>3</v>
      </c>
      <c r="O1642" s="221" t="s">
        <v>2909</v>
      </c>
      <c r="P1642" s="221" t="s">
        <v>2910</v>
      </c>
      <c r="Q1642" s="221"/>
      <c r="R1642" s="221"/>
      <c r="S1642" s="221"/>
      <c r="T1642" s="221" t="s">
        <v>3258</v>
      </c>
      <c r="U1642" s="221">
        <v>0</v>
      </c>
      <c r="V1642" s="221" t="s">
        <v>3337</v>
      </c>
      <c r="W1642" s="221" t="s">
        <v>3338</v>
      </c>
      <c r="X1642" s="221"/>
      <c r="Y1642" s="227"/>
      <c r="Z1642" s="227" t="str">
        <f>P1642</f>
        <v>KREBET RW 03</v>
      </c>
      <c r="AA1642" s="276" t="e">
        <f>VLOOKUP(Logfile_S[[#This Row],[DO number]],DO_DB!G:I,3,0)</f>
        <v>#N/A</v>
      </c>
      <c r="AB1642" s="331" t="e">
        <f>EXACT(Logfile_S[[#This Row],[date pick]],Logfile_S[[#This Row],[Date]])</f>
        <v>#N/A</v>
      </c>
      <c r="AC16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43" spans="1:29" s="202" customFormat="1" ht="14.5">
      <c r="A1643" s="237" t="str">
        <f>TEXT(ROW(A1643)-ROW($A$4),"000")</f>
        <v>1639</v>
      </c>
      <c r="B1643" s="221"/>
      <c r="C1643" s="227" t="s">
        <v>48</v>
      </c>
      <c r="D1643" s="227" t="s">
        <v>4393</v>
      </c>
      <c r="E1643" s="227" t="s">
        <v>3295</v>
      </c>
      <c r="F1643" s="227" t="s">
        <v>3299</v>
      </c>
      <c r="G1643" s="239">
        <v>45850</v>
      </c>
      <c r="H1643" s="240">
        <v>15.291666666666666</v>
      </c>
      <c r="I1643" s="227" t="s">
        <v>37</v>
      </c>
      <c r="J1643" s="227" t="s">
        <v>3023</v>
      </c>
      <c r="K1643" s="241" t="s">
        <v>3075</v>
      </c>
      <c r="L1643" s="225" t="str">
        <f>VLOOKUP(Logfile_S[[#This Row],[Material Name]],Sheet2!B:C,2,0)</f>
        <v>ZTE2003</v>
      </c>
      <c r="M1643" s="242" t="str">
        <f>_xlfn.XLOOKUP(Logfile_S[[#This Row],[Material Name]],Sum_WH!E:E,Sum_WH!F:F,"",0)</f>
        <v>Meter</v>
      </c>
      <c r="N1643" s="227">
        <v>3000</v>
      </c>
      <c r="O1643" s="227" t="s">
        <v>2915</v>
      </c>
      <c r="P1643" s="227" t="s">
        <v>2916</v>
      </c>
      <c r="Q1643" s="221" t="s">
        <v>2919</v>
      </c>
      <c r="R1643" s="221" t="s">
        <v>2920</v>
      </c>
      <c r="S1643" s="227"/>
      <c r="T1643" s="227"/>
      <c r="U1643" s="227"/>
      <c r="V1643" s="227"/>
      <c r="W1643" s="227"/>
      <c r="X1643" s="227"/>
      <c r="Y1643" s="227" t="s">
        <v>5087</v>
      </c>
      <c r="Z1643" s="227" t="str">
        <f>P1643</f>
        <v>KREBET RW 05</v>
      </c>
      <c r="AA1643" s="276">
        <f>VLOOKUP(Logfile_S[[#This Row],[DO number]],DO_DB!G:I,3,0)</f>
        <v>45850</v>
      </c>
      <c r="AB1643" s="331" t="b">
        <f>EXACT(Logfile_S[[#This Row],[date pick]],Logfile_S[[#This Row],[Date]])</f>
        <v>1</v>
      </c>
      <c r="AC16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48C-2025712-03</v>
      </c>
    </row>
    <row r="1644" spans="1:29" s="202" customFormat="1" ht="14.5">
      <c r="A1644" s="220" t="str">
        <f>TEXT(ROW(A1644)-ROW($A$4),"000")</f>
        <v>1640</v>
      </c>
      <c r="B1644" s="221"/>
      <c r="C1644" s="221" t="s">
        <v>48</v>
      </c>
      <c r="D1644" s="221" t="s">
        <v>4393</v>
      </c>
      <c r="E1644" s="221" t="s">
        <v>3295</v>
      </c>
      <c r="F1644" s="221" t="s">
        <v>3299</v>
      </c>
      <c r="G1644" s="222">
        <v>45850</v>
      </c>
      <c r="H1644" s="223">
        <v>15.291666666666666</v>
      </c>
      <c r="I1644" s="221" t="s">
        <v>37</v>
      </c>
      <c r="J1644" s="221" t="s">
        <v>3023</v>
      </c>
      <c r="K1644" s="224" t="s">
        <v>15</v>
      </c>
      <c r="L1644" s="225" t="str">
        <f>VLOOKUP(Logfile_S[[#This Row],[Material Name]],Sheet2!B:C,2,0)</f>
        <v>ZTE2006</v>
      </c>
      <c r="M1644" s="225" t="str">
        <f>_xlfn.XLOOKUP(Logfile_S[[#This Row],[Material Name]],Sum_WH!E:E,Sum_WH!F:F,"",0)</f>
        <v>Pcs</v>
      </c>
      <c r="N1644" s="221">
        <v>1</v>
      </c>
      <c r="O1644" s="221" t="s">
        <v>2915</v>
      </c>
      <c r="P1644" s="221" t="s">
        <v>2916</v>
      </c>
      <c r="Q1644" s="221">
        <v>0</v>
      </c>
      <c r="R1644" s="221">
        <v>0</v>
      </c>
      <c r="S1644" s="221"/>
      <c r="T1644" s="221"/>
      <c r="U1644" s="221"/>
      <c r="V1644" s="221"/>
      <c r="W1644" s="221"/>
      <c r="X1644" s="221"/>
      <c r="Y1644" s="227"/>
      <c r="Z1644" s="227" t="str">
        <f>P1644</f>
        <v>KREBET RW 05</v>
      </c>
      <c r="AA1644" s="276" t="e">
        <f>VLOOKUP(Logfile_S[[#This Row],[DO number]],DO_DB!G:I,3,0)</f>
        <v>#N/A</v>
      </c>
      <c r="AB1644" s="331" t="e">
        <f>EXACT(Logfile_S[[#This Row],[date pick]],Logfile_S[[#This Row],[Date]])</f>
        <v>#N/A</v>
      </c>
      <c r="AC16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45" spans="1:29" s="202" customFormat="1" ht="14.5">
      <c r="A1645" s="220" t="str">
        <f>TEXT(ROW(A1645)-ROW($A$4),"000")</f>
        <v>1641</v>
      </c>
      <c r="B1645" s="221"/>
      <c r="C1645" s="221" t="s">
        <v>49</v>
      </c>
      <c r="D1645" s="221" t="s">
        <v>4397</v>
      </c>
      <c r="E1645" s="221" t="s">
        <v>3295</v>
      </c>
      <c r="F1645" s="221" t="s">
        <v>3299</v>
      </c>
      <c r="G1645" s="222">
        <v>45861</v>
      </c>
      <c r="H1645" s="223">
        <v>0.46805555555555556</v>
      </c>
      <c r="I1645" s="221" t="s">
        <v>4916</v>
      </c>
      <c r="J1645" s="221" t="s">
        <v>3023</v>
      </c>
      <c r="K1645" s="224" t="s">
        <v>13</v>
      </c>
      <c r="L1645" s="225" t="str">
        <f>VLOOKUP(Logfile_S[[#This Row],[Material Name]],Sheet2!B:C,2,0)</f>
        <v>ZTE2008</v>
      </c>
      <c r="M1645" s="225" t="str">
        <f>_xlfn.XLOOKUP(Logfile_S[[#This Row],[Material Name]],Sum_WH!E:E,Sum_WH!F:F,"",0)</f>
        <v>Pcs</v>
      </c>
      <c r="N1645" s="221">
        <v>13</v>
      </c>
      <c r="O1645" s="221" t="s">
        <v>2915</v>
      </c>
      <c r="P1645" s="221" t="s">
        <v>2916</v>
      </c>
      <c r="Q1645" s="221"/>
      <c r="R1645" s="221"/>
      <c r="S1645" s="221"/>
      <c r="T1645" s="221" t="s">
        <v>3258</v>
      </c>
      <c r="U1645" s="221">
        <v>0</v>
      </c>
      <c r="V1645" s="221" t="s">
        <v>3337</v>
      </c>
      <c r="W1645" s="221" t="s">
        <v>3338</v>
      </c>
      <c r="X1645" s="221"/>
      <c r="Y1645" s="227"/>
      <c r="Z1645" s="227" t="str">
        <f>P1645</f>
        <v>KREBET RW 05</v>
      </c>
      <c r="AA1645" s="276" t="e">
        <f>VLOOKUP(Logfile_S[[#This Row],[DO number]],DO_DB!G:I,3,0)</f>
        <v>#N/A</v>
      </c>
      <c r="AB1645" s="331" t="e">
        <f>EXACT(Logfile_S[[#This Row],[date pick]],Logfile_S[[#This Row],[Date]])</f>
        <v>#N/A</v>
      </c>
      <c r="AC16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46" spans="1:29" s="202" customFormat="1" ht="14.5">
      <c r="A1646" s="220" t="str">
        <f>TEXT(ROW(A1646)-ROW($A$4),"000")</f>
        <v>1642</v>
      </c>
      <c r="B1646" s="221"/>
      <c r="C1646" s="221" t="s">
        <v>49</v>
      </c>
      <c r="D1646" s="221" t="s">
        <v>4397</v>
      </c>
      <c r="E1646" s="221" t="s">
        <v>3295</v>
      </c>
      <c r="F1646" s="221" t="s">
        <v>3299</v>
      </c>
      <c r="G1646" s="222">
        <v>45861</v>
      </c>
      <c r="H1646" s="223">
        <v>0.46805555555555556</v>
      </c>
      <c r="I1646" s="221" t="s">
        <v>4916</v>
      </c>
      <c r="J1646" s="221" t="s">
        <v>3023</v>
      </c>
      <c r="K1646" s="224" t="s">
        <v>15</v>
      </c>
      <c r="L1646" s="225" t="str">
        <f>VLOOKUP(Logfile_S[[#This Row],[Material Name]],Sheet2!B:C,2,0)</f>
        <v>ZTE2006</v>
      </c>
      <c r="M1646" s="225" t="str">
        <f>_xlfn.XLOOKUP(Logfile_S[[#This Row],[Material Name]],Sum_WH!E:E,Sum_WH!F:F,"",0)</f>
        <v>Pcs</v>
      </c>
      <c r="N1646" s="221">
        <v>1</v>
      </c>
      <c r="O1646" s="221" t="s">
        <v>2915</v>
      </c>
      <c r="P1646" s="221" t="s">
        <v>2916</v>
      </c>
      <c r="Q1646" s="221"/>
      <c r="R1646" s="221"/>
      <c r="S1646" s="221"/>
      <c r="T1646" s="221" t="s">
        <v>3258</v>
      </c>
      <c r="U1646" s="221">
        <v>0</v>
      </c>
      <c r="V1646" s="221" t="s">
        <v>3337</v>
      </c>
      <c r="W1646" s="221" t="s">
        <v>3338</v>
      </c>
      <c r="X1646" s="221"/>
      <c r="Y1646" s="227"/>
      <c r="Z1646" s="227" t="str">
        <f>P1646</f>
        <v>KREBET RW 05</v>
      </c>
      <c r="AA1646" s="276" t="e">
        <f>VLOOKUP(Logfile_S[[#This Row],[DO number]],DO_DB!G:I,3,0)</f>
        <v>#N/A</v>
      </c>
      <c r="AB1646" s="331" t="e">
        <f>EXACT(Logfile_S[[#This Row],[date pick]],Logfile_S[[#This Row],[Date]])</f>
        <v>#N/A</v>
      </c>
      <c r="AC16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47" spans="1:29" s="202" customFormat="1" ht="14.5">
      <c r="A1647" s="220" t="str">
        <f>TEXT(ROW(A1647)-ROW($A$4),"000")</f>
        <v>1643</v>
      </c>
      <c r="B1647" s="221"/>
      <c r="C1647" s="221" t="s">
        <v>49</v>
      </c>
      <c r="D1647" s="221" t="s">
        <v>4397</v>
      </c>
      <c r="E1647" s="221" t="s">
        <v>3295</v>
      </c>
      <c r="F1647" s="221" t="s">
        <v>3299</v>
      </c>
      <c r="G1647" s="222">
        <v>45861</v>
      </c>
      <c r="H1647" s="223">
        <v>0.46805555555555556</v>
      </c>
      <c r="I1647" s="221" t="s">
        <v>4916</v>
      </c>
      <c r="J1647" s="221" t="s">
        <v>3023</v>
      </c>
      <c r="K1647" s="224" t="s">
        <v>3069</v>
      </c>
      <c r="L1647" s="225" t="str">
        <f>VLOOKUP(Logfile_S[[#This Row],[Material Name]],Sheet2!B:C,2,0)</f>
        <v>ZTE1001</v>
      </c>
      <c r="M1647" s="225" t="str">
        <f>_xlfn.XLOOKUP(Logfile_S[[#This Row],[Material Name]],Sum_WH!E:E,Sum_WH!F:F,"",0)</f>
        <v>Pcs</v>
      </c>
      <c r="N1647" s="221">
        <v>10</v>
      </c>
      <c r="O1647" s="221" t="s">
        <v>2915</v>
      </c>
      <c r="P1647" s="221" t="s">
        <v>2916</v>
      </c>
      <c r="Q1647" s="221"/>
      <c r="R1647" s="221"/>
      <c r="S1647" s="221"/>
      <c r="T1647" s="221" t="s">
        <v>3258</v>
      </c>
      <c r="U1647" s="221">
        <v>0</v>
      </c>
      <c r="V1647" s="221" t="s">
        <v>3337</v>
      </c>
      <c r="W1647" s="221" t="s">
        <v>3338</v>
      </c>
      <c r="X1647" s="221"/>
      <c r="Y1647" s="227"/>
      <c r="Z1647" s="227" t="str">
        <f>P1647</f>
        <v>KREBET RW 05</v>
      </c>
      <c r="AA1647" s="276" t="e">
        <f>VLOOKUP(Logfile_S[[#This Row],[DO number]],DO_DB!G:I,3,0)</f>
        <v>#N/A</v>
      </c>
      <c r="AB1647" s="331" t="e">
        <f>EXACT(Logfile_S[[#This Row],[date pick]],Logfile_S[[#This Row],[Date]])</f>
        <v>#N/A</v>
      </c>
      <c r="AC16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48" spans="1:29" s="202" customFormat="1" ht="14.5">
      <c r="A1648" s="220" t="str">
        <f>TEXT(ROW(A1648)-ROW($A$4),"000")</f>
        <v>1644</v>
      </c>
      <c r="B1648" s="221"/>
      <c r="C1648" s="221" t="s">
        <v>49</v>
      </c>
      <c r="D1648" s="221" t="s">
        <v>4402</v>
      </c>
      <c r="E1648" s="221" t="s">
        <v>3295</v>
      </c>
      <c r="F1648" s="221" t="s">
        <v>3299</v>
      </c>
      <c r="G1648" s="222">
        <v>45869</v>
      </c>
      <c r="H1648" s="223">
        <v>0.47291666666666665</v>
      </c>
      <c r="I1648" s="221" t="s">
        <v>4916</v>
      </c>
      <c r="J1648" s="221" t="s">
        <v>3023</v>
      </c>
      <c r="K1648" s="224" t="s">
        <v>3071</v>
      </c>
      <c r="L1648" s="225" t="str">
        <f>VLOOKUP(Logfile_S[[#This Row],[Material Name]],Sheet2!B:C,2,0)</f>
        <v>ZTE1003</v>
      </c>
      <c r="M1648" s="225" t="str">
        <f>_xlfn.XLOOKUP(Logfile_S[[#This Row],[Material Name]],Sum_WH!E:E,Sum_WH!F:F,"",0)</f>
        <v>Pcs</v>
      </c>
      <c r="N1648" s="221">
        <v>2</v>
      </c>
      <c r="O1648" s="221" t="s">
        <v>2915</v>
      </c>
      <c r="P1648" s="221" t="s">
        <v>2916</v>
      </c>
      <c r="Q1648" s="221"/>
      <c r="R1648" s="221"/>
      <c r="S1648" s="221"/>
      <c r="T1648" s="221" t="s">
        <v>3258</v>
      </c>
      <c r="U1648" s="221">
        <v>0</v>
      </c>
      <c r="V1648" s="221" t="s">
        <v>3337</v>
      </c>
      <c r="W1648" s="221" t="s">
        <v>3338</v>
      </c>
      <c r="X1648" s="221"/>
      <c r="Y1648" s="227"/>
      <c r="Z1648" s="227" t="str">
        <f>P1648</f>
        <v>KREBET RW 05</v>
      </c>
      <c r="AA1648" s="276" t="e">
        <f>VLOOKUP(Logfile_S[[#This Row],[DO number]],DO_DB!G:I,3,0)</f>
        <v>#N/A</v>
      </c>
      <c r="AB1648" s="331" t="e">
        <f>EXACT(Logfile_S[[#This Row],[date pick]],Logfile_S[[#This Row],[Date]])</f>
        <v>#N/A</v>
      </c>
      <c r="AC16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49" spans="1:29" s="202" customFormat="1" ht="14.5">
      <c r="A1649" s="220" t="str">
        <f>TEXT(ROW(A1649)-ROW($A$4),"000")</f>
        <v>1645</v>
      </c>
      <c r="B1649" s="221"/>
      <c r="C1649" s="221" t="s">
        <v>49</v>
      </c>
      <c r="D1649" s="221" t="s">
        <v>4416</v>
      </c>
      <c r="E1649" s="221" t="s">
        <v>3295</v>
      </c>
      <c r="F1649" s="221" t="s">
        <v>3299</v>
      </c>
      <c r="G1649" s="222">
        <v>45889</v>
      </c>
      <c r="H1649" s="223">
        <v>0.44097222222222221</v>
      </c>
      <c r="I1649" s="221" t="s">
        <v>4916</v>
      </c>
      <c r="J1649" s="221" t="s">
        <v>3023</v>
      </c>
      <c r="K1649" s="224" t="s">
        <v>3071</v>
      </c>
      <c r="L1649" s="225" t="str">
        <f>VLOOKUP(Logfile_S[[#This Row],[Material Name]],Sheet2!B:C,2,0)</f>
        <v>ZTE1003</v>
      </c>
      <c r="M1649" s="225" t="str">
        <f>_xlfn.XLOOKUP(Logfile_S[[#This Row],[Material Name]],Sum_WH!E:E,Sum_WH!F:F,"",0)</f>
        <v>Pcs</v>
      </c>
      <c r="N1649" s="221">
        <v>1</v>
      </c>
      <c r="O1649" s="221" t="s">
        <v>2915</v>
      </c>
      <c r="P1649" s="221" t="s">
        <v>2916</v>
      </c>
      <c r="Q1649" s="221"/>
      <c r="R1649" s="221"/>
      <c r="S1649" s="221"/>
      <c r="T1649" s="221" t="s">
        <v>3258</v>
      </c>
      <c r="U1649" s="221">
        <v>0</v>
      </c>
      <c r="V1649" s="221" t="s">
        <v>3337</v>
      </c>
      <c r="W1649" s="221" t="s">
        <v>3338</v>
      </c>
      <c r="X1649" s="221" t="s">
        <v>3603</v>
      </c>
      <c r="Y1649" s="227"/>
      <c r="Z1649" s="227" t="str">
        <f>P1649</f>
        <v>KREBET RW 05</v>
      </c>
      <c r="AA1649" s="276" t="e">
        <f>VLOOKUP(Logfile_S[[#This Row],[DO number]],DO_DB!G:I,3,0)</f>
        <v>#N/A</v>
      </c>
      <c r="AB1649" s="331" t="e">
        <f>EXACT(Logfile_S[[#This Row],[date pick]],Logfile_S[[#This Row],[Date]])</f>
        <v>#N/A</v>
      </c>
      <c r="AC16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50" spans="1:29" s="202" customFormat="1" ht="14.5">
      <c r="A1650" s="220" t="str">
        <f>TEXT(ROW(A1650)-ROW($A$4),"000")</f>
        <v>1646</v>
      </c>
      <c r="B1650" s="221"/>
      <c r="C1650" s="221" t="s">
        <v>49</v>
      </c>
      <c r="D1650" s="221" t="s">
        <v>4396</v>
      </c>
      <c r="E1650" s="221" t="s">
        <v>3295</v>
      </c>
      <c r="F1650" s="221" t="s">
        <v>3299</v>
      </c>
      <c r="G1650" s="222">
        <v>45857</v>
      </c>
      <c r="H1650" s="223">
        <v>0.5395833333333333</v>
      </c>
      <c r="I1650" s="221" t="s">
        <v>4916</v>
      </c>
      <c r="J1650" s="221" t="s">
        <v>3023</v>
      </c>
      <c r="K1650" s="224" t="s">
        <v>13</v>
      </c>
      <c r="L1650" s="225" t="str">
        <f>VLOOKUP(Logfile_S[[#This Row],[Material Name]],Sheet2!B:C,2,0)</f>
        <v>ZTE2008</v>
      </c>
      <c r="M1650" s="225" t="str">
        <f>_xlfn.XLOOKUP(Logfile_S[[#This Row],[Material Name]],Sum_WH!E:E,Sum_WH!F:F,"",0)</f>
        <v>Pcs</v>
      </c>
      <c r="N1650" s="221">
        <v>7</v>
      </c>
      <c r="O1650" s="221" t="s">
        <v>2921</v>
      </c>
      <c r="P1650" s="221" t="s">
        <v>2922</v>
      </c>
      <c r="Q1650" s="221"/>
      <c r="R1650" s="221"/>
      <c r="S1650" s="221"/>
      <c r="T1650" s="221" t="s">
        <v>3258</v>
      </c>
      <c r="U1650" s="221">
        <v>0</v>
      </c>
      <c r="V1650" s="221" t="s">
        <v>3337</v>
      </c>
      <c r="W1650" s="221" t="s">
        <v>3338</v>
      </c>
      <c r="X1650" s="221"/>
      <c r="Y1650" s="227"/>
      <c r="Z1650" s="227" t="str">
        <f>P1650</f>
        <v>KREBET RW 04</v>
      </c>
      <c r="AA1650" s="276" t="e">
        <f>VLOOKUP(Logfile_S[[#This Row],[DO number]],DO_DB!G:I,3,0)</f>
        <v>#N/A</v>
      </c>
      <c r="AB1650" s="331" t="e">
        <f>EXACT(Logfile_S[[#This Row],[date pick]],Logfile_S[[#This Row],[Date]])</f>
        <v>#N/A</v>
      </c>
      <c r="AC16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51" spans="1:29" s="202" customFormat="1" ht="14.5">
      <c r="A1651" s="220" t="str">
        <f>TEXT(ROW(A1651)-ROW($A$4),"000")</f>
        <v>1647</v>
      </c>
      <c r="B1651" s="221"/>
      <c r="C1651" s="221" t="s">
        <v>49</v>
      </c>
      <c r="D1651" s="221" t="s">
        <v>4155</v>
      </c>
      <c r="E1651" s="221" t="s">
        <v>3295</v>
      </c>
      <c r="F1651" s="221" t="s">
        <v>3299</v>
      </c>
      <c r="G1651" s="222">
        <v>45513</v>
      </c>
      <c r="H1651" s="223">
        <v>0.42152777777777778</v>
      </c>
      <c r="I1651" s="221" t="s">
        <v>4916</v>
      </c>
      <c r="J1651" s="221" t="s">
        <v>3023</v>
      </c>
      <c r="K1651" s="224" t="s">
        <v>3070</v>
      </c>
      <c r="L1651" s="225" t="str">
        <f>VLOOKUP(Logfile_S[[#This Row],[Material Name]],Sheet2!B:C,2,0)</f>
        <v>ZTE1002</v>
      </c>
      <c r="M1651" s="225" t="str">
        <f>_xlfn.XLOOKUP(Logfile_S[[#This Row],[Material Name]],Sum_WH!E:E,Sum_WH!F:F,"",0)</f>
        <v>Pcs</v>
      </c>
      <c r="N1651" s="221">
        <v>9</v>
      </c>
      <c r="O1651" s="221" t="s">
        <v>1951</v>
      </c>
      <c r="P1651" s="221" t="s">
        <v>3374</v>
      </c>
      <c r="Q1651" s="221"/>
      <c r="R1651" s="221"/>
      <c r="S1651" s="221"/>
      <c r="T1651" s="221" t="s">
        <v>3258</v>
      </c>
      <c r="U1651" s="221" t="s">
        <v>3228</v>
      </c>
      <c r="V1651" s="221" t="s">
        <v>3337</v>
      </c>
      <c r="W1651" s="221" t="s">
        <v>3338</v>
      </c>
      <c r="X1651" s="221"/>
      <c r="Y1651" s="227"/>
      <c r="Z1651" s="227" t="str">
        <f>P1651</f>
        <v>SENGGURUH RW 01 MALANG</v>
      </c>
      <c r="AA1651" s="276" t="e">
        <f>VLOOKUP(Logfile_S[[#This Row],[DO number]],DO_DB!G:I,3,0)</f>
        <v>#N/A</v>
      </c>
      <c r="AB1651" s="331" t="e">
        <f>EXACT(Logfile_S[[#This Row],[date pick]],Logfile_S[[#This Row],[Date]])</f>
        <v>#N/A</v>
      </c>
      <c r="AC16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52" spans="1:29" s="202" customFormat="1" ht="14.5">
      <c r="A1652" s="220" t="str">
        <f>TEXT(ROW(A1652)-ROW($A$4),"000")</f>
        <v>1648</v>
      </c>
      <c r="B1652" s="221"/>
      <c r="C1652" s="221" t="s">
        <v>48</v>
      </c>
      <c r="D1652" s="221" t="s">
        <v>4181</v>
      </c>
      <c r="E1652" s="221" t="s">
        <v>3295</v>
      </c>
      <c r="F1652" s="221" t="s">
        <v>3299</v>
      </c>
      <c r="G1652" s="222">
        <v>45531</v>
      </c>
      <c r="H1652" s="223">
        <v>15.291666666666666</v>
      </c>
      <c r="I1652" s="221" t="s">
        <v>37</v>
      </c>
      <c r="J1652" s="221" t="s">
        <v>3023</v>
      </c>
      <c r="K1652" s="224" t="s">
        <v>3075</v>
      </c>
      <c r="L1652" s="225" t="str">
        <f>VLOOKUP(Logfile_S[[#This Row],[Material Name]],Sheet2!B:C,2,0)</f>
        <v>ZTE2003</v>
      </c>
      <c r="M1652" s="225" t="str">
        <f>_xlfn.XLOOKUP(Logfile_S[[#This Row],[Material Name]],Sum_WH!E:E,Sum_WH!F:F,"",0)</f>
        <v>Meter</v>
      </c>
      <c r="N1652" s="221">
        <v>3000</v>
      </c>
      <c r="O1652" s="221" t="s">
        <v>1951</v>
      </c>
      <c r="P1652" s="221" t="s">
        <v>1952</v>
      </c>
      <c r="Q1652" s="221" t="s">
        <v>2011</v>
      </c>
      <c r="R1652" s="221" t="s">
        <v>2012</v>
      </c>
      <c r="S1652" s="221"/>
      <c r="T1652" s="221"/>
      <c r="U1652" s="221"/>
      <c r="V1652" s="221"/>
      <c r="W1652" s="221"/>
      <c r="X1652" s="221"/>
      <c r="Y1652" s="227" t="s">
        <v>5070</v>
      </c>
      <c r="Z1652" s="227" t="str">
        <f>P1652</f>
        <v>Sengguruh RW 01 Malang</v>
      </c>
      <c r="AA1652" s="276">
        <f>VLOOKUP(Logfile_S[[#This Row],[DO number]],DO_DB!G:I,3,0)</f>
        <v>45531</v>
      </c>
      <c r="AB1652" s="331" t="b">
        <f>EXACT(Logfile_S[[#This Row],[date pick]],Logfile_S[[#This Row],[Date]])</f>
        <v>1</v>
      </c>
      <c r="AC16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48C-2024828-01</v>
      </c>
    </row>
    <row r="1653" spans="1:29" ht="14.5">
      <c r="A1653" s="237" t="str">
        <f>TEXT(ROW(A1653)-ROW($A$4),"000")</f>
        <v>1649</v>
      </c>
      <c r="B1653" s="221"/>
      <c r="C1653" s="221" t="s">
        <v>48</v>
      </c>
      <c r="D1653" s="221" t="s">
        <v>4181</v>
      </c>
      <c r="E1653" s="221" t="s">
        <v>3295</v>
      </c>
      <c r="F1653" s="221" t="s">
        <v>3299</v>
      </c>
      <c r="G1653" s="222">
        <v>45531</v>
      </c>
      <c r="H1653" s="223">
        <v>15.291666666666666</v>
      </c>
      <c r="I1653" s="221" t="s">
        <v>37</v>
      </c>
      <c r="J1653" s="221" t="s">
        <v>3023</v>
      </c>
      <c r="K1653" s="224" t="s">
        <v>3075</v>
      </c>
      <c r="L1653" s="225" t="str">
        <f>VLOOKUP(Logfile_S[[#This Row],[Material Name]],Sheet2!B:C,2,0)</f>
        <v>ZTE2003</v>
      </c>
      <c r="M1653" s="225" t="str">
        <f>_xlfn.XLOOKUP(Logfile_S[[#This Row],[Material Name]],Sum_WH!E:E,Sum_WH!F:F,"",0)</f>
        <v>Meter</v>
      </c>
      <c r="N1653" s="221">
        <v>3000</v>
      </c>
      <c r="O1653" s="221" t="s">
        <v>1951</v>
      </c>
      <c r="P1653" s="221" t="s">
        <v>1952</v>
      </c>
      <c r="Q1653" s="221" t="s">
        <v>2011</v>
      </c>
      <c r="R1653" s="221" t="s">
        <v>2012</v>
      </c>
      <c r="S1653" s="227"/>
      <c r="T1653" s="227"/>
      <c r="U1653" s="227"/>
      <c r="V1653" s="227"/>
      <c r="W1653" s="227"/>
      <c r="X1653" s="227"/>
      <c r="Y1653" s="238" t="s">
        <v>5071</v>
      </c>
      <c r="Z1653" s="227" t="str">
        <f>P1653</f>
        <v>Sengguruh RW 01 Malang</v>
      </c>
      <c r="AA1653" s="276">
        <f>VLOOKUP(Logfile_S[[#This Row],[DO number]],DO_DB!G:I,3,0)</f>
        <v>45531</v>
      </c>
      <c r="AB1653" s="331" t="b">
        <f>EXACT(Logfile_S[[#This Row],[date pick]],Logfile_S[[#This Row],[Date]])</f>
        <v>1</v>
      </c>
      <c r="AC16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48C-2024828-02</v>
      </c>
    </row>
    <row r="1654" spans="1:29" ht="14.5">
      <c r="A1654" s="237" t="str">
        <f>TEXT(ROW(A1654)-ROW($A$4),"000")</f>
        <v>1650</v>
      </c>
      <c r="B1654" s="221"/>
      <c r="C1654" s="221" t="s">
        <v>48</v>
      </c>
      <c r="D1654" s="221" t="s">
        <v>4181</v>
      </c>
      <c r="E1654" s="221" t="s">
        <v>3295</v>
      </c>
      <c r="F1654" s="221" t="s">
        <v>3299</v>
      </c>
      <c r="G1654" s="222">
        <v>45531</v>
      </c>
      <c r="H1654" s="223">
        <v>15.291666666666666</v>
      </c>
      <c r="I1654" s="221" t="s">
        <v>37</v>
      </c>
      <c r="J1654" s="221" t="s">
        <v>3023</v>
      </c>
      <c r="K1654" s="224" t="s">
        <v>3075</v>
      </c>
      <c r="L1654" s="225" t="str">
        <f>VLOOKUP(Logfile_S[[#This Row],[Material Name]],Sheet2!B:C,2,0)</f>
        <v>ZTE2003</v>
      </c>
      <c r="M1654" s="225" t="str">
        <f>_xlfn.XLOOKUP(Logfile_S[[#This Row],[Material Name]],Sum_WH!E:E,Sum_WH!F:F,"",0)</f>
        <v>Meter</v>
      </c>
      <c r="N1654" s="221">
        <v>3000</v>
      </c>
      <c r="O1654" s="221" t="s">
        <v>1951</v>
      </c>
      <c r="P1654" s="221" t="s">
        <v>1952</v>
      </c>
      <c r="Q1654" s="221" t="s">
        <v>2011</v>
      </c>
      <c r="R1654" s="221" t="s">
        <v>2012</v>
      </c>
      <c r="S1654" s="227"/>
      <c r="T1654" s="227"/>
      <c r="U1654" s="227"/>
      <c r="V1654" s="227"/>
      <c r="W1654" s="227"/>
      <c r="X1654" s="227"/>
      <c r="Y1654" s="238" t="s">
        <v>5072</v>
      </c>
      <c r="Z1654" s="227" t="str">
        <f>P1654</f>
        <v>Sengguruh RW 01 Malang</v>
      </c>
      <c r="AA1654" s="276">
        <f>VLOOKUP(Logfile_S[[#This Row],[DO number]],DO_DB!G:I,3,0)</f>
        <v>45531</v>
      </c>
      <c r="AB1654" s="331" t="b">
        <f>EXACT(Logfile_S[[#This Row],[date pick]],Logfile_S[[#This Row],[Date]])</f>
        <v>1</v>
      </c>
      <c r="AC16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48C-2024828-03</v>
      </c>
    </row>
    <row r="1655" spans="1:29" ht="14.5">
      <c r="A1655" s="220" t="str">
        <f>TEXT(ROW(A1655)-ROW($A$4),"000")</f>
        <v>1651</v>
      </c>
      <c r="B1655" s="221"/>
      <c r="C1655" s="221" t="s">
        <v>49</v>
      </c>
      <c r="D1655" s="221" t="s">
        <v>4186</v>
      </c>
      <c r="E1655" s="221" t="s">
        <v>3295</v>
      </c>
      <c r="F1655" s="221" t="s">
        <v>3299</v>
      </c>
      <c r="G1655" s="222">
        <v>45533</v>
      </c>
      <c r="H1655" s="223">
        <v>0.27569444444444446</v>
      </c>
      <c r="I1655" s="221" t="s">
        <v>4916</v>
      </c>
      <c r="J1655" s="221" t="s">
        <v>3023</v>
      </c>
      <c r="K1655" s="224" t="s">
        <v>3069</v>
      </c>
      <c r="L1655" s="225" t="str">
        <f>VLOOKUP(Logfile_S[[#This Row],[Material Name]],Sheet2!B:C,2,0)</f>
        <v>ZTE1001</v>
      </c>
      <c r="M1655" s="225" t="str">
        <f>_xlfn.XLOOKUP(Logfile_S[[#This Row],[Material Name]],Sum_WH!E:E,Sum_WH!F:F,"",0)</f>
        <v>Pcs</v>
      </c>
      <c r="N1655" s="221">
        <v>19</v>
      </c>
      <c r="O1655" s="221" t="s">
        <v>1951</v>
      </c>
      <c r="P1655" s="221" t="s">
        <v>3374</v>
      </c>
      <c r="Q1655" s="221"/>
      <c r="R1655" s="221"/>
      <c r="S1655" s="221"/>
      <c r="T1655" s="221" t="s">
        <v>3258</v>
      </c>
      <c r="U1655" s="221" t="s">
        <v>3228</v>
      </c>
      <c r="V1655" s="221" t="s">
        <v>3337</v>
      </c>
      <c r="W1655" s="221" t="s">
        <v>3338</v>
      </c>
      <c r="X1655" s="221"/>
      <c r="Y1655" s="227"/>
      <c r="Z1655" s="227" t="str">
        <f>P1655</f>
        <v>SENGGURUH RW 01 MALANG</v>
      </c>
      <c r="AA1655" s="276" t="e">
        <f>VLOOKUP(Logfile_S[[#This Row],[DO number]],DO_DB!G:I,3,0)</f>
        <v>#N/A</v>
      </c>
      <c r="AB1655" s="331" t="e">
        <f>EXACT(Logfile_S[[#This Row],[date pick]],Logfile_S[[#This Row],[Date]])</f>
        <v>#N/A</v>
      </c>
      <c r="AC16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56" spans="1:29" ht="14.5">
      <c r="A1656" s="220" t="str">
        <f>TEXT(ROW(A1656)-ROW($A$4),"000")</f>
        <v>1652</v>
      </c>
      <c r="B1656" s="221"/>
      <c r="C1656" s="221" t="s">
        <v>49</v>
      </c>
      <c r="D1656" s="221" t="s">
        <v>4188</v>
      </c>
      <c r="E1656" s="221" t="s">
        <v>3295</v>
      </c>
      <c r="F1656" s="221" t="s">
        <v>3299</v>
      </c>
      <c r="G1656" s="222">
        <v>45534</v>
      </c>
      <c r="H1656" s="223">
        <v>0.27569444444444446</v>
      </c>
      <c r="I1656" s="221" t="s">
        <v>4916</v>
      </c>
      <c r="J1656" s="221" t="s">
        <v>3023</v>
      </c>
      <c r="K1656" s="224" t="s">
        <v>3075</v>
      </c>
      <c r="L1656" s="225" t="str">
        <f>VLOOKUP(Logfile_S[[#This Row],[Material Name]],Sheet2!B:C,2,0)</f>
        <v>ZTE2003</v>
      </c>
      <c r="M1656" s="225" t="str">
        <f>_xlfn.XLOOKUP(Logfile_S[[#This Row],[Material Name]],Sum_WH!E:E,Sum_WH!F:F,"",0)</f>
        <v>Meter</v>
      </c>
      <c r="N1656" s="221">
        <v>3000</v>
      </c>
      <c r="O1656" s="221" t="s">
        <v>1951</v>
      </c>
      <c r="P1656" s="221" t="s">
        <v>3374</v>
      </c>
      <c r="Q1656" s="221"/>
      <c r="R1656" s="221"/>
      <c r="S1656" s="221"/>
      <c r="T1656" s="221" t="s">
        <v>3258</v>
      </c>
      <c r="U1656" s="221" t="s">
        <v>3228</v>
      </c>
      <c r="V1656" s="221" t="s">
        <v>3337</v>
      </c>
      <c r="W1656" s="221" t="s">
        <v>3338</v>
      </c>
      <c r="X1656" s="221" t="s">
        <v>3566</v>
      </c>
      <c r="Y1656" s="227"/>
      <c r="Z1656" s="227" t="str">
        <f>P1656</f>
        <v>SENGGURUH RW 01 MALANG</v>
      </c>
      <c r="AA1656" s="276" t="e">
        <f>VLOOKUP(Logfile_S[[#This Row],[DO number]],DO_DB!G:I,3,0)</f>
        <v>#N/A</v>
      </c>
      <c r="AB1656" s="331" t="e">
        <f>EXACT(Logfile_S[[#This Row],[date pick]],Logfile_S[[#This Row],[Date]])</f>
        <v>#N/A</v>
      </c>
      <c r="AC16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57" spans="1:29" ht="14.5">
      <c r="A1657" s="220" t="str">
        <f>TEXT(ROW(A1657)-ROW($A$4),"000")</f>
        <v>1653</v>
      </c>
      <c r="B1657" s="221"/>
      <c r="C1657" s="221" t="s">
        <v>49</v>
      </c>
      <c r="D1657" s="221" t="s">
        <v>4188</v>
      </c>
      <c r="E1657" s="221" t="s">
        <v>3295</v>
      </c>
      <c r="F1657" s="221" t="s">
        <v>3299</v>
      </c>
      <c r="G1657" s="222">
        <v>45534</v>
      </c>
      <c r="H1657" s="223">
        <v>0.27569444444444446</v>
      </c>
      <c r="I1657" s="221" t="s">
        <v>4916</v>
      </c>
      <c r="J1657" s="221" t="s">
        <v>3023</v>
      </c>
      <c r="K1657" s="224" t="s">
        <v>3069</v>
      </c>
      <c r="L1657" s="225" t="str">
        <f>VLOOKUP(Logfile_S[[#This Row],[Material Name]],Sheet2!B:C,2,0)</f>
        <v>ZTE1001</v>
      </c>
      <c r="M1657" s="225" t="str">
        <f>_xlfn.XLOOKUP(Logfile_S[[#This Row],[Material Name]],Sum_WH!E:E,Sum_WH!F:F,"",0)</f>
        <v>Pcs</v>
      </c>
      <c r="N1657" s="221">
        <v>6</v>
      </c>
      <c r="O1657" s="221" t="s">
        <v>1951</v>
      </c>
      <c r="P1657" s="221" t="s">
        <v>3374</v>
      </c>
      <c r="Q1657" s="221"/>
      <c r="R1657" s="221"/>
      <c r="S1657" s="221"/>
      <c r="T1657" s="221" t="s">
        <v>3258</v>
      </c>
      <c r="U1657" s="221" t="s">
        <v>3228</v>
      </c>
      <c r="V1657" s="221" t="s">
        <v>3337</v>
      </c>
      <c r="W1657" s="221" t="s">
        <v>3338</v>
      </c>
      <c r="X1657" s="221"/>
      <c r="Y1657" s="227"/>
      <c r="Z1657" s="227" t="str">
        <f>P1657</f>
        <v>SENGGURUH RW 01 MALANG</v>
      </c>
      <c r="AA1657" s="276" t="e">
        <f>VLOOKUP(Logfile_S[[#This Row],[DO number]],DO_DB!G:I,3,0)</f>
        <v>#N/A</v>
      </c>
      <c r="AB1657" s="331" t="e">
        <f>EXACT(Logfile_S[[#This Row],[date pick]],Logfile_S[[#This Row],[Date]])</f>
        <v>#N/A</v>
      </c>
      <c r="AC16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58" spans="1:29" ht="14.5">
      <c r="A1658" s="220" t="str">
        <f>TEXT(ROW(A1658)-ROW($A$4),"000")</f>
        <v>1654</v>
      </c>
      <c r="B1658" s="221"/>
      <c r="C1658" s="221" t="s">
        <v>49</v>
      </c>
      <c r="D1658" s="221" t="s">
        <v>4188</v>
      </c>
      <c r="E1658" s="221" t="s">
        <v>3295</v>
      </c>
      <c r="F1658" s="221" t="s">
        <v>3299</v>
      </c>
      <c r="G1658" s="222">
        <v>45534</v>
      </c>
      <c r="H1658" s="223">
        <v>0.27569444444444446</v>
      </c>
      <c r="I1658" s="221" t="s">
        <v>4916</v>
      </c>
      <c r="J1658" s="221" t="s">
        <v>3023</v>
      </c>
      <c r="K1658" s="224" t="s">
        <v>3071</v>
      </c>
      <c r="L1658" s="225" t="str">
        <f>VLOOKUP(Logfile_S[[#This Row],[Material Name]],Sheet2!B:C,2,0)</f>
        <v>ZTE1003</v>
      </c>
      <c r="M1658" s="225" t="str">
        <f>_xlfn.XLOOKUP(Logfile_S[[#This Row],[Material Name]],Sum_WH!E:E,Sum_WH!F:F,"",0)</f>
        <v>Pcs</v>
      </c>
      <c r="N1658" s="221">
        <v>2</v>
      </c>
      <c r="O1658" s="221" t="s">
        <v>1951</v>
      </c>
      <c r="P1658" s="221" t="s">
        <v>3374</v>
      </c>
      <c r="Q1658" s="221"/>
      <c r="R1658" s="221"/>
      <c r="S1658" s="221"/>
      <c r="T1658" s="221" t="s">
        <v>3258</v>
      </c>
      <c r="U1658" s="221" t="s">
        <v>3228</v>
      </c>
      <c r="V1658" s="221" t="s">
        <v>3337</v>
      </c>
      <c r="W1658" s="221" t="s">
        <v>3338</v>
      </c>
      <c r="X1658" s="221"/>
      <c r="Y1658" s="227"/>
      <c r="Z1658" s="227" t="str">
        <f>P1658</f>
        <v>SENGGURUH RW 01 MALANG</v>
      </c>
      <c r="AA1658" s="276" t="e">
        <f>VLOOKUP(Logfile_S[[#This Row],[DO number]],DO_DB!G:I,3,0)</f>
        <v>#N/A</v>
      </c>
      <c r="AB1658" s="331" t="e">
        <f>EXACT(Logfile_S[[#This Row],[date pick]],Logfile_S[[#This Row],[Date]])</f>
        <v>#N/A</v>
      </c>
      <c r="AC16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59" spans="1:29" ht="14.5">
      <c r="A1659" s="220" t="str">
        <f>TEXT(ROW(A1659)-ROW($A$4),"000")</f>
        <v>1655</v>
      </c>
      <c r="B1659" s="221"/>
      <c r="C1659" s="221" t="s">
        <v>49</v>
      </c>
      <c r="D1659" s="221" t="s">
        <v>4195</v>
      </c>
      <c r="E1659" s="221" t="s">
        <v>3295</v>
      </c>
      <c r="F1659" s="221" t="s">
        <v>3299</v>
      </c>
      <c r="G1659" s="222">
        <v>45535</v>
      </c>
      <c r="H1659" s="223">
        <v>0.51180555555555551</v>
      </c>
      <c r="I1659" s="221" t="s">
        <v>4916</v>
      </c>
      <c r="J1659" s="221" t="s">
        <v>3023</v>
      </c>
      <c r="K1659" s="224" t="s">
        <v>3073</v>
      </c>
      <c r="L1659" s="225" t="str">
        <f>VLOOKUP(Logfile_S[[#This Row],[Material Name]],Sheet2!B:C,2,0)</f>
        <v>ZTE2001</v>
      </c>
      <c r="M1659" s="225" t="str">
        <f>_xlfn.XLOOKUP(Logfile_S[[#This Row],[Material Name]],Sum_WH!E:E,Sum_WH!F:F,"",0)</f>
        <v>Meter</v>
      </c>
      <c r="N1659" s="221">
        <v>3000</v>
      </c>
      <c r="O1659" s="221" t="s">
        <v>1951</v>
      </c>
      <c r="P1659" s="221" t="s">
        <v>3374</v>
      </c>
      <c r="Q1659" s="221"/>
      <c r="R1659" s="221"/>
      <c r="S1659" s="221"/>
      <c r="T1659" s="221" t="s">
        <v>3258</v>
      </c>
      <c r="U1659" s="221" t="s">
        <v>3228</v>
      </c>
      <c r="V1659" s="221" t="s">
        <v>3337</v>
      </c>
      <c r="W1659" s="221" t="s">
        <v>3338</v>
      </c>
      <c r="X1659" s="221" t="s">
        <v>3511</v>
      </c>
      <c r="Y1659" s="236" t="s">
        <v>4951</v>
      </c>
      <c r="Z1659" s="227" t="str">
        <f>P1659</f>
        <v>SENGGURUH RW 01 MALANG</v>
      </c>
      <c r="AA1659" s="276" t="e">
        <f>VLOOKUP(Logfile_S[[#This Row],[DO number]],DO_DB!G:I,3,0)</f>
        <v>#N/A</v>
      </c>
      <c r="AB1659" s="331" t="e">
        <f>EXACT(Logfile_S[[#This Row],[date pick]],Logfile_S[[#This Row],[Date]])</f>
        <v>#N/A</v>
      </c>
      <c r="AC16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24C-2024827-01</v>
      </c>
    </row>
    <row r="1660" spans="1:29" ht="14.5">
      <c r="A1660" s="220" t="str">
        <f>TEXT(ROW(A1660)-ROW($A$4),"000")</f>
        <v>1656</v>
      </c>
      <c r="B1660" s="221"/>
      <c r="C1660" s="221" t="s">
        <v>49</v>
      </c>
      <c r="D1660" s="221" t="s">
        <v>4192</v>
      </c>
      <c r="E1660" s="221" t="s">
        <v>3295</v>
      </c>
      <c r="F1660" s="221" t="s">
        <v>3299</v>
      </c>
      <c r="G1660" s="222">
        <v>45535</v>
      </c>
      <c r="H1660" s="223">
        <v>0.51180555555555551</v>
      </c>
      <c r="I1660" s="221" t="s">
        <v>4916</v>
      </c>
      <c r="J1660" s="221" t="s">
        <v>3023</v>
      </c>
      <c r="K1660" s="224" t="s">
        <v>3069</v>
      </c>
      <c r="L1660" s="225" t="str">
        <f>VLOOKUP(Logfile_S[[#This Row],[Material Name]],Sheet2!B:C,2,0)</f>
        <v>ZTE1001</v>
      </c>
      <c r="M1660" s="225" t="str">
        <f>_xlfn.XLOOKUP(Logfile_S[[#This Row],[Material Name]],Sum_WH!E:E,Sum_WH!F:F,"",0)</f>
        <v>Pcs</v>
      </c>
      <c r="N1660" s="221">
        <v>12</v>
      </c>
      <c r="O1660" s="221" t="s">
        <v>1951</v>
      </c>
      <c r="P1660" s="221" t="s">
        <v>3374</v>
      </c>
      <c r="Q1660" s="221"/>
      <c r="R1660" s="221"/>
      <c r="S1660" s="221"/>
      <c r="T1660" s="221" t="s">
        <v>3258</v>
      </c>
      <c r="U1660" s="221" t="s">
        <v>3228</v>
      </c>
      <c r="V1660" s="221" t="s">
        <v>3337</v>
      </c>
      <c r="W1660" s="221" t="s">
        <v>3338</v>
      </c>
      <c r="X1660" s="221"/>
      <c r="Y1660" s="227"/>
      <c r="Z1660" s="227" t="str">
        <f>P1660</f>
        <v>SENGGURUH RW 01 MALANG</v>
      </c>
      <c r="AA1660" s="276" t="e">
        <f>VLOOKUP(Logfile_S[[#This Row],[DO number]],DO_DB!G:I,3,0)</f>
        <v>#N/A</v>
      </c>
      <c r="AB1660" s="331" t="e">
        <f>EXACT(Logfile_S[[#This Row],[date pick]],Logfile_S[[#This Row],[Date]])</f>
        <v>#N/A</v>
      </c>
      <c r="AC16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61" spans="1:29" ht="14.5">
      <c r="A1661" s="220" t="str">
        <f>TEXT(ROW(A1661)-ROW($A$4),"000")</f>
        <v>1657</v>
      </c>
      <c r="B1661" s="221"/>
      <c r="C1661" s="221" t="s">
        <v>49</v>
      </c>
      <c r="D1661" s="221" t="s">
        <v>4197</v>
      </c>
      <c r="E1661" s="221" t="s">
        <v>3295</v>
      </c>
      <c r="F1661" s="221" t="s">
        <v>3299</v>
      </c>
      <c r="G1661" s="222">
        <v>45536</v>
      </c>
      <c r="H1661" s="223">
        <v>0.59513888888888888</v>
      </c>
      <c r="I1661" s="221" t="s">
        <v>4916</v>
      </c>
      <c r="J1661" s="221" t="s">
        <v>3023</v>
      </c>
      <c r="K1661" s="224" t="s">
        <v>3075</v>
      </c>
      <c r="L1661" s="225" t="str">
        <f>VLOOKUP(Logfile_S[[#This Row],[Material Name]],Sheet2!B:C,2,0)</f>
        <v>ZTE2003</v>
      </c>
      <c r="M1661" s="225" t="str">
        <f>_xlfn.XLOOKUP(Logfile_S[[#This Row],[Material Name]],Sum_WH!E:E,Sum_WH!F:F,"",0)</f>
        <v>Meter</v>
      </c>
      <c r="N1661" s="221">
        <v>3000</v>
      </c>
      <c r="O1661" s="221" t="s">
        <v>1951</v>
      </c>
      <c r="P1661" s="221" t="s">
        <v>3374</v>
      </c>
      <c r="Q1661" s="221"/>
      <c r="R1661" s="221"/>
      <c r="S1661" s="221"/>
      <c r="T1661" s="221" t="s">
        <v>3258</v>
      </c>
      <c r="U1661" s="221" t="s">
        <v>3228</v>
      </c>
      <c r="V1661" s="221" t="s">
        <v>3337</v>
      </c>
      <c r="W1661" s="221" t="s">
        <v>3338</v>
      </c>
      <c r="X1661" s="221" t="s">
        <v>3567</v>
      </c>
      <c r="Y1661" s="227"/>
      <c r="Z1661" s="227" t="str">
        <f>P1661</f>
        <v>SENGGURUH RW 01 MALANG</v>
      </c>
      <c r="AA1661" s="276" t="e">
        <f>VLOOKUP(Logfile_S[[#This Row],[DO number]],DO_DB!G:I,3,0)</f>
        <v>#N/A</v>
      </c>
      <c r="AB1661" s="331" t="e">
        <f>EXACT(Logfile_S[[#This Row],[date pick]],Logfile_S[[#This Row],[Date]])</f>
        <v>#N/A</v>
      </c>
      <c r="AC16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62" spans="1:29" ht="14.5">
      <c r="A1662" s="220" t="str">
        <f>TEXT(ROW(A1662)-ROW($A$4),"000")</f>
        <v>1658</v>
      </c>
      <c r="B1662" s="221"/>
      <c r="C1662" s="221" t="s">
        <v>49</v>
      </c>
      <c r="D1662" s="221" t="s">
        <v>4196</v>
      </c>
      <c r="E1662" s="221" t="s">
        <v>3295</v>
      </c>
      <c r="F1662" s="221" t="s">
        <v>3299</v>
      </c>
      <c r="G1662" s="222">
        <v>45536</v>
      </c>
      <c r="H1662" s="223">
        <v>8.1944444444444445E-2</v>
      </c>
      <c r="I1662" s="221" t="s">
        <v>4916</v>
      </c>
      <c r="J1662" s="221" t="s">
        <v>3023</v>
      </c>
      <c r="K1662" s="224" t="s">
        <v>15</v>
      </c>
      <c r="L1662" s="225" t="str">
        <f>VLOOKUP(Logfile_S[[#This Row],[Material Name]],Sheet2!B:C,2,0)</f>
        <v>ZTE2006</v>
      </c>
      <c r="M1662" s="225" t="str">
        <f>_xlfn.XLOOKUP(Logfile_S[[#This Row],[Material Name]],Sum_WH!E:E,Sum_WH!F:F,"",0)</f>
        <v>Pcs</v>
      </c>
      <c r="N1662" s="221">
        <v>1</v>
      </c>
      <c r="O1662" s="221" t="s">
        <v>1951</v>
      </c>
      <c r="P1662" s="221" t="s">
        <v>3374</v>
      </c>
      <c r="Q1662" s="221"/>
      <c r="R1662" s="221"/>
      <c r="S1662" s="221"/>
      <c r="T1662" s="221" t="s">
        <v>3231</v>
      </c>
      <c r="U1662" s="221">
        <v>0</v>
      </c>
      <c r="V1662" s="221" t="s">
        <v>3232</v>
      </c>
      <c r="W1662" s="221" t="s">
        <v>3254</v>
      </c>
      <c r="X1662" s="221"/>
      <c r="Y1662" s="227"/>
      <c r="Z1662" s="227" t="str">
        <f>P1662</f>
        <v>SENGGURUH RW 01 MALANG</v>
      </c>
      <c r="AA1662" s="276" t="e">
        <f>VLOOKUP(Logfile_S[[#This Row],[DO number]],DO_DB!G:I,3,0)</f>
        <v>#N/A</v>
      </c>
      <c r="AB1662" s="331" t="e">
        <f>EXACT(Logfile_S[[#This Row],[date pick]],Logfile_S[[#This Row],[Date]])</f>
        <v>#N/A</v>
      </c>
      <c r="AC16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63" spans="1:29" ht="14.5">
      <c r="A1663" s="220" t="str">
        <f>TEXT(ROW(A1663)-ROW($A$4),"000")</f>
        <v>1659</v>
      </c>
      <c r="B1663" s="221"/>
      <c r="C1663" s="221" t="s">
        <v>49</v>
      </c>
      <c r="D1663" s="221" t="s">
        <v>4196</v>
      </c>
      <c r="E1663" s="221" t="s">
        <v>3295</v>
      </c>
      <c r="F1663" s="221" t="s">
        <v>3299</v>
      </c>
      <c r="G1663" s="222">
        <v>45536</v>
      </c>
      <c r="H1663" s="223">
        <v>8.1944444444444445E-2</v>
      </c>
      <c r="I1663" s="221" t="s">
        <v>4916</v>
      </c>
      <c r="J1663" s="221" t="s">
        <v>3023</v>
      </c>
      <c r="K1663" s="224" t="s">
        <v>3072</v>
      </c>
      <c r="L1663" s="225" t="str">
        <f>VLOOKUP(Logfile_S[[#This Row],[Material Name]],Sheet2!B:C,2,0)</f>
        <v>ZTE1004</v>
      </c>
      <c r="M1663" s="225" t="str">
        <f>_xlfn.XLOOKUP(Logfile_S[[#This Row],[Material Name]],Sum_WH!E:E,Sum_WH!F:F,"",0)</f>
        <v>Pcs</v>
      </c>
      <c r="N1663" s="221">
        <v>1</v>
      </c>
      <c r="O1663" s="221" t="s">
        <v>1951</v>
      </c>
      <c r="P1663" s="221" t="s">
        <v>3374</v>
      </c>
      <c r="Q1663" s="221"/>
      <c r="R1663" s="221"/>
      <c r="S1663" s="221"/>
      <c r="T1663" s="221" t="s">
        <v>3231</v>
      </c>
      <c r="U1663" s="221">
        <v>0</v>
      </c>
      <c r="V1663" s="221" t="s">
        <v>3232</v>
      </c>
      <c r="W1663" s="221" t="s">
        <v>3254</v>
      </c>
      <c r="X1663" s="221"/>
      <c r="Y1663" s="227"/>
      <c r="Z1663" s="227" t="str">
        <f>P1663</f>
        <v>SENGGURUH RW 01 MALANG</v>
      </c>
      <c r="AA1663" s="276" t="e">
        <f>VLOOKUP(Logfile_S[[#This Row],[DO number]],DO_DB!G:I,3,0)</f>
        <v>#N/A</v>
      </c>
      <c r="AB1663" s="331" t="e">
        <f>EXACT(Logfile_S[[#This Row],[date pick]],Logfile_S[[#This Row],[Date]])</f>
        <v>#N/A</v>
      </c>
      <c r="AC16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64" spans="1:29" ht="14.5">
      <c r="A1664" s="220" t="str">
        <f>TEXT(ROW(A1664)-ROW($A$4),"000")</f>
        <v>1660</v>
      </c>
      <c r="B1664" s="221"/>
      <c r="C1664" s="221" t="s">
        <v>49</v>
      </c>
      <c r="D1664" s="221" t="s">
        <v>4197</v>
      </c>
      <c r="E1664" s="221" t="s">
        <v>3295</v>
      </c>
      <c r="F1664" s="221" t="s">
        <v>3299</v>
      </c>
      <c r="G1664" s="222">
        <v>45536</v>
      </c>
      <c r="H1664" s="223">
        <v>0.59513888888888888</v>
      </c>
      <c r="I1664" s="221" t="s">
        <v>4916</v>
      </c>
      <c r="J1664" s="221" t="s">
        <v>3023</v>
      </c>
      <c r="K1664" s="224" t="s">
        <v>3069</v>
      </c>
      <c r="L1664" s="225" t="str">
        <f>VLOOKUP(Logfile_S[[#This Row],[Material Name]],Sheet2!B:C,2,0)</f>
        <v>ZTE1001</v>
      </c>
      <c r="M1664" s="225" t="str">
        <f>_xlfn.XLOOKUP(Logfile_S[[#This Row],[Material Name]],Sum_WH!E:E,Sum_WH!F:F,"",0)</f>
        <v>Pcs</v>
      </c>
      <c r="N1664" s="221">
        <v>12</v>
      </c>
      <c r="O1664" s="221" t="s">
        <v>1951</v>
      </c>
      <c r="P1664" s="221" t="s">
        <v>3374</v>
      </c>
      <c r="Q1664" s="221"/>
      <c r="R1664" s="221"/>
      <c r="S1664" s="221"/>
      <c r="T1664" s="221" t="s">
        <v>3258</v>
      </c>
      <c r="U1664" s="221" t="s">
        <v>3228</v>
      </c>
      <c r="V1664" s="221" t="s">
        <v>3337</v>
      </c>
      <c r="W1664" s="221" t="s">
        <v>3338</v>
      </c>
      <c r="X1664" s="221"/>
      <c r="Y1664" s="227"/>
      <c r="Z1664" s="227" t="str">
        <f>P1664</f>
        <v>SENGGURUH RW 01 MALANG</v>
      </c>
      <c r="AA1664" s="276" t="e">
        <f>VLOOKUP(Logfile_S[[#This Row],[DO number]],DO_DB!G:I,3,0)</f>
        <v>#N/A</v>
      </c>
      <c r="AB1664" s="331" t="e">
        <f>EXACT(Logfile_S[[#This Row],[date pick]],Logfile_S[[#This Row],[Date]])</f>
        <v>#N/A</v>
      </c>
      <c r="AC16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65" spans="1:29" ht="14.5">
      <c r="A1665" s="220" t="str">
        <f>TEXT(ROW(A1665)-ROW($A$4),"000")</f>
        <v>1661</v>
      </c>
      <c r="B1665" s="221"/>
      <c r="C1665" s="221" t="s">
        <v>49</v>
      </c>
      <c r="D1665" s="221" t="s">
        <v>4199</v>
      </c>
      <c r="E1665" s="221" t="s">
        <v>3295</v>
      </c>
      <c r="F1665" s="221" t="s">
        <v>3299</v>
      </c>
      <c r="G1665" s="222">
        <v>45537</v>
      </c>
      <c r="H1665" s="223">
        <v>0.59513888888888888</v>
      </c>
      <c r="I1665" s="221" t="s">
        <v>4916</v>
      </c>
      <c r="J1665" s="221" t="s">
        <v>3023</v>
      </c>
      <c r="K1665" s="224" t="s">
        <v>3069</v>
      </c>
      <c r="L1665" s="225" t="str">
        <f>VLOOKUP(Logfile_S[[#This Row],[Material Name]],Sheet2!B:C,2,0)</f>
        <v>ZTE1001</v>
      </c>
      <c r="M1665" s="225" t="str">
        <f>_xlfn.XLOOKUP(Logfile_S[[#This Row],[Material Name]],Sum_WH!E:E,Sum_WH!F:F,"",0)</f>
        <v>Pcs</v>
      </c>
      <c r="N1665" s="221">
        <v>12</v>
      </c>
      <c r="O1665" s="221" t="s">
        <v>1951</v>
      </c>
      <c r="P1665" s="221" t="s">
        <v>3374</v>
      </c>
      <c r="Q1665" s="221"/>
      <c r="R1665" s="221"/>
      <c r="S1665" s="221"/>
      <c r="T1665" s="221" t="s">
        <v>3258</v>
      </c>
      <c r="U1665" s="221" t="s">
        <v>3228</v>
      </c>
      <c r="V1665" s="221" t="s">
        <v>3337</v>
      </c>
      <c r="W1665" s="221" t="s">
        <v>3338</v>
      </c>
      <c r="X1665" s="221"/>
      <c r="Y1665" s="227"/>
      <c r="Z1665" s="227" t="str">
        <f>P1665</f>
        <v>SENGGURUH RW 01 MALANG</v>
      </c>
      <c r="AA1665" s="276" t="e">
        <f>VLOOKUP(Logfile_S[[#This Row],[DO number]],DO_DB!G:I,3,0)</f>
        <v>#N/A</v>
      </c>
      <c r="AB1665" s="331" t="e">
        <f>EXACT(Logfile_S[[#This Row],[date pick]],Logfile_S[[#This Row],[Date]])</f>
        <v>#N/A</v>
      </c>
      <c r="AC16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66" spans="1:29" ht="14.5">
      <c r="A1666" s="220" t="str">
        <f>TEXT(ROW(A1666)-ROW($A$4),"000")</f>
        <v>1662</v>
      </c>
      <c r="B1666" s="221"/>
      <c r="C1666" s="221" t="s">
        <v>49</v>
      </c>
      <c r="D1666" s="221" t="s">
        <v>4200</v>
      </c>
      <c r="E1666" s="221" t="s">
        <v>3295</v>
      </c>
      <c r="F1666" s="221" t="s">
        <v>3299</v>
      </c>
      <c r="G1666" s="222">
        <v>45538</v>
      </c>
      <c r="H1666" s="223">
        <v>0.35902777777777778</v>
      </c>
      <c r="I1666" s="221" t="s">
        <v>4916</v>
      </c>
      <c r="J1666" s="221" t="s">
        <v>3023</v>
      </c>
      <c r="K1666" s="224" t="s">
        <v>3069</v>
      </c>
      <c r="L1666" s="225" t="str">
        <f>VLOOKUP(Logfile_S[[#This Row],[Material Name]],Sheet2!B:C,2,0)</f>
        <v>ZTE1001</v>
      </c>
      <c r="M1666" s="225" t="str">
        <f>_xlfn.XLOOKUP(Logfile_S[[#This Row],[Material Name]],Sum_WH!E:E,Sum_WH!F:F,"",0)</f>
        <v>Pcs</v>
      </c>
      <c r="N1666" s="221">
        <v>22</v>
      </c>
      <c r="O1666" s="221" t="s">
        <v>1951</v>
      </c>
      <c r="P1666" s="221" t="s">
        <v>3374</v>
      </c>
      <c r="Q1666" s="221"/>
      <c r="R1666" s="221"/>
      <c r="S1666" s="221"/>
      <c r="T1666" s="221" t="s">
        <v>3258</v>
      </c>
      <c r="U1666" s="221" t="s">
        <v>3228</v>
      </c>
      <c r="V1666" s="221" t="s">
        <v>3337</v>
      </c>
      <c r="W1666" s="221" t="s">
        <v>3338</v>
      </c>
      <c r="X1666" s="221"/>
      <c r="Y1666" s="227"/>
      <c r="Z1666" s="227" t="str">
        <f>P1666</f>
        <v>SENGGURUH RW 01 MALANG</v>
      </c>
      <c r="AA1666" s="276" t="e">
        <f>VLOOKUP(Logfile_S[[#This Row],[DO number]],DO_DB!G:I,3,0)</f>
        <v>#N/A</v>
      </c>
      <c r="AB1666" s="331" t="e">
        <f>EXACT(Logfile_S[[#This Row],[date pick]],Logfile_S[[#This Row],[Date]])</f>
        <v>#N/A</v>
      </c>
      <c r="AC16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67" spans="1:29" ht="14.5">
      <c r="A1667" s="220" t="str">
        <f>TEXT(ROW(A1667)-ROW($A$4),"000")</f>
        <v>1663</v>
      </c>
      <c r="B1667" s="221"/>
      <c r="C1667" s="221" t="s">
        <v>49</v>
      </c>
      <c r="D1667" s="221" t="s">
        <v>4203</v>
      </c>
      <c r="E1667" s="221" t="s">
        <v>3295</v>
      </c>
      <c r="F1667" s="221" t="s">
        <v>3299</v>
      </c>
      <c r="G1667" s="222">
        <v>45539</v>
      </c>
      <c r="H1667" s="223">
        <v>0.40694444444444444</v>
      </c>
      <c r="I1667" s="221" t="s">
        <v>4916</v>
      </c>
      <c r="J1667" s="221" t="s">
        <v>3024</v>
      </c>
      <c r="K1667" s="224" t="s">
        <v>3087</v>
      </c>
      <c r="L1667" s="225" t="str">
        <f>VLOOKUP(Logfile_S[[#This Row],[Material Name]],Sheet2!B:C,2,0)</f>
        <v>GCI1001</v>
      </c>
      <c r="M1667" s="225" t="str">
        <f>_xlfn.XLOOKUP(Logfile_S[[#This Row],[Material Name]],Sum_WH!E:E,Sum_WH!F:F,"",0)</f>
        <v>Pcs</v>
      </c>
      <c r="N1667" s="221">
        <v>22</v>
      </c>
      <c r="O1667" s="221" t="s">
        <v>1951</v>
      </c>
      <c r="P1667" s="221" t="s">
        <v>3374</v>
      </c>
      <c r="Q1667" s="221"/>
      <c r="R1667" s="221"/>
      <c r="S1667" s="221"/>
      <c r="T1667" s="221" t="s">
        <v>3258</v>
      </c>
      <c r="U1667" s="221" t="s">
        <v>3228</v>
      </c>
      <c r="V1667" s="221" t="s">
        <v>3337</v>
      </c>
      <c r="W1667" s="221" t="s">
        <v>3338</v>
      </c>
      <c r="X1667" s="221"/>
      <c r="Y1667" s="227"/>
      <c r="Z1667" s="227" t="str">
        <f>P1667</f>
        <v>SENGGURUH RW 01 MALANG</v>
      </c>
      <c r="AA1667" s="276" t="e">
        <f>VLOOKUP(Logfile_S[[#This Row],[DO number]],DO_DB!G:I,3,0)</f>
        <v>#N/A</v>
      </c>
      <c r="AB1667" s="331" t="e">
        <f>EXACT(Logfile_S[[#This Row],[date pick]],Logfile_S[[#This Row],[Date]])</f>
        <v>#N/A</v>
      </c>
      <c r="AC16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68" spans="1:29" ht="14.5">
      <c r="A1668" s="220" t="str">
        <f>TEXT(ROW(A1668)-ROW($A$4),"000")</f>
        <v>1664</v>
      </c>
      <c r="B1668" s="221"/>
      <c r="C1668" s="221" t="s">
        <v>49</v>
      </c>
      <c r="D1668" s="221" t="s">
        <v>4202</v>
      </c>
      <c r="E1668" s="221" t="s">
        <v>3295</v>
      </c>
      <c r="F1668" s="221" t="s">
        <v>3299</v>
      </c>
      <c r="G1668" s="222">
        <v>45539</v>
      </c>
      <c r="H1668" s="223">
        <v>8.1944444444444445E-2</v>
      </c>
      <c r="I1668" s="221" t="s">
        <v>4916</v>
      </c>
      <c r="J1668" s="221" t="s">
        <v>3023</v>
      </c>
      <c r="K1668" s="224" t="s">
        <v>13</v>
      </c>
      <c r="L1668" s="225" t="str">
        <f>VLOOKUP(Logfile_S[[#This Row],[Material Name]],Sheet2!B:C,2,0)</f>
        <v>ZTE2008</v>
      </c>
      <c r="M1668" s="225" t="str">
        <f>_xlfn.XLOOKUP(Logfile_S[[#This Row],[Material Name]],Sum_WH!E:E,Sum_WH!F:F,"",0)</f>
        <v>Pcs</v>
      </c>
      <c r="N1668" s="221">
        <v>26</v>
      </c>
      <c r="O1668" s="221" t="s">
        <v>1951</v>
      </c>
      <c r="P1668" s="221" t="s">
        <v>3374</v>
      </c>
      <c r="Q1668" s="221"/>
      <c r="R1668" s="221"/>
      <c r="S1668" s="221"/>
      <c r="T1668" s="221" t="s">
        <v>3231</v>
      </c>
      <c r="U1668" s="221">
        <v>0</v>
      </c>
      <c r="V1668" s="221" t="s">
        <v>3232</v>
      </c>
      <c r="W1668" s="221" t="s">
        <v>3254</v>
      </c>
      <c r="X1668" s="221"/>
      <c r="Y1668" s="227"/>
      <c r="Z1668" s="227" t="str">
        <f>P1668</f>
        <v>SENGGURUH RW 01 MALANG</v>
      </c>
      <c r="AA1668" s="276" t="e">
        <f>VLOOKUP(Logfile_S[[#This Row],[DO number]],DO_DB!G:I,3,0)</f>
        <v>#N/A</v>
      </c>
      <c r="AB1668" s="331" t="e">
        <f>EXACT(Logfile_S[[#This Row],[date pick]],Logfile_S[[#This Row],[Date]])</f>
        <v>#N/A</v>
      </c>
      <c r="AC16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69" spans="1:29" ht="14.5">
      <c r="A1669" s="220" t="str">
        <f>TEXT(ROW(A1669)-ROW($A$4),"000")</f>
        <v>1665</v>
      </c>
      <c r="B1669" s="221"/>
      <c r="C1669" s="221" t="s">
        <v>49</v>
      </c>
      <c r="D1669" s="221" t="s">
        <v>4203</v>
      </c>
      <c r="E1669" s="221" t="s">
        <v>3295</v>
      </c>
      <c r="F1669" s="221" t="s">
        <v>3299</v>
      </c>
      <c r="G1669" s="222">
        <v>45539</v>
      </c>
      <c r="H1669" s="223">
        <v>0.40694444444444444</v>
      </c>
      <c r="I1669" s="221" t="s">
        <v>4916</v>
      </c>
      <c r="J1669" s="221" t="s">
        <v>3023</v>
      </c>
      <c r="K1669" s="224" t="s">
        <v>3069</v>
      </c>
      <c r="L1669" s="225" t="str">
        <f>VLOOKUP(Logfile_S[[#This Row],[Material Name]],Sheet2!B:C,2,0)</f>
        <v>ZTE1001</v>
      </c>
      <c r="M1669" s="225" t="str">
        <f>_xlfn.XLOOKUP(Logfile_S[[#This Row],[Material Name]],Sum_WH!E:E,Sum_WH!F:F,"",0)</f>
        <v>Pcs</v>
      </c>
      <c r="N1669" s="221">
        <v>38</v>
      </c>
      <c r="O1669" s="221" t="s">
        <v>1951</v>
      </c>
      <c r="P1669" s="221" t="s">
        <v>3374</v>
      </c>
      <c r="Q1669" s="221"/>
      <c r="R1669" s="221"/>
      <c r="S1669" s="221"/>
      <c r="T1669" s="221" t="s">
        <v>3258</v>
      </c>
      <c r="U1669" s="221" t="s">
        <v>3228</v>
      </c>
      <c r="V1669" s="221" t="s">
        <v>3337</v>
      </c>
      <c r="W1669" s="221" t="s">
        <v>3338</v>
      </c>
      <c r="X1669" s="221"/>
      <c r="Y1669" s="227"/>
      <c r="Z1669" s="227" t="str">
        <f>P1669</f>
        <v>SENGGURUH RW 01 MALANG</v>
      </c>
      <c r="AA1669" s="276" t="e">
        <f>VLOOKUP(Logfile_S[[#This Row],[DO number]],DO_DB!G:I,3,0)</f>
        <v>#N/A</v>
      </c>
      <c r="AB1669" s="331" t="e">
        <f>EXACT(Logfile_S[[#This Row],[date pick]],Logfile_S[[#This Row],[Date]])</f>
        <v>#N/A</v>
      </c>
      <c r="AC16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70" spans="1:29" ht="14.5">
      <c r="A1670" s="220" t="str">
        <f>TEXT(ROW(A1670)-ROW($A$4),"000")</f>
        <v>1666</v>
      </c>
      <c r="B1670" s="221"/>
      <c r="C1670" s="221" t="s">
        <v>49</v>
      </c>
      <c r="D1670" s="221" t="s">
        <v>4203</v>
      </c>
      <c r="E1670" s="221" t="s">
        <v>3295</v>
      </c>
      <c r="F1670" s="221" t="s">
        <v>3299</v>
      </c>
      <c r="G1670" s="222">
        <v>45539</v>
      </c>
      <c r="H1670" s="223">
        <v>0.40694444444444444</v>
      </c>
      <c r="I1670" s="221" t="s">
        <v>4916</v>
      </c>
      <c r="J1670" s="221" t="s">
        <v>3023</v>
      </c>
      <c r="K1670" s="224" t="s">
        <v>3071</v>
      </c>
      <c r="L1670" s="225" t="str">
        <f>VLOOKUP(Logfile_S[[#This Row],[Material Name]],Sheet2!B:C,2,0)</f>
        <v>ZTE1003</v>
      </c>
      <c r="M1670" s="225" t="str">
        <f>_xlfn.XLOOKUP(Logfile_S[[#This Row],[Material Name]],Sum_WH!E:E,Sum_WH!F:F,"",0)</f>
        <v>Pcs</v>
      </c>
      <c r="N1670" s="221">
        <v>6</v>
      </c>
      <c r="O1670" s="221" t="s">
        <v>1951</v>
      </c>
      <c r="P1670" s="221" t="s">
        <v>3374</v>
      </c>
      <c r="Q1670" s="221"/>
      <c r="R1670" s="221"/>
      <c r="S1670" s="221"/>
      <c r="T1670" s="221" t="s">
        <v>3258</v>
      </c>
      <c r="U1670" s="221" t="s">
        <v>3228</v>
      </c>
      <c r="V1670" s="221" t="s">
        <v>3337</v>
      </c>
      <c r="W1670" s="221" t="s">
        <v>3338</v>
      </c>
      <c r="X1670" s="221"/>
      <c r="Y1670" s="227"/>
      <c r="Z1670" s="227" t="str">
        <f>P1670</f>
        <v>SENGGURUH RW 01 MALANG</v>
      </c>
      <c r="AA1670" s="276" t="e">
        <f>VLOOKUP(Logfile_S[[#This Row],[DO number]],DO_DB!G:I,3,0)</f>
        <v>#N/A</v>
      </c>
      <c r="AB1670" s="331" t="e">
        <f>EXACT(Logfile_S[[#This Row],[date pick]],Logfile_S[[#This Row],[Date]])</f>
        <v>#N/A</v>
      </c>
      <c r="AC16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71" spans="1:29" ht="14.5">
      <c r="A1671" s="220" t="str">
        <f>TEXT(ROW(A1671)-ROW($A$4),"000")</f>
        <v>1667</v>
      </c>
      <c r="B1671" s="221"/>
      <c r="C1671" s="221" t="s">
        <v>49</v>
      </c>
      <c r="D1671" s="221" t="s">
        <v>4210</v>
      </c>
      <c r="E1671" s="221" t="s">
        <v>3295</v>
      </c>
      <c r="F1671" s="221" t="s">
        <v>3299</v>
      </c>
      <c r="G1671" s="222">
        <v>45541</v>
      </c>
      <c r="H1671" s="223">
        <v>0.42152777777777778</v>
      </c>
      <c r="I1671" s="221" t="s">
        <v>4916</v>
      </c>
      <c r="J1671" s="221" t="s">
        <v>3023</v>
      </c>
      <c r="K1671" s="224" t="s">
        <v>3069</v>
      </c>
      <c r="L1671" s="225" t="str">
        <f>VLOOKUP(Logfile_S[[#This Row],[Material Name]],Sheet2!B:C,2,0)</f>
        <v>ZTE1001</v>
      </c>
      <c r="M1671" s="225" t="str">
        <f>_xlfn.XLOOKUP(Logfile_S[[#This Row],[Material Name]],Sum_WH!E:E,Sum_WH!F:F,"",0)</f>
        <v>Pcs</v>
      </c>
      <c r="N1671" s="221">
        <v>44</v>
      </c>
      <c r="O1671" s="221" t="s">
        <v>1951</v>
      </c>
      <c r="P1671" s="221" t="s">
        <v>3374</v>
      </c>
      <c r="Q1671" s="221"/>
      <c r="R1671" s="221"/>
      <c r="S1671" s="221"/>
      <c r="T1671" s="221" t="s">
        <v>3258</v>
      </c>
      <c r="U1671" s="221" t="s">
        <v>3228</v>
      </c>
      <c r="V1671" s="221" t="s">
        <v>3337</v>
      </c>
      <c r="W1671" s="221" t="s">
        <v>3338</v>
      </c>
      <c r="X1671" s="221"/>
      <c r="Y1671" s="227"/>
      <c r="Z1671" s="227" t="str">
        <f>P1671</f>
        <v>SENGGURUH RW 01 MALANG</v>
      </c>
      <c r="AA1671" s="276" t="e">
        <f>VLOOKUP(Logfile_S[[#This Row],[DO number]],DO_DB!G:I,3,0)</f>
        <v>#N/A</v>
      </c>
      <c r="AB1671" s="331" t="e">
        <f>EXACT(Logfile_S[[#This Row],[date pick]],Logfile_S[[#This Row],[Date]])</f>
        <v>#N/A</v>
      </c>
      <c r="AC16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72" spans="1:29" ht="14.5">
      <c r="A1672" s="220" t="str">
        <f>TEXT(ROW(A1672)-ROW($A$4),"000")</f>
        <v>1668</v>
      </c>
      <c r="B1672" s="221"/>
      <c r="C1672" s="221" t="s">
        <v>49</v>
      </c>
      <c r="D1672" s="221" t="s">
        <v>4215</v>
      </c>
      <c r="E1672" s="221" t="s">
        <v>3295</v>
      </c>
      <c r="F1672" s="221" t="s">
        <v>3299</v>
      </c>
      <c r="G1672" s="222">
        <v>45542</v>
      </c>
      <c r="H1672" s="223">
        <v>0.73750000000000004</v>
      </c>
      <c r="I1672" s="221" t="s">
        <v>4916</v>
      </c>
      <c r="J1672" s="221" t="s">
        <v>3024</v>
      </c>
      <c r="K1672" s="224" t="s">
        <v>3091</v>
      </c>
      <c r="L1672" s="225" t="str">
        <f>VLOOKUP(Logfile_S[[#This Row],[Material Name]],Sheet2!B:C,2,0)</f>
        <v>GCI1005</v>
      </c>
      <c r="M1672" s="225" t="str">
        <f>_xlfn.XLOOKUP(Logfile_S[[#This Row],[Material Name]],Sum_WH!E:E,Sum_WH!F:F,"",0)</f>
        <v>Pcs</v>
      </c>
      <c r="N1672" s="221">
        <v>100</v>
      </c>
      <c r="O1672" s="221" t="s">
        <v>1951</v>
      </c>
      <c r="P1672" s="221" t="s">
        <v>3374</v>
      </c>
      <c r="Q1672" s="221"/>
      <c r="R1672" s="221"/>
      <c r="S1672" s="221"/>
      <c r="T1672" s="221" t="s">
        <v>3258</v>
      </c>
      <c r="U1672" s="221">
        <v>0</v>
      </c>
      <c r="V1672" s="221" t="s">
        <v>3337</v>
      </c>
      <c r="W1672" s="221" t="s">
        <v>3338</v>
      </c>
      <c r="X1672" s="221"/>
      <c r="Y1672" s="227"/>
      <c r="Z1672" s="227" t="str">
        <f>P1672</f>
        <v>SENGGURUH RW 01 MALANG</v>
      </c>
      <c r="AA1672" s="276" t="e">
        <f>VLOOKUP(Logfile_S[[#This Row],[DO number]],DO_DB!G:I,3,0)</f>
        <v>#N/A</v>
      </c>
      <c r="AB1672" s="331" t="e">
        <f>EXACT(Logfile_S[[#This Row],[date pick]],Logfile_S[[#This Row],[Date]])</f>
        <v>#N/A</v>
      </c>
      <c r="AC16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73" spans="1:29" ht="14.5">
      <c r="A1673" s="220" t="str">
        <f>TEXT(ROW(A1673)-ROW($A$4),"000")</f>
        <v>1669</v>
      </c>
      <c r="B1673" s="221"/>
      <c r="C1673" s="221" t="s">
        <v>49</v>
      </c>
      <c r="D1673" s="221" t="s">
        <v>4215</v>
      </c>
      <c r="E1673" s="221" t="s">
        <v>3295</v>
      </c>
      <c r="F1673" s="221" t="s">
        <v>3299</v>
      </c>
      <c r="G1673" s="222">
        <v>45542</v>
      </c>
      <c r="H1673" s="223">
        <v>0.73750000000000004</v>
      </c>
      <c r="I1673" s="221" t="s">
        <v>4916</v>
      </c>
      <c r="J1673" s="221" t="s">
        <v>3024</v>
      </c>
      <c r="K1673" s="224" t="s">
        <v>3087</v>
      </c>
      <c r="L1673" s="225" t="str">
        <f>VLOOKUP(Logfile_S[[#This Row],[Material Name]],Sheet2!B:C,2,0)</f>
        <v>GCI1001</v>
      </c>
      <c r="M1673" s="225" t="str">
        <f>_xlfn.XLOOKUP(Logfile_S[[#This Row],[Material Name]],Sum_WH!E:E,Sum_WH!F:F,"",0)</f>
        <v>Pcs</v>
      </c>
      <c r="N1673" s="221">
        <v>20</v>
      </c>
      <c r="O1673" s="221" t="s">
        <v>1951</v>
      </c>
      <c r="P1673" s="221" t="s">
        <v>3374</v>
      </c>
      <c r="Q1673" s="221"/>
      <c r="R1673" s="221"/>
      <c r="S1673" s="221"/>
      <c r="T1673" s="221" t="s">
        <v>3258</v>
      </c>
      <c r="U1673" s="221">
        <v>0</v>
      </c>
      <c r="V1673" s="221" t="s">
        <v>3337</v>
      </c>
      <c r="W1673" s="221" t="s">
        <v>3338</v>
      </c>
      <c r="X1673" s="221"/>
      <c r="Y1673" s="227"/>
      <c r="Z1673" s="227" t="str">
        <f>P1673</f>
        <v>SENGGURUH RW 01 MALANG</v>
      </c>
      <c r="AA1673" s="276" t="e">
        <f>VLOOKUP(Logfile_S[[#This Row],[DO number]],DO_DB!G:I,3,0)</f>
        <v>#N/A</v>
      </c>
      <c r="AB1673" s="331" t="e">
        <f>EXACT(Logfile_S[[#This Row],[date pick]],Logfile_S[[#This Row],[Date]])</f>
        <v>#N/A</v>
      </c>
      <c r="AC16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74" spans="1:29" ht="14.5">
      <c r="A1674" s="220" t="str">
        <f>TEXT(ROW(A1674)-ROW($A$4),"000")</f>
        <v>1670</v>
      </c>
      <c r="B1674" s="221"/>
      <c r="C1674" s="221" t="s">
        <v>49</v>
      </c>
      <c r="D1674" s="221" t="s">
        <v>4215</v>
      </c>
      <c r="E1674" s="221" t="s">
        <v>3295</v>
      </c>
      <c r="F1674" s="221" t="s">
        <v>3299</v>
      </c>
      <c r="G1674" s="222">
        <v>45542</v>
      </c>
      <c r="H1674" s="223">
        <v>0.73750000000000004</v>
      </c>
      <c r="I1674" s="221" t="s">
        <v>4916</v>
      </c>
      <c r="J1674" s="221" t="s">
        <v>3024</v>
      </c>
      <c r="K1674" s="224" t="s">
        <v>5137</v>
      </c>
      <c r="L1674" s="225" t="str">
        <f>VLOOKUP(Logfile_S[[#This Row],[Material Name]],Sheet2!B:C,2,0)</f>
        <v>GCI1009</v>
      </c>
      <c r="M1674" s="225" t="str">
        <f>_xlfn.XLOOKUP(Logfile_S[[#This Row],[Material Name]],Sum_WH!E:E,Sum_WH!F:F,"",0)</f>
        <v>Pcs</v>
      </c>
      <c r="N1674" s="221">
        <v>200</v>
      </c>
      <c r="O1674" s="221" t="s">
        <v>1951</v>
      </c>
      <c r="P1674" s="221" t="s">
        <v>3374</v>
      </c>
      <c r="Q1674" s="221"/>
      <c r="R1674" s="221"/>
      <c r="S1674" s="221"/>
      <c r="T1674" s="221" t="s">
        <v>3258</v>
      </c>
      <c r="U1674" s="221">
        <v>0</v>
      </c>
      <c r="V1674" s="221" t="s">
        <v>3337</v>
      </c>
      <c r="W1674" s="221" t="s">
        <v>3338</v>
      </c>
      <c r="X1674" s="221"/>
      <c r="Y1674" s="227"/>
      <c r="Z1674" s="227" t="str">
        <f>P1674</f>
        <v>SENGGURUH RW 01 MALANG</v>
      </c>
      <c r="AA1674" s="276" t="e">
        <f>VLOOKUP(Logfile_S[[#This Row],[DO number]],DO_DB!G:I,3,0)</f>
        <v>#N/A</v>
      </c>
      <c r="AB1674" s="331" t="e">
        <f>EXACT(Logfile_S[[#This Row],[date pick]],Logfile_S[[#This Row],[Date]])</f>
        <v>#N/A</v>
      </c>
      <c r="AC16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75" spans="1:29" ht="14.5">
      <c r="A1675" s="220" t="str">
        <f>TEXT(ROW(A1675)-ROW($A$4),"000")</f>
        <v>1671</v>
      </c>
      <c r="B1675" s="221"/>
      <c r="C1675" s="221" t="s">
        <v>49</v>
      </c>
      <c r="D1675" s="221" t="s">
        <v>4215</v>
      </c>
      <c r="E1675" s="221" t="s">
        <v>3295</v>
      </c>
      <c r="F1675" s="221" t="s">
        <v>3299</v>
      </c>
      <c r="G1675" s="222">
        <v>45542</v>
      </c>
      <c r="H1675" s="223">
        <v>0.73750000000000004</v>
      </c>
      <c r="I1675" s="221" t="s">
        <v>4916</v>
      </c>
      <c r="J1675" s="221" t="s">
        <v>3024</v>
      </c>
      <c r="K1675" s="224" t="s">
        <v>3088</v>
      </c>
      <c r="L1675" s="225" t="str">
        <f>VLOOKUP(Logfile_S[[#This Row],[Material Name]],Sheet2!B:C,2,0)</f>
        <v>GCI1002</v>
      </c>
      <c r="M1675" s="225" t="str">
        <f>_xlfn.XLOOKUP(Logfile_S[[#This Row],[Material Name]],Sum_WH!E:E,Sum_WH!F:F,"",0)</f>
        <v>Pcs</v>
      </c>
      <c r="N1675" s="221">
        <v>2</v>
      </c>
      <c r="O1675" s="221" t="s">
        <v>1951</v>
      </c>
      <c r="P1675" s="221" t="s">
        <v>3374</v>
      </c>
      <c r="Q1675" s="221"/>
      <c r="R1675" s="221"/>
      <c r="S1675" s="221"/>
      <c r="T1675" s="221" t="s">
        <v>3258</v>
      </c>
      <c r="U1675" s="221">
        <v>0</v>
      </c>
      <c r="V1675" s="221" t="s">
        <v>3337</v>
      </c>
      <c r="W1675" s="221" t="s">
        <v>3338</v>
      </c>
      <c r="X1675" s="221"/>
      <c r="Y1675" s="227"/>
      <c r="Z1675" s="227" t="str">
        <f>P1675</f>
        <v>SENGGURUH RW 01 MALANG</v>
      </c>
      <c r="AA1675" s="276" t="e">
        <f>VLOOKUP(Logfile_S[[#This Row],[DO number]],DO_DB!G:I,3,0)</f>
        <v>#N/A</v>
      </c>
      <c r="AB1675" s="331" t="e">
        <f>EXACT(Logfile_S[[#This Row],[date pick]],Logfile_S[[#This Row],[Date]])</f>
        <v>#N/A</v>
      </c>
      <c r="AC16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76" spans="1:29" ht="14.5">
      <c r="A1676" s="220" t="str">
        <f>TEXT(ROW(A1676)-ROW($A$4),"000")</f>
        <v>1672</v>
      </c>
      <c r="B1676" s="221"/>
      <c r="C1676" s="221" t="s">
        <v>49</v>
      </c>
      <c r="D1676" s="221" t="s">
        <v>4215</v>
      </c>
      <c r="E1676" s="221" t="s">
        <v>3295</v>
      </c>
      <c r="F1676" s="221" t="s">
        <v>3299</v>
      </c>
      <c r="G1676" s="222">
        <v>45542</v>
      </c>
      <c r="H1676" s="223">
        <v>0.73750000000000004</v>
      </c>
      <c r="I1676" s="221" t="s">
        <v>4916</v>
      </c>
      <c r="J1676" s="221" t="s">
        <v>3024</v>
      </c>
      <c r="K1676" s="224" t="s">
        <v>3094</v>
      </c>
      <c r="L1676" s="225" t="str">
        <f>VLOOKUP(Logfile_S[[#This Row],[Material Name]],Sheet2!B:C,2,0)</f>
        <v>GCI1008</v>
      </c>
      <c r="M1676" s="225" t="str">
        <f>_xlfn.XLOOKUP(Logfile_S[[#This Row],[Material Name]],Sum_WH!E:E,Sum_WH!F:F,"",0)</f>
        <v>Pcs</v>
      </c>
      <c r="N1676" s="221">
        <v>200</v>
      </c>
      <c r="O1676" s="221" t="s">
        <v>1951</v>
      </c>
      <c r="P1676" s="221" t="s">
        <v>3374</v>
      </c>
      <c r="Q1676" s="221"/>
      <c r="R1676" s="221"/>
      <c r="S1676" s="221"/>
      <c r="T1676" s="221" t="s">
        <v>3258</v>
      </c>
      <c r="U1676" s="221">
        <v>0</v>
      </c>
      <c r="V1676" s="221" t="s">
        <v>3337</v>
      </c>
      <c r="W1676" s="221" t="s">
        <v>3338</v>
      </c>
      <c r="X1676" s="221"/>
      <c r="Y1676" s="227"/>
      <c r="Z1676" s="227" t="str">
        <f>P1676</f>
        <v>SENGGURUH RW 01 MALANG</v>
      </c>
      <c r="AA1676" s="276" t="e">
        <f>VLOOKUP(Logfile_S[[#This Row],[DO number]],DO_DB!G:I,3,0)</f>
        <v>#N/A</v>
      </c>
      <c r="AB1676" s="331" t="e">
        <f>EXACT(Logfile_S[[#This Row],[date pick]],Logfile_S[[#This Row],[Date]])</f>
        <v>#N/A</v>
      </c>
      <c r="AC16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77" spans="1:29" ht="14.5">
      <c r="A1677" s="220" t="str">
        <f>TEXT(ROW(A1677)-ROW($A$4),"000")</f>
        <v>1673</v>
      </c>
      <c r="B1677" s="221"/>
      <c r="C1677" s="221" t="s">
        <v>49</v>
      </c>
      <c r="D1677" s="221" t="s">
        <v>4215</v>
      </c>
      <c r="E1677" s="221" t="s">
        <v>3295</v>
      </c>
      <c r="F1677" s="221" t="s">
        <v>3299</v>
      </c>
      <c r="G1677" s="222">
        <v>45542</v>
      </c>
      <c r="H1677" s="223">
        <v>0.73750000000000004</v>
      </c>
      <c r="I1677" s="221" t="s">
        <v>4916</v>
      </c>
      <c r="J1677" s="221" t="s">
        <v>3024</v>
      </c>
      <c r="K1677" s="224" t="s">
        <v>3089</v>
      </c>
      <c r="L1677" s="225" t="str">
        <f>VLOOKUP(Logfile_S[[#This Row],[Material Name]],Sheet2!B:C,2,0)</f>
        <v>GCI1003</v>
      </c>
      <c r="M1677" s="225" t="str">
        <f>_xlfn.XLOOKUP(Logfile_S[[#This Row],[Material Name]],Sum_WH!E:E,Sum_WH!F:F,"",0)</f>
        <v>Pcs</v>
      </c>
      <c r="N1677" s="221">
        <v>100</v>
      </c>
      <c r="O1677" s="221" t="s">
        <v>1951</v>
      </c>
      <c r="P1677" s="221" t="s">
        <v>3374</v>
      </c>
      <c r="Q1677" s="221"/>
      <c r="R1677" s="221"/>
      <c r="S1677" s="221"/>
      <c r="T1677" s="221" t="s">
        <v>3258</v>
      </c>
      <c r="U1677" s="221">
        <v>0</v>
      </c>
      <c r="V1677" s="221" t="s">
        <v>3337</v>
      </c>
      <c r="W1677" s="221" t="s">
        <v>3338</v>
      </c>
      <c r="X1677" s="221"/>
      <c r="Y1677" s="227"/>
      <c r="Z1677" s="227" t="str">
        <f>P1677</f>
        <v>SENGGURUH RW 01 MALANG</v>
      </c>
      <c r="AA1677" s="276" t="e">
        <f>VLOOKUP(Logfile_S[[#This Row],[DO number]],DO_DB!G:I,3,0)</f>
        <v>#N/A</v>
      </c>
      <c r="AB1677" s="331" t="e">
        <f>EXACT(Logfile_S[[#This Row],[date pick]],Logfile_S[[#This Row],[Date]])</f>
        <v>#N/A</v>
      </c>
      <c r="AC16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78" spans="1:29" ht="14.5">
      <c r="A1678" s="220" t="str">
        <f>TEXT(ROW(A1678)-ROW($A$4),"000")</f>
        <v>1674</v>
      </c>
      <c r="B1678" s="221"/>
      <c r="C1678" s="221" t="s">
        <v>49</v>
      </c>
      <c r="D1678" s="221" t="s">
        <v>4215</v>
      </c>
      <c r="E1678" s="221" t="s">
        <v>3295</v>
      </c>
      <c r="F1678" s="221" t="s">
        <v>3299</v>
      </c>
      <c r="G1678" s="222">
        <v>45542</v>
      </c>
      <c r="H1678" s="223">
        <v>0.73750000000000004</v>
      </c>
      <c r="I1678" s="221" t="s">
        <v>4916</v>
      </c>
      <c r="J1678" s="221" t="s">
        <v>3024</v>
      </c>
      <c r="K1678" s="224" t="s">
        <v>3090</v>
      </c>
      <c r="L1678" s="225" t="str">
        <f>VLOOKUP(Logfile_S[[#This Row],[Material Name]],Sheet2!B:C,2,0)</f>
        <v>GCI1004</v>
      </c>
      <c r="M1678" s="225" t="str">
        <f>_xlfn.XLOOKUP(Logfile_S[[#This Row],[Material Name]],Sum_WH!E:E,Sum_WH!F:F,"",0)</f>
        <v>Pcs</v>
      </c>
      <c r="N1678" s="221">
        <v>50</v>
      </c>
      <c r="O1678" s="221" t="s">
        <v>1951</v>
      </c>
      <c r="P1678" s="221" t="s">
        <v>3374</v>
      </c>
      <c r="Q1678" s="221"/>
      <c r="R1678" s="221"/>
      <c r="S1678" s="221"/>
      <c r="T1678" s="221" t="s">
        <v>3258</v>
      </c>
      <c r="U1678" s="221">
        <v>0</v>
      </c>
      <c r="V1678" s="221" t="s">
        <v>3337</v>
      </c>
      <c r="W1678" s="221" t="s">
        <v>3338</v>
      </c>
      <c r="X1678" s="221"/>
      <c r="Y1678" s="227"/>
      <c r="Z1678" s="227" t="str">
        <f>P1678</f>
        <v>SENGGURUH RW 01 MALANG</v>
      </c>
      <c r="AA1678" s="276" t="e">
        <f>VLOOKUP(Logfile_S[[#This Row],[DO number]],DO_DB!G:I,3,0)</f>
        <v>#N/A</v>
      </c>
      <c r="AB1678" s="331" t="e">
        <f>EXACT(Logfile_S[[#This Row],[date pick]],Logfile_S[[#This Row],[Date]])</f>
        <v>#N/A</v>
      </c>
      <c r="AC16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79" spans="1:29" ht="14.5">
      <c r="A1679" s="220" t="str">
        <f>TEXT(ROW(A1679)-ROW($A$4),"000")</f>
        <v>1675</v>
      </c>
      <c r="B1679" s="221"/>
      <c r="C1679" s="221" t="s">
        <v>49</v>
      </c>
      <c r="D1679" s="221" t="s">
        <v>4201</v>
      </c>
      <c r="E1679" s="221" t="s">
        <v>3295</v>
      </c>
      <c r="F1679" s="221" t="s">
        <v>3299</v>
      </c>
      <c r="G1679" s="222">
        <v>45538</v>
      </c>
      <c r="H1679" s="223">
        <v>0.59513888888888888</v>
      </c>
      <c r="I1679" s="221" t="s">
        <v>4916</v>
      </c>
      <c r="J1679" s="221" t="s">
        <v>3023</v>
      </c>
      <c r="K1679" s="224" t="s">
        <v>3073</v>
      </c>
      <c r="L1679" s="225" t="str">
        <f>VLOOKUP(Logfile_S[[#This Row],[Material Name]],Sheet2!B:C,2,0)</f>
        <v>ZTE2001</v>
      </c>
      <c r="M1679" s="225" t="str">
        <f>_xlfn.XLOOKUP(Logfile_S[[#This Row],[Material Name]],Sum_WH!E:E,Sum_WH!F:F,"",0)</f>
        <v>Meter</v>
      </c>
      <c r="N1679" s="221">
        <v>3000</v>
      </c>
      <c r="O1679" s="221" t="s">
        <v>1955</v>
      </c>
      <c r="P1679" s="221" t="s">
        <v>3512</v>
      </c>
      <c r="Q1679" s="221"/>
      <c r="R1679" s="221"/>
      <c r="S1679" s="221"/>
      <c r="T1679" s="221" t="s">
        <v>3258</v>
      </c>
      <c r="U1679" s="221" t="s">
        <v>3228</v>
      </c>
      <c r="V1679" s="221" t="s">
        <v>3337</v>
      </c>
      <c r="W1679" s="221" t="s">
        <v>3338</v>
      </c>
      <c r="X1679" s="221">
        <v>1025</v>
      </c>
      <c r="Y1679" s="227"/>
      <c r="Z1679" s="227" t="str">
        <f>P1679</f>
        <v>SENGGURUH RW 02 MALANG</v>
      </c>
      <c r="AA1679" s="276" t="e">
        <f>VLOOKUP(Logfile_S[[#This Row],[DO number]],DO_DB!G:I,3,0)</f>
        <v>#N/A</v>
      </c>
      <c r="AB1679" s="331" t="e">
        <f>EXACT(Logfile_S[[#This Row],[date pick]],Logfile_S[[#This Row],[Date]])</f>
        <v>#N/A</v>
      </c>
      <c r="AC16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80" spans="1:29" ht="14.5">
      <c r="A1680" s="220" t="str">
        <f>TEXT(ROW(A1680)-ROW($A$4),"000")</f>
        <v>1676</v>
      </c>
      <c r="B1680" s="221"/>
      <c r="C1680" s="221" t="s">
        <v>49</v>
      </c>
      <c r="D1680" s="221" t="s">
        <v>4207</v>
      </c>
      <c r="E1680" s="221" t="s">
        <v>3295</v>
      </c>
      <c r="F1680" s="221" t="s">
        <v>3299</v>
      </c>
      <c r="G1680" s="222">
        <v>45540</v>
      </c>
      <c r="H1680" s="223">
        <v>0.42152777777777778</v>
      </c>
      <c r="I1680" s="221" t="s">
        <v>4916</v>
      </c>
      <c r="J1680" s="221" t="s">
        <v>3023</v>
      </c>
      <c r="K1680" s="224" t="s">
        <v>3073</v>
      </c>
      <c r="L1680" s="225" t="str">
        <f>VLOOKUP(Logfile_S[[#This Row],[Material Name]],Sheet2!B:C,2,0)</f>
        <v>ZTE2001</v>
      </c>
      <c r="M1680" s="225" t="str">
        <f>_xlfn.XLOOKUP(Logfile_S[[#This Row],[Material Name]],Sum_WH!E:E,Sum_WH!F:F,"",0)</f>
        <v>Meter</v>
      </c>
      <c r="N1680" s="221">
        <v>3000</v>
      </c>
      <c r="O1680" s="221" t="s">
        <v>1955</v>
      </c>
      <c r="P1680" s="221" t="s">
        <v>3512</v>
      </c>
      <c r="Q1680" s="221"/>
      <c r="R1680" s="221"/>
      <c r="S1680" s="221"/>
      <c r="T1680" s="221" t="s">
        <v>3258</v>
      </c>
      <c r="U1680" s="221" t="s">
        <v>3228</v>
      </c>
      <c r="V1680" s="221" t="s">
        <v>3337</v>
      </c>
      <c r="W1680" s="221" t="s">
        <v>3338</v>
      </c>
      <c r="X1680" s="221" t="s">
        <v>3514</v>
      </c>
      <c r="Y1680" s="227"/>
      <c r="Z1680" s="227" t="str">
        <f>P1680</f>
        <v>SENGGURUH RW 02 MALANG</v>
      </c>
      <c r="AA1680" s="276" t="e">
        <f>VLOOKUP(Logfile_S[[#This Row],[DO number]],DO_DB!G:I,3,0)</f>
        <v>#N/A</v>
      </c>
      <c r="AB1680" s="331" t="e">
        <f>EXACT(Logfile_S[[#This Row],[date pick]],Logfile_S[[#This Row],[Date]])</f>
        <v>#N/A</v>
      </c>
      <c r="AC16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81" spans="1:29" ht="14.5">
      <c r="A1681" s="220" t="str">
        <f>TEXT(ROW(A1681)-ROW($A$4),"000")</f>
        <v>1677</v>
      </c>
      <c r="B1681" s="221"/>
      <c r="C1681" s="221" t="s">
        <v>49</v>
      </c>
      <c r="D1681" s="221" t="s">
        <v>4205</v>
      </c>
      <c r="E1681" s="221" t="s">
        <v>3295</v>
      </c>
      <c r="F1681" s="221" t="s">
        <v>3299</v>
      </c>
      <c r="G1681" s="222">
        <v>45540</v>
      </c>
      <c r="H1681" s="223">
        <v>8.1944444444444445E-2</v>
      </c>
      <c r="I1681" s="221" t="s">
        <v>4916</v>
      </c>
      <c r="J1681" s="221" t="s">
        <v>3023</v>
      </c>
      <c r="K1681" s="224" t="s">
        <v>14</v>
      </c>
      <c r="L1681" s="225" t="str">
        <f>VLOOKUP(Logfile_S[[#This Row],[Material Name]],Sheet2!B:C,2,0)</f>
        <v>ZTE2005</v>
      </c>
      <c r="M1681" s="225" t="str">
        <f>_xlfn.XLOOKUP(Logfile_S[[#This Row],[Material Name]],Sum_WH!E:E,Sum_WH!F:F,"",0)</f>
        <v>Pcs</v>
      </c>
      <c r="N1681" s="221">
        <v>1</v>
      </c>
      <c r="O1681" s="221" t="s">
        <v>1955</v>
      </c>
      <c r="P1681" s="221" t="s">
        <v>3512</v>
      </c>
      <c r="Q1681" s="221"/>
      <c r="R1681" s="221"/>
      <c r="S1681" s="221"/>
      <c r="T1681" s="221" t="s">
        <v>3231</v>
      </c>
      <c r="U1681" s="221">
        <v>0</v>
      </c>
      <c r="V1681" s="221" t="s">
        <v>3232</v>
      </c>
      <c r="W1681" s="221" t="s">
        <v>3254</v>
      </c>
      <c r="X1681" s="221"/>
      <c r="Y1681" s="227"/>
      <c r="Z1681" s="227" t="str">
        <f>P1681</f>
        <v>SENGGURUH RW 02 MALANG</v>
      </c>
      <c r="AA1681" s="276" t="e">
        <f>VLOOKUP(Logfile_S[[#This Row],[DO number]],DO_DB!G:I,3,0)</f>
        <v>#N/A</v>
      </c>
      <c r="AB1681" s="331" t="e">
        <f>EXACT(Logfile_S[[#This Row],[date pick]],Logfile_S[[#This Row],[Date]])</f>
        <v>#N/A</v>
      </c>
      <c r="AC16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82" spans="1:29" ht="14.5">
      <c r="A1682" s="220" t="str">
        <f>TEXT(ROW(A1682)-ROW($A$4),"000")</f>
        <v>1678</v>
      </c>
      <c r="B1682" s="221"/>
      <c r="C1682" s="221" t="s">
        <v>49</v>
      </c>
      <c r="D1682" s="221" t="s">
        <v>4205</v>
      </c>
      <c r="E1682" s="221" t="s">
        <v>3295</v>
      </c>
      <c r="F1682" s="221" t="s">
        <v>3299</v>
      </c>
      <c r="G1682" s="222">
        <v>45540</v>
      </c>
      <c r="H1682" s="223">
        <v>8.1944444444444445E-2</v>
      </c>
      <c r="I1682" s="221" t="s">
        <v>4916</v>
      </c>
      <c r="J1682" s="221" t="s">
        <v>3023</v>
      </c>
      <c r="K1682" s="224" t="s">
        <v>3072</v>
      </c>
      <c r="L1682" s="225" t="str">
        <f>VLOOKUP(Logfile_S[[#This Row],[Material Name]],Sheet2!B:C,2,0)</f>
        <v>ZTE1004</v>
      </c>
      <c r="M1682" s="225" t="str">
        <f>_xlfn.XLOOKUP(Logfile_S[[#This Row],[Material Name]],Sum_WH!E:E,Sum_WH!F:F,"",0)</f>
        <v>Pcs</v>
      </c>
      <c r="N1682" s="221">
        <v>1</v>
      </c>
      <c r="O1682" s="221" t="s">
        <v>1955</v>
      </c>
      <c r="P1682" s="221" t="s">
        <v>3512</v>
      </c>
      <c r="Q1682" s="221"/>
      <c r="R1682" s="221"/>
      <c r="S1682" s="221"/>
      <c r="T1682" s="221" t="s">
        <v>3231</v>
      </c>
      <c r="U1682" s="221">
        <v>0</v>
      </c>
      <c r="V1682" s="221" t="s">
        <v>3232</v>
      </c>
      <c r="W1682" s="221" t="s">
        <v>3254</v>
      </c>
      <c r="X1682" s="221"/>
      <c r="Y1682" s="227"/>
      <c r="Z1682" s="227" t="str">
        <f>P1682</f>
        <v>SENGGURUH RW 02 MALANG</v>
      </c>
      <c r="AA1682" s="276" t="e">
        <f>VLOOKUP(Logfile_S[[#This Row],[DO number]],DO_DB!G:I,3,0)</f>
        <v>#N/A</v>
      </c>
      <c r="AB1682" s="331" t="e">
        <f>EXACT(Logfile_S[[#This Row],[date pick]],Logfile_S[[#This Row],[Date]])</f>
        <v>#N/A</v>
      </c>
      <c r="AC16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83" spans="1:29" ht="14.5">
      <c r="A1683" s="220" t="str">
        <f>TEXT(ROW(A1683)-ROW($A$4),"000")</f>
        <v>1679</v>
      </c>
      <c r="B1683" s="221"/>
      <c r="C1683" s="221" t="s">
        <v>49</v>
      </c>
      <c r="D1683" s="221" t="s">
        <v>4209</v>
      </c>
      <c r="E1683" s="221" t="s">
        <v>3295</v>
      </c>
      <c r="F1683" s="221" t="s">
        <v>3299</v>
      </c>
      <c r="G1683" s="222">
        <v>45541</v>
      </c>
      <c r="H1683" s="223">
        <v>8.1944444444444445E-2</v>
      </c>
      <c r="I1683" s="221" t="s">
        <v>4916</v>
      </c>
      <c r="J1683" s="221" t="s">
        <v>3023</v>
      </c>
      <c r="K1683" s="224" t="s">
        <v>13</v>
      </c>
      <c r="L1683" s="225" t="str">
        <f>VLOOKUP(Logfile_S[[#This Row],[Material Name]],Sheet2!B:C,2,0)</f>
        <v>ZTE2008</v>
      </c>
      <c r="M1683" s="225" t="str">
        <f>_xlfn.XLOOKUP(Logfile_S[[#This Row],[Material Name]],Sum_WH!E:E,Sum_WH!F:F,"",0)</f>
        <v>Pcs</v>
      </c>
      <c r="N1683" s="221">
        <v>13</v>
      </c>
      <c r="O1683" s="221" t="s">
        <v>1955</v>
      </c>
      <c r="P1683" s="221" t="s">
        <v>3512</v>
      </c>
      <c r="Q1683" s="221"/>
      <c r="R1683" s="221"/>
      <c r="S1683" s="221"/>
      <c r="T1683" s="221" t="s">
        <v>3231</v>
      </c>
      <c r="U1683" s="221">
        <v>0</v>
      </c>
      <c r="V1683" s="221" t="s">
        <v>3232</v>
      </c>
      <c r="W1683" s="221" t="s">
        <v>3254</v>
      </c>
      <c r="X1683" s="221"/>
      <c r="Y1683" s="227"/>
      <c r="Z1683" s="227" t="str">
        <f>P1683</f>
        <v>SENGGURUH RW 02 MALANG</v>
      </c>
      <c r="AA1683" s="276" t="e">
        <f>VLOOKUP(Logfile_S[[#This Row],[DO number]],DO_DB!G:I,3,0)</f>
        <v>#N/A</v>
      </c>
      <c r="AB1683" s="331" t="e">
        <f>EXACT(Logfile_S[[#This Row],[date pick]],Logfile_S[[#This Row],[Date]])</f>
        <v>#N/A</v>
      </c>
      <c r="AC16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84" spans="1:29" ht="14.5">
      <c r="A1684" s="220" t="str">
        <f>TEXT(ROW(A1684)-ROW($A$4),"000")</f>
        <v>1680</v>
      </c>
      <c r="B1684" s="221"/>
      <c r="C1684" s="221" t="s">
        <v>49</v>
      </c>
      <c r="D1684" s="221" t="s">
        <v>4220</v>
      </c>
      <c r="E1684" s="221" t="s">
        <v>3295</v>
      </c>
      <c r="F1684" s="221" t="s">
        <v>3299</v>
      </c>
      <c r="G1684" s="222">
        <v>45548</v>
      </c>
      <c r="H1684" s="223">
        <v>0.34791666666666665</v>
      </c>
      <c r="I1684" s="221" t="s">
        <v>4916</v>
      </c>
      <c r="J1684" s="221" t="s">
        <v>3023</v>
      </c>
      <c r="K1684" s="224" t="s">
        <v>3071</v>
      </c>
      <c r="L1684" s="225" t="str">
        <f>VLOOKUP(Logfile_S[[#This Row],[Material Name]],Sheet2!B:C,2,0)</f>
        <v>ZTE1003</v>
      </c>
      <c r="M1684" s="225" t="str">
        <f>_xlfn.XLOOKUP(Logfile_S[[#This Row],[Material Name]],Sum_WH!E:E,Sum_WH!F:F,"",0)</f>
        <v>Pcs</v>
      </c>
      <c r="N1684" s="221">
        <v>1</v>
      </c>
      <c r="O1684" s="221" t="s">
        <v>1955</v>
      </c>
      <c r="P1684" s="221" t="s">
        <v>3512</v>
      </c>
      <c r="Q1684" s="221"/>
      <c r="R1684" s="221"/>
      <c r="S1684" s="221"/>
      <c r="T1684" s="221" t="s">
        <v>3258</v>
      </c>
      <c r="U1684" s="221" t="s">
        <v>3228</v>
      </c>
      <c r="V1684" s="221" t="s">
        <v>3337</v>
      </c>
      <c r="W1684" s="221" t="s">
        <v>3338</v>
      </c>
      <c r="X1684" s="221"/>
      <c r="Y1684" s="227"/>
      <c r="Z1684" s="227" t="str">
        <f>P1684</f>
        <v>SENGGURUH RW 02 MALANG</v>
      </c>
      <c r="AA1684" s="276" t="e">
        <f>VLOOKUP(Logfile_S[[#This Row],[DO number]],DO_DB!G:I,3,0)</f>
        <v>#N/A</v>
      </c>
      <c r="AB1684" s="331" t="e">
        <f>EXACT(Logfile_S[[#This Row],[date pick]],Logfile_S[[#This Row],[Date]])</f>
        <v>#N/A</v>
      </c>
      <c r="AC16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85" spans="1:29" ht="14.5">
      <c r="A1685" s="220" t="str">
        <f>TEXT(ROW(A1685)-ROW($A$4),"000")</f>
        <v>1681</v>
      </c>
      <c r="B1685" s="221"/>
      <c r="C1685" s="221" t="s">
        <v>49</v>
      </c>
      <c r="D1685" s="221" t="s">
        <v>4214</v>
      </c>
      <c r="E1685" s="221" t="s">
        <v>3295</v>
      </c>
      <c r="F1685" s="221" t="s">
        <v>3299</v>
      </c>
      <c r="G1685" s="222">
        <v>45542</v>
      </c>
      <c r="H1685" s="223">
        <v>0.34513888888888888</v>
      </c>
      <c r="I1685" s="221" t="s">
        <v>4916</v>
      </c>
      <c r="J1685" s="221" t="s">
        <v>3023</v>
      </c>
      <c r="K1685" s="224" t="s">
        <v>3075</v>
      </c>
      <c r="L1685" s="225" t="str">
        <f>VLOOKUP(Logfile_S[[#This Row],[Material Name]],Sheet2!B:C,2,0)</f>
        <v>ZTE2003</v>
      </c>
      <c r="M1685" s="225" t="str">
        <f>_xlfn.XLOOKUP(Logfile_S[[#This Row],[Material Name]],Sum_WH!E:E,Sum_WH!F:F,"",0)</f>
        <v>Meter</v>
      </c>
      <c r="N1685" s="221">
        <v>3000</v>
      </c>
      <c r="O1685" s="221" t="s">
        <v>1959</v>
      </c>
      <c r="P1685" s="221" t="s">
        <v>3539</v>
      </c>
      <c r="Q1685" s="221"/>
      <c r="R1685" s="221"/>
      <c r="S1685" s="221"/>
      <c r="T1685" s="221" t="s">
        <v>3258</v>
      </c>
      <c r="U1685" s="221" t="s">
        <v>3228</v>
      </c>
      <c r="V1685" s="221" t="s">
        <v>3337</v>
      </c>
      <c r="W1685" s="221" t="s">
        <v>3338</v>
      </c>
      <c r="X1685" s="221" t="s">
        <v>3568</v>
      </c>
      <c r="Y1685" s="227"/>
      <c r="Z1685" s="227" t="str">
        <f>P1685</f>
        <v>SENGGURUH RW 03 MALANG</v>
      </c>
      <c r="AA1685" s="276" t="e">
        <f>VLOOKUP(Logfile_S[[#This Row],[DO number]],DO_DB!G:I,3,0)</f>
        <v>#N/A</v>
      </c>
      <c r="AB1685" s="331" t="e">
        <f>EXACT(Logfile_S[[#This Row],[date pick]],Logfile_S[[#This Row],[Date]])</f>
        <v>#N/A</v>
      </c>
      <c r="AC16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86" spans="1:29" ht="14.5">
      <c r="A1686" s="220" t="str">
        <f>TEXT(ROW(A1686)-ROW($A$4),"000")</f>
        <v>1682</v>
      </c>
      <c r="B1686" s="221"/>
      <c r="C1686" s="221" t="s">
        <v>49</v>
      </c>
      <c r="D1686" s="221" t="s">
        <v>4213</v>
      </c>
      <c r="E1686" s="221" t="s">
        <v>3295</v>
      </c>
      <c r="F1686" s="221" t="s">
        <v>3299</v>
      </c>
      <c r="G1686" s="222">
        <v>45542</v>
      </c>
      <c r="H1686" s="223">
        <v>8.1944444444444445E-2</v>
      </c>
      <c r="I1686" s="221" t="s">
        <v>4916</v>
      </c>
      <c r="J1686" s="221" t="s">
        <v>3023</v>
      </c>
      <c r="K1686" s="224" t="s">
        <v>13</v>
      </c>
      <c r="L1686" s="225" t="str">
        <f>VLOOKUP(Logfile_S[[#This Row],[Material Name]],Sheet2!B:C,2,0)</f>
        <v>ZTE2008</v>
      </c>
      <c r="M1686" s="225" t="str">
        <f>_xlfn.XLOOKUP(Logfile_S[[#This Row],[Material Name]],Sum_WH!E:E,Sum_WH!F:F,"",0)</f>
        <v>Pcs</v>
      </c>
      <c r="N1686" s="221">
        <v>11</v>
      </c>
      <c r="O1686" s="221" t="s">
        <v>1959</v>
      </c>
      <c r="P1686" s="221" t="s">
        <v>3539</v>
      </c>
      <c r="Q1686" s="221"/>
      <c r="R1686" s="221"/>
      <c r="S1686" s="221"/>
      <c r="T1686" s="221" t="s">
        <v>3231</v>
      </c>
      <c r="U1686" s="221">
        <v>0</v>
      </c>
      <c r="V1686" s="221" t="s">
        <v>3232</v>
      </c>
      <c r="W1686" s="221" t="s">
        <v>3254</v>
      </c>
      <c r="X1686" s="221"/>
      <c r="Y1686" s="227"/>
      <c r="Z1686" s="227" t="str">
        <f>P1686</f>
        <v>SENGGURUH RW 03 MALANG</v>
      </c>
      <c r="AA1686" s="276" t="e">
        <f>VLOOKUP(Logfile_S[[#This Row],[DO number]],DO_DB!G:I,3,0)</f>
        <v>#N/A</v>
      </c>
      <c r="AB1686" s="331" t="e">
        <f>EXACT(Logfile_S[[#This Row],[date pick]],Logfile_S[[#This Row],[Date]])</f>
        <v>#N/A</v>
      </c>
      <c r="AC16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87" spans="1:29" ht="14.5">
      <c r="A1687" s="220" t="str">
        <f>TEXT(ROW(A1687)-ROW($A$4),"000")</f>
        <v>1683</v>
      </c>
      <c r="B1687" s="221"/>
      <c r="C1687" s="221" t="s">
        <v>49</v>
      </c>
      <c r="D1687" s="221" t="s">
        <v>4208</v>
      </c>
      <c r="E1687" s="221" t="s">
        <v>3295</v>
      </c>
      <c r="F1687" s="221" t="s">
        <v>3299</v>
      </c>
      <c r="G1687" s="222">
        <v>45540</v>
      </c>
      <c r="H1687" s="223">
        <v>0.59513888888888888</v>
      </c>
      <c r="I1687" s="221" t="s">
        <v>4916</v>
      </c>
      <c r="J1687" s="221" t="s">
        <v>3023</v>
      </c>
      <c r="K1687" s="224" t="s">
        <v>3073</v>
      </c>
      <c r="L1687" s="225" t="str">
        <f>VLOOKUP(Logfile_S[[#This Row],[Material Name]],Sheet2!B:C,2,0)</f>
        <v>ZTE2001</v>
      </c>
      <c r="M1687" s="225" t="str">
        <f>_xlfn.XLOOKUP(Logfile_S[[#This Row],[Material Name]],Sum_WH!E:E,Sum_WH!F:F,"",0)</f>
        <v>Meter</v>
      </c>
      <c r="N1687" s="221">
        <v>3000</v>
      </c>
      <c r="O1687" s="221" t="s">
        <v>2025</v>
      </c>
      <c r="P1687" s="221" t="s">
        <v>2026</v>
      </c>
      <c r="Q1687" s="221"/>
      <c r="R1687" s="221"/>
      <c r="S1687" s="221"/>
      <c r="T1687" s="221" t="s">
        <v>3244</v>
      </c>
      <c r="U1687" s="221" t="s">
        <v>3228</v>
      </c>
      <c r="V1687" s="221" t="s">
        <v>3248</v>
      </c>
      <c r="W1687" s="221" t="s">
        <v>3252</v>
      </c>
      <c r="X1687" s="221" t="s">
        <v>3513</v>
      </c>
      <c r="Y1687" s="227"/>
      <c r="Z1687" s="227" t="str">
        <f>P1687</f>
        <v>NGENEP UTARA RW 03 MALANG</v>
      </c>
      <c r="AA1687" s="276" t="e">
        <f>VLOOKUP(Logfile_S[[#This Row],[DO number]],DO_DB!G:I,3,0)</f>
        <v>#N/A</v>
      </c>
      <c r="AB1687" s="331" t="e">
        <f>EXACT(Logfile_S[[#This Row],[date pick]],Logfile_S[[#This Row],[Date]])</f>
        <v>#N/A</v>
      </c>
      <c r="AC16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88" spans="1:29" ht="14.5">
      <c r="A1688" s="220" t="str">
        <f>TEXT(ROW(A1688)-ROW($A$4),"000")</f>
        <v>1684</v>
      </c>
      <c r="B1688" s="221"/>
      <c r="C1688" s="221" t="s">
        <v>49</v>
      </c>
      <c r="D1688" s="221" t="s">
        <v>4206</v>
      </c>
      <c r="E1688" s="221" t="s">
        <v>3295</v>
      </c>
      <c r="F1688" s="221" t="s">
        <v>3299</v>
      </c>
      <c r="G1688" s="222">
        <v>45540</v>
      </c>
      <c r="H1688" s="223">
        <v>0.59513888888888888</v>
      </c>
      <c r="I1688" s="221" t="s">
        <v>4916</v>
      </c>
      <c r="J1688" s="221" t="s">
        <v>3023</v>
      </c>
      <c r="K1688" s="224" t="s">
        <v>3069</v>
      </c>
      <c r="L1688" s="225" t="str">
        <f>VLOOKUP(Logfile_S[[#This Row],[Material Name]],Sheet2!B:C,2,0)</f>
        <v>ZTE1001</v>
      </c>
      <c r="M1688" s="225" t="str">
        <f>_xlfn.XLOOKUP(Logfile_S[[#This Row],[Material Name]],Sum_WH!E:E,Sum_WH!F:F,"",0)</f>
        <v>Pcs</v>
      </c>
      <c r="N1688" s="221">
        <v>15</v>
      </c>
      <c r="O1688" s="221" t="s">
        <v>2025</v>
      </c>
      <c r="P1688" s="221" t="s">
        <v>2026</v>
      </c>
      <c r="Q1688" s="221"/>
      <c r="R1688" s="221"/>
      <c r="S1688" s="221"/>
      <c r="T1688" s="221" t="s">
        <v>3244</v>
      </c>
      <c r="U1688" s="221">
        <v>0</v>
      </c>
      <c r="V1688" s="221" t="s">
        <v>3248</v>
      </c>
      <c r="W1688" s="221" t="s">
        <v>3252</v>
      </c>
      <c r="X1688" s="221"/>
      <c r="Y1688" s="227"/>
      <c r="Z1688" s="227" t="str">
        <f>P1688</f>
        <v>NGENEP UTARA RW 03 MALANG</v>
      </c>
      <c r="AA1688" s="276" t="e">
        <f>VLOOKUP(Logfile_S[[#This Row],[DO number]],DO_DB!G:I,3,0)</f>
        <v>#N/A</v>
      </c>
      <c r="AB1688" s="331" t="e">
        <f>EXACT(Logfile_S[[#This Row],[date pick]],Logfile_S[[#This Row],[Date]])</f>
        <v>#N/A</v>
      </c>
      <c r="AC16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89" spans="1:29" ht="14.5">
      <c r="A1689" s="220" t="str">
        <f>TEXT(ROW(A1689)-ROW($A$4),"000")</f>
        <v>1685</v>
      </c>
      <c r="B1689" s="221"/>
      <c r="C1689" s="221" t="s">
        <v>49</v>
      </c>
      <c r="D1689" s="221" t="s">
        <v>4211</v>
      </c>
      <c r="E1689" s="221" t="s">
        <v>3295</v>
      </c>
      <c r="F1689" s="221" t="s">
        <v>3299</v>
      </c>
      <c r="G1689" s="222">
        <v>45541</v>
      </c>
      <c r="H1689" s="223">
        <v>0.80069444444444449</v>
      </c>
      <c r="I1689" s="221" t="s">
        <v>4916</v>
      </c>
      <c r="J1689" s="221" t="s">
        <v>3024</v>
      </c>
      <c r="K1689" s="224" t="s">
        <v>3091</v>
      </c>
      <c r="L1689" s="225" t="str">
        <f>VLOOKUP(Logfile_S[[#This Row],[Material Name]],Sheet2!B:C,2,0)</f>
        <v>GCI1005</v>
      </c>
      <c r="M1689" s="225" t="str">
        <f>_xlfn.XLOOKUP(Logfile_S[[#This Row],[Material Name]],Sum_WH!E:E,Sum_WH!F:F,"",0)</f>
        <v>Pcs</v>
      </c>
      <c r="N1689" s="221">
        <v>12</v>
      </c>
      <c r="O1689" s="221" t="s">
        <v>2025</v>
      </c>
      <c r="P1689" s="221" t="s">
        <v>2026</v>
      </c>
      <c r="Q1689" s="221"/>
      <c r="R1689" s="221"/>
      <c r="S1689" s="221"/>
      <c r="T1689" s="221" t="s">
        <v>3244</v>
      </c>
      <c r="U1689" s="221">
        <v>0</v>
      </c>
      <c r="V1689" s="221" t="s">
        <v>3248</v>
      </c>
      <c r="W1689" s="221" t="s">
        <v>3252</v>
      </c>
      <c r="X1689" s="221"/>
      <c r="Y1689" s="227"/>
      <c r="Z1689" s="227" t="str">
        <f>P1689</f>
        <v>NGENEP UTARA RW 03 MALANG</v>
      </c>
      <c r="AA1689" s="276" t="e">
        <f>VLOOKUP(Logfile_S[[#This Row],[DO number]],DO_DB!G:I,3,0)</f>
        <v>#N/A</v>
      </c>
      <c r="AB1689" s="331" t="e">
        <f>EXACT(Logfile_S[[#This Row],[date pick]],Logfile_S[[#This Row],[Date]])</f>
        <v>#N/A</v>
      </c>
      <c r="AC16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90" spans="1:29" ht="14.5">
      <c r="A1690" s="220" t="str">
        <f>TEXT(ROW(A1690)-ROW($A$4),"000")</f>
        <v>1686</v>
      </c>
      <c r="B1690" s="221"/>
      <c r="C1690" s="221" t="s">
        <v>49</v>
      </c>
      <c r="D1690" s="221" t="s">
        <v>4211</v>
      </c>
      <c r="E1690" s="221" t="s">
        <v>3295</v>
      </c>
      <c r="F1690" s="221" t="s">
        <v>3299</v>
      </c>
      <c r="G1690" s="222">
        <v>45541</v>
      </c>
      <c r="H1690" s="223">
        <v>0.80069444444444449</v>
      </c>
      <c r="I1690" s="221" t="s">
        <v>4916</v>
      </c>
      <c r="J1690" s="221" t="s">
        <v>3024</v>
      </c>
      <c r="K1690" s="224" t="s">
        <v>3087</v>
      </c>
      <c r="L1690" s="225" t="str">
        <f>VLOOKUP(Logfile_S[[#This Row],[Material Name]],Sheet2!B:C,2,0)</f>
        <v>GCI1001</v>
      </c>
      <c r="M1690" s="225" t="str">
        <f>_xlfn.XLOOKUP(Logfile_S[[#This Row],[Material Name]],Sum_WH!E:E,Sum_WH!F:F,"",0)</f>
        <v>Pcs</v>
      </c>
      <c r="N1690" s="221">
        <v>8</v>
      </c>
      <c r="O1690" s="221" t="s">
        <v>2025</v>
      </c>
      <c r="P1690" s="221" t="s">
        <v>2026</v>
      </c>
      <c r="Q1690" s="221"/>
      <c r="R1690" s="221"/>
      <c r="S1690" s="221"/>
      <c r="T1690" s="221" t="s">
        <v>3244</v>
      </c>
      <c r="U1690" s="221">
        <v>0</v>
      </c>
      <c r="V1690" s="221" t="s">
        <v>3248</v>
      </c>
      <c r="W1690" s="221" t="s">
        <v>3252</v>
      </c>
      <c r="X1690" s="221"/>
      <c r="Y1690" s="227"/>
      <c r="Z1690" s="227" t="str">
        <f>P1690</f>
        <v>NGENEP UTARA RW 03 MALANG</v>
      </c>
      <c r="AA1690" s="276" t="e">
        <f>VLOOKUP(Logfile_S[[#This Row],[DO number]],DO_DB!G:I,3,0)</f>
        <v>#N/A</v>
      </c>
      <c r="AB1690" s="331" t="e">
        <f>EXACT(Logfile_S[[#This Row],[date pick]],Logfile_S[[#This Row],[Date]])</f>
        <v>#N/A</v>
      </c>
      <c r="AC16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91" spans="1:29" ht="14.5">
      <c r="A1691" s="220" t="str">
        <f>TEXT(ROW(A1691)-ROW($A$4),"000")</f>
        <v>1687</v>
      </c>
      <c r="B1691" s="221"/>
      <c r="C1691" s="221" t="s">
        <v>49</v>
      </c>
      <c r="D1691" s="221" t="s">
        <v>4211</v>
      </c>
      <c r="E1691" s="221" t="s">
        <v>3295</v>
      </c>
      <c r="F1691" s="221" t="s">
        <v>3299</v>
      </c>
      <c r="G1691" s="222">
        <v>45541</v>
      </c>
      <c r="H1691" s="223">
        <v>0.80069444444444449</v>
      </c>
      <c r="I1691" s="221" t="s">
        <v>4916</v>
      </c>
      <c r="J1691" s="221" t="s">
        <v>3024</v>
      </c>
      <c r="K1691" s="224" t="s">
        <v>5137</v>
      </c>
      <c r="L1691" s="225" t="str">
        <f>VLOOKUP(Logfile_S[[#This Row],[Material Name]],Sheet2!B:C,2,0)</f>
        <v>GCI1009</v>
      </c>
      <c r="M1691" s="225" t="str">
        <f>_xlfn.XLOOKUP(Logfile_S[[#This Row],[Material Name]],Sum_WH!E:E,Sum_WH!F:F,"",0)</f>
        <v>Pcs</v>
      </c>
      <c r="N1691" s="221">
        <v>30</v>
      </c>
      <c r="O1691" s="221" t="s">
        <v>2025</v>
      </c>
      <c r="P1691" s="221" t="s">
        <v>2026</v>
      </c>
      <c r="Q1691" s="221"/>
      <c r="R1691" s="221"/>
      <c r="S1691" s="221"/>
      <c r="T1691" s="221" t="s">
        <v>3244</v>
      </c>
      <c r="U1691" s="221">
        <v>0</v>
      </c>
      <c r="V1691" s="221" t="s">
        <v>3248</v>
      </c>
      <c r="W1691" s="221" t="s">
        <v>3252</v>
      </c>
      <c r="X1691" s="221"/>
      <c r="Y1691" s="227"/>
      <c r="Z1691" s="227" t="str">
        <f>P1691</f>
        <v>NGENEP UTARA RW 03 MALANG</v>
      </c>
      <c r="AA1691" s="276" t="e">
        <f>VLOOKUP(Logfile_S[[#This Row],[DO number]],DO_DB!G:I,3,0)</f>
        <v>#N/A</v>
      </c>
      <c r="AB1691" s="331" t="e">
        <f>EXACT(Logfile_S[[#This Row],[date pick]],Logfile_S[[#This Row],[Date]])</f>
        <v>#N/A</v>
      </c>
      <c r="AC16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92" spans="1:29" ht="14.5">
      <c r="A1692" s="220" t="str">
        <f>TEXT(ROW(A1692)-ROW($A$4),"000")</f>
        <v>1688</v>
      </c>
      <c r="B1692" s="221"/>
      <c r="C1692" s="221" t="s">
        <v>49</v>
      </c>
      <c r="D1692" s="221" t="s">
        <v>4211</v>
      </c>
      <c r="E1692" s="221" t="s">
        <v>3295</v>
      </c>
      <c r="F1692" s="221" t="s">
        <v>3299</v>
      </c>
      <c r="G1692" s="222">
        <v>45541</v>
      </c>
      <c r="H1692" s="223">
        <v>0.80069444444444449</v>
      </c>
      <c r="I1692" s="221" t="s">
        <v>4916</v>
      </c>
      <c r="J1692" s="221" t="s">
        <v>3024</v>
      </c>
      <c r="K1692" s="224" t="s">
        <v>3088</v>
      </c>
      <c r="L1692" s="225" t="str">
        <f>VLOOKUP(Logfile_S[[#This Row],[Material Name]],Sheet2!B:C,2,0)</f>
        <v>GCI1002</v>
      </c>
      <c r="M1692" s="225" t="str">
        <f>_xlfn.XLOOKUP(Logfile_S[[#This Row],[Material Name]],Sum_WH!E:E,Sum_WH!F:F,"",0)</f>
        <v>Pcs</v>
      </c>
      <c r="N1692" s="221">
        <v>1</v>
      </c>
      <c r="O1692" s="221" t="s">
        <v>2025</v>
      </c>
      <c r="P1692" s="221" t="s">
        <v>2026</v>
      </c>
      <c r="Q1692" s="221"/>
      <c r="R1692" s="221"/>
      <c r="S1692" s="221"/>
      <c r="T1692" s="221" t="s">
        <v>3244</v>
      </c>
      <c r="U1692" s="221">
        <v>0</v>
      </c>
      <c r="V1692" s="221" t="s">
        <v>3248</v>
      </c>
      <c r="W1692" s="221" t="s">
        <v>3252</v>
      </c>
      <c r="X1692" s="221"/>
      <c r="Y1692" s="227"/>
      <c r="Z1692" s="227" t="str">
        <f>P1692</f>
        <v>NGENEP UTARA RW 03 MALANG</v>
      </c>
      <c r="AA1692" s="276" t="e">
        <f>VLOOKUP(Logfile_S[[#This Row],[DO number]],DO_DB!G:I,3,0)</f>
        <v>#N/A</v>
      </c>
      <c r="AB1692" s="331" t="e">
        <f>EXACT(Logfile_S[[#This Row],[date pick]],Logfile_S[[#This Row],[Date]])</f>
        <v>#N/A</v>
      </c>
      <c r="AC16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93" spans="1:29" ht="14.5">
      <c r="A1693" s="220" t="str">
        <f>TEXT(ROW(A1693)-ROW($A$4),"000")</f>
        <v>1689</v>
      </c>
      <c r="B1693" s="221"/>
      <c r="C1693" s="221" t="s">
        <v>49</v>
      </c>
      <c r="D1693" s="221" t="s">
        <v>4211</v>
      </c>
      <c r="E1693" s="221" t="s">
        <v>3295</v>
      </c>
      <c r="F1693" s="221" t="s">
        <v>3299</v>
      </c>
      <c r="G1693" s="222">
        <v>45541</v>
      </c>
      <c r="H1693" s="223">
        <v>0.80069444444444449</v>
      </c>
      <c r="I1693" s="221" t="s">
        <v>4916</v>
      </c>
      <c r="J1693" s="221" t="s">
        <v>3024</v>
      </c>
      <c r="K1693" s="224" t="s">
        <v>3094</v>
      </c>
      <c r="L1693" s="225" t="str">
        <f>VLOOKUP(Logfile_S[[#This Row],[Material Name]],Sheet2!B:C,2,0)</f>
        <v>GCI1008</v>
      </c>
      <c r="M1693" s="225" t="str">
        <f>_xlfn.XLOOKUP(Logfile_S[[#This Row],[Material Name]],Sum_WH!E:E,Sum_WH!F:F,"",0)</f>
        <v>Pcs</v>
      </c>
      <c r="N1693" s="221">
        <v>20</v>
      </c>
      <c r="O1693" s="221" t="s">
        <v>2025</v>
      </c>
      <c r="P1693" s="221" t="s">
        <v>2026</v>
      </c>
      <c r="Q1693" s="221"/>
      <c r="R1693" s="221"/>
      <c r="S1693" s="221"/>
      <c r="T1693" s="221" t="s">
        <v>3244</v>
      </c>
      <c r="U1693" s="221">
        <v>0</v>
      </c>
      <c r="V1693" s="221" t="s">
        <v>3248</v>
      </c>
      <c r="W1693" s="221" t="s">
        <v>3252</v>
      </c>
      <c r="X1693" s="221"/>
      <c r="Y1693" s="227"/>
      <c r="Z1693" s="227" t="str">
        <f>P1693</f>
        <v>NGENEP UTARA RW 03 MALANG</v>
      </c>
      <c r="AA1693" s="276" t="e">
        <f>VLOOKUP(Logfile_S[[#This Row],[DO number]],DO_DB!G:I,3,0)</f>
        <v>#N/A</v>
      </c>
      <c r="AB1693" s="331" t="e">
        <f>EXACT(Logfile_S[[#This Row],[date pick]],Logfile_S[[#This Row],[Date]])</f>
        <v>#N/A</v>
      </c>
      <c r="AC16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94" spans="1:29" ht="14.5">
      <c r="A1694" s="220" t="str">
        <f>TEXT(ROW(A1694)-ROW($A$4),"000")</f>
        <v>1690</v>
      </c>
      <c r="B1694" s="221"/>
      <c r="C1694" s="221" t="s">
        <v>49</v>
      </c>
      <c r="D1694" s="221" t="s">
        <v>4211</v>
      </c>
      <c r="E1694" s="221" t="s">
        <v>3295</v>
      </c>
      <c r="F1694" s="221" t="s">
        <v>3299</v>
      </c>
      <c r="G1694" s="222">
        <v>45541</v>
      </c>
      <c r="H1694" s="223">
        <v>0.80069444444444449</v>
      </c>
      <c r="I1694" s="221" t="s">
        <v>4916</v>
      </c>
      <c r="J1694" s="221" t="s">
        <v>3024</v>
      </c>
      <c r="K1694" s="224" t="s">
        <v>3089</v>
      </c>
      <c r="L1694" s="225" t="str">
        <f>VLOOKUP(Logfile_S[[#This Row],[Material Name]],Sheet2!B:C,2,0)</f>
        <v>GCI1003</v>
      </c>
      <c r="M1694" s="225" t="str">
        <f>_xlfn.XLOOKUP(Logfile_S[[#This Row],[Material Name]],Sum_WH!E:E,Sum_WH!F:F,"",0)</f>
        <v>Pcs</v>
      </c>
      <c r="N1694" s="221">
        <v>26</v>
      </c>
      <c r="O1694" s="221" t="s">
        <v>2025</v>
      </c>
      <c r="P1694" s="221" t="s">
        <v>2026</v>
      </c>
      <c r="Q1694" s="221"/>
      <c r="R1694" s="221"/>
      <c r="S1694" s="221"/>
      <c r="T1694" s="221" t="s">
        <v>3244</v>
      </c>
      <c r="U1694" s="221">
        <v>0</v>
      </c>
      <c r="V1694" s="221" t="s">
        <v>3248</v>
      </c>
      <c r="W1694" s="221" t="s">
        <v>3252</v>
      </c>
      <c r="X1694" s="221"/>
      <c r="Y1694" s="227"/>
      <c r="Z1694" s="227" t="str">
        <f>P1694</f>
        <v>NGENEP UTARA RW 03 MALANG</v>
      </c>
      <c r="AA1694" s="276" t="e">
        <f>VLOOKUP(Logfile_S[[#This Row],[DO number]],DO_DB!G:I,3,0)</f>
        <v>#N/A</v>
      </c>
      <c r="AB1694" s="331" t="e">
        <f>EXACT(Logfile_S[[#This Row],[date pick]],Logfile_S[[#This Row],[Date]])</f>
        <v>#N/A</v>
      </c>
      <c r="AC16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95" spans="1:29" ht="14.5">
      <c r="A1695" s="220" t="str">
        <f>TEXT(ROW(A1695)-ROW($A$4),"000")</f>
        <v>1691</v>
      </c>
      <c r="B1695" s="221"/>
      <c r="C1695" s="221" t="s">
        <v>49</v>
      </c>
      <c r="D1695" s="221" t="s">
        <v>4211</v>
      </c>
      <c r="E1695" s="221" t="s">
        <v>3295</v>
      </c>
      <c r="F1695" s="221" t="s">
        <v>3299</v>
      </c>
      <c r="G1695" s="222">
        <v>45541</v>
      </c>
      <c r="H1695" s="223">
        <v>0.80069444444444449</v>
      </c>
      <c r="I1695" s="221" t="s">
        <v>4916</v>
      </c>
      <c r="J1695" s="221" t="s">
        <v>3024</v>
      </c>
      <c r="K1695" s="224" t="s">
        <v>3090</v>
      </c>
      <c r="L1695" s="225" t="str">
        <f>VLOOKUP(Logfile_S[[#This Row],[Material Name]],Sheet2!B:C,2,0)</f>
        <v>GCI1004</v>
      </c>
      <c r="M1695" s="225" t="str">
        <f>_xlfn.XLOOKUP(Logfile_S[[#This Row],[Material Name]],Sum_WH!E:E,Sum_WH!F:F,"",0)</f>
        <v>Pcs</v>
      </c>
      <c r="N1695" s="221">
        <v>10</v>
      </c>
      <c r="O1695" s="221" t="s">
        <v>2025</v>
      </c>
      <c r="P1695" s="221" t="s">
        <v>2026</v>
      </c>
      <c r="Q1695" s="221"/>
      <c r="R1695" s="221"/>
      <c r="S1695" s="221"/>
      <c r="T1695" s="221" t="s">
        <v>3244</v>
      </c>
      <c r="U1695" s="221">
        <v>0</v>
      </c>
      <c r="V1695" s="221" t="s">
        <v>3248</v>
      </c>
      <c r="W1695" s="221" t="s">
        <v>3252</v>
      </c>
      <c r="X1695" s="221"/>
      <c r="Y1695" s="227"/>
      <c r="Z1695" s="227" t="str">
        <f>P1695</f>
        <v>NGENEP UTARA RW 03 MALANG</v>
      </c>
      <c r="AA1695" s="276" t="e">
        <f>VLOOKUP(Logfile_S[[#This Row],[DO number]],DO_DB!G:I,3,0)</f>
        <v>#N/A</v>
      </c>
      <c r="AB1695" s="331" t="e">
        <f>EXACT(Logfile_S[[#This Row],[date pick]],Logfile_S[[#This Row],[Date]])</f>
        <v>#N/A</v>
      </c>
      <c r="AC16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96" spans="1:29" ht="14.5">
      <c r="A1696" s="220" t="str">
        <f>TEXT(ROW(A1696)-ROW($A$4),"000")</f>
        <v>1692</v>
      </c>
      <c r="B1696" s="221"/>
      <c r="C1696" s="221" t="s">
        <v>49</v>
      </c>
      <c r="D1696" s="221" t="s">
        <v>4216</v>
      </c>
      <c r="E1696" s="221" t="s">
        <v>3295</v>
      </c>
      <c r="F1696" s="221" t="s">
        <v>3299</v>
      </c>
      <c r="G1696" s="222">
        <v>45543</v>
      </c>
      <c r="H1696" s="223">
        <v>0.33194444444444443</v>
      </c>
      <c r="I1696" s="221" t="s">
        <v>4916</v>
      </c>
      <c r="J1696" s="221" t="s">
        <v>3023</v>
      </c>
      <c r="K1696" s="224" t="s">
        <v>13</v>
      </c>
      <c r="L1696" s="225" t="str">
        <f>VLOOKUP(Logfile_S[[#This Row],[Material Name]],Sheet2!B:C,2,0)</f>
        <v>ZTE2008</v>
      </c>
      <c r="M1696" s="225" t="str">
        <f>_xlfn.XLOOKUP(Logfile_S[[#This Row],[Material Name]],Sum_WH!E:E,Sum_WH!F:F,"",0)</f>
        <v>Pcs</v>
      </c>
      <c r="N1696" s="221">
        <v>7</v>
      </c>
      <c r="O1696" s="221" t="s">
        <v>2025</v>
      </c>
      <c r="P1696" s="221" t="s">
        <v>2026</v>
      </c>
      <c r="Q1696" s="221"/>
      <c r="R1696" s="221"/>
      <c r="S1696" s="221"/>
      <c r="T1696" s="221" t="s">
        <v>3231</v>
      </c>
      <c r="U1696" s="221">
        <v>0</v>
      </c>
      <c r="V1696" s="221" t="s">
        <v>3232</v>
      </c>
      <c r="W1696" s="221" t="s">
        <v>3254</v>
      </c>
      <c r="X1696" s="221"/>
      <c r="Y1696" s="227"/>
      <c r="Z1696" s="227" t="str">
        <f>P1696</f>
        <v>NGENEP UTARA RW 03 MALANG</v>
      </c>
      <c r="AA1696" s="276" t="e">
        <f>VLOOKUP(Logfile_S[[#This Row],[DO number]],DO_DB!G:I,3,0)</f>
        <v>#N/A</v>
      </c>
      <c r="AB1696" s="331" t="e">
        <f>EXACT(Logfile_S[[#This Row],[date pick]],Logfile_S[[#This Row],[Date]])</f>
        <v>#N/A</v>
      </c>
      <c r="AC16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97" spans="1:29" ht="14.5">
      <c r="A1697" s="220" t="str">
        <f>TEXT(ROW(A1697)-ROW($A$4),"000")</f>
        <v>1693</v>
      </c>
      <c r="B1697" s="221"/>
      <c r="C1697" s="221" t="s">
        <v>49</v>
      </c>
      <c r="D1697" s="221" t="s">
        <v>4239</v>
      </c>
      <c r="E1697" s="221" t="s">
        <v>3295</v>
      </c>
      <c r="F1697" s="221" t="s">
        <v>3299</v>
      </c>
      <c r="G1697" s="222">
        <v>45561</v>
      </c>
      <c r="H1697" s="223">
        <v>0.64097222222222228</v>
      </c>
      <c r="I1697" s="221" t="s">
        <v>4916</v>
      </c>
      <c r="J1697" s="221" t="s">
        <v>3023</v>
      </c>
      <c r="K1697" s="224" t="s">
        <v>3073</v>
      </c>
      <c r="L1697" s="225" t="str">
        <f>VLOOKUP(Logfile_S[[#This Row],[Material Name]],Sheet2!B:C,2,0)</f>
        <v>ZTE2001</v>
      </c>
      <c r="M1697" s="225" t="str">
        <f>_xlfn.XLOOKUP(Logfile_S[[#This Row],[Material Name]],Sum_WH!E:E,Sum_WH!F:F,"",0)</f>
        <v>Meter</v>
      </c>
      <c r="N1697" s="221">
        <v>3000</v>
      </c>
      <c r="O1697" s="221" t="s">
        <v>2160</v>
      </c>
      <c r="P1697" s="221" t="s">
        <v>2161</v>
      </c>
      <c r="Q1697" s="221"/>
      <c r="R1697" s="221"/>
      <c r="S1697" s="221"/>
      <c r="T1697" s="221" t="s">
        <v>3247</v>
      </c>
      <c r="U1697" s="221" t="s">
        <v>3247</v>
      </c>
      <c r="V1697" s="221" t="s">
        <v>3375</v>
      </c>
      <c r="W1697" s="221" t="s">
        <v>3376</v>
      </c>
      <c r="X1697" s="221"/>
      <c r="Y1697" s="227"/>
      <c r="Z1697" s="227" t="str">
        <f>P1697</f>
        <v>Ngenep RW 10 Malang</v>
      </c>
      <c r="AA1697" s="276" t="e">
        <f>VLOOKUP(Logfile_S[[#This Row],[DO number]],DO_DB!G:I,3,0)</f>
        <v>#N/A</v>
      </c>
      <c r="AB1697" s="331" t="e">
        <f>EXACT(Logfile_S[[#This Row],[date pick]],Logfile_S[[#This Row],[Date]])</f>
        <v>#N/A</v>
      </c>
      <c r="AC16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98" spans="1:29" ht="14.5">
      <c r="A1698" s="220" t="str">
        <f>TEXT(ROW(A1698)-ROW($A$4),"000")</f>
        <v>1694</v>
      </c>
      <c r="B1698" s="221"/>
      <c r="C1698" s="221" t="s">
        <v>49</v>
      </c>
      <c r="D1698" s="221" t="s">
        <v>4236</v>
      </c>
      <c r="E1698" s="221" t="s">
        <v>3295</v>
      </c>
      <c r="F1698" s="221" t="s">
        <v>3299</v>
      </c>
      <c r="G1698" s="222">
        <v>45561</v>
      </c>
      <c r="H1698" s="223">
        <v>0.79027777777777775</v>
      </c>
      <c r="I1698" s="221" t="s">
        <v>4916</v>
      </c>
      <c r="J1698" s="221" t="s">
        <v>3023</v>
      </c>
      <c r="K1698" s="224" t="s">
        <v>13</v>
      </c>
      <c r="L1698" s="225" t="str">
        <f>VLOOKUP(Logfile_S[[#This Row],[Material Name]],Sheet2!B:C,2,0)</f>
        <v>ZTE2008</v>
      </c>
      <c r="M1698" s="225" t="str">
        <f>_xlfn.XLOOKUP(Logfile_S[[#This Row],[Material Name]],Sum_WH!E:E,Sum_WH!F:F,"",0)</f>
        <v>Pcs</v>
      </c>
      <c r="N1698" s="221">
        <v>12</v>
      </c>
      <c r="O1698" s="221" t="s">
        <v>2160</v>
      </c>
      <c r="P1698" s="221" t="s">
        <v>2161</v>
      </c>
      <c r="Q1698" s="221"/>
      <c r="R1698" s="221"/>
      <c r="S1698" s="221"/>
      <c r="T1698" s="221" t="s">
        <v>3474</v>
      </c>
      <c r="U1698" s="221">
        <v>0</v>
      </c>
      <c r="V1698" s="221" t="s">
        <v>3475</v>
      </c>
      <c r="W1698" s="221" t="s">
        <v>3476</v>
      </c>
      <c r="X1698" s="221"/>
      <c r="Y1698" s="227"/>
      <c r="Z1698" s="227" t="str">
        <f>P1698</f>
        <v>Ngenep RW 10 Malang</v>
      </c>
      <c r="AA1698" s="276" t="e">
        <f>VLOOKUP(Logfile_S[[#This Row],[DO number]],DO_DB!G:I,3,0)</f>
        <v>#N/A</v>
      </c>
      <c r="AB1698" s="331" t="e">
        <f>EXACT(Logfile_S[[#This Row],[date pick]],Logfile_S[[#This Row],[Date]])</f>
        <v>#N/A</v>
      </c>
      <c r="AC16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699" spans="1:29" ht="14.5">
      <c r="A1699" s="220" t="str">
        <f>TEXT(ROW(A1699)-ROW($A$4),"000")</f>
        <v>1695</v>
      </c>
      <c r="B1699" s="221"/>
      <c r="C1699" s="221" t="s">
        <v>48</v>
      </c>
      <c r="D1699" s="221" t="s">
        <v>4272</v>
      </c>
      <c r="E1699" s="221" t="s">
        <v>3295</v>
      </c>
      <c r="F1699" s="221" t="s">
        <v>3299</v>
      </c>
      <c r="G1699" s="222">
        <v>45602</v>
      </c>
      <c r="H1699" s="223">
        <v>15.291666666666666</v>
      </c>
      <c r="I1699" s="221" t="s">
        <v>37</v>
      </c>
      <c r="J1699" s="221" t="s">
        <v>3023</v>
      </c>
      <c r="K1699" s="224" t="s">
        <v>3073</v>
      </c>
      <c r="L1699" s="225" t="str">
        <f>VLOOKUP(Logfile_S[[#This Row],[Material Name]],Sheet2!B:C,2,0)</f>
        <v>ZTE2001</v>
      </c>
      <c r="M1699" s="225" t="str">
        <f>_xlfn.XLOOKUP(Logfile_S[[#This Row],[Material Name]],Sum_WH!E:E,Sum_WH!F:F,"",0)</f>
        <v>Meter</v>
      </c>
      <c r="N1699" s="221">
        <v>3000</v>
      </c>
      <c r="O1699" s="221" t="s">
        <v>2360</v>
      </c>
      <c r="P1699" s="221" t="s">
        <v>2361</v>
      </c>
      <c r="Q1699" s="221" t="s">
        <v>2362</v>
      </c>
      <c r="R1699" s="221" t="s">
        <v>2363</v>
      </c>
      <c r="S1699" s="221"/>
      <c r="T1699" s="221"/>
      <c r="U1699" s="221"/>
      <c r="V1699" s="221"/>
      <c r="W1699" s="221"/>
      <c r="X1699" s="221"/>
      <c r="Y1699" s="227" t="s">
        <v>5339</v>
      </c>
      <c r="Z1699" s="227" t="str">
        <f>P1699</f>
        <v>Tambakasri RW 02 Tajinan</v>
      </c>
      <c r="AA1699" s="276">
        <f>VLOOKUP(Logfile_S[[#This Row],[DO number]],DO_DB!G:I,3,0)</f>
        <v>45602</v>
      </c>
      <c r="AB1699" s="331" t="b">
        <f>EXACT(Logfile_S[[#This Row],[date pick]],Logfile_S[[#This Row],[Date]])</f>
        <v>1</v>
      </c>
      <c r="AC16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24C-2024116-04</v>
      </c>
    </row>
    <row r="1700" spans="1:29" ht="14.5">
      <c r="A1700" s="220" t="str">
        <f>TEXT(ROW(A1700)-ROW($A$4),"000")</f>
        <v>1696</v>
      </c>
      <c r="B1700" s="221"/>
      <c r="C1700" s="221" t="s">
        <v>48</v>
      </c>
      <c r="D1700" s="221" t="s">
        <v>4272</v>
      </c>
      <c r="E1700" s="221" t="s">
        <v>3295</v>
      </c>
      <c r="F1700" s="221" t="s">
        <v>3299</v>
      </c>
      <c r="G1700" s="222">
        <v>45602</v>
      </c>
      <c r="H1700" s="223">
        <v>15.291666666666666</v>
      </c>
      <c r="I1700" s="221" t="s">
        <v>37</v>
      </c>
      <c r="J1700" s="221" t="s">
        <v>3023</v>
      </c>
      <c r="K1700" s="224" t="s">
        <v>13</v>
      </c>
      <c r="L1700" s="225" t="str">
        <f>VLOOKUP(Logfile_S[[#This Row],[Material Name]],Sheet2!B:C,2,0)</f>
        <v>ZTE2008</v>
      </c>
      <c r="M1700" s="225" t="str">
        <f>_xlfn.XLOOKUP(Logfile_S[[#This Row],[Material Name]],Sum_WH!E:E,Sum_WH!F:F,"",0)</f>
        <v>Pcs</v>
      </c>
      <c r="N1700" s="221">
        <v>29</v>
      </c>
      <c r="O1700" s="221" t="s">
        <v>2360</v>
      </c>
      <c r="P1700" s="221" t="s">
        <v>2361</v>
      </c>
      <c r="Q1700" s="221" t="s">
        <v>2362</v>
      </c>
      <c r="R1700" s="221" t="s">
        <v>2363</v>
      </c>
      <c r="S1700" s="221"/>
      <c r="T1700" s="221"/>
      <c r="U1700" s="221"/>
      <c r="V1700" s="221"/>
      <c r="W1700" s="221"/>
      <c r="X1700" s="221"/>
      <c r="Y1700" s="227"/>
      <c r="Z1700" s="227" t="str">
        <f>P1700</f>
        <v>Tambakasri RW 02 Tajinan</v>
      </c>
      <c r="AA1700" s="276">
        <f>VLOOKUP(Logfile_S[[#This Row],[DO number]],DO_DB!G:I,3,0)</f>
        <v>45602</v>
      </c>
      <c r="AB1700" s="331" t="b">
        <f>EXACT(Logfile_S[[#This Row],[date pick]],Logfile_S[[#This Row],[Date]])</f>
        <v>1</v>
      </c>
      <c r="AC17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01" spans="1:29" ht="14.5">
      <c r="A1701" s="220" t="str">
        <f>TEXT(ROW(A1701)-ROW($A$4),"000")</f>
        <v>1697</v>
      </c>
      <c r="B1701" s="221"/>
      <c r="C1701" s="221" t="s">
        <v>48</v>
      </c>
      <c r="D1701" s="221" t="s">
        <v>4272</v>
      </c>
      <c r="E1701" s="221" t="s">
        <v>3295</v>
      </c>
      <c r="F1701" s="221" t="s">
        <v>3299</v>
      </c>
      <c r="G1701" s="222">
        <v>45602</v>
      </c>
      <c r="H1701" s="223">
        <v>15.291666666666666</v>
      </c>
      <c r="I1701" s="221" t="s">
        <v>37</v>
      </c>
      <c r="J1701" s="221" t="s">
        <v>3023</v>
      </c>
      <c r="K1701" s="224" t="s">
        <v>15</v>
      </c>
      <c r="L1701" s="225" t="str">
        <f>VLOOKUP(Logfile_S[[#This Row],[Material Name]],Sheet2!B:C,2,0)</f>
        <v>ZTE2006</v>
      </c>
      <c r="M1701" s="225" t="str">
        <f>_xlfn.XLOOKUP(Logfile_S[[#This Row],[Material Name]],Sum_WH!E:E,Sum_WH!F:F,"",0)</f>
        <v>Pcs</v>
      </c>
      <c r="N1701" s="221">
        <v>1</v>
      </c>
      <c r="O1701" s="221" t="s">
        <v>2360</v>
      </c>
      <c r="P1701" s="221" t="s">
        <v>2361</v>
      </c>
      <c r="Q1701" s="221" t="s">
        <v>2362</v>
      </c>
      <c r="R1701" s="221" t="s">
        <v>2363</v>
      </c>
      <c r="S1701" s="221"/>
      <c r="T1701" s="221"/>
      <c r="U1701" s="221"/>
      <c r="V1701" s="221"/>
      <c r="W1701" s="221"/>
      <c r="X1701" s="221"/>
      <c r="Y1701" s="227"/>
      <c r="Z1701" s="227" t="str">
        <f>P1701</f>
        <v>Tambakasri RW 02 Tajinan</v>
      </c>
      <c r="AA1701" s="276">
        <f>VLOOKUP(Logfile_S[[#This Row],[DO number]],DO_DB!G:I,3,0)</f>
        <v>45602</v>
      </c>
      <c r="AB1701" s="331" t="b">
        <f>EXACT(Logfile_S[[#This Row],[date pick]],Logfile_S[[#This Row],[Date]])</f>
        <v>1</v>
      </c>
      <c r="AC17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02" spans="1:29" ht="14.5">
      <c r="A1702" s="220" t="str">
        <f>TEXT(ROW(A1702)-ROW($A$4),"000")</f>
        <v>1698</v>
      </c>
      <c r="B1702" s="221"/>
      <c r="C1702" s="221" t="s">
        <v>48</v>
      </c>
      <c r="D1702" s="221" t="s">
        <v>4272</v>
      </c>
      <c r="E1702" s="221" t="s">
        <v>3295</v>
      </c>
      <c r="F1702" s="221" t="s">
        <v>3299</v>
      </c>
      <c r="G1702" s="222">
        <v>45602</v>
      </c>
      <c r="H1702" s="223">
        <v>15.291666666666666</v>
      </c>
      <c r="I1702" s="221" t="s">
        <v>37</v>
      </c>
      <c r="J1702" s="221" t="s">
        <v>3023</v>
      </c>
      <c r="K1702" s="224" t="s">
        <v>3070</v>
      </c>
      <c r="L1702" s="225" t="str">
        <f>VLOOKUP(Logfile_S[[#This Row],[Material Name]],Sheet2!B:C,2,0)</f>
        <v>ZTE1002</v>
      </c>
      <c r="M1702" s="225" t="str">
        <f>_xlfn.XLOOKUP(Logfile_S[[#This Row],[Material Name]],Sum_WH!E:E,Sum_WH!F:F,"",0)</f>
        <v>Pcs</v>
      </c>
      <c r="N1702" s="221">
        <v>10</v>
      </c>
      <c r="O1702" s="221" t="s">
        <v>2360</v>
      </c>
      <c r="P1702" s="221" t="s">
        <v>2361</v>
      </c>
      <c r="Q1702" s="221" t="s">
        <v>2364</v>
      </c>
      <c r="R1702" s="221" t="s">
        <v>2363</v>
      </c>
      <c r="S1702" s="221"/>
      <c r="T1702" s="221"/>
      <c r="U1702" s="221"/>
      <c r="V1702" s="221"/>
      <c r="W1702" s="221"/>
      <c r="X1702" s="221"/>
      <c r="Y1702" s="227"/>
      <c r="Z1702" s="227" t="str">
        <f>P1702</f>
        <v>Tambakasri RW 02 Tajinan</v>
      </c>
      <c r="AA1702" s="276">
        <f>VLOOKUP(Logfile_S[[#This Row],[DO number]],DO_DB!G:I,3,0)</f>
        <v>45602</v>
      </c>
      <c r="AB1702" s="331" t="b">
        <f>EXACT(Logfile_S[[#This Row],[date pick]],Logfile_S[[#This Row],[Date]])</f>
        <v>1</v>
      </c>
      <c r="AC17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03" spans="1:29" ht="14.5">
      <c r="A1703" s="220" t="str">
        <f>TEXT(ROW(A1703)-ROW($A$4),"000")</f>
        <v>1699</v>
      </c>
      <c r="B1703" s="221"/>
      <c r="C1703" s="221" t="s">
        <v>48</v>
      </c>
      <c r="D1703" s="221" t="s">
        <v>4272</v>
      </c>
      <c r="E1703" s="221" t="s">
        <v>3295</v>
      </c>
      <c r="F1703" s="221" t="s">
        <v>3299</v>
      </c>
      <c r="G1703" s="222">
        <v>45602</v>
      </c>
      <c r="H1703" s="223">
        <v>15.291666666666666</v>
      </c>
      <c r="I1703" s="221" t="s">
        <v>37</v>
      </c>
      <c r="J1703" s="221" t="s">
        <v>3023</v>
      </c>
      <c r="K1703" s="224" t="s">
        <v>3069</v>
      </c>
      <c r="L1703" s="225" t="str">
        <f>VLOOKUP(Logfile_S[[#This Row],[Material Name]],Sheet2!B:C,2,0)</f>
        <v>ZTE1001</v>
      </c>
      <c r="M1703" s="225" t="str">
        <f>_xlfn.XLOOKUP(Logfile_S[[#This Row],[Material Name]],Sum_WH!E:E,Sum_WH!F:F,"",0)</f>
        <v>Pcs</v>
      </c>
      <c r="N1703" s="221">
        <v>81</v>
      </c>
      <c r="O1703" s="221" t="s">
        <v>2360</v>
      </c>
      <c r="P1703" s="221" t="s">
        <v>2361</v>
      </c>
      <c r="Q1703" s="221" t="s">
        <v>2364</v>
      </c>
      <c r="R1703" s="221" t="s">
        <v>2363</v>
      </c>
      <c r="S1703" s="221"/>
      <c r="T1703" s="221"/>
      <c r="U1703" s="221"/>
      <c r="V1703" s="221"/>
      <c r="W1703" s="221"/>
      <c r="X1703" s="221"/>
      <c r="Y1703" s="227"/>
      <c r="Z1703" s="227" t="str">
        <f>P1703</f>
        <v>Tambakasri RW 02 Tajinan</v>
      </c>
      <c r="AA1703" s="276">
        <f>VLOOKUP(Logfile_S[[#This Row],[DO number]],DO_DB!G:I,3,0)</f>
        <v>45602</v>
      </c>
      <c r="AB1703" s="331" t="b">
        <f>EXACT(Logfile_S[[#This Row],[date pick]],Logfile_S[[#This Row],[Date]])</f>
        <v>1</v>
      </c>
      <c r="AC17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04" spans="1:29" ht="14.5">
      <c r="A1704" s="220" t="str">
        <f>TEXT(ROW(A1704)-ROW($A$4),"000")</f>
        <v>1700</v>
      </c>
      <c r="B1704" s="221"/>
      <c r="C1704" s="221" t="s">
        <v>49</v>
      </c>
      <c r="D1704" s="221" t="s">
        <v>4271</v>
      </c>
      <c r="E1704" s="221" t="s">
        <v>3295</v>
      </c>
      <c r="F1704" s="221" t="s">
        <v>3299</v>
      </c>
      <c r="G1704" s="222">
        <v>45602</v>
      </c>
      <c r="H1704" s="223">
        <v>0.35069444444444442</v>
      </c>
      <c r="I1704" s="221" t="s">
        <v>4916</v>
      </c>
      <c r="J1704" s="221" t="s">
        <v>3023</v>
      </c>
      <c r="K1704" s="224" t="s">
        <v>3069</v>
      </c>
      <c r="L1704" s="225" t="str">
        <f>VLOOKUP(Logfile_S[[#This Row],[Material Name]],Sheet2!B:C,2,0)</f>
        <v>ZTE1001</v>
      </c>
      <c r="M1704" s="225" t="str">
        <f>_xlfn.XLOOKUP(Logfile_S[[#This Row],[Material Name]],Sum_WH!E:E,Sum_WH!F:F,"",0)</f>
        <v>Pcs</v>
      </c>
      <c r="N1704" s="221">
        <v>21</v>
      </c>
      <c r="O1704" s="221" t="s">
        <v>2360</v>
      </c>
      <c r="P1704" s="221" t="s">
        <v>2361</v>
      </c>
      <c r="Q1704" s="221"/>
      <c r="R1704" s="221"/>
      <c r="S1704" s="221"/>
      <c r="T1704" s="221" t="s">
        <v>3258</v>
      </c>
      <c r="U1704" s="221">
        <v>0</v>
      </c>
      <c r="V1704" s="221" t="s">
        <v>3337</v>
      </c>
      <c r="W1704" s="221" t="s">
        <v>3338</v>
      </c>
      <c r="X1704" s="221"/>
      <c r="Y1704" s="227"/>
      <c r="Z1704" s="227" t="str">
        <f>P1704</f>
        <v>Tambakasri RW 02 Tajinan</v>
      </c>
      <c r="AA1704" s="276" t="e">
        <f>VLOOKUP(Logfile_S[[#This Row],[DO number]],DO_DB!G:I,3,0)</f>
        <v>#N/A</v>
      </c>
      <c r="AB1704" s="331" t="e">
        <f>EXACT(Logfile_S[[#This Row],[date pick]],Logfile_S[[#This Row],[Date]])</f>
        <v>#N/A</v>
      </c>
      <c r="AC17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05" spans="1:29" ht="14.5">
      <c r="A1705" s="220" t="str">
        <f>TEXT(ROW(A1705)-ROW($A$4),"000")</f>
        <v>1701</v>
      </c>
      <c r="B1705" s="221"/>
      <c r="C1705" s="221" t="s">
        <v>49</v>
      </c>
      <c r="D1705" s="221" t="s">
        <v>4278</v>
      </c>
      <c r="E1705" s="221" t="s">
        <v>3295</v>
      </c>
      <c r="F1705" s="221" t="s">
        <v>3299</v>
      </c>
      <c r="G1705" s="222">
        <v>45616</v>
      </c>
      <c r="H1705" s="223">
        <v>0.70833333333333337</v>
      </c>
      <c r="I1705" s="221" t="s">
        <v>4916</v>
      </c>
      <c r="J1705" s="221" t="s">
        <v>3023</v>
      </c>
      <c r="K1705" s="224" t="s">
        <v>3069</v>
      </c>
      <c r="L1705" s="225" t="str">
        <f>VLOOKUP(Logfile_S[[#This Row],[Material Name]],Sheet2!B:C,2,0)</f>
        <v>ZTE1001</v>
      </c>
      <c r="M1705" s="225" t="str">
        <f>_xlfn.XLOOKUP(Logfile_S[[#This Row],[Material Name]],Sum_WH!E:E,Sum_WH!F:F,"",0)</f>
        <v>Pcs</v>
      </c>
      <c r="N1705" s="221">
        <v>19</v>
      </c>
      <c r="O1705" s="221" t="s">
        <v>2360</v>
      </c>
      <c r="P1705" s="221" t="s">
        <v>2361</v>
      </c>
      <c r="Q1705" s="221"/>
      <c r="R1705" s="221"/>
      <c r="S1705" s="221"/>
      <c r="T1705" s="221" t="s">
        <v>3258</v>
      </c>
      <c r="U1705" s="221">
        <v>0</v>
      </c>
      <c r="V1705" s="221" t="s">
        <v>3337</v>
      </c>
      <c r="W1705" s="221" t="s">
        <v>3338</v>
      </c>
      <c r="X1705" s="221"/>
      <c r="Y1705" s="227"/>
      <c r="Z1705" s="227" t="str">
        <f>P1705</f>
        <v>Tambakasri RW 02 Tajinan</v>
      </c>
      <c r="AA1705" s="276" t="e">
        <f>VLOOKUP(Logfile_S[[#This Row],[DO number]],DO_DB!G:I,3,0)</f>
        <v>#N/A</v>
      </c>
      <c r="AB1705" s="331" t="e">
        <f>EXACT(Logfile_S[[#This Row],[date pick]],Logfile_S[[#This Row],[Date]])</f>
        <v>#N/A</v>
      </c>
      <c r="AC17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06" spans="1:29" ht="14.5">
      <c r="A1706" s="220" t="str">
        <f>TEXT(ROW(A1706)-ROW($A$4),"000")</f>
        <v>1702</v>
      </c>
      <c r="B1706" s="221"/>
      <c r="C1706" s="221" t="s">
        <v>49</v>
      </c>
      <c r="D1706" s="221" t="s">
        <v>4319</v>
      </c>
      <c r="E1706" s="221" t="s">
        <v>3295</v>
      </c>
      <c r="F1706" s="221" t="s">
        <v>3299</v>
      </c>
      <c r="G1706" s="222">
        <v>45665</v>
      </c>
      <c r="H1706" s="223">
        <v>0.69374999999999998</v>
      </c>
      <c r="I1706" s="221" t="s">
        <v>4916</v>
      </c>
      <c r="J1706" s="221" t="s">
        <v>3023</v>
      </c>
      <c r="K1706" s="224" t="s">
        <v>3073</v>
      </c>
      <c r="L1706" s="225" t="str">
        <f>VLOOKUP(Logfile_S[[#This Row],[Material Name]],Sheet2!B:C,2,0)</f>
        <v>ZTE2001</v>
      </c>
      <c r="M1706" s="225" t="str">
        <f>_xlfn.XLOOKUP(Logfile_S[[#This Row],[Material Name]],Sum_WH!E:E,Sum_WH!F:F,"",0)</f>
        <v>Meter</v>
      </c>
      <c r="N1706" s="221">
        <v>3000</v>
      </c>
      <c r="O1706" s="221" t="s">
        <v>2360</v>
      </c>
      <c r="P1706" s="221" t="s">
        <v>2361</v>
      </c>
      <c r="Q1706" s="221"/>
      <c r="R1706" s="221"/>
      <c r="S1706" s="221"/>
      <c r="T1706" s="221" t="s">
        <v>3258</v>
      </c>
      <c r="U1706" s="221" t="s">
        <v>5107</v>
      </c>
      <c r="V1706" s="221" t="s">
        <v>3337</v>
      </c>
      <c r="W1706" s="221" t="s">
        <v>3338</v>
      </c>
      <c r="X1706" s="221"/>
      <c r="Y1706" s="227"/>
      <c r="Z1706" s="227" t="str">
        <f>P1706</f>
        <v>Tambakasri RW 02 Tajinan</v>
      </c>
      <c r="AA1706" s="276" t="e">
        <f>VLOOKUP(Logfile_S[[#This Row],[DO number]],DO_DB!G:I,3,0)</f>
        <v>#N/A</v>
      </c>
      <c r="AB1706" s="331" t="e">
        <f>EXACT(Logfile_S[[#This Row],[date pick]],Logfile_S[[#This Row],[Date]])</f>
        <v>#N/A</v>
      </c>
      <c r="AC17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07" spans="1:29" ht="14.5">
      <c r="A1707" s="220" t="str">
        <f>TEXT(ROW(A1707)-ROW($A$4),"000")</f>
        <v>1703</v>
      </c>
      <c r="B1707" s="221"/>
      <c r="C1707" s="221" t="s">
        <v>49</v>
      </c>
      <c r="D1707" s="221" t="s">
        <v>4319</v>
      </c>
      <c r="E1707" s="221" t="s">
        <v>3295</v>
      </c>
      <c r="F1707" s="221" t="s">
        <v>3299</v>
      </c>
      <c r="G1707" s="222">
        <v>45665</v>
      </c>
      <c r="H1707" s="223">
        <v>0.69374999999999998</v>
      </c>
      <c r="I1707" s="221" t="s">
        <v>4916</v>
      </c>
      <c r="J1707" s="221" t="s">
        <v>3024</v>
      </c>
      <c r="K1707" s="224" t="s">
        <v>3239</v>
      </c>
      <c r="L1707" s="225" t="str">
        <f>VLOOKUP(Logfile_S[[#This Row],[Material Name]],Sheet2!B:C,2,0)</f>
        <v>GCI1001</v>
      </c>
      <c r="M1707" s="225" t="str">
        <f>_xlfn.XLOOKUP(Logfile_S[[#This Row],[Material Name]],Sum_WH!E:E,Sum_WH!F:F,"",0)</f>
        <v>Pcs</v>
      </c>
      <c r="N1707" s="221">
        <v>20</v>
      </c>
      <c r="O1707" s="221" t="s">
        <v>2360</v>
      </c>
      <c r="P1707" s="221" t="s">
        <v>2361</v>
      </c>
      <c r="Q1707" s="221"/>
      <c r="R1707" s="221"/>
      <c r="S1707" s="221"/>
      <c r="T1707" s="221" t="s">
        <v>3258</v>
      </c>
      <c r="U1707" s="221">
        <v>0</v>
      </c>
      <c r="V1707" s="221" t="s">
        <v>3337</v>
      </c>
      <c r="W1707" s="221" t="s">
        <v>3338</v>
      </c>
      <c r="X1707" s="221"/>
      <c r="Y1707" s="227"/>
      <c r="Z1707" s="227" t="str">
        <f>P1707</f>
        <v>Tambakasri RW 02 Tajinan</v>
      </c>
      <c r="AA1707" s="276" t="e">
        <f>VLOOKUP(Logfile_S[[#This Row],[DO number]],DO_DB!G:I,3,0)</f>
        <v>#N/A</v>
      </c>
      <c r="AB1707" s="331" t="e">
        <f>EXACT(Logfile_S[[#This Row],[date pick]],Logfile_S[[#This Row],[Date]])</f>
        <v>#N/A</v>
      </c>
      <c r="AC17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08" spans="1:29" ht="14.5">
      <c r="A1708" s="220" t="str">
        <f>TEXT(ROW(A1708)-ROW($A$4),"000")</f>
        <v>1704</v>
      </c>
      <c r="B1708" s="221"/>
      <c r="C1708" s="221" t="s">
        <v>49</v>
      </c>
      <c r="D1708" s="221" t="s">
        <v>4319</v>
      </c>
      <c r="E1708" s="221" t="s">
        <v>3295</v>
      </c>
      <c r="F1708" s="221" t="s">
        <v>3299</v>
      </c>
      <c r="G1708" s="222">
        <v>45665</v>
      </c>
      <c r="H1708" s="223">
        <v>0.69374999999999998</v>
      </c>
      <c r="I1708" s="221" t="s">
        <v>4916</v>
      </c>
      <c r="J1708" s="221" t="s">
        <v>3024</v>
      </c>
      <c r="K1708" s="224" t="s">
        <v>5137</v>
      </c>
      <c r="L1708" s="225" t="str">
        <f>VLOOKUP(Logfile_S[[#This Row],[Material Name]],Sheet2!B:C,2,0)</f>
        <v>GCI1009</v>
      </c>
      <c r="M1708" s="225" t="str">
        <f>_xlfn.XLOOKUP(Logfile_S[[#This Row],[Material Name]],Sum_WH!E:E,Sum_WH!F:F,"",0)</f>
        <v>Pcs</v>
      </c>
      <c r="N1708" s="221">
        <v>100</v>
      </c>
      <c r="O1708" s="221" t="s">
        <v>2360</v>
      </c>
      <c r="P1708" s="221" t="s">
        <v>2361</v>
      </c>
      <c r="Q1708" s="221"/>
      <c r="R1708" s="221"/>
      <c r="S1708" s="221"/>
      <c r="T1708" s="221" t="s">
        <v>3258</v>
      </c>
      <c r="U1708" s="221">
        <v>0</v>
      </c>
      <c r="V1708" s="221" t="s">
        <v>3337</v>
      </c>
      <c r="W1708" s="221" t="s">
        <v>3338</v>
      </c>
      <c r="X1708" s="221"/>
      <c r="Y1708" s="227"/>
      <c r="Z1708" s="227" t="str">
        <f>P1708</f>
        <v>Tambakasri RW 02 Tajinan</v>
      </c>
      <c r="AA1708" s="276" t="e">
        <f>VLOOKUP(Logfile_S[[#This Row],[DO number]],DO_DB!G:I,3,0)</f>
        <v>#N/A</v>
      </c>
      <c r="AB1708" s="331" t="e">
        <f>EXACT(Logfile_S[[#This Row],[date pick]],Logfile_S[[#This Row],[Date]])</f>
        <v>#N/A</v>
      </c>
      <c r="AC17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09" spans="1:29" ht="14.5">
      <c r="A1709" s="220" t="str">
        <f>TEXT(ROW(A1709)-ROW($A$4),"000")</f>
        <v>1705</v>
      </c>
      <c r="B1709" s="221"/>
      <c r="C1709" s="221" t="s">
        <v>49</v>
      </c>
      <c r="D1709" s="221" t="s">
        <v>4319</v>
      </c>
      <c r="E1709" s="221" t="s">
        <v>3295</v>
      </c>
      <c r="F1709" s="221" t="s">
        <v>3299</v>
      </c>
      <c r="G1709" s="222">
        <v>45665</v>
      </c>
      <c r="H1709" s="223">
        <v>0.69374999999999998</v>
      </c>
      <c r="I1709" s="221" t="s">
        <v>4916</v>
      </c>
      <c r="J1709" s="221" t="s">
        <v>3023</v>
      </c>
      <c r="K1709" s="224" t="s">
        <v>3069</v>
      </c>
      <c r="L1709" s="225" t="str">
        <f>VLOOKUP(Logfile_S[[#This Row],[Material Name]],Sheet2!B:C,2,0)</f>
        <v>ZTE1001</v>
      </c>
      <c r="M1709" s="225" t="str">
        <f>_xlfn.XLOOKUP(Logfile_S[[#This Row],[Material Name]],Sum_WH!E:E,Sum_WH!F:F,"",0)</f>
        <v>Pcs</v>
      </c>
      <c r="N1709" s="221">
        <v>21</v>
      </c>
      <c r="O1709" s="221" t="s">
        <v>2360</v>
      </c>
      <c r="P1709" s="221" t="s">
        <v>2361</v>
      </c>
      <c r="Q1709" s="221"/>
      <c r="R1709" s="221"/>
      <c r="S1709" s="221"/>
      <c r="T1709" s="221" t="s">
        <v>3258</v>
      </c>
      <c r="U1709" s="221">
        <v>0</v>
      </c>
      <c r="V1709" s="221" t="s">
        <v>3337</v>
      </c>
      <c r="W1709" s="221" t="s">
        <v>3338</v>
      </c>
      <c r="X1709" s="221"/>
      <c r="Y1709" s="227"/>
      <c r="Z1709" s="227" t="str">
        <f>P1709</f>
        <v>Tambakasri RW 02 Tajinan</v>
      </c>
      <c r="AA1709" s="276" t="e">
        <f>VLOOKUP(Logfile_S[[#This Row],[DO number]],DO_DB!G:I,3,0)</f>
        <v>#N/A</v>
      </c>
      <c r="AB1709" s="331" t="e">
        <f>EXACT(Logfile_S[[#This Row],[date pick]],Logfile_S[[#This Row],[Date]])</f>
        <v>#N/A</v>
      </c>
      <c r="AC17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10" spans="1:29" ht="14.5">
      <c r="A1710" s="220" t="str">
        <f>TEXT(ROW(A1710)-ROW($A$4),"000")</f>
        <v>1706</v>
      </c>
      <c r="B1710" s="221"/>
      <c r="C1710" s="221" t="s">
        <v>49</v>
      </c>
      <c r="D1710" s="221" t="s">
        <v>4319</v>
      </c>
      <c r="E1710" s="221" t="s">
        <v>3295</v>
      </c>
      <c r="F1710" s="221" t="s">
        <v>3299</v>
      </c>
      <c r="G1710" s="222">
        <v>45665</v>
      </c>
      <c r="H1710" s="223">
        <v>0.69374999999999998</v>
      </c>
      <c r="I1710" s="221" t="s">
        <v>4916</v>
      </c>
      <c r="J1710" s="221" t="s">
        <v>3024</v>
      </c>
      <c r="K1710" s="224" t="s">
        <v>3215</v>
      </c>
      <c r="L1710" s="225" t="str">
        <f>VLOOKUP(Logfile_S[[#This Row],[Material Name]],Sheet2!B:C,2,0)</f>
        <v>GCI1008</v>
      </c>
      <c r="M1710" s="225" t="str">
        <f>_xlfn.XLOOKUP(Logfile_S[[#This Row],[Material Name]],Sum_WH!E:E,Sum_WH!F:F,"",0)</f>
        <v>Pcs</v>
      </c>
      <c r="N1710" s="221">
        <v>30</v>
      </c>
      <c r="O1710" s="221" t="s">
        <v>2360</v>
      </c>
      <c r="P1710" s="221" t="s">
        <v>2361</v>
      </c>
      <c r="Q1710" s="221"/>
      <c r="R1710" s="221"/>
      <c r="S1710" s="221"/>
      <c r="T1710" s="221" t="s">
        <v>3258</v>
      </c>
      <c r="U1710" s="221">
        <v>0</v>
      </c>
      <c r="V1710" s="221" t="s">
        <v>3337</v>
      </c>
      <c r="W1710" s="221" t="s">
        <v>3338</v>
      </c>
      <c r="X1710" s="221"/>
      <c r="Y1710" s="227"/>
      <c r="Z1710" s="227" t="str">
        <f>P1710</f>
        <v>Tambakasri RW 02 Tajinan</v>
      </c>
      <c r="AA1710" s="276" t="e">
        <f>VLOOKUP(Logfile_S[[#This Row],[DO number]],DO_DB!G:I,3,0)</f>
        <v>#N/A</v>
      </c>
      <c r="AB1710" s="331" t="e">
        <f>EXACT(Logfile_S[[#This Row],[date pick]],Logfile_S[[#This Row],[Date]])</f>
        <v>#N/A</v>
      </c>
      <c r="AC17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11" spans="1:29" ht="14.5">
      <c r="A1711" s="220" t="str">
        <f>TEXT(ROW(A1711)-ROW($A$4),"000")</f>
        <v>1707</v>
      </c>
      <c r="B1711" s="221"/>
      <c r="C1711" s="221" t="s">
        <v>49</v>
      </c>
      <c r="D1711" s="221" t="s">
        <v>4319</v>
      </c>
      <c r="E1711" s="221" t="s">
        <v>3295</v>
      </c>
      <c r="F1711" s="221" t="s">
        <v>3299</v>
      </c>
      <c r="G1711" s="222">
        <v>45665</v>
      </c>
      <c r="H1711" s="223">
        <v>0.69374999999999998</v>
      </c>
      <c r="I1711" s="221" t="s">
        <v>4916</v>
      </c>
      <c r="J1711" s="221" t="s">
        <v>3024</v>
      </c>
      <c r="K1711" s="224" t="s">
        <v>3090</v>
      </c>
      <c r="L1711" s="225" t="str">
        <f>VLOOKUP(Logfile_S[[#This Row],[Material Name]],Sheet2!B:C,2,0)</f>
        <v>GCI1004</v>
      </c>
      <c r="M1711" s="225" t="str">
        <f>_xlfn.XLOOKUP(Logfile_S[[#This Row],[Material Name]],Sum_WH!E:E,Sum_WH!F:F,"",0)</f>
        <v>Pcs</v>
      </c>
      <c r="N1711" s="221">
        <v>40</v>
      </c>
      <c r="O1711" s="221" t="s">
        <v>2360</v>
      </c>
      <c r="P1711" s="221" t="s">
        <v>2361</v>
      </c>
      <c r="Q1711" s="221"/>
      <c r="R1711" s="221"/>
      <c r="S1711" s="221"/>
      <c r="T1711" s="221" t="s">
        <v>3258</v>
      </c>
      <c r="U1711" s="221">
        <v>0</v>
      </c>
      <c r="V1711" s="221" t="s">
        <v>3337</v>
      </c>
      <c r="W1711" s="221" t="s">
        <v>3338</v>
      </c>
      <c r="X1711" s="221"/>
      <c r="Y1711" s="227"/>
      <c r="Z1711" s="227" t="str">
        <f>P1711</f>
        <v>Tambakasri RW 02 Tajinan</v>
      </c>
      <c r="AA1711" s="276" t="e">
        <f>VLOOKUP(Logfile_S[[#This Row],[DO number]],DO_DB!G:I,3,0)</f>
        <v>#N/A</v>
      </c>
      <c r="AB1711" s="331" t="e">
        <f>EXACT(Logfile_S[[#This Row],[date pick]],Logfile_S[[#This Row],[Date]])</f>
        <v>#N/A</v>
      </c>
      <c r="AC17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12" spans="1:29" ht="14.5">
      <c r="A1712" s="220" t="str">
        <f>TEXT(ROW(A1712)-ROW($A$4),"000")</f>
        <v>1708</v>
      </c>
      <c r="B1712" s="221"/>
      <c r="C1712" s="221" t="s">
        <v>49</v>
      </c>
      <c r="D1712" s="221" t="s">
        <v>4320</v>
      </c>
      <c r="E1712" s="221" t="s">
        <v>3295</v>
      </c>
      <c r="F1712" s="221" t="s">
        <v>3299</v>
      </c>
      <c r="G1712" s="222">
        <v>45666</v>
      </c>
      <c r="H1712" s="223">
        <v>0.71180555555555558</v>
      </c>
      <c r="I1712" s="221" t="s">
        <v>4916</v>
      </c>
      <c r="J1712" s="221" t="s">
        <v>3023</v>
      </c>
      <c r="K1712" s="224" t="s">
        <v>3070</v>
      </c>
      <c r="L1712" s="225" t="str">
        <f>VLOOKUP(Logfile_S[[#This Row],[Material Name]],Sheet2!B:C,2,0)</f>
        <v>ZTE1002</v>
      </c>
      <c r="M1712" s="225" t="str">
        <f>_xlfn.XLOOKUP(Logfile_S[[#This Row],[Material Name]],Sum_WH!E:E,Sum_WH!F:F,"",0)</f>
        <v>Pcs</v>
      </c>
      <c r="N1712" s="221">
        <v>9</v>
      </c>
      <c r="O1712" s="221" t="s">
        <v>2360</v>
      </c>
      <c r="P1712" s="221" t="s">
        <v>2361</v>
      </c>
      <c r="Q1712" s="221"/>
      <c r="R1712" s="221"/>
      <c r="S1712" s="221"/>
      <c r="T1712" s="221" t="s">
        <v>3258</v>
      </c>
      <c r="U1712" s="221">
        <v>0</v>
      </c>
      <c r="V1712" s="221" t="s">
        <v>3337</v>
      </c>
      <c r="W1712" s="221" t="s">
        <v>3338</v>
      </c>
      <c r="X1712" s="221"/>
      <c r="Y1712" s="227"/>
      <c r="Z1712" s="227" t="str">
        <f>P1712</f>
        <v>Tambakasri RW 02 Tajinan</v>
      </c>
      <c r="AA1712" s="276" t="e">
        <f>VLOOKUP(Logfile_S[[#This Row],[DO number]],DO_DB!G:I,3,0)</f>
        <v>#N/A</v>
      </c>
      <c r="AB1712" s="331" t="e">
        <f>EXACT(Logfile_S[[#This Row],[date pick]],Logfile_S[[#This Row],[Date]])</f>
        <v>#N/A</v>
      </c>
      <c r="AC17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13" spans="1:29" ht="14.5">
      <c r="A1713" s="220" t="str">
        <f>TEXT(ROW(A1713)-ROW($A$4),"000")</f>
        <v>1709</v>
      </c>
      <c r="B1713" s="221"/>
      <c r="C1713" s="221" t="s">
        <v>49</v>
      </c>
      <c r="D1713" s="221" t="s">
        <v>4320</v>
      </c>
      <c r="E1713" s="221" t="s">
        <v>3295</v>
      </c>
      <c r="F1713" s="221" t="s">
        <v>3299</v>
      </c>
      <c r="G1713" s="222">
        <v>45666</v>
      </c>
      <c r="H1713" s="223">
        <v>0.71180555555555558</v>
      </c>
      <c r="I1713" s="221" t="s">
        <v>4916</v>
      </c>
      <c r="J1713" s="221" t="s">
        <v>3023</v>
      </c>
      <c r="K1713" s="224" t="s">
        <v>3069</v>
      </c>
      <c r="L1713" s="225" t="str">
        <f>VLOOKUP(Logfile_S[[#This Row],[Material Name]],Sheet2!B:C,2,0)</f>
        <v>ZTE1001</v>
      </c>
      <c r="M1713" s="225" t="str">
        <f>_xlfn.XLOOKUP(Logfile_S[[#This Row],[Material Name]],Sum_WH!E:E,Sum_WH!F:F,"",0)</f>
        <v>Pcs</v>
      </c>
      <c r="N1713" s="221">
        <v>11</v>
      </c>
      <c r="O1713" s="221" t="s">
        <v>2360</v>
      </c>
      <c r="P1713" s="221" t="s">
        <v>2361</v>
      </c>
      <c r="Q1713" s="221"/>
      <c r="R1713" s="221"/>
      <c r="S1713" s="221"/>
      <c r="T1713" s="221" t="s">
        <v>3258</v>
      </c>
      <c r="U1713" s="221">
        <v>0</v>
      </c>
      <c r="V1713" s="221" t="s">
        <v>3337</v>
      </c>
      <c r="W1713" s="221" t="s">
        <v>3338</v>
      </c>
      <c r="X1713" s="221"/>
      <c r="Y1713" s="227"/>
      <c r="Z1713" s="227" t="str">
        <f>P1713</f>
        <v>Tambakasri RW 02 Tajinan</v>
      </c>
      <c r="AA1713" s="276" t="e">
        <f>VLOOKUP(Logfile_S[[#This Row],[DO number]],DO_DB!G:I,3,0)</f>
        <v>#N/A</v>
      </c>
      <c r="AB1713" s="331" t="e">
        <f>EXACT(Logfile_S[[#This Row],[date pick]],Logfile_S[[#This Row],[Date]])</f>
        <v>#N/A</v>
      </c>
      <c r="AC17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14" spans="1:29" ht="14.5">
      <c r="A1714" s="220" t="str">
        <f>TEXT(ROW(A1714)-ROW($A$4),"000")</f>
        <v>1710</v>
      </c>
      <c r="B1714" s="221"/>
      <c r="C1714" s="221" t="s">
        <v>49</v>
      </c>
      <c r="D1714" s="221" t="s">
        <v>4321</v>
      </c>
      <c r="E1714" s="221" t="s">
        <v>3295</v>
      </c>
      <c r="F1714" s="221" t="s">
        <v>3299</v>
      </c>
      <c r="G1714" s="222">
        <v>45670</v>
      </c>
      <c r="H1714" s="223">
        <v>0.54166666666666663</v>
      </c>
      <c r="I1714" s="221" t="s">
        <v>4916</v>
      </c>
      <c r="J1714" s="221" t="s">
        <v>3024</v>
      </c>
      <c r="K1714" s="224" t="s">
        <v>3091</v>
      </c>
      <c r="L1714" s="225" t="str">
        <f>VLOOKUP(Logfile_S[[#This Row],[Material Name]],Sheet2!B:C,2,0)</f>
        <v>GCI1005</v>
      </c>
      <c r="M1714" s="225" t="str">
        <f>_xlfn.XLOOKUP(Logfile_S[[#This Row],[Material Name]],Sum_WH!E:E,Sum_WH!F:F,"",0)</f>
        <v>Pcs</v>
      </c>
      <c r="N1714" s="221">
        <v>20</v>
      </c>
      <c r="O1714" s="221" t="s">
        <v>2360</v>
      </c>
      <c r="P1714" s="221" t="s">
        <v>2361</v>
      </c>
      <c r="Q1714" s="221"/>
      <c r="R1714" s="221"/>
      <c r="S1714" s="221"/>
      <c r="T1714" s="221" t="s">
        <v>3258</v>
      </c>
      <c r="U1714" s="221">
        <v>0</v>
      </c>
      <c r="V1714" s="221" t="s">
        <v>3337</v>
      </c>
      <c r="W1714" s="221" t="s">
        <v>3338</v>
      </c>
      <c r="X1714" s="221"/>
      <c r="Y1714" s="227"/>
      <c r="Z1714" s="227" t="str">
        <f>P1714</f>
        <v>Tambakasri RW 02 Tajinan</v>
      </c>
      <c r="AA1714" s="276" t="e">
        <f>VLOOKUP(Logfile_S[[#This Row],[DO number]],DO_DB!G:I,3,0)</f>
        <v>#N/A</v>
      </c>
      <c r="AB1714" s="331" t="e">
        <f>EXACT(Logfile_S[[#This Row],[date pick]],Logfile_S[[#This Row],[Date]])</f>
        <v>#N/A</v>
      </c>
      <c r="AC17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15" spans="1:29" ht="14.5">
      <c r="A1715" s="220" t="str">
        <f>TEXT(ROW(A1715)-ROW($A$4),"000")</f>
        <v>1711</v>
      </c>
      <c r="B1715" s="221"/>
      <c r="C1715" s="221" t="s">
        <v>49</v>
      </c>
      <c r="D1715" s="221" t="s">
        <v>4321</v>
      </c>
      <c r="E1715" s="221" t="s">
        <v>3295</v>
      </c>
      <c r="F1715" s="221" t="s">
        <v>3299</v>
      </c>
      <c r="G1715" s="222">
        <v>45670</v>
      </c>
      <c r="H1715" s="223">
        <v>0.54166666666666663</v>
      </c>
      <c r="I1715" s="221" t="s">
        <v>4916</v>
      </c>
      <c r="J1715" s="221" t="s">
        <v>3024</v>
      </c>
      <c r="K1715" s="224" t="s">
        <v>3239</v>
      </c>
      <c r="L1715" s="225" t="str">
        <f>VLOOKUP(Logfile_S[[#This Row],[Material Name]],Sheet2!B:C,2,0)</f>
        <v>GCI1001</v>
      </c>
      <c r="M1715" s="225" t="str">
        <f>_xlfn.XLOOKUP(Logfile_S[[#This Row],[Material Name]],Sum_WH!E:E,Sum_WH!F:F,"",0)</f>
        <v>Pcs</v>
      </c>
      <c r="N1715" s="221">
        <v>3</v>
      </c>
      <c r="O1715" s="221" t="s">
        <v>2360</v>
      </c>
      <c r="P1715" s="221" t="s">
        <v>2361</v>
      </c>
      <c r="Q1715" s="221"/>
      <c r="R1715" s="221"/>
      <c r="S1715" s="221"/>
      <c r="T1715" s="221" t="s">
        <v>3258</v>
      </c>
      <c r="U1715" s="221">
        <v>0</v>
      </c>
      <c r="V1715" s="221" t="s">
        <v>3337</v>
      </c>
      <c r="W1715" s="221" t="s">
        <v>3338</v>
      </c>
      <c r="X1715" s="221"/>
      <c r="Y1715" s="227"/>
      <c r="Z1715" s="227" t="str">
        <f>P1715</f>
        <v>Tambakasri RW 02 Tajinan</v>
      </c>
      <c r="AA1715" s="276" t="e">
        <f>VLOOKUP(Logfile_S[[#This Row],[DO number]],DO_DB!G:I,3,0)</f>
        <v>#N/A</v>
      </c>
      <c r="AB1715" s="331" t="e">
        <f>EXACT(Logfile_S[[#This Row],[date pick]],Logfile_S[[#This Row],[Date]])</f>
        <v>#N/A</v>
      </c>
      <c r="AC17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16" spans="1:29" ht="14.5">
      <c r="A1716" s="220" t="str">
        <f>TEXT(ROW(A1716)-ROW($A$4),"000")</f>
        <v>1712</v>
      </c>
      <c r="B1716" s="221"/>
      <c r="C1716" s="221" t="s">
        <v>49</v>
      </c>
      <c r="D1716" s="221" t="s">
        <v>4321</v>
      </c>
      <c r="E1716" s="221" t="s">
        <v>3295</v>
      </c>
      <c r="F1716" s="221" t="s">
        <v>3299</v>
      </c>
      <c r="G1716" s="222">
        <v>45670</v>
      </c>
      <c r="H1716" s="223">
        <v>0.54166666666666663</v>
      </c>
      <c r="I1716" s="221" t="s">
        <v>4916</v>
      </c>
      <c r="J1716" s="221" t="s">
        <v>3024</v>
      </c>
      <c r="K1716" s="224" t="s">
        <v>3088</v>
      </c>
      <c r="L1716" s="225" t="str">
        <f>VLOOKUP(Logfile_S[[#This Row],[Material Name]],Sheet2!B:C,2,0)</f>
        <v>GCI1002</v>
      </c>
      <c r="M1716" s="225" t="str">
        <f>_xlfn.XLOOKUP(Logfile_S[[#This Row],[Material Name]],Sum_WH!E:E,Sum_WH!F:F,"",0)</f>
        <v>Pcs</v>
      </c>
      <c r="N1716" s="221">
        <v>1</v>
      </c>
      <c r="O1716" s="221" t="s">
        <v>2360</v>
      </c>
      <c r="P1716" s="221" t="s">
        <v>2361</v>
      </c>
      <c r="Q1716" s="221"/>
      <c r="R1716" s="221"/>
      <c r="S1716" s="221"/>
      <c r="T1716" s="221" t="s">
        <v>3258</v>
      </c>
      <c r="U1716" s="221">
        <v>0</v>
      </c>
      <c r="V1716" s="221" t="s">
        <v>3337</v>
      </c>
      <c r="W1716" s="221" t="s">
        <v>3338</v>
      </c>
      <c r="X1716" s="221"/>
      <c r="Y1716" s="227"/>
      <c r="Z1716" s="227" t="str">
        <f>P1716</f>
        <v>Tambakasri RW 02 Tajinan</v>
      </c>
      <c r="AA1716" s="276" t="e">
        <f>VLOOKUP(Logfile_S[[#This Row],[DO number]],DO_DB!G:I,3,0)</f>
        <v>#N/A</v>
      </c>
      <c r="AB1716" s="331" t="e">
        <f>EXACT(Logfile_S[[#This Row],[date pick]],Logfile_S[[#This Row],[Date]])</f>
        <v>#N/A</v>
      </c>
      <c r="AC17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17" spans="1:29" ht="14.5">
      <c r="A1717" s="220" t="str">
        <f>TEXT(ROW(A1717)-ROW($A$4),"000")</f>
        <v>1713</v>
      </c>
      <c r="B1717" s="221"/>
      <c r="C1717" s="221" t="s">
        <v>49</v>
      </c>
      <c r="D1717" s="221" t="s">
        <v>4321</v>
      </c>
      <c r="E1717" s="221" t="s">
        <v>3295</v>
      </c>
      <c r="F1717" s="221" t="s">
        <v>3299</v>
      </c>
      <c r="G1717" s="222">
        <v>45670</v>
      </c>
      <c r="H1717" s="223">
        <v>0.54166666666666663</v>
      </c>
      <c r="I1717" s="221" t="s">
        <v>4916</v>
      </c>
      <c r="J1717" s="221" t="s">
        <v>3023</v>
      </c>
      <c r="K1717" s="224" t="s">
        <v>3070</v>
      </c>
      <c r="L1717" s="225" t="str">
        <f>VLOOKUP(Logfile_S[[#This Row],[Material Name]],Sheet2!B:C,2,0)</f>
        <v>ZTE1002</v>
      </c>
      <c r="M1717" s="225" t="str">
        <f>_xlfn.XLOOKUP(Logfile_S[[#This Row],[Material Name]],Sum_WH!E:E,Sum_WH!F:F,"",0)</f>
        <v>Pcs</v>
      </c>
      <c r="N1717" s="221">
        <v>1</v>
      </c>
      <c r="O1717" s="221" t="s">
        <v>2360</v>
      </c>
      <c r="P1717" s="221" t="s">
        <v>2361</v>
      </c>
      <c r="Q1717" s="221"/>
      <c r="R1717" s="221"/>
      <c r="S1717" s="221"/>
      <c r="T1717" s="221" t="s">
        <v>3258</v>
      </c>
      <c r="U1717" s="221">
        <v>0</v>
      </c>
      <c r="V1717" s="221" t="s">
        <v>3337</v>
      </c>
      <c r="W1717" s="221" t="s">
        <v>3338</v>
      </c>
      <c r="X1717" s="221"/>
      <c r="Y1717" s="227"/>
      <c r="Z1717" s="227" t="str">
        <f>P1717</f>
        <v>Tambakasri RW 02 Tajinan</v>
      </c>
      <c r="AA1717" s="276" t="e">
        <f>VLOOKUP(Logfile_S[[#This Row],[DO number]],DO_DB!G:I,3,0)</f>
        <v>#N/A</v>
      </c>
      <c r="AB1717" s="331" t="e">
        <f>EXACT(Logfile_S[[#This Row],[date pick]],Logfile_S[[#This Row],[Date]])</f>
        <v>#N/A</v>
      </c>
      <c r="AC17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18" spans="1:29" ht="14.5">
      <c r="A1718" s="220" t="str">
        <f>TEXT(ROW(A1718)-ROW($A$4),"000")</f>
        <v>1714</v>
      </c>
      <c r="B1718" s="221"/>
      <c r="C1718" s="221" t="s">
        <v>49</v>
      </c>
      <c r="D1718" s="221" t="s">
        <v>4321</v>
      </c>
      <c r="E1718" s="221" t="s">
        <v>3295</v>
      </c>
      <c r="F1718" s="221" t="s">
        <v>3299</v>
      </c>
      <c r="G1718" s="222">
        <v>45670</v>
      </c>
      <c r="H1718" s="223">
        <v>0.54166666666666663</v>
      </c>
      <c r="I1718" s="221" t="s">
        <v>4916</v>
      </c>
      <c r="J1718" s="221" t="s">
        <v>3024</v>
      </c>
      <c r="K1718" s="224" t="s">
        <v>3215</v>
      </c>
      <c r="L1718" s="225" t="str">
        <f>VLOOKUP(Logfile_S[[#This Row],[Material Name]],Sheet2!B:C,2,0)</f>
        <v>GCI1008</v>
      </c>
      <c r="M1718" s="225" t="str">
        <f>_xlfn.XLOOKUP(Logfile_S[[#This Row],[Material Name]],Sum_WH!E:E,Sum_WH!F:F,"",0)</f>
        <v>Pcs</v>
      </c>
      <c r="N1718" s="221">
        <v>20</v>
      </c>
      <c r="O1718" s="221" t="s">
        <v>2360</v>
      </c>
      <c r="P1718" s="221" t="s">
        <v>2361</v>
      </c>
      <c r="Q1718" s="221"/>
      <c r="R1718" s="221"/>
      <c r="S1718" s="221"/>
      <c r="T1718" s="221" t="s">
        <v>3258</v>
      </c>
      <c r="U1718" s="221">
        <v>0</v>
      </c>
      <c r="V1718" s="221" t="s">
        <v>3337</v>
      </c>
      <c r="W1718" s="221" t="s">
        <v>3338</v>
      </c>
      <c r="X1718" s="221"/>
      <c r="Y1718" s="227"/>
      <c r="Z1718" s="227" t="str">
        <f>P1718</f>
        <v>Tambakasri RW 02 Tajinan</v>
      </c>
      <c r="AA1718" s="276" t="e">
        <f>VLOOKUP(Logfile_S[[#This Row],[DO number]],DO_DB!G:I,3,0)</f>
        <v>#N/A</v>
      </c>
      <c r="AB1718" s="331" t="e">
        <f>EXACT(Logfile_S[[#This Row],[date pick]],Logfile_S[[#This Row],[Date]])</f>
        <v>#N/A</v>
      </c>
      <c r="AC17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19" spans="1:29" ht="14.5">
      <c r="A1719" s="220" t="str">
        <f>TEXT(ROW(A1719)-ROW($A$4),"000")</f>
        <v>1715</v>
      </c>
      <c r="B1719" s="221"/>
      <c r="C1719" s="221" t="s">
        <v>49</v>
      </c>
      <c r="D1719" s="221" t="s">
        <v>4321</v>
      </c>
      <c r="E1719" s="221" t="s">
        <v>3295</v>
      </c>
      <c r="F1719" s="221" t="s">
        <v>3299</v>
      </c>
      <c r="G1719" s="222">
        <v>45670</v>
      </c>
      <c r="H1719" s="223">
        <v>0.54166666666666663</v>
      </c>
      <c r="I1719" s="221" t="s">
        <v>4916</v>
      </c>
      <c r="J1719" s="221" t="s">
        <v>3024</v>
      </c>
      <c r="K1719" s="224" t="s">
        <v>3089</v>
      </c>
      <c r="L1719" s="225" t="str">
        <f>VLOOKUP(Logfile_S[[#This Row],[Material Name]],Sheet2!B:C,2,0)</f>
        <v>GCI1003</v>
      </c>
      <c r="M1719" s="225" t="str">
        <f>_xlfn.XLOOKUP(Logfile_S[[#This Row],[Material Name]],Sum_WH!E:E,Sum_WH!F:F,"",0)</f>
        <v>Pcs</v>
      </c>
      <c r="N1719" s="221">
        <v>50</v>
      </c>
      <c r="O1719" s="221" t="s">
        <v>2360</v>
      </c>
      <c r="P1719" s="221" t="s">
        <v>2361</v>
      </c>
      <c r="Q1719" s="221"/>
      <c r="R1719" s="221"/>
      <c r="S1719" s="221"/>
      <c r="T1719" s="221" t="s">
        <v>3258</v>
      </c>
      <c r="U1719" s="221">
        <v>0</v>
      </c>
      <c r="V1719" s="221" t="s">
        <v>3337</v>
      </c>
      <c r="W1719" s="221" t="s">
        <v>3338</v>
      </c>
      <c r="X1719" s="221"/>
      <c r="Y1719" s="227"/>
      <c r="Z1719" s="227" t="str">
        <f>P1719</f>
        <v>Tambakasri RW 02 Tajinan</v>
      </c>
      <c r="AA1719" s="276" t="e">
        <f>VLOOKUP(Logfile_S[[#This Row],[DO number]],DO_DB!G:I,3,0)</f>
        <v>#N/A</v>
      </c>
      <c r="AB1719" s="331" t="e">
        <f>EXACT(Logfile_S[[#This Row],[date pick]],Logfile_S[[#This Row],[Date]])</f>
        <v>#N/A</v>
      </c>
      <c r="AC17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20" spans="1:29" ht="14.5">
      <c r="A1720" s="220" t="str">
        <f>TEXT(ROW(A1720)-ROW($A$4),"000")</f>
        <v>1716</v>
      </c>
      <c r="B1720" s="221"/>
      <c r="C1720" s="221" t="s">
        <v>49</v>
      </c>
      <c r="D1720" s="221" t="s">
        <v>4322</v>
      </c>
      <c r="E1720" s="221" t="s">
        <v>3295</v>
      </c>
      <c r="F1720" s="221" t="s">
        <v>3299</v>
      </c>
      <c r="G1720" s="222">
        <v>45671</v>
      </c>
      <c r="H1720" s="223">
        <v>0.87708333333333333</v>
      </c>
      <c r="I1720" s="221" t="s">
        <v>4916</v>
      </c>
      <c r="J1720" s="221" t="s">
        <v>3023</v>
      </c>
      <c r="K1720" s="224" t="s">
        <v>13</v>
      </c>
      <c r="L1720" s="225" t="str">
        <f>VLOOKUP(Logfile_S[[#This Row],[Material Name]],Sheet2!B:C,2,0)</f>
        <v>ZTE2008</v>
      </c>
      <c r="M1720" s="225" t="str">
        <f>_xlfn.XLOOKUP(Logfile_S[[#This Row],[Material Name]],Sum_WH!E:E,Sum_WH!F:F,"",0)</f>
        <v>Pcs</v>
      </c>
      <c r="N1720" s="221">
        <v>27</v>
      </c>
      <c r="O1720" s="221" t="s">
        <v>2360</v>
      </c>
      <c r="P1720" s="221" t="s">
        <v>2361</v>
      </c>
      <c r="Q1720" s="221"/>
      <c r="R1720" s="221"/>
      <c r="S1720" s="221"/>
      <c r="T1720" s="221" t="s">
        <v>3356</v>
      </c>
      <c r="U1720" s="221">
        <v>0</v>
      </c>
      <c r="V1720" s="221">
        <v>0</v>
      </c>
      <c r="W1720" s="221" t="s">
        <v>3358</v>
      </c>
      <c r="X1720" s="221"/>
      <c r="Y1720" s="227"/>
      <c r="Z1720" s="227" t="str">
        <f>P1720</f>
        <v>Tambakasri RW 02 Tajinan</v>
      </c>
      <c r="AA1720" s="276" t="e">
        <f>VLOOKUP(Logfile_S[[#This Row],[DO number]],DO_DB!G:I,3,0)</f>
        <v>#N/A</v>
      </c>
      <c r="AB1720" s="331" t="e">
        <f>EXACT(Logfile_S[[#This Row],[date pick]],Logfile_S[[#This Row],[Date]])</f>
        <v>#N/A</v>
      </c>
      <c r="AC17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21" spans="1:29" ht="14.5">
      <c r="A1721" s="220" t="str">
        <f>TEXT(ROW(A1721)-ROW($A$4),"000")</f>
        <v>1717</v>
      </c>
      <c r="B1721" s="221"/>
      <c r="C1721" s="221" t="s">
        <v>49</v>
      </c>
      <c r="D1721" s="221" t="s">
        <v>4322</v>
      </c>
      <c r="E1721" s="221" t="s">
        <v>3295</v>
      </c>
      <c r="F1721" s="221" t="s">
        <v>3299</v>
      </c>
      <c r="G1721" s="222">
        <v>45671</v>
      </c>
      <c r="H1721" s="223">
        <v>0.87708333333333333</v>
      </c>
      <c r="I1721" s="221" t="s">
        <v>4916</v>
      </c>
      <c r="J1721" s="221" t="s">
        <v>3023</v>
      </c>
      <c r="K1721" s="224" t="s">
        <v>15</v>
      </c>
      <c r="L1721" s="225" t="str">
        <f>VLOOKUP(Logfile_S[[#This Row],[Material Name]],Sheet2!B:C,2,0)</f>
        <v>ZTE2006</v>
      </c>
      <c r="M1721" s="225" t="str">
        <f>_xlfn.XLOOKUP(Logfile_S[[#This Row],[Material Name]],Sum_WH!E:E,Sum_WH!F:F,"",0)</f>
        <v>Pcs</v>
      </c>
      <c r="N1721" s="221">
        <v>1</v>
      </c>
      <c r="O1721" s="221" t="s">
        <v>2360</v>
      </c>
      <c r="P1721" s="221" t="s">
        <v>2361</v>
      </c>
      <c r="Q1721" s="221"/>
      <c r="R1721" s="221"/>
      <c r="S1721" s="221"/>
      <c r="T1721" s="221" t="s">
        <v>3356</v>
      </c>
      <c r="U1721" s="221">
        <v>0</v>
      </c>
      <c r="V1721" s="221">
        <v>0</v>
      </c>
      <c r="W1721" s="221" t="s">
        <v>3358</v>
      </c>
      <c r="X1721" s="221"/>
      <c r="Y1721" s="227"/>
      <c r="Z1721" s="227" t="str">
        <f>P1721</f>
        <v>Tambakasri RW 02 Tajinan</v>
      </c>
      <c r="AA1721" s="276" t="e">
        <f>VLOOKUP(Logfile_S[[#This Row],[DO number]],DO_DB!G:I,3,0)</f>
        <v>#N/A</v>
      </c>
      <c r="AB1721" s="331" t="e">
        <f>EXACT(Logfile_S[[#This Row],[date pick]],Logfile_S[[#This Row],[Date]])</f>
        <v>#N/A</v>
      </c>
      <c r="AC17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22" spans="1:29" ht="14.5">
      <c r="A1722" s="220" t="str">
        <f>TEXT(ROW(A1722)-ROW($A$4),"000")</f>
        <v>1718</v>
      </c>
      <c r="B1722" s="221"/>
      <c r="C1722" s="221" t="s">
        <v>49</v>
      </c>
      <c r="D1722" s="221" t="s">
        <v>4322</v>
      </c>
      <c r="E1722" s="221" t="s">
        <v>3295</v>
      </c>
      <c r="F1722" s="221" t="s">
        <v>3299</v>
      </c>
      <c r="G1722" s="222">
        <v>45671</v>
      </c>
      <c r="H1722" s="223">
        <v>0.87708333333333333</v>
      </c>
      <c r="I1722" s="221" t="s">
        <v>4916</v>
      </c>
      <c r="J1722" s="221" t="s">
        <v>3023</v>
      </c>
      <c r="K1722" s="224" t="s">
        <v>3072</v>
      </c>
      <c r="L1722" s="225" t="str">
        <f>VLOOKUP(Logfile_S[[#This Row],[Material Name]],Sheet2!B:C,2,0)</f>
        <v>ZTE1004</v>
      </c>
      <c r="M1722" s="225" t="str">
        <f>_xlfn.XLOOKUP(Logfile_S[[#This Row],[Material Name]],Sum_WH!E:E,Sum_WH!F:F,"",0)</f>
        <v>Pcs</v>
      </c>
      <c r="N1722" s="221">
        <v>1</v>
      </c>
      <c r="O1722" s="221" t="s">
        <v>2360</v>
      </c>
      <c r="P1722" s="221" t="s">
        <v>2361</v>
      </c>
      <c r="Q1722" s="221"/>
      <c r="R1722" s="221"/>
      <c r="S1722" s="221"/>
      <c r="T1722" s="221" t="s">
        <v>3356</v>
      </c>
      <c r="U1722" s="221">
        <v>0</v>
      </c>
      <c r="V1722" s="221">
        <v>0</v>
      </c>
      <c r="W1722" s="221" t="s">
        <v>3358</v>
      </c>
      <c r="X1722" s="221"/>
      <c r="Y1722" s="227"/>
      <c r="Z1722" s="227" t="str">
        <f>P1722</f>
        <v>Tambakasri RW 02 Tajinan</v>
      </c>
      <c r="AA1722" s="276" t="e">
        <f>VLOOKUP(Logfile_S[[#This Row],[DO number]],DO_DB!G:I,3,0)</f>
        <v>#N/A</v>
      </c>
      <c r="AB1722" s="331" t="e">
        <f>EXACT(Logfile_S[[#This Row],[date pick]],Logfile_S[[#This Row],[Date]])</f>
        <v>#N/A</v>
      </c>
      <c r="AC17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23" spans="1:29" ht="14.5">
      <c r="A1723" s="220" t="str">
        <f>TEXT(ROW(A1723)-ROW($A$4),"000")</f>
        <v>1719</v>
      </c>
      <c r="B1723" s="221"/>
      <c r="C1723" s="221" t="s">
        <v>49</v>
      </c>
      <c r="D1723" s="221" t="s">
        <v>4323</v>
      </c>
      <c r="E1723" s="221" t="s">
        <v>3295</v>
      </c>
      <c r="F1723" s="221" t="s">
        <v>3299</v>
      </c>
      <c r="G1723" s="222">
        <v>45672</v>
      </c>
      <c r="H1723" s="223">
        <v>0.54166666666666663</v>
      </c>
      <c r="I1723" s="221" t="s">
        <v>4916</v>
      </c>
      <c r="J1723" s="221" t="s">
        <v>3023</v>
      </c>
      <c r="K1723" s="224" t="s">
        <v>3069</v>
      </c>
      <c r="L1723" s="225" t="str">
        <f>VLOOKUP(Logfile_S[[#This Row],[Material Name]],Sheet2!B:C,2,0)</f>
        <v>ZTE1001</v>
      </c>
      <c r="M1723" s="225" t="str">
        <f>_xlfn.XLOOKUP(Logfile_S[[#This Row],[Material Name]],Sum_WH!E:E,Sum_WH!F:F,"",0)</f>
        <v>Pcs</v>
      </c>
      <c r="N1723" s="221">
        <v>11</v>
      </c>
      <c r="O1723" s="221" t="s">
        <v>2360</v>
      </c>
      <c r="P1723" s="221" t="s">
        <v>2361</v>
      </c>
      <c r="Q1723" s="221"/>
      <c r="R1723" s="221"/>
      <c r="S1723" s="221"/>
      <c r="T1723" s="221" t="s">
        <v>3258</v>
      </c>
      <c r="U1723" s="221">
        <v>0</v>
      </c>
      <c r="V1723" s="221" t="s">
        <v>3337</v>
      </c>
      <c r="W1723" s="221" t="s">
        <v>3338</v>
      </c>
      <c r="X1723" s="221"/>
      <c r="Y1723" s="227"/>
      <c r="Z1723" s="227" t="str">
        <f>P1723</f>
        <v>Tambakasri RW 02 Tajinan</v>
      </c>
      <c r="AA1723" s="276" t="e">
        <f>VLOOKUP(Logfile_S[[#This Row],[DO number]],DO_DB!G:I,3,0)</f>
        <v>#N/A</v>
      </c>
      <c r="AB1723" s="331" t="e">
        <f>EXACT(Logfile_S[[#This Row],[date pick]],Logfile_S[[#This Row],[Date]])</f>
        <v>#N/A</v>
      </c>
      <c r="AC17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24" spans="1:29" ht="14.5">
      <c r="A1724" s="220" t="str">
        <f>TEXT(ROW(A1724)-ROW($A$4),"000")</f>
        <v>1720</v>
      </c>
      <c r="B1724" s="221"/>
      <c r="C1724" s="221" t="s">
        <v>49</v>
      </c>
      <c r="D1724" s="221" t="s">
        <v>4323</v>
      </c>
      <c r="E1724" s="221" t="s">
        <v>3295</v>
      </c>
      <c r="F1724" s="221" t="s">
        <v>3299</v>
      </c>
      <c r="G1724" s="222">
        <v>45672</v>
      </c>
      <c r="H1724" s="223">
        <v>0.54166666666666663</v>
      </c>
      <c r="I1724" s="221" t="s">
        <v>4916</v>
      </c>
      <c r="J1724" s="221" t="s">
        <v>3024</v>
      </c>
      <c r="K1724" s="224" t="s">
        <v>3215</v>
      </c>
      <c r="L1724" s="225" t="str">
        <f>VLOOKUP(Logfile_S[[#This Row],[Material Name]],Sheet2!B:C,2,0)</f>
        <v>GCI1008</v>
      </c>
      <c r="M1724" s="225" t="str">
        <f>_xlfn.XLOOKUP(Logfile_S[[#This Row],[Material Name]],Sum_WH!E:E,Sum_WH!F:F,"",0)</f>
        <v>Pcs</v>
      </c>
      <c r="N1724" s="221">
        <v>20</v>
      </c>
      <c r="O1724" s="221" t="s">
        <v>2360</v>
      </c>
      <c r="P1724" s="221" t="s">
        <v>2361</v>
      </c>
      <c r="Q1724" s="221"/>
      <c r="R1724" s="221"/>
      <c r="S1724" s="221"/>
      <c r="T1724" s="221" t="s">
        <v>3258</v>
      </c>
      <c r="U1724" s="221">
        <v>0</v>
      </c>
      <c r="V1724" s="221" t="s">
        <v>3337</v>
      </c>
      <c r="W1724" s="221" t="s">
        <v>3338</v>
      </c>
      <c r="X1724" s="221"/>
      <c r="Y1724" s="227"/>
      <c r="Z1724" s="227" t="str">
        <f>P1724</f>
        <v>Tambakasri RW 02 Tajinan</v>
      </c>
      <c r="AA1724" s="276" t="e">
        <f>VLOOKUP(Logfile_S[[#This Row],[DO number]],DO_DB!G:I,3,0)</f>
        <v>#N/A</v>
      </c>
      <c r="AB1724" s="331" t="e">
        <f>EXACT(Logfile_S[[#This Row],[date pick]],Logfile_S[[#This Row],[Date]])</f>
        <v>#N/A</v>
      </c>
      <c r="AC17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25" spans="1:29" ht="14.5">
      <c r="A1725" s="220" t="str">
        <f>TEXT(ROW(A1725)-ROW($A$4),"000")</f>
        <v>1721</v>
      </c>
      <c r="B1725" s="221"/>
      <c r="C1725" s="221" t="s">
        <v>49</v>
      </c>
      <c r="D1725" s="221" t="s">
        <v>4323</v>
      </c>
      <c r="E1725" s="221" t="s">
        <v>3295</v>
      </c>
      <c r="F1725" s="221" t="s">
        <v>3299</v>
      </c>
      <c r="G1725" s="222">
        <v>45672</v>
      </c>
      <c r="H1725" s="223">
        <v>0.54166666666666663</v>
      </c>
      <c r="I1725" s="221" t="s">
        <v>4916</v>
      </c>
      <c r="J1725" s="221" t="s">
        <v>3024</v>
      </c>
      <c r="K1725" s="224" t="s">
        <v>3089</v>
      </c>
      <c r="L1725" s="225" t="str">
        <f>VLOOKUP(Logfile_S[[#This Row],[Material Name]],Sheet2!B:C,2,0)</f>
        <v>GCI1003</v>
      </c>
      <c r="M1725" s="225" t="str">
        <f>_xlfn.XLOOKUP(Logfile_S[[#This Row],[Material Name]],Sum_WH!E:E,Sum_WH!F:F,"",0)</f>
        <v>Pcs</v>
      </c>
      <c r="N1725" s="221">
        <v>20</v>
      </c>
      <c r="O1725" s="221" t="s">
        <v>2360</v>
      </c>
      <c r="P1725" s="221" t="s">
        <v>2361</v>
      </c>
      <c r="Q1725" s="221"/>
      <c r="R1725" s="221"/>
      <c r="S1725" s="221"/>
      <c r="T1725" s="221" t="s">
        <v>3258</v>
      </c>
      <c r="U1725" s="221">
        <v>0</v>
      </c>
      <c r="V1725" s="221" t="s">
        <v>3337</v>
      </c>
      <c r="W1725" s="221" t="s">
        <v>3338</v>
      </c>
      <c r="X1725" s="221"/>
      <c r="Y1725" s="227"/>
      <c r="Z1725" s="227" t="str">
        <f>P1725</f>
        <v>Tambakasri RW 02 Tajinan</v>
      </c>
      <c r="AA1725" s="276" t="e">
        <f>VLOOKUP(Logfile_S[[#This Row],[DO number]],DO_DB!G:I,3,0)</f>
        <v>#N/A</v>
      </c>
      <c r="AB1725" s="331" t="e">
        <f>EXACT(Logfile_S[[#This Row],[date pick]],Logfile_S[[#This Row],[Date]])</f>
        <v>#N/A</v>
      </c>
      <c r="AC17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26" spans="1:29" ht="14.5">
      <c r="A1726" s="220" t="str">
        <f>TEXT(ROW(A1726)-ROW($A$4),"000")</f>
        <v>1722</v>
      </c>
      <c r="B1726" s="221"/>
      <c r="C1726" s="221" t="s">
        <v>49</v>
      </c>
      <c r="D1726" s="221" t="s">
        <v>4323</v>
      </c>
      <c r="E1726" s="221" t="s">
        <v>3295</v>
      </c>
      <c r="F1726" s="221" t="s">
        <v>3299</v>
      </c>
      <c r="G1726" s="222">
        <v>45672</v>
      </c>
      <c r="H1726" s="223">
        <v>0.54166666666666663</v>
      </c>
      <c r="I1726" s="221" t="s">
        <v>4916</v>
      </c>
      <c r="J1726" s="221" t="s">
        <v>3024</v>
      </c>
      <c r="K1726" s="224" t="s">
        <v>3090</v>
      </c>
      <c r="L1726" s="225" t="str">
        <f>VLOOKUP(Logfile_S[[#This Row],[Material Name]],Sheet2!B:C,2,0)</f>
        <v>GCI1004</v>
      </c>
      <c r="M1726" s="225" t="str">
        <f>_xlfn.XLOOKUP(Logfile_S[[#This Row],[Material Name]],Sum_WH!E:E,Sum_WH!F:F,"",0)</f>
        <v>Pcs</v>
      </c>
      <c r="N1726" s="221">
        <v>10</v>
      </c>
      <c r="O1726" s="221" t="s">
        <v>2360</v>
      </c>
      <c r="P1726" s="221" t="s">
        <v>2361</v>
      </c>
      <c r="Q1726" s="221"/>
      <c r="R1726" s="221"/>
      <c r="S1726" s="221"/>
      <c r="T1726" s="221" t="s">
        <v>3258</v>
      </c>
      <c r="U1726" s="221">
        <v>0</v>
      </c>
      <c r="V1726" s="221" t="s">
        <v>3337</v>
      </c>
      <c r="W1726" s="221" t="s">
        <v>3338</v>
      </c>
      <c r="X1726" s="221"/>
      <c r="Y1726" s="227"/>
      <c r="Z1726" s="227" t="str">
        <f>P1726</f>
        <v>Tambakasri RW 02 Tajinan</v>
      </c>
      <c r="AA1726" s="276" t="e">
        <f>VLOOKUP(Logfile_S[[#This Row],[DO number]],DO_DB!G:I,3,0)</f>
        <v>#N/A</v>
      </c>
      <c r="AB1726" s="331" t="e">
        <f>EXACT(Logfile_S[[#This Row],[date pick]],Logfile_S[[#This Row],[Date]])</f>
        <v>#N/A</v>
      </c>
      <c r="AC17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27" spans="1:29" ht="14.5">
      <c r="A1727" s="220" t="str">
        <f>TEXT(ROW(A1727)-ROW($A$4),"000")</f>
        <v>1723</v>
      </c>
      <c r="B1727" s="221"/>
      <c r="C1727" s="221" t="s">
        <v>49</v>
      </c>
      <c r="D1727" s="221" t="s">
        <v>4327</v>
      </c>
      <c r="E1727" s="221" t="s">
        <v>3295</v>
      </c>
      <c r="F1727" s="221" t="s">
        <v>3299</v>
      </c>
      <c r="G1727" s="222">
        <v>45684</v>
      </c>
      <c r="H1727" s="223">
        <v>0.56944444444444442</v>
      </c>
      <c r="I1727" s="221" t="s">
        <v>4916</v>
      </c>
      <c r="J1727" s="221" t="s">
        <v>3023</v>
      </c>
      <c r="K1727" s="224" t="s">
        <v>3069</v>
      </c>
      <c r="L1727" s="225" t="str">
        <f>VLOOKUP(Logfile_S[[#This Row],[Material Name]],Sheet2!B:C,2,0)</f>
        <v>ZTE1001</v>
      </c>
      <c r="M1727" s="225" t="str">
        <f>_xlfn.XLOOKUP(Logfile_S[[#This Row],[Material Name]],Sum_WH!E:E,Sum_WH!F:F,"",0)</f>
        <v>Pcs</v>
      </c>
      <c r="N1727" s="221">
        <v>5</v>
      </c>
      <c r="O1727" s="221" t="s">
        <v>2360</v>
      </c>
      <c r="P1727" s="221" t="s">
        <v>2361</v>
      </c>
      <c r="Q1727" s="221"/>
      <c r="R1727" s="221"/>
      <c r="S1727" s="221"/>
      <c r="T1727" s="221" t="s">
        <v>3258</v>
      </c>
      <c r="U1727" s="221">
        <v>0</v>
      </c>
      <c r="V1727" s="221" t="s">
        <v>3337</v>
      </c>
      <c r="W1727" s="221" t="s">
        <v>3338</v>
      </c>
      <c r="X1727" s="221"/>
      <c r="Y1727" s="227"/>
      <c r="Z1727" s="227" t="str">
        <f>P1727</f>
        <v>Tambakasri RW 02 Tajinan</v>
      </c>
      <c r="AA1727" s="276" t="e">
        <f>VLOOKUP(Logfile_S[[#This Row],[DO number]],DO_DB!G:I,3,0)</f>
        <v>#N/A</v>
      </c>
      <c r="AB1727" s="331" t="e">
        <f>EXACT(Logfile_S[[#This Row],[date pick]],Logfile_S[[#This Row],[Date]])</f>
        <v>#N/A</v>
      </c>
      <c r="AC17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28" spans="1:29" ht="14.5">
      <c r="A1728" s="220" t="str">
        <f>TEXT(ROW(A1728)-ROW($A$4),"000")</f>
        <v>1724</v>
      </c>
      <c r="B1728" s="221"/>
      <c r="C1728" s="221" t="s">
        <v>49</v>
      </c>
      <c r="D1728" s="221" t="s">
        <v>4327</v>
      </c>
      <c r="E1728" s="221" t="s">
        <v>3295</v>
      </c>
      <c r="F1728" s="221" t="s">
        <v>3299</v>
      </c>
      <c r="G1728" s="222">
        <v>45684</v>
      </c>
      <c r="H1728" s="223">
        <v>0.56944444444444442</v>
      </c>
      <c r="I1728" s="221" t="s">
        <v>4916</v>
      </c>
      <c r="J1728" s="221" t="s">
        <v>3023</v>
      </c>
      <c r="K1728" s="224" t="s">
        <v>3069</v>
      </c>
      <c r="L1728" s="225" t="str">
        <f>VLOOKUP(Logfile_S[[#This Row],[Material Name]],Sheet2!B:C,2,0)</f>
        <v>ZTE1001</v>
      </c>
      <c r="M1728" s="225" t="str">
        <f>_xlfn.XLOOKUP(Logfile_S[[#This Row],[Material Name]],Sum_WH!E:E,Sum_WH!F:F,"",0)</f>
        <v>Pcs</v>
      </c>
      <c r="N1728" s="221">
        <v>16</v>
      </c>
      <c r="O1728" s="221" t="s">
        <v>2360</v>
      </c>
      <c r="P1728" s="221" t="s">
        <v>2361</v>
      </c>
      <c r="Q1728" s="221"/>
      <c r="R1728" s="221"/>
      <c r="S1728" s="221"/>
      <c r="T1728" s="221" t="s">
        <v>3258</v>
      </c>
      <c r="U1728" s="221">
        <v>0</v>
      </c>
      <c r="V1728" s="221" t="s">
        <v>3337</v>
      </c>
      <c r="W1728" s="221" t="s">
        <v>3338</v>
      </c>
      <c r="X1728" s="221"/>
      <c r="Y1728" s="227"/>
      <c r="Z1728" s="227" t="str">
        <f>P1728</f>
        <v>Tambakasri RW 02 Tajinan</v>
      </c>
      <c r="AA1728" s="276" t="e">
        <f>VLOOKUP(Logfile_S[[#This Row],[DO number]],DO_DB!G:I,3,0)</f>
        <v>#N/A</v>
      </c>
      <c r="AB1728" s="331" t="e">
        <f>EXACT(Logfile_S[[#This Row],[date pick]],Logfile_S[[#This Row],[Date]])</f>
        <v>#N/A</v>
      </c>
      <c r="AC17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29" spans="1:29" ht="14.5">
      <c r="A1729" s="220" t="str">
        <f>TEXT(ROW(A1729)-ROW($A$4),"000")</f>
        <v>1725</v>
      </c>
      <c r="B1729" s="221"/>
      <c r="C1729" s="221" t="s">
        <v>49</v>
      </c>
      <c r="D1729" s="221" t="s">
        <v>4327</v>
      </c>
      <c r="E1729" s="221" t="s">
        <v>3295</v>
      </c>
      <c r="F1729" s="221" t="s">
        <v>3299</v>
      </c>
      <c r="G1729" s="222">
        <v>45684</v>
      </c>
      <c r="H1729" s="223">
        <v>0.56944444444444442</v>
      </c>
      <c r="I1729" s="221" t="s">
        <v>4916</v>
      </c>
      <c r="J1729" s="221" t="s">
        <v>3024</v>
      </c>
      <c r="K1729" s="224" t="s">
        <v>3215</v>
      </c>
      <c r="L1729" s="225" t="str">
        <f>VLOOKUP(Logfile_S[[#This Row],[Material Name]],Sheet2!B:C,2,0)</f>
        <v>GCI1008</v>
      </c>
      <c r="M1729" s="225" t="str">
        <f>_xlfn.XLOOKUP(Logfile_S[[#This Row],[Material Name]],Sum_WH!E:E,Sum_WH!F:F,"",0)</f>
        <v>Pcs</v>
      </c>
      <c r="N1729" s="221">
        <v>11</v>
      </c>
      <c r="O1729" s="221" t="s">
        <v>2360</v>
      </c>
      <c r="P1729" s="221" t="s">
        <v>2361</v>
      </c>
      <c r="Q1729" s="221"/>
      <c r="R1729" s="221"/>
      <c r="S1729" s="221"/>
      <c r="T1729" s="221" t="s">
        <v>3258</v>
      </c>
      <c r="U1729" s="221">
        <v>0</v>
      </c>
      <c r="V1729" s="221" t="s">
        <v>3337</v>
      </c>
      <c r="W1729" s="221" t="s">
        <v>3338</v>
      </c>
      <c r="X1729" s="221"/>
      <c r="Y1729" s="227"/>
      <c r="Z1729" s="227" t="str">
        <f>P1729</f>
        <v>Tambakasri RW 02 Tajinan</v>
      </c>
      <c r="AA1729" s="276" t="e">
        <f>VLOOKUP(Logfile_S[[#This Row],[DO number]],DO_DB!G:I,3,0)</f>
        <v>#N/A</v>
      </c>
      <c r="AB1729" s="331" t="e">
        <f>EXACT(Logfile_S[[#This Row],[date pick]],Logfile_S[[#This Row],[Date]])</f>
        <v>#N/A</v>
      </c>
      <c r="AC17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30" spans="1:29" ht="14.5">
      <c r="A1730" s="220" t="str">
        <f>TEXT(ROW(A1730)-ROW($A$4),"000")</f>
        <v>1726</v>
      </c>
      <c r="B1730" s="221"/>
      <c r="C1730" s="221" t="s">
        <v>49</v>
      </c>
      <c r="D1730" s="221" t="s">
        <v>4283</v>
      </c>
      <c r="E1730" s="221" t="s">
        <v>3295</v>
      </c>
      <c r="F1730" s="221" t="s">
        <v>3299</v>
      </c>
      <c r="G1730" s="222">
        <v>45618</v>
      </c>
      <c r="H1730" s="223">
        <v>0.39583333333333331</v>
      </c>
      <c r="I1730" s="221" t="s">
        <v>4916</v>
      </c>
      <c r="J1730" s="221" t="s">
        <v>3023</v>
      </c>
      <c r="K1730" s="224" t="s">
        <v>3075</v>
      </c>
      <c r="L1730" s="225" t="str">
        <f>VLOOKUP(Logfile_S[[#This Row],[Material Name]],Sheet2!B:C,2,0)</f>
        <v>ZTE2003</v>
      </c>
      <c r="M1730" s="225" t="str">
        <f>_xlfn.XLOOKUP(Logfile_S[[#This Row],[Material Name]],Sum_WH!E:E,Sum_WH!F:F,"",0)</f>
        <v>Meter</v>
      </c>
      <c r="N1730" s="221">
        <v>3000</v>
      </c>
      <c r="O1730" s="221" t="s">
        <v>2520</v>
      </c>
      <c r="P1730" s="221" t="s">
        <v>2521</v>
      </c>
      <c r="Q1730" s="221"/>
      <c r="R1730" s="221"/>
      <c r="S1730" s="221"/>
      <c r="T1730" s="221" t="s">
        <v>3258</v>
      </c>
      <c r="U1730" s="221" t="s">
        <v>5107</v>
      </c>
      <c r="V1730" s="221" t="s">
        <v>3337</v>
      </c>
      <c r="W1730" s="221" t="s">
        <v>3338</v>
      </c>
      <c r="X1730" s="221"/>
      <c r="Y1730" s="227"/>
      <c r="Z1730" s="227" t="str">
        <f>P1730</f>
        <v>Perumahan Bukit Lawang Indah Malang</v>
      </c>
      <c r="AA1730" s="276" t="e">
        <f>VLOOKUP(Logfile_S[[#This Row],[DO number]],DO_DB!G:I,3,0)</f>
        <v>#N/A</v>
      </c>
      <c r="AB1730" s="331" t="e">
        <f>EXACT(Logfile_S[[#This Row],[date pick]],Logfile_S[[#This Row],[Date]])</f>
        <v>#N/A</v>
      </c>
      <c r="AC17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31" spans="1:29" ht="14.5">
      <c r="A1731" s="220" t="str">
        <f>TEXT(ROW(A1731)-ROW($A$4),"000")</f>
        <v>1727</v>
      </c>
      <c r="B1731" s="221"/>
      <c r="C1731" s="221" t="s">
        <v>49</v>
      </c>
      <c r="D1731" s="221" t="s">
        <v>4283</v>
      </c>
      <c r="E1731" s="221" t="s">
        <v>3295</v>
      </c>
      <c r="F1731" s="221" t="s">
        <v>3299</v>
      </c>
      <c r="G1731" s="222">
        <v>45618</v>
      </c>
      <c r="H1731" s="223">
        <v>0.39583333333333331</v>
      </c>
      <c r="I1731" s="221" t="s">
        <v>4916</v>
      </c>
      <c r="J1731" s="221" t="s">
        <v>3024</v>
      </c>
      <c r="K1731" s="224" t="s">
        <v>5137</v>
      </c>
      <c r="L1731" s="225" t="str">
        <f>VLOOKUP(Logfile_S[[#This Row],[Material Name]],Sheet2!B:C,2,0)</f>
        <v>GCI1009</v>
      </c>
      <c r="M1731" s="225" t="str">
        <f>_xlfn.XLOOKUP(Logfile_S[[#This Row],[Material Name]],Sum_WH!E:E,Sum_WH!F:F,"",0)</f>
        <v>Pcs</v>
      </c>
      <c r="N1731" s="221">
        <v>62</v>
      </c>
      <c r="O1731" s="221" t="s">
        <v>2520</v>
      </c>
      <c r="P1731" s="221" t="s">
        <v>2521</v>
      </c>
      <c r="Q1731" s="221"/>
      <c r="R1731" s="221"/>
      <c r="S1731" s="221"/>
      <c r="T1731" s="221" t="s">
        <v>3258</v>
      </c>
      <c r="U1731" s="221">
        <v>0</v>
      </c>
      <c r="V1731" s="221" t="s">
        <v>3337</v>
      </c>
      <c r="W1731" s="221" t="s">
        <v>3338</v>
      </c>
      <c r="X1731" s="221"/>
      <c r="Y1731" s="227"/>
      <c r="Z1731" s="227" t="str">
        <f>P1731</f>
        <v>Perumahan Bukit Lawang Indah Malang</v>
      </c>
      <c r="AA1731" s="276" t="e">
        <f>VLOOKUP(Logfile_S[[#This Row],[DO number]],DO_DB!G:I,3,0)</f>
        <v>#N/A</v>
      </c>
      <c r="AB1731" s="331" t="e">
        <f>EXACT(Logfile_S[[#This Row],[date pick]],Logfile_S[[#This Row],[Date]])</f>
        <v>#N/A</v>
      </c>
      <c r="AC17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32" spans="1:29" ht="14.5">
      <c r="A1732" s="220" t="str">
        <f>TEXT(ROW(A1732)-ROW($A$4),"000")</f>
        <v>1728</v>
      </c>
      <c r="B1732" s="221"/>
      <c r="C1732" s="221" t="s">
        <v>49</v>
      </c>
      <c r="D1732" s="221" t="s">
        <v>4283</v>
      </c>
      <c r="E1732" s="221" t="s">
        <v>3295</v>
      </c>
      <c r="F1732" s="221" t="s">
        <v>3299</v>
      </c>
      <c r="G1732" s="222">
        <v>45618</v>
      </c>
      <c r="H1732" s="223">
        <v>0.39583333333333331</v>
      </c>
      <c r="I1732" s="221" t="s">
        <v>4916</v>
      </c>
      <c r="J1732" s="221" t="s">
        <v>3023</v>
      </c>
      <c r="K1732" s="224" t="s">
        <v>3069</v>
      </c>
      <c r="L1732" s="225" t="str">
        <f>VLOOKUP(Logfile_S[[#This Row],[Material Name]],Sheet2!B:C,2,0)</f>
        <v>ZTE1001</v>
      </c>
      <c r="M1732" s="225" t="str">
        <f>_xlfn.XLOOKUP(Logfile_S[[#This Row],[Material Name]],Sum_WH!E:E,Sum_WH!F:F,"",0)</f>
        <v>Pcs</v>
      </c>
      <c r="N1732" s="221">
        <v>14</v>
      </c>
      <c r="O1732" s="221" t="s">
        <v>2520</v>
      </c>
      <c r="P1732" s="221" t="s">
        <v>2521</v>
      </c>
      <c r="Q1732" s="221"/>
      <c r="R1732" s="221"/>
      <c r="S1732" s="221"/>
      <c r="T1732" s="221" t="s">
        <v>3258</v>
      </c>
      <c r="U1732" s="221">
        <v>0</v>
      </c>
      <c r="V1732" s="221" t="s">
        <v>3337</v>
      </c>
      <c r="W1732" s="221" t="s">
        <v>3338</v>
      </c>
      <c r="X1732" s="221"/>
      <c r="Y1732" s="227"/>
      <c r="Z1732" s="227" t="str">
        <f>P1732</f>
        <v>Perumahan Bukit Lawang Indah Malang</v>
      </c>
      <c r="AA1732" s="276" t="e">
        <f>VLOOKUP(Logfile_S[[#This Row],[DO number]],DO_DB!G:I,3,0)</f>
        <v>#N/A</v>
      </c>
      <c r="AB1732" s="331" t="e">
        <f>EXACT(Logfile_S[[#This Row],[date pick]],Logfile_S[[#This Row],[Date]])</f>
        <v>#N/A</v>
      </c>
      <c r="AC17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33" spans="1:29" ht="14.5">
      <c r="A1733" s="220" t="str">
        <f>TEXT(ROW(A1733)-ROW($A$4),"000")</f>
        <v>1729</v>
      </c>
      <c r="B1733" s="221"/>
      <c r="C1733" s="221" t="s">
        <v>49</v>
      </c>
      <c r="D1733" s="221" t="s">
        <v>4283</v>
      </c>
      <c r="E1733" s="221" t="s">
        <v>3295</v>
      </c>
      <c r="F1733" s="221" t="s">
        <v>3299</v>
      </c>
      <c r="G1733" s="222">
        <v>45618</v>
      </c>
      <c r="H1733" s="223">
        <v>0.39583333333333331</v>
      </c>
      <c r="I1733" s="221" t="s">
        <v>4916</v>
      </c>
      <c r="J1733" s="221" t="s">
        <v>3024</v>
      </c>
      <c r="K1733" s="224" t="s">
        <v>3094</v>
      </c>
      <c r="L1733" s="225" t="str">
        <f>VLOOKUP(Logfile_S[[#This Row],[Material Name]],Sheet2!B:C,2,0)</f>
        <v>GCI1008</v>
      </c>
      <c r="M1733" s="225" t="str">
        <f>_xlfn.XLOOKUP(Logfile_S[[#This Row],[Material Name]],Sum_WH!E:E,Sum_WH!F:F,"",0)</f>
        <v>Pcs</v>
      </c>
      <c r="N1733" s="221">
        <v>50</v>
      </c>
      <c r="O1733" s="221" t="s">
        <v>2520</v>
      </c>
      <c r="P1733" s="221" t="s">
        <v>2521</v>
      </c>
      <c r="Q1733" s="221"/>
      <c r="R1733" s="221"/>
      <c r="S1733" s="221"/>
      <c r="T1733" s="221" t="s">
        <v>3258</v>
      </c>
      <c r="U1733" s="221">
        <v>0</v>
      </c>
      <c r="V1733" s="221" t="s">
        <v>3337</v>
      </c>
      <c r="W1733" s="221" t="s">
        <v>3338</v>
      </c>
      <c r="X1733" s="221"/>
      <c r="Y1733" s="227"/>
      <c r="Z1733" s="227" t="str">
        <f>P1733</f>
        <v>Perumahan Bukit Lawang Indah Malang</v>
      </c>
      <c r="AA1733" s="276" t="e">
        <f>VLOOKUP(Logfile_S[[#This Row],[DO number]],DO_DB!G:I,3,0)</f>
        <v>#N/A</v>
      </c>
      <c r="AB1733" s="331" t="e">
        <f>EXACT(Logfile_S[[#This Row],[date pick]],Logfile_S[[#This Row],[Date]])</f>
        <v>#N/A</v>
      </c>
      <c r="AC17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34" spans="1:29" ht="14.5">
      <c r="A1734" s="220" t="str">
        <f>TEXT(ROW(A1734)-ROW($A$4),"000")</f>
        <v>1730</v>
      </c>
      <c r="B1734" s="221"/>
      <c r="C1734" s="221" t="s">
        <v>49</v>
      </c>
      <c r="D1734" s="221" t="s">
        <v>4284</v>
      </c>
      <c r="E1734" s="221" t="s">
        <v>3295</v>
      </c>
      <c r="F1734" s="221" t="s">
        <v>3299</v>
      </c>
      <c r="G1734" s="222">
        <v>45618</v>
      </c>
      <c r="H1734" s="223">
        <v>0.76249999999999996</v>
      </c>
      <c r="I1734" s="221" t="s">
        <v>4916</v>
      </c>
      <c r="J1734" s="221" t="s">
        <v>3024</v>
      </c>
      <c r="K1734" s="224" t="s">
        <v>3090</v>
      </c>
      <c r="L1734" s="225" t="str">
        <f>VLOOKUP(Logfile_S[[#This Row],[Material Name]],Sheet2!B:C,2,0)</f>
        <v>GCI1004</v>
      </c>
      <c r="M1734" s="225" t="str">
        <f>_xlfn.XLOOKUP(Logfile_S[[#This Row],[Material Name]],Sum_WH!E:E,Sum_WH!F:F,"",0)</f>
        <v>Pcs</v>
      </c>
      <c r="N1734" s="221">
        <v>18</v>
      </c>
      <c r="O1734" s="221" t="s">
        <v>2520</v>
      </c>
      <c r="P1734" s="221" t="s">
        <v>2521</v>
      </c>
      <c r="Q1734" s="221"/>
      <c r="R1734" s="221"/>
      <c r="S1734" s="221"/>
      <c r="T1734" s="221" t="s">
        <v>3258</v>
      </c>
      <c r="U1734" s="221">
        <v>0</v>
      </c>
      <c r="V1734" s="221" t="s">
        <v>3337</v>
      </c>
      <c r="W1734" s="221" t="s">
        <v>3338</v>
      </c>
      <c r="X1734" s="221"/>
      <c r="Y1734" s="227"/>
      <c r="Z1734" s="227" t="str">
        <f>P1734</f>
        <v>Perumahan Bukit Lawang Indah Malang</v>
      </c>
      <c r="AA1734" s="276" t="e">
        <f>VLOOKUP(Logfile_S[[#This Row],[DO number]],DO_DB!G:I,3,0)</f>
        <v>#N/A</v>
      </c>
      <c r="AB1734" s="331" t="e">
        <f>EXACT(Logfile_S[[#This Row],[date pick]],Logfile_S[[#This Row],[Date]])</f>
        <v>#N/A</v>
      </c>
      <c r="AC17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35" spans="1:29" ht="14.5">
      <c r="A1735" s="220" t="str">
        <f>TEXT(ROW(A1735)-ROW($A$4),"000")</f>
        <v>1731</v>
      </c>
      <c r="B1735" s="221"/>
      <c r="C1735" s="221" t="s">
        <v>49</v>
      </c>
      <c r="D1735" s="221" t="s">
        <v>4285</v>
      </c>
      <c r="E1735" s="221" t="s">
        <v>3295</v>
      </c>
      <c r="F1735" s="221" t="s">
        <v>3299</v>
      </c>
      <c r="G1735" s="222">
        <v>45620</v>
      </c>
      <c r="H1735" s="223">
        <v>0.79027777777777775</v>
      </c>
      <c r="I1735" s="221" t="s">
        <v>4916</v>
      </c>
      <c r="J1735" s="221" t="s">
        <v>3023</v>
      </c>
      <c r="K1735" s="224" t="s">
        <v>3080</v>
      </c>
      <c r="L1735" s="225" t="str">
        <f>VLOOKUP(Logfile_S[[#This Row],[Material Name]],Sheet2!B:C,2,0)</f>
        <v>ZTE2010</v>
      </c>
      <c r="M1735" s="225" t="str">
        <f>_xlfn.XLOOKUP(Logfile_S[[#This Row],[Material Name]],Sum_WH!E:E,Sum_WH!F:F,"",0)</f>
        <v>Pcs</v>
      </c>
      <c r="N1735" s="221">
        <v>2</v>
      </c>
      <c r="O1735" s="221" t="s">
        <v>2520</v>
      </c>
      <c r="P1735" s="221" t="s">
        <v>2521</v>
      </c>
      <c r="Q1735" s="221"/>
      <c r="R1735" s="221"/>
      <c r="S1735" s="221"/>
      <c r="T1735" s="221" t="s">
        <v>3231</v>
      </c>
      <c r="U1735" s="221">
        <v>0</v>
      </c>
      <c r="V1735" s="221" t="s">
        <v>3232</v>
      </c>
      <c r="W1735" s="221" t="s">
        <v>3254</v>
      </c>
      <c r="X1735" s="221"/>
      <c r="Y1735" s="227"/>
      <c r="Z1735" s="227" t="str">
        <f>P1735</f>
        <v>Perumahan Bukit Lawang Indah Malang</v>
      </c>
      <c r="AA1735" s="276" t="e">
        <f>VLOOKUP(Logfile_S[[#This Row],[DO number]],DO_DB!G:I,3,0)</f>
        <v>#N/A</v>
      </c>
      <c r="AB1735" s="331" t="e">
        <f>EXACT(Logfile_S[[#This Row],[date pick]],Logfile_S[[#This Row],[Date]])</f>
        <v>#N/A</v>
      </c>
      <c r="AC17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36" spans="1:29" ht="14.5">
      <c r="A1736" s="220" t="str">
        <f>TEXT(ROW(A1736)-ROW($A$4),"000")</f>
        <v>1732</v>
      </c>
      <c r="B1736" s="221"/>
      <c r="C1736" s="221" t="s">
        <v>49</v>
      </c>
      <c r="D1736" s="221" t="s">
        <v>4285</v>
      </c>
      <c r="E1736" s="221" t="s">
        <v>3295</v>
      </c>
      <c r="F1736" s="221" t="s">
        <v>3299</v>
      </c>
      <c r="G1736" s="222">
        <v>45620</v>
      </c>
      <c r="H1736" s="223">
        <v>0.79027777777777775</v>
      </c>
      <c r="I1736" s="221" t="s">
        <v>4916</v>
      </c>
      <c r="J1736" s="221" t="s">
        <v>3023</v>
      </c>
      <c r="K1736" s="224" t="s">
        <v>13</v>
      </c>
      <c r="L1736" s="225" t="str">
        <f>VLOOKUP(Logfile_S[[#This Row],[Material Name]],Sheet2!B:C,2,0)</f>
        <v>ZTE2008</v>
      </c>
      <c r="M1736" s="225" t="str">
        <f>_xlfn.XLOOKUP(Logfile_S[[#This Row],[Material Name]],Sum_WH!E:E,Sum_WH!F:F,"",0)</f>
        <v>Pcs</v>
      </c>
      <c r="N1736" s="221">
        <v>12</v>
      </c>
      <c r="O1736" s="221" t="s">
        <v>2520</v>
      </c>
      <c r="P1736" s="221" t="s">
        <v>2521</v>
      </c>
      <c r="Q1736" s="221"/>
      <c r="R1736" s="221"/>
      <c r="S1736" s="221"/>
      <c r="T1736" s="221" t="s">
        <v>3231</v>
      </c>
      <c r="U1736" s="221">
        <v>0</v>
      </c>
      <c r="V1736" s="221" t="s">
        <v>3232</v>
      </c>
      <c r="W1736" s="221" t="s">
        <v>3254</v>
      </c>
      <c r="X1736" s="221"/>
      <c r="Y1736" s="227"/>
      <c r="Z1736" s="227" t="str">
        <f>P1736</f>
        <v>Perumahan Bukit Lawang Indah Malang</v>
      </c>
      <c r="AA1736" s="276" t="e">
        <f>VLOOKUP(Logfile_S[[#This Row],[DO number]],DO_DB!G:I,3,0)</f>
        <v>#N/A</v>
      </c>
      <c r="AB1736" s="331" t="e">
        <f>EXACT(Logfile_S[[#This Row],[date pick]],Logfile_S[[#This Row],[Date]])</f>
        <v>#N/A</v>
      </c>
      <c r="AC17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37" spans="1:29" ht="14.5">
      <c r="A1737" s="220" t="str">
        <f>TEXT(ROW(A1737)-ROW($A$4),"000")</f>
        <v>1733</v>
      </c>
      <c r="B1737" s="221"/>
      <c r="C1737" s="221" t="s">
        <v>49</v>
      </c>
      <c r="D1737" s="221" t="s">
        <v>4285</v>
      </c>
      <c r="E1737" s="221" t="s">
        <v>3295</v>
      </c>
      <c r="F1737" s="221" t="s">
        <v>3299</v>
      </c>
      <c r="G1737" s="222">
        <v>45620</v>
      </c>
      <c r="H1737" s="223">
        <v>0.79027777777777775</v>
      </c>
      <c r="I1737" s="221" t="s">
        <v>4916</v>
      </c>
      <c r="J1737" s="221" t="s">
        <v>3023</v>
      </c>
      <c r="K1737" s="224" t="s">
        <v>14</v>
      </c>
      <c r="L1737" s="225" t="str">
        <f>VLOOKUP(Logfile_S[[#This Row],[Material Name]],Sheet2!B:C,2,0)</f>
        <v>ZTE2005</v>
      </c>
      <c r="M1737" s="225" t="str">
        <f>_xlfn.XLOOKUP(Logfile_S[[#This Row],[Material Name]],Sum_WH!E:E,Sum_WH!F:F,"",0)</f>
        <v>Pcs</v>
      </c>
      <c r="N1737" s="221">
        <v>1</v>
      </c>
      <c r="O1737" s="221" t="s">
        <v>2520</v>
      </c>
      <c r="P1737" s="221" t="s">
        <v>2521</v>
      </c>
      <c r="Q1737" s="221"/>
      <c r="R1737" s="221"/>
      <c r="S1737" s="221"/>
      <c r="T1737" s="221" t="s">
        <v>3231</v>
      </c>
      <c r="U1737" s="221">
        <v>0</v>
      </c>
      <c r="V1737" s="221" t="s">
        <v>3232</v>
      </c>
      <c r="W1737" s="221" t="s">
        <v>3254</v>
      </c>
      <c r="X1737" s="221"/>
      <c r="Y1737" s="227"/>
      <c r="Z1737" s="227" t="str">
        <f>P1737</f>
        <v>Perumahan Bukit Lawang Indah Malang</v>
      </c>
      <c r="AA1737" s="276" t="e">
        <f>VLOOKUP(Logfile_S[[#This Row],[DO number]],DO_DB!G:I,3,0)</f>
        <v>#N/A</v>
      </c>
      <c r="AB1737" s="331" t="e">
        <f>EXACT(Logfile_S[[#This Row],[date pick]],Logfile_S[[#This Row],[Date]])</f>
        <v>#N/A</v>
      </c>
      <c r="AC17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38" spans="1:29" ht="14.5">
      <c r="A1738" s="220" t="str">
        <f>TEXT(ROW(A1738)-ROW($A$4),"000")</f>
        <v>1734</v>
      </c>
      <c r="B1738" s="221"/>
      <c r="C1738" s="221" t="s">
        <v>49</v>
      </c>
      <c r="D1738" s="221" t="s">
        <v>4286</v>
      </c>
      <c r="E1738" s="221" t="s">
        <v>3295</v>
      </c>
      <c r="F1738" s="221" t="s">
        <v>3299</v>
      </c>
      <c r="G1738" s="222">
        <v>45621</v>
      </c>
      <c r="H1738" s="223">
        <v>0.79027777777777775</v>
      </c>
      <c r="I1738" s="221" t="s">
        <v>4916</v>
      </c>
      <c r="J1738" s="221" t="s">
        <v>3023</v>
      </c>
      <c r="K1738" s="224" t="s">
        <v>3080</v>
      </c>
      <c r="L1738" s="225" t="str">
        <f>VLOOKUP(Logfile_S[[#This Row],[Material Name]],Sheet2!B:C,2,0)</f>
        <v>ZTE2010</v>
      </c>
      <c r="M1738" s="225" t="str">
        <f>_xlfn.XLOOKUP(Logfile_S[[#This Row],[Material Name]],Sum_WH!E:E,Sum_WH!F:F,"",0)</f>
        <v>Pcs</v>
      </c>
      <c r="N1738" s="221">
        <v>1</v>
      </c>
      <c r="O1738" s="221" t="s">
        <v>2520</v>
      </c>
      <c r="P1738" s="221" t="s">
        <v>2521</v>
      </c>
      <c r="Q1738" s="221"/>
      <c r="R1738" s="221"/>
      <c r="S1738" s="221"/>
      <c r="T1738" s="221" t="s">
        <v>3471</v>
      </c>
      <c r="U1738" s="221">
        <v>0</v>
      </c>
      <c r="V1738" s="221" t="s">
        <v>3472</v>
      </c>
      <c r="W1738" s="221" t="s">
        <v>3473</v>
      </c>
      <c r="X1738" s="221"/>
      <c r="Y1738" s="227"/>
      <c r="Z1738" s="227" t="str">
        <f>P1738</f>
        <v>Perumahan Bukit Lawang Indah Malang</v>
      </c>
      <c r="AA1738" s="276" t="e">
        <f>VLOOKUP(Logfile_S[[#This Row],[DO number]],DO_DB!G:I,3,0)</f>
        <v>#N/A</v>
      </c>
      <c r="AB1738" s="331" t="e">
        <f>EXACT(Logfile_S[[#This Row],[date pick]],Logfile_S[[#This Row],[Date]])</f>
        <v>#N/A</v>
      </c>
      <c r="AC17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39" spans="1:29" ht="14.5">
      <c r="A1739" s="220" t="str">
        <f>TEXT(ROW(A1739)-ROW($A$4),"000")</f>
        <v>1735</v>
      </c>
      <c r="B1739" s="221"/>
      <c r="C1739" s="221" t="s">
        <v>49</v>
      </c>
      <c r="D1739" s="221" t="s">
        <v>4286</v>
      </c>
      <c r="E1739" s="221" t="s">
        <v>3295</v>
      </c>
      <c r="F1739" s="221" t="s">
        <v>3299</v>
      </c>
      <c r="G1739" s="222">
        <v>45621</v>
      </c>
      <c r="H1739" s="223">
        <v>0.79027777777777775</v>
      </c>
      <c r="I1739" s="221" t="s">
        <v>4916</v>
      </c>
      <c r="J1739" s="221" t="s">
        <v>3023</v>
      </c>
      <c r="K1739" s="224" t="s">
        <v>13</v>
      </c>
      <c r="L1739" s="225" t="str">
        <f>VLOOKUP(Logfile_S[[#This Row],[Material Name]],Sheet2!B:C,2,0)</f>
        <v>ZTE2008</v>
      </c>
      <c r="M1739" s="225" t="str">
        <f>_xlfn.XLOOKUP(Logfile_S[[#This Row],[Material Name]],Sum_WH!E:E,Sum_WH!F:F,"",0)</f>
        <v>Pcs</v>
      </c>
      <c r="N1739" s="221">
        <v>9</v>
      </c>
      <c r="O1739" s="221" t="s">
        <v>2520</v>
      </c>
      <c r="P1739" s="221" t="s">
        <v>2521</v>
      </c>
      <c r="Q1739" s="221"/>
      <c r="R1739" s="221"/>
      <c r="S1739" s="221"/>
      <c r="T1739" s="221" t="s">
        <v>3471</v>
      </c>
      <c r="U1739" s="221">
        <v>0</v>
      </c>
      <c r="V1739" s="221" t="s">
        <v>3472</v>
      </c>
      <c r="W1739" s="221" t="s">
        <v>3473</v>
      </c>
      <c r="X1739" s="221"/>
      <c r="Y1739" s="227"/>
      <c r="Z1739" s="227" t="str">
        <f>P1739</f>
        <v>Perumahan Bukit Lawang Indah Malang</v>
      </c>
      <c r="AA1739" s="276" t="e">
        <f>VLOOKUP(Logfile_S[[#This Row],[DO number]],DO_DB!G:I,3,0)</f>
        <v>#N/A</v>
      </c>
      <c r="AB1739" s="331" t="e">
        <f>EXACT(Logfile_S[[#This Row],[date pick]],Logfile_S[[#This Row],[Date]])</f>
        <v>#N/A</v>
      </c>
      <c r="AC17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40" spans="1:29" ht="14.5">
      <c r="A1740" s="220" t="str">
        <f>TEXT(ROW(A1740)-ROW($A$4),"000")</f>
        <v>1736</v>
      </c>
      <c r="B1740" s="221"/>
      <c r="C1740" s="221" t="s">
        <v>48</v>
      </c>
      <c r="D1740" s="221" t="s">
        <v>4290</v>
      </c>
      <c r="E1740" s="221" t="s">
        <v>3295</v>
      </c>
      <c r="F1740" s="221" t="s">
        <v>3299</v>
      </c>
      <c r="G1740" s="222">
        <v>45622</v>
      </c>
      <c r="H1740" s="223">
        <v>15.291666666666666</v>
      </c>
      <c r="I1740" s="221" t="s">
        <v>37</v>
      </c>
      <c r="J1740" s="221" t="s">
        <v>3023</v>
      </c>
      <c r="K1740" s="224" t="s">
        <v>3072</v>
      </c>
      <c r="L1740" s="225" t="str">
        <f>VLOOKUP(Logfile_S[[#This Row],[Material Name]],Sheet2!B:C,2,0)</f>
        <v>ZTE1004</v>
      </c>
      <c r="M1740" s="225" t="str">
        <f>_xlfn.XLOOKUP(Logfile_S[[#This Row],[Material Name]],Sum_WH!E:E,Sum_WH!F:F,"",0)</f>
        <v>Pcs</v>
      </c>
      <c r="N1740" s="221">
        <v>1</v>
      </c>
      <c r="O1740" s="221" t="s">
        <v>2520</v>
      </c>
      <c r="P1740" s="221" t="s">
        <v>2521</v>
      </c>
      <c r="Q1740" s="221" t="s">
        <v>2522</v>
      </c>
      <c r="R1740" s="221" t="s">
        <v>2523</v>
      </c>
      <c r="S1740" s="221"/>
      <c r="T1740" s="221"/>
      <c r="U1740" s="221"/>
      <c r="V1740" s="221"/>
      <c r="W1740" s="221"/>
      <c r="X1740" s="221"/>
      <c r="Y1740" s="227"/>
      <c r="Z1740" s="227" t="str">
        <f>P1740</f>
        <v>Perumahan Bukit Lawang Indah Malang</v>
      </c>
      <c r="AA1740" s="276">
        <f>VLOOKUP(Logfile_S[[#This Row],[DO number]],DO_DB!G:I,3,0)</f>
        <v>45622</v>
      </c>
      <c r="AB1740" s="331" t="b">
        <f>EXACT(Logfile_S[[#This Row],[date pick]],Logfile_S[[#This Row],[Date]])</f>
        <v>1</v>
      </c>
      <c r="AC17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41" spans="1:29" ht="14.5">
      <c r="A1741" s="220" t="str">
        <f>TEXT(ROW(A1741)-ROW($A$4),"000")</f>
        <v>1737</v>
      </c>
      <c r="B1741" s="221"/>
      <c r="C1741" s="221" t="s">
        <v>48</v>
      </c>
      <c r="D1741" s="221" t="s">
        <v>4290</v>
      </c>
      <c r="E1741" s="221" t="s">
        <v>3295</v>
      </c>
      <c r="F1741" s="221" t="s">
        <v>3299</v>
      </c>
      <c r="G1741" s="222">
        <v>45622</v>
      </c>
      <c r="H1741" s="223">
        <v>15.291666666666666</v>
      </c>
      <c r="I1741" s="221" t="s">
        <v>37</v>
      </c>
      <c r="J1741" s="221" t="s">
        <v>3023</v>
      </c>
      <c r="K1741" s="224" t="s">
        <v>3070</v>
      </c>
      <c r="L1741" s="225" t="str">
        <f>VLOOKUP(Logfile_S[[#This Row],[Material Name]],Sheet2!B:C,2,0)</f>
        <v>ZTE1002</v>
      </c>
      <c r="M1741" s="225" t="str">
        <f>_xlfn.XLOOKUP(Logfile_S[[#This Row],[Material Name]],Sum_WH!E:E,Sum_WH!F:F,"",0)</f>
        <v>Pcs</v>
      </c>
      <c r="N1741" s="221">
        <v>2</v>
      </c>
      <c r="O1741" s="221" t="s">
        <v>2520</v>
      </c>
      <c r="P1741" s="221" t="s">
        <v>2521</v>
      </c>
      <c r="Q1741" s="221" t="s">
        <v>2522</v>
      </c>
      <c r="R1741" s="221" t="s">
        <v>2523</v>
      </c>
      <c r="S1741" s="221"/>
      <c r="T1741" s="221"/>
      <c r="U1741" s="221"/>
      <c r="V1741" s="221"/>
      <c r="W1741" s="221"/>
      <c r="X1741" s="221"/>
      <c r="Y1741" s="227"/>
      <c r="Z1741" s="227" t="str">
        <f>P1741</f>
        <v>Perumahan Bukit Lawang Indah Malang</v>
      </c>
      <c r="AA1741" s="276">
        <f>VLOOKUP(Logfile_S[[#This Row],[DO number]],DO_DB!G:I,3,0)</f>
        <v>45622</v>
      </c>
      <c r="AB1741" s="331" t="b">
        <f>EXACT(Logfile_S[[#This Row],[date pick]],Logfile_S[[#This Row],[Date]])</f>
        <v>1</v>
      </c>
      <c r="AC17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42" spans="1:29" ht="14.5">
      <c r="A1742" s="220" t="str">
        <f>TEXT(ROW(A1742)-ROW($A$4),"000")</f>
        <v>1738</v>
      </c>
      <c r="B1742" s="221"/>
      <c r="C1742" s="221" t="s">
        <v>48</v>
      </c>
      <c r="D1742" s="221" t="s">
        <v>4290</v>
      </c>
      <c r="E1742" s="221" t="s">
        <v>3295</v>
      </c>
      <c r="F1742" s="221" t="s">
        <v>3299</v>
      </c>
      <c r="G1742" s="222">
        <v>45622</v>
      </c>
      <c r="H1742" s="223">
        <v>15.291666666666666</v>
      </c>
      <c r="I1742" s="221" t="s">
        <v>37</v>
      </c>
      <c r="J1742" s="221" t="s">
        <v>3023</v>
      </c>
      <c r="K1742" s="224" t="s">
        <v>3069</v>
      </c>
      <c r="L1742" s="225" t="str">
        <f>VLOOKUP(Logfile_S[[#This Row],[Material Name]],Sheet2!B:C,2,0)</f>
        <v>ZTE1001</v>
      </c>
      <c r="M1742" s="225" t="str">
        <f>_xlfn.XLOOKUP(Logfile_S[[#This Row],[Material Name]],Sum_WH!E:E,Sum_WH!F:F,"",0)</f>
        <v>Pcs</v>
      </c>
      <c r="N1742" s="221">
        <v>40</v>
      </c>
      <c r="O1742" s="221" t="s">
        <v>2520</v>
      </c>
      <c r="P1742" s="221" t="s">
        <v>2521</v>
      </c>
      <c r="Q1742" s="221" t="s">
        <v>2522</v>
      </c>
      <c r="R1742" s="221" t="s">
        <v>2523</v>
      </c>
      <c r="S1742" s="221"/>
      <c r="T1742" s="221" t="s">
        <v>3258</v>
      </c>
      <c r="U1742" s="221">
        <v>0</v>
      </c>
      <c r="V1742" s="221" t="s">
        <v>3337</v>
      </c>
      <c r="W1742" s="221" t="s">
        <v>3338</v>
      </c>
      <c r="X1742" s="221"/>
      <c r="Y1742" s="227"/>
      <c r="Z1742" s="227" t="str">
        <f>P1742</f>
        <v>Perumahan Bukit Lawang Indah Malang</v>
      </c>
      <c r="AA1742" s="276">
        <f>VLOOKUP(Logfile_S[[#This Row],[DO number]],DO_DB!G:I,3,0)</f>
        <v>45622</v>
      </c>
      <c r="AB1742" s="331" t="b">
        <f>EXACT(Logfile_S[[#This Row],[date pick]],Logfile_S[[#This Row],[Date]])</f>
        <v>1</v>
      </c>
      <c r="AC17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43" spans="1:29" ht="14.5">
      <c r="A1743" s="220" t="str">
        <f>TEXT(ROW(A1743)-ROW($A$4),"000")</f>
        <v>1739</v>
      </c>
      <c r="B1743" s="221"/>
      <c r="C1743" s="221" t="s">
        <v>48</v>
      </c>
      <c r="D1743" s="221" t="s">
        <v>4288</v>
      </c>
      <c r="E1743" s="221" t="s">
        <v>3295</v>
      </c>
      <c r="F1743" s="221" t="s">
        <v>3299</v>
      </c>
      <c r="G1743" s="222">
        <v>45622</v>
      </c>
      <c r="H1743" s="223">
        <v>15.291666666666666</v>
      </c>
      <c r="I1743" s="221" t="s">
        <v>37</v>
      </c>
      <c r="J1743" s="221" t="s">
        <v>3023</v>
      </c>
      <c r="K1743" s="224" t="s">
        <v>3075</v>
      </c>
      <c r="L1743" s="225" t="str">
        <f>VLOOKUP(Logfile_S[[#This Row],[Material Name]],Sheet2!B:C,2,0)</f>
        <v>ZTE2003</v>
      </c>
      <c r="M1743" s="225" t="str">
        <f>_xlfn.XLOOKUP(Logfile_S[[#This Row],[Material Name]],Sum_WH!E:E,Sum_WH!F:F,"",0)</f>
        <v>Meter</v>
      </c>
      <c r="N1743" s="221">
        <v>3000</v>
      </c>
      <c r="O1743" s="221" t="s">
        <v>2520</v>
      </c>
      <c r="P1743" s="221" t="s">
        <v>3469</v>
      </c>
      <c r="Q1743" s="221" t="s">
        <v>2524</v>
      </c>
      <c r="R1743" s="221" t="s">
        <v>2525</v>
      </c>
      <c r="S1743" s="221"/>
      <c r="T1743" s="221"/>
      <c r="U1743" s="221"/>
      <c r="V1743" s="221"/>
      <c r="W1743" s="221"/>
      <c r="X1743" s="221"/>
      <c r="Y1743" s="227" t="s">
        <v>5078</v>
      </c>
      <c r="Z1743" s="227" t="str">
        <f>P1743</f>
        <v>Perumahan Bukit Lawang Indah Malang</v>
      </c>
      <c r="AA1743" s="276">
        <f>VLOOKUP(Logfile_S[[#This Row],[DO number]],DO_DB!G:I,3,0)</f>
        <v>45622</v>
      </c>
      <c r="AB1743" s="331" t="b">
        <f>EXACT(Logfile_S[[#This Row],[date pick]],Logfile_S[[#This Row],[Date]])</f>
        <v>1</v>
      </c>
      <c r="AC17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48C-20241126-02</v>
      </c>
    </row>
    <row r="1744" spans="1:29" ht="14.5">
      <c r="A1744" s="220" t="str">
        <f>TEXT(ROW(A1744)-ROW($A$4),"000")</f>
        <v>1740</v>
      </c>
      <c r="B1744" s="221"/>
      <c r="C1744" s="221" t="s">
        <v>48</v>
      </c>
      <c r="D1744" s="221" t="s">
        <v>4293</v>
      </c>
      <c r="E1744" s="221" t="s">
        <v>3295</v>
      </c>
      <c r="F1744" s="221" t="s">
        <v>3299</v>
      </c>
      <c r="G1744" s="222">
        <v>45622</v>
      </c>
      <c r="H1744" s="223">
        <v>15.291666666666666</v>
      </c>
      <c r="I1744" s="221" t="s">
        <v>37</v>
      </c>
      <c r="J1744" s="221" t="s">
        <v>3023</v>
      </c>
      <c r="K1744" s="224" t="s">
        <v>13</v>
      </c>
      <c r="L1744" s="225" t="str">
        <f>VLOOKUP(Logfile_S[[#This Row],[Material Name]],Sheet2!B:C,2,0)</f>
        <v>ZTE2008</v>
      </c>
      <c r="M1744" s="225" t="str">
        <f>_xlfn.XLOOKUP(Logfile_S[[#This Row],[Material Name]],Sum_WH!E:E,Sum_WH!F:F,"",0)</f>
        <v>Pcs</v>
      </c>
      <c r="N1744" s="221">
        <v>12</v>
      </c>
      <c r="O1744" s="221" t="s">
        <v>2520</v>
      </c>
      <c r="P1744" s="221" t="s">
        <v>3469</v>
      </c>
      <c r="Q1744" s="221" t="s">
        <v>2524</v>
      </c>
      <c r="R1744" s="221" t="s">
        <v>2525</v>
      </c>
      <c r="S1744" s="221"/>
      <c r="T1744" s="221"/>
      <c r="U1744" s="221"/>
      <c r="V1744" s="221"/>
      <c r="W1744" s="221"/>
      <c r="X1744" s="221"/>
      <c r="Y1744" s="227"/>
      <c r="Z1744" s="227" t="str">
        <f>P1744</f>
        <v>Perumahan Bukit Lawang Indah Malang</v>
      </c>
      <c r="AA1744" s="276">
        <f>VLOOKUP(Logfile_S[[#This Row],[DO number]],DO_DB!G:I,3,0)</f>
        <v>45622</v>
      </c>
      <c r="AB1744" s="331" t="b">
        <f>EXACT(Logfile_S[[#This Row],[date pick]],Logfile_S[[#This Row],[Date]])</f>
        <v>1</v>
      </c>
      <c r="AC17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45" spans="1:29" ht="14.5">
      <c r="A1745" s="220" t="str">
        <f>TEXT(ROW(A1745)-ROW($A$4),"000")</f>
        <v>1741</v>
      </c>
      <c r="B1745" s="221"/>
      <c r="C1745" s="221" t="s">
        <v>48</v>
      </c>
      <c r="D1745" s="221" t="s">
        <v>4290</v>
      </c>
      <c r="E1745" s="221" t="s">
        <v>3295</v>
      </c>
      <c r="F1745" s="221" t="s">
        <v>3299</v>
      </c>
      <c r="G1745" s="222">
        <v>45622</v>
      </c>
      <c r="H1745" s="223">
        <v>15.291666666666666</v>
      </c>
      <c r="I1745" s="221" t="s">
        <v>37</v>
      </c>
      <c r="J1745" s="221" t="s">
        <v>3023</v>
      </c>
      <c r="K1745" s="224" t="s">
        <v>14</v>
      </c>
      <c r="L1745" s="225" t="str">
        <f>VLOOKUP(Logfile_S[[#This Row],[Material Name]],Sheet2!B:C,2,0)</f>
        <v>ZTE2005</v>
      </c>
      <c r="M1745" s="225" t="str">
        <f>_xlfn.XLOOKUP(Logfile_S[[#This Row],[Material Name]],Sum_WH!E:E,Sum_WH!F:F,"",0)</f>
        <v>Pcs</v>
      </c>
      <c r="N1745" s="221">
        <v>1</v>
      </c>
      <c r="O1745" s="221" t="s">
        <v>2520</v>
      </c>
      <c r="P1745" s="221" t="s">
        <v>3469</v>
      </c>
      <c r="Q1745" s="221" t="s">
        <v>2524</v>
      </c>
      <c r="R1745" s="221" t="s">
        <v>2525</v>
      </c>
      <c r="S1745" s="221"/>
      <c r="T1745" s="221"/>
      <c r="U1745" s="221"/>
      <c r="V1745" s="221"/>
      <c r="W1745" s="221"/>
      <c r="X1745" s="221"/>
      <c r="Y1745" s="227"/>
      <c r="Z1745" s="227" t="str">
        <f>P1745</f>
        <v>Perumahan Bukit Lawang Indah Malang</v>
      </c>
      <c r="AA1745" s="276">
        <f>VLOOKUP(Logfile_S[[#This Row],[DO number]],DO_DB!G:I,3,0)</f>
        <v>45622</v>
      </c>
      <c r="AB1745" s="331" t="b">
        <f>EXACT(Logfile_S[[#This Row],[date pick]],Logfile_S[[#This Row],[Date]])</f>
        <v>1</v>
      </c>
      <c r="AC17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46" spans="1:29" ht="14.5">
      <c r="A1746" s="220" t="str">
        <f>TEXT(ROW(A1746)-ROW($A$4),"000")</f>
        <v>1742</v>
      </c>
      <c r="B1746" s="221"/>
      <c r="C1746" s="221" t="s">
        <v>49</v>
      </c>
      <c r="D1746" s="221" t="s">
        <v>4349</v>
      </c>
      <c r="E1746" s="221" t="s">
        <v>3295</v>
      </c>
      <c r="F1746" s="221" t="s">
        <v>3299</v>
      </c>
      <c r="G1746" s="222">
        <v>45734</v>
      </c>
      <c r="H1746" s="223">
        <v>0.67291666666666672</v>
      </c>
      <c r="I1746" s="221" t="s">
        <v>4916</v>
      </c>
      <c r="J1746" s="221" t="s">
        <v>3023</v>
      </c>
      <c r="K1746" s="224" t="s">
        <v>3075</v>
      </c>
      <c r="L1746" s="225" t="str">
        <f>VLOOKUP(Logfile_S[[#This Row],[Material Name]],Sheet2!B:C,2,0)</f>
        <v>ZTE2003</v>
      </c>
      <c r="M1746" s="225" t="str">
        <f>_xlfn.XLOOKUP(Logfile_S[[#This Row],[Material Name]],Sum_WH!E:E,Sum_WH!F:F,"",0)</f>
        <v>Meter</v>
      </c>
      <c r="N1746" s="221">
        <v>3000</v>
      </c>
      <c r="O1746" s="221" t="s">
        <v>2664</v>
      </c>
      <c r="P1746" s="221" t="s">
        <v>2665</v>
      </c>
      <c r="Q1746" s="221"/>
      <c r="R1746" s="221"/>
      <c r="S1746" s="221"/>
      <c r="T1746" s="221" t="s">
        <v>3258</v>
      </c>
      <c r="U1746" s="221" t="s">
        <v>5107</v>
      </c>
      <c r="V1746" s="221" t="s">
        <v>3337</v>
      </c>
      <c r="W1746" s="221" t="s">
        <v>3338</v>
      </c>
      <c r="X1746" s="221"/>
      <c r="Y1746" s="227"/>
      <c r="Z1746" s="227" t="str">
        <f>P1746</f>
        <v>Temas RW 04</v>
      </c>
      <c r="AA1746" s="276" t="e">
        <f>VLOOKUP(Logfile_S[[#This Row],[DO number]],DO_DB!G:I,3,0)</f>
        <v>#N/A</v>
      </c>
      <c r="AB1746" s="331" t="e">
        <f>EXACT(Logfile_S[[#This Row],[date pick]],Logfile_S[[#This Row],[Date]])</f>
        <v>#N/A</v>
      </c>
      <c r="AC17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47" spans="1:29" ht="14.5">
      <c r="A1747" s="220" t="str">
        <f>TEXT(ROW(A1747)-ROW($A$4),"000")</f>
        <v>1743</v>
      </c>
      <c r="B1747" s="221"/>
      <c r="C1747" s="221" t="s">
        <v>48</v>
      </c>
      <c r="D1747" s="221" t="s">
        <v>4351</v>
      </c>
      <c r="E1747" s="221" t="s">
        <v>3295</v>
      </c>
      <c r="F1747" s="221" t="s">
        <v>3299</v>
      </c>
      <c r="G1747" s="222">
        <v>45735</v>
      </c>
      <c r="H1747" s="223">
        <v>15.291666666666666</v>
      </c>
      <c r="I1747" s="221" t="s">
        <v>37</v>
      </c>
      <c r="J1747" s="221" t="s">
        <v>3023</v>
      </c>
      <c r="K1747" s="224" t="s">
        <v>13</v>
      </c>
      <c r="L1747" s="225" t="str">
        <f>VLOOKUP(Logfile_S[[#This Row],[Material Name]],Sheet2!B:C,2,0)</f>
        <v>ZTE2008</v>
      </c>
      <c r="M1747" s="225" t="str">
        <f>_xlfn.XLOOKUP(Logfile_S[[#This Row],[Material Name]],Sum_WH!E:E,Sum_WH!F:F,"",0)</f>
        <v>Pcs</v>
      </c>
      <c r="N1747" s="221">
        <v>42</v>
      </c>
      <c r="O1747" s="221" t="s">
        <v>2664</v>
      </c>
      <c r="P1747" s="221" t="s">
        <v>2665</v>
      </c>
      <c r="Q1747" s="221">
        <v>0</v>
      </c>
      <c r="R1747" s="221">
        <v>0</v>
      </c>
      <c r="S1747" s="221"/>
      <c r="T1747" s="221"/>
      <c r="U1747" s="221"/>
      <c r="V1747" s="221"/>
      <c r="W1747" s="221"/>
      <c r="X1747" s="221"/>
      <c r="Y1747" s="227"/>
      <c r="Z1747" s="227" t="str">
        <f>P1747</f>
        <v>Temas RW 04</v>
      </c>
      <c r="AA1747" s="276" t="e">
        <f>VLOOKUP(Logfile_S[[#This Row],[DO number]],DO_DB!G:I,3,0)</f>
        <v>#N/A</v>
      </c>
      <c r="AB1747" s="331" t="e">
        <f>EXACT(Logfile_S[[#This Row],[date pick]],Logfile_S[[#This Row],[Date]])</f>
        <v>#N/A</v>
      </c>
      <c r="AC17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48" spans="1:29" ht="14.5">
      <c r="A1748" s="220" t="str">
        <f>TEXT(ROW(A1748)-ROW($A$4),"000")</f>
        <v>1744</v>
      </c>
      <c r="B1748" s="221"/>
      <c r="C1748" s="221" t="s">
        <v>49</v>
      </c>
      <c r="D1748" s="221" t="s">
        <v>4356</v>
      </c>
      <c r="E1748" s="221" t="s">
        <v>3295</v>
      </c>
      <c r="F1748" s="221" t="s">
        <v>3299</v>
      </c>
      <c r="G1748" s="222">
        <v>45738</v>
      </c>
      <c r="H1748" s="223">
        <v>0.67291666666666672</v>
      </c>
      <c r="I1748" s="221" t="s">
        <v>4916</v>
      </c>
      <c r="J1748" s="221" t="s">
        <v>3024</v>
      </c>
      <c r="K1748" s="224" t="s">
        <v>5137</v>
      </c>
      <c r="L1748" s="225" t="str">
        <f>VLOOKUP(Logfile_S[[#This Row],[Material Name]],Sheet2!B:C,2,0)</f>
        <v>GCI1009</v>
      </c>
      <c r="M1748" s="225" t="str">
        <f>_xlfn.XLOOKUP(Logfile_S[[#This Row],[Material Name]],Sum_WH!E:E,Sum_WH!F:F,"",0)</f>
        <v>Pcs</v>
      </c>
      <c r="N1748" s="221">
        <v>160</v>
      </c>
      <c r="O1748" s="221" t="s">
        <v>2664</v>
      </c>
      <c r="P1748" s="221" t="s">
        <v>2665</v>
      </c>
      <c r="Q1748" s="221"/>
      <c r="R1748" s="221"/>
      <c r="S1748" s="221"/>
      <c r="T1748" s="221" t="s">
        <v>3258</v>
      </c>
      <c r="U1748" s="221">
        <v>0</v>
      </c>
      <c r="V1748" s="221" t="s">
        <v>3337</v>
      </c>
      <c r="W1748" s="221" t="s">
        <v>3338</v>
      </c>
      <c r="X1748" s="221"/>
      <c r="Y1748" s="227"/>
      <c r="Z1748" s="227" t="str">
        <f>P1748</f>
        <v>Temas RW 04</v>
      </c>
      <c r="AA1748" s="276" t="e">
        <f>VLOOKUP(Logfile_S[[#This Row],[DO number]],DO_DB!G:I,3,0)</f>
        <v>#N/A</v>
      </c>
      <c r="AB1748" s="331" t="e">
        <f>EXACT(Logfile_S[[#This Row],[date pick]],Logfile_S[[#This Row],[Date]])</f>
        <v>#N/A</v>
      </c>
      <c r="AC17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49" spans="1:29" ht="14.5">
      <c r="A1749" s="220" t="str">
        <f>TEXT(ROW(A1749)-ROW($A$4),"000")</f>
        <v>1745</v>
      </c>
      <c r="B1749" s="221"/>
      <c r="C1749" s="221" t="s">
        <v>49</v>
      </c>
      <c r="D1749" s="221" t="s">
        <v>4356</v>
      </c>
      <c r="E1749" s="221" t="s">
        <v>3295</v>
      </c>
      <c r="F1749" s="221" t="s">
        <v>3299</v>
      </c>
      <c r="G1749" s="222">
        <v>45738</v>
      </c>
      <c r="H1749" s="223">
        <v>0.67291666666666672</v>
      </c>
      <c r="I1749" s="221" t="s">
        <v>4916</v>
      </c>
      <c r="J1749" s="221" t="s">
        <v>3024</v>
      </c>
      <c r="K1749" s="224" t="s">
        <v>3088</v>
      </c>
      <c r="L1749" s="225" t="str">
        <f>VLOOKUP(Logfile_S[[#This Row],[Material Name]],Sheet2!B:C,2,0)</f>
        <v>GCI1002</v>
      </c>
      <c r="M1749" s="225" t="str">
        <f>_xlfn.XLOOKUP(Logfile_S[[#This Row],[Material Name]],Sum_WH!E:E,Sum_WH!F:F,"",0)</f>
        <v>Pcs</v>
      </c>
      <c r="N1749" s="221">
        <v>1</v>
      </c>
      <c r="O1749" s="221" t="s">
        <v>2664</v>
      </c>
      <c r="P1749" s="221" t="s">
        <v>2665</v>
      </c>
      <c r="Q1749" s="221"/>
      <c r="R1749" s="221"/>
      <c r="S1749" s="221"/>
      <c r="T1749" s="221" t="s">
        <v>3258</v>
      </c>
      <c r="U1749" s="221">
        <v>0</v>
      </c>
      <c r="V1749" s="221" t="s">
        <v>3337</v>
      </c>
      <c r="W1749" s="221" t="s">
        <v>3338</v>
      </c>
      <c r="X1749" s="221"/>
      <c r="Y1749" s="227"/>
      <c r="Z1749" s="227" t="str">
        <f>P1749</f>
        <v>Temas RW 04</v>
      </c>
      <c r="AA1749" s="276" t="e">
        <f>VLOOKUP(Logfile_S[[#This Row],[DO number]],DO_DB!G:I,3,0)</f>
        <v>#N/A</v>
      </c>
      <c r="AB1749" s="331" t="e">
        <f>EXACT(Logfile_S[[#This Row],[date pick]],Logfile_S[[#This Row],[Date]])</f>
        <v>#N/A</v>
      </c>
      <c r="AC17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50" spans="1:29" ht="14.5">
      <c r="A1750" s="220" t="str">
        <f>TEXT(ROW(A1750)-ROW($A$4),"000")</f>
        <v>1746</v>
      </c>
      <c r="B1750" s="221"/>
      <c r="C1750" s="221" t="s">
        <v>49</v>
      </c>
      <c r="D1750" s="221" t="s">
        <v>4356</v>
      </c>
      <c r="E1750" s="221" t="s">
        <v>3295</v>
      </c>
      <c r="F1750" s="221" t="s">
        <v>3299</v>
      </c>
      <c r="G1750" s="222">
        <v>45738</v>
      </c>
      <c r="H1750" s="223">
        <v>0.67291666666666672</v>
      </c>
      <c r="I1750" s="221" t="s">
        <v>4916</v>
      </c>
      <c r="J1750" s="221" t="s">
        <v>3023</v>
      </c>
      <c r="K1750" s="224" t="s">
        <v>3070</v>
      </c>
      <c r="L1750" s="225" t="str">
        <f>VLOOKUP(Logfile_S[[#This Row],[Material Name]],Sheet2!B:C,2,0)</f>
        <v>ZTE1002</v>
      </c>
      <c r="M1750" s="225" t="str">
        <f>_xlfn.XLOOKUP(Logfile_S[[#This Row],[Material Name]],Sum_WH!E:E,Sum_WH!F:F,"",0)</f>
        <v>Pcs</v>
      </c>
      <c r="N1750" s="221">
        <v>25</v>
      </c>
      <c r="O1750" s="221" t="s">
        <v>2664</v>
      </c>
      <c r="P1750" s="221" t="s">
        <v>2665</v>
      </c>
      <c r="Q1750" s="221"/>
      <c r="R1750" s="221"/>
      <c r="S1750" s="221"/>
      <c r="T1750" s="221" t="s">
        <v>3258</v>
      </c>
      <c r="U1750" s="221">
        <v>0</v>
      </c>
      <c r="V1750" s="221" t="s">
        <v>3337</v>
      </c>
      <c r="W1750" s="221" t="s">
        <v>3338</v>
      </c>
      <c r="X1750" s="221"/>
      <c r="Y1750" s="227"/>
      <c r="Z1750" s="227" t="str">
        <f>P1750</f>
        <v>Temas RW 04</v>
      </c>
      <c r="AA1750" s="276" t="e">
        <f>VLOOKUP(Logfile_S[[#This Row],[DO number]],DO_DB!G:I,3,0)</f>
        <v>#N/A</v>
      </c>
      <c r="AB1750" s="331" t="e">
        <f>EXACT(Logfile_S[[#This Row],[date pick]],Logfile_S[[#This Row],[Date]])</f>
        <v>#N/A</v>
      </c>
      <c r="AC17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51" spans="1:29" ht="14.5">
      <c r="A1751" s="220" t="str">
        <f>TEXT(ROW(A1751)-ROW($A$4),"000")</f>
        <v>1747</v>
      </c>
      <c r="B1751" s="221"/>
      <c r="C1751" s="221" t="s">
        <v>49</v>
      </c>
      <c r="D1751" s="221" t="s">
        <v>4356</v>
      </c>
      <c r="E1751" s="221" t="s">
        <v>3295</v>
      </c>
      <c r="F1751" s="221" t="s">
        <v>3299</v>
      </c>
      <c r="G1751" s="222">
        <v>45738</v>
      </c>
      <c r="H1751" s="223">
        <v>0.67291666666666672</v>
      </c>
      <c r="I1751" s="221" t="s">
        <v>4916</v>
      </c>
      <c r="J1751" s="221" t="s">
        <v>3024</v>
      </c>
      <c r="K1751" s="224" t="s">
        <v>3456</v>
      </c>
      <c r="L1751" s="225" t="str">
        <f>VLOOKUP(Logfile_S[[#This Row],[Material Name]],Sheet2!B:C,2,0)</f>
        <v>GCI1008</v>
      </c>
      <c r="M1751" s="225" t="str">
        <f>_xlfn.XLOOKUP(Logfile_S[[#This Row],[Material Name]],Sum_WH!E:E,Sum_WH!F:F,"",0)</f>
        <v>Pcs</v>
      </c>
      <c r="N1751" s="221">
        <v>158</v>
      </c>
      <c r="O1751" s="221" t="s">
        <v>2664</v>
      </c>
      <c r="P1751" s="221" t="s">
        <v>2665</v>
      </c>
      <c r="Q1751" s="221"/>
      <c r="R1751" s="221"/>
      <c r="S1751" s="221"/>
      <c r="T1751" s="221" t="s">
        <v>3258</v>
      </c>
      <c r="U1751" s="221">
        <v>0</v>
      </c>
      <c r="V1751" s="221" t="s">
        <v>3337</v>
      </c>
      <c r="W1751" s="221" t="s">
        <v>3338</v>
      </c>
      <c r="X1751" s="221"/>
      <c r="Y1751" s="227"/>
      <c r="Z1751" s="227" t="str">
        <f>P1751</f>
        <v>Temas RW 04</v>
      </c>
      <c r="AA1751" s="276" t="e">
        <f>VLOOKUP(Logfile_S[[#This Row],[DO number]],DO_DB!G:I,3,0)</f>
        <v>#N/A</v>
      </c>
      <c r="AB1751" s="331" t="e">
        <f>EXACT(Logfile_S[[#This Row],[date pick]],Logfile_S[[#This Row],[Date]])</f>
        <v>#N/A</v>
      </c>
      <c r="AC17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52" spans="1:29" ht="14.5">
      <c r="A1752" s="220" t="str">
        <f>TEXT(ROW(A1752)-ROW($A$4),"000")</f>
        <v>1748</v>
      </c>
      <c r="B1752" s="221"/>
      <c r="C1752" s="221" t="s">
        <v>49</v>
      </c>
      <c r="D1752" s="221" t="s">
        <v>4356</v>
      </c>
      <c r="E1752" s="221" t="s">
        <v>3295</v>
      </c>
      <c r="F1752" s="221" t="s">
        <v>3299</v>
      </c>
      <c r="G1752" s="222">
        <v>45738</v>
      </c>
      <c r="H1752" s="223">
        <v>0.67291666666666672</v>
      </c>
      <c r="I1752" s="221" t="s">
        <v>4916</v>
      </c>
      <c r="J1752" s="221" t="s">
        <v>3024</v>
      </c>
      <c r="K1752" s="224" t="s">
        <v>3089</v>
      </c>
      <c r="L1752" s="225" t="str">
        <f>VLOOKUP(Logfile_S[[#This Row],[Material Name]],Sheet2!B:C,2,0)</f>
        <v>GCI1003</v>
      </c>
      <c r="M1752" s="225" t="str">
        <f>_xlfn.XLOOKUP(Logfile_S[[#This Row],[Material Name]],Sum_WH!E:E,Sum_WH!F:F,"",0)</f>
        <v>Pcs</v>
      </c>
      <c r="N1752" s="221">
        <v>94</v>
      </c>
      <c r="O1752" s="221" t="s">
        <v>2664</v>
      </c>
      <c r="P1752" s="221" t="s">
        <v>2665</v>
      </c>
      <c r="Q1752" s="221"/>
      <c r="R1752" s="221"/>
      <c r="S1752" s="221"/>
      <c r="T1752" s="221" t="s">
        <v>3258</v>
      </c>
      <c r="U1752" s="221">
        <v>0</v>
      </c>
      <c r="V1752" s="221" t="s">
        <v>3337</v>
      </c>
      <c r="W1752" s="221" t="s">
        <v>3338</v>
      </c>
      <c r="X1752" s="221"/>
      <c r="Y1752" s="227"/>
      <c r="Z1752" s="227" t="str">
        <f>P1752</f>
        <v>Temas RW 04</v>
      </c>
      <c r="AA1752" s="276" t="e">
        <f>VLOOKUP(Logfile_S[[#This Row],[DO number]],DO_DB!G:I,3,0)</f>
        <v>#N/A</v>
      </c>
      <c r="AB1752" s="331" t="e">
        <f>EXACT(Logfile_S[[#This Row],[date pick]],Logfile_S[[#This Row],[Date]])</f>
        <v>#N/A</v>
      </c>
      <c r="AC17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53" spans="1:29" ht="14.5">
      <c r="A1753" s="220" t="str">
        <f>TEXT(ROW(A1753)-ROW($A$4),"000")</f>
        <v>1749</v>
      </c>
      <c r="B1753" s="221"/>
      <c r="C1753" s="221" t="s">
        <v>49</v>
      </c>
      <c r="D1753" s="221" t="s">
        <v>4356</v>
      </c>
      <c r="E1753" s="221" t="s">
        <v>3295</v>
      </c>
      <c r="F1753" s="221" t="s">
        <v>3299</v>
      </c>
      <c r="G1753" s="222">
        <v>45738</v>
      </c>
      <c r="H1753" s="223">
        <v>0.67291666666666672</v>
      </c>
      <c r="I1753" s="221" t="s">
        <v>4916</v>
      </c>
      <c r="J1753" s="221" t="s">
        <v>3024</v>
      </c>
      <c r="K1753" s="224" t="s">
        <v>3090</v>
      </c>
      <c r="L1753" s="225" t="str">
        <f>VLOOKUP(Logfile_S[[#This Row],[Material Name]],Sheet2!B:C,2,0)</f>
        <v>GCI1004</v>
      </c>
      <c r="M1753" s="225" t="str">
        <f>_xlfn.XLOOKUP(Logfile_S[[#This Row],[Material Name]],Sum_WH!E:E,Sum_WH!F:F,"",0)</f>
        <v>Pcs</v>
      </c>
      <c r="N1753" s="221">
        <v>29</v>
      </c>
      <c r="O1753" s="221" t="s">
        <v>2664</v>
      </c>
      <c r="P1753" s="221" t="s">
        <v>2665</v>
      </c>
      <c r="Q1753" s="221"/>
      <c r="R1753" s="221"/>
      <c r="S1753" s="221"/>
      <c r="T1753" s="221" t="s">
        <v>3258</v>
      </c>
      <c r="U1753" s="221">
        <v>0</v>
      </c>
      <c r="V1753" s="221" t="s">
        <v>3337</v>
      </c>
      <c r="W1753" s="221" t="s">
        <v>3338</v>
      </c>
      <c r="X1753" s="221"/>
      <c r="Y1753" s="227"/>
      <c r="Z1753" s="227" t="str">
        <f>P1753</f>
        <v>Temas RW 04</v>
      </c>
      <c r="AA1753" s="276" t="e">
        <f>VLOOKUP(Logfile_S[[#This Row],[DO number]],DO_DB!G:I,3,0)</f>
        <v>#N/A</v>
      </c>
      <c r="AB1753" s="331" t="e">
        <f>EXACT(Logfile_S[[#This Row],[date pick]],Logfile_S[[#This Row],[Date]])</f>
        <v>#N/A</v>
      </c>
      <c r="AC17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54" spans="1:29" ht="14.5">
      <c r="A1754" s="220" t="str">
        <f>TEXT(ROW(A1754)-ROW($A$4),"000")</f>
        <v>1750</v>
      </c>
      <c r="B1754" s="221"/>
      <c r="C1754" s="221" t="s">
        <v>49</v>
      </c>
      <c r="D1754" s="221" t="s">
        <v>4357</v>
      </c>
      <c r="E1754" s="221" t="s">
        <v>3295</v>
      </c>
      <c r="F1754" s="221" t="s">
        <v>3299</v>
      </c>
      <c r="G1754" s="222">
        <v>45739</v>
      </c>
      <c r="H1754" s="223">
        <v>0.83125000000000004</v>
      </c>
      <c r="I1754" s="221" t="s">
        <v>4916</v>
      </c>
      <c r="J1754" s="221" t="s">
        <v>3023</v>
      </c>
      <c r="K1754" s="224" t="s">
        <v>13</v>
      </c>
      <c r="L1754" s="225" t="str">
        <f>VLOOKUP(Logfile_S[[#This Row],[Material Name]],Sheet2!B:C,2,0)</f>
        <v>ZTE2008</v>
      </c>
      <c r="M1754" s="225" t="str">
        <f>_xlfn.XLOOKUP(Logfile_S[[#This Row],[Material Name]],Sum_WH!E:E,Sum_WH!F:F,"",0)</f>
        <v>Pcs</v>
      </c>
      <c r="N1754" s="221">
        <v>32</v>
      </c>
      <c r="O1754" s="221" t="s">
        <v>2664</v>
      </c>
      <c r="P1754" s="221" t="s">
        <v>2665</v>
      </c>
      <c r="Q1754" s="221"/>
      <c r="R1754" s="221"/>
      <c r="S1754" s="221"/>
      <c r="T1754" s="221" t="s">
        <v>3471</v>
      </c>
      <c r="U1754" s="221">
        <v>0</v>
      </c>
      <c r="V1754" s="221" t="s">
        <v>3472</v>
      </c>
      <c r="W1754" s="221" t="s">
        <v>3545</v>
      </c>
      <c r="X1754" s="221"/>
      <c r="Y1754" s="227"/>
      <c r="Z1754" s="227" t="str">
        <f>P1754</f>
        <v>Temas RW 04</v>
      </c>
      <c r="AA1754" s="276" t="e">
        <f>VLOOKUP(Logfile_S[[#This Row],[DO number]],DO_DB!G:I,3,0)</f>
        <v>#N/A</v>
      </c>
      <c r="AB1754" s="331" t="e">
        <f>EXACT(Logfile_S[[#This Row],[date pick]],Logfile_S[[#This Row],[Date]])</f>
        <v>#N/A</v>
      </c>
      <c r="AC17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55" spans="1:29" ht="14.5">
      <c r="A1755" s="220" t="str">
        <f>TEXT(ROW(A1755)-ROW($A$4),"000")</f>
        <v>1751</v>
      </c>
      <c r="B1755" s="221"/>
      <c r="C1755" s="221" t="s">
        <v>49</v>
      </c>
      <c r="D1755" s="221" t="s">
        <v>4358</v>
      </c>
      <c r="E1755" s="221" t="s">
        <v>3295</v>
      </c>
      <c r="F1755" s="221" t="s">
        <v>3299</v>
      </c>
      <c r="G1755" s="222">
        <v>45740</v>
      </c>
      <c r="H1755" s="223">
        <v>0.83125000000000004</v>
      </c>
      <c r="I1755" s="221" t="s">
        <v>4916</v>
      </c>
      <c r="J1755" s="221" t="s">
        <v>3023</v>
      </c>
      <c r="K1755" s="224" t="s">
        <v>15</v>
      </c>
      <c r="L1755" s="225" t="str">
        <f>VLOOKUP(Logfile_S[[#This Row],[Material Name]],Sheet2!B:C,2,0)</f>
        <v>ZTE2006</v>
      </c>
      <c r="M1755" s="225" t="str">
        <f>_xlfn.XLOOKUP(Logfile_S[[#This Row],[Material Name]],Sum_WH!E:E,Sum_WH!F:F,"",0)</f>
        <v>Pcs</v>
      </c>
      <c r="N1755" s="221">
        <v>1</v>
      </c>
      <c r="O1755" s="221" t="s">
        <v>2664</v>
      </c>
      <c r="P1755" s="221" t="s">
        <v>2665</v>
      </c>
      <c r="Q1755" s="221"/>
      <c r="R1755" s="221"/>
      <c r="S1755" s="221"/>
      <c r="T1755" s="221" t="s">
        <v>3411</v>
      </c>
      <c r="U1755" s="221">
        <v>0</v>
      </c>
      <c r="V1755" s="221">
        <v>0</v>
      </c>
      <c r="W1755" s="221" t="s">
        <v>3412</v>
      </c>
      <c r="X1755" s="221"/>
      <c r="Y1755" s="227"/>
      <c r="Z1755" s="227" t="str">
        <f>P1755</f>
        <v>Temas RW 04</v>
      </c>
      <c r="AA1755" s="276" t="e">
        <f>VLOOKUP(Logfile_S[[#This Row],[DO number]],DO_DB!G:I,3,0)</f>
        <v>#N/A</v>
      </c>
      <c r="AB1755" s="331" t="e">
        <f>EXACT(Logfile_S[[#This Row],[date pick]],Logfile_S[[#This Row],[Date]])</f>
        <v>#N/A</v>
      </c>
      <c r="AC17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56" spans="1:29" ht="14.5">
      <c r="A1756" s="220" t="str">
        <f>TEXT(ROW(A1756)-ROW($A$4),"000")</f>
        <v>1752</v>
      </c>
      <c r="B1756" s="221"/>
      <c r="C1756" s="221" t="s">
        <v>49</v>
      </c>
      <c r="D1756" s="221" t="s">
        <v>4360</v>
      </c>
      <c r="E1756" s="221" t="s">
        <v>3295</v>
      </c>
      <c r="F1756" s="221" t="s">
        <v>3299</v>
      </c>
      <c r="G1756" s="222">
        <v>45741</v>
      </c>
      <c r="H1756" s="223">
        <v>0.83125000000000004</v>
      </c>
      <c r="I1756" s="221" t="s">
        <v>4916</v>
      </c>
      <c r="J1756" s="221" t="s">
        <v>3024</v>
      </c>
      <c r="K1756" s="224" t="s">
        <v>5137</v>
      </c>
      <c r="L1756" s="225" t="str">
        <f>VLOOKUP(Logfile_S[[#This Row],[Material Name]],Sheet2!B:C,2,0)</f>
        <v>GCI1009</v>
      </c>
      <c r="M1756" s="225" t="str">
        <f>_xlfn.XLOOKUP(Logfile_S[[#This Row],[Material Name]],Sum_WH!E:E,Sum_WH!F:F,"",0)</f>
        <v>Pcs</v>
      </c>
      <c r="N1756" s="221">
        <v>56</v>
      </c>
      <c r="O1756" s="221" t="s">
        <v>2664</v>
      </c>
      <c r="P1756" s="221" t="s">
        <v>2665</v>
      </c>
      <c r="Q1756" s="221"/>
      <c r="R1756" s="221"/>
      <c r="S1756" s="221"/>
      <c r="T1756" s="221" t="s">
        <v>3258</v>
      </c>
      <c r="U1756" s="221">
        <v>0</v>
      </c>
      <c r="V1756" s="221" t="s">
        <v>3337</v>
      </c>
      <c r="W1756" s="221" t="s">
        <v>3338</v>
      </c>
      <c r="X1756" s="221"/>
      <c r="Y1756" s="227"/>
      <c r="Z1756" s="227" t="str">
        <f>P1756</f>
        <v>Temas RW 04</v>
      </c>
      <c r="AA1756" s="276" t="e">
        <f>VLOOKUP(Logfile_S[[#This Row],[DO number]],DO_DB!G:I,3,0)</f>
        <v>#N/A</v>
      </c>
      <c r="AB1756" s="331" t="e">
        <f>EXACT(Logfile_S[[#This Row],[date pick]],Logfile_S[[#This Row],[Date]])</f>
        <v>#N/A</v>
      </c>
      <c r="AC17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57" spans="1:29" ht="14.5">
      <c r="A1757" s="220" t="str">
        <f>TEXT(ROW(A1757)-ROW($A$4),"000")</f>
        <v>1753</v>
      </c>
      <c r="B1757" s="221"/>
      <c r="C1757" s="221" t="s">
        <v>49</v>
      </c>
      <c r="D1757" s="221" t="s">
        <v>4360</v>
      </c>
      <c r="E1757" s="221" t="s">
        <v>3295</v>
      </c>
      <c r="F1757" s="221" t="s">
        <v>3299</v>
      </c>
      <c r="G1757" s="222">
        <v>45741</v>
      </c>
      <c r="H1757" s="223">
        <v>0.83125000000000004</v>
      </c>
      <c r="I1757" s="221" t="s">
        <v>4916</v>
      </c>
      <c r="J1757" s="221" t="s">
        <v>3023</v>
      </c>
      <c r="K1757" s="224" t="s">
        <v>3070</v>
      </c>
      <c r="L1757" s="225" t="str">
        <f>VLOOKUP(Logfile_S[[#This Row],[Material Name]],Sheet2!B:C,2,0)</f>
        <v>ZTE1002</v>
      </c>
      <c r="M1757" s="225" t="str">
        <f>_xlfn.XLOOKUP(Logfile_S[[#This Row],[Material Name]],Sum_WH!E:E,Sum_WH!F:F,"",0)</f>
        <v>Pcs</v>
      </c>
      <c r="N1757" s="221">
        <v>4</v>
      </c>
      <c r="O1757" s="221" t="s">
        <v>2664</v>
      </c>
      <c r="P1757" s="221" t="s">
        <v>2665</v>
      </c>
      <c r="Q1757" s="221"/>
      <c r="R1757" s="221"/>
      <c r="S1757" s="221"/>
      <c r="T1757" s="221" t="s">
        <v>3258</v>
      </c>
      <c r="U1757" s="221">
        <v>0</v>
      </c>
      <c r="V1757" s="221" t="s">
        <v>3337</v>
      </c>
      <c r="W1757" s="221" t="s">
        <v>3338</v>
      </c>
      <c r="X1757" s="221"/>
      <c r="Y1757" s="227"/>
      <c r="Z1757" s="227" t="str">
        <f>P1757</f>
        <v>Temas RW 04</v>
      </c>
      <c r="AA1757" s="276" t="e">
        <f>VLOOKUP(Logfile_S[[#This Row],[DO number]],DO_DB!G:I,3,0)</f>
        <v>#N/A</v>
      </c>
      <c r="AB1757" s="331" t="e">
        <f>EXACT(Logfile_S[[#This Row],[date pick]],Logfile_S[[#This Row],[Date]])</f>
        <v>#N/A</v>
      </c>
      <c r="AC17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58" spans="1:29" ht="14.5">
      <c r="A1758" s="220" t="str">
        <f>TEXT(ROW(A1758)-ROW($A$4),"000")</f>
        <v>1754</v>
      </c>
      <c r="B1758" s="221"/>
      <c r="C1758" s="221" t="s">
        <v>49</v>
      </c>
      <c r="D1758" s="221" t="s">
        <v>4360</v>
      </c>
      <c r="E1758" s="221" t="s">
        <v>3295</v>
      </c>
      <c r="F1758" s="221" t="s">
        <v>3299</v>
      </c>
      <c r="G1758" s="222">
        <v>45741</v>
      </c>
      <c r="H1758" s="223">
        <v>0.83125000000000004</v>
      </c>
      <c r="I1758" s="221" t="s">
        <v>4916</v>
      </c>
      <c r="J1758" s="221" t="s">
        <v>3023</v>
      </c>
      <c r="K1758" s="224" t="s">
        <v>3070</v>
      </c>
      <c r="L1758" s="225" t="str">
        <f>VLOOKUP(Logfile_S[[#This Row],[Material Name]],Sheet2!B:C,2,0)</f>
        <v>ZTE1002</v>
      </c>
      <c r="M1758" s="225" t="str">
        <f>_xlfn.XLOOKUP(Logfile_S[[#This Row],[Material Name]],Sum_WH!E:E,Sum_WH!F:F,"",0)</f>
        <v>Pcs</v>
      </c>
      <c r="N1758" s="221">
        <v>25</v>
      </c>
      <c r="O1758" s="221" t="s">
        <v>2664</v>
      </c>
      <c r="P1758" s="221" t="s">
        <v>2665</v>
      </c>
      <c r="Q1758" s="221"/>
      <c r="R1758" s="221"/>
      <c r="S1758" s="221"/>
      <c r="T1758" s="221" t="s">
        <v>3258</v>
      </c>
      <c r="U1758" s="221">
        <v>0</v>
      </c>
      <c r="V1758" s="221" t="s">
        <v>3337</v>
      </c>
      <c r="W1758" s="221" t="s">
        <v>3338</v>
      </c>
      <c r="X1758" s="221"/>
      <c r="Y1758" s="227"/>
      <c r="Z1758" s="227" t="str">
        <f>P1758</f>
        <v>Temas RW 04</v>
      </c>
      <c r="AA1758" s="276" t="e">
        <f>VLOOKUP(Logfile_S[[#This Row],[DO number]],DO_DB!G:I,3,0)</f>
        <v>#N/A</v>
      </c>
      <c r="AB1758" s="331" t="e">
        <f>EXACT(Logfile_S[[#This Row],[date pick]],Logfile_S[[#This Row],[Date]])</f>
        <v>#N/A</v>
      </c>
      <c r="AC17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59" spans="1:29" ht="14.5">
      <c r="A1759" s="220" t="str">
        <f>TEXT(ROW(A1759)-ROW($A$4),"000")</f>
        <v>1755</v>
      </c>
      <c r="B1759" s="221"/>
      <c r="C1759" s="221" t="s">
        <v>49</v>
      </c>
      <c r="D1759" s="221" t="s">
        <v>4360</v>
      </c>
      <c r="E1759" s="221" t="s">
        <v>3295</v>
      </c>
      <c r="F1759" s="221" t="s">
        <v>3299</v>
      </c>
      <c r="G1759" s="222">
        <v>45741</v>
      </c>
      <c r="H1759" s="223">
        <v>0.83125000000000004</v>
      </c>
      <c r="I1759" s="221" t="s">
        <v>4916</v>
      </c>
      <c r="J1759" s="221" t="s">
        <v>3023</v>
      </c>
      <c r="K1759" s="224" t="s">
        <v>3069</v>
      </c>
      <c r="L1759" s="225" t="str">
        <f>VLOOKUP(Logfile_S[[#This Row],[Material Name]],Sheet2!B:C,2,0)</f>
        <v>ZTE1001</v>
      </c>
      <c r="M1759" s="225" t="str">
        <f>_xlfn.XLOOKUP(Logfile_S[[#This Row],[Material Name]],Sum_WH!E:E,Sum_WH!F:F,"",0)</f>
        <v>Pcs</v>
      </c>
      <c r="N1759" s="221">
        <v>1</v>
      </c>
      <c r="O1759" s="221" t="s">
        <v>2664</v>
      </c>
      <c r="P1759" s="221" t="s">
        <v>2665</v>
      </c>
      <c r="Q1759" s="221"/>
      <c r="R1759" s="221"/>
      <c r="S1759" s="221"/>
      <c r="T1759" s="221" t="s">
        <v>3258</v>
      </c>
      <c r="U1759" s="221">
        <v>0</v>
      </c>
      <c r="V1759" s="221" t="s">
        <v>3337</v>
      </c>
      <c r="W1759" s="221" t="s">
        <v>3338</v>
      </c>
      <c r="X1759" s="221"/>
      <c r="Y1759" s="227"/>
      <c r="Z1759" s="227" t="str">
        <f>P1759</f>
        <v>Temas RW 04</v>
      </c>
      <c r="AA1759" s="276" t="e">
        <f>VLOOKUP(Logfile_S[[#This Row],[DO number]],DO_DB!G:I,3,0)</f>
        <v>#N/A</v>
      </c>
      <c r="AB1759" s="331" t="e">
        <f>EXACT(Logfile_S[[#This Row],[date pick]],Logfile_S[[#This Row],[Date]])</f>
        <v>#N/A</v>
      </c>
      <c r="AC17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60" spans="1:29" ht="14.5">
      <c r="A1760" s="220" t="str">
        <f>TEXT(ROW(A1760)-ROW($A$4),"000")</f>
        <v>1756</v>
      </c>
      <c r="B1760" s="221"/>
      <c r="C1760" s="221" t="s">
        <v>49</v>
      </c>
      <c r="D1760" s="221" t="s">
        <v>4360</v>
      </c>
      <c r="E1760" s="221" t="s">
        <v>3295</v>
      </c>
      <c r="F1760" s="221" t="s">
        <v>3299</v>
      </c>
      <c r="G1760" s="222">
        <v>45741</v>
      </c>
      <c r="H1760" s="223">
        <v>0.83125000000000004</v>
      </c>
      <c r="I1760" s="221" t="s">
        <v>4916</v>
      </c>
      <c r="J1760" s="221" t="s">
        <v>3023</v>
      </c>
      <c r="K1760" s="224" t="s">
        <v>3220</v>
      </c>
      <c r="L1760" s="225" t="str">
        <f>VLOOKUP(Logfile_S[[#This Row],[Material Name]],Sheet2!B:C,2,0)</f>
        <v>ZTE1003</v>
      </c>
      <c r="M1760" s="225" t="str">
        <f>_xlfn.XLOOKUP(Logfile_S[[#This Row],[Material Name]],Sum_WH!E:E,Sum_WH!F:F,"",0)</f>
        <v>Pcs</v>
      </c>
      <c r="N1760" s="221">
        <v>1</v>
      </c>
      <c r="O1760" s="221" t="s">
        <v>2664</v>
      </c>
      <c r="P1760" s="221" t="s">
        <v>2665</v>
      </c>
      <c r="Q1760" s="221"/>
      <c r="R1760" s="221"/>
      <c r="S1760" s="221"/>
      <c r="T1760" s="221" t="s">
        <v>3258</v>
      </c>
      <c r="U1760" s="221">
        <v>0</v>
      </c>
      <c r="V1760" s="221" t="s">
        <v>3337</v>
      </c>
      <c r="W1760" s="221" t="s">
        <v>3338</v>
      </c>
      <c r="X1760" s="221"/>
      <c r="Y1760" s="227"/>
      <c r="Z1760" s="227" t="str">
        <f>P1760</f>
        <v>Temas RW 04</v>
      </c>
      <c r="AA1760" s="276" t="e">
        <f>VLOOKUP(Logfile_S[[#This Row],[DO number]],DO_DB!G:I,3,0)</f>
        <v>#N/A</v>
      </c>
      <c r="AB1760" s="331" t="e">
        <f>EXACT(Logfile_S[[#This Row],[date pick]],Logfile_S[[#This Row],[Date]])</f>
        <v>#N/A</v>
      </c>
      <c r="AC17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61" spans="1:29" ht="14.5">
      <c r="A1761" s="220" t="str">
        <f>TEXT(ROW(A1761)-ROW($A$4),"000")</f>
        <v>1757</v>
      </c>
      <c r="B1761" s="221"/>
      <c r="C1761" s="221" t="s">
        <v>49</v>
      </c>
      <c r="D1761" s="221" t="s">
        <v>4360</v>
      </c>
      <c r="E1761" s="221" t="s">
        <v>3295</v>
      </c>
      <c r="F1761" s="221" t="s">
        <v>3299</v>
      </c>
      <c r="G1761" s="222">
        <v>45741</v>
      </c>
      <c r="H1761" s="223">
        <v>0.83125000000000004</v>
      </c>
      <c r="I1761" s="221" t="s">
        <v>4916</v>
      </c>
      <c r="J1761" s="221" t="s">
        <v>3024</v>
      </c>
      <c r="K1761" s="224" t="s">
        <v>3094</v>
      </c>
      <c r="L1761" s="225" t="str">
        <f>VLOOKUP(Logfile_S[[#This Row],[Material Name]],Sheet2!B:C,2,0)</f>
        <v>GCI1008</v>
      </c>
      <c r="M1761" s="225" t="str">
        <f>_xlfn.XLOOKUP(Logfile_S[[#This Row],[Material Name]],Sum_WH!E:E,Sum_WH!F:F,"",0)</f>
        <v>Pcs</v>
      </c>
      <c r="N1761" s="221">
        <v>44</v>
      </c>
      <c r="O1761" s="221" t="s">
        <v>2664</v>
      </c>
      <c r="P1761" s="221" t="s">
        <v>2665</v>
      </c>
      <c r="Q1761" s="221"/>
      <c r="R1761" s="221"/>
      <c r="S1761" s="221"/>
      <c r="T1761" s="221" t="s">
        <v>3258</v>
      </c>
      <c r="U1761" s="221">
        <v>0</v>
      </c>
      <c r="V1761" s="221" t="s">
        <v>3337</v>
      </c>
      <c r="W1761" s="221" t="s">
        <v>3338</v>
      </c>
      <c r="X1761" s="221"/>
      <c r="Y1761" s="227"/>
      <c r="Z1761" s="227" t="str">
        <f>P1761</f>
        <v>Temas RW 04</v>
      </c>
      <c r="AA1761" s="276" t="e">
        <f>VLOOKUP(Logfile_S[[#This Row],[DO number]],DO_DB!G:I,3,0)</f>
        <v>#N/A</v>
      </c>
      <c r="AB1761" s="331" t="e">
        <f>EXACT(Logfile_S[[#This Row],[date pick]],Logfile_S[[#This Row],[Date]])</f>
        <v>#N/A</v>
      </c>
      <c r="AC17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62" spans="1:29" ht="14.5">
      <c r="A1762" s="220" t="str">
        <f>TEXT(ROW(A1762)-ROW($A$4),"000")</f>
        <v>1758</v>
      </c>
      <c r="B1762" s="221"/>
      <c r="C1762" s="221" t="s">
        <v>49</v>
      </c>
      <c r="D1762" s="221" t="s">
        <v>4361</v>
      </c>
      <c r="E1762" s="221" t="s">
        <v>3295</v>
      </c>
      <c r="F1762" s="221" t="s">
        <v>3299</v>
      </c>
      <c r="G1762" s="222">
        <v>45742</v>
      </c>
      <c r="H1762" s="223">
        <v>0.83125000000000004</v>
      </c>
      <c r="I1762" s="221" t="s">
        <v>4916</v>
      </c>
      <c r="J1762" s="221" t="s">
        <v>3024</v>
      </c>
      <c r="K1762" s="224" t="s">
        <v>3097</v>
      </c>
      <c r="L1762" s="225" t="str">
        <f>VLOOKUP(Logfile_S[[#This Row],[Material Name]],Sheet2!B:C,2,0)</f>
        <v>GCI1011</v>
      </c>
      <c r="M1762" s="225" t="str">
        <f>_xlfn.XLOOKUP(Logfile_S[[#This Row],[Material Name]],Sum_WH!E:E,Sum_WH!F:F,"",0)</f>
        <v>Pcs</v>
      </c>
      <c r="N1762" s="221">
        <v>1</v>
      </c>
      <c r="O1762" s="221" t="s">
        <v>2664</v>
      </c>
      <c r="P1762" s="221" t="s">
        <v>2665</v>
      </c>
      <c r="Q1762" s="221"/>
      <c r="R1762" s="221"/>
      <c r="S1762" s="221"/>
      <c r="T1762" s="221" t="s">
        <v>3258</v>
      </c>
      <c r="U1762" s="221">
        <v>0</v>
      </c>
      <c r="V1762" s="221" t="s">
        <v>3337</v>
      </c>
      <c r="W1762" s="221" t="s">
        <v>3338</v>
      </c>
      <c r="X1762" s="221"/>
      <c r="Y1762" s="227"/>
      <c r="Z1762" s="227" t="str">
        <f>P1762</f>
        <v>Temas RW 04</v>
      </c>
      <c r="AA1762" s="276" t="e">
        <f>VLOOKUP(Logfile_S[[#This Row],[DO number]],DO_DB!G:I,3,0)</f>
        <v>#N/A</v>
      </c>
      <c r="AB1762" s="331" t="e">
        <f>EXACT(Logfile_S[[#This Row],[date pick]],Logfile_S[[#This Row],[Date]])</f>
        <v>#N/A</v>
      </c>
      <c r="AC17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63" spans="1:29" ht="14.5">
      <c r="A1763" s="220" t="str">
        <f>TEXT(ROW(A1763)-ROW($A$4),"000")</f>
        <v>1759</v>
      </c>
      <c r="B1763" s="221"/>
      <c r="C1763" s="221" t="s">
        <v>49</v>
      </c>
      <c r="D1763" s="221" t="s">
        <v>4361</v>
      </c>
      <c r="E1763" s="221" t="s">
        <v>3295</v>
      </c>
      <c r="F1763" s="221" t="s">
        <v>3299</v>
      </c>
      <c r="G1763" s="222">
        <v>45742</v>
      </c>
      <c r="H1763" s="223">
        <v>0.83125000000000004</v>
      </c>
      <c r="I1763" s="221" t="s">
        <v>4916</v>
      </c>
      <c r="J1763" s="221" t="s">
        <v>3024</v>
      </c>
      <c r="K1763" s="224" t="s">
        <v>3091</v>
      </c>
      <c r="L1763" s="225" t="str">
        <f>VLOOKUP(Logfile_S[[#This Row],[Material Name]],Sheet2!B:C,2,0)</f>
        <v>GCI1005</v>
      </c>
      <c r="M1763" s="225" t="str">
        <f>_xlfn.XLOOKUP(Logfile_S[[#This Row],[Material Name]],Sum_WH!E:E,Sum_WH!F:F,"",0)</f>
        <v>Pcs</v>
      </c>
      <c r="N1763" s="221">
        <v>60</v>
      </c>
      <c r="O1763" s="221" t="s">
        <v>2664</v>
      </c>
      <c r="P1763" s="221" t="s">
        <v>2665</v>
      </c>
      <c r="Q1763" s="221"/>
      <c r="R1763" s="221"/>
      <c r="S1763" s="221"/>
      <c r="T1763" s="221" t="s">
        <v>3258</v>
      </c>
      <c r="U1763" s="221">
        <v>0</v>
      </c>
      <c r="V1763" s="221" t="s">
        <v>3337</v>
      </c>
      <c r="W1763" s="221" t="s">
        <v>3338</v>
      </c>
      <c r="X1763" s="221"/>
      <c r="Y1763" s="227"/>
      <c r="Z1763" s="227" t="str">
        <f>P1763</f>
        <v>Temas RW 04</v>
      </c>
      <c r="AA1763" s="276" t="e">
        <f>VLOOKUP(Logfile_S[[#This Row],[DO number]],DO_DB!G:I,3,0)</f>
        <v>#N/A</v>
      </c>
      <c r="AB1763" s="331" t="e">
        <f>EXACT(Logfile_S[[#This Row],[date pick]],Logfile_S[[#This Row],[Date]])</f>
        <v>#N/A</v>
      </c>
      <c r="AC17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64" spans="1:29" ht="14.5">
      <c r="A1764" s="220" t="str">
        <f>TEXT(ROW(A1764)-ROW($A$4),"000")</f>
        <v>1760</v>
      </c>
      <c r="B1764" s="221"/>
      <c r="C1764" s="221" t="s">
        <v>49</v>
      </c>
      <c r="D1764" s="221" t="s">
        <v>4361</v>
      </c>
      <c r="E1764" s="221" t="s">
        <v>3295</v>
      </c>
      <c r="F1764" s="221" t="s">
        <v>3299</v>
      </c>
      <c r="G1764" s="222">
        <v>45742</v>
      </c>
      <c r="H1764" s="223">
        <v>0.83125000000000004</v>
      </c>
      <c r="I1764" s="221" t="s">
        <v>4916</v>
      </c>
      <c r="J1764" s="221" t="s">
        <v>3024</v>
      </c>
      <c r="K1764" s="224" t="s">
        <v>3239</v>
      </c>
      <c r="L1764" s="225" t="str">
        <f>VLOOKUP(Logfile_S[[#This Row],[Material Name]],Sheet2!B:C,2,0)</f>
        <v>GCI1001</v>
      </c>
      <c r="M1764" s="225" t="str">
        <f>_xlfn.XLOOKUP(Logfile_S[[#This Row],[Material Name]],Sum_WH!E:E,Sum_WH!F:F,"",0)</f>
        <v>Pcs</v>
      </c>
      <c r="N1764" s="221">
        <v>33</v>
      </c>
      <c r="O1764" s="221" t="s">
        <v>2664</v>
      </c>
      <c r="P1764" s="221" t="s">
        <v>2665</v>
      </c>
      <c r="Q1764" s="221"/>
      <c r="R1764" s="221"/>
      <c r="S1764" s="221"/>
      <c r="T1764" s="221" t="s">
        <v>3258</v>
      </c>
      <c r="U1764" s="221">
        <v>0</v>
      </c>
      <c r="V1764" s="221" t="s">
        <v>3337</v>
      </c>
      <c r="W1764" s="221" t="s">
        <v>3338</v>
      </c>
      <c r="X1764" s="221"/>
      <c r="Y1764" s="227"/>
      <c r="Z1764" s="227" t="str">
        <f>P1764</f>
        <v>Temas RW 04</v>
      </c>
      <c r="AA1764" s="276" t="e">
        <f>VLOOKUP(Logfile_S[[#This Row],[DO number]],DO_DB!G:I,3,0)</f>
        <v>#N/A</v>
      </c>
      <c r="AB1764" s="331" t="e">
        <f>EXACT(Logfile_S[[#This Row],[date pick]],Logfile_S[[#This Row],[Date]])</f>
        <v>#N/A</v>
      </c>
      <c r="AC17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65" spans="1:29" ht="14.5">
      <c r="A1765" s="220" t="str">
        <f>TEXT(ROW(A1765)-ROW($A$4),"000")</f>
        <v>1761</v>
      </c>
      <c r="B1765" s="221"/>
      <c r="C1765" s="221" t="s">
        <v>49</v>
      </c>
      <c r="D1765" s="221" t="s">
        <v>4361</v>
      </c>
      <c r="E1765" s="221" t="s">
        <v>3295</v>
      </c>
      <c r="F1765" s="221" t="s">
        <v>3299</v>
      </c>
      <c r="G1765" s="222">
        <v>45742</v>
      </c>
      <c r="H1765" s="223">
        <v>0.83125000000000004</v>
      </c>
      <c r="I1765" s="221" t="s">
        <v>4916</v>
      </c>
      <c r="J1765" s="221" t="s">
        <v>3024</v>
      </c>
      <c r="K1765" s="224" t="s">
        <v>3089</v>
      </c>
      <c r="L1765" s="225" t="str">
        <f>VLOOKUP(Logfile_S[[#This Row],[Material Name]],Sheet2!B:C,2,0)</f>
        <v>GCI1003</v>
      </c>
      <c r="M1765" s="225" t="str">
        <f>_xlfn.XLOOKUP(Logfile_S[[#This Row],[Material Name]],Sum_WH!E:E,Sum_WH!F:F,"",0)</f>
        <v>Pcs</v>
      </c>
      <c r="N1765" s="221">
        <v>50</v>
      </c>
      <c r="O1765" s="221" t="s">
        <v>2664</v>
      </c>
      <c r="P1765" s="221" t="s">
        <v>2665</v>
      </c>
      <c r="Q1765" s="221"/>
      <c r="R1765" s="221"/>
      <c r="S1765" s="221"/>
      <c r="T1765" s="221" t="s">
        <v>3258</v>
      </c>
      <c r="U1765" s="221">
        <v>0</v>
      </c>
      <c r="V1765" s="221" t="s">
        <v>3337</v>
      </c>
      <c r="W1765" s="221" t="s">
        <v>3338</v>
      </c>
      <c r="X1765" s="221"/>
      <c r="Y1765" s="227"/>
      <c r="Z1765" s="227" t="str">
        <f>P1765</f>
        <v>Temas RW 04</v>
      </c>
      <c r="AA1765" s="276" t="e">
        <f>VLOOKUP(Logfile_S[[#This Row],[DO number]],DO_DB!G:I,3,0)</f>
        <v>#N/A</v>
      </c>
      <c r="AB1765" s="331" t="e">
        <f>EXACT(Logfile_S[[#This Row],[date pick]],Logfile_S[[#This Row],[Date]])</f>
        <v>#N/A</v>
      </c>
      <c r="AC17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66" spans="1:29" ht="14.5">
      <c r="A1766" s="220" t="str">
        <f>TEXT(ROW(A1766)-ROW($A$4),"000")</f>
        <v>1762</v>
      </c>
      <c r="B1766" s="221"/>
      <c r="C1766" s="221" t="s">
        <v>49</v>
      </c>
      <c r="D1766" s="221" t="s">
        <v>4349</v>
      </c>
      <c r="E1766" s="221" t="s">
        <v>3295</v>
      </c>
      <c r="F1766" s="221" t="s">
        <v>3299</v>
      </c>
      <c r="G1766" s="222">
        <v>45734</v>
      </c>
      <c r="H1766" s="223">
        <v>0.67291666666666672</v>
      </c>
      <c r="I1766" s="221" t="s">
        <v>4916</v>
      </c>
      <c r="J1766" s="221" t="s">
        <v>3023</v>
      </c>
      <c r="K1766" s="224" t="s">
        <v>3073</v>
      </c>
      <c r="L1766" s="225" t="str">
        <f>VLOOKUP(Logfile_S[[#This Row],[Material Name]],Sheet2!B:C,2,0)</f>
        <v>ZTE2001</v>
      </c>
      <c r="M1766" s="225" t="str">
        <f>_xlfn.XLOOKUP(Logfile_S[[#This Row],[Material Name]],Sum_WH!E:E,Sum_WH!F:F,"",0)</f>
        <v>Meter</v>
      </c>
      <c r="N1766" s="221">
        <v>3000</v>
      </c>
      <c r="O1766" s="221" t="s">
        <v>2668</v>
      </c>
      <c r="P1766" s="221" t="s">
        <v>2669</v>
      </c>
      <c r="Q1766" s="221"/>
      <c r="R1766" s="221"/>
      <c r="S1766" s="221"/>
      <c r="T1766" s="221" t="s">
        <v>3258</v>
      </c>
      <c r="U1766" s="221" t="s">
        <v>5107</v>
      </c>
      <c r="V1766" s="221" t="s">
        <v>3337</v>
      </c>
      <c r="W1766" s="221" t="s">
        <v>3338</v>
      </c>
      <c r="X1766" s="221"/>
      <c r="Y1766" s="227"/>
      <c r="Z1766" s="227" t="str">
        <f>P1766</f>
        <v>Temas RW 05</v>
      </c>
      <c r="AA1766" s="276" t="e">
        <f>VLOOKUP(Logfile_S[[#This Row],[DO number]],DO_DB!G:I,3,0)</f>
        <v>#N/A</v>
      </c>
      <c r="AB1766" s="331" t="e">
        <f>EXACT(Logfile_S[[#This Row],[date pick]],Logfile_S[[#This Row],[Date]])</f>
        <v>#N/A</v>
      </c>
      <c r="AC17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67" spans="1:29" ht="14.5">
      <c r="A1767" s="220" t="str">
        <f>TEXT(ROW(A1767)-ROW($A$4),"000")</f>
        <v>1763</v>
      </c>
      <c r="B1767" s="221"/>
      <c r="C1767" s="221" t="s">
        <v>49</v>
      </c>
      <c r="D1767" s="221" t="s">
        <v>4357</v>
      </c>
      <c r="E1767" s="221" t="s">
        <v>3295</v>
      </c>
      <c r="F1767" s="221" t="s">
        <v>3299</v>
      </c>
      <c r="G1767" s="222">
        <v>45739</v>
      </c>
      <c r="H1767" s="223">
        <v>0.83125000000000004</v>
      </c>
      <c r="I1767" s="221" t="s">
        <v>4916</v>
      </c>
      <c r="J1767" s="221" t="s">
        <v>3023</v>
      </c>
      <c r="K1767" s="224" t="s">
        <v>14</v>
      </c>
      <c r="L1767" s="225" t="str">
        <f>VLOOKUP(Logfile_S[[#This Row],[Material Name]],Sheet2!B:C,2,0)</f>
        <v>ZTE2005</v>
      </c>
      <c r="M1767" s="225" t="str">
        <f>_xlfn.XLOOKUP(Logfile_S[[#This Row],[Material Name]],Sum_WH!E:E,Sum_WH!F:F,"",0)</f>
        <v>Pcs</v>
      </c>
      <c r="N1767" s="221">
        <v>2</v>
      </c>
      <c r="O1767" s="221" t="s">
        <v>2668</v>
      </c>
      <c r="P1767" s="221" t="s">
        <v>2669</v>
      </c>
      <c r="Q1767" s="221"/>
      <c r="R1767" s="221"/>
      <c r="S1767" s="221"/>
      <c r="T1767" s="221" t="s">
        <v>3471</v>
      </c>
      <c r="U1767" s="221">
        <v>0</v>
      </c>
      <c r="V1767" s="221" t="s">
        <v>3472</v>
      </c>
      <c r="W1767" s="221" t="s">
        <v>3545</v>
      </c>
      <c r="X1767" s="221"/>
      <c r="Y1767" s="227"/>
      <c r="Z1767" s="227" t="str">
        <f>P1767</f>
        <v>Temas RW 05</v>
      </c>
      <c r="AA1767" s="276" t="e">
        <f>VLOOKUP(Logfile_S[[#This Row],[DO number]],DO_DB!G:I,3,0)</f>
        <v>#N/A</v>
      </c>
      <c r="AB1767" s="331" t="e">
        <f>EXACT(Logfile_S[[#This Row],[date pick]],Logfile_S[[#This Row],[Date]])</f>
        <v>#N/A</v>
      </c>
      <c r="AC17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68" spans="1:29" ht="14.5">
      <c r="A1768" s="220" t="str">
        <f>TEXT(ROW(A1768)-ROW($A$4),"000")</f>
        <v>1764</v>
      </c>
      <c r="B1768" s="221"/>
      <c r="C1768" s="221" t="s">
        <v>48</v>
      </c>
      <c r="D1768" s="221" t="s">
        <v>4359</v>
      </c>
      <c r="E1768" s="221" t="s">
        <v>3295</v>
      </c>
      <c r="F1768" s="221" t="s">
        <v>3299</v>
      </c>
      <c r="G1768" s="222">
        <v>45740</v>
      </c>
      <c r="H1768" s="223">
        <v>15.291666666666666</v>
      </c>
      <c r="I1768" s="221" t="s">
        <v>37</v>
      </c>
      <c r="J1768" s="221" t="s">
        <v>3023</v>
      </c>
      <c r="K1768" s="224" t="s">
        <v>14</v>
      </c>
      <c r="L1768" s="225" t="str">
        <f>VLOOKUP(Logfile_S[[#This Row],[Material Name]],Sheet2!B:C,2,0)</f>
        <v>ZTE2005</v>
      </c>
      <c r="M1768" s="225" t="str">
        <f>_xlfn.XLOOKUP(Logfile_S[[#This Row],[Material Name]],Sum_WH!E:E,Sum_WH!F:F,"",0)</f>
        <v>Pcs</v>
      </c>
      <c r="N1768" s="221">
        <v>1</v>
      </c>
      <c r="O1768" s="221" t="s">
        <v>2668</v>
      </c>
      <c r="P1768" s="221" t="s">
        <v>2669</v>
      </c>
      <c r="Q1768" s="221" t="s">
        <v>2670</v>
      </c>
      <c r="R1768" s="221" t="s">
        <v>2671</v>
      </c>
      <c r="S1768" s="221"/>
      <c r="T1768" s="221"/>
      <c r="U1768" s="221"/>
      <c r="V1768" s="221"/>
      <c r="W1768" s="221"/>
      <c r="X1768" s="221"/>
      <c r="Y1768" s="227"/>
      <c r="Z1768" s="227" t="str">
        <f>P1768</f>
        <v>Temas RW 05</v>
      </c>
      <c r="AA1768" s="276">
        <f>VLOOKUP(Logfile_S[[#This Row],[DO number]],DO_DB!G:I,3,0)</f>
        <v>45735</v>
      </c>
      <c r="AB1768" s="331" t="b">
        <f>EXACT(Logfile_S[[#This Row],[date pick]],Logfile_S[[#This Row],[Date]])</f>
        <v>0</v>
      </c>
      <c r="AC17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69" spans="1:29" ht="14.5">
      <c r="A1769" s="220" t="str">
        <f>TEXT(ROW(A1769)-ROW($A$4),"000")</f>
        <v>1765</v>
      </c>
      <c r="B1769" s="221"/>
      <c r="C1769" s="221" t="s">
        <v>49</v>
      </c>
      <c r="D1769" s="221" t="s">
        <v>4344</v>
      </c>
      <c r="E1769" s="221" t="s">
        <v>3295</v>
      </c>
      <c r="F1769" s="221" t="s">
        <v>3299</v>
      </c>
      <c r="G1769" s="222">
        <v>45716</v>
      </c>
      <c r="H1769" s="223">
        <v>0.63124999999999998</v>
      </c>
      <c r="I1769" s="221" t="s">
        <v>4916</v>
      </c>
      <c r="J1769" s="221" t="s">
        <v>3023</v>
      </c>
      <c r="K1769" s="224" t="s">
        <v>3070</v>
      </c>
      <c r="L1769" s="225" t="str">
        <f>VLOOKUP(Logfile_S[[#This Row],[Material Name]],Sheet2!B:C,2,0)</f>
        <v>ZTE1002</v>
      </c>
      <c r="M1769" s="225" t="str">
        <f>_xlfn.XLOOKUP(Logfile_S[[#This Row],[Material Name]],Sum_WH!E:E,Sum_WH!F:F,"",0)</f>
        <v>Pcs</v>
      </c>
      <c r="N1769" s="221">
        <v>16</v>
      </c>
      <c r="O1769" s="221" t="s">
        <v>4345</v>
      </c>
      <c r="P1769" s="221" t="s">
        <v>3578</v>
      </c>
      <c r="Q1769" s="221"/>
      <c r="R1769" s="221"/>
      <c r="S1769" s="221"/>
      <c r="T1769" s="221" t="s">
        <v>3258</v>
      </c>
      <c r="U1769" s="221">
        <v>0</v>
      </c>
      <c r="V1769" s="221" t="s">
        <v>3337</v>
      </c>
      <c r="W1769" s="221" t="s">
        <v>3338</v>
      </c>
      <c r="X1769" s="221"/>
      <c r="Y1769" s="227"/>
      <c r="Z1769" s="227" t="str">
        <f>P1769</f>
        <v>Perum Bayu Asri</v>
      </c>
      <c r="AA1769" s="276" t="e">
        <f>VLOOKUP(Logfile_S[[#This Row],[DO number]],DO_DB!G:I,3,0)</f>
        <v>#N/A</v>
      </c>
      <c r="AB1769" s="331" t="e">
        <f>EXACT(Logfile_S[[#This Row],[date pick]],Logfile_S[[#This Row],[Date]])</f>
        <v>#N/A</v>
      </c>
      <c r="AC17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70" spans="1:29" ht="14.5">
      <c r="A1770" s="237" t="str">
        <f>TEXT(ROW(A1770)-ROW($A$4),"000")</f>
        <v>1766</v>
      </c>
      <c r="B1770" s="221">
        <v>7</v>
      </c>
      <c r="C1770" s="227" t="s">
        <v>48</v>
      </c>
      <c r="D1770" s="227" t="s">
        <v>4812</v>
      </c>
      <c r="E1770" s="227" t="s">
        <v>3295</v>
      </c>
      <c r="F1770" s="227" t="s">
        <v>3299</v>
      </c>
      <c r="G1770" s="239">
        <v>46041</v>
      </c>
      <c r="H1770" s="240">
        <v>0.25138888888888888</v>
      </c>
      <c r="I1770" s="227" t="s">
        <v>37</v>
      </c>
      <c r="J1770" s="221" t="s">
        <v>3023</v>
      </c>
      <c r="K1770" s="241" t="s">
        <v>3074</v>
      </c>
      <c r="L1770" s="225" t="str">
        <f>VLOOKUP(Logfile_S[[#This Row],[Material Name]],Sheet2!B:C,2,0)</f>
        <v>ZTE2002</v>
      </c>
      <c r="M1770" s="242" t="s">
        <v>20</v>
      </c>
      <c r="N1770" s="227">
        <v>3000</v>
      </c>
      <c r="O1770" s="227" t="s">
        <v>4814</v>
      </c>
      <c r="P1770" s="227" t="s">
        <v>4816</v>
      </c>
      <c r="Q1770" s="227" t="s">
        <v>4818</v>
      </c>
      <c r="R1770" s="227" t="s">
        <v>4817</v>
      </c>
      <c r="S1770" s="227"/>
      <c r="T1770" s="227" t="s">
        <v>3258</v>
      </c>
      <c r="U1770" s="227" t="s">
        <v>4811</v>
      </c>
      <c r="V1770" s="221" t="s">
        <v>3337</v>
      </c>
      <c r="W1770" s="227" t="s">
        <v>3338</v>
      </c>
      <c r="X1770" s="227"/>
      <c r="Y1770" s="227" t="s">
        <v>5050</v>
      </c>
      <c r="Z1770" s="227" t="str">
        <f>P1770</f>
        <v>Griya Kebon Agung Indah</v>
      </c>
      <c r="AA1770" s="276">
        <f>VLOOKUP(Logfile_S[[#This Row],[DO number]],DO_DB!G:I,3,0)</f>
        <v>46041</v>
      </c>
      <c r="AB1770" s="331" t="b">
        <f>EXACT(Logfile_S[[#This Row],[date pick]],Logfile_S[[#This Row],[Date]])</f>
        <v>1</v>
      </c>
      <c r="AC17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36C-2026120-01</v>
      </c>
    </row>
    <row r="1771" spans="1:29" ht="14.5">
      <c r="A1771" s="237" t="str">
        <f>TEXT(ROW(A1771)-ROW($A$4),"000")</f>
        <v>1767</v>
      </c>
      <c r="B1771" s="221">
        <v>5</v>
      </c>
      <c r="C1771" s="227" t="s">
        <v>48</v>
      </c>
      <c r="D1771" s="227" t="s">
        <v>4812</v>
      </c>
      <c r="E1771" s="227" t="s">
        <v>3295</v>
      </c>
      <c r="F1771" s="227" t="s">
        <v>3299</v>
      </c>
      <c r="G1771" s="239">
        <v>46041</v>
      </c>
      <c r="H1771" s="240">
        <v>0.25138888888888888</v>
      </c>
      <c r="I1771" s="227" t="s">
        <v>37</v>
      </c>
      <c r="J1771" s="221" t="s">
        <v>3023</v>
      </c>
      <c r="K1771" s="241" t="s">
        <v>13</v>
      </c>
      <c r="L1771" s="225" t="str">
        <f>VLOOKUP(Logfile_S[[#This Row],[Material Name]],Sheet2!B:C,2,0)</f>
        <v>ZTE2008</v>
      </c>
      <c r="M1771" s="242" t="s">
        <v>19</v>
      </c>
      <c r="N1771" s="227">
        <v>15</v>
      </c>
      <c r="O1771" s="227" t="s">
        <v>4814</v>
      </c>
      <c r="P1771" s="227" t="s">
        <v>4816</v>
      </c>
      <c r="Q1771" s="227" t="s">
        <v>4818</v>
      </c>
      <c r="R1771" s="227" t="s">
        <v>4817</v>
      </c>
      <c r="S1771" s="227"/>
      <c r="T1771" s="227" t="s">
        <v>3258</v>
      </c>
      <c r="U1771" s="227" t="s">
        <v>4811</v>
      </c>
      <c r="V1771" s="221" t="s">
        <v>3337</v>
      </c>
      <c r="W1771" s="227" t="s">
        <v>3338</v>
      </c>
      <c r="X1771" s="227"/>
      <c r="Y1771" s="227"/>
      <c r="Z1771" s="227" t="str">
        <f>P1771</f>
        <v>Griya Kebon Agung Indah</v>
      </c>
      <c r="AA1771" s="276">
        <f>VLOOKUP(Logfile_S[[#This Row],[DO number]],DO_DB!G:I,3,0)</f>
        <v>46041</v>
      </c>
      <c r="AB1771" s="331" t="b">
        <f>EXACT(Logfile_S[[#This Row],[date pick]],Logfile_S[[#This Row],[Date]])</f>
        <v>1</v>
      </c>
      <c r="AC17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72" spans="1:29" ht="14.5">
      <c r="A1772" s="237" t="str">
        <f>TEXT(ROW(A1772)-ROW($A$4),"000")</f>
        <v>1768</v>
      </c>
      <c r="B1772" s="221">
        <v>6</v>
      </c>
      <c r="C1772" s="227" t="s">
        <v>48</v>
      </c>
      <c r="D1772" s="227" t="s">
        <v>4812</v>
      </c>
      <c r="E1772" s="227" t="s">
        <v>3295</v>
      </c>
      <c r="F1772" s="227" t="s">
        <v>3299</v>
      </c>
      <c r="G1772" s="239">
        <v>46041</v>
      </c>
      <c r="H1772" s="240">
        <v>0.25138888888888888</v>
      </c>
      <c r="I1772" s="227" t="s">
        <v>37</v>
      </c>
      <c r="J1772" s="221" t="s">
        <v>3023</v>
      </c>
      <c r="K1772" s="241" t="s">
        <v>15</v>
      </c>
      <c r="L1772" s="225" t="str">
        <f>VLOOKUP(Logfile_S[[#This Row],[Material Name]],Sheet2!B:C,2,0)</f>
        <v>ZTE2006</v>
      </c>
      <c r="M1772" s="242" t="s">
        <v>19</v>
      </c>
      <c r="N1772" s="227">
        <v>1</v>
      </c>
      <c r="O1772" s="227" t="s">
        <v>4814</v>
      </c>
      <c r="P1772" s="227" t="s">
        <v>4816</v>
      </c>
      <c r="Q1772" s="227" t="s">
        <v>4818</v>
      </c>
      <c r="R1772" s="227" t="s">
        <v>4817</v>
      </c>
      <c r="S1772" s="227"/>
      <c r="T1772" s="227" t="s">
        <v>3258</v>
      </c>
      <c r="U1772" s="227" t="s">
        <v>4811</v>
      </c>
      <c r="V1772" s="221" t="s">
        <v>3337</v>
      </c>
      <c r="W1772" s="227" t="s">
        <v>3338</v>
      </c>
      <c r="X1772" s="227"/>
      <c r="Y1772" s="227"/>
      <c r="Z1772" s="227" t="str">
        <f>P1772</f>
        <v>Griya Kebon Agung Indah</v>
      </c>
      <c r="AA1772" s="276">
        <f>VLOOKUP(Logfile_S[[#This Row],[DO number]],DO_DB!G:I,3,0)</f>
        <v>46041</v>
      </c>
      <c r="AB1772" s="331" t="b">
        <f>EXACT(Logfile_S[[#This Row],[date pick]],Logfile_S[[#This Row],[Date]])</f>
        <v>1</v>
      </c>
      <c r="AC17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73" spans="1:29" ht="14.5">
      <c r="A1773" s="237" t="str">
        <f>TEXT(ROW(A1773)-ROW($A$4),"000")</f>
        <v>1769</v>
      </c>
      <c r="B1773" s="221">
        <v>9</v>
      </c>
      <c r="C1773" s="227" t="s">
        <v>48</v>
      </c>
      <c r="D1773" s="227" t="s">
        <v>4812</v>
      </c>
      <c r="E1773" s="227" t="s">
        <v>3295</v>
      </c>
      <c r="F1773" s="227" t="s">
        <v>3299</v>
      </c>
      <c r="G1773" s="239">
        <v>46041</v>
      </c>
      <c r="H1773" s="240">
        <v>0.25138888888888888</v>
      </c>
      <c r="I1773" s="227" t="s">
        <v>37</v>
      </c>
      <c r="J1773" s="221" t="s">
        <v>3023</v>
      </c>
      <c r="K1773" s="241" t="s">
        <v>4731</v>
      </c>
      <c r="L1773" s="225" t="str">
        <f>VLOOKUP(Logfile_S[[#This Row],[Material Name]],Sheet2!B:C,2,0)</f>
        <v>ZTE1007</v>
      </c>
      <c r="M1773" s="242" t="s">
        <v>19</v>
      </c>
      <c r="N1773" s="227">
        <v>6</v>
      </c>
      <c r="O1773" s="227" t="s">
        <v>4814</v>
      </c>
      <c r="P1773" s="227" t="s">
        <v>4816</v>
      </c>
      <c r="Q1773" s="227" t="s">
        <v>4818</v>
      </c>
      <c r="R1773" s="227" t="s">
        <v>4817</v>
      </c>
      <c r="S1773" s="227"/>
      <c r="T1773" s="227" t="s">
        <v>3258</v>
      </c>
      <c r="U1773" s="227" t="s">
        <v>4811</v>
      </c>
      <c r="V1773" s="221" t="s">
        <v>3337</v>
      </c>
      <c r="W1773" s="227" t="s">
        <v>3338</v>
      </c>
      <c r="X1773" s="227"/>
      <c r="Y1773" s="227"/>
      <c r="Z1773" s="227" t="str">
        <f>P1773</f>
        <v>Griya Kebon Agung Indah</v>
      </c>
      <c r="AA1773" s="276">
        <f>VLOOKUP(Logfile_S[[#This Row],[DO number]],DO_DB!G:I,3,0)</f>
        <v>46041</v>
      </c>
      <c r="AB1773" s="331" t="b">
        <f>EXACT(Logfile_S[[#This Row],[date pick]],Logfile_S[[#This Row],[Date]])</f>
        <v>1</v>
      </c>
      <c r="AC17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74" spans="1:29" ht="14.5">
      <c r="A1774" s="237" t="str">
        <f>TEXT(ROW(A1774)-ROW($A$4),"000")</f>
        <v>1770</v>
      </c>
      <c r="B1774" s="221">
        <v>8</v>
      </c>
      <c r="C1774" s="227" t="s">
        <v>48</v>
      </c>
      <c r="D1774" s="227" t="s">
        <v>4812</v>
      </c>
      <c r="E1774" s="227" t="s">
        <v>3295</v>
      </c>
      <c r="F1774" s="227" t="s">
        <v>3299</v>
      </c>
      <c r="G1774" s="239">
        <v>46041</v>
      </c>
      <c r="H1774" s="240">
        <v>0.25138888888888888</v>
      </c>
      <c r="I1774" s="227" t="s">
        <v>37</v>
      </c>
      <c r="J1774" s="221" t="s">
        <v>3023</v>
      </c>
      <c r="K1774" s="241" t="s">
        <v>3070</v>
      </c>
      <c r="L1774" s="225" t="str">
        <f>VLOOKUP(Logfile_S[[#This Row],[Material Name]],Sheet2!B:C,2,0)</f>
        <v>ZTE1002</v>
      </c>
      <c r="M1774" s="242" t="s">
        <v>19</v>
      </c>
      <c r="N1774" s="227">
        <v>25</v>
      </c>
      <c r="O1774" s="227" t="s">
        <v>4814</v>
      </c>
      <c r="P1774" s="227" t="s">
        <v>4816</v>
      </c>
      <c r="Q1774" s="227" t="s">
        <v>4818</v>
      </c>
      <c r="R1774" s="227" t="s">
        <v>4817</v>
      </c>
      <c r="S1774" s="227"/>
      <c r="T1774" s="227" t="s">
        <v>3258</v>
      </c>
      <c r="U1774" s="227" t="s">
        <v>4811</v>
      </c>
      <c r="V1774" s="221" t="s">
        <v>3337</v>
      </c>
      <c r="W1774" s="227" t="s">
        <v>3338</v>
      </c>
      <c r="X1774" s="227"/>
      <c r="Y1774" s="227"/>
      <c r="Z1774" s="227" t="str">
        <f>P1774</f>
        <v>Griya Kebon Agung Indah</v>
      </c>
      <c r="AA1774" s="276">
        <f>VLOOKUP(Logfile_S[[#This Row],[DO number]],DO_DB!G:I,3,0)</f>
        <v>46041</v>
      </c>
      <c r="AB1774" s="331" t="b">
        <f>EXACT(Logfile_S[[#This Row],[date pick]],Logfile_S[[#This Row],[Date]])</f>
        <v>1</v>
      </c>
      <c r="AC17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75" spans="1:29" ht="14.5">
      <c r="A1775" s="220" t="str">
        <f>TEXT(ROW(A1775)-ROW($A$4),"000")</f>
        <v>1771</v>
      </c>
      <c r="B1775" s="221"/>
      <c r="C1775" s="221" t="s">
        <v>49</v>
      </c>
      <c r="D1775" s="221" t="s">
        <v>4365</v>
      </c>
      <c r="E1775" s="221" t="s">
        <v>3295</v>
      </c>
      <c r="F1775" s="221" t="s">
        <v>3299</v>
      </c>
      <c r="G1775" s="222">
        <v>45802</v>
      </c>
      <c r="H1775" s="223">
        <v>0.5395833333333333</v>
      </c>
      <c r="I1775" s="221" t="s">
        <v>4916</v>
      </c>
      <c r="J1775" s="221" t="s">
        <v>3024</v>
      </c>
      <c r="K1775" s="224" t="s">
        <v>3091</v>
      </c>
      <c r="L1775" s="225" t="str">
        <f>VLOOKUP(Logfile_S[[#This Row],[Material Name]],Sheet2!B:C,2,0)</f>
        <v>GCI1005</v>
      </c>
      <c r="M1775" s="225" t="str">
        <f>_xlfn.XLOOKUP(Logfile_S[[#This Row],[Material Name]],Sum_WH!E:E,Sum_WH!F:F,"",0)</f>
        <v>Pcs</v>
      </c>
      <c r="N1775" s="221">
        <v>30</v>
      </c>
      <c r="O1775" s="221" t="s">
        <v>2821</v>
      </c>
      <c r="P1775" s="221" t="s">
        <v>2822</v>
      </c>
      <c r="Q1775" s="221"/>
      <c r="R1775" s="221"/>
      <c r="S1775" s="221"/>
      <c r="T1775" s="221" t="s">
        <v>3258</v>
      </c>
      <c r="U1775" s="221">
        <v>0</v>
      </c>
      <c r="V1775" s="221" t="s">
        <v>3337</v>
      </c>
      <c r="W1775" s="221" t="s">
        <v>3338</v>
      </c>
      <c r="X1775" s="221"/>
      <c r="Y1775" s="227"/>
      <c r="Z1775" s="227" t="str">
        <f>P1775</f>
        <v>KEBONAGUNG RW 01 MALANG</v>
      </c>
      <c r="AA1775" s="276" t="e">
        <f>VLOOKUP(Logfile_S[[#This Row],[DO number]],DO_DB!G:I,3,0)</f>
        <v>#N/A</v>
      </c>
      <c r="AB1775" s="331" t="e">
        <f>EXACT(Logfile_S[[#This Row],[date pick]],Logfile_S[[#This Row],[Date]])</f>
        <v>#N/A</v>
      </c>
      <c r="AC17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76" spans="1:29" ht="14.5">
      <c r="A1776" s="220" t="str">
        <f>TEXT(ROW(A1776)-ROW($A$4),"000")</f>
        <v>1772</v>
      </c>
      <c r="B1776" s="221"/>
      <c r="C1776" s="221" t="s">
        <v>49</v>
      </c>
      <c r="D1776" s="221" t="s">
        <v>4366</v>
      </c>
      <c r="E1776" s="221" t="s">
        <v>3295</v>
      </c>
      <c r="F1776" s="221" t="s">
        <v>3299</v>
      </c>
      <c r="G1776" s="222">
        <v>45802</v>
      </c>
      <c r="H1776" s="223">
        <v>0.83125000000000004</v>
      </c>
      <c r="I1776" s="221" t="s">
        <v>4916</v>
      </c>
      <c r="J1776" s="221" t="s">
        <v>3023</v>
      </c>
      <c r="K1776" s="224" t="s">
        <v>13</v>
      </c>
      <c r="L1776" s="225" t="str">
        <f>VLOOKUP(Logfile_S[[#This Row],[Material Name]],Sheet2!B:C,2,0)</f>
        <v>ZTE2008</v>
      </c>
      <c r="M1776" s="225" t="str">
        <f>_xlfn.XLOOKUP(Logfile_S[[#This Row],[Material Name]],Sum_WH!E:E,Sum_WH!F:F,"",0)</f>
        <v>Pcs</v>
      </c>
      <c r="N1776" s="221">
        <v>7</v>
      </c>
      <c r="O1776" s="221" t="s">
        <v>2821</v>
      </c>
      <c r="P1776" s="221" t="s">
        <v>2822</v>
      </c>
      <c r="Q1776" s="221"/>
      <c r="R1776" s="221"/>
      <c r="S1776" s="221"/>
      <c r="T1776" s="221" t="s">
        <v>3471</v>
      </c>
      <c r="U1776" s="221">
        <v>0</v>
      </c>
      <c r="V1776" s="221" t="s">
        <v>3472</v>
      </c>
      <c r="W1776" s="221" t="s">
        <v>3545</v>
      </c>
      <c r="X1776" s="221"/>
      <c r="Y1776" s="227"/>
      <c r="Z1776" s="227" t="str">
        <f>P1776</f>
        <v>KEBONAGUNG RW 01 MALANG</v>
      </c>
      <c r="AA1776" s="276" t="e">
        <f>VLOOKUP(Logfile_S[[#This Row],[DO number]],DO_DB!G:I,3,0)</f>
        <v>#N/A</v>
      </c>
      <c r="AB1776" s="331" t="e">
        <f>EXACT(Logfile_S[[#This Row],[date pick]],Logfile_S[[#This Row],[Date]])</f>
        <v>#N/A</v>
      </c>
      <c r="AC17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77" spans="1:29" ht="14.5">
      <c r="A1777" s="220" t="str">
        <f>TEXT(ROW(A1777)-ROW($A$4),"000")</f>
        <v>1773</v>
      </c>
      <c r="B1777" s="221"/>
      <c r="C1777" s="221" t="s">
        <v>49</v>
      </c>
      <c r="D1777" s="221" t="s">
        <v>4366</v>
      </c>
      <c r="E1777" s="221" t="s">
        <v>3295</v>
      </c>
      <c r="F1777" s="221" t="s">
        <v>3299</v>
      </c>
      <c r="G1777" s="222">
        <v>45802</v>
      </c>
      <c r="H1777" s="223">
        <v>0.83125000000000004</v>
      </c>
      <c r="I1777" s="221" t="s">
        <v>4916</v>
      </c>
      <c r="J1777" s="221" t="s">
        <v>3023</v>
      </c>
      <c r="K1777" s="224" t="s">
        <v>14</v>
      </c>
      <c r="L1777" s="225" t="str">
        <f>VLOOKUP(Logfile_S[[#This Row],[Material Name]],Sheet2!B:C,2,0)</f>
        <v>ZTE2005</v>
      </c>
      <c r="M1777" s="225" t="str">
        <f>_xlfn.XLOOKUP(Logfile_S[[#This Row],[Material Name]],Sum_WH!E:E,Sum_WH!F:F,"",0)</f>
        <v>Pcs</v>
      </c>
      <c r="N1777" s="221">
        <v>1</v>
      </c>
      <c r="O1777" s="221" t="s">
        <v>2821</v>
      </c>
      <c r="P1777" s="221" t="s">
        <v>2822</v>
      </c>
      <c r="Q1777" s="221"/>
      <c r="R1777" s="221"/>
      <c r="S1777" s="221"/>
      <c r="T1777" s="221" t="s">
        <v>3471</v>
      </c>
      <c r="U1777" s="221">
        <v>0</v>
      </c>
      <c r="V1777" s="221" t="s">
        <v>3472</v>
      </c>
      <c r="W1777" s="221" t="s">
        <v>3545</v>
      </c>
      <c r="X1777" s="221"/>
      <c r="Y1777" s="227"/>
      <c r="Z1777" s="227" t="str">
        <f>P1777</f>
        <v>KEBONAGUNG RW 01 MALANG</v>
      </c>
      <c r="AA1777" s="276" t="e">
        <f>VLOOKUP(Logfile_S[[#This Row],[DO number]],DO_DB!G:I,3,0)</f>
        <v>#N/A</v>
      </c>
      <c r="AB1777" s="331" t="e">
        <f>EXACT(Logfile_S[[#This Row],[date pick]],Logfile_S[[#This Row],[Date]])</f>
        <v>#N/A</v>
      </c>
      <c r="AC17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78" spans="1:29" ht="14.5">
      <c r="A1778" s="220" t="str">
        <f>TEXT(ROW(A1778)-ROW($A$4),"000")</f>
        <v>1774</v>
      </c>
      <c r="B1778" s="221"/>
      <c r="C1778" s="221" t="s">
        <v>49</v>
      </c>
      <c r="D1778" s="221" t="s">
        <v>4365</v>
      </c>
      <c r="E1778" s="221" t="s">
        <v>3295</v>
      </c>
      <c r="F1778" s="221" t="s">
        <v>3299</v>
      </c>
      <c r="G1778" s="222">
        <v>45802</v>
      </c>
      <c r="H1778" s="223">
        <v>0.5395833333333333</v>
      </c>
      <c r="I1778" s="221" t="s">
        <v>4916</v>
      </c>
      <c r="J1778" s="221" t="s">
        <v>3023</v>
      </c>
      <c r="K1778" s="224" t="s">
        <v>3070</v>
      </c>
      <c r="L1778" s="225" t="str">
        <f>VLOOKUP(Logfile_S[[#This Row],[Material Name]],Sheet2!B:C,2,0)</f>
        <v>ZTE1002</v>
      </c>
      <c r="M1778" s="225" t="str">
        <f>_xlfn.XLOOKUP(Logfile_S[[#This Row],[Material Name]],Sum_WH!E:E,Sum_WH!F:F,"",0)</f>
        <v>Pcs</v>
      </c>
      <c r="N1778" s="221">
        <v>26</v>
      </c>
      <c r="O1778" s="221" t="s">
        <v>2821</v>
      </c>
      <c r="P1778" s="221" t="s">
        <v>2822</v>
      </c>
      <c r="Q1778" s="221"/>
      <c r="R1778" s="221"/>
      <c r="S1778" s="221"/>
      <c r="T1778" s="221" t="s">
        <v>3258</v>
      </c>
      <c r="U1778" s="221">
        <v>0</v>
      </c>
      <c r="V1778" s="221" t="s">
        <v>3337</v>
      </c>
      <c r="W1778" s="221" t="s">
        <v>3338</v>
      </c>
      <c r="X1778" s="221"/>
      <c r="Y1778" s="227"/>
      <c r="Z1778" s="227" t="str">
        <f>P1778</f>
        <v>KEBONAGUNG RW 01 MALANG</v>
      </c>
      <c r="AA1778" s="276" t="e">
        <f>VLOOKUP(Logfile_S[[#This Row],[DO number]],DO_DB!G:I,3,0)</f>
        <v>#N/A</v>
      </c>
      <c r="AB1778" s="331" t="e">
        <f>EXACT(Logfile_S[[#This Row],[date pick]],Logfile_S[[#This Row],[Date]])</f>
        <v>#N/A</v>
      </c>
      <c r="AC17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79" spans="1:29" ht="14.5">
      <c r="A1779" s="220" t="str">
        <f>TEXT(ROW(A1779)-ROW($A$4),"000")</f>
        <v>1775</v>
      </c>
      <c r="B1779" s="221"/>
      <c r="C1779" s="221" t="s">
        <v>49</v>
      </c>
      <c r="D1779" s="221" t="s">
        <v>4365</v>
      </c>
      <c r="E1779" s="221" t="s">
        <v>3295</v>
      </c>
      <c r="F1779" s="221" t="s">
        <v>3299</v>
      </c>
      <c r="G1779" s="222">
        <v>45802</v>
      </c>
      <c r="H1779" s="223">
        <v>0.5395833333333333</v>
      </c>
      <c r="I1779" s="221" t="s">
        <v>4916</v>
      </c>
      <c r="J1779" s="221" t="s">
        <v>3023</v>
      </c>
      <c r="K1779" s="224" t="s">
        <v>3069</v>
      </c>
      <c r="L1779" s="225" t="str">
        <f>VLOOKUP(Logfile_S[[#This Row],[Material Name]],Sheet2!B:C,2,0)</f>
        <v>ZTE1001</v>
      </c>
      <c r="M1779" s="225" t="str">
        <f>_xlfn.XLOOKUP(Logfile_S[[#This Row],[Material Name]],Sum_WH!E:E,Sum_WH!F:F,"",0)</f>
        <v>Pcs</v>
      </c>
      <c r="N1779" s="221">
        <v>1</v>
      </c>
      <c r="O1779" s="221" t="s">
        <v>2821</v>
      </c>
      <c r="P1779" s="221" t="s">
        <v>2822</v>
      </c>
      <c r="Q1779" s="221"/>
      <c r="R1779" s="221"/>
      <c r="S1779" s="221"/>
      <c r="T1779" s="221" t="s">
        <v>3258</v>
      </c>
      <c r="U1779" s="221">
        <v>0</v>
      </c>
      <c r="V1779" s="221" t="s">
        <v>3337</v>
      </c>
      <c r="W1779" s="221" t="s">
        <v>3338</v>
      </c>
      <c r="X1779" s="221"/>
      <c r="Y1779" s="227"/>
      <c r="Z1779" s="227" t="str">
        <f>P1779</f>
        <v>KEBONAGUNG RW 01 MALANG</v>
      </c>
      <c r="AA1779" s="276" t="e">
        <f>VLOOKUP(Logfile_S[[#This Row],[DO number]],DO_DB!G:I,3,0)</f>
        <v>#N/A</v>
      </c>
      <c r="AB1779" s="331" t="e">
        <f>EXACT(Logfile_S[[#This Row],[date pick]],Logfile_S[[#This Row],[Date]])</f>
        <v>#N/A</v>
      </c>
      <c r="AC17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80" spans="1:29" ht="14.5">
      <c r="A1780" s="220" t="str">
        <f>TEXT(ROW(A1780)-ROW($A$4),"000")</f>
        <v>1776</v>
      </c>
      <c r="B1780" s="221"/>
      <c r="C1780" s="221" t="s">
        <v>49</v>
      </c>
      <c r="D1780" s="221" t="s">
        <v>4368</v>
      </c>
      <c r="E1780" s="221" t="s">
        <v>3295</v>
      </c>
      <c r="F1780" s="221" t="s">
        <v>3299</v>
      </c>
      <c r="G1780" s="222">
        <v>45805</v>
      </c>
      <c r="H1780" s="223">
        <v>0.5395833333333333</v>
      </c>
      <c r="I1780" s="221" t="s">
        <v>4916</v>
      </c>
      <c r="J1780" s="221" t="s">
        <v>3023</v>
      </c>
      <c r="K1780" s="224" t="s">
        <v>3070</v>
      </c>
      <c r="L1780" s="225" t="str">
        <f>VLOOKUP(Logfile_S[[#This Row],[Material Name]],Sheet2!B:C,2,0)</f>
        <v>ZTE1002</v>
      </c>
      <c r="M1780" s="225" t="str">
        <f>_xlfn.XLOOKUP(Logfile_S[[#This Row],[Material Name]],Sum_WH!E:E,Sum_WH!F:F,"",0)</f>
        <v>Pcs</v>
      </c>
      <c r="N1780" s="221">
        <v>21</v>
      </c>
      <c r="O1780" s="221" t="s">
        <v>2825</v>
      </c>
      <c r="P1780" s="221" t="s">
        <v>2826</v>
      </c>
      <c r="Q1780" s="221"/>
      <c r="R1780" s="221"/>
      <c r="S1780" s="221"/>
      <c r="T1780" s="221" t="s">
        <v>3258</v>
      </c>
      <c r="U1780" s="221">
        <v>0</v>
      </c>
      <c r="V1780" s="221" t="s">
        <v>3337</v>
      </c>
      <c r="W1780" s="221" t="s">
        <v>3338</v>
      </c>
      <c r="X1780" s="221"/>
      <c r="Y1780" s="227"/>
      <c r="Z1780" s="227" t="str">
        <f>P1780</f>
        <v>ARJOWINANGUN RW 01 MALANG</v>
      </c>
      <c r="AA1780" s="276" t="e">
        <f>VLOOKUP(Logfile_S[[#This Row],[DO number]],DO_DB!G:I,3,0)</f>
        <v>#N/A</v>
      </c>
      <c r="AB1780" s="331" t="e">
        <f>EXACT(Logfile_S[[#This Row],[date pick]],Logfile_S[[#This Row],[Date]])</f>
        <v>#N/A</v>
      </c>
      <c r="AC17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81" spans="1:29" ht="14.5">
      <c r="A1781" s="220" t="str">
        <f>TEXT(ROW(A1781)-ROW($A$4),"000")</f>
        <v>1777</v>
      </c>
      <c r="B1781" s="221"/>
      <c r="C1781" s="221" t="s">
        <v>49</v>
      </c>
      <c r="D1781" s="221" t="s">
        <v>4368</v>
      </c>
      <c r="E1781" s="221" t="s">
        <v>3295</v>
      </c>
      <c r="F1781" s="221" t="s">
        <v>3299</v>
      </c>
      <c r="G1781" s="222">
        <v>45805</v>
      </c>
      <c r="H1781" s="223">
        <v>0.5395833333333333</v>
      </c>
      <c r="I1781" s="221" t="s">
        <v>4916</v>
      </c>
      <c r="J1781" s="221" t="s">
        <v>3023</v>
      </c>
      <c r="K1781" s="224" t="s">
        <v>3069</v>
      </c>
      <c r="L1781" s="225" t="str">
        <f>VLOOKUP(Logfile_S[[#This Row],[Material Name]],Sheet2!B:C,2,0)</f>
        <v>ZTE1001</v>
      </c>
      <c r="M1781" s="225" t="str">
        <f>_xlfn.XLOOKUP(Logfile_S[[#This Row],[Material Name]],Sum_WH!E:E,Sum_WH!F:F,"",0)</f>
        <v>Pcs</v>
      </c>
      <c r="N1781" s="221">
        <v>6</v>
      </c>
      <c r="O1781" s="221" t="s">
        <v>2825</v>
      </c>
      <c r="P1781" s="221" t="s">
        <v>2826</v>
      </c>
      <c r="Q1781" s="221"/>
      <c r="R1781" s="221"/>
      <c r="S1781" s="221"/>
      <c r="T1781" s="221" t="s">
        <v>3258</v>
      </c>
      <c r="U1781" s="221">
        <v>0</v>
      </c>
      <c r="V1781" s="221" t="s">
        <v>3337</v>
      </c>
      <c r="W1781" s="221" t="s">
        <v>3338</v>
      </c>
      <c r="X1781" s="221"/>
      <c r="Y1781" s="227"/>
      <c r="Z1781" s="227" t="str">
        <f>P1781</f>
        <v>ARJOWINANGUN RW 01 MALANG</v>
      </c>
      <c r="AA1781" s="276" t="e">
        <f>VLOOKUP(Logfile_S[[#This Row],[DO number]],DO_DB!G:I,3,0)</f>
        <v>#N/A</v>
      </c>
      <c r="AB1781" s="331" t="e">
        <f>EXACT(Logfile_S[[#This Row],[date pick]],Logfile_S[[#This Row],[Date]])</f>
        <v>#N/A</v>
      </c>
      <c r="AC17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82" spans="1:29" ht="14.5">
      <c r="A1782" s="220" t="str">
        <f>TEXT(ROW(A1782)-ROW($A$4),"000")</f>
        <v>1778</v>
      </c>
      <c r="B1782" s="221"/>
      <c r="C1782" s="221" t="s">
        <v>49</v>
      </c>
      <c r="D1782" s="221" t="s">
        <v>4368</v>
      </c>
      <c r="E1782" s="221" t="s">
        <v>3295</v>
      </c>
      <c r="F1782" s="221" t="s">
        <v>3299</v>
      </c>
      <c r="G1782" s="222">
        <v>45805</v>
      </c>
      <c r="H1782" s="223">
        <v>0.5395833333333333</v>
      </c>
      <c r="I1782" s="221" t="s">
        <v>4916</v>
      </c>
      <c r="J1782" s="221" t="s">
        <v>3023</v>
      </c>
      <c r="K1782" s="224" t="s">
        <v>3071</v>
      </c>
      <c r="L1782" s="225" t="str">
        <f>VLOOKUP(Logfile_S[[#This Row],[Material Name]],Sheet2!B:C,2,0)</f>
        <v>ZTE1003</v>
      </c>
      <c r="M1782" s="225" t="str">
        <f>_xlfn.XLOOKUP(Logfile_S[[#This Row],[Material Name]],Sum_WH!E:E,Sum_WH!F:F,"",0)</f>
        <v>Pcs</v>
      </c>
      <c r="N1782" s="221">
        <v>3</v>
      </c>
      <c r="O1782" s="221" t="s">
        <v>2825</v>
      </c>
      <c r="P1782" s="221" t="s">
        <v>2826</v>
      </c>
      <c r="Q1782" s="221"/>
      <c r="R1782" s="221"/>
      <c r="S1782" s="221"/>
      <c r="T1782" s="221" t="s">
        <v>3258</v>
      </c>
      <c r="U1782" s="221">
        <v>0</v>
      </c>
      <c r="V1782" s="221" t="s">
        <v>3337</v>
      </c>
      <c r="W1782" s="221" t="s">
        <v>3338</v>
      </c>
      <c r="X1782" s="221"/>
      <c r="Y1782" s="227"/>
      <c r="Z1782" s="227" t="str">
        <f>P1782</f>
        <v>ARJOWINANGUN RW 01 MALANG</v>
      </c>
      <c r="AA1782" s="276" t="e">
        <f>VLOOKUP(Logfile_S[[#This Row],[DO number]],DO_DB!G:I,3,0)</f>
        <v>#N/A</v>
      </c>
      <c r="AB1782" s="331" t="e">
        <f>EXACT(Logfile_S[[#This Row],[date pick]],Logfile_S[[#This Row],[Date]])</f>
        <v>#N/A</v>
      </c>
      <c r="AC17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83" spans="1:29" ht="14.5">
      <c r="A1783" s="220" t="str">
        <f>TEXT(ROW(A1783)-ROW($A$4),"000")</f>
        <v>1779</v>
      </c>
      <c r="B1783" s="221"/>
      <c r="C1783" s="221" t="s">
        <v>49</v>
      </c>
      <c r="D1783" s="221" t="s">
        <v>4369</v>
      </c>
      <c r="E1783" s="221" t="s">
        <v>3295</v>
      </c>
      <c r="F1783" s="221" t="s">
        <v>3299</v>
      </c>
      <c r="G1783" s="222">
        <v>45806</v>
      </c>
      <c r="H1783" s="223">
        <v>0.74791666666666667</v>
      </c>
      <c r="I1783" s="221" t="s">
        <v>4916</v>
      </c>
      <c r="J1783" s="221" t="s">
        <v>3023</v>
      </c>
      <c r="K1783" s="224" t="s">
        <v>13</v>
      </c>
      <c r="L1783" s="225" t="str">
        <f>VLOOKUP(Logfile_S[[#This Row],[Material Name]],Sheet2!B:C,2,0)</f>
        <v>ZTE2008</v>
      </c>
      <c r="M1783" s="225" t="str">
        <f>_xlfn.XLOOKUP(Logfile_S[[#This Row],[Material Name]],Sum_WH!E:E,Sum_WH!F:F,"",0)</f>
        <v>Pcs</v>
      </c>
      <c r="N1783" s="221">
        <v>10</v>
      </c>
      <c r="O1783" s="221" t="s">
        <v>2825</v>
      </c>
      <c r="P1783" s="221" t="s">
        <v>2826</v>
      </c>
      <c r="Q1783" s="221"/>
      <c r="R1783" s="221"/>
      <c r="S1783" s="221"/>
      <c r="T1783" s="221" t="s">
        <v>3471</v>
      </c>
      <c r="U1783" s="221">
        <v>0</v>
      </c>
      <c r="V1783" s="221" t="s">
        <v>3472</v>
      </c>
      <c r="W1783" s="221" t="s">
        <v>3545</v>
      </c>
      <c r="X1783" s="221"/>
      <c r="Y1783" s="227"/>
      <c r="Z1783" s="227" t="str">
        <f>P1783</f>
        <v>ARJOWINANGUN RW 01 MALANG</v>
      </c>
      <c r="AA1783" s="276" t="e">
        <f>VLOOKUP(Logfile_S[[#This Row],[DO number]],DO_DB!G:I,3,0)</f>
        <v>#N/A</v>
      </c>
      <c r="AB1783" s="331" t="e">
        <f>EXACT(Logfile_S[[#This Row],[date pick]],Logfile_S[[#This Row],[Date]])</f>
        <v>#N/A</v>
      </c>
      <c r="AC17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84" spans="1:29" ht="14.5">
      <c r="A1784" s="220" t="str">
        <f>TEXT(ROW(A1784)-ROW($A$4),"000")</f>
        <v>1780</v>
      </c>
      <c r="B1784" s="221"/>
      <c r="C1784" s="221" t="s">
        <v>49</v>
      </c>
      <c r="D1784" s="221" t="s">
        <v>4369</v>
      </c>
      <c r="E1784" s="221" t="s">
        <v>3295</v>
      </c>
      <c r="F1784" s="221" t="s">
        <v>3299</v>
      </c>
      <c r="G1784" s="222">
        <v>45806</v>
      </c>
      <c r="H1784" s="223">
        <v>0.74791666666666667</v>
      </c>
      <c r="I1784" s="221" t="s">
        <v>4916</v>
      </c>
      <c r="J1784" s="221" t="s">
        <v>3023</v>
      </c>
      <c r="K1784" s="224" t="s">
        <v>14</v>
      </c>
      <c r="L1784" s="225" t="str">
        <f>VLOOKUP(Logfile_S[[#This Row],[Material Name]],Sheet2!B:C,2,0)</f>
        <v>ZTE2005</v>
      </c>
      <c r="M1784" s="225" t="str">
        <f>_xlfn.XLOOKUP(Logfile_S[[#This Row],[Material Name]],Sum_WH!E:E,Sum_WH!F:F,"",0)</f>
        <v>Pcs</v>
      </c>
      <c r="N1784" s="221">
        <v>1</v>
      </c>
      <c r="O1784" s="221" t="s">
        <v>2825</v>
      </c>
      <c r="P1784" s="221" t="s">
        <v>2826</v>
      </c>
      <c r="Q1784" s="221"/>
      <c r="R1784" s="221"/>
      <c r="S1784" s="221"/>
      <c r="T1784" s="221" t="s">
        <v>3471</v>
      </c>
      <c r="U1784" s="221">
        <v>0</v>
      </c>
      <c r="V1784" s="221" t="s">
        <v>3472</v>
      </c>
      <c r="W1784" s="221" t="s">
        <v>3545</v>
      </c>
      <c r="X1784" s="221"/>
      <c r="Y1784" s="227"/>
      <c r="Z1784" s="227" t="str">
        <f>P1784</f>
        <v>ARJOWINANGUN RW 01 MALANG</v>
      </c>
      <c r="AA1784" s="276" t="e">
        <f>VLOOKUP(Logfile_S[[#This Row],[DO number]],DO_DB!G:I,3,0)</f>
        <v>#N/A</v>
      </c>
      <c r="AB1784" s="331" t="e">
        <f>EXACT(Logfile_S[[#This Row],[date pick]],Logfile_S[[#This Row],[Date]])</f>
        <v>#N/A</v>
      </c>
      <c r="AC17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85" spans="1:29" ht="14.5">
      <c r="A1785" s="220" t="str">
        <f>TEXT(ROW(A1785)-ROW($A$4),"000")</f>
        <v>1781</v>
      </c>
      <c r="B1785" s="221"/>
      <c r="C1785" s="221" t="s">
        <v>49</v>
      </c>
      <c r="D1785" s="221" t="s">
        <v>4369</v>
      </c>
      <c r="E1785" s="221" t="s">
        <v>3295</v>
      </c>
      <c r="F1785" s="221" t="s">
        <v>3299</v>
      </c>
      <c r="G1785" s="222">
        <v>45806</v>
      </c>
      <c r="H1785" s="223">
        <v>0.74791666666666667</v>
      </c>
      <c r="I1785" s="221" t="s">
        <v>4916</v>
      </c>
      <c r="J1785" s="221" t="s">
        <v>3023</v>
      </c>
      <c r="K1785" s="224" t="s">
        <v>3072</v>
      </c>
      <c r="L1785" s="225" t="str">
        <f>VLOOKUP(Logfile_S[[#This Row],[Material Name]],Sheet2!B:C,2,0)</f>
        <v>ZTE1004</v>
      </c>
      <c r="M1785" s="225" t="str">
        <f>_xlfn.XLOOKUP(Logfile_S[[#This Row],[Material Name]],Sum_WH!E:E,Sum_WH!F:F,"",0)</f>
        <v>Pcs</v>
      </c>
      <c r="N1785" s="221">
        <v>1</v>
      </c>
      <c r="O1785" s="221" t="s">
        <v>2825</v>
      </c>
      <c r="P1785" s="221" t="s">
        <v>2826</v>
      </c>
      <c r="Q1785" s="221"/>
      <c r="R1785" s="221"/>
      <c r="S1785" s="221"/>
      <c r="T1785" s="221" t="s">
        <v>3471</v>
      </c>
      <c r="U1785" s="221">
        <v>0</v>
      </c>
      <c r="V1785" s="221" t="s">
        <v>3472</v>
      </c>
      <c r="W1785" s="221" t="s">
        <v>3545</v>
      </c>
      <c r="X1785" s="221"/>
      <c r="Y1785" s="227"/>
      <c r="Z1785" s="227" t="str">
        <f>P1785</f>
        <v>ARJOWINANGUN RW 01 MALANG</v>
      </c>
      <c r="AA1785" s="276" t="e">
        <f>VLOOKUP(Logfile_S[[#This Row],[DO number]],DO_DB!G:I,3,0)</f>
        <v>#N/A</v>
      </c>
      <c r="AB1785" s="331" t="e">
        <f>EXACT(Logfile_S[[#This Row],[date pick]],Logfile_S[[#This Row],[Date]])</f>
        <v>#N/A</v>
      </c>
      <c r="AC17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86" spans="1:29" ht="14.5">
      <c r="A1786" s="237" t="str">
        <f>TEXT(ROW(A1786)-ROW($A$4),"000")</f>
        <v>1782</v>
      </c>
      <c r="B1786" s="221"/>
      <c r="C1786" s="221" t="s">
        <v>48</v>
      </c>
      <c r="D1786" s="221" t="s">
        <v>4371</v>
      </c>
      <c r="E1786" s="221" t="s">
        <v>3295</v>
      </c>
      <c r="F1786" s="221" t="s">
        <v>3299</v>
      </c>
      <c r="G1786" s="222">
        <v>45820</v>
      </c>
      <c r="H1786" s="223">
        <v>15.291666666666666</v>
      </c>
      <c r="I1786" s="221" t="s">
        <v>37</v>
      </c>
      <c r="J1786" s="221" t="s">
        <v>3023</v>
      </c>
      <c r="K1786" s="224" t="s">
        <v>3075</v>
      </c>
      <c r="L1786" s="225" t="str">
        <f>VLOOKUP(Logfile_S[[#This Row],[Material Name]],Sheet2!B:C,2,0)</f>
        <v>ZTE2003</v>
      </c>
      <c r="M1786" s="225" t="str">
        <f>_xlfn.XLOOKUP(Logfile_S[[#This Row],[Material Name]],Sum_WH!E:E,Sum_WH!F:F,"",0)</f>
        <v>Meter</v>
      </c>
      <c r="N1786" s="221">
        <v>1019</v>
      </c>
      <c r="O1786" s="227" t="s">
        <v>2825</v>
      </c>
      <c r="P1786" s="227" t="s">
        <v>2826</v>
      </c>
      <c r="Q1786" s="221" t="s">
        <v>2829</v>
      </c>
      <c r="R1786" s="221" t="s">
        <v>2830</v>
      </c>
      <c r="S1786" s="227"/>
      <c r="T1786" s="227"/>
      <c r="U1786" s="227"/>
      <c r="V1786" s="227"/>
      <c r="W1786" s="227"/>
      <c r="X1786" s="227"/>
      <c r="Y1786" s="227" t="s">
        <v>5080</v>
      </c>
      <c r="Z1786" s="227" t="str">
        <f>P1786</f>
        <v>ARJOWINANGUN RW 01 MALANG</v>
      </c>
      <c r="AA1786" s="276">
        <f>VLOOKUP(Logfile_S[[#This Row],[DO number]],DO_DB!G:I,3,0)</f>
        <v>45820</v>
      </c>
      <c r="AB1786" s="331" t="b">
        <f>EXACT(Logfile_S[[#This Row],[date pick]],Logfile_S[[#This Row],[Date]])</f>
        <v>1</v>
      </c>
      <c r="AC17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48C-2025613-02</v>
      </c>
    </row>
    <row r="1787" spans="1:29" ht="14.5">
      <c r="A1787" s="220" t="str">
        <f>TEXT(ROW(A1787)-ROW($A$4),"000")</f>
        <v>1783</v>
      </c>
      <c r="B1787" s="221"/>
      <c r="C1787" s="221" t="s">
        <v>48</v>
      </c>
      <c r="D1787" s="221" t="s">
        <v>4374</v>
      </c>
      <c r="E1787" s="221" t="s">
        <v>3295</v>
      </c>
      <c r="F1787" s="221" t="s">
        <v>3299</v>
      </c>
      <c r="G1787" s="222">
        <v>45825</v>
      </c>
      <c r="H1787" s="223">
        <v>15.291666666666666</v>
      </c>
      <c r="I1787" s="221" t="s">
        <v>37</v>
      </c>
      <c r="J1787" s="221" t="s">
        <v>3023</v>
      </c>
      <c r="K1787" s="224" t="s">
        <v>3075</v>
      </c>
      <c r="L1787" s="225" t="str">
        <f>VLOOKUP(Logfile_S[[#This Row],[Material Name]],Sheet2!B:C,2,0)</f>
        <v>ZTE2003</v>
      </c>
      <c r="M1787" s="225" t="str">
        <f>_xlfn.XLOOKUP(Logfile_S[[#This Row],[Material Name]],Sum_WH!E:E,Sum_WH!F:F,"",0)</f>
        <v>Meter</v>
      </c>
      <c r="N1787" s="221">
        <v>3000</v>
      </c>
      <c r="O1787" s="221" t="s">
        <v>2861</v>
      </c>
      <c r="P1787" s="221" t="s">
        <v>2862</v>
      </c>
      <c r="Q1787" s="221" t="s">
        <v>2863</v>
      </c>
      <c r="R1787" s="221" t="s">
        <v>2864</v>
      </c>
      <c r="S1787" s="221"/>
      <c r="T1787" s="221"/>
      <c r="U1787" s="221"/>
      <c r="V1787" s="221"/>
      <c r="W1787" s="221"/>
      <c r="X1787" s="221"/>
      <c r="Y1787" s="227" t="s">
        <v>5083</v>
      </c>
      <c r="Z1787" s="227" t="str">
        <f>P1787</f>
        <v>DESA GADUNGAN PONCOKUSUMO MALANG</v>
      </c>
      <c r="AA1787" s="276">
        <f>VLOOKUP(Logfile_S[[#This Row],[DO number]],DO_DB!G:I,3,0)</f>
        <v>45825</v>
      </c>
      <c r="AB1787" s="331" t="b">
        <f>EXACT(Logfile_S[[#This Row],[date pick]],Logfile_S[[#This Row],[Date]])</f>
        <v>1</v>
      </c>
      <c r="AC17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48C-2025618-01</v>
      </c>
    </row>
    <row r="1788" spans="1:29" ht="14.5">
      <c r="A1788" s="220" t="str">
        <f>TEXT(ROW(A1788)-ROW($A$4),"000")</f>
        <v>1784</v>
      </c>
      <c r="B1788" s="221"/>
      <c r="C1788" s="221" t="s">
        <v>49</v>
      </c>
      <c r="D1788" s="221" t="s">
        <v>4384</v>
      </c>
      <c r="E1788" s="221" t="s">
        <v>3295</v>
      </c>
      <c r="F1788" s="221" t="s">
        <v>3299</v>
      </c>
      <c r="G1788" s="222">
        <v>45832</v>
      </c>
      <c r="H1788" s="223">
        <v>0.64583333333333337</v>
      </c>
      <c r="I1788" s="221" t="s">
        <v>4916</v>
      </c>
      <c r="J1788" s="221" t="s">
        <v>3023</v>
      </c>
      <c r="K1788" s="224" t="s">
        <v>3073</v>
      </c>
      <c r="L1788" s="225" t="str">
        <f>VLOOKUP(Logfile_S[[#This Row],[Material Name]],Sheet2!B:C,2,0)</f>
        <v>ZTE2001</v>
      </c>
      <c r="M1788" s="225" t="str">
        <f>_xlfn.XLOOKUP(Logfile_S[[#This Row],[Material Name]],Sum_WH!E:E,Sum_WH!F:F,"",0)</f>
        <v>Meter</v>
      </c>
      <c r="N1788" s="221">
        <v>3000</v>
      </c>
      <c r="O1788" s="221" t="s">
        <v>2861</v>
      </c>
      <c r="P1788" s="221" t="s">
        <v>2862</v>
      </c>
      <c r="Q1788" s="221"/>
      <c r="R1788" s="221"/>
      <c r="S1788" s="221"/>
      <c r="T1788" s="221" t="s">
        <v>3247</v>
      </c>
      <c r="U1788" s="221" t="s">
        <v>3247</v>
      </c>
      <c r="V1788" s="221" t="s">
        <v>3375</v>
      </c>
      <c r="W1788" s="221" t="s">
        <v>3249</v>
      </c>
      <c r="X1788" s="221"/>
      <c r="Y1788" s="227"/>
      <c r="Z1788" s="227" t="str">
        <f>P1788</f>
        <v>DESA GADUNGAN PONCOKUSUMO MALANG</v>
      </c>
      <c r="AA1788" s="276" t="e">
        <f>VLOOKUP(Logfile_S[[#This Row],[DO number]],DO_DB!G:I,3,0)</f>
        <v>#N/A</v>
      </c>
      <c r="AB1788" s="331" t="e">
        <f>EXACT(Logfile_S[[#This Row],[date pick]],Logfile_S[[#This Row],[Date]])</f>
        <v>#N/A</v>
      </c>
      <c r="AC17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89" spans="1:29" ht="14.5">
      <c r="A1789" s="220" t="str">
        <f>TEXT(ROW(A1789)-ROW($A$4),"000")</f>
        <v>1785</v>
      </c>
      <c r="B1789" s="221"/>
      <c r="C1789" s="221" t="s">
        <v>49</v>
      </c>
      <c r="D1789" s="221" t="s">
        <v>4386</v>
      </c>
      <c r="E1789" s="221" t="s">
        <v>3295</v>
      </c>
      <c r="F1789" s="221" t="s">
        <v>3299</v>
      </c>
      <c r="G1789" s="222">
        <v>45834</v>
      </c>
      <c r="H1789" s="223">
        <v>0.64583333333333337</v>
      </c>
      <c r="I1789" s="221" t="s">
        <v>4916</v>
      </c>
      <c r="J1789" s="221" t="s">
        <v>3023</v>
      </c>
      <c r="K1789" s="224" t="s">
        <v>3071</v>
      </c>
      <c r="L1789" s="225" t="str">
        <f>VLOOKUP(Logfile_S[[#This Row],[Material Name]],Sheet2!B:C,2,0)</f>
        <v>ZTE1003</v>
      </c>
      <c r="M1789" s="225" t="str">
        <f>_xlfn.XLOOKUP(Logfile_S[[#This Row],[Material Name]],Sum_WH!E:E,Sum_WH!F:F,"",0)</f>
        <v>Pcs</v>
      </c>
      <c r="N1789" s="221">
        <v>1</v>
      </c>
      <c r="O1789" s="221" t="s">
        <v>2861</v>
      </c>
      <c r="P1789" s="221" t="s">
        <v>2862</v>
      </c>
      <c r="Q1789" s="221"/>
      <c r="R1789" s="221"/>
      <c r="S1789" s="221"/>
      <c r="T1789" s="221" t="s">
        <v>3231</v>
      </c>
      <c r="U1789" s="221">
        <v>0</v>
      </c>
      <c r="V1789" s="221" t="s">
        <v>3375</v>
      </c>
      <c r="W1789" s="221" t="s">
        <v>3249</v>
      </c>
      <c r="X1789" s="221"/>
      <c r="Y1789" s="227"/>
      <c r="Z1789" s="227" t="str">
        <f>P1789</f>
        <v>DESA GADUNGAN PONCOKUSUMO MALANG</v>
      </c>
      <c r="AA1789" s="276" t="e">
        <f>VLOOKUP(Logfile_S[[#This Row],[DO number]],DO_DB!G:I,3,0)</f>
        <v>#N/A</v>
      </c>
      <c r="AB1789" s="331" t="e">
        <f>EXACT(Logfile_S[[#This Row],[date pick]],Logfile_S[[#This Row],[Date]])</f>
        <v>#N/A</v>
      </c>
      <c r="AC17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90" spans="1:29" ht="14.5">
      <c r="A1790" s="220" t="str">
        <f>TEXT(ROW(A1790)-ROW($A$4),"000")</f>
        <v>1786</v>
      </c>
      <c r="B1790" s="221"/>
      <c r="C1790" s="221" t="s">
        <v>48</v>
      </c>
      <c r="D1790" s="221" t="s">
        <v>4387</v>
      </c>
      <c r="E1790" s="221" t="s">
        <v>3295</v>
      </c>
      <c r="F1790" s="221" t="s">
        <v>3299</v>
      </c>
      <c r="G1790" s="222">
        <v>45835</v>
      </c>
      <c r="H1790" s="223">
        <v>15.291666666666666</v>
      </c>
      <c r="I1790" s="221" t="s">
        <v>37</v>
      </c>
      <c r="J1790" s="221" t="s">
        <v>3023</v>
      </c>
      <c r="K1790" s="224" t="s">
        <v>3073</v>
      </c>
      <c r="L1790" s="225" t="str">
        <f>VLOOKUP(Logfile_S[[#This Row],[Material Name]],Sheet2!B:C,2,0)</f>
        <v>ZTE2001</v>
      </c>
      <c r="M1790" s="225" t="str">
        <f>_xlfn.XLOOKUP(Logfile_S[[#This Row],[Material Name]],Sum_WH!E:E,Sum_WH!F:F,"",0)</f>
        <v>Meter</v>
      </c>
      <c r="N1790" s="221">
        <v>3000</v>
      </c>
      <c r="O1790" s="221" t="s">
        <v>2861</v>
      </c>
      <c r="P1790" s="221" t="s">
        <v>2862</v>
      </c>
      <c r="Q1790" s="221" t="s">
        <v>2869</v>
      </c>
      <c r="R1790" s="221" t="s">
        <v>2870</v>
      </c>
      <c r="S1790" s="221"/>
      <c r="T1790" s="221"/>
      <c r="U1790" s="221"/>
      <c r="V1790" s="221"/>
      <c r="W1790" s="221"/>
      <c r="X1790" s="221"/>
      <c r="Y1790" s="227" t="s">
        <v>5022</v>
      </c>
      <c r="Z1790" s="227" t="str">
        <f>P1790</f>
        <v>DESA GADUNGAN PONCOKUSUMO MALANG</v>
      </c>
      <c r="AA1790" s="276">
        <f>VLOOKUP(Logfile_S[[#This Row],[DO number]],DO_DB!G:I,3,0)</f>
        <v>45832</v>
      </c>
      <c r="AB1790" s="331" t="b">
        <f>EXACT(Logfile_S[[#This Row],[date pick]],Logfile_S[[#This Row],[Date]])</f>
        <v>0</v>
      </c>
      <c r="AC17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24C-2025627-01</v>
      </c>
    </row>
    <row r="1791" spans="1:29" ht="14.5">
      <c r="A1791" s="220" t="str">
        <f>TEXT(ROW(A1791)-ROW($A$4),"000")</f>
        <v>1787</v>
      </c>
      <c r="B1791" s="221"/>
      <c r="C1791" s="221" t="s">
        <v>49</v>
      </c>
      <c r="D1791" s="221" t="s">
        <v>4389</v>
      </c>
      <c r="E1791" s="221" t="s">
        <v>3295</v>
      </c>
      <c r="F1791" s="221" t="s">
        <v>3299</v>
      </c>
      <c r="G1791" s="222">
        <v>45835</v>
      </c>
      <c r="H1791" s="223">
        <v>0.59583333333333333</v>
      </c>
      <c r="I1791" s="221" t="s">
        <v>4916</v>
      </c>
      <c r="J1791" s="221" t="s">
        <v>3023</v>
      </c>
      <c r="K1791" s="224" t="s">
        <v>3075</v>
      </c>
      <c r="L1791" s="225" t="str">
        <f>VLOOKUP(Logfile_S[[#This Row],[Material Name]],Sheet2!B:C,2,0)</f>
        <v>ZTE2003</v>
      </c>
      <c r="M1791" s="225" t="str">
        <f>_xlfn.XLOOKUP(Logfile_S[[#This Row],[Material Name]],Sum_WH!E:E,Sum_WH!F:F,"",0)</f>
        <v>Meter</v>
      </c>
      <c r="N1791" s="221">
        <v>3000</v>
      </c>
      <c r="O1791" s="221" t="s">
        <v>2861</v>
      </c>
      <c r="P1791" s="221" t="s">
        <v>2862</v>
      </c>
      <c r="Q1791" s="221"/>
      <c r="R1791" s="221"/>
      <c r="S1791" s="221"/>
      <c r="T1791" s="221" t="s">
        <v>3247</v>
      </c>
      <c r="U1791" s="221" t="s">
        <v>3247</v>
      </c>
      <c r="V1791" s="221" t="s">
        <v>3375</v>
      </c>
      <c r="W1791" s="221" t="s">
        <v>3249</v>
      </c>
      <c r="X1791" s="221"/>
      <c r="Y1791" s="227"/>
      <c r="Z1791" s="227" t="str">
        <f>P1791</f>
        <v>DESA GADUNGAN PONCOKUSUMO MALANG</v>
      </c>
      <c r="AA1791" s="276" t="e">
        <f>VLOOKUP(Logfile_S[[#This Row],[DO number]],DO_DB!G:I,3,0)</f>
        <v>#N/A</v>
      </c>
      <c r="AB1791" s="331" t="e">
        <f>EXACT(Logfile_S[[#This Row],[date pick]],Logfile_S[[#This Row],[Date]])</f>
        <v>#N/A</v>
      </c>
      <c r="AC17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92" spans="1:29" ht="14.5">
      <c r="A1792" s="220" t="str">
        <f>TEXT(ROW(A1792)-ROW($A$4),"000")</f>
        <v>1788</v>
      </c>
      <c r="B1792" s="221"/>
      <c r="C1792" s="221" t="s">
        <v>49</v>
      </c>
      <c r="D1792" s="221" t="s">
        <v>4391</v>
      </c>
      <c r="E1792" s="221" t="s">
        <v>3295</v>
      </c>
      <c r="F1792" s="221" t="s">
        <v>3299</v>
      </c>
      <c r="G1792" s="222">
        <v>45849</v>
      </c>
      <c r="H1792" s="223">
        <v>0.60833333333333328</v>
      </c>
      <c r="I1792" s="221" t="s">
        <v>4916</v>
      </c>
      <c r="J1792" s="221" t="s">
        <v>3023</v>
      </c>
      <c r="K1792" s="224" t="s">
        <v>13</v>
      </c>
      <c r="L1792" s="225" t="str">
        <f>VLOOKUP(Logfile_S[[#This Row],[Material Name]],Sheet2!B:C,2,0)</f>
        <v>ZTE2008</v>
      </c>
      <c r="M1792" s="225" t="str">
        <f>_xlfn.XLOOKUP(Logfile_S[[#This Row],[Material Name]],Sum_WH!E:E,Sum_WH!F:F,"",0)</f>
        <v>Pcs</v>
      </c>
      <c r="N1792" s="221">
        <v>26</v>
      </c>
      <c r="O1792" s="221" t="s">
        <v>2861</v>
      </c>
      <c r="P1792" s="221" t="s">
        <v>2862</v>
      </c>
      <c r="Q1792" s="221"/>
      <c r="R1792" s="221"/>
      <c r="S1792" s="221"/>
      <c r="T1792" s="221" t="s">
        <v>3356</v>
      </c>
      <c r="U1792" s="221">
        <v>0</v>
      </c>
      <c r="V1792" s="221">
        <v>0</v>
      </c>
      <c r="W1792" s="221" t="s">
        <v>3358</v>
      </c>
      <c r="X1792" s="221"/>
      <c r="Y1792" s="227"/>
      <c r="Z1792" s="227" t="str">
        <f>P1792</f>
        <v>DESA GADUNGAN PONCOKUSUMO MALANG</v>
      </c>
      <c r="AA1792" s="276" t="e">
        <f>VLOOKUP(Logfile_S[[#This Row],[DO number]],DO_DB!G:I,3,0)</f>
        <v>#N/A</v>
      </c>
      <c r="AB1792" s="331" t="e">
        <f>EXACT(Logfile_S[[#This Row],[date pick]],Logfile_S[[#This Row],[Date]])</f>
        <v>#N/A</v>
      </c>
      <c r="AC17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93" spans="1:29" ht="14.5">
      <c r="A1793" s="220" t="str">
        <f>TEXT(ROW(A1793)-ROW($A$4),"000")</f>
        <v>1789</v>
      </c>
      <c r="B1793" s="221"/>
      <c r="C1793" s="221" t="s">
        <v>49</v>
      </c>
      <c r="D1793" s="221" t="s">
        <v>4391</v>
      </c>
      <c r="E1793" s="221" t="s">
        <v>3295</v>
      </c>
      <c r="F1793" s="221" t="s">
        <v>3299</v>
      </c>
      <c r="G1793" s="222">
        <v>45849</v>
      </c>
      <c r="H1793" s="223">
        <v>0.60833333333333328</v>
      </c>
      <c r="I1793" s="221" t="s">
        <v>4916</v>
      </c>
      <c r="J1793" s="221" t="s">
        <v>3023</v>
      </c>
      <c r="K1793" s="224" t="s">
        <v>15</v>
      </c>
      <c r="L1793" s="225" t="str">
        <f>VLOOKUP(Logfile_S[[#This Row],[Material Name]],Sheet2!B:C,2,0)</f>
        <v>ZTE2006</v>
      </c>
      <c r="M1793" s="225" t="str">
        <f>_xlfn.XLOOKUP(Logfile_S[[#This Row],[Material Name]],Sum_WH!E:E,Sum_WH!F:F,"",0)</f>
        <v>Pcs</v>
      </c>
      <c r="N1793" s="221">
        <v>1</v>
      </c>
      <c r="O1793" s="221" t="s">
        <v>2861</v>
      </c>
      <c r="P1793" s="221" t="s">
        <v>2862</v>
      </c>
      <c r="Q1793" s="221"/>
      <c r="R1793" s="221"/>
      <c r="S1793" s="221"/>
      <c r="T1793" s="221" t="s">
        <v>3356</v>
      </c>
      <c r="U1793" s="221">
        <v>0</v>
      </c>
      <c r="V1793" s="221">
        <v>0</v>
      </c>
      <c r="W1793" s="221" t="s">
        <v>3358</v>
      </c>
      <c r="X1793" s="221"/>
      <c r="Y1793" s="227"/>
      <c r="Z1793" s="227" t="str">
        <f>P1793</f>
        <v>DESA GADUNGAN PONCOKUSUMO MALANG</v>
      </c>
      <c r="AA1793" s="276" t="e">
        <f>VLOOKUP(Logfile_S[[#This Row],[DO number]],DO_DB!G:I,3,0)</f>
        <v>#N/A</v>
      </c>
      <c r="AB1793" s="331" t="e">
        <f>EXACT(Logfile_S[[#This Row],[date pick]],Logfile_S[[#This Row],[Date]])</f>
        <v>#N/A</v>
      </c>
      <c r="AC17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94" spans="1:29" ht="14.5">
      <c r="A1794" s="220" t="str">
        <f>TEXT(ROW(A1794)-ROW($A$4),"000")</f>
        <v>1790</v>
      </c>
      <c r="B1794" s="221"/>
      <c r="C1794" s="221" t="s">
        <v>49</v>
      </c>
      <c r="D1794" s="221" t="s">
        <v>4373</v>
      </c>
      <c r="E1794" s="221" t="s">
        <v>3295</v>
      </c>
      <c r="F1794" s="221" t="s">
        <v>3299</v>
      </c>
      <c r="G1794" s="222">
        <v>45824</v>
      </c>
      <c r="H1794" s="223">
        <v>0.83125000000000004</v>
      </c>
      <c r="I1794" s="221" t="s">
        <v>4916</v>
      </c>
      <c r="J1794" s="221" t="s">
        <v>3023</v>
      </c>
      <c r="K1794" s="224" t="s">
        <v>3543</v>
      </c>
      <c r="L1794" s="225" t="str">
        <f>VLOOKUP(Logfile_S[[#This Row],[Material Name]],Sheet2!B:C,2,0)</f>
        <v>ZTE2008</v>
      </c>
      <c r="M1794" s="225" t="str">
        <f>_xlfn.XLOOKUP(Logfile_S[[#This Row],[Material Name]],Sum_WH!E:E,Sum_WH!F:F,"",0)</f>
        <v>Pcs</v>
      </c>
      <c r="N1794" s="221">
        <v>2</v>
      </c>
      <c r="O1794" s="221" t="s">
        <v>2855</v>
      </c>
      <c r="P1794" s="221" t="s">
        <v>2856</v>
      </c>
      <c r="Q1794" s="221"/>
      <c r="R1794" s="221"/>
      <c r="S1794" s="221"/>
      <c r="T1794" s="221" t="s">
        <v>3411</v>
      </c>
      <c r="U1794" s="221">
        <v>0</v>
      </c>
      <c r="V1794" s="221">
        <v>0</v>
      </c>
      <c r="W1794" s="221" t="s">
        <v>3412</v>
      </c>
      <c r="X1794" s="221"/>
      <c r="Y1794" s="227"/>
      <c r="Z1794" s="227" t="str">
        <f>P1794</f>
        <v>DESA KARANGANYAR KIDUL PONCOKUSUMO   MALANG</v>
      </c>
      <c r="AA1794" s="276" t="e">
        <f>VLOOKUP(Logfile_S[[#This Row],[DO number]],DO_DB!G:I,3,0)</f>
        <v>#N/A</v>
      </c>
      <c r="AB1794" s="331" t="e">
        <f>EXACT(Logfile_S[[#This Row],[date pick]],Logfile_S[[#This Row],[Date]])</f>
        <v>#N/A</v>
      </c>
      <c r="AC17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95" spans="1:29" ht="14.5">
      <c r="A1795" s="237" t="str">
        <f>TEXT(ROW(A1795)-ROW($A$4),"000")</f>
        <v>1791</v>
      </c>
      <c r="B1795" s="221"/>
      <c r="C1795" s="227" t="s">
        <v>48</v>
      </c>
      <c r="D1795" s="227" t="s">
        <v>4374</v>
      </c>
      <c r="E1795" s="227" t="s">
        <v>3295</v>
      </c>
      <c r="F1795" s="227" t="s">
        <v>3299</v>
      </c>
      <c r="G1795" s="239">
        <v>45825</v>
      </c>
      <c r="H1795" s="240">
        <v>15.291666666666666</v>
      </c>
      <c r="I1795" s="227" t="s">
        <v>37</v>
      </c>
      <c r="J1795" s="227" t="s">
        <v>3023</v>
      </c>
      <c r="K1795" s="241" t="s">
        <v>3075</v>
      </c>
      <c r="L1795" s="225" t="str">
        <f>VLOOKUP(Logfile_S[[#This Row],[Material Name]],Sheet2!B:C,2,0)</f>
        <v>ZTE2003</v>
      </c>
      <c r="M1795" s="242" t="str">
        <f>_xlfn.XLOOKUP(Logfile_S[[#This Row],[Material Name]],Sum_WH!E:E,Sum_WH!F:F,"",0)</f>
        <v>Meter</v>
      </c>
      <c r="N1795" s="227">
        <v>3000</v>
      </c>
      <c r="O1795" s="227" t="s">
        <v>2855</v>
      </c>
      <c r="P1795" s="227" t="s">
        <v>2856</v>
      </c>
      <c r="Q1795" s="221" t="s">
        <v>2857</v>
      </c>
      <c r="R1795" s="221" t="s">
        <v>2858</v>
      </c>
      <c r="S1795" s="227"/>
      <c r="T1795" s="227"/>
      <c r="U1795" s="227"/>
      <c r="V1795" s="227"/>
      <c r="W1795" s="227"/>
      <c r="X1795" s="227"/>
      <c r="Y1795" s="227" t="s">
        <v>5084</v>
      </c>
      <c r="Z1795" s="227" t="str">
        <f>P1795</f>
        <v>DESA KARANGANYAR KIDUL PONCOKUSUMO   MALANG</v>
      </c>
      <c r="AA1795" s="276">
        <f>VLOOKUP(Logfile_S[[#This Row],[DO number]],DO_DB!G:I,3,0)</f>
        <v>45825</v>
      </c>
      <c r="AB1795" s="331" t="b">
        <f>EXACT(Logfile_S[[#This Row],[date pick]],Logfile_S[[#This Row],[Date]])</f>
        <v>1</v>
      </c>
      <c r="AC17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48C-2025618-02</v>
      </c>
    </row>
    <row r="1796" spans="1:29" ht="14.5">
      <c r="A1796" s="220" t="str">
        <f>TEXT(ROW(A1796)-ROW($A$4),"000")</f>
        <v>1792</v>
      </c>
      <c r="B1796" s="221"/>
      <c r="C1796" s="221" t="s">
        <v>49</v>
      </c>
      <c r="D1796" s="221" t="s">
        <v>4376</v>
      </c>
      <c r="E1796" s="221" t="s">
        <v>3295</v>
      </c>
      <c r="F1796" s="221" t="s">
        <v>3299</v>
      </c>
      <c r="G1796" s="222">
        <v>45827</v>
      </c>
      <c r="H1796" s="223">
        <v>0.64583333333333337</v>
      </c>
      <c r="I1796" s="221" t="s">
        <v>4916</v>
      </c>
      <c r="J1796" s="221" t="s">
        <v>3023</v>
      </c>
      <c r="K1796" s="224" t="s">
        <v>3070</v>
      </c>
      <c r="L1796" s="225" t="str">
        <f>VLOOKUP(Logfile_S[[#This Row],[Material Name]],Sheet2!B:C,2,0)</f>
        <v>ZTE1002</v>
      </c>
      <c r="M1796" s="225" t="str">
        <f>_xlfn.XLOOKUP(Logfile_S[[#This Row],[Material Name]],Sum_WH!E:E,Sum_WH!F:F,"",0)</f>
        <v>Pcs</v>
      </c>
      <c r="N1796" s="221">
        <v>10</v>
      </c>
      <c r="O1796" s="221" t="s">
        <v>2855</v>
      </c>
      <c r="P1796" s="221" t="s">
        <v>2856</v>
      </c>
      <c r="Q1796" s="221"/>
      <c r="R1796" s="221"/>
      <c r="S1796" s="221"/>
      <c r="T1796" s="221" t="s">
        <v>3231</v>
      </c>
      <c r="U1796" s="221">
        <v>0</v>
      </c>
      <c r="V1796" s="221" t="s">
        <v>3375</v>
      </c>
      <c r="W1796" s="221" t="s">
        <v>3249</v>
      </c>
      <c r="X1796" s="221"/>
      <c r="Y1796" s="227"/>
      <c r="Z1796" s="227" t="str">
        <f>P1796</f>
        <v>DESA KARANGANYAR KIDUL PONCOKUSUMO   MALANG</v>
      </c>
      <c r="AA1796" s="276" t="e">
        <f>VLOOKUP(Logfile_S[[#This Row],[DO number]],DO_DB!G:I,3,0)</f>
        <v>#N/A</v>
      </c>
      <c r="AB1796" s="331" t="e">
        <f>EXACT(Logfile_S[[#This Row],[date pick]],Logfile_S[[#This Row],[Date]])</f>
        <v>#N/A</v>
      </c>
      <c r="AC17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97" spans="1:29" ht="14.5">
      <c r="A1797" s="220" t="str">
        <f>TEXT(ROW(A1797)-ROW($A$4),"000")</f>
        <v>1793</v>
      </c>
      <c r="B1797" s="221"/>
      <c r="C1797" s="221" t="s">
        <v>49</v>
      </c>
      <c r="D1797" s="221" t="s">
        <v>4377</v>
      </c>
      <c r="E1797" s="221" t="s">
        <v>3295</v>
      </c>
      <c r="F1797" s="221" t="s">
        <v>3299</v>
      </c>
      <c r="G1797" s="222">
        <v>45829</v>
      </c>
      <c r="H1797" s="223">
        <v>0.59583333333333333</v>
      </c>
      <c r="I1797" s="221" t="s">
        <v>4916</v>
      </c>
      <c r="J1797" s="221" t="s">
        <v>3023</v>
      </c>
      <c r="K1797" s="224" t="s">
        <v>3075</v>
      </c>
      <c r="L1797" s="225" t="str">
        <f>VLOOKUP(Logfile_S[[#This Row],[Material Name]],Sheet2!B:C,2,0)</f>
        <v>ZTE2003</v>
      </c>
      <c r="M1797" s="225" t="str">
        <f>_xlfn.XLOOKUP(Logfile_S[[#This Row],[Material Name]],Sum_WH!E:E,Sum_WH!F:F,"",0)</f>
        <v>Meter</v>
      </c>
      <c r="N1797" s="221">
        <v>3000</v>
      </c>
      <c r="O1797" s="221" t="s">
        <v>2855</v>
      </c>
      <c r="P1797" s="221" t="s">
        <v>2856</v>
      </c>
      <c r="Q1797" s="221"/>
      <c r="R1797" s="221"/>
      <c r="S1797" s="221"/>
      <c r="T1797" s="221" t="s">
        <v>3247</v>
      </c>
      <c r="U1797" s="221" t="s">
        <v>3247</v>
      </c>
      <c r="V1797" s="221" t="s">
        <v>3375</v>
      </c>
      <c r="W1797" s="221" t="s">
        <v>3249</v>
      </c>
      <c r="X1797" s="221"/>
      <c r="Y1797" s="227"/>
      <c r="Z1797" s="227" t="str">
        <f>P1797</f>
        <v>DESA KARANGANYAR KIDUL PONCOKUSUMO   MALANG</v>
      </c>
      <c r="AA1797" s="276" t="e">
        <f>VLOOKUP(Logfile_S[[#This Row],[DO number]],DO_DB!G:I,3,0)</f>
        <v>#N/A</v>
      </c>
      <c r="AB1797" s="331" t="e">
        <f>EXACT(Logfile_S[[#This Row],[date pick]],Logfile_S[[#This Row],[Date]])</f>
        <v>#N/A</v>
      </c>
      <c r="AC17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98" spans="1:29" ht="14.5">
      <c r="A1798" s="220" t="str">
        <f>TEXT(ROW(A1798)-ROW($A$4),"000")</f>
        <v>1794</v>
      </c>
      <c r="B1798" s="221"/>
      <c r="C1798" s="221" t="s">
        <v>49</v>
      </c>
      <c r="D1798" s="221" t="s">
        <v>4377</v>
      </c>
      <c r="E1798" s="221" t="s">
        <v>3295</v>
      </c>
      <c r="F1798" s="221" t="s">
        <v>3299</v>
      </c>
      <c r="G1798" s="222">
        <v>45829</v>
      </c>
      <c r="H1798" s="223">
        <v>0.59583333333333333</v>
      </c>
      <c r="I1798" s="221" t="s">
        <v>4916</v>
      </c>
      <c r="J1798" s="221" t="s">
        <v>3023</v>
      </c>
      <c r="K1798" s="224" t="s">
        <v>3072</v>
      </c>
      <c r="L1798" s="225" t="str">
        <f>VLOOKUP(Logfile_S[[#This Row],[Material Name]],Sheet2!B:C,2,0)</f>
        <v>ZTE1004</v>
      </c>
      <c r="M1798" s="225" t="str">
        <f>_xlfn.XLOOKUP(Logfile_S[[#This Row],[Material Name]],Sum_WH!E:E,Sum_WH!F:F,"",0)</f>
        <v>Pcs</v>
      </c>
      <c r="N1798" s="221">
        <v>2</v>
      </c>
      <c r="O1798" s="221" t="s">
        <v>2855</v>
      </c>
      <c r="P1798" s="221" t="s">
        <v>2856</v>
      </c>
      <c r="Q1798" s="221"/>
      <c r="R1798" s="221"/>
      <c r="S1798" s="221"/>
      <c r="T1798" s="221" t="s">
        <v>3231</v>
      </c>
      <c r="U1798" s="221">
        <v>0</v>
      </c>
      <c r="V1798" s="221" t="s">
        <v>3375</v>
      </c>
      <c r="W1798" s="221" t="s">
        <v>3249</v>
      </c>
      <c r="X1798" s="221"/>
      <c r="Y1798" s="227"/>
      <c r="Z1798" s="227" t="str">
        <f>P1798</f>
        <v>DESA KARANGANYAR KIDUL PONCOKUSUMO   MALANG</v>
      </c>
      <c r="AA1798" s="276" t="e">
        <f>VLOOKUP(Logfile_S[[#This Row],[DO number]],DO_DB!G:I,3,0)</f>
        <v>#N/A</v>
      </c>
      <c r="AB1798" s="331" t="e">
        <f>EXACT(Logfile_S[[#This Row],[date pick]],Logfile_S[[#This Row],[Date]])</f>
        <v>#N/A</v>
      </c>
      <c r="AC17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799" spans="1:29" ht="14.5">
      <c r="A1799" s="220" t="str">
        <f>TEXT(ROW(A1799)-ROW($A$4),"000")</f>
        <v>1795</v>
      </c>
      <c r="B1799" s="221"/>
      <c r="C1799" s="221" t="s">
        <v>49</v>
      </c>
      <c r="D1799" s="221" t="s">
        <v>4384</v>
      </c>
      <c r="E1799" s="221" t="s">
        <v>3295</v>
      </c>
      <c r="F1799" s="221" t="s">
        <v>3299</v>
      </c>
      <c r="G1799" s="222">
        <v>45832</v>
      </c>
      <c r="H1799" s="223">
        <v>0.64583333333333337</v>
      </c>
      <c r="I1799" s="221" t="s">
        <v>4916</v>
      </c>
      <c r="J1799" s="221" t="s">
        <v>3023</v>
      </c>
      <c r="K1799" s="224" t="s">
        <v>3073</v>
      </c>
      <c r="L1799" s="225" t="str">
        <f>VLOOKUP(Logfile_S[[#This Row],[Material Name]],Sheet2!B:C,2,0)</f>
        <v>ZTE2001</v>
      </c>
      <c r="M1799" s="225" t="str">
        <f>_xlfn.XLOOKUP(Logfile_S[[#This Row],[Material Name]],Sum_WH!E:E,Sum_WH!F:F,"",0)</f>
        <v>Meter</v>
      </c>
      <c r="N1799" s="221">
        <v>3000</v>
      </c>
      <c r="O1799" s="221" t="s">
        <v>2855</v>
      </c>
      <c r="P1799" s="221" t="s">
        <v>2856</v>
      </c>
      <c r="Q1799" s="221"/>
      <c r="R1799" s="221"/>
      <c r="S1799" s="221"/>
      <c r="T1799" s="221" t="s">
        <v>3247</v>
      </c>
      <c r="U1799" s="221" t="s">
        <v>3247</v>
      </c>
      <c r="V1799" s="221" t="s">
        <v>3375</v>
      </c>
      <c r="W1799" s="221" t="s">
        <v>3249</v>
      </c>
      <c r="X1799" s="221"/>
      <c r="Y1799" s="227"/>
      <c r="Z1799" s="227" t="str">
        <f>P1799</f>
        <v>DESA KARANGANYAR KIDUL PONCOKUSUMO   MALANG</v>
      </c>
      <c r="AA1799" s="276" t="e">
        <f>VLOOKUP(Logfile_S[[#This Row],[DO number]],DO_DB!G:I,3,0)</f>
        <v>#N/A</v>
      </c>
      <c r="AB1799" s="331" t="e">
        <f>EXACT(Logfile_S[[#This Row],[date pick]],Logfile_S[[#This Row],[Date]])</f>
        <v>#N/A</v>
      </c>
      <c r="AC17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00" spans="1:29" ht="14.5">
      <c r="A1800" s="220" t="str">
        <f>TEXT(ROW(A1800)-ROW($A$4),"000")</f>
        <v>1796</v>
      </c>
      <c r="B1800" s="221"/>
      <c r="C1800" s="221" t="s">
        <v>49</v>
      </c>
      <c r="D1800" s="221" t="s">
        <v>4385</v>
      </c>
      <c r="E1800" s="221" t="s">
        <v>3295</v>
      </c>
      <c r="F1800" s="221" t="s">
        <v>3299</v>
      </c>
      <c r="G1800" s="222">
        <v>45833</v>
      </c>
      <c r="H1800" s="223">
        <v>0.87708333333333333</v>
      </c>
      <c r="I1800" s="221" t="s">
        <v>4916</v>
      </c>
      <c r="J1800" s="221" t="s">
        <v>3023</v>
      </c>
      <c r="K1800" s="224" t="s">
        <v>13</v>
      </c>
      <c r="L1800" s="225" t="str">
        <f>VLOOKUP(Logfile_S[[#This Row],[Material Name]],Sheet2!B:C,2,0)</f>
        <v>ZTE2008</v>
      </c>
      <c r="M1800" s="225" t="str">
        <f>_xlfn.XLOOKUP(Logfile_S[[#This Row],[Material Name]],Sum_WH!E:E,Sum_WH!F:F,"",0)</f>
        <v>Pcs</v>
      </c>
      <c r="N1800" s="221">
        <v>14</v>
      </c>
      <c r="O1800" s="221" t="s">
        <v>2855</v>
      </c>
      <c r="P1800" s="221" t="s">
        <v>2856</v>
      </c>
      <c r="Q1800" s="221"/>
      <c r="R1800" s="221"/>
      <c r="S1800" s="221"/>
      <c r="T1800" s="221" t="s">
        <v>3356</v>
      </c>
      <c r="U1800" s="221">
        <v>0</v>
      </c>
      <c r="V1800" s="221">
        <v>0</v>
      </c>
      <c r="W1800" s="221" t="s">
        <v>3358</v>
      </c>
      <c r="X1800" s="221"/>
      <c r="Y1800" s="227"/>
      <c r="Z1800" s="227" t="str">
        <f>P1800</f>
        <v>DESA KARANGANYAR KIDUL PONCOKUSUMO   MALANG</v>
      </c>
      <c r="AA1800" s="276" t="e">
        <f>VLOOKUP(Logfile_S[[#This Row],[DO number]],DO_DB!G:I,3,0)</f>
        <v>#N/A</v>
      </c>
      <c r="AB1800" s="331" t="e">
        <f>EXACT(Logfile_S[[#This Row],[date pick]],Logfile_S[[#This Row],[Date]])</f>
        <v>#N/A</v>
      </c>
      <c r="AC18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01" spans="1:29" ht="14.5">
      <c r="A1801" s="220" t="str">
        <f>TEXT(ROW(A1801)-ROW($A$4),"000")</f>
        <v>1797</v>
      </c>
      <c r="B1801" s="221"/>
      <c r="C1801" s="221" t="s">
        <v>49</v>
      </c>
      <c r="D1801" s="221" t="s">
        <v>4385</v>
      </c>
      <c r="E1801" s="221" t="s">
        <v>3295</v>
      </c>
      <c r="F1801" s="221" t="s">
        <v>3299</v>
      </c>
      <c r="G1801" s="222">
        <v>45833</v>
      </c>
      <c r="H1801" s="223">
        <v>0.87708333333333333</v>
      </c>
      <c r="I1801" s="221" t="s">
        <v>4916</v>
      </c>
      <c r="J1801" s="221" t="s">
        <v>3023</v>
      </c>
      <c r="K1801" s="224" t="s">
        <v>14</v>
      </c>
      <c r="L1801" s="225" t="str">
        <f>VLOOKUP(Logfile_S[[#This Row],[Material Name]],Sheet2!B:C,2,0)</f>
        <v>ZTE2005</v>
      </c>
      <c r="M1801" s="225" t="str">
        <f>_xlfn.XLOOKUP(Logfile_S[[#This Row],[Material Name]],Sum_WH!E:E,Sum_WH!F:F,"",0)</f>
        <v>Pcs</v>
      </c>
      <c r="N1801" s="221">
        <v>1</v>
      </c>
      <c r="O1801" s="221" t="s">
        <v>2855</v>
      </c>
      <c r="P1801" s="221" t="s">
        <v>2856</v>
      </c>
      <c r="Q1801" s="221"/>
      <c r="R1801" s="221"/>
      <c r="S1801" s="221"/>
      <c r="T1801" s="221" t="s">
        <v>3356</v>
      </c>
      <c r="U1801" s="221">
        <v>0</v>
      </c>
      <c r="V1801" s="221">
        <v>0</v>
      </c>
      <c r="W1801" s="221" t="s">
        <v>3358</v>
      </c>
      <c r="X1801" s="221"/>
      <c r="Y1801" s="227"/>
      <c r="Z1801" s="227" t="str">
        <f>P1801</f>
        <v>DESA KARANGANYAR KIDUL PONCOKUSUMO   MALANG</v>
      </c>
      <c r="AA1801" s="276" t="e">
        <f>VLOOKUP(Logfile_S[[#This Row],[DO number]],DO_DB!G:I,3,0)</f>
        <v>#N/A</v>
      </c>
      <c r="AB1801" s="331" t="e">
        <f>EXACT(Logfile_S[[#This Row],[date pick]],Logfile_S[[#This Row],[Date]])</f>
        <v>#N/A</v>
      </c>
      <c r="AC18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02" spans="1:29" ht="14.5">
      <c r="A1802" s="220" t="str">
        <f>TEXT(ROW(A1802)-ROW($A$4),"000")</f>
        <v>1798</v>
      </c>
      <c r="B1802" s="221"/>
      <c r="C1802" s="221" t="s">
        <v>49</v>
      </c>
      <c r="D1802" s="221" t="s">
        <v>4386</v>
      </c>
      <c r="E1802" s="221" t="s">
        <v>3295</v>
      </c>
      <c r="F1802" s="221" t="s">
        <v>3299</v>
      </c>
      <c r="G1802" s="222">
        <v>45834</v>
      </c>
      <c r="H1802" s="223">
        <v>0.64583333333333337</v>
      </c>
      <c r="I1802" s="221" t="s">
        <v>4916</v>
      </c>
      <c r="J1802" s="221" t="s">
        <v>3023</v>
      </c>
      <c r="K1802" s="224" t="s">
        <v>3069</v>
      </c>
      <c r="L1802" s="225" t="str">
        <f>VLOOKUP(Logfile_S[[#This Row],[Material Name]],Sheet2!B:C,2,0)</f>
        <v>ZTE1001</v>
      </c>
      <c r="M1802" s="225" t="str">
        <f>_xlfn.XLOOKUP(Logfile_S[[#This Row],[Material Name]],Sum_WH!E:E,Sum_WH!F:F,"",0)</f>
        <v>Pcs</v>
      </c>
      <c r="N1802" s="221">
        <v>8</v>
      </c>
      <c r="O1802" s="221" t="s">
        <v>2855</v>
      </c>
      <c r="P1802" s="221" t="s">
        <v>2856</v>
      </c>
      <c r="Q1802" s="221"/>
      <c r="R1802" s="221"/>
      <c r="S1802" s="221"/>
      <c r="T1802" s="221" t="s">
        <v>3231</v>
      </c>
      <c r="U1802" s="221">
        <v>0</v>
      </c>
      <c r="V1802" s="221" t="s">
        <v>3375</v>
      </c>
      <c r="W1802" s="221" t="s">
        <v>3249</v>
      </c>
      <c r="X1802" s="221"/>
      <c r="Y1802" s="227"/>
      <c r="Z1802" s="227" t="str">
        <f>P1802</f>
        <v>DESA KARANGANYAR KIDUL PONCOKUSUMO   MALANG</v>
      </c>
      <c r="AA1802" s="276" t="e">
        <f>VLOOKUP(Logfile_S[[#This Row],[DO number]],DO_DB!G:I,3,0)</f>
        <v>#N/A</v>
      </c>
      <c r="AB1802" s="331" t="e">
        <f>EXACT(Logfile_S[[#This Row],[date pick]],Logfile_S[[#This Row],[Date]])</f>
        <v>#N/A</v>
      </c>
      <c r="AC18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03" spans="1:29" ht="14.5">
      <c r="A1803" s="220" t="str">
        <f>TEXT(ROW(A1803)-ROW($A$4),"000")</f>
        <v>1799</v>
      </c>
      <c r="B1803" s="221"/>
      <c r="C1803" s="221" t="s">
        <v>49</v>
      </c>
      <c r="D1803" s="221" t="s">
        <v>4390</v>
      </c>
      <c r="E1803" s="221" t="s">
        <v>3295</v>
      </c>
      <c r="F1803" s="221" t="s">
        <v>3299</v>
      </c>
      <c r="G1803" s="222">
        <v>45837</v>
      </c>
      <c r="H1803" s="223">
        <v>0.64583333333333337</v>
      </c>
      <c r="I1803" s="221" t="s">
        <v>4916</v>
      </c>
      <c r="J1803" s="221" t="s">
        <v>3023</v>
      </c>
      <c r="K1803" s="224" t="s">
        <v>3069</v>
      </c>
      <c r="L1803" s="225" t="str">
        <f>VLOOKUP(Logfile_S[[#This Row],[Material Name]],Sheet2!B:C,2,0)</f>
        <v>ZTE1001</v>
      </c>
      <c r="M1803" s="225" t="str">
        <f>_xlfn.XLOOKUP(Logfile_S[[#This Row],[Material Name]],Sum_WH!E:E,Sum_WH!F:F,"",0)</f>
        <v>Pcs</v>
      </c>
      <c r="N1803" s="221">
        <v>2</v>
      </c>
      <c r="O1803" s="221" t="s">
        <v>2855</v>
      </c>
      <c r="P1803" s="221" t="s">
        <v>2856</v>
      </c>
      <c r="Q1803" s="221"/>
      <c r="R1803" s="221"/>
      <c r="S1803" s="221"/>
      <c r="T1803" s="221" t="s">
        <v>3231</v>
      </c>
      <c r="U1803" s="221">
        <v>0</v>
      </c>
      <c r="V1803" s="221" t="s">
        <v>3375</v>
      </c>
      <c r="W1803" s="221" t="s">
        <v>3249</v>
      </c>
      <c r="X1803" s="221"/>
      <c r="Y1803" s="227"/>
      <c r="Z1803" s="227" t="str">
        <f>P1803</f>
        <v>DESA KARANGANYAR KIDUL PONCOKUSUMO   MALANG</v>
      </c>
      <c r="AA1803" s="276" t="e">
        <f>VLOOKUP(Logfile_S[[#This Row],[DO number]],DO_DB!G:I,3,0)</f>
        <v>#N/A</v>
      </c>
      <c r="AB1803" s="331" t="e">
        <f>EXACT(Logfile_S[[#This Row],[date pick]],Logfile_S[[#This Row],[Date]])</f>
        <v>#N/A</v>
      </c>
      <c r="AC18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04" spans="1:29" ht="14.5">
      <c r="A1804" s="220" t="str">
        <f>TEXT(ROW(A1804)-ROW($A$4),"000")</f>
        <v>1800</v>
      </c>
      <c r="B1804" s="221"/>
      <c r="C1804" s="221" t="s">
        <v>49</v>
      </c>
      <c r="D1804" s="221" t="s">
        <v>4376</v>
      </c>
      <c r="E1804" s="221" t="s">
        <v>3295</v>
      </c>
      <c r="F1804" s="221" t="s">
        <v>3299</v>
      </c>
      <c r="G1804" s="222">
        <v>45827</v>
      </c>
      <c r="H1804" s="223">
        <v>0.64583333333333337</v>
      </c>
      <c r="I1804" s="221" t="s">
        <v>4916</v>
      </c>
      <c r="J1804" s="221" t="s">
        <v>3023</v>
      </c>
      <c r="K1804" s="224" t="s">
        <v>13</v>
      </c>
      <c r="L1804" s="225" t="str">
        <f>VLOOKUP(Logfile_S[[#This Row],[Material Name]],Sheet2!B:C,2,0)</f>
        <v>ZTE2008</v>
      </c>
      <c r="M1804" s="225" t="str">
        <f>_xlfn.XLOOKUP(Logfile_S[[#This Row],[Material Name]],Sum_WH!E:E,Sum_WH!F:F,"",0)</f>
        <v>Pcs</v>
      </c>
      <c r="N1804" s="221">
        <v>30</v>
      </c>
      <c r="O1804" s="221" t="s">
        <v>2851</v>
      </c>
      <c r="P1804" s="221" t="s">
        <v>2852</v>
      </c>
      <c r="Q1804" s="221"/>
      <c r="R1804" s="221"/>
      <c r="S1804" s="221"/>
      <c r="T1804" s="221" t="s">
        <v>3231</v>
      </c>
      <c r="U1804" s="221">
        <v>0</v>
      </c>
      <c r="V1804" s="221" t="s">
        <v>3375</v>
      </c>
      <c r="W1804" s="221" t="s">
        <v>3249</v>
      </c>
      <c r="X1804" s="221"/>
      <c r="Y1804" s="227"/>
      <c r="Z1804" s="227" t="str">
        <f>P1804</f>
        <v>DESA KRAJANI PONCOKUSUMO MALANG</v>
      </c>
      <c r="AA1804" s="276" t="e">
        <f>VLOOKUP(Logfile_S[[#This Row],[DO number]],DO_DB!G:I,3,0)</f>
        <v>#N/A</v>
      </c>
      <c r="AB1804" s="331" t="e">
        <f>EXACT(Logfile_S[[#This Row],[date pick]],Logfile_S[[#This Row],[Date]])</f>
        <v>#N/A</v>
      </c>
      <c r="AC18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05" spans="1:29" ht="14.5">
      <c r="A1805" s="220" t="str">
        <f>TEXT(ROW(A1805)-ROW($A$4),"000")</f>
        <v>1801</v>
      </c>
      <c r="B1805" s="221"/>
      <c r="C1805" s="221" t="s">
        <v>49</v>
      </c>
      <c r="D1805" s="221" t="s">
        <v>4376</v>
      </c>
      <c r="E1805" s="221" t="s">
        <v>3295</v>
      </c>
      <c r="F1805" s="221" t="s">
        <v>3299</v>
      </c>
      <c r="G1805" s="222">
        <v>45827</v>
      </c>
      <c r="H1805" s="223">
        <v>0.64583333333333337</v>
      </c>
      <c r="I1805" s="221" t="s">
        <v>4916</v>
      </c>
      <c r="J1805" s="221" t="s">
        <v>3023</v>
      </c>
      <c r="K1805" s="224" t="s">
        <v>15</v>
      </c>
      <c r="L1805" s="225" t="str">
        <f>VLOOKUP(Logfile_S[[#This Row],[Material Name]],Sheet2!B:C,2,0)</f>
        <v>ZTE2006</v>
      </c>
      <c r="M1805" s="225" t="str">
        <f>_xlfn.XLOOKUP(Logfile_S[[#This Row],[Material Name]],Sum_WH!E:E,Sum_WH!F:F,"",0)</f>
        <v>Pcs</v>
      </c>
      <c r="N1805" s="221">
        <v>1</v>
      </c>
      <c r="O1805" s="221" t="s">
        <v>2851</v>
      </c>
      <c r="P1805" s="221" t="s">
        <v>2852</v>
      </c>
      <c r="Q1805" s="221"/>
      <c r="R1805" s="221"/>
      <c r="S1805" s="221"/>
      <c r="T1805" s="221" t="s">
        <v>3231</v>
      </c>
      <c r="U1805" s="221">
        <v>0</v>
      </c>
      <c r="V1805" s="221" t="s">
        <v>3375</v>
      </c>
      <c r="W1805" s="221" t="s">
        <v>3249</v>
      </c>
      <c r="X1805" s="221"/>
      <c r="Y1805" s="227"/>
      <c r="Z1805" s="227" t="str">
        <f>P1805</f>
        <v>DESA KRAJANI PONCOKUSUMO MALANG</v>
      </c>
      <c r="AA1805" s="276" t="e">
        <f>VLOOKUP(Logfile_S[[#This Row],[DO number]],DO_DB!G:I,3,0)</f>
        <v>#N/A</v>
      </c>
      <c r="AB1805" s="331" t="e">
        <f>EXACT(Logfile_S[[#This Row],[date pick]],Logfile_S[[#This Row],[Date]])</f>
        <v>#N/A</v>
      </c>
      <c r="AC18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06" spans="1:29" ht="14.5">
      <c r="A1806" s="220" t="str">
        <f>TEXT(ROW(A1806)-ROW($A$4),"000")</f>
        <v>1802</v>
      </c>
      <c r="B1806" s="221"/>
      <c r="C1806" s="221" t="s">
        <v>49</v>
      </c>
      <c r="D1806" s="221" t="s">
        <v>4375</v>
      </c>
      <c r="E1806" s="221" t="s">
        <v>3295</v>
      </c>
      <c r="F1806" s="221" t="s">
        <v>3299</v>
      </c>
      <c r="G1806" s="222">
        <v>45827</v>
      </c>
      <c r="H1806" s="223">
        <v>0.53541666666666665</v>
      </c>
      <c r="I1806" s="221" t="s">
        <v>4916</v>
      </c>
      <c r="J1806" s="221" t="s">
        <v>3023</v>
      </c>
      <c r="K1806" s="224" t="s">
        <v>3070</v>
      </c>
      <c r="L1806" s="225" t="str">
        <f>VLOOKUP(Logfile_S[[#This Row],[Material Name]],Sheet2!B:C,2,0)</f>
        <v>ZTE1002</v>
      </c>
      <c r="M1806" s="225" t="str">
        <f>_xlfn.XLOOKUP(Logfile_S[[#This Row],[Material Name]],Sum_WH!E:E,Sum_WH!F:F,"",0)</f>
        <v>Pcs</v>
      </c>
      <c r="N1806" s="221">
        <v>167</v>
      </c>
      <c r="O1806" s="221" t="s">
        <v>2851</v>
      </c>
      <c r="P1806" s="221" t="s">
        <v>2852</v>
      </c>
      <c r="Q1806" s="221"/>
      <c r="R1806" s="221"/>
      <c r="S1806" s="221"/>
      <c r="T1806" s="221" t="s">
        <v>3231</v>
      </c>
      <c r="U1806" s="221">
        <v>0</v>
      </c>
      <c r="V1806" s="221" t="s">
        <v>3375</v>
      </c>
      <c r="W1806" s="221" t="s">
        <v>3249</v>
      </c>
      <c r="X1806" s="221"/>
      <c r="Y1806" s="227"/>
      <c r="Z1806" s="227" t="str">
        <f>P1806</f>
        <v>DESA KRAJANI PONCOKUSUMO MALANG</v>
      </c>
      <c r="AA1806" s="276" t="e">
        <f>VLOOKUP(Logfile_S[[#This Row],[DO number]],DO_DB!G:I,3,0)</f>
        <v>#N/A</v>
      </c>
      <c r="AB1806" s="331" t="e">
        <f>EXACT(Logfile_S[[#This Row],[date pick]],Logfile_S[[#This Row],[Date]])</f>
        <v>#N/A</v>
      </c>
      <c r="AC18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07" spans="1:29" ht="14.5">
      <c r="A1807" s="220" t="str">
        <f>TEXT(ROW(A1807)-ROW($A$4),"000")</f>
        <v>1803</v>
      </c>
      <c r="B1807" s="221"/>
      <c r="C1807" s="221" t="s">
        <v>49</v>
      </c>
      <c r="D1807" s="221" t="s">
        <v>4376</v>
      </c>
      <c r="E1807" s="221" t="s">
        <v>3295</v>
      </c>
      <c r="F1807" s="221" t="s">
        <v>3299</v>
      </c>
      <c r="G1807" s="222">
        <v>45827</v>
      </c>
      <c r="H1807" s="223">
        <v>0.64583333333333337</v>
      </c>
      <c r="I1807" s="221" t="s">
        <v>4916</v>
      </c>
      <c r="J1807" s="221" t="s">
        <v>3023</v>
      </c>
      <c r="K1807" s="224" t="s">
        <v>3220</v>
      </c>
      <c r="L1807" s="225" t="str">
        <f>VLOOKUP(Logfile_S[[#This Row],[Material Name]],Sheet2!B:C,2,0)</f>
        <v>ZTE1003</v>
      </c>
      <c r="M1807" s="225" t="str">
        <f>_xlfn.XLOOKUP(Logfile_S[[#This Row],[Material Name]],Sum_WH!E:E,Sum_WH!F:F,"",0)</f>
        <v>Pcs</v>
      </c>
      <c r="N1807" s="221">
        <v>11</v>
      </c>
      <c r="O1807" s="221" t="s">
        <v>2851</v>
      </c>
      <c r="P1807" s="221" t="s">
        <v>2852</v>
      </c>
      <c r="Q1807" s="221"/>
      <c r="R1807" s="221"/>
      <c r="S1807" s="221"/>
      <c r="T1807" s="221" t="s">
        <v>3231</v>
      </c>
      <c r="U1807" s="221">
        <v>0</v>
      </c>
      <c r="V1807" s="221" t="s">
        <v>3375</v>
      </c>
      <c r="W1807" s="221" t="s">
        <v>3249</v>
      </c>
      <c r="X1807" s="221"/>
      <c r="Y1807" s="227"/>
      <c r="Z1807" s="227" t="str">
        <f>P1807</f>
        <v>DESA KRAJANI PONCOKUSUMO MALANG</v>
      </c>
      <c r="AA1807" s="276" t="e">
        <f>VLOOKUP(Logfile_S[[#This Row],[DO number]],DO_DB!G:I,3,0)</f>
        <v>#N/A</v>
      </c>
      <c r="AB1807" s="331" t="e">
        <f>EXACT(Logfile_S[[#This Row],[date pick]],Logfile_S[[#This Row],[Date]])</f>
        <v>#N/A</v>
      </c>
      <c r="AC18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08" spans="1:29" ht="14.5">
      <c r="A1808" s="220" t="str">
        <f>TEXT(ROW(A1808)-ROW($A$4),"000")</f>
        <v>1804</v>
      </c>
      <c r="B1808" s="221"/>
      <c r="C1808" s="221" t="s">
        <v>49</v>
      </c>
      <c r="D1808" s="221" t="s">
        <v>4377</v>
      </c>
      <c r="E1808" s="221" t="s">
        <v>3295</v>
      </c>
      <c r="F1808" s="221" t="s">
        <v>3299</v>
      </c>
      <c r="G1808" s="222">
        <v>45829</v>
      </c>
      <c r="H1808" s="223">
        <v>0.59583333333333333</v>
      </c>
      <c r="I1808" s="221" t="s">
        <v>4916</v>
      </c>
      <c r="J1808" s="221" t="s">
        <v>3023</v>
      </c>
      <c r="K1808" s="224" t="s">
        <v>3073</v>
      </c>
      <c r="L1808" s="225" t="str">
        <f>VLOOKUP(Logfile_S[[#This Row],[Material Name]],Sheet2!B:C,2,0)</f>
        <v>ZTE2001</v>
      </c>
      <c r="M1808" s="225" t="str">
        <f>_xlfn.XLOOKUP(Logfile_S[[#This Row],[Material Name]],Sum_WH!E:E,Sum_WH!F:F,"",0)</f>
        <v>Meter</v>
      </c>
      <c r="N1808" s="221">
        <v>3000</v>
      </c>
      <c r="O1808" s="221" t="s">
        <v>2851</v>
      </c>
      <c r="P1808" s="221" t="s">
        <v>2852</v>
      </c>
      <c r="Q1808" s="221"/>
      <c r="R1808" s="221"/>
      <c r="S1808" s="221"/>
      <c r="T1808" s="221" t="s">
        <v>3247</v>
      </c>
      <c r="U1808" s="221" t="s">
        <v>3247</v>
      </c>
      <c r="V1808" s="221" t="s">
        <v>3375</v>
      </c>
      <c r="W1808" s="221" t="s">
        <v>3249</v>
      </c>
      <c r="X1808" s="221"/>
      <c r="Y1808" s="227"/>
      <c r="Z1808" s="227" t="str">
        <f>P1808</f>
        <v>DESA KRAJANI PONCOKUSUMO MALANG</v>
      </c>
      <c r="AA1808" s="276" t="e">
        <f>VLOOKUP(Logfile_S[[#This Row],[DO number]],DO_DB!G:I,3,0)</f>
        <v>#N/A</v>
      </c>
      <c r="AB1808" s="331" t="e">
        <f>EXACT(Logfile_S[[#This Row],[date pick]],Logfile_S[[#This Row],[Date]])</f>
        <v>#N/A</v>
      </c>
      <c r="AC18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09" spans="1:29" ht="14.5">
      <c r="A1809" s="220" t="str">
        <f>TEXT(ROW(A1809)-ROW($A$4),"000")</f>
        <v>1805</v>
      </c>
      <c r="B1809" s="221"/>
      <c r="C1809" s="221" t="s">
        <v>49</v>
      </c>
      <c r="D1809" s="221" t="s">
        <v>4377</v>
      </c>
      <c r="E1809" s="221" t="s">
        <v>3295</v>
      </c>
      <c r="F1809" s="221" t="s">
        <v>3299</v>
      </c>
      <c r="G1809" s="222">
        <v>45829</v>
      </c>
      <c r="H1809" s="223">
        <v>0.59583333333333333</v>
      </c>
      <c r="I1809" s="221" t="s">
        <v>4916</v>
      </c>
      <c r="J1809" s="221" t="s">
        <v>3023</v>
      </c>
      <c r="K1809" s="224" t="s">
        <v>3073</v>
      </c>
      <c r="L1809" s="225" t="str">
        <f>VLOOKUP(Logfile_S[[#This Row],[Material Name]],Sheet2!B:C,2,0)</f>
        <v>ZTE2001</v>
      </c>
      <c r="M1809" s="225" t="str">
        <f>_xlfn.XLOOKUP(Logfile_S[[#This Row],[Material Name]],Sum_WH!E:E,Sum_WH!F:F,"",0)</f>
        <v>Meter</v>
      </c>
      <c r="N1809" s="221">
        <v>3000</v>
      </c>
      <c r="O1809" s="221" t="s">
        <v>2847</v>
      </c>
      <c r="P1809" s="221" t="s">
        <v>2848</v>
      </c>
      <c r="Q1809" s="221"/>
      <c r="R1809" s="221"/>
      <c r="S1809" s="221"/>
      <c r="T1809" s="221" t="s">
        <v>3247</v>
      </c>
      <c r="U1809" s="221" t="s">
        <v>3247</v>
      </c>
      <c r="V1809" s="221" t="s">
        <v>3375</v>
      </c>
      <c r="W1809" s="221" t="s">
        <v>3249</v>
      </c>
      <c r="X1809" s="221"/>
      <c r="Y1809" s="227"/>
      <c r="Z1809" s="227" t="str">
        <f>P1809</f>
        <v>DESA PANCURAN PONCOKUSUMO MALANG</v>
      </c>
      <c r="AA1809" s="276" t="e">
        <f>VLOOKUP(Logfile_S[[#This Row],[DO number]],DO_DB!G:I,3,0)</f>
        <v>#N/A</v>
      </c>
      <c r="AB1809" s="331" t="e">
        <f>EXACT(Logfile_S[[#This Row],[date pick]],Logfile_S[[#This Row],[Date]])</f>
        <v>#N/A</v>
      </c>
      <c r="AC18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10" spans="1:29" ht="14.5">
      <c r="A1810" s="220" t="str">
        <f>TEXT(ROW(A1810)-ROW($A$4),"000")</f>
        <v>1806</v>
      </c>
      <c r="B1810" s="221"/>
      <c r="C1810" s="221" t="s">
        <v>49</v>
      </c>
      <c r="D1810" s="221" t="s">
        <v>4390</v>
      </c>
      <c r="E1810" s="221" t="s">
        <v>3295</v>
      </c>
      <c r="F1810" s="221" t="s">
        <v>3299</v>
      </c>
      <c r="G1810" s="222">
        <v>45837</v>
      </c>
      <c r="H1810" s="223">
        <v>0.64583333333333337</v>
      </c>
      <c r="I1810" s="221" t="s">
        <v>4916</v>
      </c>
      <c r="J1810" s="221" t="s">
        <v>3023</v>
      </c>
      <c r="K1810" s="224" t="s">
        <v>3070</v>
      </c>
      <c r="L1810" s="225" t="str">
        <f>VLOOKUP(Logfile_S[[#This Row],[Material Name]],Sheet2!B:C,2,0)</f>
        <v>ZTE1002</v>
      </c>
      <c r="M1810" s="225" t="str">
        <f>_xlfn.XLOOKUP(Logfile_S[[#This Row],[Material Name]],Sum_WH!E:E,Sum_WH!F:F,"",0)</f>
        <v>Pcs</v>
      </c>
      <c r="N1810" s="221">
        <v>8</v>
      </c>
      <c r="O1810" s="221" t="s">
        <v>2847</v>
      </c>
      <c r="P1810" s="221" t="s">
        <v>2848</v>
      </c>
      <c r="Q1810" s="221"/>
      <c r="R1810" s="221"/>
      <c r="S1810" s="221"/>
      <c r="T1810" s="221" t="s">
        <v>3231</v>
      </c>
      <c r="U1810" s="221">
        <v>0</v>
      </c>
      <c r="V1810" s="221" t="s">
        <v>3375</v>
      </c>
      <c r="W1810" s="221" t="s">
        <v>3249</v>
      </c>
      <c r="X1810" s="221"/>
      <c r="Y1810" s="227"/>
      <c r="Z1810" s="227" t="str">
        <f>P1810</f>
        <v>DESA PANCURAN PONCOKUSUMO MALANG</v>
      </c>
      <c r="AA1810" s="276" t="e">
        <f>VLOOKUP(Logfile_S[[#This Row],[DO number]],DO_DB!G:I,3,0)</f>
        <v>#N/A</v>
      </c>
      <c r="AB1810" s="331" t="e">
        <f>EXACT(Logfile_S[[#This Row],[date pick]],Logfile_S[[#This Row],[Date]])</f>
        <v>#N/A</v>
      </c>
      <c r="AC18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11" spans="1:29" ht="14.5">
      <c r="A1811" s="220" t="str">
        <f>TEXT(ROW(A1811)-ROW($A$4),"000")</f>
        <v>1807</v>
      </c>
      <c r="B1811" s="221"/>
      <c r="C1811" s="221" t="s">
        <v>49</v>
      </c>
      <c r="D1811" s="221" t="s">
        <v>4386</v>
      </c>
      <c r="E1811" s="221" t="s">
        <v>3295</v>
      </c>
      <c r="F1811" s="221" t="s">
        <v>3299</v>
      </c>
      <c r="G1811" s="222">
        <v>45834</v>
      </c>
      <c r="H1811" s="223">
        <v>0.64583333333333337</v>
      </c>
      <c r="I1811" s="221" t="s">
        <v>4916</v>
      </c>
      <c r="J1811" s="221" t="s">
        <v>3023</v>
      </c>
      <c r="K1811" s="224" t="s">
        <v>3070</v>
      </c>
      <c r="L1811" s="225" t="str">
        <f>VLOOKUP(Logfile_S[[#This Row],[Material Name]],Sheet2!B:C,2,0)</f>
        <v>ZTE1002</v>
      </c>
      <c r="M1811" s="225" t="str">
        <f>_xlfn.XLOOKUP(Logfile_S[[#This Row],[Material Name]],Sum_WH!E:E,Sum_WH!F:F,"",0)</f>
        <v>Pcs</v>
      </c>
      <c r="N1811" s="221">
        <v>10</v>
      </c>
      <c r="O1811" s="221" t="s">
        <v>2843</v>
      </c>
      <c r="P1811" s="221" t="s">
        <v>2844</v>
      </c>
      <c r="Q1811" s="221"/>
      <c r="R1811" s="221"/>
      <c r="S1811" s="221"/>
      <c r="T1811" s="221" t="s">
        <v>3231</v>
      </c>
      <c r="U1811" s="221">
        <v>0</v>
      </c>
      <c r="V1811" s="221" t="s">
        <v>3375</v>
      </c>
      <c r="W1811" s="221" t="s">
        <v>3249</v>
      </c>
      <c r="X1811" s="221"/>
      <c r="Y1811" s="227"/>
      <c r="Z1811" s="227" t="str">
        <f>P1811</f>
        <v>DUSUN LOR KALI PONCOKUSUMO MALANG</v>
      </c>
      <c r="AA1811" s="276" t="e">
        <f>VLOOKUP(Logfile_S[[#This Row],[DO number]],DO_DB!G:I,3,0)</f>
        <v>#N/A</v>
      </c>
      <c r="AB1811" s="331" t="e">
        <f>EXACT(Logfile_S[[#This Row],[date pick]],Logfile_S[[#This Row],[Date]])</f>
        <v>#N/A</v>
      </c>
      <c r="AC18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12" spans="1:29" ht="14.5">
      <c r="A1812" s="237" t="str">
        <f>TEXT(ROW(A1812)-ROW($A$4),"000")</f>
        <v>1808</v>
      </c>
      <c r="B1812" s="221"/>
      <c r="C1812" s="227" t="s">
        <v>48</v>
      </c>
      <c r="D1812" s="227" t="s">
        <v>4403</v>
      </c>
      <c r="E1812" s="227" t="s">
        <v>3295</v>
      </c>
      <c r="F1812" s="227" t="s">
        <v>3299</v>
      </c>
      <c r="G1812" s="239">
        <v>45875</v>
      </c>
      <c r="H1812" s="240">
        <v>15.291666666666666</v>
      </c>
      <c r="I1812" s="227" t="s">
        <v>37</v>
      </c>
      <c r="J1812" s="227" t="s">
        <v>3023</v>
      </c>
      <c r="K1812" s="241" t="s">
        <v>3073</v>
      </c>
      <c r="L1812" s="225" t="str">
        <f>VLOOKUP(Logfile_S[[#This Row],[Material Name]],Sheet2!B:C,2,0)</f>
        <v>ZTE2001</v>
      </c>
      <c r="M1812" s="242" t="str">
        <f>_xlfn.XLOOKUP(Logfile_S[[#This Row],[Material Name]],Sum_WH!E:E,Sum_WH!F:F,"",0)</f>
        <v>Meter</v>
      </c>
      <c r="N1812" s="227">
        <v>1440</v>
      </c>
      <c r="O1812" s="227" t="s">
        <v>2992</v>
      </c>
      <c r="P1812" s="227" t="s">
        <v>2993</v>
      </c>
      <c r="Q1812" s="221" t="s">
        <v>2994</v>
      </c>
      <c r="R1812" s="221" t="s">
        <v>2995</v>
      </c>
      <c r="S1812" s="227"/>
      <c r="T1812" s="227"/>
      <c r="U1812" s="227"/>
      <c r="V1812" s="227"/>
      <c r="W1812" s="227"/>
      <c r="X1812" s="227"/>
      <c r="Y1812" s="227" t="s">
        <v>5023</v>
      </c>
      <c r="Z1812" s="227" t="str">
        <f>P1812</f>
        <v>PERMANU RW 04 MALANG</v>
      </c>
      <c r="AA1812" s="276">
        <f>VLOOKUP(Logfile_S[[#This Row],[DO number]],DO_DB!G:I,3,0)</f>
        <v>45875</v>
      </c>
      <c r="AB1812" s="331" t="b">
        <f>EXACT(Logfile_S[[#This Row],[date pick]],Logfile_S[[#This Row],[Date]])</f>
        <v>1</v>
      </c>
      <c r="AC18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24C-202586-01</v>
      </c>
    </row>
    <row r="1813" spans="1:29" ht="14.5">
      <c r="A1813" s="237" t="str">
        <f>TEXT(ROW(A1813)-ROW($A$4),"000")</f>
        <v>1809</v>
      </c>
      <c r="B1813" s="221"/>
      <c r="C1813" s="227" t="s">
        <v>49</v>
      </c>
      <c r="D1813" s="227" t="s">
        <v>4935</v>
      </c>
      <c r="E1813" s="227" t="s">
        <v>3295</v>
      </c>
      <c r="F1813" s="227" t="s">
        <v>3299</v>
      </c>
      <c r="G1813" s="239">
        <v>45875</v>
      </c>
      <c r="H1813" s="240">
        <v>15.291666666666666</v>
      </c>
      <c r="I1813" s="227" t="s">
        <v>37</v>
      </c>
      <c r="J1813" s="227" t="s">
        <v>3023</v>
      </c>
      <c r="K1813" s="241" t="s">
        <v>3073</v>
      </c>
      <c r="L1813" s="225" t="str">
        <f>VLOOKUP(Logfile_S[[#This Row],[Material Name]],Sheet2!B:C,2,0)</f>
        <v>ZTE2001</v>
      </c>
      <c r="M1813" s="242" t="str">
        <f>_xlfn.XLOOKUP(Logfile_S[[#This Row],[Material Name]],Sum_WH!E:E,Sum_WH!F:F,"",0)</f>
        <v>Meter</v>
      </c>
      <c r="N1813" s="227">
        <v>1440</v>
      </c>
      <c r="O1813" s="227" t="s">
        <v>2992</v>
      </c>
      <c r="P1813" s="227" t="s">
        <v>2993</v>
      </c>
      <c r="Q1813" s="227"/>
      <c r="R1813" s="227"/>
      <c r="S1813" s="227"/>
      <c r="T1813" s="221" t="s">
        <v>3258</v>
      </c>
      <c r="U1813" s="221" t="s">
        <v>5107</v>
      </c>
      <c r="V1813" s="221" t="s">
        <v>3337</v>
      </c>
      <c r="W1813" s="227"/>
      <c r="X1813" s="227"/>
      <c r="Y1813" s="227"/>
      <c r="Z1813" s="227" t="str">
        <f>P1813</f>
        <v>PERMANU RW 04 MALANG</v>
      </c>
      <c r="AA1813" s="276" t="e">
        <f>VLOOKUP(Logfile_S[[#This Row],[DO number]],DO_DB!G:I,3,0)</f>
        <v>#N/A</v>
      </c>
      <c r="AB1813" s="331" t="e">
        <f>EXACT(Logfile_S[[#This Row],[date pick]],Logfile_S[[#This Row],[Date]])</f>
        <v>#N/A</v>
      </c>
      <c r="AC18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14" spans="1:29" ht="14.5">
      <c r="A1814" s="220" t="str">
        <f>TEXT(ROW(A1814)-ROW($A$4),"000")</f>
        <v>1810</v>
      </c>
      <c r="B1814" s="221"/>
      <c r="C1814" s="221" t="s">
        <v>49</v>
      </c>
      <c r="D1814" s="221" t="s">
        <v>4407</v>
      </c>
      <c r="E1814" s="221" t="s">
        <v>3295</v>
      </c>
      <c r="F1814" s="221" t="s">
        <v>3299</v>
      </c>
      <c r="G1814" s="222">
        <v>45878</v>
      </c>
      <c r="H1814" s="223">
        <v>0.55694444444444446</v>
      </c>
      <c r="I1814" s="221" t="s">
        <v>4916</v>
      </c>
      <c r="J1814" s="221" t="s">
        <v>3023</v>
      </c>
      <c r="K1814" s="224" t="s">
        <v>13</v>
      </c>
      <c r="L1814" s="225" t="str">
        <f>VLOOKUP(Logfile_S[[#This Row],[Material Name]],Sheet2!B:C,2,0)</f>
        <v>ZTE2008</v>
      </c>
      <c r="M1814" s="225" t="str">
        <f>_xlfn.XLOOKUP(Logfile_S[[#This Row],[Material Name]],Sum_WH!E:E,Sum_WH!F:F,"",0)</f>
        <v>Pcs</v>
      </c>
      <c r="N1814" s="221">
        <v>8</v>
      </c>
      <c r="O1814" s="221" t="s">
        <v>2992</v>
      </c>
      <c r="P1814" s="221" t="s">
        <v>2993</v>
      </c>
      <c r="Q1814" s="221"/>
      <c r="R1814" s="221"/>
      <c r="S1814" s="221"/>
      <c r="T1814" s="221" t="s">
        <v>3471</v>
      </c>
      <c r="U1814" s="221">
        <v>0</v>
      </c>
      <c r="V1814" s="221" t="s">
        <v>3472</v>
      </c>
      <c r="W1814" s="221" t="s">
        <v>3545</v>
      </c>
      <c r="X1814" s="221"/>
      <c r="Y1814" s="227"/>
      <c r="Z1814" s="227" t="str">
        <f>P1814</f>
        <v>PERMANU RW 04 MALANG</v>
      </c>
      <c r="AA1814" s="276" t="e">
        <f>VLOOKUP(Logfile_S[[#This Row],[DO number]],DO_DB!G:I,3,0)</f>
        <v>#N/A</v>
      </c>
      <c r="AB1814" s="331" t="e">
        <f>EXACT(Logfile_S[[#This Row],[date pick]],Logfile_S[[#This Row],[Date]])</f>
        <v>#N/A</v>
      </c>
      <c r="AC18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15" spans="1:29" ht="14.5">
      <c r="A1815" s="244" t="str">
        <f>TEXT(ROW(A1815)-ROW($A$4),"000")</f>
        <v>1811</v>
      </c>
      <c r="B1815" s="229"/>
      <c r="C1815" s="229" t="s">
        <v>48</v>
      </c>
      <c r="D1815" s="229" t="s">
        <v>4403</v>
      </c>
      <c r="E1815" s="229" t="s">
        <v>3295</v>
      </c>
      <c r="F1815" s="229" t="s">
        <v>3299</v>
      </c>
      <c r="G1815" s="245">
        <v>45875</v>
      </c>
      <c r="H1815" s="246">
        <v>15.291666666666666</v>
      </c>
      <c r="I1815" s="229" t="s">
        <v>37</v>
      </c>
      <c r="J1815" s="229" t="s">
        <v>3023</v>
      </c>
      <c r="K1815" s="233" t="s">
        <v>3073</v>
      </c>
      <c r="L1815" s="225" t="str">
        <f>VLOOKUP(Logfile_S[[#This Row],[Material Name]],Sheet2!B:C,2,0)</f>
        <v>ZTE2001</v>
      </c>
      <c r="M1815" s="234" t="str">
        <f>_xlfn.XLOOKUP(Logfile_S[[#This Row],[Material Name]],Sum_WH!E:E,Sum_WH!F:F,"",0)</f>
        <v>Meter</v>
      </c>
      <c r="N1815" s="229">
        <v>3000</v>
      </c>
      <c r="O1815" s="229" t="s">
        <v>2996</v>
      </c>
      <c r="P1815" s="229" t="s">
        <v>2997</v>
      </c>
      <c r="Q1815" s="221" t="s">
        <v>2998</v>
      </c>
      <c r="R1815" s="221" t="s">
        <v>2999</v>
      </c>
      <c r="S1815" s="221"/>
      <c r="T1815" s="221"/>
      <c r="U1815" s="221"/>
      <c r="V1815" s="221"/>
      <c r="W1815" s="221"/>
      <c r="X1815" s="229"/>
      <c r="Y1815" s="227" t="s">
        <v>5024</v>
      </c>
      <c r="Z1815" s="227" t="str">
        <f>P1815</f>
        <v>PERMANU RW 03 MALANG</v>
      </c>
      <c r="AA1815" s="276">
        <f>VLOOKUP(Logfile_S[[#This Row],[DO number]],DO_DB!G:I,3,0)</f>
        <v>45875</v>
      </c>
      <c r="AB1815" s="331" t="b">
        <f>EXACT(Logfile_S[[#This Row],[date pick]],Logfile_S[[#This Row],[Date]])</f>
        <v>1</v>
      </c>
      <c r="AC18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24C-202586-02</v>
      </c>
    </row>
    <row r="1816" spans="1:29" ht="14.5">
      <c r="A1816" s="237" t="str">
        <f>TEXT(ROW(A1816)-ROW($A$4),"000")</f>
        <v>1812</v>
      </c>
      <c r="B1816" s="221"/>
      <c r="C1816" s="227" t="s">
        <v>49</v>
      </c>
      <c r="D1816" s="227" t="s">
        <v>4935</v>
      </c>
      <c r="E1816" s="227" t="s">
        <v>3295</v>
      </c>
      <c r="F1816" s="227" t="s">
        <v>3299</v>
      </c>
      <c r="G1816" s="239">
        <v>45875</v>
      </c>
      <c r="H1816" s="240">
        <v>15.291666666666666</v>
      </c>
      <c r="I1816" s="227" t="s">
        <v>37</v>
      </c>
      <c r="J1816" s="227" t="s">
        <v>3023</v>
      </c>
      <c r="K1816" s="241" t="s">
        <v>3073</v>
      </c>
      <c r="L1816" s="225" t="str">
        <f>VLOOKUP(Logfile_S[[#This Row],[Material Name]],Sheet2!B:C,2,0)</f>
        <v>ZTE2001</v>
      </c>
      <c r="M1816" s="242" t="str">
        <f>_xlfn.XLOOKUP(Logfile_S[[#This Row],[Material Name]],Sum_WH!E:E,Sum_WH!F:F,"",0)</f>
        <v>Meter</v>
      </c>
      <c r="N1816" s="227">
        <v>3000</v>
      </c>
      <c r="O1816" s="227" t="s">
        <v>2996</v>
      </c>
      <c r="P1816" s="227" t="s">
        <v>2997</v>
      </c>
      <c r="Q1816" s="227"/>
      <c r="R1816" s="227"/>
      <c r="S1816" s="227"/>
      <c r="T1816" s="221" t="s">
        <v>3258</v>
      </c>
      <c r="U1816" s="221" t="s">
        <v>5107</v>
      </c>
      <c r="V1816" s="221" t="s">
        <v>3337</v>
      </c>
      <c r="W1816" s="227"/>
      <c r="X1816" s="227"/>
      <c r="Y1816" s="227"/>
      <c r="Z1816" s="227" t="str">
        <f>P1816</f>
        <v>PERMANU RW 03 MALANG</v>
      </c>
      <c r="AA1816" s="276" t="e">
        <f>VLOOKUP(Logfile_S[[#This Row],[DO number]],DO_DB!G:I,3,0)</f>
        <v>#N/A</v>
      </c>
      <c r="AB1816" s="331" t="e">
        <f>EXACT(Logfile_S[[#This Row],[date pick]],Logfile_S[[#This Row],[Date]])</f>
        <v>#N/A</v>
      </c>
      <c r="AC18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17" spans="1:29" ht="14.5">
      <c r="A1817" s="220" t="str">
        <f>TEXT(ROW(A1817)-ROW($A$4),"000")</f>
        <v>1813</v>
      </c>
      <c r="B1817" s="221"/>
      <c r="C1817" s="221" t="s">
        <v>49</v>
      </c>
      <c r="D1817" s="221" t="s">
        <v>4404</v>
      </c>
      <c r="E1817" s="221" t="s">
        <v>3295</v>
      </c>
      <c r="F1817" s="221" t="s">
        <v>3299</v>
      </c>
      <c r="G1817" s="222">
        <v>45875</v>
      </c>
      <c r="H1817" s="223">
        <v>0.47291666666666665</v>
      </c>
      <c r="I1817" s="221" t="s">
        <v>4916</v>
      </c>
      <c r="J1817" s="221" t="s">
        <v>3023</v>
      </c>
      <c r="K1817" s="224" t="s">
        <v>3070</v>
      </c>
      <c r="L1817" s="225" t="str">
        <f>VLOOKUP(Logfile_S[[#This Row],[Material Name]],Sheet2!B:C,2,0)</f>
        <v>ZTE1002</v>
      </c>
      <c r="M1817" s="225" t="str">
        <f>_xlfn.XLOOKUP(Logfile_S[[#This Row],[Material Name]],Sum_WH!E:E,Sum_WH!F:F,"",0)</f>
        <v>Pcs</v>
      </c>
      <c r="N1817" s="221">
        <v>36</v>
      </c>
      <c r="O1817" s="221" t="s">
        <v>2996</v>
      </c>
      <c r="P1817" s="221" t="s">
        <v>2997</v>
      </c>
      <c r="Q1817" s="221"/>
      <c r="R1817" s="221"/>
      <c r="S1817" s="221"/>
      <c r="T1817" s="221" t="s">
        <v>3258</v>
      </c>
      <c r="U1817" s="221">
        <v>0</v>
      </c>
      <c r="V1817" s="221" t="s">
        <v>3337</v>
      </c>
      <c r="W1817" s="221" t="s">
        <v>3338</v>
      </c>
      <c r="X1817" s="221"/>
      <c r="Y1817" s="227"/>
      <c r="Z1817" s="227" t="str">
        <f>P1817</f>
        <v>PERMANU RW 03 MALANG</v>
      </c>
      <c r="AA1817" s="276" t="e">
        <f>VLOOKUP(Logfile_S[[#This Row],[DO number]],DO_DB!G:I,3,0)</f>
        <v>#N/A</v>
      </c>
      <c r="AB1817" s="331" t="e">
        <f>EXACT(Logfile_S[[#This Row],[date pick]],Logfile_S[[#This Row],[Date]])</f>
        <v>#N/A</v>
      </c>
      <c r="AC18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18" spans="1:29" ht="14.5">
      <c r="A1818" s="220" t="str">
        <f>TEXT(ROW(A1818)-ROW($A$4),"000")</f>
        <v>1814</v>
      </c>
      <c r="B1818" s="221"/>
      <c r="C1818" s="221" t="s">
        <v>49</v>
      </c>
      <c r="D1818" s="221" t="s">
        <v>4406</v>
      </c>
      <c r="E1818" s="221" t="s">
        <v>3295</v>
      </c>
      <c r="F1818" s="221" t="s">
        <v>3299</v>
      </c>
      <c r="G1818" s="222">
        <v>45876</v>
      </c>
      <c r="H1818" s="223">
        <v>0.47291666666666665</v>
      </c>
      <c r="I1818" s="221" t="s">
        <v>4916</v>
      </c>
      <c r="J1818" s="221" t="s">
        <v>3024</v>
      </c>
      <c r="K1818" s="224" t="s">
        <v>3091</v>
      </c>
      <c r="L1818" s="225" t="str">
        <f>VLOOKUP(Logfile_S[[#This Row],[Material Name]],Sheet2!B:C,2,0)</f>
        <v>GCI1005</v>
      </c>
      <c r="M1818" s="225" t="str">
        <f>_xlfn.XLOOKUP(Logfile_S[[#This Row],[Material Name]],Sum_WH!E:E,Sum_WH!F:F,"",0)</f>
        <v>Pcs</v>
      </c>
      <c r="N1818" s="221">
        <v>50</v>
      </c>
      <c r="O1818" s="221" t="s">
        <v>2996</v>
      </c>
      <c r="P1818" s="221" t="s">
        <v>2997</v>
      </c>
      <c r="Q1818" s="221"/>
      <c r="R1818" s="221"/>
      <c r="S1818" s="221"/>
      <c r="T1818" s="221" t="s">
        <v>3258</v>
      </c>
      <c r="U1818" s="221">
        <v>0</v>
      </c>
      <c r="V1818" s="221" t="s">
        <v>3337</v>
      </c>
      <c r="W1818" s="221" t="s">
        <v>3338</v>
      </c>
      <c r="X1818" s="221"/>
      <c r="Y1818" s="227"/>
      <c r="Z1818" s="227" t="str">
        <f>P1818</f>
        <v>PERMANU RW 03 MALANG</v>
      </c>
      <c r="AA1818" s="276" t="e">
        <f>VLOOKUP(Logfile_S[[#This Row],[DO number]],DO_DB!G:I,3,0)</f>
        <v>#N/A</v>
      </c>
      <c r="AB1818" s="331" t="e">
        <f>EXACT(Logfile_S[[#This Row],[date pick]],Logfile_S[[#This Row],[Date]])</f>
        <v>#N/A</v>
      </c>
      <c r="AC18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19" spans="1:29" ht="14.5">
      <c r="A1819" s="220" t="str">
        <f>TEXT(ROW(A1819)-ROW($A$4),"000")</f>
        <v>1815</v>
      </c>
      <c r="B1819" s="221"/>
      <c r="C1819" s="221" t="s">
        <v>49</v>
      </c>
      <c r="D1819" s="221" t="s">
        <v>4406</v>
      </c>
      <c r="E1819" s="221" t="s">
        <v>3295</v>
      </c>
      <c r="F1819" s="221" t="s">
        <v>3299</v>
      </c>
      <c r="G1819" s="222">
        <v>45876</v>
      </c>
      <c r="H1819" s="223">
        <v>0.47291666666666665</v>
      </c>
      <c r="I1819" s="221" t="s">
        <v>4916</v>
      </c>
      <c r="J1819" s="221" t="s">
        <v>3024</v>
      </c>
      <c r="K1819" s="224" t="s">
        <v>3087</v>
      </c>
      <c r="L1819" s="225" t="str">
        <f>VLOOKUP(Logfile_S[[#This Row],[Material Name]],Sheet2!B:C,2,0)</f>
        <v>GCI1001</v>
      </c>
      <c r="M1819" s="225" t="str">
        <f>_xlfn.XLOOKUP(Logfile_S[[#This Row],[Material Name]],Sum_WH!E:E,Sum_WH!F:F,"",0)</f>
        <v>Pcs</v>
      </c>
      <c r="N1819" s="221">
        <v>50</v>
      </c>
      <c r="O1819" s="221" t="s">
        <v>2996</v>
      </c>
      <c r="P1819" s="221" t="s">
        <v>2997</v>
      </c>
      <c r="Q1819" s="221"/>
      <c r="R1819" s="221"/>
      <c r="S1819" s="221"/>
      <c r="T1819" s="221" t="s">
        <v>3258</v>
      </c>
      <c r="U1819" s="221">
        <v>0</v>
      </c>
      <c r="V1819" s="221" t="s">
        <v>3337</v>
      </c>
      <c r="W1819" s="221" t="s">
        <v>3338</v>
      </c>
      <c r="X1819" s="221"/>
      <c r="Y1819" s="227"/>
      <c r="Z1819" s="227" t="str">
        <f>P1819</f>
        <v>PERMANU RW 03 MALANG</v>
      </c>
      <c r="AA1819" s="276" t="e">
        <f>VLOOKUP(Logfile_S[[#This Row],[DO number]],DO_DB!G:I,3,0)</f>
        <v>#N/A</v>
      </c>
      <c r="AB1819" s="331" t="e">
        <f>EXACT(Logfile_S[[#This Row],[date pick]],Logfile_S[[#This Row],[Date]])</f>
        <v>#N/A</v>
      </c>
      <c r="AC18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20" spans="1:29" ht="14.5">
      <c r="A1820" s="220" t="str">
        <f>TEXT(ROW(A1820)-ROW($A$4),"000")</f>
        <v>1816</v>
      </c>
      <c r="B1820" s="221"/>
      <c r="C1820" s="221" t="s">
        <v>49</v>
      </c>
      <c r="D1820" s="221" t="s">
        <v>4406</v>
      </c>
      <c r="E1820" s="221" t="s">
        <v>3295</v>
      </c>
      <c r="F1820" s="221" t="s">
        <v>3299</v>
      </c>
      <c r="G1820" s="222">
        <v>45876</v>
      </c>
      <c r="H1820" s="223">
        <v>0.47291666666666665</v>
      </c>
      <c r="I1820" s="221" t="s">
        <v>4916</v>
      </c>
      <c r="J1820" s="221" t="s">
        <v>3024</v>
      </c>
      <c r="K1820" s="224" t="s">
        <v>3088</v>
      </c>
      <c r="L1820" s="225" t="str">
        <f>VLOOKUP(Logfile_S[[#This Row],[Material Name]],Sheet2!B:C,2,0)</f>
        <v>GCI1002</v>
      </c>
      <c r="M1820" s="225" t="str">
        <f>_xlfn.XLOOKUP(Logfile_S[[#This Row],[Material Name]],Sum_WH!E:E,Sum_WH!F:F,"",0)</f>
        <v>Pcs</v>
      </c>
      <c r="N1820" s="221">
        <v>1</v>
      </c>
      <c r="O1820" s="221" t="s">
        <v>2996</v>
      </c>
      <c r="P1820" s="221" t="s">
        <v>2997</v>
      </c>
      <c r="Q1820" s="221"/>
      <c r="R1820" s="221"/>
      <c r="S1820" s="221"/>
      <c r="T1820" s="221" t="s">
        <v>3258</v>
      </c>
      <c r="U1820" s="221">
        <v>0</v>
      </c>
      <c r="V1820" s="221" t="s">
        <v>3337</v>
      </c>
      <c r="W1820" s="221" t="s">
        <v>3338</v>
      </c>
      <c r="X1820" s="221"/>
      <c r="Y1820" s="227"/>
      <c r="Z1820" s="227" t="str">
        <f>P1820</f>
        <v>PERMANU RW 03 MALANG</v>
      </c>
      <c r="AA1820" s="276" t="e">
        <f>VLOOKUP(Logfile_S[[#This Row],[DO number]],DO_DB!G:I,3,0)</f>
        <v>#N/A</v>
      </c>
      <c r="AB1820" s="331" t="e">
        <f>EXACT(Logfile_S[[#This Row],[date pick]],Logfile_S[[#This Row],[Date]])</f>
        <v>#N/A</v>
      </c>
      <c r="AC18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21" spans="1:29" ht="14.5">
      <c r="A1821" s="220" t="str">
        <f>TEXT(ROW(A1821)-ROW($A$4),"000")</f>
        <v>1817</v>
      </c>
      <c r="B1821" s="221"/>
      <c r="C1821" s="221" t="s">
        <v>49</v>
      </c>
      <c r="D1821" s="221" t="s">
        <v>4406</v>
      </c>
      <c r="E1821" s="221" t="s">
        <v>3295</v>
      </c>
      <c r="F1821" s="221" t="s">
        <v>3299</v>
      </c>
      <c r="G1821" s="222">
        <v>45876</v>
      </c>
      <c r="H1821" s="223">
        <v>0.47291666666666665</v>
      </c>
      <c r="I1821" s="221" t="s">
        <v>4916</v>
      </c>
      <c r="J1821" s="221" t="s">
        <v>3023</v>
      </c>
      <c r="K1821" s="224" t="s">
        <v>3070</v>
      </c>
      <c r="L1821" s="225" t="str">
        <f>VLOOKUP(Logfile_S[[#This Row],[Material Name]],Sheet2!B:C,2,0)</f>
        <v>ZTE1002</v>
      </c>
      <c r="M1821" s="225" t="str">
        <f>_xlfn.XLOOKUP(Logfile_S[[#This Row],[Material Name]],Sum_WH!E:E,Sum_WH!F:F,"",0)</f>
        <v>Pcs</v>
      </c>
      <c r="N1821" s="221">
        <v>1</v>
      </c>
      <c r="O1821" s="221" t="s">
        <v>2996</v>
      </c>
      <c r="P1821" s="221" t="s">
        <v>2997</v>
      </c>
      <c r="Q1821" s="221"/>
      <c r="R1821" s="221"/>
      <c r="S1821" s="221"/>
      <c r="T1821" s="221" t="s">
        <v>3258</v>
      </c>
      <c r="U1821" s="221">
        <v>0</v>
      </c>
      <c r="V1821" s="221" t="s">
        <v>3337</v>
      </c>
      <c r="W1821" s="221" t="s">
        <v>3338</v>
      </c>
      <c r="X1821" s="221"/>
      <c r="Y1821" s="227"/>
      <c r="Z1821" s="227" t="str">
        <f>P1821</f>
        <v>PERMANU RW 03 MALANG</v>
      </c>
      <c r="AA1821" s="276" t="e">
        <f>VLOOKUP(Logfile_S[[#This Row],[DO number]],DO_DB!G:I,3,0)</f>
        <v>#N/A</v>
      </c>
      <c r="AB1821" s="331" t="e">
        <f>EXACT(Logfile_S[[#This Row],[date pick]],Logfile_S[[#This Row],[Date]])</f>
        <v>#N/A</v>
      </c>
      <c r="AC18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22" spans="1:29" ht="14.5">
      <c r="A1822" s="220" t="str">
        <f>TEXT(ROW(A1822)-ROW($A$4),"000")</f>
        <v>1818</v>
      </c>
      <c r="B1822" s="221"/>
      <c r="C1822" s="221" t="s">
        <v>49</v>
      </c>
      <c r="D1822" s="221" t="s">
        <v>4406</v>
      </c>
      <c r="E1822" s="221" t="s">
        <v>3295</v>
      </c>
      <c r="F1822" s="221" t="s">
        <v>3299</v>
      </c>
      <c r="G1822" s="222">
        <v>45876</v>
      </c>
      <c r="H1822" s="223">
        <v>0.47291666666666665</v>
      </c>
      <c r="I1822" s="221" t="s">
        <v>4916</v>
      </c>
      <c r="J1822" s="221" t="s">
        <v>3023</v>
      </c>
      <c r="K1822" s="224" t="s">
        <v>3069</v>
      </c>
      <c r="L1822" s="225" t="str">
        <f>VLOOKUP(Logfile_S[[#This Row],[Material Name]],Sheet2!B:C,2,0)</f>
        <v>ZTE1001</v>
      </c>
      <c r="M1822" s="225" t="str">
        <f>_xlfn.XLOOKUP(Logfile_S[[#This Row],[Material Name]],Sum_WH!E:E,Sum_WH!F:F,"",0)</f>
        <v>Pcs</v>
      </c>
      <c r="N1822" s="221">
        <v>17</v>
      </c>
      <c r="O1822" s="221" t="s">
        <v>2996</v>
      </c>
      <c r="P1822" s="221" t="s">
        <v>2997</v>
      </c>
      <c r="Q1822" s="221"/>
      <c r="R1822" s="221"/>
      <c r="S1822" s="221"/>
      <c r="T1822" s="221" t="s">
        <v>3258</v>
      </c>
      <c r="U1822" s="221">
        <v>0</v>
      </c>
      <c r="V1822" s="221" t="s">
        <v>3337</v>
      </c>
      <c r="W1822" s="221" t="s">
        <v>3338</v>
      </c>
      <c r="X1822" s="221"/>
      <c r="Y1822" s="227"/>
      <c r="Z1822" s="227" t="str">
        <f>P1822</f>
        <v>PERMANU RW 03 MALANG</v>
      </c>
      <c r="AA1822" s="276" t="e">
        <f>VLOOKUP(Logfile_S[[#This Row],[DO number]],DO_DB!G:I,3,0)</f>
        <v>#N/A</v>
      </c>
      <c r="AB1822" s="331" t="e">
        <f>EXACT(Logfile_S[[#This Row],[date pick]],Logfile_S[[#This Row],[Date]])</f>
        <v>#N/A</v>
      </c>
      <c r="AC18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23" spans="1:29" ht="14.5">
      <c r="A1823" s="220" t="str">
        <f>TEXT(ROW(A1823)-ROW($A$4),"000")</f>
        <v>1819</v>
      </c>
      <c r="B1823" s="221"/>
      <c r="C1823" s="221" t="s">
        <v>49</v>
      </c>
      <c r="D1823" s="221" t="s">
        <v>4406</v>
      </c>
      <c r="E1823" s="221" t="s">
        <v>3295</v>
      </c>
      <c r="F1823" s="221" t="s">
        <v>3299</v>
      </c>
      <c r="G1823" s="222">
        <v>45876</v>
      </c>
      <c r="H1823" s="223">
        <v>0.47291666666666665</v>
      </c>
      <c r="I1823" s="221" t="s">
        <v>4916</v>
      </c>
      <c r="J1823" s="221" t="s">
        <v>3023</v>
      </c>
      <c r="K1823" s="224" t="s">
        <v>3071</v>
      </c>
      <c r="L1823" s="225" t="str">
        <f>VLOOKUP(Logfile_S[[#This Row],[Material Name]],Sheet2!B:C,2,0)</f>
        <v>ZTE1003</v>
      </c>
      <c r="M1823" s="225" t="str">
        <f>_xlfn.XLOOKUP(Logfile_S[[#This Row],[Material Name]],Sum_WH!E:E,Sum_WH!F:F,"",0)</f>
        <v>Pcs</v>
      </c>
      <c r="N1823" s="221">
        <v>1</v>
      </c>
      <c r="O1823" s="221" t="s">
        <v>2996</v>
      </c>
      <c r="P1823" s="221" t="s">
        <v>2997</v>
      </c>
      <c r="Q1823" s="221"/>
      <c r="R1823" s="221"/>
      <c r="S1823" s="221"/>
      <c r="T1823" s="221" t="s">
        <v>3258</v>
      </c>
      <c r="U1823" s="221">
        <v>0</v>
      </c>
      <c r="V1823" s="221" t="s">
        <v>3337</v>
      </c>
      <c r="W1823" s="221" t="s">
        <v>3338</v>
      </c>
      <c r="X1823" s="221"/>
      <c r="Y1823" s="227"/>
      <c r="Z1823" s="227" t="str">
        <f>P1823</f>
        <v>PERMANU RW 03 MALANG</v>
      </c>
      <c r="AA1823" s="276" t="e">
        <f>VLOOKUP(Logfile_S[[#This Row],[DO number]],DO_DB!G:I,3,0)</f>
        <v>#N/A</v>
      </c>
      <c r="AB1823" s="331" t="e">
        <f>EXACT(Logfile_S[[#This Row],[date pick]],Logfile_S[[#This Row],[Date]])</f>
        <v>#N/A</v>
      </c>
      <c r="AC18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24" spans="1:29" ht="14.5">
      <c r="A1824" s="220" t="str">
        <f>TEXT(ROW(A1824)-ROW($A$4),"000")</f>
        <v>1820</v>
      </c>
      <c r="B1824" s="221"/>
      <c r="C1824" s="221" t="s">
        <v>49</v>
      </c>
      <c r="D1824" s="221" t="s">
        <v>4406</v>
      </c>
      <c r="E1824" s="221" t="s">
        <v>3295</v>
      </c>
      <c r="F1824" s="221" t="s">
        <v>3299</v>
      </c>
      <c r="G1824" s="222">
        <v>45876</v>
      </c>
      <c r="H1824" s="223">
        <v>0.47291666666666665</v>
      </c>
      <c r="I1824" s="221" t="s">
        <v>4916</v>
      </c>
      <c r="J1824" s="221" t="s">
        <v>3024</v>
      </c>
      <c r="K1824" s="224" t="s">
        <v>3089</v>
      </c>
      <c r="L1824" s="225" t="str">
        <f>VLOOKUP(Logfile_S[[#This Row],[Material Name]],Sheet2!B:C,2,0)</f>
        <v>GCI1003</v>
      </c>
      <c r="M1824" s="225" t="str">
        <f>_xlfn.XLOOKUP(Logfile_S[[#This Row],[Material Name]],Sum_WH!E:E,Sum_WH!F:F,"",0)</f>
        <v>Pcs</v>
      </c>
      <c r="N1824" s="221">
        <v>100</v>
      </c>
      <c r="O1824" s="221" t="s">
        <v>2996</v>
      </c>
      <c r="P1824" s="221" t="s">
        <v>2997</v>
      </c>
      <c r="Q1824" s="221"/>
      <c r="R1824" s="221"/>
      <c r="S1824" s="221"/>
      <c r="T1824" s="221" t="s">
        <v>3258</v>
      </c>
      <c r="U1824" s="221">
        <v>0</v>
      </c>
      <c r="V1824" s="221" t="s">
        <v>3337</v>
      </c>
      <c r="W1824" s="221" t="s">
        <v>3338</v>
      </c>
      <c r="X1824" s="221"/>
      <c r="Y1824" s="227"/>
      <c r="Z1824" s="227" t="str">
        <f>P1824</f>
        <v>PERMANU RW 03 MALANG</v>
      </c>
      <c r="AA1824" s="276" t="e">
        <f>VLOOKUP(Logfile_S[[#This Row],[DO number]],DO_DB!G:I,3,0)</f>
        <v>#N/A</v>
      </c>
      <c r="AB1824" s="331" t="e">
        <f>EXACT(Logfile_S[[#This Row],[date pick]],Logfile_S[[#This Row],[Date]])</f>
        <v>#N/A</v>
      </c>
      <c r="AC18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25" spans="1:29" ht="14.5">
      <c r="A1825" s="220" t="str">
        <f>TEXT(ROW(A1825)-ROW($A$4),"000")</f>
        <v>1821</v>
      </c>
      <c r="B1825" s="221"/>
      <c r="C1825" s="221" t="s">
        <v>49</v>
      </c>
      <c r="D1825" s="221" t="s">
        <v>4409</v>
      </c>
      <c r="E1825" s="221" t="s">
        <v>3295</v>
      </c>
      <c r="F1825" s="221" t="s">
        <v>3299</v>
      </c>
      <c r="G1825" s="222">
        <v>45878</v>
      </c>
      <c r="H1825" s="223">
        <v>0.85416666666666663</v>
      </c>
      <c r="I1825" s="221" t="s">
        <v>4916</v>
      </c>
      <c r="J1825" s="221" t="s">
        <v>3023</v>
      </c>
      <c r="K1825" s="224" t="s">
        <v>13</v>
      </c>
      <c r="L1825" s="225" t="str">
        <f>VLOOKUP(Logfile_S[[#This Row],[Material Name]],Sheet2!B:C,2,0)</f>
        <v>ZTE2008</v>
      </c>
      <c r="M1825" s="225" t="str">
        <f>_xlfn.XLOOKUP(Logfile_S[[#This Row],[Material Name]],Sum_WH!E:E,Sum_WH!F:F,"",0)</f>
        <v>Pcs</v>
      </c>
      <c r="N1825" s="221">
        <v>10</v>
      </c>
      <c r="O1825" s="221" t="s">
        <v>2996</v>
      </c>
      <c r="P1825" s="221" t="s">
        <v>2997</v>
      </c>
      <c r="Q1825" s="221"/>
      <c r="R1825" s="221"/>
      <c r="S1825" s="221"/>
      <c r="T1825" s="221" t="s">
        <v>3471</v>
      </c>
      <c r="U1825" s="221">
        <v>0</v>
      </c>
      <c r="V1825" s="221" t="s">
        <v>3472</v>
      </c>
      <c r="W1825" s="221" t="s">
        <v>3545</v>
      </c>
      <c r="X1825" s="221"/>
      <c r="Y1825" s="227"/>
      <c r="Z1825" s="227" t="str">
        <f>P1825</f>
        <v>PERMANU RW 03 MALANG</v>
      </c>
      <c r="AA1825" s="276" t="e">
        <f>VLOOKUP(Logfile_S[[#This Row],[DO number]],DO_DB!G:I,3,0)</f>
        <v>#N/A</v>
      </c>
      <c r="AB1825" s="331" t="e">
        <f>EXACT(Logfile_S[[#This Row],[date pick]],Logfile_S[[#This Row],[Date]])</f>
        <v>#N/A</v>
      </c>
      <c r="AC18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26" spans="1:29" ht="14.5">
      <c r="A1826" s="220" t="str">
        <f>TEXT(ROW(A1826)-ROW($A$4),"000")</f>
        <v>1822</v>
      </c>
      <c r="B1826" s="221"/>
      <c r="C1826" s="221" t="s">
        <v>49</v>
      </c>
      <c r="D1826" s="221" t="s">
        <v>4407</v>
      </c>
      <c r="E1826" s="221" t="s">
        <v>3295</v>
      </c>
      <c r="F1826" s="221" t="s">
        <v>3299</v>
      </c>
      <c r="G1826" s="222">
        <v>45878</v>
      </c>
      <c r="H1826" s="223">
        <v>0.55694444444444446</v>
      </c>
      <c r="I1826" s="221" t="s">
        <v>4916</v>
      </c>
      <c r="J1826" s="221" t="s">
        <v>3023</v>
      </c>
      <c r="K1826" s="224" t="s">
        <v>14</v>
      </c>
      <c r="L1826" s="225" t="str">
        <f>VLOOKUP(Logfile_S[[#This Row],[Material Name]],Sheet2!B:C,2,0)</f>
        <v>ZTE2005</v>
      </c>
      <c r="M1826" s="225" t="str">
        <f>_xlfn.XLOOKUP(Logfile_S[[#This Row],[Material Name]],Sum_WH!E:E,Sum_WH!F:F,"",0)</f>
        <v>Pcs</v>
      </c>
      <c r="N1826" s="221">
        <v>1</v>
      </c>
      <c r="O1826" s="221" t="s">
        <v>2996</v>
      </c>
      <c r="P1826" s="221" t="s">
        <v>2997</v>
      </c>
      <c r="Q1826" s="221"/>
      <c r="R1826" s="221"/>
      <c r="S1826" s="221"/>
      <c r="T1826" s="221" t="s">
        <v>3471</v>
      </c>
      <c r="U1826" s="221">
        <v>0</v>
      </c>
      <c r="V1826" s="221" t="s">
        <v>3472</v>
      </c>
      <c r="W1826" s="221" t="s">
        <v>3545</v>
      </c>
      <c r="X1826" s="221"/>
      <c r="Y1826" s="227"/>
      <c r="Z1826" s="227" t="str">
        <f>P1826</f>
        <v>PERMANU RW 03 MALANG</v>
      </c>
      <c r="AA1826" s="276" t="e">
        <f>VLOOKUP(Logfile_S[[#This Row],[DO number]],DO_DB!G:I,3,0)</f>
        <v>#N/A</v>
      </c>
      <c r="AB1826" s="331" t="e">
        <f>EXACT(Logfile_S[[#This Row],[date pick]],Logfile_S[[#This Row],[Date]])</f>
        <v>#N/A</v>
      </c>
      <c r="AC18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27" spans="1:29" ht="14.5">
      <c r="A1827" s="237" t="str">
        <f>TEXT(ROW(A1827)-ROW($A$4),"000")</f>
        <v>1823</v>
      </c>
      <c r="B1827" s="221">
        <v>3</v>
      </c>
      <c r="C1827" s="227" t="s">
        <v>49</v>
      </c>
      <c r="D1827" s="227" t="s">
        <v>4647</v>
      </c>
      <c r="E1827" s="227" t="s">
        <v>3295</v>
      </c>
      <c r="F1827" s="227" t="s">
        <v>3299</v>
      </c>
      <c r="G1827" s="239">
        <v>45909</v>
      </c>
      <c r="H1827" s="240">
        <v>0.44420138888888888</v>
      </c>
      <c r="I1827" s="227" t="s">
        <v>3295</v>
      </c>
      <c r="J1827" s="227" t="s">
        <v>3023</v>
      </c>
      <c r="K1827" s="241" t="s">
        <v>3073</v>
      </c>
      <c r="L1827" s="225" t="str">
        <f>VLOOKUP(Logfile_S[[#This Row],[Material Name]],Sheet2!B:C,2,0)</f>
        <v>ZTE2001</v>
      </c>
      <c r="M1827" s="225" t="str">
        <f>_xlfn.XLOOKUP(Logfile_S[[#This Row],[Material Name]],Sum_WH!E:E,Sum_WH!F:F,"",0)</f>
        <v>Meter</v>
      </c>
      <c r="N1827" s="227">
        <v>3000</v>
      </c>
      <c r="O1827" s="227" t="s">
        <v>3668</v>
      </c>
      <c r="P1827" s="227" t="s">
        <v>3669</v>
      </c>
      <c r="Q1827" s="227" t="s">
        <v>3670</v>
      </c>
      <c r="R1827" s="227" t="s">
        <v>3671</v>
      </c>
      <c r="S1827" s="227"/>
      <c r="T1827" s="221" t="s">
        <v>3258</v>
      </c>
      <c r="U1827" s="221" t="s">
        <v>5107</v>
      </c>
      <c r="V1827" s="221" t="s">
        <v>3337</v>
      </c>
      <c r="W1827" s="227"/>
      <c r="X1827" s="227"/>
      <c r="Y1827" s="227"/>
      <c r="Z1827" s="227" t="str">
        <f>P1827</f>
        <v>KREBET SENGGRONG RW 03 MALANG</v>
      </c>
      <c r="AA1827" s="276">
        <f>VLOOKUP(Logfile_S[[#This Row],[DO number]],DO_DB!G:I,3,0)</f>
        <v>45896</v>
      </c>
      <c r="AB1827" s="331" t="b">
        <f>EXACT(Logfile_S[[#This Row],[date pick]],Logfile_S[[#This Row],[Date]])</f>
        <v>0</v>
      </c>
      <c r="AC18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28" spans="1:29" ht="14.5">
      <c r="A1828" s="237" t="str">
        <f>TEXT(ROW(A1828)-ROW($A$4),"000")</f>
        <v>1824</v>
      </c>
      <c r="B1828" s="221">
        <v>2</v>
      </c>
      <c r="C1828" s="227" t="s">
        <v>49</v>
      </c>
      <c r="D1828" s="227" t="s">
        <v>4647</v>
      </c>
      <c r="E1828" s="227" t="s">
        <v>3295</v>
      </c>
      <c r="F1828" s="227" t="s">
        <v>3299</v>
      </c>
      <c r="G1828" s="239">
        <v>45909</v>
      </c>
      <c r="H1828" s="240">
        <v>0.44376157407407407</v>
      </c>
      <c r="I1828" s="227" t="s">
        <v>3295</v>
      </c>
      <c r="J1828" s="227" t="s">
        <v>3023</v>
      </c>
      <c r="K1828" s="241" t="s">
        <v>3070</v>
      </c>
      <c r="L1828" s="225" t="str">
        <f>VLOOKUP(Logfile_S[[#This Row],[Material Name]],Sheet2!B:C,2,0)</f>
        <v>ZTE1002</v>
      </c>
      <c r="M1828" s="225" t="str">
        <f>_xlfn.XLOOKUP(Logfile_S[[#This Row],[Material Name]],Sum_WH!E:E,Sum_WH!F:F,"",0)</f>
        <v>Pcs</v>
      </c>
      <c r="N1828" s="227">
        <v>15</v>
      </c>
      <c r="O1828" s="227" t="s">
        <v>3668</v>
      </c>
      <c r="P1828" s="227" t="s">
        <v>3669</v>
      </c>
      <c r="Q1828" s="227" t="s">
        <v>3670</v>
      </c>
      <c r="R1828" s="227" t="s">
        <v>3671</v>
      </c>
      <c r="S1828" s="227"/>
      <c r="T1828" s="221" t="s">
        <v>3258</v>
      </c>
      <c r="U1828" s="221">
        <v>0</v>
      </c>
      <c r="V1828" s="221" t="s">
        <v>3337</v>
      </c>
      <c r="W1828" s="221" t="s">
        <v>3338</v>
      </c>
      <c r="X1828" s="227"/>
      <c r="Y1828" s="227"/>
      <c r="Z1828" s="227" t="str">
        <f>P1828</f>
        <v>KREBET SENGGRONG RW 03 MALANG</v>
      </c>
      <c r="AA1828" s="276">
        <f>VLOOKUP(Logfile_S[[#This Row],[DO number]],DO_DB!G:I,3,0)</f>
        <v>45896</v>
      </c>
      <c r="AB1828" s="331" t="b">
        <f>EXACT(Logfile_S[[#This Row],[date pick]],Logfile_S[[#This Row],[Date]])</f>
        <v>0</v>
      </c>
      <c r="AC18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29" spans="1:29" ht="14.5">
      <c r="A1829" s="237" t="str">
        <f>TEXT(ROW(A1829)-ROW($A$4),"000")</f>
        <v>1825</v>
      </c>
      <c r="B1829" s="221">
        <v>1</v>
      </c>
      <c r="C1829" s="227" t="s">
        <v>49</v>
      </c>
      <c r="D1829" s="227" t="s">
        <v>4647</v>
      </c>
      <c r="E1829" s="227" t="s">
        <v>3295</v>
      </c>
      <c r="F1829" s="227" t="s">
        <v>3299</v>
      </c>
      <c r="G1829" s="239">
        <v>45909</v>
      </c>
      <c r="H1829" s="240">
        <v>0.44347222222222221</v>
      </c>
      <c r="I1829" s="227" t="s">
        <v>3295</v>
      </c>
      <c r="J1829" s="227" t="s">
        <v>3023</v>
      </c>
      <c r="K1829" s="241" t="s">
        <v>3069</v>
      </c>
      <c r="L1829" s="225" t="str">
        <f>VLOOKUP(Logfile_S[[#This Row],[Material Name]],Sheet2!B:C,2,0)</f>
        <v>ZTE1001</v>
      </c>
      <c r="M1829" s="225" t="str">
        <f>_xlfn.XLOOKUP(Logfile_S[[#This Row],[Material Name]],Sum_WH!E:E,Sum_WH!F:F,"",0)</f>
        <v>Pcs</v>
      </c>
      <c r="N1829" s="227">
        <v>11</v>
      </c>
      <c r="O1829" s="227" t="s">
        <v>3668</v>
      </c>
      <c r="P1829" s="227" t="s">
        <v>3669</v>
      </c>
      <c r="Q1829" s="227" t="s">
        <v>3670</v>
      </c>
      <c r="R1829" s="227" t="s">
        <v>3671</v>
      </c>
      <c r="S1829" s="227"/>
      <c r="T1829" s="221" t="s">
        <v>3258</v>
      </c>
      <c r="U1829" s="221">
        <v>0</v>
      </c>
      <c r="V1829" s="221" t="s">
        <v>3337</v>
      </c>
      <c r="W1829" s="221" t="s">
        <v>3338</v>
      </c>
      <c r="X1829" s="227"/>
      <c r="Y1829" s="227"/>
      <c r="Z1829" s="227" t="str">
        <f>P1829</f>
        <v>KREBET SENGGRONG RW 03 MALANG</v>
      </c>
      <c r="AA1829" s="276">
        <f>VLOOKUP(Logfile_S[[#This Row],[DO number]],DO_DB!G:I,3,0)</f>
        <v>45896</v>
      </c>
      <c r="AB1829" s="331" t="b">
        <f>EXACT(Logfile_S[[#This Row],[date pick]],Logfile_S[[#This Row],[Date]])</f>
        <v>0</v>
      </c>
      <c r="AC18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30" spans="1:29" ht="14.5">
      <c r="A1830" s="237" t="str">
        <f>TEXT(ROW(A1830)-ROW($A$4),"000")</f>
        <v>1826</v>
      </c>
      <c r="B1830" s="221">
        <v>2</v>
      </c>
      <c r="C1830" s="227" t="s">
        <v>49</v>
      </c>
      <c r="D1830" s="227" t="s">
        <v>4652</v>
      </c>
      <c r="E1830" s="227" t="s">
        <v>3295</v>
      </c>
      <c r="F1830" s="227" t="s">
        <v>3299</v>
      </c>
      <c r="G1830" s="239">
        <v>45916</v>
      </c>
      <c r="H1830" s="240">
        <v>0.63068287037037041</v>
      </c>
      <c r="I1830" s="227" t="s">
        <v>3295</v>
      </c>
      <c r="J1830" s="227" t="s">
        <v>3023</v>
      </c>
      <c r="K1830" s="241" t="s">
        <v>13</v>
      </c>
      <c r="L1830" s="225" t="str">
        <f>VLOOKUP(Logfile_S[[#This Row],[Material Name]],Sheet2!B:C,2,0)</f>
        <v>ZTE2008</v>
      </c>
      <c r="M1830" s="225" t="str">
        <f>_xlfn.XLOOKUP(Logfile_S[[#This Row],[Material Name]],Sum_WH!E:E,Sum_WH!F:F,"",0)</f>
        <v>Pcs</v>
      </c>
      <c r="N1830" s="227">
        <v>9</v>
      </c>
      <c r="O1830" s="227" t="s">
        <v>3668</v>
      </c>
      <c r="P1830" s="227" t="s">
        <v>3669</v>
      </c>
      <c r="Q1830" s="227" t="s">
        <v>3670</v>
      </c>
      <c r="R1830" s="227" t="s">
        <v>3671</v>
      </c>
      <c r="S1830" s="227"/>
      <c r="T1830" s="227" t="s">
        <v>3231</v>
      </c>
      <c r="U1830" s="227">
        <v>0</v>
      </c>
      <c r="V1830" s="227" t="s">
        <v>3232</v>
      </c>
      <c r="W1830" s="227" t="s">
        <v>3254</v>
      </c>
      <c r="X1830" s="227"/>
      <c r="Y1830" s="227"/>
      <c r="Z1830" s="227" t="str">
        <f>P1830</f>
        <v>KREBET SENGGRONG RW 03 MALANG</v>
      </c>
      <c r="AA1830" s="276">
        <f>VLOOKUP(Logfile_S[[#This Row],[DO number]],DO_DB!G:I,3,0)</f>
        <v>45896</v>
      </c>
      <c r="AB1830" s="331" t="b">
        <f>EXACT(Logfile_S[[#This Row],[date pick]],Logfile_S[[#This Row],[Date]])</f>
        <v>0</v>
      </c>
      <c r="AC18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31" spans="1:29" ht="14.5">
      <c r="A1831" s="237" t="str">
        <f>TEXT(ROW(A1831)-ROW($A$4),"000")</f>
        <v>1827</v>
      </c>
      <c r="B1831" s="221">
        <v>1</v>
      </c>
      <c r="C1831" s="227" t="s">
        <v>49</v>
      </c>
      <c r="D1831" s="227" t="s">
        <v>4652</v>
      </c>
      <c r="E1831" s="227" t="s">
        <v>3295</v>
      </c>
      <c r="F1831" s="227" t="s">
        <v>3299</v>
      </c>
      <c r="G1831" s="239">
        <v>45916</v>
      </c>
      <c r="H1831" s="240">
        <v>0.63034722222222217</v>
      </c>
      <c r="I1831" s="227" t="s">
        <v>3295</v>
      </c>
      <c r="J1831" s="227" t="s">
        <v>3023</v>
      </c>
      <c r="K1831" s="241" t="s">
        <v>14</v>
      </c>
      <c r="L1831" s="225" t="str">
        <f>VLOOKUP(Logfile_S[[#This Row],[Material Name]],Sheet2!B:C,2,0)</f>
        <v>ZTE2005</v>
      </c>
      <c r="M1831" s="225" t="str">
        <f>_xlfn.XLOOKUP(Logfile_S[[#This Row],[Material Name]],Sum_WH!E:E,Sum_WH!F:F,"",0)</f>
        <v>Pcs</v>
      </c>
      <c r="N1831" s="227">
        <v>1</v>
      </c>
      <c r="O1831" s="227" t="s">
        <v>3668</v>
      </c>
      <c r="P1831" s="227" t="s">
        <v>3669</v>
      </c>
      <c r="Q1831" s="227" t="s">
        <v>3670</v>
      </c>
      <c r="R1831" s="227" t="s">
        <v>3671</v>
      </c>
      <c r="S1831" s="227"/>
      <c r="T1831" s="227" t="s">
        <v>3231</v>
      </c>
      <c r="U1831" s="227">
        <v>0</v>
      </c>
      <c r="V1831" s="227" t="s">
        <v>3232</v>
      </c>
      <c r="W1831" s="227" t="s">
        <v>3254</v>
      </c>
      <c r="X1831" s="227"/>
      <c r="Y1831" s="227"/>
      <c r="Z1831" s="227" t="str">
        <f>P1831</f>
        <v>KREBET SENGGRONG RW 03 MALANG</v>
      </c>
      <c r="AA1831" s="276">
        <f>VLOOKUP(Logfile_S[[#This Row],[DO number]],DO_DB!G:I,3,0)</f>
        <v>45896</v>
      </c>
      <c r="AB1831" s="331" t="b">
        <f>EXACT(Logfile_S[[#This Row],[date pick]],Logfile_S[[#This Row],[Date]])</f>
        <v>0</v>
      </c>
      <c r="AC18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32" spans="1:29" ht="14.5">
      <c r="A1832" s="237" t="str">
        <f>TEXT(ROW(A1832)-ROW($A$4),"000")</f>
        <v>1828</v>
      </c>
      <c r="B1832" s="221">
        <v>2</v>
      </c>
      <c r="C1832" s="227" t="s">
        <v>49</v>
      </c>
      <c r="D1832" s="227" t="s">
        <v>4654</v>
      </c>
      <c r="E1832" s="227" t="s">
        <v>3295</v>
      </c>
      <c r="F1832" s="227" t="s">
        <v>3299</v>
      </c>
      <c r="G1832" s="239">
        <v>45918</v>
      </c>
      <c r="H1832" s="240">
        <v>0.5245023148148148</v>
      </c>
      <c r="I1832" s="227" t="s">
        <v>3295</v>
      </c>
      <c r="J1832" s="227" t="s">
        <v>3024</v>
      </c>
      <c r="K1832" s="241" t="s">
        <v>3087</v>
      </c>
      <c r="L1832" s="225" t="str">
        <f>VLOOKUP(Logfile_S[[#This Row],[Material Name]],Sheet2!B:C,2,0)</f>
        <v>GCI1001</v>
      </c>
      <c r="M1832" s="225" t="str">
        <f>_xlfn.XLOOKUP(Logfile_S[[#This Row],[Material Name]],Sum_WH!E:E,Sum_WH!F:F,"",0)</f>
        <v>Pcs</v>
      </c>
      <c r="N1832" s="227">
        <v>8</v>
      </c>
      <c r="O1832" s="227" t="s">
        <v>3668</v>
      </c>
      <c r="P1832" s="227" t="s">
        <v>3669</v>
      </c>
      <c r="Q1832" s="227" t="s">
        <v>3670</v>
      </c>
      <c r="R1832" s="227" t="s">
        <v>3671</v>
      </c>
      <c r="S1832" s="227"/>
      <c r="T1832" s="227" t="s">
        <v>3258</v>
      </c>
      <c r="U1832" s="227"/>
      <c r="V1832" s="227" t="s">
        <v>3337</v>
      </c>
      <c r="W1832" s="227" t="s">
        <v>3338</v>
      </c>
      <c r="X1832" s="227"/>
      <c r="Y1832" s="227"/>
      <c r="Z1832" s="227" t="str">
        <f>P1832</f>
        <v>KREBET SENGGRONG RW 03 MALANG</v>
      </c>
      <c r="AA1832" s="276">
        <f>VLOOKUP(Logfile_S[[#This Row],[DO number]],DO_DB!G:I,3,0)</f>
        <v>45896</v>
      </c>
      <c r="AB1832" s="331" t="b">
        <f>EXACT(Logfile_S[[#This Row],[date pick]],Logfile_S[[#This Row],[Date]])</f>
        <v>0</v>
      </c>
      <c r="AC18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33" spans="1:29" ht="14.5">
      <c r="A1833" s="237" t="str">
        <f>TEXT(ROW(A1833)-ROW($A$4),"000")</f>
        <v>1829</v>
      </c>
      <c r="B1833" s="221">
        <v>6</v>
      </c>
      <c r="C1833" s="227" t="s">
        <v>49</v>
      </c>
      <c r="D1833" s="227" t="s">
        <v>4661</v>
      </c>
      <c r="E1833" s="227" t="s">
        <v>3295</v>
      </c>
      <c r="F1833" s="227" t="s">
        <v>3299</v>
      </c>
      <c r="G1833" s="239">
        <v>45946</v>
      </c>
      <c r="H1833" s="240">
        <v>0.43125000000000002</v>
      </c>
      <c r="I1833" s="227" t="s">
        <v>3295</v>
      </c>
      <c r="J1833" s="227" t="s">
        <v>3024</v>
      </c>
      <c r="K1833" s="241" t="s">
        <v>3097</v>
      </c>
      <c r="L1833" s="225" t="str">
        <f>VLOOKUP(Logfile_S[[#This Row],[Material Name]],Sheet2!B:C,2,0)</f>
        <v>GCI1011</v>
      </c>
      <c r="M1833" s="225" t="str">
        <f>_xlfn.XLOOKUP(Logfile_S[[#This Row],[Material Name]],Sum_WH!E:E,Sum_WH!F:F,"",0)</f>
        <v>Pcs</v>
      </c>
      <c r="N1833" s="227">
        <v>1</v>
      </c>
      <c r="O1833" s="227" t="s">
        <v>4595</v>
      </c>
      <c r="P1833" s="227" t="s">
        <v>4596</v>
      </c>
      <c r="Q1833" s="227"/>
      <c r="R1833" s="227"/>
      <c r="S1833" s="227"/>
      <c r="T1833" s="221" t="s">
        <v>3258</v>
      </c>
      <c r="U1833" s="221">
        <v>0</v>
      </c>
      <c r="V1833" s="221" t="s">
        <v>3337</v>
      </c>
      <c r="W1833" s="221" t="s">
        <v>3338</v>
      </c>
      <c r="X1833" s="227"/>
      <c r="Y1833" s="227"/>
      <c r="Z1833" s="227" t="str">
        <f>P1833</f>
        <v>Asshofa Residence</v>
      </c>
      <c r="AA1833" s="276" t="e">
        <f>VLOOKUP(Logfile_S[[#This Row],[DO number]],DO_DB!G:I,3,0)</f>
        <v>#N/A</v>
      </c>
      <c r="AB1833" s="331" t="e">
        <f>EXACT(Logfile_S[[#This Row],[date pick]],Logfile_S[[#This Row],[Date]])</f>
        <v>#N/A</v>
      </c>
      <c r="AC18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34" spans="1:29" ht="14.5">
      <c r="A1834" s="237" t="str">
        <f>TEXT(ROW(A1834)-ROW($A$4),"000")</f>
        <v>1830</v>
      </c>
      <c r="B1834" s="221">
        <v>4</v>
      </c>
      <c r="C1834" s="227" t="s">
        <v>49</v>
      </c>
      <c r="D1834" s="227" t="s">
        <v>4661</v>
      </c>
      <c r="E1834" s="227" t="s">
        <v>3295</v>
      </c>
      <c r="F1834" s="227" t="s">
        <v>3299</v>
      </c>
      <c r="G1834" s="239">
        <v>45946</v>
      </c>
      <c r="H1834" s="240">
        <v>0.43125000000000002</v>
      </c>
      <c r="I1834" s="227" t="s">
        <v>3295</v>
      </c>
      <c r="J1834" s="227" t="s">
        <v>3024</v>
      </c>
      <c r="K1834" s="241" t="s">
        <v>3091</v>
      </c>
      <c r="L1834" s="225" t="str">
        <f>VLOOKUP(Logfile_S[[#This Row],[Material Name]],Sheet2!B:C,2,0)</f>
        <v>GCI1005</v>
      </c>
      <c r="M1834" s="225" t="str">
        <f>_xlfn.XLOOKUP(Logfile_S[[#This Row],[Material Name]],Sum_WH!E:E,Sum_WH!F:F,"",0)</f>
        <v>Pcs</v>
      </c>
      <c r="N1834" s="227">
        <v>85</v>
      </c>
      <c r="O1834" s="227" t="s">
        <v>4595</v>
      </c>
      <c r="P1834" s="227" t="s">
        <v>4596</v>
      </c>
      <c r="Q1834" s="227"/>
      <c r="R1834" s="227"/>
      <c r="S1834" s="227"/>
      <c r="T1834" s="221" t="s">
        <v>3258</v>
      </c>
      <c r="U1834" s="221">
        <v>0</v>
      </c>
      <c r="V1834" s="221" t="s">
        <v>3337</v>
      </c>
      <c r="W1834" s="221" t="s">
        <v>3338</v>
      </c>
      <c r="X1834" s="227"/>
      <c r="Y1834" s="227"/>
      <c r="Z1834" s="227" t="str">
        <f>P1834</f>
        <v>Asshofa Residence</v>
      </c>
      <c r="AA1834" s="276" t="e">
        <f>VLOOKUP(Logfile_S[[#This Row],[DO number]],DO_DB!G:I,3,0)</f>
        <v>#N/A</v>
      </c>
      <c r="AB1834" s="331" t="e">
        <f>EXACT(Logfile_S[[#This Row],[date pick]],Logfile_S[[#This Row],[Date]])</f>
        <v>#N/A</v>
      </c>
      <c r="AC18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35" spans="1:29" ht="14.5">
      <c r="A1835" s="237" t="str">
        <f>TEXT(ROW(A1835)-ROW($A$4),"000")</f>
        <v>1831</v>
      </c>
      <c r="B1835" s="221">
        <v>1</v>
      </c>
      <c r="C1835" s="227" t="s">
        <v>49</v>
      </c>
      <c r="D1835" s="227" t="s">
        <v>4661</v>
      </c>
      <c r="E1835" s="227" t="s">
        <v>3295</v>
      </c>
      <c r="F1835" s="227" t="s">
        <v>3299</v>
      </c>
      <c r="G1835" s="239">
        <v>45946</v>
      </c>
      <c r="H1835" s="240">
        <v>0.43125000000000002</v>
      </c>
      <c r="I1835" s="227" t="s">
        <v>3295</v>
      </c>
      <c r="J1835" s="227" t="s">
        <v>3024</v>
      </c>
      <c r="K1835" s="241" t="s">
        <v>3087</v>
      </c>
      <c r="L1835" s="225" t="str">
        <f>VLOOKUP(Logfile_S[[#This Row],[Material Name]],Sheet2!B:C,2,0)</f>
        <v>GCI1001</v>
      </c>
      <c r="M1835" s="225" t="str">
        <f>_xlfn.XLOOKUP(Logfile_S[[#This Row],[Material Name]],Sum_WH!E:E,Sum_WH!F:F,"",0)</f>
        <v>Pcs</v>
      </c>
      <c r="N1835" s="227">
        <v>28</v>
      </c>
      <c r="O1835" s="227" t="s">
        <v>4595</v>
      </c>
      <c r="P1835" s="227" t="s">
        <v>4596</v>
      </c>
      <c r="Q1835" s="227"/>
      <c r="R1835" s="227"/>
      <c r="S1835" s="227"/>
      <c r="T1835" s="221" t="s">
        <v>3258</v>
      </c>
      <c r="U1835" s="221">
        <v>0</v>
      </c>
      <c r="V1835" s="221" t="s">
        <v>3337</v>
      </c>
      <c r="W1835" s="221" t="s">
        <v>3338</v>
      </c>
      <c r="X1835" s="227"/>
      <c r="Y1835" s="227"/>
      <c r="Z1835" s="227" t="str">
        <f>P1835</f>
        <v>Asshofa Residence</v>
      </c>
      <c r="AA1835" s="276" t="e">
        <f>VLOOKUP(Logfile_S[[#This Row],[DO number]],DO_DB!G:I,3,0)</f>
        <v>#N/A</v>
      </c>
      <c r="AB1835" s="331" t="e">
        <f>EXACT(Logfile_S[[#This Row],[date pick]],Logfile_S[[#This Row],[Date]])</f>
        <v>#N/A</v>
      </c>
      <c r="AC18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36" spans="1:29" ht="14.5">
      <c r="A1836" s="237" t="str">
        <f>TEXT(ROW(A1836)-ROW($A$4),"000")</f>
        <v>1832</v>
      </c>
      <c r="B1836" s="221">
        <v>2</v>
      </c>
      <c r="C1836" s="227" t="s">
        <v>49</v>
      </c>
      <c r="D1836" s="227" t="s">
        <v>4661</v>
      </c>
      <c r="E1836" s="227" t="s">
        <v>3295</v>
      </c>
      <c r="F1836" s="227" t="s">
        <v>3299</v>
      </c>
      <c r="G1836" s="239">
        <v>45946</v>
      </c>
      <c r="H1836" s="240">
        <v>0.43125000000000002</v>
      </c>
      <c r="I1836" s="227" t="s">
        <v>3295</v>
      </c>
      <c r="J1836" s="227" t="s">
        <v>3024</v>
      </c>
      <c r="K1836" s="224" t="s">
        <v>5137</v>
      </c>
      <c r="L1836" s="225" t="str">
        <f>VLOOKUP(Logfile_S[[#This Row],[Material Name]],Sheet2!B:C,2,0)</f>
        <v>GCI1009</v>
      </c>
      <c r="M1836" s="225" t="str">
        <f>_xlfn.XLOOKUP(Logfile_S[[#This Row],[Material Name]],Sum_WH!E:E,Sum_WH!F:F,"",0)</f>
        <v>Pcs</v>
      </c>
      <c r="N1836" s="227">
        <v>216</v>
      </c>
      <c r="O1836" s="227" t="s">
        <v>4595</v>
      </c>
      <c r="P1836" s="227" t="s">
        <v>4596</v>
      </c>
      <c r="Q1836" s="227"/>
      <c r="R1836" s="227"/>
      <c r="S1836" s="227"/>
      <c r="T1836" s="221" t="s">
        <v>3258</v>
      </c>
      <c r="U1836" s="221">
        <v>0</v>
      </c>
      <c r="V1836" s="221" t="s">
        <v>3337</v>
      </c>
      <c r="W1836" s="221" t="s">
        <v>3338</v>
      </c>
      <c r="X1836" s="227"/>
      <c r="Y1836" s="227"/>
      <c r="Z1836" s="227" t="str">
        <f>P1836</f>
        <v>Asshofa Residence</v>
      </c>
      <c r="AA1836" s="276" t="e">
        <f>VLOOKUP(Logfile_S[[#This Row],[DO number]],DO_DB!G:I,3,0)</f>
        <v>#N/A</v>
      </c>
      <c r="AB1836" s="331" t="e">
        <f>EXACT(Logfile_S[[#This Row],[date pick]],Logfile_S[[#This Row],[Date]])</f>
        <v>#N/A</v>
      </c>
      <c r="AC18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37" spans="1:29" ht="14.5">
      <c r="A1837" s="237" t="str">
        <f>TEXT(ROW(A1837)-ROW($A$4),"000")</f>
        <v>1833</v>
      </c>
      <c r="B1837" s="221">
        <v>8</v>
      </c>
      <c r="C1837" s="227" t="s">
        <v>49</v>
      </c>
      <c r="D1837" s="227" t="s">
        <v>4661</v>
      </c>
      <c r="E1837" s="227" t="s">
        <v>3295</v>
      </c>
      <c r="F1837" s="227" t="s">
        <v>3299</v>
      </c>
      <c r="G1837" s="239">
        <v>45946</v>
      </c>
      <c r="H1837" s="240">
        <v>0.43125000000000002</v>
      </c>
      <c r="I1837" s="227" t="s">
        <v>3295</v>
      </c>
      <c r="J1837" s="227" t="s">
        <v>3024</v>
      </c>
      <c r="K1837" s="241" t="s">
        <v>3088</v>
      </c>
      <c r="L1837" s="225" t="str">
        <f>VLOOKUP(Logfile_S[[#This Row],[Material Name]],Sheet2!B:C,2,0)</f>
        <v>GCI1002</v>
      </c>
      <c r="M1837" s="225" t="str">
        <f>_xlfn.XLOOKUP(Logfile_S[[#This Row],[Material Name]],Sum_WH!E:E,Sum_WH!F:F,"",0)</f>
        <v>Pcs</v>
      </c>
      <c r="N1837" s="227">
        <v>2</v>
      </c>
      <c r="O1837" s="227" t="s">
        <v>4595</v>
      </c>
      <c r="P1837" s="227" t="s">
        <v>4596</v>
      </c>
      <c r="Q1837" s="227"/>
      <c r="R1837" s="227"/>
      <c r="S1837" s="227"/>
      <c r="T1837" s="221" t="s">
        <v>3258</v>
      </c>
      <c r="U1837" s="221">
        <v>0</v>
      </c>
      <c r="V1837" s="221" t="s">
        <v>3337</v>
      </c>
      <c r="W1837" s="221" t="s">
        <v>3338</v>
      </c>
      <c r="X1837" s="227"/>
      <c r="Y1837" s="227"/>
      <c r="Z1837" s="227" t="str">
        <f>P1837</f>
        <v>Asshofa Residence</v>
      </c>
      <c r="AA1837" s="276" t="e">
        <f>VLOOKUP(Logfile_S[[#This Row],[DO number]],DO_DB!G:I,3,0)</f>
        <v>#N/A</v>
      </c>
      <c r="AB1837" s="331" t="e">
        <f>EXACT(Logfile_S[[#This Row],[date pick]],Logfile_S[[#This Row],[Date]])</f>
        <v>#N/A</v>
      </c>
      <c r="AC18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38" spans="1:29" ht="14.5">
      <c r="A1838" s="237" t="str">
        <f>TEXT(ROW(A1838)-ROW($A$4),"000")</f>
        <v>1834</v>
      </c>
      <c r="B1838" s="221">
        <v>10</v>
      </c>
      <c r="C1838" s="227" t="s">
        <v>49</v>
      </c>
      <c r="D1838" s="227" t="s">
        <v>4661</v>
      </c>
      <c r="E1838" s="227" t="s">
        <v>3295</v>
      </c>
      <c r="F1838" s="227" t="s">
        <v>3299</v>
      </c>
      <c r="G1838" s="239">
        <v>45946</v>
      </c>
      <c r="H1838" s="240">
        <v>0.43125000000000002</v>
      </c>
      <c r="I1838" s="227" t="s">
        <v>3295</v>
      </c>
      <c r="J1838" s="221" t="s">
        <v>3023</v>
      </c>
      <c r="K1838" s="241" t="s">
        <v>3070</v>
      </c>
      <c r="L1838" s="225" t="str">
        <f>VLOOKUP(Logfile_S[[#This Row],[Material Name]],Sheet2!B:C,2,0)</f>
        <v>ZTE1002</v>
      </c>
      <c r="M1838" s="225" t="str">
        <f>_xlfn.XLOOKUP(Logfile_S[[#This Row],[Material Name]],Sum_WH!E:E,Sum_WH!F:F,"",0)</f>
        <v>Pcs</v>
      </c>
      <c r="N1838" s="227">
        <v>19</v>
      </c>
      <c r="O1838" s="227" t="s">
        <v>4595</v>
      </c>
      <c r="P1838" s="227" t="s">
        <v>4596</v>
      </c>
      <c r="Q1838" s="227"/>
      <c r="R1838" s="227"/>
      <c r="S1838" s="227"/>
      <c r="T1838" s="221" t="s">
        <v>3258</v>
      </c>
      <c r="U1838" s="221">
        <v>0</v>
      </c>
      <c r="V1838" s="221" t="s">
        <v>3337</v>
      </c>
      <c r="W1838" s="221" t="s">
        <v>3338</v>
      </c>
      <c r="X1838" s="227"/>
      <c r="Y1838" s="227"/>
      <c r="Z1838" s="227" t="str">
        <f>P1838</f>
        <v>Asshofa Residence</v>
      </c>
      <c r="AA1838" s="276" t="e">
        <f>VLOOKUP(Logfile_S[[#This Row],[DO number]],DO_DB!G:I,3,0)</f>
        <v>#N/A</v>
      </c>
      <c r="AB1838" s="331" t="e">
        <f>EXACT(Logfile_S[[#This Row],[date pick]],Logfile_S[[#This Row],[Date]])</f>
        <v>#N/A</v>
      </c>
      <c r="AC18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39" spans="1:29" ht="14.5">
      <c r="A1839" s="237" t="str">
        <f>TEXT(ROW(A1839)-ROW($A$4),"000")</f>
        <v>1835</v>
      </c>
      <c r="B1839" s="221">
        <v>9</v>
      </c>
      <c r="C1839" s="227" t="s">
        <v>49</v>
      </c>
      <c r="D1839" s="227" t="s">
        <v>4661</v>
      </c>
      <c r="E1839" s="227" t="s">
        <v>3295</v>
      </c>
      <c r="F1839" s="227" t="s">
        <v>3299</v>
      </c>
      <c r="G1839" s="239">
        <v>45946</v>
      </c>
      <c r="H1839" s="240">
        <v>0.43125000000000002</v>
      </c>
      <c r="I1839" s="227" t="s">
        <v>3295</v>
      </c>
      <c r="J1839" s="221" t="s">
        <v>3023</v>
      </c>
      <c r="K1839" s="241" t="s">
        <v>3071</v>
      </c>
      <c r="L1839" s="225" t="str">
        <f>VLOOKUP(Logfile_S[[#This Row],[Material Name]],Sheet2!B:C,2,0)</f>
        <v>ZTE1003</v>
      </c>
      <c r="M1839" s="225" t="str">
        <f>_xlfn.XLOOKUP(Logfile_S[[#This Row],[Material Name]],Sum_WH!E:E,Sum_WH!F:F,"",0)</f>
        <v>Pcs</v>
      </c>
      <c r="N1839" s="227">
        <v>1</v>
      </c>
      <c r="O1839" s="227" t="s">
        <v>4595</v>
      </c>
      <c r="P1839" s="227" t="s">
        <v>4596</v>
      </c>
      <c r="Q1839" s="227"/>
      <c r="R1839" s="227"/>
      <c r="S1839" s="227"/>
      <c r="T1839" s="221" t="s">
        <v>3258</v>
      </c>
      <c r="U1839" s="221">
        <v>0</v>
      </c>
      <c r="V1839" s="221" t="s">
        <v>3337</v>
      </c>
      <c r="W1839" s="221" t="s">
        <v>3338</v>
      </c>
      <c r="X1839" s="227"/>
      <c r="Y1839" s="227"/>
      <c r="Z1839" s="227" t="str">
        <f>P1839</f>
        <v>Asshofa Residence</v>
      </c>
      <c r="AA1839" s="276" t="e">
        <f>VLOOKUP(Logfile_S[[#This Row],[DO number]],DO_DB!G:I,3,0)</f>
        <v>#N/A</v>
      </c>
      <c r="AB1839" s="331" t="e">
        <f>EXACT(Logfile_S[[#This Row],[date pick]],Logfile_S[[#This Row],[Date]])</f>
        <v>#N/A</v>
      </c>
      <c r="AC18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40" spans="1:29" ht="14.5">
      <c r="A1840" s="237" t="str">
        <f>TEXT(ROW(A1840)-ROW($A$4),"000")</f>
        <v>1836</v>
      </c>
      <c r="B1840" s="221">
        <v>5</v>
      </c>
      <c r="C1840" s="227" t="s">
        <v>49</v>
      </c>
      <c r="D1840" s="227" t="s">
        <v>4661</v>
      </c>
      <c r="E1840" s="227" t="s">
        <v>3295</v>
      </c>
      <c r="F1840" s="227" t="s">
        <v>3299</v>
      </c>
      <c r="G1840" s="239">
        <v>45946</v>
      </c>
      <c r="H1840" s="240">
        <v>0.43125000000000002</v>
      </c>
      <c r="I1840" s="227" t="s">
        <v>3295</v>
      </c>
      <c r="J1840" s="227" t="s">
        <v>3024</v>
      </c>
      <c r="K1840" s="241" t="s">
        <v>3094</v>
      </c>
      <c r="L1840" s="225" t="str">
        <f>VLOOKUP(Logfile_S[[#This Row],[Material Name]],Sheet2!B:C,2,0)</f>
        <v>GCI1008</v>
      </c>
      <c r="M1840" s="225" t="str">
        <f>_xlfn.XLOOKUP(Logfile_S[[#This Row],[Material Name]],Sum_WH!E:E,Sum_WH!F:F,"",0)</f>
        <v>Pcs</v>
      </c>
      <c r="N1840" s="227">
        <v>217</v>
      </c>
      <c r="O1840" s="227" t="s">
        <v>4595</v>
      </c>
      <c r="P1840" s="227" t="s">
        <v>4596</v>
      </c>
      <c r="Q1840" s="227"/>
      <c r="R1840" s="227"/>
      <c r="S1840" s="227"/>
      <c r="T1840" s="221" t="s">
        <v>3258</v>
      </c>
      <c r="U1840" s="221">
        <v>0</v>
      </c>
      <c r="V1840" s="221" t="s">
        <v>3337</v>
      </c>
      <c r="W1840" s="221" t="s">
        <v>3338</v>
      </c>
      <c r="X1840" s="227"/>
      <c r="Y1840" s="227"/>
      <c r="Z1840" s="227" t="str">
        <f>P1840</f>
        <v>Asshofa Residence</v>
      </c>
      <c r="AA1840" s="276" t="e">
        <f>VLOOKUP(Logfile_S[[#This Row],[DO number]],DO_DB!G:I,3,0)</f>
        <v>#N/A</v>
      </c>
      <c r="AB1840" s="331" t="e">
        <f>EXACT(Logfile_S[[#This Row],[date pick]],Logfile_S[[#This Row],[Date]])</f>
        <v>#N/A</v>
      </c>
      <c r="AC18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41" spans="1:29" ht="14.5">
      <c r="A1841" s="237" t="str">
        <f>TEXT(ROW(A1841)-ROW($A$4),"000")</f>
        <v>1837</v>
      </c>
      <c r="B1841" s="221">
        <v>3</v>
      </c>
      <c r="C1841" s="227" t="s">
        <v>49</v>
      </c>
      <c r="D1841" s="227" t="s">
        <v>4661</v>
      </c>
      <c r="E1841" s="227" t="s">
        <v>3295</v>
      </c>
      <c r="F1841" s="227" t="s">
        <v>3299</v>
      </c>
      <c r="G1841" s="239">
        <v>45946</v>
      </c>
      <c r="H1841" s="240">
        <v>0.43125000000000002</v>
      </c>
      <c r="I1841" s="227" t="s">
        <v>3295</v>
      </c>
      <c r="J1841" s="227" t="s">
        <v>3024</v>
      </c>
      <c r="K1841" s="241" t="s">
        <v>3089</v>
      </c>
      <c r="L1841" s="225" t="str">
        <f>VLOOKUP(Logfile_S[[#This Row],[Material Name]],Sheet2!B:C,2,0)</f>
        <v>GCI1003</v>
      </c>
      <c r="M1841" s="225" t="str">
        <f>_xlfn.XLOOKUP(Logfile_S[[#This Row],[Material Name]],Sum_WH!E:E,Sum_WH!F:F,"",0)</f>
        <v>Pcs</v>
      </c>
      <c r="N1841" s="227">
        <v>336</v>
      </c>
      <c r="O1841" s="227" t="s">
        <v>4595</v>
      </c>
      <c r="P1841" s="227" t="s">
        <v>4596</v>
      </c>
      <c r="Q1841" s="227"/>
      <c r="R1841" s="227"/>
      <c r="S1841" s="227"/>
      <c r="T1841" s="221" t="s">
        <v>3258</v>
      </c>
      <c r="U1841" s="221">
        <v>0</v>
      </c>
      <c r="V1841" s="221" t="s">
        <v>3337</v>
      </c>
      <c r="W1841" s="221" t="s">
        <v>3338</v>
      </c>
      <c r="X1841" s="227"/>
      <c r="Y1841" s="227"/>
      <c r="Z1841" s="227" t="str">
        <f>P1841</f>
        <v>Asshofa Residence</v>
      </c>
      <c r="AA1841" s="276" t="e">
        <f>VLOOKUP(Logfile_S[[#This Row],[DO number]],DO_DB!G:I,3,0)</f>
        <v>#N/A</v>
      </c>
      <c r="AB1841" s="331" t="e">
        <f>EXACT(Logfile_S[[#This Row],[date pick]],Logfile_S[[#This Row],[Date]])</f>
        <v>#N/A</v>
      </c>
      <c r="AC18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42" spans="1:29" ht="14.5">
      <c r="A1842" s="237" t="str">
        <f>TEXT(ROW(A1842)-ROW($A$4),"000")</f>
        <v>1838</v>
      </c>
      <c r="B1842" s="221">
        <v>2</v>
      </c>
      <c r="C1842" s="227" t="s">
        <v>49</v>
      </c>
      <c r="D1842" s="227" t="s">
        <v>4673</v>
      </c>
      <c r="E1842" s="227" t="s">
        <v>3295</v>
      </c>
      <c r="F1842" s="227" t="s">
        <v>3299</v>
      </c>
      <c r="G1842" s="239">
        <v>45953</v>
      </c>
      <c r="H1842" s="240">
        <v>0.60763888888888884</v>
      </c>
      <c r="I1842" s="227" t="s">
        <v>3295</v>
      </c>
      <c r="J1842" s="221" t="s">
        <v>3023</v>
      </c>
      <c r="K1842" s="241" t="s">
        <v>13</v>
      </c>
      <c r="L1842" s="225" t="str">
        <f>VLOOKUP(Logfile_S[[#This Row],[Material Name]],Sheet2!B:C,2,0)</f>
        <v>ZTE2008</v>
      </c>
      <c r="M1842" s="242" t="s">
        <v>19</v>
      </c>
      <c r="N1842" s="227">
        <v>17</v>
      </c>
      <c r="O1842" s="227" t="s">
        <v>4595</v>
      </c>
      <c r="P1842" s="227" t="s">
        <v>4596</v>
      </c>
      <c r="Q1842" s="227"/>
      <c r="R1842" s="227"/>
      <c r="S1842" s="227"/>
      <c r="T1842" s="221" t="s">
        <v>3356</v>
      </c>
      <c r="U1842" s="221">
        <v>0</v>
      </c>
      <c r="V1842" s="221">
        <v>0</v>
      </c>
      <c r="W1842" s="221" t="s">
        <v>3358</v>
      </c>
      <c r="X1842" s="227"/>
      <c r="Y1842" s="227"/>
      <c r="Z1842" s="227" t="str">
        <f>P1842</f>
        <v>Asshofa Residence</v>
      </c>
      <c r="AA1842" s="276" t="e">
        <f>VLOOKUP(Logfile_S[[#This Row],[DO number]],DO_DB!G:I,3,0)</f>
        <v>#N/A</v>
      </c>
      <c r="AB1842" s="331" t="e">
        <f>EXACT(Logfile_S[[#This Row],[date pick]],Logfile_S[[#This Row],[Date]])</f>
        <v>#N/A</v>
      </c>
      <c r="AC18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43" spans="1:29" ht="14.5">
      <c r="A1843" s="237" t="str">
        <f>TEXT(ROW(A1843)-ROW($A$4),"000")</f>
        <v>1839</v>
      </c>
      <c r="B1843" s="221">
        <v>3</v>
      </c>
      <c r="C1843" s="227" t="s">
        <v>48</v>
      </c>
      <c r="D1843" s="227" t="s">
        <v>4671</v>
      </c>
      <c r="E1843" s="227" t="s">
        <v>3295</v>
      </c>
      <c r="F1843" s="227" t="s">
        <v>3299</v>
      </c>
      <c r="G1843" s="239">
        <v>45953</v>
      </c>
      <c r="H1843" s="240">
        <v>0.33333333333333331</v>
      </c>
      <c r="I1843" s="227" t="s">
        <v>37</v>
      </c>
      <c r="J1843" s="221" t="s">
        <v>3023</v>
      </c>
      <c r="K1843" s="241" t="s">
        <v>14</v>
      </c>
      <c r="L1843" s="225" t="str">
        <f>VLOOKUP(Logfile_S[[#This Row],[Material Name]],Sheet2!B:C,2,0)</f>
        <v>ZTE2005</v>
      </c>
      <c r="M1843" s="242" t="s">
        <v>19</v>
      </c>
      <c r="N1843" s="227">
        <v>1</v>
      </c>
      <c r="O1843" s="227" t="s">
        <v>4595</v>
      </c>
      <c r="P1843" s="227" t="s">
        <v>4596</v>
      </c>
      <c r="Q1843" s="221" t="s">
        <v>4669</v>
      </c>
      <c r="R1843" s="221" t="s">
        <v>4670</v>
      </c>
      <c r="S1843" s="227"/>
      <c r="T1843" s="221" t="s">
        <v>3258</v>
      </c>
      <c r="U1843" s="221">
        <v>0</v>
      </c>
      <c r="V1843" s="221" t="s">
        <v>3337</v>
      </c>
      <c r="W1843" s="221" t="s">
        <v>3338</v>
      </c>
      <c r="X1843" s="227"/>
      <c r="Y1843" s="227"/>
      <c r="Z1843" s="227" t="str">
        <f>P1843</f>
        <v>Asshofa Residence</v>
      </c>
      <c r="AA1843" s="276">
        <f>VLOOKUP(Logfile_S[[#This Row],[DO number]],DO_DB!G:I,3,0)</f>
        <v>45951</v>
      </c>
      <c r="AB1843" s="331" t="b">
        <f>EXACT(Logfile_S[[#This Row],[date pick]],Logfile_S[[#This Row],[Date]])</f>
        <v>0</v>
      </c>
      <c r="AC18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44" spans="1:29" ht="14.5">
      <c r="A1844" s="237" t="str">
        <f>TEXT(ROW(A1844)-ROW($A$4),"000")</f>
        <v>1840</v>
      </c>
      <c r="B1844" s="221">
        <v>1</v>
      </c>
      <c r="C1844" s="227" t="s">
        <v>49</v>
      </c>
      <c r="D1844" s="227" t="s">
        <v>4673</v>
      </c>
      <c r="E1844" s="227" t="s">
        <v>3295</v>
      </c>
      <c r="F1844" s="227" t="s">
        <v>3299</v>
      </c>
      <c r="G1844" s="239">
        <v>45953</v>
      </c>
      <c r="H1844" s="240">
        <v>0.60763888888888884</v>
      </c>
      <c r="I1844" s="227" t="s">
        <v>3295</v>
      </c>
      <c r="J1844" s="221" t="s">
        <v>3023</v>
      </c>
      <c r="K1844" s="241" t="s">
        <v>14</v>
      </c>
      <c r="L1844" s="225" t="str">
        <f>VLOOKUP(Logfile_S[[#This Row],[Material Name]],Sheet2!B:C,2,0)</f>
        <v>ZTE2005</v>
      </c>
      <c r="M1844" s="242" t="s">
        <v>19</v>
      </c>
      <c r="N1844" s="227">
        <v>1</v>
      </c>
      <c r="O1844" s="227" t="s">
        <v>4595</v>
      </c>
      <c r="P1844" s="227" t="s">
        <v>4596</v>
      </c>
      <c r="Q1844" s="227"/>
      <c r="R1844" s="227"/>
      <c r="S1844" s="227"/>
      <c r="T1844" s="221" t="s">
        <v>3356</v>
      </c>
      <c r="U1844" s="221">
        <v>0</v>
      </c>
      <c r="V1844" s="221">
        <v>0</v>
      </c>
      <c r="W1844" s="221" t="s">
        <v>3358</v>
      </c>
      <c r="X1844" s="227"/>
      <c r="Y1844" s="227"/>
      <c r="Z1844" s="227" t="str">
        <f>P1844</f>
        <v>Asshofa Residence</v>
      </c>
      <c r="AA1844" s="276" t="e">
        <f>VLOOKUP(Logfile_S[[#This Row],[DO number]],DO_DB!G:I,3,0)</f>
        <v>#N/A</v>
      </c>
      <c r="AB1844" s="331" t="e">
        <f>EXACT(Logfile_S[[#This Row],[date pick]],Logfile_S[[#This Row],[Date]])</f>
        <v>#N/A</v>
      </c>
      <c r="AC18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45" spans="1:29" ht="14.5">
      <c r="A1845" s="237" t="str">
        <f>TEXT(ROW(A1845)-ROW($A$4),"000")</f>
        <v>1841</v>
      </c>
      <c r="B1845" s="221">
        <v>2</v>
      </c>
      <c r="C1845" s="227" t="s">
        <v>48</v>
      </c>
      <c r="D1845" s="227" t="s">
        <v>4671</v>
      </c>
      <c r="E1845" s="227" t="s">
        <v>3295</v>
      </c>
      <c r="F1845" s="227" t="s">
        <v>3299</v>
      </c>
      <c r="G1845" s="239">
        <v>45953</v>
      </c>
      <c r="H1845" s="240">
        <v>0.33333333333333331</v>
      </c>
      <c r="I1845" s="227" t="s">
        <v>37</v>
      </c>
      <c r="J1845" s="221" t="s">
        <v>3023</v>
      </c>
      <c r="K1845" s="241" t="s">
        <v>3070</v>
      </c>
      <c r="L1845" s="225" t="str">
        <f>VLOOKUP(Logfile_S[[#This Row],[Material Name]],Sheet2!B:C,2,0)</f>
        <v>ZTE1002</v>
      </c>
      <c r="M1845" s="242" t="s">
        <v>19</v>
      </c>
      <c r="N1845" s="227">
        <v>24</v>
      </c>
      <c r="O1845" s="227" t="s">
        <v>4595</v>
      </c>
      <c r="P1845" s="227" t="s">
        <v>4596</v>
      </c>
      <c r="Q1845" s="221" t="s">
        <v>4669</v>
      </c>
      <c r="R1845" s="221" t="s">
        <v>4670</v>
      </c>
      <c r="S1845" s="227"/>
      <c r="T1845" s="221" t="s">
        <v>3258</v>
      </c>
      <c r="U1845" s="221">
        <v>0</v>
      </c>
      <c r="V1845" s="221" t="s">
        <v>3337</v>
      </c>
      <c r="W1845" s="221" t="s">
        <v>3338</v>
      </c>
      <c r="X1845" s="227"/>
      <c r="Y1845" s="227"/>
      <c r="Z1845" s="227" t="str">
        <f>P1845</f>
        <v>Asshofa Residence</v>
      </c>
      <c r="AA1845" s="276">
        <f>VLOOKUP(Logfile_S[[#This Row],[DO number]],DO_DB!G:I,3,0)</f>
        <v>45951</v>
      </c>
      <c r="AB1845" s="331" t="b">
        <f>EXACT(Logfile_S[[#This Row],[date pick]],Logfile_S[[#This Row],[Date]])</f>
        <v>0</v>
      </c>
      <c r="AC18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46" spans="1:29" ht="14.5">
      <c r="A1846" s="237" t="str">
        <f>TEXT(ROW(A1846)-ROW($A$4),"000")</f>
        <v>1842</v>
      </c>
      <c r="B1846" s="221">
        <v>1</v>
      </c>
      <c r="C1846" s="227" t="s">
        <v>48</v>
      </c>
      <c r="D1846" s="227" t="s">
        <v>4671</v>
      </c>
      <c r="E1846" s="227" t="s">
        <v>3295</v>
      </c>
      <c r="F1846" s="227" t="s">
        <v>3299</v>
      </c>
      <c r="G1846" s="239">
        <v>45953</v>
      </c>
      <c r="H1846" s="240">
        <v>0.33333333333333331</v>
      </c>
      <c r="I1846" s="227" t="s">
        <v>37</v>
      </c>
      <c r="J1846" s="221" t="s">
        <v>3023</v>
      </c>
      <c r="K1846" s="241" t="s">
        <v>3069</v>
      </c>
      <c r="L1846" s="225" t="str">
        <f>VLOOKUP(Logfile_S[[#This Row],[Material Name]],Sheet2!B:C,2,0)</f>
        <v>ZTE1001</v>
      </c>
      <c r="M1846" s="242" t="s">
        <v>19</v>
      </c>
      <c r="N1846" s="227">
        <v>1</v>
      </c>
      <c r="O1846" s="227" t="s">
        <v>4595</v>
      </c>
      <c r="P1846" s="227" t="s">
        <v>4596</v>
      </c>
      <c r="Q1846" s="221" t="s">
        <v>4669</v>
      </c>
      <c r="R1846" s="221" t="s">
        <v>4670</v>
      </c>
      <c r="S1846" s="227"/>
      <c r="T1846" s="221" t="s">
        <v>3258</v>
      </c>
      <c r="U1846" s="221">
        <v>0</v>
      </c>
      <c r="V1846" s="221" t="s">
        <v>3337</v>
      </c>
      <c r="W1846" s="221" t="s">
        <v>3338</v>
      </c>
      <c r="X1846" s="227"/>
      <c r="Y1846" s="227"/>
      <c r="Z1846" s="227" t="str">
        <f>P1846</f>
        <v>Asshofa Residence</v>
      </c>
      <c r="AA1846" s="276">
        <f>VLOOKUP(Logfile_S[[#This Row],[DO number]],DO_DB!G:I,3,0)</f>
        <v>45951</v>
      </c>
      <c r="AB1846" s="331" t="b">
        <f>EXACT(Logfile_S[[#This Row],[date pick]],Logfile_S[[#This Row],[Date]])</f>
        <v>0</v>
      </c>
      <c r="AC18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47" spans="1:29" ht="14.5">
      <c r="A1847" s="220" t="str">
        <f>TEXT(ROW(A1847)-ROW($A$4),"000")</f>
        <v>1843</v>
      </c>
      <c r="B1847" s="221"/>
      <c r="C1847" s="221" t="s">
        <v>49</v>
      </c>
      <c r="D1847" s="221" t="s">
        <v>4399</v>
      </c>
      <c r="E1847" s="221" t="s">
        <v>3295</v>
      </c>
      <c r="F1847" s="221" t="s">
        <v>3299</v>
      </c>
      <c r="G1847" s="222">
        <v>45864</v>
      </c>
      <c r="H1847" s="223">
        <v>0.46805555555555556</v>
      </c>
      <c r="I1847" s="221" t="s">
        <v>4916</v>
      </c>
      <c r="J1847" s="221" t="s">
        <v>3023</v>
      </c>
      <c r="K1847" s="224" t="s">
        <v>3071</v>
      </c>
      <c r="L1847" s="225" t="str">
        <f>VLOOKUP(Logfile_S[[#This Row],[Material Name]],Sheet2!B:C,2,0)</f>
        <v>ZTE1003</v>
      </c>
      <c r="M1847" s="225" t="str">
        <f>_xlfn.XLOOKUP(Logfile_S[[#This Row],[Material Name]],Sum_WH!E:E,Sum_WH!F:F,"",0)</f>
        <v>Pcs</v>
      </c>
      <c r="N1847" s="221">
        <v>7</v>
      </c>
      <c r="O1847" s="221" t="s">
        <v>2925</v>
      </c>
      <c r="P1847" s="221" t="s">
        <v>2926</v>
      </c>
      <c r="Q1847" s="221"/>
      <c r="R1847" s="221"/>
      <c r="S1847" s="221"/>
      <c r="T1847" s="221" t="s">
        <v>3258</v>
      </c>
      <c r="U1847" s="221">
        <v>0</v>
      </c>
      <c r="V1847" s="221" t="s">
        <v>3337</v>
      </c>
      <c r="W1847" s="221" t="s">
        <v>3338</v>
      </c>
      <c r="X1847" s="221"/>
      <c r="Y1847" s="227"/>
      <c r="Z1847" s="227" t="str">
        <f>P1847</f>
        <v>BULULAWANG RW 07 MALANG</v>
      </c>
      <c r="AA1847" s="276" t="e">
        <f>VLOOKUP(Logfile_S[[#This Row],[DO number]],DO_DB!G:I,3,0)</f>
        <v>#N/A</v>
      </c>
      <c r="AB1847" s="331" t="e">
        <f>EXACT(Logfile_S[[#This Row],[date pick]],Logfile_S[[#This Row],[Date]])</f>
        <v>#N/A</v>
      </c>
      <c r="AC18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48" spans="1:29" ht="14.5">
      <c r="A1848" s="220" t="str">
        <f>TEXT(ROW(A1848)-ROW($A$4),"000")</f>
        <v>1844</v>
      </c>
      <c r="B1848" s="221"/>
      <c r="C1848" s="221" t="s">
        <v>49</v>
      </c>
      <c r="D1848" s="221" t="s">
        <v>4400</v>
      </c>
      <c r="E1848" s="221" t="s">
        <v>3295</v>
      </c>
      <c r="F1848" s="221" t="s">
        <v>3299</v>
      </c>
      <c r="G1848" s="222">
        <v>45865</v>
      </c>
      <c r="H1848" s="223">
        <v>0.83125000000000004</v>
      </c>
      <c r="I1848" s="221" t="s">
        <v>4916</v>
      </c>
      <c r="J1848" s="221" t="s">
        <v>3023</v>
      </c>
      <c r="K1848" s="224" t="s">
        <v>13</v>
      </c>
      <c r="L1848" s="225" t="str">
        <f>VLOOKUP(Logfile_S[[#This Row],[Material Name]],Sheet2!B:C,2,0)</f>
        <v>ZTE2008</v>
      </c>
      <c r="M1848" s="225" t="str">
        <f>_xlfn.XLOOKUP(Logfile_S[[#This Row],[Material Name]],Sum_WH!E:E,Sum_WH!F:F,"",0)</f>
        <v>Pcs</v>
      </c>
      <c r="N1848" s="221">
        <v>16</v>
      </c>
      <c r="O1848" s="221" t="s">
        <v>2925</v>
      </c>
      <c r="P1848" s="221" t="s">
        <v>2926</v>
      </c>
      <c r="Q1848" s="221"/>
      <c r="R1848" s="221"/>
      <c r="S1848" s="221"/>
      <c r="T1848" s="221" t="s">
        <v>3471</v>
      </c>
      <c r="U1848" s="221">
        <v>0</v>
      </c>
      <c r="V1848" s="221" t="s">
        <v>3472</v>
      </c>
      <c r="W1848" s="221" t="s">
        <v>3545</v>
      </c>
      <c r="X1848" s="221"/>
      <c r="Y1848" s="227"/>
      <c r="Z1848" s="227" t="str">
        <f>P1848</f>
        <v>BULULAWANG RW 07 MALANG</v>
      </c>
      <c r="AA1848" s="276" t="e">
        <f>VLOOKUP(Logfile_S[[#This Row],[DO number]],DO_DB!G:I,3,0)</f>
        <v>#N/A</v>
      </c>
      <c r="AB1848" s="331" t="e">
        <f>EXACT(Logfile_S[[#This Row],[date pick]],Logfile_S[[#This Row],[Date]])</f>
        <v>#N/A</v>
      </c>
      <c r="AC18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49" spans="1:29" ht="14.5">
      <c r="A1849" s="220" t="str">
        <f>TEXT(ROW(A1849)-ROW($A$4),"000")</f>
        <v>1845</v>
      </c>
      <c r="B1849" s="221"/>
      <c r="C1849" s="221" t="s">
        <v>49</v>
      </c>
      <c r="D1849" s="221" t="s">
        <v>4400</v>
      </c>
      <c r="E1849" s="221" t="s">
        <v>3295</v>
      </c>
      <c r="F1849" s="221" t="s">
        <v>3299</v>
      </c>
      <c r="G1849" s="222">
        <v>45865</v>
      </c>
      <c r="H1849" s="223">
        <v>0.83125000000000004</v>
      </c>
      <c r="I1849" s="221" t="s">
        <v>4916</v>
      </c>
      <c r="J1849" s="221" t="s">
        <v>3023</v>
      </c>
      <c r="K1849" s="224" t="s">
        <v>14</v>
      </c>
      <c r="L1849" s="225" t="str">
        <f>VLOOKUP(Logfile_S[[#This Row],[Material Name]],Sheet2!B:C,2,0)</f>
        <v>ZTE2005</v>
      </c>
      <c r="M1849" s="225" t="str">
        <f>_xlfn.XLOOKUP(Logfile_S[[#This Row],[Material Name]],Sum_WH!E:E,Sum_WH!F:F,"",0)</f>
        <v>Pcs</v>
      </c>
      <c r="N1849" s="221">
        <v>1</v>
      </c>
      <c r="O1849" s="221" t="s">
        <v>2925</v>
      </c>
      <c r="P1849" s="221" t="s">
        <v>2926</v>
      </c>
      <c r="Q1849" s="221"/>
      <c r="R1849" s="221"/>
      <c r="S1849" s="221"/>
      <c r="T1849" s="221" t="s">
        <v>3471</v>
      </c>
      <c r="U1849" s="221">
        <v>0</v>
      </c>
      <c r="V1849" s="221" t="s">
        <v>3472</v>
      </c>
      <c r="W1849" s="221" t="s">
        <v>3545</v>
      </c>
      <c r="X1849" s="221"/>
      <c r="Y1849" s="227"/>
      <c r="Z1849" s="227" t="str">
        <f>P1849</f>
        <v>BULULAWANG RW 07 MALANG</v>
      </c>
      <c r="AA1849" s="276" t="e">
        <f>VLOOKUP(Logfile_S[[#This Row],[DO number]],DO_DB!G:I,3,0)</f>
        <v>#N/A</v>
      </c>
      <c r="AB1849" s="331" t="e">
        <f>EXACT(Logfile_S[[#This Row],[date pick]],Logfile_S[[#This Row],[Date]])</f>
        <v>#N/A</v>
      </c>
      <c r="AC18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50" spans="1:29" ht="14.5">
      <c r="A1850" s="237" t="str">
        <f>TEXT(ROW(A1850)-ROW($A$4),"000")</f>
        <v>1846</v>
      </c>
      <c r="B1850" s="221">
        <v>7</v>
      </c>
      <c r="C1850" s="227" t="s">
        <v>49</v>
      </c>
      <c r="D1850" s="227" t="s">
        <v>4677</v>
      </c>
      <c r="E1850" s="227" t="s">
        <v>3295</v>
      </c>
      <c r="F1850" s="227" t="s">
        <v>3299</v>
      </c>
      <c r="G1850" s="239">
        <v>45955</v>
      </c>
      <c r="H1850" s="240">
        <v>0.45833333333333331</v>
      </c>
      <c r="I1850" s="227" t="s">
        <v>3295</v>
      </c>
      <c r="J1850" s="221" t="s">
        <v>3023</v>
      </c>
      <c r="K1850" s="241" t="s">
        <v>3073</v>
      </c>
      <c r="L1850" s="225" t="str">
        <f>VLOOKUP(Logfile_S[[#This Row],[Material Name]],Sheet2!B:C,2,0)</f>
        <v>ZTE2001</v>
      </c>
      <c r="M1850" s="242" t="s">
        <v>20</v>
      </c>
      <c r="N1850" s="227">
        <v>3000</v>
      </c>
      <c r="O1850" s="247" t="s">
        <v>4687</v>
      </c>
      <c r="P1850" s="224" t="s">
        <v>4599</v>
      </c>
      <c r="Q1850" s="227"/>
      <c r="R1850" s="227"/>
      <c r="S1850" s="227"/>
      <c r="T1850" s="221" t="s">
        <v>3258</v>
      </c>
      <c r="U1850" s="221" t="s">
        <v>5107</v>
      </c>
      <c r="V1850" s="221" t="s">
        <v>3337</v>
      </c>
      <c r="W1850" s="221" t="s">
        <v>3338</v>
      </c>
      <c r="X1850" s="227"/>
      <c r="Y1850" s="227"/>
      <c r="Z1850" s="227" t="str">
        <f>P1850</f>
        <v>MADYOPURO RW 05 MALANG</v>
      </c>
      <c r="AA1850" s="276" t="e">
        <f>VLOOKUP(Logfile_S[[#This Row],[DO number]],DO_DB!G:I,3,0)</f>
        <v>#N/A</v>
      </c>
      <c r="AB1850" s="331" t="e">
        <f>EXACT(Logfile_S[[#This Row],[date pick]],Logfile_S[[#This Row],[Date]])</f>
        <v>#N/A</v>
      </c>
      <c r="AC18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51" spans="1:29" ht="14.5">
      <c r="A1851" s="237" t="str">
        <f>TEXT(ROW(A1851)-ROW($A$4),"000")</f>
        <v>1847</v>
      </c>
      <c r="B1851" s="221">
        <v>6</v>
      </c>
      <c r="C1851" s="227" t="s">
        <v>49</v>
      </c>
      <c r="D1851" s="227" t="s">
        <v>4677</v>
      </c>
      <c r="E1851" s="227" t="s">
        <v>3295</v>
      </c>
      <c r="F1851" s="227" t="s">
        <v>3299</v>
      </c>
      <c r="G1851" s="239">
        <v>45955</v>
      </c>
      <c r="H1851" s="240">
        <v>0.45833333333333331</v>
      </c>
      <c r="I1851" s="227" t="s">
        <v>3295</v>
      </c>
      <c r="J1851" s="221" t="s">
        <v>3023</v>
      </c>
      <c r="K1851" s="241" t="s">
        <v>13</v>
      </c>
      <c r="L1851" s="225" t="str">
        <f>VLOOKUP(Logfile_S[[#This Row],[Material Name]],Sheet2!B:C,2,0)</f>
        <v>ZTE2008</v>
      </c>
      <c r="M1851" s="242" t="s">
        <v>19</v>
      </c>
      <c r="N1851" s="227">
        <v>9</v>
      </c>
      <c r="O1851" s="247" t="s">
        <v>4687</v>
      </c>
      <c r="P1851" s="224" t="s">
        <v>4599</v>
      </c>
      <c r="Q1851" s="227"/>
      <c r="R1851" s="227"/>
      <c r="S1851" s="227"/>
      <c r="T1851" s="221" t="s">
        <v>3258</v>
      </c>
      <c r="U1851" s="221">
        <v>0</v>
      </c>
      <c r="V1851" s="221" t="s">
        <v>3337</v>
      </c>
      <c r="W1851" s="221" t="s">
        <v>3338</v>
      </c>
      <c r="X1851" s="227"/>
      <c r="Y1851" s="227"/>
      <c r="Z1851" s="227" t="str">
        <f>P1851</f>
        <v>MADYOPURO RW 05 MALANG</v>
      </c>
      <c r="AA1851" s="276" t="e">
        <f>VLOOKUP(Logfile_S[[#This Row],[DO number]],DO_DB!G:I,3,0)</f>
        <v>#N/A</v>
      </c>
      <c r="AB1851" s="331" t="e">
        <f>EXACT(Logfile_S[[#This Row],[date pick]],Logfile_S[[#This Row],[Date]])</f>
        <v>#N/A</v>
      </c>
      <c r="AC18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52" spans="1:29" ht="14.5">
      <c r="A1852" s="237" t="str">
        <f>TEXT(ROW(A1852)-ROW($A$4),"000")</f>
        <v>1848</v>
      </c>
      <c r="B1852" s="221">
        <v>6</v>
      </c>
      <c r="C1852" s="227" t="s">
        <v>48</v>
      </c>
      <c r="D1852" s="227" t="s">
        <v>4671</v>
      </c>
      <c r="E1852" s="227" t="s">
        <v>3295</v>
      </c>
      <c r="F1852" s="227" t="s">
        <v>3299</v>
      </c>
      <c r="G1852" s="239">
        <v>45953</v>
      </c>
      <c r="H1852" s="240">
        <v>0.33333333333333331</v>
      </c>
      <c r="I1852" s="227" t="s">
        <v>37</v>
      </c>
      <c r="J1852" s="221" t="s">
        <v>3023</v>
      </c>
      <c r="K1852" s="241" t="s">
        <v>3073</v>
      </c>
      <c r="L1852" s="225" t="str">
        <f>VLOOKUP(Logfile_S[[#This Row],[Material Name]],Sheet2!B:C,2,0)</f>
        <v>ZTE2001</v>
      </c>
      <c r="M1852" s="242" t="s">
        <v>20</v>
      </c>
      <c r="N1852" s="227">
        <v>3000</v>
      </c>
      <c r="O1852" s="227" t="s">
        <v>4663</v>
      </c>
      <c r="P1852" s="227" t="s">
        <v>4664</v>
      </c>
      <c r="Q1852" s="221"/>
      <c r="R1852" s="221"/>
      <c r="S1852" s="227"/>
      <c r="T1852" s="221" t="s">
        <v>3258</v>
      </c>
      <c r="U1852" s="221">
        <v>0</v>
      </c>
      <c r="V1852" s="221" t="s">
        <v>3337</v>
      </c>
      <c r="W1852" s="221" t="s">
        <v>3338</v>
      </c>
      <c r="X1852" s="227"/>
      <c r="Y1852" s="227" t="s">
        <v>5026</v>
      </c>
      <c r="Z1852" s="227" t="str">
        <f>P1852</f>
        <v>LESANPURO RW 06 MALANG</v>
      </c>
      <c r="AA1852" s="276" t="e">
        <f>VLOOKUP(Logfile_S[[#This Row],[DO number]],DO_DB!G:I,3,0)</f>
        <v>#N/A</v>
      </c>
      <c r="AB1852" s="331" t="e">
        <f>EXACT(Logfile_S[[#This Row],[date pick]],Logfile_S[[#This Row],[Date]])</f>
        <v>#N/A</v>
      </c>
      <c r="AC18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24C-20251023-01</v>
      </c>
    </row>
    <row r="1853" spans="1:29" ht="14.5">
      <c r="A1853" s="237" t="str">
        <f>TEXT(ROW(A1853)-ROW($A$4),"000")</f>
        <v>1849</v>
      </c>
      <c r="B1853" s="221">
        <v>2</v>
      </c>
      <c r="C1853" s="227" t="s">
        <v>49</v>
      </c>
      <c r="D1853" s="227" t="s">
        <v>4672</v>
      </c>
      <c r="E1853" s="227" t="s">
        <v>3295</v>
      </c>
      <c r="F1853" s="227" t="s">
        <v>3299</v>
      </c>
      <c r="G1853" s="239">
        <v>45953</v>
      </c>
      <c r="H1853" s="240">
        <v>0.60763888888888884</v>
      </c>
      <c r="I1853" s="227" t="s">
        <v>3295</v>
      </c>
      <c r="J1853" s="221" t="s">
        <v>3023</v>
      </c>
      <c r="K1853" s="241" t="s">
        <v>3073</v>
      </c>
      <c r="L1853" s="225" t="str">
        <f>VLOOKUP(Logfile_S[[#This Row],[Material Name]],Sheet2!B:C,2,0)</f>
        <v>ZTE2001</v>
      </c>
      <c r="M1853" s="242" t="s">
        <v>20</v>
      </c>
      <c r="N1853" s="227">
        <v>3000</v>
      </c>
      <c r="O1853" s="227" t="s">
        <v>4663</v>
      </c>
      <c r="P1853" s="227" t="s">
        <v>4664</v>
      </c>
      <c r="Q1853" s="227"/>
      <c r="R1853" s="227"/>
      <c r="S1853" s="227"/>
      <c r="T1853" s="221" t="s">
        <v>3258</v>
      </c>
      <c r="U1853" s="221" t="s">
        <v>5107</v>
      </c>
      <c r="V1853" s="221" t="s">
        <v>3337</v>
      </c>
      <c r="W1853" s="221" t="s">
        <v>3338</v>
      </c>
      <c r="X1853" s="227"/>
      <c r="Y1853" s="227"/>
      <c r="Z1853" s="227" t="str">
        <f>P1853</f>
        <v>LESANPURO RW 06 MALANG</v>
      </c>
      <c r="AA1853" s="276" t="e">
        <f>VLOOKUP(Logfile_S[[#This Row],[DO number]],DO_DB!G:I,3,0)</f>
        <v>#N/A</v>
      </c>
      <c r="AB1853" s="331" t="e">
        <f>EXACT(Logfile_S[[#This Row],[date pick]],Logfile_S[[#This Row],[Date]])</f>
        <v>#N/A</v>
      </c>
      <c r="AC18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54" spans="1:29" ht="14.5">
      <c r="A1854" s="237" t="str">
        <f>TEXT(ROW(A1854)-ROW($A$4),"000")</f>
        <v>1850</v>
      </c>
      <c r="B1854" s="221">
        <v>7</v>
      </c>
      <c r="C1854" s="227" t="s">
        <v>48</v>
      </c>
      <c r="D1854" s="227" t="s">
        <v>4671</v>
      </c>
      <c r="E1854" s="227" t="s">
        <v>3295</v>
      </c>
      <c r="F1854" s="227" t="s">
        <v>3299</v>
      </c>
      <c r="G1854" s="239">
        <v>45953</v>
      </c>
      <c r="H1854" s="240">
        <v>0.33333333333333331</v>
      </c>
      <c r="I1854" s="227" t="s">
        <v>37</v>
      </c>
      <c r="J1854" s="221" t="s">
        <v>3023</v>
      </c>
      <c r="K1854" s="241" t="s">
        <v>15</v>
      </c>
      <c r="L1854" s="225" t="str">
        <f>VLOOKUP(Logfile_S[[#This Row],[Material Name]],Sheet2!B:C,2,0)</f>
        <v>ZTE2006</v>
      </c>
      <c r="M1854" s="242" t="s">
        <v>19</v>
      </c>
      <c r="N1854" s="227">
        <v>1</v>
      </c>
      <c r="O1854" s="227" t="s">
        <v>4663</v>
      </c>
      <c r="P1854" s="227" t="s">
        <v>4664</v>
      </c>
      <c r="Q1854" s="221" t="s">
        <v>4667</v>
      </c>
      <c r="R1854" s="221" t="s">
        <v>4668</v>
      </c>
      <c r="S1854" s="227"/>
      <c r="T1854" s="221" t="s">
        <v>3258</v>
      </c>
      <c r="U1854" s="221">
        <v>0</v>
      </c>
      <c r="V1854" s="221" t="s">
        <v>3337</v>
      </c>
      <c r="W1854" s="221" t="s">
        <v>3338</v>
      </c>
      <c r="X1854" s="227"/>
      <c r="Y1854" s="227"/>
      <c r="Z1854" s="227" t="str">
        <f>P1854</f>
        <v>LESANPURO RW 06 MALANG</v>
      </c>
      <c r="AA1854" s="276">
        <f>VLOOKUP(Logfile_S[[#This Row],[DO number]],DO_DB!G:I,3,0)</f>
        <v>45951</v>
      </c>
      <c r="AB1854" s="331" t="b">
        <f>EXACT(Logfile_S[[#This Row],[date pick]],Logfile_S[[#This Row],[Date]])</f>
        <v>0</v>
      </c>
      <c r="AC18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55" spans="1:29" ht="14.5">
      <c r="A1855" s="237" t="str">
        <f>TEXT(ROW(A1855)-ROW($A$4),"000")</f>
        <v>1851</v>
      </c>
      <c r="B1855" s="221">
        <v>4</v>
      </c>
      <c r="C1855" s="227" t="s">
        <v>49</v>
      </c>
      <c r="D1855" s="227" t="s">
        <v>4672</v>
      </c>
      <c r="E1855" s="227" t="s">
        <v>3295</v>
      </c>
      <c r="F1855" s="227" t="s">
        <v>3299</v>
      </c>
      <c r="G1855" s="239">
        <v>45953</v>
      </c>
      <c r="H1855" s="240">
        <v>0.60763888888888884</v>
      </c>
      <c r="I1855" s="227" t="s">
        <v>3295</v>
      </c>
      <c r="J1855" s="227" t="s">
        <v>3024</v>
      </c>
      <c r="K1855" s="241" t="s">
        <v>3088</v>
      </c>
      <c r="L1855" s="225" t="str">
        <f>VLOOKUP(Logfile_S[[#This Row],[Material Name]],Sheet2!B:C,2,0)</f>
        <v>GCI1002</v>
      </c>
      <c r="M1855" s="242" t="s">
        <v>19</v>
      </c>
      <c r="N1855" s="227">
        <v>2</v>
      </c>
      <c r="O1855" s="227" t="s">
        <v>4663</v>
      </c>
      <c r="P1855" s="227" t="s">
        <v>4664</v>
      </c>
      <c r="Q1855" s="227"/>
      <c r="R1855" s="227"/>
      <c r="S1855" s="227"/>
      <c r="T1855" s="221" t="s">
        <v>3258</v>
      </c>
      <c r="U1855" s="221">
        <v>0</v>
      </c>
      <c r="V1855" s="221" t="s">
        <v>3337</v>
      </c>
      <c r="W1855" s="221" t="s">
        <v>3338</v>
      </c>
      <c r="X1855" s="227"/>
      <c r="Y1855" s="227"/>
      <c r="Z1855" s="227" t="str">
        <f>P1855</f>
        <v>LESANPURO RW 06 MALANG</v>
      </c>
      <c r="AA1855" s="276" t="e">
        <f>VLOOKUP(Logfile_S[[#This Row],[DO number]],DO_DB!G:I,3,0)</f>
        <v>#N/A</v>
      </c>
      <c r="AB1855" s="331" t="e">
        <f>EXACT(Logfile_S[[#This Row],[date pick]],Logfile_S[[#This Row],[Date]])</f>
        <v>#N/A</v>
      </c>
      <c r="AC18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56" spans="1:29" ht="14.5">
      <c r="A1856" s="237" t="str">
        <f>TEXT(ROW(A1856)-ROW($A$4),"000")</f>
        <v>1852</v>
      </c>
      <c r="B1856" s="221">
        <v>5</v>
      </c>
      <c r="C1856" s="227" t="s">
        <v>48</v>
      </c>
      <c r="D1856" s="227" t="s">
        <v>4671</v>
      </c>
      <c r="E1856" s="227" t="s">
        <v>3295</v>
      </c>
      <c r="F1856" s="227" t="s">
        <v>3299</v>
      </c>
      <c r="G1856" s="239">
        <v>45953</v>
      </c>
      <c r="H1856" s="240">
        <v>0.33333333333333331</v>
      </c>
      <c r="I1856" s="227" t="s">
        <v>37</v>
      </c>
      <c r="J1856" s="221" t="s">
        <v>3023</v>
      </c>
      <c r="K1856" s="241" t="s">
        <v>3070</v>
      </c>
      <c r="L1856" s="225" t="str">
        <f>VLOOKUP(Logfile_S[[#This Row],[Material Name]],Sheet2!B:C,2,0)</f>
        <v>ZTE1002</v>
      </c>
      <c r="M1856" s="242" t="s">
        <v>19</v>
      </c>
      <c r="N1856" s="227">
        <v>37</v>
      </c>
      <c r="O1856" s="227" t="s">
        <v>4663</v>
      </c>
      <c r="P1856" s="227" t="s">
        <v>4664</v>
      </c>
      <c r="Q1856" s="221" t="s">
        <v>4665</v>
      </c>
      <c r="R1856" s="221" t="s">
        <v>4666</v>
      </c>
      <c r="S1856" s="227"/>
      <c r="T1856" s="221" t="s">
        <v>3258</v>
      </c>
      <c r="U1856" s="221">
        <v>0</v>
      </c>
      <c r="V1856" s="221" t="s">
        <v>3337</v>
      </c>
      <c r="W1856" s="221" t="s">
        <v>3338</v>
      </c>
      <c r="X1856" s="227"/>
      <c r="Y1856" s="227"/>
      <c r="Z1856" s="227" t="str">
        <f>P1856</f>
        <v>LESANPURO RW 06 MALANG</v>
      </c>
      <c r="AA1856" s="276">
        <f>VLOOKUP(Logfile_S[[#This Row],[DO number]],DO_DB!G:I,3,0)</f>
        <v>45951</v>
      </c>
      <c r="AB1856" s="331" t="b">
        <f>EXACT(Logfile_S[[#This Row],[date pick]],Logfile_S[[#This Row],[Date]])</f>
        <v>0</v>
      </c>
      <c r="AC18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57" spans="1:29" ht="14.5">
      <c r="A1857" s="237" t="str">
        <f>TEXT(ROW(A1857)-ROW($A$4),"000")</f>
        <v>1853</v>
      </c>
      <c r="B1857" s="221">
        <v>1</v>
      </c>
      <c r="C1857" s="227" t="s">
        <v>49</v>
      </c>
      <c r="D1857" s="227" t="s">
        <v>4672</v>
      </c>
      <c r="E1857" s="227" t="s">
        <v>3295</v>
      </c>
      <c r="F1857" s="227" t="s">
        <v>3299</v>
      </c>
      <c r="G1857" s="239">
        <v>45953</v>
      </c>
      <c r="H1857" s="240">
        <v>0.60763888888888884</v>
      </c>
      <c r="I1857" s="227" t="s">
        <v>3295</v>
      </c>
      <c r="J1857" s="221" t="s">
        <v>3023</v>
      </c>
      <c r="K1857" s="241" t="s">
        <v>3070</v>
      </c>
      <c r="L1857" s="225" t="str">
        <f>VLOOKUP(Logfile_S[[#This Row],[Material Name]],Sheet2!B:C,2,0)</f>
        <v>ZTE1002</v>
      </c>
      <c r="M1857" s="242" t="s">
        <v>19</v>
      </c>
      <c r="N1857" s="227">
        <v>36</v>
      </c>
      <c r="O1857" s="227" t="s">
        <v>4663</v>
      </c>
      <c r="P1857" s="227" t="s">
        <v>4664</v>
      </c>
      <c r="Q1857" s="227"/>
      <c r="R1857" s="227"/>
      <c r="S1857" s="227"/>
      <c r="T1857" s="221" t="s">
        <v>3258</v>
      </c>
      <c r="U1857" s="221">
        <v>0</v>
      </c>
      <c r="V1857" s="221" t="s">
        <v>3337</v>
      </c>
      <c r="W1857" s="221" t="s">
        <v>3338</v>
      </c>
      <c r="X1857" s="227"/>
      <c r="Y1857" s="227"/>
      <c r="Z1857" s="227" t="str">
        <f>P1857</f>
        <v>LESANPURO RW 06 MALANG</v>
      </c>
      <c r="AA1857" s="276" t="e">
        <f>VLOOKUP(Logfile_S[[#This Row],[DO number]],DO_DB!G:I,3,0)</f>
        <v>#N/A</v>
      </c>
      <c r="AB1857" s="331" t="e">
        <f>EXACT(Logfile_S[[#This Row],[date pick]],Logfile_S[[#This Row],[Date]])</f>
        <v>#N/A</v>
      </c>
      <c r="AC18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58" spans="1:29" ht="14.5">
      <c r="A1858" s="237" t="str">
        <f>TEXT(ROW(A1858)-ROW($A$4),"000")</f>
        <v>1854</v>
      </c>
      <c r="B1858" s="221">
        <v>4</v>
      </c>
      <c r="C1858" s="227" t="s">
        <v>48</v>
      </c>
      <c r="D1858" s="227" t="s">
        <v>4671</v>
      </c>
      <c r="E1858" s="227" t="s">
        <v>3295</v>
      </c>
      <c r="F1858" s="227" t="s">
        <v>3299</v>
      </c>
      <c r="G1858" s="239">
        <v>45953</v>
      </c>
      <c r="H1858" s="240">
        <v>0.33333333333333331</v>
      </c>
      <c r="I1858" s="227" t="s">
        <v>37</v>
      </c>
      <c r="J1858" s="221" t="s">
        <v>3023</v>
      </c>
      <c r="K1858" s="241" t="s">
        <v>3069</v>
      </c>
      <c r="L1858" s="225" t="str">
        <f>VLOOKUP(Logfile_S[[#This Row],[Material Name]],Sheet2!B:C,2,0)</f>
        <v>ZTE1001</v>
      </c>
      <c r="M1858" s="242" t="s">
        <v>19</v>
      </c>
      <c r="N1858" s="227">
        <v>1</v>
      </c>
      <c r="O1858" s="227" t="s">
        <v>4663</v>
      </c>
      <c r="P1858" s="227" t="s">
        <v>4664</v>
      </c>
      <c r="Q1858" s="221" t="s">
        <v>4665</v>
      </c>
      <c r="R1858" s="221" t="s">
        <v>4666</v>
      </c>
      <c r="S1858" s="227"/>
      <c r="T1858" s="221" t="s">
        <v>3258</v>
      </c>
      <c r="U1858" s="221">
        <v>0</v>
      </c>
      <c r="V1858" s="221" t="s">
        <v>3337</v>
      </c>
      <c r="W1858" s="221" t="s">
        <v>3338</v>
      </c>
      <c r="X1858" s="227"/>
      <c r="Y1858" s="227"/>
      <c r="Z1858" s="227" t="str">
        <f>P1858</f>
        <v>LESANPURO RW 06 MALANG</v>
      </c>
      <c r="AA1858" s="276">
        <f>VLOOKUP(Logfile_S[[#This Row],[DO number]],DO_DB!G:I,3,0)</f>
        <v>45951</v>
      </c>
      <c r="AB1858" s="331" t="b">
        <f>EXACT(Logfile_S[[#This Row],[date pick]],Logfile_S[[#This Row],[Date]])</f>
        <v>0</v>
      </c>
      <c r="AC18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59" spans="1:29" ht="14.5">
      <c r="A1859" s="237" t="str">
        <f>TEXT(ROW(A1859)-ROW($A$4),"000")</f>
        <v>1855</v>
      </c>
      <c r="B1859" s="221">
        <v>3</v>
      </c>
      <c r="C1859" s="227" t="s">
        <v>49</v>
      </c>
      <c r="D1859" s="227" t="s">
        <v>4672</v>
      </c>
      <c r="E1859" s="227" t="s">
        <v>3295</v>
      </c>
      <c r="F1859" s="227" t="s">
        <v>3299</v>
      </c>
      <c r="G1859" s="239">
        <v>45953</v>
      </c>
      <c r="H1859" s="240">
        <v>0.60763888888888884</v>
      </c>
      <c r="I1859" s="227" t="s">
        <v>3295</v>
      </c>
      <c r="J1859" s="227" t="s">
        <v>3024</v>
      </c>
      <c r="K1859" s="241" t="s">
        <v>3090</v>
      </c>
      <c r="L1859" s="225" t="str">
        <f>VLOOKUP(Logfile_S[[#This Row],[Material Name]],Sheet2!B:C,2,0)</f>
        <v>GCI1004</v>
      </c>
      <c r="M1859" s="242" t="s">
        <v>19</v>
      </c>
      <c r="N1859" s="227">
        <v>84</v>
      </c>
      <c r="O1859" s="227" t="s">
        <v>4663</v>
      </c>
      <c r="P1859" s="227" t="s">
        <v>4664</v>
      </c>
      <c r="Q1859" s="227"/>
      <c r="R1859" s="227"/>
      <c r="S1859" s="227"/>
      <c r="T1859" s="221" t="s">
        <v>3258</v>
      </c>
      <c r="U1859" s="221">
        <v>0</v>
      </c>
      <c r="V1859" s="221" t="s">
        <v>3337</v>
      </c>
      <c r="W1859" s="221" t="s">
        <v>3338</v>
      </c>
      <c r="X1859" s="227"/>
      <c r="Y1859" s="227"/>
      <c r="Z1859" s="227" t="str">
        <f>P1859</f>
        <v>LESANPURO RW 06 MALANG</v>
      </c>
      <c r="AA1859" s="276" t="e">
        <f>VLOOKUP(Logfile_S[[#This Row],[DO number]],DO_DB!G:I,3,0)</f>
        <v>#N/A</v>
      </c>
      <c r="AB1859" s="331" t="e">
        <f>EXACT(Logfile_S[[#This Row],[date pick]],Logfile_S[[#This Row],[Date]])</f>
        <v>#N/A</v>
      </c>
      <c r="AC18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60" spans="1:29" ht="14.5">
      <c r="A1860" s="237" t="str">
        <f>TEXT(ROW(A1860)-ROW($A$4),"000")</f>
        <v>1856</v>
      </c>
      <c r="B1860" s="221">
        <v>2</v>
      </c>
      <c r="C1860" s="227" t="s">
        <v>49</v>
      </c>
      <c r="D1860" s="227" t="s">
        <v>4674</v>
      </c>
      <c r="E1860" s="227" t="s">
        <v>3295</v>
      </c>
      <c r="F1860" s="227" t="s">
        <v>3299</v>
      </c>
      <c r="G1860" s="239">
        <v>45954</v>
      </c>
      <c r="H1860" s="240">
        <v>0.60763888888888884</v>
      </c>
      <c r="I1860" s="227" t="s">
        <v>3295</v>
      </c>
      <c r="J1860" s="221" t="s">
        <v>3023</v>
      </c>
      <c r="K1860" s="241" t="s">
        <v>3069</v>
      </c>
      <c r="L1860" s="225" t="str">
        <f>VLOOKUP(Logfile_S[[#This Row],[Material Name]],Sheet2!B:C,2,0)</f>
        <v>ZTE1001</v>
      </c>
      <c r="M1860" s="242" t="s">
        <v>19</v>
      </c>
      <c r="N1860" s="227">
        <v>9</v>
      </c>
      <c r="O1860" s="227" t="s">
        <v>4663</v>
      </c>
      <c r="P1860" s="227" t="s">
        <v>4664</v>
      </c>
      <c r="Q1860" s="227"/>
      <c r="R1860" s="227"/>
      <c r="S1860" s="227"/>
      <c r="T1860" s="221" t="s">
        <v>3258</v>
      </c>
      <c r="U1860" s="221">
        <v>0</v>
      </c>
      <c r="V1860" s="221" t="s">
        <v>3337</v>
      </c>
      <c r="W1860" s="221" t="s">
        <v>3338</v>
      </c>
      <c r="X1860" s="227"/>
      <c r="Y1860" s="227"/>
      <c r="Z1860" s="227" t="str">
        <f>P1860</f>
        <v>LESANPURO RW 06 MALANG</v>
      </c>
      <c r="AA1860" s="276" t="e">
        <f>VLOOKUP(Logfile_S[[#This Row],[DO number]],DO_DB!G:I,3,0)</f>
        <v>#N/A</v>
      </c>
      <c r="AB1860" s="331" t="e">
        <f>EXACT(Logfile_S[[#This Row],[date pick]],Logfile_S[[#This Row],[Date]])</f>
        <v>#N/A</v>
      </c>
      <c r="AC18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61" spans="1:29" ht="14.5">
      <c r="A1861" s="237" t="str">
        <f>TEXT(ROW(A1861)-ROW($A$4),"000")</f>
        <v>1857</v>
      </c>
      <c r="B1861" s="221">
        <v>1</v>
      </c>
      <c r="C1861" s="227" t="s">
        <v>49</v>
      </c>
      <c r="D1861" s="227" t="s">
        <v>4674</v>
      </c>
      <c r="E1861" s="227" t="s">
        <v>3295</v>
      </c>
      <c r="F1861" s="227" t="s">
        <v>3299</v>
      </c>
      <c r="G1861" s="239">
        <v>45954</v>
      </c>
      <c r="H1861" s="240">
        <v>0.60763888888888884</v>
      </c>
      <c r="I1861" s="227" t="s">
        <v>3295</v>
      </c>
      <c r="J1861" s="221" t="s">
        <v>3023</v>
      </c>
      <c r="K1861" s="241" t="s">
        <v>3069</v>
      </c>
      <c r="L1861" s="225" t="str">
        <f>VLOOKUP(Logfile_S[[#This Row],[Material Name]],Sheet2!B:C,2,0)</f>
        <v>ZTE1001</v>
      </c>
      <c r="M1861" s="242" t="s">
        <v>19</v>
      </c>
      <c r="N1861" s="227">
        <v>10</v>
      </c>
      <c r="O1861" s="227" t="s">
        <v>4663</v>
      </c>
      <c r="P1861" s="227" t="s">
        <v>4664</v>
      </c>
      <c r="Q1861" s="227"/>
      <c r="R1861" s="227"/>
      <c r="S1861" s="227"/>
      <c r="T1861" s="221" t="s">
        <v>3258</v>
      </c>
      <c r="U1861" s="221">
        <v>0</v>
      </c>
      <c r="V1861" s="221" t="s">
        <v>3337</v>
      </c>
      <c r="W1861" s="221" t="s">
        <v>3338</v>
      </c>
      <c r="X1861" s="227"/>
      <c r="Y1861" s="227"/>
      <c r="Z1861" s="227" t="str">
        <f>P1861</f>
        <v>LESANPURO RW 06 MALANG</v>
      </c>
      <c r="AA1861" s="276" t="e">
        <f>VLOOKUP(Logfile_S[[#This Row],[DO number]],DO_DB!G:I,3,0)</f>
        <v>#N/A</v>
      </c>
      <c r="AB1861" s="331" t="e">
        <f>EXACT(Logfile_S[[#This Row],[date pick]],Logfile_S[[#This Row],[Date]])</f>
        <v>#N/A</v>
      </c>
      <c r="AC18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62" spans="1:29" ht="14.5">
      <c r="A1862" s="237" t="str">
        <f>TEXT(ROW(A1862)-ROW($A$4),"000")</f>
        <v>1858</v>
      </c>
      <c r="B1862" s="221">
        <v>8</v>
      </c>
      <c r="C1862" s="227" t="s">
        <v>48</v>
      </c>
      <c r="D1862" s="227" t="s">
        <v>4675</v>
      </c>
      <c r="E1862" s="227" t="s">
        <v>3295</v>
      </c>
      <c r="F1862" s="227" t="s">
        <v>3299</v>
      </c>
      <c r="G1862" s="239">
        <v>45955</v>
      </c>
      <c r="H1862" s="240">
        <v>0.33333333333333331</v>
      </c>
      <c r="I1862" s="227" t="s">
        <v>37</v>
      </c>
      <c r="J1862" s="221" t="s">
        <v>3023</v>
      </c>
      <c r="K1862" s="241" t="s">
        <v>3073</v>
      </c>
      <c r="L1862" s="225" t="str">
        <f>VLOOKUP(Logfile_S[[#This Row],[Material Name]],Sheet2!B:C,2,0)</f>
        <v>ZTE2001</v>
      </c>
      <c r="M1862" s="242" t="s">
        <v>20</v>
      </c>
      <c r="N1862" s="227">
        <v>3000</v>
      </c>
      <c r="O1862" s="227" t="s">
        <v>4663</v>
      </c>
      <c r="P1862" s="227" t="s">
        <v>4664</v>
      </c>
      <c r="Q1862" s="221"/>
      <c r="R1862" s="221"/>
      <c r="S1862" s="227"/>
      <c r="T1862" s="227"/>
      <c r="U1862" s="227"/>
      <c r="V1862" s="227"/>
      <c r="W1862" s="227"/>
      <c r="X1862" s="227"/>
      <c r="Y1862" s="227" t="s">
        <v>4954</v>
      </c>
      <c r="Z1862" s="227" t="str">
        <f>P1862</f>
        <v>LESANPURO RW 06 MALANG</v>
      </c>
      <c r="AA1862" s="276" t="e">
        <f>VLOOKUP(Logfile_S[[#This Row],[DO number]],DO_DB!G:I,3,0)</f>
        <v>#N/A</v>
      </c>
      <c r="AB1862" s="331" t="e">
        <f>EXACT(Logfile_S[[#This Row],[date pick]],Logfile_S[[#This Row],[Date]])</f>
        <v>#N/A</v>
      </c>
      <c r="AC18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24C-20251025-01</v>
      </c>
    </row>
    <row r="1863" spans="1:29" ht="14.5">
      <c r="A1863" s="237" t="str">
        <f>TEXT(ROW(A1863)-ROW($A$4),"000")</f>
        <v>1859</v>
      </c>
      <c r="B1863" s="221">
        <v>8</v>
      </c>
      <c r="C1863" s="227" t="s">
        <v>48</v>
      </c>
      <c r="D1863" s="227" t="s">
        <v>4675</v>
      </c>
      <c r="E1863" s="227" t="s">
        <v>3295</v>
      </c>
      <c r="F1863" s="227" t="s">
        <v>3299</v>
      </c>
      <c r="G1863" s="239">
        <v>45955</v>
      </c>
      <c r="H1863" s="240">
        <v>0.33333333333333331</v>
      </c>
      <c r="I1863" s="227" t="s">
        <v>37</v>
      </c>
      <c r="J1863" s="227" t="s">
        <v>3023</v>
      </c>
      <c r="K1863" s="241" t="s">
        <v>3073</v>
      </c>
      <c r="L1863" s="225" t="str">
        <f>VLOOKUP(Logfile_S[[#This Row],[Material Name]],Sheet2!B:C,2,0)</f>
        <v>ZTE2001</v>
      </c>
      <c r="M1863" s="242" t="s">
        <v>20</v>
      </c>
      <c r="N1863" s="227">
        <v>3000</v>
      </c>
      <c r="O1863" s="227" t="s">
        <v>4663</v>
      </c>
      <c r="P1863" s="227" t="s">
        <v>4664</v>
      </c>
      <c r="Q1863" s="227"/>
      <c r="R1863" s="227"/>
      <c r="S1863" s="227"/>
      <c r="T1863" s="227"/>
      <c r="U1863" s="227"/>
      <c r="V1863" s="227"/>
      <c r="W1863" s="227"/>
      <c r="X1863" s="227"/>
      <c r="Y1863" s="227" t="s">
        <v>5027</v>
      </c>
      <c r="Z1863" s="227" t="str">
        <f>P1863</f>
        <v>LESANPURO RW 06 MALANG</v>
      </c>
      <c r="AA1863" s="276" t="e">
        <f>VLOOKUP(Logfile_S[[#This Row],[DO number]],DO_DB!G:I,3,0)</f>
        <v>#N/A</v>
      </c>
      <c r="AB1863" s="331" t="e">
        <f>EXACT(Logfile_S[[#This Row],[date pick]],Logfile_S[[#This Row],[Date]])</f>
        <v>#N/A</v>
      </c>
      <c r="AC18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24C-20251025-02</v>
      </c>
    </row>
    <row r="1864" spans="1:29" ht="14.5">
      <c r="A1864" s="237" t="str">
        <f>TEXT(ROW(A1864)-ROW($A$4),"000")</f>
        <v>1860</v>
      </c>
      <c r="B1864" s="221">
        <v>7</v>
      </c>
      <c r="C1864" s="227" t="s">
        <v>48</v>
      </c>
      <c r="D1864" s="227" t="s">
        <v>4675</v>
      </c>
      <c r="E1864" s="227" t="s">
        <v>3295</v>
      </c>
      <c r="F1864" s="227" t="s">
        <v>3299</v>
      </c>
      <c r="G1864" s="239">
        <v>45955</v>
      </c>
      <c r="H1864" s="240">
        <v>0.33333333333333331</v>
      </c>
      <c r="I1864" s="227" t="s">
        <v>37</v>
      </c>
      <c r="J1864" s="221" t="s">
        <v>3023</v>
      </c>
      <c r="K1864" s="241" t="s">
        <v>3074</v>
      </c>
      <c r="L1864" s="225" t="str">
        <f>VLOOKUP(Logfile_S[[#This Row],[Material Name]],Sheet2!B:C,2,0)</f>
        <v>ZTE2002</v>
      </c>
      <c r="M1864" s="242" t="s">
        <v>20</v>
      </c>
      <c r="N1864" s="227">
        <v>3000</v>
      </c>
      <c r="O1864" s="227" t="s">
        <v>4663</v>
      </c>
      <c r="P1864" s="227" t="s">
        <v>4664</v>
      </c>
      <c r="Q1864" s="221"/>
      <c r="R1864" s="221"/>
      <c r="S1864" s="227"/>
      <c r="T1864" s="227"/>
      <c r="U1864" s="227"/>
      <c r="V1864" s="227"/>
      <c r="W1864" s="227"/>
      <c r="X1864" s="227"/>
      <c r="Y1864" s="227" t="s">
        <v>5041</v>
      </c>
      <c r="Z1864" s="227" t="str">
        <f>P1864</f>
        <v>LESANPURO RW 06 MALANG</v>
      </c>
      <c r="AA1864" s="276" t="e">
        <f>VLOOKUP(Logfile_S[[#This Row],[DO number]],DO_DB!G:I,3,0)</f>
        <v>#N/A</v>
      </c>
      <c r="AB1864" s="331" t="e">
        <f>EXACT(Logfile_S[[#This Row],[date pick]],Logfile_S[[#This Row],[Date]])</f>
        <v>#N/A</v>
      </c>
      <c r="AC18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36C-20251025-01</v>
      </c>
    </row>
    <row r="1865" spans="1:29" ht="14.5">
      <c r="A1865" s="237" t="str">
        <f>TEXT(ROW(A1865)-ROW($A$4),"000")</f>
        <v>1861</v>
      </c>
      <c r="B1865" s="221">
        <v>6</v>
      </c>
      <c r="C1865" s="227" t="s">
        <v>48</v>
      </c>
      <c r="D1865" s="227" t="s">
        <v>4675</v>
      </c>
      <c r="E1865" s="227" t="s">
        <v>3295</v>
      </c>
      <c r="F1865" s="227" t="s">
        <v>3299</v>
      </c>
      <c r="G1865" s="239">
        <v>45955</v>
      </c>
      <c r="H1865" s="240">
        <v>0.33333333333333331</v>
      </c>
      <c r="I1865" s="227" t="s">
        <v>37</v>
      </c>
      <c r="J1865" s="221" t="s">
        <v>3023</v>
      </c>
      <c r="K1865" s="241" t="s">
        <v>3075</v>
      </c>
      <c r="L1865" s="225" t="str">
        <f>VLOOKUP(Logfile_S[[#This Row],[Material Name]],Sheet2!B:C,2,0)</f>
        <v>ZTE2003</v>
      </c>
      <c r="M1865" s="242" t="s">
        <v>20</v>
      </c>
      <c r="N1865" s="227">
        <v>3000</v>
      </c>
      <c r="O1865" s="227" t="s">
        <v>4663</v>
      </c>
      <c r="P1865" s="227" t="s">
        <v>4664</v>
      </c>
      <c r="Q1865" s="221"/>
      <c r="R1865" s="221"/>
      <c r="S1865" s="227"/>
      <c r="T1865" s="227"/>
      <c r="U1865" s="227"/>
      <c r="V1865" s="227"/>
      <c r="W1865" s="227"/>
      <c r="X1865" s="227"/>
      <c r="Y1865" s="227" t="s">
        <v>5089</v>
      </c>
      <c r="Z1865" s="227" t="str">
        <f>P1865</f>
        <v>LESANPURO RW 06 MALANG</v>
      </c>
      <c r="AA1865" s="276" t="e">
        <f>VLOOKUP(Logfile_S[[#This Row],[DO number]],DO_DB!G:I,3,0)</f>
        <v>#N/A</v>
      </c>
      <c r="AB1865" s="331" t="e">
        <f>EXACT(Logfile_S[[#This Row],[date pick]],Logfile_S[[#This Row],[Date]])</f>
        <v>#N/A</v>
      </c>
      <c r="AC18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48C-20251025-01</v>
      </c>
    </row>
    <row r="1866" spans="1:29" ht="14.5">
      <c r="A1866" s="237" t="str">
        <f>TEXT(ROW(A1866)-ROW($A$4),"000")</f>
        <v>1862</v>
      </c>
      <c r="B1866" s="221">
        <v>3</v>
      </c>
      <c r="C1866" s="227" t="s">
        <v>49</v>
      </c>
      <c r="D1866" s="227" t="s">
        <v>4677</v>
      </c>
      <c r="E1866" s="227" t="s">
        <v>3295</v>
      </c>
      <c r="F1866" s="227" t="s">
        <v>3299</v>
      </c>
      <c r="G1866" s="239">
        <v>45955</v>
      </c>
      <c r="H1866" s="240">
        <v>0.45833333333333331</v>
      </c>
      <c r="I1866" s="227" t="s">
        <v>3295</v>
      </c>
      <c r="J1866" s="221" t="s">
        <v>3023</v>
      </c>
      <c r="K1866" s="241" t="s">
        <v>3073</v>
      </c>
      <c r="L1866" s="225" t="str">
        <f>VLOOKUP(Logfile_S[[#This Row],[Material Name]],Sheet2!B:C,2,0)</f>
        <v>ZTE2001</v>
      </c>
      <c r="M1866" s="242" t="s">
        <v>20</v>
      </c>
      <c r="N1866" s="227">
        <v>3000</v>
      </c>
      <c r="O1866" s="227" t="s">
        <v>4663</v>
      </c>
      <c r="P1866" s="227" t="s">
        <v>4664</v>
      </c>
      <c r="Q1866" s="227"/>
      <c r="R1866" s="227"/>
      <c r="S1866" s="227"/>
      <c r="T1866" s="221" t="s">
        <v>3258</v>
      </c>
      <c r="U1866" s="221" t="s">
        <v>5107</v>
      </c>
      <c r="V1866" s="221" t="s">
        <v>3337</v>
      </c>
      <c r="W1866" s="221" t="s">
        <v>3338</v>
      </c>
      <c r="X1866" s="227"/>
      <c r="Y1866" s="227"/>
      <c r="Z1866" s="227" t="str">
        <f>P1866</f>
        <v>LESANPURO RW 06 MALANG</v>
      </c>
      <c r="AA1866" s="276" t="e">
        <f>VLOOKUP(Logfile_S[[#This Row],[DO number]],DO_DB!G:I,3,0)</f>
        <v>#N/A</v>
      </c>
      <c r="AB1866" s="331" t="e">
        <f>EXACT(Logfile_S[[#This Row],[date pick]],Logfile_S[[#This Row],[Date]])</f>
        <v>#N/A</v>
      </c>
      <c r="AC18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67" spans="1:29" ht="14.5">
      <c r="A1867" s="237" t="str">
        <f>TEXT(ROW(A1867)-ROW($A$4),"000")</f>
        <v>1863</v>
      </c>
      <c r="B1867" s="221">
        <v>4</v>
      </c>
      <c r="C1867" s="227" t="s">
        <v>49</v>
      </c>
      <c r="D1867" s="227" t="s">
        <v>4677</v>
      </c>
      <c r="E1867" s="227" t="s">
        <v>3295</v>
      </c>
      <c r="F1867" s="227" t="s">
        <v>3299</v>
      </c>
      <c r="G1867" s="239">
        <v>45955</v>
      </c>
      <c r="H1867" s="240">
        <v>0.45833333333333331</v>
      </c>
      <c r="I1867" s="227" t="s">
        <v>3295</v>
      </c>
      <c r="J1867" s="227" t="s">
        <v>3024</v>
      </c>
      <c r="K1867" s="241" t="s">
        <v>3087</v>
      </c>
      <c r="L1867" s="225" t="str">
        <f>VLOOKUP(Logfile_S[[#This Row],[Material Name]],Sheet2!B:C,2,0)</f>
        <v>GCI1001</v>
      </c>
      <c r="M1867" s="242" t="s">
        <v>19</v>
      </c>
      <c r="N1867" s="227">
        <v>23</v>
      </c>
      <c r="O1867" s="227" t="s">
        <v>4663</v>
      </c>
      <c r="P1867" s="227" t="s">
        <v>4664</v>
      </c>
      <c r="Q1867" s="227"/>
      <c r="R1867" s="227"/>
      <c r="S1867" s="227"/>
      <c r="T1867" s="221" t="s">
        <v>3258</v>
      </c>
      <c r="U1867" s="221">
        <v>0</v>
      </c>
      <c r="V1867" s="221" t="s">
        <v>3337</v>
      </c>
      <c r="W1867" s="221" t="s">
        <v>3338</v>
      </c>
      <c r="X1867" s="227"/>
      <c r="Y1867" s="227"/>
      <c r="Z1867" s="227" t="str">
        <f>P1867</f>
        <v>LESANPURO RW 06 MALANG</v>
      </c>
      <c r="AA1867" s="276" t="e">
        <f>VLOOKUP(Logfile_S[[#This Row],[DO number]],DO_DB!G:I,3,0)</f>
        <v>#N/A</v>
      </c>
      <c r="AB1867" s="331" t="e">
        <f>EXACT(Logfile_S[[#This Row],[date pick]],Logfile_S[[#This Row],[Date]])</f>
        <v>#N/A</v>
      </c>
      <c r="AC18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68" spans="1:29" ht="14.5">
      <c r="A1868" s="237" t="str">
        <f>TEXT(ROW(A1868)-ROW($A$4),"000")</f>
        <v>1864</v>
      </c>
      <c r="B1868" s="221">
        <v>5</v>
      </c>
      <c r="C1868" s="227" t="s">
        <v>48</v>
      </c>
      <c r="D1868" s="227" t="s">
        <v>4675</v>
      </c>
      <c r="E1868" s="227" t="s">
        <v>3295</v>
      </c>
      <c r="F1868" s="227" t="s">
        <v>3299</v>
      </c>
      <c r="G1868" s="239">
        <v>45955</v>
      </c>
      <c r="H1868" s="240">
        <v>0.33333333333333331</v>
      </c>
      <c r="I1868" s="227" t="s">
        <v>37</v>
      </c>
      <c r="J1868" s="221" t="s">
        <v>3023</v>
      </c>
      <c r="K1868" s="241" t="s">
        <v>14</v>
      </c>
      <c r="L1868" s="225" t="str">
        <f>VLOOKUP(Logfile_S[[#This Row],[Material Name]],Sheet2!B:C,2,0)</f>
        <v>ZTE2005</v>
      </c>
      <c r="M1868" s="242" t="s">
        <v>19</v>
      </c>
      <c r="N1868" s="227">
        <v>1</v>
      </c>
      <c r="O1868" s="227" t="s">
        <v>4663</v>
      </c>
      <c r="P1868" s="227" t="s">
        <v>4664</v>
      </c>
      <c r="Q1868" s="221"/>
      <c r="R1868" s="221"/>
      <c r="S1868" s="227"/>
      <c r="T1868" s="227"/>
      <c r="U1868" s="227"/>
      <c r="V1868" s="227"/>
      <c r="W1868" s="227"/>
      <c r="X1868" s="227"/>
      <c r="Y1868" s="227"/>
      <c r="Z1868" s="227" t="str">
        <f>P1868</f>
        <v>LESANPURO RW 06 MALANG</v>
      </c>
      <c r="AA1868" s="276" t="e">
        <f>VLOOKUP(Logfile_S[[#This Row],[DO number]],DO_DB!G:I,3,0)</f>
        <v>#N/A</v>
      </c>
      <c r="AB1868" s="331" t="e">
        <f>EXACT(Logfile_S[[#This Row],[date pick]],Logfile_S[[#This Row],[Date]])</f>
        <v>#N/A</v>
      </c>
      <c r="AC18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69" spans="1:29" ht="14.5">
      <c r="A1869" s="237" t="str">
        <f>TEXT(ROW(A1869)-ROW($A$4),"000")</f>
        <v>1865</v>
      </c>
      <c r="B1869" s="221">
        <v>4</v>
      </c>
      <c r="C1869" s="227" t="s">
        <v>48</v>
      </c>
      <c r="D1869" s="227" t="s">
        <v>4675</v>
      </c>
      <c r="E1869" s="227" t="s">
        <v>3295</v>
      </c>
      <c r="F1869" s="227" t="s">
        <v>3299</v>
      </c>
      <c r="G1869" s="239">
        <v>45955</v>
      </c>
      <c r="H1869" s="240">
        <v>0.33333333333333331</v>
      </c>
      <c r="I1869" s="227" t="s">
        <v>37</v>
      </c>
      <c r="J1869" s="221" t="s">
        <v>3023</v>
      </c>
      <c r="K1869" s="241" t="s">
        <v>15</v>
      </c>
      <c r="L1869" s="225" t="str">
        <f>VLOOKUP(Logfile_S[[#This Row],[Material Name]],Sheet2!B:C,2,0)</f>
        <v>ZTE2006</v>
      </c>
      <c r="M1869" s="242" t="s">
        <v>19</v>
      </c>
      <c r="N1869" s="227">
        <v>1</v>
      </c>
      <c r="O1869" s="227" t="s">
        <v>4663</v>
      </c>
      <c r="P1869" s="227" t="s">
        <v>4664</v>
      </c>
      <c r="Q1869" s="221" t="s">
        <v>4667</v>
      </c>
      <c r="R1869" s="221" t="s">
        <v>4668</v>
      </c>
      <c r="S1869" s="227"/>
      <c r="T1869" s="227"/>
      <c r="U1869" s="227"/>
      <c r="V1869" s="227"/>
      <c r="W1869" s="227"/>
      <c r="X1869" s="227"/>
      <c r="Y1869" s="227"/>
      <c r="Z1869" s="227" t="str">
        <f>P1869</f>
        <v>LESANPURO RW 06 MALANG</v>
      </c>
      <c r="AA1869" s="276">
        <f>VLOOKUP(Logfile_S[[#This Row],[DO number]],DO_DB!G:I,3,0)</f>
        <v>45951</v>
      </c>
      <c r="AB1869" s="331" t="b">
        <f>EXACT(Logfile_S[[#This Row],[date pick]],Logfile_S[[#This Row],[Date]])</f>
        <v>0</v>
      </c>
      <c r="AC18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70" spans="1:29" ht="14.5">
      <c r="A1870" s="237" t="str">
        <f>TEXT(ROW(A1870)-ROW($A$4),"000")</f>
        <v>1866</v>
      </c>
      <c r="B1870" s="221">
        <v>5</v>
      </c>
      <c r="C1870" s="227" t="s">
        <v>49</v>
      </c>
      <c r="D1870" s="227" t="s">
        <v>4677</v>
      </c>
      <c r="E1870" s="227" t="s">
        <v>3295</v>
      </c>
      <c r="F1870" s="227" t="s">
        <v>3299</v>
      </c>
      <c r="G1870" s="239">
        <v>45955</v>
      </c>
      <c r="H1870" s="240">
        <v>0.45833333333333331</v>
      </c>
      <c r="I1870" s="227" t="s">
        <v>3295</v>
      </c>
      <c r="J1870" s="221" t="s">
        <v>3023</v>
      </c>
      <c r="K1870" s="241" t="s">
        <v>15</v>
      </c>
      <c r="L1870" s="225" t="str">
        <f>VLOOKUP(Logfile_S[[#This Row],[Material Name]],Sheet2!B:C,2,0)</f>
        <v>ZTE2006</v>
      </c>
      <c r="M1870" s="242" t="s">
        <v>19</v>
      </c>
      <c r="N1870" s="227">
        <v>1</v>
      </c>
      <c r="O1870" s="227" t="s">
        <v>4663</v>
      </c>
      <c r="P1870" s="227" t="s">
        <v>4664</v>
      </c>
      <c r="Q1870" s="227"/>
      <c r="R1870" s="227"/>
      <c r="S1870" s="227"/>
      <c r="T1870" s="221" t="s">
        <v>3258</v>
      </c>
      <c r="U1870" s="221">
        <v>0</v>
      </c>
      <c r="V1870" s="221" t="s">
        <v>3337</v>
      </c>
      <c r="W1870" s="221" t="s">
        <v>3338</v>
      </c>
      <c r="X1870" s="227"/>
      <c r="Y1870" s="227"/>
      <c r="Z1870" s="227" t="str">
        <f>P1870</f>
        <v>LESANPURO RW 06 MALANG</v>
      </c>
      <c r="AA1870" s="276" t="e">
        <f>VLOOKUP(Logfile_S[[#This Row],[DO number]],DO_DB!G:I,3,0)</f>
        <v>#N/A</v>
      </c>
      <c r="AB1870" s="331" t="e">
        <f>EXACT(Logfile_S[[#This Row],[date pick]],Logfile_S[[#This Row],[Date]])</f>
        <v>#N/A</v>
      </c>
      <c r="AC18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71" spans="1:29" ht="14.5">
      <c r="A1871" s="237" t="str">
        <f>TEXT(ROW(A1871)-ROW($A$4),"000")</f>
        <v>1867</v>
      </c>
      <c r="B1871" s="221">
        <v>3</v>
      </c>
      <c r="C1871" s="227" t="s">
        <v>48</v>
      </c>
      <c r="D1871" s="227" t="s">
        <v>4675</v>
      </c>
      <c r="E1871" s="227" t="s">
        <v>3295</v>
      </c>
      <c r="F1871" s="227" t="s">
        <v>3299</v>
      </c>
      <c r="G1871" s="239">
        <v>45955</v>
      </c>
      <c r="H1871" s="240">
        <v>0.33333333333333331</v>
      </c>
      <c r="I1871" s="227" t="s">
        <v>37</v>
      </c>
      <c r="J1871" s="221" t="s">
        <v>3023</v>
      </c>
      <c r="K1871" s="241" t="s">
        <v>3070</v>
      </c>
      <c r="L1871" s="225" t="str">
        <f>VLOOKUP(Logfile_S[[#This Row],[Material Name]],Sheet2!B:C,2,0)</f>
        <v>ZTE1002</v>
      </c>
      <c r="M1871" s="242" t="s">
        <v>19</v>
      </c>
      <c r="N1871" s="227">
        <v>117</v>
      </c>
      <c r="O1871" s="227" t="s">
        <v>4663</v>
      </c>
      <c r="P1871" s="227" t="s">
        <v>4664</v>
      </c>
      <c r="Q1871" s="221" t="s">
        <v>4665</v>
      </c>
      <c r="R1871" s="221" t="s">
        <v>4666</v>
      </c>
      <c r="S1871" s="227"/>
      <c r="T1871" s="227"/>
      <c r="U1871" s="227"/>
      <c r="V1871" s="227"/>
      <c r="W1871" s="227"/>
      <c r="X1871" s="227"/>
      <c r="Y1871" s="227"/>
      <c r="Z1871" s="227" t="str">
        <f>P1871</f>
        <v>LESANPURO RW 06 MALANG</v>
      </c>
      <c r="AA1871" s="276">
        <f>VLOOKUP(Logfile_S[[#This Row],[DO number]],DO_DB!G:I,3,0)</f>
        <v>45951</v>
      </c>
      <c r="AB1871" s="331" t="b">
        <f>EXACT(Logfile_S[[#This Row],[date pick]],Logfile_S[[#This Row],[Date]])</f>
        <v>0</v>
      </c>
      <c r="AC18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72" spans="1:29" ht="14.5">
      <c r="A1872" s="237" t="str">
        <f>TEXT(ROW(A1872)-ROW($A$4),"000")</f>
        <v>1868</v>
      </c>
      <c r="B1872" s="221">
        <v>2</v>
      </c>
      <c r="C1872" s="227" t="s">
        <v>49</v>
      </c>
      <c r="D1872" s="227" t="s">
        <v>4677</v>
      </c>
      <c r="E1872" s="227" t="s">
        <v>3295</v>
      </c>
      <c r="F1872" s="227" t="s">
        <v>3299</v>
      </c>
      <c r="G1872" s="239">
        <v>45955</v>
      </c>
      <c r="H1872" s="240">
        <v>0.45833333333333331</v>
      </c>
      <c r="I1872" s="227" t="s">
        <v>3295</v>
      </c>
      <c r="J1872" s="221" t="s">
        <v>3023</v>
      </c>
      <c r="K1872" s="241" t="s">
        <v>3070</v>
      </c>
      <c r="L1872" s="225" t="str">
        <f>VLOOKUP(Logfile_S[[#This Row],[Material Name]],Sheet2!B:C,2,0)</f>
        <v>ZTE1002</v>
      </c>
      <c r="M1872" s="242" t="s">
        <v>19</v>
      </c>
      <c r="N1872" s="227">
        <v>5</v>
      </c>
      <c r="O1872" s="227" t="s">
        <v>4663</v>
      </c>
      <c r="P1872" s="227" t="s">
        <v>4664</v>
      </c>
      <c r="Q1872" s="227"/>
      <c r="R1872" s="227"/>
      <c r="S1872" s="227"/>
      <c r="T1872" s="221" t="s">
        <v>3258</v>
      </c>
      <c r="U1872" s="221">
        <v>0</v>
      </c>
      <c r="V1872" s="221" t="s">
        <v>3337</v>
      </c>
      <c r="W1872" s="221" t="s">
        <v>3338</v>
      </c>
      <c r="X1872" s="227"/>
      <c r="Y1872" s="227"/>
      <c r="Z1872" s="227" t="str">
        <f>P1872</f>
        <v>LESANPURO RW 06 MALANG</v>
      </c>
      <c r="AA1872" s="276" t="e">
        <f>VLOOKUP(Logfile_S[[#This Row],[DO number]],DO_DB!G:I,3,0)</f>
        <v>#N/A</v>
      </c>
      <c r="AB1872" s="331" t="e">
        <f>EXACT(Logfile_S[[#This Row],[date pick]],Logfile_S[[#This Row],[Date]])</f>
        <v>#N/A</v>
      </c>
      <c r="AC18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73" spans="1:29" ht="14.5">
      <c r="A1873" s="237" t="str">
        <f>TEXT(ROW(A1873)-ROW($A$4),"000")</f>
        <v>1869</v>
      </c>
      <c r="B1873" s="221">
        <v>1</v>
      </c>
      <c r="C1873" s="227" t="s">
        <v>48</v>
      </c>
      <c r="D1873" s="227" t="s">
        <v>4675</v>
      </c>
      <c r="E1873" s="227" t="s">
        <v>3295</v>
      </c>
      <c r="F1873" s="227" t="s">
        <v>3299</v>
      </c>
      <c r="G1873" s="239">
        <v>45955</v>
      </c>
      <c r="H1873" s="240">
        <v>0.33333333333333331</v>
      </c>
      <c r="I1873" s="227" t="s">
        <v>37</v>
      </c>
      <c r="J1873" s="221" t="s">
        <v>3023</v>
      </c>
      <c r="K1873" s="241" t="s">
        <v>3069</v>
      </c>
      <c r="L1873" s="225" t="str">
        <f>VLOOKUP(Logfile_S[[#This Row],[Material Name]],Sheet2!B:C,2,0)</f>
        <v>ZTE1001</v>
      </c>
      <c r="M1873" s="242" t="s">
        <v>19</v>
      </c>
      <c r="N1873" s="227">
        <v>33</v>
      </c>
      <c r="O1873" s="227" t="s">
        <v>4663</v>
      </c>
      <c r="P1873" s="227" t="s">
        <v>4664</v>
      </c>
      <c r="Q1873" s="221" t="s">
        <v>4665</v>
      </c>
      <c r="R1873" s="221" t="s">
        <v>4666</v>
      </c>
      <c r="S1873" s="227"/>
      <c r="T1873" s="227"/>
      <c r="U1873" s="227"/>
      <c r="V1873" s="227"/>
      <c r="W1873" s="227"/>
      <c r="X1873" s="227"/>
      <c r="Y1873" s="227"/>
      <c r="Z1873" s="227" t="str">
        <f>P1873</f>
        <v>LESANPURO RW 06 MALANG</v>
      </c>
      <c r="AA1873" s="276">
        <f>VLOOKUP(Logfile_S[[#This Row],[DO number]],DO_DB!G:I,3,0)</f>
        <v>45951</v>
      </c>
      <c r="AB1873" s="331" t="b">
        <f>EXACT(Logfile_S[[#This Row],[date pick]],Logfile_S[[#This Row],[Date]])</f>
        <v>0</v>
      </c>
      <c r="AC18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74" spans="1:29" ht="14.5">
      <c r="A1874" s="237" t="str">
        <f>TEXT(ROW(A1874)-ROW($A$4),"000")</f>
        <v>1870</v>
      </c>
      <c r="B1874" s="221">
        <v>1</v>
      </c>
      <c r="C1874" s="227" t="s">
        <v>49</v>
      </c>
      <c r="D1874" s="227" t="s">
        <v>4677</v>
      </c>
      <c r="E1874" s="227" t="s">
        <v>3295</v>
      </c>
      <c r="F1874" s="227" t="s">
        <v>3299</v>
      </c>
      <c r="G1874" s="239">
        <v>45955</v>
      </c>
      <c r="H1874" s="240">
        <v>0.45833333333333331</v>
      </c>
      <c r="I1874" s="227" t="s">
        <v>3295</v>
      </c>
      <c r="J1874" s="221" t="s">
        <v>3023</v>
      </c>
      <c r="K1874" s="241" t="s">
        <v>3069</v>
      </c>
      <c r="L1874" s="225" t="str">
        <f>VLOOKUP(Logfile_S[[#This Row],[Material Name]],Sheet2!B:C,2,0)</f>
        <v>ZTE1001</v>
      </c>
      <c r="M1874" s="242" t="s">
        <v>19</v>
      </c>
      <c r="N1874" s="227">
        <v>20</v>
      </c>
      <c r="O1874" s="227" t="s">
        <v>4663</v>
      </c>
      <c r="P1874" s="227" t="s">
        <v>4664</v>
      </c>
      <c r="Q1874" s="227"/>
      <c r="R1874" s="227"/>
      <c r="S1874" s="227"/>
      <c r="T1874" s="221" t="s">
        <v>3258</v>
      </c>
      <c r="U1874" s="221">
        <v>0</v>
      </c>
      <c r="V1874" s="221" t="s">
        <v>3337</v>
      </c>
      <c r="W1874" s="221" t="s">
        <v>3338</v>
      </c>
      <c r="X1874" s="227"/>
      <c r="Y1874" s="227"/>
      <c r="Z1874" s="227" t="str">
        <f>P1874</f>
        <v>LESANPURO RW 06 MALANG</v>
      </c>
      <c r="AA1874" s="276" t="e">
        <f>VLOOKUP(Logfile_S[[#This Row],[DO number]],DO_DB!G:I,3,0)</f>
        <v>#N/A</v>
      </c>
      <c r="AB1874" s="331" t="e">
        <f>EXACT(Logfile_S[[#This Row],[date pick]],Logfile_S[[#This Row],[Date]])</f>
        <v>#N/A</v>
      </c>
      <c r="AC18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75" spans="1:29" ht="14.5">
      <c r="A1875" s="237" t="str">
        <f>TEXT(ROW(A1875)-ROW($A$4),"000")</f>
        <v>1871</v>
      </c>
      <c r="B1875" s="221">
        <v>2</v>
      </c>
      <c r="C1875" s="227" t="s">
        <v>48</v>
      </c>
      <c r="D1875" s="227" t="s">
        <v>4675</v>
      </c>
      <c r="E1875" s="227" t="s">
        <v>3295</v>
      </c>
      <c r="F1875" s="227" t="s">
        <v>3299</v>
      </c>
      <c r="G1875" s="239">
        <v>45955</v>
      </c>
      <c r="H1875" s="240">
        <v>0.33333333333333331</v>
      </c>
      <c r="I1875" s="227" t="s">
        <v>37</v>
      </c>
      <c r="J1875" s="221" t="s">
        <v>3023</v>
      </c>
      <c r="K1875" s="241" t="s">
        <v>3071</v>
      </c>
      <c r="L1875" s="225" t="str">
        <f>VLOOKUP(Logfile_S[[#This Row],[Material Name]],Sheet2!B:C,2,0)</f>
        <v>ZTE1003</v>
      </c>
      <c r="M1875" s="242" t="s">
        <v>19</v>
      </c>
      <c r="N1875" s="227">
        <v>8</v>
      </c>
      <c r="O1875" s="227" t="s">
        <v>4663</v>
      </c>
      <c r="P1875" s="227" t="s">
        <v>4664</v>
      </c>
      <c r="Q1875" s="221"/>
      <c r="R1875" s="221"/>
      <c r="S1875" s="227"/>
      <c r="T1875" s="227"/>
      <c r="U1875" s="227"/>
      <c r="V1875" s="227"/>
      <c r="W1875" s="227"/>
      <c r="X1875" s="227"/>
      <c r="Y1875" s="227"/>
      <c r="Z1875" s="227" t="str">
        <f>P1875</f>
        <v>LESANPURO RW 06 MALANG</v>
      </c>
      <c r="AA1875" s="276" t="e">
        <f>VLOOKUP(Logfile_S[[#This Row],[DO number]],DO_DB!G:I,3,0)</f>
        <v>#N/A</v>
      </c>
      <c r="AB1875" s="331" t="e">
        <f>EXACT(Logfile_S[[#This Row],[date pick]],Logfile_S[[#This Row],[Date]])</f>
        <v>#N/A</v>
      </c>
      <c r="AC18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76" spans="1:29" ht="14.5">
      <c r="A1876" s="237" t="str">
        <f>TEXT(ROW(A1876)-ROW($A$4),"000")</f>
        <v>1872</v>
      </c>
      <c r="B1876" s="221">
        <v>1</v>
      </c>
      <c r="C1876" s="227" t="s">
        <v>48</v>
      </c>
      <c r="D1876" s="227" t="s">
        <v>4679</v>
      </c>
      <c r="E1876" s="227" t="s">
        <v>3295</v>
      </c>
      <c r="F1876" s="227" t="s">
        <v>3299</v>
      </c>
      <c r="G1876" s="239">
        <v>45959</v>
      </c>
      <c r="H1876" s="240">
        <v>0.64652777777777781</v>
      </c>
      <c r="I1876" s="227" t="s">
        <v>37</v>
      </c>
      <c r="J1876" s="221" t="s">
        <v>3023</v>
      </c>
      <c r="K1876" s="241" t="s">
        <v>13</v>
      </c>
      <c r="L1876" s="225" t="str">
        <f>VLOOKUP(Logfile_S[[#This Row],[Material Name]],Sheet2!B:C,2,0)</f>
        <v>ZTE2008</v>
      </c>
      <c r="M1876" s="242" t="s">
        <v>19</v>
      </c>
      <c r="N1876" s="227">
        <v>32</v>
      </c>
      <c r="O1876" s="221" t="s">
        <v>4663</v>
      </c>
      <c r="P1876" s="221" t="s">
        <v>4664</v>
      </c>
      <c r="Q1876" s="227"/>
      <c r="R1876" s="227"/>
      <c r="S1876" s="227"/>
      <c r="T1876" s="227" t="s">
        <v>3241</v>
      </c>
      <c r="U1876" s="227"/>
      <c r="V1876" s="227"/>
      <c r="W1876" s="227" t="s">
        <v>3242</v>
      </c>
      <c r="X1876" s="227"/>
      <c r="Y1876" s="227"/>
      <c r="Z1876" s="227" t="str">
        <f>P1876</f>
        <v>LESANPURO RW 06 MALANG</v>
      </c>
      <c r="AA1876" s="276" t="e">
        <f>VLOOKUP(Logfile_S[[#This Row],[DO number]],DO_DB!G:I,3,0)</f>
        <v>#N/A</v>
      </c>
      <c r="AB1876" s="331" t="e">
        <f>EXACT(Logfile_S[[#This Row],[date pick]],Logfile_S[[#This Row],[Date]])</f>
        <v>#N/A</v>
      </c>
      <c r="AC18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77" spans="1:29" ht="14.5">
      <c r="A1877" s="237" t="str">
        <f>TEXT(ROW(A1877)-ROW($A$4),"000")</f>
        <v>1873</v>
      </c>
      <c r="B1877" s="221">
        <v>2</v>
      </c>
      <c r="C1877" s="227" t="s">
        <v>49</v>
      </c>
      <c r="D1877" s="227" t="s">
        <v>4680</v>
      </c>
      <c r="E1877" s="227" t="s">
        <v>3295</v>
      </c>
      <c r="F1877" s="227" t="s">
        <v>3299</v>
      </c>
      <c r="G1877" s="239">
        <v>45959</v>
      </c>
      <c r="H1877" s="240">
        <v>0.64652777777777781</v>
      </c>
      <c r="I1877" s="227" t="s">
        <v>3295</v>
      </c>
      <c r="J1877" s="221" t="s">
        <v>3023</v>
      </c>
      <c r="K1877" s="241" t="s">
        <v>13</v>
      </c>
      <c r="L1877" s="225" t="str">
        <f>VLOOKUP(Logfile_S[[#This Row],[Material Name]],Sheet2!B:C,2,0)</f>
        <v>ZTE2008</v>
      </c>
      <c r="M1877" s="242" t="s">
        <v>19</v>
      </c>
      <c r="N1877" s="227">
        <v>15</v>
      </c>
      <c r="O1877" s="227" t="s">
        <v>4663</v>
      </c>
      <c r="P1877" s="227" t="s">
        <v>4664</v>
      </c>
      <c r="Q1877" s="227"/>
      <c r="R1877" s="227"/>
      <c r="S1877" s="227"/>
      <c r="T1877" s="227" t="s">
        <v>3356</v>
      </c>
      <c r="U1877" s="227"/>
      <c r="V1877" s="227"/>
      <c r="W1877" s="227" t="s">
        <v>4681</v>
      </c>
      <c r="X1877" s="227"/>
      <c r="Y1877" s="227"/>
      <c r="Z1877" s="227" t="str">
        <f>P1877</f>
        <v>LESANPURO RW 06 MALANG</v>
      </c>
      <c r="AA1877" s="276" t="e">
        <f>VLOOKUP(Logfile_S[[#This Row],[DO number]],DO_DB!G:I,3,0)</f>
        <v>#N/A</v>
      </c>
      <c r="AB1877" s="331" t="e">
        <f>EXACT(Logfile_S[[#This Row],[date pick]],Logfile_S[[#This Row],[Date]])</f>
        <v>#N/A</v>
      </c>
      <c r="AC18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78" spans="1:29" ht="14.5">
      <c r="A1878" s="237" t="str">
        <f>TEXT(ROW(A1878)-ROW($A$4),"000")</f>
        <v>1874</v>
      </c>
      <c r="B1878" s="221">
        <v>1</v>
      </c>
      <c r="C1878" s="227" t="s">
        <v>49</v>
      </c>
      <c r="D1878" s="227" t="s">
        <v>4728</v>
      </c>
      <c r="E1878" s="227" t="s">
        <v>3295</v>
      </c>
      <c r="F1878" s="227" t="s">
        <v>3299</v>
      </c>
      <c r="G1878" s="239">
        <v>45991</v>
      </c>
      <c r="H1878" s="240">
        <v>0.66666666666666663</v>
      </c>
      <c r="I1878" s="227" t="s">
        <v>3295</v>
      </c>
      <c r="J1878" s="227" t="s">
        <v>3024</v>
      </c>
      <c r="K1878" s="241" t="s">
        <v>3087</v>
      </c>
      <c r="L1878" s="225" t="str">
        <f>VLOOKUP(Logfile_S[[#This Row],[Material Name]],Sheet2!B:C,2,0)</f>
        <v>GCI1001</v>
      </c>
      <c r="M1878" s="242" t="s">
        <v>19</v>
      </c>
      <c r="N1878" s="227">
        <v>2</v>
      </c>
      <c r="O1878" s="227" t="s">
        <v>4663</v>
      </c>
      <c r="P1878" s="227" t="s">
        <v>4664</v>
      </c>
      <c r="Q1878" s="227"/>
      <c r="R1878" s="227"/>
      <c r="S1878" s="227"/>
      <c r="T1878" s="221" t="s">
        <v>3258</v>
      </c>
      <c r="U1878" s="221" t="s">
        <v>4811</v>
      </c>
      <c r="V1878" s="221" t="s">
        <v>3337</v>
      </c>
      <c r="W1878" s="221" t="s">
        <v>3338</v>
      </c>
      <c r="X1878" s="227" t="s">
        <v>4729</v>
      </c>
      <c r="Y1878" s="227"/>
      <c r="Z1878" s="227" t="str">
        <f>P1878</f>
        <v>LESANPURO RW 06 MALANG</v>
      </c>
      <c r="AA1878" s="276" t="e">
        <f>VLOOKUP(Logfile_S[[#This Row],[DO number]],DO_DB!G:I,3,0)</f>
        <v>#N/A</v>
      </c>
      <c r="AB1878" s="331" t="e">
        <f>EXACT(Logfile_S[[#This Row],[date pick]],Logfile_S[[#This Row],[Date]])</f>
        <v>#N/A</v>
      </c>
      <c r="AC18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79" spans="1:29" ht="14.5">
      <c r="A1879" s="237" t="str">
        <f>TEXT(ROW(A1879)-ROW($A$4),"000")</f>
        <v>1875</v>
      </c>
      <c r="B1879" s="221">
        <v>3</v>
      </c>
      <c r="C1879" s="227" t="s">
        <v>49</v>
      </c>
      <c r="D1879" s="227" t="s">
        <v>4653</v>
      </c>
      <c r="E1879" s="227" t="s">
        <v>3295</v>
      </c>
      <c r="F1879" s="227" t="s">
        <v>3299</v>
      </c>
      <c r="G1879" s="239">
        <v>45916</v>
      </c>
      <c r="H1879" s="240">
        <v>0.84371527777777777</v>
      </c>
      <c r="I1879" s="227" t="s">
        <v>3295</v>
      </c>
      <c r="J1879" s="227" t="s">
        <v>3023</v>
      </c>
      <c r="K1879" s="241" t="s">
        <v>13</v>
      </c>
      <c r="L1879" s="225" t="str">
        <f>VLOOKUP(Logfile_S[[#This Row],[Material Name]],Sheet2!B:C,2,0)</f>
        <v>ZTE2008</v>
      </c>
      <c r="M1879" s="225" t="str">
        <f>_xlfn.XLOOKUP(Logfile_S[[#This Row],[Material Name]],Sum_WH!E:E,Sum_WH!F:F,"",0)</f>
        <v>Pcs</v>
      </c>
      <c r="N1879" s="227">
        <v>19</v>
      </c>
      <c r="O1879" s="227" t="s">
        <v>3203</v>
      </c>
      <c r="P1879" s="227" t="s">
        <v>3204</v>
      </c>
      <c r="Q1879" s="227" t="s">
        <v>3205</v>
      </c>
      <c r="R1879" s="227" t="s">
        <v>3206</v>
      </c>
      <c r="S1879" s="227"/>
      <c r="T1879" s="227" t="s">
        <v>3471</v>
      </c>
      <c r="U1879" s="227">
        <v>0</v>
      </c>
      <c r="V1879" s="227" t="s">
        <v>3472</v>
      </c>
      <c r="W1879" s="227" t="s">
        <v>3545</v>
      </c>
      <c r="X1879" s="227"/>
      <c r="Y1879" s="227"/>
      <c r="Z1879" s="227" t="str">
        <f>P1879</f>
        <v>Perumahan Bululawang Permai RW 02</v>
      </c>
      <c r="AA1879" s="276">
        <f>VLOOKUP(Logfile_S[[#This Row],[DO number]],DO_DB!G:I,3,0)</f>
        <v>45888</v>
      </c>
      <c r="AB1879" s="331" t="b">
        <f>EXACT(Logfile_S[[#This Row],[date pick]],Logfile_S[[#This Row],[Date]])</f>
        <v>0</v>
      </c>
      <c r="AC18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80" spans="1:29" ht="14.5">
      <c r="A1880" s="237" t="str">
        <f>TEXT(ROW(A1880)-ROW($A$4),"000")</f>
        <v>1876</v>
      </c>
      <c r="B1880" s="221">
        <v>2</v>
      </c>
      <c r="C1880" s="227" t="s">
        <v>49</v>
      </c>
      <c r="D1880" s="227" t="s">
        <v>4653</v>
      </c>
      <c r="E1880" s="227" t="s">
        <v>3295</v>
      </c>
      <c r="F1880" s="227" t="s">
        <v>3299</v>
      </c>
      <c r="G1880" s="239">
        <v>45916</v>
      </c>
      <c r="H1880" s="240">
        <v>0.84356481481481482</v>
      </c>
      <c r="I1880" s="227" t="s">
        <v>3295</v>
      </c>
      <c r="J1880" s="227" t="s">
        <v>3023</v>
      </c>
      <c r="K1880" s="241" t="s">
        <v>14</v>
      </c>
      <c r="L1880" s="225" t="str">
        <f>VLOOKUP(Logfile_S[[#This Row],[Material Name]],Sheet2!B:C,2,0)</f>
        <v>ZTE2005</v>
      </c>
      <c r="M1880" s="225" t="str">
        <f>_xlfn.XLOOKUP(Logfile_S[[#This Row],[Material Name]],Sum_WH!E:E,Sum_WH!F:F,"",0)</f>
        <v>Pcs</v>
      </c>
      <c r="N1880" s="227">
        <v>1</v>
      </c>
      <c r="O1880" s="227" t="s">
        <v>3203</v>
      </c>
      <c r="P1880" s="227" t="s">
        <v>3204</v>
      </c>
      <c r="Q1880" s="227" t="s">
        <v>3205</v>
      </c>
      <c r="R1880" s="227" t="s">
        <v>3206</v>
      </c>
      <c r="S1880" s="227"/>
      <c r="T1880" s="227" t="s">
        <v>3471</v>
      </c>
      <c r="U1880" s="227">
        <v>0</v>
      </c>
      <c r="V1880" s="227" t="s">
        <v>3472</v>
      </c>
      <c r="W1880" s="227" t="s">
        <v>3545</v>
      </c>
      <c r="X1880" s="227"/>
      <c r="Y1880" s="227"/>
      <c r="Z1880" s="227" t="str">
        <f>P1880</f>
        <v>Perumahan Bululawang Permai RW 02</v>
      </c>
      <c r="AA1880" s="276">
        <f>VLOOKUP(Logfile_S[[#This Row],[DO number]],DO_DB!G:I,3,0)</f>
        <v>45888</v>
      </c>
      <c r="AB1880" s="331" t="b">
        <f>EXACT(Logfile_S[[#This Row],[date pick]],Logfile_S[[#This Row],[Date]])</f>
        <v>0</v>
      </c>
      <c r="AC18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81" spans="1:29" ht="14.5">
      <c r="A1881" s="237" t="str">
        <f>TEXT(ROW(A1881)-ROW($A$4),"000")</f>
        <v>1877</v>
      </c>
      <c r="B1881" s="221">
        <v>1</v>
      </c>
      <c r="C1881" s="227" t="s">
        <v>49</v>
      </c>
      <c r="D1881" s="227" t="s">
        <v>4653</v>
      </c>
      <c r="E1881" s="227" t="s">
        <v>3295</v>
      </c>
      <c r="F1881" s="227" t="s">
        <v>3299</v>
      </c>
      <c r="G1881" s="239">
        <v>45916</v>
      </c>
      <c r="H1881" s="240">
        <v>0.84336805555555561</v>
      </c>
      <c r="I1881" s="227" t="s">
        <v>3295</v>
      </c>
      <c r="J1881" s="227" t="s">
        <v>3023</v>
      </c>
      <c r="K1881" s="241" t="s">
        <v>3072</v>
      </c>
      <c r="L1881" s="225" t="str">
        <f>VLOOKUP(Logfile_S[[#This Row],[Material Name]],Sheet2!B:C,2,0)</f>
        <v>ZTE1004</v>
      </c>
      <c r="M1881" s="225" t="str">
        <f>_xlfn.XLOOKUP(Logfile_S[[#This Row],[Material Name]],Sum_WH!E:E,Sum_WH!F:F,"",0)</f>
        <v>Pcs</v>
      </c>
      <c r="N1881" s="227">
        <v>1</v>
      </c>
      <c r="O1881" s="227" t="s">
        <v>3203</v>
      </c>
      <c r="P1881" s="227" t="s">
        <v>3204</v>
      </c>
      <c r="Q1881" s="227" t="s">
        <v>3205</v>
      </c>
      <c r="R1881" s="227" t="s">
        <v>3206</v>
      </c>
      <c r="S1881" s="227"/>
      <c r="T1881" s="227" t="s">
        <v>3471</v>
      </c>
      <c r="U1881" s="227">
        <v>0</v>
      </c>
      <c r="V1881" s="227" t="s">
        <v>3472</v>
      </c>
      <c r="W1881" s="227" t="s">
        <v>3545</v>
      </c>
      <c r="X1881" s="227"/>
      <c r="Y1881" s="227"/>
      <c r="Z1881" s="227" t="str">
        <f>P1881</f>
        <v>Perumahan Bululawang Permai RW 02</v>
      </c>
      <c r="AA1881" s="276">
        <f>VLOOKUP(Logfile_S[[#This Row],[DO number]],DO_DB!G:I,3,0)</f>
        <v>45888</v>
      </c>
      <c r="AB1881" s="331" t="b">
        <f>EXACT(Logfile_S[[#This Row],[date pick]],Logfile_S[[#This Row],[Date]])</f>
        <v>0</v>
      </c>
      <c r="AC18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82" spans="1:29" ht="14.5">
      <c r="A1882" s="237" t="str">
        <f>TEXT(ROW(A1882)-ROW($A$4),"000")</f>
        <v>1878</v>
      </c>
      <c r="B1882" s="221">
        <v>6</v>
      </c>
      <c r="C1882" s="227" t="s">
        <v>48</v>
      </c>
      <c r="D1882" s="227" t="s">
        <v>4660</v>
      </c>
      <c r="E1882" s="227" t="s">
        <v>3295</v>
      </c>
      <c r="F1882" s="227" t="s">
        <v>3299</v>
      </c>
      <c r="G1882" s="239">
        <v>45944</v>
      </c>
      <c r="H1882" s="240">
        <v>0.63958333333333328</v>
      </c>
      <c r="I1882" s="227" t="s">
        <v>38</v>
      </c>
      <c r="J1882" s="227" t="s">
        <v>3024</v>
      </c>
      <c r="K1882" s="241" t="s">
        <v>3097</v>
      </c>
      <c r="L1882" s="225" t="str">
        <f>VLOOKUP(Logfile_S[[#This Row],[Material Name]],Sheet2!B:C,2,0)</f>
        <v>GCI1011</v>
      </c>
      <c r="M1882" s="225" t="str">
        <f>_xlfn.XLOOKUP(Logfile_S[[#This Row],[Material Name]],Sum_WH!E:E,Sum_WH!F:F,"",0)</f>
        <v>Pcs</v>
      </c>
      <c r="N1882" s="227">
        <v>1</v>
      </c>
      <c r="O1882" s="227" t="s">
        <v>3203</v>
      </c>
      <c r="P1882" s="227" t="s">
        <v>3204</v>
      </c>
      <c r="Q1882" s="227" t="s">
        <v>3205</v>
      </c>
      <c r="R1882" s="227" t="s">
        <v>3206</v>
      </c>
      <c r="S1882" s="227"/>
      <c r="T1882" s="227"/>
      <c r="U1882" s="227"/>
      <c r="V1882" s="227"/>
      <c r="W1882" s="227"/>
      <c r="X1882" s="227"/>
      <c r="Y1882" s="227"/>
      <c r="Z1882" s="227" t="str">
        <f>P1882</f>
        <v>Perumahan Bululawang Permai RW 02</v>
      </c>
      <c r="AA1882" s="276">
        <f>VLOOKUP(Logfile_S[[#This Row],[DO number]],DO_DB!G:I,3,0)</f>
        <v>45888</v>
      </c>
      <c r="AB1882" s="331" t="b">
        <f>EXACT(Logfile_S[[#This Row],[date pick]],Logfile_S[[#This Row],[Date]])</f>
        <v>0</v>
      </c>
      <c r="AC18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83" spans="1:29" ht="14.5">
      <c r="A1883" s="237" t="str">
        <f>TEXT(ROW(A1883)-ROW($A$4),"000")</f>
        <v>1879</v>
      </c>
      <c r="B1883" s="221">
        <v>4</v>
      </c>
      <c r="C1883" s="227" t="s">
        <v>48</v>
      </c>
      <c r="D1883" s="227" t="s">
        <v>4660</v>
      </c>
      <c r="E1883" s="227" t="s">
        <v>3295</v>
      </c>
      <c r="F1883" s="227" t="s">
        <v>3299</v>
      </c>
      <c r="G1883" s="239">
        <v>45944</v>
      </c>
      <c r="H1883" s="240">
        <v>0.63958333333333328</v>
      </c>
      <c r="I1883" s="227" t="s">
        <v>38</v>
      </c>
      <c r="J1883" s="227" t="s">
        <v>3024</v>
      </c>
      <c r="K1883" s="241" t="s">
        <v>3091</v>
      </c>
      <c r="L1883" s="225" t="str">
        <f>VLOOKUP(Logfile_S[[#This Row],[Material Name]],Sheet2!B:C,2,0)</f>
        <v>GCI1005</v>
      </c>
      <c r="M1883" s="225" t="str">
        <f>_xlfn.XLOOKUP(Logfile_S[[#This Row],[Material Name]],Sum_WH!E:E,Sum_WH!F:F,"",0)</f>
        <v>Pcs</v>
      </c>
      <c r="N1883" s="227">
        <v>85</v>
      </c>
      <c r="O1883" s="227" t="s">
        <v>3203</v>
      </c>
      <c r="P1883" s="227" t="s">
        <v>3204</v>
      </c>
      <c r="Q1883" s="227" t="s">
        <v>3205</v>
      </c>
      <c r="R1883" s="227" t="s">
        <v>3206</v>
      </c>
      <c r="S1883" s="227"/>
      <c r="T1883" s="227"/>
      <c r="U1883" s="227"/>
      <c r="V1883" s="227"/>
      <c r="W1883" s="227"/>
      <c r="X1883" s="227"/>
      <c r="Y1883" s="227"/>
      <c r="Z1883" s="227" t="str">
        <f>P1883</f>
        <v>Perumahan Bululawang Permai RW 02</v>
      </c>
      <c r="AA1883" s="276">
        <f>VLOOKUP(Logfile_S[[#This Row],[DO number]],DO_DB!G:I,3,0)</f>
        <v>45888</v>
      </c>
      <c r="AB1883" s="331" t="b">
        <f>EXACT(Logfile_S[[#This Row],[date pick]],Logfile_S[[#This Row],[Date]])</f>
        <v>0</v>
      </c>
      <c r="AC18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84" spans="1:29" ht="14.5">
      <c r="A1884" s="237" t="str">
        <f>TEXT(ROW(A1884)-ROW($A$4),"000")</f>
        <v>1880</v>
      </c>
      <c r="B1884" s="221">
        <v>1</v>
      </c>
      <c r="C1884" s="227" t="s">
        <v>48</v>
      </c>
      <c r="D1884" s="227" t="s">
        <v>4660</v>
      </c>
      <c r="E1884" s="227" t="s">
        <v>3295</v>
      </c>
      <c r="F1884" s="227" t="s">
        <v>3299</v>
      </c>
      <c r="G1884" s="239">
        <v>45944</v>
      </c>
      <c r="H1884" s="240">
        <v>0.63958333333333328</v>
      </c>
      <c r="I1884" s="227" t="s">
        <v>38</v>
      </c>
      <c r="J1884" s="227" t="s">
        <v>3024</v>
      </c>
      <c r="K1884" s="241" t="s">
        <v>3087</v>
      </c>
      <c r="L1884" s="225" t="str">
        <f>VLOOKUP(Logfile_S[[#This Row],[Material Name]],Sheet2!B:C,2,0)</f>
        <v>GCI1001</v>
      </c>
      <c r="M1884" s="225" t="str">
        <f>_xlfn.XLOOKUP(Logfile_S[[#This Row],[Material Name]],Sum_WH!E:E,Sum_WH!F:F,"",0)</f>
        <v>Pcs</v>
      </c>
      <c r="N1884" s="227">
        <v>28</v>
      </c>
      <c r="O1884" s="227" t="s">
        <v>3203</v>
      </c>
      <c r="P1884" s="227" t="s">
        <v>3204</v>
      </c>
      <c r="Q1884" s="227" t="s">
        <v>3205</v>
      </c>
      <c r="R1884" s="227" t="s">
        <v>3206</v>
      </c>
      <c r="S1884" s="227"/>
      <c r="T1884" s="227"/>
      <c r="U1884" s="227"/>
      <c r="V1884" s="227"/>
      <c r="W1884" s="227"/>
      <c r="X1884" s="227"/>
      <c r="Y1884" s="227"/>
      <c r="Z1884" s="227" t="str">
        <f>P1884</f>
        <v>Perumahan Bululawang Permai RW 02</v>
      </c>
      <c r="AA1884" s="276">
        <f>VLOOKUP(Logfile_S[[#This Row],[DO number]],DO_DB!G:I,3,0)</f>
        <v>45888</v>
      </c>
      <c r="AB1884" s="331" t="b">
        <f>EXACT(Logfile_S[[#This Row],[date pick]],Logfile_S[[#This Row],[Date]])</f>
        <v>0</v>
      </c>
      <c r="AC18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85" spans="1:29" ht="14.5">
      <c r="A1885" s="237" t="str">
        <f>TEXT(ROW(A1885)-ROW($A$4),"000")</f>
        <v>1881</v>
      </c>
      <c r="B1885" s="221">
        <v>2</v>
      </c>
      <c r="C1885" s="227" t="s">
        <v>48</v>
      </c>
      <c r="D1885" s="227" t="s">
        <v>4660</v>
      </c>
      <c r="E1885" s="227" t="s">
        <v>3295</v>
      </c>
      <c r="F1885" s="227" t="s">
        <v>3299</v>
      </c>
      <c r="G1885" s="239">
        <v>45944</v>
      </c>
      <c r="H1885" s="240">
        <v>0.63958333333333328</v>
      </c>
      <c r="I1885" s="227" t="s">
        <v>38</v>
      </c>
      <c r="J1885" s="227" t="s">
        <v>3024</v>
      </c>
      <c r="K1885" s="224" t="s">
        <v>5137</v>
      </c>
      <c r="L1885" s="225" t="str">
        <f>VLOOKUP(Logfile_S[[#This Row],[Material Name]],Sheet2!B:C,2,0)</f>
        <v>GCI1009</v>
      </c>
      <c r="M1885" s="225" t="str">
        <f>_xlfn.XLOOKUP(Logfile_S[[#This Row],[Material Name]],Sum_WH!E:E,Sum_WH!F:F,"",0)</f>
        <v>Pcs</v>
      </c>
      <c r="N1885" s="227">
        <v>216</v>
      </c>
      <c r="O1885" s="227" t="s">
        <v>3203</v>
      </c>
      <c r="P1885" s="227" t="s">
        <v>3204</v>
      </c>
      <c r="Q1885" s="227" t="s">
        <v>3205</v>
      </c>
      <c r="R1885" s="227" t="s">
        <v>3206</v>
      </c>
      <c r="S1885" s="227"/>
      <c r="T1885" s="227"/>
      <c r="U1885" s="227"/>
      <c r="V1885" s="227"/>
      <c r="W1885" s="227"/>
      <c r="X1885" s="227"/>
      <c r="Y1885" s="227"/>
      <c r="Z1885" s="227" t="str">
        <f>P1885</f>
        <v>Perumahan Bululawang Permai RW 02</v>
      </c>
      <c r="AA1885" s="276">
        <f>VLOOKUP(Logfile_S[[#This Row],[DO number]],DO_DB!G:I,3,0)</f>
        <v>45888</v>
      </c>
      <c r="AB1885" s="331" t="b">
        <f>EXACT(Logfile_S[[#This Row],[date pick]],Logfile_S[[#This Row],[Date]])</f>
        <v>0</v>
      </c>
      <c r="AC18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86" spans="1:29" ht="14.5">
      <c r="A1886" s="237" t="str">
        <f>TEXT(ROW(A1886)-ROW($A$4),"000")</f>
        <v>1882</v>
      </c>
      <c r="B1886" s="221">
        <v>5</v>
      </c>
      <c r="C1886" s="227" t="s">
        <v>48</v>
      </c>
      <c r="D1886" s="227" t="s">
        <v>4660</v>
      </c>
      <c r="E1886" s="227" t="s">
        <v>3295</v>
      </c>
      <c r="F1886" s="227" t="s">
        <v>3299</v>
      </c>
      <c r="G1886" s="239">
        <v>45944</v>
      </c>
      <c r="H1886" s="240">
        <v>0.63958333333333328</v>
      </c>
      <c r="I1886" s="227" t="s">
        <v>38</v>
      </c>
      <c r="J1886" s="227" t="s">
        <v>3024</v>
      </c>
      <c r="K1886" s="241" t="s">
        <v>3094</v>
      </c>
      <c r="L1886" s="225" t="str">
        <f>VLOOKUP(Logfile_S[[#This Row],[Material Name]],Sheet2!B:C,2,0)</f>
        <v>GCI1008</v>
      </c>
      <c r="M1886" s="225" t="str">
        <f>_xlfn.XLOOKUP(Logfile_S[[#This Row],[Material Name]],Sum_WH!E:E,Sum_WH!F:F,"",0)</f>
        <v>Pcs</v>
      </c>
      <c r="N1886" s="227">
        <v>217</v>
      </c>
      <c r="O1886" s="227" t="s">
        <v>3203</v>
      </c>
      <c r="P1886" s="227" t="s">
        <v>3204</v>
      </c>
      <c r="Q1886" s="227" t="s">
        <v>3205</v>
      </c>
      <c r="R1886" s="227" t="s">
        <v>3206</v>
      </c>
      <c r="S1886" s="227"/>
      <c r="T1886" s="227"/>
      <c r="U1886" s="227"/>
      <c r="V1886" s="227"/>
      <c r="W1886" s="227"/>
      <c r="X1886" s="227"/>
      <c r="Y1886" s="227"/>
      <c r="Z1886" s="227" t="str">
        <f>P1886</f>
        <v>Perumahan Bululawang Permai RW 02</v>
      </c>
      <c r="AA1886" s="276">
        <f>VLOOKUP(Logfile_S[[#This Row],[DO number]],DO_DB!G:I,3,0)</f>
        <v>45888</v>
      </c>
      <c r="AB1886" s="331" t="b">
        <f>EXACT(Logfile_S[[#This Row],[date pick]],Logfile_S[[#This Row],[Date]])</f>
        <v>0</v>
      </c>
      <c r="AC18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87" spans="1:29" ht="14.5">
      <c r="A1887" s="237" t="str">
        <f>TEXT(ROW(A1887)-ROW($A$4),"000")</f>
        <v>1883</v>
      </c>
      <c r="B1887" s="221">
        <v>3</v>
      </c>
      <c r="C1887" s="227" t="s">
        <v>48</v>
      </c>
      <c r="D1887" s="227" t="s">
        <v>4660</v>
      </c>
      <c r="E1887" s="227" t="s">
        <v>3295</v>
      </c>
      <c r="F1887" s="227" t="s">
        <v>3299</v>
      </c>
      <c r="G1887" s="239">
        <v>45944</v>
      </c>
      <c r="H1887" s="240">
        <v>0.63958333333333328</v>
      </c>
      <c r="I1887" s="227" t="s">
        <v>38</v>
      </c>
      <c r="J1887" s="227" t="s">
        <v>3024</v>
      </c>
      <c r="K1887" s="241" t="s">
        <v>3089</v>
      </c>
      <c r="L1887" s="225" t="str">
        <f>VLOOKUP(Logfile_S[[#This Row],[Material Name]],Sheet2!B:C,2,0)</f>
        <v>GCI1003</v>
      </c>
      <c r="M1887" s="225" t="str">
        <f>_xlfn.XLOOKUP(Logfile_S[[#This Row],[Material Name]],Sum_WH!E:E,Sum_WH!F:F,"",0)</f>
        <v>Pcs</v>
      </c>
      <c r="N1887" s="227">
        <v>336</v>
      </c>
      <c r="O1887" s="227" t="s">
        <v>3203</v>
      </c>
      <c r="P1887" s="227" t="s">
        <v>3204</v>
      </c>
      <c r="Q1887" s="227" t="s">
        <v>3205</v>
      </c>
      <c r="R1887" s="227" t="s">
        <v>3206</v>
      </c>
      <c r="S1887" s="227"/>
      <c r="T1887" s="227"/>
      <c r="U1887" s="227"/>
      <c r="V1887" s="227"/>
      <c r="W1887" s="227"/>
      <c r="X1887" s="227"/>
      <c r="Y1887" s="227"/>
      <c r="Z1887" s="227" t="str">
        <f>P1887</f>
        <v>Perumahan Bululawang Permai RW 02</v>
      </c>
      <c r="AA1887" s="276">
        <f>VLOOKUP(Logfile_S[[#This Row],[DO number]],DO_DB!G:I,3,0)</f>
        <v>45888</v>
      </c>
      <c r="AB1887" s="331" t="b">
        <f>EXACT(Logfile_S[[#This Row],[date pick]],Logfile_S[[#This Row],[Date]])</f>
        <v>0</v>
      </c>
      <c r="AC18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88" spans="1:29" ht="14.5">
      <c r="A1888" s="220" t="str">
        <f>TEXT(ROW(A1888)-ROW($A$4),"000")</f>
        <v>1884</v>
      </c>
      <c r="B1888" s="221"/>
      <c r="C1888" s="221" t="s">
        <v>48</v>
      </c>
      <c r="D1888" s="221" t="s">
        <v>4413</v>
      </c>
      <c r="E1888" s="221" t="s">
        <v>3295</v>
      </c>
      <c r="F1888" s="221" t="s">
        <v>3299</v>
      </c>
      <c r="G1888" s="222">
        <v>45888</v>
      </c>
      <c r="H1888" s="223">
        <v>15.291666666666666</v>
      </c>
      <c r="I1888" s="221" t="s">
        <v>37</v>
      </c>
      <c r="J1888" s="221" t="s">
        <v>3023</v>
      </c>
      <c r="K1888" s="224" t="s">
        <v>3075</v>
      </c>
      <c r="L1888" s="225" t="str">
        <f>VLOOKUP(Logfile_S[[#This Row],[Material Name]],Sheet2!B:C,2,0)</f>
        <v>ZTE2003</v>
      </c>
      <c r="M1888" s="225" t="str">
        <f>_xlfn.XLOOKUP(Logfile_S[[#This Row],[Material Name]],Sum_WH!E:E,Sum_WH!F:F,"",0)</f>
        <v>Meter</v>
      </c>
      <c r="N1888" s="221">
        <v>3000</v>
      </c>
      <c r="O1888" s="221" t="s">
        <v>3203</v>
      </c>
      <c r="P1888" s="221" t="s">
        <v>3598</v>
      </c>
      <c r="Q1888" s="221" t="s">
        <v>3205</v>
      </c>
      <c r="R1888" s="221" t="s">
        <v>3206</v>
      </c>
      <c r="S1888" s="221"/>
      <c r="T1888" s="221"/>
      <c r="U1888" s="221"/>
      <c r="V1888" s="221"/>
      <c r="W1888" s="221"/>
      <c r="X1888" s="221"/>
      <c r="Y1888" s="227" t="s">
        <v>5088</v>
      </c>
      <c r="Z1888" s="227" t="str">
        <f>P1888</f>
        <v>PERUMAHAN BULULAWANG PERMAI RW 02</v>
      </c>
      <c r="AA1888" s="276">
        <f>VLOOKUP(Logfile_S[[#This Row],[DO number]],DO_DB!G:I,3,0)</f>
        <v>45888</v>
      </c>
      <c r="AB1888" s="331" t="b">
        <f>EXACT(Logfile_S[[#This Row],[date pick]],Logfile_S[[#This Row],[Date]])</f>
        <v>1</v>
      </c>
      <c r="AC18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48C-2025819-01</v>
      </c>
    </row>
    <row r="1889" spans="1:29" ht="14.5">
      <c r="A1889" s="220" t="str">
        <f>TEXT(ROW(A1889)-ROW($A$4),"000")</f>
        <v>1885</v>
      </c>
      <c r="B1889" s="221"/>
      <c r="C1889" s="221" t="s">
        <v>49</v>
      </c>
      <c r="D1889" s="221" t="s">
        <v>4414</v>
      </c>
      <c r="E1889" s="221" t="s">
        <v>3295</v>
      </c>
      <c r="F1889" s="221" t="s">
        <v>3299</v>
      </c>
      <c r="G1889" s="222">
        <v>45888</v>
      </c>
      <c r="H1889" s="223">
        <v>0.43819444444444444</v>
      </c>
      <c r="I1889" s="221" t="s">
        <v>4916</v>
      </c>
      <c r="J1889" s="221" t="s">
        <v>3023</v>
      </c>
      <c r="K1889" s="224" t="s">
        <v>3075</v>
      </c>
      <c r="L1889" s="225" t="str">
        <f>VLOOKUP(Logfile_S[[#This Row],[Material Name]],Sheet2!B:C,2,0)</f>
        <v>ZTE2003</v>
      </c>
      <c r="M1889" s="225" t="str">
        <f>_xlfn.XLOOKUP(Logfile_S[[#This Row],[Material Name]],Sum_WH!E:E,Sum_WH!F:F,"",0)</f>
        <v>Meter</v>
      </c>
      <c r="N1889" s="221">
        <v>3000</v>
      </c>
      <c r="O1889" s="221" t="s">
        <v>3203</v>
      </c>
      <c r="P1889" s="221" t="s">
        <v>3598</v>
      </c>
      <c r="Q1889" s="221"/>
      <c r="R1889" s="221"/>
      <c r="S1889" s="221"/>
      <c r="T1889" s="221" t="s">
        <v>3258</v>
      </c>
      <c r="U1889" s="221" t="s">
        <v>5107</v>
      </c>
      <c r="V1889" s="221" t="s">
        <v>3337</v>
      </c>
      <c r="W1889" s="221" t="s">
        <v>3338</v>
      </c>
      <c r="X1889" s="221"/>
      <c r="Y1889" s="227"/>
      <c r="Z1889" s="227" t="str">
        <f>P1889</f>
        <v>PERUMAHAN BULULAWANG PERMAI RW 02</v>
      </c>
      <c r="AA1889" s="276" t="e">
        <f>VLOOKUP(Logfile_S[[#This Row],[DO number]],DO_DB!G:I,3,0)</f>
        <v>#N/A</v>
      </c>
      <c r="AB1889" s="331" t="e">
        <f>EXACT(Logfile_S[[#This Row],[date pick]],Logfile_S[[#This Row],[Date]])</f>
        <v>#N/A</v>
      </c>
      <c r="AC18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90" spans="1:29" ht="14.5">
      <c r="A1890" s="220" t="str">
        <f>TEXT(ROW(A1890)-ROW($A$4),"000")</f>
        <v>1886</v>
      </c>
      <c r="B1890" s="221"/>
      <c r="C1890" s="221" t="s">
        <v>48</v>
      </c>
      <c r="D1890" s="221" t="s">
        <v>4415</v>
      </c>
      <c r="E1890" s="221" t="s">
        <v>3295</v>
      </c>
      <c r="F1890" s="221" t="s">
        <v>3299</v>
      </c>
      <c r="G1890" s="222">
        <v>45888</v>
      </c>
      <c r="H1890" s="223">
        <v>15.291666666666666</v>
      </c>
      <c r="I1890" s="221" t="s">
        <v>37</v>
      </c>
      <c r="J1890" s="221" t="s">
        <v>3023</v>
      </c>
      <c r="K1890" s="224" t="s">
        <v>13</v>
      </c>
      <c r="L1890" s="225" t="str">
        <f>VLOOKUP(Logfile_S[[#This Row],[Material Name]],Sheet2!B:C,2,0)</f>
        <v>ZTE2008</v>
      </c>
      <c r="M1890" s="225" t="str">
        <f>_xlfn.XLOOKUP(Logfile_S[[#This Row],[Material Name]],Sum_WH!E:E,Sum_WH!F:F,"",0)</f>
        <v>Pcs</v>
      </c>
      <c r="N1890" s="221">
        <v>19</v>
      </c>
      <c r="O1890" s="221" t="s">
        <v>3203</v>
      </c>
      <c r="P1890" s="221" t="s">
        <v>3598</v>
      </c>
      <c r="Q1890" s="221" t="s">
        <v>3205</v>
      </c>
      <c r="R1890" s="221" t="s">
        <v>3206</v>
      </c>
      <c r="S1890" s="221"/>
      <c r="T1890" s="221"/>
      <c r="U1890" s="221"/>
      <c r="V1890" s="221"/>
      <c r="W1890" s="221"/>
      <c r="X1890" s="221"/>
      <c r="Y1890" s="227"/>
      <c r="Z1890" s="227" t="str">
        <f>P1890</f>
        <v>PERUMAHAN BULULAWANG PERMAI RW 02</v>
      </c>
      <c r="AA1890" s="276">
        <f>VLOOKUP(Logfile_S[[#This Row],[DO number]],DO_DB!G:I,3,0)</f>
        <v>45888</v>
      </c>
      <c r="AB1890" s="331" t="b">
        <f>EXACT(Logfile_S[[#This Row],[date pick]],Logfile_S[[#This Row],[Date]])</f>
        <v>1</v>
      </c>
      <c r="AC18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91" spans="1:29" ht="14.5">
      <c r="A1891" s="220" t="str">
        <f>TEXT(ROW(A1891)-ROW($A$4),"000")</f>
        <v>1887</v>
      </c>
      <c r="B1891" s="221"/>
      <c r="C1891" s="221" t="s">
        <v>48</v>
      </c>
      <c r="D1891" s="221" t="s">
        <v>4415</v>
      </c>
      <c r="E1891" s="221" t="s">
        <v>3295</v>
      </c>
      <c r="F1891" s="221" t="s">
        <v>3299</v>
      </c>
      <c r="G1891" s="222">
        <v>45888</v>
      </c>
      <c r="H1891" s="223">
        <v>15.291666666666666</v>
      </c>
      <c r="I1891" s="221" t="s">
        <v>37</v>
      </c>
      <c r="J1891" s="221" t="s">
        <v>3023</v>
      </c>
      <c r="K1891" s="224" t="s">
        <v>14</v>
      </c>
      <c r="L1891" s="225" t="str">
        <f>VLOOKUP(Logfile_S[[#This Row],[Material Name]],Sheet2!B:C,2,0)</f>
        <v>ZTE2005</v>
      </c>
      <c r="M1891" s="225" t="str">
        <f>_xlfn.XLOOKUP(Logfile_S[[#This Row],[Material Name]],Sum_WH!E:E,Sum_WH!F:F,"",0)</f>
        <v>Pcs</v>
      </c>
      <c r="N1891" s="221">
        <v>1</v>
      </c>
      <c r="O1891" s="221" t="s">
        <v>3203</v>
      </c>
      <c r="P1891" s="221" t="s">
        <v>3598</v>
      </c>
      <c r="Q1891" s="221" t="s">
        <v>3205</v>
      </c>
      <c r="R1891" s="221" t="s">
        <v>3206</v>
      </c>
      <c r="S1891" s="221"/>
      <c r="T1891" s="221"/>
      <c r="U1891" s="221"/>
      <c r="V1891" s="221"/>
      <c r="W1891" s="221"/>
      <c r="X1891" s="221"/>
      <c r="Y1891" s="227"/>
      <c r="Z1891" s="227" t="str">
        <f>P1891</f>
        <v>PERUMAHAN BULULAWANG PERMAI RW 02</v>
      </c>
      <c r="AA1891" s="276">
        <f>VLOOKUP(Logfile_S[[#This Row],[DO number]],DO_DB!G:I,3,0)</f>
        <v>45888</v>
      </c>
      <c r="AB1891" s="331" t="b">
        <f>EXACT(Logfile_S[[#This Row],[date pick]],Logfile_S[[#This Row],[Date]])</f>
        <v>1</v>
      </c>
      <c r="AC18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92" spans="1:29" ht="14.5">
      <c r="A1892" s="220" t="str">
        <f>TEXT(ROW(A1892)-ROW($A$4),"000")</f>
        <v>1888</v>
      </c>
      <c r="B1892" s="221"/>
      <c r="C1892" s="221" t="s">
        <v>48</v>
      </c>
      <c r="D1892" s="221" t="s">
        <v>4415</v>
      </c>
      <c r="E1892" s="221" t="s">
        <v>3295</v>
      </c>
      <c r="F1892" s="221" t="s">
        <v>3299</v>
      </c>
      <c r="G1892" s="222">
        <v>45888</v>
      </c>
      <c r="H1892" s="223">
        <v>15.291666666666666</v>
      </c>
      <c r="I1892" s="221" t="s">
        <v>37</v>
      </c>
      <c r="J1892" s="221" t="s">
        <v>3023</v>
      </c>
      <c r="K1892" s="224" t="s">
        <v>3072</v>
      </c>
      <c r="L1892" s="225" t="str">
        <f>VLOOKUP(Logfile_S[[#This Row],[Material Name]],Sheet2!B:C,2,0)</f>
        <v>ZTE1004</v>
      </c>
      <c r="M1892" s="225" t="str">
        <f>_xlfn.XLOOKUP(Logfile_S[[#This Row],[Material Name]],Sum_WH!E:E,Sum_WH!F:F,"",0)</f>
        <v>Pcs</v>
      </c>
      <c r="N1892" s="221">
        <v>1</v>
      </c>
      <c r="O1892" s="221" t="s">
        <v>3203</v>
      </c>
      <c r="P1892" s="221" t="s">
        <v>3598</v>
      </c>
      <c r="Q1892" s="221"/>
      <c r="R1892" s="221"/>
      <c r="S1892" s="221"/>
      <c r="T1892" s="221"/>
      <c r="U1892" s="221"/>
      <c r="V1892" s="221"/>
      <c r="W1892" s="221"/>
      <c r="X1892" s="221"/>
      <c r="Y1892" s="227"/>
      <c r="Z1892" s="227" t="str">
        <f>P1892</f>
        <v>PERUMAHAN BULULAWANG PERMAI RW 02</v>
      </c>
      <c r="AA1892" s="276" t="e">
        <f>VLOOKUP(Logfile_S[[#This Row],[DO number]],DO_DB!G:I,3,0)</f>
        <v>#N/A</v>
      </c>
      <c r="AB1892" s="331" t="e">
        <f>EXACT(Logfile_S[[#This Row],[date pick]],Logfile_S[[#This Row],[Date]])</f>
        <v>#N/A</v>
      </c>
      <c r="AC18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93" spans="1:29" ht="14.5">
      <c r="A1893" s="220" t="str">
        <f>TEXT(ROW(A1893)-ROW($A$4),"000")</f>
        <v>1889</v>
      </c>
      <c r="B1893" s="221"/>
      <c r="C1893" s="221" t="s">
        <v>48</v>
      </c>
      <c r="D1893" s="221" t="s">
        <v>4415</v>
      </c>
      <c r="E1893" s="221" t="s">
        <v>3295</v>
      </c>
      <c r="F1893" s="221" t="s">
        <v>3299</v>
      </c>
      <c r="G1893" s="222">
        <v>45888</v>
      </c>
      <c r="H1893" s="223">
        <v>15.291666666666666</v>
      </c>
      <c r="I1893" s="221" t="s">
        <v>37</v>
      </c>
      <c r="J1893" s="221" t="s">
        <v>3023</v>
      </c>
      <c r="K1893" s="224" t="s">
        <v>3070</v>
      </c>
      <c r="L1893" s="225" t="str">
        <f>VLOOKUP(Logfile_S[[#This Row],[Material Name]],Sheet2!B:C,2,0)</f>
        <v>ZTE1002</v>
      </c>
      <c r="M1893" s="225" t="str">
        <f>_xlfn.XLOOKUP(Logfile_S[[#This Row],[Material Name]],Sum_WH!E:E,Sum_WH!F:F,"",0)</f>
        <v>Pcs</v>
      </c>
      <c r="N1893" s="221">
        <v>145</v>
      </c>
      <c r="O1893" s="221" t="s">
        <v>3203</v>
      </c>
      <c r="P1893" s="221" t="s">
        <v>3598</v>
      </c>
      <c r="Q1893" s="221" t="s">
        <v>3205</v>
      </c>
      <c r="R1893" s="221" t="s">
        <v>3206</v>
      </c>
      <c r="S1893" s="221"/>
      <c r="T1893" s="221" t="s">
        <v>3258</v>
      </c>
      <c r="U1893" s="221">
        <v>0</v>
      </c>
      <c r="V1893" s="221" t="s">
        <v>3337</v>
      </c>
      <c r="W1893" s="221" t="s">
        <v>3338</v>
      </c>
      <c r="X1893" s="221"/>
      <c r="Y1893" s="227"/>
      <c r="Z1893" s="227" t="str">
        <f>P1893</f>
        <v>PERUMAHAN BULULAWANG PERMAI RW 02</v>
      </c>
      <c r="AA1893" s="276">
        <f>VLOOKUP(Logfile_S[[#This Row],[DO number]],DO_DB!G:I,3,0)</f>
        <v>45888</v>
      </c>
      <c r="AB1893" s="331" t="b">
        <f>EXACT(Logfile_S[[#This Row],[date pick]],Logfile_S[[#This Row],[Date]])</f>
        <v>1</v>
      </c>
      <c r="AC18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94" spans="1:29" ht="14.5">
      <c r="A1894" s="220" t="str">
        <f>TEXT(ROW(A1894)-ROW($A$4),"000")</f>
        <v>1890</v>
      </c>
      <c r="B1894" s="221"/>
      <c r="C1894" s="221" t="s">
        <v>49</v>
      </c>
      <c r="D1894" s="221" t="s">
        <v>4414</v>
      </c>
      <c r="E1894" s="221" t="s">
        <v>3295</v>
      </c>
      <c r="F1894" s="221" t="s">
        <v>3299</v>
      </c>
      <c r="G1894" s="222">
        <v>45888</v>
      </c>
      <c r="H1894" s="223">
        <v>0.43819444444444444</v>
      </c>
      <c r="I1894" s="221" t="s">
        <v>4916</v>
      </c>
      <c r="J1894" s="221" t="s">
        <v>3023</v>
      </c>
      <c r="K1894" s="224" t="s">
        <v>3070</v>
      </c>
      <c r="L1894" s="225" t="str">
        <f>VLOOKUP(Logfile_S[[#This Row],[Material Name]],Sheet2!B:C,2,0)</f>
        <v>ZTE1002</v>
      </c>
      <c r="M1894" s="225" t="str">
        <f>_xlfn.XLOOKUP(Logfile_S[[#This Row],[Material Name]],Sum_WH!E:E,Sum_WH!F:F,"",0)</f>
        <v>Pcs</v>
      </c>
      <c r="N1894" s="221">
        <v>19</v>
      </c>
      <c r="O1894" s="221" t="s">
        <v>3203</v>
      </c>
      <c r="P1894" s="221" t="s">
        <v>3598</v>
      </c>
      <c r="Q1894" s="221"/>
      <c r="R1894" s="221"/>
      <c r="S1894" s="221"/>
      <c r="T1894" s="221" t="s">
        <v>3258</v>
      </c>
      <c r="U1894" s="221">
        <v>0</v>
      </c>
      <c r="V1894" s="221" t="s">
        <v>3337</v>
      </c>
      <c r="W1894" s="221" t="s">
        <v>3338</v>
      </c>
      <c r="X1894" s="221"/>
      <c r="Y1894" s="227"/>
      <c r="Z1894" s="227" t="str">
        <f>P1894</f>
        <v>PERUMAHAN BULULAWANG PERMAI RW 02</v>
      </c>
      <c r="AA1894" s="276" t="e">
        <f>VLOOKUP(Logfile_S[[#This Row],[DO number]],DO_DB!G:I,3,0)</f>
        <v>#N/A</v>
      </c>
      <c r="AB1894" s="331" t="e">
        <f>EXACT(Logfile_S[[#This Row],[date pick]],Logfile_S[[#This Row],[Date]])</f>
        <v>#N/A</v>
      </c>
      <c r="AC18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95" spans="1:29" ht="14.5">
      <c r="A1895" s="220" t="str">
        <f>TEXT(ROW(A1895)-ROW($A$4),"000")</f>
        <v>1891</v>
      </c>
      <c r="B1895" s="221"/>
      <c r="C1895" s="221" t="s">
        <v>48</v>
      </c>
      <c r="D1895" s="221" t="s">
        <v>4415</v>
      </c>
      <c r="E1895" s="221" t="s">
        <v>3295</v>
      </c>
      <c r="F1895" s="221" t="s">
        <v>3299</v>
      </c>
      <c r="G1895" s="222">
        <v>45888</v>
      </c>
      <c r="H1895" s="223">
        <v>15.291666666666666</v>
      </c>
      <c r="I1895" s="221" t="s">
        <v>37</v>
      </c>
      <c r="J1895" s="221" t="s">
        <v>3023</v>
      </c>
      <c r="K1895" s="224" t="s">
        <v>3069</v>
      </c>
      <c r="L1895" s="225" t="str">
        <f>VLOOKUP(Logfile_S[[#This Row],[Material Name]],Sheet2!B:C,2,0)</f>
        <v>ZTE1001</v>
      </c>
      <c r="M1895" s="225" t="str">
        <f>_xlfn.XLOOKUP(Logfile_S[[#This Row],[Material Name]],Sum_WH!E:E,Sum_WH!F:F,"",0)</f>
        <v>Pcs</v>
      </c>
      <c r="N1895" s="221">
        <v>1</v>
      </c>
      <c r="O1895" s="221" t="s">
        <v>3203</v>
      </c>
      <c r="P1895" s="221" t="s">
        <v>3598</v>
      </c>
      <c r="Q1895" s="221" t="s">
        <v>3205</v>
      </c>
      <c r="R1895" s="221" t="s">
        <v>3206</v>
      </c>
      <c r="S1895" s="221"/>
      <c r="T1895" s="221" t="s">
        <v>3258</v>
      </c>
      <c r="U1895" s="221">
        <v>0</v>
      </c>
      <c r="V1895" s="221" t="s">
        <v>3337</v>
      </c>
      <c r="W1895" s="221" t="s">
        <v>3338</v>
      </c>
      <c r="X1895" s="221"/>
      <c r="Y1895" s="227"/>
      <c r="Z1895" s="227" t="str">
        <f>P1895</f>
        <v>PERUMAHAN BULULAWANG PERMAI RW 02</v>
      </c>
      <c r="AA1895" s="276">
        <f>VLOOKUP(Logfile_S[[#This Row],[DO number]],DO_DB!G:I,3,0)</f>
        <v>45888</v>
      </c>
      <c r="AB1895" s="331" t="b">
        <f>EXACT(Logfile_S[[#This Row],[date pick]],Logfile_S[[#This Row],[Date]])</f>
        <v>1</v>
      </c>
      <c r="AC18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96" spans="1:29" ht="14.5">
      <c r="A1896" s="220" t="str">
        <f>TEXT(ROW(A1896)-ROW($A$4),"000")</f>
        <v>1892</v>
      </c>
      <c r="B1896" s="221"/>
      <c r="C1896" s="221" t="s">
        <v>49</v>
      </c>
      <c r="D1896" s="221" t="s">
        <v>4414</v>
      </c>
      <c r="E1896" s="221" t="s">
        <v>3295</v>
      </c>
      <c r="F1896" s="221" t="s">
        <v>3299</v>
      </c>
      <c r="G1896" s="222">
        <v>45888</v>
      </c>
      <c r="H1896" s="223">
        <v>0.43819444444444444</v>
      </c>
      <c r="I1896" s="221" t="s">
        <v>4916</v>
      </c>
      <c r="J1896" s="221" t="s">
        <v>3023</v>
      </c>
      <c r="K1896" s="224" t="s">
        <v>3069</v>
      </c>
      <c r="L1896" s="225" t="str">
        <f>VLOOKUP(Logfile_S[[#This Row],[Material Name]],Sheet2!B:C,2,0)</f>
        <v>ZTE1001</v>
      </c>
      <c r="M1896" s="225" t="str">
        <f>_xlfn.XLOOKUP(Logfile_S[[#This Row],[Material Name]],Sum_WH!E:E,Sum_WH!F:F,"",0)</f>
        <v>Pcs</v>
      </c>
      <c r="N1896" s="221">
        <v>1</v>
      </c>
      <c r="O1896" s="221" t="s">
        <v>3203</v>
      </c>
      <c r="P1896" s="221" t="s">
        <v>3598</v>
      </c>
      <c r="Q1896" s="221"/>
      <c r="R1896" s="221"/>
      <c r="S1896" s="221"/>
      <c r="T1896" s="221" t="s">
        <v>3258</v>
      </c>
      <c r="U1896" s="221">
        <v>0</v>
      </c>
      <c r="V1896" s="221" t="s">
        <v>3337</v>
      </c>
      <c r="W1896" s="221" t="s">
        <v>3338</v>
      </c>
      <c r="X1896" s="221"/>
      <c r="Y1896" s="227"/>
      <c r="Z1896" s="227" t="str">
        <f>P1896</f>
        <v>PERUMAHAN BULULAWANG PERMAI RW 02</v>
      </c>
      <c r="AA1896" s="276" t="e">
        <f>VLOOKUP(Logfile_S[[#This Row],[DO number]],DO_DB!G:I,3,0)</f>
        <v>#N/A</v>
      </c>
      <c r="AB1896" s="331" t="e">
        <f>EXACT(Logfile_S[[#This Row],[date pick]],Logfile_S[[#This Row],[Date]])</f>
        <v>#N/A</v>
      </c>
      <c r="AC18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97" spans="1:29" ht="14.5">
      <c r="A1897" s="220" t="str">
        <f>TEXT(ROW(A1897)-ROW($A$4),"000")</f>
        <v>1893</v>
      </c>
      <c r="B1897" s="221"/>
      <c r="C1897" s="221" t="s">
        <v>49</v>
      </c>
      <c r="D1897" s="221" t="s">
        <v>4416</v>
      </c>
      <c r="E1897" s="221" t="s">
        <v>3295</v>
      </c>
      <c r="F1897" s="221" t="s">
        <v>3299</v>
      </c>
      <c r="G1897" s="222">
        <v>45889</v>
      </c>
      <c r="H1897" s="223">
        <v>0.44097222222222221</v>
      </c>
      <c r="I1897" s="221" t="s">
        <v>4916</v>
      </c>
      <c r="J1897" s="221" t="s">
        <v>3023</v>
      </c>
      <c r="K1897" s="224" t="s">
        <v>3070</v>
      </c>
      <c r="L1897" s="225" t="str">
        <f>VLOOKUP(Logfile_S[[#This Row],[Material Name]],Sheet2!B:C,2,0)</f>
        <v>ZTE1002</v>
      </c>
      <c r="M1897" s="225" t="str">
        <f>_xlfn.XLOOKUP(Logfile_S[[#This Row],[Material Name]],Sum_WH!E:E,Sum_WH!F:F,"",0)</f>
        <v>Pcs</v>
      </c>
      <c r="N1897" s="221">
        <v>25</v>
      </c>
      <c r="O1897" s="221" t="s">
        <v>3203</v>
      </c>
      <c r="P1897" s="221" t="s">
        <v>3598</v>
      </c>
      <c r="Q1897" s="221"/>
      <c r="R1897" s="221"/>
      <c r="S1897" s="221"/>
      <c r="T1897" s="221" t="s">
        <v>3258</v>
      </c>
      <c r="U1897" s="221">
        <v>0</v>
      </c>
      <c r="V1897" s="221" t="s">
        <v>3337</v>
      </c>
      <c r="W1897" s="221" t="s">
        <v>3338</v>
      </c>
      <c r="X1897" s="221"/>
      <c r="Y1897" s="227"/>
      <c r="Z1897" s="227" t="str">
        <f>P1897</f>
        <v>PERUMAHAN BULULAWANG PERMAI RW 02</v>
      </c>
      <c r="AA1897" s="276" t="e">
        <f>VLOOKUP(Logfile_S[[#This Row],[DO number]],DO_DB!G:I,3,0)</f>
        <v>#N/A</v>
      </c>
      <c r="AB1897" s="331" t="e">
        <f>EXACT(Logfile_S[[#This Row],[date pick]],Logfile_S[[#This Row],[Date]])</f>
        <v>#N/A</v>
      </c>
      <c r="AC18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98" spans="1:29" ht="14.5">
      <c r="A1898" s="237" t="str">
        <f>TEXT(ROW(A1898)-ROW($A$4),"000")</f>
        <v>1894</v>
      </c>
      <c r="B1898" s="221">
        <v>4</v>
      </c>
      <c r="C1898" s="227" t="s">
        <v>49</v>
      </c>
      <c r="D1898" s="227" t="s">
        <v>4683</v>
      </c>
      <c r="E1898" s="227" t="s">
        <v>3295</v>
      </c>
      <c r="F1898" s="227" t="s">
        <v>3299</v>
      </c>
      <c r="G1898" s="239">
        <v>45967</v>
      </c>
      <c r="H1898" s="240">
        <v>0.70833333333333337</v>
      </c>
      <c r="I1898" s="227" t="s">
        <v>3295</v>
      </c>
      <c r="J1898" s="221" t="s">
        <v>3023</v>
      </c>
      <c r="K1898" s="241" t="s">
        <v>3074</v>
      </c>
      <c r="L1898" s="225" t="str">
        <f>VLOOKUP(Logfile_S[[#This Row],[Material Name]],Sheet2!B:C,2,0)</f>
        <v>ZTE2002</v>
      </c>
      <c r="M1898" s="242" t="s">
        <v>20</v>
      </c>
      <c r="N1898" s="227">
        <v>3000</v>
      </c>
      <c r="O1898" s="227" t="s">
        <v>4692</v>
      </c>
      <c r="P1898" s="227" t="s">
        <v>4693</v>
      </c>
      <c r="Q1898" s="227" t="s">
        <v>3260</v>
      </c>
      <c r="R1898" s="227" t="s">
        <v>3260</v>
      </c>
      <c r="S1898" s="227"/>
      <c r="T1898" s="221" t="s">
        <v>3258</v>
      </c>
      <c r="U1898" s="221" t="s">
        <v>4811</v>
      </c>
      <c r="V1898" s="221" t="s">
        <v>3337</v>
      </c>
      <c r="W1898" s="221" t="s">
        <v>3338</v>
      </c>
      <c r="X1898" s="227"/>
      <c r="Y1898" s="227"/>
      <c r="Z1898" s="227" t="str">
        <f>P1898</f>
        <v>PALAAN RW 01 SAMPAI 05 MALANG</v>
      </c>
      <c r="AA1898" s="276" t="e">
        <f>VLOOKUP(Logfile_S[[#This Row],[DO number]],DO_DB!G:I,3,0)</f>
        <v>#N/A</v>
      </c>
      <c r="AB1898" s="331" t="e">
        <f>EXACT(Logfile_S[[#This Row],[date pick]],Logfile_S[[#This Row],[Date]])</f>
        <v>#N/A</v>
      </c>
      <c r="AC18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899" spans="1:29" ht="14.5">
      <c r="A1899" s="237" t="str">
        <f>TEXT(ROW(A1899)-ROW($A$4),"000")</f>
        <v>1895</v>
      </c>
      <c r="B1899" s="221">
        <v>5</v>
      </c>
      <c r="C1899" s="227" t="s">
        <v>49</v>
      </c>
      <c r="D1899" s="227" t="s">
        <v>4683</v>
      </c>
      <c r="E1899" s="227" t="s">
        <v>3295</v>
      </c>
      <c r="F1899" s="227" t="s">
        <v>3299</v>
      </c>
      <c r="G1899" s="239">
        <v>45967</v>
      </c>
      <c r="H1899" s="240">
        <v>0.70833333333333337</v>
      </c>
      <c r="I1899" s="227" t="s">
        <v>3295</v>
      </c>
      <c r="J1899" s="221" t="s">
        <v>3023</v>
      </c>
      <c r="K1899" s="241" t="s">
        <v>3075</v>
      </c>
      <c r="L1899" s="225" t="str">
        <f>VLOOKUP(Logfile_S[[#This Row],[Material Name]],Sheet2!B:C,2,0)</f>
        <v>ZTE2003</v>
      </c>
      <c r="M1899" s="242" t="s">
        <v>20</v>
      </c>
      <c r="N1899" s="227">
        <v>3000</v>
      </c>
      <c r="O1899" s="227" t="s">
        <v>4692</v>
      </c>
      <c r="P1899" s="227" t="s">
        <v>4693</v>
      </c>
      <c r="Q1899" s="227" t="s">
        <v>3260</v>
      </c>
      <c r="R1899" s="227" t="s">
        <v>3260</v>
      </c>
      <c r="S1899" s="227"/>
      <c r="T1899" s="221" t="s">
        <v>3258</v>
      </c>
      <c r="U1899" s="221" t="s">
        <v>4811</v>
      </c>
      <c r="V1899" s="221" t="s">
        <v>3337</v>
      </c>
      <c r="W1899" s="221" t="s">
        <v>3338</v>
      </c>
      <c r="X1899" s="227"/>
      <c r="Y1899" s="227"/>
      <c r="Z1899" s="227" t="str">
        <f>P1899</f>
        <v>PALAAN RW 01 SAMPAI 05 MALANG</v>
      </c>
      <c r="AA1899" s="276" t="e">
        <f>VLOOKUP(Logfile_S[[#This Row],[DO number]],DO_DB!G:I,3,0)</f>
        <v>#N/A</v>
      </c>
      <c r="AB1899" s="331" t="e">
        <f>EXACT(Logfile_S[[#This Row],[date pick]],Logfile_S[[#This Row],[Date]])</f>
        <v>#N/A</v>
      </c>
      <c r="AC18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00" spans="1:29" ht="14.5">
      <c r="A1900" s="237" t="str">
        <f>TEXT(ROW(A1900)-ROW($A$4),"000")</f>
        <v>1896</v>
      </c>
      <c r="B1900" s="221">
        <v>2</v>
      </c>
      <c r="C1900" s="227" t="s">
        <v>49</v>
      </c>
      <c r="D1900" s="227" t="s">
        <v>4683</v>
      </c>
      <c r="E1900" s="227" t="s">
        <v>3295</v>
      </c>
      <c r="F1900" s="227" t="s">
        <v>3299</v>
      </c>
      <c r="G1900" s="239">
        <v>45967</v>
      </c>
      <c r="H1900" s="240">
        <v>0.70833333333333337</v>
      </c>
      <c r="I1900" s="227" t="s">
        <v>3295</v>
      </c>
      <c r="J1900" s="221" t="s">
        <v>3023</v>
      </c>
      <c r="K1900" s="241" t="s">
        <v>3070</v>
      </c>
      <c r="L1900" s="225" t="str">
        <f>VLOOKUP(Logfile_S[[#This Row],[Material Name]],Sheet2!B:C,2,0)</f>
        <v>ZTE1002</v>
      </c>
      <c r="M1900" s="242" t="s">
        <v>19</v>
      </c>
      <c r="N1900" s="227">
        <v>58</v>
      </c>
      <c r="O1900" s="227" t="s">
        <v>4692</v>
      </c>
      <c r="P1900" s="227" t="s">
        <v>4693</v>
      </c>
      <c r="Q1900" s="227" t="s">
        <v>3260</v>
      </c>
      <c r="R1900" s="227" t="s">
        <v>3260</v>
      </c>
      <c r="S1900" s="227"/>
      <c r="T1900" s="221" t="s">
        <v>3258</v>
      </c>
      <c r="U1900" s="221">
        <v>0</v>
      </c>
      <c r="V1900" s="221" t="s">
        <v>3337</v>
      </c>
      <c r="W1900" s="221" t="s">
        <v>3338</v>
      </c>
      <c r="X1900" s="227"/>
      <c r="Y1900" s="227"/>
      <c r="Z1900" s="227" t="str">
        <f>P1900</f>
        <v>PALAAN RW 01 SAMPAI 05 MALANG</v>
      </c>
      <c r="AA1900" s="276" t="e">
        <f>VLOOKUP(Logfile_S[[#This Row],[DO number]],DO_DB!G:I,3,0)</f>
        <v>#N/A</v>
      </c>
      <c r="AB1900" s="331" t="e">
        <f>EXACT(Logfile_S[[#This Row],[date pick]],Logfile_S[[#This Row],[Date]])</f>
        <v>#N/A</v>
      </c>
      <c r="AC19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01" spans="1:29" ht="14.5">
      <c r="A1901" s="237" t="str">
        <f>TEXT(ROW(A1901)-ROW($A$4),"000")</f>
        <v>1897</v>
      </c>
      <c r="B1901" s="221">
        <v>1</v>
      </c>
      <c r="C1901" s="227" t="s">
        <v>49</v>
      </c>
      <c r="D1901" s="227" t="s">
        <v>4683</v>
      </c>
      <c r="E1901" s="227" t="s">
        <v>3295</v>
      </c>
      <c r="F1901" s="227" t="s">
        <v>3299</v>
      </c>
      <c r="G1901" s="239">
        <v>45967</v>
      </c>
      <c r="H1901" s="240">
        <v>0.70833333333333337</v>
      </c>
      <c r="I1901" s="227" t="s">
        <v>3295</v>
      </c>
      <c r="J1901" s="221" t="s">
        <v>3023</v>
      </c>
      <c r="K1901" s="241" t="s">
        <v>3069</v>
      </c>
      <c r="L1901" s="225" t="str">
        <f>VLOOKUP(Logfile_S[[#This Row],[Material Name]],Sheet2!B:C,2,0)</f>
        <v>ZTE1001</v>
      </c>
      <c r="M1901" s="242" t="s">
        <v>19</v>
      </c>
      <c r="N1901" s="227">
        <v>8</v>
      </c>
      <c r="O1901" s="227" t="s">
        <v>4692</v>
      </c>
      <c r="P1901" s="227" t="s">
        <v>4693</v>
      </c>
      <c r="Q1901" s="227"/>
      <c r="R1901" s="227"/>
      <c r="S1901" s="227"/>
      <c r="T1901" s="221" t="s">
        <v>3258</v>
      </c>
      <c r="U1901" s="221">
        <v>0</v>
      </c>
      <c r="V1901" s="221" t="s">
        <v>3337</v>
      </c>
      <c r="W1901" s="221" t="s">
        <v>3338</v>
      </c>
      <c r="X1901" s="227"/>
      <c r="Y1901" s="227"/>
      <c r="Z1901" s="227" t="str">
        <f>P1901</f>
        <v>PALAAN RW 01 SAMPAI 05 MALANG</v>
      </c>
      <c r="AA1901" s="276" t="e">
        <f>VLOOKUP(Logfile_S[[#This Row],[DO number]],DO_DB!G:I,3,0)</f>
        <v>#N/A</v>
      </c>
      <c r="AB1901" s="331" t="e">
        <f>EXACT(Logfile_S[[#This Row],[date pick]],Logfile_S[[#This Row],[Date]])</f>
        <v>#N/A</v>
      </c>
      <c r="AC19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02" spans="1:29" ht="14.5">
      <c r="A1902" s="237" t="str">
        <f>TEXT(ROW(A1902)-ROW($A$4),"000")</f>
        <v>1898</v>
      </c>
      <c r="B1902" s="221">
        <v>3</v>
      </c>
      <c r="C1902" s="227" t="s">
        <v>49</v>
      </c>
      <c r="D1902" s="227" t="s">
        <v>4683</v>
      </c>
      <c r="E1902" s="227" t="s">
        <v>3295</v>
      </c>
      <c r="F1902" s="227" t="s">
        <v>3299</v>
      </c>
      <c r="G1902" s="239">
        <v>45967</v>
      </c>
      <c r="H1902" s="240">
        <v>0.70833333333333337</v>
      </c>
      <c r="I1902" s="227" t="s">
        <v>3295</v>
      </c>
      <c r="J1902" s="221" t="s">
        <v>3023</v>
      </c>
      <c r="K1902" s="241" t="s">
        <v>3071</v>
      </c>
      <c r="L1902" s="225" t="str">
        <f>VLOOKUP(Logfile_S[[#This Row],[Material Name]],Sheet2!B:C,2,0)</f>
        <v>ZTE1003</v>
      </c>
      <c r="M1902" s="242" t="s">
        <v>19</v>
      </c>
      <c r="N1902" s="227">
        <v>10</v>
      </c>
      <c r="O1902" s="227" t="s">
        <v>4692</v>
      </c>
      <c r="P1902" s="227" t="s">
        <v>4693</v>
      </c>
      <c r="Q1902" s="227" t="s">
        <v>3260</v>
      </c>
      <c r="R1902" s="227" t="s">
        <v>3260</v>
      </c>
      <c r="S1902" s="227"/>
      <c r="T1902" s="221" t="s">
        <v>3258</v>
      </c>
      <c r="U1902" s="221">
        <v>0</v>
      </c>
      <c r="V1902" s="221" t="s">
        <v>3337</v>
      </c>
      <c r="W1902" s="221" t="s">
        <v>3338</v>
      </c>
      <c r="X1902" s="227"/>
      <c r="Y1902" s="227"/>
      <c r="Z1902" s="227" t="str">
        <f>P1902</f>
        <v>PALAAN RW 01 SAMPAI 05 MALANG</v>
      </c>
      <c r="AA1902" s="276" t="e">
        <f>VLOOKUP(Logfile_S[[#This Row],[DO number]],DO_DB!G:I,3,0)</f>
        <v>#N/A</v>
      </c>
      <c r="AB1902" s="331" t="e">
        <f>EXACT(Logfile_S[[#This Row],[date pick]],Logfile_S[[#This Row],[Date]])</f>
        <v>#N/A</v>
      </c>
      <c r="AC19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03" spans="1:29" ht="14.5">
      <c r="A1903" s="237" t="str">
        <f>TEXT(ROW(A1903)-ROW($A$4),"000")</f>
        <v>1899</v>
      </c>
      <c r="B1903" s="221">
        <v>1</v>
      </c>
      <c r="C1903" s="227" t="s">
        <v>49</v>
      </c>
      <c r="D1903" s="227" t="s">
        <v>4686</v>
      </c>
      <c r="E1903" s="227" t="s">
        <v>3295</v>
      </c>
      <c r="F1903" s="227" t="s">
        <v>3299</v>
      </c>
      <c r="G1903" s="239">
        <v>45970</v>
      </c>
      <c r="H1903" s="240">
        <v>0.80555555555555558</v>
      </c>
      <c r="I1903" s="227" t="s">
        <v>3295</v>
      </c>
      <c r="J1903" s="221" t="s">
        <v>3023</v>
      </c>
      <c r="K1903" s="241" t="s">
        <v>3069</v>
      </c>
      <c r="L1903" s="225" t="str">
        <f>VLOOKUP(Logfile_S[[#This Row],[Material Name]],Sheet2!B:C,2,0)</f>
        <v>ZTE1001</v>
      </c>
      <c r="M1903" s="242" t="s">
        <v>19</v>
      </c>
      <c r="N1903" s="227">
        <v>2</v>
      </c>
      <c r="O1903" s="227" t="s">
        <v>4692</v>
      </c>
      <c r="P1903" s="227" t="s">
        <v>4693</v>
      </c>
      <c r="Q1903" s="227" t="s">
        <v>3260</v>
      </c>
      <c r="R1903" s="227" t="s">
        <v>3260</v>
      </c>
      <c r="S1903" s="227"/>
      <c r="T1903" s="221" t="s">
        <v>3258</v>
      </c>
      <c r="U1903" s="221">
        <v>0</v>
      </c>
      <c r="V1903" s="221" t="s">
        <v>3337</v>
      </c>
      <c r="W1903" s="221" t="s">
        <v>3338</v>
      </c>
      <c r="X1903" s="227"/>
      <c r="Y1903" s="227"/>
      <c r="Z1903" s="227" t="str">
        <f>P1903</f>
        <v>PALAAN RW 01 SAMPAI 05 MALANG</v>
      </c>
      <c r="AA1903" s="276" t="e">
        <f>VLOOKUP(Logfile_S[[#This Row],[DO number]],DO_DB!G:I,3,0)</f>
        <v>#N/A</v>
      </c>
      <c r="AB1903" s="331" t="e">
        <f>EXACT(Logfile_S[[#This Row],[date pick]],Logfile_S[[#This Row],[Date]])</f>
        <v>#N/A</v>
      </c>
      <c r="AC19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04" spans="1:29" ht="14.5">
      <c r="A1904" s="237" t="str">
        <f>TEXT(ROW(A1904)-ROW($A$4),"000")</f>
        <v>1900</v>
      </c>
      <c r="B1904" s="221">
        <v>4</v>
      </c>
      <c r="C1904" s="227" t="s">
        <v>49</v>
      </c>
      <c r="D1904" s="227" t="s">
        <v>4714</v>
      </c>
      <c r="E1904" s="227" t="s">
        <v>3295</v>
      </c>
      <c r="F1904" s="227" t="s">
        <v>3299</v>
      </c>
      <c r="G1904" s="239">
        <v>45978</v>
      </c>
      <c r="H1904" s="240">
        <v>0.79722222222222228</v>
      </c>
      <c r="I1904" s="227" t="s">
        <v>3295</v>
      </c>
      <c r="J1904" s="221" t="s">
        <v>3023</v>
      </c>
      <c r="K1904" s="241" t="s">
        <v>13</v>
      </c>
      <c r="L1904" s="225" t="str">
        <f>VLOOKUP(Logfile_S[[#This Row],[Material Name]],Sheet2!B:C,2,0)</f>
        <v>ZTE2008</v>
      </c>
      <c r="M1904" s="242" t="s">
        <v>19</v>
      </c>
      <c r="N1904" s="227">
        <v>21</v>
      </c>
      <c r="O1904" s="227" t="s">
        <v>4692</v>
      </c>
      <c r="P1904" s="227" t="s">
        <v>4693</v>
      </c>
      <c r="Q1904" s="227" t="s">
        <v>4694</v>
      </c>
      <c r="R1904" s="227" t="s">
        <v>4695</v>
      </c>
      <c r="S1904" s="227"/>
      <c r="T1904" s="221" t="s">
        <v>3471</v>
      </c>
      <c r="U1904" s="221" t="s">
        <v>4811</v>
      </c>
      <c r="V1904" s="221" t="s">
        <v>3472</v>
      </c>
      <c r="W1904" s="221" t="s">
        <v>3545</v>
      </c>
      <c r="X1904" s="227"/>
      <c r="Y1904" s="227"/>
      <c r="Z1904" s="227" t="str">
        <f>P1904</f>
        <v>PALAAN RW 01 SAMPAI 05 MALANG</v>
      </c>
      <c r="AA1904" s="276">
        <f>VLOOKUP(Logfile_S[[#This Row],[DO number]],DO_DB!G:I,3,0)</f>
        <v>45955</v>
      </c>
      <c r="AB1904" s="331" t="b">
        <f>EXACT(Logfile_S[[#This Row],[date pick]],Logfile_S[[#This Row],[Date]])</f>
        <v>0</v>
      </c>
      <c r="AC19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05" spans="1:29" ht="14.5">
      <c r="A1905" s="237" t="str">
        <f>TEXT(ROW(A1905)-ROW($A$4),"000")</f>
        <v>1901</v>
      </c>
      <c r="B1905" s="221">
        <v>1</v>
      </c>
      <c r="C1905" s="227" t="s">
        <v>49</v>
      </c>
      <c r="D1905" s="227" t="s">
        <v>4714</v>
      </c>
      <c r="E1905" s="227" t="s">
        <v>3295</v>
      </c>
      <c r="F1905" s="227" t="s">
        <v>3299</v>
      </c>
      <c r="G1905" s="239">
        <v>45978</v>
      </c>
      <c r="H1905" s="240">
        <v>0.79722222222222228</v>
      </c>
      <c r="I1905" s="227" t="s">
        <v>3295</v>
      </c>
      <c r="J1905" s="221" t="s">
        <v>3023</v>
      </c>
      <c r="K1905" s="241" t="s">
        <v>14</v>
      </c>
      <c r="L1905" s="225" t="str">
        <f>VLOOKUP(Logfile_S[[#This Row],[Material Name]],Sheet2!B:C,2,0)</f>
        <v>ZTE2005</v>
      </c>
      <c r="M1905" s="242" t="s">
        <v>19</v>
      </c>
      <c r="N1905" s="227">
        <v>1</v>
      </c>
      <c r="O1905" s="227" t="s">
        <v>4692</v>
      </c>
      <c r="P1905" s="227" t="s">
        <v>4693</v>
      </c>
      <c r="Q1905" s="227" t="s">
        <v>4694</v>
      </c>
      <c r="R1905" s="227" t="s">
        <v>4695</v>
      </c>
      <c r="S1905" s="227"/>
      <c r="T1905" s="221" t="s">
        <v>3471</v>
      </c>
      <c r="U1905" s="221" t="s">
        <v>4811</v>
      </c>
      <c r="V1905" s="221" t="s">
        <v>3472</v>
      </c>
      <c r="W1905" s="221" t="s">
        <v>3545</v>
      </c>
      <c r="X1905" s="227"/>
      <c r="Y1905" s="227"/>
      <c r="Z1905" s="227" t="str">
        <f>P1905</f>
        <v>PALAAN RW 01 SAMPAI 05 MALANG</v>
      </c>
      <c r="AA1905" s="276">
        <f>VLOOKUP(Logfile_S[[#This Row],[DO number]],DO_DB!G:I,3,0)</f>
        <v>45955</v>
      </c>
      <c r="AB1905" s="331" t="b">
        <f>EXACT(Logfile_S[[#This Row],[date pick]],Logfile_S[[#This Row],[Date]])</f>
        <v>0</v>
      </c>
      <c r="AC19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06" spans="1:29" ht="14.5">
      <c r="A1906" s="237" t="str">
        <f>TEXT(ROW(A1906)-ROW($A$4),"000")</f>
        <v>1902</v>
      </c>
      <c r="B1906" s="221">
        <v>3</v>
      </c>
      <c r="C1906" s="227" t="s">
        <v>48</v>
      </c>
      <c r="D1906" s="227" t="s">
        <v>4715</v>
      </c>
      <c r="E1906" s="227" t="s">
        <v>3295</v>
      </c>
      <c r="F1906" s="227" t="s">
        <v>3299</v>
      </c>
      <c r="G1906" s="239">
        <v>45982</v>
      </c>
      <c r="H1906" s="240">
        <v>0.33333333333333331</v>
      </c>
      <c r="I1906" s="227" t="s">
        <v>37</v>
      </c>
      <c r="J1906" s="221" t="s">
        <v>3023</v>
      </c>
      <c r="K1906" s="241" t="s">
        <v>3073</v>
      </c>
      <c r="L1906" s="225" t="str">
        <f>VLOOKUP(Logfile_S[[#This Row],[Material Name]],Sheet2!B:C,2,0)</f>
        <v>ZTE2001</v>
      </c>
      <c r="M1906" s="242" t="s">
        <v>20</v>
      </c>
      <c r="N1906" s="227">
        <v>3000</v>
      </c>
      <c r="O1906" s="227" t="s">
        <v>4692</v>
      </c>
      <c r="P1906" s="227" t="s">
        <v>4693</v>
      </c>
      <c r="Q1906" s="227" t="s">
        <v>4694</v>
      </c>
      <c r="R1906" s="227" t="s">
        <v>4695</v>
      </c>
      <c r="S1906" s="227"/>
      <c r="T1906" s="227"/>
      <c r="U1906" s="227"/>
      <c r="V1906" s="227"/>
      <c r="W1906" s="227"/>
      <c r="X1906" s="227"/>
      <c r="Y1906" s="227" t="s">
        <v>5028</v>
      </c>
      <c r="Z1906" s="227" t="str">
        <f>P1906</f>
        <v>PALAAN RW 01 SAMPAI 05 MALANG</v>
      </c>
      <c r="AA1906" s="276">
        <f>VLOOKUP(Logfile_S[[#This Row],[DO number]],DO_DB!G:I,3,0)</f>
        <v>45955</v>
      </c>
      <c r="AB1906" s="331" t="b">
        <f>EXACT(Logfile_S[[#This Row],[date pick]],Logfile_S[[#This Row],[Date]])</f>
        <v>0</v>
      </c>
      <c r="AC19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24C-20251121-01</v>
      </c>
    </row>
    <row r="1907" spans="1:29" ht="14.5">
      <c r="A1907" s="237" t="str">
        <f>TEXT(ROW(A1907)-ROW($A$4),"000")</f>
        <v>1903</v>
      </c>
      <c r="B1907" s="221">
        <v>5</v>
      </c>
      <c r="C1907" s="227" t="s">
        <v>3313</v>
      </c>
      <c r="D1907" s="227" t="s">
        <v>4725</v>
      </c>
      <c r="E1907" s="227" t="s">
        <v>3295</v>
      </c>
      <c r="F1907" s="227" t="s">
        <v>3299</v>
      </c>
      <c r="G1907" s="239">
        <v>45982</v>
      </c>
      <c r="H1907" s="240">
        <v>0.33333333333333331</v>
      </c>
      <c r="I1907" s="227" t="s">
        <v>3297</v>
      </c>
      <c r="J1907" s="227" t="s">
        <v>3024</v>
      </c>
      <c r="K1907" s="241" t="s">
        <v>3097</v>
      </c>
      <c r="L1907" s="225" t="str">
        <f>VLOOKUP(Logfile_S[[#This Row],[Material Name]],Sheet2!B:C,2,0)</f>
        <v>GCI1011</v>
      </c>
      <c r="M1907" s="242" t="s">
        <v>19</v>
      </c>
      <c r="N1907" s="227">
        <v>1</v>
      </c>
      <c r="O1907" s="227" t="s">
        <v>4692</v>
      </c>
      <c r="P1907" s="227" t="s">
        <v>4693</v>
      </c>
      <c r="Q1907" s="227" t="s">
        <v>4694</v>
      </c>
      <c r="R1907" s="227" t="s">
        <v>4695</v>
      </c>
      <c r="S1907" s="227"/>
      <c r="T1907" s="227"/>
      <c r="U1907" s="227"/>
      <c r="V1907" s="227"/>
      <c r="W1907" s="227"/>
      <c r="X1907" s="227"/>
      <c r="Y1907" s="227"/>
      <c r="Z1907" s="227" t="str">
        <f>P1907</f>
        <v>PALAAN RW 01 SAMPAI 05 MALANG</v>
      </c>
      <c r="AA1907" s="276">
        <f>VLOOKUP(Logfile_S[[#This Row],[DO number]],DO_DB!G:I,3,0)</f>
        <v>45955</v>
      </c>
      <c r="AB1907" s="331" t="b">
        <f>EXACT(Logfile_S[[#This Row],[date pick]],Logfile_S[[#This Row],[Date]])</f>
        <v>0</v>
      </c>
      <c r="AC19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08" spans="1:29" ht="14.5">
      <c r="A1908" s="237" t="str">
        <f>TEXT(ROW(A1908)-ROW($A$4),"000")</f>
        <v>1904</v>
      </c>
      <c r="B1908" s="221">
        <v>4</v>
      </c>
      <c r="C1908" s="227" t="s">
        <v>3313</v>
      </c>
      <c r="D1908" s="227" t="s">
        <v>4725</v>
      </c>
      <c r="E1908" s="227" t="s">
        <v>3295</v>
      </c>
      <c r="F1908" s="227" t="s">
        <v>3299</v>
      </c>
      <c r="G1908" s="239">
        <v>45982</v>
      </c>
      <c r="H1908" s="240">
        <v>0.33333333333333331</v>
      </c>
      <c r="I1908" s="227" t="s">
        <v>3297</v>
      </c>
      <c r="J1908" s="221" t="s">
        <v>3023</v>
      </c>
      <c r="K1908" s="241" t="s">
        <v>13</v>
      </c>
      <c r="L1908" s="225" t="str">
        <f>VLOOKUP(Logfile_S[[#This Row],[Material Name]],Sheet2!B:C,2,0)</f>
        <v>ZTE2008</v>
      </c>
      <c r="M1908" s="242" t="s">
        <v>19</v>
      </c>
      <c r="N1908" s="227">
        <v>20</v>
      </c>
      <c r="O1908" s="227" t="s">
        <v>4692</v>
      </c>
      <c r="P1908" s="227" t="s">
        <v>4693</v>
      </c>
      <c r="Q1908" s="227" t="s">
        <v>4694</v>
      </c>
      <c r="R1908" s="227" t="s">
        <v>4695</v>
      </c>
      <c r="S1908" s="227"/>
      <c r="T1908" s="227"/>
      <c r="U1908" s="227"/>
      <c r="V1908" s="227"/>
      <c r="W1908" s="227"/>
      <c r="X1908" s="227"/>
      <c r="Y1908" s="227"/>
      <c r="Z1908" s="227" t="str">
        <f>P1908</f>
        <v>PALAAN RW 01 SAMPAI 05 MALANG</v>
      </c>
      <c r="AA1908" s="276">
        <f>VLOOKUP(Logfile_S[[#This Row],[DO number]],DO_DB!G:I,3,0)</f>
        <v>45955</v>
      </c>
      <c r="AB1908" s="331" t="b">
        <f>EXACT(Logfile_S[[#This Row],[date pick]],Logfile_S[[#This Row],[Date]])</f>
        <v>0</v>
      </c>
      <c r="AC19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09" spans="1:29" ht="14.5">
      <c r="A1909" s="237" t="str">
        <f>TEXT(ROW(A1909)-ROW($A$4),"000")</f>
        <v>1905</v>
      </c>
      <c r="B1909" s="221">
        <v>1</v>
      </c>
      <c r="C1909" s="227" t="s">
        <v>48</v>
      </c>
      <c r="D1909" s="227" t="s">
        <v>4715</v>
      </c>
      <c r="E1909" s="227" t="s">
        <v>3295</v>
      </c>
      <c r="F1909" s="227" t="s">
        <v>3299</v>
      </c>
      <c r="G1909" s="239">
        <v>45982</v>
      </c>
      <c r="H1909" s="240">
        <v>0.33333333333333331</v>
      </c>
      <c r="I1909" s="227" t="s">
        <v>37</v>
      </c>
      <c r="J1909" s="221" t="s">
        <v>3023</v>
      </c>
      <c r="K1909" s="241" t="s">
        <v>3069</v>
      </c>
      <c r="L1909" s="225" t="str">
        <f>VLOOKUP(Logfile_S[[#This Row],[Material Name]],Sheet2!B:C,2,0)</f>
        <v>ZTE1001</v>
      </c>
      <c r="M1909" s="242" t="s">
        <v>19</v>
      </c>
      <c r="N1909" s="227">
        <v>49</v>
      </c>
      <c r="O1909" s="227" t="s">
        <v>4692</v>
      </c>
      <c r="P1909" s="227" t="s">
        <v>4693</v>
      </c>
      <c r="Q1909" s="227" t="s">
        <v>4694</v>
      </c>
      <c r="R1909" s="227" t="s">
        <v>4695</v>
      </c>
      <c r="S1909" s="227"/>
      <c r="T1909" s="227"/>
      <c r="U1909" s="227"/>
      <c r="V1909" s="227"/>
      <c r="W1909" s="227"/>
      <c r="X1909" s="227"/>
      <c r="Y1909" s="227"/>
      <c r="Z1909" s="227" t="str">
        <f>P1909</f>
        <v>PALAAN RW 01 SAMPAI 05 MALANG</v>
      </c>
      <c r="AA1909" s="276">
        <f>VLOOKUP(Logfile_S[[#This Row],[DO number]],DO_DB!G:I,3,0)</f>
        <v>45955</v>
      </c>
      <c r="AB1909" s="331" t="b">
        <f>EXACT(Logfile_S[[#This Row],[date pick]],Logfile_S[[#This Row],[Date]])</f>
        <v>0</v>
      </c>
      <c r="AC19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10" spans="1:29" ht="14.5">
      <c r="A1910" s="237" t="str">
        <f>TEXT(ROW(A1910)-ROW($A$4),"000")</f>
        <v>1906</v>
      </c>
      <c r="B1910" s="221">
        <v>1</v>
      </c>
      <c r="C1910" s="227" t="s">
        <v>49</v>
      </c>
      <c r="D1910" s="227" t="s">
        <v>4716</v>
      </c>
      <c r="E1910" s="227" t="s">
        <v>3295</v>
      </c>
      <c r="F1910" s="227" t="s">
        <v>3299</v>
      </c>
      <c r="G1910" s="239">
        <v>45982</v>
      </c>
      <c r="H1910" s="240">
        <v>0.54166666666666663</v>
      </c>
      <c r="I1910" s="227" t="s">
        <v>3295</v>
      </c>
      <c r="J1910" s="221" t="s">
        <v>3023</v>
      </c>
      <c r="K1910" s="241" t="s">
        <v>3069</v>
      </c>
      <c r="L1910" s="225" t="str">
        <f>VLOOKUP(Logfile_S[[#This Row],[Material Name]],Sheet2!B:C,2,0)</f>
        <v>ZTE1001</v>
      </c>
      <c r="M1910" s="242" t="s">
        <v>19</v>
      </c>
      <c r="N1910" s="227">
        <v>30</v>
      </c>
      <c r="O1910" s="227" t="s">
        <v>4692</v>
      </c>
      <c r="P1910" s="227" t="s">
        <v>4693</v>
      </c>
      <c r="Q1910" s="227" t="s">
        <v>4694</v>
      </c>
      <c r="R1910" s="227" t="s">
        <v>4695</v>
      </c>
      <c r="S1910" s="227"/>
      <c r="T1910" s="221" t="s">
        <v>3258</v>
      </c>
      <c r="U1910" s="221">
        <v>0</v>
      </c>
      <c r="V1910" s="221" t="s">
        <v>3337</v>
      </c>
      <c r="W1910" s="221" t="s">
        <v>3338</v>
      </c>
      <c r="X1910" s="227"/>
      <c r="Y1910" s="227"/>
      <c r="Z1910" s="227" t="str">
        <f>P1910</f>
        <v>PALAAN RW 01 SAMPAI 05 MALANG</v>
      </c>
      <c r="AA1910" s="276">
        <f>VLOOKUP(Logfile_S[[#This Row],[DO number]],DO_DB!G:I,3,0)</f>
        <v>45955</v>
      </c>
      <c r="AB1910" s="331" t="b">
        <f>EXACT(Logfile_S[[#This Row],[date pick]],Logfile_S[[#This Row],[Date]])</f>
        <v>0</v>
      </c>
      <c r="AC19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11" spans="1:29" ht="14.5">
      <c r="A1911" s="237" t="str">
        <f>TEXT(ROW(A1911)-ROW($A$4),"000")</f>
        <v>1907</v>
      </c>
      <c r="B1911" s="221">
        <v>2</v>
      </c>
      <c r="C1911" s="227" t="s">
        <v>48</v>
      </c>
      <c r="D1911" s="227" t="s">
        <v>4715</v>
      </c>
      <c r="E1911" s="227" t="s">
        <v>3295</v>
      </c>
      <c r="F1911" s="227" t="s">
        <v>3299</v>
      </c>
      <c r="G1911" s="239">
        <v>45982</v>
      </c>
      <c r="H1911" s="240">
        <v>0.33333333333333331</v>
      </c>
      <c r="I1911" s="227" t="s">
        <v>37</v>
      </c>
      <c r="J1911" s="221" t="s">
        <v>3023</v>
      </c>
      <c r="K1911" s="241" t="s">
        <v>3071</v>
      </c>
      <c r="L1911" s="225" t="str">
        <f>VLOOKUP(Logfile_S[[#This Row],[Material Name]],Sheet2!B:C,2,0)</f>
        <v>ZTE1003</v>
      </c>
      <c r="M1911" s="242" t="s">
        <v>19</v>
      </c>
      <c r="N1911" s="227">
        <v>6</v>
      </c>
      <c r="O1911" s="227" t="s">
        <v>4692</v>
      </c>
      <c r="P1911" s="227" t="s">
        <v>4693</v>
      </c>
      <c r="Q1911" s="227" t="s">
        <v>4694</v>
      </c>
      <c r="R1911" s="227" t="s">
        <v>4695</v>
      </c>
      <c r="S1911" s="227"/>
      <c r="T1911" s="227"/>
      <c r="U1911" s="227"/>
      <c r="V1911" s="227"/>
      <c r="W1911" s="227"/>
      <c r="X1911" s="227"/>
      <c r="Y1911" s="227"/>
      <c r="Z1911" s="227" t="str">
        <f>P1911</f>
        <v>PALAAN RW 01 SAMPAI 05 MALANG</v>
      </c>
      <c r="AA1911" s="276">
        <f>VLOOKUP(Logfile_S[[#This Row],[DO number]],DO_DB!G:I,3,0)</f>
        <v>45955</v>
      </c>
      <c r="AB1911" s="331" t="b">
        <f>EXACT(Logfile_S[[#This Row],[date pick]],Logfile_S[[#This Row],[Date]])</f>
        <v>0</v>
      </c>
      <c r="AC19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12" spans="1:29" ht="14.5">
      <c r="A1912" s="237" t="str">
        <f>TEXT(ROW(A1912)-ROW($A$4),"000")</f>
        <v>1908</v>
      </c>
      <c r="B1912" s="221"/>
      <c r="C1912" s="227" t="s">
        <v>49</v>
      </c>
      <c r="D1912" s="227" t="s">
        <v>4683</v>
      </c>
      <c r="E1912" s="227" t="s">
        <v>3295</v>
      </c>
      <c r="F1912" s="227" t="s">
        <v>3299</v>
      </c>
      <c r="G1912" s="239">
        <v>45967</v>
      </c>
      <c r="H1912" s="240">
        <v>0.70833333333333337</v>
      </c>
      <c r="I1912" s="227" t="s">
        <v>3295</v>
      </c>
      <c r="J1912" s="227" t="s">
        <v>3023</v>
      </c>
      <c r="K1912" s="241" t="s">
        <v>3070</v>
      </c>
      <c r="L1912" s="242" t="str">
        <f>VLOOKUP(Logfile_S[[#This Row],[Material Name]],Sheet2!B:C,2,0)</f>
        <v>ZTE1002</v>
      </c>
      <c r="M1912" s="242" t="s">
        <v>19</v>
      </c>
      <c r="N1912" s="227">
        <v>50</v>
      </c>
      <c r="O1912" s="227" t="s">
        <v>4696</v>
      </c>
      <c r="P1912" s="227" t="s">
        <v>4697</v>
      </c>
      <c r="Q1912" s="227"/>
      <c r="R1912" s="227"/>
      <c r="S1912" s="227"/>
      <c r="T1912" s="221" t="s">
        <v>3258</v>
      </c>
      <c r="U1912" s="221">
        <v>0</v>
      </c>
      <c r="V1912" s="221" t="s">
        <v>3337</v>
      </c>
      <c r="W1912" s="221" t="s">
        <v>3338</v>
      </c>
      <c r="X1912" s="227"/>
      <c r="Y1912" s="227"/>
      <c r="Z1912" s="227" t="str">
        <f>P1912</f>
        <v>PALAAN RW 06 SAMPAI 10 MALANG</v>
      </c>
      <c r="AA1912" s="276" t="e">
        <f>VLOOKUP(Logfile_S[[#This Row],[DO number]],DO_DB!G:I,3,0)</f>
        <v>#N/A</v>
      </c>
      <c r="AB1912" s="331" t="e">
        <f>EXACT(Logfile_S[[#This Row],[date pick]],Logfile_S[[#This Row],[Date]])</f>
        <v>#N/A</v>
      </c>
      <c r="AC19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13" spans="1:29" ht="14.5">
      <c r="A1913" s="237" t="str">
        <f>TEXT(ROW(A1913)-ROW($A$4),"000")</f>
        <v>1909</v>
      </c>
      <c r="B1913" s="221">
        <v>3</v>
      </c>
      <c r="C1913" s="227" t="s">
        <v>49</v>
      </c>
      <c r="D1913" s="227" t="s">
        <v>4714</v>
      </c>
      <c r="E1913" s="227" t="s">
        <v>3295</v>
      </c>
      <c r="F1913" s="227" t="s">
        <v>3299</v>
      </c>
      <c r="G1913" s="239">
        <v>45978</v>
      </c>
      <c r="H1913" s="240">
        <v>0.79722222222222228</v>
      </c>
      <c r="I1913" s="227" t="s">
        <v>3295</v>
      </c>
      <c r="J1913" s="221" t="s">
        <v>3023</v>
      </c>
      <c r="K1913" s="241" t="s">
        <v>13</v>
      </c>
      <c r="L1913" s="225" t="str">
        <f>VLOOKUP(Logfile_S[[#This Row],[Material Name]],Sheet2!B:C,2,0)</f>
        <v>ZTE2008</v>
      </c>
      <c r="M1913" s="242" t="s">
        <v>19</v>
      </c>
      <c r="N1913" s="227">
        <v>14</v>
      </c>
      <c r="O1913" s="227" t="s">
        <v>4696</v>
      </c>
      <c r="P1913" s="227" t="s">
        <v>4697</v>
      </c>
      <c r="Q1913" s="227" t="s">
        <v>4698</v>
      </c>
      <c r="R1913" s="227" t="s">
        <v>4699</v>
      </c>
      <c r="S1913" s="227"/>
      <c r="T1913" s="221" t="s">
        <v>3471</v>
      </c>
      <c r="U1913" s="221" t="s">
        <v>4811</v>
      </c>
      <c r="V1913" s="221" t="s">
        <v>3472</v>
      </c>
      <c r="W1913" s="221" t="s">
        <v>3545</v>
      </c>
      <c r="X1913" s="227"/>
      <c r="Y1913" s="227"/>
      <c r="Z1913" s="227" t="str">
        <f>P1913</f>
        <v>PALAAN RW 06 SAMPAI 10 MALANG</v>
      </c>
      <c r="AA1913" s="276">
        <f>VLOOKUP(Logfile_S[[#This Row],[DO number]],DO_DB!G:I,3,0)</f>
        <v>45955</v>
      </c>
      <c r="AB1913" s="331" t="b">
        <f>EXACT(Logfile_S[[#This Row],[date pick]],Logfile_S[[#This Row],[Date]])</f>
        <v>0</v>
      </c>
      <c r="AC19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14" spans="1:29" ht="14.5">
      <c r="A1914" s="237" t="str">
        <f>TEXT(ROW(A1914)-ROW($A$4),"000")</f>
        <v>1910</v>
      </c>
      <c r="B1914" s="221">
        <v>2</v>
      </c>
      <c r="C1914" s="227" t="s">
        <v>49</v>
      </c>
      <c r="D1914" s="227" t="s">
        <v>4714</v>
      </c>
      <c r="E1914" s="227" t="s">
        <v>3295</v>
      </c>
      <c r="F1914" s="227" t="s">
        <v>3299</v>
      </c>
      <c r="G1914" s="239">
        <v>45978</v>
      </c>
      <c r="H1914" s="240">
        <v>0.79722222222222228</v>
      </c>
      <c r="I1914" s="227" t="s">
        <v>3295</v>
      </c>
      <c r="J1914" s="221" t="s">
        <v>3023</v>
      </c>
      <c r="K1914" s="241" t="s">
        <v>15</v>
      </c>
      <c r="L1914" s="225" t="str">
        <f>VLOOKUP(Logfile_S[[#This Row],[Material Name]],Sheet2!B:C,2,0)</f>
        <v>ZTE2006</v>
      </c>
      <c r="M1914" s="242" t="s">
        <v>19</v>
      </c>
      <c r="N1914" s="227">
        <v>1</v>
      </c>
      <c r="O1914" s="227" t="s">
        <v>4696</v>
      </c>
      <c r="P1914" s="227" t="s">
        <v>4697</v>
      </c>
      <c r="Q1914" s="227" t="s">
        <v>4698</v>
      </c>
      <c r="R1914" s="227" t="s">
        <v>4699</v>
      </c>
      <c r="S1914" s="227"/>
      <c r="T1914" s="221" t="s">
        <v>3471</v>
      </c>
      <c r="U1914" s="221" t="s">
        <v>4811</v>
      </c>
      <c r="V1914" s="221" t="s">
        <v>3472</v>
      </c>
      <c r="W1914" s="221" t="s">
        <v>3545</v>
      </c>
      <c r="X1914" s="227"/>
      <c r="Y1914" s="227"/>
      <c r="Z1914" s="227" t="str">
        <f>P1914</f>
        <v>PALAAN RW 06 SAMPAI 10 MALANG</v>
      </c>
      <c r="AA1914" s="276">
        <f>VLOOKUP(Logfile_S[[#This Row],[DO number]],DO_DB!G:I,3,0)</f>
        <v>45955</v>
      </c>
      <c r="AB1914" s="331" t="b">
        <f>EXACT(Logfile_S[[#This Row],[date pick]],Logfile_S[[#This Row],[Date]])</f>
        <v>0</v>
      </c>
      <c r="AC19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15" spans="1:29" ht="14.5">
      <c r="A1915" s="237" t="str">
        <f>TEXT(ROW(A1915)-ROW($A$4),"000")</f>
        <v>1911</v>
      </c>
      <c r="B1915" s="221">
        <v>4</v>
      </c>
      <c r="C1915" s="227" t="s">
        <v>49</v>
      </c>
      <c r="D1915" s="227" t="s">
        <v>4717</v>
      </c>
      <c r="E1915" s="227" t="s">
        <v>3295</v>
      </c>
      <c r="F1915" s="227" t="s">
        <v>3299</v>
      </c>
      <c r="G1915" s="239">
        <v>45983</v>
      </c>
      <c r="H1915" s="240">
        <v>0.54166666666666663</v>
      </c>
      <c r="I1915" s="227" t="s">
        <v>3295</v>
      </c>
      <c r="J1915" s="221" t="s">
        <v>3023</v>
      </c>
      <c r="K1915" s="241" t="s">
        <v>3073</v>
      </c>
      <c r="L1915" s="225" t="str">
        <f>VLOOKUP(Logfile_S[[#This Row],[Material Name]],Sheet2!B:C,2,0)</f>
        <v>ZTE2001</v>
      </c>
      <c r="M1915" s="242" t="s">
        <v>20</v>
      </c>
      <c r="N1915" s="227">
        <v>3000</v>
      </c>
      <c r="O1915" s="227" t="s">
        <v>4696</v>
      </c>
      <c r="P1915" s="227" t="s">
        <v>4697</v>
      </c>
      <c r="Q1915" s="227" t="s">
        <v>4698</v>
      </c>
      <c r="R1915" s="227" t="s">
        <v>4699</v>
      </c>
      <c r="S1915" s="227"/>
      <c r="T1915" s="221" t="s">
        <v>3258</v>
      </c>
      <c r="U1915" s="221" t="s">
        <v>4811</v>
      </c>
      <c r="V1915" s="221" t="s">
        <v>3337</v>
      </c>
      <c r="W1915" s="221" t="s">
        <v>3338</v>
      </c>
      <c r="X1915" s="227"/>
      <c r="Y1915" s="227"/>
      <c r="Z1915" s="227" t="str">
        <f>P1915</f>
        <v>PALAAN RW 06 SAMPAI 10 MALANG</v>
      </c>
      <c r="AA1915" s="276">
        <f>VLOOKUP(Logfile_S[[#This Row],[DO number]],DO_DB!G:I,3,0)</f>
        <v>45955</v>
      </c>
      <c r="AB1915" s="331" t="b">
        <f>EXACT(Logfile_S[[#This Row],[date pick]],Logfile_S[[#This Row],[Date]])</f>
        <v>0</v>
      </c>
      <c r="AC19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16" spans="1:29" ht="14.5">
      <c r="A1916" s="237" t="str">
        <f>TEXT(ROW(A1916)-ROW($A$4),"000")</f>
        <v>1912</v>
      </c>
      <c r="B1916" s="221">
        <v>6</v>
      </c>
      <c r="C1916" s="227" t="s">
        <v>49</v>
      </c>
      <c r="D1916" s="227" t="s">
        <v>4717</v>
      </c>
      <c r="E1916" s="227" t="s">
        <v>3295</v>
      </c>
      <c r="F1916" s="227" t="s">
        <v>3299</v>
      </c>
      <c r="G1916" s="239">
        <v>45983</v>
      </c>
      <c r="H1916" s="240">
        <v>0.54166666666666663</v>
      </c>
      <c r="I1916" s="227" t="s">
        <v>3295</v>
      </c>
      <c r="J1916" s="227" t="s">
        <v>3024</v>
      </c>
      <c r="K1916" s="241" t="s">
        <v>3097</v>
      </c>
      <c r="L1916" s="225" t="str">
        <f>VLOOKUP(Logfile_S[[#This Row],[Material Name]],Sheet2!B:C,2,0)</f>
        <v>GCI1011</v>
      </c>
      <c r="M1916" s="242" t="s">
        <v>19</v>
      </c>
      <c r="N1916" s="227">
        <v>1</v>
      </c>
      <c r="O1916" s="227" t="s">
        <v>4696</v>
      </c>
      <c r="P1916" s="227" t="s">
        <v>4697</v>
      </c>
      <c r="Q1916" s="227" t="s">
        <v>4698</v>
      </c>
      <c r="R1916" s="227" t="s">
        <v>4699</v>
      </c>
      <c r="S1916" s="227"/>
      <c r="T1916" s="221" t="s">
        <v>3258</v>
      </c>
      <c r="U1916" s="221">
        <v>0</v>
      </c>
      <c r="V1916" s="221" t="s">
        <v>3337</v>
      </c>
      <c r="W1916" s="221" t="s">
        <v>3338</v>
      </c>
      <c r="X1916" s="227"/>
      <c r="Y1916" s="227"/>
      <c r="Z1916" s="227" t="str">
        <f>P1916</f>
        <v>PALAAN RW 06 SAMPAI 10 MALANG</v>
      </c>
      <c r="AA1916" s="276">
        <f>VLOOKUP(Logfile_S[[#This Row],[DO number]],DO_DB!G:I,3,0)</f>
        <v>45955</v>
      </c>
      <c r="AB1916" s="331" t="b">
        <f>EXACT(Logfile_S[[#This Row],[date pick]],Logfile_S[[#This Row],[Date]])</f>
        <v>0</v>
      </c>
      <c r="AC19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17" spans="1:29" ht="14.5">
      <c r="A1917" s="237" t="str">
        <f>TEXT(ROW(A1917)-ROW($A$4),"000")</f>
        <v>1913</v>
      </c>
      <c r="B1917" s="221">
        <v>5</v>
      </c>
      <c r="C1917" s="227" t="s">
        <v>49</v>
      </c>
      <c r="D1917" s="227" t="s">
        <v>4717</v>
      </c>
      <c r="E1917" s="227" t="s">
        <v>3295</v>
      </c>
      <c r="F1917" s="227" t="s">
        <v>3299</v>
      </c>
      <c r="G1917" s="239">
        <v>45983</v>
      </c>
      <c r="H1917" s="240">
        <v>0.54166666666666663</v>
      </c>
      <c r="I1917" s="227" t="s">
        <v>3295</v>
      </c>
      <c r="J1917" s="221" t="s">
        <v>3023</v>
      </c>
      <c r="K1917" s="241" t="s">
        <v>13</v>
      </c>
      <c r="L1917" s="225" t="str">
        <f>VLOOKUP(Logfile_S[[#This Row],[Material Name]],Sheet2!B:C,2,0)</f>
        <v>ZTE2008</v>
      </c>
      <c r="M1917" s="242" t="s">
        <v>19</v>
      </c>
      <c r="N1917" s="227">
        <v>13</v>
      </c>
      <c r="O1917" s="227" t="s">
        <v>4696</v>
      </c>
      <c r="P1917" s="227" t="s">
        <v>4697</v>
      </c>
      <c r="Q1917" s="227" t="s">
        <v>4698</v>
      </c>
      <c r="R1917" s="227" t="s">
        <v>4699</v>
      </c>
      <c r="S1917" s="227"/>
      <c r="T1917" s="221" t="s">
        <v>3471</v>
      </c>
      <c r="U1917" s="221" t="s">
        <v>4811</v>
      </c>
      <c r="V1917" s="221" t="s">
        <v>3472</v>
      </c>
      <c r="W1917" s="221" t="s">
        <v>3545</v>
      </c>
      <c r="X1917" s="227"/>
      <c r="Y1917" s="227"/>
      <c r="Z1917" s="227" t="str">
        <f>P1917</f>
        <v>PALAAN RW 06 SAMPAI 10 MALANG</v>
      </c>
      <c r="AA1917" s="276">
        <f>VLOOKUP(Logfile_S[[#This Row],[DO number]],DO_DB!G:I,3,0)</f>
        <v>45955</v>
      </c>
      <c r="AB1917" s="331" t="b">
        <f>EXACT(Logfile_S[[#This Row],[date pick]],Logfile_S[[#This Row],[Date]])</f>
        <v>0</v>
      </c>
      <c r="AC19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18" spans="1:29" ht="14.5">
      <c r="A1918" s="237" t="str">
        <f>TEXT(ROW(A1918)-ROW($A$4),"000")</f>
        <v>1914</v>
      </c>
      <c r="B1918" s="221">
        <v>2</v>
      </c>
      <c r="C1918" s="227" t="s">
        <v>49</v>
      </c>
      <c r="D1918" s="227" t="s">
        <v>4717</v>
      </c>
      <c r="E1918" s="227" t="s">
        <v>3295</v>
      </c>
      <c r="F1918" s="227" t="s">
        <v>3299</v>
      </c>
      <c r="G1918" s="239">
        <v>45983</v>
      </c>
      <c r="H1918" s="240">
        <v>0.54166666666666663</v>
      </c>
      <c r="I1918" s="227" t="s">
        <v>3295</v>
      </c>
      <c r="J1918" s="221" t="s">
        <v>3023</v>
      </c>
      <c r="K1918" s="241" t="s">
        <v>3069</v>
      </c>
      <c r="L1918" s="225" t="str">
        <f>VLOOKUP(Logfile_S[[#This Row],[Material Name]],Sheet2!B:C,2,0)</f>
        <v>ZTE1001</v>
      </c>
      <c r="M1918" s="242" t="s">
        <v>19</v>
      </c>
      <c r="N1918" s="227">
        <v>14</v>
      </c>
      <c r="O1918" s="227" t="s">
        <v>4696</v>
      </c>
      <c r="P1918" s="227" t="s">
        <v>4697</v>
      </c>
      <c r="Q1918" s="227" t="s">
        <v>4698</v>
      </c>
      <c r="R1918" s="227" t="s">
        <v>4699</v>
      </c>
      <c r="S1918" s="227"/>
      <c r="T1918" s="221" t="s">
        <v>3258</v>
      </c>
      <c r="U1918" s="221">
        <v>0</v>
      </c>
      <c r="V1918" s="221" t="s">
        <v>3337</v>
      </c>
      <c r="W1918" s="221" t="s">
        <v>3338</v>
      </c>
      <c r="X1918" s="227"/>
      <c r="Y1918" s="227"/>
      <c r="Z1918" s="227" t="str">
        <f>P1918</f>
        <v>PALAAN RW 06 SAMPAI 10 MALANG</v>
      </c>
      <c r="AA1918" s="276">
        <f>VLOOKUP(Logfile_S[[#This Row],[DO number]],DO_DB!G:I,3,0)</f>
        <v>45955</v>
      </c>
      <c r="AB1918" s="331" t="b">
        <f>EXACT(Logfile_S[[#This Row],[date pick]],Logfile_S[[#This Row],[Date]])</f>
        <v>0</v>
      </c>
      <c r="AC19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19" spans="1:29" ht="14.5">
      <c r="A1919" s="237" t="str">
        <f>TEXT(ROW(A1919)-ROW($A$4),"000")</f>
        <v>1915</v>
      </c>
      <c r="B1919" s="221">
        <v>3</v>
      </c>
      <c r="C1919" s="227" t="s">
        <v>49</v>
      </c>
      <c r="D1919" s="227" t="s">
        <v>4717</v>
      </c>
      <c r="E1919" s="227" t="s">
        <v>3295</v>
      </c>
      <c r="F1919" s="227" t="s">
        <v>3299</v>
      </c>
      <c r="G1919" s="239">
        <v>45983</v>
      </c>
      <c r="H1919" s="240">
        <v>0.54166666666666663</v>
      </c>
      <c r="I1919" s="227" t="s">
        <v>3295</v>
      </c>
      <c r="J1919" s="221" t="s">
        <v>3023</v>
      </c>
      <c r="K1919" s="241" t="s">
        <v>3071</v>
      </c>
      <c r="L1919" s="225" t="str">
        <f>VLOOKUP(Logfile_S[[#This Row],[Material Name]],Sheet2!B:C,2,0)</f>
        <v>ZTE1003</v>
      </c>
      <c r="M1919" s="242" t="s">
        <v>19</v>
      </c>
      <c r="N1919" s="227">
        <v>3</v>
      </c>
      <c r="O1919" s="227" t="s">
        <v>4696</v>
      </c>
      <c r="P1919" s="227" t="s">
        <v>4697</v>
      </c>
      <c r="Q1919" s="227" t="s">
        <v>4698</v>
      </c>
      <c r="R1919" s="227" t="s">
        <v>4699</v>
      </c>
      <c r="S1919" s="227"/>
      <c r="T1919" s="221" t="s">
        <v>3258</v>
      </c>
      <c r="U1919" s="221">
        <v>0</v>
      </c>
      <c r="V1919" s="221" t="s">
        <v>3337</v>
      </c>
      <c r="W1919" s="221" t="s">
        <v>3338</v>
      </c>
      <c r="X1919" s="227"/>
      <c r="Y1919" s="227"/>
      <c r="Z1919" s="227" t="str">
        <f>P1919</f>
        <v>PALAAN RW 06 SAMPAI 10 MALANG</v>
      </c>
      <c r="AA1919" s="276">
        <f>VLOOKUP(Logfile_S[[#This Row],[DO number]],DO_DB!G:I,3,0)</f>
        <v>45955</v>
      </c>
      <c r="AB1919" s="331" t="b">
        <f>EXACT(Logfile_S[[#This Row],[date pick]],Logfile_S[[#This Row],[Date]])</f>
        <v>0</v>
      </c>
      <c r="AC19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20" spans="1:29" ht="14.5">
      <c r="A1920" s="237" t="str">
        <f>TEXT(ROW(A1920)-ROW($A$4),"000")</f>
        <v>1916</v>
      </c>
      <c r="B1920" s="221">
        <v>2</v>
      </c>
      <c r="C1920" s="227" t="s">
        <v>49</v>
      </c>
      <c r="D1920" s="227" t="s">
        <v>4720</v>
      </c>
      <c r="E1920" s="227" t="s">
        <v>3295</v>
      </c>
      <c r="F1920" s="227" t="s">
        <v>3299</v>
      </c>
      <c r="G1920" s="239">
        <v>45984</v>
      </c>
      <c r="H1920" s="240">
        <v>0.54166666666666663</v>
      </c>
      <c r="I1920" s="227" t="s">
        <v>3295</v>
      </c>
      <c r="J1920" s="221" t="s">
        <v>3023</v>
      </c>
      <c r="K1920" s="241" t="s">
        <v>3075</v>
      </c>
      <c r="L1920" s="225" t="str">
        <f>VLOOKUP(Logfile_S[[#This Row],[Material Name]],Sheet2!B:C,2,0)</f>
        <v>ZTE2003</v>
      </c>
      <c r="M1920" s="242" t="s">
        <v>20</v>
      </c>
      <c r="N1920" s="227">
        <v>3000</v>
      </c>
      <c r="O1920" s="227" t="s">
        <v>4696</v>
      </c>
      <c r="P1920" s="227" t="s">
        <v>4697</v>
      </c>
      <c r="Q1920" s="227" t="s">
        <v>4698</v>
      </c>
      <c r="R1920" s="227" t="s">
        <v>4699</v>
      </c>
      <c r="S1920" s="227"/>
      <c r="T1920" s="221" t="s">
        <v>3258</v>
      </c>
      <c r="U1920" s="221" t="s">
        <v>4811</v>
      </c>
      <c r="V1920" s="221" t="s">
        <v>3337</v>
      </c>
      <c r="W1920" s="221" t="s">
        <v>3338</v>
      </c>
      <c r="X1920" s="227"/>
      <c r="Y1920" s="227"/>
      <c r="Z1920" s="227" t="str">
        <f>P1920</f>
        <v>PALAAN RW 06 SAMPAI 10 MALANG</v>
      </c>
      <c r="AA1920" s="276">
        <f>VLOOKUP(Logfile_S[[#This Row],[DO number]],DO_DB!G:I,3,0)</f>
        <v>45955</v>
      </c>
      <c r="AB1920" s="331" t="b">
        <f>EXACT(Logfile_S[[#This Row],[date pick]],Logfile_S[[#This Row],[Date]])</f>
        <v>0</v>
      </c>
      <c r="AC19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21" spans="1:29" ht="14.5">
      <c r="A1921" s="237" t="str">
        <f>TEXT(ROW(A1921)-ROW($A$4),"000")</f>
        <v>1917</v>
      </c>
      <c r="B1921" s="221">
        <v>4</v>
      </c>
      <c r="C1921" s="227" t="s">
        <v>48</v>
      </c>
      <c r="D1921" s="227" t="s">
        <v>4730</v>
      </c>
      <c r="E1921" s="227" t="s">
        <v>3295</v>
      </c>
      <c r="F1921" s="227" t="s">
        <v>3299</v>
      </c>
      <c r="G1921" s="239">
        <v>46003</v>
      </c>
      <c r="H1921" s="240">
        <v>0.54166666666666663</v>
      </c>
      <c r="I1921" s="227" t="s">
        <v>37</v>
      </c>
      <c r="J1921" s="221" t="s">
        <v>3023</v>
      </c>
      <c r="K1921" s="241" t="s">
        <v>3074</v>
      </c>
      <c r="L1921" s="225" t="str">
        <f>VLOOKUP(Logfile_S[[#This Row],[Material Name]],Sheet2!B:C,2,0)</f>
        <v>ZTE2002</v>
      </c>
      <c r="M1921" s="242" t="s">
        <v>20</v>
      </c>
      <c r="N1921" s="227">
        <v>3000</v>
      </c>
      <c r="O1921" s="221" t="s">
        <v>4785</v>
      </c>
      <c r="P1921" s="221" t="s">
        <v>4786</v>
      </c>
      <c r="Q1921" s="227" t="s">
        <v>3260</v>
      </c>
      <c r="R1921" s="227" t="s">
        <v>3260</v>
      </c>
      <c r="S1921" s="227"/>
      <c r="T1921" s="227"/>
      <c r="U1921" s="227"/>
      <c r="V1921" s="227"/>
      <c r="W1921" s="227"/>
      <c r="X1921" s="227"/>
      <c r="Y1921" s="227" t="s">
        <v>5042</v>
      </c>
      <c r="Z1921" s="227" t="str">
        <f>P1921</f>
        <v>DUSUN ARDIREJO KELURAHAN SIDEREJO MALANG</v>
      </c>
      <c r="AA1921" s="276" t="e">
        <f>VLOOKUP(Logfile_S[[#This Row],[DO number]],DO_DB!G:I,3,0)</f>
        <v>#N/A</v>
      </c>
      <c r="AB1921" s="331" t="e">
        <f>EXACT(Logfile_S[[#This Row],[date pick]],Logfile_S[[#This Row],[Date]])</f>
        <v>#N/A</v>
      </c>
      <c r="AC19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36C-20251212-01</v>
      </c>
    </row>
    <row r="1922" spans="1:29" ht="14.5">
      <c r="A1922" s="237" t="str">
        <f>TEXT(ROW(A1922)-ROW($A$4),"000")</f>
        <v>1918</v>
      </c>
      <c r="B1922" s="221"/>
      <c r="C1922" s="227" t="s">
        <v>48</v>
      </c>
      <c r="D1922" s="227" t="s">
        <v>4730</v>
      </c>
      <c r="E1922" s="227" t="s">
        <v>3295</v>
      </c>
      <c r="F1922" s="227" t="s">
        <v>3299</v>
      </c>
      <c r="G1922" s="239">
        <v>46003</v>
      </c>
      <c r="H1922" s="240">
        <v>0.54166666666666663</v>
      </c>
      <c r="I1922" s="227" t="s">
        <v>37</v>
      </c>
      <c r="J1922" s="221" t="s">
        <v>3023</v>
      </c>
      <c r="K1922" s="241" t="s">
        <v>3074</v>
      </c>
      <c r="L1922" s="225" t="str">
        <f>VLOOKUP(Logfile_S[[#This Row],[Material Name]],Sheet2!B:C,2,0)</f>
        <v>ZTE2002</v>
      </c>
      <c r="M1922" s="242" t="s">
        <v>20</v>
      </c>
      <c r="N1922" s="227">
        <v>3000</v>
      </c>
      <c r="O1922" s="221" t="s">
        <v>4785</v>
      </c>
      <c r="P1922" s="221" t="s">
        <v>4786</v>
      </c>
      <c r="Q1922" s="227"/>
      <c r="R1922" s="227"/>
      <c r="S1922" s="227"/>
      <c r="T1922" s="227"/>
      <c r="U1922" s="227"/>
      <c r="V1922" s="227"/>
      <c r="W1922" s="227"/>
      <c r="X1922" s="227"/>
      <c r="Y1922" s="238" t="s">
        <v>5043</v>
      </c>
      <c r="Z1922" s="227" t="str">
        <f>P1922</f>
        <v>DUSUN ARDIREJO KELURAHAN SIDEREJO MALANG</v>
      </c>
      <c r="AA1922" s="276" t="e">
        <f>VLOOKUP(Logfile_S[[#This Row],[DO number]],DO_DB!G:I,3,0)</f>
        <v>#N/A</v>
      </c>
      <c r="AB1922" s="331" t="e">
        <f>EXACT(Logfile_S[[#This Row],[date pick]],Logfile_S[[#This Row],[Date]])</f>
        <v>#N/A</v>
      </c>
      <c r="AC19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36C-20251212-02</v>
      </c>
    </row>
    <row r="1923" spans="1:29" ht="14.5">
      <c r="A1923" s="237" t="str">
        <f>TEXT(ROW(A1923)-ROW($A$4),"000")</f>
        <v>1919</v>
      </c>
      <c r="B1923" s="221"/>
      <c r="C1923" s="227" t="s">
        <v>48</v>
      </c>
      <c r="D1923" s="227" t="s">
        <v>4730</v>
      </c>
      <c r="E1923" s="227" t="s">
        <v>3295</v>
      </c>
      <c r="F1923" s="227" t="s">
        <v>3299</v>
      </c>
      <c r="G1923" s="239">
        <v>46003</v>
      </c>
      <c r="H1923" s="240">
        <v>0.54166666666666663</v>
      </c>
      <c r="I1923" s="227" t="s">
        <v>37</v>
      </c>
      <c r="J1923" s="221" t="s">
        <v>3023</v>
      </c>
      <c r="K1923" s="241" t="s">
        <v>3074</v>
      </c>
      <c r="L1923" s="225" t="str">
        <f>VLOOKUP(Logfile_S[[#This Row],[Material Name]],Sheet2!B:C,2,0)</f>
        <v>ZTE2002</v>
      </c>
      <c r="M1923" s="242" t="s">
        <v>20</v>
      </c>
      <c r="N1923" s="227">
        <v>3000</v>
      </c>
      <c r="O1923" s="221" t="s">
        <v>4785</v>
      </c>
      <c r="P1923" s="221" t="s">
        <v>4786</v>
      </c>
      <c r="Q1923" s="227"/>
      <c r="R1923" s="227"/>
      <c r="S1923" s="227"/>
      <c r="T1923" s="227"/>
      <c r="U1923" s="227"/>
      <c r="V1923" s="227"/>
      <c r="W1923" s="227"/>
      <c r="X1923" s="227"/>
      <c r="Y1923" s="238" t="s">
        <v>5044</v>
      </c>
      <c r="Z1923" s="227" t="str">
        <f>P1923</f>
        <v>DUSUN ARDIREJO KELURAHAN SIDEREJO MALANG</v>
      </c>
      <c r="AA1923" s="276" t="e">
        <f>VLOOKUP(Logfile_S[[#This Row],[DO number]],DO_DB!G:I,3,0)</f>
        <v>#N/A</v>
      </c>
      <c r="AB1923" s="331" t="e">
        <f>EXACT(Logfile_S[[#This Row],[date pick]],Logfile_S[[#This Row],[Date]])</f>
        <v>#N/A</v>
      </c>
      <c r="AC19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36C-20251212-03</v>
      </c>
    </row>
    <row r="1924" spans="1:29" ht="14.5">
      <c r="A1924" s="237" t="str">
        <f>TEXT(ROW(A1924)-ROW($A$4),"000")</f>
        <v>1920</v>
      </c>
      <c r="B1924" s="221"/>
      <c r="C1924" s="227" t="s">
        <v>48</v>
      </c>
      <c r="D1924" s="227" t="s">
        <v>4730</v>
      </c>
      <c r="E1924" s="227" t="s">
        <v>3295</v>
      </c>
      <c r="F1924" s="227" t="s">
        <v>3299</v>
      </c>
      <c r="G1924" s="239">
        <v>46003</v>
      </c>
      <c r="H1924" s="240">
        <v>0.54166666666666663</v>
      </c>
      <c r="I1924" s="227" t="s">
        <v>37</v>
      </c>
      <c r="J1924" s="221" t="s">
        <v>3023</v>
      </c>
      <c r="K1924" s="241" t="s">
        <v>3074</v>
      </c>
      <c r="L1924" s="225" t="str">
        <f>VLOOKUP(Logfile_S[[#This Row],[Material Name]],Sheet2!B:C,2,0)</f>
        <v>ZTE2002</v>
      </c>
      <c r="M1924" s="242" t="s">
        <v>20</v>
      </c>
      <c r="N1924" s="227">
        <v>3000</v>
      </c>
      <c r="O1924" s="221" t="s">
        <v>4785</v>
      </c>
      <c r="P1924" s="221" t="s">
        <v>4786</v>
      </c>
      <c r="Q1924" s="227"/>
      <c r="R1924" s="227"/>
      <c r="S1924" s="227"/>
      <c r="T1924" s="227"/>
      <c r="U1924" s="227"/>
      <c r="V1924" s="227"/>
      <c r="W1924" s="227"/>
      <c r="X1924" s="227"/>
      <c r="Y1924" s="238" t="s">
        <v>5045</v>
      </c>
      <c r="Z1924" s="227" t="str">
        <f>P1924</f>
        <v>DUSUN ARDIREJO KELURAHAN SIDEREJO MALANG</v>
      </c>
      <c r="AA1924" s="276" t="e">
        <f>VLOOKUP(Logfile_S[[#This Row],[DO number]],DO_DB!G:I,3,0)</f>
        <v>#N/A</v>
      </c>
      <c r="AB1924" s="331" t="e">
        <f>EXACT(Logfile_S[[#This Row],[date pick]],Logfile_S[[#This Row],[Date]])</f>
        <v>#N/A</v>
      </c>
      <c r="AC19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36C-20251212-04</v>
      </c>
    </row>
    <row r="1925" spans="1:29" ht="14.5">
      <c r="A1925" s="237" t="str">
        <f>TEXT(ROW(A1925)-ROW($A$4),"000")</f>
        <v>1921</v>
      </c>
      <c r="B1925" s="221"/>
      <c r="C1925" s="227" t="s">
        <v>48</v>
      </c>
      <c r="D1925" s="227" t="s">
        <v>4730</v>
      </c>
      <c r="E1925" s="227" t="s">
        <v>3295</v>
      </c>
      <c r="F1925" s="227" t="s">
        <v>3299</v>
      </c>
      <c r="G1925" s="239">
        <v>46003</v>
      </c>
      <c r="H1925" s="240">
        <v>0.54166666666666663</v>
      </c>
      <c r="I1925" s="227" t="s">
        <v>37</v>
      </c>
      <c r="J1925" s="221" t="s">
        <v>3023</v>
      </c>
      <c r="K1925" s="241" t="s">
        <v>3074</v>
      </c>
      <c r="L1925" s="225" t="str">
        <f>VLOOKUP(Logfile_S[[#This Row],[Material Name]],Sheet2!B:C,2,0)</f>
        <v>ZTE2002</v>
      </c>
      <c r="M1925" s="242" t="s">
        <v>20</v>
      </c>
      <c r="N1925" s="227">
        <v>3000</v>
      </c>
      <c r="O1925" s="221" t="s">
        <v>4785</v>
      </c>
      <c r="P1925" s="221" t="s">
        <v>4786</v>
      </c>
      <c r="Q1925" s="227"/>
      <c r="R1925" s="227"/>
      <c r="S1925" s="227"/>
      <c r="T1925" s="227"/>
      <c r="U1925" s="227"/>
      <c r="V1925" s="227"/>
      <c r="W1925" s="227"/>
      <c r="X1925" s="227"/>
      <c r="Y1925" s="238" t="s">
        <v>5046</v>
      </c>
      <c r="Z1925" s="227" t="str">
        <f>P1925</f>
        <v>DUSUN ARDIREJO KELURAHAN SIDEREJO MALANG</v>
      </c>
      <c r="AA1925" s="276" t="e">
        <f>VLOOKUP(Logfile_S[[#This Row],[DO number]],DO_DB!G:I,3,0)</f>
        <v>#N/A</v>
      </c>
      <c r="AB1925" s="331" t="e">
        <f>EXACT(Logfile_S[[#This Row],[date pick]],Logfile_S[[#This Row],[Date]])</f>
        <v>#N/A</v>
      </c>
      <c r="AC19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36C-20251212-05</v>
      </c>
    </row>
    <row r="1926" spans="1:29" ht="14.5">
      <c r="A1926" s="237" t="str">
        <f>TEXT(ROW(A1926)-ROW($A$4),"000")</f>
        <v>1922</v>
      </c>
      <c r="B1926" s="221"/>
      <c r="C1926" s="227" t="s">
        <v>48</v>
      </c>
      <c r="D1926" s="227" t="s">
        <v>4730</v>
      </c>
      <c r="E1926" s="227" t="s">
        <v>3295</v>
      </c>
      <c r="F1926" s="227" t="s">
        <v>3299</v>
      </c>
      <c r="G1926" s="239">
        <v>46003</v>
      </c>
      <c r="H1926" s="240">
        <v>0.54166666666666663</v>
      </c>
      <c r="I1926" s="227" t="s">
        <v>37</v>
      </c>
      <c r="J1926" s="221" t="s">
        <v>3023</v>
      </c>
      <c r="K1926" s="241" t="s">
        <v>3074</v>
      </c>
      <c r="L1926" s="225" t="str">
        <f>VLOOKUP(Logfile_S[[#This Row],[Material Name]],Sheet2!B:C,2,0)</f>
        <v>ZTE2002</v>
      </c>
      <c r="M1926" s="242" t="s">
        <v>20</v>
      </c>
      <c r="N1926" s="227">
        <v>3000</v>
      </c>
      <c r="O1926" s="221" t="s">
        <v>4785</v>
      </c>
      <c r="P1926" s="221" t="s">
        <v>4786</v>
      </c>
      <c r="Q1926" s="227"/>
      <c r="R1926" s="227"/>
      <c r="S1926" s="227"/>
      <c r="T1926" s="227"/>
      <c r="U1926" s="227"/>
      <c r="V1926" s="227"/>
      <c r="W1926" s="227"/>
      <c r="X1926" s="227"/>
      <c r="Y1926" s="238" t="s">
        <v>5047</v>
      </c>
      <c r="Z1926" s="227" t="str">
        <f>P1926</f>
        <v>DUSUN ARDIREJO KELURAHAN SIDEREJO MALANG</v>
      </c>
      <c r="AA1926" s="276" t="e">
        <f>VLOOKUP(Logfile_S[[#This Row],[DO number]],DO_DB!G:I,3,0)</f>
        <v>#N/A</v>
      </c>
      <c r="AB1926" s="331" t="e">
        <f>EXACT(Logfile_S[[#This Row],[date pick]],Logfile_S[[#This Row],[Date]])</f>
        <v>#N/A</v>
      </c>
      <c r="AC19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36C-20251212-06</v>
      </c>
    </row>
    <row r="1927" spans="1:29" ht="14.5">
      <c r="A1927" s="237" t="str">
        <f>TEXT(ROW(A1927)-ROW($A$4),"000")</f>
        <v>1923</v>
      </c>
      <c r="B1927" s="221">
        <v>8</v>
      </c>
      <c r="C1927" s="227" t="s">
        <v>48</v>
      </c>
      <c r="D1927" s="227" t="s">
        <v>4730</v>
      </c>
      <c r="E1927" s="227" t="s">
        <v>3295</v>
      </c>
      <c r="F1927" s="227" t="s">
        <v>3299</v>
      </c>
      <c r="G1927" s="239">
        <v>46003</v>
      </c>
      <c r="H1927" s="240">
        <v>0.54166666666666663</v>
      </c>
      <c r="I1927" s="227" t="s">
        <v>37</v>
      </c>
      <c r="J1927" s="221" t="s">
        <v>3023</v>
      </c>
      <c r="K1927" s="241" t="s">
        <v>13</v>
      </c>
      <c r="L1927" s="225" t="str">
        <f>VLOOKUP(Logfile_S[[#This Row],[Material Name]],Sheet2!B:C,2,0)</f>
        <v>ZTE2008</v>
      </c>
      <c r="M1927" s="242" t="s">
        <v>19</v>
      </c>
      <c r="N1927" s="227">
        <v>40</v>
      </c>
      <c r="O1927" s="221" t="s">
        <v>4785</v>
      </c>
      <c r="P1927" s="221" t="s">
        <v>4786</v>
      </c>
      <c r="Q1927" s="227" t="s">
        <v>3260</v>
      </c>
      <c r="R1927" s="227" t="s">
        <v>3260</v>
      </c>
      <c r="S1927" s="227"/>
      <c r="T1927" s="227"/>
      <c r="U1927" s="227"/>
      <c r="V1927" s="227"/>
      <c r="W1927" s="227"/>
      <c r="X1927" s="227"/>
      <c r="Y1927" s="227"/>
      <c r="Z1927" s="227" t="str">
        <f>P1927</f>
        <v>DUSUN ARDIREJO KELURAHAN SIDEREJO MALANG</v>
      </c>
      <c r="AA1927" s="276" t="e">
        <f>VLOOKUP(Logfile_S[[#This Row],[DO number]],DO_DB!G:I,3,0)</f>
        <v>#N/A</v>
      </c>
      <c r="AB1927" s="331" t="e">
        <f>EXACT(Logfile_S[[#This Row],[date pick]],Logfile_S[[#This Row],[Date]])</f>
        <v>#N/A</v>
      </c>
      <c r="AC19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28" spans="1:29" ht="14.5">
      <c r="A1928" s="237" t="str">
        <f>TEXT(ROW(A1928)-ROW($A$4),"000")</f>
        <v>1924</v>
      </c>
      <c r="B1928" s="221">
        <v>7</v>
      </c>
      <c r="C1928" s="227" t="s">
        <v>48</v>
      </c>
      <c r="D1928" s="227" t="s">
        <v>4730</v>
      </c>
      <c r="E1928" s="227" t="s">
        <v>3295</v>
      </c>
      <c r="F1928" s="227" t="s">
        <v>3299</v>
      </c>
      <c r="G1928" s="239">
        <v>46003</v>
      </c>
      <c r="H1928" s="240">
        <v>0.54166666666666663</v>
      </c>
      <c r="I1928" s="227" t="s">
        <v>37</v>
      </c>
      <c r="J1928" s="221" t="s">
        <v>3023</v>
      </c>
      <c r="K1928" s="241" t="s">
        <v>14</v>
      </c>
      <c r="L1928" s="225" t="str">
        <f>VLOOKUP(Logfile_S[[#This Row],[Material Name]],Sheet2!B:C,2,0)</f>
        <v>ZTE2005</v>
      </c>
      <c r="M1928" s="242" t="s">
        <v>19</v>
      </c>
      <c r="N1928" s="227">
        <v>1</v>
      </c>
      <c r="O1928" s="221" t="s">
        <v>4785</v>
      </c>
      <c r="P1928" s="221" t="s">
        <v>4786</v>
      </c>
      <c r="Q1928" s="221" t="s">
        <v>4791</v>
      </c>
      <c r="R1928" s="221" t="s">
        <v>4792</v>
      </c>
      <c r="S1928" s="227"/>
      <c r="T1928" s="227"/>
      <c r="U1928" s="227"/>
      <c r="V1928" s="227"/>
      <c r="W1928" s="227"/>
      <c r="X1928" s="227"/>
      <c r="Y1928" s="227"/>
      <c r="Z1928" s="227" t="str">
        <f>P1928</f>
        <v>DUSUN ARDIREJO KELURAHAN SIDEREJO MALANG</v>
      </c>
      <c r="AA1928" s="276">
        <f>VLOOKUP(Logfile_S[[#This Row],[DO number]],DO_DB!G:I,3,0)</f>
        <v>46003</v>
      </c>
      <c r="AB1928" s="331" t="b">
        <f>EXACT(Logfile_S[[#This Row],[date pick]],Logfile_S[[#This Row],[Date]])</f>
        <v>1</v>
      </c>
      <c r="AC19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29" spans="1:29" ht="14.5">
      <c r="A1929" s="237" t="str">
        <f>TEXT(ROW(A1929)-ROW($A$4),"000")</f>
        <v>1925</v>
      </c>
      <c r="B1929" s="221">
        <v>1</v>
      </c>
      <c r="C1929" s="227" t="s">
        <v>48</v>
      </c>
      <c r="D1929" s="227" t="s">
        <v>4749</v>
      </c>
      <c r="E1929" s="227" t="s">
        <v>3295</v>
      </c>
      <c r="F1929" s="227" t="s">
        <v>3299</v>
      </c>
      <c r="G1929" s="239">
        <v>46003</v>
      </c>
      <c r="H1929" s="240">
        <v>0.54166666666666663</v>
      </c>
      <c r="I1929" s="227" t="s">
        <v>37</v>
      </c>
      <c r="J1929" s="221" t="s">
        <v>3023</v>
      </c>
      <c r="K1929" s="241" t="s">
        <v>4731</v>
      </c>
      <c r="L1929" s="225" t="str">
        <f>VLOOKUP(Logfile_S[[#This Row],[Material Name]],Sheet2!B:C,2,0)</f>
        <v>ZTE1007</v>
      </c>
      <c r="M1929" s="242" t="s">
        <v>19</v>
      </c>
      <c r="N1929" s="227">
        <v>226</v>
      </c>
      <c r="O1929" s="227" t="s">
        <v>4785</v>
      </c>
      <c r="P1929" s="227" t="s">
        <v>4786</v>
      </c>
      <c r="Q1929" s="221" t="s">
        <v>4795</v>
      </c>
      <c r="R1929" s="221" t="s">
        <v>4796</v>
      </c>
      <c r="S1929" s="227"/>
      <c r="T1929" s="227"/>
      <c r="U1929" s="227"/>
      <c r="V1929" s="227"/>
      <c r="W1929" s="227"/>
      <c r="X1929" s="227"/>
      <c r="Y1929" s="227"/>
      <c r="Z1929" s="227" t="str">
        <f>P1929</f>
        <v>DUSUN ARDIREJO KELURAHAN SIDEREJO MALANG</v>
      </c>
      <c r="AA1929" s="276">
        <f>VLOOKUP(Logfile_S[[#This Row],[DO number]],DO_DB!G:I,3,0)</f>
        <v>46003</v>
      </c>
      <c r="AB1929" s="331" t="b">
        <f>EXACT(Logfile_S[[#This Row],[date pick]],Logfile_S[[#This Row],[Date]])</f>
        <v>1</v>
      </c>
      <c r="AC19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30" spans="1:29" ht="14.5">
      <c r="A1930" s="237" t="str">
        <f>TEXT(ROW(A1930)-ROW($A$4),"000")</f>
        <v>1926</v>
      </c>
      <c r="B1930" s="221">
        <v>2</v>
      </c>
      <c r="C1930" s="227" t="s">
        <v>49</v>
      </c>
      <c r="D1930" s="227" t="s">
        <v>4734</v>
      </c>
      <c r="E1930" s="227" t="s">
        <v>3295</v>
      </c>
      <c r="F1930" s="227" t="s">
        <v>3299</v>
      </c>
      <c r="G1930" s="239">
        <v>46004</v>
      </c>
      <c r="H1930" s="240">
        <v>0.33333333333333331</v>
      </c>
      <c r="I1930" s="227" t="s">
        <v>3295</v>
      </c>
      <c r="J1930" s="221" t="s">
        <v>3023</v>
      </c>
      <c r="K1930" s="241" t="s">
        <v>4731</v>
      </c>
      <c r="L1930" s="225" t="str">
        <f>VLOOKUP(Logfile_S[[#This Row],[Material Name]],Sheet2!B:C,2,0)</f>
        <v>ZTE1007</v>
      </c>
      <c r="M1930" s="242" t="s">
        <v>19</v>
      </c>
      <c r="N1930" s="227">
        <v>29</v>
      </c>
      <c r="O1930" s="227" t="s">
        <v>4785</v>
      </c>
      <c r="P1930" s="227" t="s">
        <v>4786</v>
      </c>
      <c r="Q1930" s="227" t="s">
        <v>3260</v>
      </c>
      <c r="R1930" s="227" t="s">
        <v>3260</v>
      </c>
      <c r="S1930" s="227"/>
      <c r="T1930" s="221" t="s">
        <v>3258</v>
      </c>
      <c r="U1930" s="221" t="s">
        <v>4811</v>
      </c>
      <c r="V1930" s="221" t="s">
        <v>3337</v>
      </c>
      <c r="W1930" s="221" t="s">
        <v>3338</v>
      </c>
      <c r="X1930" s="227"/>
      <c r="Y1930" s="227"/>
      <c r="Z1930" s="227" t="str">
        <f>P1930</f>
        <v>DUSUN ARDIREJO KELURAHAN SIDEREJO MALANG</v>
      </c>
      <c r="AA1930" s="276" t="e">
        <f>VLOOKUP(Logfile_S[[#This Row],[DO number]],DO_DB!G:I,3,0)</f>
        <v>#N/A</v>
      </c>
      <c r="AB1930" s="331" t="e">
        <f>EXACT(Logfile_S[[#This Row],[date pick]],Logfile_S[[#This Row],[Date]])</f>
        <v>#N/A</v>
      </c>
      <c r="AC19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31" spans="1:29" ht="14.5">
      <c r="A1931" s="237" t="str">
        <f>TEXT(ROW(A1931)-ROW($A$4),"000")</f>
        <v>1927</v>
      </c>
      <c r="B1931" s="221">
        <v>1</v>
      </c>
      <c r="C1931" s="227" t="s">
        <v>49</v>
      </c>
      <c r="D1931" s="227" t="s">
        <v>4736</v>
      </c>
      <c r="E1931" s="227" t="s">
        <v>3295</v>
      </c>
      <c r="F1931" s="227" t="s">
        <v>3299</v>
      </c>
      <c r="G1931" s="239">
        <v>46005</v>
      </c>
      <c r="H1931" s="240">
        <v>0.33333333333333331</v>
      </c>
      <c r="I1931" s="227" t="s">
        <v>3295</v>
      </c>
      <c r="J1931" s="221" t="s">
        <v>3023</v>
      </c>
      <c r="K1931" s="241" t="s">
        <v>3070</v>
      </c>
      <c r="L1931" s="225" t="str">
        <f>VLOOKUP(Logfile_S[[#This Row],[Material Name]],Sheet2!B:C,2,0)</f>
        <v>ZTE1002</v>
      </c>
      <c r="M1931" s="242" t="s">
        <v>19</v>
      </c>
      <c r="N1931" s="227">
        <v>25</v>
      </c>
      <c r="O1931" s="227" t="s">
        <v>4785</v>
      </c>
      <c r="P1931" s="227" t="s">
        <v>4786</v>
      </c>
      <c r="Q1931" s="227"/>
      <c r="R1931" s="227"/>
      <c r="S1931" s="227"/>
      <c r="T1931" s="221" t="s">
        <v>3258</v>
      </c>
      <c r="U1931" s="221" t="s">
        <v>4811</v>
      </c>
      <c r="V1931" s="221" t="s">
        <v>3337</v>
      </c>
      <c r="W1931" s="221" t="s">
        <v>3338</v>
      </c>
      <c r="X1931" s="227"/>
      <c r="Y1931" s="227"/>
      <c r="Z1931" s="227" t="str">
        <f>P1931</f>
        <v>DUSUN ARDIREJO KELURAHAN SIDEREJO MALANG</v>
      </c>
      <c r="AA1931" s="276" t="e">
        <f>VLOOKUP(Logfile_S[[#This Row],[DO number]],DO_DB!G:I,3,0)</f>
        <v>#N/A</v>
      </c>
      <c r="AB1931" s="331" t="e">
        <f>EXACT(Logfile_S[[#This Row],[date pick]],Logfile_S[[#This Row],[Date]])</f>
        <v>#N/A</v>
      </c>
      <c r="AC19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32" spans="1:29" ht="14.5">
      <c r="A1932" s="237" t="str">
        <f>TEXT(ROW(A1932)-ROW($A$4),"000")</f>
        <v>1928</v>
      </c>
      <c r="B1932" s="221">
        <v>11</v>
      </c>
      <c r="C1932" s="227" t="s">
        <v>49</v>
      </c>
      <c r="D1932" s="227" t="s">
        <v>4740</v>
      </c>
      <c r="E1932" s="227" t="s">
        <v>3295</v>
      </c>
      <c r="F1932" s="227" t="s">
        <v>3299</v>
      </c>
      <c r="G1932" s="239">
        <v>46006</v>
      </c>
      <c r="H1932" s="240">
        <v>0.49305555555555558</v>
      </c>
      <c r="I1932" s="227" t="s">
        <v>3295</v>
      </c>
      <c r="J1932" s="221" t="s">
        <v>3023</v>
      </c>
      <c r="K1932" s="241" t="s">
        <v>3069</v>
      </c>
      <c r="L1932" s="225" t="str">
        <f>VLOOKUP(Logfile_S[[#This Row],[Material Name]],Sheet2!B:C,2,0)</f>
        <v>ZTE1001</v>
      </c>
      <c r="M1932" s="242" t="s">
        <v>19</v>
      </c>
      <c r="N1932" s="227">
        <v>18</v>
      </c>
      <c r="O1932" s="227" t="s">
        <v>4785</v>
      </c>
      <c r="P1932" s="227" t="s">
        <v>4786</v>
      </c>
      <c r="Q1932" s="227"/>
      <c r="R1932" s="227"/>
      <c r="S1932" s="227"/>
      <c r="T1932" s="221" t="s">
        <v>3258</v>
      </c>
      <c r="U1932" s="221" t="s">
        <v>4811</v>
      </c>
      <c r="V1932" s="221" t="s">
        <v>3337</v>
      </c>
      <c r="W1932" s="221" t="s">
        <v>3338</v>
      </c>
      <c r="X1932" s="227"/>
      <c r="Y1932" s="227"/>
      <c r="Z1932" s="227" t="str">
        <f>P1932</f>
        <v>DUSUN ARDIREJO KELURAHAN SIDEREJO MALANG</v>
      </c>
      <c r="AA1932" s="276" t="e">
        <f>VLOOKUP(Logfile_S[[#This Row],[DO number]],DO_DB!G:I,3,0)</f>
        <v>#N/A</v>
      </c>
      <c r="AB1932" s="331" t="e">
        <f>EXACT(Logfile_S[[#This Row],[date pick]],Logfile_S[[#This Row],[Date]])</f>
        <v>#N/A</v>
      </c>
      <c r="AC19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33" spans="1:29" ht="14.5">
      <c r="A1933" s="237" t="str">
        <f>TEXT(ROW(A1933)-ROW($A$4),"000")</f>
        <v>1929</v>
      </c>
      <c r="B1933" s="221">
        <v>2</v>
      </c>
      <c r="C1933" s="227" t="s">
        <v>49</v>
      </c>
      <c r="D1933" s="227" t="s">
        <v>4755</v>
      </c>
      <c r="E1933" s="227" t="s">
        <v>3295</v>
      </c>
      <c r="F1933" s="227" t="s">
        <v>3299</v>
      </c>
      <c r="G1933" s="239">
        <v>46010</v>
      </c>
      <c r="H1933" s="240">
        <v>0.33333333333333331</v>
      </c>
      <c r="I1933" s="227" t="s">
        <v>3295</v>
      </c>
      <c r="J1933" s="221" t="s">
        <v>3023</v>
      </c>
      <c r="K1933" s="241" t="s">
        <v>3070</v>
      </c>
      <c r="L1933" s="225" t="str">
        <f>VLOOKUP(Logfile_S[[#This Row],[Material Name]],Sheet2!B:C,2,0)</f>
        <v>ZTE1002</v>
      </c>
      <c r="M1933" s="242" t="s">
        <v>19</v>
      </c>
      <c r="N1933" s="227">
        <v>10</v>
      </c>
      <c r="O1933" s="227" t="s">
        <v>4785</v>
      </c>
      <c r="P1933" s="227" t="s">
        <v>4786</v>
      </c>
      <c r="Q1933" s="227"/>
      <c r="R1933" s="227"/>
      <c r="S1933" s="227"/>
      <c r="T1933" s="221" t="s">
        <v>3258</v>
      </c>
      <c r="U1933" s="221" t="s">
        <v>4811</v>
      </c>
      <c r="V1933" s="221" t="s">
        <v>3337</v>
      </c>
      <c r="W1933" s="221" t="s">
        <v>3338</v>
      </c>
      <c r="X1933" s="227"/>
      <c r="Y1933" s="227"/>
      <c r="Z1933" s="227" t="str">
        <f>P1933</f>
        <v>DUSUN ARDIREJO KELURAHAN SIDEREJO MALANG</v>
      </c>
      <c r="AA1933" s="276" t="e">
        <f>VLOOKUP(Logfile_S[[#This Row],[DO number]],DO_DB!G:I,3,0)</f>
        <v>#N/A</v>
      </c>
      <c r="AB1933" s="331" t="e">
        <f>EXACT(Logfile_S[[#This Row],[date pick]],Logfile_S[[#This Row],[Date]])</f>
        <v>#N/A</v>
      </c>
      <c r="AC19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34" spans="1:29" ht="14.5">
      <c r="A1934" s="237" t="str">
        <f>TEXT(ROW(A1934)-ROW($A$4),"000")</f>
        <v>1930</v>
      </c>
      <c r="B1934" s="221">
        <v>2</v>
      </c>
      <c r="C1934" s="227" t="s">
        <v>49</v>
      </c>
      <c r="D1934" s="227" t="s">
        <v>4759</v>
      </c>
      <c r="E1934" s="227" t="s">
        <v>3295</v>
      </c>
      <c r="F1934" s="227" t="s">
        <v>3299</v>
      </c>
      <c r="G1934" s="239">
        <v>46010</v>
      </c>
      <c r="H1934" s="240">
        <v>0.54166666666666663</v>
      </c>
      <c r="I1934" s="227" t="s">
        <v>3295</v>
      </c>
      <c r="J1934" s="221" t="s">
        <v>3023</v>
      </c>
      <c r="K1934" s="241" t="s">
        <v>3070</v>
      </c>
      <c r="L1934" s="225" t="str">
        <f>VLOOKUP(Logfile_S[[#This Row],[Material Name]],Sheet2!B:C,2,0)</f>
        <v>ZTE1002</v>
      </c>
      <c r="M1934" s="242" t="s">
        <v>19</v>
      </c>
      <c r="N1934" s="227">
        <v>18</v>
      </c>
      <c r="O1934" s="227" t="s">
        <v>4785</v>
      </c>
      <c r="P1934" s="227" t="s">
        <v>4786</v>
      </c>
      <c r="Q1934" s="227"/>
      <c r="R1934" s="227"/>
      <c r="S1934" s="227"/>
      <c r="T1934" s="221" t="s">
        <v>3258</v>
      </c>
      <c r="U1934" s="221" t="s">
        <v>4811</v>
      </c>
      <c r="V1934" s="221" t="s">
        <v>3337</v>
      </c>
      <c r="W1934" s="221" t="s">
        <v>3338</v>
      </c>
      <c r="X1934" s="227"/>
      <c r="Y1934" s="227"/>
      <c r="Z1934" s="227" t="str">
        <f>P1934</f>
        <v>DUSUN ARDIREJO KELURAHAN SIDEREJO MALANG</v>
      </c>
      <c r="AA1934" s="276" t="e">
        <f>VLOOKUP(Logfile_S[[#This Row],[DO number]],DO_DB!G:I,3,0)</f>
        <v>#N/A</v>
      </c>
      <c r="AB1934" s="331" t="e">
        <f>EXACT(Logfile_S[[#This Row],[date pick]],Logfile_S[[#This Row],[Date]])</f>
        <v>#N/A</v>
      </c>
      <c r="AC19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35" spans="1:29" ht="14.5">
      <c r="A1935" s="237" t="str">
        <f>TEXT(ROW(A1935)-ROW($A$4),"000")</f>
        <v>1931</v>
      </c>
      <c r="B1935" s="221">
        <v>3</v>
      </c>
      <c r="C1935" s="227" t="s">
        <v>49</v>
      </c>
      <c r="D1935" s="227" t="s">
        <v>4755</v>
      </c>
      <c r="E1935" s="227" t="s">
        <v>3295</v>
      </c>
      <c r="F1935" s="227" t="s">
        <v>3299</v>
      </c>
      <c r="G1935" s="239">
        <v>46010</v>
      </c>
      <c r="H1935" s="240">
        <v>0.33333333333333331</v>
      </c>
      <c r="I1935" s="227" t="s">
        <v>3295</v>
      </c>
      <c r="J1935" s="221" t="s">
        <v>3023</v>
      </c>
      <c r="K1935" s="241" t="s">
        <v>3069</v>
      </c>
      <c r="L1935" s="225" t="str">
        <f>VLOOKUP(Logfile_S[[#This Row],[Material Name]],Sheet2!B:C,2,0)</f>
        <v>ZTE1001</v>
      </c>
      <c r="M1935" s="242" t="s">
        <v>19</v>
      </c>
      <c r="N1935" s="227">
        <v>13</v>
      </c>
      <c r="O1935" s="227" t="s">
        <v>4785</v>
      </c>
      <c r="P1935" s="227" t="s">
        <v>4786</v>
      </c>
      <c r="Q1935" s="227"/>
      <c r="R1935" s="227"/>
      <c r="S1935" s="227"/>
      <c r="T1935" s="221" t="s">
        <v>3258</v>
      </c>
      <c r="U1935" s="221" t="s">
        <v>4811</v>
      </c>
      <c r="V1935" s="221" t="s">
        <v>3337</v>
      </c>
      <c r="W1935" s="221" t="s">
        <v>3338</v>
      </c>
      <c r="X1935" s="227"/>
      <c r="Y1935" s="227"/>
      <c r="Z1935" s="227" t="str">
        <f>P1935</f>
        <v>DUSUN ARDIREJO KELURAHAN SIDEREJO MALANG</v>
      </c>
      <c r="AA1935" s="276" t="e">
        <f>VLOOKUP(Logfile_S[[#This Row],[DO number]],DO_DB!G:I,3,0)</f>
        <v>#N/A</v>
      </c>
      <c r="AB1935" s="331" t="e">
        <f>EXACT(Logfile_S[[#This Row],[date pick]],Logfile_S[[#This Row],[Date]])</f>
        <v>#N/A</v>
      </c>
      <c r="AC19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36" spans="1:29" ht="14.5">
      <c r="A1936" s="237" t="str">
        <f>TEXT(ROW(A1936)-ROW($A$4),"000")</f>
        <v>1932</v>
      </c>
      <c r="B1936" s="221">
        <v>3</v>
      </c>
      <c r="C1936" s="227" t="s">
        <v>49</v>
      </c>
      <c r="D1936" s="227" t="s">
        <v>4759</v>
      </c>
      <c r="E1936" s="227" t="s">
        <v>3295</v>
      </c>
      <c r="F1936" s="227" t="s">
        <v>3299</v>
      </c>
      <c r="G1936" s="239">
        <v>46010</v>
      </c>
      <c r="H1936" s="240">
        <v>0.54166666666666663</v>
      </c>
      <c r="I1936" s="227" t="s">
        <v>3295</v>
      </c>
      <c r="J1936" s="221" t="s">
        <v>3023</v>
      </c>
      <c r="K1936" s="241" t="s">
        <v>3069</v>
      </c>
      <c r="L1936" s="225" t="str">
        <f>VLOOKUP(Logfile_S[[#This Row],[Material Name]],Sheet2!B:C,2,0)</f>
        <v>ZTE1001</v>
      </c>
      <c r="M1936" s="242" t="s">
        <v>19</v>
      </c>
      <c r="N1936" s="227">
        <v>16</v>
      </c>
      <c r="O1936" s="227" t="s">
        <v>4785</v>
      </c>
      <c r="P1936" s="227" t="s">
        <v>4786</v>
      </c>
      <c r="Q1936" s="227"/>
      <c r="R1936" s="227"/>
      <c r="S1936" s="227"/>
      <c r="T1936" s="221" t="s">
        <v>3258</v>
      </c>
      <c r="U1936" s="221" t="s">
        <v>4811</v>
      </c>
      <c r="V1936" s="221" t="s">
        <v>3337</v>
      </c>
      <c r="W1936" s="221" t="s">
        <v>3338</v>
      </c>
      <c r="X1936" s="227"/>
      <c r="Y1936" s="227"/>
      <c r="Z1936" s="227" t="str">
        <f>P1936</f>
        <v>DUSUN ARDIREJO KELURAHAN SIDEREJO MALANG</v>
      </c>
      <c r="AA1936" s="276" t="e">
        <f>VLOOKUP(Logfile_S[[#This Row],[DO number]],DO_DB!G:I,3,0)</f>
        <v>#N/A</v>
      </c>
      <c r="AB1936" s="331" t="e">
        <f>EXACT(Logfile_S[[#This Row],[date pick]],Logfile_S[[#This Row],[Date]])</f>
        <v>#N/A</v>
      </c>
      <c r="AC19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37" spans="1:29" ht="14.5">
      <c r="A1937" s="237" t="str">
        <f>TEXT(ROW(A1937)-ROW($A$4),"000")</f>
        <v>1933</v>
      </c>
      <c r="B1937" s="221">
        <v>2</v>
      </c>
      <c r="C1937" s="227" t="s">
        <v>49</v>
      </c>
      <c r="D1937" s="227" t="s">
        <v>4760</v>
      </c>
      <c r="E1937" s="227" t="s">
        <v>3295</v>
      </c>
      <c r="F1937" s="227" t="s">
        <v>3299</v>
      </c>
      <c r="G1937" s="239">
        <v>46011</v>
      </c>
      <c r="H1937" s="240">
        <v>0.33333333333333331</v>
      </c>
      <c r="I1937" s="227" t="s">
        <v>3295</v>
      </c>
      <c r="J1937" s="221" t="s">
        <v>3023</v>
      </c>
      <c r="K1937" s="241" t="s">
        <v>4731</v>
      </c>
      <c r="L1937" s="225" t="str">
        <f>VLOOKUP(Logfile_S[[#This Row],[Material Name]],Sheet2!B:C,2,0)</f>
        <v>ZTE1007</v>
      </c>
      <c r="M1937" s="242" t="s">
        <v>19</v>
      </c>
      <c r="N1937" s="227">
        <v>50</v>
      </c>
      <c r="O1937" s="227" t="s">
        <v>4785</v>
      </c>
      <c r="P1937" s="227" t="s">
        <v>4786</v>
      </c>
      <c r="Q1937" s="227"/>
      <c r="R1937" s="227"/>
      <c r="S1937" s="227"/>
      <c r="T1937" s="221" t="s">
        <v>3258</v>
      </c>
      <c r="U1937" s="221" t="s">
        <v>4811</v>
      </c>
      <c r="V1937" s="221" t="s">
        <v>3337</v>
      </c>
      <c r="W1937" s="221" t="s">
        <v>3338</v>
      </c>
      <c r="X1937" s="227"/>
      <c r="Y1937" s="227"/>
      <c r="Z1937" s="227" t="str">
        <f>P1937</f>
        <v>DUSUN ARDIREJO KELURAHAN SIDEREJO MALANG</v>
      </c>
      <c r="AA1937" s="276" t="e">
        <f>VLOOKUP(Logfile_S[[#This Row],[DO number]],DO_DB!G:I,3,0)</f>
        <v>#N/A</v>
      </c>
      <c r="AB1937" s="331" t="e">
        <f>EXACT(Logfile_S[[#This Row],[date pick]],Logfile_S[[#This Row],[Date]])</f>
        <v>#N/A</v>
      </c>
      <c r="AC19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38" spans="1:29" ht="14.5">
      <c r="A1938" s="237" t="str">
        <f>TEXT(ROW(A1938)-ROW($A$4),"000")</f>
        <v>1934</v>
      </c>
      <c r="B1938" s="221">
        <v>3</v>
      </c>
      <c r="C1938" s="227" t="s">
        <v>49</v>
      </c>
      <c r="D1938" s="227" t="s">
        <v>4760</v>
      </c>
      <c r="E1938" s="227" t="s">
        <v>3295</v>
      </c>
      <c r="F1938" s="227" t="s">
        <v>3299</v>
      </c>
      <c r="G1938" s="239">
        <v>46011</v>
      </c>
      <c r="H1938" s="240">
        <v>0.33333333333333331</v>
      </c>
      <c r="I1938" s="227" t="s">
        <v>3295</v>
      </c>
      <c r="J1938" s="221" t="s">
        <v>3023</v>
      </c>
      <c r="K1938" s="241" t="s">
        <v>3070</v>
      </c>
      <c r="L1938" s="225" t="str">
        <f>VLOOKUP(Logfile_S[[#This Row],[Material Name]],Sheet2!B:C,2,0)</f>
        <v>ZTE1002</v>
      </c>
      <c r="M1938" s="242" t="s">
        <v>19</v>
      </c>
      <c r="N1938" s="227">
        <v>48</v>
      </c>
      <c r="O1938" s="227" t="s">
        <v>4785</v>
      </c>
      <c r="P1938" s="227" t="s">
        <v>4786</v>
      </c>
      <c r="Q1938" s="227"/>
      <c r="R1938" s="227"/>
      <c r="S1938" s="227"/>
      <c r="T1938" s="221" t="s">
        <v>3258</v>
      </c>
      <c r="U1938" s="221" t="s">
        <v>4811</v>
      </c>
      <c r="V1938" s="221" t="s">
        <v>3337</v>
      </c>
      <c r="W1938" s="221" t="s">
        <v>3338</v>
      </c>
      <c r="X1938" s="227"/>
      <c r="Y1938" s="227"/>
      <c r="Z1938" s="227" t="str">
        <f>P1938</f>
        <v>DUSUN ARDIREJO KELURAHAN SIDEREJO MALANG</v>
      </c>
      <c r="AA1938" s="276" t="e">
        <f>VLOOKUP(Logfile_S[[#This Row],[DO number]],DO_DB!G:I,3,0)</f>
        <v>#N/A</v>
      </c>
      <c r="AB1938" s="331" t="e">
        <f>EXACT(Logfile_S[[#This Row],[date pick]],Logfile_S[[#This Row],[Date]])</f>
        <v>#N/A</v>
      </c>
      <c r="AC19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39" spans="1:29" ht="14.5">
      <c r="A1939" s="237" t="str">
        <f>TEXT(ROW(A1939)-ROW($A$4),"000")</f>
        <v>1935</v>
      </c>
      <c r="B1939" s="221">
        <v>5</v>
      </c>
      <c r="C1939" s="227" t="s">
        <v>49</v>
      </c>
      <c r="D1939" s="227" t="s">
        <v>4763</v>
      </c>
      <c r="E1939" s="227" t="s">
        <v>3295</v>
      </c>
      <c r="F1939" s="227" t="s">
        <v>3299</v>
      </c>
      <c r="G1939" s="239">
        <v>46012</v>
      </c>
      <c r="H1939" s="240">
        <v>0.33333333333333331</v>
      </c>
      <c r="I1939" s="227" t="s">
        <v>3295</v>
      </c>
      <c r="J1939" s="221" t="s">
        <v>3023</v>
      </c>
      <c r="K1939" s="241" t="s">
        <v>13</v>
      </c>
      <c r="L1939" s="225" t="str">
        <f>VLOOKUP(Logfile_S[[#This Row],[Material Name]],Sheet2!B:C,2,0)</f>
        <v>ZTE2008</v>
      </c>
      <c r="M1939" s="242" t="s">
        <v>19</v>
      </c>
      <c r="N1939" s="227">
        <v>32</v>
      </c>
      <c r="O1939" s="221" t="s">
        <v>4785</v>
      </c>
      <c r="P1939" s="221" t="s">
        <v>4786</v>
      </c>
      <c r="Q1939" s="227"/>
      <c r="R1939" s="227"/>
      <c r="S1939" s="227"/>
      <c r="T1939" s="221" t="s">
        <v>3471</v>
      </c>
      <c r="U1939" s="221" t="s">
        <v>4811</v>
      </c>
      <c r="V1939" s="221" t="s">
        <v>3472</v>
      </c>
      <c r="W1939" s="221" t="s">
        <v>3545</v>
      </c>
      <c r="X1939" s="227"/>
      <c r="Y1939" s="227"/>
      <c r="Z1939" s="227" t="str">
        <f>P1939</f>
        <v>DUSUN ARDIREJO KELURAHAN SIDEREJO MALANG</v>
      </c>
      <c r="AA1939" s="276" t="e">
        <f>VLOOKUP(Logfile_S[[#This Row],[DO number]],DO_DB!G:I,3,0)</f>
        <v>#N/A</v>
      </c>
      <c r="AB1939" s="331" t="e">
        <f>EXACT(Logfile_S[[#This Row],[date pick]],Logfile_S[[#This Row],[Date]])</f>
        <v>#N/A</v>
      </c>
      <c r="AC19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40" spans="1:29" ht="14.5">
      <c r="A1940" s="237" t="str">
        <f>TEXT(ROW(A1940)-ROW($A$4),"000")</f>
        <v>1936</v>
      </c>
      <c r="B1940" s="221">
        <v>3</v>
      </c>
      <c r="C1940" s="227" t="s">
        <v>49</v>
      </c>
      <c r="D1940" s="227" t="s">
        <v>4763</v>
      </c>
      <c r="E1940" s="227" t="s">
        <v>3295</v>
      </c>
      <c r="F1940" s="227" t="s">
        <v>3299</v>
      </c>
      <c r="G1940" s="239">
        <v>46012</v>
      </c>
      <c r="H1940" s="240">
        <v>0.33333333333333331</v>
      </c>
      <c r="I1940" s="227" t="s">
        <v>3295</v>
      </c>
      <c r="J1940" s="221" t="s">
        <v>3023</v>
      </c>
      <c r="K1940" s="241" t="s">
        <v>4731</v>
      </c>
      <c r="L1940" s="225" t="str">
        <f>VLOOKUP(Logfile_S[[#This Row],[Material Name]],Sheet2!B:C,2,0)</f>
        <v>ZTE1007</v>
      </c>
      <c r="M1940" s="242" t="s">
        <v>19</v>
      </c>
      <c r="N1940" s="227">
        <v>26</v>
      </c>
      <c r="O1940" s="227" t="s">
        <v>4785</v>
      </c>
      <c r="P1940" s="227" t="s">
        <v>4786</v>
      </c>
      <c r="Q1940" s="227"/>
      <c r="R1940" s="227"/>
      <c r="S1940" s="227"/>
      <c r="T1940" s="221" t="s">
        <v>3258</v>
      </c>
      <c r="U1940" s="221" t="s">
        <v>4811</v>
      </c>
      <c r="V1940" s="221" t="s">
        <v>3337</v>
      </c>
      <c r="W1940" s="221" t="s">
        <v>3338</v>
      </c>
      <c r="X1940" s="227"/>
      <c r="Y1940" s="227"/>
      <c r="Z1940" s="227" t="str">
        <f>P1940</f>
        <v>DUSUN ARDIREJO KELURAHAN SIDEREJO MALANG</v>
      </c>
      <c r="AA1940" s="276" t="e">
        <f>VLOOKUP(Logfile_S[[#This Row],[DO number]],DO_DB!G:I,3,0)</f>
        <v>#N/A</v>
      </c>
      <c r="AB1940" s="331" t="e">
        <f>EXACT(Logfile_S[[#This Row],[date pick]],Logfile_S[[#This Row],[Date]])</f>
        <v>#N/A</v>
      </c>
      <c r="AC19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41" spans="1:29" ht="14.5">
      <c r="A1941" s="237" t="str">
        <f>TEXT(ROW(A1941)-ROW($A$4),"000")</f>
        <v>1937</v>
      </c>
      <c r="B1941" s="221">
        <v>4</v>
      </c>
      <c r="C1941" s="227" t="s">
        <v>49</v>
      </c>
      <c r="D1941" s="227" t="s">
        <v>4763</v>
      </c>
      <c r="E1941" s="227" t="s">
        <v>3295</v>
      </c>
      <c r="F1941" s="227" t="s">
        <v>3299</v>
      </c>
      <c r="G1941" s="239">
        <v>46012</v>
      </c>
      <c r="H1941" s="240">
        <v>0.33333333333333331</v>
      </c>
      <c r="I1941" s="227" t="s">
        <v>3295</v>
      </c>
      <c r="J1941" s="221" t="s">
        <v>3023</v>
      </c>
      <c r="K1941" s="241" t="s">
        <v>3070</v>
      </c>
      <c r="L1941" s="225" t="str">
        <f>VLOOKUP(Logfile_S[[#This Row],[Material Name]],Sheet2!B:C,2,0)</f>
        <v>ZTE1002</v>
      </c>
      <c r="M1941" s="242" t="s">
        <v>19</v>
      </c>
      <c r="N1941" s="227">
        <v>9</v>
      </c>
      <c r="O1941" s="227" t="s">
        <v>4785</v>
      </c>
      <c r="P1941" s="227" t="s">
        <v>4786</v>
      </c>
      <c r="Q1941" s="227"/>
      <c r="R1941" s="227"/>
      <c r="S1941" s="227"/>
      <c r="T1941" s="221" t="s">
        <v>3258</v>
      </c>
      <c r="U1941" s="221" t="s">
        <v>4811</v>
      </c>
      <c r="V1941" s="221" t="s">
        <v>3337</v>
      </c>
      <c r="W1941" s="221" t="s">
        <v>3338</v>
      </c>
      <c r="X1941" s="227"/>
      <c r="Y1941" s="227"/>
      <c r="Z1941" s="227" t="str">
        <f>P1941</f>
        <v>DUSUN ARDIREJO KELURAHAN SIDEREJO MALANG</v>
      </c>
      <c r="AA1941" s="276" t="e">
        <f>VLOOKUP(Logfile_S[[#This Row],[DO number]],DO_DB!G:I,3,0)</f>
        <v>#N/A</v>
      </c>
      <c r="AB1941" s="331" t="e">
        <f>EXACT(Logfile_S[[#This Row],[date pick]],Logfile_S[[#This Row],[Date]])</f>
        <v>#N/A</v>
      </c>
      <c r="AC19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42" spans="1:29" ht="14.5">
      <c r="A1942" s="237" t="str">
        <f>TEXT(ROW(A1942)-ROW($A$4),"000")</f>
        <v>1938</v>
      </c>
      <c r="B1942" s="221">
        <v>1</v>
      </c>
      <c r="C1942" s="227" t="s">
        <v>49</v>
      </c>
      <c r="D1942" s="227" t="s">
        <v>4770</v>
      </c>
      <c r="E1942" s="227" t="s">
        <v>3295</v>
      </c>
      <c r="F1942" s="227" t="s">
        <v>3299</v>
      </c>
      <c r="G1942" s="239">
        <v>46013</v>
      </c>
      <c r="H1942" s="240">
        <v>0.54166666666666663</v>
      </c>
      <c r="I1942" s="227" t="s">
        <v>3295</v>
      </c>
      <c r="J1942" s="221" t="s">
        <v>3023</v>
      </c>
      <c r="K1942" s="241" t="s">
        <v>4731</v>
      </c>
      <c r="L1942" s="225" t="str">
        <f>VLOOKUP(Logfile_S[[#This Row],[Material Name]],Sheet2!B:C,2,0)</f>
        <v>ZTE1007</v>
      </c>
      <c r="M1942" s="242" t="s">
        <v>19</v>
      </c>
      <c r="N1942" s="227">
        <v>53</v>
      </c>
      <c r="O1942" s="227" t="s">
        <v>4785</v>
      </c>
      <c r="P1942" s="227" t="s">
        <v>4786</v>
      </c>
      <c r="Q1942" s="227"/>
      <c r="R1942" s="227"/>
      <c r="S1942" s="227"/>
      <c r="T1942" s="221" t="s">
        <v>3258</v>
      </c>
      <c r="U1942" s="221" t="s">
        <v>4811</v>
      </c>
      <c r="V1942" s="221" t="s">
        <v>3337</v>
      </c>
      <c r="W1942" s="221" t="s">
        <v>3338</v>
      </c>
      <c r="X1942" s="227"/>
      <c r="Y1942" s="227"/>
      <c r="Z1942" s="227" t="str">
        <f>P1942</f>
        <v>DUSUN ARDIREJO KELURAHAN SIDEREJO MALANG</v>
      </c>
      <c r="AA1942" s="276" t="e">
        <f>VLOOKUP(Logfile_S[[#This Row],[DO number]],DO_DB!G:I,3,0)</f>
        <v>#N/A</v>
      </c>
      <c r="AB1942" s="331" t="e">
        <f>EXACT(Logfile_S[[#This Row],[date pick]],Logfile_S[[#This Row],[Date]])</f>
        <v>#N/A</v>
      </c>
      <c r="AC19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43" spans="1:29" ht="14.5">
      <c r="A1943" s="237" t="str">
        <f>TEXT(ROW(A1943)-ROW($A$4),"000")</f>
        <v>1939</v>
      </c>
      <c r="B1943" s="221">
        <v>2</v>
      </c>
      <c r="C1943" s="227" t="s">
        <v>49</v>
      </c>
      <c r="D1943" s="227" t="s">
        <v>4770</v>
      </c>
      <c r="E1943" s="227" t="s">
        <v>3295</v>
      </c>
      <c r="F1943" s="227" t="s">
        <v>3299</v>
      </c>
      <c r="G1943" s="239">
        <v>46013</v>
      </c>
      <c r="H1943" s="240">
        <v>0.54166666666666663</v>
      </c>
      <c r="I1943" s="227" t="s">
        <v>3295</v>
      </c>
      <c r="J1943" s="221" t="s">
        <v>3023</v>
      </c>
      <c r="K1943" s="241" t="s">
        <v>3070</v>
      </c>
      <c r="L1943" s="225" t="str">
        <f>VLOOKUP(Logfile_S[[#This Row],[Material Name]],Sheet2!B:C,2,0)</f>
        <v>ZTE1002</v>
      </c>
      <c r="M1943" s="242" t="s">
        <v>19</v>
      </c>
      <c r="N1943" s="227">
        <v>17</v>
      </c>
      <c r="O1943" s="227" t="s">
        <v>4785</v>
      </c>
      <c r="P1943" s="227" t="s">
        <v>4786</v>
      </c>
      <c r="Q1943" s="227"/>
      <c r="R1943" s="227"/>
      <c r="S1943" s="227"/>
      <c r="T1943" s="221" t="s">
        <v>3258</v>
      </c>
      <c r="U1943" s="221" t="s">
        <v>4811</v>
      </c>
      <c r="V1943" s="221" t="s">
        <v>3337</v>
      </c>
      <c r="W1943" s="221" t="s">
        <v>3338</v>
      </c>
      <c r="X1943" s="227"/>
      <c r="Y1943" s="227"/>
      <c r="Z1943" s="227" t="str">
        <f>P1943</f>
        <v>DUSUN ARDIREJO KELURAHAN SIDEREJO MALANG</v>
      </c>
      <c r="AA1943" s="276" t="e">
        <f>VLOOKUP(Logfile_S[[#This Row],[DO number]],DO_DB!G:I,3,0)</f>
        <v>#N/A</v>
      </c>
      <c r="AB1943" s="331" t="e">
        <f>EXACT(Logfile_S[[#This Row],[date pick]],Logfile_S[[#This Row],[Date]])</f>
        <v>#N/A</v>
      </c>
      <c r="AC19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44" spans="1:29" ht="14.5">
      <c r="A1944" s="237" t="str">
        <f>TEXT(ROW(A1944)-ROW($A$4),"000")</f>
        <v>1940</v>
      </c>
      <c r="B1944" s="221">
        <v>1</v>
      </c>
      <c r="C1944" s="227" t="s">
        <v>49</v>
      </c>
      <c r="D1944" s="227" t="s">
        <v>4772</v>
      </c>
      <c r="E1944" s="227" t="s">
        <v>3295</v>
      </c>
      <c r="F1944" s="227" t="s">
        <v>3299</v>
      </c>
      <c r="G1944" s="239">
        <v>46014</v>
      </c>
      <c r="H1944" s="240">
        <v>0.625</v>
      </c>
      <c r="I1944" s="227" t="s">
        <v>3295</v>
      </c>
      <c r="J1944" s="221" t="s">
        <v>3023</v>
      </c>
      <c r="K1944" s="241" t="s">
        <v>13</v>
      </c>
      <c r="L1944" s="225" t="str">
        <f>VLOOKUP(Logfile_S[[#This Row],[Material Name]],Sheet2!B:C,2,0)</f>
        <v>ZTE2008</v>
      </c>
      <c r="M1944" s="242" t="s">
        <v>19</v>
      </c>
      <c r="N1944" s="227">
        <v>32</v>
      </c>
      <c r="O1944" s="221" t="s">
        <v>4785</v>
      </c>
      <c r="P1944" s="221" t="s">
        <v>4786</v>
      </c>
      <c r="Q1944" s="227"/>
      <c r="R1944" s="227"/>
      <c r="S1944" s="227"/>
      <c r="T1944" s="221" t="s">
        <v>3471</v>
      </c>
      <c r="U1944" s="221" t="s">
        <v>4811</v>
      </c>
      <c r="V1944" s="221" t="s">
        <v>3472</v>
      </c>
      <c r="W1944" s="221" t="s">
        <v>3545</v>
      </c>
      <c r="X1944" s="227"/>
      <c r="Y1944" s="227"/>
      <c r="Z1944" s="227" t="str">
        <f>P1944</f>
        <v>DUSUN ARDIREJO KELURAHAN SIDEREJO MALANG</v>
      </c>
      <c r="AA1944" s="276" t="e">
        <f>VLOOKUP(Logfile_S[[#This Row],[DO number]],DO_DB!G:I,3,0)</f>
        <v>#N/A</v>
      </c>
      <c r="AB1944" s="331" t="e">
        <f>EXACT(Logfile_S[[#This Row],[date pick]],Logfile_S[[#This Row],[Date]])</f>
        <v>#N/A</v>
      </c>
      <c r="AC19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45" spans="1:29" ht="14.5">
      <c r="A1945" s="237" t="str">
        <f>TEXT(ROW(A1945)-ROW($A$4),"000")</f>
        <v>1941</v>
      </c>
      <c r="B1945" s="221">
        <v>1</v>
      </c>
      <c r="C1945" s="227" t="s">
        <v>49</v>
      </c>
      <c r="D1945" s="227" t="s">
        <v>4771</v>
      </c>
      <c r="E1945" s="227" t="s">
        <v>3295</v>
      </c>
      <c r="F1945" s="227" t="s">
        <v>3299</v>
      </c>
      <c r="G1945" s="239">
        <v>46014</v>
      </c>
      <c r="H1945" s="240">
        <v>0.33333333333333331</v>
      </c>
      <c r="I1945" s="227" t="s">
        <v>3295</v>
      </c>
      <c r="J1945" s="221" t="s">
        <v>3023</v>
      </c>
      <c r="K1945" s="241" t="s">
        <v>4731</v>
      </c>
      <c r="L1945" s="225" t="str">
        <f>VLOOKUP(Logfile_S[[#This Row],[Material Name]],Sheet2!B:C,2,0)</f>
        <v>ZTE1007</v>
      </c>
      <c r="M1945" s="242" t="s">
        <v>19</v>
      </c>
      <c r="N1945" s="227">
        <v>52</v>
      </c>
      <c r="O1945" s="227" t="s">
        <v>4785</v>
      </c>
      <c r="P1945" s="227" t="s">
        <v>4786</v>
      </c>
      <c r="Q1945" s="227"/>
      <c r="R1945" s="227"/>
      <c r="S1945" s="227"/>
      <c r="T1945" s="221" t="s">
        <v>3258</v>
      </c>
      <c r="U1945" s="221" t="s">
        <v>4811</v>
      </c>
      <c r="V1945" s="221" t="s">
        <v>3337</v>
      </c>
      <c r="W1945" s="221" t="s">
        <v>3338</v>
      </c>
      <c r="X1945" s="227"/>
      <c r="Y1945" s="227"/>
      <c r="Z1945" s="227" t="str">
        <f>P1945</f>
        <v>DUSUN ARDIREJO KELURAHAN SIDEREJO MALANG</v>
      </c>
      <c r="AA1945" s="276" t="e">
        <f>VLOOKUP(Logfile_S[[#This Row],[DO number]],DO_DB!G:I,3,0)</f>
        <v>#N/A</v>
      </c>
      <c r="AB1945" s="331" t="e">
        <f>EXACT(Logfile_S[[#This Row],[date pick]],Logfile_S[[#This Row],[Date]])</f>
        <v>#N/A</v>
      </c>
      <c r="AC19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46" spans="1:29" ht="14.5">
      <c r="A1946" s="237" t="str">
        <f>TEXT(ROW(A1946)-ROW($A$4),"000")</f>
        <v>1942</v>
      </c>
      <c r="B1946" s="221">
        <v>1</v>
      </c>
      <c r="C1946" s="227" t="s">
        <v>49</v>
      </c>
      <c r="D1946" s="227" t="s">
        <v>4776</v>
      </c>
      <c r="E1946" s="227" t="s">
        <v>3295</v>
      </c>
      <c r="F1946" s="227" t="s">
        <v>3299</v>
      </c>
      <c r="G1946" s="239">
        <v>46015</v>
      </c>
      <c r="H1946" s="240">
        <v>0.69097222222222221</v>
      </c>
      <c r="I1946" s="227" t="s">
        <v>3295</v>
      </c>
      <c r="J1946" s="221" t="s">
        <v>3023</v>
      </c>
      <c r="K1946" s="241" t="s">
        <v>13</v>
      </c>
      <c r="L1946" s="225" t="str">
        <f>VLOOKUP(Logfile_S[[#This Row],[Material Name]],Sheet2!B:C,2,0)</f>
        <v>ZTE2008</v>
      </c>
      <c r="M1946" s="242" t="s">
        <v>19</v>
      </c>
      <c r="N1946" s="227">
        <v>27</v>
      </c>
      <c r="O1946" s="221" t="s">
        <v>4785</v>
      </c>
      <c r="P1946" s="221" t="s">
        <v>4786</v>
      </c>
      <c r="Q1946" s="227"/>
      <c r="R1946" s="227"/>
      <c r="S1946" s="227"/>
      <c r="T1946" s="221" t="s">
        <v>3471</v>
      </c>
      <c r="U1946" s="221" t="s">
        <v>4811</v>
      </c>
      <c r="V1946" s="221" t="s">
        <v>3472</v>
      </c>
      <c r="W1946" s="221" t="s">
        <v>3545</v>
      </c>
      <c r="X1946" s="227"/>
      <c r="Y1946" s="227"/>
      <c r="Z1946" s="227" t="str">
        <f>P1946</f>
        <v>DUSUN ARDIREJO KELURAHAN SIDEREJO MALANG</v>
      </c>
      <c r="AA1946" s="276" t="e">
        <f>VLOOKUP(Logfile_S[[#This Row],[DO number]],DO_DB!G:I,3,0)</f>
        <v>#N/A</v>
      </c>
      <c r="AB1946" s="331" t="e">
        <f>EXACT(Logfile_S[[#This Row],[date pick]],Logfile_S[[#This Row],[Date]])</f>
        <v>#N/A</v>
      </c>
      <c r="AC19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47" spans="1:29" ht="14.5">
      <c r="A1947" s="237" t="str">
        <f>TEXT(ROW(A1947)-ROW($A$4),"000")</f>
        <v>1943</v>
      </c>
      <c r="B1947" s="221">
        <v>4</v>
      </c>
      <c r="C1947" s="227" t="s">
        <v>49</v>
      </c>
      <c r="D1947" s="227" t="s">
        <v>4776</v>
      </c>
      <c r="E1947" s="227" t="s">
        <v>3295</v>
      </c>
      <c r="F1947" s="227" t="s">
        <v>3299</v>
      </c>
      <c r="G1947" s="239">
        <v>46015</v>
      </c>
      <c r="H1947" s="240">
        <v>0.69097222222222221</v>
      </c>
      <c r="I1947" s="227" t="s">
        <v>3295</v>
      </c>
      <c r="J1947" s="221" t="s">
        <v>3023</v>
      </c>
      <c r="K1947" s="241" t="s">
        <v>14</v>
      </c>
      <c r="L1947" s="225" t="str">
        <f>VLOOKUP(Logfile_S[[#This Row],[Material Name]],Sheet2!B:C,2,0)</f>
        <v>ZTE2005</v>
      </c>
      <c r="M1947" s="242" t="s">
        <v>19</v>
      </c>
      <c r="N1947" s="227">
        <v>1</v>
      </c>
      <c r="O1947" s="227" t="s">
        <v>4785</v>
      </c>
      <c r="P1947" s="227" t="s">
        <v>4786</v>
      </c>
      <c r="Q1947" s="227"/>
      <c r="R1947" s="227"/>
      <c r="S1947" s="227"/>
      <c r="T1947" s="221" t="s">
        <v>3471</v>
      </c>
      <c r="U1947" s="221" t="s">
        <v>4811</v>
      </c>
      <c r="V1947" s="221" t="s">
        <v>3472</v>
      </c>
      <c r="W1947" s="221" t="s">
        <v>3545</v>
      </c>
      <c r="X1947" s="227"/>
      <c r="Y1947" s="227"/>
      <c r="Z1947" s="227" t="str">
        <f>P1947</f>
        <v>DUSUN ARDIREJO KELURAHAN SIDEREJO MALANG</v>
      </c>
      <c r="AA1947" s="276" t="e">
        <f>VLOOKUP(Logfile_S[[#This Row],[DO number]],DO_DB!G:I,3,0)</f>
        <v>#N/A</v>
      </c>
      <c r="AB1947" s="331" t="e">
        <f>EXACT(Logfile_S[[#This Row],[date pick]],Logfile_S[[#This Row],[Date]])</f>
        <v>#N/A</v>
      </c>
      <c r="AC19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48" spans="1:29" ht="14.5">
      <c r="A1948" s="237" t="str">
        <f>TEXT(ROW(A1948)-ROW($A$4),"000")</f>
        <v>1944</v>
      </c>
      <c r="B1948" s="221">
        <v>5</v>
      </c>
      <c r="C1948" s="227" t="s">
        <v>49</v>
      </c>
      <c r="D1948" s="227" t="s">
        <v>4776</v>
      </c>
      <c r="E1948" s="227" t="s">
        <v>3295</v>
      </c>
      <c r="F1948" s="227" t="s">
        <v>3299</v>
      </c>
      <c r="G1948" s="239">
        <v>46015</v>
      </c>
      <c r="H1948" s="240">
        <v>0.69097222222222221</v>
      </c>
      <c r="I1948" s="227" t="s">
        <v>3295</v>
      </c>
      <c r="J1948" s="221" t="s">
        <v>3023</v>
      </c>
      <c r="K1948" s="241" t="s">
        <v>15</v>
      </c>
      <c r="L1948" s="225" t="str">
        <f>VLOOKUP(Logfile_S[[#This Row],[Material Name]],Sheet2!B:C,2,0)</f>
        <v>ZTE2006</v>
      </c>
      <c r="M1948" s="242" t="s">
        <v>19</v>
      </c>
      <c r="N1948" s="227">
        <v>1</v>
      </c>
      <c r="O1948" s="227" t="s">
        <v>4785</v>
      </c>
      <c r="P1948" s="227" t="s">
        <v>4786</v>
      </c>
      <c r="Q1948" s="227"/>
      <c r="R1948" s="227"/>
      <c r="S1948" s="227"/>
      <c r="T1948" s="221" t="s">
        <v>3471</v>
      </c>
      <c r="U1948" s="221" t="s">
        <v>4811</v>
      </c>
      <c r="V1948" s="221" t="s">
        <v>3472</v>
      </c>
      <c r="W1948" s="221" t="s">
        <v>3545</v>
      </c>
      <c r="X1948" s="227"/>
      <c r="Y1948" s="227"/>
      <c r="Z1948" s="227" t="str">
        <f>P1948</f>
        <v>DUSUN ARDIREJO KELURAHAN SIDEREJO MALANG</v>
      </c>
      <c r="AA1948" s="276" t="e">
        <f>VLOOKUP(Logfile_S[[#This Row],[DO number]],DO_DB!G:I,3,0)</f>
        <v>#N/A</v>
      </c>
      <c r="AB1948" s="331" t="e">
        <f>EXACT(Logfile_S[[#This Row],[date pick]],Logfile_S[[#This Row],[Date]])</f>
        <v>#N/A</v>
      </c>
      <c r="AC19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49" spans="1:29" ht="14.5">
      <c r="A1949" s="237" t="str">
        <f>TEXT(ROW(A1949)-ROW($A$4),"000")</f>
        <v>1945</v>
      </c>
      <c r="B1949" s="221">
        <v>2</v>
      </c>
      <c r="C1949" s="227" t="s">
        <v>49</v>
      </c>
      <c r="D1949" s="227" t="s">
        <v>4776</v>
      </c>
      <c r="E1949" s="227" t="s">
        <v>3295</v>
      </c>
      <c r="F1949" s="227" t="s">
        <v>3299</v>
      </c>
      <c r="G1949" s="239">
        <v>46015</v>
      </c>
      <c r="H1949" s="240">
        <v>0.69097222222222221</v>
      </c>
      <c r="I1949" s="227" t="s">
        <v>3295</v>
      </c>
      <c r="J1949" s="221" t="s">
        <v>3023</v>
      </c>
      <c r="K1949" s="241" t="s">
        <v>15</v>
      </c>
      <c r="L1949" s="225" t="str">
        <f>VLOOKUP(Logfile_S[[#This Row],[Material Name]],Sheet2!B:C,2,0)</f>
        <v>ZTE2006</v>
      </c>
      <c r="M1949" s="242" t="s">
        <v>19</v>
      </c>
      <c r="N1949" s="227">
        <v>2</v>
      </c>
      <c r="O1949" s="221" t="s">
        <v>4785</v>
      </c>
      <c r="P1949" s="221" t="s">
        <v>4786</v>
      </c>
      <c r="Q1949" s="227"/>
      <c r="R1949" s="227"/>
      <c r="S1949" s="227"/>
      <c r="T1949" s="221" t="s">
        <v>3471</v>
      </c>
      <c r="U1949" s="221" t="s">
        <v>4811</v>
      </c>
      <c r="V1949" s="221" t="s">
        <v>3472</v>
      </c>
      <c r="W1949" s="221" t="s">
        <v>3545</v>
      </c>
      <c r="X1949" s="227"/>
      <c r="Y1949" s="227"/>
      <c r="Z1949" s="227" t="str">
        <f>P1949</f>
        <v>DUSUN ARDIREJO KELURAHAN SIDEREJO MALANG</v>
      </c>
      <c r="AA1949" s="276" t="e">
        <f>VLOOKUP(Logfile_S[[#This Row],[DO number]],DO_DB!G:I,3,0)</f>
        <v>#N/A</v>
      </c>
      <c r="AB1949" s="331" t="e">
        <f>EXACT(Logfile_S[[#This Row],[date pick]],Logfile_S[[#This Row],[Date]])</f>
        <v>#N/A</v>
      </c>
      <c r="AC19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50" spans="1:29" ht="14.5">
      <c r="A1950" s="237" t="str">
        <f>TEXT(ROW(A1950)-ROW($A$4),"000")</f>
        <v>1946</v>
      </c>
      <c r="B1950" s="221">
        <v>1</v>
      </c>
      <c r="C1950" s="227" t="s">
        <v>49</v>
      </c>
      <c r="D1950" s="227" t="s">
        <v>4777</v>
      </c>
      <c r="E1950" s="227" t="s">
        <v>3295</v>
      </c>
      <c r="F1950" s="227" t="s">
        <v>3299</v>
      </c>
      <c r="G1950" s="239">
        <v>46016</v>
      </c>
      <c r="H1950" s="240">
        <v>0.50902777777777775</v>
      </c>
      <c r="I1950" s="227" t="s">
        <v>3295</v>
      </c>
      <c r="J1950" s="221" t="s">
        <v>3023</v>
      </c>
      <c r="K1950" s="241" t="s">
        <v>13</v>
      </c>
      <c r="L1950" s="225" t="str">
        <f>VLOOKUP(Logfile_S[[#This Row],[Material Name]],Sheet2!B:C,2,0)</f>
        <v>ZTE2008</v>
      </c>
      <c r="M1950" s="242" t="s">
        <v>19</v>
      </c>
      <c r="N1950" s="227">
        <v>26</v>
      </c>
      <c r="O1950" s="221" t="s">
        <v>4785</v>
      </c>
      <c r="P1950" s="221" t="s">
        <v>4786</v>
      </c>
      <c r="Q1950" s="227"/>
      <c r="R1950" s="227"/>
      <c r="S1950" s="227"/>
      <c r="T1950" s="221" t="s">
        <v>3471</v>
      </c>
      <c r="U1950" s="221" t="s">
        <v>4811</v>
      </c>
      <c r="V1950" s="221" t="s">
        <v>3472</v>
      </c>
      <c r="W1950" s="221" t="s">
        <v>3545</v>
      </c>
      <c r="X1950" s="227"/>
      <c r="Y1950" s="227"/>
      <c r="Z1950" s="227" t="str">
        <f>P1950</f>
        <v>DUSUN ARDIREJO KELURAHAN SIDEREJO MALANG</v>
      </c>
      <c r="AA1950" s="276" t="e">
        <f>VLOOKUP(Logfile_S[[#This Row],[DO number]],DO_DB!G:I,3,0)</f>
        <v>#N/A</v>
      </c>
      <c r="AB1950" s="331" t="e">
        <f>EXACT(Logfile_S[[#This Row],[date pick]],Logfile_S[[#This Row],[Date]])</f>
        <v>#N/A</v>
      </c>
      <c r="AC19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51" spans="1:29" ht="14.5">
      <c r="A1951" s="237" t="str">
        <f>TEXT(ROW(A1951)-ROW($A$4),"000")</f>
        <v>1947</v>
      </c>
      <c r="B1951" s="221">
        <v>2</v>
      </c>
      <c r="C1951" s="227" t="s">
        <v>49</v>
      </c>
      <c r="D1951" s="227" t="s">
        <v>4777</v>
      </c>
      <c r="E1951" s="227" t="s">
        <v>3295</v>
      </c>
      <c r="F1951" s="227" t="s">
        <v>3299</v>
      </c>
      <c r="G1951" s="239">
        <v>46016</v>
      </c>
      <c r="H1951" s="240">
        <v>0.50902777777777775</v>
      </c>
      <c r="I1951" s="227" t="s">
        <v>3295</v>
      </c>
      <c r="J1951" s="221" t="s">
        <v>3023</v>
      </c>
      <c r="K1951" s="241" t="s">
        <v>3069</v>
      </c>
      <c r="L1951" s="225" t="str">
        <f>VLOOKUP(Logfile_S[[#This Row],[Material Name]],Sheet2!B:C,2,0)</f>
        <v>ZTE1001</v>
      </c>
      <c r="M1951" s="242" t="s">
        <v>19</v>
      </c>
      <c r="N1951" s="227">
        <v>3</v>
      </c>
      <c r="O1951" s="227" t="s">
        <v>4785</v>
      </c>
      <c r="P1951" s="227" t="s">
        <v>4786</v>
      </c>
      <c r="Q1951" s="227"/>
      <c r="R1951" s="227"/>
      <c r="S1951" s="227"/>
      <c r="T1951" s="221" t="s">
        <v>3258</v>
      </c>
      <c r="U1951" s="221" t="s">
        <v>4811</v>
      </c>
      <c r="V1951" s="221" t="s">
        <v>3337</v>
      </c>
      <c r="W1951" s="221" t="s">
        <v>3338</v>
      </c>
      <c r="X1951" s="227"/>
      <c r="Y1951" s="227"/>
      <c r="Z1951" s="227" t="str">
        <f>P1951</f>
        <v>DUSUN ARDIREJO KELURAHAN SIDEREJO MALANG</v>
      </c>
      <c r="AA1951" s="276" t="e">
        <f>VLOOKUP(Logfile_S[[#This Row],[DO number]],DO_DB!G:I,3,0)</f>
        <v>#N/A</v>
      </c>
      <c r="AB1951" s="331" t="e">
        <f>EXACT(Logfile_S[[#This Row],[date pick]],Logfile_S[[#This Row],[Date]])</f>
        <v>#N/A</v>
      </c>
      <c r="AC19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52" spans="1:29" ht="14.5">
      <c r="A1952" s="237" t="str">
        <f>TEXT(ROW(A1952)-ROW($A$4),"000")</f>
        <v>1948</v>
      </c>
      <c r="B1952" s="221">
        <v>14</v>
      </c>
      <c r="C1952" s="227" t="s">
        <v>49</v>
      </c>
      <c r="D1952" s="227" t="s">
        <v>4783</v>
      </c>
      <c r="E1952" s="227" t="s">
        <v>3295</v>
      </c>
      <c r="F1952" s="227" t="s">
        <v>3299</v>
      </c>
      <c r="G1952" s="239">
        <v>46018</v>
      </c>
      <c r="H1952" s="240">
        <v>0.49305555555555558</v>
      </c>
      <c r="I1952" s="227" t="s">
        <v>3295</v>
      </c>
      <c r="J1952" s="221" t="s">
        <v>3023</v>
      </c>
      <c r="K1952" s="241" t="s">
        <v>3071</v>
      </c>
      <c r="L1952" s="225" t="str">
        <f>VLOOKUP(Logfile_S[[#This Row],[Material Name]],Sheet2!B:C,2,0)</f>
        <v>ZTE1003</v>
      </c>
      <c r="M1952" s="242" t="s">
        <v>19</v>
      </c>
      <c r="N1952" s="227">
        <v>9</v>
      </c>
      <c r="O1952" s="227" t="s">
        <v>4785</v>
      </c>
      <c r="P1952" s="227" t="s">
        <v>4786</v>
      </c>
      <c r="Q1952" s="227"/>
      <c r="R1952" s="227"/>
      <c r="S1952" s="227"/>
      <c r="T1952" s="221" t="s">
        <v>3258</v>
      </c>
      <c r="U1952" s="221" t="s">
        <v>4811</v>
      </c>
      <c r="V1952" s="221" t="s">
        <v>3337</v>
      </c>
      <c r="W1952" s="221" t="s">
        <v>3338</v>
      </c>
      <c r="X1952" s="227"/>
      <c r="Y1952" s="227"/>
      <c r="Z1952" s="227" t="str">
        <f>P1952</f>
        <v>DUSUN ARDIREJO KELURAHAN SIDEREJO MALANG</v>
      </c>
      <c r="AA1952" s="276" t="e">
        <f>VLOOKUP(Logfile_S[[#This Row],[DO number]],DO_DB!G:I,3,0)</f>
        <v>#N/A</v>
      </c>
      <c r="AB1952" s="331" t="e">
        <f>EXACT(Logfile_S[[#This Row],[date pick]],Logfile_S[[#This Row],[Date]])</f>
        <v>#N/A</v>
      </c>
      <c r="AC19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53" spans="1:29" ht="14.5">
      <c r="A1953" s="237" t="str">
        <f>TEXT(ROW(A1953)-ROW($A$4),"000")</f>
        <v>1949</v>
      </c>
      <c r="B1953" s="221">
        <v>1</v>
      </c>
      <c r="C1953" s="227" t="s">
        <v>49</v>
      </c>
      <c r="D1953" s="227" t="s">
        <v>4784</v>
      </c>
      <c r="E1953" s="227" t="s">
        <v>3295</v>
      </c>
      <c r="F1953" s="227" t="s">
        <v>3299</v>
      </c>
      <c r="G1953" s="239">
        <v>46035</v>
      </c>
      <c r="H1953" s="240">
        <v>0.43888888888888888</v>
      </c>
      <c r="I1953" s="227" t="s">
        <v>3295</v>
      </c>
      <c r="J1953" s="221" t="s">
        <v>3023</v>
      </c>
      <c r="K1953" s="241" t="s">
        <v>3070</v>
      </c>
      <c r="L1953" s="225" t="str">
        <f>VLOOKUP(Logfile_S[[#This Row],[Material Name]],Sheet2!B:C,2,0)</f>
        <v>ZTE1002</v>
      </c>
      <c r="M1953" s="242" t="s">
        <v>19</v>
      </c>
      <c r="N1953" s="227">
        <v>16</v>
      </c>
      <c r="O1953" s="227" t="s">
        <v>4785</v>
      </c>
      <c r="P1953" s="227" t="s">
        <v>4786</v>
      </c>
      <c r="Q1953" s="227" t="s">
        <v>4787</v>
      </c>
      <c r="R1953" s="227" t="s">
        <v>4788</v>
      </c>
      <c r="S1953" s="227" t="s">
        <v>39</v>
      </c>
      <c r="T1953" s="227" t="s">
        <v>3258</v>
      </c>
      <c r="U1953" s="227" t="s">
        <v>4811</v>
      </c>
      <c r="V1953" s="221" t="s">
        <v>3337</v>
      </c>
      <c r="W1953" s="227" t="s">
        <v>3338</v>
      </c>
      <c r="X1953" s="227"/>
      <c r="Y1953" s="227"/>
      <c r="Z1953" s="227" t="str">
        <f>P1953</f>
        <v>DUSUN ARDIREJO KELURAHAN SIDEREJO MALANG</v>
      </c>
      <c r="AA1953" s="276">
        <f>VLOOKUP(Logfile_S[[#This Row],[DO number]],DO_DB!G:I,3,0)</f>
        <v>46002</v>
      </c>
      <c r="AB1953" s="331" t="b">
        <f>EXACT(Logfile_S[[#This Row],[date pick]],Logfile_S[[#This Row],[Date]])</f>
        <v>0</v>
      </c>
      <c r="AC19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54" spans="1:29" ht="14.5">
      <c r="A1954" s="237" t="str">
        <f>TEXT(ROW(A1954)-ROW($A$4),"000")</f>
        <v>1950</v>
      </c>
      <c r="B1954" s="221">
        <v>6</v>
      </c>
      <c r="C1954" s="227" t="s">
        <v>48</v>
      </c>
      <c r="D1954" s="227" t="s">
        <v>4730</v>
      </c>
      <c r="E1954" s="227" t="s">
        <v>3295</v>
      </c>
      <c r="F1954" s="227" t="s">
        <v>3299</v>
      </c>
      <c r="G1954" s="239">
        <v>46002</v>
      </c>
      <c r="H1954" s="240">
        <v>0.54166666666666663</v>
      </c>
      <c r="I1954" s="227" t="s">
        <v>37</v>
      </c>
      <c r="J1954" s="221" t="s">
        <v>3023</v>
      </c>
      <c r="K1954" s="241" t="s">
        <v>15</v>
      </c>
      <c r="L1954" s="225" t="str">
        <f>VLOOKUP(Logfile_S[[#This Row],[Material Name]],Sheet2!B:C,2,0)</f>
        <v>ZTE2006</v>
      </c>
      <c r="M1954" s="242" t="s">
        <v>19</v>
      </c>
      <c r="N1954" s="227">
        <v>6</v>
      </c>
      <c r="O1954" s="221" t="s">
        <v>4801</v>
      </c>
      <c r="P1954" s="221" t="s">
        <v>4802</v>
      </c>
      <c r="Q1954" s="221" t="s">
        <v>4827</v>
      </c>
      <c r="R1954" s="221" t="s">
        <v>4806</v>
      </c>
      <c r="S1954" s="227"/>
      <c r="T1954" s="227"/>
      <c r="U1954" s="227"/>
      <c r="V1954" s="227"/>
      <c r="W1954" s="227"/>
      <c r="X1954" s="227"/>
      <c r="Y1954" s="227"/>
      <c r="Z1954" s="227" t="str">
        <f>P1954</f>
        <v>DUSUN SIDOAYU KELURAHAN SIDEREJO MALANG</v>
      </c>
      <c r="AA1954" s="276">
        <f>VLOOKUP(Logfile_S[[#This Row],[DO number]],DO_DB!G:I,3,0)</f>
        <v>46002</v>
      </c>
      <c r="AB1954" s="331" t="b">
        <f>EXACT(Logfile_S[[#This Row],[date pick]],Logfile_S[[#This Row],[Date]])</f>
        <v>1</v>
      </c>
      <c r="AC19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55" spans="1:29" ht="14.5">
      <c r="A1955" s="237" t="str">
        <f>TEXT(ROW(A1955)-ROW($A$4),"000")</f>
        <v>1951</v>
      </c>
      <c r="B1955" s="221">
        <v>5</v>
      </c>
      <c r="C1955" s="227" t="s">
        <v>48</v>
      </c>
      <c r="D1955" s="227" t="s">
        <v>4730</v>
      </c>
      <c r="E1955" s="227" t="s">
        <v>3295</v>
      </c>
      <c r="F1955" s="227" t="s">
        <v>3299</v>
      </c>
      <c r="G1955" s="239">
        <v>46003</v>
      </c>
      <c r="H1955" s="240">
        <v>0.54166666666666663</v>
      </c>
      <c r="I1955" s="227" t="s">
        <v>37</v>
      </c>
      <c r="J1955" s="221" t="s">
        <v>3023</v>
      </c>
      <c r="K1955" s="241" t="s">
        <v>3073</v>
      </c>
      <c r="L1955" s="225" t="str">
        <f>VLOOKUP(Logfile_S[[#This Row],[Material Name]],Sheet2!B:C,2,0)</f>
        <v>ZTE2001</v>
      </c>
      <c r="M1955" s="242" t="s">
        <v>20</v>
      </c>
      <c r="N1955" s="227">
        <v>3000</v>
      </c>
      <c r="O1955" s="221" t="s">
        <v>4801</v>
      </c>
      <c r="P1955" s="221" t="s">
        <v>4802</v>
      </c>
      <c r="Q1955" s="227" t="s">
        <v>3260</v>
      </c>
      <c r="R1955" s="227" t="s">
        <v>3260</v>
      </c>
      <c r="S1955" s="227"/>
      <c r="T1955" s="227"/>
      <c r="U1955" s="227"/>
      <c r="V1955" s="227"/>
      <c r="W1955" s="227"/>
      <c r="X1955" s="227"/>
      <c r="Y1955" s="227" t="s">
        <v>5029</v>
      </c>
      <c r="Z1955" s="227" t="str">
        <f>P1955</f>
        <v>DUSUN SIDOAYU KELURAHAN SIDEREJO MALANG</v>
      </c>
      <c r="AA1955" s="276" t="e">
        <f>VLOOKUP(Logfile_S[[#This Row],[DO number]],DO_DB!G:I,3,0)</f>
        <v>#N/A</v>
      </c>
      <c r="AB1955" s="331" t="e">
        <f>EXACT(Logfile_S[[#This Row],[date pick]],Logfile_S[[#This Row],[Date]])</f>
        <v>#N/A</v>
      </c>
      <c r="AC19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24C-20251212-01</v>
      </c>
    </row>
    <row r="1956" spans="1:29" ht="14.5">
      <c r="A1956" s="237" t="str">
        <f>TEXT(ROW(A1956)-ROW($A$4),"000")</f>
        <v>1952</v>
      </c>
      <c r="B1956" s="221">
        <v>1</v>
      </c>
      <c r="C1956" s="227" t="s">
        <v>48</v>
      </c>
      <c r="D1956" s="227" t="s">
        <v>4730</v>
      </c>
      <c r="E1956" s="227" t="s">
        <v>3295</v>
      </c>
      <c r="F1956" s="227" t="s">
        <v>3299</v>
      </c>
      <c r="G1956" s="239">
        <v>46003</v>
      </c>
      <c r="H1956" s="240">
        <v>0.54166666666666663</v>
      </c>
      <c r="I1956" s="227" t="s">
        <v>37</v>
      </c>
      <c r="J1956" s="221" t="s">
        <v>3023</v>
      </c>
      <c r="K1956" s="241" t="s">
        <v>3073</v>
      </c>
      <c r="L1956" s="225" t="str">
        <f>VLOOKUP(Logfile_S[[#This Row],[Material Name]],Sheet2!B:C,2,0)</f>
        <v>ZTE2001</v>
      </c>
      <c r="M1956" s="242" t="s">
        <v>20</v>
      </c>
      <c r="N1956" s="227">
        <v>3000</v>
      </c>
      <c r="O1956" s="221" t="s">
        <v>4801</v>
      </c>
      <c r="P1956" s="221" t="s">
        <v>4802</v>
      </c>
      <c r="Q1956" s="227"/>
      <c r="R1956" s="227"/>
      <c r="S1956" s="227"/>
      <c r="T1956" s="227"/>
      <c r="U1956" s="227"/>
      <c r="V1956" s="227"/>
      <c r="W1956" s="227"/>
      <c r="X1956" s="227"/>
      <c r="Y1956" s="238" t="s">
        <v>5030</v>
      </c>
      <c r="Z1956" s="227" t="str">
        <f>P1956</f>
        <v>DUSUN SIDOAYU KELURAHAN SIDEREJO MALANG</v>
      </c>
      <c r="AA1956" s="276" t="e">
        <f>VLOOKUP(Logfile_S[[#This Row],[DO number]],DO_DB!G:I,3,0)</f>
        <v>#N/A</v>
      </c>
      <c r="AB1956" s="331" t="e">
        <f>EXACT(Logfile_S[[#This Row],[date pick]],Logfile_S[[#This Row],[Date]])</f>
        <v>#N/A</v>
      </c>
      <c r="AC19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24C-20251212-02</v>
      </c>
    </row>
    <row r="1957" spans="1:29" ht="14.5">
      <c r="A1957" s="237" t="str">
        <f>TEXT(ROW(A1957)-ROW($A$4),"000")</f>
        <v>1953</v>
      </c>
      <c r="B1957" s="221">
        <v>1</v>
      </c>
      <c r="C1957" s="227" t="s">
        <v>48</v>
      </c>
      <c r="D1957" s="227" t="s">
        <v>4730</v>
      </c>
      <c r="E1957" s="227" t="s">
        <v>3295</v>
      </c>
      <c r="F1957" s="227" t="s">
        <v>3299</v>
      </c>
      <c r="G1957" s="239">
        <v>46003</v>
      </c>
      <c r="H1957" s="240">
        <v>0.54166666666666663</v>
      </c>
      <c r="I1957" s="227" t="s">
        <v>37</v>
      </c>
      <c r="J1957" s="221" t="s">
        <v>3023</v>
      </c>
      <c r="K1957" s="241" t="s">
        <v>3073</v>
      </c>
      <c r="L1957" s="225" t="str">
        <f>VLOOKUP(Logfile_S[[#This Row],[Material Name]],Sheet2!B:C,2,0)</f>
        <v>ZTE2001</v>
      </c>
      <c r="M1957" s="242" t="s">
        <v>20</v>
      </c>
      <c r="N1957" s="227">
        <v>3000</v>
      </c>
      <c r="O1957" s="221" t="s">
        <v>4801</v>
      </c>
      <c r="P1957" s="221" t="s">
        <v>4802</v>
      </c>
      <c r="Q1957" s="227"/>
      <c r="R1957" s="227"/>
      <c r="S1957" s="227"/>
      <c r="T1957" s="227"/>
      <c r="U1957" s="227"/>
      <c r="V1957" s="227"/>
      <c r="W1957" s="227"/>
      <c r="X1957" s="227"/>
      <c r="Y1957" s="238" t="s">
        <v>5031</v>
      </c>
      <c r="Z1957" s="227" t="str">
        <f>P1957</f>
        <v>DUSUN SIDOAYU KELURAHAN SIDEREJO MALANG</v>
      </c>
      <c r="AA1957" s="276" t="e">
        <f>VLOOKUP(Logfile_S[[#This Row],[DO number]],DO_DB!G:I,3,0)</f>
        <v>#N/A</v>
      </c>
      <c r="AB1957" s="331" t="e">
        <f>EXACT(Logfile_S[[#This Row],[date pick]],Logfile_S[[#This Row],[Date]])</f>
        <v>#N/A</v>
      </c>
      <c r="AC19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24C-20251212-03</v>
      </c>
    </row>
    <row r="1958" spans="1:29" ht="14.5">
      <c r="A1958" s="237" t="str">
        <f>TEXT(ROW(A1958)-ROW($A$4),"000")</f>
        <v>1954</v>
      </c>
      <c r="B1958" s="221">
        <v>1</v>
      </c>
      <c r="C1958" s="227" t="s">
        <v>48</v>
      </c>
      <c r="D1958" s="227" t="s">
        <v>4730</v>
      </c>
      <c r="E1958" s="227" t="s">
        <v>3295</v>
      </c>
      <c r="F1958" s="227" t="s">
        <v>3299</v>
      </c>
      <c r="G1958" s="239">
        <v>46003</v>
      </c>
      <c r="H1958" s="240">
        <v>0.54166666666666663</v>
      </c>
      <c r="I1958" s="227" t="s">
        <v>37</v>
      </c>
      <c r="J1958" s="221" t="s">
        <v>3023</v>
      </c>
      <c r="K1958" s="241" t="s">
        <v>3073</v>
      </c>
      <c r="L1958" s="225" t="str">
        <f>VLOOKUP(Logfile_S[[#This Row],[Material Name]],Sheet2!B:C,2,0)</f>
        <v>ZTE2001</v>
      </c>
      <c r="M1958" s="242" t="s">
        <v>20</v>
      </c>
      <c r="N1958" s="227">
        <v>3000</v>
      </c>
      <c r="O1958" s="221" t="s">
        <v>4801</v>
      </c>
      <c r="P1958" s="221" t="s">
        <v>4802</v>
      </c>
      <c r="Q1958" s="227"/>
      <c r="R1958" s="227"/>
      <c r="S1958" s="227"/>
      <c r="T1958" s="227"/>
      <c r="U1958" s="227"/>
      <c r="V1958" s="227"/>
      <c r="W1958" s="227"/>
      <c r="X1958" s="227"/>
      <c r="Y1958" s="238" t="s">
        <v>5032</v>
      </c>
      <c r="Z1958" s="227" t="str">
        <f>P1958</f>
        <v>DUSUN SIDOAYU KELURAHAN SIDEREJO MALANG</v>
      </c>
      <c r="AA1958" s="276" t="e">
        <f>VLOOKUP(Logfile_S[[#This Row],[DO number]],DO_DB!G:I,3,0)</f>
        <v>#N/A</v>
      </c>
      <c r="AB1958" s="331" t="e">
        <f>EXACT(Logfile_S[[#This Row],[date pick]],Logfile_S[[#This Row],[Date]])</f>
        <v>#N/A</v>
      </c>
      <c r="AC19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24C-20251212-04</v>
      </c>
    </row>
    <row r="1959" spans="1:29" ht="14.5">
      <c r="A1959" s="237" t="str">
        <f>TEXT(ROW(A1959)-ROW($A$4),"000")</f>
        <v>1955</v>
      </c>
      <c r="B1959" s="221">
        <v>1</v>
      </c>
      <c r="C1959" s="227" t="s">
        <v>48</v>
      </c>
      <c r="D1959" s="227" t="s">
        <v>4730</v>
      </c>
      <c r="E1959" s="227" t="s">
        <v>3295</v>
      </c>
      <c r="F1959" s="227" t="s">
        <v>3299</v>
      </c>
      <c r="G1959" s="239">
        <v>46003</v>
      </c>
      <c r="H1959" s="240">
        <v>0.54166666666666663</v>
      </c>
      <c r="I1959" s="227" t="s">
        <v>37</v>
      </c>
      <c r="J1959" s="221" t="s">
        <v>3023</v>
      </c>
      <c r="K1959" s="241" t="s">
        <v>3073</v>
      </c>
      <c r="L1959" s="225" t="str">
        <f>VLOOKUP(Logfile_S[[#This Row],[Material Name]],Sheet2!B:C,2,0)</f>
        <v>ZTE2001</v>
      </c>
      <c r="M1959" s="242" t="s">
        <v>20</v>
      </c>
      <c r="N1959" s="227">
        <v>3000</v>
      </c>
      <c r="O1959" s="221" t="s">
        <v>4801</v>
      </c>
      <c r="P1959" s="221" t="s">
        <v>4802</v>
      </c>
      <c r="Q1959" s="227"/>
      <c r="R1959" s="227"/>
      <c r="S1959" s="227"/>
      <c r="T1959" s="227"/>
      <c r="U1959" s="227"/>
      <c r="V1959" s="227"/>
      <c r="W1959" s="227"/>
      <c r="X1959" s="227"/>
      <c r="Y1959" s="238" t="s">
        <v>5033</v>
      </c>
      <c r="Z1959" s="227" t="str">
        <f>P1959</f>
        <v>DUSUN SIDOAYU KELURAHAN SIDEREJO MALANG</v>
      </c>
      <c r="AA1959" s="276" t="e">
        <f>VLOOKUP(Logfile_S[[#This Row],[DO number]],DO_DB!G:I,3,0)</f>
        <v>#N/A</v>
      </c>
      <c r="AB1959" s="331" t="e">
        <f>EXACT(Logfile_S[[#This Row],[date pick]],Logfile_S[[#This Row],[Date]])</f>
        <v>#N/A</v>
      </c>
      <c r="AC19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24C-20251212-05</v>
      </c>
    </row>
    <row r="1960" spans="1:29" ht="14.5">
      <c r="A1960" s="237" t="str">
        <f>TEXT(ROW(A1960)-ROW($A$4),"000")</f>
        <v>1956</v>
      </c>
      <c r="B1960" s="221">
        <v>1</v>
      </c>
      <c r="C1960" s="227" t="s">
        <v>48</v>
      </c>
      <c r="D1960" s="227" t="s">
        <v>4730</v>
      </c>
      <c r="E1960" s="227" t="s">
        <v>3295</v>
      </c>
      <c r="F1960" s="227" t="s">
        <v>3299</v>
      </c>
      <c r="G1960" s="239">
        <v>46003</v>
      </c>
      <c r="H1960" s="240">
        <v>0.54166666666666663</v>
      </c>
      <c r="I1960" s="227" t="s">
        <v>37</v>
      </c>
      <c r="J1960" s="221" t="s">
        <v>3023</v>
      </c>
      <c r="K1960" s="241" t="s">
        <v>3073</v>
      </c>
      <c r="L1960" s="225" t="str">
        <f>VLOOKUP(Logfile_S[[#This Row],[Material Name]],Sheet2!B:C,2,0)</f>
        <v>ZTE2001</v>
      </c>
      <c r="M1960" s="242" t="s">
        <v>20</v>
      </c>
      <c r="N1960" s="227">
        <v>3000</v>
      </c>
      <c r="O1960" s="221" t="s">
        <v>4801</v>
      </c>
      <c r="P1960" s="221" t="s">
        <v>4802</v>
      </c>
      <c r="Q1960" s="227"/>
      <c r="R1960" s="227"/>
      <c r="S1960" s="227"/>
      <c r="T1960" s="227"/>
      <c r="U1960" s="227"/>
      <c r="V1960" s="227"/>
      <c r="W1960" s="227"/>
      <c r="X1960" s="227"/>
      <c r="Y1960" s="238" t="s">
        <v>5034</v>
      </c>
      <c r="Z1960" s="227" t="str">
        <f>P1960</f>
        <v>DUSUN SIDOAYU KELURAHAN SIDEREJO MALANG</v>
      </c>
      <c r="AA1960" s="276" t="e">
        <f>VLOOKUP(Logfile_S[[#This Row],[DO number]],DO_DB!G:I,3,0)</f>
        <v>#N/A</v>
      </c>
      <c r="AB1960" s="331" t="e">
        <f>EXACT(Logfile_S[[#This Row],[date pick]],Logfile_S[[#This Row],[Date]])</f>
        <v>#N/A</v>
      </c>
      <c r="AC19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24C-20251212-06</v>
      </c>
    </row>
    <row r="1961" spans="1:29" ht="14.5">
      <c r="A1961" s="237" t="str">
        <f>TEXT(ROW(A1961)-ROW($A$4),"000")</f>
        <v>1957</v>
      </c>
      <c r="B1961" s="221">
        <v>1</v>
      </c>
      <c r="C1961" s="227" t="s">
        <v>48</v>
      </c>
      <c r="D1961" s="227" t="s">
        <v>4730</v>
      </c>
      <c r="E1961" s="227" t="s">
        <v>3295</v>
      </c>
      <c r="F1961" s="227" t="s">
        <v>3299</v>
      </c>
      <c r="G1961" s="239">
        <v>46003</v>
      </c>
      <c r="H1961" s="240">
        <v>0.54166666666666663</v>
      </c>
      <c r="I1961" s="227" t="s">
        <v>37</v>
      </c>
      <c r="J1961" s="221" t="s">
        <v>3023</v>
      </c>
      <c r="K1961" s="241" t="s">
        <v>3073</v>
      </c>
      <c r="L1961" s="225" t="str">
        <f>VLOOKUP(Logfile_S[[#This Row],[Material Name]],Sheet2!B:C,2,0)</f>
        <v>ZTE2001</v>
      </c>
      <c r="M1961" s="242" t="s">
        <v>20</v>
      </c>
      <c r="N1961" s="227">
        <v>3000</v>
      </c>
      <c r="O1961" s="221" t="s">
        <v>4801</v>
      </c>
      <c r="P1961" s="221" t="s">
        <v>4802</v>
      </c>
      <c r="Q1961" s="227"/>
      <c r="R1961" s="227"/>
      <c r="S1961" s="227"/>
      <c r="T1961" s="227"/>
      <c r="U1961" s="227"/>
      <c r="V1961" s="227"/>
      <c r="W1961" s="227"/>
      <c r="X1961" s="227"/>
      <c r="Y1961" s="238" t="s">
        <v>5035</v>
      </c>
      <c r="Z1961" s="227" t="str">
        <f>P1961</f>
        <v>DUSUN SIDOAYU KELURAHAN SIDEREJO MALANG</v>
      </c>
      <c r="AA1961" s="276" t="e">
        <f>VLOOKUP(Logfile_S[[#This Row],[DO number]],DO_DB!G:I,3,0)</f>
        <v>#N/A</v>
      </c>
      <c r="AB1961" s="331" t="e">
        <f>EXACT(Logfile_S[[#This Row],[date pick]],Logfile_S[[#This Row],[Date]])</f>
        <v>#N/A</v>
      </c>
      <c r="AC19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24C-20251212-07</v>
      </c>
    </row>
    <row r="1962" spans="1:29" ht="14.5">
      <c r="A1962" s="237" t="str">
        <f>TEXT(ROW(A1962)-ROW($A$4),"000")</f>
        <v>1958</v>
      </c>
      <c r="B1962" s="221">
        <v>2</v>
      </c>
      <c r="C1962" s="227" t="s">
        <v>49</v>
      </c>
      <c r="D1962" s="227" t="s">
        <v>4733</v>
      </c>
      <c r="E1962" s="227" t="s">
        <v>3295</v>
      </c>
      <c r="F1962" s="227" t="s">
        <v>3299</v>
      </c>
      <c r="G1962" s="239">
        <v>46003</v>
      </c>
      <c r="H1962" s="240">
        <v>0.33333333333333331</v>
      </c>
      <c r="I1962" s="227" t="s">
        <v>3295</v>
      </c>
      <c r="J1962" s="221" t="s">
        <v>3023</v>
      </c>
      <c r="K1962" s="241" t="s">
        <v>3070</v>
      </c>
      <c r="L1962" s="225" t="str">
        <f>VLOOKUP(Logfile_S[[#This Row],[Material Name]],Sheet2!B:C,2,0)</f>
        <v>ZTE1002</v>
      </c>
      <c r="M1962" s="242" t="s">
        <v>19</v>
      </c>
      <c r="N1962" s="227">
        <v>14</v>
      </c>
      <c r="O1962" s="221" t="s">
        <v>4801</v>
      </c>
      <c r="P1962" s="221" t="s">
        <v>4802</v>
      </c>
      <c r="Q1962" s="227" t="s">
        <v>3260</v>
      </c>
      <c r="R1962" s="227" t="s">
        <v>3260</v>
      </c>
      <c r="S1962" s="227"/>
      <c r="T1962" s="221" t="s">
        <v>3258</v>
      </c>
      <c r="U1962" s="221" t="s">
        <v>4811</v>
      </c>
      <c r="V1962" s="221" t="s">
        <v>3337</v>
      </c>
      <c r="W1962" s="221" t="s">
        <v>3338</v>
      </c>
      <c r="X1962" s="227"/>
      <c r="Y1962" s="227"/>
      <c r="Z1962" s="227" t="str">
        <f>P1962</f>
        <v>DUSUN SIDOAYU KELURAHAN SIDEREJO MALANG</v>
      </c>
      <c r="AA1962" s="276" t="e">
        <f>VLOOKUP(Logfile_S[[#This Row],[DO number]],DO_DB!G:I,3,0)</f>
        <v>#N/A</v>
      </c>
      <c r="AB1962" s="331" t="e">
        <f>EXACT(Logfile_S[[#This Row],[date pick]],Logfile_S[[#This Row],[Date]])</f>
        <v>#N/A</v>
      </c>
      <c r="AC19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63" spans="1:29" ht="14.5">
      <c r="A1963" s="237" t="str">
        <f>TEXT(ROW(A1963)-ROW($A$4),"000")</f>
        <v>1959</v>
      </c>
      <c r="B1963" s="221">
        <v>1</v>
      </c>
      <c r="C1963" s="227" t="s">
        <v>49</v>
      </c>
      <c r="D1963" s="227" t="s">
        <v>4733</v>
      </c>
      <c r="E1963" s="227" t="s">
        <v>3295</v>
      </c>
      <c r="F1963" s="227" t="s">
        <v>3299</v>
      </c>
      <c r="G1963" s="239">
        <v>46003</v>
      </c>
      <c r="H1963" s="240">
        <v>0.33333333333333331</v>
      </c>
      <c r="I1963" s="227" t="s">
        <v>3295</v>
      </c>
      <c r="J1963" s="221" t="s">
        <v>3023</v>
      </c>
      <c r="K1963" s="241" t="s">
        <v>3069</v>
      </c>
      <c r="L1963" s="225" t="str">
        <f>VLOOKUP(Logfile_S[[#This Row],[Material Name]],Sheet2!B:C,2,0)</f>
        <v>ZTE1001</v>
      </c>
      <c r="M1963" s="242" t="s">
        <v>19</v>
      </c>
      <c r="N1963" s="227">
        <v>52</v>
      </c>
      <c r="O1963" s="221" t="s">
        <v>4801</v>
      </c>
      <c r="P1963" s="221" t="s">
        <v>4802</v>
      </c>
      <c r="Q1963" s="227" t="s">
        <v>3260</v>
      </c>
      <c r="R1963" s="227" t="s">
        <v>3260</v>
      </c>
      <c r="S1963" s="227"/>
      <c r="T1963" s="221" t="s">
        <v>3258</v>
      </c>
      <c r="U1963" s="221" t="s">
        <v>4811</v>
      </c>
      <c r="V1963" s="221" t="s">
        <v>3337</v>
      </c>
      <c r="W1963" s="221" t="s">
        <v>3338</v>
      </c>
      <c r="X1963" s="227"/>
      <c r="Y1963" s="227"/>
      <c r="Z1963" s="227" t="str">
        <f>P1963</f>
        <v>DUSUN SIDOAYU KELURAHAN SIDEREJO MALANG</v>
      </c>
      <c r="AA1963" s="276" t="e">
        <f>VLOOKUP(Logfile_S[[#This Row],[DO number]],DO_DB!G:I,3,0)</f>
        <v>#N/A</v>
      </c>
      <c r="AB1963" s="331" t="e">
        <f>EXACT(Logfile_S[[#This Row],[date pick]],Logfile_S[[#This Row],[Date]])</f>
        <v>#N/A</v>
      </c>
      <c r="AC19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64" spans="1:29" ht="14.5">
      <c r="A1964" s="237" t="str">
        <f>TEXT(ROW(A1964)-ROW($A$4),"000")</f>
        <v>1960</v>
      </c>
      <c r="B1964" s="221">
        <v>1</v>
      </c>
      <c r="C1964" s="227" t="s">
        <v>49</v>
      </c>
      <c r="D1964" s="227" t="s">
        <v>4735</v>
      </c>
      <c r="E1964" s="227" t="s">
        <v>3295</v>
      </c>
      <c r="F1964" s="227" t="s">
        <v>3299</v>
      </c>
      <c r="G1964" s="239">
        <v>46004</v>
      </c>
      <c r="H1964" s="240">
        <v>0.625</v>
      </c>
      <c r="I1964" s="227" t="s">
        <v>3295</v>
      </c>
      <c r="J1964" s="221" t="s">
        <v>3023</v>
      </c>
      <c r="K1964" s="241" t="s">
        <v>4731</v>
      </c>
      <c r="L1964" s="225" t="str">
        <f>VLOOKUP(Logfile_S[[#This Row],[Material Name]],Sheet2!B:C,2,0)</f>
        <v>ZTE1007</v>
      </c>
      <c r="M1964" s="242" t="s">
        <v>19</v>
      </c>
      <c r="N1964" s="227">
        <v>40</v>
      </c>
      <c r="O1964" s="221" t="s">
        <v>4801</v>
      </c>
      <c r="P1964" s="221" t="s">
        <v>4802</v>
      </c>
      <c r="Q1964" s="227" t="s">
        <v>3260</v>
      </c>
      <c r="R1964" s="227" t="s">
        <v>3260</v>
      </c>
      <c r="S1964" s="227"/>
      <c r="T1964" s="221" t="s">
        <v>3258</v>
      </c>
      <c r="U1964" s="221" t="s">
        <v>4811</v>
      </c>
      <c r="V1964" s="221" t="s">
        <v>3337</v>
      </c>
      <c r="W1964" s="221" t="s">
        <v>3338</v>
      </c>
      <c r="X1964" s="227"/>
      <c r="Y1964" s="227"/>
      <c r="Z1964" s="227" t="str">
        <f>P1964</f>
        <v>DUSUN SIDOAYU KELURAHAN SIDEREJO MALANG</v>
      </c>
      <c r="AA1964" s="276" t="e">
        <f>VLOOKUP(Logfile_S[[#This Row],[DO number]],DO_DB!G:I,3,0)</f>
        <v>#N/A</v>
      </c>
      <c r="AB1964" s="331" t="e">
        <f>EXACT(Logfile_S[[#This Row],[date pick]],Logfile_S[[#This Row],[Date]])</f>
        <v>#N/A</v>
      </c>
      <c r="AC19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65" spans="1:29" ht="14.5">
      <c r="A1965" s="237" t="str">
        <f>TEXT(ROW(A1965)-ROW($A$4),"000")</f>
        <v>1961</v>
      </c>
      <c r="B1965" s="221">
        <v>1</v>
      </c>
      <c r="C1965" s="227" t="s">
        <v>49</v>
      </c>
      <c r="D1965" s="227" t="s">
        <v>4734</v>
      </c>
      <c r="E1965" s="227" t="s">
        <v>3295</v>
      </c>
      <c r="F1965" s="227" t="s">
        <v>3299</v>
      </c>
      <c r="G1965" s="239">
        <v>46004</v>
      </c>
      <c r="H1965" s="240">
        <v>0.33333333333333331</v>
      </c>
      <c r="I1965" s="227" t="s">
        <v>3295</v>
      </c>
      <c r="J1965" s="221" t="s">
        <v>3023</v>
      </c>
      <c r="K1965" s="241" t="s">
        <v>3070</v>
      </c>
      <c r="L1965" s="225" t="str">
        <f>VLOOKUP(Logfile_S[[#This Row],[Material Name]],Sheet2!B:C,2,0)</f>
        <v>ZTE1002</v>
      </c>
      <c r="M1965" s="242" t="s">
        <v>19</v>
      </c>
      <c r="N1965" s="227">
        <v>25</v>
      </c>
      <c r="O1965" s="221" t="s">
        <v>4801</v>
      </c>
      <c r="P1965" s="221" t="s">
        <v>4802</v>
      </c>
      <c r="Q1965" s="227" t="s">
        <v>3260</v>
      </c>
      <c r="R1965" s="227" t="s">
        <v>3260</v>
      </c>
      <c r="S1965" s="227"/>
      <c r="T1965" s="221" t="s">
        <v>3258</v>
      </c>
      <c r="U1965" s="221" t="s">
        <v>4811</v>
      </c>
      <c r="V1965" s="221" t="s">
        <v>3337</v>
      </c>
      <c r="W1965" s="221" t="s">
        <v>3338</v>
      </c>
      <c r="X1965" s="227"/>
      <c r="Y1965" s="227"/>
      <c r="Z1965" s="227" t="str">
        <f>P1965</f>
        <v>DUSUN SIDOAYU KELURAHAN SIDEREJO MALANG</v>
      </c>
      <c r="AA1965" s="276" t="e">
        <f>VLOOKUP(Logfile_S[[#This Row],[DO number]],DO_DB!G:I,3,0)</f>
        <v>#N/A</v>
      </c>
      <c r="AB1965" s="331" t="e">
        <f>EXACT(Logfile_S[[#This Row],[date pick]],Logfile_S[[#This Row],[Date]])</f>
        <v>#N/A</v>
      </c>
      <c r="AC19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66" spans="1:29" ht="14.5">
      <c r="A1966" s="237" t="str">
        <f>TEXT(ROW(A1966)-ROW($A$4),"000")</f>
        <v>1962</v>
      </c>
      <c r="B1966" s="221">
        <v>2</v>
      </c>
      <c r="C1966" s="227" t="s">
        <v>49</v>
      </c>
      <c r="D1966" s="227" t="s">
        <v>4736</v>
      </c>
      <c r="E1966" s="227" t="s">
        <v>3295</v>
      </c>
      <c r="F1966" s="227" t="s">
        <v>3299</v>
      </c>
      <c r="G1966" s="239">
        <v>46005</v>
      </c>
      <c r="H1966" s="240">
        <v>0.33333333333333331</v>
      </c>
      <c r="I1966" s="227" t="s">
        <v>3295</v>
      </c>
      <c r="J1966" s="221" t="s">
        <v>3023</v>
      </c>
      <c r="K1966" s="241" t="s">
        <v>4731</v>
      </c>
      <c r="L1966" s="225" t="str">
        <f>VLOOKUP(Logfile_S[[#This Row],[Material Name]],Sheet2!B:C,2,0)</f>
        <v>ZTE1007</v>
      </c>
      <c r="M1966" s="242" t="s">
        <v>19</v>
      </c>
      <c r="N1966" s="227">
        <v>29</v>
      </c>
      <c r="O1966" s="221" t="s">
        <v>4801</v>
      </c>
      <c r="P1966" s="221" t="s">
        <v>4802</v>
      </c>
      <c r="Q1966" s="227"/>
      <c r="R1966" s="227"/>
      <c r="S1966" s="227"/>
      <c r="T1966" s="221" t="s">
        <v>3258</v>
      </c>
      <c r="U1966" s="221" t="s">
        <v>4811</v>
      </c>
      <c r="V1966" s="221" t="s">
        <v>3337</v>
      </c>
      <c r="W1966" s="221" t="s">
        <v>3338</v>
      </c>
      <c r="X1966" s="227"/>
      <c r="Y1966" s="227"/>
      <c r="Z1966" s="227" t="str">
        <f>P1966</f>
        <v>DUSUN SIDOAYU KELURAHAN SIDEREJO MALANG</v>
      </c>
      <c r="AA1966" s="276" t="e">
        <f>VLOOKUP(Logfile_S[[#This Row],[DO number]],DO_DB!G:I,3,0)</f>
        <v>#N/A</v>
      </c>
      <c r="AB1966" s="331" t="e">
        <f>EXACT(Logfile_S[[#This Row],[date pick]],Logfile_S[[#This Row],[Date]])</f>
        <v>#N/A</v>
      </c>
      <c r="AC19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67" spans="1:29" ht="14.5">
      <c r="A1967" s="237" t="str">
        <f>TEXT(ROW(A1967)-ROW($A$4),"000")</f>
        <v>1963</v>
      </c>
      <c r="B1967" s="221">
        <v>1</v>
      </c>
      <c r="C1967" s="227" t="s">
        <v>49</v>
      </c>
      <c r="D1967" s="227" t="s">
        <v>4744</v>
      </c>
      <c r="E1967" s="227" t="s">
        <v>3295</v>
      </c>
      <c r="F1967" s="227" t="s">
        <v>3299</v>
      </c>
      <c r="G1967" s="239">
        <v>46006</v>
      </c>
      <c r="H1967" s="240">
        <v>0.69097222222222221</v>
      </c>
      <c r="I1967" s="227" t="s">
        <v>3295</v>
      </c>
      <c r="J1967" s="221" t="s">
        <v>3023</v>
      </c>
      <c r="K1967" s="241" t="s">
        <v>13</v>
      </c>
      <c r="L1967" s="225" t="str">
        <f>VLOOKUP(Logfile_S[[#This Row],[Material Name]],Sheet2!B:C,2,0)</f>
        <v>ZTE2008</v>
      </c>
      <c r="M1967" s="242" t="s">
        <v>19</v>
      </c>
      <c r="N1967" s="227">
        <v>24</v>
      </c>
      <c r="O1967" s="221" t="s">
        <v>4801</v>
      </c>
      <c r="P1967" s="221" t="s">
        <v>4802</v>
      </c>
      <c r="Q1967" s="227"/>
      <c r="R1967" s="227"/>
      <c r="S1967" s="227"/>
      <c r="T1967" s="221" t="s">
        <v>3471</v>
      </c>
      <c r="U1967" s="221" t="s">
        <v>4811</v>
      </c>
      <c r="V1967" s="221" t="s">
        <v>3472</v>
      </c>
      <c r="W1967" s="221" t="s">
        <v>3545</v>
      </c>
      <c r="X1967" s="227"/>
      <c r="Y1967" s="227"/>
      <c r="Z1967" s="227" t="str">
        <f>P1967</f>
        <v>DUSUN SIDOAYU KELURAHAN SIDEREJO MALANG</v>
      </c>
      <c r="AA1967" s="276" t="e">
        <f>VLOOKUP(Logfile_S[[#This Row],[DO number]],DO_DB!G:I,3,0)</f>
        <v>#N/A</v>
      </c>
      <c r="AB1967" s="331" t="e">
        <f>EXACT(Logfile_S[[#This Row],[date pick]],Logfile_S[[#This Row],[Date]])</f>
        <v>#N/A</v>
      </c>
      <c r="AC19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68" spans="1:29" ht="14.5">
      <c r="A1968" s="237" t="str">
        <f>TEXT(ROW(A1968)-ROW($A$4),"000")</f>
        <v>1964</v>
      </c>
      <c r="B1968" s="221">
        <v>13</v>
      </c>
      <c r="C1968" s="227" t="s">
        <v>49</v>
      </c>
      <c r="D1968" s="227" t="s">
        <v>4740</v>
      </c>
      <c r="E1968" s="227" t="s">
        <v>3295</v>
      </c>
      <c r="F1968" s="227" t="s">
        <v>3299</v>
      </c>
      <c r="G1968" s="239">
        <v>46006</v>
      </c>
      <c r="H1968" s="240">
        <v>0.49305555555555558</v>
      </c>
      <c r="I1968" s="227" t="s">
        <v>3295</v>
      </c>
      <c r="J1968" s="221" t="s">
        <v>3023</v>
      </c>
      <c r="K1968" s="241" t="s">
        <v>4731</v>
      </c>
      <c r="L1968" s="225" t="str">
        <f>VLOOKUP(Logfile_S[[#This Row],[Material Name]],Sheet2!B:C,2,0)</f>
        <v>ZTE1007</v>
      </c>
      <c r="M1968" s="242" t="s">
        <v>19</v>
      </c>
      <c r="N1968" s="227">
        <v>9</v>
      </c>
      <c r="O1968" s="221" t="s">
        <v>4801</v>
      </c>
      <c r="P1968" s="221" t="s">
        <v>4802</v>
      </c>
      <c r="Q1968" s="227"/>
      <c r="R1968" s="227"/>
      <c r="S1968" s="227"/>
      <c r="T1968" s="221" t="s">
        <v>3258</v>
      </c>
      <c r="U1968" s="221" t="s">
        <v>4811</v>
      </c>
      <c r="V1968" s="221" t="s">
        <v>3337</v>
      </c>
      <c r="W1968" s="221" t="s">
        <v>3338</v>
      </c>
      <c r="X1968" s="227"/>
      <c r="Y1968" s="227"/>
      <c r="Z1968" s="227" t="str">
        <f>P1968</f>
        <v>DUSUN SIDOAYU KELURAHAN SIDEREJO MALANG</v>
      </c>
      <c r="AA1968" s="276" t="e">
        <f>VLOOKUP(Logfile_S[[#This Row],[DO number]],DO_DB!G:I,3,0)</f>
        <v>#N/A</v>
      </c>
      <c r="AB1968" s="331" t="e">
        <f>EXACT(Logfile_S[[#This Row],[date pick]],Logfile_S[[#This Row],[Date]])</f>
        <v>#N/A</v>
      </c>
      <c r="AC19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69" spans="1:29" ht="14.5">
      <c r="A1969" s="237" t="str">
        <f>TEXT(ROW(A1969)-ROW($A$4),"000")</f>
        <v>1965</v>
      </c>
      <c r="B1969" s="221">
        <v>12</v>
      </c>
      <c r="C1969" s="227" t="s">
        <v>49</v>
      </c>
      <c r="D1969" s="227" t="s">
        <v>4740</v>
      </c>
      <c r="E1969" s="227" t="s">
        <v>3295</v>
      </c>
      <c r="F1969" s="227" t="s">
        <v>3299</v>
      </c>
      <c r="G1969" s="239">
        <v>46006</v>
      </c>
      <c r="H1969" s="240">
        <v>0.49305555555555558</v>
      </c>
      <c r="I1969" s="227" t="s">
        <v>3295</v>
      </c>
      <c r="J1969" s="221" t="s">
        <v>3023</v>
      </c>
      <c r="K1969" s="241" t="s">
        <v>3070</v>
      </c>
      <c r="L1969" s="225" t="str">
        <f>VLOOKUP(Logfile_S[[#This Row],[Material Name]],Sheet2!B:C,2,0)</f>
        <v>ZTE1002</v>
      </c>
      <c r="M1969" s="242" t="s">
        <v>19</v>
      </c>
      <c r="N1969" s="227">
        <v>31</v>
      </c>
      <c r="O1969" s="221" t="s">
        <v>4801</v>
      </c>
      <c r="P1969" s="221" t="s">
        <v>4802</v>
      </c>
      <c r="Q1969" s="227"/>
      <c r="R1969" s="227"/>
      <c r="S1969" s="227"/>
      <c r="T1969" s="221" t="s">
        <v>3258</v>
      </c>
      <c r="U1969" s="221" t="s">
        <v>4811</v>
      </c>
      <c r="V1969" s="221" t="s">
        <v>3337</v>
      </c>
      <c r="W1969" s="221" t="s">
        <v>3338</v>
      </c>
      <c r="X1969" s="227"/>
      <c r="Y1969" s="227"/>
      <c r="Z1969" s="227" t="str">
        <f>P1969</f>
        <v>DUSUN SIDOAYU KELURAHAN SIDEREJO MALANG</v>
      </c>
      <c r="AA1969" s="276" t="e">
        <f>VLOOKUP(Logfile_S[[#This Row],[DO number]],DO_DB!G:I,3,0)</f>
        <v>#N/A</v>
      </c>
      <c r="AB1969" s="331" t="e">
        <f>EXACT(Logfile_S[[#This Row],[date pick]],Logfile_S[[#This Row],[Date]])</f>
        <v>#N/A</v>
      </c>
      <c r="AC19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70" spans="1:29" ht="14.5">
      <c r="A1970" s="237" t="str">
        <f>TEXT(ROW(A1970)-ROW($A$4),"000")</f>
        <v>1966</v>
      </c>
      <c r="B1970" s="221">
        <v>14</v>
      </c>
      <c r="C1970" s="227" t="s">
        <v>49</v>
      </c>
      <c r="D1970" s="227" t="s">
        <v>4740</v>
      </c>
      <c r="E1970" s="227" t="s">
        <v>3295</v>
      </c>
      <c r="F1970" s="227" t="s">
        <v>3299</v>
      </c>
      <c r="G1970" s="239">
        <v>46006</v>
      </c>
      <c r="H1970" s="240">
        <v>0.49305555555555558</v>
      </c>
      <c r="I1970" s="227" t="s">
        <v>3295</v>
      </c>
      <c r="J1970" s="221" t="s">
        <v>3023</v>
      </c>
      <c r="K1970" s="241" t="s">
        <v>3071</v>
      </c>
      <c r="L1970" s="225" t="str">
        <f>VLOOKUP(Logfile_S[[#This Row],[Material Name]],Sheet2!B:C,2,0)</f>
        <v>ZTE1003</v>
      </c>
      <c r="M1970" s="242" t="s">
        <v>19</v>
      </c>
      <c r="N1970" s="227">
        <v>2</v>
      </c>
      <c r="O1970" s="221" t="s">
        <v>4801</v>
      </c>
      <c r="P1970" s="221" t="s">
        <v>4802</v>
      </c>
      <c r="Q1970" s="227"/>
      <c r="R1970" s="227"/>
      <c r="S1970" s="227"/>
      <c r="T1970" s="221" t="s">
        <v>3258</v>
      </c>
      <c r="U1970" s="221" t="s">
        <v>4811</v>
      </c>
      <c r="V1970" s="221" t="s">
        <v>3337</v>
      </c>
      <c r="W1970" s="221" t="s">
        <v>3338</v>
      </c>
      <c r="X1970" s="227"/>
      <c r="Y1970" s="227"/>
      <c r="Z1970" s="227" t="str">
        <f>P1970</f>
        <v>DUSUN SIDOAYU KELURAHAN SIDEREJO MALANG</v>
      </c>
      <c r="AA1970" s="276" t="e">
        <f>VLOOKUP(Logfile_S[[#This Row],[DO number]],DO_DB!G:I,3,0)</f>
        <v>#N/A</v>
      </c>
      <c r="AB1970" s="331" t="e">
        <f>EXACT(Logfile_S[[#This Row],[date pick]],Logfile_S[[#This Row],[Date]])</f>
        <v>#N/A</v>
      </c>
      <c r="AC19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71" spans="1:29" ht="14.5">
      <c r="A1971" s="237" t="str">
        <f>TEXT(ROW(A1971)-ROW($A$4),"000")</f>
        <v>1967</v>
      </c>
      <c r="B1971" s="221">
        <v>3</v>
      </c>
      <c r="C1971" s="227" t="s">
        <v>48</v>
      </c>
      <c r="D1971" s="227" t="s">
        <v>4730</v>
      </c>
      <c r="E1971" s="227" t="s">
        <v>3295</v>
      </c>
      <c r="F1971" s="227" t="s">
        <v>3299</v>
      </c>
      <c r="G1971" s="239">
        <v>46007</v>
      </c>
      <c r="H1971" s="240">
        <v>0.54166666666666663</v>
      </c>
      <c r="I1971" s="227" t="s">
        <v>37</v>
      </c>
      <c r="J1971" s="221" t="s">
        <v>3023</v>
      </c>
      <c r="K1971" s="241" t="s">
        <v>4731</v>
      </c>
      <c r="L1971" s="225" t="str">
        <f>VLOOKUP(Logfile_S[[#This Row],[Material Name]],Sheet2!B:C,2,0)</f>
        <v>ZTE1007</v>
      </c>
      <c r="M1971" s="242" t="s">
        <v>19</v>
      </c>
      <c r="N1971" s="227">
        <v>119</v>
      </c>
      <c r="O1971" s="221" t="s">
        <v>4801</v>
      </c>
      <c r="P1971" s="221" t="s">
        <v>4802</v>
      </c>
      <c r="Q1971" s="221" t="s">
        <v>4807</v>
      </c>
      <c r="R1971" s="221" t="s">
        <v>4808</v>
      </c>
      <c r="S1971" s="227"/>
      <c r="T1971" s="227"/>
      <c r="U1971" s="227"/>
      <c r="V1971" s="227"/>
      <c r="W1971" s="227"/>
      <c r="X1971" s="227"/>
      <c r="Y1971" s="227"/>
      <c r="Z1971" s="227" t="str">
        <f>P1971</f>
        <v>DUSUN SIDOAYU KELURAHAN SIDEREJO MALANG</v>
      </c>
      <c r="AA1971" s="276">
        <f>VLOOKUP(Logfile_S[[#This Row],[DO number]],DO_DB!G:I,3,0)</f>
        <v>46007</v>
      </c>
      <c r="AB1971" s="331" t="b">
        <f>EXACT(Logfile_S[[#This Row],[date pick]],Logfile_S[[#This Row],[Date]])</f>
        <v>1</v>
      </c>
      <c r="AC19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72" spans="1:29" ht="14.5">
      <c r="A1972" s="237" t="str">
        <f>TEXT(ROW(A1972)-ROW($A$4),"000")</f>
        <v>1968</v>
      </c>
      <c r="B1972" s="221">
        <v>1</v>
      </c>
      <c r="C1972" s="227" t="s">
        <v>49</v>
      </c>
      <c r="D1972" s="227" t="s">
        <v>4754</v>
      </c>
      <c r="E1972" s="227" t="s">
        <v>3295</v>
      </c>
      <c r="F1972" s="227" t="s">
        <v>3299</v>
      </c>
      <c r="G1972" s="239">
        <v>46008</v>
      </c>
      <c r="H1972" s="240">
        <v>0.69097222222222221</v>
      </c>
      <c r="I1972" s="227" t="s">
        <v>3295</v>
      </c>
      <c r="J1972" s="221" t="s">
        <v>3023</v>
      </c>
      <c r="K1972" s="241" t="s">
        <v>13</v>
      </c>
      <c r="L1972" s="225" t="str">
        <f>VLOOKUP(Logfile_S[[#This Row],[Material Name]],Sheet2!B:C,2,0)</f>
        <v>ZTE2008</v>
      </c>
      <c r="M1972" s="242" t="s">
        <v>19</v>
      </c>
      <c r="N1972" s="227">
        <v>16</v>
      </c>
      <c r="O1972" s="221" t="s">
        <v>4801</v>
      </c>
      <c r="P1972" s="221" t="s">
        <v>4802</v>
      </c>
      <c r="Q1972" s="227"/>
      <c r="R1972" s="227"/>
      <c r="S1972" s="227"/>
      <c r="T1972" s="221" t="s">
        <v>3471</v>
      </c>
      <c r="U1972" s="221" t="s">
        <v>4811</v>
      </c>
      <c r="V1972" s="221" t="s">
        <v>3472</v>
      </c>
      <c r="W1972" s="221" t="s">
        <v>3545</v>
      </c>
      <c r="X1972" s="227"/>
      <c r="Y1972" s="227"/>
      <c r="Z1972" s="227" t="str">
        <f>P1972</f>
        <v>DUSUN SIDOAYU KELURAHAN SIDEREJO MALANG</v>
      </c>
      <c r="AA1972" s="276" t="e">
        <f>VLOOKUP(Logfile_S[[#This Row],[DO number]],DO_DB!G:I,3,0)</f>
        <v>#N/A</v>
      </c>
      <c r="AB1972" s="331" t="e">
        <f>EXACT(Logfile_S[[#This Row],[date pick]],Logfile_S[[#This Row],[Date]])</f>
        <v>#N/A</v>
      </c>
      <c r="AC19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73" spans="1:29" ht="14.5">
      <c r="A1973" s="237" t="str">
        <f>TEXT(ROW(A1973)-ROW($A$4),"000")</f>
        <v>1969</v>
      </c>
      <c r="B1973" s="221">
        <v>2</v>
      </c>
      <c r="C1973" s="227" t="s">
        <v>49</v>
      </c>
      <c r="D1973" s="227" t="s">
        <v>4754</v>
      </c>
      <c r="E1973" s="227" t="s">
        <v>3295</v>
      </c>
      <c r="F1973" s="227" t="s">
        <v>3299</v>
      </c>
      <c r="G1973" s="239">
        <v>46008</v>
      </c>
      <c r="H1973" s="240">
        <v>0.69097222222222221</v>
      </c>
      <c r="I1973" s="227" t="s">
        <v>3295</v>
      </c>
      <c r="J1973" s="221" t="s">
        <v>3023</v>
      </c>
      <c r="K1973" s="241" t="s">
        <v>15</v>
      </c>
      <c r="L1973" s="225" t="str">
        <f>VLOOKUP(Logfile_S[[#This Row],[Material Name]],Sheet2!B:C,2,0)</f>
        <v>ZTE2006</v>
      </c>
      <c r="M1973" s="242" t="s">
        <v>19</v>
      </c>
      <c r="N1973" s="227">
        <v>3</v>
      </c>
      <c r="O1973" s="221" t="s">
        <v>4801</v>
      </c>
      <c r="P1973" s="221" t="s">
        <v>4802</v>
      </c>
      <c r="Q1973" s="227"/>
      <c r="R1973" s="227"/>
      <c r="S1973" s="227"/>
      <c r="T1973" s="221" t="s">
        <v>3471</v>
      </c>
      <c r="U1973" s="221" t="s">
        <v>4811</v>
      </c>
      <c r="V1973" s="221" t="s">
        <v>3472</v>
      </c>
      <c r="W1973" s="221" t="s">
        <v>3545</v>
      </c>
      <c r="X1973" s="227"/>
      <c r="Y1973" s="227"/>
      <c r="Z1973" s="227" t="str">
        <f>P1973</f>
        <v>DUSUN SIDOAYU KELURAHAN SIDEREJO MALANG</v>
      </c>
      <c r="AA1973" s="276" t="e">
        <f>VLOOKUP(Logfile_S[[#This Row],[DO number]],DO_DB!G:I,3,0)</f>
        <v>#N/A</v>
      </c>
      <c r="AB1973" s="331" t="e">
        <f>EXACT(Logfile_S[[#This Row],[date pick]],Logfile_S[[#This Row],[Date]])</f>
        <v>#N/A</v>
      </c>
      <c r="AC19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74" spans="1:29" ht="14.5">
      <c r="A1974" s="237" t="str">
        <f>TEXT(ROW(A1974)-ROW($A$4),"000")</f>
        <v>1970</v>
      </c>
      <c r="B1974" s="221">
        <v>1</v>
      </c>
      <c r="C1974" s="227" t="s">
        <v>49</v>
      </c>
      <c r="D1974" s="227" t="s">
        <v>4755</v>
      </c>
      <c r="E1974" s="227" t="s">
        <v>3295</v>
      </c>
      <c r="F1974" s="227" t="s">
        <v>3299</v>
      </c>
      <c r="G1974" s="239">
        <v>46009</v>
      </c>
      <c r="H1974" s="240">
        <v>0.69097222222222221</v>
      </c>
      <c r="I1974" s="227" t="s">
        <v>3295</v>
      </c>
      <c r="J1974" s="221" t="s">
        <v>3023</v>
      </c>
      <c r="K1974" s="241" t="s">
        <v>13</v>
      </c>
      <c r="L1974" s="225" t="str">
        <f>VLOOKUP(Logfile_S[[#This Row],[Material Name]],Sheet2!B:C,2,0)</f>
        <v>ZTE2008</v>
      </c>
      <c r="M1974" s="242" t="s">
        <v>19</v>
      </c>
      <c r="N1974" s="227">
        <v>39</v>
      </c>
      <c r="O1974" s="221" t="s">
        <v>4801</v>
      </c>
      <c r="P1974" s="221" t="s">
        <v>4802</v>
      </c>
      <c r="Q1974" s="227"/>
      <c r="R1974" s="227"/>
      <c r="S1974" s="227"/>
      <c r="T1974" s="221" t="s">
        <v>3471</v>
      </c>
      <c r="U1974" s="221" t="s">
        <v>4811</v>
      </c>
      <c r="V1974" s="221" t="s">
        <v>3472</v>
      </c>
      <c r="W1974" s="221" t="s">
        <v>3545</v>
      </c>
      <c r="X1974" s="227"/>
      <c r="Y1974" s="227"/>
      <c r="Z1974" s="227" t="str">
        <f>P1974</f>
        <v>DUSUN SIDOAYU KELURAHAN SIDEREJO MALANG</v>
      </c>
      <c r="AA1974" s="276" t="e">
        <f>VLOOKUP(Logfile_S[[#This Row],[DO number]],DO_DB!G:I,3,0)</f>
        <v>#N/A</v>
      </c>
      <c r="AB1974" s="331" t="e">
        <f>EXACT(Logfile_S[[#This Row],[date pick]],Logfile_S[[#This Row],[Date]])</f>
        <v>#N/A</v>
      </c>
      <c r="AC19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75" spans="1:29" ht="14.5">
      <c r="A1975" s="237" t="str">
        <f>TEXT(ROW(A1975)-ROW($A$4),"000")</f>
        <v>1971</v>
      </c>
      <c r="B1975" s="221">
        <v>1</v>
      </c>
      <c r="C1975" s="227" t="s">
        <v>49</v>
      </c>
      <c r="D1975" s="227" t="s">
        <v>4756</v>
      </c>
      <c r="E1975" s="227" t="s">
        <v>3295</v>
      </c>
      <c r="F1975" s="227" t="s">
        <v>3299</v>
      </c>
      <c r="G1975" s="239">
        <v>46009</v>
      </c>
      <c r="H1975" s="240">
        <v>0.33333333333333331</v>
      </c>
      <c r="I1975" s="227" t="s">
        <v>3295</v>
      </c>
      <c r="J1975" s="221" t="s">
        <v>3023</v>
      </c>
      <c r="K1975" s="241" t="s">
        <v>4731</v>
      </c>
      <c r="L1975" s="225" t="str">
        <f>VLOOKUP(Logfile_S[[#This Row],[Material Name]],Sheet2!B:C,2,0)</f>
        <v>ZTE1007</v>
      </c>
      <c r="M1975" s="242" t="s">
        <v>19</v>
      </c>
      <c r="N1975" s="227">
        <v>10</v>
      </c>
      <c r="O1975" s="221" t="s">
        <v>4801</v>
      </c>
      <c r="P1975" s="221" t="s">
        <v>4802</v>
      </c>
      <c r="Q1975" s="227"/>
      <c r="R1975" s="227"/>
      <c r="S1975" s="227"/>
      <c r="T1975" s="221" t="s">
        <v>3258</v>
      </c>
      <c r="U1975" s="221" t="s">
        <v>4811</v>
      </c>
      <c r="V1975" s="221" t="s">
        <v>3337</v>
      </c>
      <c r="W1975" s="221" t="s">
        <v>3338</v>
      </c>
      <c r="X1975" s="227"/>
      <c r="Y1975" s="227"/>
      <c r="Z1975" s="227" t="str">
        <f>P1975</f>
        <v>DUSUN SIDOAYU KELURAHAN SIDEREJO MALANG</v>
      </c>
      <c r="AA1975" s="276" t="e">
        <f>VLOOKUP(Logfile_S[[#This Row],[DO number]],DO_DB!G:I,3,0)</f>
        <v>#N/A</v>
      </c>
      <c r="AB1975" s="331" t="e">
        <f>EXACT(Logfile_S[[#This Row],[date pick]],Logfile_S[[#This Row],[Date]])</f>
        <v>#N/A</v>
      </c>
      <c r="AC19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76" spans="1:29" ht="14.5">
      <c r="A1976" s="237" t="str">
        <f>TEXT(ROW(A1976)-ROW($A$4),"000")</f>
        <v>1972</v>
      </c>
      <c r="B1976" s="221">
        <v>2</v>
      </c>
      <c r="C1976" s="227" t="s">
        <v>49</v>
      </c>
      <c r="D1976" s="227" t="s">
        <v>4756</v>
      </c>
      <c r="E1976" s="227" t="s">
        <v>3295</v>
      </c>
      <c r="F1976" s="227" t="s">
        <v>3299</v>
      </c>
      <c r="G1976" s="239">
        <v>46009</v>
      </c>
      <c r="H1976" s="240">
        <v>0.33333333333333331</v>
      </c>
      <c r="I1976" s="227" t="s">
        <v>3295</v>
      </c>
      <c r="J1976" s="221" t="s">
        <v>3023</v>
      </c>
      <c r="K1976" s="241" t="s">
        <v>3070</v>
      </c>
      <c r="L1976" s="225" t="str">
        <f>VLOOKUP(Logfile_S[[#This Row],[Material Name]],Sheet2!B:C,2,0)</f>
        <v>ZTE1002</v>
      </c>
      <c r="M1976" s="242" t="s">
        <v>19</v>
      </c>
      <c r="N1976" s="227">
        <v>20</v>
      </c>
      <c r="O1976" s="221" t="s">
        <v>4801</v>
      </c>
      <c r="P1976" s="221" t="s">
        <v>4802</v>
      </c>
      <c r="Q1976" s="227"/>
      <c r="R1976" s="227"/>
      <c r="S1976" s="227"/>
      <c r="T1976" s="221" t="s">
        <v>3258</v>
      </c>
      <c r="U1976" s="221" t="s">
        <v>4811</v>
      </c>
      <c r="V1976" s="221" t="s">
        <v>3337</v>
      </c>
      <c r="W1976" s="221" t="s">
        <v>3338</v>
      </c>
      <c r="X1976" s="227"/>
      <c r="Y1976" s="227"/>
      <c r="Z1976" s="227" t="str">
        <f>P1976</f>
        <v>DUSUN SIDOAYU KELURAHAN SIDEREJO MALANG</v>
      </c>
      <c r="AA1976" s="276" t="e">
        <f>VLOOKUP(Logfile_S[[#This Row],[DO number]],DO_DB!G:I,3,0)</f>
        <v>#N/A</v>
      </c>
      <c r="AB1976" s="331" t="e">
        <f>EXACT(Logfile_S[[#This Row],[date pick]],Logfile_S[[#This Row],[Date]])</f>
        <v>#N/A</v>
      </c>
      <c r="AC19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77" spans="1:29" ht="14.5">
      <c r="A1977" s="237" t="str">
        <f>TEXT(ROW(A1977)-ROW($A$4),"000")</f>
        <v>1973</v>
      </c>
      <c r="B1977" s="221">
        <v>1</v>
      </c>
      <c r="C1977" s="227" t="s">
        <v>49</v>
      </c>
      <c r="D1977" s="227" t="s">
        <v>4755</v>
      </c>
      <c r="E1977" s="227" t="s">
        <v>3295</v>
      </c>
      <c r="F1977" s="227" t="s">
        <v>3299</v>
      </c>
      <c r="G1977" s="239">
        <v>46010</v>
      </c>
      <c r="H1977" s="240">
        <v>0.33333333333333331</v>
      </c>
      <c r="I1977" s="227" t="s">
        <v>3295</v>
      </c>
      <c r="J1977" s="221" t="s">
        <v>3023</v>
      </c>
      <c r="K1977" s="241" t="s">
        <v>4731</v>
      </c>
      <c r="L1977" s="225" t="str">
        <f>VLOOKUP(Logfile_S[[#This Row],[Material Name]],Sheet2!B:C,2,0)</f>
        <v>ZTE1007</v>
      </c>
      <c r="M1977" s="242" t="s">
        <v>19</v>
      </c>
      <c r="N1977" s="227">
        <v>9</v>
      </c>
      <c r="O1977" s="221" t="s">
        <v>4801</v>
      </c>
      <c r="P1977" s="221" t="s">
        <v>4802</v>
      </c>
      <c r="Q1977" s="227"/>
      <c r="R1977" s="227"/>
      <c r="S1977" s="227"/>
      <c r="T1977" s="221" t="s">
        <v>3258</v>
      </c>
      <c r="U1977" s="221" t="s">
        <v>4811</v>
      </c>
      <c r="V1977" s="221" t="s">
        <v>3337</v>
      </c>
      <c r="W1977" s="221" t="s">
        <v>3338</v>
      </c>
      <c r="X1977" s="227"/>
      <c r="Y1977" s="227"/>
      <c r="Z1977" s="227" t="str">
        <f>P1977</f>
        <v>DUSUN SIDOAYU KELURAHAN SIDEREJO MALANG</v>
      </c>
      <c r="AA1977" s="276" t="e">
        <f>VLOOKUP(Logfile_S[[#This Row],[DO number]],DO_DB!G:I,3,0)</f>
        <v>#N/A</v>
      </c>
      <c r="AB1977" s="331" t="e">
        <f>EXACT(Logfile_S[[#This Row],[date pick]],Logfile_S[[#This Row],[Date]])</f>
        <v>#N/A</v>
      </c>
      <c r="AC19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78" spans="1:29" ht="14.5">
      <c r="A1978" s="237" t="str">
        <f>TEXT(ROW(A1978)-ROW($A$4),"000")</f>
        <v>1974</v>
      </c>
      <c r="B1978" s="221">
        <v>1</v>
      </c>
      <c r="C1978" s="227" t="s">
        <v>49</v>
      </c>
      <c r="D1978" s="227" t="s">
        <v>4759</v>
      </c>
      <c r="E1978" s="227" t="s">
        <v>3295</v>
      </c>
      <c r="F1978" s="227" t="s">
        <v>3299</v>
      </c>
      <c r="G1978" s="239">
        <v>46010</v>
      </c>
      <c r="H1978" s="240">
        <v>0.54166666666666663</v>
      </c>
      <c r="I1978" s="227" t="s">
        <v>3295</v>
      </c>
      <c r="J1978" s="221" t="s">
        <v>3023</v>
      </c>
      <c r="K1978" s="241" t="s">
        <v>4731</v>
      </c>
      <c r="L1978" s="225" t="str">
        <f>VLOOKUP(Logfile_S[[#This Row],[Material Name]],Sheet2!B:C,2,0)</f>
        <v>ZTE1007</v>
      </c>
      <c r="M1978" s="242" t="s">
        <v>19</v>
      </c>
      <c r="N1978" s="227">
        <v>39</v>
      </c>
      <c r="O1978" s="221" t="s">
        <v>4801</v>
      </c>
      <c r="P1978" s="221" t="s">
        <v>4802</v>
      </c>
      <c r="Q1978" s="227"/>
      <c r="R1978" s="227"/>
      <c r="S1978" s="227"/>
      <c r="T1978" s="221" t="s">
        <v>3258</v>
      </c>
      <c r="U1978" s="221" t="s">
        <v>4811</v>
      </c>
      <c r="V1978" s="221" t="s">
        <v>3337</v>
      </c>
      <c r="W1978" s="221" t="s">
        <v>3338</v>
      </c>
      <c r="X1978" s="227"/>
      <c r="Y1978" s="227"/>
      <c r="Z1978" s="227" t="str">
        <f>P1978</f>
        <v>DUSUN SIDOAYU KELURAHAN SIDEREJO MALANG</v>
      </c>
      <c r="AA1978" s="276" t="e">
        <f>VLOOKUP(Logfile_S[[#This Row],[DO number]],DO_DB!G:I,3,0)</f>
        <v>#N/A</v>
      </c>
      <c r="AB1978" s="331" t="e">
        <f>EXACT(Logfile_S[[#This Row],[date pick]],Logfile_S[[#This Row],[Date]])</f>
        <v>#N/A</v>
      </c>
      <c r="AC19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79" spans="1:29" ht="14.5">
      <c r="A1979" s="237" t="str">
        <f>TEXT(ROW(A1979)-ROW($A$4),"000")</f>
        <v>1975</v>
      </c>
      <c r="B1979" s="221">
        <v>2</v>
      </c>
      <c r="C1979" s="227" t="s">
        <v>49</v>
      </c>
      <c r="D1979" s="227" t="s">
        <v>4771</v>
      </c>
      <c r="E1979" s="227" t="s">
        <v>3295</v>
      </c>
      <c r="F1979" s="227" t="s">
        <v>3299</v>
      </c>
      <c r="G1979" s="239">
        <v>46014</v>
      </c>
      <c r="H1979" s="240">
        <v>0.33333333333333331</v>
      </c>
      <c r="I1979" s="227" t="s">
        <v>3295</v>
      </c>
      <c r="J1979" s="221" t="s">
        <v>3023</v>
      </c>
      <c r="K1979" s="241" t="s">
        <v>3070</v>
      </c>
      <c r="L1979" s="225" t="str">
        <f>VLOOKUP(Logfile_S[[#This Row],[Material Name]],Sheet2!B:C,2,0)</f>
        <v>ZTE1002</v>
      </c>
      <c r="M1979" s="242" t="s">
        <v>19</v>
      </c>
      <c r="N1979" s="227">
        <v>3</v>
      </c>
      <c r="O1979" s="221" t="s">
        <v>4801</v>
      </c>
      <c r="P1979" s="221" t="s">
        <v>4802</v>
      </c>
      <c r="Q1979" s="227"/>
      <c r="R1979" s="227"/>
      <c r="S1979" s="227"/>
      <c r="T1979" s="221" t="s">
        <v>3258</v>
      </c>
      <c r="U1979" s="221" t="s">
        <v>4811</v>
      </c>
      <c r="V1979" s="221" t="s">
        <v>3337</v>
      </c>
      <c r="W1979" s="221" t="s">
        <v>3338</v>
      </c>
      <c r="X1979" s="227"/>
      <c r="Y1979" s="227"/>
      <c r="Z1979" s="227" t="str">
        <f>P1979</f>
        <v>DUSUN SIDOAYU KELURAHAN SIDEREJO MALANG</v>
      </c>
      <c r="AA1979" s="276" t="e">
        <f>VLOOKUP(Logfile_S[[#This Row],[DO number]],DO_DB!G:I,3,0)</f>
        <v>#N/A</v>
      </c>
      <c r="AB1979" s="331" t="e">
        <f>EXACT(Logfile_S[[#This Row],[date pick]],Logfile_S[[#This Row],[Date]])</f>
        <v>#N/A</v>
      </c>
      <c r="AC19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80" spans="1:29" ht="14.5">
      <c r="A1980" s="237" t="str">
        <f>TEXT(ROW(A1980)-ROW($A$4),"000")</f>
        <v>1976</v>
      </c>
      <c r="B1980" s="221">
        <v>4</v>
      </c>
      <c r="C1980" s="227" t="s">
        <v>48</v>
      </c>
      <c r="D1980" s="227" t="s">
        <v>4829</v>
      </c>
      <c r="E1980" s="227" t="s">
        <v>3295</v>
      </c>
      <c r="F1980" s="227" t="s">
        <v>3299</v>
      </c>
      <c r="G1980" s="239">
        <v>46087</v>
      </c>
      <c r="H1980" s="240">
        <v>0.79166666666666663</v>
      </c>
      <c r="I1980" s="227" t="s">
        <v>37</v>
      </c>
      <c r="J1980" s="221" t="s">
        <v>3023</v>
      </c>
      <c r="K1980" s="241" t="s">
        <v>13</v>
      </c>
      <c r="L1980" s="225" t="str">
        <f>VLOOKUP(Logfile_S[[#This Row],[Material Name]],Sheet2!B:C,2,0)</f>
        <v>ZTE2008</v>
      </c>
      <c r="M1980" s="242" t="s">
        <v>19</v>
      </c>
      <c r="N1980" s="227">
        <v>21</v>
      </c>
      <c r="O1980" s="227" t="s">
        <v>4835</v>
      </c>
      <c r="P1980" s="227" t="s">
        <v>4836</v>
      </c>
      <c r="Q1980" s="221" t="s">
        <v>4849</v>
      </c>
      <c r="R1980" s="221" t="s">
        <v>4852</v>
      </c>
      <c r="S1980" s="227"/>
      <c r="T1980" s="227"/>
      <c r="U1980" s="227"/>
      <c r="V1980" s="227"/>
      <c r="W1980" s="227"/>
      <c r="X1980" s="227"/>
      <c r="Y1980" s="227"/>
      <c r="Z1980" s="227" t="str">
        <f>P1980</f>
        <v>LESANPURO RW 01 MALANG</v>
      </c>
      <c r="AA1980" s="276">
        <f>VLOOKUP(Logfile_S[[#This Row],[DO number]],DO_DB!G:I,3,0)</f>
        <v>46087</v>
      </c>
      <c r="AB1980" s="331" t="b">
        <f>EXACT(Logfile_S[[#This Row],[date pick]],Logfile_S[[#This Row],[Date]])</f>
        <v>1</v>
      </c>
      <c r="AC19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81" spans="1:29" ht="14.5">
      <c r="A1981" s="237" t="str">
        <f>TEXT(ROW(A1981)-ROW($A$4),"000")</f>
        <v>1977</v>
      </c>
      <c r="B1981" s="221">
        <v>5</v>
      </c>
      <c r="C1981" s="227" t="s">
        <v>48</v>
      </c>
      <c r="D1981" s="227" t="s">
        <v>4829</v>
      </c>
      <c r="E1981" s="227" t="s">
        <v>3295</v>
      </c>
      <c r="F1981" s="227" t="s">
        <v>3299</v>
      </c>
      <c r="G1981" s="239">
        <v>46087</v>
      </c>
      <c r="H1981" s="240">
        <v>0.79166666666666663</v>
      </c>
      <c r="I1981" s="227" t="s">
        <v>37</v>
      </c>
      <c r="J1981" s="221" t="s">
        <v>3023</v>
      </c>
      <c r="K1981" s="241" t="s">
        <v>15</v>
      </c>
      <c r="L1981" s="225" t="str">
        <f>VLOOKUP(Logfile_S[[#This Row],[Material Name]],Sheet2!B:C,2,0)</f>
        <v>ZTE2006</v>
      </c>
      <c r="M1981" s="242" t="s">
        <v>19</v>
      </c>
      <c r="N1981" s="227">
        <v>1</v>
      </c>
      <c r="O1981" s="227" t="s">
        <v>4835</v>
      </c>
      <c r="P1981" s="227" t="s">
        <v>4836</v>
      </c>
      <c r="Q1981" s="221" t="s">
        <v>4849</v>
      </c>
      <c r="R1981" s="221" t="s">
        <v>4852</v>
      </c>
      <c r="S1981" s="227"/>
      <c r="T1981" s="227"/>
      <c r="U1981" s="227"/>
      <c r="V1981" s="227"/>
      <c r="W1981" s="227"/>
      <c r="X1981" s="227"/>
      <c r="Y1981" s="227"/>
      <c r="Z1981" s="227" t="str">
        <f>P1981</f>
        <v>LESANPURO RW 01 MALANG</v>
      </c>
      <c r="AA1981" s="276">
        <f>VLOOKUP(Logfile_S[[#This Row],[DO number]],DO_DB!G:I,3,0)</f>
        <v>46087</v>
      </c>
      <c r="AB1981" s="331" t="b">
        <f>EXACT(Logfile_S[[#This Row],[date pick]],Logfile_S[[#This Row],[Date]])</f>
        <v>1</v>
      </c>
      <c r="AC19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82" spans="1:29" ht="14.5">
      <c r="A1982" s="237" t="str">
        <f>TEXT(ROW(A1982)-ROW($A$4),"000")</f>
        <v>1978</v>
      </c>
      <c r="B1982" s="221">
        <v>3</v>
      </c>
      <c r="C1982" s="227" t="s">
        <v>48</v>
      </c>
      <c r="D1982" s="227" t="s">
        <v>4829</v>
      </c>
      <c r="E1982" s="227" t="s">
        <v>3295</v>
      </c>
      <c r="F1982" s="227" t="s">
        <v>3299</v>
      </c>
      <c r="G1982" s="239">
        <v>46087</v>
      </c>
      <c r="H1982" s="240">
        <v>0.79166666666666663</v>
      </c>
      <c r="I1982" s="227" t="s">
        <v>37</v>
      </c>
      <c r="J1982" s="221" t="s">
        <v>3023</v>
      </c>
      <c r="K1982" s="241" t="s">
        <v>3072</v>
      </c>
      <c r="L1982" s="225" t="str">
        <f>VLOOKUP(Logfile_S[[#This Row],[Material Name]],Sheet2!B:C,2,0)</f>
        <v>ZTE1004</v>
      </c>
      <c r="M1982" s="242" t="s">
        <v>19</v>
      </c>
      <c r="N1982" s="227">
        <v>1</v>
      </c>
      <c r="O1982" s="227" t="s">
        <v>4835</v>
      </c>
      <c r="P1982" s="227" t="s">
        <v>4836</v>
      </c>
      <c r="Q1982" s="221"/>
      <c r="R1982" s="221"/>
      <c r="S1982" s="227"/>
      <c r="T1982" s="227"/>
      <c r="U1982" s="227"/>
      <c r="V1982" s="227"/>
      <c r="W1982" s="227"/>
      <c r="X1982" s="227"/>
      <c r="Y1982" s="227"/>
      <c r="Z1982" s="227" t="str">
        <f>P1982</f>
        <v>LESANPURO RW 01 MALANG</v>
      </c>
      <c r="AA1982" s="276" t="e">
        <f>VLOOKUP(Logfile_S[[#This Row],[DO number]],DO_DB!G:I,3,0)</f>
        <v>#N/A</v>
      </c>
      <c r="AB1982" s="331" t="e">
        <f>EXACT(Logfile_S[[#This Row],[date pick]],Logfile_S[[#This Row],[Date]])</f>
        <v>#N/A</v>
      </c>
      <c r="AC19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83" spans="1:29" ht="14.5">
      <c r="A1983" s="237" t="str">
        <f>TEXT(ROW(A1983)-ROW($A$4),"000")</f>
        <v>1979</v>
      </c>
      <c r="B1983" s="221">
        <v>2</v>
      </c>
      <c r="C1983" s="227" t="s">
        <v>48</v>
      </c>
      <c r="D1983" s="227" t="s">
        <v>4829</v>
      </c>
      <c r="E1983" s="227" t="s">
        <v>3295</v>
      </c>
      <c r="F1983" s="227" t="s">
        <v>3299</v>
      </c>
      <c r="G1983" s="239">
        <v>46087</v>
      </c>
      <c r="H1983" s="240">
        <v>0.79166666666666663</v>
      </c>
      <c r="I1983" s="227" t="s">
        <v>37</v>
      </c>
      <c r="J1983" s="221" t="s">
        <v>3023</v>
      </c>
      <c r="K1983" s="241" t="s">
        <v>4731</v>
      </c>
      <c r="L1983" s="225" t="str">
        <f>VLOOKUP(Logfile_S[[#This Row],[Material Name]],Sheet2!B:C,2,0)</f>
        <v>ZTE1007</v>
      </c>
      <c r="M1983" s="242" t="s">
        <v>19</v>
      </c>
      <c r="N1983" s="227">
        <v>13</v>
      </c>
      <c r="O1983" s="227" t="s">
        <v>4835</v>
      </c>
      <c r="P1983" s="227" t="s">
        <v>4836</v>
      </c>
      <c r="Q1983" s="221" t="s">
        <v>4849</v>
      </c>
      <c r="R1983" s="221" t="s">
        <v>4852</v>
      </c>
      <c r="S1983" s="227"/>
      <c r="T1983" s="227"/>
      <c r="U1983" s="227"/>
      <c r="V1983" s="227"/>
      <c r="W1983" s="227"/>
      <c r="X1983" s="227"/>
      <c r="Y1983" s="227"/>
      <c r="Z1983" s="227" t="str">
        <f>P1983</f>
        <v>LESANPURO RW 01 MALANG</v>
      </c>
      <c r="AA1983" s="276">
        <f>VLOOKUP(Logfile_S[[#This Row],[DO number]],DO_DB!G:I,3,0)</f>
        <v>46087</v>
      </c>
      <c r="AB1983" s="331" t="b">
        <f>EXACT(Logfile_S[[#This Row],[date pick]],Logfile_S[[#This Row],[Date]])</f>
        <v>1</v>
      </c>
      <c r="AC19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84" spans="1:29" ht="14.5">
      <c r="A1984" s="237" t="str">
        <f>TEXT(ROW(A1984)-ROW($A$4),"000")</f>
        <v>1980</v>
      </c>
      <c r="B1984" s="221">
        <v>1</v>
      </c>
      <c r="C1984" s="227" t="s">
        <v>48</v>
      </c>
      <c r="D1984" s="227" t="s">
        <v>4829</v>
      </c>
      <c r="E1984" s="227" t="s">
        <v>3295</v>
      </c>
      <c r="F1984" s="227" t="s">
        <v>3299</v>
      </c>
      <c r="G1984" s="239">
        <v>46087</v>
      </c>
      <c r="H1984" s="240">
        <v>0.79166666666666663</v>
      </c>
      <c r="I1984" s="227" t="s">
        <v>37</v>
      </c>
      <c r="J1984" s="221" t="s">
        <v>3023</v>
      </c>
      <c r="K1984" s="241" t="s">
        <v>3069</v>
      </c>
      <c r="L1984" s="225" t="str">
        <f>VLOOKUP(Logfile_S[[#This Row],[Material Name]],Sheet2!B:C,2,0)</f>
        <v>ZTE1001</v>
      </c>
      <c r="M1984" s="242" t="s">
        <v>19</v>
      </c>
      <c r="N1984" s="227">
        <v>1</v>
      </c>
      <c r="O1984" s="227" t="s">
        <v>4835</v>
      </c>
      <c r="P1984" s="227" t="s">
        <v>4836</v>
      </c>
      <c r="Q1984" s="221"/>
      <c r="R1984" s="221"/>
      <c r="S1984" s="227"/>
      <c r="T1984" s="227"/>
      <c r="U1984" s="227"/>
      <c r="V1984" s="227"/>
      <c r="W1984" s="227"/>
      <c r="X1984" s="227"/>
      <c r="Y1984" s="227"/>
      <c r="Z1984" s="227" t="str">
        <f>P1984</f>
        <v>LESANPURO RW 01 MALANG</v>
      </c>
      <c r="AA1984" s="276" t="e">
        <f>VLOOKUP(Logfile_S[[#This Row],[DO number]],DO_DB!G:I,3,0)</f>
        <v>#N/A</v>
      </c>
      <c r="AB1984" s="331" t="e">
        <f>EXACT(Logfile_S[[#This Row],[date pick]],Logfile_S[[#This Row],[Date]])</f>
        <v>#N/A</v>
      </c>
      <c r="AC19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85" spans="1:29" ht="14.5">
      <c r="A1985" s="237" t="str">
        <f>TEXT(ROW(A1985)-ROW($A$4),"000")</f>
        <v>1981</v>
      </c>
      <c r="B1985" s="221">
        <v>4</v>
      </c>
      <c r="C1985" s="227" t="s">
        <v>49</v>
      </c>
      <c r="D1985" s="227" t="s">
        <v>4833</v>
      </c>
      <c r="E1985" s="227" t="s">
        <v>3295</v>
      </c>
      <c r="F1985" s="227" t="s">
        <v>3299</v>
      </c>
      <c r="G1985" s="239">
        <v>46090</v>
      </c>
      <c r="H1985" s="240">
        <v>0.79166666666666663</v>
      </c>
      <c r="I1985" s="227" t="s">
        <v>3295</v>
      </c>
      <c r="J1985" s="221" t="s">
        <v>3023</v>
      </c>
      <c r="K1985" s="241" t="s">
        <v>13</v>
      </c>
      <c r="L1985" s="225" t="str">
        <f>VLOOKUP(Logfile_S[[#This Row],[Material Name]],Sheet2!B:C,2,0)</f>
        <v>ZTE2008</v>
      </c>
      <c r="M1985" s="242" t="s">
        <v>19</v>
      </c>
      <c r="N1985" s="227">
        <v>21</v>
      </c>
      <c r="O1985" s="227" t="s">
        <v>4835</v>
      </c>
      <c r="P1985" s="227" t="s">
        <v>4836</v>
      </c>
      <c r="Q1985" s="227"/>
      <c r="R1985" s="227"/>
      <c r="S1985" s="227"/>
      <c r="T1985" s="221" t="s">
        <v>3231</v>
      </c>
      <c r="U1985" s="221" t="s">
        <v>4811</v>
      </c>
      <c r="V1985" s="221" t="s">
        <v>3232</v>
      </c>
      <c r="W1985" s="221" t="s">
        <v>3254</v>
      </c>
      <c r="X1985" s="227"/>
      <c r="Y1985" s="227"/>
      <c r="Z1985" s="227" t="str">
        <f>P1985</f>
        <v>LESANPURO RW 01 MALANG</v>
      </c>
      <c r="AA1985" s="276" t="e">
        <f>VLOOKUP(Logfile_S[[#This Row],[DO number]],DO_DB!G:I,3,0)</f>
        <v>#N/A</v>
      </c>
      <c r="AB1985" s="331" t="e">
        <f>EXACT(Logfile_S[[#This Row],[date pick]],Logfile_S[[#This Row],[Date]])</f>
        <v>#N/A</v>
      </c>
      <c r="AC19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86" spans="1:29" ht="14.5">
      <c r="A1986" s="237" t="str">
        <f>TEXT(ROW(A1986)-ROW($A$4),"000")</f>
        <v>1982</v>
      </c>
      <c r="B1986" s="221">
        <v>3</v>
      </c>
      <c r="C1986" s="227" t="s">
        <v>49</v>
      </c>
      <c r="D1986" s="227" t="s">
        <v>4833</v>
      </c>
      <c r="E1986" s="227" t="s">
        <v>3295</v>
      </c>
      <c r="F1986" s="227" t="s">
        <v>3299</v>
      </c>
      <c r="G1986" s="239">
        <v>46090</v>
      </c>
      <c r="H1986" s="240">
        <v>0.79166666666666663</v>
      </c>
      <c r="I1986" s="227" t="s">
        <v>3295</v>
      </c>
      <c r="J1986" s="221" t="s">
        <v>3023</v>
      </c>
      <c r="K1986" s="241" t="s">
        <v>3072</v>
      </c>
      <c r="L1986" s="225" t="str">
        <f>VLOOKUP(Logfile_S[[#This Row],[Material Name]],Sheet2!B:C,2,0)</f>
        <v>ZTE1004</v>
      </c>
      <c r="M1986" s="242" t="s">
        <v>19</v>
      </c>
      <c r="N1986" s="227">
        <v>1</v>
      </c>
      <c r="O1986" s="227" t="s">
        <v>4835</v>
      </c>
      <c r="P1986" s="227" t="s">
        <v>4836</v>
      </c>
      <c r="Q1986" s="227"/>
      <c r="R1986" s="227"/>
      <c r="S1986" s="227"/>
      <c r="T1986" s="221" t="s">
        <v>3258</v>
      </c>
      <c r="U1986" s="221" t="s">
        <v>4811</v>
      </c>
      <c r="V1986" s="221" t="s">
        <v>3337</v>
      </c>
      <c r="W1986" s="221" t="s">
        <v>3338</v>
      </c>
      <c r="X1986" s="227"/>
      <c r="Y1986" s="227"/>
      <c r="Z1986" s="227" t="str">
        <f>P1986</f>
        <v>LESANPURO RW 01 MALANG</v>
      </c>
      <c r="AA1986" s="276" t="e">
        <f>VLOOKUP(Logfile_S[[#This Row],[DO number]],DO_DB!G:I,3,0)</f>
        <v>#N/A</v>
      </c>
      <c r="AB1986" s="331" t="e">
        <f>EXACT(Logfile_S[[#This Row],[date pick]],Logfile_S[[#This Row],[Date]])</f>
        <v>#N/A</v>
      </c>
      <c r="AC19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87" spans="1:29" ht="14.5">
      <c r="A1987" s="237" t="str">
        <f>TEXT(ROW(A1987)-ROW($A$4),"000")</f>
        <v>1983</v>
      </c>
      <c r="B1987" s="221">
        <v>2</v>
      </c>
      <c r="C1987" s="227" t="s">
        <v>49</v>
      </c>
      <c r="D1987" s="227" t="s">
        <v>4833</v>
      </c>
      <c r="E1987" s="227" t="s">
        <v>3295</v>
      </c>
      <c r="F1987" s="227" t="s">
        <v>3299</v>
      </c>
      <c r="G1987" s="239">
        <v>46090</v>
      </c>
      <c r="H1987" s="240">
        <v>0.79166666666666663</v>
      </c>
      <c r="I1987" s="227" t="s">
        <v>3295</v>
      </c>
      <c r="J1987" s="221" t="s">
        <v>3023</v>
      </c>
      <c r="K1987" s="241" t="s">
        <v>4731</v>
      </c>
      <c r="L1987" s="225" t="str">
        <f>VLOOKUP(Logfile_S[[#This Row],[Material Name]],Sheet2!B:C,2,0)</f>
        <v>ZTE1007</v>
      </c>
      <c r="M1987" s="242" t="s">
        <v>19</v>
      </c>
      <c r="N1987" s="227">
        <v>13</v>
      </c>
      <c r="O1987" s="227" t="s">
        <v>4835</v>
      </c>
      <c r="P1987" s="227" t="s">
        <v>4836</v>
      </c>
      <c r="Q1987" s="227"/>
      <c r="R1987" s="227"/>
      <c r="S1987" s="227"/>
      <c r="T1987" s="221" t="s">
        <v>3258</v>
      </c>
      <c r="U1987" s="221" t="s">
        <v>4811</v>
      </c>
      <c r="V1987" s="221" t="s">
        <v>3337</v>
      </c>
      <c r="W1987" s="221" t="s">
        <v>3338</v>
      </c>
      <c r="X1987" s="227"/>
      <c r="Y1987" s="227"/>
      <c r="Z1987" s="227" t="str">
        <f>P1987</f>
        <v>LESANPURO RW 01 MALANG</v>
      </c>
      <c r="AA1987" s="276" t="e">
        <f>VLOOKUP(Logfile_S[[#This Row],[DO number]],DO_DB!G:I,3,0)</f>
        <v>#N/A</v>
      </c>
      <c r="AB1987" s="331" t="e">
        <f>EXACT(Logfile_S[[#This Row],[date pick]],Logfile_S[[#This Row],[Date]])</f>
        <v>#N/A</v>
      </c>
      <c r="AC19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88" spans="1:29" ht="14.5">
      <c r="A1988" s="237" t="str">
        <f>TEXT(ROW(A1988)-ROW($A$4),"000")</f>
        <v>1984</v>
      </c>
      <c r="B1988" s="221">
        <v>2</v>
      </c>
      <c r="C1988" s="227" t="s">
        <v>49</v>
      </c>
      <c r="D1988" s="227" t="s">
        <v>4833</v>
      </c>
      <c r="E1988" s="227" t="s">
        <v>3295</v>
      </c>
      <c r="F1988" s="227" t="s">
        <v>3299</v>
      </c>
      <c r="G1988" s="239">
        <v>46090</v>
      </c>
      <c r="H1988" s="240">
        <v>0.79166666666666663</v>
      </c>
      <c r="I1988" s="227" t="s">
        <v>3295</v>
      </c>
      <c r="J1988" s="221" t="s">
        <v>3023</v>
      </c>
      <c r="K1988" s="241" t="s">
        <v>3070</v>
      </c>
      <c r="L1988" s="242" t="str">
        <f>VLOOKUP(Logfile_S[[#This Row],[Material Name]],Sheet2!B:C,2,0)</f>
        <v>ZTE1002</v>
      </c>
      <c r="M1988" s="242" t="s">
        <v>19</v>
      </c>
      <c r="N1988" s="227">
        <v>25</v>
      </c>
      <c r="O1988" s="227" t="s">
        <v>4835</v>
      </c>
      <c r="P1988" s="227" t="s">
        <v>4836</v>
      </c>
      <c r="Q1988" s="227"/>
      <c r="R1988" s="227"/>
      <c r="S1988" s="227"/>
      <c r="T1988" s="221" t="s">
        <v>3258</v>
      </c>
      <c r="U1988" s="221" t="s">
        <v>4811</v>
      </c>
      <c r="V1988" s="221" t="s">
        <v>3337</v>
      </c>
      <c r="W1988" s="221" t="s">
        <v>3338</v>
      </c>
      <c r="X1988" s="227"/>
      <c r="Y1988" s="227"/>
      <c r="Z1988" s="227" t="str">
        <f>P1988</f>
        <v>LESANPURO RW 01 MALANG</v>
      </c>
      <c r="AA1988" s="276" t="e">
        <f>VLOOKUP(Logfile_S[[#This Row],[DO number]],DO_DB!G:I,3,0)</f>
        <v>#N/A</v>
      </c>
      <c r="AB1988" s="331" t="e">
        <f>EXACT(Logfile_S[[#This Row],[date pick]],Logfile_S[[#This Row],[Date]])</f>
        <v>#N/A</v>
      </c>
      <c r="AC19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89" spans="1:29" ht="14.5">
      <c r="A1989" s="237" t="str">
        <f>TEXT(ROW(A1989)-ROW($A$4),"000")</f>
        <v>1985</v>
      </c>
      <c r="B1989" s="221">
        <v>1</v>
      </c>
      <c r="C1989" s="227" t="s">
        <v>49</v>
      </c>
      <c r="D1989" s="227" t="s">
        <v>4833</v>
      </c>
      <c r="E1989" s="227" t="s">
        <v>3295</v>
      </c>
      <c r="F1989" s="227" t="s">
        <v>3299</v>
      </c>
      <c r="G1989" s="239">
        <v>46090</v>
      </c>
      <c r="H1989" s="240">
        <v>0.79166666666666663</v>
      </c>
      <c r="I1989" s="227" t="s">
        <v>3295</v>
      </c>
      <c r="J1989" s="221" t="s">
        <v>3023</v>
      </c>
      <c r="K1989" s="241" t="s">
        <v>3069</v>
      </c>
      <c r="L1989" s="225" t="str">
        <f>VLOOKUP(Logfile_S[[#This Row],[Material Name]],Sheet2!B:C,2,0)</f>
        <v>ZTE1001</v>
      </c>
      <c r="M1989" s="242" t="s">
        <v>19</v>
      </c>
      <c r="N1989" s="227">
        <v>1</v>
      </c>
      <c r="O1989" s="227" t="s">
        <v>4835</v>
      </c>
      <c r="P1989" s="227" t="s">
        <v>4836</v>
      </c>
      <c r="Q1989" s="227"/>
      <c r="R1989" s="227"/>
      <c r="S1989" s="227"/>
      <c r="T1989" s="221" t="s">
        <v>3258</v>
      </c>
      <c r="U1989" s="221" t="s">
        <v>4811</v>
      </c>
      <c r="V1989" s="221" t="s">
        <v>3337</v>
      </c>
      <c r="W1989" s="221" t="s">
        <v>3338</v>
      </c>
      <c r="X1989" s="227"/>
      <c r="Y1989" s="227"/>
      <c r="Z1989" s="227" t="str">
        <f>P1989</f>
        <v>LESANPURO RW 01 MALANG</v>
      </c>
      <c r="AA1989" s="276" t="e">
        <f>VLOOKUP(Logfile_S[[#This Row],[DO number]],DO_DB!G:I,3,0)</f>
        <v>#N/A</v>
      </c>
      <c r="AB1989" s="331" t="e">
        <f>EXACT(Logfile_S[[#This Row],[date pick]],Logfile_S[[#This Row],[Date]])</f>
        <v>#N/A</v>
      </c>
      <c r="AC19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90" spans="1:29" ht="14.5">
      <c r="A1990" s="237" t="str">
        <f>TEXT(ROW(A1990)-ROW($A$4),"000")</f>
        <v>1986</v>
      </c>
      <c r="B1990" s="221"/>
      <c r="C1990" s="227" t="s">
        <v>49</v>
      </c>
      <c r="D1990" s="227" t="s">
        <v>4858</v>
      </c>
      <c r="E1990" s="227" t="s">
        <v>3295</v>
      </c>
      <c r="F1990" s="227" t="s">
        <v>3299</v>
      </c>
      <c r="G1990" s="239">
        <v>46091</v>
      </c>
      <c r="H1990" s="240">
        <v>0.79166666666666663</v>
      </c>
      <c r="I1990" s="227" t="s">
        <v>3295</v>
      </c>
      <c r="J1990" s="221" t="s">
        <v>3023</v>
      </c>
      <c r="K1990" s="241" t="s">
        <v>4731</v>
      </c>
      <c r="L1990" s="242" t="str">
        <f>VLOOKUP(Logfile_S[[#This Row],[Material Name]],Sheet2!B:C,2,0)</f>
        <v>ZTE1007</v>
      </c>
      <c r="M1990" s="242" t="s">
        <v>19</v>
      </c>
      <c r="N1990" s="227">
        <v>3</v>
      </c>
      <c r="O1990" s="227" t="s">
        <v>4835</v>
      </c>
      <c r="P1990" s="227" t="s">
        <v>4836</v>
      </c>
      <c r="Q1990" s="227"/>
      <c r="R1990" s="227"/>
      <c r="S1990" s="227"/>
      <c r="T1990" s="221" t="s">
        <v>3258</v>
      </c>
      <c r="U1990" s="221" t="s">
        <v>4811</v>
      </c>
      <c r="V1990" s="221" t="s">
        <v>3337</v>
      </c>
      <c r="W1990" s="221" t="s">
        <v>3338</v>
      </c>
      <c r="X1990" s="227"/>
      <c r="Y1990" s="227"/>
      <c r="Z1990" s="227" t="str">
        <f>P1990</f>
        <v>LESANPURO RW 01 MALANG</v>
      </c>
      <c r="AA1990" s="276" t="e">
        <f>VLOOKUP(Logfile_S[[#This Row],[DO number]],DO_DB!G:I,3,0)</f>
        <v>#N/A</v>
      </c>
      <c r="AB1990" s="331" t="e">
        <f>EXACT(Logfile_S[[#This Row],[date pick]],Logfile_S[[#This Row],[Date]])</f>
        <v>#N/A</v>
      </c>
      <c r="AC19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91" spans="1:29" ht="14.5">
      <c r="A1991" s="237" t="str">
        <f>TEXT(ROW(A1991)-ROW($A$4),"000")</f>
        <v>1987</v>
      </c>
      <c r="B1991" s="221"/>
      <c r="C1991" s="227" t="s">
        <v>49</v>
      </c>
      <c r="D1991" s="227" t="s">
        <v>4858</v>
      </c>
      <c r="E1991" s="227" t="s">
        <v>3295</v>
      </c>
      <c r="F1991" s="227" t="s">
        <v>3299</v>
      </c>
      <c r="G1991" s="239">
        <v>46091</v>
      </c>
      <c r="H1991" s="240">
        <v>0.79166666666666663</v>
      </c>
      <c r="I1991" s="227" t="s">
        <v>3295</v>
      </c>
      <c r="J1991" s="221" t="s">
        <v>3023</v>
      </c>
      <c r="K1991" s="241" t="s">
        <v>3070</v>
      </c>
      <c r="L1991" s="242" t="str">
        <f>VLOOKUP(Logfile_S[[#This Row],[Material Name]],Sheet2!B:C,2,0)</f>
        <v>ZTE1002</v>
      </c>
      <c r="M1991" s="242" t="s">
        <v>19</v>
      </c>
      <c r="N1991" s="227">
        <v>3</v>
      </c>
      <c r="O1991" s="227" t="s">
        <v>4835</v>
      </c>
      <c r="P1991" s="227" t="s">
        <v>4836</v>
      </c>
      <c r="Q1991" s="227"/>
      <c r="R1991" s="227"/>
      <c r="S1991" s="227"/>
      <c r="T1991" s="221" t="s">
        <v>3258</v>
      </c>
      <c r="U1991" s="221" t="s">
        <v>4811</v>
      </c>
      <c r="V1991" s="221" t="s">
        <v>3337</v>
      </c>
      <c r="W1991" s="221" t="s">
        <v>3338</v>
      </c>
      <c r="X1991" s="227"/>
      <c r="Y1991" s="227"/>
      <c r="Z1991" s="227" t="str">
        <f>P1991</f>
        <v>LESANPURO RW 01 MALANG</v>
      </c>
      <c r="AA1991" s="276" t="e">
        <f>VLOOKUP(Logfile_S[[#This Row],[DO number]],DO_DB!G:I,3,0)</f>
        <v>#N/A</v>
      </c>
      <c r="AB1991" s="331" t="e">
        <f>EXACT(Logfile_S[[#This Row],[date pick]],Logfile_S[[#This Row],[Date]])</f>
        <v>#N/A</v>
      </c>
      <c r="AC19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92" spans="1:29" ht="14.5">
      <c r="A1992" s="237" t="str">
        <f>TEXT(ROW(A1992)-ROW($A$4),"000")</f>
        <v>1988</v>
      </c>
      <c r="B1992" s="221">
        <v>2</v>
      </c>
      <c r="C1992" s="227" t="s">
        <v>49</v>
      </c>
      <c r="D1992" s="227" t="s">
        <v>4845</v>
      </c>
      <c r="E1992" s="227" t="s">
        <v>3295</v>
      </c>
      <c r="F1992" s="227" t="s">
        <v>3299</v>
      </c>
      <c r="G1992" s="239">
        <v>46133</v>
      </c>
      <c r="H1992" s="240">
        <v>0.29166666666666669</v>
      </c>
      <c r="I1992" s="227" t="s">
        <v>3295</v>
      </c>
      <c r="J1992" s="221" t="s">
        <v>3023</v>
      </c>
      <c r="K1992" s="241" t="s">
        <v>4731</v>
      </c>
      <c r="L1992" s="242" t="str">
        <f>VLOOKUP(Logfile_S[[#This Row],[Material Name]],Sheet2!B:C,2,0)</f>
        <v>ZTE1007</v>
      </c>
      <c r="M1992" s="242" t="s">
        <v>19</v>
      </c>
      <c r="N1992" s="227">
        <v>5</v>
      </c>
      <c r="O1992" s="227" t="s">
        <v>4847</v>
      </c>
      <c r="P1992" s="227" t="s">
        <v>4846</v>
      </c>
      <c r="Q1992" s="227"/>
      <c r="R1992" s="227"/>
      <c r="S1992" s="227"/>
      <c r="T1992" s="221" t="s">
        <v>3258</v>
      </c>
      <c r="U1992" s="221" t="s">
        <v>4811</v>
      </c>
      <c r="V1992" s="221" t="s">
        <v>3337</v>
      </c>
      <c r="W1992" s="221" t="s">
        <v>3338</v>
      </c>
      <c r="X1992" s="227"/>
      <c r="Y1992" s="227"/>
      <c r="Z1992" s="227" t="str">
        <f>P1992</f>
        <v>SEKARPURO RW 04 MALANG</v>
      </c>
      <c r="AA1992" s="276" t="e">
        <f>VLOOKUP(Logfile_S[[#This Row],[DO number]],DO_DB!G:I,3,0)</f>
        <v>#N/A</v>
      </c>
      <c r="AB1992" s="331" t="e">
        <f>EXACT(Logfile_S[[#This Row],[date pick]],Logfile_S[[#This Row],[Date]])</f>
        <v>#N/A</v>
      </c>
      <c r="AC19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93" spans="1:29" ht="14.5">
      <c r="A1993" s="237" t="str">
        <f>TEXT(ROW(A1993)-ROW($A$4),"000")</f>
        <v>1989</v>
      </c>
      <c r="B1993" s="221">
        <v>1</v>
      </c>
      <c r="C1993" s="227" t="s">
        <v>49</v>
      </c>
      <c r="D1993" s="227" t="s">
        <v>4845</v>
      </c>
      <c r="E1993" s="227" t="s">
        <v>3295</v>
      </c>
      <c r="F1993" s="227" t="s">
        <v>3299</v>
      </c>
      <c r="G1993" s="239">
        <v>46133</v>
      </c>
      <c r="H1993" s="240">
        <v>0.29166666666666669</v>
      </c>
      <c r="I1993" s="227" t="s">
        <v>3295</v>
      </c>
      <c r="J1993" s="221" t="s">
        <v>3023</v>
      </c>
      <c r="K1993" s="241" t="s">
        <v>3070</v>
      </c>
      <c r="L1993" s="242" t="str">
        <f>VLOOKUP(Logfile_S[[#This Row],[Material Name]],Sheet2!B:C,2,0)</f>
        <v>ZTE1002</v>
      </c>
      <c r="M1993" s="242" t="s">
        <v>19</v>
      </c>
      <c r="N1993" s="227">
        <v>10</v>
      </c>
      <c r="O1993" s="227" t="s">
        <v>4847</v>
      </c>
      <c r="P1993" s="227" t="s">
        <v>4846</v>
      </c>
      <c r="Q1993" s="227"/>
      <c r="R1993" s="227"/>
      <c r="S1993" s="227"/>
      <c r="T1993" s="221" t="s">
        <v>3258</v>
      </c>
      <c r="U1993" s="221" t="s">
        <v>4811</v>
      </c>
      <c r="V1993" s="221" t="s">
        <v>3337</v>
      </c>
      <c r="W1993" s="221" t="s">
        <v>3338</v>
      </c>
      <c r="X1993" s="227"/>
      <c r="Y1993" s="227"/>
      <c r="Z1993" s="227" t="str">
        <f>P1993</f>
        <v>SEKARPURO RW 04 MALANG</v>
      </c>
      <c r="AA1993" s="276" t="e">
        <f>VLOOKUP(Logfile_S[[#This Row],[DO number]],DO_DB!G:I,3,0)</f>
        <v>#N/A</v>
      </c>
      <c r="AB1993" s="331" t="e">
        <f>EXACT(Logfile_S[[#This Row],[date pick]],Logfile_S[[#This Row],[Date]])</f>
        <v>#N/A</v>
      </c>
      <c r="AC19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94" spans="1:29" ht="14.5">
      <c r="A1994" s="237" t="str">
        <f>TEXT(ROW(A1994)-ROW($A$4),"000")</f>
        <v>1990</v>
      </c>
      <c r="B1994" s="221">
        <v>1</v>
      </c>
      <c r="C1994" s="227" t="s">
        <v>49</v>
      </c>
      <c r="D1994" s="227" t="s">
        <v>4838</v>
      </c>
      <c r="E1994" s="227" t="s">
        <v>3295</v>
      </c>
      <c r="F1994" s="227" t="s">
        <v>3299</v>
      </c>
      <c r="G1994" s="239">
        <v>46134</v>
      </c>
      <c r="H1994" s="240">
        <v>0.58333333333333337</v>
      </c>
      <c r="I1994" s="227" t="s">
        <v>3295</v>
      </c>
      <c r="J1994" s="221" t="s">
        <v>3023</v>
      </c>
      <c r="K1994" s="241" t="s">
        <v>13</v>
      </c>
      <c r="L1994" s="242" t="str">
        <f>VLOOKUP(Logfile_S[[#This Row],[Material Name]],Sheet2!B:C,2,0)</f>
        <v>ZTE2008</v>
      </c>
      <c r="M1994" s="242" t="s">
        <v>19</v>
      </c>
      <c r="N1994" s="227">
        <v>14</v>
      </c>
      <c r="O1994" s="227" t="s">
        <v>4847</v>
      </c>
      <c r="P1994" s="227" t="s">
        <v>4846</v>
      </c>
      <c r="Q1994" s="227"/>
      <c r="R1994" s="227"/>
      <c r="S1994" s="227"/>
      <c r="T1994" s="221" t="s">
        <v>3231</v>
      </c>
      <c r="U1994" s="221" t="s">
        <v>4811</v>
      </c>
      <c r="V1994" s="221" t="s">
        <v>3232</v>
      </c>
      <c r="W1994" s="221" t="s">
        <v>3254</v>
      </c>
      <c r="X1994" s="227"/>
      <c r="Y1994" s="227"/>
      <c r="Z1994" s="227" t="str">
        <f>P1994</f>
        <v>SEKARPURO RW 04 MALANG</v>
      </c>
      <c r="AA1994" s="276" t="e">
        <f>VLOOKUP(Logfile_S[[#This Row],[DO number]],DO_DB!G:I,3,0)</f>
        <v>#N/A</v>
      </c>
      <c r="AB1994" s="331" t="e">
        <f>EXACT(Logfile_S[[#This Row],[date pick]],Logfile_S[[#This Row],[Date]])</f>
        <v>#N/A</v>
      </c>
      <c r="AC19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95" spans="1:29" ht="14.5">
      <c r="A1995" s="237" t="str">
        <f>TEXT(ROW(A1995)-ROW($A$4),"000")</f>
        <v>1991</v>
      </c>
      <c r="B1995" s="221">
        <v>2</v>
      </c>
      <c r="C1995" s="227" t="s">
        <v>49</v>
      </c>
      <c r="D1995" s="227" t="s">
        <v>4838</v>
      </c>
      <c r="E1995" s="227" t="s">
        <v>3295</v>
      </c>
      <c r="F1995" s="227" t="s">
        <v>3299</v>
      </c>
      <c r="G1995" s="239">
        <v>46134</v>
      </c>
      <c r="H1995" s="240">
        <v>0.58333333333333337</v>
      </c>
      <c r="I1995" s="227" t="s">
        <v>3295</v>
      </c>
      <c r="J1995" s="221" t="s">
        <v>3023</v>
      </c>
      <c r="K1995" s="241" t="s">
        <v>14</v>
      </c>
      <c r="L1995" s="242" t="str">
        <f>VLOOKUP(Logfile_S[[#This Row],[Material Name]],Sheet2!B:C,2,0)</f>
        <v>ZTE2005</v>
      </c>
      <c r="M1995" s="242" t="s">
        <v>19</v>
      </c>
      <c r="N1995" s="227">
        <v>1</v>
      </c>
      <c r="O1995" s="227" t="s">
        <v>4847</v>
      </c>
      <c r="P1995" s="227" t="s">
        <v>4846</v>
      </c>
      <c r="Q1995" s="227"/>
      <c r="R1995" s="227"/>
      <c r="S1995" s="227"/>
      <c r="T1995" s="221" t="s">
        <v>3231</v>
      </c>
      <c r="U1995" s="221" t="s">
        <v>4811</v>
      </c>
      <c r="V1995" s="221" t="s">
        <v>3232</v>
      </c>
      <c r="W1995" s="221" t="s">
        <v>3254</v>
      </c>
      <c r="X1995" s="227"/>
      <c r="Y1995" s="227"/>
      <c r="Z1995" s="227" t="str">
        <f>P1995</f>
        <v>SEKARPURO RW 04 MALANG</v>
      </c>
      <c r="AA1995" s="276" t="e">
        <f>VLOOKUP(Logfile_S[[#This Row],[DO number]],DO_DB!G:I,3,0)</f>
        <v>#N/A</v>
      </c>
      <c r="AB1995" s="331" t="e">
        <f>EXACT(Logfile_S[[#This Row],[date pick]],Logfile_S[[#This Row],[Date]])</f>
        <v>#N/A</v>
      </c>
      <c r="AC19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96" spans="1:29" ht="14.5">
      <c r="A1996" s="237" t="str">
        <f>TEXT(ROW(A1996)-ROW($A$4),"000")</f>
        <v>1992</v>
      </c>
      <c r="B1996" s="221">
        <v>1</v>
      </c>
      <c r="C1996" s="227" t="s">
        <v>49</v>
      </c>
      <c r="D1996" s="227" t="s">
        <v>4838</v>
      </c>
      <c r="E1996" s="227" t="s">
        <v>3295</v>
      </c>
      <c r="F1996" s="227" t="s">
        <v>3299</v>
      </c>
      <c r="G1996" s="239">
        <v>46134</v>
      </c>
      <c r="H1996" s="240">
        <v>0.43888888888888888</v>
      </c>
      <c r="I1996" s="227" t="s">
        <v>3295</v>
      </c>
      <c r="J1996" s="227" t="s">
        <v>3023</v>
      </c>
      <c r="K1996" s="241" t="s">
        <v>3069</v>
      </c>
      <c r="L1996" s="242" t="str">
        <f>VLOOKUP(Logfile_S[[#This Row],[Material Name]],Sheet2!B:C,2,0)</f>
        <v>ZTE1001</v>
      </c>
      <c r="M1996" s="242" t="s">
        <v>19</v>
      </c>
      <c r="N1996" s="227">
        <v>7</v>
      </c>
      <c r="O1996" s="227" t="s">
        <v>4847</v>
      </c>
      <c r="P1996" s="227" t="s">
        <v>4846</v>
      </c>
      <c r="Q1996" s="227"/>
      <c r="R1996" s="227"/>
      <c r="S1996" s="227"/>
      <c r="T1996" s="221" t="s">
        <v>3231</v>
      </c>
      <c r="U1996" s="221" t="s">
        <v>4811</v>
      </c>
      <c r="V1996" s="221" t="s">
        <v>3232</v>
      </c>
      <c r="W1996" s="221" t="s">
        <v>3254</v>
      </c>
      <c r="X1996" s="227"/>
      <c r="Y1996" s="227"/>
      <c r="Z1996" s="227" t="str">
        <f>P1996</f>
        <v>SEKARPURO RW 04 MALANG</v>
      </c>
      <c r="AA1996" s="276" t="e">
        <f>VLOOKUP(Logfile_S[[#This Row],[DO number]],DO_DB!G:I,3,0)</f>
        <v>#N/A</v>
      </c>
      <c r="AB1996" s="331" t="e">
        <f>EXACT(Logfile_S[[#This Row],[date pick]],Logfile_S[[#This Row],[Date]])</f>
        <v>#N/A</v>
      </c>
      <c r="AC19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97" spans="1:29" ht="14.5">
      <c r="A1997" s="237" t="str">
        <f>TEXT(ROW(A1997)-ROW($A$4),"000")</f>
        <v>1993</v>
      </c>
      <c r="B1997" s="221">
        <v>5</v>
      </c>
      <c r="C1997" s="227" t="s">
        <v>49</v>
      </c>
      <c r="D1997" s="227" t="s">
        <v>4833</v>
      </c>
      <c r="E1997" s="227" t="s">
        <v>3295</v>
      </c>
      <c r="F1997" s="227" t="s">
        <v>3299</v>
      </c>
      <c r="G1997" s="239">
        <v>46090</v>
      </c>
      <c r="H1997" s="240">
        <v>0.79166666666666663</v>
      </c>
      <c r="I1997" s="227" t="s">
        <v>3295</v>
      </c>
      <c r="J1997" s="221" t="s">
        <v>3023</v>
      </c>
      <c r="K1997" s="241" t="s">
        <v>15</v>
      </c>
      <c r="L1997" s="225" t="str">
        <f>VLOOKUP(Logfile_S[[#This Row],[Material Name]],Sheet2!B:C,2,0)</f>
        <v>ZTE2006</v>
      </c>
      <c r="M1997" s="242" t="s">
        <v>19</v>
      </c>
      <c r="N1997" s="227">
        <v>1</v>
      </c>
      <c r="O1997" s="227" t="s">
        <v>4839</v>
      </c>
      <c r="P1997" s="227" t="s">
        <v>4840</v>
      </c>
      <c r="Q1997" s="227"/>
      <c r="R1997" s="227"/>
      <c r="S1997" s="227"/>
      <c r="T1997" s="221" t="s">
        <v>3231</v>
      </c>
      <c r="U1997" s="221" t="s">
        <v>4811</v>
      </c>
      <c r="V1997" s="221" t="s">
        <v>3232</v>
      </c>
      <c r="W1997" s="221" t="s">
        <v>3254</v>
      </c>
      <c r="X1997" s="227"/>
      <c r="Y1997" s="227"/>
      <c r="Z1997" s="227" t="str">
        <f>P1997</f>
        <v>SEKARPURO RW 05 MALANG</v>
      </c>
      <c r="AA1997" s="276" t="e">
        <f>VLOOKUP(Logfile_S[[#This Row],[DO number]],DO_DB!G:I,3,0)</f>
        <v>#N/A</v>
      </c>
      <c r="AB1997" s="331" t="e">
        <f>EXACT(Logfile_S[[#This Row],[date pick]],Logfile_S[[#This Row],[Date]])</f>
        <v>#N/A</v>
      </c>
      <c r="AC19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1998" spans="1:29" ht="14.5">
      <c r="A1998" s="237" t="str">
        <f>TEXT(ROW(A1998)-ROW($A$4),"000")</f>
        <v>1994</v>
      </c>
      <c r="B1998" s="221">
        <v>4</v>
      </c>
      <c r="C1998" s="227" t="s">
        <v>48</v>
      </c>
      <c r="D1998" s="227" t="s">
        <v>4837</v>
      </c>
      <c r="E1998" s="227" t="s">
        <v>3295</v>
      </c>
      <c r="F1998" s="227" t="s">
        <v>3299</v>
      </c>
      <c r="G1998" s="239">
        <v>46093</v>
      </c>
      <c r="H1998" s="240">
        <v>0.79166666666666663</v>
      </c>
      <c r="I1998" s="227" t="s">
        <v>37</v>
      </c>
      <c r="J1998" s="221" t="s">
        <v>3023</v>
      </c>
      <c r="K1998" s="241" t="s">
        <v>3073</v>
      </c>
      <c r="L1998" s="225" t="str">
        <f>VLOOKUP(Logfile_S[[#This Row],[Material Name]],Sheet2!B:C,2,0)</f>
        <v>ZTE2001</v>
      </c>
      <c r="M1998" s="242" t="s">
        <v>20</v>
      </c>
      <c r="N1998" s="227">
        <v>3000</v>
      </c>
      <c r="O1998" s="227" t="s">
        <v>4839</v>
      </c>
      <c r="P1998" s="227" t="s">
        <v>4840</v>
      </c>
      <c r="Q1998" s="221" t="s">
        <v>4851</v>
      </c>
      <c r="R1998" s="221" t="s">
        <v>4854</v>
      </c>
      <c r="S1998" s="227"/>
      <c r="T1998" s="227"/>
      <c r="U1998" s="227"/>
      <c r="V1998" s="227"/>
      <c r="W1998" s="227"/>
      <c r="X1998" s="227"/>
      <c r="Y1998" s="227" t="s">
        <v>5037</v>
      </c>
      <c r="Z1998" s="227" t="str">
        <f>P1998</f>
        <v>SEKARPURO RW 05 MALANG</v>
      </c>
      <c r="AA1998" s="276">
        <f>VLOOKUP(Logfile_S[[#This Row],[DO number]],DO_DB!G:I,3,0)</f>
        <v>46093</v>
      </c>
      <c r="AB1998" s="331" t="b">
        <f>EXACT(Logfile_S[[#This Row],[date pick]],Logfile_S[[#This Row],[Date]])</f>
        <v>1</v>
      </c>
      <c r="AC19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24C-2026313-01</v>
      </c>
    </row>
    <row r="1999" spans="1:29" ht="14.5">
      <c r="A1999" s="237" t="str">
        <f>TEXT(ROW(A1999)-ROW($A$4),"000")</f>
        <v>1995</v>
      </c>
      <c r="B1999" s="221">
        <v>2</v>
      </c>
      <c r="C1999" s="227" t="s">
        <v>48</v>
      </c>
      <c r="D1999" s="227" t="s">
        <v>4837</v>
      </c>
      <c r="E1999" s="227" t="s">
        <v>3295</v>
      </c>
      <c r="F1999" s="227" t="s">
        <v>3299</v>
      </c>
      <c r="G1999" s="239">
        <v>46093</v>
      </c>
      <c r="H1999" s="240">
        <v>0.79166666666666663</v>
      </c>
      <c r="I1999" s="227" t="s">
        <v>37</v>
      </c>
      <c r="J1999" s="221" t="s">
        <v>3023</v>
      </c>
      <c r="K1999" s="241" t="s">
        <v>4731</v>
      </c>
      <c r="L1999" s="225" t="str">
        <f>VLOOKUP(Logfile_S[[#This Row],[Material Name]],Sheet2!B:C,2,0)</f>
        <v>ZTE1007</v>
      </c>
      <c r="M1999" s="242" t="s">
        <v>19</v>
      </c>
      <c r="N1999" s="227">
        <v>11</v>
      </c>
      <c r="O1999" s="227" t="s">
        <v>4839</v>
      </c>
      <c r="P1999" s="227" t="s">
        <v>4840</v>
      </c>
      <c r="Q1999" s="221" t="s">
        <v>4851</v>
      </c>
      <c r="R1999" s="221" t="s">
        <v>4854</v>
      </c>
      <c r="S1999" s="227"/>
      <c r="T1999" s="227"/>
      <c r="U1999" s="227"/>
      <c r="V1999" s="227"/>
      <c r="W1999" s="227"/>
      <c r="X1999" s="227"/>
      <c r="Y1999" s="227"/>
      <c r="Z1999" s="227" t="str">
        <f>P1999</f>
        <v>SEKARPURO RW 05 MALANG</v>
      </c>
      <c r="AA1999" s="276">
        <f>VLOOKUP(Logfile_S[[#This Row],[DO number]],DO_DB!G:I,3,0)</f>
        <v>46093</v>
      </c>
      <c r="AB1999" s="331" t="b">
        <f>EXACT(Logfile_S[[#This Row],[date pick]],Logfile_S[[#This Row],[Date]])</f>
        <v>1</v>
      </c>
      <c r="AC19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00" spans="1:29" ht="14.5">
      <c r="A2000" s="237" t="str">
        <f>TEXT(ROW(A2000)-ROW($A$4),"000")</f>
        <v>1996</v>
      </c>
      <c r="B2000" s="221">
        <v>1</v>
      </c>
      <c r="C2000" s="227" t="s">
        <v>48</v>
      </c>
      <c r="D2000" s="227" t="s">
        <v>4837</v>
      </c>
      <c r="E2000" s="227" t="s">
        <v>3295</v>
      </c>
      <c r="F2000" s="227" t="s">
        <v>3299</v>
      </c>
      <c r="G2000" s="239">
        <v>46093</v>
      </c>
      <c r="H2000" s="240">
        <v>0.79166666666666663</v>
      </c>
      <c r="I2000" s="227" t="s">
        <v>37</v>
      </c>
      <c r="J2000" s="221" t="s">
        <v>3023</v>
      </c>
      <c r="K2000" s="241" t="s">
        <v>3069</v>
      </c>
      <c r="L2000" s="225" t="str">
        <f>VLOOKUP(Logfile_S[[#This Row],[Material Name]],Sheet2!B:C,2,0)</f>
        <v>ZTE1001</v>
      </c>
      <c r="M2000" s="242" t="s">
        <v>19</v>
      </c>
      <c r="N2000" s="227">
        <v>7</v>
      </c>
      <c r="O2000" s="227" t="s">
        <v>4839</v>
      </c>
      <c r="P2000" s="227" t="s">
        <v>4840</v>
      </c>
      <c r="Q2000" s="221" t="s">
        <v>4851</v>
      </c>
      <c r="R2000" s="221" t="s">
        <v>4854</v>
      </c>
      <c r="S2000" s="227"/>
      <c r="T2000" s="227"/>
      <c r="U2000" s="227"/>
      <c r="V2000" s="227"/>
      <c r="W2000" s="227"/>
      <c r="X2000" s="227"/>
      <c r="Y2000" s="227"/>
      <c r="Z2000" s="227" t="str">
        <f>P2000</f>
        <v>SEKARPURO RW 05 MALANG</v>
      </c>
      <c r="AA2000" s="276">
        <f>VLOOKUP(Logfile_S[[#This Row],[DO number]],DO_DB!G:I,3,0)</f>
        <v>46093</v>
      </c>
      <c r="AB2000" s="331" t="b">
        <f>EXACT(Logfile_S[[#This Row],[date pick]],Logfile_S[[#This Row],[Date]])</f>
        <v>1</v>
      </c>
      <c r="AC20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01" spans="1:29" ht="14.5">
      <c r="A2001" s="237" t="str">
        <f>TEXT(ROW(A2001)-ROW($A$4),"000")</f>
        <v>1997</v>
      </c>
      <c r="B2001" s="221">
        <v>3</v>
      </c>
      <c r="C2001" s="227" t="s">
        <v>48</v>
      </c>
      <c r="D2001" s="227" t="s">
        <v>4837</v>
      </c>
      <c r="E2001" s="227" t="s">
        <v>3295</v>
      </c>
      <c r="F2001" s="227" t="s">
        <v>3299</v>
      </c>
      <c r="G2001" s="239">
        <v>46094</v>
      </c>
      <c r="H2001" s="240">
        <v>0.79166666666666663</v>
      </c>
      <c r="I2001" s="227" t="s">
        <v>37</v>
      </c>
      <c r="J2001" s="221" t="s">
        <v>3023</v>
      </c>
      <c r="K2001" s="241" t="s">
        <v>3072</v>
      </c>
      <c r="L2001" s="225" t="str">
        <f>VLOOKUP(Logfile_S[[#This Row],[Material Name]],Sheet2!B:C,2,0)</f>
        <v>ZTE1004</v>
      </c>
      <c r="M2001" s="242" t="s">
        <v>19</v>
      </c>
      <c r="N2001" s="227">
        <v>1</v>
      </c>
      <c r="O2001" s="227" t="s">
        <v>4839</v>
      </c>
      <c r="P2001" s="227" t="s">
        <v>4840</v>
      </c>
      <c r="Q2001" s="221"/>
      <c r="R2001" s="221"/>
      <c r="S2001" s="227"/>
      <c r="T2001" s="227"/>
      <c r="U2001" s="227"/>
      <c r="V2001" s="227"/>
      <c r="W2001" s="227"/>
      <c r="X2001" s="227"/>
      <c r="Y2001" s="227"/>
      <c r="Z2001" s="227" t="str">
        <f>P2001</f>
        <v>SEKARPURO RW 05 MALANG</v>
      </c>
      <c r="AA2001" s="276" t="e">
        <f>VLOOKUP(Logfile_S[[#This Row],[DO number]],DO_DB!G:I,3,0)</f>
        <v>#N/A</v>
      </c>
      <c r="AB2001" s="331" t="e">
        <f>EXACT(Logfile_S[[#This Row],[date pick]],Logfile_S[[#This Row],[Date]])</f>
        <v>#N/A</v>
      </c>
      <c r="AC20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02" spans="1:29" ht="14.5">
      <c r="A2002" s="237" t="str">
        <f>TEXT(ROW(A2002)-ROW($A$4),"000")</f>
        <v>1998</v>
      </c>
      <c r="B2002" s="221">
        <v>4</v>
      </c>
      <c r="C2002" s="227" t="s">
        <v>49</v>
      </c>
      <c r="D2002" s="227" t="s">
        <v>4838</v>
      </c>
      <c r="E2002" s="227" t="s">
        <v>3295</v>
      </c>
      <c r="F2002" s="227" t="s">
        <v>3299</v>
      </c>
      <c r="G2002" s="239">
        <v>46095</v>
      </c>
      <c r="H2002" s="240">
        <v>0.79166666666666663</v>
      </c>
      <c r="I2002" s="227" t="s">
        <v>3295</v>
      </c>
      <c r="J2002" s="221" t="s">
        <v>3023</v>
      </c>
      <c r="K2002" s="241" t="s">
        <v>3073</v>
      </c>
      <c r="L2002" s="225" t="str">
        <f>VLOOKUP(Logfile_S[[#This Row],[Material Name]],Sheet2!B:C,2,0)</f>
        <v>ZTE2001</v>
      </c>
      <c r="M2002" s="242" t="s">
        <v>20</v>
      </c>
      <c r="N2002" s="227">
        <v>3000</v>
      </c>
      <c r="O2002" s="227" t="s">
        <v>4839</v>
      </c>
      <c r="P2002" s="227" t="s">
        <v>4840</v>
      </c>
      <c r="Q2002" s="227"/>
      <c r="R2002" s="227"/>
      <c r="S2002" s="227"/>
      <c r="T2002" s="221" t="s">
        <v>3258</v>
      </c>
      <c r="U2002" s="221" t="s">
        <v>4811</v>
      </c>
      <c r="V2002" s="221" t="s">
        <v>3337</v>
      </c>
      <c r="W2002" s="221" t="s">
        <v>3338</v>
      </c>
      <c r="X2002" s="227"/>
      <c r="Y2002" s="227" t="s">
        <v>5037</v>
      </c>
      <c r="Z2002" s="227" t="str">
        <f>P2002</f>
        <v>SEKARPURO RW 05 MALANG</v>
      </c>
      <c r="AA2002" s="276" t="e">
        <f>VLOOKUP(Logfile_S[[#This Row],[DO number]],DO_DB!G:I,3,0)</f>
        <v>#N/A</v>
      </c>
      <c r="AB2002" s="331" t="e">
        <f>EXACT(Logfile_S[[#This Row],[date pick]],Logfile_S[[#This Row],[Date]])</f>
        <v>#N/A</v>
      </c>
      <c r="AC20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24C-2026313-01</v>
      </c>
    </row>
    <row r="2003" spans="1:29" ht="14.5">
      <c r="A2003" s="237" t="str">
        <f>TEXT(ROW(A2003)-ROW($A$4),"000")</f>
        <v>1999</v>
      </c>
      <c r="B2003" s="221">
        <v>3</v>
      </c>
      <c r="C2003" s="227" t="s">
        <v>49</v>
      </c>
      <c r="D2003" s="227" t="s">
        <v>4838</v>
      </c>
      <c r="E2003" s="227" t="s">
        <v>3295</v>
      </c>
      <c r="F2003" s="227" t="s">
        <v>3299</v>
      </c>
      <c r="G2003" s="239">
        <v>46095</v>
      </c>
      <c r="H2003" s="240">
        <v>0.79166666666666663</v>
      </c>
      <c r="I2003" s="227" t="s">
        <v>3295</v>
      </c>
      <c r="J2003" s="221" t="s">
        <v>3023</v>
      </c>
      <c r="K2003" s="241" t="s">
        <v>3072</v>
      </c>
      <c r="L2003" s="225" t="str">
        <f>VLOOKUP(Logfile_S[[#This Row],[Material Name]],Sheet2!B:C,2,0)</f>
        <v>ZTE1004</v>
      </c>
      <c r="M2003" s="242" t="s">
        <v>19</v>
      </c>
      <c r="N2003" s="227">
        <v>1</v>
      </c>
      <c r="O2003" s="227" t="s">
        <v>4839</v>
      </c>
      <c r="P2003" s="227" t="s">
        <v>4840</v>
      </c>
      <c r="Q2003" s="227"/>
      <c r="R2003" s="227"/>
      <c r="S2003" s="227"/>
      <c r="T2003" s="221" t="s">
        <v>3258</v>
      </c>
      <c r="U2003" s="221" t="s">
        <v>4811</v>
      </c>
      <c r="V2003" s="221" t="s">
        <v>3337</v>
      </c>
      <c r="W2003" s="221" t="s">
        <v>3338</v>
      </c>
      <c r="X2003" s="227"/>
      <c r="Y2003" s="227"/>
      <c r="Z2003" s="227" t="str">
        <f>P2003</f>
        <v>SEKARPURO RW 05 MALANG</v>
      </c>
      <c r="AA2003" s="276" t="e">
        <f>VLOOKUP(Logfile_S[[#This Row],[DO number]],DO_DB!G:I,3,0)</f>
        <v>#N/A</v>
      </c>
      <c r="AB2003" s="331" t="e">
        <f>EXACT(Logfile_S[[#This Row],[date pick]],Logfile_S[[#This Row],[Date]])</f>
        <v>#N/A</v>
      </c>
      <c r="AC20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04" spans="1:29" ht="14.5">
      <c r="A2004" s="237" t="str">
        <f>TEXT(ROW(A2004)-ROW($A$4),"000")</f>
        <v>2000</v>
      </c>
      <c r="B2004" s="221">
        <v>2</v>
      </c>
      <c r="C2004" s="227" t="s">
        <v>49</v>
      </c>
      <c r="D2004" s="227" t="s">
        <v>4838</v>
      </c>
      <c r="E2004" s="227" t="s">
        <v>3295</v>
      </c>
      <c r="F2004" s="227" t="s">
        <v>3299</v>
      </c>
      <c r="G2004" s="239">
        <v>46095</v>
      </c>
      <c r="H2004" s="240">
        <v>0.79166666666666663</v>
      </c>
      <c r="I2004" s="227" t="s">
        <v>3295</v>
      </c>
      <c r="J2004" s="221" t="s">
        <v>3023</v>
      </c>
      <c r="K2004" s="241" t="s">
        <v>4731</v>
      </c>
      <c r="L2004" s="225" t="str">
        <f>VLOOKUP(Logfile_S[[#This Row],[Material Name]],Sheet2!B:C,2,0)</f>
        <v>ZTE1007</v>
      </c>
      <c r="M2004" s="242" t="s">
        <v>19</v>
      </c>
      <c r="N2004" s="227">
        <v>10</v>
      </c>
      <c r="O2004" s="227" t="s">
        <v>4839</v>
      </c>
      <c r="P2004" s="227" t="s">
        <v>4840</v>
      </c>
      <c r="Q2004" s="227"/>
      <c r="R2004" s="227"/>
      <c r="S2004" s="227"/>
      <c r="T2004" s="221" t="s">
        <v>3258</v>
      </c>
      <c r="U2004" s="221" t="s">
        <v>4811</v>
      </c>
      <c r="V2004" s="221" t="s">
        <v>3337</v>
      </c>
      <c r="W2004" s="221" t="s">
        <v>3338</v>
      </c>
      <c r="X2004" s="227"/>
      <c r="Y2004" s="227"/>
      <c r="Z2004" s="227" t="str">
        <f>P2004</f>
        <v>SEKARPURO RW 05 MALANG</v>
      </c>
      <c r="AA2004" s="276" t="e">
        <f>VLOOKUP(Logfile_S[[#This Row],[DO number]],DO_DB!G:I,3,0)</f>
        <v>#N/A</v>
      </c>
      <c r="AB2004" s="331" t="e">
        <f>EXACT(Logfile_S[[#This Row],[date pick]],Logfile_S[[#This Row],[Date]])</f>
        <v>#N/A</v>
      </c>
      <c r="AC20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05" spans="1:29" ht="14.5">
      <c r="A2005" s="237" t="str">
        <f>TEXT(ROW(A2005)-ROW($A$4),"000")</f>
        <v>2001</v>
      </c>
      <c r="B2005" s="221">
        <v>1</v>
      </c>
      <c r="C2005" s="227" t="s">
        <v>49</v>
      </c>
      <c r="D2005" s="227" t="s">
        <v>4838</v>
      </c>
      <c r="E2005" s="227" t="s">
        <v>3295</v>
      </c>
      <c r="F2005" s="227" t="s">
        <v>3299</v>
      </c>
      <c r="G2005" s="239">
        <v>46095</v>
      </c>
      <c r="H2005" s="240">
        <v>0.79166666666666663</v>
      </c>
      <c r="I2005" s="227" t="s">
        <v>3295</v>
      </c>
      <c r="J2005" s="221" t="s">
        <v>3023</v>
      </c>
      <c r="K2005" s="241" t="s">
        <v>3069</v>
      </c>
      <c r="L2005" s="225" t="str">
        <f>VLOOKUP(Logfile_S[[#This Row],[Material Name]],Sheet2!B:C,2,0)</f>
        <v>ZTE1001</v>
      </c>
      <c r="M2005" s="242" t="s">
        <v>19</v>
      </c>
      <c r="N2005" s="227">
        <v>1</v>
      </c>
      <c r="O2005" s="227" t="s">
        <v>4839</v>
      </c>
      <c r="P2005" s="227" t="s">
        <v>4840</v>
      </c>
      <c r="Q2005" s="227"/>
      <c r="R2005" s="227"/>
      <c r="S2005" s="227"/>
      <c r="T2005" s="221" t="s">
        <v>3258</v>
      </c>
      <c r="U2005" s="221" t="s">
        <v>4811</v>
      </c>
      <c r="V2005" s="221" t="s">
        <v>3337</v>
      </c>
      <c r="W2005" s="221" t="s">
        <v>3338</v>
      </c>
      <c r="X2005" s="227"/>
      <c r="Y2005" s="227"/>
      <c r="Z2005" s="227" t="str">
        <f>P2005</f>
        <v>SEKARPURO RW 05 MALANG</v>
      </c>
      <c r="AA2005" s="276" t="e">
        <f>VLOOKUP(Logfile_S[[#This Row],[DO number]],DO_DB!G:I,3,0)</f>
        <v>#N/A</v>
      </c>
      <c r="AB2005" s="331" t="e">
        <f>EXACT(Logfile_S[[#This Row],[date pick]],Logfile_S[[#This Row],[Date]])</f>
        <v>#N/A</v>
      </c>
      <c r="AC20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06" spans="1:29" ht="14.5">
      <c r="A2006" s="237" t="str">
        <f>TEXT(ROW(A2006)-ROW($A$4),"000")</f>
        <v>2002</v>
      </c>
      <c r="B2006" s="221">
        <v>2</v>
      </c>
      <c r="C2006" s="227" t="s">
        <v>49</v>
      </c>
      <c r="D2006" s="227" t="s">
        <v>4838</v>
      </c>
      <c r="E2006" s="227" t="s">
        <v>3295</v>
      </c>
      <c r="F2006" s="227" t="s">
        <v>3299</v>
      </c>
      <c r="G2006" s="239">
        <v>46096</v>
      </c>
      <c r="H2006" s="240">
        <v>0.79166666666666663</v>
      </c>
      <c r="I2006" s="227" t="s">
        <v>3295</v>
      </c>
      <c r="J2006" s="221" t="s">
        <v>3023</v>
      </c>
      <c r="K2006" s="224" t="s">
        <v>13</v>
      </c>
      <c r="L2006" s="225" t="str">
        <f>VLOOKUP(Logfile_S[[#This Row],[Material Name]],Sheet2!B:C,2,0)</f>
        <v>ZTE2008</v>
      </c>
      <c r="M2006" s="242" t="s">
        <v>19</v>
      </c>
      <c r="N2006" s="227">
        <v>14</v>
      </c>
      <c r="O2006" s="227" t="s">
        <v>4839</v>
      </c>
      <c r="P2006" s="227" t="s">
        <v>4840</v>
      </c>
      <c r="Q2006" s="227"/>
      <c r="R2006" s="227"/>
      <c r="S2006" s="227"/>
      <c r="T2006" s="221" t="s">
        <v>3231</v>
      </c>
      <c r="U2006" s="221" t="s">
        <v>4811</v>
      </c>
      <c r="V2006" s="221" t="s">
        <v>3232</v>
      </c>
      <c r="W2006" s="221" t="s">
        <v>3254</v>
      </c>
      <c r="X2006" s="227"/>
      <c r="Y2006" s="227"/>
      <c r="Z2006" s="227" t="str">
        <f>P2006</f>
        <v>SEKARPURO RW 05 MALANG</v>
      </c>
      <c r="AA2006" s="276" t="e">
        <f>VLOOKUP(Logfile_S[[#This Row],[DO number]],DO_DB!G:I,3,0)</f>
        <v>#N/A</v>
      </c>
      <c r="AB2006" s="331" t="e">
        <f>EXACT(Logfile_S[[#This Row],[date pick]],Logfile_S[[#This Row],[Date]])</f>
        <v>#N/A</v>
      </c>
      <c r="AC20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07" spans="1:29" ht="14.5">
      <c r="A2007" s="237" t="str">
        <f>TEXT(ROW(A2007)-ROW($A$4),"000")</f>
        <v>2003</v>
      </c>
      <c r="B2007" s="221">
        <v>3</v>
      </c>
      <c r="C2007" s="227" t="s">
        <v>49</v>
      </c>
      <c r="D2007" s="227" t="s">
        <v>4838</v>
      </c>
      <c r="E2007" s="227" t="s">
        <v>3295</v>
      </c>
      <c r="F2007" s="227" t="s">
        <v>3299</v>
      </c>
      <c r="G2007" s="239">
        <v>46096</v>
      </c>
      <c r="H2007" s="240">
        <v>0.79166666666666663</v>
      </c>
      <c r="I2007" s="227" t="s">
        <v>3295</v>
      </c>
      <c r="J2007" s="221" t="s">
        <v>3023</v>
      </c>
      <c r="K2007" s="224" t="s">
        <v>14</v>
      </c>
      <c r="L2007" s="225" t="str">
        <f>VLOOKUP(Logfile_S[[#This Row],[Material Name]],Sheet2!B:C,2,0)</f>
        <v>ZTE2005</v>
      </c>
      <c r="M2007" s="242" t="s">
        <v>19</v>
      </c>
      <c r="N2007" s="227">
        <v>1</v>
      </c>
      <c r="O2007" s="227" t="s">
        <v>4839</v>
      </c>
      <c r="P2007" s="227" t="s">
        <v>4840</v>
      </c>
      <c r="Q2007" s="227"/>
      <c r="R2007" s="227"/>
      <c r="S2007" s="227"/>
      <c r="T2007" s="221" t="s">
        <v>3231</v>
      </c>
      <c r="U2007" s="221" t="s">
        <v>4811</v>
      </c>
      <c r="V2007" s="221" t="s">
        <v>3232</v>
      </c>
      <c r="W2007" s="221" t="s">
        <v>3254</v>
      </c>
      <c r="X2007" s="227"/>
      <c r="Y2007" s="227"/>
      <c r="Z2007" s="227" t="str">
        <f>P2007</f>
        <v>SEKARPURO RW 05 MALANG</v>
      </c>
      <c r="AA2007" s="276" t="e">
        <f>VLOOKUP(Logfile_S[[#This Row],[DO number]],DO_DB!G:I,3,0)</f>
        <v>#N/A</v>
      </c>
      <c r="AB2007" s="331" t="e">
        <f>EXACT(Logfile_S[[#This Row],[date pick]],Logfile_S[[#This Row],[Date]])</f>
        <v>#N/A</v>
      </c>
      <c r="AC20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08" spans="1:29" ht="14.5">
      <c r="A2008" s="237" t="str">
        <f>TEXT(ROW(A2008)-ROW($A$4),"000")</f>
        <v>2004</v>
      </c>
      <c r="B2008" s="221"/>
      <c r="C2008" s="227" t="s">
        <v>48</v>
      </c>
      <c r="D2008" s="227" t="s">
        <v>4843</v>
      </c>
      <c r="E2008" s="227" t="s">
        <v>3295</v>
      </c>
      <c r="F2008" s="227" t="s">
        <v>3299</v>
      </c>
      <c r="G2008" s="239">
        <v>46096</v>
      </c>
      <c r="H2008" s="240">
        <v>0.79166666666666663</v>
      </c>
      <c r="I2008" s="221" t="s">
        <v>3586</v>
      </c>
      <c r="J2008" s="221" t="s">
        <v>3023</v>
      </c>
      <c r="K2008" s="241" t="s">
        <v>4731</v>
      </c>
      <c r="L2008" s="225" t="str">
        <f>VLOOKUP(Logfile_S[[#This Row],[Material Name]],Sheet2!B:C,2,0)</f>
        <v>ZTE1007</v>
      </c>
      <c r="M2008" s="242" t="s">
        <v>19</v>
      </c>
      <c r="N2008" s="227">
        <v>6</v>
      </c>
      <c r="O2008" s="227" t="s">
        <v>4839</v>
      </c>
      <c r="P2008" s="227" t="s">
        <v>4840</v>
      </c>
      <c r="Q2008" s="227"/>
      <c r="R2008" s="227"/>
      <c r="S2008" s="227"/>
      <c r="T2008" s="227"/>
      <c r="U2008" s="227"/>
      <c r="V2008" s="227"/>
      <c r="W2008" s="227"/>
      <c r="X2008" s="227"/>
      <c r="Y2008" s="227"/>
      <c r="Z2008" s="227" t="str">
        <f>P2008</f>
        <v>SEKARPURO RW 05 MALANG</v>
      </c>
      <c r="AA2008" s="276" t="e">
        <f>VLOOKUP(Logfile_S[[#This Row],[DO number]],DO_DB!G:I,3,0)</f>
        <v>#N/A</v>
      </c>
      <c r="AB2008" s="331" t="e">
        <f>EXACT(Logfile_S[[#This Row],[date pick]],Logfile_S[[#This Row],[Date]])</f>
        <v>#N/A</v>
      </c>
      <c r="AC20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09" spans="1:29" ht="14.5">
      <c r="A2009" s="237" t="str">
        <f>TEXT(ROW(A2009)-ROW($A$4),"000")</f>
        <v>2005</v>
      </c>
      <c r="B2009" s="221"/>
      <c r="C2009" s="227" t="s">
        <v>48</v>
      </c>
      <c r="D2009" s="227" t="s">
        <v>4843</v>
      </c>
      <c r="E2009" s="227" t="s">
        <v>3295</v>
      </c>
      <c r="F2009" s="227" t="s">
        <v>3299</v>
      </c>
      <c r="G2009" s="239">
        <v>46096</v>
      </c>
      <c r="H2009" s="240">
        <v>0.79166666666666663</v>
      </c>
      <c r="I2009" s="221" t="s">
        <v>3586</v>
      </c>
      <c r="J2009" s="221" t="s">
        <v>3023</v>
      </c>
      <c r="K2009" s="241" t="s">
        <v>3070</v>
      </c>
      <c r="L2009" s="225" t="str">
        <f>VLOOKUP(Logfile_S[[#This Row],[Material Name]],Sheet2!B:C,2,0)</f>
        <v>ZTE1002</v>
      </c>
      <c r="M2009" s="242" t="s">
        <v>19</v>
      </c>
      <c r="N2009" s="227">
        <v>5</v>
      </c>
      <c r="O2009" s="227" t="s">
        <v>4839</v>
      </c>
      <c r="P2009" s="227" t="s">
        <v>4840</v>
      </c>
      <c r="Q2009" s="227"/>
      <c r="R2009" s="227"/>
      <c r="S2009" s="227"/>
      <c r="T2009" s="227"/>
      <c r="U2009" s="227"/>
      <c r="V2009" s="227"/>
      <c r="W2009" s="227"/>
      <c r="X2009" s="227"/>
      <c r="Y2009" s="227"/>
      <c r="Z2009" s="227" t="str">
        <f>P2009</f>
        <v>SEKARPURO RW 05 MALANG</v>
      </c>
      <c r="AA2009" s="276" t="e">
        <f>VLOOKUP(Logfile_S[[#This Row],[DO number]],DO_DB!G:I,3,0)</f>
        <v>#N/A</v>
      </c>
      <c r="AB2009" s="331" t="e">
        <f>EXACT(Logfile_S[[#This Row],[date pick]],Logfile_S[[#This Row],[Date]])</f>
        <v>#N/A</v>
      </c>
      <c r="AC20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10" spans="1:29" ht="14.5">
      <c r="A2010" s="237" t="str">
        <f>TEXT(ROW(A2010)-ROW($A$4),"000")</f>
        <v>2006</v>
      </c>
      <c r="B2010" s="221">
        <v>4</v>
      </c>
      <c r="C2010" s="227" t="s">
        <v>49</v>
      </c>
      <c r="D2010" s="227" t="s">
        <v>4838</v>
      </c>
      <c r="E2010" s="227" t="s">
        <v>3295</v>
      </c>
      <c r="F2010" s="227" t="s">
        <v>3299</v>
      </c>
      <c r="G2010" s="239">
        <v>46096</v>
      </c>
      <c r="H2010" s="240">
        <v>0.79166666666666663</v>
      </c>
      <c r="I2010" s="227" t="s">
        <v>3295</v>
      </c>
      <c r="J2010" s="221" t="s">
        <v>3023</v>
      </c>
      <c r="K2010" s="241" t="s">
        <v>3070</v>
      </c>
      <c r="L2010" s="225" t="str">
        <f>VLOOKUP(Logfile_S[[#This Row],[Material Name]],Sheet2!B:C,2,0)</f>
        <v>ZTE1002</v>
      </c>
      <c r="M2010" s="242" t="s">
        <v>19</v>
      </c>
      <c r="N2010" s="227">
        <v>11</v>
      </c>
      <c r="O2010" s="227" t="s">
        <v>4839</v>
      </c>
      <c r="P2010" s="227" t="s">
        <v>4840</v>
      </c>
      <c r="Q2010" s="227"/>
      <c r="R2010" s="227"/>
      <c r="S2010" s="227"/>
      <c r="T2010" s="221" t="s">
        <v>3258</v>
      </c>
      <c r="U2010" s="221" t="s">
        <v>4811</v>
      </c>
      <c r="V2010" s="221" t="s">
        <v>3337</v>
      </c>
      <c r="W2010" s="221" t="s">
        <v>3338</v>
      </c>
      <c r="X2010" s="227"/>
      <c r="Y2010" s="227"/>
      <c r="Z2010" s="227" t="str">
        <f>P2010</f>
        <v>SEKARPURO RW 05 MALANG</v>
      </c>
      <c r="AA2010" s="276" t="e">
        <f>VLOOKUP(Logfile_S[[#This Row],[DO number]],DO_DB!G:I,3,0)</f>
        <v>#N/A</v>
      </c>
      <c r="AB2010" s="331" t="e">
        <f>EXACT(Logfile_S[[#This Row],[date pick]],Logfile_S[[#This Row],[Date]])</f>
        <v>#N/A</v>
      </c>
      <c r="AC20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11" spans="1:29" ht="14.5">
      <c r="A2011" s="237" t="str">
        <f>TEXT(ROW(A2011)-ROW($A$4),"000")</f>
        <v>2007</v>
      </c>
      <c r="B2011" s="221">
        <v>2</v>
      </c>
      <c r="C2011" s="227" t="s">
        <v>48</v>
      </c>
      <c r="D2011" s="227" t="s">
        <v>4843</v>
      </c>
      <c r="E2011" s="227" t="s">
        <v>3295</v>
      </c>
      <c r="F2011" s="227" t="s">
        <v>3299</v>
      </c>
      <c r="G2011" s="239">
        <v>46097</v>
      </c>
      <c r="H2011" s="240">
        <v>0.79166666666666663</v>
      </c>
      <c r="I2011" s="227" t="s">
        <v>37</v>
      </c>
      <c r="J2011" s="221" t="s">
        <v>3023</v>
      </c>
      <c r="K2011" s="224" t="s">
        <v>13</v>
      </c>
      <c r="L2011" s="242" t="str">
        <f>VLOOKUP(Logfile_S[[#This Row],[Material Name]],Sheet2!B:C,2,0)</f>
        <v>ZTE2008</v>
      </c>
      <c r="M2011" s="242" t="s">
        <v>19</v>
      </c>
      <c r="N2011" s="227">
        <v>3</v>
      </c>
      <c r="O2011" s="227" t="s">
        <v>4839</v>
      </c>
      <c r="P2011" s="227" t="s">
        <v>4840</v>
      </c>
      <c r="Q2011" s="221"/>
      <c r="R2011" s="221"/>
      <c r="S2011" s="227"/>
      <c r="T2011" s="227"/>
      <c r="U2011" s="227"/>
      <c r="V2011" s="227"/>
      <c r="W2011" s="227"/>
      <c r="X2011" s="227"/>
      <c r="Y2011" s="227"/>
      <c r="Z2011" s="227" t="str">
        <f>P2011</f>
        <v>SEKARPURO RW 05 MALANG</v>
      </c>
      <c r="AA2011" s="276" t="e">
        <f>VLOOKUP(Logfile_S[[#This Row],[DO number]],DO_DB!G:I,3,0)</f>
        <v>#N/A</v>
      </c>
      <c r="AB2011" s="331" t="e">
        <f>EXACT(Logfile_S[[#This Row],[date pick]],Logfile_S[[#This Row],[Date]])</f>
        <v>#N/A</v>
      </c>
      <c r="AC20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12" spans="1:29" ht="14.5">
      <c r="A2012" s="237" t="str">
        <f>TEXT(ROW(A2012)-ROW($A$4),"000")</f>
        <v>2008</v>
      </c>
      <c r="B2012" s="221"/>
      <c r="C2012" s="227" t="s">
        <v>49</v>
      </c>
      <c r="D2012" s="227" t="s">
        <v>4838</v>
      </c>
      <c r="E2012" s="227" t="s">
        <v>3295</v>
      </c>
      <c r="F2012" s="227" t="s">
        <v>3299</v>
      </c>
      <c r="G2012" s="239">
        <v>46095</v>
      </c>
      <c r="H2012" s="240">
        <v>0.79166666666666663</v>
      </c>
      <c r="I2012" s="227" t="s">
        <v>3295</v>
      </c>
      <c r="J2012" s="227" t="s">
        <v>3023</v>
      </c>
      <c r="K2012" s="241" t="s">
        <v>4731</v>
      </c>
      <c r="L2012" s="242" t="str">
        <f>VLOOKUP(Logfile_S[[#This Row],[Material Name]],Sheet2!B:C,2,0)</f>
        <v>ZTE1007</v>
      </c>
      <c r="M2012" s="242" t="s">
        <v>19</v>
      </c>
      <c r="N2012" s="227">
        <v>1</v>
      </c>
      <c r="O2012" s="247" t="s">
        <v>4841</v>
      </c>
      <c r="P2012" s="224" t="s">
        <v>4842</v>
      </c>
      <c r="Q2012" s="227"/>
      <c r="R2012" s="227"/>
      <c r="S2012" s="227"/>
      <c r="T2012" s="221" t="s">
        <v>3258</v>
      </c>
      <c r="U2012" s="221" t="s">
        <v>4811</v>
      </c>
      <c r="V2012" s="221" t="s">
        <v>3337</v>
      </c>
      <c r="W2012" s="221" t="s">
        <v>3338</v>
      </c>
      <c r="X2012" s="227"/>
      <c r="Y2012" s="227"/>
      <c r="Z2012" s="227" t="str">
        <f>P2012</f>
        <v>SEKARPURO RW 08 MALANG</v>
      </c>
      <c r="AA2012" s="276" t="e">
        <f>VLOOKUP(Logfile_S[[#This Row],[DO number]],DO_DB!G:I,3,0)</f>
        <v>#N/A</v>
      </c>
      <c r="AB2012" s="331" t="e">
        <f>EXACT(Logfile_S[[#This Row],[date pick]],Logfile_S[[#This Row],[Date]])</f>
        <v>#N/A</v>
      </c>
      <c r="AC20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13" spans="1:29" ht="14.5">
      <c r="A2013" s="237" t="str">
        <f>TEXT(ROW(A2013)-ROW($A$4),"000")</f>
        <v>2009</v>
      </c>
      <c r="B2013" s="221"/>
      <c r="C2013" s="227" t="s">
        <v>49</v>
      </c>
      <c r="D2013" s="227" t="s">
        <v>4838</v>
      </c>
      <c r="E2013" s="227" t="s">
        <v>3295</v>
      </c>
      <c r="F2013" s="227" t="s">
        <v>3299</v>
      </c>
      <c r="G2013" s="239">
        <v>46095</v>
      </c>
      <c r="H2013" s="240">
        <v>0.79166666666666663</v>
      </c>
      <c r="I2013" s="227" t="s">
        <v>3295</v>
      </c>
      <c r="J2013" s="227" t="s">
        <v>3023</v>
      </c>
      <c r="K2013" s="241" t="s">
        <v>3069</v>
      </c>
      <c r="L2013" s="242" t="str">
        <f>VLOOKUP(Logfile_S[[#This Row],[Material Name]],Sheet2!B:C,2,0)</f>
        <v>ZTE1001</v>
      </c>
      <c r="M2013" s="242" t="s">
        <v>19</v>
      </c>
      <c r="N2013" s="227">
        <v>6</v>
      </c>
      <c r="O2013" s="247" t="s">
        <v>4841</v>
      </c>
      <c r="P2013" s="224" t="s">
        <v>4842</v>
      </c>
      <c r="Q2013" s="227"/>
      <c r="R2013" s="227"/>
      <c r="S2013" s="227"/>
      <c r="T2013" s="221" t="s">
        <v>3258</v>
      </c>
      <c r="U2013" s="221" t="s">
        <v>4811</v>
      </c>
      <c r="V2013" s="221" t="s">
        <v>3337</v>
      </c>
      <c r="W2013" s="221" t="s">
        <v>3338</v>
      </c>
      <c r="X2013" s="227"/>
      <c r="Y2013" s="227"/>
      <c r="Z2013" s="227" t="str">
        <f>P2013</f>
        <v>SEKARPURO RW 08 MALANG</v>
      </c>
      <c r="AA2013" s="276" t="e">
        <f>VLOOKUP(Logfile_S[[#This Row],[DO number]],DO_DB!G:I,3,0)</f>
        <v>#N/A</v>
      </c>
      <c r="AB2013" s="331" t="e">
        <f>EXACT(Logfile_S[[#This Row],[date pick]],Logfile_S[[#This Row],[Date]])</f>
        <v>#N/A</v>
      </c>
      <c r="AC20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14" spans="1:29" ht="14.5">
      <c r="A2014" s="237" t="str">
        <f>TEXT(ROW(A2014)-ROW($A$4),"000")</f>
        <v>2010</v>
      </c>
      <c r="B2014" s="221">
        <v>1</v>
      </c>
      <c r="C2014" s="227" t="s">
        <v>48</v>
      </c>
      <c r="D2014" s="227" t="s">
        <v>4905</v>
      </c>
      <c r="E2014" s="227" t="s">
        <v>3295</v>
      </c>
      <c r="F2014" s="227" t="s">
        <v>3299</v>
      </c>
      <c r="G2014" s="239">
        <v>46191</v>
      </c>
      <c r="H2014" s="240">
        <v>0.25</v>
      </c>
      <c r="I2014" s="227" t="s">
        <v>37</v>
      </c>
      <c r="J2014" s="227" t="s">
        <v>3023</v>
      </c>
      <c r="K2014" s="241" t="s">
        <v>13</v>
      </c>
      <c r="L2014" s="242" t="str">
        <f>VLOOKUP(Logfile_S[[#This Row],[Material Name]],Sheet2!B:C,2,0)</f>
        <v>ZTE2008</v>
      </c>
      <c r="M2014" s="242" t="s">
        <v>19</v>
      </c>
      <c r="N2014" s="227">
        <v>25</v>
      </c>
      <c r="O2014" s="221" t="s">
        <v>4898</v>
      </c>
      <c r="P2014" s="221" t="s">
        <v>4900</v>
      </c>
      <c r="Q2014" s="221" t="s">
        <v>4904</v>
      </c>
      <c r="R2014" s="221">
        <v>0</v>
      </c>
      <c r="S2014" s="227"/>
      <c r="T2014" s="227"/>
      <c r="U2014" s="227"/>
      <c r="V2014" s="227"/>
      <c r="W2014" s="227"/>
      <c r="X2014" s="227"/>
      <c r="Y2014" s="227"/>
      <c r="Z2014" s="227" t="str">
        <f>P2014</f>
        <v>RANDUANGUNG RW 04 SINGOSARI MALANG</v>
      </c>
      <c r="AA2014" s="276">
        <f>VLOOKUP(Logfile_S[[#This Row],[DO number]],DO_DB!G:I,3,0)</f>
        <v>46191</v>
      </c>
      <c r="AB2014" s="331" t="b">
        <f>EXACT(Logfile_S[[#This Row],[date pick]],Logfile_S[[#This Row],[Date]])</f>
        <v>1</v>
      </c>
      <c r="AC20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15" spans="1:29" ht="14.5">
      <c r="A2015" s="237" t="str">
        <f>TEXT(ROW(A2015)-ROW($A$4),"000")</f>
        <v>2011</v>
      </c>
      <c r="B2015" s="221">
        <v>2</v>
      </c>
      <c r="C2015" s="227" t="s">
        <v>48</v>
      </c>
      <c r="D2015" s="227" t="s">
        <v>4905</v>
      </c>
      <c r="E2015" s="227" t="s">
        <v>3295</v>
      </c>
      <c r="F2015" s="227" t="s">
        <v>3299</v>
      </c>
      <c r="G2015" s="239">
        <v>46191</v>
      </c>
      <c r="H2015" s="240">
        <v>0.25</v>
      </c>
      <c r="I2015" s="227" t="s">
        <v>37</v>
      </c>
      <c r="J2015" s="227" t="s">
        <v>3023</v>
      </c>
      <c r="K2015" s="241" t="s">
        <v>15</v>
      </c>
      <c r="L2015" s="242" t="str">
        <f>VLOOKUP(Logfile_S[[#This Row],[Material Name]],Sheet2!B:C,2,0)</f>
        <v>ZTE2006</v>
      </c>
      <c r="M2015" s="242" t="s">
        <v>19</v>
      </c>
      <c r="N2015" s="227">
        <v>1</v>
      </c>
      <c r="O2015" s="221" t="s">
        <v>4898</v>
      </c>
      <c r="P2015" s="221" t="s">
        <v>4900</v>
      </c>
      <c r="Q2015" s="221" t="s">
        <v>4904</v>
      </c>
      <c r="R2015" s="221">
        <v>0</v>
      </c>
      <c r="S2015" s="227"/>
      <c r="T2015" s="227"/>
      <c r="U2015" s="227"/>
      <c r="V2015" s="227"/>
      <c r="W2015" s="227"/>
      <c r="X2015" s="227"/>
      <c r="Y2015" s="227"/>
      <c r="Z2015" s="227" t="str">
        <f>P2015</f>
        <v>RANDUANGUNG RW 04 SINGOSARI MALANG</v>
      </c>
      <c r="AA2015" s="276">
        <f>VLOOKUP(Logfile_S[[#This Row],[DO number]],DO_DB!G:I,3,0)</f>
        <v>46191</v>
      </c>
      <c r="AB2015" s="331" t="b">
        <f>EXACT(Logfile_S[[#This Row],[date pick]],Logfile_S[[#This Row],[Date]])</f>
        <v>1</v>
      </c>
      <c r="AC20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16" spans="1:29" ht="14.5">
      <c r="A2016" s="237" t="str">
        <f>TEXT(ROW(A2016)-ROW($A$4),"000")</f>
        <v>2012</v>
      </c>
      <c r="B2016" s="221">
        <v>3</v>
      </c>
      <c r="C2016" s="227" t="s">
        <v>48</v>
      </c>
      <c r="D2016" s="227" t="s">
        <v>4905</v>
      </c>
      <c r="E2016" s="227" t="s">
        <v>3295</v>
      </c>
      <c r="F2016" s="227" t="s">
        <v>3299</v>
      </c>
      <c r="G2016" s="239">
        <v>46191</v>
      </c>
      <c r="H2016" s="240">
        <v>0.25</v>
      </c>
      <c r="I2016" s="227" t="s">
        <v>37</v>
      </c>
      <c r="J2016" s="227" t="s">
        <v>3023</v>
      </c>
      <c r="K2016" s="241" t="s">
        <v>4731</v>
      </c>
      <c r="L2016" s="242" t="str">
        <f>VLOOKUP(Logfile_S[[#This Row],[Material Name]],Sheet2!B:C,2,0)</f>
        <v>ZTE1007</v>
      </c>
      <c r="M2016" s="242" t="str">
        <f>_xlfn.XLOOKUP(Logfile_S[[#This Row],[Material Name]],Sum_WH!E:E,Sum_WH!F:F,"",0)</f>
        <v>Pcs</v>
      </c>
      <c r="N2016" s="227">
        <v>34</v>
      </c>
      <c r="O2016" s="221" t="s">
        <v>4898</v>
      </c>
      <c r="P2016" s="221" t="s">
        <v>4900</v>
      </c>
      <c r="Q2016" s="221" t="s">
        <v>4904</v>
      </c>
      <c r="R2016" s="221">
        <v>0</v>
      </c>
      <c r="S2016" s="227"/>
      <c r="T2016" s="227"/>
      <c r="U2016" s="227"/>
      <c r="V2016" s="227"/>
      <c r="W2016" s="227"/>
      <c r="X2016" s="227"/>
      <c r="Y2016" s="227"/>
      <c r="Z2016" s="227" t="str">
        <f>P2016</f>
        <v>RANDUANGUNG RW 04 SINGOSARI MALANG</v>
      </c>
      <c r="AA2016" s="276">
        <f>VLOOKUP(Logfile_S[[#This Row],[DO number]],DO_DB!G:I,3,0)</f>
        <v>46191</v>
      </c>
      <c r="AB2016" s="331" t="b">
        <f>EXACT(Logfile_S[[#This Row],[date pick]],Logfile_S[[#This Row],[Date]])</f>
        <v>1</v>
      </c>
      <c r="AC20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17" spans="1:29" ht="14.5">
      <c r="A2017" s="237" t="str">
        <f>TEXT(ROW(A2017)-ROW($A$4),"000")</f>
        <v>2013</v>
      </c>
      <c r="B2017" s="221">
        <v>4</v>
      </c>
      <c r="C2017" s="227" t="s">
        <v>48</v>
      </c>
      <c r="D2017" s="227" t="s">
        <v>4905</v>
      </c>
      <c r="E2017" s="227" t="s">
        <v>3295</v>
      </c>
      <c r="F2017" s="227" t="s">
        <v>3299</v>
      </c>
      <c r="G2017" s="239">
        <v>46191</v>
      </c>
      <c r="H2017" s="240">
        <v>0.25</v>
      </c>
      <c r="I2017" s="227" t="s">
        <v>37</v>
      </c>
      <c r="J2017" s="227" t="s">
        <v>3023</v>
      </c>
      <c r="K2017" s="241" t="s">
        <v>3070</v>
      </c>
      <c r="L2017" s="242" t="str">
        <f>VLOOKUP(Logfile_S[[#This Row],[Material Name]],Sheet2!B:C,2,0)</f>
        <v>ZTE1002</v>
      </c>
      <c r="M2017" s="242" t="s">
        <v>19</v>
      </c>
      <c r="N2017" s="227">
        <v>16</v>
      </c>
      <c r="O2017" s="221" t="s">
        <v>4898</v>
      </c>
      <c r="P2017" s="221" t="s">
        <v>4900</v>
      </c>
      <c r="Q2017" s="221" t="s">
        <v>4904</v>
      </c>
      <c r="R2017" s="221">
        <v>0</v>
      </c>
      <c r="S2017" s="227"/>
      <c r="T2017" s="227"/>
      <c r="U2017" s="227"/>
      <c r="V2017" s="227"/>
      <c r="W2017" s="227"/>
      <c r="X2017" s="227"/>
      <c r="Y2017" s="227"/>
      <c r="Z2017" s="227" t="str">
        <f>P2017</f>
        <v>RANDUANGUNG RW 04 SINGOSARI MALANG</v>
      </c>
      <c r="AA2017" s="276">
        <f>VLOOKUP(Logfile_S[[#This Row],[DO number]],DO_DB!G:I,3,0)</f>
        <v>46191</v>
      </c>
      <c r="AB2017" s="331" t="b">
        <f>EXACT(Logfile_S[[#This Row],[date pick]],Logfile_S[[#This Row],[Date]])</f>
        <v>1</v>
      </c>
      <c r="AC20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18" spans="1:29" ht="14.5">
      <c r="A2018" s="237" t="str">
        <f>TEXT(ROW(A2018)-ROW($A$4),"000")</f>
        <v>2014</v>
      </c>
      <c r="B2018" s="221"/>
      <c r="C2018" s="227" t="s">
        <v>49</v>
      </c>
      <c r="D2018" s="227" t="s">
        <v>4908</v>
      </c>
      <c r="E2018" s="227" t="s">
        <v>3295</v>
      </c>
      <c r="F2018" s="227" t="s">
        <v>4909</v>
      </c>
      <c r="G2018" s="239">
        <v>46195</v>
      </c>
      <c r="H2018" s="240">
        <v>0.375</v>
      </c>
      <c r="I2018" s="227" t="s">
        <v>3295</v>
      </c>
      <c r="J2018" s="227" t="s">
        <v>3023</v>
      </c>
      <c r="K2018" s="241" t="s">
        <v>4731</v>
      </c>
      <c r="L2018" s="242" t="str">
        <f>VLOOKUP(Logfile_S[[#This Row],[Material Name]],Sheet2!B:C,2,0)</f>
        <v>ZTE1007</v>
      </c>
      <c r="M2018" s="242" t="str">
        <f>_xlfn.XLOOKUP(Logfile_S[[#This Row],[Material Name]],Sum_WH!E:E,Sum_WH!F:F,"",0)</f>
        <v>Pcs</v>
      </c>
      <c r="N2018" s="227">
        <v>16</v>
      </c>
      <c r="O2018" s="221" t="s">
        <v>4898</v>
      </c>
      <c r="P2018" s="221" t="s">
        <v>4900</v>
      </c>
      <c r="Q2018" s="227"/>
      <c r="R2018" s="227"/>
      <c r="S2018" s="227"/>
      <c r="T2018" s="221" t="s">
        <v>3258</v>
      </c>
      <c r="U2018" s="221" t="s">
        <v>4811</v>
      </c>
      <c r="V2018" s="221" t="s">
        <v>3337</v>
      </c>
      <c r="W2018" s="221" t="s">
        <v>3338</v>
      </c>
      <c r="X2018" s="227"/>
      <c r="Y2018" s="227"/>
      <c r="Z2018" s="227" t="str">
        <f>P2018</f>
        <v>RANDUANGUNG RW 04 SINGOSARI MALANG</v>
      </c>
      <c r="AA2018" s="276" t="e">
        <f>VLOOKUP(Logfile_S[[#This Row],[DO number]],DO_DB!G:I,3,0)</f>
        <v>#N/A</v>
      </c>
      <c r="AB2018" s="331" t="e">
        <f>EXACT(Logfile_S[[#This Row],[date pick]],Logfile_S[[#This Row],[Date]])</f>
        <v>#N/A</v>
      </c>
      <c r="AC20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19" spans="1:29" ht="14.5">
      <c r="A2019" s="237" t="str">
        <f>TEXT(ROW(A2019)-ROW($A$4),"000")</f>
        <v>2015</v>
      </c>
      <c r="B2019" s="221"/>
      <c r="C2019" s="227" t="s">
        <v>49</v>
      </c>
      <c r="D2019" s="227" t="s">
        <v>4908</v>
      </c>
      <c r="E2019" s="227" t="s">
        <v>3295</v>
      </c>
      <c r="F2019" s="227" t="s">
        <v>4909</v>
      </c>
      <c r="G2019" s="239">
        <v>46195</v>
      </c>
      <c r="H2019" s="240">
        <v>0.375</v>
      </c>
      <c r="I2019" s="227" t="s">
        <v>3295</v>
      </c>
      <c r="J2019" s="227" t="s">
        <v>3023</v>
      </c>
      <c r="K2019" s="241" t="s">
        <v>3070</v>
      </c>
      <c r="L2019" s="242" t="str">
        <f>VLOOKUP(Logfile_S[[#This Row],[Material Name]],Sheet2!B:C,2,0)</f>
        <v>ZTE1002</v>
      </c>
      <c r="M2019" s="242" t="s">
        <v>19</v>
      </c>
      <c r="N2019" s="227">
        <v>21</v>
      </c>
      <c r="O2019" s="221" t="s">
        <v>4898</v>
      </c>
      <c r="P2019" s="221" t="s">
        <v>4900</v>
      </c>
      <c r="Q2019" s="227"/>
      <c r="R2019" s="227"/>
      <c r="S2019" s="227"/>
      <c r="T2019" s="221" t="s">
        <v>3258</v>
      </c>
      <c r="U2019" s="221" t="s">
        <v>4811</v>
      </c>
      <c r="V2019" s="221" t="s">
        <v>3337</v>
      </c>
      <c r="W2019" s="221" t="s">
        <v>3338</v>
      </c>
      <c r="X2019" s="227"/>
      <c r="Y2019" s="227"/>
      <c r="Z2019" s="227" t="str">
        <f>P2019</f>
        <v>RANDUANGUNG RW 04 SINGOSARI MALANG</v>
      </c>
      <c r="AA2019" s="276" t="e">
        <f>VLOOKUP(Logfile_S[[#This Row],[DO number]],DO_DB!G:I,3,0)</f>
        <v>#N/A</v>
      </c>
      <c r="AB2019" s="331" t="e">
        <f>EXACT(Logfile_S[[#This Row],[date pick]],Logfile_S[[#This Row],[Date]])</f>
        <v>#N/A</v>
      </c>
      <c r="AC20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20" spans="1:29" ht="14.5">
      <c r="A2020" s="237" t="str">
        <f>TEXT(ROW(A2020)-ROW($A$4),"000")</f>
        <v>2016</v>
      </c>
      <c r="B2020" s="221"/>
      <c r="C2020" s="227" t="s">
        <v>49</v>
      </c>
      <c r="D2020" s="227" t="s">
        <v>4910</v>
      </c>
      <c r="E2020" s="227" t="s">
        <v>3295</v>
      </c>
      <c r="F2020" s="227" t="s">
        <v>4909</v>
      </c>
      <c r="G2020" s="239">
        <v>46196</v>
      </c>
      <c r="H2020" s="240">
        <v>0.375</v>
      </c>
      <c r="I2020" s="227" t="s">
        <v>3295</v>
      </c>
      <c r="J2020" s="227" t="s">
        <v>3023</v>
      </c>
      <c r="K2020" s="241" t="s">
        <v>13</v>
      </c>
      <c r="L2020" s="242" t="str">
        <f>VLOOKUP(Logfile_S[[#This Row],[Material Name]],Sheet2!B:C,2,0)</f>
        <v>ZTE2008</v>
      </c>
      <c r="M2020" s="242" t="s">
        <v>19</v>
      </c>
      <c r="N2020" s="227">
        <v>24</v>
      </c>
      <c r="O2020" s="227" t="s">
        <v>4898</v>
      </c>
      <c r="P2020" s="227" t="s">
        <v>4900</v>
      </c>
      <c r="Q2020" s="227"/>
      <c r="R2020" s="227"/>
      <c r="S2020" s="227"/>
      <c r="T2020" s="248" t="s">
        <v>4944</v>
      </c>
      <c r="U2020" s="221" t="s">
        <v>4811</v>
      </c>
      <c r="V2020" s="248" t="s">
        <v>3472</v>
      </c>
      <c r="W2020" s="248" t="s">
        <v>3473</v>
      </c>
      <c r="X2020" s="227"/>
      <c r="Y2020" s="227"/>
      <c r="Z2020" s="227" t="str">
        <f>P2020</f>
        <v>RANDUANGUNG RW 04 SINGOSARI MALANG</v>
      </c>
      <c r="AA2020" s="276" t="e">
        <f>VLOOKUP(Logfile_S[[#This Row],[DO number]],DO_DB!G:I,3,0)</f>
        <v>#N/A</v>
      </c>
      <c r="AB2020" s="331" t="e">
        <f>EXACT(Logfile_S[[#This Row],[date pick]],Logfile_S[[#This Row],[Date]])</f>
        <v>#N/A</v>
      </c>
      <c r="AC20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21" spans="1:29" ht="14.5">
      <c r="A2021" s="237" t="str">
        <f>TEXT(ROW(A2021)-ROW($A$4),"000")</f>
        <v>2017</v>
      </c>
      <c r="B2021" s="221"/>
      <c r="C2021" s="227" t="s">
        <v>49</v>
      </c>
      <c r="D2021" s="227" t="s">
        <v>4910</v>
      </c>
      <c r="E2021" s="227" t="s">
        <v>3295</v>
      </c>
      <c r="F2021" s="227" t="s">
        <v>4909</v>
      </c>
      <c r="G2021" s="239">
        <v>46196</v>
      </c>
      <c r="H2021" s="240">
        <v>0.375</v>
      </c>
      <c r="I2021" s="227" t="s">
        <v>3295</v>
      </c>
      <c r="J2021" s="227" t="s">
        <v>3023</v>
      </c>
      <c r="K2021" s="241" t="s">
        <v>15</v>
      </c>
      <c r="L2021" s="242" t="str">
        <f>VLOOKUP(Logfile_S[[#This Row],[Material Name]],Sheet2!B:C,2,0)</f>
        <v>ZTE2006</v>
      </c>
      <c r="M2021" s="242" t="str">
        <f>_xlfn.XLOOKUP(Logfile_S[[#This Row],[Material Name]],Sum_WH!E:E,Sum_WH!F:F,"",0)</f>
        <v>Pcs</v>
      </c>
      <c r="N2021" s="227">
        <v>1</v>
      </c>
      <c r="O2021" s="227" t="s">
        <v>4898</v>
      </c>
      <c r="P2021" s="227" t="s">
        <v>4900</v>
      </c>
      <c r="Q2021" s="227"/>
      <c r="R2021" s="227"/>
      <c r="S2021" s="227"/>
      <c r="T2021" s="248" t="s">
        <v>4944</v>
      </c>
      <c r="U2021" s="221" t="s">
        <v>4811</v>
      </c>
      <c r="V2021" s="248" t="s">
        <v>3472</v>
      </c>
      <c r="W2021" s="248" t="s">
        <v>3473</v>
      </c>
      <c r="X2021" s="227"/>
      <c r="Y2021" s="227"/>
      <c r="Z2021" s="227" t="str">
        <f>P2021</f>
        <v>RANDUANGUNG RW 04 SINGOSARI MALANG</v>
      </c>
      <c r="AA2021" s="276" t="e">
        <f>VLOOKUP(Logfile_S[[#This Row],[DO number]],DO_DB!G:I,3,0)</f>
        <v>#N/A</v>
      </c>
      <c r="AB2021" s="331" t="e">
        <f>EXACT(Logfile_S[[#This Row],[date pick]],Logfile_S[[#This Row],[Date]])</f>
        <v>#N/A</v>
      </c>
      <c r="AC20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22" spans="1:29" ht="14.5">
      <c r="A2022" s="237" t="str">
        <f>TEXT(ROW(A2022)-ROW($A$4),"000")</f>
        <v>2018</v>
      </c>
      <c r="B2022" s="221"/>
      <c r="C2022" s="227" t="s">
        <v>49</v>
      </c>
      <c r="D2022" s="227" t="s">
        <v>4910</v>
      </c>
      <c r="E2022" s="227" t="s">
        <v>3295</v>
      </c>
      <c r="F2022" s="227" t="s">
        <v>4909</v>
      </c>
      <c r="G2022" s="239">
        <v>46196</v>
      </c>
      <c r="H2022" s="240">
        <v>0.375</v>
      </c>
      <c r="I2022" s="227" t="s">
        <v>3295</v>
      </c>
      <c r="J2022" s="227" t="s">
        <v>3023</v>
      </c>
      <c r="K2022" s="241" t="s">
        <v>4731</v>
      </c>
      <c r="L2022" s="242" t="str">
        <f>VLOOKUP(Logfile_S[[#This Row],[Material Name]],Sheet2!B:C,2,0)</f>
        <v>ZTE1007</v>
      </c>
      <c r="M2022" s="242" t="s">
        <v>19</v>
      </c>
      <c r="N2022" s="227">
        <v>2</v>
      </c>
      <c r="O2022" s="227" t="s">
        <v>4898</v>
      </c>
      <c r="P2022" s="227" t="s">
        <v>4900</v>
      </c>
      <c r="Q2022" s="227"/>
      <c r="R2022" s="227"/>
      <c r="S2022" s="227"/>
      <c r="T2022" s="221" t="s">
        <v>3258</v>
      </c>
      <c r="U2022" s="221" t="s">
        <v>4811</v>
      </c>
      <c r="V2022" s="221" t="s">
        <v>3337</v>
      </c>
      <c r="W2022" s="221" t="s">
        <v>3338</v>
      </c>
      <c r="X2022" s="227"/>
      <c r="Y2022" s="227"/>
      <c r="Z2022" s="227" t="str">
        <f>P2022</f>
        <v>RANDUANGUNG RW 04 SINGOSARI MALANG</v>
      </c>
      <c r="AA2022" s="276" t="e">
        <f>VLOOKUP(Logfile_S[[#This Row],[DO number]],DO_DB!G:I,3,0)</f>
        <v>#N/A</v>
      </c>
      <c r="AB2022" s="331" t="e">
        <f>EXACT(Logfile_S[[#This Row],[date pick]],Logfile_S[[#This Row],[Date]])</f>
        <v>#N/A</v>
      </c>
      <c r="AC20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23" spans="1:29" ht="14.5">
      <c r="A2023" s="237" t="str">
        <f>TEXT(ROW(A2023)-ROW($A$4),"000")</f>
        <v>2019</v>
      </c>
      <c r="B2023" s="221"/>
      <c r="C2023" s="227" t="s">
        <v>49</v>
      </c>
      <c r="D2023" s="227" t="s">
        <v>4910</v>
      </c>
      <c r="E2023" s="227" t="s">
        <v>3295</v>
      </c>
      <c r="F2023" s="227" t="s">
        <v>4909</v>
      </c>
      <c r="G2023" s="239">
        <v>46196</v>
      </c>
      <c r="H2023" s="240">
        <v>0.375</v>
      </c>
      <c r="I2023" s="227" t="s">
        <v>3295</v>
      </c>
      <c r="J2023" s="227" t="s">
        <v>3023</v>
      </c>
      <c r="K2023" s="241" t="s">
        <v>4731</v>
      </c>
      <c r="L2023" s="242" t="str">
        <f>VLOOKUP(Logfile_S[[#This Row],[Material Name]],Sheet2!B:C,2,0)</f>
        <v>ZTE1007</v>
      </c>
      <c r="M2023" s="242" t="str">
        <f>_xlfn.XLOOKUP(Logfile_S[[#This Row],[Material Name]],Sum_WH!E:E,Sum_WH!F:F,"",0)</f>
        <v>Pcs</v>
      </c>
      <c r="N2023" s="227">
        <v>7</v>
      </c>
      <c r="O2023" s="227" t="s">
        <v>4898</v>
      </c>
      <c r="P2023" s="227" t="s">
        <v>4900</v>
      </c>
      <c r="Q2023" s="227"/>
      <c r="R2023" s="227"/>
      <c r="S2023" s="227"/>
      <c r="T2023" s="221" t="s">
        <v>3258</v>
      </c>
      <c r="U2023" s="221" t="s">
        <v>4811</v>
      </c>
      <c r="V2023" s="221" t="s">
        <v>3337</v>
      </c>
      <c r="W2023" s="221" t="s">
        <v>3338</v>
      </c>
      <c r="X2023" s="227"/>
      <c r="Y2023" s="227"/>
      <c r="Z2023" s="227" t="str">
        <f>P2023</f>
        <v>RANDUANGUNG RW 04 SINGOSARI MALANG</v>
      </c>
      <c r="AA2023" s="276" t="e">
        <f>VLOOKUP(Logfile_S[[#This Row],[DO number]],DO_DB!G:I,3,0)</f>
        <v>#N/A</v>
      </c>
      <c r="AB2023" s="331" t="e">
        <f>EXACT(Logfile_S[[#This Row],[date pick]],Logfile_S[[#This Row],[Date]])</f>
        <v>#N/A</v>
      </c>
      <c r="AC20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24" spans="1:29" ht="14.5">
      <c r="A2024" s="237" t="str">
        <f>TEXT(ROW(A2024)-ROW($A$4),"000")</f>
        <v>2020</v>
      </c>
      <c r="B2024" s="221"/>
      <c r="C2024" s="227" t="s">
        <v>49</v>
      </c>
      <c r="D2024" s="227" t="s">
        <v>4910</v>
      </c>
      <c r="E2024" s="227" t="s">
        <v>3295</v>
      </c>
      <c r="F2024" s="227" t="s">
        <v>4909</v>
      </c>
      <c r="G2024" s="239">
        <v>46196</v>
      </c>
      <c r="H2024" s="240">
        <v>0.375</v>
      </c>
      <c r="I2024" s="227" t="s">
        <v>3295</v>
      </c>
      <c r="J2024" s="227" t="s">
        <v>3023</v>
      </c>
      <c r="K2024" s="241" t="s">
        <v>3070</v>
      </c>
      <c r="L2024" s="242" t="str">
        <f>VLOOKUP(Logfile_S[[#This Row],[Material Name]],Sheet2!B:C,2,0)</f>
        <v>ZTE1002</v>
      </c>
      <c r="M2024" s="242" t="s">
        <v>19</v>
      </c>
      <c r="N2024" s="227">
        <v>7</v>
      </c>
      <c r="O2024" s="227" t="s">
        <v>4898</v>
      </c>
      <c r="P2024" s="227" t="s">
        <v>4900</v>
      </c>
      <c r="Q2024" s="227"/>
      <c r="R2024" s="227"/>
      <c r="S2024" s="227"/>
      <c r="T2024" s="221" t="s">
        <v>3258</v>
      </c>
      <c r="U2024" s="221" t="s">
        <v>4811</v>
      </c>
      <c r="V2024" s="221" t="s">
        <v>3337</v>
      </c>
      <c r="W2024" s="221" t="s">
        <v>3338</v>
      </c>
      <c r="X2024" s="227"/>
      <c r="Y2024" s="227"/>
      <c r="Z2024" s="227" t="str">
        <f>P2024</f>
        <v>RANDUANGUNG RW 04 SINGOSARI MALANG</v>
      </c>
      <c r="AA2024" s="276" t="e">
        <f>VLOOKUP(Logfile_S[[#This Row],[DO number]],DO_DB!G:I,3,0)</f>
        <v>#N/A</v>
      </c>
      <c r="AB2024" s="331" t="e">
        <f>EXACT(Logfile_S[[#This Row],[date pick]],Logfile_S[[#This Row],[Date]])</f>
        <v>#N/A</v>
      </c>
      <c r="AC20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25" spans="1:29" ht="14.5">
      <c r="A2025" s="237" t="str">
        <f>TEXT(ROW(A2025)-ROW($A$4),"000")</f>
        <v>2021</v>
      </c>
      <c r="B2025" s="221"/>
      <c r="C2025" s="227" t="s">
        <v>49</v>
      </c>
      <c r="D2025" s="227" t="s">
        <v>4910</v>
      </c>
      <c r="E2025" s="227" t="s">
        <v>3295</v>
      </c>
      <c r="F2025" s="227" t="s">
        <v>4909</v>
      </c>
      <c r="G2025" s="239">
        <v>46196</v>
      </c>
      <c r="H2025" s="240">
        <v>0.375</v>
      </c>
      <c r="I2025" s="227" t="s">
        <v>3295</v>
      </c>
      <c r="J2025" s="227" t="s">
        <v>3023</v>
      </c>
      <c r="K2025" s="241" t="s">
        <v>3069</v>
      </c>
      <c r="L2025" s="242" t="str">
        <f>VLOOKUP(Logfile_S[[#This Row],[Material Name]],Sheet2!B:C,2,0)</f>
        <v>ZTE1001</v>
      </c>
      <c r="M2025" s="242" t="s">
        <v>19</v>
      </c>
      <c r="N2025" s="227">
        <v>9</v>
      </c>
      <c r="O2025" s="227" t="s">
        <v>4898</v>
      </c>
      <c r="P2025" s="227" t="s">
        <v>4900</v>
      </c>
      <c r="Q2025" s="227"/>
      <c r="R2025" s="227"/>
      <c r="S2025" s="227"/>
      <c r="T2025" s="221" t="s">
        <v>3258</v>
      </c>
      <c r="U2025" s="221" t="s">
        <v>4811</v>
      </c>
      <c r="V2025" s="221" t="s">
        <v>3337</v>
      </c>
      <c r="W2025" s="221" t="s">
        <v>3338</v>
      </c>
      <c r="X2025" s="227"/>
      <c r="Y2025" s="227"/>
      <c r="Z2025" s="227" t="str">
        <f>P2025</f>
        <v>RANDUANGUNG RW 04 SINGOSARI MALANG</v>
      </c>
      <c r="AA2025" s="276" t="e">
        <f>VLOOKUP(Logfile_S[[#This Row],[DO number]],DO_DB!G:I,3,0)</f>
        <v>#N/A</v>
      </c>
      <c r="AB2025" s="331" t="e">
        <f>EXACT(Logfile_S[[#This Row],[date pick]],Logfile_S[[#This Row],[Date]])</f>
        <v>#N/A</v>
      </c>
      <c r="AC20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26" spans="1:29" ht="14.5">
      <c r="A2026" s="237" t="str">
        <f>TEXT(ROW(A2026)-ROW($A$4),"000")</f>
        <v>2022</v>
      </c>
      <c r="B2026" s="221">
        <v>6</v>
      </c>
      <c r="C2026" s="227" t="s">
        <v>48</v>
      </c>
      <c r="D2026" s="227" t="s">
        <v>4907</v>
      </c>
      <c r="E2026" s="227" t="s">
        <v>3295</v>
      </c>
      <c r="F2026" s="227" t="s">
        <v>3299</v>
      </c>
      <c r="G2026" s="239">
        <v>46200</v>
      </c>
      <c r="H2026" s="240">
        <v>0.25</v>
      </c>
      <c r="I2026" s="227" t="s">
        <v>37</v>
      </c>
      <c r="J2026" s="227" t="s">
        <v>3023</v>
      </c>
      <c r="K2026" s="241" t="s">
        <v>3069</v>
      </c>
      <c r="L2026" s="242" t="str">
        <f>VLOOKUP(Logfile_S[[#This Row],[Material Name]],Sheet2!B:C,2,0)</f>
        <v>ZTE1001</v>
      </c>
      <c r="M2026" s="242" t="s">
        <v>19</v>
      </c>
      <c r="N2026" s="227">
        <v>10</v>
      </c>
      <c r="O2026" s="221" t="s">
        <v>4898</v>
      </c>
      <c r="P2026" s="221" t="s">
        <v>4900</v>
      </c>
      <c r="Q2026" s="221" t="s">
        <v>4899</v>
      </c>
      <c r="R2026" s="227"/>
      <c r="S2026" s="227"/>
      <c r="T2026" s="227"/>
      <c r="U2026" s="227"/>
      <c r="V2026" s="227"/>
      <c r="W2026" s="227"/>
      <c r="X2026" s="227"/>
      <c r="Y2026" s="227"/>
      <c r="Z2026" s="227" t="str">
        <f>P2026</f>
        <v>RANDUANGUNG RW 04 SINGOSARI MALANG</v>
      </c>
      <c r="AA2026" s="276">
        <f>VLOOKUP(Logfile_S[[#This Row],[DO number]],DO_DB!G:I,3,0)</f>
        <v>46200</v>
      </c>
      <c r="AB2026" s="331" t="b">
        <f>EXACT(Logfile_S[[#This Row],[date pick]],Logfile_S[[#This Row],[Date]])</f>
        <v>1</v>
      </c>
      <c r="AC20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27" spans="1:29" ht="14.5">
      <c r="A2027" s="237" t="str">
        <f>TEXT(ROW(A2027)-ROW($A$4),"000")</f>
        <v>2023</v>
      </c>
      <c r="B2027" s="221"/>
      <c r="C2027" s="227" t="s">
        <v>49</v>
      </c>
      <c r="D2027" s="227" t="s">
        <v>4913</v>
      </c>
      <c r="E2027" s="227" t="s">
        <v>3295</v>
      </c>
      <c r="F2027" s="227" t="s">
        <v>4909</v>
      </c>
      <c r="G2027" s="239">
        <v>46200</v>
      </c>
      <c r="H2027" s="240">
        <v>0.375</v>
      </c>
      <c r="I2027" s="227" t="s">
        <v>3295</v>
      </c>
      <c r="J2027" s="227" t="s">
        <v>3023</v>
      </c>
      <c r="K2027" s="241" t="s">
        <v>3069</v>
      </c>
      <c r="L2027" s="242" t="str">
        <f>VLOOKUP(Logfile_S[[#This Row],[Material Name]],Sheet2!B:C,2,0)</f>
        <v>ZTE1001</v>
      </c>
      <c r="M2027" s="242" t="s">
        <v>19</v>
      </c>
      <c r="N2027" s="227">
        <v>4</v>
      </c>
      <c r="O2027" s="227" t="s">
        <v>4898</v>
      </c>
      <c r="P2027" s="227" t="s">
        <v>4900</v>
      </c>
      <c r="Q2027" s="227"/>
      <c r="R2027" s="227"/>
      <c r="S2027" s="227"/>
      <c r="T2027" s="221" t="s">
        <v>3258</v>
      </c>
      <c r="U2027" s="221" t="s">
        <v>4811</v>
      </c>
      <c r="V2027" s="221" t="s">
        <v>3337</v>
      </c>
      <c r="W2027" s="221" t="s">
        <v>3338</v>
      </c>
      <c r="X2027" s="227"/>
      <c r="Y2027" s="227"/>
      <c r="Z2027" s="227" t="str">
        <f>P2027</f>
        <v>RANDUANGUNG RW 04 SINGOSARI MALANG</v>
      </c>
      <c r="AA2027" s="276" t="e">
        <f>VLOOKUP(Logfile_S[[#This Row],[DO number]],DO_DB!G:I,3,0)</f>
        <v>#N/A</v>
      </c>
      <c r="AB2027" s="331" t="e">
        <f>EXACT(Logfile_S[[#This Row],[date pick]],Logfile_S[[#This Row],[Date]])</f>
        <v>#N/A</v>
      </c>
      <c r="AC20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28" spans="1:29" ht="14.5">
      <c r="A2028" s="237" t="str">
        <f>TEXT(ROW(A2028)-ROW($A$4),"000")</f>
        <v>2024</v>
      </c>
      <c r="B2028" s="221">
        <v>3</v>
      </c>
      <c r="C2028" s="227" t="s">
        <v>48</v>
      </c>
      <c r="D2028" s="227" t="s">
        <v>4865</v>
      </c>
      <c r="E2028" s="227" t="s">
        <v>3295</v>
      </c>
      <c r="F2028" s="227" t="s">
        <v>3299</v>
      </c>
      <c r="G2028" s="239">
        <v>46151</v>
      </c>
      <c r="H2028" s="240">
        <v>0.61527777777777781</v>
      </c>
      <c r="I2028" s="227" t="s">
        <v>37</v>
      </c>
      <c r="J2028" s="221" t="s">
        <v>3023</v>
      </c>
      <c r="K2028" s="241" t="s">
        <v>3073</v>
      </c>
      <c r="L2028" s="225" t="str">
        <f>VLOOKUP(Logfile_S[[#This Row],[Material Name]],Sheet2!B:C,2,0)</f>
        <v>ZTE2001</v>
      </c>
      <c r="M2028" s="242" t="s">
        <v>20</v>
      </c>
      <c r="N2028" s="227">
        <v>3000</v>
      </c>
      <c r="O2028" s="221" t="s">
        <v>4866</v>
      </c>
      <c r="P2028" s="221" t="s">
        <v>4867</v>
      </c>
      <c r="Q2028" s="221" t="s">
        <v>4868</v>
      </c>
      <c r="R2028" s="221" t="s">
        <v>4872</v>
      </c>
      <c r="S2028" s="227"/>
      <c r="T2028" s="227"/>
      <c r="U2028" s="227"/>
      <c r="V2028" s="227"/>
      <c r="W2028" s="227"/>
      <c r="X2028" s="227"/>
      <c r="Y2028" s="227" t="s">
        <v>5038</v>
      </c>
      <c r="Z2028" s="227" t="str">
        <f>P2028</f>
        <v>WONOKOYO RW 05 KEDUNGKANDANG</v>
      </c>
      <c r="AA2028" s="276">
        <f>VLOOKUP(Logfile_S[[#This Row],[DO number]],DO_DB!G:I,3,0)</f>
        <v>46151</v>
      </c>
      <c r="AB2028" s="331" t="b">
        <f>EXACT(Logfile_S[[#This Row],[date pick]],Logfile_S[[#This Row],[Date]])</f>
        <v>1</v>
      </c>
      <c r="AC20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24C-202659-01</v>
      </c>
    </row>
    <row r="2029" spans="1:29" ht="14.5">
      <c r="A2029" s="237" t="str">
        <f>TEXT(ROW(A2029)-ROW($A$4),"000")</f>
        <v>2025</v>
      </c>
      <c r="B2029" s="221">
        <v>4</v>
      </c>
      <c r="C2029" s="227" t="s">
        <v>48</v>
      </c>
      <c r="D2029" s="227" t="s">
        <v>4865</v>
      </c>
      <c r="E2029" s="227" t="s">
        <v>3295</v>
      </c>
      <c r="F2029" s="227" t="s">
        <v>3299</v>
      </c>
      <c r="G2029" s="239">
        <v>46151</v>
      </c>
      <c r="H2029" s="240">
        <v>0.61527777777777781</v>
      </c>
      <c r="I2029" s="227" t="s">
        <v>37</v>
      </c>
      <c r="J2029" s="221" t="s">
        <v>3023</v>
      </c>
      <c r="K2029" s="241" t="s">
        <v>14</v>
      </c>
      <c r="L2029" s="242" t="str">
        <f>VLOOKUP(Logfile_S[[#This Row],[Material Name]],Sheet2!B:C,2,0)</f>
        <v>ZTE2005</v>
      </c>
      <c r="M2029" s="242" t="s">
        <v>19</v>
      </c>
      <c r="N2029" s="227">
        <v>1</v>
      </c>
      <c r="O2029" s="221" t="s">
        <v>4866</v>
      </c>
      <c r="P2029" s="221" t="s">
        <v>4867</v>
      </c>
      <c r="Q2029" s="221" t="s">
        <v>4868</v>
      </c>
      <c r="R2029" s="221" t="s">
        <v>4872</v>
      </c>
      <c r="S2029" s="227"/>
      <c r="T2029" s="227"/>
      <c r="U2029" s="227"/>
      <c r="V2029" s="227"/>
      <c r="W2029" s="227"/>
      <c r="X2029" s="227"/>
      <c r="Y2029" s="227"/>
      <c r="Z2029" s="227" t="str">
        <f>P2029</f>
        <v>WONOKOYO RW 05 KEDUNGKANDANG</v>
      </c>
      <c r="AA2029" s="276">
        <f>VLOOKUP(Logfile_S[[#This Row],[DO number]],DO_DB!G:I,3,0)</f>
        <v>46151</v>
      </c>
      <c r="AB2029" s="331" t="b">
        <f>EXACT(Logfile_S[[#This Row],[date pick]],Logfile_S[[#This Row],[Date]])</f>
        <v>1</v>
      </c>
      <c r="AC20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30" spans="1:29" ht="14.5">
      <c r="A2030" s="237" t="str">
        <f>TEXT(ROW(A2030)-ROW($A$4),"000")</f>
        <v>2026</v>
      </c>
      <c r="B2030" s="221">
        <v>1</v>
      </c>
      <c r="C2030" s="227" t="s">
        <v>48</v>
      </c>
      <c r="D2030" s="227" t="s">
        <v>4865</v>
      </c>
      <c r="E2030" s="227" t="s">
        <v>3295</v>
      </c>
      <c r="F2030" s="227" t="s">
        <v>3299</v>
      </c>
      <c r="G2030" s="239">
        <v>46151</v>
      </c>
      <c r="H2030" s="240">
        <v>0.61527777777777781</v>
      </c>
      <c r="I2030" s="227" t="s">
        <v>37</v>
      </c>
      <c r="J2030" s="227" t="s">
        <v>3023</v>
      </c>
      <c r="K2030" s="241" t="s">
        <v>4731</v>
      </c>
      <c r="L2030" s="242" t="str">
        <f>VLOOKUP(Logfile_S[[#This Row],[Material Name]],Sheet2!B:C,2,0)</f>
        <v>ZTE1007</v>
      </c>
      <c r="M2030" s="242" t="str">
        <f>_xlfn.XLOOKUP(Logfile_S[[#This Row],[Material Name]],Sum_WH!E:E,Sum_WH!F:F,"",0)</f>
        <v>Pcs</v>
      </c>
      <c r="N2030" s="227">
        <v>14</v>
      </c>
      <c r="O2030" s="221" t="s">
        <v>4866</v>
      </c>
      <c r="P2030" s="221" t="s">
        <v>4867</v>
      </c>
      <c r="Q2030" s="221" t="s">
        <v>4868</v>
      </c>
      <c r="R2030" s="221" t="s">
        <v>4872</v>
      </c>
      <c r="S2030" s="227"/>
      <c r="T2030" s="227"/>
      <c r="U2030" s="227"/>
      <c r="V2030" s="227"/>
      <c r="W2030" s="227"/>
      <c r="X2030" s="227"/>
      <c r="Y2030" s="227"/>
      <c r="Z2030" s="227" t="str">
        <f>P2030</f>
        <v>WONOKOYO RW 05 KEDUNGKANDANG</v>
      </c>
      <c r="AA2030" s="276">
        <f>VLOOKUP(Logfile_S[[#This Row],[DO number]],DO_DB!G:I,3,0)</f>
        <v>46151</v>
      </c>
      <c r="AB2030" s="331" t="b">
        <f>EXACT(Logfile_S[[#This Row],[date pick]],Logfile_S[[#This Row],[Date]])</f>
        <v>1</v>
      </c>
      <c r="AC20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31" spans="1:29" ht="14.5">
      <c r="A2031" s="237" t="str">
        <f>TEXT(ROW(A2031)-ROW($A$4),"000")</f>
        <v>2027</v>
      </c>
      <c r="B2031" s="221">
        <v>2</v>
      </c>
      <c r="C2031" s="227" t="s">
        <v>48</v>
      </c>
      <c r="D2031" s="227" t="s">
        <v>4865</v>
      </c>
      <c r="E2031" s="227" t="s">
        <v>3295</v>
      </c>
      <c r="F2031" s="227" t="s">
        <v>3299</v>
      </c>
      <c r="G2031" s="239">
        <v>46151</v>
      </c>
      <c r="H2031" s="240">
        <v>0.61527777777777781</v>
      </c>
      <c r="I2031" s="227" t="s">
        <v>37</v>
      </c>
      <c r="J2031" s="227" t="s">
        <v>3023</v>
      </c>
      <c r="K2031" s="241" t="s">
        <v>3069</v>
      </c>
      <c r="L2031" s="242" t="str">
        <f>VLOOKUP(Logfile_S[[#This Row],[Material Name]],Sheet2!B:C,2,0)</f>
        <v>ZTE1001</v>
      </c>
      <c r="M2031" s="242" t="s">
        <v>19</v>
      </c>
      <c r="N2031" s="227">
        <v>1</v>
      </c>
      <c r="O2031" s="221" t="s">
        <v>4866</v>
      </c>
      <c r="P2031" s="221" t="s">
        <v>4867</v>
      </c>
      <c r="Q2031" s="221" t="s">
        <v>4868</v>
      </c>
      <c r="R2031" s="221" t="s">
        <v>4872</v>
      </c>
      <c r="S2031" s="227"/>
      <c r="T2031" s="227"/>
      <c r="U2031" s="227"/>
      <c r="V2031" s="227"/>
      <c r="W2031" s="227"/>
      <c r="X2031" s="227"/>
      <c r="Y2031" s="227"/>
      <c r="Z2031" s="227" t="str">
        <f>P2031</f>
        <v>WONOKOYO RW 05 KEDUNGKANDANG</v>
      </c>
      <c r="AA2031" s="276">
        <f>VLOOKUP(Logfile_S[[#This Row],[DO number]],DO_DB!G:I,3,0)</f>
        <v>46151</v>
      </c>
      <c r="AB2031" s="331" t="b">
        <f>EXACT(Logfile_S[[#This Row],[date pick]],Logfile_S[[#This Row],[Date]])</f>
        <v>1</v>
      </c>
      <c r="AC20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32" spans="1:29" ht="14.5">
      <c r="A2032" s="237" t="str">
        <f>TEXT(ROW(A2032)-ROW($A$4),"000")</f>
        <v>2028</v>
      </c>
      <c r="B2032" s="221">
        <v>2</v>
      </c>
      <c r="C2032" s="227" t="s">
        <v>49</v>
      </c>
      <c r="D2032" s="227" t="s">
        <v>4873</v>
      </c>
      <c r="E2032" s="227" t="s">
        <v>3295</v>
      </c>
      <c r="F2032" s="227" t="s">
        <v>3299</v>
      </c>
      <c r="G2032" s="239">
        <v>46153</v>
      </c>
      <c r="H2032" s="240">
        <v>0.76250000000000007</v>
      </c>
      <c r="I2032" s="227" t="s">
        <v>3295</v>
      </c>
      <c r="J2032" s="221" t="s">
        <v>3023</v>
      </c>
      <c r="K2032" s="241" t="s">
        <v>13</v>
      </c>
      <c r="L2032" s="242" t="str">
        <f>VLOOKUP(Logfile_S[[#This Row],[Material Name]],Sheet2!B:C,2,0)</f>
        <v>ZTE2008</v>
      </c>
      <c r="M2032" s="242" t="s">
        <v>19</v>
      </c>
      <c r="N2032" s="227">
        <v>7</v>
      </c>
      <c r="O2032" s="221" t="s">
        <v>4866</v>
      </c>
      <c r="P2032" s="221" t="s">
        <v>4867</v>
      </c>
      <c r="Q2032" s="227"/>
      <c r="R2032" s="227"/>
      <c r="S2032" s="227"/>
      <c r="T2032" s="221" t="s">
        <v>3231</v>
      </c>
      <c r="U2032" s="221" t="s">
        <v>4811</v>
      </c>
      <c r="V2032" s="221" t="s">
        <v>3232</v>
      </c>
      <c r="W2032" s="221" t="s">
        <v>3254</v>
      </c>
      <c r="X2032" s="227"/>
      <c r="Y2032" s="227"/>
      <c r="Z2032" s="227" t="str">
        <f>P2032</f>
        <v>WONOKOYO RW 05 KEDUNGKANDANG</v>
      </c>
      <c r="AA2032" s="276" t="e">
        <f>VLOOKUP(Logfile_S[[#This Row],[DO number]],DO_DB!G:I,3,0)</f>
        <v>#N/A</v>
      </c>
      <c r="AB2032" s="331" t="e">
        <f>EXACT(Logfile_S[[#This Row],[date pick]],Logfile_S[[#This Row],[Date]])</f>
        <v>#N/A</v>
      </c>
      <c r="AC20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33" spans="1:29" ht="14.5">
      <c r="A2033" s="237" t="str">
        <f>TEXT(ROW(A2033)-ROW($A$4),"000")</f>
        <v>2029</v>
      </c>
      <c r="B2033" s="221">
        <v>3</v>
      </c>
      <c r="C2033" s="227" t="s">
        <v>49</v>
      </c>
      <c r="D2033" s="227" t="s">
        <v>4873</v>
      </c>
      <c r="E2033" s="227" t="s">
        <v>3295</v>
      </c>
      <c r="F2033" s="227" t="s">
        <v>3299</v>
      </c>
      <c r="G2033" s="239">
        <v>46153</v>
      </c>
      <c r="H2033" s="240">
        <v>0.76250000000000007</v>
      </c>
      <c r="I2033" s="227" t="s">
        <v>3295</v>
      </c>
      <c r="J2033" s="227" t="s">
        <v>3023</v>
      </c>
      <c r="K2033" s="241" t="s">
        <v>4731</v>
      </c>
      <c r="L2033" s="242" t="str">
        <f>VLOOKUP(Logfile_S[[#This Row],[Material Name]],Sheet2!B:C,2,0)</f>
        <v>ZTE1007</v>
      </c>
      <c r="M2033" s="242" t="s">
        <v>19</v>
      </c>
      <c r="N2033" s="227">
        <v>14</v>
      </c>
      <c r="O2033" s="221" t="s">
        <v>4866</v>
      </c>
      <c r="P2033" s="221" t="s">
        <v>4867</v>
      </c>
      <c r="Q2033" s="227"/>
      <c r="R2033" s="227"/>
      <c r="S2033" s="227"/>
      <c r="T2033" s="221" t="s">
        <v>3231</v>
      </c>
      <c r="U2033" s="221" t="s">
        <v>4811</v>
      </c>
      <c r="V2033" s="221" t="s">
        <v>3232</v>
      </c>
      <c r="W2033" s="221" t="s">
        <v>3254</v>
      </c>
      <c r="X2033" s="227"/>
      <c r="Y2033" s="227"/>
      <c r="Z2033" s="227" t="str">
        <f>P2033</f>
        <v>WONOKOYO RW 05 KEDUNGKANDANG</v>
      </c>
      <c r="AA2033" s="276" t="e">
        <f>VLOOKUP(Logfile_S[[#This Row],[DO number]],DO_DB!G:I,3,0)</f>
        <v>#N/A</v>
      </c>
      <c r="AB2033" s="331" t="e">
        <f>EXACT(Logfile_S[[#This Row],[date pick]],Logfile_S[[#This Row],[Date]])</f>
        <v>#N/A</v>
      </c>
      <c r="AC20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34" spans="1:29" ht="14.5">
      <c r="A2034" s="237" t="str">
        <f>TEXT(ROW(A2034)-ROW($A$4),"000")</f>
        <v>2030</v>
      </c>
      <c r="B2034" s="221">
        <v>1</v>
      </c>
      <c r="C2034" s="227" t="s">
        <v>49</v>
      </c>
      <c r="D2034" s="227" t="s">
        <v>4873</v>
      </c>
      <c r="E2034" s="227" t="s">
        <v>3295</v>
      </c>
      <c r="F2034" s="227" t="s">
        <v>3299</v>
      </c>
      <c r="G2034" s="239">
        <v>46153</v>
      </c>
      <c r="H2034" s="240">
        <v>0.76250000000000007</v>
      </c>
      <c r="I2034" s="227" t="s">
        <v>3295</v>
      </c>
      <c r="J2034" s="221" t="s">
        <v>3023</v>
      </c>
      <c r="K2034" s="241" t="s">
        <v>3070</v>
      </c>
      <c r="L2034" s="242" t="str">
        <f>VLOOKUP(Logfile_S[[#This Row],[Material Name]],Sheet2!B:C,2,0)</f>
        <v>ZTE1002</v>
      </c>
      <c r="M2034" s="242" t="s">
        <v>19</v>
      </c>
      <c r="N2034" s="227">
        <v>8</v>
      </c>
      <c r="O2034" s="221" t="s">
        <v>4866</v>
      </c>
      <c r="P2034" s="221" t="s">
        <v>4867</v>
      </c>
      <c r="Q2034" s="227"/>
      <c r="R2034" s="227"/>
      <c r="S2034" s="227"/>
      <c r="T2034" s="221" t="s">
        <v>3258</v>
      </c>
      <c r="U2034" s="221" t="s">
        <v>4811</v>
      </c>
      <c r="V2034" s="221" t="s">
        <v>3337</v>
      </c>
      <c r="W2034" s="221" t="s">
        <v>3338</v>
      </c>
      <c r="X2034" s="227"/>
      <c r="Y2034" s="227"/>
      <c r="Z2034" s="227" t="str">
        <f>P2034</f>
        <v>WONOKOYO RW 05 KEDUNGKANDANG</v>
      </c>
      <c r="AA2034" s="276" t="e">
        <f>VLOOKUP(Logfile_S[[#This Row],[DO number]],DO_DB!G:I,3,0)</f>
        <v>#N/A</v>
      </c>
      <c r="AB2034" s="331" t="e">
        <f>EXACT(Logfile_S[[#This Row],[date pick]],Logfile_S[[#This Row],[Date]])</f>
        <v>#N/A</v>
      </c>
      <c r="AC20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35" spans="1:29" ht="14.5">
      <c r="A2035" s="237" t="str">
        <f>TEXT(ROW(A2035)-ROW($A$4),"000")</f>
        <v>2031</v>
      </c>
      <c r="B2035" s="221">
        <v>4</v>
      </c>
      <c r="C2035" s="227" t="s">
        <v>49</v>
      </c>
      <c r="D2035" s="227" t="s">
        <v>4873</v>
      </c>
      <c r="E2035" s="227" t="s">
        <v>3295</v>
      </c>
      <c r="F2035" s="227" t="s">
        <v>3299</v>
      </c>
      <c r="G2035" s="239">
        <v>46153</v>
      </c>
      <c r="H2035" s="240">
        <v>0.76250000000000007</v>
      </c>
      <c r="I2035" s="227" t="s">
        <v>3295</v>
      </c>
      <c r="J2035" s="227" t="s">
        <v>3023</v>
      </c>
      <c r="K2035" s="241" t="s">
        <v>3069</v>
      </c>
      <c r="L2035" s="242" t="str">
        <f>VLOOKUP(Logfile_S[[#This Row],[Material Name]],Sheet2!B:C,2,0)</f>
        <v>ZTE1001</v>
      </c>
      <c r="M2035" s="242" t="s">
        <v>19</v>
      </c>
      <c r="N2035" s="227">
        <v>1</v>
      </c>
      <c r="O2035" s="221" t="s">
        <v>4866</v>
      </c>
      <c r="P2035" s="221" t="s">
        <v>4867</v>
      </c>
      <c r="Q2035" s="227"/>
      <c r="R2035" s="227"/>
      <c r="S2035" s="227"/>
      <c r="T2035" s="221" t="s">
        <v>3258</v>
      </c>
      <c r="U2035" s="221" t="s">
        <v>4811</v>
      </c>
      <c r="V2035" s="221" t="s">
        <v>3337</v>
      </c>
      <c r="W2035" s="221" t="s">
        <v>3338</v>
      </c>
      <c r="X2035" s="227"/>
      <c r="Y2035" s="227"/>
      <c r="Z2035" s="227" t="str">
        <f>P2035</f>
        <v>WONOKOYO RW 05 KEDUNGKANDANG</v>
      </c>
      <c r="AA2035" s="276" t="e">
        <f>VLOOKUP(Logfile_S[[#This Row],[DO number]],DO_DB!G:I,3,0)</f>
        <v>#N/A</v>
      </c>
      <c r="AB2035" s="331" t="e">
        <f>EXACT(Logfile_S[[#This Row],[date pick]],Logfile_S[[#This Row],[Date]])</f>
        <v>#N/A</v>
      </c>
      <c r="AC20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36" spans="1:29" ht="14.5">
      <c r="A2036" s="237" t="str">
        <f>TEXT(ROW(A2036)-ROW($A$4),"000")</f>
        <v>2032</v>
      </c>
      <c r="B2036" s="221">
        <v>5</v>
      </c>
      <c r="C2036" s="227" t="s">
        <v>48</v>
      </c>
      <c r="D2036" s="227" t="s">
        <v>4895</v>
      </c>
      <c r="E2036" s="227" t="s">
        <v>3295</v>
      </c>
      <c r="F2036" s="227" t="s">
        <v>3299</v>
      </c>
      <c r="G2036" s="239">
        <v>46164</v>
      </c>
      <c r="H2036" s="240">
        <v>0.74236111111111114</v>
      </c>
      <c r="I2036" s="227" t="s">
        <v>37</v>
      </c>
      <c r="J2036" s="227" t="s">
        <v>3023</v>
      </c>
      <c r="K2036" s="241" t="s">
        <v>3073</v>
      </c>
      <c r="L2036" s="225" t="str">
        <f>VLOOKUP(Logfile_S[[#This Row],[Material Name]],Sheet2!B:C,2,0)</f>
        <v>ZTE2001</v>
      </c>
      <c r="M2036" s="242" t="s">
        <v>20</v>
      </c>
      <c r="N2036" s="227">
        <v>3000</v>
      </c>
      <c r="O2036" s="227" t="s">
        <v>4870</v>
      </c>
      <c r="P2036" s="227" t="s">
        <v>4871</v>
      </c>
      <c r="Q2036" s="221" t="s">
        <v>4869</v>
      </c>
      <c r="R2036" s="221">
        <v>0</v>
      </c>
      <c r="S2036" s="227"/>
      <c r="T2036" s="227"/>
      <c r="U2036" s="227"/>
      <c r="V2036" s="227"/>
      <c r="W2036" s="227"/>
      <c r="X2036" s="227"/>
      <c r="Y2036" s="227" t="s">
        <v>5039</v>
      </c>
      <c r="Z2036" s="227" t="str">
        <f>P2036</f>
        <v>SUMBERSEKAR RT 07 RW 04 MALANG</v>
      </c>
      <c r="AA2036" s="276">
        <f>VLOOKUP(Logfile_S[[#This Row],[DO number]],DO_DB!G:I,3,0)</f>
        <v>46164</v>
      </c>
      <c r="AB2036" s="331" t="b">
        <f>EXACT(Logfile_S[[#This Row],[date pick]],Logfile_S[[#This Row],[Date]])</f>
        <v>1</v>
      </c>
      <c r="AC20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24C-2026522-01</v>
      </c>
    </row>
    <row r="2037" spans="1:29" ht="14.5">
      <c r="A2037" s="237" t="str">
        <f>TEXT(ROW(A2037)-ROW($A$4),"000")</f>
        <v>2033</v>
      </c>
      <c r="B2037" s="221">
        <v>1</v>
      </c>
      <c r="C2037" s="227" t="s">
        <v>48</v>
      </c>
      <c r="D2037" s="227" t="s">
        <v>4895</v>
      </c>
      <c r="E2037" s="227" t="s">
        <v>3295</v>
      </c>
      <c r="F2037" s="227" t="s">
        <v>3299</v>
      </c>
      <c r="G2037" s="239">
        <v>46164</v>
      </c>
      <c r="H2037" s="240">
        <v>0.74236111111111114</v>
      </c>
      <c r="I2037" s="227" t="s">
        <v>37</v>
      </c>
      <c r="J2037" s="227" t="s">
        <v>3023</v>
      </c>
      <c r="K2037" s="241" t="s">
        <v>13</v>
      </c>
      <c r="L2037" s="242" t="str">
        <f>VLOOKUP(Logfile_S[[#This Row],[Material Name]],Sheet2!B:C,2,0)</f>
        <v>ZTE2008</v>
      </c>
      <c r="M2037" s="242" t="s">
        <v>19</v>
      </c>
      <c r="N2037" s="227">
        <v>11</v>
      </c>
      <c r="O2037" s="227" t="s">
        <v>4870</v>
      </c>
      <c r="P2037" s="227" t="s">
        <v>4871</v>
      </c>
      <c r="Q2037" s="221" t="s">
        <v>4869</v>
      </c>
      <c r="R2037" s="221">
        <v>0</v>
      </c>
      <c r="S2037" s="227"/>
      <c r="T2037" s="227"/>
      <c r="U2037" s="227"/>
      <c r="V2037" s="227"/>
      <c r="W2037" s="227"/>
      <c r="X2037" s="227"/>
      <c r="Y2037" s="227"/>
      <c r="Z2037" s="227" t="str">
        <f>P2037</f>
        <v>SUMBERSEKAR RT 07 RW 04 MALANG</v>
      </c>
      <c r="AA2037" s="276">
        <f>VLOOKUP(Logfile_S[[#This Row],[DO number]],DO_DB!G:I,3,0)</f>
        <v>46164</v>
      </c>
      <c r="AB2037" s="331" t="b">
        <f>EXACT(Logfile_S[[#This Row],[date pick]],Logfile_S[[#This Row],[Date]])</f>
        <v>1</v>
      </c>
      <c r="AC20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38" spans="1:29" ht="14.5">
      <c r="A2038" s="237" t="str">
        <f>TEXT(ROW(A2038)-ROW($A$4),"000")</f>
        <v>2034</v>
      </c>
      <c r="B2038" s="221">
        <v>6</v>
      </c>
      <c r="C2038" s="227" t="s">
        <v>48</v>
      </c>
      <c r="D2038" s="227" t="s">
        <v>4895</v>
      </c>
      <c r="E2038" s="227" t="s">
        <v>3295</v>
      </c>
      <c r="F2038" s="227" t="s">
        <v>3299</v>
      </c>
      <c r="G2038" s="239">
        <v>46164</v>
      </c>
      <c r="H2038" s="240">
        <v>0.74236111111111114</v>
      </c>
      <c r="I2038" s="227" t="s">
        <v>37</v>
      </c>
      <c r="J2038" s="227" t="s">
        <v>3023</v>
      </c>
      <c r="K2038" s="241" t="s">
        <v>14</v>
      </c>
      <c r="L2038" s="242" t="str">
        <f>VLOOKUP(Logfile_S[[#This Row],[Material Name]],Sheet2!B:C,2,0)</f>
        <v>ZTE2005</v>
      </c>
      <c r="M2038" s="242" t="s">
        <v>19</v>
      </c>
      <c r="N2038" s="227">
        <v>1</v>
      </c>
      <c r="O2038" s="227" t="s">
        <v>4870</v>
      </c>
      <c r="P2038" s="227" t="s">
        <v>4871</v>
      </c>
      <c r="Q2038" s="221" t="s">
        <v>4869</v>
      </c>
      <c r="R2038" s="221">
        <v>0</v>
      </c>
      <c r="S2038" s="227"/>
      <c r="T2038" s="227"/>
      <c r="U2038" s="227"/>
      <c r="V2038" s="227"/>
      <c r="W2038" s="227"/>
      <c r="X2038" s="227"/>
      <c r="Y2038" s="227"/>
      <c r="Z2038" s="227" t="str">
        <f>P2038</f>
        <v>SUMBERSEKAR RT 07 RW 04 MALANG</v>
      </c>
      <c r="AA2038" s="276">
        <f>VLOOKUP(Logfile_S[[#This Row],[DO number]],DO_DB!G:I,3,0)</f>
        <v>46164</v>
      </c>
      <c r="AB2038" s="331" t="b">
        <f>EXACT(Logfile_S[[#This Row],[date pick]],Logfile_S[[#This Row],[Date]])</f>
        <v>1</v>
      </c>
      <c r="AC20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39" spans="1:29" ht="14.5">
      <c r="A2039" s="237" t="str">
        <f>TEXT(ROW(A2039)-ROW($A$4),"000")</f>
        <v>2035</v>
      </c>
      <c r="B2039" s="221">
        <v>3</v>
      </c>
      <c r="C2039" s="227" t="s">
        <v>48</v>
      </c>
      <c r="D2039" s="227" t="s">
        <v>4895</v>
      </c>
      <c r="E2039" s="227" t="s">
        <v>3295</v>
      </c>
      <c r="F2039" s="227" t="s">
        <v>3299</v>
      </c>
      <c r="G2039" s="239">
        <v>46164</v>
      </c>
      <c r="H2039" s="240">
        <v>0.74236111111111114</v>
      </c>
      <c r="I2039" s="227" t="s">
        <v>37</v>
      </c>
      <c r="J2039" s="227" t="s">
        <v>3023</v>
      </c>
      <c r="K2039" s="241" t="s">
        <v>4731</v>
      </c>
      <c r="L2039" s="242" t="str">
        <f>VLOOKUP(Logfile_S[[#This Row],[Material Name]],Sheet2!B:C,2,0)</f>
        <v>ZTE1007</v>
      </c>
      <c r="M2039" s="242" t="s">
        <v>19</v>
      </c>
      <c r="N2039" s="227">
        <v>8</v>
      </c>
      <c r="O2039" s="227" t="s">
        <v>4870</v>
      </c>
      <c r="P2039" s="227" t="s">
        <v>4871</v>
      </c>
      <c r="Q2039" s="221" t="s">
        <v>4869</v>
      </c>
      <c r="R2039" s="221">
        <v>0</v>
      </c>
      <c r="S2039" s="227"/>
      <c r="T2039" s="227"/>
      <c r="U2039" s="227"/>
      <c r="V2039" s="227"/>
      <c r="W2039" s="227"/>
      <c r="X2039" s="227"/>
      <c r="Y2039" s="227"/>
      <c r="Z2039" s="227" t="str">
        <f>P2039</f>
        <v>SUMBERSEKAR RT 07 RW 04 MALANG</v>
      </c>
      <c r="AA2039" s="276">
        <f>VLOOKUP(Logfile_S[[#This Row],[DO number]],DO_DB!G:I,3,0)</f>
        <v>46164</v>
      </c>
      <c r="AB2039" s="331" t="b">
        <f>EXACT(Logfile_S[[#This Row],[date pick]],Logfile_S[[#This Row],[Date]])</f>
        <v>1</v>
      </c>
      <c r="AC20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40" spans="1:29" ht="14.5">
      <c r="A2040" s="237" t="str">
        <f>TEXT(ROW(A2040)-ROW($A$4),"000")</f>
        <v>2036</v>
      </c>
      <c r="B2040" s="221">
        <v>2</v>
      </c>
      <c r="C2040" s="227" t="s">
        <v>48</v>
      </c>
      <c r="D2040" s="227" t="s">
        <v>4895</v>
      </c>
      <c r="E2040" s="227" t="s">
        <v>3295</v>
      </c>
      <c r="F2040" s="227" t="s">
        <v>3299</v>
      </c>
      <c r="G2040" s="239">
        <v>46164</v>
      </c>
      <c r="H2040" s="240">
        <v>0.74236111111111114</v>
      </c>
      <c r="I2040" s="227" t="s">
        <v>37</v>
      </c>
      <c r="J2040" s="227" t="s">
        <v>3023</v>
      </c>
      <c r="K2040" s="241" t="s">
        <v>3070</v>
      </c>
      <c r="L2040" s="242" t="str">
        <f>VLOOKUP(Logfile_S[[#This Row],[Material Name]],Sheet2!B:C,2,0)</f>
        <v>ZTE1002</v>
      </c>
      <c r="M2040" s="242" t="s">
        <v>19</v>
      </c>
      <c r="N2040" s="227">
        <v>8</v>
      </c>
      <c r="O2040" s="227" t="s">
        <v>4870</v>
      </c>
      <c r="P2040" s="227" t="s">
        <v>4871</v>
      </c>
      <c r="Q2040" s="221" t="s">
        <v>4869</v>
      </c>
      <c r="R2040" s="221">
        <v>0</v>
      </c>
      <c r="S2040" s="227"/>
      <c r="T2040" s="227"/>
      <c r="U2040" s="227"/>
      <c r="V2040" s="227"/>
      <c r="W2040" s="227"/>
      <c r="X2040" s="227"/>
      <c r="Y2040" s="227"/>
      <c r="Z2040" s="227" t="str">
        <f>P2040</f>
        <v>SUMBERSEKAR RT 07 RW 04 MALANG</v>
      </c>
      <c r="AA2040" s="276">
        <f>VLOOKUP(Logfile_S[[#This Row],[DO number]],DO_DB!G:I,3,0)</f>
        <v>46164</v>
      </c>
      <c r="AB2040" s="331" t="b">
        <f>EXACT(Logfile_S[[#This Row],[date pick]],Logfile_S[[#This Row],[Date]])</f>
        <v>1</v>
      </c>
      <c r="AC20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41" spans="1:29" ht="14.5">
      <c r="A2041" s="237" t="str">
        <f>TEXT(ROW(A2041)-ROW($A$4),"000")</f>
        <v>2037</v>
      </c>
      <c r="B2041" s="221">
        <v>4</v>
      </c>
      <c r="C2041" s="227" t="s">
        <v>48</v>
      </c>
      <c r="D2041" s="227" t="s">
        <v>4895</v>
      </c>
      <c r="E2041" s="227" t="s">
        <v>3295</v>
      </c>
      <c r="F2041" s="227" t="s">
        <v>3299</v>
      </c>
      <c r="G2041" s="239">
        <v>46164</v>
      </c>
      <c r="H2041" s="240">
        <v>0.74236111111111114</v>
      </c>
      <c r="I2041" s="227" t="s">
        <v>37</v>
      </c>
      <c r="J2041" s="227" t="s">
        <v>3023</v>
      </c>
      <c r="K2041" s="241" t="s">
        <v>3069</v>
      </c>
      <c r="L2041" s="242" t="str">
        <f>VLOOKUP(Logfile_S[[#This Row],[Material Name]],Sheet2!B:C,2,0)</f>
        <v>ZTE1001</v>
      </c>
      <c r="M2041" s="242" t="s">
        <v>19</v>
      </c>
      <c r="N2041" s="227">
        <v>9</v>
      </c>
      <c r="O2041" s="227" t="s">
        <v>4870</v>
      </c>
      <c r="P2041" s="227" t="s">
        <v>4871</v>
      </c>
      <c r="Q2041" s="221" t="s">
        <v>4869</v>
      </c>
      <c r="R2041" s="221">
        <v>0</v>
      </c>
      <c r="S2041" s="227"/>
      <c r="T2041" s="227"/>
      <c r="U2041" s="227"/>
      <c r="V2041" s="227"/>
      <c r="W2041" s="227"/>
      <c r="X2041" s="227"/>
      <c r="Y2041" s="227"/>
      <c r="Z2041" s="227" t="str">
        <f>P2041</f>
        <v>SUMBERSEKAR RT 07 RW 04 MALANG</v>
      </c>
      <c r="AA2041" s="276">
        <f>VLOOKUP(Logfile_S[[#This Row],[DO number]],DO_DB!G:I,3,0)</f>
        <v>46164</v>
      </c>
      <c r="AB2041" s="331" t="b">
        <f>EXACT(Logfile_S[[#This Row],[date pick]],Logfile_S[[#This Row],[Date]])</f>
        <v>1</v>
      </c>
      <c r="AC20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42" spans="1:29" ht="14.5">
      <c r="A2042" s="237" t="str">
        <f>TEXT(ROW(A2042)-ROW($A$4),"000")</f>
        <v>2038</v>
      </c>
      <c r="B2042" s="221"/>
      <c r="C2042" s="227" t="s">
        <v>49</v>
      </c>
      <c r="D2042" s="227" t="s">
        <v>4873</v>
      </c>
      <c r="E2042" s="227" t="s">
        <v>3295</v>
      </c>
      <c r="F2042" s="227" t="s">
        <v>3299</v>
      </c>
      <c r="G2042" s="239">
        <v>46165</v>
      </c>
      <c r="H2042" s="240">
        <v>0.33333333333333331</v>
      </c>
      <c r="I2042" s="227" t="s">
        <v>3295</v>
      </c>
      <c r="J2042" s="227" t="s">
        <v>3023</v>
      </c>
      <c r="K2042" s="241" t="s">
        <v>3073</v>
      </c>
      <c r="L2042" s="225" t="str">
        <f>VLOOKUP(Logfile_S[[#This Row],[Material Name]],Sheet2!B:C,2,0)</f>
        <v>ZTE2001</v>
      </c>
      <c r="M2042" s="242" t="s">
        <v>20</v>
      </c>
      <c r="N2042" s="227">
        <v>3000</v>
      </c>
      <c r="O2042" s="227" t="s">
        <v>4870</v>
      </c>
      <c r="P2042" s="227" t="s">
        <v>4871</v>
      </c>
      <c r="Q2042" s="227"/>
      <c r="R2042" s="227"/>
      <c r="S2042" s="227"/>
      <c r="T2042" s="221" t="s">
        <v>3258</v>
      </c>
      <c r="U2042" s="221" t="s">
        <v>4811</v>
      </c>
      <c r="V2042" s="221" t="s">
        <v>3337</v>
      </c>
      <c r="W2042" s="221" t="s">
        <v>3338</v>
      </c>
      <c r="X2042" s="227"/>
      <c r="Y2042" s="227" t="s">
        <v>5039</v>
      </c>
      <c r="Z2042" s="227" t="str">
        <f>P2042</f>
        <v>SUMBERSEKAR RT 07 RW 04 MALANG</v>
      </c>
      <c r="AA2042" s="276" t="e">
        <f>VLOOKUP(Logfile_S[[#This Row],[DO number]],DO_DB!G:I,3,0)</f>
        <v>#N/A</v>
      </c>
      <c r="AB2042" s="331" t="e">
        <f>EXACT(Logfile_S[[#This Row],[date pick]],Logfile_S[[#This Row],[Date]])</f>
        <v>#N/A</v>
      </c>
      <c r="AC20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24C-2026522-01</v>
      </c>
    </row>
    <row r="2043" spans="1:29" ht="14.5">
      <c r="A2043" s="237" t="str">
        <f>TEXT(ROW(A2043)-ROW($A$4),"000")</f>
        <v>2039</v>
      </c>
      <c r="B2043" s="221">
        <v>1</v>
      </c>
      <c r="C2043" s="227" t="s">
        <v>49</v>
      </c>
      <c r="D2043" s="227" t="s">
        <v>4896</v>
      </c>
      <c r="E2043" s="227" t="s">
        <v>3295</v>
      </c>
      <c r="F2043" s="227" t="s">
        <v>3299</v>
      </c>
      <c r="G2043" s="239">
        <v>46165</v>
      </c>
      <c r="H2043" s="240">
        <v>0.74236111111111114</v>
      </c>
      <c r="I2043" s="227" t="s">
        <v>3295</v>
      </c>
      <c r="J2043" s="227" t="s">
        <v>3023</v>
      </c>
      <c r="K2043" s="241" t="s">
        <v>13</v>
      </c>
      <c r="L2043" s="242" t="str">
        <f>VLOOKUP(Logfile_S[[#This Row],[Material Name]],Sheet2!B:C,2,0)</f>
        <v>ZTE2008</v>
      </c>
      <c r="M2043" s="242" t="s">
        <v>19</v>
      </c>
      <c r="N2043" s="227">
        <v>11</v>
      </c>
      <c r="O2043" s="227" t="s">
        <v>4870</v>
      </c>
      <c r="P2043" s="227" t="s">
        <v>4871</v>
      </c>
      <c r="Q2043" s="227"/>
      <c r="R2043" s="227"/>
      <c r="S2043" s="227"/>
      <c r="T2043" s="248" t="s">
        <v>3471</v>
      </c>
      <c r="U2043" s="221" t="s">
        <v>4811</v>
      </c>
      <c r="V2043" s="248" t="s">
        <v>3472</v>
      </c>
      <c r="W2043" s="248" t="s">
        <v>3473</v>
      </c>
      <c r="X2043" s="227"/>
      <c r="Y2043" s="227"/>
      <c r="Z2043" s="227" t="str">
        <f>P2043</f>
        <v>SUMBERSEKAR RT 07 RW 04 MALANG</v>
      </c>
      <c r="AA2043" s="276" t="e">
        <f>VLOOKUP(Logfile_S[[#This Row],[DO number]],DO_DB!G:I,3,0)</f>
        <v>#N/A</v>
      </c>
      <c r="AB2043" s="331" t="e">
        <f>EXACT(Logfile_S[[#This Row],[date pick]],Logfile_S[[#This Row],[Date]])</f>
        <v>#N/A</v>
      </c>
      <c r="AC20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44" spans="1:29" ht="14.5">
      <c r="A2044" s="237" t="str">
        <f>TEXT(ROW(A2044)-ROW($A$4),"000")</f>
        <v>2040</v>
      </c>
      <c r="B2044" s="221">
        <v>5</v>
      </c>
      <c r="C2044" s="227" t="s">
        <v>49</v>
      </c>
      <c r="D2044" s="227" t="s">
        <v>4896</v>
      </c>
      <c r="E2044" s="227" t="s">
        <v>3295</v>
      </c>
      <c r="F2044" s="227" t="s">
        <v>3299</v>
      </c>
      <c r="G2044" s="239">
        <v>46165</v>
      </c>
      <c r="H2044" s="240">
        <v>0.74236111111111114</v>
      </c>
      <c r="I2044" s="227" t="s">
        <v>3295</v>
      </c>
      <c r="J2044" s="227" t="s">
        <v>3023</v>
      </c>
      <c r="K2044" s="241" t="s">
        <v>14</v>
      </c>
      <c r="L2044" s="242" t="str">
        <f>VLOOKUP(Logfile_S[[#This Row],[Material Name]],Sheet2!B:C,2,0)</f>
        <v>ZTE2005</v>
      </c>
      <c r="M2044" s="242" t="s">
        <v>19</v>
      </c>
      <c r="N2044" s="227">
        <v>1</v>
      </c>
      <c r="O2044" s="227" t="s">
        <v>4870</v>
      </c>
      <c r="P2044" s="227" t="s">
        <v>4871</v>
      </c>
      <c r="Q2044" s="227"/>
      <c r="R2044" s="227"/>
      <c r="S2044" s="227"/>
      <c r="T2044" s="248" t="s">
        <v>3471</v>
      </c>
      <c r="U2044" s="221" t="s">
        <v>4811</v>
      </c>
      <c r="V2044" s="248" t="s">
        <v>3472</v>
      </c>
      <c r="W2044" s="248" t="s">
        <v>3473</v>
      </c>
      <c r="X2044" s="227"/>
      <c r="Y2044" s="227"/>
      <c r="Z2044" s="227" t="str">
        <f>P2044</f>
        <v>SUMBERSEKAR RT 07 RW 04 MALANG</v>
      </c>
      <c r="AA2044" s="276" t="e">
        <f>VLOOKUP(Logfile_S[[#This Row],[DO number]],DO_DB!G:I,3,0)</f>
        <v>#N/A</v>
      </c>
      <c r="AB2044" s="331" t="e">
        <f>EXACT(Logfile_S[[#This Row],[date pick]],Logfile_S[[#This Row],[Date]])</f>
        <v>#N/A</v>
      </c>
      <c r="AC20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45" spans="1:29" ht="14.5">
      <c r="A2045" s="237" t="str">
        <f>TEXT(ROW(A2045)-ROW($A$4),"000")</f>
        <v>2041</v>
      </c>
      <c r="B2045" s="221">
        <v>3</v>
      </c>
      <c r="C2045" s="227" t="s">
        <v>49</v>
      </c>
      <c r="D2045" s="227" t="s">
        <v>4896</v>
      </c>
      <c r="E2045" s="227" t="s">
        <v>3295</v>
      </c>
      <c r="F2045" s="227" t="s">
        <v>3299</v>
      </c>
      <c r="G2045" s="239">
        <v>46165</v>
      </c>
      <c r="H2045" s="240">
        <v>0.74236111111111114</v>
      </c>
      <c r="I2045" s="227" t="s">
        <v>3295</v>
      </c>
      <c r="J2045" s="227" t="s">
        <v>3023</v>
      </c>
      <c r="K2045" s="241" t="s">
        <v>4731</v>
      </c>
      <c r="L2045" s="242" t="str">
        <f>VLOOKUP(Logfile_S[[#This Row],[Material Name]],Sheet2!B:C,2,0)</f>
        <v>ZTE1007</v>
      </c>
      <c r="M2045" s="242" t="s">
        <v>19</v>
      </c>
      <c r="N2045" s="227">
        <v>8</v>
      </c>
      <c r="O2045" s="227" t="s">
        <v>4870</v>
      </c>
      <c r="P2045" s="227" t="s">
        <v>4871</v>
      </c>
      <c r="Q2045" s="227"/>
      <c r="R2045" s="227"/>
      <c r="S2045" s="227"/>
      <c r="T2045" s="221" t="s">
        <v>3258</v>
      </c>
      <c r="U2045" s="221" t="s">
        <v>4811</v>
      </c>
      <c r="V2045" s="221" t="s">
        <v>3337</v>
      </c>
      <c r="W2045" s="221" t="s">
        <v>3338</v>
      </c>
      <c r="X2045" s="227"/>
      <c r="Y2045" s="227"/>
      <c r="Z2045" s="227" t="str">
        <f>P2045</f>
        <v>SUMBERSEKAR RT 07 RW 04 MALANG</v>
      </c>
      <c r="AA2045" s="276" t="e">
        <f>VLOOKUP(Logfile_S[[#This Row],[DO number]],DO_DB!G:I,3,0)</f>
        <v>#N/A</v>
      </c>
      <c r="AB2045" s="331" t="e">
        <f>EXACT(Logfile_S[[#This Row],[date pick]],Logfile_S[[#This Row],[Date]])</f>
        <v>#N/A</v>
      </c>
      <c r="AC20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46" spans="1:29" ht="14.5">
      <c r="A2046" s="237" t="str">
        <f>TEXT(ROW(A2046)-ROW($A$4),"000")</f>
        <v>2042</v>
      </c>
      <c r="B2046" s="221">
        <v>2</v>
      </c>
      <c r="C2046" s="227" t="s">
        <v>49</v>
      </c>
      <c r="D2046" s="227" t="s">
        <v>4896</v>
      </c>
      <c r="E2046" s="227" t="s">
        <v>3295</v>
      </c>
      <c r="F2046" s="227" t="s">
        <v>3299</v>
      </c>
      <c r="G2046" s="239">
        <v>46165</v>
      </c>
      <c r="H2046" s="240">
        <v>0.74236111111111114</v>
      </c>
      <c r="I2046" s="227" t="s">
        <v>3295</v>
      </c>
      <c r="J2046" s="227" t="s">
        <v>3023</v>
      </c>
      <c r="K2046" s="241" t="s">
        <v>3070</v>
      </c>
      <c r="L2046" s="242" t="str">
        <f>VLOOKUP(Logfile_S[[#This Row],[Material Name]],Sheet2!B:C,2,0)</f>
        <v>ZTE1002</v>
      </c>
      <c r="M2046" s="242" t="s">
        <v>19</v>
      </c>
      <c r="N2046" s="227">
        <v>13</v>
      </c>
      <c r="O2046" s="227" t="s">
        <v>4870</v>
      </c>
      <c r="P2046" s="227" t="s">
        <v>4871</v>
      </c>
      <c r="Q2046" s="227"/>
      <c r="R2046" s="227"/>
      <c r="S2046" s="227"/>
      <c r="T2046" s="248" t="s">
        <v>3471</v>
      </c>
      <c r="U2046" s="221" t="s">
        <v>4811</v>
      </c>
      <c r="V2046" s="248" t="s">
        <v>3472</v>
      </c>
      <c r="W2046" s="248" t="s">
        <v>3473</v>
      </c>
      <c r="X2046" s="227"/>
      <c r="Y2046" s="227"/>
      <c r="Z2046" s="227" t="str">
        <f>P2046</f>
        <v>SUMBERSEKAR RT 07 RW 04 MALANG</v>
      </c>
      <c r="AA2046" s="276" t="e">
        <f>VLOOKUP(Logfile_S[[#This Row],[DO number]],DO_DB!G:I,3,0)</f>
        <v>#N/A</v>
      </c>
      <c r="AB2046" s="331" t="e">
        <f>EXACT(Logfile_S[[#This Row],[date pick]],Logfile_S[[#This Row],[Date]])</f>
        <v>#N/A</v>
      </c>
      <c r="AC20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47" spans="1:29" ht="14.5">
      <c r="A2047" s="237" t="str">
        <f>TEXT(ROW(A2047)-ROW($A$4),"000")</f>
        <v>2043</v>
      </c>
      <c r="B2047" s="221">
        <v>4</v>
      </c>
      <c r="C2047" s="227" t="s">
        <v>49</v>
      </c>
      <c r="D2047" s="227" t="s">
        <v>4896</v>
      </c>
      <c r="E2047" s="227" t="s">
        <v>3295</v>
      </c>
      <c r="F2047" s="227" t="s">
        <v>3299</v>
      </c>
      <c r="G2047" s="239">
        <v>46165</v>
      </c>
      <c r="H2047" s="240">
        <v>0.74236111111111114</v>
      </c>
      <c r="I2047" s="227" t="s">
        <v>3295</v>
      </c>
      <c r="J2047" s="227" t="s">
        <v>3023</v>
      </c>
      <c r="K2047" s="241" t="s">
        <v>3069</v>
      </c>
      <c r="L2047" s="242" t="str">
        <f>VLOOKUP(Logfile_S[[#This Row],[Material Name]],Sheet2!B:C,2,0)</f>
        <v>ZTE1001</v>
      </c>
      <c r="M2047" s="242" t="s">
        <v>19</v>
      </c>
      <c r="N2047" s="227">
        <v>1</v>
      </c>
      <c r="O2047" s="227" t="s">
        <v>4870</v>
      </c>
      <c r="P2047" s="227" t="s">
        <v>4871</v>
      </c>
      <c r="Q2047" s="227"/>
      <c r="R2047" s="227"/>
      <c r="S2047" s="227"/>
      <c r="T2047" s="221" t="s">
        <v>3258</v>
      </c>
      <c r="U2047" s="221" t="s">
        <v>4811</v>
      </c>
      <c r="V2047" s="221" t="s">
        <v>3337</v>
      </c>
      <c r="W2047" s="221" t="s">
        <v>3338</v>
      </c>
      <c r="X2047" s="227"/>
      <c r="Y2047" s="227"/>
      <c r="Z2047" s="227" t="str">
        <f>P2047</f>
        <v>SUMBERSEKAR RT 07 RW 04 MALANG</v>
      </c>
      <c r="AA2047" s="276" t="e">
        <f>VLOOKUP(Logfile_S[[#This Row],[DO number]],DO_DB!G:I,3,0)</f>
        <v>#N/A</v>
      </c>
      <c r="AB2047" s="331" t="e">
        <f>EXACT(Logfile_S[[#This Row],[date pick]],Logfile_S[[#This Row],[Date]])</f>
        <v>#N/A</v>
      </c>
      <c r="AC20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48" spans="1:29" ht="14.5">
      <c r="A2048" s="237" t="str">
        <f>TEXT(ROW(A2048)-ROW($A$4),"000")</f>
        <v>2044</v>
      </c>
      <c r="B2048" s="221">
        <v>5</v>
      </c>
      <c r="C2048" s="227" t="s">
        <v>48</v>
      </c>
      <c r="D2048" s="227" t="s">
        <v>5129</v>
      </c>
      <c r="E2048" s="227" t="s">
        <v>3295</v>
      </c>
      <c r="F2048" s="227" t="s">
        <v>3299</v>
      </c>
      <c r="G2048" s="239">
        <v>46220</v>
      </c>
      <c r="H2048" s="240">
        <v>0.70833333333333337</v>
      </c>
      <c r="I2048" s="227" t="s">
        <v>37</v>
      </c>
      <c r="J2048" s="227" t="s">
        <v>3142</v>
      </c>
      <c r="K2048" s="241" t="s">
        <v>3073</v>
      </c>
      <c r="L2048" s="242" t="str">
        <f>VLOOKUP(Logfile_S[[#This Row],[Material Name]],Sheet2!B:C,2,0)</f>
        <v>ZTE2001</v>
      </c>
      <c r="M2048" s="242" t="s">
        <v>20</v>
      </c>
      <c r="N2048" s="227">
        <v>3000</v>
      </c>
      <c r="O2048" s="227" t="s">
        <v>5352</v>
      </c>
      <c r="P2048" s="227" t="s">
        <v>5353</v>
      </c>
      <c r="Q2048" s="227" t="s">
        <v>5350</v>
      </c>
      <c r="R2048" s="227" t="s">
        <v>5351</v>
      </c>
      <c r="S2048" s="227"/>
      <c r="T2048" s="227"/>
      <c r="U2048" s="227"/>
      <c r="V2048" s="227"/>
      <c r="W2048" s="227"/>
      <c r="X2048" s="227"/>
      <c r="Y2048" s="238" t="str">
        <f>"H-"&amp;Logfile_S[[#This Row],[Material Name]]&amp;"-"&amp;YEAR(Logfile_S[[#This Row],[Date]])&amp;MONTH(Logfile_S[[#This Row],[Date]])&amp;DAY(Logfile_S[[#This Row],[Date]])&amp;"-01"</f>
        <v>H-ADSS 24C-2026717-01</v>
      </c>
      <c r="Z2048" s="238" t="str">
        <f>P2048</f>
        <v>SUMBERKRADENAN RT5,6,7,8 RW 05 MALANG</v>
      </c>
      <c r="AA2048" s="276">
        <f>VLOOKUP(Logfile_S[[#This Row],[DO number]],DO_DB!G:I,3,0)</f>
        <v>46220</v>
      </c>
      <c r="AB2048" s="334" t="b">
        <f>EXACT(Logfile_S[[#This Row],[date pick]],Logfile_S[[#This Row],[Date]])</f>
        <v>1</v>
      </c>
      <c r="AC2048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24C-2026717-01</v>
      </c>
    </row>
    <row r="2049" spans="1:29" ht="14.5">
      <c r="A2049" s="237" t="str">
        <f>TEXT(ROW(A2049)-ROW($A$4),"000")</f>
        <v>2045</v>
      </c>
      <c r="B2049" s="221">
        <v>1</v>
      </c>
      <c r="C2049" s="227" t="s">
        <v>48</v>
      </c>
      <c r="D2049" s="227" t="s">
        <v>5129</v>
      </c>
      <c r="E2049" s="227" t="s">
        <v>3295</v>
      </c>
      <c r="F2049" s="227" t="s">
        <v>3299</v>
      </c>
      <c r="G2049" s="239">
        <v>46220</v>
      </c>
      <c r="H2049" s="240">
        <v>0.70833333333333337</v>
      </c>
      <c r="I2049" s="227" t="s">
        <v>37</v>
      </c>
      <c r="J2049" s="227" t="s">
        <v>3141</v>
      </c>
      <c r="K2049" s="241" t="s">
        <v>3070</v>
      </c>
      <c r="L2049" s="242" t="str">
        <f>VLOOKUP(Logfile_S[[#This Row],[Material Name]],Sheet2!B:C,2,0)</f>
        <v>ZTE1002</v>
      </c>
      <c r="M2049" s="242" t="s">
        <v>19</v>
      </c>
      <c r="N2049" s="227">
        <v>14</v>
      </c>
      <c r="O2049" s="227" t="s">
        <v>5352</v>
      </c>
      <c r="P2049" s="227" t="s">
        <v>5353</v>
      </c>
      <c r="Q2049" s="227" t="s">
        <v>5350</v>
      </c>
      <c r="R2049" s="227" t="s">
        <v>5351</v>
      </c>
      <c r="S2049" s="227"/>
      <c r="T2049" s="227"/>
      <c r="U2049" s="227"/>
      <c r="V2049" s="227"/>
      <c r="W2049" s="227"/>
      <c r="X2049" s="227"/>
      <c r="Y2049" s="238"/>
      <c r="Z2049" s="238" t="str">
        <f>P2049</f>
        <v>SUMBERKRADENAN RT5,6,7,8 RW 05 MALANG</v>
      </c>
      <c r="AA2049" s="276">
        <f>VLOOKUP(Logfile_S[[#This Row],[DO number]],DO_DB!G:I,3,0)</f>
        <v>46220</v>
      </c>
      <c r="AB2049" s="334" t="b">
        <f>EXACT(Logfile_S[[#This Row],[date pick]],Logfile_S[[#This Row],[Date]])</f>
        <v>1</v>
      </c>
      <c r="AC2049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50" spans="1:29" ht="14.5">
      <c r="A2050" s="237" t="str">
        <f>TEXT(ROW(A2050)-ROW($A$4),"000")</f>
        <v>2046</v>
      </c>
      <c r="B2050" s="221">
        <v>2</v>
      </c>
      <c r="C2050" s="227" t="s">
        <v>48</v>
      </c>
      <c r="D2050" s="227" t="s">
        <v>5129</v>
      </c>
      <c r="E2050" s="227" t="s">
        <v>3295</v>
      </c>
      <c r="F2050" s="227" t="s">
        <v>3299</v>
      </c>
      <c r="G2050" s="239">
        <v>46220</v>
      </c>
      <c r="H2050" s="240">
        <v>0.70833333333333337</v>
      </c>
      <c r="I2050" s="227" t="s">
        <v>37</v>
      </c>
      <c r="J2050" s="227" t="s">
        <v>3141</v>
      </c>
      <c r="K2050" s="241" t="s">
        <v>4731</v>
      </c>
      <c r="L2050" s="242" t="str">
        <f>VLOOKUP(Logfile_S[[#This Row],[Material Name]],Sheet2!B:C,2,0)</f>
        <v>ZTE1007</v>
      </c>
      <c r="M2050" s="242" t="s">
        <v>19</v>
      </c>
      <c r="N2050" s="227">
        <v>7</v>
      </c>
      <c r="O2050" s="227" t="s">
        <v>5352</v>
      </c>
      <c r="P2050" s="227" t="s">
        <v>5353</v>
      </c>
      <c r="Q2050" s="227" t="s">
        <v>5350</v>
      </c>
      <c r="R2050" s="227" t="s">
        <v>5351</v>
      </c>
      <c r="S2050" s="227"/>
      <c r="T2050" s="227"/>
      <c r="U2050" s="227"/>
      <c r="V2050" s="227"/>
      <c r="W2050" s="227"/>
      <c r="X2050" s="227"/>
      <c r="Y2050" s="238"/>
      <c r="Z2050" s="238" t="str">
        <f>P2050</f>
        <v>SUMBERKRADENAN RT5,6,7,8 RW 05 MALANG</v>
      </c>
      <c r="AA2050" s="276">
        <f>VLOOKUP(Logfile_S[[#This Row],[DO number]],DO_DB!G:I,3,0)</f>
        <v>46220</v>
      </c>
      <c r="AB2050" s="334" t="b">
        <f>EXACT(Logfile_S[[#This Row],[date pick]],Logfile_S[[#This Row],[Date]])</f>
        <v>1</v>
      </c>
      <c r="AC2050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51" spans="1:29" ht="14.5">
      <c r="A2051" s="237" t="str">
        <f>TEXT(ROW(A2051)-ROW($A$4),"000")</f>
        <v>2047</v>
      </c>
      <c r="B2051" s="221">
        <v>3</v>
      </c>
      <c r="C2051" s="227" t="s">
        <v>48</v>
      </c>
      <c r="D2051" s="227" t="s">
        <v>5129</v>
      </c>
      <c r="E2051" s="227" t="s">
        <v>3295</v>
      </c>
      <c r="F2051" s="227" t="s">
        <v>3299</v>
      </c>
      <c r="G2051" s="239">
        <v>46220</v>
      </c>
      <c r="H2051" s="240">
        <v>0.70833333333333337</v>
      </c>
      <c r="I2051" s="227" t="s">
        <v>37</v>
      </c>
      <c r="J2051" s="227" t="s">
        <v>3142</v>
      </c>
      <c r="K2051" s="241" t="s">
        <v>14</v>
      </c>
      <c r="L2051" s="242" t="str">
        <f>VLOOKUP(Logfile_S[[#This Row],[Material Name]],Sheet2!B:C,2,0)</f>
        <v>ZTE2005</v>
      </c>
      <c r="M2051" s="242" t="s">
        <v>19</v>
      </c>
      <c r="N2051" s="227">
        <v>1</v>
      </c>
      <c r="O2051" s="227" t="s">
        <v>5352</v>
      </c>
      <c r="P2051" s="227" t="s">
        <v>5353</v>
      </c>
      <c r="Q2051" s="227" t="s">
        <v>5350</v>
      </c>
      <c r="R2051" s="227" t="s">
        <v>5351</v>
      </c>
      <c r="S2051" s="227"/>
      <c r="T2051" s="227"/>
      <c r="U2051" s="227"/>
      <c r="V2051" s="227"/>
      <c r="W2051" s="227"/>
      <c r="X2051" s="227"/>
      <c r="Y2051" s="238"/>
      <c r="Z2051" s="238" t="str">
        <f>P2051</f>
        <v>SUMBERKRADENAN RT5,6,7,8 RW 05 MALANG</v>
      </c>
      <c r="AA2051" s="276">
        <f>VLOOKUP(Logfile_S[[#This Row],[DO number]],DO_DB!G:I,3,0)</f>
        <v>46220</v>
      </c>
      <c r="AB2051" s="334" t="b">
        <f>EXACT(Logfile_S[[#This Row],[date pick]],Logfile_S[[#This Row],[Date]])</f>
        <v>1</v>
      </c>
      <c r="AC2051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52" spans="1:29" ht="14.5">
      <c r="A2052" s="237" t="str">
        <f>TEXT(ROW(A2052)-ROW($A$4),"000")</f>
        <v>2048</v>
      </c>
      <c r="B2052" s="221">
        <v>4</v>
      </c>
      <c r="C2052" s="227" t="s">
        <v>48</v>
      </c>
      <c r="D2052" s="227" t="s">
        <v>5129</v>
      </c>
      <c r="E2052" s="227" t="s">
        <v>3295</v>
      </c>
      <c r="F2052" s="227" t="s">
        <v>3299</v>
      </c>
      <c r="G2052" s="239">
        <v>46220</v>
      </c>
      <c r="H2052" s="240">
        <v>0.70833333333333337</v>
      </c>
      <c r="I2052" s="227" t="s">
        <v>37</v>
      </c>
      <c r="J2052" s="227" t="s">
        <v>3142</v>
      </c>
      <c r="K2052" s="241" t="s">
        <v>13</v>
      </c>
      <c r="L2052" s="242" t="str">
        <f>VLOOKUP(Logfile_S[[#This Row],[Material Name]],Sheet2!B:C,2,0)</f>
        <v>ZTE2008</v>
      </c>
      <c r="M2052" s="242" t="s">
        <v>19</v>
      </c>
      <c r="N2052" s="227">
        <v>13</v>
      </c>
      <c r="O2052" s="227" t="s">
        <v>5352</v>
      </c>
      <c r="P2052" s="227" t="s">
        <v>5353</v>
      </c>
      <c r="Q2052" s="227" t="s">
        <v>5350</v>
      </c>
      <c r="R2052" s="227" t="s">
        <v>5351</v>
      </c>
      <c r="S2052" s="227"/>
      <c r="T2052" s="227"/>
      <c r="U2052" s="227"/>
      <c r="V2052" s="227"/>
      <c r="W2052" s="227"/>
      <c r="X2052" s="227"/>
      <c r="Y2052" s="238"/>
      <c r="Z2052" s="238" t="str">
        <f>P2052</f>
        <v>SUMBERKRADENAN RT5,6,7,8 RW 05 MALANG</v>
      </c>
      <c r="AA2052" s="276">
        <f>VLOOKUP(Logfile_S[[#This Row],[DO number]],DO_DB!G:I,3,0)</f>
        <v>46220</v>
      </c>
      <c r="AB2052" s="334" t="b">
        <f>EXACT(Logfile_S[[#This Row],[date pick]],Logfile_S[[#This Row],[Date]])</f>
        <v>1</v>
      </c>
      <c r="AC2052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53" spans="1:29" ht="14.5">
      <c r="A2053" s="237" t="str">
        <f>TEXT(ROW(A2053)-ROW($A$4),"000")</f>
        <v>2049</v>
      </c>
      <c r="B2053" s="221">
        <v>3</v>
      </c>
      <c r="C2053" s="227" t="s">
        <v>49</v>
      </c>
      <c r="D2053" s="227" t="s">
        <v>5354</v>
      </c>
      <c r="E2053" s="227" t="s">
        <v>3295</v>
      </c>
      <c r="F2053" s="227" t="s">
        <v>3299</v>
      </c>
      <c r="G2053" s="239">
        <v>46221</v>
      </c>
      <c r="H2053" s="240">
        <v>0.33333333333333331</v>
      </c>
      <c r="I2053" s="227" t="s">
        <v>3295</v>
      </c>
      <c r="J2053" s="227" t="s">
        <v>3142</v>
      </c>
      <c r="K2053" s="241" t="s">
        <v>3073</v>
      </c>
      <c r="L2053" s="242" t="str">
        <f>VLOOKUP(Logfile_S[[#This Row],[Material Name]],Sheet2!B:C,2,0)</f>
        <v>ZTE2001</v>
      </c>
      <c r="M2053" s="242" t="s">
        <v>20</v>
      </c>
      <c r="N2053" s="227">
        <v>3000</v>
      </c>
      <c r="O2053" s="227" t="s">
        <v>5352</v>
      </c>
      <c r="P2053" s="227" t="s">
        <v>5353</v>
      </c>
      <c r="Q2053" s="227" t="s">
        <v>5350</v>
      </c>
      <c r="R2053" s="227" t="s">
        <v>5351</v>
      </c>
      <c r="S2053" s="227"/>
      <c r="T2053" s="227"/>
      <c r="U2053" s="227"/>
      <c r="V2053" s="227"/>
      <c r="W2053" s="227"/>
      <c r="X2053" s="227"/>
      <c r="Y2053" s="238" t="s">
        <v>5355</v>
      </c>
      <c r="Z2053" s="238" t="str">
        <f>P2053</f>
        <v>SUMBERKRADENAN RT5,6,7,8 RW 05 MALANG</v>
      </c>
      <c r="AA2053" s="276">
        <f>VLOOKUP(Logfile_S[[#This Row],[DO number]],DO_DB!G:I,3,0)</f>
        <v>46220</v>
      </c>
      <c r="AB2053" s="334" t="b">
        <f>EXACT(Logfile_S[[#This Row],[date pick]],Logfile_S[[#This Row],[Date]])</f>
        <v>0</v>
      </c>
      <c r="AC2053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24C-2026717-01</v>
      </c>
    </row>
    <row r="2054" spans="1:29" ht="14.5">
      <c r="A2054" s="237" t="str">
        <f>TEXT(ROW(A2054)-ROW($A$4),"000")</f>
        <v>2050</v>
      </c>
      <c r="B2054" s="221">
        <v>1</v>
      </c>
      <c r="C2054" s="227" t="s">
        <v>49</v>
      </c>
      <c r="D2054" s="227" t="s">
        <v>5354</v>
      </c>
      <c r="E2054" s="227" t="s">
        <v>3295</v>
      </c>
      <c r="F2054" s="227" t="s">
        <v>3299</v>
      </c>
      <c r="G2054" s="239">
        <v>46221</v>
      </c>
      <c r="H2054" s="240">
        <v>0.33333333333333331</v>
      </c>
      <c r="I2054" s="227" t="s">
        <v>3295</v>
      </c>
      <c r="J2054" s="227" t="s">
        <v>3141</v>
      </c>
      <c r="K2054" s="241" t="s">
        <v>3070</v>
      </c>
      <c r="L2054" s="242" t="str">
        <f>VLOOKUP(Logfile_S[[#This Row],[Material Name]],Sheet2!B:C,2,0)</f>
        <v>ZTE1002</v>
      </c>
      <c r="M2054" s="242" t="s">
        <v>19</v>
      </c>
      <c r="N2054" s="227">
        <v>14</v>
      </c>
      <c r="O2054" s="227" t="s">
        <v>5352</v>
      </c>
      <c r="P2054" s="227" t="s">
        <v>5353</v>
      </c>
      <c r="Q2054" s="227" t="s">
        <v>5350</v>
      </c>
      <c r="R2054" s="227" t="s">
        <v>5351</v>
      </c>
      <c r="S2054" s="227"/>
      <c r="T2054" s="227"/>
      <c r="U2054" s="227"/>
      <c r="V2054" s="227"/>
      <c r="W2054" s="227"/>
      <c r="X2054" s="227"/>
      <c r="Y2054" s="238"/>
      <c r="Z2054" s="238" t="str">
        <f>P2054</f>
        <v>SUMBERKRADENAN RT5,6,7,8 RW 05 MALANG</v>
      </c>
      <c r="AA2054" s="276">
        <f>VLOOKUP(Logfile_S[[#This Row],[DO number]],DO_DB!G:I,3,0)</f>
        <v>46220</v>
      </c>
      <c r="AB2054" s="334" t="b">
        <f>EXACT(Logfile_S[[#This Row],[date pick]],Logfile_S[[#This Row],[Date]])</f>
        <v>0</v>
      </c>
      <c r="AC2054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55" spans="1:29" ht="14.5">
      <c r="A2055" s="237" t="str">
        <f>TEXT(ROW(A2055)-ROW($A$4),"000")</f>
        <v>2051</v>
      </c>
      <c r="B2055" s="221">
        <v>2</v>
      </c>
      <c r="C2055" s="227" t="s">
        <v>49</v>
      </c>
      <c r="D2055" s="227" t="s">
        <v>5354</v>
      </c>
      <c r="E2055" s="227" t="s">
        <v>3295</v>
      </c>
      <c r="F2055" s="227" t="s">
        <v>3299</v>
      </c>
      <c r="G2055" s="239">
        <v>46221</v>
      </c>
      <c r="H2055" s="240">
        <v>0.33333333333333331</v>
      </c>
      <c r="I2055" s="227" t="s">
        <v>3295</v>
      </c>
      <c r="J2055" s="227" t="s">
        <v>3141</v>
      </c>
      <c r="K2055" s="241" t="s">
        <v>4731</v>
      </c>
      <c r="L2055" s="242" t="str">
        <f>VLOOKUP(Logfile_S[[#This Row],[Material Name]],Sheet2!B:C,2,0)</f>
        <v>ZTE1007</v>
      </c>
      <c r="M2055" s="242" t="s">
        <v>19</v>
      </c>
      <c r="N2055" s="227">
        <v>7</v>
      </c>
      <c r="O2055" s="227" t="s">
        <v>5352</v>
      </c>
      <c r="P2055" s="227" t="s">
        <v>5353</v>
      </c>
      <c r="Q2055" s="227" t="s">
        <v>5350</v>
      </c>
      <c r="R2055" s="227" t="s">
        <v>5351</v>
      </c>
      <c r="S2055" s="227"/>
      <c r="T2055" s="227"/>
      <c r="U2055" s="227"/>
      <c r="V2055" s="227"/>
      <c r="W2055" s="227"/>
      <c r="X2055" s="227"/>
      <c r="Y2055" s="238"/>
      <c r="Z2055" s="238" t="str">
        <f>P2055</f>
        <v>SUMBERKRADENAN RT5,6,7,8 RW 05 MALANG</v>
      </c>
      <c r="AA2055" s="276">
        <f>VLOOKUP(Logfile_S[[#This Row],[DO number]],DO_DB!G:I,3,0)</f>
        <v>46220</v>
      </c>
      <c r="AB2055" s="334" t="b">
        <f>EXACT(Logfile_S[[#This Row],[date pick]],Logfile_S[[#This Row],[Date]])</f>
        <v>0</v>
      </c>
      <c r="AC2055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56" spans="1:29" ht="14.5">
      <c r="A2056" s="237" t="str">
        <f>TEXT(ROW(A2056)-ROW($A$4),"000")</f>
        <v>2052</v>
      </c>
      <c r="B2056" s="221"/>
      <c r="C2056" s="227" t="s">
        <v>49</v>
      </c>
      <c r="D2056" s="227" t="s">
        <v>5356</v>
      </c>
      <c r="E2056" s="227" t="s">
        <v>3295</v>
      </c>
      <c r="F2056" s="227" t="s">
        <v>3299</v>
      </c>
      <c r="G2056" s="239">
        <v>46223</v>
      </c>
      <c r="H2056" s="240">
        <v>0.33333333333333331</v>
      </c>
      <c r="I2056" s="227" t="s">
        <v>3295</v>
      </c>
      <c r="J2056" s="227" t="s">
        <v>3141</v>
      </c>
      <c r="K2056" s="241" t="s">
        <v>13</v>
      </c>
      <c r="L2056" s="242" t="str">
        <f>VLOOKUP(Logfile_S[[#This Row],[Material Name]],Sheet2!B:C,2,0)</f>
        <v>ZTE2008</v>
      </c>
      <c r="M2056" s="242" t="s">
        <v>19</v>
      </c>
      <c r="N2056" s="227">
        <v>13</v>
      </c>
      <c r="O2056" s="227" t="s">
        <v>5352</v>
      </c>
      <c r="P2056" s="227" t="s">
        <v>5353</v>
      </c>
      <c r="Q2056" s="227" t="s">
        <v>5350</v>
      </c>
      <c r="R2056" s="227" t="s">
        <v>5351</v>
      </c>
      <c r="S2056" s="227"/>
      <c r="T2056" s="227"/>
      <c r="U2056" s="227"/>
      <c r="V2056" s="227"/>
      <c r="W2056" s="227"/>
      <c r="X2056" s="227"/>
      <c r="Y2056" s="238"/>
      <c r="Z2056" s="238" t="str">
        <f>P2056</f>
        <v>SUMBERKRADENAN RT5,6,7,8 RW 05 MALANG</v>
      </c>
      <c r="AA2056" s="276">
        <f>VLOOKUP(Logfile_S[[#This Row],[DO number]],DO_DB!G:I,3,0)</f>
        <v>46220</v>
      </c>
      <c r="AB2056" s="334" t="b">
        <f>EXACT(Logfile_S[[#This Row],[date pick]],Logfile_S[[#This Row],[Date]])</f>
        <v>0</v>
      </c>
      <c r="AC2056" s="334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57" spans="1:29" ht="14.5">
      <c r="A2057" s="237" t="str">
        <f>TEXT(ROW(A2057)-ROW($A$4),"000")</f>
        <v>2053</v>
      </c>
      <c r="B2057" s="221"/>
      <c r="C2057" s="227" t="s">
        <v>49</v>
      </c>
      <c r="D2057" s="227" t="s">
        <v>5356</v>
      </c>
      <c r="E2057" s="227" t="s">
        <v>3295</v>
      </c>
      <c r="F2057" s="227" t="s">
        <v>3299</v>
      </c>
      <c r="G2057" s="239">
        <v>46223</v>
      </c>
      <c r="H2057" s="240">
        <v>0.33333333333333331</v>
      </c>
      <c r="I2057" s="227" t="s">
        <v>3295</v>
      </c>
      <c r="J2057" s="227" t="s">
        <v>3141</v>
      </c>
      <c r="K2057" s="241" t="s">
        <v>14</v>
      </c>
      <c r="L2057" s="242" t="str">
        <f>VLOOKUP(Logfile_S[[#This Row],[Material Name]],Sheet2!B:C,2,0)</f>
        <v>ZTE2005</v>
      </c>
      <c r="M2057" s="242" t="s">
        <v>19</v>
      </c>
      <c r="N2057" s="227">
        <v>1</v>
      </c>
      <c r="O2057" s="227" t="s">
        <v>5352</v>
      </c>
      <c r="P2057" s="227" t="s">
        <v>5353</v>
      </c>
      <c r="Q2057" s="227" t="s">
        <v>5350</v>
      </c>
      <c r="R2057" s="227" t="s">
        <v>5351</v>
      </c>
      <c r="S2057" s="227"/>
      <c r="T2057" s="227"/>
      <c r="U2057" s="227"/>
      <c r="V2057" s="227"/>
      <c r="W2057" s="227"/>
      <c r="X2057" s="227"/>
      <c r="Y2057" s="238"/>
      <c r="Z2057" s="238" t="str">
        <f>P2057</f>
        <v>SUMBERKRADENAN RT5,6,7,8 RW 05 MALANG</v>
      </c>
      <c r="AA2057" s="276">
        <f>VLOOKUP(Logfile_S[[#This Row],[DO number]],DO_DB!G:I,3,0)</f>
        <v>46220</v>
      </c>
      <c r="AB2057" s="332" t="b">
        <f>EXACT(Logfile_S[[#This Row],[date pick]],Logfile_S[[#This Row],[Date]])</f>
        <v>0</v>
      </c>
      <c r="AC2057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58" spans="1:29" ht="14.5">
      <c r="A2058" s="237" t="str">
        <f>TEXT(ROW(A2058)-ROW($A$4),"000")</f>
        <v>2054</v>
      </c>
      <c r="B2058" s="221"/>
      <c r="C2058" s="227" t="s">
        <v>48</v>
      </c>
      <c r="D2058" s="227" t="s">
        <v>5127</v>
      </c>
      <c r="E2058" s="227" t="s">
        <v>3295</v>
      </c>
      <c r="F2058" s="227" t="s">
        <v>3299</v>
      </c>
      <c r="G2058" s="239">
        <v>46212</v>
      </c>
      <c r="H2058" s="240">
        <v>0.25</v>
      </c>
      <c r="I2058" s="227" t="s">
        <v>37</v>
      </c>
      <c r="J2058" s="227" t="s">
        <v>3023</v>
      </c>
      <c r="K2058" s="241" t="s">
        <v>3073</v>
      </c>
      <c r="L2058" s="225" t="str">
        <f>VLOOKUP(Logfile_S[[#This Row],[Material Name]],Sheet2!B:C,2,0)</f>
        <v>ZTE2001</v>
      </c>
      <c r="M2058" s="242" t="s">
        <v>20</v>
      </c>
      <c r="N2058" s="242">
        <v>3000</v>
      </c>
      <c r="O2058" s="227" t="s">
        <v>5122</v>
      </c>
      <c r="P2058" s="227" t="s">
        <v>5125</v>
      </c>
      <c r="Q2058" s="8" t="s">
        <v>5123</v>
      </c>
      <c r="R2058" s="8" t="s">
        <v>5124</v>
      </c>
      <c r="S2058" s="227"/>
      <c r="T2058" s="227"/>
      <c r="U2058" s="227"/>
      <c r="V2058" s="227"/>
      <c r="W2058" s="227"/>
      <c r="X2058" s="227"/>
      <c r="Y2058" s="335" t="s">
        <v>5130</v>
      </c>
      <c r="Z2058" s="238" t="str">
        <f>P2058</f>
        <v>KESATRIAN RW 09 MALANG</v>
      </c>
      <c r="AA2058" s="276">
        <f>VLOOKUP(Logfile_S[[#This Row],[DO number]],DO_DB!G:I,3,0)</f>
        <v>46212</v>
      </c>
      <c r="AB2058" s="332" t="b">
        <f>EXACT(Logfile_S[[#This Row],[date pick]],Logfile_S[[#This Row],[Date]])</f>
        <v>1</v>
      </c>
      <c r="AC20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24C-202679-01</v>
      </c>
    </row>
    <row r="2059" spans="1:29" ht="14.5">
      <c r="A2059" s="237" t="str">
        <f>TEXT(ROW(A2059)-ROW($A$4),"000")</f>
        <v>2055</v>
      </c>
      <c r="B2059" s="221"/>
      <c r="C2059" s="227" t="s">
        <v>48</v>
      </c>
      <c r="D2059" s="227" t="s">
        <v>5127</v>
      </c>
      <c r="E2059" s="227" t="s">
        <v>3295</v>
      </c>
      <c r="F2059" s="227" t="s">
        <v>3299</v>
      </c>
      <c r="G2059" s="239">
        <v>46212</v>
      </c>
      <c r="H2059" s="240">
        <v>0.25</v>
      </c>
      <c r="I2059" s="227" t="s">
        <v>37</v>
      </c>
      <c r="J2059" s="227" t="s">
        <v>3023</v>
      </c>
      <c r="K2059" s="241" t="s">
        <v>13</v>
      </c>
      <c r="L2059" s="242" t="str">
        <f>VLOOKUP(Logfile_S[[#This Row],[Material Name]],Sheet2!B:C,2,0)</f>
        <v>ZTE2008</v>
      </c>
      <c r="M2059" s="242" t="s">
        <v>19</v>
      </c>
      <c r="N2059" s="242">
        <v>9</v>
      </c>
      <c r="O2059" s="227" t="s">
        <v>5122</v>
      </c>
      <c r="P2059" s="227" t="s">
        <v>5125</v>
      </c>
      <c r="Q2059" s="8" t="s">
        <v>5123</v>
      </c>
      <c r="R2059" s="8" t="s">
        <v>5124</v>
      </c>
      <c r="S2059" s="227"/>
      <c r="T2059" s="227"/>
      <c r="U2059" s="227"/>
      <c r="V2059" s="227"/>
      <c r="W2059" s="227"/>
      <c r="X2059" s="227"/>
      <c r="Y2059" s="238"/>
      <c r="Z2059" s="238" t="str">
        <f>P2059</f>
        <v>KESATRIAN RW 09 MALANG</v>
      </c>
      <c r="AA2059" s="276">
        <f>VLOOKUP(Logfile_S[[#This Row],[DO number]],DO_DB!G:I,3,0)</f>
        <v>46212</v>
      </c>
      <c r="AB2059" s="334" t="b">
        <f>EXACT(Logfile_S[[#This Row],[date pick]],Logfile_S[[#This Row],[Date]])</f>
        <v>1</v>
      </c>
      <c r="AC20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60" spans="1:29" ht="14.5">
      <c r="A2060" s="237" t="str">
        <f>TEXT(ROW(A2060)-ROW($A$4),"000")</f>
        <v>2056</v>
      </c>
      <c r="B2060" s="221"/>
      <c r="C2060" s="227" t="s">
        <v>48</v>
      </c>
      <c r="D2060" s="227" t="s">
        <v>5127</v>
      </c>
      <c r="E2060" s="227" t="s">
        <v>3295</v>
      </c>
      <c r="F2060" s="227" t="s">
        <v>3299</v>
      </c>
      <c r="G2060" s="239">
        <v>46212</v>
      </c>
      <c r="H2060" s="240">
        <v>0.25</v>
      </c>
      <c r="I2060" s="227" t="s">
        <v>37</v>
      </c>
      <c r="J2060" s="227" t="s">
        <v>3023</v>
      </c>
      <c r="K2060" s="241" t="s">
        <v>14</v>
      </c>
      <c r="L2060" s="242" t="str">
        <f>VLOOKUP(Logfile_S[[#This Row],[Material Name]],Sheet2!B:C,2,0)</f>
        <v>ZTE2005</v>
      </c>
      <c r="M2060" s="242" t="s">
        <v>19</v>
      </c>
      <c r="N2060" s="242">
        <v>1</v>
      </c>
      <c r="O2060" s="227" t="s">
        <v>5122</v>
      </c>
      <c r="P2060" s="227" t="s">
        <v>5125</v>
      </c>
      <c r="Q2060" s="8" t="s">
        <v>5123</v>
      </c>
      <c r="R2060" s="8" t="s">
        <v>5124</v>
      </c>
      <c r="S2060" s="227"/>
      <c r="T2060" s="227"/>
      <c r="U2060" s="227"/>
      <c r="V2060" s="227"/>
      <c r="W2060" s="227"/>
      <c r="X2060" s="227"/>
      <c r="Y2060" s="238"/>
      <c r="Z2060" s="238" t="str">
        <f>P2060</f>
        <v>KESATRIAN RW 09 MALANG</v>
      </c>
      <c r="AA2060" s="276">
        <f>VLOOKUP(Logfile_S[[#This Row],[DO number]],DO_DB!G:I,3,0)</f>
        <v>46212</v>
      </c>
      <c r="AB2060" s="332" t="b">
        <f>EXACT(Logfile_S[[#This Row],[date pick]],Logfile_S[[#This Row],[Date]])</f>
        <v>1</v>
      </c>
      <c r="AC20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61" spans="1:29" ht="14.5">
      <c r="A2061" s="237" t="str">
        <f>TEXT(ROW(A2061)-ROW($A$4),"000")</f>
        <v>2057</v>
      </c>
      <c r="B2061" s="221"/>
      <c r="C2061" s="227" t="s">
        <v>48</v>
      </c>
      <c r="D2061" s="227" t="s">
        <v>5127</v>
      </c>
      <c r="E2061" s="227" t="s">
        <v>3295</v>
      </c>
      <c r="F2061" s="227" t="s">
        <v>3299</v>
      </c>
      <c r="G2061" s="239">
        <v>46212</v>
      </c>
      <c r="H2061" s="240">
        <v>0.25</v>
      </c>
      <c r="I2061" s="227" t="s">
        <v>37</v>
      </c>
      <c r="J2061" s="227" t="s">
        <v>3023</v>
      </c>
      <c r="K2061" s="241" t="s">
        <v>4731</v>
      </c>
      <c r="L2061" s="242" t="str">
        <f>VLOOKUP(Logfile_S[[#This Row],[Material Name]],Sheet2!B:C,2,0)</f>
        <v>ZTE1007</v>
      </c>
      <c r="M2061" s="242" t="s">
        <v>19</v>
      </c>
      <c r="N2061" s="242">
        <v>9</v>
      </c>
      <c r="O2061" s="227" t="s">
        <v>5122</v>
      </c>
      <c r="P2061" s="227" t="s">
        <v>5125</v>
      </c>
      <c r="Q2061" s="8" t="s">
        <v>5123</v>
      </c>
      <c r="R2061" s="8" t="s">
        <v>5124</v>
      </c>
      <c r="S2061" s="227"/>
      <c r="T2061" s="227"/>
      <c r="U2061" s="227"/>
      <c r="V2061" s="227"/>
      <c r="W2061" s="227"/>
      <c r="X2061" s="227"/>
      <c r="Y2061" s="238"/>
      <c r="Z2061" s="238" t="str">
        <f>P2061</f>
        <v>KESATRIAN RW 09 MALANG</v>
      </c>
      <c r="AA2061" s="276">
        <f>VLOOKUP(Logfile_S[[#This Row],[DO number]],DO_DB!G:I,3,0)</f>
        <v>46212</v>
      </c>
      <c r="AB2061" s="332" t="b">
        <f>EXACT(Logfile_S[[#This Row],[date pick]],Logfile_S[[#This Row],[Date]])</f>
        <v>1</v>
      </c>
      <c r="AC20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62" spans="1:29" ht="14.5">
      <c r="A2062" s="237" t="str">
        <f>TEXT(ROW(A2062)-ROW($A$4),"000")</f>
        <v>2058</v>
      </c>
      <c r="B2062" s="221"/>
      <c r="C2062" s="227" t="s">
        <v>48</v>
      </c>
      <c r="D2062" s="227" t="s">
        <v>5127</v>
      </c>
      <c r="E2062" s="227" t="s">
        <v>3295</v>
      </c>
      <c r="F2062" s="227" t="s">
        <v>3299</v>
      </c>
      <c r="G2062" s="239">
        <v>46212</v>
      </c>
      <c r="H2062" s="240">
        <v>0.25</v>
      </c>
      <c r="I2062" s="227" t="s">
        <v>37</v>
      </c>
      <c r="J2062" s="227" t="s">
        <v>3023</v>
      </c>
      <c r="K2062" s="241" t="s">
        <v>3070</v>
      </c>
      <c r="L2062" s="242" t="str">
        <f>VLOOKUP(Logfile_S[[#This Row],[Material Name]],Sheet2!B:C,2,0)</f>
        <v>ZTE1002</v>
      </c>
      <c r="M2062" s="242" t="s">
        <v>19</v>
      </c>
      <c r="N2062" s="242">
        <v>23</v>
      </c>
      <c r="O2062" s="227" t="s">
        <v>5122</v>
      </c>
      <c r="P2062" s="227" t="s">
        <v>5125</v>
      </c>
      <c r="Q2062" s="8" t="s">
        <v>5123</v>
      </c>
      <c r="R2062" s="8" t="s">
        <v>5124</v>
      </c>
      <c r="S2062" s="227"/>
      <c r="T2062" s="227"/>
      <c r="U2062" s="227"/>
      <c r="V2062" s="227"/>
      <c r="W2062" s="227"/>
      <c r="X2062" s="227"/>
      <c r="Y2062" s="238"/>
      <c r="Z2062" s="238" t="str">
        <f>P2062</f>
        <v>KESATRIAN RW 09 MALANG</v>
      </c>
      <c r="AA2062" s="276">
        <f>VLOOKUP(Logfile_S[[#This Row],[DO number]],DO_DB!G:I,3,0)</f>
        <v>46212</v>
      </c>
      <c r="AB2062" s="332" t="b">
        <f>EXACT(Logfile_S[[#This Row],[date pick]],Logfile_S[[#This Row],[Date]])</f>
        <v>1</v>
      </c>
      <c r="AC20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63" spans="1:29" ht="14.5">
      <c r="A2063" s="237" t="str">
        <f>TEXT(ROW(A2063)-ROW($A$4),"000")</f>
        <v>2059</v>
      </c>
      <c r="B2063" s="221"/>
      <c r="C2063" s="227" t="s">
        <v>48</v>
      </c>
      <c r="D2063" s="227" t="s">
        <v>5127</v>
      </c>
      <c r="E2063" s="227" t="s">
        <v>3295</v>
      </c>
      <c r="F2063" s="227" t="s">
        <v>3299</v>
      </c>
      <c r="G2063" s="239">
        <v>46212</v>
      </c>
      <c r="H2063" s="240">
        <v>0.25</v>
      </c>
      <c r="I2063" s="227" t="s">
        <v>37</v>
      </c>
      <c r="J2063" s="227" t="s">
        <v>3023</v>
      </c>
      <c r="K2063" s="241" t="s">
        <v>3069</v>
      </c>
      <c r="L2063" s="242" t="str">
        <f>VLOOKUP(Logfile_S[[#This Row],[Material Name]],Sheet2!B:C,2,0)</f>
        <v>ZTE1001</v>
      </c>
      <c r="M2063" s="242" t="s">
        <v>19</v>
      </c>
      <c r="N2063" s="242">
        <v>1</v>
      </c>
      <c r="O2063" s="227" t="s">
        <v>5122</v>
      </c>
      <c r="P2063" s="227" t="s">
        <v>5125</v>
      </c>
      <c r="Q2063" s="8" t="s">
        <v>5123</v>
      </c>
      <c r="R2063" s="8" t="s">
        <v>5124</v>
      </c>
      <c r="S2063" s="227"/>
      <c r="T2063" s="227"/>
      <c r="U2063" s="227"/>
      <c r="V2063" s="227"/>
      <c r="W2063" s="227"/>
      <c r="X2063" s="227"/>
      <c r="Y2063" s="238"/>
      <c r="Z2063" s="238" t="str">
        <f>P2063</f>
        <v>KESATRIAN RW 09 MALANG</v>
      </c>
      <c r="AA2063" s="276">
        <f>VLOOKUP(Logfile_S[[#This Row],[DO number]],DO_DB!G:I,3,0)</f>
        <v>46212</v>
      </c>
      <c r="AB2063" s="332" t="b">
        <f>EXACT(Logfile_S[[#This Row],[date pick]],Logfile_S[[#This Row],[Date]])</f>
        <v>1</v>
      </c>
      <c r="AC20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64" spans="1:29" ht="14.5">
      <c r="A2064" s="237" t="str">
        <f>TEXT(ROW(A2064)-ROW($A$4),"000")</f>
        <v>2060</v>
      </c>
      <c r="B2064" s="221"/>
      <c r="C2064" s="227" t="s">
        <v>48</v>
      </c>
      <c r="D2064" s="227" t="s">
        <v>5127</v>
      </c>
      <c r="E2064" s="227" t="s">
        <v>3295</v>
      </c>
      <c r="F2064" s="227" t="s">
        <v>3299</v>
      </c>
      <c r="G2064" s="239">
        <v>46212</v>
      </c>
      <c r="H2064" s="240">
        <v>0.25</v>
      </c>
      <c r="I2064" s="227" t="s">
        <v>37</v>
      </c>
      <c r="J2064" s="227" t="s">
        <v>3023</v>
      </c>
      <c r="K2064" s="241" t="s">
        <v>3071</v>
      </c>
      <c r="L2064" s="242" t="str">
        <f>VLOOKUP(Logfile_S[[#This Row],[Material Name]],Sheet2!B:C,2,0)</f>
        <v>ZTE1003</v>
      </c>
      <c r="M2064" s="242" t="s">
        <v>19</v>
      </c>
      <c r="N2064" s="242">
        <v>4</v>
      </c>
      <c r="O2064" s="227" t="s">
        <v>5122</v>
      </c>
      <c r="P2064" s="227" t="s">
        <v>5125</v>
      </c>
      <c r="Q2064" s="8" t="s">
        <v>5123</v>
      </c>
      <c r="R2064" s="8" t="s">
        <v>5124</v>
      </c>
      <c r="S2064" s="227"/>
      <c r="T2064" s="227"/>
      <c r="U2064" s="227"/>
      <c r="V2064" s="227"/>
      <c r="W2064" s="227"/>
      <c r="X2064" s="227"/>
      <c r="Y2064" s="238"/>
      <c r="Z2064" s="238" t="str">
        <f>P2064</f>
        <v>KESATRIAN RW 09 MALANG</v>
      </c>
      <c r="AA2064" s="276">
        <f>VLOOKUP(Logfile_S[[#This Row],[DO number]],DO_DB!G:I,3,0)</f>
        <v>46212</v>
      </c>
      <c r="AB2064" s="332" t="b">
        <f>EXACT(Logfile_S[[#This Row],[date pick]],Logfile_S[[#This Row],[Date]])</f>
        <v>1</v>
      </c>
      <c r="AC20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65" spans="1:29" ht="14.5">
      <c r="A2065" s="237" t="str">
        <f>TEXT(ROW(A2065)-ROW($A$4),"000")</f>
        <v>2061</v>
      </c>
      <c r="B2065" s="221"/>
      <c r="C2065" s="227" t="s">
        <v>49</v>
      </c>
      <c r="D2065" s="227" t="s">
        <v>5126</v>
      </c>
      <c r="E2065" s="227" t="s">
        <v>3295</v>
      </c>
      <c r="F2065" s="227" t="s">
        <v>3299</v>
      </c>
      <c r="G2065" s="239">
        <v>46214</v>
      </c>
      <c r="H2065" s="240">
        <v>0.25</v>
      </c>
      <c r="I2065" s="227" t="s">
        <v>3295</v>
      </c>
      <c r="J2065" s="227" t="s">
        <v>3023</v>
      </c>
      <c r="K2065" s="241" t="s">
        <v>4731</v>
      </c>
      <c r="L2065" s="242" t="str">
        <f>VLOOKUP(Logfile_S[[#This Row],[Material Name]],Sheet2!B:C,2,0)</f>
        <v>ZTE1007</v>
      </c>
      <c r="M2065" s="242" t="s">
        <v>19</v>
      </c>
      <c r="N2065" s="227">
        <v>9</v>
      </c>
      <c r="O2065" s="227" t="s">
        <v>5122</v>
      </c>
      <c r="P2065" s="227" t="s">
        <v>5125</v>
      </c>
      <c r="Q2065" s="227"/>
      <c r="R2065" s="227"/>
      <c r="S2065" s="227"/>
      <c r="T2065" s="221" t="s">
        <v>3258</v>
      </c>
      <c r="U2065" s="221" t="s">
        <v>4811</v>
      </c>
      <c r="V2065" s="221" t="s">
        <v>3337</v>
      </c>
      <c r="W2065" s="221" t="s">
        <v>3338</v>
      </c>
      <c r="X2065" s="227"/>
      <c r="Y2065" s="238"/>
      <c r="Z2065" s="238" t="str">
        <f>P2065</f>
        <v>KESATRIAN RW 09 MALANG</v>
      </c>
      <c r="AA2065" s="276" t="e">
        <f>VLOOKUP(Logfile_S[[#This Row],[DO number]],DO_DB!G:I,3,0)</f>
        <v>#N/A</v>
      </c>
      <c r="AB2065" s="334" t="e">
        <f>EXACT(Logfile_S[[#This Row],[date pick]],Logfile_S[[#This Row],[Date]])</f>
        <v>#N/A</v>
      </c>
      <c r="AC20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66" spans="1:29" ht="14.5">
      <c r="A2066" s="237" t="str">
        <f>TEXT(ROW(A2066)-ROW($A$4),"000")</f>
        <v>2062</v>
      </c>
      <c r="B2066" s="221"/>
      <c r="C2066" s="227" t="s">
        <v>49</v>
      </c>
      <c r="D2066" s="227" t="s">
        <v>5126</v>
      </c>
      <c r="E2066" s="227" t="s">
        <v>3295</v>
      </c>
      <c r="F2066" s="227" t="s">
        <v>3299</v>
      </c>
      <c r="G2066" s="239">
        <v>46214</v>
      </c>
      <c r="H2066" s="240">
        <v>0.25</v>
      </c>
      <c r="I2066" s="227" t="s">
        <v>3295</v>
      </c>
      <c r="J2066" s="227" t="s">
        <v>3023</v>
      </c>
      <c r="K2066" s="241" t="s">
        <v>3070</v>
      </c>
      <c r="L2066" s="242" t="str">
        <f>VLOOKUP(Logfile_S[[#This Row],[Material Name]],Sheet2!B:C,2,0)</f>
        <v>ZTE1002</v>
      </c>
      <c r="M2066" s="242" t="s">
        <v>19</v>
      </c>
      <c r="N2066" s="227">
        <v>14</v>
      </c>
      <c r="O2066" s="227" t="s">
        <v>5122</v>
      </c>
      <c r="P2066" s="227" t="s">
        <v>5125</v>
      </c>
      <c r="Q2066" s="227"/>
      <c r="R2066" s="227"/>
      <c r="S2066" s="227"/>
      <c r="T2066" s="221" t="s">
        <v>3258</v>
      </c>
      <c r="U2066" s="221" t="s">
        <v>4811</v>
      </c>
      <c r="V2066" s="221" t="s">
        <v>3337</v>
      </c>
      <c r="W2066" s="221" t="s">
        <v>3338</v>
      </c>
      <c r="X2066" s="227"/>
      <c r="Y2066" s="238"/>
      <c r="Z2066" s="238" t="str">
        <f>P2066</f>
        <v>KESATRIAN RW 09 MALANG</v>
      </c>
      <c r="AA2066" s="276" t="e">
        <f>VLOOKUP(Logfile_S[[#This Row],[DO number]],DO_DB!G:I,3,0)</f>
        <v>#N/A</v>
      </c>
      <c r="AB2066" s="334" t="e">
        <f>EXACT(Logfile_S[[#This Row],[date pick]],Logfile_S[[#This Row],[Date]])</f>
        <v>#N/A</v>
      </c>
      <c r="AC20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67" spans="1:29" ht="14.5">
      <c r="A2067" s="237" t="str">
        <f>TEXT(ROW(A2067)-ROW($A$4),"000")</f>
        <v>2063</v>
      </c>
      <c r="B2067" s="221"/>
      <c r="C2067" s="227" t="s">
        <v>49</v>
      </c>
      <c r="D2067" s="227" t="s">
        <v>5128</v>
      </c>
      <c r="E2067" s="227" t="s">
        <v>3295</v>
      </c>
      <c r="F2067" s="227" t="s">
        <v>3299</v>
      </c>
      <c r="G2067" s="239">
        <v>46215</v>
      </c>
      <c r="H2067" s="240">
        <v>0.25</v>
      </c>
      <c r="I2067" s="227" t="s">
        <v>3295</v>
      </c>
      <c r="J2067" s="227" t="s">
        <v>3023</v>
      </c>
      <c r="K2067" s="241" t="s">
        <v>3073</v>
      </c>
      <c r="L2067" s="225" t="str">
        <f>VLOOKUP(Logfile_S[[#This Row],[Material Name]],Sheet2!B:C,2,0)</f>
        <v>ZTE2001</v>
      </c>
      <c r="M2067" s="242" t="s">
        <v>20</v>
      </c>
      <c r="N2067" s="227">
        <v>3000</v>
      </c>
      <c r="O2067" s="227" t="s">
        <v>5122</v>
      </c>
      <c r="P2067" s="227" t="s">
        <v>5125</v>
      </c>
      <c r="Q2067" s="227"/>
      <c r="R2067" s="227"/>
      <c r="S2067" s="227"/>
      <c r="T2067" s="227" t="s">
        <v>3258</v>
      </c>
      <c r="U2067" s="227" t="s">
        <v>4811</v>
      </c>
      <c r="V2067" s="227" t="s">
        <v>3337</v>
      </c>
      <c r="W2067" s="227" t="s">
        <v>3338</v>
      </c>
      <c r="X2067" s="227" t="s">
        <v>5348</v>
      </c>
      <c r="Y2067" s="335" t="s">
        <v>5130</v>
      </c>
      <c r="Z2067" s="238" t="str">
        <f>P2067</f>
        <v>KESATRIAN RW 09 MALANG</v>
      </c>
      <c r="AA2067" s="276" t="e">
        <f>VLOOKUP(Logfile_S[[#This Row],[DO number]],DO_DB!G:I,3,0)</f>
        <v>#N/A</v>
      </c>
      <c r="AB2067" s="334" t="e">
        <f>EXACT(Logfile_S[[#This Row],[date pick]],Logfile_S[[#This Row],[Date]])</f>
        <v>#N/A</v>
      </c>
      <c r="AC20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24C-202679-01</v>
      </c>
    </row>
    <row r="2068" spans="1:29" ht="14.5">
      <c r="A2068" s="237" t="str">
        <f>TEXT(ROW(A2068)-ROW($A$4),"000")</f>
        <v>2064</v>
      </c>
      <c r="B2068" s="221"/>
      <c r="C2068" s="227" t="s">
        <v>49</v>
      </c>
      <c r="D2068" s="227" t="s">
        <v>5128</v>
      </c>
      <c r="E2068" s="227" t="s">
        <v>3295</v>
      </c>
      <c r="F2068" s="227" t="s">
        <v>3299</v>
      </c>
      <c r="G2068" s="239">
        <v>46215</v>
      </c>
      <c r="H2068" s="240">
        <v>0.25</v>
      </c>
      <c r="I2068" s="227" t="s">
        <v>3295</v>
      </c>
      <c r="J2068" s="227" t="s">
        <v>3023</v>
      </c>
      <c r="K2068" s="241" t="s">
        <v>4731</v>
      </c>
      <c r="L2068" s="242" t="str">
        <f>VLOOKUP(Logfile_S[[#This Row],[Material Name]],Sheet2!B:C,2,0)</f>
        <v>ZTE1007</v>
      </c>
      <c r="M2068" s="242" t="s">
        <v>19</v>
      </c>
      <c r="N2068" s="227">
        <v>10</v>
      </c>
      <c r="O2068" s="227" t="s">
        <v>5122</v>
      </c>
      <c r="P2068" s="227" t="s">
        <v>5125</v>
      </c>
      <c r="Q2068" s="227"/>
      <c r="R2068" s="227"/>
      <c r="S2068" s="227"/>
      <c r="T2068" s="227" t="s">
        <v>3258</v>
      </c>
      <c r="U2068" s="227" t="s">
        <v>4811</v>
      </c>
      <c r="V2068" s="227" t="s">
        <v>3337</v>
      </c>
      <c r="W2068" s="227" t="s">
        <v>3338</v>
      </c>
      <c r="X2068" s="227"/>
      <c r="Y2068" s="238"/>
      <c r="Z2068" s="238" t="str">
        <f>P2068</f>
        <v>KESATRIAN RW 09 MALANG</v>
      </c>
      <c r="AA2068" s="276" t="e">
        <f>VLOOKUP(Logfile_S[[#This Row],[DO number]],DO_DB!G:I,3,0)</f>
        <v>#N/A</v>
      </c>
      <c r="AB2068" s="332" t="e">
        <f>EXACT(Logfile_S[[#This Row],[date pick]],Logfile_S[[#This Row],[Date]])</f>
        <v>#N/A</v>
      </c>
      <c r="AC20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69" spans="1:29" ht="14.5">
      <c r="A2069" s="237" t="str">
        <f>TEXT(ROW(A2069)-ROW($A$4),"000")</f>
        <v>2065</v>
      </c>
      <c r="B2069" s="221"/>
      <c r="C2069" s="227" t="s">
        <v>49</v>
      </c>
      <c r="D2069" s="227" t="s">
        <v>5128</v>
      </c>
      <c r="E2069" s="227" t="s">
        <v>3295</v>
      </c>
      <c r="F2069" s="227" t="s">
        <v>3299</v>
      </c>
      <c r="G2069" s="239">
        <v>46215</v>
      </c>
      <c r="H2069" s="240">
        <v>0.25</v>
      </c>
      <c r="I2069" s="227" t="s">
        <v>3295</v>
      </c>
      <c r="J2069" s="227" t="s">
        <v>3023</v>
      </c>
      <c r="K2069" s="241" t="s">
        <v>3070</v>
      </c>
      <c r="L2069" s="242" t="str">
        <f>VLOOKUP(Logfile_S[[#This Row],[Material Name]],Sheet2!B:C,2,0)</f>
        <v>ZTE1002</v>
      </c>
      <c r="M2069" s="242" t="s">
        <v>19</v>
      </c>
      <c r="N2069" s="227">
        <v>9</v>
      </c>
      <c r="O2069" s="227" t="s">
        <v>5122</v>
      </c>
      <c r="P2069" s="227" t="s">
        <v>5125</v>
      </c>
      <c r="Q2069" s="227"/>
      <c r="R2069" s="227"/>
      <c r="S2069" s="227"/>
      <c r="T2069" s="227" t="s">
        <v>3258</v>
      </c>
      <c r="U2069" s="227" t="s">
        <v>4811</v>
      </c>
      <c r="V2069" s="227" t="s">
        <v>3337</v>
      </c>
      <c r="W2069" s="227" t="s">
        <v>3338</v>
      </c>
      <c r="X2069" s="227"/>
      <c r="Y2069" s="238"/>
      <c r="Z2069" s="238" t="str">
        <f>P2069</f>
        <v>KESATRIAN RW 09 MALANG</v>
      </c>
      <c r="AA2069" s="276" t="e">
        <f>VLOOKUP(Logfile_S[[#This Row],[DO number]],DO_DB!G:I,3,0)</f>
        <v>#N/A</v>
      </c>
      <c r="AB2069" s="334" t="e">
        <f>EXACT(Logfile_S[[#This Row],[date pick]],Logfile_S[[#This Row],[Date]])</f>
        <v>#N/A</v>
      </c>
      <c r="AC20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70" spans="1:29" ht="14.5">
      <c r="A2070" s="237" t="str">
        <f>TEXT(ROW(A2070)-ROW($A$4),"000")</f>
        <v>2066</v>
      </c>
      <c r="B2070" s="221"/>
      <c r="C2070" s="227" t="s">
        <v>49</v>
      </c>
      <c r="D2070" s="227" t="s">
        <v>5128</v>
      </c>
      <c r="E2070" s="227" t="s">
        <v>3295</v>
      </c>
      <c r="F2070" s="227" t="s">
        <v>3299</v>
      </c>
      <c r="G2070" s="239">
        <v>46215</v>
      </c>
      <c r="H2070" s="240">
        <v>0.25</v>
      </c>
      <c r="I2070" s="227" t="s">
        <v>3295</v>
      </c>
      <c r="J2070" s="227" t="s">
        <v>3023</v>
      </c>
      <c r="K2070" s="241" t="s">
        <v>3071</v>
      </c>
      <c r="L2070" s="242" t="str">
        <f>VLOOKUP(Logfile_S[[#This Row],[Material Name]],Sheet2!B:C,2,0)</f>
        <v>ZTE1003</v>
      </c>
      <c r="M2070" s="242" t="s">
        <v>19</v>
      </c>
      <c r="N2070" s="227">
        <v>4</v>
      </c>
      <c r="O2070" s="227" t="s">
        <v>5122</v>
      </c>
      <c r="P2070" s="227" t="s">
        <v>5125</v>
      </c>
      <c r="Q2070" s="227"/>
      <c r="R2070" s="227"/>
      <c r="S2070" s="227"/>
      <c r="T2070" s="227" t="s">
        <v>3258</v>
      </c>
      <c r="U2070" s="227" t="s">
        <v>4811</v>
      </c>
      <c r="V2070" s="227" t="s">
        <v>3337</v>
      </c>
      <c r="W2070" s="227" t="s">
        <v>3338</v>
      </c>
      <c r="X2070" s="227"/>
      <c r="Y2070" s="238"/>
      <c r="Z2070" s="238" t="str">
        <f>P2070</f>
        <v>KESATRIAN RW 09 MALANG</v>
      </c>
      <c r="AA2070" s="276" t="e">
        <f>VLOOKUP(Logfile_S[[#This Row],[DO number]],DO_DB!G:I,3,0)</f>
        <v>#N/A</v>
      </c>
      <c r="AB2070" s="332" t="e">
        <f>EXACT(Logfile_S[[#This Row],[date pick]],Logfile_S[[#This Row],[Date]])</f>
        <v>#N/A</v>
      </c>
      <c r="AC20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71" spans="1:29" ht="14.5">
      <c r="A2071" s="237" t="str">
        <f>TEXT(ROW(A2071)-ROW($A$4),"000")</f>
        <v>2067</v>
      </c>
      <c r="B2071" s="221"/>
      <c r="C2071" s="227" t="s">
        <v>49</v>
      </c>
      <c r="D2071" s="227" t="s">
        <v>5131</v>
      </c>
      <c r="E2071" s="227" t="s">
        <v>3295</v>
      </c>
      <c r="F2071" s="227" t="s">
        <v>3299</v>
      </c>
      <c r="G2071" s="239">
        <v>46218</v>
      </c>
      <c r="H2071" s="240">
        <v>0.25</v>
      </c>
      <c r="I2071" s="227" t="s">
        <v>3295</v>
      </c>
      <c r="J2071" s="227" t="s">
        <v>3023</v>
      </c>
      <c r="K2071" s="241" t="s">
        <v>13</v>
      </c>
      <c r="L2071" s="242" t="str">
        <f>VLOOKUP(Logfile_S[[#This Row],[Material Name]],Sheet2!B:C,2,0)</f>
        <v>ZTE2008</v>
      </c>
      <c r="M2071" s="242" t="s">
        <v>19</v>
      </c>
      <c r="N2071" s="227">
        <v>15</v>
      </c>
      <c r="O2071" s="227" t="s">
        <v>5122</v>
      </c>
      <c r="P2071" s="227" t="s">
        <v>5125</v>
      </c>
      <c r="Q2071" s="227"/>
      <c r="R2071" s="227"/>
      <c r="S2071" s="227"/>
      <c r="T2071" s="227" t="s">
        <v>3258</v>
      </c>
      <c r="U2071" s="227" t="s">
        <v>4811</v>
      </c>
      <c r="V2071" s="227" t="s">
        <v>3337</v>
      </c>
      <c r="W2071" s="227" t="s">
        <v>3338</v>
      </c>
      <c r="X2071" s="227"/>
      <c r="Y2071" s="238"/>
      <c r="Z2071" s="238" t="str">
        <f>P2071</f>
        <v>KESATRIAN RW 09 MALANG</v>
      </c>
      <c r="AA2071" s="276" t="e">
        <f>VLOOKUP(Logfile_S[[#This Row],[DO number]],DO_DB!G:I,3,0)</f>
        <v>#N/A</v>
      </c>
      <c r="AB2071" s="334" t="e">
        <f>EXACT(Logfile_S[[#This Row],[date pick]],Logfile_S[[#This Row],[Date]])</f>
        <v>#N/A</v>
      </c>
      <c r="AC20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72" spans="1:29" ht="14.5">
      <c r="A2072" s="237" t="str">
        <f>TEXT(ROW(A2072)-ROW($A$4),"000")</f>
        <v>2068</v>
      </c>
      <c r="B2072" s="221"/>
      <c r="C2072" s="227" t="s">
        <v>49</v>
      </c>
      <c r="D2072" s="227" t="s">
        <v>4912</v>
      </c>
      <c r="E2072" s="227" t="s">
        <v>3295</v>
      </c>
      <c r="F2072" s="227" t="s">
        <v>4909</v>
      </c>
      <c r="G2072" s="239">
        <v>46198</v>
      </c>
      <c r="H2072" s="240">
        <v>0.875</v>
      </c>
      <c r="I2072" s="227" t="s">
        <v>3295</v>
      </c>
      <c r="J2072" s="227" t="s">
        <v>3023</v>
      </c>
      <c r="K2072" s="241" t="s">
        <v>4731</v>
      </c>
      <c r="L2072" s="242" t="str">
        <f>VLOOKUP(Logfile_S[[#This Row],[Material Name]],Sheet2!B:C,2,0)</f>
        <v>ZTE1007</v>
      </c>
      <c r="M2072" s="242" t="s">
        <v>19</v>
      </c>
      <c r="N2072" s="227">
        <v>12</v>
      </c>
      <c r="O2072" s="227" t="s">
        <v>4902</v>
      </c>
      <c r="P2072" s="227" t="s">
        <v>4903</v>
      </c>
      <c r="Q2072" s="227"/>
      <c r="R2072" s="227"/>
      <c r="S2072" s="227"/>
      <c r="T2072" s="221" t="s">
        <v>3258</v>
      </c>
      <c r="U2072" s="221" t="s">
        <v>4811</v>
      </c>
      <c r="V2072" s="221" t="s">
        <v>3337</v>
      </c>
      <c r="W2072" s="221" t="s">
        <v>3338</v>
      </c>
      <c r="X2072" s="227"/>
      <c r="Y2072" s="227"/>
      <c r="Z2072" s="227" t="str">
        <f>P2072</f>
        <v>KAMBINGAN RW 04 MALANG</v>
      </c>
      <c r="AA2072" s="276" t="e">
        <f>VLOOKUP(Logfile_S[[#This Row],[DO number]],DO_DB!G:I,3,0)</f>
        <v>#N/A</v>
      </c>
      <c r="AB2072" s="331" t="e">
        <f>EXACT(Logfile_S[[#This Row],[date pick]],Logfile_S[[#This Row],[Date]])</f>
        <v>#N/A</v>
      </c>
      <c r="AC20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73" spans="1:29" ht="14.5">
      <c r="A2073" s="237" t="str">
        <f>TEXT(ROW(A2073)-ROW($A$4),"000")</f>
        <v>2069</v>
      </c>
      <c r="B2073" s="221"/>
      <c r="C2073" s="227" t="s">
        <v>49</v>
      </c>
      <c r="D2073" s="227" t="s">
        <v>4912</v>
      </c>
      <c r="E2073" s="227" t="s">
        <v>3295</v>
      </c>
      <c r="F2073" s="227" t="s">
        <v>4909</v>
      </c>
      <c r="G2073" s="239">
        <v>46198</v>
      </c>
      <c r="H2073" s="240">
        <v>0.875</v>
      </c>
      <c r="I2073" s="227" t="s">
        <v>3295</v>
      </c>
      <c r="J2073" s="227" t="s">
        <v>3023</v>
      </c>
      <c r="K2073" s="241" t="s">
        <v>3070</v>
      </c>
      <c r="L2073" s="242" t="str">
        <f>VLOOKUP(Logfile_S[[#This Row],[Material Name]],Sheet2!B:C,2,0)</f>
        <v>ZTE1002</v>
      </c>
      <c r="M2073" s="242" t="s">
        <v>19</v>
      </c>
      <c r="N2073" s="227">
        <v>13</v>
      </c>
      <c r="O2073" s="227" t="s">
        <v>4902</v>
      </c>
      <c r="P2073" s="227" t="s">
        <v>4903</v>
      </c>
      <c r="Q2073" s="227"/>
      <c r="R2073" s="227"/>
      <c r="S2073" s="227"/>
      <c r="T2073" s="221" t="s">
        <v>3258</v>
      </c>
      <c r="U2073" s="221" t="s">
        <v>4811</v>
      </c>
      <c r="V2073" s="221" t="s">
        <v>3337</v>
      </c>
      <c r="W2073" s="221" t="s">
        <v>3338</v>
      </c>
      <c r="X2073" s="227"/>
      <c r="Y2073" s="227"/>
      <c r="Z2073" s="227" t="str">
        <f>P2073</f>
        <v>KAMBINGAN RW 04 MALANG</v>
      </c>
      <c r="AA2073" s="276" t="e">
        <f>VLOOKUP(Logfile_S[[#This Row],[DO number]],DO_DB!G:I,3,0)</f>
        <v>#N/A</v>
      </c>
      <c r="AB2073" s="331" t="e">
        <f>EXACT(Logfile_S[[#This Row],[date pick]],Logfile_S[[#This Row],[Date]])</f>
        <v>#N/A</v>
      </c>
      <c r="AC20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74" spans="1:29" ht="14.5">
      <c r="A2074" s="237" t="str">
        <f>TEXT(ROW(A2074)-ROW($A$4),"000")</f>
        <v>2070</v>
      </c>
      <c r="B2074" s="221">
        <v>1</v>
      </c>
      <c r="C2074" s="227" t="s">
        <v>48</v>
      </c>
      <c r="D2074" s="227" t="s">
        <v>4907</v>
      </c>
      <c r="E2074" s="227" t="s">
        <v>3295</v>
      </c>
      <c r="F2074" s="227" t="s">
        <v>3299</v>
      </c>
      <c r="G2074" s="239">
        <v>46200</v>
      </c>
      <c r="H2074" s="240">
        <v>0.33333333333333331</v>
      </c>
      <c r="I2074" s="227" t="s">
        <v>37</v>
      </c>
      <c r="J2074" s="227" t="s">
        <v>3023</v>
      </c>
      <c r="K2074" s="241" t="s">
        <v>3073</v>
      </c>
      <c r="L2074" s="225" t="str">
        <f>VLOOKUP(Logfile_S[[#This Row],[Material Name]],Sheet2!B:C,2,0)</f>
        <v>ZTE2001</v>
      </c>
      <c r="M2074" s="242" t="s">
        <v>20</v>
      </c>
      <c r="N2074" s="227">
        <v>3000</v>
      </c>
      <c r="O2074" s="221" t="s">
        <v>4902</v>
      </c>
      <c r="P2074" s="221" t="s">
        <v>4903</v>
      </c>
      <c r="Q2074" s="221" t="s">
        <v>4901</v>
      </c>
      <c r="R2074" s="221">
        <v>0</v>
      </c>
      <c r="S2074" s="227"/>
      <c r="T2074" s="227"/>
      <c r="U2074" s="227"/>
      <c r="V2074" s="227"/>
      <c r="W2074" s="227"/>
      <c r="X2074" s="227"/>
      <c r="Y2074" s="227" t="s">
        <v>5040</v>
      </c>
      <c r="Z2074" s="227" t="str">
        <f>P2074</f>
        <v>KAMBINGAN RW 04 MALANG</v>
      </c>
      <c r="AA2074" s="276">
        <f>VLOOKUP(Logfile_S[[#This Row],[DO number]],DO_DB!G:I,3,0)</f>
        <v>46200</v>
      </c>
      <c r="AB2074" s="331" t="b">
        <f>EXACT(Logfile_S[[#This Row],[date pick]],Logfile_S[[#This Row],[Date]])</f>
        <v>1</v>
      </c>
      <c r="AC20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24C-2026627-01</v>
      </c>
    </row>
    <row r="2075" spans="1:29" ht="14.5">
      <c r="A2075" s="237" t="str">
        <f>TEXT(ROW(A2075)-ROW($A$4),"000")</f>
        <v>2071</v>
      </c>
      <c r="B2075" s="221"/>
      <c r="C2075" s="227" t="s">
        <v>49</v>
      </c>
      <c r="D2075" s="227" t="s">
        <v>4913</v>
      </c>
      <c r="E2075" s="227" t="s">
        <v>3295</v>
      </c>
      <c r="F2075" s="227" t="s">
        <v>4909</v>
      </c>
      <c r="G2075" s="239">
        <v>46200</v>
      </c>
      <c r="H2075" s="240">
        <v>0.875</v>
      </c>
      <c r="I2075" s="227" t="s">
        <v>3295</v>
      </c>
      <c r="J2075" s="227" t="s">
        <v>3023</v>
      </c>
      <c r="K2075" s="241" t="s">
        <v>3073</v>
      </c>
      <c r="L2075" s="225" t="str">
        <f>VLOOKUP(Logfile_S[[#This Row],[Material Name]],Sheet2!B:C,2,0)</f>
        <v>ZTE2001</v>
      </c>
      <c r="M2075" s="242" t="s">
        <v>20</v>
      </c>
      <c r="N2075" s="227">
        <v>3000</v>
      </c>
      <c r="O2075" s="221" t="s">
        <v>4902</v>
      </c>
      <c r="P2075" s="221" t="s">
        <v>4903</v>
      </c>
      <c r="Q2075" s="227"/>
      <c r="R2075" s="227"/>
      <c r="S2075" s="227"/>
      <c r="T2075" s="221" t="s">
        <v>3258</v>
      </c>
      <c r="U2075" s="221" t="s">
        <v>4811</v>
      </c>
      <c r="V2075" s="221" t="s">
        <v>3337</v>
      </c>
      <c r="W2075" s="221" t="s">
        <v>3338</v>
      </c>
      <c r="X2075" s="227"/>
      <c r="Y2075" s="227" t="s">
        <v>5040</v>
      </c>
      <c r="Z2075" s="227" t="str">
        <f>P2075</f>
        <v>KAMBINGAN RW 04 MALANG</v>
      </c>
      <c r="AA2075" s="276" t="e">
        <f>VLOOKUP(Logfile_S[[#This Row],[DO number]],DO_DB!G:I,3,0)</f>
        <v>#N/A</v>
      </c>
      <c r="AB2075" s="331" t="e">
        <f>EXACT(Logfile_S[[#This Row],[date pick]],Logfile_S[[#This Row],[Date]])</f>
        <v>#N/A</v>
      </c>
      <c r="AC20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24C-2026627-01</v>
      </c>
    </row>
    <row r="2076" spans="1:29" ht="14.5">
      <c r="A2076" s="237" t="str">
        <f>TEXT(ROW(A2076)-ROW($A$4),"000")</f>
        <v>2072</v>
      </c>
      <c r="B2076" s="221"/>
      <c r="C2076" s="227" t="s">
        <v>49</v>
      </c>
      <c r="D2076" s="227" t="s">
        <v>4913</v>
      </c>
      <c r="E2076" s="227" t="s">
        <v>3295</v>
      </c>
      <c r="F2076" s="227" t="s">
        <v>4909</v>
      </c>
      <c r="G2076" s="239">
        <v>46200</v>
      </c>
      <c r="H2076" s="240">
        <v>0.875</v>
      </c>
      <c r="I2076" s="227" t="s">
        <v>3295</v>
      </c>
      <c r="J2076" s="227" t="s">
        <v>3023</v>
      </c>
      <c r="K2076" s="241" t="s">
        <v>3075</v>
      </c>
      <c r="L2076" s="225" t="str">
        <f>VLOOKUP(Logfile_S[[#This Row],[Material Name]],Sheet2!B:C,2,0)</f>
        <v>ZTE2003</v>
      </c>
      <c r="M2076" s="242" t="s">
        <v>20</v>
      </c>
      <c r="N2076" s="227">
        <v>3000</v>
      </c>
      <c r="O2076" s="221" t="s">
        <v>4902</v>
      </c>
      <c r="P2076" s="221" t="s">
        <v>4903</v>
      </c>
      <c r="Q2076" s="227"/>
      <c r="R2076" s="227"/>
      <c r="S2076" s="227"/>
      <c r="T2076" s="221" t="s">
        <v>3258</v>
      </c>
      <c r="U2076" s="221" t="s">
        <v>4811</v>
      </c>
      <c r="V2076" s="221" t="s">
        <v>3337</v>
      </c>
      <c r="W2076" s="221" t="s">
        <v>3338</v>
      </c>
      <c r="X2076" s="227"/>
      <c r="Y2076" s="227" t="s">
        <v>5094</v>
      </c>
      <c r="Z2076" s="227" t="str">
        <f>P2076</f>
        <v>KAMBINGAN RW 04 MALANG</v>
      </c>
      <c r="AA2076" s="276" t="e">
        <f>VLOOKUP(Logfile_S[[#This Row],[DO number]],DO_DB!G:I,3,0)</f>
        <v>#N/A</v>
      </c>
      <c r="AB2076" s="331" t="e">
        <f>EXACT(Logfile_S[[#This Row],[date pick]],Logfile_S[[#This Row],[Date]])</f>
        <v>#N/A</v>
      </c>
      <c r="AC20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48C-2025912-01</v>
      </c>
    </row>
    <row r="2077" spans="1:29" ht="14.5">
      <c r="A2077" s="237" t="str">
        <f>TEXT(ROW(A2077)-ROW($A$4),"000")</f>
        <v>2073</v>
      </c>
      <c r="B2077" s="221">
        <v>2</v>
      </c>
      <c r="C2077" s="227" t="s">
        <v>48</v>
      </c>
      <c r="D2077" s="227" t="s">
        <v>4907</v>
      </c>
      <c r="E2077" s="227" t="s">
        <v>3295</v>
      </c>
      <c r="F2077" s="227" t="s">
        <v>3299</v>
      </c>
      <c r="G2077" s="239">
        <v>46200</v>
      </c>
      <c r="H2077" s="240">
        <v>0.25</v>
      </c>
      <c r="I2077" s="227" t="s">
        <v>37</v>
      </c>
      <c r="J2077" s="227" t="s">
        <v>3023</v>
      </c>
      <c r="K2077" s="241" t="s">
        <v>13</v>
      </c>
      <c r="L2077" s="242" t="str">
        <f>VLOOKUP(Logfile_S[[#This Row],[Material Name]],Sheet2!B:C,2,0)</f>
        <v>ZTE2008</v>
      </c>
      <c r="M2077" s="242" t="s">
        <v>19</v>
      </c>
      <c r="N2077" s="227">
        <v>19</v>
      </c>
      <c r="O2077" s="221" t="s">
        <v>4902</v>
      </c>
      <c r="P2077" s="221" t="s">
        <v>4903</v>
      </c>
      <c r="Q2077" s="221" t="s">
        <v>4901</v>
      </c>
      <c r="R2077" s="221">
        <v>0</v>
      </c>
      <c r="S2077" s="227"/>
      <c r="T2077" s="227"/>
      <c r="U2077" s="227"/>
      <c r="V2077" s="227"/>
      <c r="W2077" s="227"/>
      <c r="X2077" s="227"/>
      <c r="Y2077" s="227"/>
      <c r="Z2077" s="227" t="str">
        <f>P2077</f>
        <v>KAMBINGAN RW 04 MALANG</v>
      </c>
      <c r="AA2077" s="276">
        <f>VLOOKUP(Logfile_S[[#This Row],[DO number]],DO_DB!G:I,3,0)</f>
        <v>46200</v>
      </c>
      <c r="AB2077" s="331" t="b">
        <f>EXACT(Logfile_S[[#This Row],[date pick]],Logfile_S[[#This Row],[Date]])</f>
        <v>1</v>
      </c>
      <c r="AC20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78" spans="1:29" ht="14.5">
      <c r="A2078" s="237" t="str">
        <f>TEXT(ROW(A2078)-ROW($A$4),"000")</f>
        <v>2074</v>
      </c>
      <c r="B2078" s="221">
        <v>3</v>
      </c>
      <c r="C2078" s="227" t="s">
        <v>48</v>
      </c>
      <c r="D2078" s="227" t="s">
        <v>4907</v>
      </c>
      <c r="E2078" s="227" t="s">
        <v>3295</v>
      </c>
      <c r="F2078" s="227" t="s">
        <v>3299</v>
      </c>
      <c r="G2078" s="239">
        <v>46200</v>
      </c>
      <c r="H2078" s="240">
        <v>0.25</v>
      </c>
      <c r="I2078" s="227" t="s">
        <v>37</v>
      </c>
      <c r="J2078" s="227" t="s">
        <v>3023</v>
      </c>
      <c r="K2078" s="241" t="s">
        <v>14</v>
      </c>
      <c r="L2078" s="242" t="str">
        <f>VLOOKUP(Logfile_S[[#This Row],[Material Name]],Sheet2!B:C,2,0)</f>
        <v>ZTE2005</v>
      </c>
      <c r="M2078" s="242" t="s">
        <v>19</v>
      </c>
      <c r="N2078" s="227">
        <v>1</v>
      </c>
      <c r="O2078" s="221" t="s">
        <v>4902</v>
      </c>
      <c r="P2078" s="221" t="s">
        <v>4903</v>
      </c>
      <c r="Q2078" s="221" t="s">
        <v>4901</v>
      </c>
      <c r="R2078" s="221">
        <v>0</v>
      </c>
      <c r="S2078" s="227"/>
      <c r="T2078" s="227"/>
      <c r="U2078" s="227"/>
      <c r="V2078" s="227"/>
      <c r="W2078" s="227"/>
      <c r="X2078" s="227"/>
      <c r="Y2078" s="227"/>
      <c r="Z2078" s="227" t="str">
        <f>P2078</f>
        <v>KAMBINGAN RW 04 MALANG</v>
      </c>
      <c r="AA2078" s="276">
        <f>VLOOKUP(Logfile_S[[#This Row],[DO number]],DO_DB!G:I,3,0)</f>
        <v>46200</v>
      </c>
      <c r="AB2078" s="331" t="b">
        <f>EXACT(Logfile_S[[#This Row],[date pick]],Logfile_S[[#This Row],[Date]])</f>
        <v>1</v>
      </c>
      <c r="AC20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79" spans="1:29" ht="14.5">
      <c r="A2079" s="237" t="str">
        <f>TEXT(ROW(A2079)-ROW($A$4),"000")</f>
        <v>2075</v>
      </c>
      <c r="B2079" s="221">
        <v>4</v>
      </c>
      <c r="C2079" s="227" t="s">
        <v>48</v>
      </c>
      <c r="D2079" s="227" t="s">
        <v>4907</v>
      </c>
      <c r="E2079" s="227" t="s">
        <v>3295</v>
      </c>
      <c r="F2079" s="227" t="s">
        <v>3299</v>
      </c>
      <c r="G2079" s="239">
        <v>46200</v>
      </c>
      <c r="H2079" s="240">
        <v>0.25</v>
      </c>
      <c r="I2079" s="227" t="s">
        <v>37</v>
      </c>
      <c r="J2079" s="227" t="s">
        <v>3023</v>
      </c>
      <c r="K2079" s="241" t="s">
        <v>4731</v>
      </c>
      <c r="L2079" s="242" t="str">
        <f>VLOOKUP(Logfile_S[[#This Row],[Material Name]],Sheet2!B:C,2,0)</f>
        <v>ZTE1007</v>
      </c>
      <c r="M2079" s="242" t="str">
        <f>_xlfn.XLOOKUP(Logfile_S[[#This Row],[Material Name]],Sum_WH!E:E,Sum_WH!F:F,"",0)</f>
        <v>Pcs</v>
      </c>
      <c r="N2079" s="227">
        <v>24</v>
      </c>
      <c r="O2079" s="221" t="s">
        <v>4902</v>
      </c>
      <c r="P2079" s="221" t="s">
        <v>4903</v>
      </c>
      <c r="Q2079" s="221" t="s">
        <v>4901</v>
      </c>
      <c r="R2079" s="221">
        <v>0</v>
      </c>
      <c r="S2079" s="227"/>
      <c r="T2079" s="227"/>
      <c r="U2079" s="227"/>
      <c r="V2079" s="227"/>
      <c r="W2079" s="227"/>
      <c r="X2079" s="227"/>
      <c r="Y2079" s="227"/>
      <c r="Z2079" s="227" t="str">
        <f>P2079</f>
        <v>KAMBINGAN RW 04 MALANG</v>
      </c>
      <c r="AA2079" s="276">
        <f>VLOOKUP(Logfile_S[[#This Row],[DO number]],DO_DB!G:I,3,0)</f>
        <v>46200</v>
      </c>
      <c r="AB2079" s="331" t="b">
        <f>EXACT(Logfile_S[[#This Row],[date pick]],Logfile_S[[#This Row],[Date]])</f>
        <v>1</v>
      </c>
      <c r="AC20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80" spans="1:29" ht="14.5">
      <c r="A2080" s="237" t="str">
        <f>TEXT(ROW(A2080)-ROW($A$4),"000")</f>
        <v>2076</v>
      </c>
      <c r="B2080" s="221">
        <v>5</v>
      </c>
      <c r="C2080" s="227" t="s">
        <v>48</v>
      </c>
      <c r="D2080" s="227" t="s">
        <v>4907</v>
      </c>
      <c r="E2080" s="227" t="s">
        <v>3295</v>
      </c>
      <c r="F2080" s="227" t="s">
        <v>3299</v>
      </c>
      <c r="G2080" s="239">
        <v>46200</v>
      </c>
      <c r="H2080" s="240">
        <v>0.25</v>
      </c>
      <c r="I2080" s="227" t="s">
        <v>37</v>
      </c>
      <c r="J2080" s="227" t="s">
        <v>3023</v>
      </c>
      <c r="K2080" s="241" t="s">
        <v>3069</v>
      </c>
      <c r="L2080" s="242" t="str">
        <f>VLOOKUP(Logfile_S[[#This Row],[Material Name]],Sheet2!B:C,2,0)</f>
        <v>ZTE1001</v>
      </c>
      <c r="M2080" s="242" t="s">
        <v>19</v>
      </c>
      <c r="N2080" s="227">
        <v>23</v>
      </c>
      <c r="O2080" s="221" t="s">
        <v>4902</v>
      </c>
      <c r="P2080" s="221" t="s">
        <v>4903</v>
      </c>
      <c r="Q2080" s="221" t="s">
        <v>4901</v>
      </c>
      <c r="R2080" s="221">
        <v>0</v>
      </c>
      <c r="S2080" s="227"/>
      <c r="T2080" s="227"/>
      <c r="U2080" s="227"/>
      <c r="V2080" s="227"/>
      <c r="W2080" s="227"/>
      <c r="X2080" s="227"/>
      <c r="Y2080" s="227"/>
      <c r="Z2080" s="227" t="str">
        <f>P2080</f>
        <v>KAMBINGAN RW 04 MALANG</v>
      </c>
      <c r="AA2080" s="276">
        <f>VLOOKUP(Logfile_S[[#This Row],[DO number]],DO_DB!G:I,3,0)</f>
        <v>46200</v>
      </c>
      <c r="AB2080" s="331" t="b">
        <f>EXACT(Logfile_S[[#This Row],[date pick]],Logfile_S[[#This Row],[Date]])</f>
        <v>1</v>
      </c>
      <c r="AC20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81" spans="1:29" ht="14.5">
      <c r="A2081" s="237" t="str">
        <f>TEXT(ROW(A2081)-ROW($A$4),"000")</f>
        <v>2077</v>
      </c>
      <c r="B2081" s="221"/>
      <c r="C2081" s="227" t="s">
        <v>49</v>
      </c>
      <c r="D2081" s="227" t="s">
        <v>4913</v>
      </c>
      <c r="E2081" s="227" t="s">
        <v>3295</v>
      </c>
      <c r="F2081" s="227" t="s">
        <v>4909</v>
      </c>
      <c r="G2081" s="239">
        <v>46200</v>
      </c>
      <c r="H2081" s="240">
        <v>0.875</v>
      </c>
      <c r="I2081" s="227" t="s">
        <v>3295</v>
      </c>
      <c r="J2081" s="227" t="s">
        <v>3023</v>
      </c>
      <c r="K2081" s="241" t="s">
        <v>3069</v>
      </c>
      <c r="L2081" s="242" t="str">
        <f>VLOOKUP(Logfile_S[[#This Row],[Material Name]],Sheet2!B:C,2,0)</f>
        <v>ZTE1001</v>
      </c>
      <c r="M2081" s="242" t="s">
        <v>19</v>
      </c>
      <c r="N2081" s="227">
        <v>21</v>
      </c>
      <c r="O2081" s="221" t="s">
        <v>4902</v>
      </c>
      <c r="P2081" s="221" t="s">
        <v>4903</v>
      </c>
      <c r="Q2081" s="227"/>
      <c r="R2081" s="227"/>
      <c r="S2081" s="227"/>
      <c r="T2081" s="221" t="s">
        <v>3258</v>
      </c>
      <c r="U2081" s="221" t="s">
        <v>4811</v>
      </c>
      <c r="V2081" s="221" t="s">
        <v>3337</v>
      </c>
      <c r="W2081" s="221" t="s">
        <v>3338</v>
      </c>
      <c r="X2081" s="227"/>
      <c r="Y2081" s="227"/>
      <c r="Z2081" s="227" t="str">
        <f>P2081</f>
        <v>KAMBINGAN RW 04 MALANG</v>
      </c>
      <c r="AA2081" s="276" t="e">
        <f>VLOOKUP(Logfile_S[[#This Row],[DO number]],DO_DB!G:I,3,0)</f>
        <v>#N/A</v>
      </c>
      <c r="AB2081" s="331" t="e">
        <f>EXACT(Logfile_S[[#This Row],[date pick]],Logfile_S[[#This Row],[Date]])</f>
        <v>#N/A</v>
      </c>
      <c r="AC20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82" spans="1:29" ht="14.5">
      <c r="A2082" s="237" t="str">
        <f>TEXT(ROW(A2082)-ROW($A$4),"000")</f>
        <v>2078</v>
      </c>
      <c r="B2082" s="221"/>
      <c r="C2082" s="227" t="s">
        <v>49</v>
      </c>
      <c r="D2082" s="227" t="s">
        <v>4937</v>
      </c>
      <c r="E2082" s="227" t="s">
        <v>3295</v>
      </c>
      <c r="F2082" s="227" t="s">
        <v>4909</v>
      </c>
      <c r="G2082" s="239">
        <v>46202</v>
      </c>
      <c r="H2082" s="240">
        <v>0.25</v>
      </c>
      <c r="I2082" s="227" t="s">
        <v>3295</v>
      </c>
      <c r="J2082" s="227" t="s">
        <v>3023</v>
      </c>
      <c r="K2082" s="241" t="s">
        <v>4731</v>
      </c>
      <c r="L2082" s="242" t="str">
        <f>VLOOKUP(Logfile_S[[#This Row],[Material Name]],Sheet2!B:C,2,0)</f>
        <v>ZTE1007</v>
      </c>
      <c r="M2082" s="242" t="s">
        <v>19</v>
      </c>
      <c r="N2082" s="227">
        <v>12</v>
      </c>
      <c r="O2082" s="227" t="s">
        <v>4902</v>
      </c>
      <c r="P2082" s="227" t="s">
        <v>4903</v>
      </c>
      <c r="Q2082" s="227"/>
      <c r="R2082" s="227"/>
      <c r="S2082" s="227"/>
      <c r="T2082" s="221" t="s">
        <v>3258</v>
      </c>
      <c r="U2082" s="221" t="s">
        <v>4811</v>
      </c>
      <c r="V2082" s="221" t="s">
        <v>3337</v>
      </c>
      <c r="W2082" s="221" t="s">
        <v>3338</v>
      </c>
      <c r="X2082" s="227"/>
      <c r="Y2082" s="227"/>
      <c r="Z2082" s="227" t="str">
        <f>P2082</f>
        <v>KAMBINGAN RW 04 MALANG</v>
      </c>
      <c r="AA2082" s="276" t="e">
        <f>VLOOKUP(Logfile_S[[#This Row],[DO number]],DO_DB!G:I,3,0)</f>
        <v>#N/A</v>
      </c>
      <c r="AB2082" s="331" t="e">
        <f>EXACT(Logfile_S[[#This Row],[date pick]],Logfile_S[[#This Row],[Date]])</f>
        <v>#N/A</v>
      </c>
      <c r="AC20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83" spans="1:29" ht="14.5">
      <c r="A2083" s="237" t="str">
        <f>TEXT(ROW(A2083)-ROW($A$4),"000")</f>
        <v>2079</v>
      </c>
      <c r="B2083" s="221"/>
      <c r="C2083" s="227" t="s">
        <v>49</v>
      </c>
      <c r="D2083" s="227" t="s">
        <v>4937</v>
      </c>
      <c r="E2083" s="227" t="s">
        <v>3295</v>
      </c>
      <c r="F2083" s="227" t="s">
        <v>4909</v>
      </c>
      <c r="G2083" s="239">
        <v>46202</v>
      </c>
      <c r="H2083" s="240">
        <v>0.25</v>
      </c>
      <c r="I2083" s="227" t="s">
        <v>3295</v>
      </c>
      <c r="J2083" s="227" t="s">
        <v>3023</v>
      </c>
      <c r="K2083" s="241" t="s">
        <v>3070</v>
      </c>
      <c r="L2083" s="242" t="str">
        <f>VLOOKUP(Logfile_S[[#This Row],[Material Name]],Sheet2!B:C,2,0)</f>
        <v>ZTE1002</v>
      </c>
      <c r="M2083" s="242" t="s">
        <v>19</v>
      </c>
      <c r="N2083" s="227">
        <v>14</v>
      </c>
      <c r="O2083" s="227" t="s">
        <v>4902</v>
      </c>
      <c r="P2083" s="227" t="s">
        <v>4903</v>
      </c>
      <c r="Q2083" s="227"/>
      <c r="R2083" s="227"/>
      <c r="S2083" s="227"/>
      <c r="T2083" s="221" t="s">
        <v>3258</v>
      </c>
      <c r="U2083" s="221" t="s">
        <v>4811</v>
      </c>
      <c r="V2083" s="221" t="s">
        <v>3337</v>
      </c>
      <c r="W2083" s="221" t="s">
        <v>3338</v>
      </c>
      <c r="X2083" s="227"/>
      <c r="Y2083" s="227"/>
      <c r="Z2083" s="227" t="str">
        <f>P2083</f>
        <v>KAMBINGAN RW 04 MALANG</v>
      </c>
      <c r="AA2083" s="276" t="e">
        <f>VLOOKUP(Logfile_S[[#This Row],[DO number]],DO_DB!G:I,3,0)</f>
        <v>#N/A</v>
      </c>
      <c r="AB2083" s="331" t="e">
        <f>EXACT(Logfile_S[[#This Row],[date pick]],Logfile_S[[#This Row],[Date]])</f>
        <v>#N/A</v>
      </c>
      <c r="AC20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84" spans="1:29" ht="14.5">
      <c r="A2084" s="237" t="str">
        <f>TEXT(ROW(A2084)-ROW($A$4),"000")</f>
        <v>2080</v>
      </c>
      <c r="B2084" s="221"/>
      <c r="C2084" s="227" t="s">
        <v>49</v>
      </c>
      <c r="D2084" s="227" t="s">
        <v>4937</v>
      </c>
      <c r="E2084" s="227" t="s">
        <v>3295</v>
      </c>
      <c r="F2084" s="227" t="s">
        <v>4909</v>
      </c>
      <c r="G2084" s="239">
        <v>46202</v>
      </c>
      <c r="H2084" s="240">
        <v>0.25</v>
      </c>
      <c r="I2084" s="227" t="s">
        <v>3295</v>
      </c>
      <c r="J2084" s="227" t="s">
        <v>3023</v>
      </c>
      <c r="K2084" s="241" t="s">
        <v>3071</v>
      </c>
      <c r="L2084" s="242" t="str">
        <f>VLOOKUP(Logfile_S[[#This Row],[Material Name]],Sheet2!B:C,2,0)</f>
        <v>ZTE1003</v>
      </c>
      <c r="M2084" s="242" t="s">
        <v>19</v>
      </c>
      <c r="N2084" s="227">
        <v>1</v>
      </c>
      <c r="O2084" s="227" t="s">
        <v>4902</v>
      </c>
      <c r="P2084" s="227" t="s">
        <v>4903</v>
      </c>
      <c r="Q2084" s="227"/>
      <c r="R2084" s="227"/>
      <c r="S2084" s="227"/>
      <c r="T2084" s="221" t="s">
        <v>3258</v>
      </c>
      <c r="U2084" s="221" t="s">
        <v>4811</v>
      </c>
      <c r="V2084" s="221" t="s">
        <v>3337</v>
      </c>
      <c r="W2084" s="221" t="s">
        <v>3338</v>
      </c>
      <c r="X2084" s="227"/>
      <c r="Y2084" s="227"/>
      <c r="Z2084" s="227" t="str">
        <f>P2084</f>
        <v>KAMBINGAN RW 04 MALANG</v>
      </c>
      <c r="AA2084" s="276" t="e">
        <f>VLOOKUP(Logfile_S[[#This Row],[DO number]],DO_DB!G:I,3,0)</f>
        <v>#N/A</v>
      </c>
      <c r="AB2084" s="331" t="e">
        <f>EXACT(Logfile_S[[#This Row],[date pick]],Logfile_S[[#This Row],[Date]])</f>
        <v>#N/A</v>
      </c>
      <c r="AC20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85" spans="1:29" ht="14.5">
      <c r="A2085" s="237" t="str">
        <f>TEXT(ROW(A2085)-ROW($A$4),"000")</f>
        <v>2081</v>
      </c>
      <c r="B2085" s="221"/>
      <c r="C2085" s="227" t="s">
        <v>49</v>
      </c>
      <c r="D2085" s="227" t="s">
        <v>4942</v>
      </c>
      <c r="E2085" s="227" t="s">
        <v>3295</v>
      </c>
      <c r="F2085" s="227" t="s">
        <v>4909</v>
      </c>
      <c r="G2085" s="239">
        <v>46203</v>
      </c>
      <c r="H2085" s="240">
        <v>0.25</v>
      </c>
      <c r="I2085" s="227" t="s">
        <v>3295</v>
      </c>
      <c r="J2085" s="227" t="s">
        <v>3023</v>
      </c>
      <c r="K2085" s="241" t="s">
        <v>4731</v>
      </c>
      <c r="L2085" s="242" t="str">
        <f>VLOOKUP(Logfile_S[[#This Row],[Material Name]],Sheet2!B:C,2,0)</f>
        <v>ZTE1007</v>
      </c>
      <c r="M2085" s="242" t="s">
        <v>19</v>
      </c>
      <c r="N2085" s="227">
        <v>2</v>
      </c>
      <c r="O2085" s="227" t="s">
        <v>4902</v>
      </c>
      <c r="P2085" s="227" t="s">
        <v>4903</v>
      </c>
      <c r="Q2085" s="227"/>
      <c r="R2085" s="227"/>
      <c r="S2085" s="227"/>
      <c r="T2085" s="221" t="s">
        <v>3258</v>
      </c>
      <c r="U2085" s="221" t="s">
        <v>4811</v>
      </c>
      <c r="V2085" s="221" t="s">
        <v>3337</v>
      </c>
      <c r="W2085" s="221" t="s">
        <v>3338</v>
      </c>
      <c r="X2085" s="227"/>
      <c r="Y2085" s="227"/>
      <c r="Z2085" s="227" t="str">
        <f>P2085</f>
        <v>KAMBINGAN RW 04 MALANG</v>
      </c>
      <c r="AA2085" s="276" t="e">
        <f>VLOOKUP(Logfile_S[[#This Row],[DO number]],DO_DB!G:I,3,0)</f>
        <v>#N/A</v>
      </c>
      <c r="AB2085" s="331" t="e">
        <f>EXACT(Logfile_S[[#This Row],[date pick]],Logfile_S[[#This Row],[Date]])</f>
        <v>#N/A</v>
      </c>
      <c r="AC20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86" spans="1:29" ht="14.5">
      <c r="A2086" s="237" t="str">
        <f>TEXT(ROW(A2086)-ROW($A$4),"000")</f>
        <v>2082</v>
      </c>
      <c r="B2086" s="221"/>
      <c r="C2086" s="227" t="s">
        <v>49</v>
      </c>
      <c r="D2086" s="227" t="s">
        <v>4943</v>
      </c>
      <c r="E2086" s="227" t="s">
        <v>3295</v>
      </c>
      <c r="F2086" s="227" t="s">
        <v>3299</v>
      </c>
      <c r="G2086" s="239">
        <v>46206</v>
      </c>
      <c r="H2086" s="240">
        <v>0.25</v>
      </c>
      <c r="I2086" s="227" t="s">
        <v>3295</v>
      </c>
      <c r="J2086" s="227" t="s">
        <v>3023</v>
      </c>
      <c r="K2086" s="241" t="s">
        <v>13</v>
      </c>
      <c r="L2086" s="242" t="str">
        <f>VLOOKUP(Logfile_S[[#This Row],[Material Name]],Sheet2!B:C,2,0)</f>
        <v>ZTE2008</v>
      </c>
      <c r="M2086" s="242" t="s">
        <v>19</v>
      </c>
      <c r="N2086" s="227">
        <v>10</v>
      </c>
      <c r="O2086" s="221" t="s">
        <v>4902</v>
      </c>
      <c r="P2086" s="221" t="s">
        <v>4903</v>
      </c>
      <c r="Q2086" s="227"/>
      <c r="R2086" s="227"/>
      <c r="S2086" s="227"/>
      <c r="T2086" s="221" t="s">
        <v>3231</v>
      </c>
      <c r="U2086" s="221" t="s">
        <v>4811</v>
      </c>
      <c r="V2086" s="221" t="s">
        <v>3232</v>
      </c>
      <c r="W2086" s="221" t="s">
        <v>3254</v>
      </c>
      <c r="X2086" s="227"/>
      <c r="Y2086" s="227"/>
      <c r="Z2086" s="227" t="str">
        <f>P2086</f>
        <v>KAMBINGAN RW 04 MALANG</v>
      </c>
      <c r="AA2086" s="276" t="e">
        <f>VLOOKUP(Logfile_S[[#This Row],[DO number]],DO_DB!G:I,3,0)</f>
        <v>#N/A</v>
      </c>
      <c r="AB2086" s="331" t="e">
        <f>EXACT(Logfile_S[[#This Row],[date pick]],Logfile_S[[#This Row],[Date]])</f>
        <v>#N/A</v>
      </c>
      <c r="AC20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87" spans="1:29" ht="14.5">
      <c r="A2087" s="237" t="str">
        <f>TEXT(ROW(A2087)-ROW($A$4),"000")</f>
        <v>2083</v>
      </c>
      <c r="B2087" s="221"/>
      <c r="C2087" s="227" t="s">
        <v>49</v>
      </c>
      <c r="D2087" s="227" t="s">
        <v>4943</v>
      </c>
      <c r="E2087" s="227" t="s">
        <v>3295</v>
      </c>
      <c r="F2087" s="227" t="s">
        <v>3299</v>
      </c>
      <c r="G2087" s="239">
        <v>46206</v>
      </c>
      <c r="H2087" s="240">
        <v>0.25</v>
      </c>
      <c r="I2087" s="227" t="s">
        <v>3295</v>
      </c>
      <c r="J2087" s="227" t="s">
        <v>3023</v>
      </c>
      <c r="K2087" s="241" t="s">
        <v>14</v>
      </c>
      <c r="L2087" s="242" t="str">
        <f>VLOOKUP(Logfile_S[[#This Row],[Material Name]],Sheet2!B:C,2,0)</f>
        <v>ZTE2005</v>
      </c>
      <c r="M2087" s="242" t="s">
        <v>19</v>
      </c>
      <c r="N2087" s="227">
        <v>1</v>
      </c>
      <c r="O2087" s="221" t="s">
        <v>4902</v>
      </c>
      <c r="P2087" s="221" t="s">
        <v>4903</v>
      </c>
      <c r="Q2087" s="227"/>
      <c r="R2087" s="227"/>
      <c r="S2087" s="227"/>
      <c r="T2087" s="221" t="s">
        <v>3231</v>
      </c>
      <c r="U2087" s="221" t="s">
        <v>4811</v>
      </c>
      <c r="V2087" s="221" t="s">
        <v>3232</v>
      </c>
      <c r="W2087" s="221" t="s">
        <v>3254</v>
      </c>
      <c r="X2087" s="227"/>
      <c r="Y2087" s="227"/>
      <c r="Z2087" s="227" t="str">
        <f>P2087</f>
        <v>KAMBINGAN RW 04 MALANG</v>
      </c>
      <c r="AA2087" s="276" t="e">
        <f>VLOOKUP(Logfile_S[[#This Row],[DO number]],DO_DB!G:I,3,0)</f>
        <v>#N/A</v>
      </c>
      <c r="AB2087" s="331" t="e">
        <f>EXACT(Logfile_S[[#This Row],[date pick]],Logfile_S[[#This Row],[Date]])</f>
        <v>#N/A</v>
      </c>
      <c r="AC20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88" spans="1:29" ht="14.5">
      <c r="A2088" s="237" t="str">
        <f>TEXT(ROW(A2088)-ROW($A$4),"000")</f>
        <v>2084</v>
      </c>
      <c r="B2088" s="221"/>
      <c r="C2088" s="227" t="s">
        <v>49</v>
      </c>
      <c r="D2088" s="227" t="s">
        <v>5121</v>
      </c>
      <c r="E2088" s="227" t="s">
        <v>3295</v>
      </c>
      <c r="F2088" s="227" t="s">
        <v>3299</v>
      </c>
      <c r="G2088" s="239">
        <v>46207</v>
      </c>
      <c r="H2088" s="240">
        <v>0.25</v>
      </c>
      <c r="I2088" s="227" t="s">
        <v>3295</v>
      </c>
      <c r="J2088" s="227" t="s">
        <v>3023</v>
      </c>
      <c r="K2088" s="241" t="s">
        <v>13</v>
      </c>
      <c r="L2088" s="242" t="str">
        <f>VLOOKUP(Logfile_S[[#This Row],[Material Name]],Sheet2!B:C,2,0)</f>
        <v>ZTE2008</v>
      </c>
      <c r="M2088" s="242" t="s">
        <v>19</v>
      </c>
      <c r="N2088" s="227">
        <v>8</v>
      </c>
      <c r="O2088" s="227" t="s">
        <v>4902</v>
      </c>
      <c r="P2088" s="227" t="s">
        <v>4903</v>
      </c>
      <c r="Q2088" s="227"/>
      <c r="R2088" s="227"/>
      <c r="S2088" s="227"/>
      <c r="T2088" s="227" t="s">
        <v>3231</v>
      </c>
      <c r="U2088" s="227" t="s">
        <v>4811</v>
      </c>
      <c r="V2088" s="227" t="s">
        <v>3232</v>
      </c>
      <c r="W2088" s="227" t="s">
        <v>3254</v>
      </c>
      <c r="X2088" s="227"/>
      <c r="Y2088" s="238"/>
      <c r="Z2088" s="238" t="str">
        <f>P2088</f>
        <v>KAMBINGAN RW 04 MALANG</v>
      </c>
      <c r="AA2088" s="276" t="e">
        <f>VLOOKUP(Logfile_S[[#This Row],[DO number]],DO_DB!G:I,3,0)</f>
        <v>#N/A</v>
      </c>
      <c r="AB2088" s="334" t="e">
        <f>EXACT(Logfile_S[[#This Row],[date pick]],Logfile_S[[#This Row],[Date]])</f>
        <v>#N/A</v>
      </c>
      <c r="AC20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89" spans="1:29" ht="14.5">
      <c r="A2089" s="220" t="str">
        <f>TEXT(ROW(A2089)-ROW($A$4),"000")</f>
        <v>2085</v>
      </c>
      <c r="B2089" s="221"/>
      <c r="C2089" s="221" t="s">
        <v>3429</v>
      </c>
      <c r="D2089" s="221" t="s">
        <v>4010</v>
      </c>
      <c r="E2089" s="221" t="s">
        <v>3295</v>
      </c>
      <c r="F2089" s="221" t="s">
        <v>3299</v>
      </c>
      <c r="G2089" s="222">
        <v>45401</v>
      </c>
      <c r="H2089" s="223">
        <v>15.291666666666666</v>
      </c>
      <c r="I2089" s="221" t="s">
        <v>3193</v>
      </c>
      <c r="J2089" s="221" t="s">
        <v>3023</v>
      </c>
      <c r="K2089" s="224" t="s">
        <v>3073</v>
      </c>
      <c r="L2089" s="225" t="str">
        <f>VLOOKUP(Logfile_S[[#This Row],[Material Name]],Sheet2!B:C,2,0)</f>
        <v>ZTE2001</v>
      </c>
      <c r="M2089" s="225" t="str">
        <f>_xlfn.XLOOKUP(Logfile_S[[#This Row],[Material Name]],Sum_WH!E:E,Sum_WH!F:F,"",0)</f>
        <v>Meter</v>
      </c>
      <c r="N2089" s="221">
        <v>4000</v>
      </c>
      <c r="O2089" s="221" t="s">
        <v>4011</v>
      </c>
      <c r="P2089" s="221" t="s">
        <v>3502</v>
      </c>
      <c r="Q2089" s="221">
        <v>0</v>
      </c>
      <c r="R2089" s="221" t="s">
        <v>3147</v>
      </c>
      <c r="S2089" s="221"/>
      <c r="T2089" s="221"/>
      <c r="U2089" s="221"/>
      <c r="V2089" s="221"/>
      <c r="W2089" s="221"/>
      <c r="X2089" s="221" t="s">
        <v>3502</v>
      </c>
      <c r="Y2089" s="236" t="s">
        <v>5091</v>
      </c>
      <c r="Z2089" s="227" t="str">
        <f>P2089</f>
        <v>FH 2 HASBEL @4000</v>
      </c>
      <c r="AA2089" s="276" t="e">
        <f>VLOOKUP(Logfile_S[[#This Row],[DO number]],DO_DB!G:I,3,0)</f>
        <v>#N/A</v>
      </c>
      <c r="AB2089" s="331" t="e">
        <f>EXACT(Logfile_S[[#This Row],[date pick]],Logfile_S[[#This Row],[Date]])</f>
        <v>#N/A</v>
      </c>
      <c r="AC20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24C-2024419-01</v>
      </c>
    </row>
    <row r="2090" spans="1:29" ht="14.5">
      <c r="A2090" s="237" t="str">
        <f>TEXT(ROW(A2090)-ROW($A$4),"000")</f>
        <v>2086</v>
      </c>
      <c r="B2090" s="221"/>
      <c r="C2090" s="221" t="s">
        <v>3429</v>
      </c>
      <c r="D2090" s="221" t="s">
        <v>4010</v>
      </c>
      <c r="E2090" s="221" t="s">
        <v>3295</v>
      </c>
      <c r="F2090" s="221" t="s">
        <v>3299</v>
      </c>
      <c r="G2090" s="222">
        <v>45401</v>
      </c>
      <c r="H2090" s="223">
        <v>15.291666666666666</v>
      </c>
      <c r="I2090" s="221" t="s">
        <v>3193</v>
      </c>
      <c r="J2090" s="221" t="s">
        <v>3023</v>
      </c>
      <c r="K2090" s="224" t="s">
        <v>3073</v>
      </c>
      <c r="L2090" s="225" t="str">
        <f>VLOOKUP(Logfile_S[[#This Row],[Material Name]],Sheet2!B:C,2,0)</f>
        <v>ZTE2001</v>
      </c>
      <c r="M2090" s="225" t="str">
        <f>_xlfn.XLOOKUP(Logfile_S[[#This Row],[Material Name]],Sum_WH!E:E,Sum_WH!F:F,"",0)</f>
        <v>Meter</v>
      </c>
      <c r="N2090" s="221">
        <v>4000</v>
      </c>
      <c r="O2090" s="221" t="s">
        <v>4011</v>
      </c>
      <c r="P2090" s="221" t="s">
        <v>3502</v>
      </c>
      <c r="Q2090" s="227"/>
      <c r="R2090" s="227"/>
      <c r="S2090" s="227"/>
      <c r="T2090" s="227"/>
      <c r="U2090" s="227"/>
      <c r="V2090" s="227"/>
      <c r="W2090" s="227"/>
      <c r="X2090" s="227"/>
      <c r="Y2090" s="238" t="s">
        <v>5092</v>
      </c>
      <c r="Z2090" s="227" t="str">
        <f>P2090</f>
        <v>FH 2 HASBEL @4000</v>
      </c>
      <c r="AA2090" s="276" t="e">
        <f>VLOOKUP(Logfile_S[[#This Row],[DO number]],DO_DB!G:I,3,0)</f>
        <v>#N/A</v>
      </c>
      <c r="AB2090" s="331" t="e">
        <f>EXACT(Logfile_S[[#This Row],[date pick]],Logfile_S[[#This Row],[Date]])</f>
        <v>#N/A</v>
      </c>
      <c r="AC20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24C-2024419-02</v>
      </c>
    </row>
    <row r="2091" spans="1:29" ht="14.5">
      <c r="A2091" s="237" t="str">
        <f>TEXT(ROW(A2091)-ROW($A$4),"000")</f>
        <v>2087</v>
      </c>
      <c r="B2091" s="221">
        <v>1</v>
      </c>
      <c r="C2091" s="227" t="s">
        <v>3313</v>
      </c>
      <c r="D2091" s="227" t="s">
        <v>4779</v>
      </c>
      <c r="E2091" s="227" t="s">
        <v>3295</v>
      </c>
      <c r="F2091" s="227" t="s">
        <v>3299</v>
      </c>
      <c r="G2091" s="239">
        <v>46017</v>
      </c>
      <c r="H2091" s="240">
        <v>0.54166666666666663</v>
      </c>
      <c r="I2091" s="221" t="s">
        <v>4918</v>
      </c>
      <c r="J2091" s="221" t="s">
        <v>3023</v>
      </c>
      <c r="K2091" s="241" t="s">
        <v>3069</v>
      </c>
      <c r="L2091" s="225" t="str">
        <f>VLOOKUP(Logfile_S[[#This Row],[Material Name]],Sheet2!B:C,2,0)</f>
        <v>ZTE1001</v>
      </c>
      <c r="M2091" s="242" t="s">
        <v>19</v>
      </c>
      <c r="N2091" s="227">
        <v>4</v>
      </c>
      <c r="O2091" s="227" t="s">
        <v>4780</v>
      </c>
      <c r="P2091" s="227"/>
      <c r="Q2091" s="227"/>
      <c r="R2091" s="227"/>
      <c r="S2091" s="227"/>
      <c r="T2091" s="227"/>
      <c r="U2091" s="227"/>
      <c r="V2091" s="227"/>
      <c r="W2091" s="227"/>
      <c r="X2091" s="227"/>
      <c r="Y2091" s="227"/>
      <c r="Z2091" s="227">
        <f>P2091</f>
        <v>0</v>
      </c>
      <c r="AA2091" s="276" t="e">
        <f>VLOOKUP(Logfile_S[[#This Row],[DO number]],DO_DB!G:I,3,0)</f>
        <v>#N/A</v>
      </c>
      <c r="AB2091" s="331" t="e">
        <f>EXACT(Logfile_S[[#This Row],[date pick]],Logfile_S[[#This Row],[Date]])</f>
        <v>#N/A</v>
      </c>
      <c r="AC20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92" spans="1:29" ht="14.5">
      <c r="A2092" s="237" t="str">
        <f>TEXT(ROW(A2092)-ROW($A$4),"000")</f>
        <v>2088</v>
      </c>
      <c r="B2092" s="221">
        <v>2</v>
      </c>
      <c r="C2092" s="227" t="s">
        <v>3313</v>
      </c>
      <c r="D2092" s="227" t="s">
        <v>4779</v>
      </c>
      <c r="E2092" s="227" t="s">
        <v>3295</v>
      </c>
      <c r="F2092" s="227" t="s">
        <v>3299</v>
      </c>
      <c r="G2092" s="239">
        <v>46017</v>
      </c>
      <c r="H2092" s="240">
        <v>0.54166666666666663</v>
      </c>
      <c r="I2092" s="221" t="s">
        <v>4918</v>
      </c>
      <c r="J2092" s="221" t="s">
        <v>3023</v>
      </c>
      <c r="K2092" s="241" t="s">
        <v>3071</v>
      </c>
      <c r="L2092" s="225" t="str">
        <f>VLOOKUP(Logfile_S[[#This Row],[Material Name]],Sheet2!B:C,2,0)</f>
        <v>ZTE1003</v>
      </c>
      <c r="M2092" s="242" t="s">
        <v>19</v>
      </c>
      <c r="N2092" s="227">
        <v>7</v>
      </c>
      <c r="O2092" s="227" t="s">
        <v>4780</v>
      </c>
      <c r="P2092" s="227"/>
      <c r="Q2092" s="227"/>
      <c r="R2092" s="227"/>
      <c r="S2092" s="227"/>
      <c r="T2092" s="227"/>
      <c r="U2092" s="227"/>
      <c r="V2092" s="227"/>
      <c r="W2092" s="227"/>
      <c r="X2092" s="227"/>
      <c r="Y2092" s="227"/>
      <c r="Z2092" s="227">
        <f>P2092</f>
        <v>0</v>
      </c>
      <c r="AA2092" s="276" t="e">
        <f>VLOOKUP(Logfile_S[[#This Row],[DO number]],DO_DB!G:I,3,0)</f>
        <v>#N/A</v>
      </c>
      <c r="AB2092" s="331" t="e">
        <f>EXACT(Logfile_S[[#This Row],[date pick]],Logfile_S[[#This Row],[Date]])</f>
        <v>#N/A</v>
      </c>
      <c r="AC20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93" spans="1:29" ht="14.5">
      <c r="A2093" s="220" t="str">
        <f>TEXT(ROW(A2093)-ROW($A$4),"000")</f>
        <v>2089</v>
      </c>
      <c r="B2093" s="221"/>
      <c r="C2093" s="221" t="s">
        <v>48</v>
      </c>
      <c r="D2093" s="221" t="s">
        <v>3863</v>
      </c>
      <c r="E2093" s="221" t="s">
        <v>3295</v>
      </c>
      <c r="F2093" s="221" t="s">
        <v>3299</v>
      </c>
      <c r="G2093" s="222">
        <v>45307</v>
      </c>
      <c r="H2093" s="223">
        <v>15.291666666666666</v>
      </c>
      <c r="I2093" s="221" t="s">
        <v>37</v>
      </c>
      <c r="J2093" s="221" t="s">
        <v>3023</v>
      </c>
      <c r="K2093" s="224" t="s">
        <v>3076</v>
      </c>
      <c r="L2093" s="225" t="str">
        <f>VLOOKUP(Logfile_S[[#This Row],[Material Name]],Sheet2!B:C,2,0)</f>
        <v>ZTE2013</v>
      </c>
      <c r="M2093" s="225" t="str">
        <f>_xlfn.XLOOKUP(Logfile_S[[#This Row],[Material Name]],Sum_WH!E:E,Sum_WH!F:F,"",0)</f>
        <v>Meter</v>
      </c>
      <c r="N2093" s="221">
        <v>3000</v>
      </c>
      <c r="O2093" s="221" t="s">
        <v>834</v>
      </c>
      <c r="P2093" s="221" t="s">
        <v>3335</v>
      </c>
      <c r="Q2093" s="221" t="s">
        <v>848</v>
      </c>
      <c r="R2093" s="221" t="s">
        <v>849</v>
      </c>
      <c r="S2093" s="221"/>
      <c r="T2093" s="221"/>
      <c r="U2093" s="221"/>
      <c r="V2093" s="221"/>
      <c r="W2093" s="221"/>
      <c r="X2093" s="221" t="s">
        <v>3217</v>
      </c>
      <c r="Y2093" s="227" t="s">
        <v>4966</v>
      </c>
      <c r="Z2093" s="227" t="str">
        <f>P2093</f>
        <v>HUBFEEDER BATURETNO RW 02</v>
      </c>
      <c r="AA2093" s="276">
        <f>VLOOKUP(Logfile_S[[#This Row],[DO number]],DO_DB!G:I,3,0)</f>
        <v>45307</v>
      </c>
      <c r="AB2093" s="331" t="b">
        <f>EXACT(Logfile_S[[#This Row],[date pick]],Logfile_S[[#This Row],[Date]])</f>
        <v>1</v>
      </c>
      <c r="AC20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96C-2024116-01</v>
      </c>
    </row>
    <row r="2094" spans="1:29" ht="14.5">
      <c r="A2094" s="237" t="str">
        <f>TEXT(ROW(A2094)-ROW($A$4),"000")</f>
        <v>2090</v>
      </c>
      <c r="B2094" s="221"/>
      <c r="C2094" s="221" t="s">
        <v>48</v>
      </c>
      <c r="D2094" s="221" t="s">
        <v>3863</v>
      </c>
      <c r="E2094" s="221" t="s">
        <v>3295</v>
      </c>
      <c r="F2094" s="221" t="s">
        <v>3299</v>
      </c>
      <c r="G2094" s="222">
        <v>45307</v>
      </c>
      <c r="H2094" s="223">
        <v>15.291666666666666</v>
      </c>
      <c r="I2094" s="221" t="s">
        <v>37</v>
      </c>
      <c r="J2094" s="221" t="s">
        <v>3023</v>
      </c>
      <c r="K2094" s="224" t="s">
        <v>3076</v>
      </c>
      <c r="L2094" s="225" t="str">
        <f>VLOOKUP(Logfile_S[[#This Row],[Material Name]],Sheet2!B:C,2,0)</f>
        <v>ZTE2013</v>
      </c>
      <c r="M2094" s="225" t="str">
        <f>_xlfn.XLOOKUP(Logfile_S[[#This Row],[Material Name]],Sum_WH!E:E,Sum_WH!F:F,"",0)</f>
        <v>Meter</v>
      </c>
      <c r="N2094" s="221">
        <v>3000</v>
      </c>
      <c r="O2094" s="221" t="s">
        <v>834</v>
      </c>
      <c r="P2094" s="221" t="s">
        <v>3335</v>
      </c>
      <c r="Q2094" s="221" t="s">
        <v>848</v>
      </c>
      <c r="R2094" s="221" t="s">
        <v>849</v>
      </c>
      <c r="S2094" s="227"/>
      <c r="T2094" s="227"/>
      <c r="U2094" s="227"/>
      <c r="V2094" s="227"/>
      <c r="W2094" s="227"/>
      <c r="X2094" s="227"/>
      <c r="Y2094" s="238" t="s">
        <v>4967</v>
      </c>
      <c r="Z2094" s="227" t="str">
        <f>P2094</f>
        <v>HUBFEEDER BATURETNO RW 02</v>
      </c>
      <c r="AA2094" s="276">
        <f>VLOOKUP(Logfile_S[[#This Row],[DO number]],DO_DB!G:I,3,0)</f>
        <v>45307</v>
      </c>
      <c r="AB2094" s="331" t="b">
        <f>EXACT(Logfile_S[[#This Row],[date pick]],Logfile_S[[#This Row],[Date]])</f>
        <v>1</v>
      </c>
      <c r="AC20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96C-2024116-02</v>
      </c>
    </row>
    <row r="2095" spans="1:29" ht="14.5">
      <c r="A2095" s="220" t="str">
        <f>TEXT(ROW(A2095)-ROW($A$4),"000")</f>
        <v>2091</v>
      </c>
      <c r="B2095" s="221"/>
      <c r="C2095" s="221" t="s">
        <v>48</v>
      </c>
      <c r="D2095" s="221" t="s">
        <v>3867</v>
      </c>
      <c r="E2095" s="221" t="s">
        <v>3295</v>
      </c>
      <c r="F2095" s="221" t="s">
        <v>3299</v>
      </c>
      <c r="G2095" s="222">
        <v>45307</v>
      </c>
      <c r="H2095" s="223">
        <v>15.291666666666666</v>
      </c>
      <c r="I2095" s="221" t="s">
        <v>37</v>
      </c>
      <c r="J2095" s="221" t="s">
        <v>3023</v>
      </c>
      <c r="K2095" s="224" t="s">
        <v>3072</v>
      </c>
      <c r="L2095" s="225" t="str">
        <f>VLOOKUP(Logfile_S[[#This Row],[Material Name]],Sheet2!B:C,2,0)</f>
        <v>ZTE1004</v>
      </c>
      <c r="M2095" s="225" t="str">
        <f>_xlfn.XLOOKUP(Logfile_S[[#This Row],[Material Name]],Sum_WH!E:E,Sum_WH!F:F,"",0)</f>
        <v>Pcs</v>
      </c>
      <c r="N2095" s="221">
        <v>2</v>
      </c>
      <c r="O2095" s="221" t="s">
        <v>834</v>
      </c>
      <c r="P2095" s="221" t="s">
        <v>3335</v>
      </c>
      <c r="Q2095" s="221"/>
      <c r="R2095" s="221"/>
      <c r="S2095" s="221"/>
      <c r="T2095" s="221"/>
      <c r="U2095" s="221"/>
      <c r="V2095" s="221"/>
      <c r="W2095" s="221"/>
      <c r="X2095" s="221"/>
      <c r="Y2095" s="227"/>
      <c r="Z2095" s="227" t="str">
        <f>P2095</f>
        <v>HUBFEEDER BATURETNO RW 02</v>
      </c>
      <c r="AA2095" s="276" t="e">
        <f>VLOOKUP(Logfile_S[[#This Row],[DO number]],DO_DB!G:I,3,0)</f>
        <v>#N/A</v>
      </c>
      <c r="AB2095" s="331" t="e">
        <f>EXACT(Logfile_S[[#This Row],[date pick]],Logfile_S[[#This Row],[Date]])</f>
        <v>#N/A</v>
      </c>
      <c r="AC20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96" spans="1:29" ht="14.5">
      <c r="A2096" s="220" t="str">
        <f>TEXT(ROW(A2096)-ROW($A$4),"000")</f>
        <v>2092</v>
      </c>
      <c r="B2096" s="221"/>
      <c r="C2096" s="221" t="s">
        <v>48</v>
      </c>
      <c r="D2096" s="221" t="s">
        <v>3867</v>
      </c>
      <c r="E2096" s="221" t="s">
        <v>3295</v>
      </c>
      <c r="F2096" s="221" t="s">
        <v>3299</v>
      </c>
      <c r="G2096" s="222">
        <v>45307</v>
      </c>
      <c r="H2096" s="223">
        <v>15.291666666666666</v>
      </c>
      <c r="I2096" s="221" t="s">
        <v>37</v>
      </c>
      <c r="J2096" s="221" t="s">
        <v>3023</v>
      </c>
      <c r="K2096" s="224" t="s">
        <v>3069</v>
      </c>
      <c r="L2096" s="225" t="str">
        <f>VLOOKUP(Logfile_S[[#This Row],[Material Name]],Sheet2!B:C,2,0)</f>
        <v>ZTE1001</v>
      </c>
      <c r="M2096" s="225" t="str">
        <f>_xlfn.XLOOKUP(Logfile_S[[#This Row],[Material Name]],Sum_WH!E:E,Sum_WH!F:F,"",0)</f>
        <v>Pcs</v>
      </c>
      <c r="N2096" s="221">
        <v>61</v>
      </c>
      <c r="O2096" s="221" t="s">
        <v>834</v>
      </c>
      <c r="P2096" s="221" t="s">
        <v>3335</v>
      </c>
      <c r="Q2096" s="221" t="s">
        <v>836</v>
      </c>
      <c r="R2096" s="221" t="s">
        <v>837</v>
      </c>
      <c r="S2096" s="221"/>
      <c r="T2096" s="221"/>
      <c r="U2096" s="221"/>
      <c r="V2096" s="221"/>
      <c r="W2096" s="221"/>
      <c r="X2096" s="221"/>
      <c r="Y2096" s="227"/>
      <c r="Z2096" s="227" t="str">
        <f>P2096</f>
        <v>HUBFEEDER BATURETNO RW 02</v>
      </c>
      <c r="AA2096" s="276">
        <f>VLOOKUP(Logfile_S[[#This Row],[DO number]],DO_DB!G:I,3,0)</f>
        <v>45307</v>
      </c>
      <c r="AB2096" s="331" t="b">
        <f>EXACT(Logfile_S[[#This Row],[date pick]],Logfile_S[[#This Row],[Date]])</f>
        <v>1</v>
      </c>
      <c r="AC20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97" spans="1:29" ht="14.5">
      <c r="A2097" s="220" t="str">
        <f>TEXT(ROW(A2097)-ROW($A$4),"000")</f>
        <v>2093</v>
      </c>
      <c r="B2097" s="221"/>
      <c r="C2097" s="221" t="s">
        <v>48</v>
      </c>
      <c r="D2097" s="221" t="s">
        <v>3867</v>
      </c>
      <c r="E2097" s="221" t="s">
        <v>3295</v>
      </c>
      <c r="F2097" s="221" t="s">
        <v>3299</v>
      </c>
      <c r="G2097" s="222">
        <v>45307</v>
      </c>
      <c r="H2097" s="223">
        <v>15.291666666666666</v>
      </c>
      <c r="I2097" s="221" t="s">
        <v>37</v>
      </c>
      <c r="J2097" s="221" t="s">
        <v>3023</v>
      </c>
      <c r="K2097" s="224" t="s">
        <v>3071</v>
      </c>
      <c r="L2097" s="225" t="str">
        <f>VLOOKUP(Logfile_S[[#This Row],[Material Name]],Sheet2!B:C,2,0)</f>
        <v>ZTE1003</v>
      </c>
      <c r="M2097" s="225" t="str">
        <f>_xlfn.XLOOKUP(Logfile_S[[#This Row],[Material Name]],Sum_WH!E:E,Sum_WH!F:F,"",0)</f>
        <v>Pcs</v>
      </c>
      <c r="N2097" s="221">
        <v>9</v>
      </c>
      <c r="O2097" s="221" t="s">
        <v>834</v>
      </c>
      <c r="P2097" s="221" t="s">
        <v>3335</v>
      </c>
      <c r="Q2097" s="221" t="s">
        <v>836</v>
      </c>
      <c r="R2097" s="221" t="s">
        <v>837</v>
      </c>
      <c r="S2097" s="221"/>
      <c r="T2097" s="221"/>
      <c r="U2097" s="221"/>
      <c r="V2097" s="221"/>
      <c r="W2097" s="221"/>
      <c r="X2097" s="221"/>
      <c r="Y2097" s="227"/>
      <c r="Z2097" s="227" t="str">
        <f>P2097</f>
        <v>HUBFEEDER BATURETNO RW 02</v>
      </c>
      <c r="AA2097" s="276">
        <f>VLOOKUP(Logfile_S[[#This Row],[DO number]],DO_DB!G:I,3,0)</f>
        <v>45307</v>
      </c>
      <c r="AB2097" s="331" t="b">
        <f>EXACT(Logfile_S[[#This Row],[date pick]],Logfile_S[[#This Row],[Date]])</f>
        <v>1</v>
      </c>
      <c r="AC20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098" spans="1:29" ht="14.5">
      <c r="A2098" s="220" t="str">
        <f>TEXT(ROW(A2098)-ROW($A$4),"000")</f>
        <v>2094</v>
      </c>
      <c r="B2098" s="221"/>
      <c r="C2098" s="221" t="s">
        <v>49</v>
      </c>
      <c r="D2098" s="221" t="s">
        <v>3879</v>
      </c>
      <c r="E2098" s="221" t="s">
        <v>3295</v>
      </c>
      <c r="F2098" s="221" t="s">
        <v>3299</v>
      </c>
      <c r="G2098" s="222">
        <v>45310</v>
      </c>
      <c r="H2098" s="223">
        <v>0.73333333333333339</v>
      </c>
      <c r="I2098" s="221" t="s">
        <v>4916</v>
      </c>
      <c r="J2098" s="221" t="s">
        <v>3023</v>
      </c>
      <c r="K2098" s="224" t="s">
        <v>3076</v>
      </c>
      <c r="L2098" s="225" t="str">
        <f>VLOOKUP(Logfile_S[[#This Row],[Material Name]],Sheet2!B:C,2,0)</f>
        <v>ZTE2013</v>
      </c>
      <c r="M2098" s="225" t="str">
        <f>_xlfn.XLOOKUP(Logfile_S[[#This Row],[Material Name]],Sum_WH!E:E,Sum_WH!F:F,"",0)</f>
        <v>Meter</v>
      </c>
      <c r="N2098" s="221">
        <v>3000</v>
      </c>
      <c r="O2098" s="221" t="s">
        <v>834</v>
      </c>
      <c r="P2098" s="221" t="s">
        <v>3335</v>
      </c>
      <c r="Q2098" s="221"/>
      <c r="R2098" s="221"/>
      <c r="S2098" s="221"/>
      <c r="T2098" s="221" t="s">
        <v>3258</v>
      </c>
      <c r="U2098" s="221" t="s">
        <v>3228</v>
      </c>
      <c r="V2098" s="221" t="s">
        <v>3337</v>
      </c>
      <c r="W2098" s="221" t="s">
        <v>3338</v>
      </c>
      <c r="X2098" s="221"/>
      <c r="Y2098" s="227" t="s">
        <v>4966</v>
      </c>
      <c r="Z2098" s="227" t="str">
        <f>P2098</f>
        <v>HUBFEEDER BATURETNO RW 02</v>
      </c>
      <c r="AA2098" s="276" t="e">
        <f>VLOOKUP(Logfile_S[[#This Row],[DO number]],DO_DB!G:I,3,0)</f>
        <v>#N/A</v>
      </c>
      <c r="AB2098" s="331" t="e">
        <f>EXACT(Logfile_S[[#This Row],[date pick]],Logfile_S[[#This Row],[Date]])</f>
        <v>#N/A</v>
      </c>
      <c r="AC20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96C-2024116-01</v>
      </c>
    </row>
    <row r="2099" spans="1:29" ht="14.5">
      <c r="A2099" s="220" t="str">
        <f>TEXT(ROW(A2099)-ROW($A$4),"000")</f>
        <v>2095</v>
      </c>
      <c r="B2099" s="221"/>
      <c r="C2099" s="221" t="s">
        <v>49</v>
      </c>
      <c r="D2099" s="221" t="s">
        <v>3879</v>
      </c>
      <c r="E2099" s="221" t="s">
        <v>3295</v>
      </c>
      <c r="F2099" s="221" t="s">
        <v>3299</v>
      </c>
      <c r="G2099" s="222">
        <v>45310</v>
      </c>
      <c r="H2099" s="223">
        <v>0.73333333333333339</v>
      </c>
      <c r="I2099" s="221" t="s">
        <v>4916</v>
      </c>
      <c r="J2099" s="221" t="s">
        <v>3024</v>
      </c>
      <c r="K2099" s="224" t="s">
        <v>3087</v>
      </c>
      <c r="L2099" s="225" t="str">
        <f>VLOOKUP(Logfile_S[[#This Row],[Material Name]],Sheet2!B:C,2,0)</f>
        <v>GCI1001</v>
      </c>
      <c r="M2099" s="225" t="str">
        <f>_xlfn.XLOOKUP(Logfile_S[[#This Row],[Material Name]],Sum_WH!E:E,Sum_WH!F:F,"",0)</f>
        <v>Pcs</v>
      </c>
      <c r="N2099" s="221">
        <v>7</v>
      </c>
      <c r="O2099" s="221" t="s">
        <v>834</v>
      </c>
      <c r="P2099" s="221" t="s">
        <v>3335</v>
      </c>
      <c r="Q2099" s="221"/>
      <c r="R2099" s="221"/>
      <c r="S2099" s="221"/>
      <c r="T2099" s="221" t="s">
        <v>3258</v>
      </c>
      <c r="U2099" s="221" t="s">
        <v>3228</v>
      </c>
      <c r="V2099" s="221" t="s">
        <v>3337</v>
      </c>
      <c r="W2099" s="221" t="s">
        <v>3338</v>
      </c>
      <c r="X2099" s="221"/>
      <c r="Y2099" s="227"/>
      <c r="Z2099" s="227" t="str">
        <f>P2099</f>
        <v>HUBFEEDER BATURETNO RW 02</v>
      </c>
      <c r="AA2099" s="276" t="e">
        <f>VLOOKUP(Logfile_S[[#This Row],[DO number]],DO_DB!G:I,3,0)</f>
        <v>#N/A</v>
      </c>
      <c r="AB2099" s="331" t="e">
        <f>EXACT(Logfile_S[[#This Row],[date pick]],Logfile_S[[#This Row],[Date]])</f>
        <v>#N/A</v>
      </c>
      <c r="AC20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00" spans="1:29" ht="14.5">
      <c r="A2100" s="220" t="str">
        <f>TEXT(ROW(A2100)-ROW($A$4),"000")</f>
        <v>2096</v>
      </c>
      <c r="B2100" s="221"/>
      <c r="C2100" s="221" t="s">
        <v>49</v>
      </c>
      <c r="D2100" s="221" t="s">
        <v>3879</v>
      </c>
      <c r="E2100" s="221" t="s">
        <v>3295</v>
      </c>
      <c r="F2100" s="221" t="s">
        <v>3299</v>
      </c>
      <c r="G2100" s="222">
        <v>45310</v>
      </c>
      <c r="H2100" s="223">
        <v>0.73333333333333339</v>
      </c>
      <c r="I2100" s="221" t="s">
        <v>4916</v>
      </c>
      <c r="J2100" s="221" t="s">
        <v>3024</v>
      </c>
      <c r="K2100" s="224" t="s">
        <v>5137</v>
      </c>
      <c r="L2100" s="225" t="str">
        <f>VLOOKUP(Logfile_S[[#This Row],[Material Name]],Sheet2!B:C,2,0)</f>
        <v>GCI1009</v>
      </c>
      <c r="M2100" s="225" t="str">
        <f>_xlfn.XLOOKUP(Logfile_S[[#This Row],[Material Name]],Sum_WH!E:E,Sum_WH!F:F,"",0)</f>
        <v>Pcs</v>
      </c>
      <c r="N2100" s="221">
        <v>16</v>
      </c>
      <c r="O2100" s="221" t="s">
        <v>834</v>
      </c>
      <c r="P2100" s="221" t="s">
        <v>3335</v>
      </c>
      <c r="Q2100" s="221"/>
      <c r="R2100" s="221"/>
      <c r="S2100" s="221"/>
      <c r="T2100" s="221" t="s">
        <v>3258</v>
      </c>
      <c r="U2100" s="221" t="s">
        <v>3228</v>
      </c>
      <c r="V2100" s="221" t="s">
        <v>3337</v>
      </c>
      <c r="W2100" s="221" t="s">
        <v>3338</v>
      </c>
      <c r="X2100" s="221"/>
      <c r="Y2100" s="227"/>
      <c r="Z2100" s="227" t="str">
        <f>P2100</f>
        <v>HUBFEEDER BATURETNO RW 02</v>
      </c>
      <c r="AA2100" s="276" t="e">
        <f>VLOOKUP(Logfile_S[[#This Row],[DO number]],DO_DB!G:I,3,0)</f>
        <v>#N/A</v>
      </c>
      <c r="AB2100" s="331" t="e">
        <f>EXACT(Logfile_S[[#This Row],[date pick]],Logfile_S[[#This Row],[Date]])</f>
        <v>#N/A</v>
      </c>
      <c r="AC21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01" spans="1:29" ht="14.5">
      <c r="A2101" s="220" t="str">
        <f>TEXT(ROW(A2101)-ROW($A$4),"000")</f>
        <v>2097</v>
      </c>
      <c r="B2101" s="221"/>
      <c r="C2101" s="221" t="s">
        <v>49</v>
      </c>
      <c r="D2101" s="221" t="s">
        <v>3879</v>
      </c>
      <c r="E2101" s="221" t="s">
        <v>3295</v>
      </c>
      <c r="F2101" s="221" t="s">
        <v>3299</v>
      </c>
      <c r="G2101" s="222">
        <v>45310</v>
      </c>
      <c r="H2101" s="223">
        <v>0.73333333333333339</v>
      </c>
      <c r="I2101" s="221" t="s">
        <v>4916</v>
      </c>
      <c r="J2101" s="221" t="s">
        <v>3023</v>
      </c>
      <c r="K2101" s="224" t="s">
        <v>3069</v>
      </c>
      <c r="L2101" s="225" t="str">
        <f>VLOOKUP(Logfile_S[[#This Row],[Material Name]],Sheet2!B:C,2,0)</f>
        <v>ZTE1001</v>
      </c>
      <c r="M2101" s="225" t="str">
        <f>_xlfn.XLOOKUP(Logfile_S[[#This Row],[Material Name]],Sum_WH!E:E,Sum_WH!F:F,"",0)</f>
        <v>Pcs</v>
      </c>
      <c r="N2101" s="221">
        <v>2</v>
      </c>
      <c r="O2101" s="221" t="s">
        <v>834</v>
      </c>
      <c r="P2101" s="221" t="s">
        <v>3335</v>
      </c>
      <c r="Q2101" s="221"/>
      <c r="R2101" s="221"/>
      <c r="S2101" s="221"/>
      <c r="T2101" s="221" t="s">
        <v>3258</v>
      </c>
      <c r="U2101" s="221" t="s">
        <v>3228</v>
      </c>
      <c r="V2101" s="221" t="s">
        <v>3337</v>
      </c>
      <c r="W2101" s="221" t="s">
        <v>3338</v>
      </c>
      <c r="X2101" s="221"/>
      <c r="Y2101" s="227"/>
      <c r="Z2101" s="227" t="str">
        <f>P2101</f>
        <v>HUBFEEDER BATURETNO RW 02</v>
      </c>
      <c r="AA2101" s="276" t="e">
        <f>VLOOKUP(Logfile_S[[#This Row],[DO number]],DO_DB!G:I,3,0)</f>
        <v>#N/A</v>
      </c>
      <c r="AB2101" s="331" t="e">
        <f>EXACT(Logfile_S[[#This Row],[date pick]],Logfile_S[[#This Row],[Date]])</f>
        <v>#N/A</v>
      </c>
      <c r="AC21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02" spans="1:29" ht="14.5">
      <c r="A2102" s="220" t="str">
        <f>TEXT(ROW(A2102)-ROW($A$4),"000")</f>
        <v>2098</v>
      </c>
      <c r="B2102" s="221"/>
      <c r="C2102" s="221" t="s">
        <v>49</v>
      </c>
      <c r="D2102" s="221" t="s">
        <v>3879</v>
      </c>
      <c r="E2102" s="221" t="s">
        <v>3295</v>
      </c>
      <c r="F2102" s="221" t="s">
        <v>3299</v>
      </c>
      <c r="G2102" s="222">
        <v>45310</v>
      </c>
      <c r="H2102" s="223">
        <v>0.73333333333333339</v>
      </c>
      <c r="I2102" s="221" t="s">
        <v>4916</v>
      </c>
      <c r="J2102" s="221" t="s">
        <v>3023</v>
      </c>
      <c r="K2102" s="224" t="s">
        <v>3071</v>
      </c>
      <c r="L2102" s="225" t="str">
        <f>VLOOKUP(Logfile_S[[#This Row],[Material Name]],Sheet2!B:C,2,0)</f>
        <v>ZTE1003</v>
      </c>
      <c r="M2102" s="225" t="str">
        <f>_xlfn.XLOOKUP(Logfile_S[[#This Row],[Material Name]],Sum_WH!E:E,Sum_WH!F:F,"",0)</f>
        <v>Pcs</v>
      </c>
      <c r="N2102" s="221">
        <v>1</v>
      </c>
      <c r="O2102" s="221" t="s">
        <v>834</v>
      </c>
      <c r="P2102" s="221" t="s">
        <v>3335</v>
      </c>
      <c r="Q2102" s="221"/>
      <c r="R2102" s="221"/>
      <c r="S2102" s="221"/>
      <c r="T2102" s="221" t="s">
        <v>3258</v>
      </c>
      <c r="U2102" s="221" t="s">
        <v>3228</v>
      </c>
      <c r="V2102" s="221" t="s">
        <v>3337</v>
      </c>
      <c r="W2102" s="221" t="s">
        <v>3338</v>
      </c>
      <c r="X2102" s="221"/>
      <c r="Y2102" s="227"/>
      <c r="Z2102" s="227" t="str">
        <f>P2102</f>
        <v>HUBFEEDER BATURETNO RW 02</v>
      </c>
      <c r="AA2102" s="276" t="e">
        <f>VLOOKUP(Logfile_S[[#This Row],[DO number]],DO_DB!G:I,3,0)</f>
        <v>#N/A</v>
      </c>
      <c r="AB2102" s="331" t="e">
        <f>EXACT(Logfile_S[[#This Row],[date pick]],Logfile_S[[#This Row],[Date]])</f>
        <v>#N/A</v>
      </c>
      <c r="AC21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03" spans="1:29" ht="14.5">
      <c r="A2103" s="220" t="str">
        <f>TEXT(ROW(A2103)-ROW($A$4),"000")</f>
        <v>2099</v>
      </c>
      <c r="B2103" s="221"/>
      <c r="C2103" s="221" t="s">
        <v>49</v>
      </c>
      <c r="D2103" s="221" t="s">
        <v>3879</v>
      </c>
      <c r="E2103" s="221" t="s">
        <v>3295</v>
      </c>
      <c r="F2103" s="221" t="s">
        <v>3299</v>
      </c>
      <c r="G2103" s="222">
        <v>45310</v>
      </c>
      <c r="H2103" s="223">
        <v>0.73333333333333339</v>
      </c>
      <c r="I2103" s="221" t="s">
        <v>4916</v>
      </c>
      <c r="J2103" s="221" t="s">
        <v>3024</v>
      </c>
      <c r="K2103" s="224" t="s">
        <v>3094</v>
      </c>
      <c r="L2103" s="225" t="str">
        <f>VLOOKUP(Logfile_S[[#This Row],[Material Name]],Sheet2!B:C,2,0)</f>
        <v>GCI1008</v>
      </c>
      <c r="M2103" s="225" t="str">
        <f>_xlfn.XLOOKUP(Logfile_S[[#This Row],[Material Name]],Sum_WH!E:E,Sum_WH!F:F,"",0)</f>
        <v>Pcs</v>
      </c>
      <c r="N2103" s="221">
        <v>8</v>
      </c>
      <c r="O2103" s="221" t="s">
        <v>834</v>
      </c>
      <c r="P2103" s="221" t="s">
        <v>3335</v>
      </c>
      <c r="Q2103" s="221"/>
      <c r="R2103" s="221"/>
      <c r="S2103" s="221"/>
      <c r="T2103" s="221" t="s">
        <v>3258</v>
      </c>
      <c r="U2103" s="221" t="s">
        <v>3228</v>
      </c>
      <c r="V2103" s="221" t="s">
        <v>3337</v>
      </c>
      <c r="W2103" s="221" t="s">
        <v>3338</v>
      </c>
      <c r="X2103" s="221"/>
      <c r="Y2103" s="227"/>
      <c r="Z2103" s="227" t="str">
        <f>P2103</f>
        <v>HUBFEEDER BATURETNO RW 02</v>
      </c>
      <c r="AA2103" s="276" t="e">
        <f>VLOOKUP(Logfile_S[[#This Row],[DO number]],DO_DB!G:I,3,0)</f>
        <v>#N/A</v>
      </c>
      <c r="AB2103" s="331" t="e">
        <f>EXACT(Logfile_S[[#This Row],[date pick]],Logfile_S[[#This Row],[Date]])</f>
        <v>#N/A</v>
      </c>
      <c r="AC21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04" spans="1:29" ht="14.5">
      <c r="A2104" s="220" t="str">
        <f>TEXT(ROW(A2104)-ROW($A$4),"000")</f>
        <v>2100</v>
      </c>
      <c r="B2104" s="221"/>
      <c r="C2104" s="221" t="s">
        <v>49</v>
      </c>
      <c r="D2104" s="221" t="s">
        <v>3879</v>
      </c>
      <c r="E2104" s="221" t="s">
        <v>3295</v>
      </c>
      <c r="F2104" s="221" t="s">
        <v>3299</v>
      </c>
      <c r="G2104" s="222">
        <v>45310</v>
      </c>
      <c r="H2104" s="223">
        <v>0.73333333333333339</v>
      </c>
      <c r="I2104" s="221" t="s">
        <v>4916</v>
      </c>
      <c r="J2104" s="221" t="s">
        <v>3024</v>
      </c>
      <c r="K2104" s="224" t="s">
        <v>3089</v>
      </c>
      <c r="L2104" s="225" t="str">
        <f>VLOOKUP(Logfile_S[[#This Row],[Material Name]],Sheet2!B:C,2,0)</f>
        <v>GCI1003</v>
      </c>
      <c r="M2104" s="225" t="str">
        <f>_xlfn.XLOOKUP(Logfile_S[[#This Row],[Material Name]],Sum_WH!E:E,Sum_WH!F:F,"",0)</f>
        <v>Pcs</v>
      </c>
      <c r="N2104" s="221">
        <v>16</v>
      </c>
      <c r="O2104" s="221" t="s">
        <v>834</v>
      </c>
      <c r="P2104" s="221" t="s">
        <v>3335</v>
      </c>
      <c r="Q2104" s="221"/>
      <c r="R2104" s="221"/>
      <c r="S2104" s="221"/>
      <c r="T2104" s="221" t="s">
        <v>3258</v>
      </c>
      <c r="U2104" s="221" t="s">
        <v>3228</v>
      </c>
      <c r="V2104" s="221" t="s">
        <v>3337</v>
      </c>
      <c r="W2104" s="221" t="s">
        <v>3338</v>
      </c>
      <c r="X2104" s="221"/>
      <c r="Y2104" s="227"/>
      <c r="Z2104" s="227" t="str">
        <f>P2104</f>
        <v>HUBFEEDER BATURETNO RW 02</v>
      </c>
      <c r="AA2104" s="276" t="e">
        <f>VLOOKUP(Logfile_S[[#This Row],[DO number]],DO_DB!G:I,3,0)</f>
        <v>#N/A</v>
      </c>
      <c r="AB2104" s="331" t="e">
        <f>EXACT(Logfile_S[[#This Row],[date pick]],Logfile_S[[#This Row],[Date]])</f>
        <v>#N/A</v>
      </c>
      <c r="AC21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05" spans="1:29" ht="14.5">
      <c r="A2105" s="220" t="str">
        <f>TEXT(ROW(A2105)-ROW($A$4),"000")</f>
        <v>2101</v>
      </c>
      <c r="B2105" s="221"/>
      <c r="C2105" s="221" t="s">
        <v>48</v>
      </c>
      <c r="D2105" s="221" t="s">
        <v>3880</v>
      </c>
      <c r="E2105" s="221" t="s">
        <v>3295</v>
      </c>
      <c r="F2105" s="221" t="s">
        <v>3299</v>
      </c>
      <c r="G2105" s="222">
        <v>45311</v>
      </c>
      <c r="H2105" s="223">
        <v>15.291666666666666</v>
      </c>
      <c r="I2105" s="221" t="s">
        <v>38</v>
      </c>
      <c r="J2105" s="221" t="s">
        <v>3024</v>
      </c>
      <c r="K2105" s="224" t="s">
        <v>3087</v>
      </c>
      <c r="L2105" s="225" t="str">
        <f>VLOOKUP(Logfile_S[[#This Row],[Material Name]],Sheet2!B:C,2,0)</f>
        <v>GCI1001</v>
      </c>
      <c r="M2105" s="225" t="str">
        <f>_xlfn.XLOOKUP(Logfile_S[[#This Row],[Material Name]],Sum_WH!E:E,Sum_WH!F:F,"",0)</f>
        <v>Pcs</v>
      </c>
      <c r="N2105" s="221">
        <v>1</v>
      </c>
      <c r="O2105" s="221" t="s">
        <v>834</v>
      </c>
      <c r="P2105" s="221" t="s">
        <v>3335</v>
      </c>
      <c r="Q2105" s="221">
        <v>0</v>
      </c>
      <c r="R2105" s="221">
        <v>0</v>
      </c>
      <c r="S2105" s="221"/>
      <c r="T2105" s="221"/>
      <c r="U2105" s="221"/>
      <c r="V2105" s="221"/>
      <c r="W2105" s="221"/>
      <c r="X2105" s="221"/>
      <c r="Y2105" s="238"/>
      <c r="Z2105" s="227" t="str">
        <f>P2105</f>
        <v>HUBFEEDER BATURETNO RW 02</v>
      </c>
      <c r="AA2105" s="276" t="e">
        <f>VLOOKUP(Logfile_S[[#This Row],[DO number]],DO_DB!G:I,3,0)</f>
        <v>#N/A</v>
      </c>
      <c r="AB2105" s="331" t="e">
        <f>EXACT(Logfile_S[[#This Row],[date pick]],Logfile_S[[#This Row],[Date]])</f>
        <v>#N/A</v>
      </c>
      <c r="AC21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06" spans="1:29" ht="14.5">
      <c r="A2106" s="220" t="str">
        <f>TEXT(ROW(A2106)-ROW($A$4),"000")</f>
        <v>2102</v>
      </c>
      <c r="B2106" s="221"/>
      <c r="C2106" s="221" t="s">
        <v>48</v>
      </c>
      <c r="D2106" s="221" t="s">
        <v>3880</v>
      </c>
      <c r="E2106" s="221" t="s">
        <v>3295</v>
      </c>
      <c r="F2106" s="221" t="s">
        <v>3299</v>
      </c>
      <c r="G2106" s="222">
        <v>45311</v>
      </c>
      <c r="H2106" s="223">
        <v>15.291666666666666</v>
      </c>
      <c r="I2106" s="221" t="s">
        <v>37</v>
      </c>
      <c r="J2106" s="221" t="s">
        <v>3023</v>
      </c>
      <c r="K2106" s="224" t="s">
        <v>3071</v>
      </c>
      <c r="L2106" s="225" t="str">
        <f>VLOOKUP(Logfile_S[[#This Row],[Material Name]],Sheet2!B:C,2,0)</f>
        <v>ZTE1003</v>
      </c>
      <c r="M2106" s="225" t="str">
        <f>_xlfn.XLOOKUP(Logfile_S[[#This Row],[Material Name]],Sum_WH!E:E,Sum_WH!F:F,"",0)</f>
        <v>Pcs</v>
      </c>
      <c r="N2106" s="221">
        <v>1</v>
      </c>
      <c r="O2106" s="221" t="s">
        <v>834</v>
      </c>
      <c r="P2106" s="221" t="s">
        <v>3335</v>
      </c>
      <c r="Q2106" s="221" t="s">
        <v>836</v>
      </c>
      <c r="R2106" s="221" t="s">
        <v>837</v>
      </c>
      <c r="S2106" s="221"/>
      <c r="T2106" s="221"/>
      <c r="U2106" s="221"/>
      <c r="V2106" s="221"/>
      <c r="W2106" s="221"/>
      <c r="X2106" s="221"/>
      <c r="Y2106" s="227"/>
      <c r="Z2106" s="227" t="str">
        <f>P2106</f>
        <v>HUBFEEDER BATURETNO RW 02</v>
      </c>
      <c r="AA2106" s="276">
        <f>VLOOKUP(Logfile_S[[#This Row],[DO number]],DO_DB!G:I,3,0)</f>
        <v>45307</v>
      </c>
      <c r="AB2106" s="331" t="b">
        <f>EXACT(Logfile_S[[#This Row],[date pick]],Logfile_S[[#This Row],[Date]])</f>
        <v>0</v>
      </c>
      <c r="AC21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07" spans="1:29" ht="14.5">
      <c r="A2107" s="220" t="str">
        <f>TEXT(ROW(A2107)-ROW($A$4),"000")</f>
        <v>2103</v>
      </c>
      <c r="B2107" s="221"/>
      <c r="C2107" s="221" t="s">
        <v>49</v>
      </c>
      <c r="D2107" s="221" t="s">
        <v>3885</v>
      </c>
      <c r="E2107" s="221" t="s">
        <v>3295</v>
      </c>
      <c r="F2107" s="221" t="s">
        <v>3299</v>
      </c>
      <c r="G2107" s="222">
        <v>45313</v>
      </c>
      <c r="H2107" s="223">
        <v>0.3840277777777778</v>
      </c>
      <c r="I2107" s="221" t="s">
        <v>4916</v>
      </c>
      <c r="J2107" s="221" t="s">
        <v>3023</v>
      </c>
      <c r="K2107" s="224" t="s">
        <v>3076</v>
      </c>
      <c r="L2107" s="225" t="str">
        <f>VLOOKUP(Logfile_S[[#This Row],[Material Name]],Sheet2!B:C,2,0)</f>
        <v>ZTE2013</v>
      </c>
      <c r="M2107" s="225" t="str">
        <f>_xlfn.XLOOKUP(Logfile_S[[#This Row],[Material Name]],Sum_WH!E:E,Sum_WH!F:F,"",0)</f>
        <v>Meter</v>
      </c>
      <c r="N2107" s="221">
        <v>3000</v>
      </c>
      <c r="O2107" s="221" t="s">
        <v>834</v>
      </c>
      <c r="P2107" s="221" t="s">
        <v>3335</v>
      </c>
      <c r="Q2107" s="221"/>
      <c r="R2107" s="221"/>
      <c r="S2107" s="221"/>
      <c r="T2107" s="221" t="s">
        <v>3258</v>
      </c>
      <c r="U2107" s="221" t="s">
        <v>3228</v>
      </c>
      <c r="V2107" s="221" t="s">
        <v>3337</v>
      </c>
      <c r="W2107" s="221" t="s">
        <v>3338</v>
      </c>
      <c r="X2107" s="221" t="s">
        <v>3523</v>
      </c>
      <c r="Y2107" s="227" t="s">
        <v>4967</v>
      </c>
      <c r="Z2107" s="227" t="str">
        <f>P2107</f>
        <v>HUBFEEDER BATURETNO RW 02</v>
      </c>
      <c r="AA2107" s="276" t="e">
        <f>VLOOKUP(Logfile_S[[#This Row],[DO number]],DO_DB!G:I,3,0)</f>
        <v>#N/A</v>
      </c>
      <c r="AB2107" s="331" t="e">
        <f>EXACT(Logfile_S[[#This Row],[date pick]],Logfile_S[[#This Row],[Date]])</f>
        <v>#N/A</v>
      </c>
      <c r="AC21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96C-2024116-02</v>
      </c>
    </row>
    <row r="2108" spans="1:29" ht="14.5">
      <c r="A2108" s="220" t="str">
        <f>TEXT(ROW(A2108)-ROW($A$4),"000")</f>
        <v>2104</v>
      </c>
      <c r="B2108" s="221"/>
      <c r="C2108" s="221" t="s">
        <v>3429</v>
      </c>
      <c r="D2108" s="221" t="s">
        <v>3890</v>
      </c>
      <c r="E2108" s="221" t="s">
        <v>3295</v>
      </c>
      <c r="F2108" s="221" t="s">
        <v>3299</v>
      </c>
      <c r="G2108" s="222">
        <v>45313</v>
      </c>
      <c r="H2108" s="223">
        <v>15.291666666666666</v>
      </c>
      <c r="I2108" s="221" t="s">
        <v>3193</v>
      </c>
      <c r="J2108" s="221" t="s">
        <v>3024</v>
      </c>
      <c r="K2108" s="224" t="s">
        <v>16</v>
      </c>
      <c r="L2108" s="225" t="str">
        <f>VLOOKUP(Logfile_S[[#This Row],[Material Name]],Sheet2!B:C,2,0)</f>
        <v>ZTE2020</v>
      </c>
      <c r="M2108" s="225" t="str">
        <f>_xlfn.XLOOKUP(Logfile_S[[#This Row],[Material Name]],Sum_WH!E:E,Sum_WH!F:F,"",0)</f>
        <v>Meter</v>
      </c>
      <c r="N2108" s="221">
        <v>127</v>
      </c>
      <c r="O2108" s="221" t="s">
        <v>834</v>
      </c>
      <c r="P2108" s="221" t="s">
        <v>3335</v>
      </c>
      <c r="Q2108" s="221">
        <v>0</v>
      </c>
      <c r="R2108" s="221">
        <v>0</v>
      </c>
      <c r="S2108" s="221"/>
      <c r="T2108" s="221"/>
      <c r="U2108" s="221"/>
      <c r="V2108" s="221"/>
      <c r="W2108" s="221"/>
      <c r="X2108" s="221" t="s">
        <v>3891</v>
      </c>
      <c r="Y2108" s="227"/>
      <c r="Z2108" s="227" t="str">
        <f>P2108</f>
        <v>HUBFEEDER BATURETNO RW 02</v>
      </c>
      <c r="AA2108" s="276" t="e">
        <f>VLOOKUP(Logfile_S[[#This Row],[DO number]],DO_DB!G:I,3,0)</f>
        <v>#N/A</v>
      </c>
      <c r="AB2108" s="331" t="e">
        <f>EXACT(Logfile_S[[#This Row],[date pick]],Logfile_S[[#This Row],[Date]])</f>
        <v>#N/A</v>
      </c>
      <c r="AC21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09" spans="1:29" ht="14.5">
      <c r="A2109" s="220" t="str">
        <f>TEXT(ROW(A2109)-ROW($A$4),"000")</f>
        <v>2105</v>
      </c>
      <c r="B2109" s="221"/>
      <c r="C2109" s="221" t="s">
        <v>49</v>
      </c>
      <c r="D2109" s="221" t="s">
        <v>3888</v>
      </c>
      <c r="E2109" s="221" t="s">
        <v>3295</v>
      </c>
      <c r="F2109" s="221" t="s">
        <v>3299</v>
      </c>
      <c r="G2109" s="222">
        <v>45313</v>
      </c>
      <c r="H2109" s="223">
        <v>0.63124999999999998</v>
      </c>
      <c r="I2109" s="221" t="s">
        <v>4916</v>
      </c>
      <c r="J2109" s="221" t="s">
        <v>3024</v>
      </c>
      <c r="K2109" s="224" t="s">
        <v>16</v>
      </c>
      <c r="L2109" s="225" t="str">
        <f>VLOOKUP(Logfile_S[[#This Row],[Material Name]],Sheet2!B:C,2,0)</f>
        <v>ZTE2020</v>
      </c>
      <c r="M2109" s="225" t="str">
        <f>_xlfn.XLOOKUP(Logfile_S[[#This Row],[Material Name]],Sum_WH!E:E,Sum_WH!F:F,"",0)</f>
        <v>Meter</v>
      </c>
      <c r="N2109" s="221">
        <v>127</v>
      </c>
      <c r="O2109" s="221" t="s">
        <v>834</v>
      </c>
      <c r="P2109" s="221" t="s">
        <v>3335</v>
      </c>
      <c r="Q2109" s="221"/>
      <c r="R2109" s="221"/>
      <c r="S2109" s="221"/>
      <c r="T2109" s="221" t="s">
        <v>3258</v>
      </c>
      <c r="U2109" s="221" t="s">
        <v>3228</v>
      </c>
      <c r="V2109" s="221" t="s">
        <v>3337</v>
      </c>
      <c r="W2109" s="221" t="s">
        <v>3338</v>
      </c>
      <c r="X2109" s="221"/>
      <c r="Y2109" s="227"/>
      <c r="Z2109" s="227" t="str">
        <f>P2109</f>
        <v>HUBFEEDER BATURETNO RW 02</v>
      </c>
      <c r="AA2109" s="276" t="e">
        <f>VLOOKUP(Logfile_S[[#This Row],[DO number]],DO_DB!G:I,3,0)</f>
        <v>#N/A</v>
      </c>
      <c r="AB2109" s="331" t="e">
        <f>EXACT(Logfile_S[[#This Row],[date pick]],Logfile_S[[#This Row],[Date]])</f>
        <v>#N/A</v>
      </c>
      <c r="AC21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10" spans="1:29" ht="14.5">
      <c r="A2110" s="220" t="str">
        <f>TEXT(ROW(A2110)-ROW($A$4),"000")</f>
        <v>2106</v>
      </c>
      <c r="B2110" s="221"/>
      <c r="C2110" s="221" t="s">
        <v>49</v>
      </c>
      <c r="D2110" s="221" t="s">
        <v>3885</v>
      </c>
      <c r="E2110" s="221" t="s">
        <v>3295</v>
      </c>
      <c r="F2110" s="221" t="s">
        <v>3299</v>
      </c>
      <c r="G2110" s="222">
        <v>45313</v>
      </c>
      <c r="H2110" s="223">
        <v>0.3840277777777778</v>
      </c>
      <c r="I2110" s="221" t="s">
        <v>4916</v>
      </c>
      <c r="J2110" s="221" t="s">
        <v>3024</v>
      </c>
      <c r="K2110" s="224" t="s">
        <v>5136</v>
      </c>
      <c r="L2110" s="225" t="str">
        <f>VLOOKUP(Logfile_S[[#This Row],[Material Name]],Sheet2!B:C,2,0)</f>
        <v>GCI1010</v>
      </c>
      <c r="M2110" s="225" t="str">
        <f>_xlfn.XLOOKUP(Logfile_S[[#This Row],[Material Name]],Sum_WH!E:E,Sum_WH!F:F,"",0)</f>
        <v>Pcs</v>
      </c>
      <c r="N2110" s="221">
        <v>20</v>
      </c>
      <c r="O2110" s="221" t="s">
        <v>834</v>
      </c>
      <c r="P2110" s="221" t="s">
        <v>3335</v>
      </c>
      <c r="Q2110" s="221"/>
      <c r="R2110" s="221"/>
      <c r="S2110" s="221"/>
      <c r="T2110" s="221" t="s">
        <v>3258</v>
      </c>
      <c r="U2110" s="221" t="s">
        <v>3228</v>
      </c>
      <c r="V2110" s="221" t="s">
        <v>3337</v>
      </c>
      <c r="W2110" s="221" t="s">
        <v>3338</v>
      </c>
      <c r="X2110" s="221"/>
      <c r="Y2110" s="227"/>
      <c r="Z2110" s="227" t="str">
        <f>P2110</f>
        <v>HUBFEEDER BATURETNO RW 02</v>
      </c>
      <c r="AA2110" s="276" t="e">
        <f>VLOOKUP(Logfile_S[[#This Row],[DO number]],DO_DB!G:I,3,0)</f>
        <v>#N/A</v>
      </c>
      <c r="AB2110" s="331" t="e">
        <f>EXACT(Logfile_S[[#This Row],[date pick]],Logfile_S[[#This Row],[Date]])</f>
        <v>#N/A</v>
      </c>
      <c r="AC21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11" spans="1:29" ht="14.5">
      <c r="A2111" s="220" t="str">
        <f>TEXT(ROW(A2111)-ROW($A$4),"000")</f>
        <v>2107</v>
      </c>
      <c r="B2111" s="221"/>
      <c r="C2111" s="221" t="s">
        <v>49</v>
      </c>
      <c r="D2111" s="221" t="s">
        <v>3885</v>
      </c>
      <c r="E2111" s="221" t="s">
        <v>3295</v>
      </c>
      <c r="F2111" s="221" t="s">
        <v>3299</v>
      </c>
      <c r="G2111" s="222">
        <v>45313</v>
      </c>
      <c r="H2111" s="223">
        <v>0.3840277777777778</v>
      </c>
      <c r="I2111" s="221" t="s">
        <v>4916</v>
      </c>
      <c r="J2111" s="221" t="s">
        <v>3024</v>
      </c>
      <c r="K2111" s="224" t="s">
        <v>3087</v>
      </c>
      <c r="L2111" s="225" t="str">
        <f>VLOOKUP(Logfile_S[[#This Row],[Material Name]],Sheet2!B:C,2,0)</f>
        <v>GCI1001</v>
      </c>
      <c r="M2111" s="225" t="str">
        <f>_xlfn.XLOOKUP(Logfile_S[[#This Row],[Material Name]],Sum_WH!E:E,Sum_WH!F:F,"",0)</f>
        <v>Pcs</v>
      </c>
      <c r="N2111" s="221">
        <v>4</v>
      </c>
      <c r="O2111" s="221" t="s">
        <v>834</v>
      </c>
      <c r="P2111" s="221" t="s">
        <v>3335</v>
      </c>
      <c r="Q2111" s="221"/>
      <c r="R2111" s="221"/>
      <c r="S2111" s="221"/>
      <c r="T2111" s="221" t="s">
        <v>3258</v>
      </c>
      <c r="U2111" s="221" t="s">
        <v>3228</v>
      </c>
      <c r="V2111" s="221" t="s">
        <v>3337</v>
      </c>
      <c r="W2111" s="221" t="s">
        <v>3338</v>
      </c>
      <c r="X2111" s="221"/>
      <c r="Y2111" s="227"/>
      <c r="Z2111" s="227" t="str">
        <f>P2111</f>
        <v>HUBFEEDER BATURETNO RW 02</v>
      </c>
      <c r="AA2111" s="276" t="e">
        <f>VLOOKUP(Logfile_S[[#This Row],[DO number]],DO_DB!G:I,3,0)</f>
        <v>#N/A</v>
      </c>
      <c r="AB2111" s="331" t="e">
        <f>EXACT(Logfile_S[[#This Row],[date pick]],Logfile_S[[#This Row],[Date]])</f>
        <v>#N/A</v>
      </c>
      <c r="AC21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12" spans="1:29" ht="14.5">
      <c r="A2112" s="220" t="str">
        <f>TEXT(ROW(A2112)-ROW($A$4),"000")</f>
        <v>2108</v>
      </c>
      <c r="B2112" s="221"/>
      <c r="C2112" s="221" t="s">
        <v>49</v>
      </c>
      <c r="D2112" s="221" t="s">
        <v>3887</v>
      </c>
      <c r="E2112" s="221" t="s">
        <v>3295</v>
      </c>
      <c r="F2112" s="221" t="s">
        <v>3299</v>
      </c>
      <c r="G2112" s="222">
        <v>45313</v>
      </c>
      <c r="H2112" s="223">
        <v>0.62291666666666667</v>
      </c>
      <c r="I2112" s="221" t="s">
        <v>4916</v>
      </c>
      <c r="J2112" s="221" t="s">
        <v>3023</v>
      </c>
      <c r="K2112" s="224" t="s">
        <v>3072</v>
      </c>
      <c r="L2112" s="225" t="str">
        <f>VLOOKUP(Logfile_S[[#This Row],[Material Name]],Sheet2!B:C,2,0)</f>
        <v>ZTE1004</v>
      </c>
      <c r="M2112" s="225" t="str">
        <f>_xlfn.XLOOKUP(Logfile_S[[#This Row],[Material Name]],Sum_WH!E:E,Sum_WH!F:F,"",0)</f>
        <v>Pcs</v>
      </c>
      <c r="N2112" s="221">
        <v>2</v>
      </c>
      <c r="O2112" s="221" t="s">
        <v>834</v>
      </c>
      <c r="P2112" s="221" t="s">
        <v>3335</v>
      </c>
      <c r="Q2112" s="221"/>
      <c r="R2112" s="221"/>
      <c r="S2112" s="221"/>
      <c r="T2112" s="221" t="s">
        <v>3231</v>
      </c>
      <c r="U2112" s="221" t="s">
        <v>3228</v>
      </c>
      <c r="V2112" s="221" t="s">
        <v>3232</v>
      </c>
      <c r="W2112" s="221" t="s">
        <v>3246</v>
      </c>
      <c r="X2112" s="221"/>
      <c r="Y2112" s="227"/>
      <c r="Z2112" s="227" t="str">
        <f>P2112</f>
        <v>HUBFEEDER BATURETNO RW 02</v>
      </c>
      <c r="AA2112" s="276" t="e">
        <f>VLOOKUP(Logfile_S[[#This Row],[DO number]],DO_DB!G:I,3,0)</f>
        <v>#N/A</v>
      </c>
      <c r="AB2112" s="331" t="e">
        <f>EXACT(Logfile_S[[#This Row],[date pick]],Logfile_S[[#This Row],[Date]])</f>
        <v>#N/A</v>
      </c>
      <c r="AC21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13" spans="1:29" ht="14.5">
      <c r="A2113" s="220" t="str">
        <f>TEXT(ROW(A2113)-ROW($A$4),"000")</f>
        <v>2109</v>
      </c>
      <c r="B2113" s="221"/>
      <c r="C2113" s="221" t="s">
        <v>49</v>
      </c>
      <c r="D2113" s="221" t="s">
        <v>3885</v>
      </c>
      <c r="E2113" s="221" t="s">
        <v>3295</v>
      </c>
      <c r="F2113" s="221" t="s">
        <v>3299</v>
      </c>
      <c r="G2113" s="222">
        <v>45313</v>
      </c>
      <c r="H2113" s="223">
        <v>0.3840277777777778</v>
      </c>
      <c r="I2113" s="221" t="s">
        <v>4916</v>
      </c>
      <c r="J2113" s="221" t="s">
        <v>3024</v>
      </c>
      <c r="K2113" s="224" t="s">
        <v>3094</v>
      </c>
      <c r="L2113" s="225" t="str">
        <f>VLOOKUP(Logfile_S[[#This Row],[Material Name]],Sheet2!B:C,2,0)</f>
        <v>GCI1008</v>
      </c>
      <c r="M2113" s="225" t="str">
        <f>_xlfn.XLOOKUP(Logfile_S[[#This Row],[Material Name]],Sum_WH!E:E,Sum_WH!F:F,"",0)</f>
        <v>Pcs</v>
      </c>
      <c r="N2113" s="221">
        <v>10</v>
      </c>
      <c r="O2113" s="221" t="s">
        <v>834</v>
      </c>
      <c r="P2113" s="221" t="s">
        <v>3335</v>
      </c>
      <c r="Q2113" s="221"/>
      <c r="R2113" s="221"/>
      <c r="S2113" s="221"/>
      <c r="T2113" s="221" t="s">
        <v>3258</v>
      </c>
      <c r="U2113" s="221" t="s">
        <v>3228</v>
      </c>
      <c r="V2113" s="221" t="s">
        <v>3337</v>
      </c>
      <c r="W2113" s="221" t="s">
        <v>3338</v>
      </c>
      <c r="X2113" s="221"/>
      <c r="Y2113" s="227"/>
      <c r="Z2113" s="227" t="str">
        <f>P2113</f>
        <v>HUBFEEDER BATURETNO RW 02</v>
      </c>
      <c r="AA2113" s="276" t="e">
        <f>VLOOKUP(Logfile_S[[#This Row],[DO number]],DO_DB!G:I,3,0)</f>
        <v>#N/A</v>
      </c>
      <c r="AB2113" s="331" t="e">
        <f>EXACT(Logfile_S[[#This Row],[date pick]],Logfile_S[[#This Row],[Date]])</f>
        <v>#N/A</v>
      </c>
      <c r="AC21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14" spans="1:29" ht="14.5">
      <c r="A2114" s="220" t="str">
        <f>TEXT(ROW(A2114)-ROW($A$4),"000")</f>
        <v>2110</v>
      </c>
      <c r="B2114" s="221"/>
      <c r="C2114" s="221" t="s">
        <v>49</v>
      </c>
      <c r="D2114" s="221" t="s">
        <v>3885</v>
      </c>
      <c r="E2114" s="221" t="s">
        <v>3295</v>
      </c>
      <c r="F2114" s="221" t="s">
        <v>3299</v>
      </c>
      <c r="G2114" s="222">
        <v>45313</v>
      </c>
      <c r="H2114" s="223">
        <v>0.3840277777777778</v>
      </c>
      <c r="I2114" s="221" t="s">
        <v>4916</v>
      </c>
      <c r="J2114" s="221" t="s">
        <v>3024</v>
      </c>
      <c r="K2114" s="224" t="s">
        <v>3089</v>
      </c>
      <c r="L2114" s="225" t="str">
        <f>VLOOKUP(Logfile_S[[#This Row],[Material Name]],Sheet2!B:C,2,0)</f>
        <v>GCI1003</v>
      </c>
      <c r="M2114" s="225" t="str">
        <f>_xlfn.XLOOKUP(Logfile_S[[#This Row],[Material Name]],Sum_WH!E:E,Sum_WH!F:F,"",0)</f>
        <v>Pcs</v>
      </c>
      <c r="N2114" s="221">
        <v>40</v>
      </c>
      <c r="O2114" s="221" t="s">
        <v>834</v>
      </c>
      <c r="P2114" s="221" t="s">
        <v>3335</v>
      </c>
      <c r="Q2114" s="221"/>
      <c r="R2114" s="221"/>
      <c r="S2114" s="221"/>
      <c r="T2114" s="221" t="s">
        <v>3258</v>
      </c>
      <c r="U2114" s="221" t="s">
        <v>3228</v>
      </c>
      <c r="V2114" s="221" t="s">
        <v>3337</v>
      </c>
      <c r="W2114" s="221" t="s">
        <v>3338</v>
      </c>
      <c r="X2114" s="221"/>
      <c r="Y2114" s="227"/>
      <c r="Z2114" s="227" t="str">
        <f>P2114</f>
        <v>HUBFEEDER BATURETNO RW 02</v>
      </c>
      <c r="AA2114" s="276" t="e">
        <f>VLOOKUP(Logfile_S[[#This Row],[DO number]],DO_DB!G:I,3,0)</f>
        <v>#N/A</v>
      </c>
      <c r="AB2114" s="331" t="e">
        <f>EXACT(Logfile_S[[#This Row],[date pick]],Logfile_S[[#This Row],[Date]])</f>
        <v>#N/A</v>
      </c>
      <c r="AC21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15" spans="1:29" ht="14.5">
      <c r="A2115" s="220" t="str">
        <f>TEXT(ROW(A2115)-ROW($A$4),"000")</f>
        <v>2111</v>
      </c>
      <c r="B2115" s="221"/>
      <c r="C2115" s="221" t="s">
        <v>48</v>
      </c>
      <c r="D2115" s="221" t="s">
        <v>3901</v>
      </c>
      <c r="E2115" s="221" t="s">
        <v>3295</v>
      </c>
      <c r="F2115" s="221" t="s">
        <v>3299</v>
      </c>
      <c r="G2115" s="222">
        <v>45316</v>
      </c>
      <c r="H2115" s="223">
        <v>15.291666666666666</v>
      </c>
      <c r="I2115" s="221" t="s">
        <v>38</v>
      </c>
      <c r="J2115" s="221" t="s">
        <v>3024</v>
      </c>
      <c r="K2115" s="224" t="s">
        <v>5136</v>
      </c>
      <c r="L2115" s="225" t="str">
        <f>VLOOKUP(Logfile_S[[#This Row],[Material Name]],Sheet2!B:C,2,0)</f>
        <v>GCI1010</v>
      </c>
      <c r="M2115" s="225" t="str">
        <f>_xlfn.XLOOKUP(Logfile_S[[#This Row],[Material Name]],Sum_WH!E:E,Sum_WH!F:F,"",0)</f>
        <v>Pcs</v>
      </c>
      <c r="N2115" s="221">
        <v>4</v>
      </c>
      <c r="O2115" s="221" t="s">
        <v>834</v>
      </c>
      <c r="P2115" s="221" t="s">
        <v>3335</v>
      </c>
      <c r="Q2115" s="221">
        <v>0</v>
      </c>
      <c r="R2115" s="221">
        <v>0</v>
      </c>
      <c r="S2115" s="221"/>
      <c r="T2115" s="221"/>
      <c r="U2115" s="221"/>
      <c r="V2115" s="221"/>
      <c r="W2115" s="221"/>
      <c r="X2115" s="221"/>
      <c r="Y2115" s="227"/>
      <c r="Z2115" s="227" t="str">
        <f>P2115</f>
        <v>HUBFEEDER BATURETNO RW 02</v>
      </c>
      <c r="AA2115" s="276" t="e">
        <f>VLOOKUP(Logfile_S[[#This Row],[DO number]],DO_DB!G:I,3,0)</f>
        <v>#N/A</v>
      </c>
      <c r="AB2115" s="331" t="e">
        <f>EXACT(Logfile_S[[#This Row],[date pick]],Logfile_S[[#This Row],[Date]])</f>
        <v>#N/A</v>
      </c>
      <c r="AC21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16" spans="1:29" ht="14.5">
      <c r="A2116" s="220" t="str">
        <f>TEXT(ROW(A2116)-ROW($A$4),"000")</f>
        <v>2112</v>
      </c>
      <c r="B2116" s="221"/>
      <c r="C2116" s="221" t="s">
        <v>49</v>
      </c>
      <c r="D2116" s="221" t="s">
        <v>3914</v>
      </c>
      <c r="E2116" s="221" t="s">
        <v>3295</v>
      </c>
      <c r="F2116" s="221" t="s">
        <v>3299</v>
      </c>
      <c r="G2116" s="222">
        <v>45329</v>
      </c>
      <c r="H2116" s="223">
        <v>0.94513888888888886</v>
      </c>
      <c r="I2116" s="221" t="s">
        <v>4916</v>
      </c>
      <c r="J2116" s="221" t="s">
        <v>3023</v>
      </c>
      <c r="K2116" s="224" t="s">
        <v>3069</v>
      </c>
      <c r="L2116" s="225" t="str">
        <f>VLOOKUP(Logfile_S[[#This Row],[Material Name]],Sheet2!B:C,2,0)</f>
        <v>ZTE1001</v>
      </c>
      <c r="M2116" s="225" t="str">
        <f>_xlfn.XLOOKUP(Logfile_S[[#This Row],[Material Name]],Sum_WH!E:E,Sum_WH!F:F,"",0)</f>
        <v>Pcs</v>
      </c>
      <c r="N2116" s="221">
        <v>3</v>
      </c>
      <c r="O2116" s="221" t="s">
        <v>834</v>
      </c>
      <c r="P2116" s="221" t="s">
        <v>3335</v>
      </c>
      <c r="Q2116" s="221"/>
      <c r="R2116" s="221"/>
      <c r="S2116" s="221"/>
      <c r="T2116" s="221" t="s">
        <v>3258</v>
      </c>
      <c r="U2116" s="221" t="s">
        <v>3228</v>
      </c>
      <c r="V2116" s="221" t="s">
        <v>3337</v>
      </c>
      <c r="W2116" s="221" t="s">
        <v>3338</v>
      </c>
      <c r="X2116" s="221"/>
      <c r="Y2116" s="227"/>
      <c r="Z2116" s="227" t="str">
        <f>P2116</f>
        <v>HUBFEEDER BATURETNO RW 02</v>
      </c>
      <c r="AA2116" s="276" t="e">
        <f>VLOOKUP(Logfile_S[[#This Row],[DO number]],DO_DB!G:I,3,0)</f>
        <v>#N/A</v>
      </c>
      <c r="AB2116" s="331" t="e">
        <f>EXACT(Logfile_S[[#This Row],[date pick]],Logfile_S[[#This Row],[Date]])</f>
        <v>#N/A</v>
      </c>
      <c r="AC21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17" spans="1:29" ht="14.5">
      <c r="A2117" s="220" t="str">
        <f>TEXT(ROW(A2117)-ROW($A$4),"000")</f>
        <v>2113</v>
      </c>
      <c r="B2117" s="221"/>
      <c r="C2117" s="221" t="s">
        <v>49</v>
      </c>
      <c r="D2117" s="221" t="s">
        <v>3913</v>
      </c>
      <c r="E2117" s="221" t="s">
        <v>3295</v>
      </c>
      <c r="F2117" s="221" t="s">
        <v>3299</v>
      </c>
      <c r="G2117" s="222">
        <v>45329</v>
      </c>
      <c r="H2117" s="223">
        <v>7.5694444444444439E-2</v>
      </c>
      <c r="I2117" s="221" t="s">
        <v>4916</v>
      </c>
      <c r="J2117" s="221" t="s">
        <v>3023</v>
      </c>
      <c r="K2117" s="224" t="s">
        <v>3069</v>
      </c>
      <c r="L2117" s="225" t="str">
        <f>VLOOKUP(Logfile_S[[#This Row],[Material Name]],Sheet2!B:C,2,0)</f>
        <v>ZTE1001</v>
      </c>
      <c r="M2117" s="225" t="str">
        <f>_xlfn.XLOOKUP(Logfile_S[[#This Row],[Material Name]],Sum_WH!E:E,Sum_WH!F:F,"",0)</f>
        <v>Pcs</v>
      </c>
      <c r="N2117" s="221">
        <v>24</v>
      </c>
      <c r="O2117" s="221" t="s">
        <v>834</v>
      </c>
      <c r="P2117" s="221" t="s">
        <v>3335</v>
      </c>
      <c r="Q2117" s="221"/>
      <c r="R2117" s="221"/>
      <c r="S2117" s="221"/>
      <c r="T2117" s="221" t="s">
        <v>3258</v>
      </c>
      <c r="U2117" s="221" t="s">
        <v>3228</v>
      </c>
      <c r="V2117" s="221" t="s">
        <v>3337</v>
      </c>
      <c r="W2117" s="221" t="s">
        <v>3338</v>
      </c>
      <c r="X2117" s="221"/>
      <c r="Y2117" s="227"/>
      <c r="Z2117" s="227" t="str">
        <f>P2117</f>
        <v>HUBFEEDER BATURETNO RW 02</v>
      </c>
      <c r="AA2117" s="276" t="e">
        <f>VLOOKUP(Logfile_S[[#This Row],[DO number]],DO_DB!G:I,3,0)</f>
        <v>#N/A</v>
      </c>
      <c r="AB2117" s="331" t="e">
        <f>EXACT(Logfile_S[[#This Row],[date pick]],Logfile_S[[#This Row],[Date]])</f>
        <v>#N/A</v>
      </c>
      <c r="AC21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18" spans="1:29" ht="14.5">
      <c r="A2118" s="220" t="str">
        <f>TEXT(ROW(A2118)-ROW($A$4),"000")</f>
        <v>2114</v>
      </c>
      <c r="B2118" s="221"/>
      <c r="C2118" s="221" t="s">
        <v>49</v>
      </c>
      <c r="D2118" s="221" t="s">
        <v>3914</v>
      </c>
      <c r="E2118" s="221" t="s">
        <v>3295</v>
      </c>
      <c r="F2118" s="221" t="s">
        <v>3299</v>
      </c>
      <c r="G2118" s="222">
        <v>45329</v>
      </c>
      <c r="H2118" s="223">
        <v>0.94513888888888886</v>
      </c>
      <c r="I2118" s="221" t="s">
        <v>4916</v>
      </c>
      <c r="J2118" s="221" t="s">
        <v>3023</v>
      </c>
      <c r="K2118" s="224" t="s">
        <v>3071</v>
      </c>
      <c r="L2118" s="225" t="str">
        <f>VLOOKUP(Logfile_S[[#This Row],[Material Name]],Sheet2!B:C,2,0)</f>
        <v>ZTE1003</v>
      </c>
      <c r="M2118" s="225" t="str">
        <f>_xlfn.XLOOKUP(Logfile_S[[#This Row],[Material Name]],Sum_WH!E:E,Sum_WH!F:F,"",0)</f>
        <v>Pcs</v>
      </c>
      <c r="N2118" s="221">
        <v>2</v>
      </c>
      <c r="O2118" s="221" t="s">
        <v>834</v>
      </c>
      <c r="P2118" s="221" t="s">
        <v>3335</v>
      </c>
      <c r="Q2118" s="221"/>
      <c r="R2118" s="221"/>
      <c r="S2118" s="221"/>
      <c r="T2118" s="221" t="s">
        <v>3258</v>
      </c>
      <c r="U2118" s="221" t="s">
        <v>3228</v>
      </c>
      <c r="V2118" s="221" t="s">
        <v>3337</v>
      </c>
      <c r="W2118" s="221" t="s">
        <v>3338</v>
      </c>
      <c r="X2118" s="221"/>
      <c r="Y2118" s="227"/>
      <c r="Z2118" s="227" t="str">
        <f>P2118</f>
        <v>HUBFEEDER BATURETNO RW 02</v>
      </c>
      <c r="AA2118" s="276" t="e">
        <f>VLOOKUP(Logfile_S[[#This Row],[DO number]],DO_DB!G:I,3,0)</f>
        <v>#N/A</v>
      </c>
      <c r="AB2118" s="331" t="e">
        <f>EXACT(Logfile_S[[#This Row],[date pick]],Logfile_S[[#This Row],[Date]])</f>
        <v>#N/A</v>
      </c>
      <c r="AC21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19" spans="1:29" ht="14.5">
      <c r="A2119" s="220" t="str">
        <f>TEXT(ROW(A2119)-ROW($A$4),"000")</f>
        <v>2115</v>
      </c>
      <c r="B2119" s="221"/>
      <c r="C2119" s="221" t="s">
        <v>49</v>
      </c>
      <c r="D2119" s="221" t="s">
        <v>3913</v>
      </c>
      <c r="E2119" s="221" t="s">
        <v>3295</v>
      </c>
      <c r="F2119" s="221" t="s">
        <v>3299</v>
      </c>
      <c r="G2119" s="222">
        <v>45329</v>
      </c>
      <c r="H2119" s="223">
        <v>7.5694444444444439E-2</v>
      </c>
      <c r="I2119" s="221" t="s">
        <v>4916</v>
      </c>
      <c r="J2119" s="221" t="s">
        <v>3023</v>
      </c>
      <c r="K2119" s="224" t="s">
        <v>3071</v>
      </c>
      <c r="L2119" s="225" t="str">
        <f>VLOOKUP(Logfile_S[[#This Row],[Material Name]],Sheet2!B:C,2,0)</f>
        <v>ZTE1003</v>
      </c>
      <c r="M2119" s="225" t="str">
        <f>_xlfn.XLOOKUP(Logfile_S[[#This Row],[Material Name]],Sum_WH!E:E,Sum_WH!F:F,"",0)</f>
        <v>Pcs</v>
      </c>
      <c r="N2119" s="221">
        <v>3</v>
      </c>
      <c r="O2119" s="221" t="s">
        <v>834</v>
      </c>
      <c r="P2119" s="221" t="s">
        <v>3335</v>
      </c>
      <c r="Q2119" s="221"/>
      <c r="R2119" s="221"/>
      <c r="S2119" s="221"/>
      <c r="T2119" s="221" t="s">
        <v>3258</v>
      </c>
      <c r="U2119" s="221" t="s">
        <v>3228</v>
      </c>
      <c r="V2119" s="221" t="s">
        <v>3337</v>
      </c>
      <c r="W2119" s="221" t="s">
        <v>3338</v>
      </c>
      <c r="X2119" s="221"/>
      <c r="Y2119" s="227"/>
      <c r="Z2119" s="227" t="str">
        <f>P2119</f>
        <v>HUBFEEDER BATURETNO RW 02</v>
      </c>
      <c r="AA2119" s="276" t="e">
        <f>VLOOKUP(Logfile_S[[#This Row],[DO number]],DO_DB!G:I,3,0)</f>
        <v>#N/A</v>
      </c>
      <c r="AB2119" s="331" t="e">
        <f>EXACT(Logfile_S[[#This Row],[date pick]],Logfile_S[[#This Row],[Date]])</f>
        <v>#N/A</v>
      </c>
      <c r="AC21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20" spans="1:29" ht="14.5">
      <c r="A2120" s="220" t="str">
        <f>TEXT(ROW(A2120)-ROW($A$4),"000")</f>
        <v>2116</v>
      </c>
      <c r="B2120" s="221"/>
      <c r="C2120" s="221" t="s">
        <v>48</v>
      </c>
      <c r="D2120" s="221" t="s">
        <v>3920</v>
      </c>
      <c r="E2120" s="221" t="s">
        <v>3295</v>
      </c>
      <c r="F2120" s="221" t="s">
        <v>3299</v>
      </c>
      <c r="G2120" s="222">
        <v>45331</v>
      </c>
      <c r="H2120" s="223">
        <v>15.291666666666666</v>
      </c>
      <c r="I2120" s="221" t="s">
        <v>38</v>
      </c>
      <c r="J2120" s="221" t="s">
        <v>3024</v>
      </c>
      <c r="K2120" s="224" t="s">
        <v>3098</v>
      </c>
      <c r="L2120" s="225" t="str">
        <f>VLOOKUP(Logfile_S[[#This Row],[Material Name]],Sheet2!B:C,2,0)</f>
        <v>GCI1012</v>
      </c>
      <c r="M2120" s="225" t="str">
        <f>_xlfn.XLOOKUP(Logfile_S[[#This Row],[Material Name]],Sum_WH!E:E,Sum_WH!F:F,"",0)</f>
        <v>Pcs</v>
      </c>
      <c r="N2120" s="221">
        <v>110</v>
      </c>
      <c r="O2120" s="221" t="s">
        <v>834</v>
      </c>
      <c r="P2120" s="221" t="s">
        <v>3335</v>
      </c>
      <c r="Q2120" s="221">
        <v>0</v>
      </c>
      <c r="R2120" s="221">
        <v>0</v>
      </c>
      <c r="S2120" s="221"/>
      <c r="T2120" s="221"/>
      <c r="U2120" s="221"/>
      <c r="V2120" s="221"/>
      <c r="W2120" s="221"/>
      <c r="X2120" s="221" t="s">
        <v>3336</v>
      </c>
      <c r="Y2120" s="227"/>
      <c r="Z2120" s="227" t="str">
        <f>P2120</f>
        <v>HUBFEEDER BATURETNO RW 02</v>
      </c>
      <c r="AA2120" s="276" t="e">
        <f>VLOOKUP(Logfile_S[[#This Row],[DO number]],DO_DB!G:I,3,0)</f>
        <v>#N/A</v>
      </c>
      <c r="AB2120" s="331" t="e">
        <f>EXACT(Logfile_S[[#This Row],[date pick]],Logfile_S[[#This Row],[Date]])</f>
        <v>#N/A</v>
      </c>
      <c r="AC21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21" spans="1:29" ht="14.5">
      <c r="A2121" s="220" t="str">
        <f>TEXT(ROW(A2121)-ROW($A$4),"000")</f>
        <v>2117</v>
      </c>
      <c r="B2121" s="221"/>
      <c r="C2121" s="221" t="s">
        <v>49</v>
      </c>
      <c r="D2121" s="221" t="s">
        <v>3928</v>
      </c>
      <c r="E2121" s="221" t="s">
        <v>3295</v>
      </c>
      <c r="F2121" s="221" t="s">
        <v>3299</v>
      </c>
      <c r="G2121" s="222">
        <v>45341</v>
      </c>
      <c r="H2121" s="223">
        <v>0.45416666666666666</v>
      </c>
      <c r="I2121" s="221" t="s">
        <v>4916</v>
      </c>
      <c r="J2121" s="221" t="s">
        <v>3024</v>
      </c>
      <c r="K2121" s="224" t="s">
        <v>5136</v>
      </c>
      <c r="L2121" s="225" t="str">
        <f>VLOOKUP(Logfile_S[[#This Row],[Material Name]],Sheet2!B:C,2,0)</f>
        <v>GCI1010</v>
      </c>
      <c r="M2121" s="225" t="str">
        <f>_xlfn.XLOOKUP(Logfile_S[[#This Row],[Material Name]],Sum_WH!E:E,Sum_WH!F:F,"",0)</f>
        <v>Pcs</v>
      </c>
      <c r="N2121" s="221">
        <v>50</v>
      </c>
      <c r="O2121" s="221" t="s">
        <v>834</v>
      </c>
      <c r="P2121" s="221" t="s">
        <v>3335</v>
      </c>
      <c r="Q2121" s="221"/>
      <c r="R2121" s="221"/>
      <c r="S2121" s="221"/>
      <c r="T2121" s="221" t="s">
        <v>3258</v>
      </c>
      <c r="U2121" s="221" t="s">
        <v>3228</v>
      </c>
      <c r="V2121" s="221" t="s">
        <v>3337</v>
      </c>
      <c r="W2121" s="221" t="s">
        <v>3338</v>
      </c>
      <c r="X2121" s="221"/>
      <c r="Y2121" s="227"/>
      <c r="Z2121" s="227" t="str">
        <f>P2121</f>
        <v>HUBFEEDER BATURETNO RW 02</v>
      </c>
      <c r="AA2121" s="276" t="e">
        <f>VLOOKUP(Logfile_S[[#This Row],[DO number]],DO_DB!G:I,3,0)</f>
        <v>#N/A</v>
      </c>
      <c r="AB2121" s="331" t="e">
        <f>EXACT(Logfile_S[[#This Row],[date pick]],Logfile_S[[#This Row],[Date]])</f>
        <v>#N/A</v>
      </c>
      <c r="AC21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22" spans="1:29" ht="14.5">
      <c r="A2122" s="220" t="str">
        <f>TEXT(ROW(A2122)-ROW($A$4),"000")</f>
        <v>2118</v>
      </c>
      <c r="B2122" s="221"/>
      <c r="C2122" s="221" t="s">
        <v>49</v>
      </c>
      <c r="D2122" s="221" t="s">
        <v>3929</v>
      </c>
      <c r="E2122" s="221" t="s">
        <v>3295</v>
      </c>
      <c r="F2122" s="221" t="s">
        <v>3299</v>
      </c>
      <c r="G2122" s="222">
        <v>45341</v>
      </c>
      <c r="H2122" s="223">
        <v>0.63194444444444442</v>
      </c>
      <c r="I2122" s="221" t="s">
        <v>4916</v>
      </c>
      <c r="J2122" s="221" t="s">
        <v>3024</v>
      </c>
      <c r="K2122" s="224" t="s">
        <v>3098</v>
      </c>
      <c r="L2122" s="225" t="str">
        <f>VLOOKUP(Logfile_S[[#This Row],[Material Name]],Sheet2!B:C,2,0)</f>
        <v>GCI1012</v>
      </c>
      <c r="M2122" s="225" t="str">
        <f>_xlfn.XLOOKUP(Logfile_S[[#This Row],[Material Name]],Sum_WH!E:E,Sum_WH!F:F,"",0)</f>
        <v>Pcs</v>
      </c>
      <c r="N2122" s="221">
        <v>110</v>
      </c>
      <c r="O2122" s="221" t="s">
        <v>834</v>
      </c>
      <c r="P2122" s="221" t="s">
        <v>3335</v>
      </c>
      <c r="Q2122" s="221"/>
      <c r="R2122" s="221"/>
      <c r="S2122" s="221"/>
      <c r="T2122" s="221" t="s">
        <v>3258</v>
      </c>
      <c r="U2122" s="221" t="s">
        <v>3228</v>
      </c>
      <c r="V2122" s="221" t="s">
        <v>3337</v>
      </c>
      <c r="W2122" s="221" t="s">
        <v>3338</v>
      </c>
      <c r="X2122" s="221"/>
      <c r="Y2122" s="227"/>
      <c r="Z2122" s="227" t="str">
        <f>P2122</f>
        <v>HUBFEEDER BATURETNO RW 02</v>
      </c>
      <c r="AA2122" s="276" t="e">
        <f>VLOOKUP(Logfile_S[[#This Row],[DO number]],DO_DB!G:I,3,0)</f>
        <v>#N/A</v>
      </c>
      <c r="AB2122" s="331" t="e">
        <f>EXACT(Logfile_S[[#This Row],[date pick]],Logfile_S[[#This Row],[Date]])</f>
        <v>#N/A</v>
      </c>
      <c r="AC21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23" spans="1:29" ht="14.5">
      <c r="A2123" s="220" t="str">
        <f>TEXT(ROW(A2123)-ROW($A$4),"000")</f>
        <v>2119</v>
      </c>
      <c r="B2123" s="221"/>
      <c r="C2123" s="221" t="s">
        <v>49</v>
      </c>
      <c r="D2123" s="221" t="s">
        <v>3928</v>
      </c>
      <c r="E2123" s="221" t="s">
        <v>3295</v>
      </c>
      <c r="F2123" s="221" t="s">
        <v>3299</v>
      </c>
      <c r="G2123" s="222">
        <v>45341</v>
      </c>
      <c r="H2123" s="223">
        <v>0.45416666666666666</v>
      </c>
      <c r="I2123" s="221" t="s">
        <v>4916</v>
      </c>
      <c r="J2123" s="221" t="s">
        <v>3024</v>
      </c>
      <c r="K2123" s="224" t="s">
        <v>3087</v>
      </c>
      <c r="L2123" s="225" t="str">
        <f>VLOOKUP(Logfile_S[[#This Row],[Material Name]],Sheet2!B:C,2,0)</f>
        <v>GCI1001</v>
      </c>
      <c r="M2123" s="225" t="str">
        <f>_xlfn.XLOOKUP(Logfile_S[[#This Row],[Material Name]],Sum_WH!E:E,Sum_WH!F:F,"",0)</f>
        <v>Pcs</v>
      </c>
      <c r="N2123" s="221">
        <v>7</v>
      </c>
      <c r="O2123" s="221" t="s">
        <v>834</v>
      </c>
      <c r="P2123" s="221" t="s">
        <v>3335</v>
      </c>
      <c r="Q2123" s="221"/>
      <c r="R2123" s="221"/>
      <c r="S2123" s="221"/>
      <c r="T2123" s="221" t="s">
        <v>3258</v>
      </c>
      <c r="U2123" s="221" t="s">
        <v>3228</v>
      </c>
      <c r="V2123" s="221" t="s">
        <v>3337</v>
      </c>
      <c r="W2123" s="221" t="s">
        <v>3338</v>
      </c>
      <c r="X2123" s="221"/>
      <c r="Y2123" s="227"/>
      <c r="Z2123" s="227" t="str">
        <f>P2123</f>
        <v>HUBFEEDER BATURETNO RW 02</v>
      </c>
      <c r="AA2123" s="276" t="e">
        <f>VLOOKUP(Logfile_S[[#This Row],[DO number]],DO_DB!G:I,3,0)</f>
        <v>#N/A</v>
      </c>
      <c r="AB2123" s="331" t="e">
        <f>EXACT(Logfile_S[[#This Row],[date pick]],Logfile_S[[#This Row],[Date]])</f>
        <v>#N/A</v>
      </c>
      <c r="AC21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24" spans="1:29" ht="14.5">
      <c r="A2124" s="220" t="str">
        <f>TEXT(ROW(A2124)-ROW($A$4),"000")</f>
        <v>2120</v>
      </c>
      <c r="B2124" s="221"/>
      <c r="C2124" s="221" t="s">
        <v>49</v>
      </c>
      <c r="D2124" s="221" t="s">
        <v>3929</v>
      </c>
      <c r="E2124" s="221" t="s">
        <v>3295</v>
      </c>
      <c r="F2124" s="221" t="s">
        <v>3299</v>
      </c>
      <c r="G2124" s="222">
        <v>45341</v>
      </c>
      <c r="H2124" s="223">
        <v>0.63194444444444442</v>
      </c>
      <c r="I2124" s="221" t="s">
        <v>4916</v>
      </c>
      <c r="J2124" s="221" t="s">
        <v>3023</v>
      </c>
      <c r="K2124" s="224" t="s">
        <v>3071</v>
      </c>
      <c r="L2124" s="225" t="str">
        <f>VLOOKUP(Logfile_S[[#This Row],[Material Name]],Sheet2!B:C,2,0)</f>
        <v>ZTE1003</v>
      </c>
      <c r="M2124" s="225" t="str">
        <f>_xlfn.XLOOKUP(Logfile_S[[#This Row],[Material Name]],Sum_WH!E:E,Sum_WH!F:F,"",0)</f>
        <v>Pcs</v>
      </c>
      <c r="N2124" s="221">
        <v>2</v>
      </c>
      <c r="O2124" s="221" t="s">
        <v>834</v>
      </c>
      <c r="P2124" s="221" t="s">
        <v>3335</v>
      </c>
      <c r="Q2124" s="221"/>
      <c r="R2124" s="221"/>
      <c r="S2124" s="221"/>
      <c r="T2124" s="221" t="s">
        <v>3258</v>
      </c>
      <c r="U2124" s="221" t="s">
        <v>3228</v>
      </c>
      <c r="V2124" s="221" t="s">
        <v>3337</v>
      </c>
      <c r="W2124" s="221" t="s">
        <v>3338</v>
      </c>
      <c r="X2124" s="221"/>
      <c r="Y2124" s="227"/>
      <c r="Z2124" s="227" t="str">
        <f>P2124</f>
        <v>HUBFEEDER BATURETNO RW 02</v>
      </c>
      <c r="AA2124" s="276" t="e">
        <f>VLOOKUP(Logfile_S[[#This Row],[DO number]],DO_DB!G:I,3,0)</f>
        <v>#N/A</v>
      </c>
      <c r="AB2124" s="331" t="e">
        <f>EXACT(Logfile_S[[#This Row],[date pick]],Logfile_S[[#This Row],[Date]])</f>
        <v>#N/A</v>
      </c>
      <c r="AC21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25" spans="1:29" ht="14.5">
      <c r="A2125" s="220" t="str">
        <f>TEXT(ROW(A2125)-ROW($A$4),"000")</f>
        <v>2121</v>
      </c>
      <c r="B2125" s="221"/>
      <c r="C2125" s="221" t="s">
        <v>49</v>
      </c>
      <c r="D2125" s="221" t="s">
        <v>3928</v>
      </c>
      <c r="E2125" s="221" t="s">
        <v>3295</v>
      </c>
      <c r="F2125" s="221" t="s">
        <v>3299</v>
      </c>
      <c r="G2125" s="222">
        <v>45341</v>
      </c>
      <c r="H2125" s="223">
        <v>0.45416666666666666</v>
      </c>
      <c r="I2125" s="221" t="s">
        <v>4916</v>
      </c>
      <c r="J2125" s="221" t="s">
        <v>3024</v>
      </c>
      <c r="K2125" s="224" t="s">
        <v>3094</v>
      </c>
      <c r="L2125" s="225" t="str">
        <f>VLOOKUP(Logfile_S[[#This Row],[Material Name]],Sheet2!B:C,2,0)</f>
        <v>GCI1008</v>
      </c>
      <c r="M2125" s="225" t="str">
        <f>_xlfn.XLOOKUP(Logfile_S[[#This Row],[Material Name]],Sum_WH!E:E,Sum_WH!F:F,"",0)</f>
        <v>Pcs</v>
      </c>
      <c r="N2125" s="221">
        <v>6</v>
      </c>
      <c r="O2125" s="221" t="s">
        <v>834</v>
      </c>
      <c r="P2125" s="221" t="s">
        <v>3335</v>
      </c>
      <c r="Q2125" s="221"/>
      <c r="R2125" s="221"/>
      <c r="S2125" s="221"/>
      <c r="T2125" s="221" t="s">
        <v>3258</v>
      </c>
      <c r="U2125" s="221" t="s">
        <v>3228</v>
      </c>
      <c r="V2125" s="221" t="s">
        <v>3337</v>
      </c>
      <c r="W2125" s="221" t="s">
        <v>3338</v>
      </c>
      <c r="X2125" s="221"/>
      <c r="Y2125" s="227"/>
      <c r="Z2125" s="227" t="str">
        <f>P2125</f>
        <v>HUBFEEDER BATURETNO RW 02</v>
      </c>
      <c r="AA2125" s="276" t="e">
        <f>VLOOKUP(Logfile_S[[#This Row],[DO number]],DO_DB!G:I,3,0)</f>
        <v>#N/A</v>
      </c>
      <c r="AB2125" s="331" t="e">
        <f>EXACT(Logfile_S[[#This Row],[date pick]],Logfile_S[[#This Row],[Date]])</f>
        <v>#N/A</v>
      </c>
      <c r="AC21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26" spans="1:29" ht="14.5">
      <c r="A2126" s="220" t="str">
        <f>TEXT(ROW(A2126)-ROW($A$4),"000")</f>
        <v>2122</v>
      </c>
      <c r="B2126" s="221"/>
      <c r="C2126" s="221" t="s">
        <v>49</v>
      </c>
      <c r="D2126" s="221" t="s">
        <v>3928</v>
      </c>
      <c r="E2126" s="221" t="s">
        <v>3295</v>
      </c>
      <c r="F2126" s="221" t="s">
        <v>3299</v>
      </c>
      <c r="G2126" s="222">
        <v>45341</v>
      </c>
      <c r="H2126" s="223">
        <v>0.45416666666666666</v>
      </c>
      <c r="I2126" s="221" t="s">
        <v>4916</v>
      </c>
      <c r="J2126" s="221" t="s">
        <v>3024</v>
      </c>
      <c r="K2126" s="224" t="s">
        <v>3090</v>
      </c>
      <c r="L2126" s="225" t="str">
        <f>VLOOKUP(Logfile_S[[#This Row],[Material Name]],Sheet2!B:C,2,0)</f>
        <v>GCI1004</v>
      </c>
      <c r="M2126" s="225" t="str">
        <f>_xlfn.XLOOKUP(Logfile_S[[#This Row],[Material Name]],Sum_WH!E:E,Sum_WH!F:F,"",0)</f>
        <v>Pcs</v>
      </c>
      <c r="N2126" s="221">
        <v>34</v>
      </c>
      <c r="O2126" s="221" t="s">
        <v>834</v>
      </c>
      <c r="P2126" s="221" t="s">
        <v>3335</v>
      </c>
      <c r="Q2126" s="221"/>
      <c r="R2126" s="221"/>
      <c r="S2126" s="221"/>
      <c r="T2126" s="221" t="s">
        <v>3258</v>
      </c>
      <c r="U2126" s="221" t="s">
        <v>3228</v>
      </c>
      <c r="V2126" s="221" t="s">
        <v>3337</v>
      </c>
      <c r="W2126" s="221" t="s">
        <v>3338</v>
      </c>
      <c r="X2126" s="221"/>
      <c r="Y2126" s="227"/>
      <c r="Z2126" s="227" t="str">
        <f>P2126</f>
        <v>HUBFEEDER BATURETNO RW 02</v>
      </c>
      <c r="AA2126" s="276" t="e">
        <f>VLOOKUP(Logfile_S[[#This Row],[DO number]],DO_DB!G:I,3,0)</f>
        <v>#N/A</v>
      </c>
      <c r="AB2126" s="331" t="e">
        <f>EXACT(Logfile_S[[#This Row],[date pick]],Logfile_S[[#This Row],[Date]])</f>
        <v>#N/A</v>
      </c>
      <c r="AC21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27" spans="1:29" ht="14.5">
      <c r="A2127" s="220" t="str">
        <f>TEXT(ROW(A2127)-ROW($A$4),"000")</f>
        <v>2123</v>
      </c>
      <c r="B2127" s="221"/>
      <c r="C2127" s="221" t="s">
        <v>49</v>
      </c>
      <c r="D2127" s="221" t="s">
        <v>3933</v>
      </c>
      <c r="E2127" s="221" t="s">
        <v>3295</v>
      </c>
      <c r="F2127" s="221" t="s">
        <v>3299</v>
      </c>
      <c r="G2127" s="222">
        <v>45342</v>
      </c>
      <c r="H2127" s="223">
        <v>0.51041666666666663</v>
      </c>
      <c r="I2127" s="221" t="s">
        <v>4916</v>
      </c>
      <c r="J2127" s="221" t="s">
        <v>3023</v>
      </c>
      <c r="K2127" s="224" t="s">
        <v>3069</v>
      </c>
      <c r="L2127" s="225" t="str">
        <f>VLOOKUP(Logfile_S[[#This Row],[Material Name]],Sheet2!B:C,2,0)</f>
        <v>ZTE1001</v>
      </c>
      <c r="M2127" s="225" t="str">
        <f>_xlfn.XLOOKUP(Logfile_S[[#This Row],[Material Name]],Sum_WH!E:E,Sum_WH!F:F,"",0)</f>
        <v>Pcs</v>
      </c>
      <c r="N2127" s="221">
        <v>21</v>
      </c>
      <c r="O2127" s="221" t="s">
        <v>834</v>
      </c>
      <c r="P2127" s="221" t="s">
        <v>3335</v>
      </c>
      <c r="Q2127" s="221"/>
      <c r="R2127" s="221"/>
      <c r="S2127" s="221"/>
      <c r="T2127" s="221" t="s">
        <v>3258</v>
      </c>
      <c r="U2127" s="221" t="s">
        <v>3228</v>
      </c>
      <c r="V2127" s="221" t="s">
        <v>3337</v>
      </c>
      <c r="W2127" s="221" t="s">
        <v>3338</v>
      </c>
      <c r="X2127" s="221"/>
      <c r="Y2127" s="227"/>
      <c r="Z2127" s="227" t="str">
        <f>P2127</f>
        <v>HUBFEEDER BATURETNO RW 02</v>
      </c>
      <c r="AA2127" s="276" t="e">
        <f>VLOOKUP(Logfile_S[[#This Row],[DO number]],DO_DB!G:I,3,0)</f>
        <v>#N/A</v>
      </c>
      <c r="AB2127" s="331" t="e">
        <f>EXACT(Logfile_S[[#This Row],[date pick]],Logfile_S[[#This Row],[Date]])</f>
        <v>#N/A</v>
      </c>
      <c r="AC21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28" spans="1:29" ht="14.5">
      <c r="A2128" s="220" t="str">
        <f>TEXT(ROW(A2128)-ROW($A$4),"000")</f>
        <v>2124</v>
      </c>
      <c r="B2128" s="221"/>
      <c r="C2128" s="221" t="s">
        <v>49</v>
      </c>
      <c r="D2128" s="221" t="s">
        <v>4040</v>
      </c>
      <c r="E2128" s="221" t="s">
        <v>3295</v>
      </c>
      <c r="F2128" s="221" t="s">
        <v>3299</v>
      </c>
      <c r="G2128" s="222">
        <v>45424</v>
      </c>
      <c r="H2128" s="223">
        <v>0.8125</v>
      </c>
      <c r="I2128" s="221" t="s">
        <v>4916</v>
      </c>
      <c r="J2128" s="221" t="s">
        <v>3023</v>
      </c>
      <c r="K2128" s="224" t="s">
        <v>3077</v>
      </c>
      <c r="L2128" s="225" t="str">
        <f>VLOOKUP(Logfile_S[[#This Row],[Material Name]],Sheet2!B:C,2,0)</f>
        <v>ZTE2004</v>
      </c>
      <c r="M2128" s="225" t="str">
        <f>_xlfn.XLOOKUP(Logfile_S[[#This Row],[Material Name]],Sum_WH!E:E,Sum_WH!F:F,"",0)</f>
        <v>Meter</v>
      </c>
      <c r="N2128" s="221">
        <v>3000</v>
      </c>
      <c r="O2128" s="221" t="s">
        <v>1967</v>
      </c>
      <c r="P2128" s="221" t="s">
        <v>3396</v>
      </c>
      <c r="Q2128" s="221"/>
      <c r="R2128" s="221"/>
      <c r="S2128" s="221"/>
      <c r="T2128" s="221" t="s">
        <v>3258</v>
      </c>
      <c r="U2128" s="221" t="s">
        <v>3228</v>
      </c>
      <c r="V2128" s="221" t="s">
        <v>3337</v>
      </c>
      <c r="W2128" s="221" t="s">
        <v>3338</v>
      </c>
      <c r="X2128" s="221"/>
      <c r="Y2128" s="236" t="s">
        <v>4968</v>
      </c>
      <c r="Z2128" s="227" t="str">
        <f>P2128</f>
        <v>HUBFEEDER DALISODO</v>
      </c>
      <c r="AA2128" s="276" t="e">
        <f>VLOOKUP(Logfile_S[[#This Row],[DO number]],DO_DB!G:I,3,0)</f>
        <v>#N/A</v>
      </c>
      <c r="AB2128" s="331" t="e">
        <f>EXACT(Logfile_S[[#This Row],[date pick]],Logfile_S[[#This Row],[Date]])</f>
        <v>#N/A</v>
      </c>
      <c r="AC21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144C-202443-01</v>
      </c>
    </row>
    <row r="2129" spans="1:29" ht="14.5">
      <c r="A2129" s="220" t="str">
        <f>TEXT(ROW(A2129)-ROW($A$4),"000")</f>
        <v>2125</v>
      </c>
      <c r="B2129" s="221"/>
      <c r="C2129" s="221" t="s">
        <v>49</v>
      </c>
      <c r="D2129" s="221" t="s">
        <v>4041</v>
      </c>
      <c r="E2129" s="221" t="s">
        <v>3295</v>
      </c>
      <c r="F2129" s="221" t="s">
        <v>3299</v>
      </c>
      <c r="G2129" s="222">
        <v>45426</v>
      </c>
      <c r="H2129" s="223">
        <v>0.58958333333333335</v>
      </c>
      <c r="I2129" s="221" t="s">
        <v>4916</v>
      </c>
      <c r="J2129" s="221" t="s">
        <v>3023</v>
      </c>
      <c r="K2129" s="224" t="s">
        <v>3077</v>
      </c>
      <c r="L2129" s="225" t="str">
        <f>VLOOKUP(Logfile_S[[#This Row],[Material Name]],Sheet2!B:C,2,0)</f>
        <v>ZTE2004</v>
      </c>
      <c r="M2129" s="225" t="str">
        <f>_xlfn.XLOOKUP(Logfile_S[[#This Row],[Material Name]],Sum_WH!E:E,Sum_WH!F:F,"",0)</f>
        <v>Meter</v>
      </c>
      <c r="N2129" s="221">
        <v>3000</v>
      </c>
      <c r="O2129" s="221" t="s">
        <v>1967</v>
      </c>
      <c r="P2129" s="221" t="s">
        <v>3396</v>
      </c>
      <c r="Q2129" s="221"/>
      <c r="R2129" s="221"/>
      <c r="S2129" s="221"/>
      <c r="T2129" s="221" t="s">
        <v>3258</v>
      </c>
      <c r="U2129" s="221" t="s">
        <v>3228</v>
      </c>
      <c r="V2129" s="221" t="s">
        <v>3337</v>
      </c>
      <c r="W2129" s="221" t="s">
        <v>3338</v>
      </c>
      <c r="X2129" s="221"/>
      <c r="Y2129" s="236" t="s">
        <v>4969</v>
      </c>
      <c r="Z2129" s="227" t="str">
        <f>P2129</f>
        <v>HUBFEEDER DALISODO</v>
      </c>
      <c r="AA2129" s="276" t="e">
        <f>VLOOKUP(Logfile_S[[#This Row],[DO number]],DO_DB!G:I,3,0)</f>
        <v>#N/A</v>
      </c>
      <c r="AB2129" s="331" t="e">
        <f>EXACT(Logfile_S[[#This Row],[date pick]],Logfile_S[[#This Row],[Date]])</f>
        <v>#N/A</v>
      </c>
      <c r="AC21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144C-202443-02</v>
      </c>
    </row>
    <row r="2130" spans="1:29" ht="14.5">
      <c r="A2130" s="220" t="str">
        <f>TEXT(ROW(A2130)-ROW($A$4),"000")</f>
        <v>2126</v>
      </c>
      <c r="B2130" s="221"/>
      <c r="C2130" s="221" t="s">
        <v>49</v>
      </c>
      <c r="D2130" s="221" t="s">
        <v>4043</v>
      </c>
      <c r="E2130" s="221" t="s">
        <v>3295</v>
      </c>
      <c r="F2130" s="221" t="s">
        <v>3299</v>
      </c>
      <c r="G2130" s="222">
        <v>45429</v>
      </c>
      <c r="H2130" s="223">
        <v>0.4465277777777778</v>
      </c>
      <c r="I2130" s="221" t="s">
        <v>4916</v>
      </c>
      <c r="J2130" s="221" t="s">
        <v>3024</v>
      </c>
      <c r="K2130" s="224" t="s">
        <v>3087</v>
      </c>
      <c r="L2130" s="225" t="str">
        <f>VLOOKUP(Logfile_S[[#This Row],[Material Name]],Sheet2!B:C,2,0)</f>
        <v>GCI1001</v>
      </c>
      <c r="M2130" s="225" t="str">
        <f>_xlfn.XLOOKUP(Logfile_S[[#This Row],[Material Name]],Sum_WH!E:E,Sum_WH!F:F,"",0)</f>
        <v>Pcs</v>
      </c>
      <c r="N2130" s="221">
        <v>17</v>
      </c>
      <c r="O2130" s="221" t="s">
        <v>1967</v>
      </c>
      <c r="P2130" s="221" t="s">
        <v>3396</v>
      </c>
      <c r="Q2130" s="221"/>
      <c r="R2130" s="221"/>
      <c r="S2130" s="221"/>
      <c r="T2130" s="221" t="s">
        <v>3258</v>
      </c>
      <c r="U2130" s="221" t="s">
        <v>3228</v>
      </c>
      <c r="V2130" s="221" t="s">
        <v>3337</v>
      </c>
      <c r="W2130" s="221" t="s">
        <v>3338</v>
      </c>
      <c r="X2130" s="221"/>
      <c r="Y2130" s="227"/>
      <c r="Z2130" s="227" t="str">
        <f>P2130</f>
        <v>HUBFEEDER DALISODO</v>
      </c>
      <c r="AA2130" s="276" t="e">
        <f>VLOOKUP(Logfile_S[[#This Row],[DO number]],DO_DB!G:I,3,0)</f>
        <v>#N/A</v>
      </c>
      <c r="AB2130" s="331" t="e">
        <f>EXACT(Logfile_S[[#This Row],[date pick]],Logfile_S[[#This Row],[Date]])</f>
        <v>#N/A</v>
      </c>
      <c r="AC21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31" spans="1:29" ht="14.5">
      <c r="A2131" s="220" t="str">
        <f>TEXT(ROW(A2131)-ROW($A$4),"000")</f>
        <v>2127</v>
      </c>
      <c r="B2131" s="221"/>
      <c r="C2131" s="221" t="s">
        <v>49</v>
      </c>
      <c r="D2131" s="221" t="s">
        <v>4043</v>
      </c>
      <c r="E2131" s="221" t="s">
        <v>3295</v>
      </c>
      <c r="F2131" s="221" t="s">
        <v>3299</v>
      </c>
      <c r="G2131" s="222">
        <v>45429</v>
      </c>
      <c r="H2131" s="223">
        <v>0.4465277777777778</v>
      </c>
      <c r="I2131" s="221" t="s">
        <v>4916</v>
      </c>
      <c r="J2131" s="221" t="s">
        <v>3024</v>
      </c>
      <c r="K2131" s="224" t="s">
        <v>3108</v>
      </c>
      <c r="L2131" s="225" t="str">
        <f>VLOOKUP(Logfile_S[[#This Row],[Material Name]],Sheet2!B:C,2,0)</f>
        <v>GCI1020</v>
      </c>
      <c r="M2131" s="225" t="str">
        <f>_xlfn.XLOOKUP(Logfile_S[[#This Row],[Material Name]],Sum_WH!E:E,Sum_WH!F:F,"",0)</f>
        <v>Pcs</v>
      </c>
      <c r="N2131" s="221">
        <v>206</v>
      </c>
      <c r="O2131" s="221" t="s">
        <v>1967</v>
      </c>
      <c r="P2131" s="221" t="s">
        <v>3396</v>
      </c>
      <c r="Q2131" s="221"/>
      <c r="R2131" s="221"/>
      <c r="S2131" s="221"/>
      <c r="T2131" s="221" t="s">
        <v>3258</v>
      </c>
      <c r="U2131" s="221" t="s">
        <v>3228</v>
      </c>
      <c r="V2131" s="221" t="s">
        <v>3337</v>
      </c>
      <c r="W2131" s="221" t="s">
        <v>3338</v>
      </c>
      <c r="X2131" s="221"/>
      <c r="Y2131" s="227"/>
      <c r="Z2131" s="227" t="str">
        <f>P2131</f>
        <v>HUBFEEDER DALISODO</v>
      </c>
      <c r="AA2131" s="276" t="e">
        <f>VLOOKUP(Logfile_S[[#This Row],[DO number]],DO_DB!G:I,3,0)</f>
        <v>#N/A</v>
      </c>
      <c r="AB2131" s="331" t="e">
        <f>EXACT(Logfile_S[[#This Row],[date pick]],Logfile_S[[#This Row],[Date]])</f>
        <v>#N/A</v>
      </c>
      <c r="AC21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32" spans="1:29" ht="14.5">
      <c r="A2132" s="220" t="str">
        <f>TEXT(ROW(A2132)-ROW($A$4),"000")</f>
        <v>2128</v>
      </c>
      <c r="B2132" s="221"/>
      <c r="C2132" s="221" t="s">
        <v>49</v>
      </c>
      <c r="D2132" s="221" t="s">
        <v>4044</v>
      </c>
      <c r="E2132" s="221" t="s">
        <v>3295</v>
      </c>
      <c r="F2132" s="221" t="s">
        <v>3299</v>
      </c>
      <c r="G2132" s="222">
        <v>45429</v>
      </c>
      <c r="H2132" s="223">
        <v>0.99722222222222223</v>
      </c>
      <c r="I2132" s="221" t="s">
        <v>4916</v>
      </c>
      <c r="J2132" s="221" t="s">
        <v>3023</v>
      </c>
      <c r="K2132" s="224" t="s">
        <v>3072</v>
      </c>
      <c r="L2132" s="225" t="str">
        <f>VLOOKUP(Logfile_S[[#This Row],[Material Name]],Sheet2!B:C,2,0)</f>
        <v>ZTE1004</v>
      </c>
      <c r="M2132" s="225" t="str">
        <f>_xlfn.XLOOKUP(Logfile_S[[#This Row],[Material Name]],Sum_WH!E:E,Sum_WH!F:F,"",0)</f>
        <v>Pcs</v>
      </c>
      <c r="N2132" s="221">
        <v>3</v>
      </c>
      <c r="O2132" s="221" t="s">
        <v>1967</v>
      </c>
      <c r="P2132" s="221" t="s">
        <v>3396</v>
      </c>
      <c r="Q2132" s="221"/>
      <c r="R2132" s="221"/>
      <c r="S2132" s="221"/>
      <c r="T2132" s="221" t="s">
        <v>3231</v>
      </c>
      <c r="U2132" s="221">
        <v>0</v>
      </c>
      <c r="V2132" s="221" t="s">
        <v>3232</v>
      </c>
      <c r="W2132" s="221" t="s">
        <v>3246</v>
      </c>
      <c r="X2132" s="221"/>
      <c r="Y2132" s="227"/>
      <c r="Z2132" s="227" t="str">
        <f>P2132</f>
        <v>HUBFEEDER DALISODO</v>
      </c>
      <c r="AA2132" s="276" t="e">
        <f>VLOOKUP(Logfile_S[[#This Row],[DO number]],DO_DB!G:I,3,0)</f>
        <v>#N/A</v>
      </c>
      <c r="AB2132" s="331" t="e">
        <f>EXACT(Logfile_S[[#This Row],[date pick]],Logfile_S[[#This Row],[Date]])</f>
        <v>#N/A</v>
      </c>
      <c r="AC21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33" spans="1:29" ht="14.5">
      <c r="A2133" s="220" t="str">
        <f>TEXT(ROW(A2133)-ROW($A$4),"000")</f>
        <v>2129</v>
      </c>
      <c r="B2133" s="221"/>
      <c r="C2133" s="221" t="s">
        <v>49</v>
      </c>
      <c r="D2133" s="221" t="s">
        <v>4043</v>
      </c>
      <c r="E2133" s="221" t="s">
        <v>3295</v>
      </c>
      <c r="F2133" s="221" t="s">
        <v>3299</v>
      </c>
      <c r="G2133" s="222">
        <v>45429</v>
      </c>
      <c r="H2133" s="223">
        <v>0.4465277777777778</v>
      </c>
      <c r="I2133" s="221" t="s">
        <v>4916</v>
      </c>
      <c r="J2133" s="221" t="s">
        <v>3024</v>
      </c>
      <c r="K2133" s="224" t="s">
        <v>3088</v>
      </c>
      <c r="L2133" s="225" t="str">
        <f>VLOOKUP(Logfile_S[[#This Row],[Material Name]],Sheet2!B:C,2,0)</f>
        <v>GCI1002</v>
      </c>
      <c r="M2133" s="225" t="str">
        <f>_xlfn.XLOOKUP(Logfile_S[[#This Row],[Material Name]],Sum_WH!E:E,Sum_WH!F:F,"",0)</f>
        <v>Pcs</v>
      </c>
      <c r="N2133" s="221">
        <v>1</v>
      </c>
      <c r="O2133" s="221" t="s">
        <v>1967</v>
      </c>
      <c r="P2133" s="221" t="s">
        <v>3396</v>
      </c>
      <c r="Q2133" s="221"/>
      <c r="R2133" s="221"/>
      <c r="S2133" s="221"/>
      <c r="T2133" s="221" t="s">
        <v>3258</v>
      </c>
      <c r="U2133" s="221" t="s">
        <v>3228</v>
      </c>
      <c r="V2133" s="221" t="s">
        <v>3337</v>
      </c>
      <c r="W2133" s="221" t="s">
        <v>3338</v>
      </c>
      <c r="X2133" s="221"/>
      <c r="Y2133" s="227"/>
      <c r="Z2133" s="227" t="str">
        <f>P2133</f>
        <v>HUBFEEDER DALISODO</v>
      </c>
      <c r="AA2133" s="276" t="e">
        <f>VLOOKUP(Logfile_S[[#This Row],[DO number]],DO_DB!G:I,3,0)</f>
        <v>#N/A</v>
      </c>
      <c r="AB2133" s="331" t="e">
        <f>EXACT(Logfile_S[[#This Row],[date pick]],Logfile_S[[#This Row],[Date]])</f>
        <v>#N/A</v>
      </c>
      <c r="AC21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34" spans="1:29" ht="14.5">
      <c r="A2134" s="220" t="str">
        <f>TEXT(ROW(A2134)-ROW($A$4),"000")</f>
        <v>2130</v>
      </c>
      <c r="B2134" s="221"/>
      <c r="C2134" s="221" t="s">
        <v>49</v>
      </c>
      <c r="D2134" s="221" t="s">
        <v>4043</v>
      </c>
      <c r="E2134" s="221" t="s">
        <v>3295</v>
      </c>
      <c r="F2134" s="221" t="s">
        <v>3299</v>
      </c>
      <c r="G2134" s="222">
        <v>45429</v>
      </c>
      <c r="H2134" s="223">
        <v>0.4465277777777778</v>
      </c>
      <c r="I2134" s="221" t="s">
        <v>4916</v>
      </c>
      <c r="J2134" s="221" t="s">
        <v>3024</v>
      </c>
      <c r="K2134" s="224" t="s">
        <v>3094</v>
      </c>
      <c r="L2134" s="225" t="str">
        <f>VLOOKUP(Logfile_S[[#This Row],[Material Name]],Sheet2!B:C,2,0)</f>
        <v>GCI1008</v>
      </c>
      <c r="M2134" s="225" t="str">
        <f>_xlfn.XLOOKUP(Logfile_S[[#This Row],[Material Name]],Sum_WH!E:E,Sum_WH!F:F,"",0)</f>
        <v>Pcs</v>
      </c>
      <c r="N2134" s="221">
        <v>50</v>
      </c>
      <c r="O2134" s="221" t="s">
        <v>1967</v>
      </c>
      <c r="P2134" s="221" t="s">
        <v>3396</v>
      </c>
      <c r="Q2134" s="221"/>
      <c r="R2134" s="221"/>
      <c r="S2134" s="221"/>
      <c r="T2134" s="221" t="s">
        <v>3258</v>
      </c>
      <c r="U2134" s="221" t="s">
        <v>3228</v>
      </c>
      <c r="V2134" s="221" t="s">
        <v>3337</v>
      </c>
      <c r="W2134" s="221" t="s">
        <v>3338</v>
      </c>
      <c r="X2134" s="221"/>
      <c r="Y2134" s="227"/>
      <c r="Z2134" s="227" t="str">
        <f>P2134</f>
        <v>HUBFEEDER DALISODO</v>
      </c>
      <c r="AA2134" s="276" t="e">
        <f>VLOOKUP(Logfile_S[[#This Row],[DO number]],DO_DB!G:I,3,0)</f>
        <v>#N/A</v>
      </c>
      <c r="AB2134" s="331" t="e">
        <f>EXACT(Logfile_S[[#This Row],[date pick]],Logfile_S[[#This Row],[Date]])</f>
        <v>#N/A</v>
      </c>
      <c r="AC21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35" spans="1:29" ht="14.5">
      <c r="A2135" s="220" t="str">
        <f>TEXT(ROW(A2135)-ROW($A$4),"000")</f>
        <v>2131</v>
      </c>
      <c r="B2135" s="221"/>
      <c r="C2135" s="221" t="s">
        <v>49</v>
      </c>
      <c r="D2135" s="221" t="s">
        <v>4043</v>
      </c>
      <c r="E2135" s="221" t="s">
        <v>3295</v>
      </c>
      <c r="F2135" s="221" t="s">
        <v>3299</v>
      </c>
      <c r="G2135" s="222">
        <v>45429</v>
      </c>
      <c r="H2135" s="223">
        <v>0.4465277777777778</v>
      </c>
      <c r="I2135" s="221" t="s">
        <v>4916</v>
      </c>
      <c r="J2135" s="221" t="s">
        <v>3024</v>
      </c>
      <c r="K2135" s="224" t="s">
        <v>3089</v>
      </c>
      <c r="L2135" s="225" t="str">
        <f>VLOOKUP(Logfile_S[[#This Row],[Material Name]],Sheet2!B:C,2,0)</f>
        <v>GCI1003</v>
      </c>
      <c r="M2135" s="225" t="str">
        <f>_xlfn.XLOOKUP(Logfile_S[[#This Row],[Material Name]],Sum_WH!E:E,Sum_WH!F:F,"",0)</f>
        <v>Pcs</v>
      </c>
      <c r="N2135" s="221">
        <v>100</v>
      </c>
      <c r="O2135" s="221" t="s">
        <v>1967</v>
      </c>
      <c r="P2135" s="221" t="s">
        <v>3396</v>
      </c>
      <c r="Q2135" s="221"/>
      <c r="R2135" s="221"/>
      <c r="S2135" s="221"/>
      <c r="T2135" s="221" t="s">
        <v>3258</v>
      </c>
      <c r="U2135" s="221" t="s">
        <v>3228</v>
      </c>
      <c r="V2135" s="221" t="s">
        <v>3337</v>
      </c>
      <c r="W2135" s="221" t="s">
        <v>3338</v>
      </c>
      <c r="X2135" s="221"/>
      <c r="Y2135" s="227"/>
      <c r="Z2135" s="227" t="str">
        <f>P2135</f>
        <v>HUBFEEDER DALISODO</v>
      </c>
      <c r="AA2135" s="276" t="e">
        <f>VLOOKUP(Logfile_S[[#This Row],[DO number]],DO_DB!G:I,3,0)</f>
        <v>#N/A</v>
      </c>
      <c r="AB2135" s="331" t="e">
        <f>EXACT(Logfile_S[[#This Row],[date pick]],Logfile_S[[#This Row],[Date]])</f>
        <v>#N/A</v>
      </c>
      <c r="AC21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36" spans="1:29" ht="14.5">
      <c r="A2136" s="220" t="str">
        <f>TEXT(ROW(A2136)-ROW($A$4),"000")</f>
        <v>2132</v>
      </c>
      <c r="B2136" s="221"/>
      <c r="C2136" s="221" t="s">
        <v>49</v>
      </c>
      <c r="D2136" s="221" t="s">
        <v>4043</v>
      </c>
      <c r="E2136" s="221" t="s">
        <v>3295</v>
      </c>
      <c r="F2136" s="221" t="s">
        <v>3299</v>
      </c>
      <c r="G2136" s="222">
        <v>45429</v>
      </c>
      <c r="H2136" s="223">
        <v>0.4465277777777778</v>
      </c>
      <c r="I2136" s="221" t="s">
        <v>4916</v>
      </c>
      <c r="J2136" s="221" t="s">
        <v>3024</v>
      </c>
      <c r="K2136" s="224" t="s">
        <v>3090</v>
      </c>
      <c r="L2136" s="225" t="str">
        <f>VLOOKUP(Logfile_S[[#This Row],[Material Name]],Sheet2!B:C,2,0)</f>
        <v>GCI1004</v>
      </c>
      <c r="M2136" s="225" t="str">
        <f>_xlfn.XLOOKUP(Logfile_S[[#This Row],[Material Name]],Sum_WH!E:E,Sum_WH!F:F,"",0)</f>
        <v>Pcs</v>
      </c>
      <c r="N2136" s="221">
        <v>100</v>
      </c>
      <c r="O2136" s="221" t="s">
        <v>1967</v>
      </c>
      <c r="P2136" s="221" t="s">
        <v>3396</v>
      </c>
      <c r="Q2136" s="221"/>
      <c r="R2136" s="221"/>
      <c r="S2136" s="221"/>
      <c r="T2136" s="221" t="s">
        <v>3258</v>
      </c>
      <c r="U2136" s="221" t="s">
        <v>3228</v>
      </c>
      <c r="V2136" s="221" t="s">
        <v>3337</v>
      </c>
      <c r="W2136" s="221" t="s">
        <v>3338</v>
      </c>
      <c r="X2136" s="221"/>
      <c r="Y2136" s="227"/>
      <c r="Z2136" s="227" t="str">
        <f>P2136</f>
        <v>HUBFEEDER DALISODO</v>
      </c>
      <c r="AA2136" s="276" t="e">
        <f>VLOOKUP(Logfile_S[[#This Row],[DO number]],DO_DB!G:I,3,0)</f>
        <v>#N/A</v>
      </c>
      <c r="AB2136" s="331" t="e">
        <f>EXACT(Logfile_S[[#This Row],[date pick]],Logfile_S[[#This Row],[Date]])</f>
        <v>#N/A</v>
      </c>
      <c r="AC21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37" spans="1:29" ht="14.5">
      <c r="A2137" s="220" t="str">
        <f>TEXT(ROW(A2137)-ROW($A$4),"000")</f>
        <v>2133</v>
      </c>
      <c r="B2137" s="221"/>
      <c r="C2137" s="221" t="s">
        <v>48</v>
      </c>
      <c r="D2137" s="221" t="s">
        <v>4176</v>
      </c>
      <c r="E2137" s="221" t="s">
        <v>3295</v>
      </c>
      <c r="F2137" s="221" t="s">
        <v>3299</v>
      </c>
      <c r="G2137" s="222">
        <v>45531</v>
      </c>
      <c r="H2137" s="223">
        <v>15.291666666666666</v>
      </c>
      <c r="I2137" s="221" t="s">
        <v>37</v>
      </c>
      <c r="J2137" s="221" t="s">
        <v>3023</v>
      </c>
      <c r="K2137" s="224" t="s">
        <v>3077</v>
      </c>
      <c r="L2137" s="225" t="str">
        <f>VLOOKUP(Logfile_S[[#This Row],[Material Name]],Sheet2!B:C,2,0)</f>
        <v>ZTE2004</v>
      </c>
      <c r="M2137" s="225" t="str">
        <f>_xlfn.XLOOKUP(Logfile_S[[#This Row],[Material Name]],Sum_WH!E:E,Sum_WH!F:F,"",0)</f>
        <v>Meter</v>
      </c>
      <c r="N2137" s="221">
        <v>3000</v>
      </c>
      <c r="O2137" s="221" t="s">
        <v>1967</v>
      </c>
      <c r="P2137" s="221" t="s">
        <v>1968</v>
      </c>
      <c r="Q2137" s="221">
        <v>0</v>
      </c>
      <c r="R2137" s="221">
        <v>0</v>
      </c>
      <c r="S2137" s="221"/>
      <c r="T2137" s="221"/>
      <c r="U2137" s="221"/>
      <c r="V2137" s="221"/>
      <c r="W2137" s="221"/>
      <c r="X2137" s="221"/>
      <c r="Y2137" s="236" t="s">
        <v>4978</v>
      </c>
      <c r="Z2137" s="227" t="str">
        <f>P2137</f>
        <v>HUBFEEDER DALISODO WAGIR MALANG</v>
      </c>
      <c r="AA2137" s="276" t="e">
        <f>VLOOKUP(Logfile_S[[#This Row],[DO number]],DO_DB!G:I,3,0)</f>
        <v>#N/A</v>
      </c>
      <c r="AB2137" s="331" t="e">
        <f>EXACT(Logfile_S[[#This Row],[date pick]],Logfile_S[[#This Row],[Date]])</f>
        <v>#N/A</v>
      </c>
      <c r="AC21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144C-2024827-01</v>
      </c>
    </row>
    <row r="2138" spans="1:29" ht="14.5">
      <c r="A2138" s="237" t="str">
        <f>TEXT(ROW(A2138)-ROW($A$4),"000")</f>
        <v>2134</v>
      </c>
      <c r="B2138" s="221"/>
      <c r="C2138" s="221" t="s">
        <v>48</v>
      </c>
      <c r="D2138" s="221" t="s">
        <v>4176</v>
      </c>
      <c r="E2138" s="221" t="s">
        <v>3295</v>
      </c>
      <c r="F2138" s="221" t="s">
        <v>3299</v>
      </c>
      <c r="G2138" s="222">
        <v>45531</v>
      </c>
      <c r="H2138" s="223">
        <v>15.291666666666666</v>
      </c>
      <c r="I2138" s="221" t="s">
        <v>37</v>
      </c>
      <c r="J2138" s="221" t="s">
        <v>3023</v>
      </c>
      <c r="K2138" s="224" t="s">
        <v>3077</v>
      </c>
      <c r="L2138" s="225" t="str">
        <f>VLOOKUP(Logfile_S[[#This Row],[Material Name]],Sheet2!B:C,2,0)</f>
        <v>ZTE2004</v>
      </c>
      <c r="M2138" s="225" t="str">
        <f>_xlfn.XLOOKUP(Logfile_S[[#This Row],[Material Name]],Sum_WH!E:E,Sum_WH!F:F,"",0)</f>
        <v>Meter</v>
      </c>
      <c r="N2138" s="221">
        <v>3000</v>
      </c>
      <c r="O2138" s="221" t="s">
        <v>1967</v>
      </c>
      <c r="P2138" s="221" t="s">
        <v>1968</v>
      </c>
      <c r="Q2138" s="227"/>
      <c r="R2138" s="227"/>
      <c r="S2138" s="227"/>
      <c r="T2138" s="227"/>
      <c r="U2138" s="227"/>
      <c r="V2138" s="227"/>
      <c r="W2138" s="227"/>
      <c r="X2138" s="227"/>
      <c r="Y2138" s="243" t="s">
        <v>4979</v>
      </c>
      <c r="Z2138" s="227" t="str">
        <f>P2138</f>
        <v>HUBFEEDER DALISODO WAGIR MALANG</v>
      </c>
      <c r="AA2138" s="276" t="e">
        <f>VLOOKUP(Logfile_S[[#This Row],[DO number]],DO_DB!G:I,3,0)</f>
        <v>#N/A</v>
      </c>
      <c r="AB2138" s="331" t="e">
        <f>EXACT(Logfile_S[[#This Row],[date pick]],Logfile_S[[#This Row],[Date]])</f>
        <v>#N/A</v>
      </c>
      <c r="AC21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144C-2024827-02</v>
      </c>
    </row>
    <row r="2139" spans="1:29" ht="14.5">
      <c r="A2139" s="220" t="str">
        <f>TEXT(ROW(A2139)-ROW($A$4),"000")</f>
        <v>2135</v>
      </c>
      <c r="B2139" s="221"/>
      <c r="C2139" s="221" t="s">
        <v>49</v>
      </c>
      <c r="D2139" s="221" t="s">
        <v>4123</v>
      </c>
      <c r="E2139" s="221" t="s">
        <v>3295</v>
      </c>
      <c r="F2139" s="221" t="s">
        <v>3299</v>
      </c>
      <c r="G2139" s="222">
        <v>45496</v>
      </c>
      <c r="H2139" s="223">
        <v>0.29166666666666669</v>
      </c>
      <c r="I2139" s="221" t="s">
        <v>4916</v>
      </c>
      <c r="J2139" s="221" t="s">
        <v>3023</v>
      </c>
      <c r="K2139" s="224" t="s">
        <v>3077</v>
      </c>
      <c r="L2139" s="225" t="str">
        <f>VLOOKUP(Logfile_S[[#This Row],[Material Name]],Sheet2!B:C,2,0)</f>
        <v>ZTE2004</v>
      </c>
      <c r="M2139" s="225" t="str">
        <f>_xlfn.XLOOKUP(Logfile_S[[#This Row],[Material Name]],Sum_WH!E:E,Sum_WH!F:F,"",0)</f>
        <v>Meter</v>
      </c>
      <c r="N2139" s="221">
        <v>3000</v>
      </c>
      <c r="O2139" s="221" t="s">
        <v>1799</v>
      </c>
      <c r="P2139" s="221" t="s">
        <v>3398</v>
      </c>
      <c r="Q2139" s="221"/>
      <c r="R2139" s="221"/>
      <c r="S2139" s="221"/>
      <c r="T2139" s="221" t="s">
        <v>3258</v>
      </c>
      <c r="U2139" s="221" t="s">
        <v>3228</v>
      </c>
      <c r="V2139" s="221" t="s">
        <v>3337</v>
      </c>
      <c r="W2139" s="221" t="s">
        <v>3338</v>
      </c>
      <c r="X2139" s="221"/>
      <c r="Y2139" s="236" t="s">
        <v>4970</v>
      </c>
      <c r="Z2139" s="227" t="str">
        <f>P2139</f>
        <v>HUBFEEDER KEPANJEN TO JATIKERTO</v>
      </c>
      <c r="AA2139" s="276" t="e">
        <f>VLOOKUP(Logfile_S[[#This Row],[DO number]],DO_DB!G:I,3,0)</f>
        <v>#N/A</v>
      </c>
      <c r="AB2139" s="331" t="e">
        <f>EXACT(Logfile_S[[#This Row],[date pick]],Logfile_S[[#This Row],[Date]])</f>
        <v>#N/A</v>
      </c>
      <c r="AC21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144C-2024722-01</v>
      </c>
    </row>
    <row r="2140" spans="1:29" ht="14.5">
      <c r="A2140" s="237" t="str">
        <f>TEXT(ROW(A2140)-ROW($A$4),"000")</f>
        <v>2136</v>
      </c>
      <c r="B2140" s="221"/>
      <c r="C2140" s="221" t="s">
        <v>49</v>
      </c>
      <c r="D2140" s="221" t="s">
        <v>4123</v>
      </c>
      <c r="E2140" s="221" t="s">
        <v>3295</v>
      </c>
      <c r="F2140" s="221" t="s">
        <v>3299</v>
      </c>
      <c r="G2140" s="222">
        <v>45496</v>
      </c>
      <c r="H2140" s="223">
        <v>0.29166666666666669</v>
      </c>
      <c r="I2140" s="221" t="s">
        <v>4916</v>
      </c>
      <c r="J2140" s="221" t="s">
        <v>3023</v>
      </c>
      <c r="K2140" s="224" t="s">
        <v>3077</v>
      </c>
      <c r="L2140" s="225" t="str">
        <f>VLOOKUP(Logfile_S[[#This Row],[Material Name]],Sheet2!B:C,2,0)</f>
        <v>ZTE2004</v>
      </c>
      <c r="M2140" s="225" t="str">
        <f>_xlfn.XLOOKUP(Logfile_S[[#This Row],[Material Name]],Sum_WH!E:E,Sum_WH!F:F,"",0)</f>
        <v>Meter</v>
      </c>
      <c r="N2140" s="221">
        <v>3000</v>
      </c>
      <c r="O2140" s="221" t="s">
        <v>1799</v>
      </c>
      <c r="P2140" s="221" t="s">
        <v>3398</v>
      </c>
      <c r="Q2140" s="221"/>
      <c r="R2140" s="227"/>
      <c r="S2140" s="227"/>
      <c r="T2140" s="221" t="s">
        <v>3258</v>
      </c>
      <c r="U2140" s="221" t="s">
        <v>3228</v>
      </c>
      <c r="V2140" s="221" t="s">
        <v>3337</v>
      </c>
      <c r="W2140" s="221" t="s">
        <v>3338</v>
      </c>
      <c r="X2140" s="221" t="s">
        <v>4975</v>
      </c>
      <c r="Y2140" s="243" t="s">
        <v>4971</v>
      </c>
      <c r="Z2140" s="227" t="str">
        <f>P2140</f>
        <v>HUBFEEDER KEPANJEN TO JATIKERTO</v>
      </c>
      <c r="AA2140" s="276" t="e">
        <f>VLOOKUP(Logfile_S[[#This Row],[DO number]],DO_DB!G:I,3,0)</f>
        <v>#N/A</v>
      </c>
      <c r="AB2140" s="331" t="e">
        <f>EXACT(Logfile_S[[#This Row],[date pick]],Logfile_S[[#This Row],[Date]])</f>
        <v>#N/A</v>
      </c>
      <c r="AC21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144C-2024722-02</v>
      </c>
    </row>
    <row r="2141" spans="1:29" ht="14.5">
      <c r="A2141" s="220" t="str">
        <f>TEXT(ROW(A2141)-ROW($A$4),"000")</f>
        <v>2137</v>
      </c>
      <c r="B2141" s="221"/>
      <c r="C2141" s="221" t="s">
        <v>49</v>
      </c>
      <c r="D2141" s="221" t="s">
        <v>4145</v>
      </c>
      <c r="E2141" s="221" t="s">
        <v>3295</v>
      </c>
      <c r="F2141" s="221" t="s">
        <v>3299</v>
      </c>
      <c r="G2141" s="222">
        <v>45507</v>
      </c>
      <c r="H2141" s="223">
        <v>0.82222222222222219</v>
      </c>
      <c r="I2141" s="221" t="s">
        <v>4916</v>
      </c>
      <c r="J2141" s="221" t="s">
        <v>3023</v>
      </c>
      <c r="K2141" s="224" t="s">
        <v>3069</v>
      </c>
      <c r="L2141" s="225" t="str">
        <f>VLOOKUP(Logfile_S[[#This Row],[Material Name]],Sheet2!B:C,2,0)</f>
        <v>ZTE1001</v>
      </c>
      <c r="M2141" s="225" t="str">
        <f>_xlfn.XLOOKUP(Logfile_S[[#This Row],[Material Name]],Sum_WH!E:E,Sum_WH!F:F,"",0)</f>
        <v>Pcs</v>
      </c>
      <c r="N2141" s="221">
        <v>30</v>
      </c>
      <c r="O2141" s="221" t="s">
        <v>1799</v>
      </c>
      <c r="P2141" s="221" t="s">
        <v>3398</v>
      </c>
      <c r="Q2141" s="221"/>
      <c r="R2141" s="221"/>
      <c r="S2141" s="221"/>
      <c r="T2141" s="221" t="s">
        <v>3258</v>
      </c>
      <c r="U2141" s="221" t="s">
        <v>3228</v>
      </c>
      <c r="V2141" s="221" t="s">
        <v>3337</v>
      </c>
      <c r="W2141" s="221" t="s">
        <v>3338</v>
      </c>
      <c r="X2141" s="221"/>
      <c r="Y2141" s="227"/>
      <c r="Z2141" s="227" t="str">
        <f>P2141</f>
        <v>HUBFEEDER KEPANJEN TO JATIKERTO</v>
      </c>
      <c r="AA2141" s="276" t="e">
        <f>VLOOKUP(Logfile_S[[#This Row],[DO number]],DO_DB!G:I,3,0)</f>
        <v>#N/A</v>
      </c>
      <c r="AB2141" s="331" t="e">
        <f>EXACT(Logfile_S[[#This Row],[date pick]],Logfile_S[[#This Row],[Date]])</f>
        <v>#N/A</v>
      </c>
      <c r="AC21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42" spans="1:29" ht="14.5">
      <c r="A2142" s="220" t="str">
        <f>TEXT(ROW(A2142)-ROW($A$4),"000")</f>
        <v>2138</v>
      </c>
      <c r="B2142" s="221"/>
      <c r="C2142" s="221" t="s">
        <v>49</v>
      </c>
      <c r="D2142" s="221" t="s">
        <v>4151</v>
      </c>
      <c r="E2142" s="221" t="s">
        <v>3295</v>
      </c>
      <c r="F2142" s="221" t="s">
        <v>3299</v>
      </c>
      <c r="G2142" s="222">
        <v>45511</v>
      </c>
      <c r="H2142" s="223">
        <v>0.81874999999999998</v>
      </c>
      <c r="I2142" s="221" t="s">
        <v>4916</v>
      </c>
      <c r="J2142" s="221" t="s">
        <v>3024</v>
      </c>
      <c r="K2142" s="224" t="s">
        <v>3087</v>
      </c>
      <c r="L2142" s="225" t="str">
        <f>VLOOKUP(Logfile_S[[#This Row],[Material Name]],Sheet2!B:C,2,0)</f>
        <v>GCI1001</v>
      </c>
      <c r="M2142" s="225" t="str">
        <f>_xlfn.XLOOKUP(Logfile_S[[#This Row],[Material Name]],Sum_WH!E:E,Sum_WH!F:F,"",0)</f>
        <v>Pcs</v>
      </c>
      <c r="N2142" s="221">
        <v>12</v>
      </c>
      <c r="O2142" s="221" t="s">
        <v>1799</v>
      </c>
      <c r="P2142" s="221" t="s">
        <v>3398</v>
      </c>
      <c r="Q2142" s="221"/>
      <c r="R2142" s="221"/>
      <c r="S2142" s="221"/>
      <c r="T2142" s="221" t="s">
        <v>3258</v>
      </c>
      <c r="U2142" s="221" t="s">
        <v>3228</v>
      </c>
      <c r="V2142" s="221" t="s">
        <v>3337</v>
      </c>
      <c r="W2142" s="221" t="s">
        <v>3338</v>
      </c>
      <c r="X2142" s="221"/>
      <c r="Y2142" s="227"/>
      <c r="Z2142" s="227" t="str">
        <f>P2142</f>
        <v>HUBFEEDER KEPANJEN TO JATIKERTO</v>
      </c>
      <c r="AA2142" s="276" t="e">
        <f>VLOOKUP(Logfile_S[[#This Row],[DO number]],DO_DB!G:I,3,0)</f>
        <v>#N/A</v>
      </c>
      <c r="AB2142" s="331" t="e">
        <f>EXACT(Logfile_S[[#This Row],[date pick]],Logfile_S[[#This Row],[Date]])</f>
        <v>#N/A</v>
      </c>
      <c r="AC21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43" spans="1:29" ht="14.5">
      <c r="A2143" s="220" t="str">
        <f>TEXT(ROW(A2143)-ROW($A$4),"000")</f>
        <v>2139</v>
      </c>
      <c r="B2143" s="221"/>
      <c r="C2143" s="221" t="s">
        <v>49</v>
      </c>
      <c r="D2143" s="221" t="s">
        <v>4150</v>
      </c>
      <c r="E2143" s="221" t="s">
        <v>3295</v>
      </c>
      <c r="F2143" s="221" t="s">
        <v>3299</v>
      </c>
      <c r="G2143" s="222">
        <v>45511</v>
      </c>
      <c r="H2143" s="223">
        <v>0.78333333333333333</v>
      </c>
      <c r="I2143" s="221" t="s">
        <v>4916</v>
      </c>
      <c r="J2143" s="221" t="s">
        <v>3024</v>
      </c>
      <c r="K2143" s="224" t="s">
        <v>3108</v>
      </c>
      <c r="L2143" s="225" t="str">
        <f>VLOOKUP(Logfile_S[[#This Row],[Material Name]],Sheet2!B:C,2,0)</f>
        <v>GCI1020</v>
      </c>
      <c r="M2143" s="225" t="str">
        <f>_xlfn.XLOOKUP(Logfile_S[[#This Row],[Material Name]],Sum_WH!E:E,Sum_WH!F:F,"",0)</f>
        <v>Pcs</v>
      </c>
      <c r="N2143" s="221">
        <v>180</v>
      </c>
      <c r="O2143" s="221" t="s">
        <v>1799</v>
      </c>
      <c r="P2143" s="221" t="s">
        <v>3398</v>
      </c>
      <c r="Q2143" s="221"/>
      <c r="R2143" s="221"/>
      <c r="S2143" s="221"/>
      <c r="T2143" s="221" t="s">
        <v>3258</v>
      </c>
      <c r="U2143" s="221" t="s">
        <v>3228</v>
      </c>
      <c r="V2143" s="221" t="s">
        <v>3337</v>
      </c>
      <c r="W2143" s="221" t="s">
        <v>3338</v>
      </c>
      <c r="X2143" s="221"/>
      <c r="Y2143" s="227"/>
      <c r="Z2143" s="227" t="str">
        <f>P2143</f>
        <v>HUBFEEDER KEPANJEN TO JATIKERTO</v>
      </c>
      <c r="AA2143" s="276" t="e">
        <f>VLOOKUP(Logfile_S[[#This Row],[DO number]],DO_DB!G:I,3,0)</f>
        <v>#N/A</v>
      </c>
      <c r="AB2143" s="331" t="e">
        <f>EXACT(Logfile_S[[#This Row],[date pick]],Logfile_S[[#This Row],[Date]])</f>
        <v>#N/A</v>
      </c>
      <c r="AC21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44" spans="1:29" ht="14.5">
      <c r="A2144" s="220" t="str">
        <f>TEXT(ROW(A2144)-ROW($A$4),"000")</f>
        <v>2140</v>
      </c>
      <c r="B2144" s="221"/>
      <c r="C2144" s="221" t="s">
        <v>49</v>
      </c>
      <c r="D2144" s="221" t="s">
        <v>4150</v>
      </c>
      <c r="E2144" s="221" t="s">
        <v>3295</v>
      </c>
      <c r="F2144" s="221" t="s">
        <v>3299</v>
      </c>
      <c r="G2144" s="222">
        <v>45511</v>
      </c>
      <c r="H2144" s="223">
        <v>0.78333333333333333</v>
      </c>
      <c r="I2144" s="221" t="s">
        <v>4916</v>
      </c>
      <c r="J2144" s="221" t="s">
        <v>3024</v>
      </c>
      <c r="K2144" s="224" t="s">
        <v>3088</v>
      </c>
      <c r="L2144" s="225" t="str">
        <f>VLOOKUP(Logfile_S[[#This Row],[Material Name]],Sheet2!B:C,2,0)</f>
        <v>GCI1002</v>
      </c>
      <c r="M2144" s="225" t="str">
        <f>_xlfn.XLOOKUP(Logfile_S[[#This Row],[Material Name]],Sum_WH!E:E,Sum_WH!F:F,"",0)</f>
        <v>Pcs</v>
      </c>
      <c r="N2144" s="221">
        <v>1</v>
      </c>
      <c r="O2144" s="221" t="s">
        <v>1799</v>
      </c>
      <c r="P2144" s="221" t="s">
        <v>3398</v>
      </c>
      <c r="Q2144" s="221"/>
      <c r="R2144" s="221"/>
      <c r="S2144" s="221"/>
      <c r="T2144" s="221" t="s">
        <v>3258</v>
      </c>
      <c r="U2144" s="221" t="s">
        <v>3228</v>
      </c>
      <c r="V2144" s="221" t="s">
        <v>3337</v>
      </c>
      <c r="W2144" s="221" t="s">
        <v>3338</v>
      </c>
      <c r="X2144" s="221"/>
      <c r="Y2144" s="227"/>
      <c r="Z2144" s="227" t="str">
        <f>P2144</f>
        <v>HUBFEEDER KEPANJEN TO JATIKERTO</v>
      </c>
      <c r="AA2144" s="276" t="e">
        <f>VLOOKUP(Logfile_S[[#This Row],[DO number]],DO_DB!G:I,3,0)</f>
        <v>#N/A</v>
      </c>
      <c r="AB2144" s="331" t="e">
        <f>EXACT(Logfile_S[[#This Row],[date pick]],Logfile_S[[#This Row],[Date]])</f>
        <v>#N/A</v>
      </c>
      <c r="AC21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45" spans="1:29" ht="14.5">
      <c r="A2145" s="220" t="str">
        <f>TEXT(ROW(A2145)-ROW($A$4),"000")</f>
        <v>2141</v>
      </c>
      <c r="B2145" s="221"/>
      <c r="C2145" s="221" t="s">
        <v>49</v>
      </c>
      <c r="D2145" s="221" t="s">
        <v>4151</v>
      </c>
      <c r="E2145" s="221" t="s">
        <v>3295</v>
      </c>
      <c r="F2145" s="221" t="s">
        <v>3299</v>
      </c>
      <c r="G2145" s="222">
        <v>45511</v>
      </c>
      <c r="H2145" s="223">
        <v>0.81874999999999998</v>
      </c>
      <c r="I2145" s="221" t="s">
        <v>4916</v>
      </c>
      <c r="J2145" s="221" t="s">
        <v>3023</v>
      </c>
      <c r="K2145" s="224" t="s">
        <v>3070</v>
      </c>
      <c r="L2145" s="225" t="str">
        <f>VLOOKUP(Logfile_S[[#This Row],[Material Name]],Sheet2!B:C,2,0)</f>
        <v>ZTE1002</v>
      </c>
      <c r="M2145" s="225" t="str">
        <f>_xlfn.XLOOKUP(Logfile_S[[#This Row],[Material Name]],Sum_WH!E:E,Sum_WH!F:F,"",0)</f>
        <v>Pcs</v>
      </c>
      <c r="N2145" s="221">
        <v>3</v>
      </c>
      <c r="O2145" s="221" t="s">
        <v>1799</v>
      </c>
      <c r="P2145" s="221" t="s">
        <v>3398</v>
      </c>
      <c r="Q2145" s="221"/>
      <c r="R2145" s="221"/>
      <c r="S2145" s="221"/>
      <c r="T2145" s="221" t="s">
        <v>3258</v>
      </c>
      <c r="U2145" s="221" t="s">
        <v>3228</v>
      </c>
      <c r="V2145" s="221" t="s">
        <v>3337</v>
      </c>
      <c r="W2145" s="221" t="s">
        <v>3338</v>
      </c>
      <c r="X2145" s="221"/>
      <c r="Y2145" s="227"/>
      <c r="Z2145" s="227" t="str">
        <f>P2145</f>
        <v>HUBFEEDER KEPANJEN TO JATIKERTO</v>
      </c>
      <c r="AA2145" s="276" t="e">
        <f>VLOOKUP(Logfile_S[[#This Row],[DO number]],DO_DB!G:I,3,0)</f>
        <v>#N/A</v>
      </c>
      <c r="AB2145" s="331" t="e">
        <f>EXACT(Logfile_S[[#This Row],[date pick]],Logfile_S[[#This Row],[Date]])</f>
        <v>#N/A</v>
      </c>
      <c r="AC21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46" spans="1:29" ht="14.5">
      <c r="A2146" s="220" t="str">
        <f>TEXT(ROW(A2146)-ROW($A$4),"000")</f>
        <v>2142</v>
      </c>
      <c r="B2146" s="221"/>
      <c r="C2146" s="221" t="s">
        <v>49</v>
      </c>
      <c r="D2146" s="221" t="s">
        <v>4150</v>
      </c>
      <c r="E2146" s="221" t="s">
        <v>3295</v>
      </c>
      <c r="F2146" s="221" t="s">
        <v>3299</v>
      </c>
      <c r="G2146" s="222">
        <v>45511</v>
      </c>
      <c r="H2146" s="223">
        <v>0.78333333333333333</v>
      </c>
      <c r="I2146" s="221" t="s">
        <v>4916</v>
      </c>
      <c r="J2146" s="221" t="s">
        <v>3023</v>
      </c>
      <c r="K2146" s="224" t="s">
        <v>3069</v>
      </c>
      <c r="L2146" s="225" t="str">
        <f>VLOOKUP(Logfile_S[[#This Row],[Material Name]],Sheet2!B:C,2,0)</f>
        <v>ZTE1001</v>
      </c>
      <c r="M2146" s="225" t="str">
        <f>_xlfn.XLOOKUP(Logfile_S[[#This Row],[Material Name]],Sum_WH!E:E,Sum_WH!F:F,"",0)</f>
        <v>Pcs</v>
      </c>
      <c r="N2146" s="221">
        <v>30</v>
      </c>
      <c r="O2146" s="221" t="s">
        <v>1799</v>
      </c>
      <c r="P2146" s="221" t="s">
        <v>3398</v>
      </c>
      <c r="Q2146" s="221"/>
      <c r="R2146" s="221"/>
      <c r="S2146" s="221"/>
      <c r="T2146" s="221" t="s">
        <v>3258</v>
      </c>
      <c r="U2146" s="221" t="s">
        <v>3228</v>
      </c>
      <c r="V2146" s="221" t="s">
        <v>3337</v>
      </c>
      <c r="W2146" s="221" t="s">
        <v>3338</v>
      </c>
      <c r="X2146" s="221"/>
      <c r="Y2146" s="227"/>
      <c r="Z2146" s="227" t="str">
        <f>P2146</f>
        <v>HUBFEEDER KEPANJEN TO JATIKERTO</v>
      </c>
      <c r="AA2146" s="276" t="e">
        <f>VLOOKUP(Logfile_S[[#This Row],[DO number]],DO_DB!G:I,3,0)</f>
        <v>#N/A</v>
      </c>
      <c r="AB2146" s="331" t="e">
        <f>EXACT(Logfile_S[[#This Row],[date pick]],Logfile_S[[#This Row],[Date]])</f>
        <v>#N/A</v>
      </c>
      <c r="AC21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47" spans="1:29" ht="14.5">
      <c r="A2147" s="220" t="str">
        <f>TEXT(ROW(A2147)-ROW($A$4),"000")</f>
        <v>2143</v>
      </c>
      <c r="B2147" s="221"/>
      <c r="C2147" s="221" t="s">
        <v>49</v>
      </c>
      <c r="D2147" s="221" t="s">
        <v>4151</v>
      </c>
      <c r="E2147" s="221" t="s">
        <v>3295</v>
      </c>
      <c r="F2147" s="221" t="s">
        <v>3299</v>
      </c>
      <c r="G2147" s="222">
        <v>45511</v>
      </c>
      <c r="H2147" s="223">
        <v>0.81874999999999998</v>
      </c>
      <c r="I2147" s="221" t="s">
        <v>4916</v>
      </c>
      <c r="J2147" s="221" t="s">
        <v>3023</v>
      </c>
      <c r="K2147" s="224" t="s">
        <v>3071</v>
      </c>
      <c r="L2147" s="225" t="str">
        <f>VLOOKUP(Logfile_S[[#This Row],[Material Name]],Sheet2!B:C,2,0)</f>
        <v>ZTE1003</v>
      </c>
      <c r="M2147" s="225" t="str">
        <f>_xlfn.XLOOKUP(Logfile_S[[#This Row],[Material Name]],Sum_WH!E:E,Sum_WH!F:F,"",0)</f>
        <v>Pcs</v>
      </c>
      <c r="N2147" s="221">
        <v>2</v>
      </c>
      <c r="O2147" s="221" t="s">
        <v>1799</v>
      </c>
      <c r="P2147" s="221" t="s">
        <v>3398</v>
      </c>
      <c r="Q2147" s="221"/>
      <c r="R2147" s="221"/>
      <c r="S2147" s="221"/>
      <c r="T2147" s="221" t="s">
        <v>3258</v>
      </c>
      <c r="U2147" s="221" t="s">
        <v>3228</v>
      </c>
      <c r="V2147" s="221" t="s">
        <v>3337</v>
      </c>
      <c r="W2147" s="221" t="s">
        <v>3338</v>
      </c>
      <c r="X2147" s="221"/>
      <c r="Y2147" s="227"/>
      <c r="Z2147" s="227" t="str">
        <f>P2147</f>
        <v>HUBFEEDER KEPANJEN TO JATIKERTO</v>
      </c>
      <c r="AA2147" s="276" t="e">
        <f>VLOOKUP(Logfile_S[[#This Row],[DO number]],DO_DB!G:I,3,0)</f>
        <v>#N/A</v>
      </c>
      <c r="AB2147" s="331" t="e">
        <f>EXACT(Logfile_S[[#This Row],[date pick]],Logfile_S[[#This Row],[Date]])</f>
        <v>#N/A</v>
      </c>
      <c r="AC21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48" spans="1:29" ht="14.5">
      <c r="A2148" s="220" t="str">
        <f>TEXT(ROW(A2148)-ROW($A$4),"000")</f>
        <v>2144</v>
      </c>
      <c r="B2148" s="221"/>
      <c r="C2148" s="221" t="s">
        <v>49</v>
      </c>
      <c r="D2148" s="221" t="s">
        <v>4150</v>
      </c>
      <c r="E2148" s="221" t="s">
        <v>3295</v>
      </c>
      <c r="F2148" s="221" t="s">
        <v>3299</v>
      </c>
      <c r="G2148" s="222">
        <v>45511</v>
      </c>
      <c r="H2148" s="223">
        <v>0.78333333333333333</v>
      </c>
      <c r="I2148" s="221" t="s">
        <v>4916</v>
      </c>
      <c r="J2148" s="221" t="s">
        <v>3024</v>
      </c>
      <c r="K2148" s="224" t="s">
        <v>3094</v>
      </c>
      <c r="L2148" s="225" t="str">
        <f>VLOOKUP(Logfile_S[[#This Row],[Material Name]],Sheet2!B:C,2,0)</f>
        <v>GCI1008</v>
      </c>
      <c r="M2148" s="225" t="str">
        <f>_xlfn.XLOOKUP(Logfile_S[[#This Row],[Material Name]],Sum_WH!E:E,Sum_WH!F:F,"",0)</f>
        <v>Pcs</v>
      </c>
      <c r="N2148" s="221">
        <v>100</v>
      </c>
      <c r="O2148" s="221" t="s">
        <v>1799</v>
      </c>
      <c r="P2148" s="221" t="s">
        <v>3398</v>
      </c>
      <c r="Q2148" s="221"/>
      <c r="R2148" s="221"/>
      <c r="S2148" s="221"/>
      <c r="T2148" s="221" t="s">
        <v>3258</v>
      </c>
      <c r="U2148" s="221" t="s">
        <v>3228</v>
      </c>
      <c r="V2148" s="221" t="s">
        <v>3337</v>
      </c>
      <c r="W2148" s="221" t="s">
        <v>3338</v>
      </c>
      <c r="X2148" s="221"/>
      <c r="Y2148" s="227"/>
      <c r="Z2148" s="227" t="str">
        <f>P2148</f>
        <v>HUBFEEDER KEPANJEN TO JATIKERTO</v>
      </c>
      <c r="AA2148" s="276" t="e">
        <f>VLOOKUP(Logfile_S[[#This Row],[DO number]],DO_DB!G:I,3,0)</f>
        <v>#N/A</v>
      </c>
      <c r="AB2148" s="331" t="e">
        <f>EXACT(Logfile_S[[#This Row],[date pick]],Logfile_S[[#This Row],[Date]])</f>
        <v>#N/A</v>
      </c>
      <c r="AC21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49" spans="1:29" ht="14.5">
      <c r="A2149" s="220" t="str">
        <f>TEXT(ROW(A2149)-ROW($A$4),"000")</f>
        <v>2145</v>
      </c>
      <c r="B2149" s="221"/>
      <c r="C2149" s="221" t="s">
        <v>49</v>
      </c>
      <c r="D2149" s="221" t="s">
        <v>4150</v>
      </c>
      <c r="E2149" s="221" t="s">
        <v>3295</v>
      </c>
      <c r="F2149" s="221" t="s">
        <v>3299</v>
      </c>
      <c r="G2149" s="222">
        <v>45511</v>
      </c>
      <c r="H2149" s="223">
        <v>0.78333333333333333</v>
      </c>
      <c r="I2149" s="221" t="s">
        <v>4916</v>
      </c>
      <c r="J2149" s="221" t="s">
        <v>3024</v>
      </c>
      <c r="K2149" s="224" t="s">
        <v>3089</v>
      </c>
      <c r="L2149" s="225" t="str">
        <f>VLOOKUP(Logfile_S[[#This Row],[Material Name]],Sheet2!B:C,2,0)</f>
        <v>GCI1003</v>
      </c>
      <c r="M2149" s="225" t="str">
        <f>_xlfn.XLOOKUP(Logfile_S[[#This Row],[Material Name]],Sum_WH!E:E,Sum_WH!F:F,"",0)</f>
        <v>Pcs</v>
      </c>
      <c r="N2149" s="221">
        <v>100</v>
      </c>
      <c r="O2149" s="221" t="s">
        <v>1799</v>
      </c>
      <c r="P2149" s="221" t="s">
        <v>3398</v>
      </c>
      <c r="Q2149" s="221"/>
      <c r="R2149" s="221"/>
      <c r="S2149" s="221"/>
      <c r="T2149" s="221" t="s">
        <v>3258</v>
      </c>
      <c r="U2149" s="221" t="s">
        <v>3228</v>
      </c>
      <c r="V2149" s="221" t="s">
        <v>3337</v>
      </c>
      <c r="W2149" s="221" t="s">
        <v>3338</v>
      </c>
      <c r="X2149" s="221"/>
      <c r="Y2149" s="227"/>
      <c r="Z2149" s="227" t="str">
        <f>P2149</f>
        <v>HUBFEEDER KEPANJEN TO JATIKERTO</v>
      </c>
      <c r="AA2149" s="276" t="e">
        <f>VLOOKUP(Logfile_S[[#This Row],[DO number]],DO_DB!G:I,3,0)</f>
        <v>#N/A</v>
      </c>
      <c r="AB2149" s="331" t="e">
        <f>EXACT(Logfile_S[[#This Row],[date pick]],Logfile_S[[#This Row],[Date]])</f>
        <v>#N/A</v>
      </c>
      <c r="AC21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50" spans="1:29" ht="14.5">
      <c r="A2150" s="220" t="str">
        <f>TEXT(ROW(A2150)-ROW($A$4),"000")</f>
        <v>2146</v>
      </c>
      <c r="B2150" s="221"/>
      <c r="C2150" s="221" t="s">
        <v>49</v>
      </c>
      <c r="D2150" s="221" t="s">
        <v>4150</v>
      </c>
      <c r="E2150" s="221" t="s">
        <v>3295</v>
      </c>
      <c r="F2150" s="221" t="s">
        <v>3299</v>
      </c>
      <c r="G2150" s="222">
        <v>45511</v>
      </c>
      <c r="H2150" s="223">
        <v>0.78333333333333333</v>
      </c>
      <c r="I2150" s="221" t="s">
        <v>4916</v>
      </c>
      <c r="J2150" s="221" t="s">
        <v>3024</v>
      </c>
      <c r="K2150" s="224" t="s">
        <v>3090</v>
      </c>
      <c r="L2150" s="225" t="str">
        <f>VLOOKUP(Logfile_S[[#This Row],[Material Name]],Sheet2!B:C,2,0)</f>
        <v>GCI1004</v>
      </c>
      <c r="M2150" s="225" t="str">
        <f>_xlfn.XLOOKUP(Logfile_S[[#This Row],[Material Name]],Sum_WH!E:E,Sum_WH!F:F,"",0)</f>
        <v>Pcs</v>
      </c>
      <c r="N2150" s="221">
        <v>50</v>
      </c>
      <c r="O2150" s="221" t="s">
        <v>1799</v>
      </c>
      <c r="P2150" s="221" t="s">
        <v>3398</v>
      </c>
      <c r="Q2150" s="221"/>
      <c r="R2150" s="221"/>
      <c r="S2150" s="221"/>
      <c r="T2150" s="221" t="s">
        <v>3258</v>
      </c>
      <c r="U2150" s="221" t="s">
        <v>3228</v>
      </c>
      <c r="V2150" s="221" t="s">
        <v>3337</v>
      </c>
      <c r="W2150" s="221" t="s">
        <v>3338</v>
      </c>
      <c r="X2150" s="221"/>
      <c r="Y2150" s="227"/>
      <c r="Z2150" s="227" t="str">
        <f>P2150</f>
        <v>HUBFEEDER KEPANJEN TO JATIKERTO</v>
      </c>
      <c r="AA2150" s="276" t="e">
        <f>VLOOKUP(Logfile_S[[#This Row],[DO number]],DO_DB!G:I,3,0)</f>
        <v>#N/A</v>
      </c>
      <c r="AB2150" s="331" t="e">
        <f>EXACT(Logfile_S[[#This Row],[date pick]],Logfile_S[[#This Row],[Date]])</f>
        <v>#N/A</v>
      </c>
      <c r="AC21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51" spans="1:29" ht="14.5">
      <c r="A2151" s="220" t="str">
        <f>TEXT(ROW(A2151)-ROW($A$4),"000")</f>
        <v>2147</v>
      </c>
      <c r="B2151" s="221"/>
      <c r="C2151" s="221" t="s">
        <v>49</v>
      </c>
      <c r="D2151" s="221" t="s">
        <v>4157</v>
      </c>
      <c r="E2151" s="221" t="s">
        <v>3295</v>
      </c>
      <c r="F2151" s="221" t="s">
        <v>3299</v>
      </c>
      <c r="G2151" s="222">
        <v>45518</v>
      </c>
      <c r="H2151" s="223">
        <v>0.2902777777777778</v>
      </c>
      <c r="I2151" s="221" t="s">
        <v>4916</v>
      </c>
      <c r="J2151" s="221" t="s">
        <v>3023</v>
      </c>
      <c r="K2151" s="224" t="s">
        <v>3072</v>
      </c>
      <c r="L2151" s="225" t="str">
        <f>VLOOKUP(Logfile_S[[#This Row],[Material Name]],Sheet2!B:C,2,0)</f>
        <v>ZTE1004</v>
      </c>
      <c r="M2151" s="225" t="str">
        <f>_xlfn.XLOOKUP(Logfile_S[[#This Row],[Material Name]],Sum_WH!E:E,Sum_WH!F:F,"",0)</f>
        <v>Pcs</v>
      </c>
      <c r="N2151" s="221">
        <v>2</v>
      </c>
      <c r="O2151" s="221" t="s">
        <v>1799</v>
      </c>
      <c r="P2151" s="221" t="s">
        <v>3398</v>
      </c>
      <c r="Q2151" s="221"/>
      <c r="R2151" s="221"/>
      <c r="S2151" s="221"/>
      <c r="T2151" s="221" t="s">
        <v>3231</v>
      </c>
      <c r="U2151" s="221">
        <v>0</v>
      </c>
      <c r="V2151" s="221" t="s">
        <v>3232</v>
      </c>
      <c r="W2151" s="221" t="s">
        <v>3254</v>
      </c>
      <c r="X2151" s="221"/>
      <c r="Y2151" s="227"/>
      <c r="Z2151" s="227" t="str">
        <f>P2151</f>
        <v>HUBFEEDER KEPANJEN TO JATIKERTO</v>
      </c>
      <c r="AA2151" s="276" t="e">
        <f>VLOOKUP(Logfile_S[[#This Row],[DO number]],DO_DB!G:I,3,0)</f>
        <v>#N/A</v>
      </c>
      <c r="AB2151" s="331" t="e">
        <f>EXACT(Logfile_S[[#This Row],[date pick]],Logfile_S[[#This Row],[Date]])</f>
        <v>#N/A</v>
      </c>
      <c r="AC21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52" spans="1:29" ht="14.5">
      <c r="A2152" s="220" t="str">
        <f>TEXT(ROW(A2152)-ROW($A$4),"000")</f>
        <v>2148</v>
      </c>
      <c r="B2152" s="221"/>
      <c r="C2152" s="221" t="s">
        <v>48</v>
      </c>
      <c r="D2152" s="221" t="s">
        <v>4134</v>
      </c>
      <c r="E2152" s="221" t="s">
        <v>3295</v>
      </c>
      <c r="F2152" s="221" t="s">
        <v>3299</v>
      </c>
      <c r="G2152" s="222">
        <v>45503</v>
      </c>
      <c r="H2152" s="223">
        <v>15.291666666666666</v>
      </c>
      <c r="I2152" s="221" t="s">
        <v>37</v>
      </c>
      <c r="J2152" s="221" t="s">
        <v>3023</v>
      </c>
      <c r="K2152" s="224" t="s">
        <v>3077</v>
      </c>
      <c r="L2152" s="225" t="str">
        <f>VLOOKUP(Logfile_S[[#This Row],[Material Name]],Sheet2!B:C,2,0)</f>
        <v>ZTE2004</v>
      </c>
      <c r="M2152" s="225" t="str">
        <f>_xlfn.XLOOKUP(Logfile_S[[#This Row],[Material Name]],Sum_WH!E:E,Sum_WH!F:F,"",0)</f>
        <v>Meter</v>
      </c>
      <c r="N2152" s="221">
        <v>3000</v>
      </c>
      <c r="O2152" s="221" t="s">
        <v>1807</v>
      </c>
      <c r="P2152" s="221" t="s">
        <v>1808</v>
      </c>
      <c r="Q2152" s="221">
        <v>0</v>
      </c>
      <c r="R2152" s="221">
        <v>0</v>
      </c>
      <c r="S2152" s="221"/>
      <c r="T2152" s="221"/>
      <c r="U2152" s="221"/>
      <c r="V2152" s="221"/>
      <c r="W2152" s="221"/>
      <c r="X2152" s="221"/>
      <c r="Y2152" s="236" t="s">
        <v>4972</v>
      </c>
      <c r="Z2152" s="227" t="str">
        <f>P2152</f>
        <v>Hub Feeder Segment 1 OLT Singosari to Girimoyo</v>
      </c>
      <c r="AA2152" s="276" t="e">
        <f>VLOOKUP(Logfile_S[[#This Row],[DO number]],DO_DB!G:I,3,0)</f>
        <v>#N/A</v>
      </c>
      <c r="AB2152" s="331" t="e">
        <f>EXACT(Logfile_S[[#This Row],[date pick]],Logfile_S[[#This Row],[Date]])</f>
        <v>#N/A</v>
      </c>
      <c r="AC21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144C-2024730-01</v>
      </c>
    </row>
    <row r="2153" spans="1:29" ht="14.5">
      <c r="A2153" s="237" t="str">
        <f>TEXT(ROW(A2153)-ROW($A$4),"000")</f>
        <v>2149</v>
      </c>
      <c r="B2153" s="221"/>
      <c r="C2153" s="221" t="s">
        <v>48</v>
      </c>
      <c r="D2153" s="221" t="s">
        <v>4134</v>
      </c>
      <c r="E2153" s="221" t="s">
        <v>3295</v>
      </c>
      <c r="F2153" s="221" t="s">
        <v>3299</v>
      </c>
      <c r="G2153" s="222">
        <v>45503</v>
      </c>
      <c r="H2153" s="223">
        <v>15.291666666666666</v>
      </c>
      <c r="I2153" s="221" t="s">
        <v>37</v>
      </c>
      <c r="J2153" s="221" t="s">
        <v>3023</v>
      </c>
      <c r="K2153" s="224" t="s">
        <v>3077</v>
      </c>
      <c r="L2153" s="225" t="str">
        <f>VLOOKUP(Logfile_S[[#This Row],[Material Name]],Sheet2!B:C,2,0)</f>
        <v>ZTE2004</v>
      </c>
      <c r="M2153" s="225" t="str">
        <f>_xlfn.XLOOKUP(Logfile_S[[#This Row],[Material Name]],Sum_WH!E:E,Sum_WH!F:F,"",0)</f>
        <v>Meter</v>
      </c>
      <c r="N2153" s="221">
        <v>3000</v>
      </c>
      <c r="O2153" s="221" t="s">
        <v>1807</v>
      </c>
      <c r="P2153" s="221" t="s">
        <v>1808</v>
      </c>
      <c r="Q2153" s="227"/>
      <c r="R2153" s="227"/>
      <c r="S2153" s="227"/>
      <c r="T2153" s="227"/>
      <c r="U2153" s="227"/>
      <c r="V2153" s="227"/>
      <c r="W2153" s="227"/>
      <c r="X2153" s="227"/>
      <c r="Y2153" s="243" t="s">
        <v>4973</v>
      </c>
      <c r="Z2153" s="227" t="str">
        <f>P2153</f>
        <v>Hub Feeder Segment 1 OLT Singosari to Girimoyo</v>
      </c>
      <c r="AA2153" s="276" t="e">
        <f>VLOOKUP(Logfile_S[[#This Row],[DO number]],DO_DB!G:I,3,0)</f>
        <v>#N/A</v>
      </c>
      <c r="AB2153" s="331" t="e">
        <f>EXACT(Logfile_S[[#This Row],[date pick]],Logfile_S[[#This Row],[Date]])</f>
        <v>#N/A</v>
      </c>
      <c r="AC21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144C-2024730-02</v>
      </c>
    </row>
    <row r="2154" spans="1:29" ht="14.5">
      <c r="A2154" s="237" t="str">
        <f>TEXT(ROW(A2154)-ROW($A$4),"000")</f>
        <v>2150</v>
      </c>
      <c r="B2154" s="221"/>
      <c r="C2154" s="221" t="s">
        <v>48</v>
      </c>
      <c r="D2154" s="221" t="s">
        <v>4134</v>
      </c>
      <c r="E2154" s="221" t="s">
        <v>3295</v>
      </c>
      <c r="F2154" s="221" t="s">
        <v>3299</v>
      </c>
      <c r="G2154" s="222">
        <v>45503</v>
      </c>
      <c r="H2154" s="223">
        <v>15.291666666666666</v>
      </c>
      <c r="I2154" s="221" t="s">
        <v>37</v>
      </c>
      <c r="J2154" s="221" t="s">
        <v>3023</v>
      </c>
      <c r="K2154" s="224" t="s">
        <v>3077</v>
      </c>
      <c r="L2154" s="225" t="str">
        <f>VLOOKUP(Logfile_S[[#This Row],[Material Name]],Sheet2!B:C,2,0)</f>
        <v>ZTE2004</v>
      </c>
      <c r="M2154" s="225" t="str">
        <f>_xlfn.XLOOKUP(Logfile_S[[#This Row],[Material Name]],Sum_WH!E:E,Sum_WH!F:F,"",0)</f>
        <v>Meter</v>
      </c>
      <c r="N2154" s="221">
        <v>3000</v>
      </c>
      <c r="O2154" s="221" t="s">
        <v>1807</v>
      </c>
      <c r="P2154" s="221" t="s">
        <v>1808</v>
      </c>
      <c r="Q2154" s="227"/>
      <c r="R2154" s="227"/>
      <c r="S2154" s="227"/>
      <c r="T2154" s="227"/>
      <c r="U2154" s="227"/>
      <c r="V2154" s="227"/>
      <c r="W2154" s="227"/>
      <c r="X2154" s="227"/>
      <c r="Y2154" s="243" t="s">
        <v>4974</v>
      </c>
      <c r="Z2154" s="227" t="str">
        <f>P2154</f>
        <v>Hub Feeder Segment 1 OLT Singosari to Girimoyo</v>
      </c>
      <c r="AA2154" s="276" t="e">
        <f>VLOOKUP(Logfile_S[[#This Row],[DO number]],DO_DB!G:I,3,0)</f>
        <v>#N/A</v>
      </c>
      <c r="AB2154" s="331" t="e">
        <f>EXACT(Logfile_S[[#This Row],[date pick]],Logfile_S[[#This Row],[Date]])</f>
        <v>#N/A</v>
      </c>
      <c r="AC21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144C-2024730-03</v>
      </c>
    </row>
    <row r="2155" spans="1:29" ht="14.5">
      <c r="A2155" s="220" t="str">
        <f>TEXT(ROW(A2155)-ROW($A$4),"000")</f>
        <v>2151</v>
      </c>
      <c r="B2155" s="221"/>
      <c r="C2155" s="221" t="s">
        <v>49</v>
      </c>
      <c r="D2155" s="221" t="s">
        <v>4394</v>
      </c>
      <c r="E2155" s="221" t="s">
        <v>3295</v>
      </c>
      <c r="F2155" s="221" t="s">
        <v>3299</v>
      </c>
      <c r="G2155" s="222">
        <v>45854</v>
      </c>
      <c r="H2155" s="223">
        <v>0.46805555555555556</v>
      </c>
      <c r="I2155" s="221" t="s">
        <v>4916</v>
      </c>
      <c r="J2155" s="221" t="s">
        <v>3023</v>
      </c>
      <c r="K2155" s="224" t="s">
        <v>3069</v>
      </c>
      <c r="L2155" s="225" t="str">
        <f>VLOOKUP(Logfile_S[[#This Row],[Material Name]],Sheet2!B:C,2,0)</f>
        <v>ZTE1001</v>
      </c>
      <c r="M2155" s="225" t="str">
        <f>_xlfn.XLOOKUP(Logfile_S[[#This Row],[Material Name]],Sum_WH!E:E,Sum_WH!F:F,"",0)</f>
        <v>Pcs</v>
      </c>
      <c r="N2155" s="221">
        <v>1</v>
      </c>
      <c r="O2155" s="221" t="s">
        <v>1807</v>
      </c>
      <c r="P2155" s="221" t="s">
        <v>1800</v>
      </c>
      <c r="Q2155" s="221"/>
      <c r="R2155" s="221"/>
      <c r="S2155" s="221"/>
      <c r="T2155" s="221" t="s">
        <v>3258</v>
      </c>
      <c r="U2155" s="221">
        <v>0</v>
      </c>
      <c r="V2155" s="221" t="s">
        <v>3337</v>
      </c>
      <c r="W2155" s="221" t="s">
        <v>3338</v>
      </c>
      <c r="X2155" s="221" t="s">
        <v>3591</v>
      </c>
      <c r="Y2155" s="227"/>
      <c r="Z2155" s="227" t="str">
        <f>P2155</f>
        <v>HUBFEEDER OLT KEPANJEN TO JATIKERTO</v>
      </c>
      <c r="AA2155" s="276" t="e">
        <f>VLOOKUP(Logfile_S[[#This Row],[DO number]],DO_DB!G:I,3,0)</f>
        <v>#N/A</v>
      </c>
      <c r="AB2155" s="331" t="e">
        <f>EXACT(Logfile_S[[#This Row],[date pick]],Logfile_S[[#This Row],[Date]])</f>
        <v>#N/A</v>
      </c>
      <c r="AC21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56" spans="1:29" ht="14.5">
      <c r="A2156" s="220" t="str">
        <f>TEXT(ROW(A2156)-ROW($A$4),"000")</f>
        <v>2152</v>
      </c>
      <c r="B2156" s="221"/>
      <c r="C2156" s="221" t="s">
        <v>49</v>
      </c>
      <c r="D2156" s="221" t="s">
        <v>4129</v>
      </c>
      <c r="E2156" s="221" t="s">
        <v>3295</v>
      </c>
      <c r="F2156" s="221" t="s">
        <v>3299</v>
      </c>
      <c r="G2156" s="222">
        <v>45498</v>
      </c>
      <c r="H2156" s="223">
        <v>0.79166666666666663</v>
      </c>
      <c r="I2156" s="221" t="s">
        <v>4916</v>
      </c>
      <c r="J2156" s="221" t="s">
        <v>3023</v>
      </c>
      <c r="K2156" s="224" t="s">
        <v>3072</v>
      </c>
      <c r="L2156" s="225" t="str">
        <f>VLOOKUP(Logfile_S[[#This Row],[Material Name]],Sheet2!B:C,2,0)</f>
        <v>ZTE1004</v>
      </c>
      <c r="M2156" s="225" t="str">
        <f>_xlfn.XLOOKUP(Logfile_S[[#This Row],[Material Name]],Sum_WH!E:E,Sum_WH!F:F,"",0)</f>
        <v>Pcs</v>
      </c>
      <c r="N2156" s="221">
        <v>3</v>
      </c>
      <c r="O2156" s="221" t="s">
        <v>1807</v>
      </c>
      <c r="P2156" s="221" t="s">
        <v>3399</v>
      </c>
      <c r="Q2156" s="221"/>
      <c r="R2156" s="221"/>
      <c r="S2156" s="221"/>
      <c r="T2156" s="221" t="s">
        <v>3471</v>
      </c>
      <c r="U2156" s="221">
        <v>0</v>
      </c>
      <c r="V2156" s="221" t="s">
        <v>3472</v>
      </c>
      <c r="W2156" s="221" t="s">
        <v>3473</v>
      </c>
      <c r="X2156" s="221"/>
      <c r="Y2156" s="227"/>
      <c r="Z2156" s="227" t="str">
        <f>P2156</f>
        <v>HUBFEEDER TIRTASANI TO GIRIMOYO</v>
      </c>
      <c r="AA2156" s="276" t="e">
        <f>VLOOKUP(Logfile_S[[#This Row],[DO number]],DO_DB!G:I,3,0)</f>
        <v>#N/A</v>
      </c>
      <c r="AB2156" s="331" t="e">
        <f>EXACT(Logfile_S[[#This Row],[date pick]],Logfile_S[[#This Row],[Date]])</f>
        <v>#N/A</v>
      </c>
      <c r="AC21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57" spans="1:29" ht="14.5">
      <c r="A2157" s="220" t="str">
        <f>TEXT(ROW(A2157)-ROW($A$4),"000")</f>
        <v>2153</v>
      </c>
      <c r="B2157" s="221"/>
      <c r="C2157" s="221" t="s">
        <v>49</v>
      </c>
      <c r="D2157" s="221" t="s">
        <v>4146</v>
      </c>
      <c r="E2157" s="221" t="s">
        <v>3295</v>
      </c>
      <c r="F2157" s="221" t="s">
        <v>3299</v>
      </c>
      <c r="G2157" s="222">
        <v>45507</v>
      </c>
      <c r="H2157" s="223">
        <v>0.97222222222222221</v>
      </c>
      <c r="I2157" s="221" t="s">
        <v>4916</v>
      </c>
      <c r="J2157" s="221" t="s">
        <v>3023</v>
      </c>
      <c r="K2157" s="224" t="s">
        <v>3069</v>
      </c>
      <c r="L2157" s="225" t="str">
        <f>VLOOKUP(Logfile_S[[#This Row],[Material Name]],Sheet2!B:C,2,0)</f>
        <v>ZTE1001</v>
      </c>
      <c r="M2157" s="225" t="str">
        <f>_xlfn.XLOOKUP(Logfile_S[[#This Row],[Material Name]],Sum_WH!E:E,Sum_WH!F:F,"",0)</f>
        <v>Pcs</v>
      </c>
      <c r="N2157" s="221">
        <v>18</v>
      </c>
      <c r="O2157" s="221" t="s">
        <v>1807</v>
      </c>
      <c r="P2157" s="221" t="s">
        <v>3399</v>
      </c>
      <c r="Q2157" s="221"/>
      <c r="R2157" s="221"/>
      <c r="S2157" s="221"/>
      <c r="T2157" s="221" t="s">
        <v>3244</v>
      </c>
      <c r="U2157" s="221">
        <v>0</v>
      </c>
      <c r="V2157" s="221" t="s">
        <v>3248</v>
      </c>
      <c r="W2157" s="221" t="s">
        <v>3252</v>
      </c>
      <c r="X2157" s="221"/>
      <c r="Y2157" s="227"/>
      <c r="Z2157" s="227" t="str">
        <f>P2157</f>
        <v>HUBFEEDER TIRTASANI TO GIRIMOYO</v>
      </c>
      <c r="AA2157" s="276" t="e">
        <f>VLOOKUP(Logfile_S[[#This Row],[DO number]],DO_DB!G:I,3,0)</f>
        <v>#N/A</v>
      </c>
      <c r="AB2157" s="331" t="e">
        <f>EXACT(Logfile_S[[#This Row],[date pick]],Logfile_S[[#This Row],[Date]])</f>
        <v>#N/A</v>
      </c>
      <c r="AC21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58" spans="1:29" ht="14.5">
      <c r="A2158" s="220" t="str">
        <f>TEXT(ROW(A2158)-ROW($A$4),"000")</f>
        <v>2154</v>
      </c>
      <c r="B2158" s="221"/>
      <c r="C2158" s="221" t="s">
        <v>49</v>
      </c>
      <c r="D2158" s="221" t="s">
        <v>4144</v>
      </c>
      <c r="E2158" s="221" t="s">
        <v>3295</v>
      </c>
      <c r="F2158" s="221" t="s">
        <v>3299</v>
      </c>
      <c r="G2158" s="222">
        <v>45507</v>
      </c>
      <c r="H2158" s="223">
        <v>0.79166666666666663</v>
      </c>
      <c r="I2158" s="221" t="s">
        <v>4916</v>
      </c>
      <c r="J2158" s="221" t="s">
        <v>3023</v>
      </c>
      <c r="K2158" s="224" t="s">
        <v>3069</v>
      </c>
      <c r="L2158" s="225" t="str">
        <f>VLOOKUP(Logfile_S[[#This Row],[Material Name]],Sheet2!B:C,2,0)</f>
        <v>ZTE1001</v>
      </c>
      <c r="M2158" s="225" t="str">
        <f>_xlfn.XLOOKUP(Logfile_S[[#This Row],[Material Name]],Sum_WH!E:E,Sum_WH!F:F,"",0)</f>
        <v>Pcs</v>
      </c>
      <c r="N2158" s="221">
        <v>25</v>
      </c>
      <c r="O2158" s="221" t="s">
        <v>1807</v>
      </c>
      <c r="P2158" s="221" t="s">
        <v>3399</v>
      </c>
      <c r="Q2158" s="221"/>
      <c r="R2158" s="221"/>
      <c r="S2158" s="221"/>
      <c r="T2158" s="221" t="s">
        <v>3244</v>
      </c>
      <c r="U2158" s="221">
        <v>0</v>
      </c>
      <c r="V2158" s="221" t="s">
        <v>3248</v>
      </c>
      <c r="W2158" s="221" t="s">
        <v>3252</v>
      </c>
      <c r="X2158" s="221"/>
      <c r="Y2158" s="227"/>
      <c r="Z2158" s="227" t="str">
        <f>P2158</f>
        <v>HUBFEEDER TIRTASANI TO GIRIMOYO</v>
      </c>
      <c r="AA2158" s="276" t="e">
        <f>VLOOKUP(Logfile_S[[#This Row],[DO number]],DO_DB!G:I,3,0)</f>
        <v>#N/A</v>
      </c>
      <c r="AB2158" s="331" t="e">
        <f>EXACT(Logfile_S[[#This Row],[date pick]],Logfile_S[[#This Row],[Date]])</f>
        <v>#N/A</v>
      </c>
      <c r="AC21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59" spans="1:29" ht="14.5">
      <c r="A2159" s="220" t="str">
        <f>TEXT(ROW(A2159)-ROW($A$4),"000")</f>
        <v>2155</v>
      </c>
      <c r="B2159" s="221"/>
      <c r="C2159" s="221" t="s">
        <v>49</v>
      </c>
      <c r="D2159" s="221" t="s">
        <v>4146</v>
      </c>
      <c r="E2159" s="221" t="s">
        <v>3295</v>
      </c>
      <c r="F2159" s="221" t="s">
        <v>3299</v>
      </c>
      <c r="G2159" s="222">
        <v>45507</v>
      </c>
      <c r="H2159" s="223">
        <v>0.97222222222222221</v>
      </c>
      <c r="I2159" s="221" t="s">
        <v>4916</v>
      </c>
      <c r="J2159" s="221" t="s">
        <v>3023</v>
      </c>
      <c r="K2159" s="224" t="s">
        <v>3071</v>
      </c>
      <c r="L2159" s="225" t="str">
        <f>VLOOKUP(Logfile_S[[#This Row],[Material Name]],Sheet2!B:C,2,0)</f>
        <v>ZTE1003</v>
      </c>
      <c r="M2159" s="225" t="str">
        <f>_xlfn.XLOOKUP(Logfile_S[[#This Row],[Material Name]],Sum_WH!E:E,Sum_WH!F:F,"",0)</f>
        <v>Pcs</v>
      </c>
      <c r="N2159" s="221">
        <v>3</v>
      </c>
      <c r="O2159" s="221" t="s">
        <v>1807</v>
      </c>
      <c r="P2159" s="221" t="s">
        <v>3399</v>
      </c>
      <c r="Q2159" s="221"/>
      <c r="R2159" s="221"/>
      <c r="S2159" s="221"/>
      <c r="T2159" s="221" t="s">
        <v>3244</v>
      </c>
      <c r="U2159" s="221">
        <v>0</v>
      </c>
      <c r="V2159" s="221" t="s">
        <v>3248</v>
      </c>
      <c r="W2159" s="221" t="s">
        <v>3252</v>
      </c>
      <c r="X2159" s="221"/>
      <c r="Y2159" s="227"/>
      <c r="Z2159" s="227" t="str">
        <f>P2159</f>
        <v>HUBFEEDER TIRTASANI TO GIRIMOYO</v>
      </c>
      <c r="AA2159" s="276" t="e">
        <f>VLOOKUP(Logfile_S[[#This Row],[DO number]],DO_DB!G:I,3,0)</f>
        <v>#N/A</v>
      </c>
      <c r="AB2159" s="331" t="e">
        <f>EXACT(Logfile_S[[#This Row],[date pick]],Logfile_S[[#This Row],[Date]])</f>
        <v>#N/A</v>
      </c>
      <c r="AC21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60" spans="1:29" ht="14.5">
      <c r="A2160" s="220" t="str">
        <f>TEXT(ROW(A2160)-ROW($A$4),"000")</f>
        <v>2156</v>
      </c>
      <c r="B2160" s="221"/>
      <c r="C2160" s="221" t="s">
        <v>49</v>
      </c>
      <c r="D2160" s="221" t="s">
        <v>4147</v>
      </c>
      <c r="E2160" s="221" t="s">
        <v>3295</v>
      </c>
      <c r="F2160" s="221" t="s">
        <v>3299</v>
      </c>
      <c r="G2160" s="222">
        <v>45508</v>
      </c>
      <c r="H2160" s="223">
        <v>0.74444444444444446</v>
      </c>
      <c r="I2160" s="221" t="s">
        <v>4916</v>
      </c>
      <c r="J2160" s="221" t="s">
        <v>3023</v>
      </c>
      <c r="K2160" s="224" t="s">
        <v>3077</v>
      </c>
      <c r="L2160" s="225" t="str">
        <f>VLOOKUP(Logfile_S[[#This Row],[Material Name]],Sheet2!B:C,2,0)</f>
        <v>ZTE2004</v>
      </c>
      <c r="M2160" s="225" t="str">
        <f>_xlfn.XLOOKUP(Logfile_S[[#This Row],[Material Name]],Sum_WH!E:E,Sum_WH!F:F,"",0)</f>
        <v>Meter</v>
      </c>
      <c r="N2160" s="221">
        <v>3000</v>
      </c>
      <c r="O2160" s="221" t="s">
        <v>1807</v>
      </c>
      <c r="P2160" s="221" t="s">
        <v>3399</v>
      </c>
      <c r="Q2160" s="221"/>
      <c r="R2160" s="221"/>
      <c r="S2160" s="221"/>
      <c r="T2160" s="221" t="s">
        <v>3244</v>
      </c>
      <c r="U2160" s="221" t="s">
        <v>3228</v>
      </c>
      <c r="V2160" s="221" t="s">
        <v>3248</v>
      </c>
      <c r="W2160" s="221" t="s">
        <v>3252</v>
      </c>
      <c r="X2160" s="221"/>
      <c r="Y2160" s="236" t="s">
        <v>4974</v>
      </c>
      <c r="Z2160" s="227" t="str">
        <f>P2160</f>
        <v>HUBFEEDER TIRTASANI TO GIRIMOYO</v>
      </c>
      <c r="AA2160" s="276" t="e">
        <f>VLOOKUP(Logfile_S[[#This Row],[DO number]],DO_DB!G:I,3,0)</f>
        <v>#N/A</v>
      </c>
      <c r="AB2160" s="331" t="e">
        <f>EXACT(Logfile_S[[#This Row],[date pick]],Logfile_S[[#This Row],[Date]])</f>
        <v>#N/A</v>
      </c>
      <c r="AC21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144C-2024730-03</v>
      </c>
    </row>
    <row r="2161" spans="1:29" ht="14.5">
      <c r="A2161" s="220" t="str">
        <f>TEXT(ROW(A2161)-ROW($A$4),"000")</f>
        <v>2157</v>
      </c>
      <c r="B2161" s="221"/>
      <c r="C2161" s="221" t="s">
        <v>49</v>
      </c>
      <c r="D2161" s="221" t="s">
        <v>4148</v>
      </c>
      <c r="E2161" s="221" t="s">
        <v>3295</v>
      </c>
      <c r="F2161" s="221" t="s">
        <v>3299</v>
      </c>
      <c r="G2161" s="222">
        <v>45510</v>
      </c>
      <c r="H2161" s="223">
        <v>0.80277777777777781</v>
      </c>
      <c r="I2161" s="221" t="s">
        <v>4916</v>
      </c>
      <c r="J2161" s="221" t="s">
        <v>3023</v>
      </c>
      <c r="K2161" s="224" t="s">
        <v>3069</v>
      </c>
      <c r="L2161" s="225" t="str">
        <f>VLOOKUP(Logfile_S[[#This Row],[Material Name]],Sheet2!B:C,2,0)</f>
        <v>ZTE1001</v>
      </c>
      <c r="M2161" s="225" t="str">
        <f>_xlfn.XLOOKUP(Logfile_S[[#This Row],[Material Name]],Sum_WH!E:E,Sum_WH!F:F,"",0)</f>
        <v>Pcs</v>
      </c>
      <c r="N2161" s="221">
        <v>25</v>
      </c>
      <c r="O2161" s="221" t="s">
        <v>1807</v>
      </c>
      <c r="P2161" s="221" t="s">
        <v>3399</v>
      </c>
      <c r="Q2161" s="221"/>
      <c r="R2161" s="221"/>
      <c r="S2161" s="221"/>
      <c r="T2161" s="221" t="s">
        <v>3244</v>
      </c>
      <c r="U2161" s="221">
        <v>0</v>
      </c>
      <c r="V2161" s="221" t="s">
        <v>3248</v>
      </c>
      <c r="W2161" s="221" t="s">
        <v>3252</v>
      </c>
      <c r="X2161" s="221"/>
      <c r="Y2161" s="227"/>
      <c r="Z2161" s="227" t="str">
        <f>P2161</f>
        <v>HUBFEEDER TIRTASANI TO GIRIMOYO</v>
      </c>
      <c r="AA2161" s="276" t="e">
        <f>VLOOKUP(Logfile_S[[#This Row],[DO number]],DO_DB!G:I,3,0)</f>
        <v>#N/A</v>
      </c>
      <c r="AB2161" s="331" t="e">
        <f>EXACT(Logfile_S[[#This Row],[date pick]],Logfile_S[[#This Row],[Date]])</f>
        <v>#N/A</v>
      </c>
      <c r="AC21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62" spans="1:29" ht="14.5">
      <c r="A2162" s="220" t="str">
        <f>TEXT(ROW(A2162)-ROW($A$4),"000")</f>
        <v>2158</v>
      </c>
      <c r="B2162" s="221"/>
      <c r="C2162" s="221" t="s">
        <v>49</v>
      </c>
      <c r="D2162" s="221" t="s">
        <v>4149</v>
      </c>
      <c r="E2162" s="221" t="s">
        <v>3295</v>
      </c>
      <c r="F2162" s="221" t="s">
        <v>3299</v>
      </c>
      <c r="G2162" s="222">
        <v>45511</v>
      </c>
      <c r="H2162" s="223">
        <v>0.44861111111111113</v>
      </c>
      <c r="I2162" s="221" t="s">
        <v>4916</v>
      </c>
      <c r="J2162" s="221" t="s">
        <v>3024</v>
      </c>
      <c r="K2162" s="224" t="s">
        <v>3087</v>
      </c>
      <c r="L2162" s="225" t="str">
        <f>VLOOKUP(Logfile_S[[#This Row],[Material Name]],Sheet2!B:C,2,0)</f>
        <v>GCI1001</v>
      </c>
      <c r="M2162" s="225" t="str">
        <f>_xlfn.XLOOKUP(Logfile_S[[#This Row],[Material Name]],Sum_WH!E:E,Sum_WH!F:F,"",0)</f>
        <v>Pcs</v>
      </c>
      <c r="N2162" s="221">
        <v>8</v>
      </c>
      <c r="O2162" s="221" t="s">
        <v>1807</v>
      </c>
      <c r="P2162" s="221" t="s">
        <v>3399</v>
      </c>
      <c r="Q2162" s="221"/>
      <c r="R2162" s="221"/>
      <c r="S2162" s="221"/>
      <c r="T2162" s="221" t="s">
        <v>3244</v>
      </c>
      <c r="U2162" s="221">
        <v>0</v>
      </c>
      <c r="V2162" s="221" t="s">
        <v>3248</v>
      </c>
      <c r="W2162" s="221" t="s">
        <v>3252</v>
      </c>
      <c r="X2162" s="221"/>
      <c r="Y2162" s="227"/>
      <c r="Z2162" s="227" t="str">
        <f>P2162</f>
        <v>HUBFEEDER TIRTASANI TO GIRIMOYO</v>
      </c>
      <c r="AA2162" s="276" t="e">
        <f>VLOOKUP(Logfile_S[[#This Row],[DO number]],DO_DB!G:I,3,0)</f>
        <v>#N/A</v>
      </c>
      <c r="AB2162" s="331" t="e">
        <f>EXACT(Logfile_S[[#This Row],[date pick]],Logfile_S[[#This Row],[Date]])</f>
        <v>#N/A</v>
      </c>
      <c r="AC21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63" spans="1:29" ht="14.5">
      <c r="A2163" s="220" t="str">
        <f>TEXT(ROW(A2163)-ROW($A$4),"000")</f>
        <v>2159</v>
      </c>
      <c r="B2163" s="221"/>
      <c r="C2163" s="221" t="s">
        <v>49</v>
      </c>
      <c r="D2163" s="221" t="s">
        <v>4149</v>
      </c>
      <c r="E2163" s="221" t="s">
        <v>3295</v>
      </c>
      <c r="F2163" s="221" t="s">
        <v>3299</v>
      </c>
      <c r="G2163" s="222">
        <v>45511</v>
      </c>
      <c r="H2163" s="223">
        <v>0.44861111111111113</v>
      </c>
      <c r="I2163" s="221" t="s">
        <v>4916</v>
      </c>
      <c r="J2163" s="221" t="s">
        <v>3024</v>
      </c>
      <c r="K2163" s="224" t="s">
        <v>3108</v>
      </c>
      <c r="L2163" s="225" t="str">
        <f>VLOOKUP(Logfile_S[[#This Row],[Material Name]],Sheet2!B:C,2,0)</f>
        <v>GCI1020</v>
      </c>
      <c r="M2163" s="225" t="str">
        <f>_xlfn.XLOOKUP(Logfile_S[[#This Row],[Material Name]],Sum_WH!E:E,Sum_WH!F:F,"",0)</f>
        <v>Pcs</v>
      </c>
      <c r="N2163" s="221">
        <v>80</v>
      </c>
      <c r="O2163" s="221" t="s">
        <v>1807</v>
      </c>
      <c r="P2163" s="221" t="s">
        <v>3399</v>
      </c>
      <c r="Q2163" s="221"/>
      <c r="R2163" s="221"/>
      <c r="S2163" s="221"/>
      <c r="T2163" s="221" t="s">
        <v>3244</v>
      </c>
      <c r="U2163" s="221">
        <v>0</v>
      </c>
      <c r="V2163" s="221" t="s">
        <v>3248</v>
      </c>
      <c r="W2163" s="221" t="s">
        <v>3252</v>
      </c>
      <c r="X2163" s="221"/>
      <c r="Y2163" s="227"/>
      <c r="Z2163" s="227" t="str">
        <f>P2163</f>
        <v>HUBFEEDER TIRTASANI TO GIRIMOYO</v>
      </c>
      <c r="AA2163" s="276" t="e">
        <f>VLOOKUP(Logfile_S[[#This Row],[DO number]],DO_DB!G:I,3,0)</f>
        <v>#N/A</v>
      </c>
      <c r="AB2163" s="331" t="e">
        <f>EXACT(Logfile_S[[#This Row],[date pick]],Logfile_S[[#This Row],[Date]])</f>
        <v>#N/A</v>
      </c>
      <c r="AC21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64" spans="1:29" ht="14.5">
      <c r="A2164" s="220" t="str">
        <f>TEXT(ROW(A2164)-ROW($A$4),"000")</f>
        <v>2160</v>
      </c>
      <c r="B2164" s="221"/>
      <c r="C2164" s="221" t="s">
        <v>49</v>
      </c>
      <c r="D2164" s="221" t="s">
        <v>4149</v>
      </c>
      <c r="E2164" s="221" t="s">
        <v>3295</v>
      </c>
      <c r="F2164" s="221" t="s">
        <v>3299</v>
      </c>
      <c r="G2164" s="222">
        <v>45511</v>
      </c>
      <c r="H2164" s="223">
        <v>0.44861111111111113</v>
      </c>
      <c r="I2164" s="221" t="s">
        <v>4916</v>
      </c>
      <c r="J2164" s="221" t="s">
        <v>3024</v>
      </c>
      <c r="K2164" s="224" t="s">
        <v>3088</v>
      </c>
      <c r="L2164" s="225" t="str">
        <f>VLOOKUP(Logfile_S[[#This Row],[Material Name]],Sheet2!B:C,2,0)</f>
        <v>GCI1002</v>
      </c>
      <c r="M2164" s="225" t="str">
        <f>_xlfn.XLOOKUP(Logfile_S[[#This Row],[Material Name]],Sum_WH!E:E,Sum_WH!F:F,"",0)</f>
        <v>Pcs</v>
      </c>
      <c r="N2164" s="221">
        <v>1</v>
      </c>
      <c r="O2164" s="221" t="s">
        <v>1807</v>
      </c>
      <c r="P2164" s="221" t="s">
        <v>3399</v>
      </c>
      <c r="Q2164" s="221"/>
      <c r="R2164" s="221"/>
      <c r="S2164" s="221"/>
      <c r="T2164" s="221" t="s">
        <v>3244</v>
      </c>
      <c r="U2164" s="221">
        <v>0</v>
      </c>
      <c r="V2164" s="221" t="s">
        <v>3248</v>
      </c>
      <c r="W2164" s="221" t="s">
        <v>3252</v>
      </c>
      <c r="X2164" s="221"/>
      <c r="Y2164" s="227"/>
      <c r="Z2164" s="227" t="str">
        <f>P2164</f>
        <v>HUBFEEDER TIRTASANI TO GIRIMOYO</v>
      </c>
      <c r="AA2164" s="276" t="e">
        <f>VLOOKUP(Logfile_S[[#This Row],[DO number]],DO_DB!G:I,3,0)</f>
        <v>#N/A</v>
      </c>
      <c r="AB2164" s="331" t="e">
        <f>EXACT(Logfile_S[[#This Row],[date pick]],Logfile_S[[#This Row],[Date]])</f>
        <v>#N/A</v>
      </c>
      <c r="AC21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65" spans="1:29" ht="14.5">
      <c r="A2165" s="220" t="str">
        <f>TEXT(ROW(A2165)-ROW($A$4),"000")</f>
        <v>2161</v>
      </c>
      <c r="B2165" s="221"/>
      <c r="C2165" s="221" t="s">
        <v>49</v>
      </c>
      <c r="D2165" s="221" t="s">
        <v>4152</v>
      </c>
      <c r="E2165" s="221" t="s">
        <v>3295</v>
      </c>
      <c r="F2165" s="221" t="s">
        <v>3299</v>
      </c>
      <c r="G2165" s="222">
        <v>45511</v>
      </c>
      <c r="H2165" s="223">
        <v>0.84722222222222221</v>
      </c>
      <c r="I2165" s="221" t="s">
        <v>4916</v>
      </c>
      <c r="J2165" s="221" t="s">
        <v>3023</v>
      </c>
      <c r="K2165" s="224" t="s">
        <v>3069</v>
      </c>
      <c r="L2165" s="225" t="str">
        <f>VLOOKUP(Logfile_S[[#This Row],[Material Name]],Sheet2!B:C,2,0)</f>
        <v>ZTE1001</v>
      </c>
      <c r="M2165" s="225" t="str">
        <f>_xlfn.XLOOKUP(Logfile_S[[#This Row],[Material Name]],Sum_WH!E:E,Sum_WH!F:F,"",0)</f>
        <v>Pcs</v>
      </c>
      <c r="N2165" s="221">
        <v>19</v>
      </c>
      <c r="O2165" s="221" t="s">
        <v>1807</v>
      </c>
      <c r="P2165" s="221" t="s">
        <v>3399</v>
      </c>
      <c r="Q2165" s="221"/>
      <c r="R2165" s="221"/>
      <c r="S2165" s="221"/>
      <c r="T2165" s="221" t="s">
        <v>3244</v>
      </c>
      <c r="U2165" s="221">
        <v>0</v>
      </c>
      <c r="V2165" s="221" t="s">
        <v>3248</v>
      </c>
      <c r="W2165" s="221" t="s">
        <v>3252</v>
      </c>
      <c r="X2165" s="221"/>
      <c r="Y2165" s="227"/>
      <c r="Z2165" s="227" t="str">
        <f>P2165</f>
        <v>HUBFEEDER TIRTASANI TO GIRIMOYO</v>
      </c>
      <c r="AA2165" s="276" t="e">
        <f>VLOOKUP(Logfile_S[[#This Row],[DO number]],DO_DB!G:I,3,0)</f>
        <v>#N/A</v>
      </c>
      <c r="AB2165" s="331" t="e">
        <f>EXACT(Logfile_S[[#This Row],[date pick]],Logfile_S[[#This Row],[Date]])</f>
        <v>#N/A</v>
      </c>
      <c r="AC21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66" spans="1:29" ht="14.5">
      <c r="A2166" s="220" t="str">
        <f>TEXT(ROW(A2166)-ROW($A$4),"000")</f>
        <v>2162</v>
      </c>
      <c r="B2166" s="221"/>
      <c r="C2166" s="221" t="s">
        <v>49</v>
      </c>
      <c r="D2166" s="221" t="s">
        <v>4152</v>
      </c>
      <c r="E2166" s="221" t="s">
        <v>3295</v>
      </c>
      <c r="F2166" s="221" t="s">
        <v>3299</v>
      </c>
      <c r="G2166" s="222">
        <v>45511</v>
      </c>
      <c r="H2166" s="223">
        <v>0.84722222222222221</v>
      </c>
      <c r="I2166" s="221" t="s">
        <v>4916</v>
      </c>
      <c r="J2166" s="221" t="s">
        <v>3023</v>
      </c>
      <c r="K2166" s="224" t="s">
        <v>3071</v>
      </c>
      <c r="L2166" s="225" t="str">
        <f>VLOOKUP(Logfile_S[[#This Row],[Material Name]],Sheet2!B:C,2,0)</f>
        <v>ZTE1003</v>
      </c>
      <c r="M2166" s="225" t="str">
        <f>_xlfn.XLOOKUP(Logfile_S[[#This Row],[Material Name]],Sum_WH!E:E,Sum_WH!F:F,"",0)</f>
        <v>Pcs</v>
      </c>
      <c r="N2166" s="221">
        <v>3</v>
      </c>
      <c r="O2166" s="221" t="s">
        <v>1807</v>
      </c>
      <c r="P2166" s="221" t="s">
        <v>3399</v>
      </c>
      <c r="Q2166" s="221"/>
      <c r="R2166" s="221"/>
      <c r="S2166" s="221"/>
      <c r="T2166" s="221" t="s">
        <v>3244</v>
      </c>
      <c r="U2166" s="221">
        <v>0</v>
      </c>
      <c r="V2166" s="221" t="s">
        <v>3248</v>
      </c>
      <c r="W2166" s="221" t="s">
        <v>3252</v>
      </c>
      <c r="X2166" s="221"/>
      <c r="Y2166" s="227"/>
      <c r="Z2166" s="227" t="str">
        <f>P2166</f>
        <v>HUBFEEDER TIRTASANI TO GIRIMOYO</v>
      </c>
      <c r="AA2166" s="276" t="e">
        <f>VLOOKUP(Logfile_S[[#This Row],[DO number]],DO_DB!G:I,3,0)</f>
        <v>#N/A</v>
      </c>
      <c r="AB2166" s="331" t="e">
        <f>EXACT(Logfile_S[[#This Row],[date pick]],Logfile_S[[#This Row],[Date]])</f>
        <v>#N/A</v>
      </c>
      <c r="AC21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67" spans="1:29" ht="14.5">
      <c r="A2167" s="220" t="str">
        <f>TEXT(ROW(A2167)-ROW($A$4),"000")</f>
        <v>2163</v>
      </c>
      <c r="B2167" s="221"/>
      <c r="C2167" s="221" t="s">
        <v>49</v>
      </c>
      <c r="D2167" s="221" t="s">
        <v>4149</v>
      </c>
      <c r="E2167" s="221" t="s">
        <v>3295</v>
      </c>
      <c r="F2167" s="221" t="s">
        <v>3299</v>
      </c>
      <c r="G2167" s="222">
        <v>45511</v>
      </c>
      <c r="H2167" s="223">
        <v>0.44861111111111113</v>
      </c>
      <c r="I2167" s="221" t="s">
        <v>4916</v>
      </c>
      <c r="J2167" s="221" t="s">
        <v>3024</v>
      </c>
      <c r="K2167" s="224" t="s">
        <v>3094</v>
      </c>
      <c r="L2167" s="225" t="str">
        <f>VLOOKUP(Logfile_S[[#This Row],[Material Name]],Sheet2!B:C,2,0)</f>
        <v>GCI1008</v>
      </c>
      <c r="M2167" s="225" t="str">
        <f>_xlfn.XLOOKUP(Logfile_S[[#This Row],[Material Name]],Sum_WH!E:E,Sum_WH!F:F,"",0)</f>
        <v>Pcs</v>
      </c>
      <c r="N2167" s="221">
        <v>40</v>
      </c>
      <c r="O2167" s="221" t="s">
        <v>1807</v>
      </c>
      <c r="P2167" s="221" t="s">
        <v>3399</v>
      </c>
      <c r="Q2167" s="221"/>
      <c r="R2167" s="221"/>
      <c r="S2167" s="221"/>
      <c r="T2167" s="221" t="s">
        <v>3244</v>
      </c>
      <c r="U2167" s="221">
        <v>0</v>
      </c>
      <c r="V2167" s="221" t="s">
        <v>3248</v>
      </c>
      <c r="W2167" s="221" t="s">
        <v>3252</v>
      </c>
      <c r="X2167" s="221"/>
      <c r="Y2167" s="227"/>
      <c r="Z2167" s="227" t="str">
        <f>P2167</f>
        <v>HUBFEEDER TIRTASANI TO GIRIMOYO</v>
      </c>
      <c r="AA2167" s="276" t="e">
        <f>VLOOKUP(Logfile_S[[#This Row],[DO number]],DO_DB!G:I,3,0)</f>
        <v>#N/A</v>
      </c>
      <c r="AB2167" s="331" t="e">
        <f>EXACT(Logfile_S[[#This Row],[date pick]],Logfile_S[[#This Row],[Date]])</f>
        <v>#N/A</v>
      </c>
      <c r="AC21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68" spans="1:29" ht="14.5">
      <c r="A2168" s="220" t="str">
        <f>TEXT(ROW(A2168)-ROW($A$4),"000")</f>
        <v>2164</v>
      </c>
      <c r="B2168" s="221"/>
      <c r="C2168" s="221" t="s">
        <v>49</v>
      </c>
      <c r="D2168" s="221" t="s">
        <v>4149</v>
      </c>
      <c r="E2168" s="221" t="s">
        <v>3295</v>
      </c>
      <c r="F2168" s="221" t="s">
        <v>3299</v>
      </c>
      <c r="G2168" s="222">
        <v>45511</v>
      </c>
      <c r="H2168" s="223">
        <v>0.44861111111111113</v>
      </c>
      <c r="I2168" s="221" t="s">
        <v>4916</v>
      </c>
      <c r="J2168" s="221" t="s">
        <v>3024</v>
      </c>
      <c r="K2168" s="224" t="s">
        <v>3089</v>
      </c>
      <c r="L2168" s="225" t="str">
        <f>VLOOKUP(Logfile_S[[#This Row],[Material Name]],Sheet2!B:C,2,0)</f>
        <v>GCI1003</v>
      </c>
      <c r="M2168" s="225" t="str">
        <f>_xlfn.XLOOKUP(Logfile_S[[#This Row],[Material Name]],Sum_WH!E:E,Sum_WH!F:F,"",0)</f>
        <v>Pcs</v>
      </c>
      <c r="N2168" s="221">
        <v>40</v>
      </c>
      <c r="O2168" s="221" t="s">
        <v>1807</v>
      </c>
      <c r="P2168" s="221" t="s">
        <v>3399</v>
      </c>
      <c r="Q2168" s="221"/>
      <c r="R2168" s="221"/>
      <c r="S2168" s="221"/>
      <c r="T2168" s="221" t="s">
        <v>3244</v>
      </c>
      <c r="U2168" s="221">
        <v>0</v>
      </c>
      <c r="V2168" s="221" t="s">
        <v>3248</v>
      </c>
      <c r="W2168" s="221" t="s">
        <v>3252</v>
      </c>
      <c r="X2168" s="221"/>
      <c r="Y2168" s="227"/>
      <c r="Z2168" s="227" t="str">
        <f>P2168</f>
        <v>HUBFEEDER TIRTASANI TO GIRIMOYO</v>
      </c>
      <c r="AA2168" s="276" t="e">
        <f>VLOOKUP(Logfile_S[[#This Row],[DO number]],DO_DB!G:I,3,0)</f>
        <v>#N/A</v>
      </c>
      <c r="AB2168" s="331" t="e">
        <f>EXACT(Logfile_S[[#This Row],[date pick]],Logfile_S[[#This Row],[Date]])</f>
        <v>#N/A</v>
      </c>
      <c r="AC21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69" spans="1:29" ht="14.5">
      <c r="A2169" s="220" t="str">
        <f>TEXT(ROW(A2169)-ROW($A$4),"000")</f>
        <v>2165</v>
      </c>
      <c r="B2169" s="221"/>
      <c r="C2169" s="221" t="s">
        <v>49</v>
      </c>
      <c r="D2169" s="221" t="s">
        <v>4149</v>
      </c>
      <c r="E2169" s="221" t="s">
        <v>3295</v>
      </c>
      <c r="F2169" s="221" t="s">
        <v>3299</v>
      </c>
      <c r="G2169" s="222">
        <v>45511</v>
      </c>
      <c r="H2169" s="223">
        <v>0.44861111111111113</v>
      </c>
      <c r="I2169" s="221" t="s">
        <v>4916</v>
      </c>
      <c r="J2169" s="221" t="s">
        <v>3024</v>
      </c>
      <c r="K2169" s="224" t="s">
        <v>3090</v>
      </c>
      <c r="L2169" s="225" t="str">
        <f>VLOOKUP(Logfile_S[[#This Row],[Material Name]],Sheet2!B:C,2,0)</f>
        <v>GCI1004</v>
      </c>
      <c r="M2169" s="225" t="str">
        <f>_xlfn.XLOOKUP(Logfile_S[[#This Row],[Material Name]],Sum_WH!E:E,Sum_WH!F:F,"",0)</f>
        <v>Pcs</v>
      </c>
      <c r="N2169" s="221">
        <v>20</v>
      </c>
      <c r="O2169" s="221" t="s">
        <v>1807</v>
      </c>
      <c r="P2169" s="221" t="s">
        <v>3399</v>
      </c>
      <c r="Q2169" s="221"/>
      <c r="R2169" s="221"/>
      <c r="S2169" s="221"/>
      <c r="T2169" s="221" t="s">
        <v>3244</v>
      </c>
      <c r="U2169" s="221">
        <v>0</v>
      </c>
      <c r="V2169" s="221" t="s">
        <v>3248</v>
      </c>
      <c r="W2169" s="221" t="s">
        <v>3252</v>
      </c>
      <c r="X2169" s="221"/>
      <c r="Y2169" s="227"/>
      <c r="Z2169" s="227" t="str">
        <f>P2169</f>
        <v>HUBFEEDER TIRTASANI TO GIRIMOYO</v>
      </c>
      <c r="AA2169" s="276" t="e">
        <f>VLOOKUP(Logfile_S[[#This Row],[DO number]],DO_DB!G:I,3,0)</f>
        <v>#N/A</v>
      </c>
      <c r="AB2169" s="331" t="e">
        <f>EXACT(Logfile_S[[#This Row],[date pick]],Logfile_S[[#This Row],[Date]])</f>
        <v>#N/A</v>
      </c>
      <c r="AC21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70" spans="1:29" ht="14.5">
      <c r="A2170" s="220" t="str">
        <f>TEXT(ROW(A2170)-ROW($A$4),"000")</f>
        <v>2166</v>
      </c>
      <c r="B2170" s="221"/>
      <c r="C2170" s="221" t="s">
        <v>49</v>
      </c>
      <c r="D2170" s="221" t="s">
        <v>4153</v>
      </c>
      <c r="E2170" s="221" t="s">
        <v>3295</v>
      </c>
      <c r="F2170" s="221" t="s">
        <v>3299</v>
      </c>
      <c r="G2170" s="222">
        <v>45512</v>
      </c>
      <c r="H2170" s="223">
        <v>0.54722222222222228</v>
      </c>
      <c r="I2170" s="221" t="s">
        <v>4916</v>
      </c>
      <c r="J2170" s="221" t="s">
        <v>3024</v>
      </c>
      <c r="K2170" s="224" t="s">
        <v>3089</v>
      </c>
      <c r="L2170" s="225" t="str">
        <f>VLOOKUP(Logfile_S[[#This Row],[Material Name]],Sheet2!B:C,2,0)</f>
        <v>GCI1003</v>
      </c>
      <c r="M2170" s="225" t="str">
        <f>_xlfn.XLOOKUP(Logfile_S[[#This Row],[Material Name]],Sum_WH!E:E,Sum_WH!F:F,"",0)</f>
        <v>Pcs</v>
      </c>
      <c r="N2170" s="221">
        <v>100</v>
      </c>
      <c r="O2170" s="221" t="s">
        <v>1807</v>
      </c>
      <c r="P2170" s="221" t="s">
        <v>3399</v>
      </c>
      <c r="Q2170" s="221"/>
      <c r="R2170" s="221"/>
      <c r="S2170" s="221"/>
      <c r="T2170" s="221" t="s">
        <v>3244</v>
      </c>
      <c r="U2170" s="221">
        <v>0</v>
      </c>
      <c r="V2170" s="221" t="s">
        <v>3248</v>
      </c>
      <c r="W2170" s="221" t="s">
        <v>3252</v>
      </c>
      <c r="X2170" s="221"/>
      <c r="Y2170" s="227"/>
      <c r="Z2170" s="227" t="str">
        <f>P2170</f>
        <v>HUBFEEDER TIRTASANI TO GIRIMOYO</v>
      </c>
      <c r="AA2170" s="276" t="e">
        <f>VLOOKUP(Logfile_S[[#This Row],[DO number]],DO_DB!G:I,3,0)</f>
        <v>#N/A</v>
      </c>
      <c r="AB2170" s="331" t="e">
        <f>EXACT(Logfile_S[[#This Row],[date pick]],Logfile_S[[#This Row],[Date]])</f>
        <v>#N/A</v>
      </c>
      <c r="AC21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71" spans="1:29" ht="14.5">
      <c r="A2171" s="220" t="str">
        <f>TEXT(ROW(A2171)-ROW($A$4),"000")</f>
        <v>2167</v>
      </c>
      <c r="B2171" s="221"/>
      <c r="C2171" s="221" t="s">
        <v>49</v>
      </c>
      <c r="D2171" s="221" t="s">
        <v>4153</v>
      </c>
      <c r="E2171" s="221" t="s">
        <v>3295</v>
      </c>
      <c r="F2171" s="221" t="s">
        <v>3299</v>
      </c>
      <c r="G2171" s="222">
        <v>45512</v>
      </c>
      <c r="H2171" s="223">
        <v>0.54722222222222228</v>
      </c>
      <c r="I2171" s="221" t="s">
        <v>4916</v>
      </c>
      <c r="J2171" s="221" t="s">
        <v>3024</v>
      </c>
      <c r="K2171" s="224" t="s">
        <v>3090</v>
      </c>
      <c r="L2171" s="225" t="str">
        <f>VLOOKUP(Logfile_S[[#This Row],[Material Name]],Sheet2!B:C,2,0)</f>
        <v>GCI1004</v>
      </c>
      <c r="M2171" s="225" t="str">
        <f>_xlfn.XLOOKUP(Logfile_S[[#This Row],[Material Name]],Sum_WH!E:E,Sum_WH!F:F,"",0)</f>
        <v>Pcs</v>
      </c>
      <c r="N2171" s="221">
        <v>50</v>
      </c>
      <c r="O2171" s="221" t="s">
        <v>1807</v>
      </c>
      <c r="P2171" s="221" t="s">
        <v>3399</v>
      </c>
      <c r="Q2171" s="221"/>
      <c r="R2171" s="221"/>
      <c r="S2171" s="221"/>
      <c r="T2171" s="221" t="s">
        <v>3244</v>
      </c>
      <c r="U2171" s="221">
        <v>0</v>
      </c>
      <c r="V2171" s="221" t="s">
        <v>3248</v>
      </c>
      <c r="W2171" s="221" t="s">
        <v>3252</v>
      </c>
      <c r="X2171" s="221"/>
      <c r="Y2171" s="227"/>
      <c r="Z2171" s="227" t="str">
        <f>P2171</f>
        <v>HUBFEEDER TIRTASANI TO GIRIMOYO</v>
      </c>
      <c r="AA2171" s="276" t="e">
        <f>VLOOKUP(Logfile_S[[#This Row],[DO number]],DO_DB!G:I,3,0)</f>
        <v>#N/A</v>
      </c>
      <c r="AB2171" s="331" t="e">
        <f>EXACT(Logfile_S[[#This Row],[date pick]],Logfile_S[[#This Row],[Date]])</f>
        <v>#N/A</v>
      </c>
      <c r="AC21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72" spans="1:29" ht="14.5">
      <c r="A2172" s="220" t="str">
        <f>TEXT(ROW(A2172)-ROW($A$4),"000")</f>
        <v>2168</v>
      </c>
      <c r="B2172" s="221"/>
      <c r="C2172" s="221" t="s">
        <v>49</v>
      </c>
      <c r="D2172" s="221" t="s">
        <v>4158</v>
      </c>
      <c r="E2172" s="221" t="s">
        <v>3295</v>
      </c>
      <c r="F2172" s="221" t="s">
        <v>3299</v>
      </c>
      <c r="G2172" s="222">
        <v>45518</v>
      </c>
      <c r="H2172" s="223">
        <v>0.41666666666666669</v>
      </c>
      <c r="I2172" s="221" t="s">
        <v>4916</v>
      </c>
      <c r="J2172" s="221" t="s">
        <v>3024</v>
      </c>
      <c r="K2172" s="224" t="s">
        <v>3087</v>
      </c>
      <c r="L2172" s="225" t="str">
        <f>VLOOKUP(Logfile_S[[#This Row],[Material Name]],Sheet2!B:C,2,0)</f>
        <v>GCI1001</v>
      </c>
      <c r="M2172" s="225" t="str">
        <f>_xlfn.XLOOKUP(Logfile_S[[#This Row],[Material Name]],Sum_WH!E:E,Sum_WH!F:F,"",0)</f>
        <v>Pcs</v>
      </c>
      <c r="N2172" s="221">
        <v>5</v>
      </c>
      <c r="O2172" s="221" t="s">
        <v>1807</v>
      </c>
      <c r="P2172" s="221" t="s">
        <v>3399</v>
      </c>
      <c r="Q2172" s="221"/>
      <c r="R2172" s="221"/>
      <c r="S2172" s="221"/>
      <c r="T2172" s="221" t="s">
        <v>3258</v>
      </c>
      <c r="U2172" s="221" t="s">
        <v>3228</v>
      </c>
      <c r="V2172" s="221" t="s">
        <v>3337</v>
      </c>
      <c r="W2172" s="221" t="s">
        <v>3338</v>
      </c>
      <c r="X2172" s="221"/>
      <c r="Y2172" s="227"/>
      <c r="Z2172" s="227" t="str">
        <f>P2172</f>
        <v>HUBFEEDER TIRTASANI TO GIRIMOYO</v>
      </c>
      <c r="AA2172" s="276" t="e">
        <f>VLOOKUP(Logfile_S[[#This Row],[DO number]],DO_DB!G:I,3,0)</f>
        <v>#N/A</v>
      </c>
      <c r="AB2172" s="331" t="e">
        <f>EXACT(Logfile_S[[#This Row],[date pick]],Logfile_S[[#This Row],[Date]])</f>
        <v>#N/A</v>
      </c>
      <c r="AC21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73" spans="1:29" ht="14.5">
      <c r="A2173" s="220" t="str">
        <f>TEXT(ROW(A2173)-ROW($A$4),"000")</f>
        <v>2169</v>
      </c>
      <c r="B2173" s="221"/>
      <c r="C2173" s="221" t="s">
        <v>49</v>
      </c>
      <c r="D2173" s="221" t="s">
        <v>4158</v>
      </c>
      <c r="E2173" s="221" t="s">
        <v>3295</v>
      </c>
      <c r="F2173" s="221" t="s">
        <v>3299</v>
      </c>
      <c r="G2173" s="222">
        <v>45518</v>
      </c>
      <c r="H2173" s="223">
        <v>0.41666666666666669</v>
      </c>
      <c r="I2173" s="221" t="s">
        <v>4916</v>
      </c>
      <c r="J2173" s="221" t="s">
        <v>3024</v>
      </c>
      <c r="K2173" s="224" t="s">
        <v>3088</v>
      </c>
      <c r="L2173" s="225" t="str">
        <f>VLOOKUP(Logfile_S[[#This Row],[Material Name]],Sheet2!B:C,2,0)</f>
        <v>GCI1002</v>
      </c>
      <c r="M2173" s="225" t="str">
        <f>_xlfn.XLOOKUP(Logfile_S[[#This Row],[Material Name]],Sum_WH!E:E,Sum_WH!F:F,"",0)</f>
        <v>Pcs</v>
      </c>
      <c r="N2173" s="221">
        <v>1</v>
      </c>
      <c r="O2173" s="221" t="s">
        <v>1807</v>
      </c>
      <c r="P2173" s="221" t="s">
        <v>3399</v>
      </c>
      <c r="Q2173" s="221"/>
      <c r="R2173" s="221"/>
      <c r="S2173" s="221"/>
      <c r="T2173" s="221" t="s">
        <v>3258</v>
      </c>
      <c r="U2173" s="221" t="s">
        <v>3228</v>
      </c>
      <c r="V2173" s="221" t="s">
        <v>3337</v>
      </c>
      <c r="W2173" s="221" t="s">
        <v>3338</v>
      </c>
      <c r="X2173" s="221"/>
      <c r="Y2173" s="227"/>
      <c r="Z2173" s="227" t="str">
        <f>P2173</f>
        <v>HUBFEEDER TIRTASANI TO GIRIMOYO</v>
      </c>
      <c r="AA2173" s="276" t="e">
        <f>VLOOKUP(Logfile_S[[#This Row],[DO number]],DO_DB!G:I,3,0)</f>
        <v>#N/A</v>
      </c>
      <c r="AB2173" s="331" t="e">
        <f>EXACT(Logfile_S[[#This Row],[date pick]],Logfile_S[[#This Row],[Date]])</f>
        <v>#N/A</v>
      </c>
      <c r="AC21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74" spans="1:29" ht="14.5">
      <c r="A2174" s="220" t="str">
        <f>TEXT(ROW(A2174)-ROW($A$4),"000")</f>
        <v>2170</v>
      </c>
      <c r="B2174" s="221"/>
      <c r="C2174" s="221" t="s">
        <v>49</v>
      </c>
      <c r="D2174" s="221" t="s">
        <v>4158</v>
      </c>
      <c r="E2174" s="221" t="s">
        <v>3295</v>
      </c>
      <c r="F2174" s="221" t="s">
        <v>3299</v>
      </c>
      <c r="G2174" s="222">
        <v>45518</v>
      </c>
      <c r="H2174" s="223">
        <v>0.41666666666666669</v>
      </c>
      <c r="I2174" s="221" t="s">
        <v>4916</v>
      </c>
      <c r="J2174" s="221" t="s">
        <v>3024</v>
      </c>
      <c r="K2174" s="224" t="s">
        <v>3089</v>
      </c>
      <c r="L2174" s="225" t="str">
        <f>VLOOKUP(Logfile_S[[#This Row],[Material Name]],Sheet2!B:C,2,0)</f>
        <v>GCI1003</v>
      </c>
      <c r="M2174" s="225" t="str">
        <f>_xlfn.XLOOKUP(Logfile_S[[#This Row],[Material Name]],Sum_WH!E:E,Sum_WH!F:F,"",0)</f>
        <v>Pcs</v>
      </c>
      <c r="N2174" s="221">
        <v>100</v>
      </c>
      <c r="O2174" s="221" t="s">
        <v>1807</v>
      </c>
      <c r="P2174" s="221" t="s">
        <v>3399</v>
      </c>
      <c r="Q2174" s="221"/>
      <c r="R2174" s="221"/>
      <c r="S2174" s="221"/>
      <c r="T2174" s="221" t="s">
        <v>3258</v>
      </c>
      <c r="U2174" s="221" t="s">
        <v>3228</v>
      </c>
      <c r="V2174" s="221" t="s">
        <v>3337</v>
      </c>
      <c r="W2174" s="221" t="s">
        <v>3338</v>
      </c>
      <c r="X2174" s="221"/>
      <c r="Y2174" s="227"/>
      <c r="Z2174" s="227" t="str">
        <f>P2174</f>
        <v>HUBFEEDER TIRTASANI TO GIRIMOYO</v>
      </c>
      <c r="AA2174" s="276" t="e">
        <f>VLOOKUP(Logfile_S[[#This Row],[DO number]],DO_DB!G:I,3,0)</f>
        <v>#N/A</v>
      </c>
      <c r="AB2174" s="331" t="e">
        <f>EXACT(Logfile_S[[#This Row],[date pick]],Logfile_S[[#This Row],[Date]])</f>
        <v>#N/A</v>
      </c>
      <c r="AC21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75" spans="1:29" ht="14.5">
      <c r="A2175" s="220" t="str">
        <f>TEXT(ROW(A2175)-ROW($A$4),"000")</f>
        <v>2171</v>
      </c>
      <c r="B2175" s="221"/>
      <c r="C2175" s="221" t="s">
        <v>49</v>
      </c>
      <c r="D2175" s="221" t="s">
        <v>4158</v>
      </c>
      <c r="E2175" s="221" t="s">
        <v>3295</v>
      </c>
      <c r="F2175" s="221" t="s">
        <v>3299</v>
      </c>
      <c r="G2175" s="222">
        <v>45518</v>
      </c>
      <c r="H2175" s="223">
        <v>0.41666666666666669</v>
      </c>
      <c r="I2175" s="221" t="s">
        <v>4916</v>
      </c>
      <c r="J2175" s="221" t="s">
        <v>3024</v>
      </c>
      <c r="K2175" s="224" t="s">
        <v>3090</v>
      </c>
      <c r="L2175" s="225" t="str">
        <f>VLOOKUP(Logfile_S[[#This Row],[Material Name]],Sheet2!B:C,2,0)</f>
        <v>GCI1004</v>
      </c>
      <c r="M2175" s="225" t="str">
        <f>_xlfn.XLOOKUP(Logfile_S[[#This Row],[Material Name]],Sum_WH!E:E,Sum_WH!F:F,"",0)</f>
        <v>Pcs</v>
      </c>
      <c r="N2175" s="221">
        <v>50</v>
      </c>
      <c r="O2175" s="221" t="s">
        <v>1807</v>
      </c>
      <c r="P2175" s="221" t="s">
        <v>3399</v>
      </c>
      <c r="Q2175" s="221"/>
      <c r="R2175" s="221"/>
      <c r="S2175" s="221"/>
      <c r="T2175" s="221" t="s">
        <v>3258</v>
      </c>
      <c r="U2175" s="221" t="s">
        <v>3228</v>
      </c>
      <c r="V2175" s="221" t="s">
        <v>3337</v>
      </c>
      <c r="W2175" s="221" t="s">
        <v>3338</v>
      </c>
      <c r="X2175" s="221"/>
      <c r="Y2175" s="227"/>
      <c r="Z2175" s="227" t="str">
        <f>P2175</f>
        <v>HUBFEEDER TIRTASANI TO GIRIMOYO</v>
      </c>
      <c r="AA2175" s="276" t="e">
        <f>VLOOKUP(Logfile_S[[#This Row],[DO number]],DO_DB!G:I,3,0)</f>
        <v>#N/A</v>
      </c>
      <c r="AB2175" s="331" t="e">
        <f>EXACT(Logfile_S[[#This Row],[date pick]],Logfile_S[[#This Row],[Date]])</f>
        <v>#N/A</v>
      </c>
      <c r="AC21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76" spans="1:29" ht="14.5">
      <c r="A2176" s="220" t="str">
        <f>TEXT(ROW(A2176)-ROW($A$4),"000")</f>
        <v>2172</v>
      </c>
      <c r="B2176" s="221"/>
      <c r="C2176" s="221" t="s">
        <v>49</v>
      </c>
      <c r="D2176" s="221" t="s">
        <v>4249</v>
      </c>
      <c r="E2176" s="221" t="s">
        <v>3295</v>
      </c>
      <c r="F2176" s="221" t="s">
        <v>3299</v>
      </c>
      <c r="G2176" s="222">
        <v>45575</v>
      </c>
      <c r="H2176" s="223">
        <v>0.56458333333333333</v>
      </c>
      <c r="I2176" s="221" t="s">
        <v>4916</v>
      </c>
      <c r="J2176" s="221" t="s">
        <v>3024</v>
      </c>
      <c r="K2176" s="224" t="s">
        <v>3108</v>
      </c>
      <c r="L2176" s="225" t="str">
        <f>VLOOKUP(Logfile_S[[#This Row],[Material Name]],Sheet2!B:C,2,0)</f>
        <v>GCI1020</v>
      </c>
      <c r="M2176" s="225" t="str">
        <f>_xlfn.XLOOKUP(Logfile_S[[#This Row],[Material Name]],Sum_WH!E:E,Sum_WH!F:F,"",0)</f>
        <v>Pcs</v>
      </c>
      <c r="N2176" s="221">
        <v>1</v>
      </c>
      <c r="O2176" s="221" t="s">
        <v>1807</v>
      </c>
      <c r="P2176" s="221" t="s">
        <v>3399</v>
      </c>
      <c r="Q2176" s="221"/>
      <c r="R2176" s="221"/>
      <c r="S2176" s="221"/>
      <c r="T2176" s="221" t="s">
        <v>3244</v>
      </c>
      <c r="U2176" s="221">
        <v>0</v>
      </c>
      <c r="V2176" s="221" t="s">
        <v>3248</v>
      </c>
      <c r="W2176" s="221" t="s">
        <v>3252</v>
      </c>
      <c r="X2176" s="221"/>
      <c r="Y2176" s="227"/>
      <c r="Z2176" s="227" t="str">
        <f>P2176</f>
        <v>HUBFEEDER TIRTASANI TO GIRIMOYO</v>
      </c>
      <c r="AA2176" s="276" t="e">
        <f>VLOOKUP(Logfile_S[[#This Row],[DO number]],DO_DB!G:I,3,0)</f>
        <v>#N/A</v>
      </c>
      <c r="AB2176" s="331" t="e">
        <f>EXACT(Logfile_S[[#This Row],[date pick]],Logfile_S[[#This Row],[Date]])</f>
        <v>#N/A</v>
      </c>
      <c r="AC21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77" spans="1:29" ht="14.5">
      <c r="A2177" s="220" t="str">
        <f>TEXT(ROW(A2177)-ROW($A$4),"000")</f>
        <v>2173</v>
      </c>
      <c r="B2177" s="221"/>
      <c r="C2177" s="221" t="s">
        <v>49</v>
      </c>
      <c r="D2177" s="221" t="s">
        <v>4179</v>
      </c>
      <c r="E2177" s="221" t="s">
        <v>3295</v>
      </c>
      <c r="F2177" s="221" t="s">
        <v>3299</v>
      </c>
      <c r="G2177" s="222">
        <v>45531</v>
      </c>
      <c r="H2177" s="223">
        <v>0.89027777777777772</v>
      </c>
      <c r="I2177" s="221" t="s">
        <v>4916</v>
      </c>
      <c r="J2177" s="221" t="s">
        <v>3024</v>
      </c>
      <c r="K2177" s="224" t="s">
        <v>3087</v>
      </c>
      <c r="L2177" s="225" t="str">
        <f>VLOOKUP(Logfile_S[[#This Row],[Material Name]],Sheet2!B:C,2,0)</f>
        <v>GCI1001</v>
      </c>
      <c r="M2177" s="225" t="str">
        <f>_xlfn.XLOOKUP(Logfile_S[[#This Row],[Material Name]],Sum_WH!E:E,Sum_WH!F:F,"",0)</f>
        <v>Pcs</v>
      </c>
      <c r="N2177" s="221">
        <v>4</v>
      </c>
      <c r="O2177" s="221" t="s">
        <v>2142</v>
      </c>
      <c r="P2177" s="221" t="s">
        <v>3400</v>
      </c>
      <c r="Q2177" s="221"/>
      <c r="R2177" s="221"/>
      <c r="S2177" s="221"/>
      <c r="T2177" s="221" t="s">
        <v>3244</v>
      </c>
      <c r="U2177" s="221">
        <v>0</v>
      </c>
      <c r="V2177" s="221" t="s">
        <v>3248</v>
      </c>
      <c r="W2177" s="221" t="s">
        <v>3252</v>
      </c>
      <c r="X2177" s="221"/>
      <c r="Y2177" s="227"/>
      <c r="Z2177" s="227" t="str">
        <f>P2177</f>
        <v>HUBFEEDER DINOYO SUMBERSEKAR</v>
      </c>
      <c r="AA2177" s="276" t="e">
        <f>VLOOKUP(Logfile_S[[#This Row],[DO number]],DO_DB!G:I,3,0)</f>
        <v>#N/A</v>
      </c>
      <c r="AB2177" s="331" t="e">
        <f>EXACT(Logfile_S[[#This Row],[date pick]],Logfile_S[[#This Row],[Date]])</f>
        <v>#N/A</v>
      </c>
      <c r="AC21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78" spans="1:29" ht="14.5">
      <c r="A2178" s="220" t="str">
        <f>TEXT(ROW(A2178)-ROW($A$4),"000")</f>
        <v>2174</v>
      </c>
      <c r="B2178" s="221"/>
      <c r="C2178" s="221" t="s">
        <v>49</v>
      </c>
      <c r="D2178" s="221" t="s">
        <v>4179</v>
      </c>
      <c r="E2178" s="221" t="s">
        <v>3295</v>
      </c>
      <c r="F2178" s="221" t="s">
        <v>3299</v>
      </c>
      <c r="G2178" s="222">
        <v>45531</v>
      </c>
      <c r="H2178" s="223">
        <v>0.89027777777777772</v>
      </c>
      <c r="I2178" s="221" t="s">
        <v>4916</v>
      </c>
      <c r="J2178" s="221" t="s">
        <v>3024</v>
      </c>
      <c r="K2178" s="224" t="s">
        <v>3108</v>
      </c>
      <c r="L2178" s="225" t="str">
        <f>VLOOKUP(Logfile_S[[#This Row],[Material Name]],Sheet2!B:C,2,0)</f>
        <v>GCI1020</v>
      </c>
      <c r="M2178" s="225" t="str">
        <f>_xlfn.XLOOKUP(Logfile_S[[#This Row],[Material Name]],Sum_WH!E:E,Sum_WH!F:F,"",0)</f>
        <v>Pcs</v>
      </c>
      <c r="N2178" s="221">
        <v>47</v>
      </c>
      <c r="O2178" s="221" t="s">
        <v>2142</v>
      </c>
      <c r="P2178" s="221" t="s">
        <v>3400</v>
      </c>
      <c r="Q2178" s="221"/>
      <c r="R2178" s="221"/>
      <c r="S2178" s="221"/>
      <c r="T2178" s="221" t="s">
        <v>3244</v>
      </c>
      <c r="U2178" s="221">
        <v>0</v>
      </c>
      <c r="V2178" s="221" t="s">
        <v>3248</v>
      </c>
      <c r="W2178" s="221" t="s">
        <v>3252</v>
      </c>
      <c r="X2178" s="221"/>
      <c r="Y2178" s="227"/>
      <c r="Z2178" s="227" t="str">
        <f>P2178</f>
        <v>HUBFEEDER DINOYO SUMBERSEKAR</v>
      </c>
      <c r="AA2178" s="276" t="e">
        <f>VLOOKUP(Logfile_S[[#This Row],[DO number]],DO_DB!G:I,3,0)</f>
        <v>#N/A</v>
      </c>
      <c r="AB2178" s="331" t="e">
        <f>EXACT(Logfile_S[[#This Row],[date pick]],Logfile_S[[#This Row],[Date]])</f>
        <v>#N/A</v>
      </c>
      <c r="AC21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79" spans="1:29" ht="14.5">
      <c r="A2179" s="220" t="str">
        <f>TEXT(ROW(A2179)-ROW($A$4),"000")</f>
        <v>2175</v>
      </c>
      <c r="B2179" s="221"/>
      <c r="C2179" s="221" t="s">
        <v>49</v>
      </c>
      <c r="D2179" s="221" t="s">
        <v>4179</v>
      </c>
      <c r="E2179" s="221" t="s">
        <v>3295</v>
      </c>
      <c r="F2179" s="221" t="s">
        <v>3299</v>
      </c>
      <c r="G2179" s="222">
        <v>45531</v>
      </c>
      <c r="H2179" s="223">
        <v>0.89027777777777772</v>
      </c>
      <c r="I2179" s="221" t="s">
        <v>4916</v>
      </c>
      <c r="J2179" s="221" t="s">
        <v>3024</v>
      </c>
      <c r="K2179" s="224" t="s">
        <v>3088</v>
      </c>
      <c r="L2179" s="225" t="str">
        <f>VLOOKUP(Logfile_S[[#This Row],[Material Name]],Sheet2!B:C,2,0)</f>
        <v>GCI1002</v>
      </c>
      <c r="M2179" s="225" t="str">
        <f>_xlfn.XLOOKUP(Logfile_S[[#This Row],[Material Name]],Sum_WH!E:E,Sum_WH!F:F,"",0)</f>
        <v>Pcs</v>
      </c>
      <c r="N2179" s="221">
        <v>1</v>
      </c>
      <c r="O2179" s="221" t="s">
        <v>2142</v>
      </c>
      <c r="P2179" s="221" t="s">
        <v>3400</v>
      </c>
      <c r="Q2179" s="221"/>
      <c r="R2179" s="221"/>
      <c r="S2179" s="221"/>
      <c r="T2179" s="221" t="s">
        <v>3244</v>
      </c>
      <c r="U2179" s="221">
        <v>0</v>
      </c>
      <c r="V2179" s="221" t="s">
        <v>3248</v>
      </c>
      <c r="W2179" s="221" t="s">
        <v>3252</v>
      </c>
      <c r="X2179" s="221"/>
      <c r="Y2179" s="227"/>
      <c r="Z2179" s="227" t="str">
        <f>P2179</f>
        <v>HUBFEEDER DINOYO SUMBERSEKAR</v>
      </c>
      <c r="AA2179" s="276" t="e">
        <f>VLOOKUP(Logfile_S[[#This Row],[DO number]],DO_DB!G:I,3,0)</f>
        <v>#N/A</v>
      </c>
      <c r="AB2179" s="331" t="e">
        <f>EXACT(Logfile_S[[#This Row],[date pick]],Logfile_S[[#This Row],[Date]])</f>
        <v>#N/A</v>
      </c>
      <c r="AC21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80" spans="1:29" ht="14.5">
      <c r="A2180" s="220" t="str">
        <f>TEXT(ROW(A2180)-ROW($A$4),"000")</f>
        <v>2176</v>
      </c>
      <c r="B2180" s="221"/>
      <c r="C2180" s="221" t="s">
        <v>49</v>
      </c>
      <c r="D2180" s="221" t="s">
        <v>4179</v>
      </c>
      <c r="E2180" s="221" t="s">
        <v>3295</v>
      </c>
      <c r="F2180" s="221" t="s">
        <v>3299</v>
      </c>
      <c r="G2180" s="222">
        <v>45531</v>
      </c>
      <c r="H2180" s="223">
        <v>0.89027777777777772</v>
      </c>
      <c r="I2180" s="221" t="s">
        <v>4916</v>
      </c>
      <c r="J2180" s="221" t="s">
        <v>3024</v>
      </c>
      <c r="K2180" s="224" t="s">
        <v>3089</v>
      </c>
      <c r="L2180" s="225" t="str">
        <f>VLOOKUP(Logfile_S[[#This Row],[Material Name]],Sheet2!B:C,2,0)</f>
        <v>GCI1003</v>
      </c>
      <c r="M2180" s="225" t="str">
        <f>_xlfn.XLOOKUP(Logfile_S[[#This Row],[Material Name]],Sum_WH!E:E,Sum_WH!F:F,"",0)</f>
        <v>Pcs</v>
      </c>
      <c r="N2180" s="221">
        <v>25</v>
      </c>
      <c r="O2180" s="221" t="s">
        <v>2142</v>
      </c>
      <c r="P2180" s="221" t="s">
        <v>3400</v>
      </c>
      <c r="Q2180" s="221"/>
      <c r="R2180" s="221"/>
      <c r="S2180" s="221"/>
      <c r="T2180" s="221" t="s">
        <v>3244</v>
      </c>
      <c r="U2180" s="221">
        <v>0</v>
      </c>
      <c r="V2180" s="221" t="s">
        <v>3248</v>
      </c>
      <c r="W2180" s="221" t="s">
        <v>3252</v>
      </c>
      <c r="X2180" s="221"/>
      <c r="Y2180" s="227"/>
      <c r="Z2180" s="227" t="str">
        <f>P2180</f>
        <v>HUBFEEDER DINOYO SUMBERSEKAR</v>
      </c>
      <c r="AA2180" s="276" t="e">
        <f>VLOOKUP(Logfile_S[[#This Row],[DO number]],DO_DB!G:I,3,0)</f>
        <v>#N/A</v>
      </c>
      <c r="AB2180" s="331" t="e">
        <f>EXACT(Logfile_S[[#This Row],[date pick]],Logfile_S[[#This Row],[Date]])</f>
        <v>#N/A</v>
      </c>
      <c r="AC21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81" spans="1:29" ht="14.5">
      <c r="A2181" s="220" t="str">
        <f>TEXT(ROW(A2181)-ROW($A$4),"000")</f>
        <v>2177</v>
      </c>
      <c r="B2181" s="221"/>
      <c r="C2181" s="221" t="s">
        <v>49</v>
      </c>
      <c r="D2181" s="221" t="s">
        <v>4179</v>
      </c>
      <c r="E2181" s="221" t="s">
        <v>3295</v>
      </c>
      <c r="F2181" s="221" t="s">
        <v>3299</v>
      </c>
      <c r="G2181" s="222">
        <v>45531</v>
      </c>
      <c r="H2181" s="223">
        <v>0.89027777777777772</v>
      </c>
      <c r="I2181" s="221" t="s">
        <v>4916</v>
      </c>
      <c r="J2181" s="221" t="s">
        <v>3024</v>
      </c>
      <c r="K2181" s="224" t="s">
        <v>3090</v>
      </c>
      <c r="L2181" s="225" t="str">
        <f>VLOOKUP(Logfile_S[[#This Row],[Material Name]],Sheet2!B:C,2,0)</f>
        <v>GCI1004</v>
      </c>
      <c r="M2181" s="225" t="str">
        <f>_xlfn.XLOOKUP(Logfile_S[[#This Row],[Material Name]],Sum_WH!E:E,Sum_WH!F:F,"",0)</f>
        <v>Pcs</v>
      </c>
      <c r="N2181" s="221">
        <v>25</v>
      </c>
      <c r="O2181" s="221" t="s">
        <v>2142</v>
      </c>
      <c r="P2181" s="221" t="s">
        <v>3400</v>
      </c>
      <c r="Q2181" s="221"/>
      <c r="R2181" s="221"/>
      <c r="S2181" s="221"/>
      <c r="T2181" s="221" t="s">
        <v>3244</v>
      </c>
      <c r="U2181" s="221">
        <v>0</v>
      </c>
      <c r="V2181" s="221" t="s">
        <v>3248</v>
      </c>
      <c r="W2181" s="221" t="s">
        <v>3252</v>
      </c>
      <c r="X2181" s="221"/>
      <c r="Y2181" s="227"/>
      <c r="Z2181" s="227" t="str">
        <f>P2181</f>
        <v>HUBFEEDER DINOYO SUMBERSEKAR</v>
      </c>
      <c r="AA2181" s="276" t="e">
        <f>VLOOKUP(Logfile_S[[#This Row],[DO number]],DO_DB!G:I,3,0)</f>
        <v>#N/A</v>
      </c>
      <c r="AB2181" s="331" t="e">
        <f>EXACT(Logfile_S[[#This Row],[date pick]],Logfile_S[[#This Row],[Date]])</f>
        <v>#N/A</v>
      </c>
      <c r="AC21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82" spans="1:29" ht="14.5">
      <c r="A2182" s="220" t="str">
        <f>TEXT(ROW(A2182)-ROW($A$4),"000")</f>
        <v>2178</v>
      </c>
      <c r="B2182" s="221"/>
      <c r="C2182" s="221" t="s">
        <v>49</v>
      </c>
      <c r="D2182" s="221" t="s">
        <v>4189</v>
      </c>
      <c r="E2182" s="221" t="s">
        <v>3295</v>
      </c>
      <c r="F2182" s="221" t="s">
        <v>3299</v>
      </c>
      <c r="G2182" s="222">
        <v>45534</v>
      </c>
      <c r="H2182" s="223">
        <v>0.61527777777777781</v>
      </c>
      <c r="I2182" s="221" t="s">
        <v>4916</v>
      </c>
      <c r="J2182" s="221" t="s">
        <v>3023</v>
      </c>
      <c r="K2182" s="224" t="s">
        <v>3077</v>
      </c>
      <c r="L2182" s="225" t="str">
        <f>VLOOKUP(Logfile_S[[#This Row],[Material Name]],Sheet2!B:C,2,0)</f>
        <v>ZTE2004</v>
      </c>
      <c r="M2182" s="225" t="str">
        <f>_xlfn.XLOOKUP(Logfile_S[[#This Row],[Material Name]],Sum_WH!E:E,Sum_WH!F:F,"",0)</f>
        <v>Meter</v>
      </c>
      <c r="N2182" s="221">
        <v>3000</v>
      </c>
      <c r="O2182" s="221" t="s">
        <v>2142</v>
      </c>
      <c r="P2182" s="221" t="s">
        <v>3400</v>
      </c>
      <c r="Q2182" s="221"/>
      <c r="R2182" s="221"/>
      <c r="S2182" s="221"/>
      <c r="T2182" s="221" t="s">
        <v>3244</v>
      </c>
      <c r="U2182" s="221" t="s">
        <v>3228</v>
      </c>
      <c r="V2182" s="221" t="s">
        <v>3248</v>
      </c>
      <c r="W2182" s="221" t="s">
        <v>3252</v>
      </c>
      <c r="X2182" s="221"/>
      <c r="Y2182" s="236" t="s">
        <v>4977</v>
      </c>
      <c r="Z2182" s="227" t="str">
        <f>P2182</f>
        <v>HUBFEEDER DINOYO SUMBERSEKAR</v>
      </c>
      <c r="AA2182" s="276" t="e">
        <f>VLOOKUP(Logfile_S[[#This Row],[DO number]],DO_DB!G:I,3,0)</f>
        <v>#N/A</v>
      </c>
      <c r="AB2182" s="331" t="e">
        <f>EXACT(Logfile_S[[#This Row],[date pick]],Logfile_S[[#This Row],[Date]])</f>
        <v>#N/A</v>
      </c>
      <c r="AC21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144C-2024826-01</v>
      </c>
    </row>
    <row r="2183" spans="1:29" ht="14.5">
      <c r="A2183" s="237" t="str">
        <f>TEXT(ROW(A2183)-ROW($A$4),"000")</f>
        <v>2179</v>
      </c>
      <c r="B2183" s="221"/>
      <c r="C2183" s="221" t="s">
        <v>49</v>
      </c>
      <c r="D2183" s="221" t="s">
        <v>4189</v>
      </c>
      <c r="E2183" s="221" t="s">
        <v>3295</v>
      </c>
      <c r="F2183" s="221" t="s">
        <v>3299</v>
      </c>
      <c r="G2183" s="222">
        <v>45534</v>
      </c>
      <c r="H2183" s="223">
        <v>0.61527777777777781</v>
      </c>
      <c r="I2183" s="221" t="s">
        <v>4916</v>
      </c>
      <c r="J2183" s="221" t="s">
        <v>3023</v>
      </c>
      <c r="K2183" s="224" t="s">
        <v>3077</v>
      </c>
      <c r="L2183" s="225" t="str">
        <f>VLOOKUP(Logfile_S[[#This Row],[Material Name]],Sheet2!B:C,2,0)</f>
        <v>ZTE2004</v>
      </c>
      <c r="M2183" s="225" t="str">
        <f>_xlfn.XLOOKUP(Logfile_S[[#This Row],[Material Name]],Sum_WH!E:E,Sum_WH!F:F,"",0)</f>
        <v>Meter</v>
      </c>
      <c r="N2183" s="221">
        <v>3000</v>
      </c>
      <c r="O2183" s="221" t="s">
        <v>2142</v>
      </c>
      <c r="P2183" s="221" t="s">
        <v>3400</v>
      </c>
      <c r="Q2183" s="221"/>
      <c r="R2183" s="227"/>
      <c r="S2183" s="227"/>
      <c r="T2183" s="221" t="s">
        <v>3244</v>
      </c>
      <c r="U2183" s="221" t="s">
        <v>3228</v>
      </c>
      <c r="V2183" s="221" t="s">
        <v>3248</v>
      </c>
      <c r="W2183" s="221" t="s">
        <v>3252</v>
      </c>
      <c r="X2183" s="221"/>
      <c r="Y2183" s="243" t="s">
        <v>4978</v>
      </c>
      <c r="Z2183" s="227" t="str">
        <f>P2183</f>
        <v>HUBFEEDER DINOYO SUMBERSEKAR</v>
      </c>
      <c r="AA2183" s="276" t="e">
        <f>VLOOKUP(Logfile_S[[#This Row],[DO number]],DO_DB!G:I,3,0)</f>
        <v>#N/A</v>
      </c>
      <c r="AB2183" s="331" t="e">
        <f>EXACT(Logfile_S[[#This Row],[date pick]],Logfile_S[[#This Row],[Date]])</f>
        <v>#N/A</v>
      </c>
      <c r="AC21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144C-2024827-01</v>
      </c>
    </row>
    <row r="2184" spans="1:29" ht="14.5">
      <c r="A2184" s="220" t="str">
        <f>TEXT(ROW(A2184)-ROW($A$4),"000")</f>
        <v>2180</v>
      </c>
      <c r="B2184" s="221"/>
      <c r="C2184" s="221" t="s">
        <v>49</v>
      </c>
      <c r="D2184" s="221" t="s">
        <v>4191</v>
      </c>
      <c r="E2184" s="221" t="s">
        <v>3295</v>
      </c>
      <c r="F2184" s="221" t="s">
        <v>3299</v>
      </c>
      <c r="G2184" s="222">
        <v>45535</v>
      </c>
      <c r="H2184" s="223">
        <v>0.41388888888888886</v>
      </c>
      <c r="I2184" s="221" t="s">
        <v>4916</v>
      </c>
      <c r="J2184" s="221" t="s">
        <v>3023</v>
      </c>
      <c r="K2184" s="224" t="s">
        <v>3077</v>
      </c>
      <c r="L2184" s="225" t="str">
        <f>VLOOKUP(Logfile_S[[#This Row],[Material Name]],Sheet2!B:C,2,0)</f>
        <v>ZTE2004</v>
      </c>
      <c r="M2184" s="225" t="str">
        <f>_xlfn.XLOOKUP(Logfile_S[[#This Row],[Material Name]],Sum_WH!E:E,Sum_WH!F:F,"",0)</f>
        <v>Meter</v>
      </c>
      <c r="N2184" s="221">
        <v>3000</v>
      </c>
      <c r="O2184" s="221" t="s">
        <v>2142</v>
      </c>
      <c r="P2184" s="221" t="s">
        <v>3400</v>
      </c>
      <c r="Q2184" s="221"/>
      <c r="R2184" s="221"/>
      <c r="S2184" s="221"/>
      <c r="T2184" s="221" t="s">
        <v>3244</v>
      </c>
      <c r="U2184" s="221" t="s">
        <v>3228</v>
      </c>
      <c r="V2184" s="221" t="s">
        <v>3248</v>
      </c>
      <c r="W2184" s="221" t="s">
        <v>3252</v>
      </c>
      <c r="X2184" s="221"/>
      <c r="Y2184" s="236" t="s">
        <v>4979</v>
      </c>
      <c r="Z2184" s="227" t="str">
        <f>P2184</f>
        <v>HUBFEEDER DINOYO SUMBERSEKAR</v>
      </c>
      <c r="AA2184" s="276" t="e">
        <f>VLOOKUP(Logfile_S[[#This Row],[DO number]],DO_DB!G:I,3,0)</f>
        <v>#N/A</v>
      </c>
      <c r="AB2184" s="331" t="e">
        <f>EXACT(Logfile_S[[#This Row],[date pick]],Logfile_S[[#This Row],[Date]])</f>
        <v>#N/A</v>
      </c>
      <c r="AC21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144C-2024827-02</v>
      </c>
    </row>
    <row r="2185" spans="1:29" ht="14.5">
      <c r="A2185" s="220" t="str">
        <f>TEXT(ROW(A2185)-ROW($A$4),"000")</f>
        <v>2181</v>
      </c>
      <c r="B2185" s="221"/>
      <c r="C2185" s="221" t="s">
        <v>49</v>
      </c>
      <c r="D2185" s="221" t="s">
        <v>4191</v>
      </c>
      <c r="E2185" s="221" t="s">
        <v>3295</v>
      </c>
      <c r="F2185" s="221" t="s">
        <v>3299</v>
      </c>
      <c r="G2185" s="222">
        <v>45535</v>
      </c>
      <c r="H2185" s="223">
        <v>0.41388888888888886</v>
      </c>
      <c r="I2185" s="221" t="s">
        <v>4916</v>
      </c>
      <c r="J2185" s="221" t="s">
        <v>3024</v>
      </c>
      <c r="K2185" s="224" t="s">
        <v>16</v>
      </c>
      <c r="L2185" s="225" t="str">
        <f>VLOOKUP(Logfile_S[[#This Row],[Material Name]],Sheet2!B:C,2,0)</f>
        <v>ZTE2020</v>
      </c>
      <c r="M2185" s="225" t="str">
        <f>_xlfn.XLOOKUP(Logfile_S[[#This Row],[Material Name]],Sum_WH!E:E,Sum_WH!F:F,"",0)</f>
        <v>Meter</v>
      </c>
      <c r="N2185" s="221">
        <v>160</v>
      </c>
      <c r="O2185" s="221" t="s">
        <v>2142</v>
      </c>
      <c r="P2185" s="221" t="s">
        <v>3400</v>
      </c>
      <c r="Q2185" s="221"/>
      <c r="R2185" s="221"/>
      <c r="S2185" s="221"/>
      <c r="T2185" s="221" t="s">
        <v>3244</v>
      </c>
      <c r="U2185" s="221">
        <v>0</v>
      </c>
      <c r="V2185" s="221" t="s">
        <v>3248</v>
      </c>
      <c r="W2185" s="221" t="s">
        <v>3252</v>
      </c>
      <c r="X2185" s="221"/>
      <c r="Y2185" s="227"/>
      <c r="Z2185" s="227" t="str">
        <f>P2185</f>
        <v>HUBFEEDER DINOYO SUMBERSEKAR</v>
      </c>
      <c r="AA2185" s="276" t="e">
        <f>VLOOKUP(Logfile_S[[#This Row],[DO number]],DO_DB!G:I,3,0)</f>
        <v>#N/A</v>
      </c>
      <c r="AB2185" s="331" t="e">
        <f>EXACT(Logfile_S[[#This Row],[date pick]],Logfile_S[[#This Row],[Date]])</f>
        <v>#N/A</v>
      </c>
      <c r="AC21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86" spans="1:29" ht="14.5">
      <c r="A2186" s="220" t="str">
        <f>TEXT(ROW(A2186)-ROW($A$4),"000")</f>
        <v>2182</v>
      </c>
      <c r="B2186" s="221"/>
      <c r="C2186" s="221" t="s">
        <v>49</v>
      </c>
      <c r="D2186" s="221" t="s">
        <v>4191</v>
      </c>
      <c r="E2186" s="221" t="s">
        <v>3295</v>
      </c>
      <c r="F2186" s="221" t="s">
        <v>3299</v>
      </c>
      <c r="G2186" s="222">
        <v>45535</v>
      </c>
      <c r="H2186" s="223">
        <v>0.41388888888888886</v>
      </c>
      <c r="I2186" s="221" t="s">
        <v>4916</v>
      </c>
      <c r="J2186" s="221" t="s">
        <v>3024</v>
      </c>
      <c r="K2186" s="224" t="s">
        <v>3087</v>
      </c>
      <c r="L2186" s="225" t="str">
        <f>VLOOKUP(Logfile_S[[#This Row],[Material Name]],Sheet2!B:C,2,0)</f>
        <v>GCI1001</v>
      </c>
      <c r="M2186" s="225" t="str">
        <f>_xlfn.XLOOKUP(Logfile_S[[#This Row],[Material Name]],Sum_WH!E:E,Sum_WH!F:F,"",0)</f>
        <v>Pcs</v>
      </c>
      <c r="N2186" s="221">
        <v>25</v>
      </c>
      <c r="O2186" s="221" t="s">
        <v>2142</v>
      </c>
      <c r="P2186" s="221" t="s">
        <v>3400</v>
      </c>
      <c r="Q2186" s="221"/>
      <c r="R2186" s="221"/>
      <c r="S2186" s="221"/>
      <c r="T2186" s="221" t="s">
        <v>3244</v>
      </c>
      <c r="U2186" s="221">
        <v>0</v>
      </c>
      <c r="V2186" s="221" t="s">
        <v>3248</v>
      </c>
      <c r="W2186" s="221" t="s">
        <v>3252</v>
      </c>
      <c r="X2186" s="221"/>
      <c r="Y2186" s="227"/>
      <c r="Z2186" s="227" t="str">
        <f>P2186</f>
        <v>HUBFEEDER DINOYO SUMBERSEKAR</v>
      </c>
      <c r="AA2186" s="276" t="e">
        <f>VLOOKUP(Logfile_S[[#This Row],[DO number]],DO_DB!G:I,3,0)</f>
        <v>#N/A</v>
      </c>
      <c r="AB2186" s="331" t="e">
        <f>EXACT(Logfile_S[[#This Row],[date pick]],Logfile_S[[#This Row],[Date]])</f>
        <v>#N/A</v>
      </c>
      <c r="AC21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87" spans="1:29" ht="14.5">
      <c r="A2187" s="220" t="str">
        <f>TEXT(ROW(A2187)-ROW($A$4),"000")</f>
        <v>2183</v>
      </c>
      <c r="B2187" s="221"/>
      <c r="C2187" s="221" t="s">
        <v>49</v>
      </c>
      <c r="D2187" s="221" t="s">
        <v>4194</v>
      </c>
      <c r="E2187" s="221" t="s">
        <v>3295</v>
      </c>
      <c r="F2187" s="221" t="s">
        <v>3299</v>
      </c>
      <c r="G2187" s="222">
        <v>45535</v>
      </c>
      <c r="H2187" s="223">
        <v>0.52083333333333337</v>
      </c>
      <c r="I2187" s="221" t="s">
        <v>4916</v>
      </c>
      <c r="J2187" s="221" t="s">
        <v>3023</v>
      </c>
      <c r="K2187" s="224" t="s">
        <v>3072</v>
      </c>
      <c r="L2187" s="225" t="str">
        <f>VLOOKUP(Logfile_S[[#This Row],[Material Name]],Sheet2!B:C,2,0)</f>
        <v>ZTE1004</v>
      </c>
      <c r="M2187" s="225" t="str">
        <f>_xlfn.XLOOKUP(Logfile_S[[#This Row],[Material Name]],Sum_WH!E:E,Sum_WH!F:F,"",0)</f>
        <v>Pcs</v>
      </c>
      <c r="N2187" s="221">
        <v>3</v>
      </c>
      <c r="O2187" s="221" t="s">
        <v>2142</v>
      </c>
      <c r="P2187" s="221" t="s">
        <v>3400</v>
      </c>
      <c r="Q2187" s="221"/>
      <c r="R2187" s="221"/>
      <c r="S2187" s="221"/>
      <c r="T2187" s="221" t="s">
        <v>3231</v>
      </c>
      <c r="U2187" s="221">
        <v>0</v>
      </c>
      <c r="V2187" s="221" t="s">
        <v>3232</v>
      </c>
      <c r="W2187" s="221" t="s">
        <v>3254</v>
      </c>
      <c r="X2187" s="221"/>
      <c r="Y2187" s="227"/>
      <c r="Z2187" s="227" t="str">
        <f>P2187</f>
        <v>HUBFEEDER DINOYO SUMBERSEKAR</v>
      </c>
      <c r="AA2187" s="276" t="e">
        <f>VLOOKUP(Logfile_S[[#This Row],[DO number]],DO_DB!G:I,3,0)</f>
        <v>#N/A</v>
      </c>
      <c r="AB2187" s="331" t="e">
        <f>EXACT(Logfile_S[[#This Row],[date pick]],Logfile_S[[#This Row],[Date]])</f>
        <v>#N/A</v>
      </c>
      <c r="AC21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88" spans="1:29" ht="14.5">
      <c r="A2188" s="220" t="str">
        <f>TEXT(ROW(A2188)-ROW($A$4),"000")</f>
        <v>2184</v>
      </c>
      <c r="B2188" s="221"/>
      <c r="C2188" s="221" t="s">
        <v>49</v>
      </c>
      <c r="D2188" s="221" t="s">
        <v>4217</v>
      </c>
      <c r="E2188" s="221" t="s">
        <v>3295</v>
      </c>
      <c r="F2188" s="221" t="s">
        <v>3299</v>
      </c>
      <c r="G2188" s="222">
        <v>45545</v>
      </c>
      <c r="H2188" s="223">
        <v>0.3659722222222222</v>
      </c>
      <c r="I2188" s="221" t="s">
        <v>4916</v>
      </c>
      <c r="J2188" s="221" t="s">
        <v>3024</v>
      </c>
      <c r="K2188" s="224" t="s">
        <v>3088</v>
      </c>
      <c r="L2188" s="225" t="str">
        <f>VLOOKUP(Logfile_S[[#This Row],[Material Name]],Sheet2!B:C,2,0)</f>
        <v>GCI1002</v>
      </c>
      <c r="M2188" s="225" t="str">
        <f>_xlfn.XLOOKUP(Logfile_S[[#This Row],[Material Name]],Sum_WH!E:E,Sum_WH!F:F,"",0)</f>
        <v>Pcs</v>
      </c>
      <c r="N2188" s="221">
        <v>2</v>
      </c>
      <c r="O2188" s="221" t="s">
        <v>2142</v>
      </c>
      <c r="P2188" s="221" t="s">
        <v>3400</v>
      </c>
      <c r="Q2188" s="221"/>
      <c r="R2188" s="221"/>
      <c r="S2188" s="221"/>
      <c r="T2188" s="221" t="s">
        <v>3244</v>
      </c>
      <c r="U2188" s="221">
        <v>0</v>
      </c>
      <c r="V2188" s="221" t="s">
        <v>3248</v>
      </c>
      <c r="W2188" s="221" t="s">
        <v>3252</v>
      </c>
      <c r="X2188" s="221"/>
      <c r="Y2188" s="227"/>
      <c r="Z2188" s="227" t="str">
        <f>P2188</f>
        <v>HUBFEEDER DINOYO SUMBERSEKAR</v>
      </c>
      <c r="AA2188" s="276" t="e">
        <f>VLOOKUP(Logfile_S[[#This Row],[DO number]],DO_DB!G:I,3,0)</f>
        <v>#N/A</v>
      </c>
      <c r="AB2188" s="331" t="e">
        <f>EXACT(Logfile_S[[#This Row],[date pick]],Logfile_S[[#This Row],[Date]])</f>
        <v>#N/A</v>
      </c>
      <c r="AC21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89" spans="1:29" ht="14.5">
      <c r="A2189" s="220" t="str">
        <f>TEXT(ROW(A2189)-ROW($A$4),"000")</f>
        <v>2185</v>
      </c>
      <c r="B2189" s="221"/>
      <c r="C2189" s="221" t="s">
        <v>49</v>
      </c>
      <c r="D2189" s="221" t="s">
        <v>4217</v>
      </c>
      <c r="E2189" s="221" t="s">
        <v>3295</v>
      </c>
      <c r="F2189" s="221" t="s">
        <v>3299</v>
      </c>
      <c r="G2189" s="222">
        <v>45545</v>
      </c>
      <c r="H2189" s="223">
        <v>0.3659722222222222</v>
      </c>
      <c r="I2189" s="221" t="s">
        <v>4916</v>
      </c>
      <c r="J2189" s="221" t="s">
        <v>3024</v>
      </c>
      <c r="K2189" s="224" t="s">
        <v>3094</v>
      </c>
      <c r="L2189" s="225" t="str">
        <f>VLOOKUP(Logfile_S[[#This Row],[Material Name]],Sheet2!B:C,2,0)</f>
        <v>GCI1008</v>
      </c>
      <c r="M2189" s="225" t="str">
        <f>_xlfn.XLOOKUP(Logfile_S[[#This Row],[Material Name]],Sum_WH!E:E,Sum_WH!F:F,"",0)</f>
        <v>Pcs</v>
      </c>
      <c r="N2189" s="221">
        <v>125</v>
      </c>
      <c r="O2189" s="221" t="s">
        <v>2142</v>
      </c>
      <c r="P2189" s="221" t="s">
        <v>3400</v>
      </c>
      <c r="Q2189" s="221"/>
      <c r="R2189" s="221"/>
      <c r="S2189" s="221"/>
      <c r="T2189" s="221" t="s">
        <v>3244</v>
      </c>
      <c r="U2189" s="221">
        <v>0</v>
      </c>
      <c r="V2189" s="221" t="s">
        <v>3248</v>
      </c>
      <c r="W2189" s="221" t="s">
        <v>3252</v>
      </c>
      <c r="X2189" s="221"/>
      <c r="Y2189" s="227"/>
      <c r="Z2189" s="227" t="str">
        <f>P2189</f>
        <v>HUBFEEDER DINOYO SUMBERSEKAR</v>
      </c>
      <c r="AA2189" s="276" t="e">
        <f>VLOOKUP(Logfile_S[[#This Row],[DO number]],DO_DB!G:I,3,0)</f>
        <v>#N/A</v>
      </c>
      <c r="AB2189" s="331" t="e">
        <f>EXACT(Logfile_S[[#This Row],[date pick]],Logfile_S[[#This Row],[Date]])</f>
        <v>#N/A</v>
      </c>
      <c r="AC21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90" spans="1:29" ht="14.5">
      <c r="A2190" s="220" t="str">
        <f>TEXT(ROW(A2190)-ROW($A$4),"000")</f>
        <v>2186</v>
      </c>
      <c r="B2190" s="221"/>
      <c r="C2190" s="221" t="s">
        <v>49</v>
      </c>
      <c r="D2190" s="221" t="s">
        <v>4217</v>
      </c>
      <c r="E2190" s="221" t="s">
        <v>3295</v>
      </c>
      <c r="F2190" s="221" t="s">
        <v>3299</v>
      </c>
      <c r="G2190" s="222">
        <v>45545</v>
      </c>
      <c r="H2190" s="223">
        <v>0.3659722222222222</v>
      </c>
      <c r="I2190" s="221" t="s">
        <v>4916</v>
      </c>
      <c r="J2190" s="221" t="s">
        <v>3024</v>
      </c>
      <c r="K2190" s="224" t="s">
        <v>3089</v>
      </c>
      <c r="L2190" s="225" t="str">
        <f>VLOOKUP(Logfile_S[[#This Row],[Material Name]],Sheet2!B:C,2,0)</f>
        <v>GCI1003</v>
      </c>
      <c r="M2190" s="225" t="str">
        <f>_xlfn.XLOOKUP(Logfile_S[[#This Row],[Material Name]],Sum_WH!E:E,Sum_WH!F:F,"",0)</f>
        <v>Pcs</v>
      </c>
      <c r="N2190" s="221">
        <v>155</v>
      </c>
      <c r="O2190" s="221" t="s">
        <v>2142</v>
      </c>
      <c r="P2190" s="221" t="s">
        <v>3400</v>
      </c>
      <c r="Q2190" s="221"/>
      <c r="R2190" s="221"/>
      <c r="S2190" s="221"/>
      <c r="T2190" s="221" t="s">
        <v>3244</v>
      </c>
      <c r="U2190" s="221">
        <v>0</v>
      </c>
      <c r="V2190" s="221" t="s">
        <v>3248</v>
      </c>
      <c r="W2190" s="221" t="s">
        <v>3252</v>
      </c>
      <c r="X2190" s="221"/>
      <c r="Y2190" s="227"/>
      <c r="Z2190" s="227" t="str">
        <f>P2190</f>
        <v>HUBFEEDER DINOYO SUMBERSEKAR</v>
      </c>
      <c r="AA2190" s="276" t="e">
        <f>VLOOKUP(Logfile_S[[#This Row],[DO number]],DO_DB!G:I,3,0)</f>
        <v>#N/A</v>
      </c>
      <c r="AB2190" s="331" t="e">
        <f>EXACT(Logfile_S[[#This Row],[date pick]],Logfile_S[[#This Row],[Date]])</f>
        <v>#N/A</v>
      </c>
      <c r="AC21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91" spans="1:29" ht="14.5">
      <c r="A2191" s="220" t="str">
        <f>TEXT(ROW(A2191)-ROW($A$4),"000")</f>
        <v>2187</v>
      </c>
      <c r="B2191" s="221"/>
      <c r="C2191" s="221" t="s">
        <v>49</v>
      </c>
      <c r="D2191" s="221" t="s">
        <v>4217</v>
      </c>
      <c r="E2191" s="221" t="s">
        <v>3295</v>
      </c>
      <c r="F2191" s="221" t="s">
        <v>3299</v>
      </c>
      <c r="G2191" s="222">
        <v>45545</v>
      </c>
      <c r="H2191" s="223">
        <v>0.3659722222222222</v>
      </c>
      <c r="I2191" s="221" t="s">
        <v>4916</v>
      </c>
      <c r="J2191" s="221" t="s">
        <v>3024</v>
      </c>
      <c r="K2191" s="224" t="s">
        <v>3090</v>
      </c>
      <c r="L2191" s="225" t="str">
        <f>VLOOKUP(Logfile_S[[#This Row],[Material Name]],Sheet2!B:C,2,0)</f>
        <v>GCI1004</v>
      </c>
      <c r="M2191" s="225" t="str">
        <f>_xlfn.XLOOKUP(Logfile_S[[#This Row],[Material Name]],Sum_WH!E:E,Sum_WH!F:F,"",0)</f>
        <v>Pcs</v>
      </c>
      <c r="N2191" s="221">
        <v>136</v>
      </c>
      <c r="O2191" s="221" t="s">
        <v>2142</v>
      </c>
      <c r="P2191" s="221" t="s">
        <v>3400</v>
      </c>
      <c r="Q2191" s="221"/>
      <c r="R2191" s="221"/>
      <c r="S2191" s="221"/>
      <c r="T2191" s="221" t="s">
        <v>3244</v>
      </c>
      <c r="U2191" s="221">
        <v>0</v>
      </c>
      <c r="V2191" s="221" t="s">
        <v>3248</v>
      </c>
      <c r="W2191" s="221" t="s">
        <v>3252</v>
      </c>
      <c r="X2191" s="221"/>
      <c r="Y2191" s="227"/>
      <c r="Z2191" s="227" t="str">
        <f>P2191</f>
        <v>HUBFEEDER DINOYO SUMBERSEKAR</v>
      </c>
      <c r="AA2191" s="276" t="e">
        <f>VLOOKUP(Logfile_S[[#This Row],[DO number]],DO_DB!G:I,3,0)</f>
        <v>#N/A</v>
      </c>
      <c r="AB2191" s="331" t="e">
        <f>EXACT(Logfile_S[[#This Row],[date pick]],Logfile_S[[#This Row],[Date]])</f>
        <v>#N/A</v>
      </c>
      <c r="AC21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92" spans="1:29" ht="14.5">
      <c r="A2192" s="220" t="str">
        <f>TEXT(ROW(A2192)-ROW($A$4),"000")</f>
        <v>2188</v>
      </c>
      <c r="B2192" s="221"/>
      <c r="C2192" s="221" t="s">
        <v>49</v>
      </c>
      <c r="D2192" s="221" t="s">
        <v>4229</v>
      </c>
      <c r="E2192" s="221" t="s">
        <v>3295</v>
      </c>
      <c r="F2192" s="221" t="s">
        <v>3299</v>
      </c>
      <c r="G2192" s="222">
        <v>45556</v>
      </c>
      <c r="H2192" s="223">
        <v>0.71527777777777779</v>
      </c>
      <c r="I2192" s="221" t="s">
        <v>4916</v>
      </c>
      <c r="J2192" s="221" t="s">
        <v>3023</v>
      </c>
      <c r="K2192" s="224" t="s">
        <v>3077</v>
      </c>
      <c r="L2192" s="225" t="str">
        <f>VLOOKUP(Logfile_S[[#This Row],[Material Name]],Sheet2!B:C,2,0)</f>
        <v>ZTE2004</v>
      </c>
      <c r="M2192" s="225" t="str">
        <f>_xlfn.XLOOKUP(Logfile_S[[#This Row],[Material Name]],Sum_WH!E:E,Sum_WH!F:F,"",0)</f>
        <v>Meter</v>
      </c>
      <c r="N2192" s="221">
        <v>3000</v>
      </c>
      <c r="O2192" s="221" t="s">
        <v>2142</v>
      </c>
      <c r="P2192" s="221" t="s">
        <v>3400</v>
      </c>
      <c r="Q2192" s="221"/>
      <c r="R2192" s="221"/>
      <c r="S2192" s="221"/>
      <c r="T2192" s="221" t="s">
        <v>3363</v>
      </c>
      <c r="U2192" s="221" t="s">
        <v>3228</v>
      </c>
      <c r="V2192" s="221" t="s">
        <v>3364</v>
      </c>
      <c r="W2192" s="221" t="s">
        <v>3365</v>
      </c>
      <c r="X2192" s="221" t="s">
        <v>3207</v>
      </c>
      <c r="Y2192" s="236" t="s">
        <v>4980</v>
      </c>
      <c r="Z2192" s="227" t="str">
        <f>P2192</f>
        <v>HUBFEEDER DINOYO SUMBERSEKAR</v>
      </c>
      <c r="AA2192" s="276" t="e">
        <f>VLOOKUP(Logfile_S[[#This Row],[DO number]],DO_DB!G:I,3,0)</f>
        <v>#N/A</v>
      </c>
      <c r="AB2192" s="331" t="e">
        <f>EXACT(Logfile_S[[#This Row],[date pick]],Logfile_S[[#This Row],[Date]])</f>
        <v>#N/A</v>
      </c>
      <c r="AC21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144C-2024920-01</v>
      </c>
    </row>
    <row r="2193" spans="1:29" ht="14.5">
      <c r="A2193" s="220" t="str">
        <f>TEXT(ROW(A2193)-ROW($A$4),"000")</f>
        <v>2189</v>
      </c>
      <c r="B2193" s="221"/>
      <c r="C2193" s="221" t="s">
        <v>49</v>
      </c>
      <c r="D2193" s="221" t="s">
        <v>4229</v>
      </c>
      <c r="E2193" s="221" t="s">
        <v>3295</v>
      </c>
      <c r="F2193" s="221" t="s">
        <v>3299</v>
      </c>
      <c r="G2193" s="222">
        <v>45556</v>
      </c>
      <c r="H2193" s="223">
        <v>0.71527777777777779</v>
      </c>
      <c r="I2193" s="221" t="s">
        <v>4916</v>
      </c>
      <c r="J2193" s="221" t="s">
        <v>3024</v>
      </c>
      <c r="K2193" s="224" t="s">
        <v>3087</v>
      </c>
      <c r="L2193" s="225" t="str">
        <f>VLOOKUP(Logfile_S[[#This Row],[Material Name]],Sheet2!B:C,2,0)</f>
        <v>GCI1001</v>
      </c>
      <c r="M2193" s="225" t="str">
        <f>_xlfn.XLOOKUP(Logfile_S[[#This Row],[Material Name]],Sum_WH!E:E,Sum_WH!F:F,"",0)</f>
        <v>Pcs</v>
      </c>
      <c r="N2193" s="221">
        <v>12</v>
      </c>
      <c r="O2193" s="221" t="s">
        <v>2142</v>
      </c>
      <c r="P2193" s="221" t="s">
        <v>3400</v>
      </c>
      <c r="Q2193" s="221"/>
      <c r="R2193" s="221"/>
      <c r="S2193" s="221"/>
      <c r="T2193" s="221" t="s">
        <v>3363</v>
      </c>
      <c r="U2193" s="221" t="s">
        <v>3228</v>
      </c>
      <c r="V2193" s="221" t="s">
        <v>3364</v>
      </c>
      <c r="W2193" s="221" t="s">
        <v>3365</v>
      </c>
      <c r="X2193" s="221"/>
      <c r="Y2193" s="227"/>
      <c r="Z2193" s="227" t="str">
        <f>P2193</f>
        <v>HUBFEEDER DINOYO SUMBERSEKAR</v>
      </c>
      <c r="AA2193" s="276" t="e">
        <f>VLOOKUP(Logfile_S[[#This Row],[DO number]],DO_DB!G:I,3,0)</f>
        <v>#N/A</v>
      </c>
      <c r="AB2193" s="331" t="e">
        <f>EXACT(Logfile_S[[#This Row],[date pick]],Logfile_S[[#This Row],[Date]])</f>
        <v>#N/A</v>
      </c>
      <c r="AC21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94" spans="1:29" ht="14.5">
      <c r="A2194" s="220" t="str">
        <f>TEXT(ROW(A2194)-ROW($A$4),"000")</f>
        <v>2190</v>
      </c>
      <c r="B2194" s="221"/>
      <c r="C2194" s="221" t="s">
        <v>49</v>
      </c>
      <c r="D2194" s="221" t="s">
        <v>4229</v>
      </c>
      <c r="E2194" s="221" t="s">
        <v>3295</v>
      </c>
      <c r="F2194" s="221" t="s">
        <v>3299</v>
      </c>
      <c r="G2194" s="222">
        <v>45556</v>
      </c>
      <c r="H2194" s="223">
        <v>0.71527777777777779</v>
      </c>
      <c r="I2194" s="221" t="s">
        <v>4916</v>
      </c>
      <c r="J2194" s="221" t="s">
        <v>3024</v>
      </c>
      <c r="K2194" s="224" t="s">
        <v>3108</v>
      </c>
      <c r="L2194" s="225" t="str">
        <f>VLOOKUP(Logfile_S[[#This Row],[Material Name]],Sheet2!B:C,2,0)</f>
        <v>GCI1020</v>
      </c>
      <c r="M2194" s="225" t="str">
        <f>_xlfn.XLOOKUP(Logfile_S[[#This Row],[Material Name]],Sum_WH!E:E,Sum_WH!F:F,"",0)</f>
        <v>Pcs</v>
      </c>
      <c r="N2194" s="221">
        <v>200</v>
      </c>
      <c r="O2194" s="221" t="s">
        <v>2142</v>
      </c>
      <c r="P2194" s="221" t="s">
        <v>3400</v>
      </c>
      <c r="Q2194" s="221"/>
      <c r="R2194" s="221"/>
      <c r="S2194" s="221"/>
      <c r="T2194" s="221" t="s">
        <v>3363</v>
      </c>
      <c r="U2194" s="221" t="s">
        <v>3228</v>
      </c>
      <c r="V2194" s="221" t="s">
        <v>3364</v>
      </c>
      <c r="W2194" s="221" t="s">
        <v>3365</v>
      </c>
      <c r="X2194" s="221"/>
      <c r="Y2194" s="227"/>
      <c r="Z2194" s="227" t="str">
        <f>P2194</f>
        <v>HUBFEEDER DINOYO SUMBERSEKAR</v>
      </c>
      <c r="AA2194" s="276" t="e">
        <f>VLOOKUP(Logfile_S[[#This Row],[DO number]],DO_DB!G:I,3,0)</f>
        <v>#N/A</v>
      </c>
      <c r="AB2194" s="331" t="e">
        <f>EXACT(Logfile_S[[#This Row],[date pick]],Logfile_S[[#This Row],[Date]])</f>
        <v>#N/A</v>
      </c>
      <c r="AC21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95" spans="1:29" ht="14.5">
      <c r="A2195" s="220" t="str">
        <f>TEXT(ROW(A2195)-ROW($A$4),"000")</f>
        <v>2191</v>
      </c>
      <c r="B2195" s="221"/>
      <c r="C2195" s="221" t="s">
        <v>49</v>
      </c>
      <c r="D2195" s="221" t="s">
        <v>4229</v>
      </c>
      <c r="E2195" s="221" t="s">
        <v>3295</v>
      </c>
      <c r="F2195" s="221" t="s">
        <v>3299</v>
      </c>
      <c r="G2195" s="222">
        <v>45556</v>
      </c>
      <c r="H2195" s="223">
        <v>0.71527777777777779</v>
      </c>
      <c r="I2195" s="221" t="s">
        <v>4916</v>
      </c>
      <c r="J2195" s="221" t="s">
        <v>3024</v>
      </c>
      <c r="K2195" s="224" t="s">
        <v>3088</v>
      </c>
      <c r="L2195" s="225" t="str">
        <f>VLOOKUP(Logfile_S[[#This Row],[Material Name]],Sheet2!B:C,2,0)</f>
        <v>GCI1002</v>
      </c>
      <c r="M2195" s="225" t="str">
        <f>_xlfn.XLOOKUP(Logfile_S[[#This Row],[Material Name]],Sum_WH!E:E,Sum_WH!F:F,"",0)</f>
        <v>Pcs</v>
      </c>
      <c r="N2195" s="221">
        <v>1</v>
      </c>
      <c r="O2195" s="221" t="s">
        <v>2142</v>
      </c>
      <c r="P2195" s="221" t="s">
        <v>3400</v>
      </c>
      <c r="Q2195" s="221"/>
      <c r="R2195" s="221"/>
      <c r="S2195" s="221"/>
      <c r="T2195" s="221" t="s">
        <v>3363</v>
      </c>
      <c r="U2195" s="221" t="s">
        <v>3228</v>
      </c>
      <c r="V2195" s="221" t="s">
        <v>3364</v>
      </c>
      <c r="W2195" s="221" t="s">
        <v>3365</v>
      </c>
      <c r="X2195" s="221"/>
      <c r="Y2195" s="227"/>
      <c r="Z2195" s="227" t="str">
        <f>P2195</f>
        <v>HUBFEEDER DINOYO SUMBERSEKAR</v>
      </c>
      <c r="AA2195" s="276" t="e">
        <f>VLOOKUP(Logfile_S[[#This Row],[DO number]],DO_DB!G:I,3,0)</f>
        <v>#N/A</v>
      </c>
      <c r="AB2195" s="331" t="e">
        <f>EXACT(Logfile_S[[#This Row],[date pick]],Logfile_S[[#This Row],[Date]])</f>
        <v>#N/A</v>
      </c>
      <c r="AC21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96" spans="1:29" ht="14.5">
      <c r="A2196" s="220" t="str">
        <f>TEXT(ROW(A2196)-ROW($A$4),"000")</f>
        <v>2192</v>
      </c>
      <c r="B2196" s="221"/>
      <c r="C2196" s="221" t="s">
        <v>49</v>
      </c>
      <c r="D2196" s="221" t="s">
        <v>4229</v>
      </c>
      <c r="E2196" s="221" t="s">
        <v>3295</v>
      </c>
      <c r="F2196" s="221" t="s">
        <v>3299</v>
      </c>
      <c r="G2196" s="222">
        <v>45556</v>
      </c>
      <c r="H2196" s="223">
        <v>0.71527777777777779</v>
      </c>
      <c r="I2196" s="221" t="s">
        <v>4916</v>
      </c>
      <c r="J2196" s="221" t="s">
        <v>3024</v>
      </c>
      <c r="K2196" s="224" t="s">
        <v>3094</v>
      </c>
      <c r="L2196" s="225" t="str">
        <f>VLOOKUP(Logfile_S[[#This Row],[Material Name]],Sheet2!B:C,2,0)</f>
        <v>GCI1008</v>
      </c>
      <c r="M2196" s="225" t="str">
        <f>_xlfn.XLOOKUP(Logfile_S[[#This Row],[Material Name]],Sum_WH!E:E,Sum_WH!F:F,"",0)</f>
        <v>Pcs</v>
      </c>
      <c r="N2196" s="221">
        <v>54</v>
      </c>
      <c r="O2196" s="221" t="s">
        <v>2142</v>
      </c>
      <c r="P2196" s="221" t="s">
        <v>3400</v>
      </c>
      <c r="Q2196" s="221"/>
      <c r="R2196" s="221"/>
      <c r="S2196" s="221"/>
      <c r="T2196" s="221" t="s">
        <v>3363</v>
      </c>
      <c r="U2196" s="221" t="s">
        <v>3228</v>
      </c>
      <c r="V2196" s="221" t="s">
        <v>3364</v>
      </c>
      <c r="W2196" s="221" t="s">
        <v>3365</v>
      </c>
      <c r="X2196" s="221"/>
      <c r="Y2196" s="227"/>
      <c r="Z2196" s="227" t="str">
        <f>P2196</f>
        <v>HUBFEEDER DINOYO SUMBERSEKAR</v>
      </c>
      <c r="AA2196" s="276" t="e">
        <f>VLOOKUP(Logfile_S[[#This Row],[DO number]],DO_DB!G:I,3,0)</f>
        <v>#N/A</v>
      </c>
      <c r="AB2196" s="331" t="e">
        <f>EXACT(Logfile_S[[#This Row],[date pick]],Logfile_S[[#This Row],[Date]])</f>
        <v>#N/A</v>
      </c>
      <c r="AC21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97" spans="1:29" ht="14.5">
      <c r="A2197" s="220" t="str">
        <f>TEXT(ROW(A2197)-ROW($A$4),"000")</f>
        <v>2193</v>
      </c>
      <c r="B2197" s="221"/>
      <c r="C2197" s="221" t="s">
        <v>49</v>
      </c>
      <c r="D2197" s="221" t="s">
        <v>4229</v>
      </c>
      <c r="E2197" s="221" t="s">
        <v>3295</v>
      </c>
      <c r="F2197" s="221" t="s">
        <v>3299</v>
      </c>
      <c r="G2197" s="222">
        <v>45556</v>
      </c>
      <c r="H2197" s="223">
        <v>0.71527777777777779</v>
      </c>
      <c r="I2197" s="221" t="s">
        <v>4916</v>
      </c>
      <c r="J2197" s="221" t="s">
        <v>3024</v>
      </c>
      <c r="K2197" s="224" t="s">
        <v>3089</v>
      </c>
      <c r="L2197" s="225" t="str">
        <f>VLOOKUP(Logfile_S[[#This Row],[Material Name]],Sheet2!B:C,2,0)</f>
        <v>GCI1003</v>
      </c>
      <c r="M2197" s="225" t="str">
        <f>_xlfn.XLOOKUP(Logfile_S[[#This Row],[Material Name]],Sum_WH!E:E,Sum_WH!F:F,"",0)</f>
        <v>Pcs</v>
      </c>
      <c r="N2197" s="221">
        <v>56</v>
      </c>
      <c r="O2197" s="221" t="s">
        <v>2142</v>
      </c>
      <c r="P2197" s="221" t="s">
        <v>3400</v>
      </c>
      <c r="Q2197" s="221"/>
      <c r="R2197" s="221"/>
      <c r="S2197" s="221"/>
      <c r="T2197" s="221" t="s">
        <v>3363</v>
      </c>
      <c r="U2197" s="221" t="s">
        <v>3228</v>
      </c>
      <c r="V2197" s="221" t="s">
        <v>3364</v>
      </c>
      <c r="W2197" s="221" t="s">
        <v>3365</v>
      </c>
      <c r="X2197" s="221"/>
      <c r="Y2197" s="227"/>
      <c r="Z2197" s="227" t="str">
        <f>P2197</f>
        <v>HUBFEEDER DINOYO SUMBERSEKAR</v>
      </c>
      <c r="AA2197" s="276" t="e">
        <f>VLOOKUP(Logfile_S[[#This Row],[DO number]],DO_DB!G:I,3,0)</f>
        <v>#N/A</v>
      </c>
      <c r="AB2197" s="331" t="e">
        <f>EXACT(Logfile_S[[#This Row],[date pick]],Logfile_S[[#This Row],[Date]])</f>
        <v>#N/A</v>
      </c>
      <c r="AC21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98" spans="1:29" ht="14.5">
      <c r="A2198" s="220" t="str">
        <f>TEXT(ROW(A2198)-ROW($A$4),"000")</f>
        <v>2194</v>
      </c>
      <c r="B2198" s="221"/>
      <c r="C2198" s="221" t="s">
        <v>49</v>
      </c>
      <c r="D2198" s="221" t="s">
        <v>4229</v>
      </c>
      <c r="E2198" s="221" t="s">
        <v>3295</v>
      </c>
      <c r="F2198" s="221" t="s">
        <v>3299</v>
      </c>
      <c r="G2198" s="222">
        <v>45556</v>
      </c>
      <c r="H2198" s="223">
        <v>0.71527777777777779</v>
      </c>
      <c r="I2198" s="221" t="s">
        <v>4916</v>
      </c>
      <c r="J2198" s="221" t="s">
        <v>3024</v>
      </c>
      <c r="K2198" s="224" t="s">
        <v>3090</v>
      </c>
      <c r="L2198" s="225" t="str">
        <f>VLOOKUP(Logfile_S[[#This Row],[Material Name]],Sheet2!B:C,2,0)</f>
        <v>GCI1004</v>
      </c>
      <c r="M2198" s="225" t="str">
        <f>_xlfn.XLOOKUP(Logfile_S[[#This Row],[Material Name]],Sum_WH!E:E,Sum_WH!F:F,"",0)</f>
        <v>Pcs</v>
      </c>
      <c r="N2198" s="221">
        <v>30</v>
      </c>
      <c r="O2198" s="221" t="s">
        <v>2142</v>
      </c>
      <c r="P2198" s="221" t="s">
        <v>3400</v>
      </c>
      <c r="Q2198" s="221"/>
      <c r="R2198" s="221"/>
      <c r="S2198" s="221"/>
      <c r="T2198" s="221" t="s">
        <v>3363</v>
      </c>
      <c r="U2198" s="221" t="s">
        <v>3228</v>
      </c>
      <c r="V2198" s="221" t="s">
        <v>3364</v>
      </c>
      <c r="W2198" s="221" t="s">
        <v>3365</v>
      </c>
      <c r="X2198" s="221"/>
      <c r="Y2198" s="227"/>
      <c r="Z2198" s="227" t="str">
        <f>P2198</f>
        <v>HUBFEEDER DINOYO SUMBERSEKAR</v>
      </c>
      <c r="AA2198" s="276" t="e">
        <f>VLOOKUP(Logfile_S[[#This Row],[DO number]],DO_DB!G:I,3,0)</f>
        <v>#N/A</v>
      </c>
      <c r="AB2198" s="331" t="e">
        <f>EXACT(Logfile_S[[#This Row],[date pick]],Logfile_S[[#This Row],[Date]])</f>
        <v>#N/A</v>
      </c>
      <c r="AC21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199" spans="1:29" ht="14.5">
      <c r="A2199" s="220" t="str">
        <f>TEXT(ROW(A2199)-ROW($A$4),"000")</f>
        <v>2195</v>
      </c>
      <c r="B2199" s="221"/>
      <c r="C2199" s="221" t="s">
        <v>49</v>
      </c>
      <c r="D2199" s="221" t="s">
        <v>4247</v>
      </c>
      <c r="E2199" s="221" t="s">
        <v>3295</v>
      </c>
      <c r="F2199" s="221" t="s">
        <v>3299</v>
      </c>
      <c r="G2199" s="222">
        <v>45571</v>
      </c>
      <c r="H2199" s="223">
        <v>0.79166666666666663</v>
      </c>
      <c r="I2199" s="221" t="s">
        <v>4916</v>
      </c>
      <c r="J2199" s="221" t="s">
        <v>3023</v>
      </c>
      <c r="K2199" s="224" t="s">
        <v>3072</v>
      </c>
      <c r="L2199" s="225" t="str">
        <f>VLOOKUP(Logfile_S[[#This Row],[Material Name]],Sheet2!B:C,2,0)</f>
        <v>ZTE1004</v>
      </c>
      <c r="M2199" s="225" t="str">
        <f>_xlfn.XLOOKUP(Logfile_S[[#This Row],[Material Name]],Sum_WH!E:E,Sum_WH!F:F,"",0)</f>
        <v>Pcs</v>
      </c>
      <c r="N2199" s="221">
        <v>2</v>
      </c>
      <c r="O2199" s="221" t="s">
        <v>2142</v>
      </c>
      <c r="P2199" s="221" t="s">
        <v>3400</v>
      </c>
      <c r="Q2199" s="221"/>
      <c r="R2199" s="221"/>
      <c r="S2199" s="221"/>
      <c r="T2199" s="221" t="s">
        <v>3356</v>
      </c>
      <c r="U2199" s="221">
        <v>0</v>
      </c>
      <c r="V2199" s="221" t="s">
        <v>3357</v>
      </c>
      <c r="W2199" s="221" t="s">
        <v>3358</v>
      </c>
      <c r="X2199" s="221" t="s">
        <v>4248</v>
      </c>
      <c r="Y2199" s="227"/>
      <c r="Z2199" s="227" t="str">
        <f>P2199</f>
        <v>HUBFEEDER DINOYO SUMBERSEKAR</v>
      </c>
      <c r="AA2199" s="276" t="e">
        <f>VLOOKUP(Logfile_S[[#This Row],[DO number]],DO_DB!G:I,3,0)</f>
        <v>#N/A</v>
      </c>
      <c r="AB2199" s="331" t="e">
        <f>EXACT(Logfile_S[[#This Row],[date pick]],Logfile_S[[#This Row],[Date]])</f>
        <v>#N/A</v>
      </c>
      <c r="AC21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00" spans="1:29" ht="14.5">
      <c r="A2200" s="220" t="str">
        <f>TEXT(ROW(A2200)-ROW($A$4),"000")</f>
        <v>2196</v>
      </c>
      <c r="B2200" s="221"/>
      <c r="C2200" s="221" t="s">
        <v>48</v>
      </c>
      <c r="D2200" s="221" t="s">
        <v>4225</v>
      </c>
      <c r="E2200" s="221" t="s">
        <v>3295</v>
      </c>
      <c r="F2200" s="221" t="s">
        <v>3299</v>
      </c>
      <c r="G2200" s="222">
        <v>45555</v>
      </c>
      <c r="H2200" s="223">
        <v>15.291666666666666</v>
      </c>
      <c r="I2200" s="221" t="s">
        <v>37</v>
      </c>
      <c r="J2200" s="221" t="s">
        <v>3023</v>
      </c>
      <c r="K2200" s="224" t="s">
        <v>3077</v>
      </c>
      <c r="L2200" s="225" t="str">
        <f>VLOOKUP(Logfile_S[[#This Row],[Material Name]],Sheet2!B:C,2,0)</f>
        <v>ZTE2004</v>
      </c>
      <c r="M2200" s="225" t="str">
        <f>_xlfn.XLOOKUP(Logfile_S[[#This Row],[Material Name]],Sum_WH!E:E,Sum_WH!F:F,"",0)</f>
        <v>Meter</v>
      </c>
      <c r="N2200" s="221">
        <v>3000</v>
      </c>
      <c r="O2200" s="221" t="s">
        <v>2142</v>
      </c>
      <c r="P2200" s="221" t="s">
        <v>4475</v>
      </c>
      <c r="Q2200" s="221">
        <v>0</v>
      </c>
      <c r="R2200" s="221">
        <v>0</v>
      </c>
      <c r="S2200" s="221"/>
      <c r="T2200" s="221"/>
      <c r="U2200" s="221"/>
      <c r="V2200" s="221"/>
      <c r="W2200" s="221"/>
      <c r="X2200" s="221"/>
      <c r="Y2200" s="236" t="s">
        <v>4980</v>
      </c>
      <c r="Z2200" s="227" t="str">
        <f>P2200</f>
        <v>Main Feeder - OLT Smart Malang   Segment 8 to Sumbersekar</v>
      </c>
      <c r="AA2200" s="276" t="e">
        <f>VLOOKUP(Logfile_S[[#This Row],[DO number]],DO_DB!G:I,3,0)</f>
        <v>#N/A</v>
      </c>
      <c r="AB2200" s="331" t="e">
        <f>EXACT(Logfile_S[[#This Row],[date pick]],Logfile_S[[#This Row],[Date]])</f>
        <v>#N/A</v>
      </c>
      <c r="AC22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144C-2024920-01</v>
      </c>
    </row>
    <row r="2201" spans="1:29" ht="14.5">
      <c r="A2201" s="237" t="str">
        <f>TEXT(ROW(A2201)-ROW($A$4),"000")</f>
        <v>2197</v>
      </c>
      <c r="B2201" s="221"/>
      <c r="C2201" s="221" t="s">
        <v>48</v>
      </c>
      <c r="D2201" s="221" t="s">
        <v>4225</v>
      </c>
      <c r="E2201" s="221" t="s">
        <v>3295</v>
      </c>
      <c r="F2201" s="221" t="s">
        <v>3299</v>
      </c>
      <c r="G2201" s="222">
        <v>45555</v>
      </c>
      <c r="H2201" s="223">
        <v>15.291666666666666</v>
      </c>
      <c r="I2201" s="221" t="s">
        <v>37</v>
      </c>
      <c r="J2201" s="221" t="s">
        <v>3023</v>
      </c>
      <c r="K2201" s="224" t="s">
        <v>3077</v>
      </c>
      <c r="L2201" s="225" t="str">
        <f>VLOOKUP(Logfile_S[[#This Row],[Material Name]],Sheet2!B:C,2,0)</f>
        <v>ZTE2004</v>
      </c>
      <c r="M2201" s="225" t="str">
        <f>_xlfn.XLOOKUP(Logfile_S[[#This Row],[Material Name]],Sum_WH!E:E,Sum_WH!F:F,"",0)</f>
        <v>Meter</v>
      </c>
      <c r="N2201" s="221">
        <v>3000</v>
      </c>
      <c r="O2201" s="221" t="s">
        <v>2142</v>
      </c>
      <c r="P2201" s="221" t="s">
        <v>4475</v>
      </c>
      <c r="Q2201" s="227"/>
      <c r="R2201" s="227"/>
      <c r="S2201" s="227"/>
      <c r="T2201" s="227"/>
      <c r="U2201" s="227"/>
      <c r="V2201" s="227"/>
      <c r="W2201" s="227"/>
      <c r="X2201" s="227"/>
      <c r="Y2201" s="243" t="s">
        <v>4981</v>
      </c>
      <c r="Z2201" s="227" t="str">
        <f>P2201</f>
        <v>Main Feeder - OLT Smart Malang   Segment 8 to Sumbersekar</v>
      </c>
      <c r="AA2201" s="276" t="e">
        <f>VLOOKUP(Logfile_S[[#This Row],[DO number]],DO_DB!G:I,3,0)</f>
        <v>#N/A</v>
      </c>
      <c r="AB2201" s="331" t="e">
        <f>EXACT(Logfile_S[[#This Row],[date pick]],Logfile_S[[#This Row],[Date]])</f>
        <v>#N/A</v>
      </c>
      <c r="AC22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144C-2024920-02</v>
      </c>
    </row>
    <row r="2202" spans="1:29" ht="14.5">
      <c r="A2202" s="220" t="str">
        <f>TEXT(ROW(A2202)-ROW($A$4),"000")</f>
        <v>2198</v>
      </c>
      <c r="B2202" s="221"/>
      <c r="C2202" s="221" t="s">
        <v>49</v>
      </c>
      <c r="D2202" s="221" t="s">
        <v>4422</v>
      </c>
      <c r="E2202" s="221" t="s">
        <v>3295</v>
      </c>
      <c r="F2202" s="221" t="s">
        <v>3299</v>
      </c>
      <c r="G2202" s="222">
        <v>45899</v>
      </c>
      <c r="H2202" s="223">
        <v>0.38361111111111112</v>
      </c>
      <c r="I2202" s="221" t="s">
        <v>3295</v>
      </c>
      <c r="J2202" s="221" t="s">
        <v>3024</v>
      </c>
      <c r="K2202" s="224" t="s">
        <v>3087</v>
      </c>
      <c r="L2202" s="225" t="str">
        <f>VLOOKUP(Logfile_S[[#This Row],[Material Name]],Sheet2!B:C,2,0)</f>
        <v>GCI1001</v>
      </c>
      <c r="M2202" s="225" t="str">
        <f>_xlfn.XLOOKUP(Logfile_S[[#This Row],[Material Name]],Sum_WH!E:E,Sum_WH!F:F,"",0)</f>
        <v>Pcs</v>
      </c>
      <c r="N2202" s="221">
        <v>2</v>
      </c>
      <c r="O2202" s="221" t="s">
        <v>2142</v>
      </c>
      <c r="P2202" s="221" t="s">
        <v>2143</v>
      </c>
      <c r="Q2202" s="221" t="s">
        <v>2144</v>
      </c>
      <c r="R2202" s="221" t="s">
        <v>2145</v>
      </c>
      <c r="S2202" s="221" t="s">
        <v>39</v>
      </c>
      <c r="T2202" s="221" t="s">
        <v>3258</v>
      </c>
      <c r="U2202" s="221"/>
      <c r="V2202" s="221">
        <v>3507050501950000</v>
      </c>
      <c r="W2202" s="221" t="s">
        <v>3338</v>
      </c>
      <c r="X2202" s="221" t="s">
        <v>4421</v>
      </c>
      <c r="Y2202" s="227"/>
      <c r="Z2202" s="227" t="str">
        <f>P2202</f>
        <v>Main Feeder - OLT Smart Malang Segment 8 to Sumbersekar</v>
      </c>
      <c r="AA2202" s="276">
        <f>VLOOKUP(Logfile_S[[#This Row],[DO number]],DO_DB!G:I,3,0)</f>
        <v>45555</v>
      </c>
      <c r="AB2202" s="331" t="b">
        <f>EXACT(Logfile_S[[#This Row],[date pick]],Logfile_S[[#This Row],[Date]])</f>
        <v>0</v>
      </c>
      <c r="AC22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03" spans="1:29" ht="14.5">
      <c r="A2203" s="220" t="str">
        <f>TEXT(ROW(A2203)-ROW($A$4),"000")</f>
        <v>2199</v>
      </c>
      <c r="B2203" s="221"/>
      <c r="C2203" s="221" t="s">
        <v>49</v>
      </c>
      <c r="D2203" s="221" t="s">
        <v>4420</v>
      </c>
      <c r="E2203" s="221" t="s">
        <v>3295</v>
      </c>
      <c r="F2203" s="221" t="s">
        <v>3299</v>
      </c>
      <c r="G2203" s="222">
        <v>45899</v>
      </c>
      <c r="H2203" s="223">
        <v>0.3830439814814815</v>
      </c>
      <c r="I2203" s="221" t="s">
        <v>3295</v>
      </c>
      <c r="J2203" s="221" t="s">
        <v>3024</v>
      </c>
      <c r="K2203" s="224" t="s">
        <v>3108</v>
      </c>
      <c r="L2203" s="225" t="str">
        <f>VLOOKUP(Logfile_S[[#This Row],[Material Name]],Sheet2!B:C,2,0)</f>
        <v>GCI1020</v>
      </c>
      <c r="M2203" s="225" t="str">
        <f>_xlfn.XLOOKUP(Logfile_S[[#This Row],[Material Name]],Sum_WH!E:E,Sum_WH!F:F,"",0)</f>
        <v>Pcs</v>
      </c>
      <c r="N2203" s="221">
        <v>10</v>
      </c>
      <c r="O2203" s="221" t="s">
        <v>2142</v>
      </c>
      <c r="P2203" s="221" t="s">
        <v>2143</v>
      </c>
      <c r="Q2203" s="221" t="s">
        <v>2144</v>
      </c>
      <c r="R2203" s="221" t="s">
        <v>2145</v>
      </c>
      <c r="S2203" s="221" t="s">
        <v>39</v>
      </c>
      <c r="T2203" s="221" t="s">
        <v>3258</v>
      </c>
      <c r="U2203" s="221"/>
      <c r="V2203" s="221">
        <v>3507050501950000</v>
      </c>
      <c r="W2203" s="221" t="s">
        <v>3338</v>
      </c>
      <c r="X2203" s="221" t="s">
        <v>4421</v>
      </c>
      <c r="Y2203" s="227"/>
      <c r="Z2203" s="227" t="str">
        <f>P2203</f>
        <v>Main Feeder - OLT Smart Malang Segment 8 to Sumbersekar</v>
      </c>
      <c r="AA2203" s="276">
        <f>VLOOKUP(Logfile_S[[#This Row],[DO number]],DO_DB!G:I,3,0)</f>
        <v>45555</v>
      </c>
      <c r="AB2203" s="331" t="b">
        <f>EXACT(Logfile_S[[#This Row],[date pick]],Logfile_S[[#This Row],[Date]])</f>
        <v>0</v>
      </c>
      <c r="AC22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04" spans="1:29" ht="14.5">
      <c r="A2204" s="220" t="str">
        <f>TEXT(ROW(A2204)-ROW($A$4),"000")</f>
        <v>2200</v>
      </c>
      <c r="B2204" s="221"/>
      <c r="C2204" s="221" t="s">
        <v>49</v>
      </c>
      <c r="D2204" s="221" t="s">
        <v>4422</v>
      </c>
      <c r="E2204" s="221" t="s">
        <v>3295</v>
      </c>
      <c r="F2204" s="221" t="s">
        <v>3299</v>
      </c>
      <c r="G2204" s="222">
        <v>45899</v>
      </c>
      <c r="H2204" s="223">
        <v>0.3830439814814815</v>
      </c>
      <c r="I2204" s="221" t="s">
        <v>3295</v>
      </c>
      <c r="J2204" s="221" t="s">
        <v>3023</v>
      </c>
      <c r="K2204" s="224" t="s">
        <v>3072</v>
      </c>
      <c r="L2204" s="225" t="str">
        <f>VLOOKUP(Logfile_S[[#This Row],[Material Name]],Sheet2!B:C,2,0)</f>
        <v>ZTE1004</v>
      </c>
      <c r="M2204" s="225" t="str">
        <f>_xlfn.XLOOKUP(Logfile_S[[#This Row],[Material Name]],Sum_WH!E:E,Sum_WH!F:F,"",0)</f>
        <v>Pcs</v>
      </c>
      <c r="N2204" s="221">
        <v>2</v>
      </c>
      <c r="O2204" s="221" t="s">
        <v>2142</v>
      </c>
      <c r="P2204" s="221" t="s">
        <v>2143</v>
      </c>
      <c r="Q2204" s="221" t="s">
        <v>2144</v>
      </c>
      <c r="R2204" s="221" t="s">
        <v>2145</v>
      </c>
      <c r="S2204" s="221" t="s">
        <v>39</v>
      </c>
      <c r="T2204" s="221" t="s">
        <v>3258</v>
      </c>
      <c r="U2204" s="221"/>
      <c r="V2204" s="221">
        <v>3507050501950000</v>
      </c>
      <c r="W2204" s="221" t="s">
        <v>3338</v>
      </c>
      <c r="X2204" s="221" t="s">
        <v>4421</v>
      </c>
      <c r="Y2204" s="227"/>
      <c r="Z2204" s="227" t="str">
        <f>P2204</f>
        <v>Main Feeder - OLT Smart Malang Segment 8 to Sumbersekar</v>
      </c>
      <c r="AA2204" s="276">
        <f>VLOOKUP(Logfile_S[[#This Row],[DO number]],DO_DB!G:I,3,0)</f>
        <v>45555</v>
      </c>
      <c r="AB2204" s="331" t="b">
        <f>EXACT(Logfile_S[[#This Row],[date pick]],Logfile_S[[#This Row],[Date]])</f>
        <v>0</v>
      </c>
      <c r="AC22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05" spans="1:29" ht="14.5">
      <c r="A2205" s="237" t="str">
        <f>TEXT(ROW(A2205)-ROW($A$4),"000")</f>
        <v>2201</v>
      </c>
      <c r="B2205" s="221">
        <v>2</v>
      </c>
      <c r="C2205" s="227" t="s">
        <v>49</v>
      </c>
      <c r="D2205" s="227" t="s">
        <v>4655</v>
      </c>
      <c r="E2205" s="227" t="s">
        <v>3295</v>
      </c>
      <c r="F2205" s="227" t="s">
        <v>3299</v>
      </c>
      <c r="G2205" s="239">
        <v>45920</v>
      </c>
      <c r="H2205" s="240">
        <v>0.67421296296296296</v>
      </c>
      <c r="I2205" s="227" t="s">
        <v>3295</v>
      </c>
      <c r="J2205" s="227" t="s">
        <v>3024</v>
      </c>
      <c r="K2205" s="241" t="s">
        <v>3087</v>
      </c>
      <c r="L2205" s="225" t="str">
        <f>VLOOKUP(Logfile_S[[#This Row],[Material Name]],Sheet2!B:C,2,0)</f>
        <v>GCI1001</v>
      </c>
      <c r="M2205" s="225" t="str">
        <f>_xlfn.XLOOKUP(Logfile_S[[#This Row],[Material Name]],Sum_WH!E:E,Sum_WH!F:F,"",0)</f>
        <v>Pcs</v>
      </c>
      <c r="N2205" s="227">
        <v>1</v>
      </c>
      <c r="O2205" s="227" t="s">
        <v>2142</v>
      </c>
      <c r="P2205" s="227" t="s">
        <v>2143</v>
      </c>
      <c r="Q2205" s="227" t="s">
        <v>2144</v>
      </c>
      <c r="R2205" s="227" t="s">
        <v>2145</v>
      </c>
      <c r="S2205" s="227" t="s">
        <v>39</v>
      </c>
      <c r="T2205" s="227" t="s">
        <v>3258</v>
      </c>
      <c r="U2205" s="227"/>
      <c r="V2205" s="227" t="s">
        <v>3337</v>
      </c>
      <c r="W2205" s="227" t="s">
        <v>3338</v>
      </c>
      <c r="X2205" s="227" t="s">
        <v>4421</v>
      </c>
      <c r="Y2205" s="227"/>
      <c r="Z2205" s="227" t="str">
        <f>P2205</f>
        <v>Main Feeder - OLT Smart Malang Segment 8 to Sumbersekar</v>
      </c>
      <c r="AA2205" s="276">
        <f>VLOOKUP(Logfile_S[[#This Row],[DO number]],DO_DB!G:I,3,0)</f>
        <v>45555</v>
      </c>
      <c r="AB2205" s="331" t="b">
        <f>EXACT(Logfile_S[[#This Row],[date pick]],Logfile_S[[#This Row],[Date]])</f>
        <v>0</v>
      </c>
      <c r="AC22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06" spans="1:29" ht="14.5">
      <c r="A2206" s="237" t="str">
        <f>TEXT(ROW(A2206)-ROW($A$4),"000")</f>
        <v>2202</v>
      </c>
      <c r="B2206" s="221">
        <v>3</v>
      </c>
      <c r="C2206" s="227" t="s">
        <v>49</v>
      </c>
      <c r="D2206" s="227" t="s">
        <v>4655</v>
      </c>
      <c r="E2206" s="227" t="s">
        <v>3295</v>
      </c>
      <c r="F2206" s="227" t="s">
        <v>3299</v>
      </c>
      <c r="G2206" s="239">
        <v>45920</v>
      </c>
      <c r="H2206" s="240">
        <v>0.67421296296296296</v>
      </c>
      <c r="I2206" s="227" t="s">
        <v>3295</v>
      </c>
      <c r="J2206" s="227" t="s">
        <v>3024</v>
      </c>
      <c r="K2206" s="241" t="s">
        <v>3108</v>
      </c>
      <c r="L2206" s="225" t="str">
        <f>VLOOKUP(Logfile_S[[#This Row],[Material Name]],Sheet2!B:C,2,0)</f>
        <v>GCI1020</v>
      </c>
      <c r="M2206" s="225" t="str">
        <f>_xlfn.XLOOKUP(Logfile_S[[#This Row],[Material Name]],Sum_WH!E:E,Sum_WH!F:F,"",0)</f>
        <v>Pcs</v>
      </c>
      <c r="N2206" s="227">
        <v>10</v>
      </c>
      <c r="O2206" s="227" t="s">
        <v>2142</v>
      </c>
      <c r="P2206" s="227" t="s">
        <v>2143</v>
      </c>
      <c r="Q2206" s="227" t="s">
        <v>2144</v>
      </c>
      <c r="R2206" s="227" t="s">
        <v>2145</v>
      </c>
      <c r="S2206" s="227" t="s">
        <v>39</v>
      </c>
      <c r="T2206" s="227" t="s">
        <v>3258</v>
      </c>
      <c r="U2206" s="227"/>
      <c r="V2206" s="227" t="s">
        <v>3337</v>
      </c>
      <c r="W2206" s="227" t="s">
        <v>3338</v>
      </c>
      <c r="X2206" s="227" t="s">
        <v>4421</v>
      </c>
      <c r="Y2206" s="227"/>
      <c r="Z2206" s="227" t="str">
        <f>P2206</f>
        <v>Main Feeder - OLT Smart Malang Segment 8 to Sumbersekar</v>
      </c>
      <c r="AA2206" s="276">
        <f>VLOOKUP(Logfile_S[[#This Row],[DO number]],DO_DB!G:I,3,0)</f>
        <v>45555</v>
      </c>
      <c r="AB2206" s="331" t="b">
        <f>EXACT(Logfile_S[[#This Row],[date pick]],Logfile_S[[#This Row],[Date]])</f>
        <v>0</v>
      </c>
      <c r="AC22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07" spans="1:29" ht="14.5">
      <c r="A2207" s="237" t="str">
        <f>TEXT(ROW(A2207)-ROW($A$4),"000")</f>
        <v>2203</v>
      </c>
      <c r="B2207" s="221">
        <v>1</v>
      </c>
      <c r="C2207" s="227" t="s">
        <v>49</v>
      </c>
      <c r="D2207" s="227" t="s">
        <v>4655</v>
      </c>
      <c r="E2207" s="227" t="s">
        <v>3295</v>
      </c>
      <c r="F2207" s="227" t="s">
        <v>3299</v>
      </c>
      <c r="G2207" s="239">
        <v>45920</v>
      </c>
      <c r="H2207" s="240">
        <v>0.67421296296296296</v>
      </c>
      <c r="I2207" s="227" t="s">
        <v>3295</v>
      </c>
      <c r="J2207" s="221" t="s">
        <v>3023</v>
      </c>
      <c r="K2207" s="241" t="s">
        <v>3072</v>
      </c>
      <c r="L2207" s="225" t="str">
        <f>VLOOKUP(Logfile_S[[#This Row],[Material Name]],Sheet2!B:C,2,0)</f>
        <v>ZTE1004</v>
      </c>
      <c r="M2207" s="225" t="str">
        <f>_xlfn.XLOOKUP(Logfile_S[[#This Row],[Material Name]],Sum_WH!E:E,Sum_WH!F:F,"",0)</f>
        <v>Pcs</v>
      </c>
      <c r="N2207" s="227">
        <v>1</v>
      </c>
      <c r="O2207" s="227" t="s">
        <v>2142</v>
      </c>
      <c r="P2207" s="227" t="s">
        <v>2143</v>
      </c>
      <c r="Q2207" s="227" t="s">
        <v>2144</v>
      </c>
      <c r="R2207" s="227" t="s">
        <v>2145</v>
      </c>
      <c r="S2207" s="227" t="s">
        <v>39</v>
      </c>
      <c r="T2207" s="227" t="s">
        <v>3258</v>
      </c>
      <c r="U2207" s="227"/>
      <c r="V2207" s="227" t="s">
        <v>3337</v>
      </c>
      <c r="W2207" s="227" t="s">
        <v>3338</v>
      </c>
      <c r="X2207" s="227" t="s">
        <v>4421</v>
      </c>
      <c r="Y2207" s="227"/>
      <c r="Z2207" s="227" t="str">
        <f>P2207</f>
        <v>Main Feeder - OLT Smart Malang Segment 8 to Sumbersekar</v>
      </c>
      <c r="AA2207" s="276">
        <f>VLOOKUP(Logfile_S[[#This Row],[DO number]],DO_DB!G:I,3,0)</f>
        <v>45555</v>
      </c>
      <c r="AB2207" s="331" t="b">
        <f>EXACT(Logfile_S[[#This Row],[date pick]],Logfile_S[[#This Row],[Date]])</f>
        <v>0</v>
      </c>
      <c r="AC22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08" spans="1:29" ht="14.5">
      <c r="A2208" s="237" t="str">
        <f>TEXT(ROW(A2208)-ROW($A$4),"000")</f>
        <v>2204</v>
      </c>
      <c r="B2208" s="221">
        <v>7</v>
      </c>
      <c r="C2208" s="227" t="s">
        <v>49</v>
      </c>
      <c r="D2208" s="227" t="s">
        <v>4661</v>
      </c>
      <c r="E2208" s="227" t="s">
        <v>3295</v>
      </c>
      <c r="F2208" s="227" t="s">
        <v>3299</v>
      </c>
      <c r="G2208" s="239">
        <v>45946</v>
      </c>
      <c r="H2208" s="240">
        <v>0.43125000000000002</v>
      </c>
      <c r="I2208" s="227" t="s">
        <v>3295</v>
      </c>
      <c r="J2208" s="227" t="s">
        <v>3024</v>
      </c>
      <c r="K2208" s="241" t="s">
        <v>3108</v>
      </c>
      <c r="L2208" s="225" t="str">
        <f>VLOOKUP(Logfile_S[[#This Row],[Material Name]],Sheet2!B:C,2,0)</f>
        <v>GCI1020</v>
      </c>
      <c r="M2208" s="225" t="str">
        <f>_xlfn.XLOOKUP(Logfile_S[[#This Row],[Material Name]],Sum_WH!E:E,Sum_WH!F:F,"",0)</f>
        <v>Pcs</v>
      </c>
      <c r="N2208" s="227">
        <v>5</v>
      </c>
      <c r="O2208" s="227" t="s">
        <v>2142</v>
      </c>
      <c r="P2208" s="227" t="s">
        <v>2143</v>
      </c>
      <c r="Q2208" s="227"/>
      <c r="R2208" s="227"/>
      <c r="S2208" s="227"/>
      <c r="T2208" s="221" t="s">
        <v>3258</v>
      </c>
      <c r="U2208" s="221">
        <v>0</v>
      </c>
      <c r="V2208" s="221" t="s">
        <v>3337</v>
      </c>
      <c r="W2208" s="221" t="s">
        <v>3338</v>
      </c>
      <c r="X2208" s="227"/>
      <c r="Y2208" s="227"/>
      <c r="Z2208" s="227" t="str">
        <f>P2208</f>
        <v>Main Feeder - OLT Smart Malang Segment 8 to Sumbersekar</v>
      </c>
      <c r="AA2208" s="276" t="e">
        <f>VLOOKUP(Logfile_S[[#This Row],[DO number]],DO_DB!G:I,3,0)</f>
        <v>#N/A</v>
      </c>
      <c r="AB2208" s="331" t="e">
        <f>EXACT(Logfile_S[[#This Row],[date pick]],Logfile_S[[#This Row],[Date]])</f>
        <v>#N/A</v>
      </c>
      <c r="AC22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09" spans="1:29" ht="14.5">
      <c r="A2209" s="237" t="str">
        <f>TEXT(ROW(A2209)-ROW($A$4),"000")</f>
        <v>2205</v>
      </c>
      <c r="B2209" s="221">
        <v>1</v>
      </c>
      <c r="C2209" s="227" t="s">
        <v>48</v>
      </c>
      <c r="D2209" s="227" t="s">
        <v>4828</v>
      </c>
      <c r="E2209" s="227" t="s">
        <v>3295</v>
      </c>
      <c r="F2209" s="227" t="s">
        <v>3299</v>
      </c>
      <c r="G2209" s="239">
        <v>46084</v>
      </c>
      <c r="H2209" s="240">
        <v>0.70833333333333337</v>
      </c>
      <c r="I2209" s="227" t="s">
        <v>38</v>
      </c>
      <c r="J2209" s="221" t="s">
        <v>3023</v>
      </c>
      <c r="K2209" s="241" t="s">
        <v>3072</v>
      </c>
      <c r="L2209" s="225" t="str">
        <f>VLOOKUP(Logfile_S[[#This Row],[Material Name]],Sheet2!B:C,2,0)</f>
        <v>ZTE1004</v>
      </c>
      <c r="M2209" s="242" t="s">
        <v>19</v>
      </c>
      <c r="N2209" s="227">
        <v>1</v>
      </c>
      <c r="O2209" s="224" t="s">
        <v>2142</v>
      </c>
      <c r="P2209" s="224" t="s">
        <v>2143</v>
      </c>
      <c r="Q2209" s="221"/>
      <c r="R2209" s="221"/>
      <c r="S2209" s="227"/>
      <c r="T2209" s="227"/>
      <c r="U2209" s="227"/>
      <c r="V2209" s="227"/>
      <c r="W2209" s="227"/>
      <c r="X2209" s="227" t="s">
        <v>4914</v>
      </c>
      <c r="Y2209" s="227"/>
      <c r="Z2209" s="227" t="str">
        <f>P2209</f>
        <v>Main Feeder - OLT Smart Malang Segment 8 to Sumbersekar</v>
      </c>
      <c r="AA2209" s="276" t="e">
        <f>VLOOKUP(Logfile_S[[#This Row],[DO number]],DO_DB!G:I,3,0)</f>
        <v>#N/A</v>
      </c>
      <c r="AB2209" s="331" t="e">
        <f>EXACT(Logfile_S[[#This Row],[date pick]],Logfile_S[[#This Row],[Date]])</f>
        <v>#N/A</v>
      </c>
      <c r="AC22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10" spans="1:29" ht="14.5">
      <c r="A2210" s="237" t="str">
        <f>TEXT(ROW(A2210)-ROW($A$4),"000")</f>
        <v>2206</v>
      </c>
      <c r="B2210" s="221">
        <v>2</v>
      </c>
      <c r="C2210" s="227" t="s">
        <v>49</v>
      </c>
      <c r="D2210" s="227" t="s">
        <v>4830</v>
      </c>
      <c r="E2210" s="227" t="s">
        <v>3295</v>
      </c>
      <c r="F2210" s="227" t="s">
        <v>3299</v>
      </c>
      <c r="G2210" s="239">
        <v>46084</v>
      </c>
      <c r="H2210" s="240">
        <v>0.70833333333333337</v>
      </c>
      <c r="I2210" s="227" t="s">
        <v>3295</v>
      </c>
      <c r="J2210" s="221" t="s">
        <v>3023</v>
      </c>
      <c r="K2210" s="241" t="s">
        <v>3072</v>
      </c>
      <c r="L2210" s="225" t="str">
        <f>VLOOKUP(Logfile_S[[#This Row],[Material Name]],Sheet2!B:C,2,0)</f>
        <v>ZTE1004</v>
      </c>
      <c r="M2210" s="242" t="s">
        <v>19</v>
      </c>
      <c r="N2210" s="227">
        <v>1</v>
      </c>
      <c r="O2210" s="224" t="s">
        <v>2142</v>
      </c>
      <c r="P2210" s="224" t="s">
        <v>2143</v>
      </c>
      <c r="Q2210" s="227"/>
      <c r="R2210" s="227"/>
      <c r="S2210" s="227"/>
      <c r="T2210" s="227"/>
      <c r="U2210" s="227"/>
      <c r="V2210" s="227"/>
      <c r="W2210" s="227"/>
      <c r="X2210" s="227" t="s">
        <v>4915</v>
      </c>
      <c r="Y2210" s="227"/>
      <c r="Z2210" s="227" t="str">
        <f>P2210</f>
        <v>Main Feeder - OLT Smart Malang Segment 8 to Sumbersekar</v>
      </c>
      <c r="AA2210" s="276" t="e">
        <f>VLOOKUP(Logfile_S[[#This Row],[DO number]],DO_DB!G:I,3,0)</f>
        <v>#N/A</v>
      </c>
      <c r="AB2210" s="331" t="e">
        <f>EXACT(Logfile_S[[#This Row],[date pick]],Logfile_S[[#This Row],[Date]])</f>
        <v>#N/A</v>
      </c>
      <c r="AC22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11" spans="1:29" ht="14.5">
      <c r="A2211" s="237" t="str">
        <f>TEXT(ROW(A2211)-ROW($A$4),"000")</f>
        <v>2207</v>
      </c>
      <c r="B2211" s="221">
        <v>4</v>
      </c>
      <c r="C2211" s="227" t="s">
        <v>48</v>
      </c>
      <c r="D2211" s="227" t="s">
        <v>4848</v>
      </c>
      <c r="E2211" s="227" t="s">
        <v>3295</v>
      </c>
      <c r="F2211" s="227" t="s">
        <v>3299</v>
      </c>
      <c r="G2211" s="239">
        <v>46134</v>
      </c>
      <c r="H2211" s="240">
        <v>0.25</v>
      </c>
      <c r="I2211" s="227" t="s">
        <v>37</v>
      </c>
      <c r="J2211" s="227" t="s">
        <v>3023</v>
      </c>
      <c r="K2211" s="241" t="s">
        <v>3072</v>
      </c>
      <c r="L2211" s="242" t="str">
        <f>VLOOKUP(Logfile_S[[#This Row],[Material Name]],Sheet2!B:C,2,0)</f>
        <v>ZTE1004</v>
      </c>
      <c r="M2211" s="242" t="s">
        <v>19</v>
      </c>
      <c r="N2211" s="227">
        <v>3</v>
      </c>
      <c r="O2211" s="224" t="s">
        <v>2142</v>
      </c>
      <c r="P2211" s="224" t="s">
        <v>2143</v>
      </c>
      <c r="Q2211" s="221"/>
      <c r="R2211" s="221"/>
      <c r="S2211" s="227"/>
      <c r="T2211" s="227"/>
      <c r="U2211" s="227"/>
      <c r="V2211" s="227"/>
      <c r="W2211" s="227"/>
      <c r="X2211" s="227"/>
      <c r="Y2211" s="227"/>
      <c r="Z2211" s="227" t="str">
        <f>P2211</f>
        <v>Main Feeder - OLT Smart Malang Segment 8 to Sumbersekar</v>
      </c>
      <c r="AA2211" s="276" t="e">
        <f>VLOOKUP(Logfile_S[[#This Row],[DO number]],DO_DB!G:I,3,0)</f>
        <v>#N/A</v>
      </c>
      <c r="AB2211" s="331" t="e">
        <f>EXACT(Logfile_S[[#This Row],[date pick]],Logfile_S[[#This Row],[Date]])</f>
        <v>#N/A</v>
      </c>
      <c r="AC22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12" spans="1:29" ht="14.5">
      <c r="A2212" s="237" t="str">
        <f>TEXT(ROW(A2212)-ROW($A$4),"000")</f>
        <v>2208</v>
      </c>
      <c r="B2212" s="221">
        <v>3</v>
      </c>
      <c r="C2212" s="227" t="s">
        <v>49</v>
      </c>
      <c r="D2212" s="227" t="s">
        <v>4838</v>
      </c>
      <c r="E2212" s="227" t="s">
        <v>3295</v>
      </c>
      <c r="F2212" s="227" t="s">
        <v>3299</v>
      </c>
      <c r="G2212" s="239">
        <v>46134</v>
      </c>
      <c r="H2212" s="240">
        <v>0.58333333333333337</v>
      </c>
      <c r="I2212" s="227" t="s">
        <v>3295</v>
      </c>
      <c r="J2212" s="221" t="s">
        <v>3023</v>
      </c>
      <c r="K2212" s="241" t="s">
        <v>3072</v>
      </c>
      <c r="L2212" s="242" t="str">
        <f>VLOOKUP(Logfile_S[[#This Row],[Material Name]],Sheet2!B:C,2,0)</f>
        <v>ZTE1004</v>
      </c>
      <c r="M2212" s="242" t="s">
        <v>19</v>
      </c>
      <c r="N2212" s="227">
        <v>3</v>
      </c>
      <c r="O2212" s="224" t="s">
        <v>2142</v>
      </c>
      <c r="P2212" s="224" t="s">
        <v>2143</v>
      </c>
      <c r="Q2212" s="227"/>
      <c r="R2212" s="227"/>
      <c r="S2212" s="227"/>
      <c r="T2212" s="227"/>
      <c r="U2212" s="227"/>
      <c r="V2212" s="227"/>
      <c r="W2212" s="227"/>
      <c r="X2212" s="227"/>
      <c r="Y2212" s="227"/>
      <c r="Z2212" s="227" t="str">
        <f>P2212</f>
        <v>Main Feeder - OLT Smart Malang Segment 8 to Sumbersekar</v>
      </c>
      <c r="AA2212" s="276" t="e">
        <f>VLOOKUP(Logfile_S[[#This Row],[DO number]],DO_DB!G:I,3,0)</f>
        <v>#N/A</v>
      </c>
      <c r="AB2212" s="331" t="e">
        <f>EXACT(Logfile_S[[#This Row],[date pick]],Logfile_S[[#This Row],[Date]])</f>
        <v>#N/A</v>
      </c>
      <c r="AC22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13" spans="1:29" ht="14.5">
      <c r="A2213" s="237" t="str">
        <f>TEXT(ROW(A2213)-ROW($A$4),"000")</f>
        <v>2209</v>
      </c>
      <c r="B2213" s="221"/>
      <c r="C2213" s="227" t="s">
        <v>49</v>
      </c>
      <c r="D2213" s="227" t="s">
        <v>5414</v>
      </c>
      <c r="E2213" s="227" t="s">
        <v>3295</v>
      </c>
      <c r="F2213" s="227"/>
      <c r="G2213" s="239">
        <v>46276</v>
      </c>
      <c r="H2213" s="240"/>
      <c r="I2213" s="227"/>
      <c r="J2213" s="227"/>
      <c r="K2213" s="241" t="s">
        <v>3108</v>
      </c>
      <c r="L2213" s="242" t="str">
        <f>VLOOKUP(Logfile_S[[#This Row],[Material Name]],Sheet2!B:C,2,0)</f>
        <v>GCI1020</v>
      </c>
      <c r="M2213" s="242" t="s">
        <v>19</v>
      </c>
      <c r="N2213" s="227">
        <v>30</v>
      </c>
      <c r="O2213" s="227" t="s">
        <v>2142</v>
      </c>
      <c r="P2213" s="227" t="s">
        <v>2143</v>
      </c>
      <c r="Q2213" s="227" t="s">
        <v>4476</v>
      </c>
      <c r="R2213" s="227"/>
      <c r="S2213" s="227" t="s">
        <v>39</v>
      </c>
      <c r="T2213" s="227" t="s">
        <v>5390</v>
      </c>
      <c r="U2213" s="227" t="s">
        <v>5390</v>
      </c>
      <c r="V2213" s="227" t="s">
        <v>5390</v>
      </c>
      <c r="W2213" s="227"/>
      <c r="X2213" s="227"/>
      <c r="Y2213" s="238" t="s">
        <v>5390</v>
      </c>
      <c r="Z2213" s="238" t="str">
        <f>P2213</f>
        <v>Main Feeder - OLT Smart Malang Segment 8 to Sumbersekar</v>
      </c>
      <c r="AA2213" s="276">
        <f>VLOOKUP(Logfile_S[[#This Row],[DO number]],DO_DB!G:I,3,0)</f>
        <v>45904</v>
      </c>
      <c r="AB2213" s="332" t="b">
        <f>EXACT(Logfile_S[[#This Row],[date pick]],Logfile_S[[#This Row],[Date]])</f>
        <v>0</v>
      </c>
      <c r="AC2213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14" spans="1:29" ht="14.5">
      <c r="A2214" s="220" t="str">
        <f>TEXT(ROW(A2214)-ROW($A$4),"000")</f>
        <v>2210</v>
      </c>
      <c r="B2214" s="221"/>
      <c r="C2214" s="221" t="s">
        <v>49</v>
      </c>
      <c r="D2214" s="221" t="s">
        <v>4250</v>
      </c>
      <c r="E2214" s="221" t="s">
        <v>3295</v>
      </c>
      <c r="F2214" s="221" t="s">
        <v>3299</v>
      </c>
      <c r="G2214" s="222">
        <v>45583</v>
      </c>
      <c r="H2214" s="223">
        <v>0.38194444444444442</v>
      </c>
      <c r="I2214" s="221" t="s">
        <v>4916</v>
      </c>
      <c r="J2214" s="221" t="s">
        <v>3023</v>
      </c>
      <c r="K2214" s="224" t="s">
        <v>3077</v>
      </c>
      <c r="L2214" s="225" t="str">
        <f>VLOOKUP(Logfile_S[[#This Row],[Material Name]],Sheet2!B:C,2,0)</f>
        <v>ZTE2004</v>
      </c>
      <c r="M2214" s="225" t="str">
        <f>_xlfn.XLOOKUP(Logfile_S[[#This Row],[Material Name]],Sum_WH!E:E,Sum_WH!F:F,"",0)</f>
        <v>Meter</v>
      </c>
      <c r="N2214" s="221">
        <v>3000</v>
      </c>
      <c r="O2214" s="221" t="s">
        <v>2322</v>
      </c>
      <c r="P2214" s="221" t="s">
        <v>3403</v>
      </c>
      <c r="Q2214" s="221"/>
      <c r="R2214" s="221"/>
      <c r="S2214" s="221"/>
      <c r="T2214" s="221" t="s">
        <v>3404</v>
      </c>
      <c r="U2214" s="221" t="s">
        <v>5107</v>
      </c>
      <c r="V2214" s="221" t="s">
        <v>3405</v>
      </c>
      <c r="W2214" s="221" t="s">
        <v>3406</v>
      </c>
      <c r="X2214" s="221"/>
      <c r="Y2214" s="236" t="s">
        <v>4981</v>
      </c>
      <c r="Z2214" s="227" t="str">
        <f>P2214</f>
        <v>Mainfeeder Singosari Segment 3</v>
      </c>
      <c r="AA2214" s="276" t="e">
        <f>VLOOKUP(Logfile_S[[#This Row],[DO number]],DO_DB!G:I,3,0)</f>
        <v>#N/A</v>
      </c>
      <c r="AB2214" s="331" t="e">
        <f>EXACT(Logfile_S[[#This Row],[date pick]],Logfile_S[[#This Row],[Date]])</f>
        <v>#N/A</v>
      </c>
      <c r="AC22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144C-2024920-02</v>
      </c>
    </row>
    <row r="2215" spans="1:29" ht="14.5">
      <c r="A2215" s="220" t="str">
        <f>TEXT(ROW(A2215)-ROW($A$4),"000")</f>
        <v>2211</v>
      </c>
      <c r="B2215" s="221"/>
      <c r="C2215" s="221" t="s">
        <v>49</v>
      </c>
      <c r="D2215" s="221" t="s">
        <v>4250</v>
      </c>
      <c r="E2215" s="221" t="s">
        <v>3295</v>
      </c>
      <c r="F2215" s="221" t="s">
        <v>3299</v>
      </c>
      <c r="G2215" s="222">
        <v>45583</v>
      </c>
      <c r="H2215" s="223">
        <v>0.38194444444444442</v>
      </c>
      <c r="I2215" s="221" t="s">
        <v>4916</v>
      </c>
      <c r="J2215" s="221" t="s">
        <v>3024</v>
      </c>
      <c r="K2215" s="224" t="s">
        <v>3108</v>
      </c>
      <c r="L2215" s="225" t="str">
        <f>VLOOKUP(Logfile_S[[#This Row],[Material Name]],Sheet2!B:C,2,0)</f>
        <v>GCI1020</v>
      </c>
      <c r="M2215" s="225" t="str">
        <f>_xlfn.XLOOKUP(Logfile_S[[#This Row],[Material Name]],Sum_WH!E:E,Sum_WH!F:F,"",0)</f>
        <v>Pcs</v>
      </c>
      <c r="N2215" s="221">
        <v>50</v>
      </c>
      <c r="O2215" s="221" t="s">
        <v>2322</v>
      </c>
      <c r="P2215" s="221" t="s">
        <v>3403</v>
      </c>
      <c r="Q2215" s="221"/>
      <c r="R2215" s="221"/>
      <c r="S2215" s="221"/>
      <c r="T2215" s="221" t="s">
        <v>3404</v>
      </c>
      <c r="U2215" s="221">
        <v>0</v>
      </c>
      <c r="V2215" s="221" t="s">
        <v>3405</v>
      </c>
      <c r="W2215" s="221" t="s">
        <v>3406</v>
      </c>
      <c r="X2215" s="221"/>
      <c r="Y2215" s="227"/>
      <c r="Z2215" s="227" t="str">
        <f>P2215</f>
        <v>Mainfeeder Singosari Segment 3</v>
      </c>
      <c r="AA2215" s="276" t="e">
        <f>VLOOKUP(Logfile_S[[#This Row],[DO number]],DO_DB!G:I,3,0)</f>
        <v>#N/A</v>
      </c>
      <c r="AB2215" s="331" t="e">
        <f>EXACT(Logfile_S[[#This Row],[date pick]],Logfile_S[[#This Row],[Date]])</f>
        <v>#N/A</v>
      </c>
      <c r="AC22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16" spans="1:29" ht="14.5">
      <c r="A2216" s="220" t="str">
        <f>TEXT(ROW(A2216)-ROW($A$4),"000")</f>
        <v>2212</v>
      </c>
      <c r="B2216" s="221"/>
      <c r="C2216" s="221" t="s">
        <v>49</v>
      </c>
      <c r="D2216" s="221" t="s">
        <v>4250</v>
      </c>
      <c r="E2216" s="221" t="s">
        <v>3295</v>
      </c>
      <c r="F2216" s="221" t="s">
        <v>3299</v>
      </c>
      <c r="G2216" s="222">
        <v>45583</v>
      </c>
      <c r="H2216" s="223">
        <v>0.38194444444444442</v>
      </c>
      <c r="I2216" s="221" t="s">
        <v>4916</v>
      </c>
      <c r="J2216" s="221" t="s">
        <v>3024</v>
      </c>
      <c r="K2216" s="224" t="s">
        <v>3094</v>
      </c>
      <c r="L2216" s="225" t="str">
        <f>VLOOKUP(Logfile_S[[#This Row],[Material Name]],Sheet2!B:C,2,0)</f>
        <v>GCI1008</v>
      </c>
      <c r="M2216" s="225" t="str">
        <f>_xlfn.XLOOKUP(Logfile_S[[#This Row],[Material Name]],Sum_WH!E:E,Sum_WH!F:F,"",0)</f>
        <v>Pcs</v>
      </c>
      <c r="N2216" s="221">
        <v>50</v>
      </c>
      <c r="O2216" s="221" t="s">
        <v>2322</v>
      </c>
      <c r="P2216" s="221" t="s">
        <v>3403</v>
      </c>
      <c r="Q2216" s="221"/>
      <c r="R2216" s="221"/>
      <c r="S2216" s="221"/>
      <c r="T2216" s="221" t="s">
        <v>3404</v>
      </c>
      <c r="U2216" s="221">
        <v>0</v>
      </c>
      <c r="V2216" s="221" t="s">
        <v>3405</v>
      </c>
      <c r="W2216" s="221" t="s">
        <v>3406</v>
      </c>
      <c r="X2216" s="221"/>
      <c r="Y2216" s="227"/>
      <c r="Z2216" s="227" t="str">
        <f>P2216</f>
        <v>Mainfeeder Singosari Segment 3</v>
      </c>
      <c r="AA2216" s="276" t="e">
        <f>VLOOKUP(Logfile_S[[#This Row],[DO number]],DO_DB!G:I,3,0)</f>
        <v>#N/A</v>
      </c>
      <c r="AB2216" s="331" t="e">
        <f>EXACT(Logfile_S[[#This Row],[date pick]],Logfile_S[[#This Row],[Date]])</f>
        <v>#N/A</v>
      </c>
      <c r="AC22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17" spans="1:29" ht="14.5">
      <c r="A2217" s="220" t="str">
        <f>TEXT(ROW(A2217)-ROW($A$4),"000")</f>
        <v>2213</v>
      </c>
      <c r="B2217" s="221"/>
      <c r="C2217" s="221" t="s">
        <v>49</v>
      </c>
      <c r="D2217" s="221" t="s">
        <v>4250</v>
      </c>
      <c r="E2217" s="221" t="s">
        <v>3295</v>
      </c>
      <c r="F2217" s="221" t="s">
        <v>3299</v>
      </c>
      <c r="G2217" s="222">
        <v>45583</v>
      </c>
      <c r="H2217" s="223">
        <v>0.38194444444444442</v>
      </c>
      <c r="I2217" s="221" t="s">
        <v>4916</v>
      </c>
      <c r="J2217" s="221" t="s">
        <v>3024</v>
      </c>
      <c r="K2217" s="224" t="s">
        <v>3089</v>
      </c>
      <c r="L2217" s="225" t="str">
        <f>VLOOKUP(Logfile_S[[#This Row],[Material Name]],Sheet2!B:C,2,0)</f>
        <v>GCI1003</v>
      </c>
      <c r="M2217" s="225" t="str">
        <f>_xlfn.XLOOKUP(Logfile_S[[#This Row],[Material Name]],Sum_WH!E:E,Sum_WH!F:F,"",0)</f>
        <v>Pcs</v>
      </c>
      <c r="N2217" s="221">
        <v>55</v>
      </c>
      <c r="O2217" s="221" t="s">
        <v>2322</v>
      </c>
      <c r="P2217" s="221" t="s">
        <v>3403</v>
      </c>
      <c r="Q2217" s="221"/>
      <c r="R2217" s="221"/>
      <c r="S2217" s="221"/>
      <c r="T2217" s="221" t="s">
        <v>3404</v>
      </c>
      <c r="U2217" s="221">
        <v>0</v>
      </c>
      <c r="V2217" s="221" t="s">
        <v>3405</v>
      </c>
      <c r="W2217" s="221" t="s">
        <v>3406</v>
      </c>
      <c r="X2217" s="221"/>
      <c r="Y2217" s="227"/>
      <c r="Z2217" s="227" t="str">
        <f>P2217</f>
        <v>Mainfeeder Singosari Segment 3</v>
      </c>
      <c r="AA2217" s="276" t="e">
        <f>VLOOKUP(Logfile_S[[#This Row],[DO number]],DO_DB!G:I,3,0)</f>
        <v>#N/A</v>
      </c>
      <c r="AB2217" s="331" t="e">
        <f>EXACT(Logfile_S[[#This Row],[date pick]],Logfile_S[[#This Row],[Date]])</f>
        <v>#N/A</v>
      </c>
      <c r="AC22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18" spans="1:29" ht="14.5">
      <c r="A2218" s="220" t="str">
        <f>TEXT(ROW(A2218)-ROW($A$4),"000")</f>
        <v>2214</v>
      </c>
      <c r="B2218" s="221"/>
      <c r="C2218" s="221" t="s">
        <v>49</v>
      </c>
      <c r="D2218" s="221" t="s">
        <v>4250</v>
      </c>
      <c r="E2218" s="221" t="s">
        <v>3295</v>
      </c>
      <c r="F2218" s="221" t="s">
        <v>3299</v>
      </c>
      <c r="G2218" s="222">
        <v>45583</v>
      </c>
      <c r="H2218" s="223">
        <v>0.38194444444444442</v>
      </c>
      <c r="I2218" s="221" t="s">
        <v>4916</v>
      </c>
      <c r="J2218" s="221" t="s">
        <v>3024</v>
      </c>
      <c r="K2218" s="224" t="s">
        <v>3090</v>
      </c>
      <c r="L2218" s="225" t="str">
        <f>VLOOKUP(Logfile_S[[#This Row],[Material Name]],Sheet2!B:C,2,0)</f>
        <v>GCI1004</v>
      </c>
      <c r="M2218" s="225" t="str">
        <f>_xlfn.XLOOKUP(Logfile_S[[#This Row],[Material Name]],Sum_WH!E:E,Sum_WH!F:F,"",0)</f>
        <v>Pcs</v>
      </c>
      <c r="N2218" s="221">
        <v>50</v>
      </c>
      <c r="O2218" s="221" t="s">
        <v>2322</v>
      </c>
      <c r="P2218" s="221" t="s">
        <v>3403</v>
      </c>
      <c r="Q2218" s="221"/>
      <c r="R2218" s="221"/>
      <c r="S2218" s="221"/>
      <c r="T2218" s="221" t="s">
        <v>3404</v>
      </c>
      <c r="U2218" s="221">
        <v>0</v>
      </c>
      <c r="V2218" s="221" t="s">
        <v>3405</v>
      </c>
      <c r="W2218" s="221" t="s">
        <v>3406</v>
      </c>
      <c r="X2218" s="221"/>
      <c r="Y2218" s="227"/>
      <c r="Z2218" s="227" t="str">
        <f>P2218</f>
        <v>Mainfeeder Singosari Segment 3</v>
      </c>
      <c r="AA2218" s="276" t="e">
        <f>VLOOKUP(Logfile_S[[#This Row],[DO number]],DO_DB!G:I,3,0)</f>
        <v>#N/A</v>
      </c>
      <c r="AB2218" s="331" t="e">
        <f>EXACT(Logfile_S[[#This Row],[date pick]],Logfile_S[[#This Row],[Date]])</f>
        <v>#N/A</v>
      </c>
      <c r="AC22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19" spans="1:29" ht="14.5">
      <c r="A2219" s="220" t="str">
        <f>TEXT(ROW(A2219)-ROW($A$4),"000")</f>
        <v>2215</v>
      </c>
      <c r="B2219" s="221"/>
      <c r="C2219" s="221" t="s">
        <v>48</v>
      </c>
      <c r="D2219" s="221" t="s">
        <v>4252</v>
      </c>
      <c r="E2219" s="221" t="s">
        <v>3295</v>
      </c>
      <c r="F2219" s="221" t="s">
        <v>3299</v>
      </c>
      <c r="G2219" s="222">
        <v>45588</v>
      </c>
      <c r="H2219" s="223">
        <v>15.291666666666666</v>
      </c>
      <c r="I2219" s="221" t="s">
        <v>37</v>
      </c>
      <c r="J2219" s="221" t="s">
        <v>3023</v>
      </c>
      <c r="K2219" s="224" t="s">
        <v>3077</v>
      </c>
      <c r="L2219" s="225" t="str">
        <f>VLOOKUP(Logfile_S[[#This Row],[Material Name]],Sheet2!B:C,2,0)</f>
        <v>ZTE2004</v>
      </c>
      <c r="M2219" s="225" t="str">
        <f>_xlfn.XLOOKUP(Logfile_S[[#This Row],[Material Name]],Sum_WH!E:E,Sum_WH!F:F,"",0)</f>
        <v>Meter</v>
      </c>
      <c r="N2219" s="221">
        <v>3000</v>
      </c>
      <c r="O2219" s="221" t="s">
        <v>2322</v>
      </c>
      <c r="P2219" s="221" t="s">
        <v>3403</v>
      </c>
      <c r="Q2219" s="221" t="s">
        <v>2324</v>
      </c>
      <c r="R2219" s="221" t="s">
        <v>2325</v>
      </c>
      <c r="S2219" s="221"/>
      <c r="T2219" s="221"/>
      <c r="U2219" s="221"/>
      <c r="V2219" s="221"/>
      <c r="W2219" s="221"/>
      <c r="X2219" s="221"/>
      <c r="Y2219" s="236" t="s">
        <v>4982</v>
      </c>
      <c r="Z2219" s="227" t="str">
        <f>P2219</f>
        <v>Mainfeeder Singosari Segment 3</v>
      </c>
      <c r="AA2219" s="276">
        <f>VLOOKUP(Logfile_S[[#This Row],[DO number]],DO_DB!G:I,3,0)</f>
        <v>45588</v>
      </c>
      <c r="AB2219" s="331" t="b">
        <f>EXACT(Logfile_S[[#This Row],[date pick]],Logfile_S[[#This Row],[Date]])</f>
        <v>1</v>
      </c>
      <c r="AC22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144C-20241023-01</v>
      </c>
    </row>
    <row r="2220" spans="1:29" ht="14.5">
      <c r="A2220" s="237" t="str">
        <f>TEXT(ROW(A2220)-ROW($A$4),"000")</f>
        <v>2216</v>
      </c>
      <c r="B2220" s="221"/>
      <c r="C2220" s="221" t="s">
        <v>48</v>
      </c>
      <c r="D2220" s="221" t="s">
        <v>4252</v>
      </c>
      <c r="E2220" s="221" t="s">
        <v>3295</v>
      </c>
      <c r="F2220" s="221" t="s">
        <v>3299</v>
      </c>
      <c r="G2220" s="222">
        <v>45588</v>
      </c>
      <c r="H2220" s="223">
        <v>15.291666666666666</v>
      </c>
      <c r="I2220" s="221" t="s">
        <v>37</v>
      </c>
      <c r="J2220" s="221" t="s">
        <v>3023</v>
      </c>
      <c r="K2220" s="224" t="s">
        <v>3077</v>
      </c>
      <c r="L2220" s="225" t="str">
        <f>VLOOKUP(Logfile_S[[#This Row],[Material Name]],Sheet2!B:C,2,0)</f>
        <v>ZTE2004</v>
      </c>
      <c r="M2220" s="225" t="str">
        <f>_xlfn.XLOOKUP(Logfile_S[[#This Row],[Material Name]],Sum_WH!E:E,Sum_WH!F:F,"",0)</f>
        <v>Meter</v>
      </c>
      <c r="N2220" s="221">
        <v>3000</v>
      </c>
      <c r="O2220" s="221" t="s">
        <v>2322</v>
      </c>
      <c r="P2220" s="221" t="s">
        <v>3403</v>
      </c>
      <c r="Q2220" s="221" t="s">
        <v>2324</v>
      </c>
      <c r="R2220" s="221" t="s">
        <v>2325</v>
      </c>
      <c r="S2220" s="227"/>
      <c r="T2220" s="227"/>
      <c r="U2220" s="227"/>
      <c r="V2220" s="227"/>
      <c r="W2220" s="227"/>
      <c r="X2220" s="227"/>
      <c r="Y2220" s="243" t="s">
        <v>4983</v>
      </c>
      <c r="Z2220" s="227" t="str">
        <f>P2220</f>
        <v>Mainfeeder Singosari Segment 3</v>
      </c>
      <c r="AA2220" s="276">
        <f>VLOOKUP(Logfile_S[[#This Row],[DO number]],DO_DB!G:I,3,0)</f>
        <v>45588</v>
      </c>
      <c r="AB2220" s="331" t="b">
        <f>EXACT(Logfile_S[[#This Row],[date pick]],Logfile_S[[#This Row],[Date]])</f>
        <v>1</v>
      </c>
      <c r="AC22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144C-20241023-02</v>
      </c>
    </row>
    <row r="2221" spans="1:29" ht="14.5">
      <c r="A2221" s="220" t="str">
        <f>TEXT(ROW(A2221)-ROW($A$4),"000")</f>
        <v>2217</v>
      </c>
      <c r="B2221" s="221"/>
      <c r="C2221" s="221" t="s">
        <v>49</v>
      </c>
      <c r="D2221" s="221" t="s">
        <v>4257</v>
      </c>
      <c r="E2221" s="221" t="s">
        <v>3295</v>
      </c>
      <c r="F2221" s="221" t="s">
        <v>3299</v>
      </c>
      <c r="G2221" s="222">
        <v>45593</v>
      </c>
      <c r="H2221" s="223">
        <v>0.38194444444444442</v>
      </c>
      <c r="I2221" s="221" t="s">
        <v>4916</v>
      </c>
      <c r="J2221" s="221" t="s">
        <v>3023</v>
      </c>
      <c r="K2221" s="224" t="s">
        <v>3077</v>
      </c>
      <c r="L2221" s="225" t="str">
        <f>VLOOKUP(Logfile_S[[#This Row],[Material Name]],Sheet2!B:C,2,0)</f>
        <v>ZTE2004</v>
      </c>
      <c r="M2221" s="225" t="str">
        <f>_xlfn.XLOOKUP(Logfile_S[[#This Row],[Material Name]],Sum_WH!E:E,Sum_WH!F:F,"",0)</f>
        <v>Meter</v>
      </c>
      <c r="N2221" s="221">
        <v>3000</v>
      </c>
      <c r="O2221" s="221" t="s">
        <v>2322</v>
      </c>
      <c r="P2221" s="221" t="s">
        <v>3403</v>
      </c>
      <c r="Q2221" s="221"/>
      <c r="R2221" s="221"/>
      <c r="S2221" s="221"/>
      <c r="T2221" s="221" t="s">
        <v>3404</v>
      </c>
      <c r="U2221" s="221" t="s">
        <v>5107</v>
      </c>
      <c r="V2221" s="221" t="s">
        <v>3405</v>
      </c>
      <c r="W2221" s="221" t="s">
        <v>3406</v>
      </c>
      <c r="X2221" s="221"/>
      <c r="Y2221" s="236" t="s">
        <v>4983</v>
      </c>
      <c r="Z2221" s="227" t="str">
        <f>P2221</f>
        <v>Mainfeeder Singosari Segment 3</v>
      </c>
      <c r="AA2221" s="276" t="e">
        <f>VLOOKUP(Logfile_S[[#This Row],[DO number]],DO_DB!G:I,3,0)</f>
        <v>#N/A</v>
      </c>
      <c r="AB2221" s="331" t="e">
        <f>EXACT(Logfile_S[[#This Row],[date pick]],Logfile_S[[#This Row],[Date]])</f>
        <v>#N/A</v>
      </c>
      <c r="AC22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144C-20241023-02</v>
      </c>
    </row>
    <row r="2222" spans="1:29" ht="14.5">
      <c r="A2222" s="220" t="str">
        <f>TEXT(ROW(A2222)-ROW($A$4),"000")</f>
        <v>2218</v>
      </c>
      <c r="B2222" s="221"/>
      <c r="C2222" s="221" t="s">
        <v>49</v>
      </c>
      <c r="D2222" s="221" t="s">
        <v>4259</v>
      </c>
      <c r="E2222" s="221" t="s">
        <v>3295</v>
      </c>
      <c r="F2222" s="221" t="s">
        <v>3299</v>
      </c>
      <c r="G2222" s="222">
        <v>45595</v>
      </c>
      <c r="H2222" s="223">
        <v>0.97569444444444442</v>
      </c>
      <c r="I2222" s="221" t="s">
        <v>4916</v>
      </c>
      <c r="J2222" s="221" t="s">
        <v>3024</v>
      </c>
      <c r="K2222" s="224" t="s">
        <v>3087</v>
      </c>
      <c r="L2222" s="225" t="str">
        <f>VLOOKUP(Logfile_S[[#This Row],[Material Name]],Sheet2!B:C,2,0)</f>
        <v>GCI1001</v>
      </c>
      <c r="M2222" s="225" t="str">
        <f>_xlfn.XLOOKUP(Logfile_S[[#This Row],[Material Name]],Sum_WH!E:E,Sum_WH!F:F,"",0)</f>
        <v>Pcs</v>
      </c>
      <c r="N2222" s="221">
        <v>24</v>
      </c>
      <c r="O2222" s="221" t="s">
        <v>2322</v>
      </c>
      <c r="P2222" s="221" t="s">
        <v>3403</v>
      </c>
      <c r="Q2222" s="221"/>
      <c r="R2222" s="221"/>
      <c r="S2222" s="221"/>
      <c r="T2222" s="221" t="s">
        <v>3404</v>
      </c>
      <c r="U2222" s="221">
        <v>0</v>
      </c>
      <c r="V2222" s="221" t="s">
        <v>3405</v>
      </c>
      <c r="W2222" s="221" t="s">
        <v>3406</v>
      </c>
      <c r="X2222" s="221"/>
      <c r="Y2222" s="227"/>
      <c r="Z2222" s="227" t="str">
        <f>P2222</f>
        <v>Mainfeeder Singosari Segment 3</v>
      </c>
      <c r="AA2222" s="276" t="e">
        <f>VLOOKUP(Logfile_S[[#This Row],[DO number]],DO_DB!G:I,3,0)</f>
        <v>#N/A</v>
      </c>
      <c r="AB2222" s="331" t="e">
        <f>EXACT(Logfile_S[[#This Row],[date pick]],Logfile_S[[#This Row],[Date]])</f>
        <v>#N/A</v>
      </c>
      <c r="AC22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23" spans="1:29" ht="14.5">
      <c r="A2223" s="220" t="str">
        <f>TEXT(ROW(A2223)-ROW($A$4),"000")</f>
        <v>2219</v>
      </c>
      <c r="B2223" s="221"/>
      <c r="C2223" s="221" t="s">
        <v>49</v>
      </c>
      <c r="D2223" s="221" t="s">
        <v>4261</v>
      </c>
      <c r="E2223" s="221" t="s">
        <v>3295</v>
      </c>
      <c r="F2223" s="221" t="s">
        <v>3299</v>
      </c>
      <c r="G2223" s="222">
        <v>45595</v>
      </c>
      <c r="H2223" s="223">
        <v>0.97569444444444442</v>
      </c>
      <c r="I2223" s="221" t="s">
        <v>4916</v>
      </c>
      <c r="J2223" s="221" t="s">
        <v>3024</v>
      </c>
      <c r="K2223" s="224" t="s">
        <v>3108</v>
      </c>
      <c r="L2223" s="225" t="str">
        <f>VLOOKUP(Logfile_S[[#This Row],[Material Name]],Sheet2!B:C,2,0)</f>
        <v>GCI1020</v>
      </c>
      <c r="M2223" s="225" t="str">
        <f>_xlfn.XLOOKUP(Logfile_S[[#This Row],[Material Name]],Sum_WH!E:E,Sum_WH!F:F,"",0)</f>
        <v>Pcs</v>
      </c>
      <c r="N2223" s="221">
        <v>20</v>
      </c>
      <c r="O2223" s="221" t="s">
        <v>2322</v>
      </c>
      <c r="P2223" s="221" t="s">
        <v>3403</v>
      </c>
      <c r="Q2223" s="221"/>
      <c r="R2223" s="221"/>
      <c r="S2223" s="221"/>
      <c r="T2223" s="221" t="s">
        <v>3404</v>
      </c>
      <c r="U2223" s="221">
        <v>0</v>
      </c>
      <c r="V2223" s="221" t="s">
        <v>3405</v>
      </c>
      <c r="W2223" s="221" t="s">
        <v>3406</v>
      </c>
      <c r="X2223" s="221"/>
      <c r="Y2223" s="227"/>
      <c r="Z2223" s="227" t="str">
        <f>P2223</f>
        <v>Mainfeeder Singosari Segment 3</v>
      </c>
      <c r="AA2223" s="276" t="e">
        <f>VLOOKUP(Logfile_S[[#This Row],[DO number]],DO_DB!G:I,3,0)</f>
        <v>#N/A</v>
      </c>
      <c r="AB2223" s="331" t="e">
        <f>EXACT(Logfile_S[[#This Row],[date pick]],Logfile_S[[#This Row],[Date]])</f>
        <v>#N/A</v>
      </c>
      <c r="AC22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24" spans="1:29" ht="14.5">
      <c r="A2224" s="220" t="str">
        <f>TEXT(ROW(A2224)-ROW($A$4),"000")</f>
        <v>2220</v>
      </c>
      <c r="B2224" s="221"/>
      <c r="C2224" s="221" t="s">
        <v>49</v>
      </c>
      <c r="D2224" s="221" t="s">
        <v>4261</v>
      </c>
      <c r="E2224" s="221" t="s">
        <v>3295</v>
      </c>
      <c r="F2224" s="221" t="s">
        <v>3299</v>
      </c>
      <c r="G2224" s="222">
        <v>45595</v>
      </c>
      <c r="H2224" s="223">
        <v>0.97569444444444442</v>
      </c>
      <c r="I2224" s="221" t="s">
        <v>4916</v>
      </c>
      <c r="J2224" s="221" t="s">
        <v>3024</v>
      </c>
      <c r="K2224" s="224" t="s">
        <v>3088</v>
      </c>
      <c r="L2224" s="225" t="str">
        <f>VLOOKUP(Logfile_S[[#This Row],[Material Name]],Sheet2!B:C,2,0)</f>
        <v>GCI1002</v>
      </c>
      <c r="M2224" s="225" t="str">
        <f>_xlfn.XLOOKUP(Logfile_S[[#This Row],[Material Name]],Sum_WH!E:E,Sum_WH!F:F,"",0)</f>
        <v>Pcs</v>
      </c>
      <c r="N2224" s="221">
        <v>1</v>
      </c>
      <c r="O2224" s="221" t="s">
        <v>2322</v>
      </c>
      <c r="P2224" s="221" t="s">
        <v>3403</v>
      </c>
      <c r="Q2224" s="221"/>
      <c r="R2224" s="221"/>
      <c r="S2224" s="221"/>
      <c r="T2224" s="221" t="s">
        <v>3404</v>
      </c>
      <c r="U2224" s="221">
        <v>0</v>
      </c>
      <c r="V2224" s="221" t="s">
        <v>3405</v>
      </c>
      <c r="W2224" s="221" t="s">
        <v>3406</v>
      </c>
      <c r="X2224" s="221"/>
      <c r="Y2224" s="227"/>
      <c r="Z2224" s="227" t="str">
        <f>P2224</f>
        <v>Mainfeeder Singosari Segment 3</v>
      </c>
      <c r="AA2224" s="276" t="e">
        <f>VLOOKUP(Logfile_S[[#This Row],[DO number]],DO_DB!G:I,3,0)</f>
        <v>#N/A</v>
      </c>
      <c r="AB2224" s="331" t="e">
        <f>EXACT(Logfile_S[[#This Row],[date pick]],Logfile_S[[#This Row],[Date]])</f>
        <v>#N/A</v>
      </c>
      <c r="AC22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25" spans="1:29" ht="14.5">
      <c r="A2225" s="220" t="str">
        <f>TEXT(ROW(A2225)-ROW($A$4),"000")</f>
        <v>2221</v>
      </c>
      <c r="B2225" s="221"/>
      <c r="C2225" s="221" t="s">
        <v>49</v>
      </c>
      <c r="D2225" s="221" t="s">
        <v>4263</v>
      </c>
      <c r="E2225" s="221" t="s">
        <v>3295</v>
      </c>
      <c r="F2225" s="221" t="s">
        <v>3299</v>
      </c>
      <c r="G2225" s="222">
        <v>45595</v>
      </c>
      <c r="H2225" s="223">
        <v>0.97569444444444442</v>
      </c>
      <c r="I2225" s="221" t="s">
        <v>4916</v>
      </c>
      <c r="J2225" s="221" t="s">
        <v>3024</v>
      </c>
      <c r="K2225" s="224" t="s">
        <v>3094</v>
      </c>
      <c r="L2225" s="225" t="str">
        <f>VLOOKUP(Logfile_S[[#This Row],[Material Name]],Sheet2!B:C,2,0)</f>
        <v>GCI1008</v>
      </c>
      <c r="M2225" s="225" t="str">
        <f>_xlfn.XLOOKUP(Logfile_S[[#This Row],[Material Name]],Sum_WH!E:E,Sum_WH!F:F,"",0)</f>
        <v>Pcs</v>
      </c>
      <c r="N2225" s="221">
        <v>20</v>
      </c>
      <c r="O2225" s="221" t="s">
        <v>2322</v>
      </c>
      <c r="P2225" s="221" t="s">
        <v>3403</v>
      </c>
      <c r="Q2225" s="221"/>
      <c r="R2225" s="221"/>
      <c r="S2225" s="221"/>
      <c r="T2225" s="221" t="s">
        <v>3404</v>
      </c>
      <c r="U2225" s="221">
        <v>0</v>
      </c>
      <c r="V2225" s="221" t="s">
        <v>3405</v>
      </c>
      <c r="W2225" s="221" t="s">
        <v>3406</v>
      </c>
      <c r="X2225" s="221"/>
      <c r="Y2225" s="227"/>
      <c r="Z2225" s="227" t="str">
        <f>P2225</f>
        <v>Mainfeeder Singosari Segment 3</v>
      </c>
      <c r="AA2225" s="276" t="e">
        <f>VLOOKUP(Logfile_S[[#This Row],[DO number]],DO_DB!G:I,3,0)</f>
        <v>#N/A</v>
      </c>
      <c r="AB2225" s="331" t="e">
        <f>EXACT(Logfile_S[[#This Row],[date pick]],Logfile_S[[#This Row],[Date]])</f>
        <v>#N/A</v>
      </c>
      <c r="AC22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26" spans="1:29" ht="14.5">
      <c r="A2226" s="220" t="str">
        <f>TEXT(ROW(A2226)-ROW($A$4),"000")</f>
        <v>2222</v>
      </c>
      <c r="B2226" s="221"/>
      <c r="C2226" s="221" t="s">
        <v>49</v>
      </c>
      <c r="D2226" s="221" t="s">
        <v>4263</v>
      </c>
      <c r="E2226" s="221" t="s">
        <v>3295</v>
      </c>
      <c r="F2226" s="221" t="s">
        <v>3299</v>
      </c>
      <c r="G2226" s="222">
        <v>45595</v>
      </c>
      <c r="H2226" s="223">
        <v>0.97569444444444442</v>
      </c>
      <c r="I2226" s="221" t="s">
        <v>4916</v>
      </c>
      <c r="J2226" s="221" t="s">
        <v>3024</v>
      </c>
      <c r="K2226" s="224" t="s">
        <v>3089</v>
      </c>
      <c r="L2226" s="225" t="str">
        <f>VLOOKUP(Logfile_S[[#This Row],[Material Name]],Sheet2!B:C,2,0)</f>
        <v>GCI1003</v>
      </c>
      <c r="M2226" s="225" t="str">
        <f>_xlfn.XLOOKUP(Logfile_S[[#This Row],[Material Name]],Sum_WH!E:E,Sum_WH!F:F,"",0)</f>
        <v>Pcs</v>
      </c>
      <c r="N2226" s="221">
        <v>71</v>
      </c>
      <c r="O2226" s="221" t="s">
        <v>2322</v>
      </c>
      <c r="P2226" s="221" t="s">
        <v>3403</v>
      </c>
      <c r="Q2226" s="221"/>
      <c r="R2226" s="221"/>
      <c r="S2226" s="221"/>
      <c r="T2226" s="221" t="s">
        <v>3404</v>
      </c>
      <c r="U2226" s="221">
        <v>0</v>
      </c>
      <c r="V2226" s="221" t="s">
        <v>3405</v>
      </c>
      <c r="W2226" s="221" t="s">
        <v>3406</v>
      </c>
      <c r="X2226" s="221"/>
      <c r="Y2226" s="227"/>
      <c r="Z2226" s="227" t="str">
        <f>P2226</f>
        <v>Mainfeeder Singosari Segment 3</v>
      </c>
      <c r="AA2226" s="276" t="e">
        <f>VLOOKUP(Logfile_S[[#This Row],[DO number]],DO_DB!G:I,3,0)</f>
        <v>#N/A</v>
      </c>
      <c r="AB2226" s="331" t="e">
        <f>EXACT(Logfile_S[[#This Row],[date pick]],Logfile_S[[#This Row],[Date]])</f>
        <v>#N/A</v>
      </c>
      <c r="AC22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27" spans="1:29" ht="14.5">
      <c r="A2227" s="220" t="str">
        <f>TEXT(ROW(A2227)-ROW($A$4),"000")</f>
        <v>2223</v>
      </c>
      <c r="B2227" s="221"/>
      <c r="C2227" s="221" t="s">
        <v>49</v>
      </c>
      <c r="D2227" s="221" t="s">
        <v>4265</v>
      </c>
      <c r="E2227" s="221" t="s">
        <v>3295</v>
      </c>
      <c r="F2227" s="221" t="s">
        <v>3299</v>
      </c>
      <c r="G2227" s="222">
        <v>45595</v>
      </c>
      <c r="H2227" s="223">
        <v>0.97569444444444442</v>
      </c>
      <c r="I2227" s="221" t="s">
        <v>4916</v>
      </c>
      <c r="J2227" s="221" t="s">
        <v>3024</v>
      </c>
      <c r="K2227" s="224" t="s">
        <v>3090</v>
      </c>
      <c r="L2227" s="225" t="str">
        <f>VLOOKUP(Logfile_S[[#This Row],[Material Name]],Sheet2!B:C,2,0)</f>
        <v>GCI1004</v>
      </c>
      <c r="M2227" s="225" t="str">
        <f>_xlfn.XLOOKUP(Logfile_S[[#This Row],[Material Name]],Sum_WH!E:E,Sum_WH!F:F,"",0)</f>
        <v>Pcs</v>
      </c>
      <c r="N2227" s="221">
        <v>66</v>
      </c>
      <c r="O2227" s="221" t="s">
        <v>2322</v>
      </c>
      <c r="P2227" s="221" t="s">
        <v>3403</v>
      </c>
      <c r="Q2227" s="221"/>
      <c r="R2227" s="221"/>
      <c r="S2227" s="221"/>
      <c r="T2227" s="221" t="s">
        <v>3404</v>
      </c>
      <c r="U2227" s="221">
        <v>0</v>
      </c>
      <c r="V2227" s="221" t="s">
        <v>3405</v>
      </c>
      <c r="W2227" s="221" t="s">
        <v>3406</v>
      </c>
      <c r="X2227" s="221"/>
      <c r="Y2227" s="227"/>
      <c r="Z2227" s="227" t="str">
        <f>P2227</f>
        <v>Mainfeeder Singosari Segment 3</v>
      </c>
      <c r="AA2227" s="276" t="e">
        <f>VLOOKUP(Logfile_S[[#This Row],[DO number]],DO_DB!G:I,3,0)</f>
        <v>#N/A</v>
      </c>
      <c r="AB2227" s="331" t="e">
        <f>EXACT(Logfile_S[[#This Row],[date pick]],Logfile_S[[#This Row],[Date]])</f>
        <v>#N/A</v>
      </c>
      <c r="AC22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28" spans="1:29" ht="14.5">
      <c r="A2228" s="220" t="str">
        <f>TEXT(ROW(A2228)-ROW($A$4),"000")</f>
        <v>2224</v>
      </c>
      <c r="B2228" s="221"/>
      <c r="C2228" s="221" t="s">
        <v>49</v>
      </c>
      <c r="D2228" s="221" t="s">
        <v>4267</v>
      </c>
      <c r="E2228" s="221" t="s">
        <v>3295</v>
      </c>
      <c r="F2228" s="221" t="s">
        <v>3299</v>
      </c>
      <c r="G2228" s="222">
        <v>45596</v>
      </c>
      <c r="H2228" s="223">
        <v>0.79791666666666672</v>
      </c>
      <c r="I2228" s="221" t="s">
        <v>4916</v>
      </c>
      <c r="J2228" s="221" t="s">
        <v>3023</v>
      </c>
      <c r="K2228" s="224" t="s">
        <v>3069</v>
      </c>
      <c r="L2228" s="225" t="str">
        <f>VLOOKUP(Logfile_S[[#This Row],[Material Name]],Sheet2!B:C,2,0)</f>
        <v>ZTE1001</v>
      </c>
      <c r="M2228" s="225" t="str">
        <f>_xlfn.XLOOKUP(Logfile_S[[#This Row],[Material Name]],Sum_WH!E:E,Sum_WH!F:F,"",0)</f>
        <v>Pcs</v>
      </c>
      <c r="N2228" s="221">
        <v>2</v>
      </c>
      <c r="O2228" s="221" t="s">
        <v>2322</v>
      </c>
      <c r="P2228" s="221" t="s">
        <v>3403</v>
      </c>
      <c r="Q2228" s="221"/>
      <c r="R2228" s="221"/>
      <c r="S2228" s="221"/>
      <c r="T2228" s="221" t="s">
        <v>3404</v>
      </c>
      <c r="U2228" s="221">
        <v>0</v>
      </c>
      <c r="V2228" s="221" t="s">
        <v>3405</v>
      </c>
      <c r="W2228" s="221" t="s">
        <v>3406</v>
      </c>
      <c r="X2228" s="221"/>
      <c r="Y2228" s="227"/>
      <c r="Z2228" s="227" t="str">
        <f>P2228</f>
        <v>Mainfeeder Singosari Segment 3</v>
      </c>
      <c r="AA2228" s="276" t="e">
        <f>VLOOKUP(Logfile_S[[#This Row],[DO number]],DO_DB!G:I,3,0)</f>
        <v>#N/A</v>
      </c>
      <c r="AB2228" s="331" t="e">
        <f>EXACT(Logfile_S[[#This Row],[date pick]],Logfile_S[[#This Row],[Date]])</f>
        <v>#N/A</v>
      </c>
      <c r="AC22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29" spans="1:29" ht="14.5">
      <c r="A2229" s="220" t="str">
        <f>TEXT(ROW(A2229)-ROW($A$4),"000")</f>
        <v>2225</v>
      </c>
      <c r="B2229" s="221"/>
      <c r="C2229" s="221" t="s">
        <v>49</v>
      </c>
      <c r="D2229" s="221" t="s">
        <v>4269</v>
      </c>
      <c r="E2229" s="221" t="s">
        <v>3295</v>
      </c>
      <c r="F2229" s="221" t="s">
        <v>3299</v>
      </c>
      <c r="G2229" s="222">
        <v>45597</v>
      </c>
      <c r="H2229" s="223">
        <v>0.3923611111111111</v>
      </c>
      <c r="I2229" s="221" t="s">
        <v>4916</v>
      </c>
      <c r="J2229" s="221" t="s">
        <v>3023</v>
      </c>
      <c r="K2229" s="224" t="s">
        <v>3072</v>
      </c>
      <c r="L2229" s="225" t="str">
        <f>VLOOKUP(Logfile_S[[#This Row],[Material Name]],Sheet2!B:C,2,0)</f>
        <v>ZTE1004</v>
      </c>
      <c r="M2229" s="225" t="str">
        <f>_xlfn.XLOOKUP(Logfile_S[[#This Row],[Material Name]],Sum_WH!E:E,Sum_WH!F:F,"",0)</f>
        <v>Pcs</v>
      </c>
      <c r="N2229" s="221">
        <v>1</v>
      </c>
      <c r="O2229" s="221" t="s">
        <v>2322</v>
      </c>
      <c r="P2229" s="221" t="s">
        <v>3403</v>
      </c>
      <c r="Q2229" s="221"/>
      <c r="R2229" s="221"/>
      <c r="S2229" s="221"/>
      <c r="T2229" s="221" t="s">
        <v>3356</v>
      </c>
      <c r="U2229" s="221" t="s">
        <v>3228</v>
      </c>
      <c r="V2229" s="221" t="s">
        <v>3357</v>
      </c>
      <c r="W2229" s="221" t="s">
        <v>3358</v>
      </c>
      <c r="X2229" s="221"/>
      <c r="Y2229" s="227"/>
      <c r="Z2229" s="227" t="str">
        <f>P2229</f>
        <v>Mainfeeder Singosari Segment 3</v>
      </c>
      <c r="AA2229" s="276" t="e">
        <f>VLOOKUP(Logfile_S[[#This Row],[DO number]],DO_DB!G:I,3,0)</f>
        <v>#N/A</v>
      </c>
      <c r="AB2229" s="331" t="e">
        <f>EXACT(Logfile_S[[#This Row],[date pick]],Logfile_S[[#This Row],[Date]])</f>
        <v>#N/A</v>
      </c>
      <c r="AC22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30" spans="1:29" ht="14.5">
      <c r="A2230" s="220" t="str">
        <f>TEXT(ROW(A2230)-ROW($A$4),"000")</f>
        <v>2226</v>
      </c>
      <c r="B2230" s="221"/>
      <c r="C2230" s="221" t="s">
        <v>49</v>
      </c>
      <c r="D2230" s="221" t="s">
        <v>4352</v>
      </c>
      <c r="E2230" s="221" t="s">
        <v>3295</v>
      </c>
      <c r="F2230" s="221" t="s">
        <v>3299</v>
      </c>
      <c r="G2230" s="222">
        <v>45737</v>
      </c>
      <c r="H2230" s="223">
        <v>0.78472222222222221</v>
      </c>
      <c r="I2230" s="221" t="s">
        <v>4916</v>
      </c>
      <c r="J2230" s="221" t="s">
        <v>3023</v>
      </c>
      <c r="K2230" s="224" t="s">
        <v>3077</v>
      </c>
      <c r="L2230" s="225" t="str">
        <f>VLOOKUP(Logfile_S[[#This Row],[Material Name]],Sheet2!B:C,2,0)</f>
        <v>ZTE2004</v>
      </c>
      <c r="M2230" s="225" t="str">
        <f>_xlfn.XLOOKUP(Logfile_S[[#This Row],[Material Name]],Sum_WH!E:E,Sum_WH!F:F,"",0)</f>
        <v>Meter</v>
      </c>
      <c r="N2230" s="221">
        <v>3000</v>
      </c>
      <c r="O2230" s="221" t="s">
        <v>2322</v>
      </c>
      <c r="P2230" s="221" t="s">
        <v>3403</v>
      </c>
      <c r="Q2230" s="221"/>
      <c r="R2230" s="221"/>
      <c r="S2230" s="221"/>
      <c r="T2230" s="221" t="s">
        <v>3404</v>
      </c>
      <c r="U2230" s="221" t="s">
        <v>5107</v>
      </c>
      <c r="V2230" s="221" t="s">
        <v>3405</v>
      </c>
      <c r="W2230" s="221" t="s">
        <v>3406</v>
      </c>
      <c r="X2230" s="221" t="s">
        <v>3482</v>
      </c>
      <c r="Y2230" s="236" t="s">
        <v>5336</v>
      </c>
      <c r="Z2230" s="227" t="str">
        <f>P2230</f>
        <v>Mainfeeder Singosari Segment 3</v>
      </c>
      <c r="AA2230" s="276" t="e">
        <f>VLOOKUP(Logfile_S[[#This Row],[DO number]],DO_DB!G:I,3,0)</f>
        <v>#N/A</v>
      </c>
      <c r="AB2230" s="331" t="e">
        <f>EXACT(Logfile_S[[#This Row],[date pick]],Logfile_S[[#This Row],[Date]])</f>
        <v>#N/A</v>
      </c>
      <c r="AC22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144C-2024116-01</v>
      </c>
    </row>
    <row r="2231" spans="1:29" ht="14.5">
      <c r="A2231" s="220" t="str">
        <f>TEXT(ROW(A2231)-ROW($A$4),"000")</f>
        <v>2227</v>
      </c>
      <c r="B2231" s="221"/>
      <c r="C2231" s="221" t="s">
        <v>49</v>
      </c>
      <c r="D2231" s="221" t="s">
        <v>4352</v>
      </c>
      <c r="E2231" s="221" t="s">
        <v>3295</v>
      </c>
      <c r="F2231" s="221" t="s">
        <v>3299</v>
      </c>
      <c r="G2231" s="222">
        <v>45737</v>
      </c>
      <c r="H2231" s="223">
        <v>0.78472222222222221</v>
      </c>
      <c r="I2231" s="221" t="s">
        <v>4916</v>
      </c>
      <c r="J2231" s="221" t="s">
        <v>3024</v>
      </c>
      <c r="K2231" s="224" t="s">
        <v>3108</v>
      </c>
      <c r="L2231" s="225" t="str">
        <f>VLOOKUP(Logfile_S[[#This Row],[Material Name]],Sheet2!B:C,2,0)</f>
        <v>GCI1020</v>
      </c>
      <c r="M2231" s="225" t="str">
        <f>_xlfn.XLOOKUP(Logfile_S[[#This Row],[Material Name]],Sum_WH!E:E,Sum_WH!F:F,"",0)</f>
        <v>Pcs</v>
      </c>
      <c r="N2231" s="221">
        <v>20</v>
      </c>
      <c r="O2231" s="221" t="s">
        <v>2322</v>
      </c>
      <c r="P2231" s="221" t="s">
        <v>3403</v>
      </c>
      <c r="Q2231" s="221"/>
      <c r="R2231" s="221"/>
      <c r="S2231" s="221"/>
      <c r="T2231" s="221" t="s">
        <v>3404</v>
      </c>
      <c r="U2231" s="221">
        <v>0</v>
      </c>
      <c r="V2231" s="221" t="s">
        <v>3405</v>
      </c>
      <c r="W2231" s="221" t="s">
        <v>3406</v>
      </c>
      <c r="X2231" s="221"/>
      <c r="Y2231" s="227"/>
      <c r="Z2231" s="227" t="str">
        <f>P2231</f>
        <v>Mainfeeder Singosari Segment 3</v>
      </c>
      <c r="AA2231" s="276" t="e">
        <f>VLOOKUP(Logfile_S[[#This Row],[DO number]],DO_DB!G:I,3,0)</f>
        <v>#N/A</v>
      </c>
      <c r="AB2231" s="331" t="e">
        <f>EXACT(Logfile_S[[#This Row],[date pick]],Logfile_S[[#This Row],[Date]])</f>
        <v>#N/A</v>
      </c>
      <c r="AC22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32" spans="1:29" ht="14.5">
      <c r="A2232" s="220" t="str">
        <f>TEXT(ROW(A2232)-ROW($A$4),"000")</f>
        <v>2228</v>
      </c>
      <c r="B2232" s="221"/>
      <c r="C2232" s="221" t="s">
        <v>49</v>
      </c>
      <c r="D2232" s="221" t="s">
        <v>4353</v>
      </c>
      <c r="E2232" s="221" t="s">
        <v>3295</v>
      </c>
      <c r="F2232" s="221" t="s">
        <v>3299</v>
      </c>
      <c r="G2232" s="222">
        <v>45737</v>
      </c>
      <c r="H2232" s="223">
        <v>0.78472222222222221</v>
      </c>
      <c r="I2232" s="221" t="s">
        <v>4916</v>
      </c>
      <c r="J2232" s="221" t="s">
        <v>3023</v>
      </c>
      <c r="K2232" s="224" t="s">
        <v>3072</v>
      </c>
      <c r="L2232" s="225" t="str">
        <f>VLOOKUP(Logfile_S[[#This Row],[Material Name]],Sheet2!B:C,2,0)</f>
        <v>ZTE1004</v>
      </c>
      <c r="M2232" s="225" t="str">
        <f>_xlfn.XLOOKUP(Logfile_S[[#This Row],[Material Name]],Sum_WH!E:E,Sum_WH!F:F,"",0)</f>
        <v>Pcs</v>
      </c>
      <c r="N2232" s="221">
        <v>1</v>
      </c>
      <c r="O2232" s="221" t="s">
        <v>2322</v>
      </c>
      <c r="P2232" s="221" t="s">
        <v>3403</v>
      </c>
      <c r="Q2232" s="221"/>
      <c r="R2232" s="221"/>
      <c r="S2232" s="221"/>
      <c r="T2232" s="221" t="s">
        <v>3561</v>
      </c>
      <c r="U2232" s="221"/>
      <c r="V2232" s="221"/>
      <c r="W2232" s="221"/>
      <c r="X2232" s="221"/>
      <c r="Y2232" s="227"/>
      <c r="Z2232" s="227" t="str">
        <f>P2232</f>
        <v>Mainfeeder Singosari Segment 3</v>
      </c>
      <c r="AA2232" s="276" t="e">
        <f>VLOOKUP(Logfile_S[[#This Row],[DO number]],DO_DB!G:I,3,0)</f>
        <v>#N/A</v>
      </c>
      <c r="AB2232" s="331" t="e">
        <f>EXACT(Logfile_S[[#This Row],[date pick]],Logfile_S[[#This Row],[Date]])</f>
        <v>#N/A</v>
      </c>
      <c r="AC22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33" spans="1:29" ht="14.5">
      <c r="A2233" s="220" t="str">
        <f>TEXT(ROW(A2233)-ROW($A$4),"000")</f>
        <v>2229</v>
      </c>
      <c r="B2233" s="221"/>
      <c r="C2233" s="221" t="s">
        <v>49</v>
      </c>
      <c r="D2233" s="221" t="s">
        <v>4354</v>
      </c>
      <c r="E2233" s="221" t="s">
        <v>3295</v>
      </c>
      <c r="F2233" s="221" t="s">
        <v>3299</v>
      </c>
      <c r="G2233" s="222">
        <v>45737</v>
      </c>
      <c r="H2233" s="223">
        <v>0.78472222222222221</v>
      </c>
      <c r="I2233" s="221" t="s">
        <v>4916</v>
      </c>
      <c r="J2233" s="221" t="s">
        <v>3024</v>
      </c>
      <c r="K2233" s="224" t="s">
        <v>3088</v>
      </c>
      <c r="L2233" s="225" t="str">
        <f>VLOOKUP(Logfile_S[[#This Row],[Material Name]],Sheet2!B:C,2,0)</f>
        <v>GCI1002</v>
      </c>
      <c r="M2233" s="225" t="str">
        <f>_xlfn.XLOOKUP(Logfile_S[[#This Row],[Material Name]],Sum_WH!E:E,Sum_WH!F:F,"",0)</f>
        <v>Pcs</v>
      </c>
      <c r="N2233" s="221">
        <v>1</v>
      </c>
      <c r="O2233" s="221" t="s">
        <v>2322</v>
      </c>
      <c r="P2233" s="221" t="s">
        <v>3403</v>
      </c>
      <c r="Q2233" s="221"/>
      <c r="R2233" s="221"/>
      <c r="S2233" s="221"/>
      <c r="T2233" s="221" t="s">
        <v>3404</v>
      </c>
      <c r="U2233" s="221">
        <v>0</v>
      </c>
      <c r="V2233" s="221" t="s">
        <v>3405</v>
      </c>
      <c r="W2233" s="221" t="s">
        <v>3406</v>
      </c>
      <c r="X2233" s="221"/>
      <c r="Y2233" s="227"/>
      <c r="Z2233" s="227" t="str">
        <f>P2233</f>
        <v>Mainfeeder Singosari Segment 3</v>
      </c>
      <c r="AA2233" s="276" t="e">
        <f>VLOOKUP(Logfile_S[[#This Row],[DO number]],DO_DB!G:I,3,0)</f>
        <v>#N/A</v>
      </c>
      <c r="AB2233" s="331" t="e">
        <f>EXACT(Logfile_S[[#This Row],[date pick]],Logfile_S[[#This Row],[Date]])</f>
        <v>#N/A</v>
      </c>
      <c r="AC22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34" spans="1:29" ht="14.5">
      <c r="A2234" s="220" t="str">
        <f>TEXT(ROW(A2234)-ROW($A$4),"000")</f>
        <v>2230</v>
      </c>
      <c r="B2234" s="221"/>
      <c r="C2234" s="221" t="s">
        <v>49</v>
      </c>
      <c r="D2234" s="221" t="s">
        <v>4354</v>
      </c>
      <c r="E2234" s="221" t="s">
        <v>3295</v>
      </c>
      <c r="F2234" s="221" t="s">
        <v>3299</v>
      </c>
      <c r="G2234" s="222">
        <v>45737</v>
      </c>
      <c r="H2234" s="223">
        <v>0.78472222222222221</v>
      </c>
      <c r="I2234" s="221" t="s">
        <v>4916</v>
      </c>
      <c r="J2234" s="221" t="s">
        <v>3024</v>
      </c>
      <c r="K2234" s="224" t="s">
        <v>3236</v>
      </c>
      <c r="L2234" s="225" t="str">
        <f>VLOOKUP(Logfile_S[[#This Row],[Material Name]],Sheet2!B:C,2,0)</f>
        <v>GCI1008</v>
      </c>
      <c r="M2234" s="225" t="str">
        <f>_xlfn.XLOOKUP(Logfile_S[[#This Row],[Material Name]],Sum_WH!E:E,Sum_WH!F:F,"",0)</f>
        <v>Pcs</v>
      </c>
      <c r="N2234" s="221">
        <v>21</v>
      </c>
      <c r="O2234" s="221" t="s">
        <v>2322</v>
      </c>
      <c r="P2234" s="221" t="s">
        <v>3403</v>
      </c>
      <c r="Q2234" s="221"/>
      <c r="R2234" s="221"/>
      <c r="S2234" s="221"/>
      <c r="T2234" s="221" t="s">
        <v>3404</v>
      </c>
      <c r="U2234" s="221">
        <v>0</v>
      </c>
      <c r="V2234" s="221" t="s">
        <v>3405</v>
      </c>
      <c r="W2234" s="221" t="s">
        <v>3406</v>
      </c>
      <c r="X2234" s="221"/>
      <c r="Y2234" s="227"/>
      <c r="Z2234" s="227" t="str">
        <f>P2234</f>
        <v>Mainfeeder Singosari Segment 3</v>
      </c>
      <c r="AA2234" s="276" t="e">
        <f>VLOOKUP(Logfile_S[[#This Row],[DO number]],DO_DB!G:I,3,0)</f>
        <v>#N/A</v>
      </c>
      <c r="AB2234" s="331" t="e">
        <f>EXACT(Logfile_S[[#This Row],[date pick]],Logfile_S[[#This Row],[Date]])</f>
        <v>#N/A</v>
      </c>
      <c r="AC22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35" spans="1:29" ht="14.5">
      <c r="A2235" s="220" t="str">
        <f>TEXT(ROW(A2235)-ROW($A$4),"000")</f>
        <v>2231</v>
      </c>
      <c r="B2235" s="221"/>
      <c r="C2235" s="221" t="s">
        <v>49</v>
      </c>
      <c r="D2235" s="221" t="s">
        <v>4354</v>
      </c>
      <c r="E2235" s="221" t="s">
        <v>3295</v>
      </c>
      <c r="F2235" s="221" t="s">
        <v>3299</v>
      </c>
      <c r="G2235" s="222">
        <v>45737</v>
      </c>
      <c r="H2235" s="223">
        <v>0.78472222222222221</v>
      </c>
      <c r="I2235" s="221" t="s">
        <v>4916</v>
      </c>
      <c r="J2235" s="221" t="s">
        <v>3024</v>
      </c>
      <c r="K2235" s="224" t="s">
        <v>3089</v>
      </c>
      <c r="L2235" s="225" t="str">
        <f>VLOOKUP(Logfile_S[[#This Row],[Material Name]],Sheet2!B:C,2,0)</f>
        <v>GCI1003</v>
      </c>
      <c r="M2235" s="225" t="str">
        <f>_xlfn.XLOOKUP(Logfile_S[[#This Row],[Material Name]],Sum_WH!E:E,Sum_WH!F:F,"",0)</f>
        <v>Pcs</v>
      </c>
      <c r="N2235" s="221">
        <v>20</v>
      </c>
      <c r="O2235" s="221" t="s">
        <v>2322</v>
      </c>
      <c r="P2235" s="221" t="s">
        <v>3403</v>
      </c>
      <c r="Q2235" s="221"/>
      <c r="R2235" s="221"/>
      <c r="S2235" s="221"/>
      <c r="T2235" s="221" t="s">
        <v>3404</v>
      </c>
      <c r="U2235" s="221">
        <v>0</v>
      </c>
      <c r="V2235" s="221" t="s">
        <v>3405</v>
      </c>
      <c r="W2235" s="221" t="s">
        <v>3406</v>
      </c>
      <c r="X2235" s="221"/>
      <c r="Y2235" s="227"/>
      <c r="Z2235" s="227" t="str">
        <f>P2235</f>
        <v>Mainfeeder Singosari Segment 3</v>
      </c>
      <c r="AA2235" s="276" t="e">
        <f>VLOOKUP(Logfile_S[[#This Row],[DO number]],DO_DB!G:I,3,0)</f>
        <v>#N/A</v>
      </c>
      <c r="AB2235" s="331" t="e">
        <f>EXACT(Logfile_S[[#This Row],[date pick]],Logfile_S[[#This Row],[Date]])</f>
        <v>#N/A</v>
      </c>
      <c r="AC22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36" spans="1:29" ht="14.5">
      <c r="A2236" s="220" t="str">
        <f>TEXT(ROW(A2236)-ROW($A$4),"000")</f>
        <v>2232</v>
      </c>
      <c r="B2236" s="221"/>
      <c r="C2236" s="221" t="s">
        <v>49</v>
      </c>
      <c r="D2236" s="221" t="s">
        <v>4354</v>
      </c>
      <c r="E2236" s="221" t="s">
        <v>3295</v>
      </c>
      <c r="F2236" s="221" t="s">
        <v>3299</v>
      </c>
      <c r="G2236" s="222">
        <v>45737</v>
      </c>
      <c r="H2236" s="223">
        <v>0.78472222222222221</v>
      </c>
      <c r="I2236" s="221" t="s">
        <v>4916</v>
      </c>
      <c r="J2236" s="221" t="s">
        <v>3024</v>
      </c>
      <c r="K2236" s="224" t="s">
        <v>3090</v>
      </c>
      <c r="L2236" s="225" t="str">
        <f>VLOOKUP(Logfile_S[[#This Row],[Material Name]],Sheet2!B:C,2,0)</f>
        <v>GCI1004</v>
      </c>
      <c r="M2236" s="225" t="str">
        <f>_xlfn.XLOOKUP(Logfile_S[[#This Row],[Material Name]],Sum_WH!E:E,Sum_WH!F:F,"",0)</f>
        <v>Pcs</v>
      </c>
      <c r="N2236" s="221">
        <v>20</v>
      </c>
      <c r="O2236" s="221" t="s">
        <v>2322</v>
      </c>
      <c r="P2236" s="221" t="s">
        <v>3403</v>
      </c>
      <c r="Q2236" s="221"/>
      <c r="R2236" s="221"/>
      <c r="S2236" s="221"/>
      <c r="T2236" s="221" t="s">
        <v>3404</v>
      </c>
      <c r="U2236" s="221">
        <v>0</v>
      </c>
      <c r="V2236" s="221" t="s">
        <v>3405</v>
      </c>
      <c r="W2236" s="221" t="s">
        <v>3406</v>
      </c>
      <c r="X2236" s="221"/>
      <c r="Y2236" s="227"/>
      <c r="Z2236" s="227" t="str">
        <f>P2236</f>
        <v>Mainfeeder Singosari Segment 3</v>
      </c>
      <c r="AA2236" s="276" t="e">
        <f>VLOOKUP(Logfile_S[[#This Row],[DO number]],DO_DB!G:I,3,0)</f>
        <v>#N/A</v>
      </c>
      <c r="AB2236" s="331" t="e">
        <f>EXACT(Logfile_S[[#This Row],[date pick]],Logfile_S[[#This Row],[Date]])</f>
        <v>#N/A</v>
      </c>
      <c r="AC22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37" spans="1:29" ht="14.5">
      <c r="A2237" s="220" t="str">
        <f>TEXT(ROW(A2237)-ROW($A$4),"000")</f>
        <v>2233</v>
      </c>
      <c r="B2237" s="221"/>
      <c r="C2237" s="221" t="s">
        <v>49</v>
      </c>
      <c r="D2237" s="221" t="s">
        <v>4256</v>
      </c>
      <c r="E2237" s="221" t="s">
        <v>3295</v>
      </c>
      <c r="F2237" s="221" t="s">
        <v>3299</v>
      </c>
      <c r="G2237" s="222">
        <v>45590</v>
      </c>
      <c r="H2237" s="223">
        <v>0.79791666666666672</v>
      </c>
      <c r="I2237" s="221" t="s">
        <v>4916</v>
      </c>
      <c r="J2237" s="221" t="s">
        <v>3023</v>
      </c>
      <c r="K2237" s="224" t="s">
        <v>3077</v>
      </c>
      <c r="L2237" s="225" t="str">
        <f>VLOOKUP(Logfile_S[[#This Row],[Material Name]],Sheet2!B:C,2,0)</f>
        <v>ZTE2004</v>
      </c>
      <c r="M2237" s="225" t="str">
        <f>_xlfn.XLOOKUP(Logfile_S[[#This Row],[Material Name]],Sum_WH!E:E,Sum_WH!F:F,"",0)</f>
        <v>Meter</v>
      </c>
      <c r="N2237" s="221">
        <v>3000</v>
      </c>
      <c r="O2237" s="221" t="s">
        <v>2354</v>
      </c>
      <c r="P2237" s="221" t="s">
        <v>3407</v>
      </c>
      <c r="Q2237" s="221"/>
      <c r="R2237" s="221"/>
      <c r="S2237" s="221"/>
      <c r="T2237" s="221" t="s">
        <v>3404</v>
      </c>
      <c r="U2237" s="221" t="s">
        <v>5107</v>
      </c>
      <c r="V2237" s="221" t="s">
        <v>3405</v>
      </c>
      <c r="W2237" s="221" t="s">
        <v>3406</v>
      </c>
      <c r="X2237" s="221"/>
      <c r="Y2237" s="236" t="s">
        <v>4982</v>
      </c>
      <c r="Z2237" s="227" t="str">
        <f>P2237</f>
        <v>HUBFEEDER KLAMPOK</v>
      </c>
      <c r="AA2237" s="276" t="e">
        <f>VLOOKUP(Logfile_S[[#This Row],[DO number]],DO_DB!G:I,3,0)</f>
        <v>#N/A</v>
      </c>
      <c r="AB2237" s="331" t="e">
        <f>EXACT(Logfile_S[[#This Row],[date pick]],Logfile_S[[#This Row],[Date]])</f>
        <v>#N/A</v>
      </c>
      <c r="AC22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144C-20241023-01</v>
      </c>
    </row>
    <row r="2238" spans="1:29" ht="14.5">
      <c r="A2238" s="220" t="str">
        <f>TEXT(ROW(A2238)-ROW($A$4),"000")</f>
        <v>2234</v>
      </c>
      <c r="B2238" s="221"/>
      <c r="C2238" s="221" t="s">
        <v>49</v>
      </c>
      <c r="D2238" s="221" t="s">
        <v>4256</v>
      </c>
      <c r="E2238" s="221" t="s">
        <v>3295</v>
      </c>
      <c r="F2238" s="221" t="s">
        <v>3299</v>
      </c>
      <c r="G2238" s="222">
        <v>45590</v>
      </c>
      <c r="H2238" s="223">
        <v>0.79791666666666672</v>
      </c>
      <c r="I2238" s="221" t="s">
        <v>4916</v>
      </c>
      <c r="J2238" s="221" t="s">
        <v>3024</v>
      </c>
      <c r="K2238" s="224" t="s">
        <v>3108</v>
      </c>
      <c r="L2238" s="225" t="str">
        <f>VLOOKUP(Logfile_S[[#This Row],[Material Name]],Sheet2!B:C,2,0)</f>
        <v>GCI1020</v>
      </c>
      <c r="M2238" s="225" t="str">
        <f>_xlfn.XLOOKUP(Logfile_S[[#This Row],[Material Name]],Sum_WH!E:E,Sum_WH!F:F,"",0)</f>
        <v>Pcs</v>
      </c>
      <c r="N2238" s="221">
        <v>100</v>
      </c>
      <c r="O2238" s="221" t="s">
        <v>2354</v>
      </c>
      <c r="P2238" s="221" t="s">
        <v>3407</v>
      </c>
      <c r="Q2238" s="221"/>
      <c r="R2238" s="221"/>
      <c r="S2238" s="221"/>
      <c r="T2238" s="221" t="s">
        <v>3404</v>
      </c>
      <c r="U2238" s="221">
        <v>0</v>
      </c>
      <c r="V2238" s="221" t="s">
        <v>3405</v>
      </c>
      <c r="W2238" s="221" t="s">
        <v>3406</v>
      </c>
      <c r="X2238" s="221"/>
      <c r="Y2238" s="227"/>
      <c r="Z2238" s="227" t="str">
        <f>P2238</f>
        <v>HUBFEEDER KLAMPOK</v>
      </c>
      <c r="AA2238" s="276" t="e">
        <f>VLOOKUP(Logfile_S[[#This Row],[DO number]],DO_DB!G:I,3,0)</f>
        <v>#N/A</v>
      </c>
      <c r="AB2238" s="331" t="e">
        <f>EXACT(Logfile_S[[#This Row],[date pick]],Logfile_S[[#This Row],[Date]])</f>
        <v>#N/A</v>
      </c>
      <c r="AC22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39" spans="1:29" ht="14.5">
      <c r="A2239" s="220" t="str">
        <f>TEXT(ROW(A2239)-ROW($A$4),"000")</f>
        <v>2235</v>
      </c>
      <c r="B2239" s="221"/>
      <c r="C2239" s="221" t="s">
        <v>49</v>
      </c>
      <c r="D2239" s="221" t="s">
        <v>4256</v>
      </c>
      <c r="E2239" s="221" t="s">
        <v>3295</v>
      </c>
      <c r="F2239" s="221" t="s">
        <v>3299</v>
      </c>
      <c r="G2239" s="222">
        <v>45590</v>
      </c>
      <c r="H2239" s="223">
        <v>0.79791666666666672</v>
      </c>
      <c r="I2239" s="221" t="s">
        <v>4916</v>
      </c>
      <c r="J2239" s="221" t="s">
        <v>3024</v>
      </c>
      <c r="K2239" s="224" t="s">
        <v>3094</v>
      </c>
      <c r="L2239" s="225" t="str">
        <f>VLOOKUP(Logfile_S[[#This Row],[Material Name]],Sheet2!B:C,2,0)</f>
        <v>GCI1008</v>
      </c>
      <c r="M2239" s="225" t="str">
        <f>_xlfn.XLOOKUP(Logfile_S[[#This Row],[Material Name]],Sum_WH!E:E,Sum_WH!F:F,"",0)</f>
        <v>Pcs</v>
      </c>
      <c r="N2239" s="221">
        <v>87</v>
      </c>
      <c r="O2239" s="221" t="s">
        <v>2354</v>
      </c>
      <c r="P2239" s="221" t="s">
        <v>3407</v>
      </c>
      <c r="Q2239" s="221"/>
      <c r="R2239" s="221"/>
      <c r="S2239" s="221"/>
      <c r="T2239" s="221" t="s">
        <v>3404</v>
      </c>
      <c r="U2239" s="221">
        <v>0</v>
      </c>
      <c r="V2239" s="221" t="s">
        <v>3405</v>
      </c>
      <c r="W2239" s="221" t="s">
        <v>3406</v>
      </c>
      <c r="X2239" s="221"/>
      <c r="Y2239" s="227"/>
      <c r="Z2239" s="227" t="str">
        <f>P2239</f>
        <v>HUBFEEDER KLAMPOK</v>
      </c>
      <c r="AA2239" s="276" t="e">
        <f>VLOOKUP(Logfile_S[[#This Row],[DO number]],DO_DB!G:I,3,0)</f>
        <v>#N/A</v>
      </c>
      <c r="AB2239" s="331" t="e">
        <f>EXACT(Logfile_S[[#This Row],[date pick]],Logfile_S[[#This Row],[Date]])</f>
        <v>#N/A</v>
      </c>
      <c r="AC22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40" spans="1:29" ht="14.5">
      <c r="A2240" s="220" t="str">
        <f>TEXT(ROW(A2240)-ROW($A$4),"000")</f>
        <v>2236</v>
      </c>
      <c r="B2240" s="221"/>
      <c r="C2240" s="221" t="s">
        <v>49</v>
      </c>
      <c r="D2240" s="221" t="s">
        <v>4256</v>
      </c>
      <c r="E2240" s="221" t="s">
        <v>3295</v>
      </c>
      <c r="F2240" s="221" t="s">
        <v>3299</v>
      </c>
      <c r="G2240" s="222">
        <v>45590</v>
      </c>
      <c r="H2240" s="223">
        <v>0.79791666666666672</v>
      </c>
      <c r="I2240" s="221" t="s">
        <v>4916</v>
      </c>
      <c r="J2240" s="221" t="s">
        <v>3024</v>
      </c>
      <c r="K2240" s="224" t="s">
        <v>3089</v>
      </c>
      <c r="L2240" s="225" t="str">
        <f>VLOOKUP(Logfile_S[[#This Row],[Material Name]],Sheet2!B:C,2,0)</f>
        <v>GCI1003</v>
      </c>
      <c r="M2240" s="225" t="str">
        <f>_xlfn.XLOOKUP(Logfile_S[[#This Row],[Material Name]],Sum_WH!E:E,Sum_WH!F:F,"",0)</f>
        <v>Pcs</v>
      </c>
      <c r="N2240" s="221">
        <v>55</v>
      </c>
      <c r="O2240" s="221" t="s">
        <v>2354</v>
      </c>
      <c r="P2240" s="221" t="s">
        <v>3407</v>
      </c>
      <c r="Q2240" s="221"/>
      <c r="R2240" s="221"/>
      <c r="S2240" s="221"/>
      <c r="T2240" s="221" t="s">
        <v>3404</v>
      </c>
      <c r="U2240" s="221">
        <v>0</v>
      </c>
      <c r="V2240" s="221" t="s">
        <v>3405</v>
      </c>
      <c r="W2240" s="221" t="s">
        <v>3406</v>
      </c>
      <c r="X2240" s="221"/>
      <c r="Y2240" s="227"/>
      <c r="Z2240" s="227" t="str">
        <f>P2240</f>
        <v>HUBFEEDER KLAMPOK</v>
      </c>
      <c r="AA2240" s="276" t="e">
        <f>VLOOKUP(Logfile_S[[#This Row],[DO number]],DO_DB!G:I,3,0)</f>
        <v>#N/A</v>
      </c>
      <c r="AB2240" s="331" t="e">
        <f>EXACT(Logfile_S[[#This Row],[date pick]],Logfile_S[[#This Row],[Date]])</f>
        <v>#N/A</v>
      </c>
      <c r="AC22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41" spans="1:29" ht="14.5">
      <c r="A2241" s="220" t="str">
        <f>TEXT(ROW(A2241)-ROW($A$4),"000")</f>
        <v>2237</v>
      </c>
      <c r="B2241" s="221"/>
      <c r="C2241" s="221" t="s">
        <v>49</v>
      </c>
      <c r="D2241" s="221" t="s">
        <v>4256</v>
      </c>
      <c r="E2241" s="221" t="s">
        <v>3295</v>
      </c>
      <c r="F2241" s="221" t="s">
        <v>3299</v>
      </c>
      <c r="G2241" s="222">
        <v>45590</v>
      </c>
      <c r="H2241" s="223">
        <v>0.79791666666666672</v>
      </c>
      <c r="I2241" s="221" t="s">
        <v>4916</v>
      </c>
      <c r="J2241" s="221" t="s">
        <v>3024</v>
      </c>
      <c r="K2241" s="224" t="s">
        <v>3090</v>
      </c>
      <c r="L2241" s="225" t="str">
        <f>VLOOKUP(Logfile_S[[#This Row],[Material Name]],Sheet2!B:C,2,0)</f>
        <v>GCI1004</v>
      </c>
      <c r="M2241" s="225" t="str">
        <f>_xlfn.XLOOKUP(Logfile_S[[#This Row],[Material Name]],Sum_WH!E:E,Sum_WH!F:F,"",0)</f>
        <v>Pcs</v>
      </c>
      <c r="N2241" s="221">
        <v>30</v>
      </c>
      <c r="O2241" s="221" t="s">
        <v>2354</v>
      </c>
      <c r="P2241" s="221" t="s">
        <v>3407</v>
      </c>
      <c r="Q2241" s="221"/>
      <c r="R2241" s="221"/>
      <c r="S2241" s="221"/>
      <c r="T2241" s="221" t="s">
        <v>3404</v>
      </c>
      <c r="U2241" s="221">
        <v>0</v>
      </c>
      <c r="V2241" s="221" t="s">
        <v>3405</v>
      </c>
      <c r="W2241" s="221" t="s">
        <v>3406</v>
      </c>
      <c r="X2241" s="221"/>
      <c r="Y2241" s="227"/>
      <c r="Z2241" s="227" t="str">
        <f>P2241</f>
        <v>HUBFEEDER KLAMPOK</v>
      </c>
      <c r="AA2241" s="276" t="e">
        <f>VLOOKUP(Logfile_S[[#This Row],[DO number]],DO_DB!G:I,3,0)</f>
        <v>#N/A</v>
      </c>
      <c r="AB2241" s="331" t="e">
        <f>EXACT(Logfile_S[[#This Row],[date pick]],Logfile_S[[#This Row],[Date]])</f>
        <v>#N/A</v>
      </c>
      <c r="AC22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42" spans="1:29" ht="14.5">
      <c r="A2242" s="220" t="str">
        <f>TEXT(ROW(A2242)-ROW($A$4),"000")</f>
        <v>2238</v>
      </c>
      <c r="B2242" s="221"/>
      <c r="C2242" s="221" t="s">
        <v>49</v>
      </c>
      <c r="D2242" s="221" t="s">
        <v>4267</v>
      </c>
      <c r="E2242" s="221" t="s">
        <v>3295</v>
      </c>
      <c r="F2242" s="221" t="s">
        <v>3299</v>
      </c>
      <c r="G2242" s="222">
        <v>45596</v>
      </c>
      <c r="H2242" s="223">
        <v>0.79791666666666672</v>
      </c>
      <c r="I2242" s="221" t="s">
        <v>4916</v>
      </c>
      <c r="J2242" s="221" t="s">
        <v>3023</v>
      </c>
      <c r="K2242" s="224" t="s">
        <v>3069</v>
      </c>
      <c r="L2242" s="225" t="str">
        <f>VLOOKUP(Logfile_S[[#This Row],[Material Name]],Sheet2!B:C,2,0)</f>
        <v>ZTE1001</v>
      </c>
      <c r="M2242" s="225" t="str">
        <f>_xlfn.XLOOKUP(Logfile_S[[#This Row],[Material Name]],Sum_WH!E:E,Sum_WH!F:F,"",0)</f>
        <v>Pcs</v>
      </c>
      <c r="N2242" s="221">
        <v>4</v>
      </c>
      <c r="O2242" s="221" t="s">
        <v>2354</v>
      </c>
      <c r="P2242" s="221" t="s">
        <v>3407</v>
      </c>
      <c r="Q2242" s="221"/>
      <c r="R2242" s="221"/>
      <c r="S2242" s="221"/>
      <c r="T2242" s="221" t="s">
        <v>3404</v>
      </c>
      <c r="U2242" s="221">
        <v>0</v>
      </c>
      <c r="V2242" s="221" t="s">
        <v>3405</v>
      </c>
      <c r="W2242" s="221" t="s">
        <v>3406</v>
      </c>
      <c r="X2242" s="221"/>
      <c r="Y2242" s="227"/>
      <c r="Z2242" s="227" t="str">
        <f>P2242</f>
        <v>HUBFEEDER KLAMPOK</v>
      </c>
      <c r="AA2242" s="276" t="e">
        <f>VLOOKUP(Logfile_S[[#This Row],[DO number]],DO_DB!G:I,3,0)</f>
        <v>#N/A</v>
      </c>
      <c r="AB2242" s="331" t="e">
        <f>EXACT(Logfile_S[[#This Row],[date pick]],Logfile_S[[#This Row],[Date]])</f>
        <v>#N/A</v>
      </c>
      <c r="AC22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43" spans="1:29" ht="14.5">
      <c r="A2243" s="220" t="str">
        <f>TEXT(ROW(A2243)-ROW($A$4),"000")</f>
        <v>2239</v>
      </c>
      <c r="B2243" s="221"/>
      <c r="C2243" s="221" t="s">
        <v>49</v>
      </c>
      <c r="D2243" s="221" t="s">
        <v>4270</v>
      </c>
      <c r="E2243" s="221" t="s">
        <v>3295</v>
      </c>
      <c r="F2243" s="221" t="s">
        <v>3299</v>
      </c>
      <c r="G2243" s="222">
        <v>45597</v>
      </c>
      <c r="H2243" s="223">
        <v>0.97569444444444442</v>
      </c>
      <c r="I2243" s="221" t="s">
        <v>4916</v>
      </c>
      <c r="J2243" s="221" t="s">
        <v>3024</v>
      </c>
      <c r="K2243" s="224" t="s">
        <v>3087</v>
      </c>
      <c r="L2243" s="225" t="str">
        <f>VLOOKUP(Logfile_S[[#This Row],[Material Name]],Sheet2!B:C,2,0)</f>
        <v>GCI1001</v>
      </c>
      <c r="M2243" s="225" t="str">
        <f>_xlfn.XLOOKUP(Logfile_S[[#This Row],[Material Name]],Sum_WH!E:E,Sum_WH!F:F,"",0)</f>
        <v>Pcs</v>
      </c>
      <c r="N2243" s="221">
        <v>4</v>
      </c>
      <c r="O2243" s="221" t="s">
        <v>2354</v>
      </c>
      <c r="P2243" s="221" t="s">
        <v>3407</v>
      </c>
      <c r="Q2243" s="221"/>
      <c r="R2243" s="221"/>
      <c r="S2243" s="221"/>
      <c r="T2243" s="221" t="s">
        <v>3404</v>
      </c>
      <c r="U2243" s="221">
        <v>0</v>
      </c>
      <c r="V2243" s="221" t="s">
        <v>3405</v>
      </c>
      <c r="W2243" s="221" t="s">
        <v>3406</v>
      </c>
      <c r="X2243" s="221"/>
      <c r="Y2243" s="227"/>
      <c r="Z2243" s="227" t="str">
        <f>P2243</f>
        <v>HUBFEEDER KLAMPOK</v>
      </c>
      <c r="AA2243" s="276" t="e">
        <f>VLOOKUP(Logfile_S[[#This Row],[DO number]],DO_DB!G:I,3,0)</f>
        <v>#N/A</v>
      </c>
      <c r="AB2243" s="331" t="e">
        <f>EXACT(Logfile_S[[#This Row],[date pick]],Logfile_S[[#This Row],[Date]])</f>
        <v>#N/A</v>
      </c>
      <c r="AC22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44" spans="1:29" ht="14.5">
      <c r="A2244" s="220" t="str">
        <f>TEXT(ROW(A2244)-ROW($A$4),"000")</f>
        <v>2240</v>
      </c>
      <c r="B2244" s="221"/>
      <c r="C2244" s="221" t="s">
        <v>48</v>
      </c>
      <c r="D2244" s="221" t="s">
        <v>4272</v>
      </c>
      <c r="E2244" s="221" t="s">
        <v>3295</v>
      </c>
      <c r="F2244" s="221" t="s">
        <v>3299</v>
      </c>
      <c r="G2244" s="222">
        <v>45602</v>
      </c>
      <c r="H2244" s="223">
        <v>15.291666666666666</v>
      </c>
      <c r="I2244" s="221" t="s">
        <v>37</v>
      </c>
      <c r="J2244" s="221" t="s">
        <v>3023</v>
      </c>
      <c r="K2244" s="224" t="s">
        <v>3077</v>
      </c>
      <c r="L2244" s="225" t="str">
        <f>VLOOKUP(Logfile_S[[#This Row],[Material Name]],Sheet2!B:C,2,0)</f>
        <v>ZTE2004</v>
      </c>
      <c r="M2244" s="225" t="str">
        <f>_xlfn.XLOOKUP(Logfile_S[[#This Row],[Material Name]],Sum_WH!E:E,Sum_WH!F:F,"",0)</f>
        <v>Meter</v>
      </c>
      <c r="N2244" s="221">
        <v>3000</v>
      </c>
      <c r="O2244" s="221" t="s">
        <v>2354</v>
      </c>
      <c r="P2244" s="221" t="s">
        <v>3407</v>
      </c>
      <c r="Q2244" s="221" t="s">
        <v>2366</v>
      </c>
      <c r="R2244" s="221" t="s">
        <v>2367</v>
      </c>
      <c r="S2244" s="221"/>
      <c r="T2244" s="221"/>
      <c r="U2244" s="221"/>
      <c r="V2244" s="221"/>
      <c r="W2244" s="221"/>
      <c r="X2244" s="221"/>
      <c r="Y2244" s="236" t="s">
        <v>5336</v>
      </c>
      <c r="Z2244" s="227" t="str">
        <f>P2244</f>
        <v>HUBFEEDER KLAMPOK</v>
      </c>
      <c r="AA2244" s="276">
        <f>VLOOKUP(Logfile_S[[#This Row],[DO number]],DO_DB!G:I,3,0)</f>
        <v>45602</v>
      </c>
      <c r="AB2244" s="331" t="b">
        <f>EXACT(Logfile_S[[#This Row],[date pick]],Logfile_S[[#This Row],[Date]])</f>
        <v>1</v>
      </c>
      <c r="AC22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144C-2024116-01</v>
      </c>
    </row>
    <row r="2245" spans="1:29" ht="14.5">
      <c r="A2245" s="220" t="str">
        <f>TEXT(ROW(A2245)-ROW($A$4),"000")</f>
        <v>2241</v>
      </c>
      <c r="B2245" s="221"/>
      <c r="C2245" s="221" t="s">
        <v>48</v>
      </c>
      <c r="D2245" s="221" t="s">
        <v>4272</v>
      </c>
      <c r="E2245" s="221" t="s">
        <v>3295</v>
      </c>
      <c r="F2245" s="221" t="s">
        <v>3299</v>
      </c>
      <c r="G2245" s="222">
        <v>45602</v>
      </c>
      <c r="H2245" s="223">
        <v>15.291666666666666</v>
      </c>
      <c r="I2245" s="221" t="s">
        <v>37</v>
      </c>
      <c r="J2245" s="221" t="s">
        <v>3023</v>
      </c>
      <c r="K2245" s="224" t="s">
        <v>3072</v>
      </c>
      <c r="L2245" s="225" t="str">
        <f>VLOOKUP(Logfile_S[[#This Row],[Material Name]],Sheet2!B:C,2,0)</f>
        <v>ZTE1004</v>
      </c>
      <c r="M2245" s="225" t="str">
        <f>_xlfn.XLOOKUP(Logfile_S[[#This Row],[Material Name]],Sum_WH!E:E,Sum_WH!F:F,"",0)</f>
        <v>Pcs</v>
      </c>
      <c r="N2245" s="221">
        <v>1</v>
      </c>
      <c r="O2245" s="221" t="s">
        <v>2354</v>
      </c>
      <c r="P2245" s="221" t="s">
        <v>3407</v>
      </c>
      <c r="Q2245" s="221" t="s">
        <v>2356</v>
      </c>
      <c r="R2245" s="221" t="s">
        <v>2357</v>
      </c>
      <c r="S2245" s="221"/>
      <c r="T2245" s="221"/>
      <c r="U2245" s="221"/>
      <c r="V2245" s="221"/>
      <c r="W2245" s="221"/>
      <c r="X2245" s="221"/>
      <c r="Y2245" s="227"/>
      <c r="Z2245" s="227" t="str">
        <f>P2245</f>
        <v>HUBFEEDER KLAMPOK</v>
      </c>
      <c r="AA2245" s="276">
        <f>VLOOKUP(Logfile_S[[#This Row],[DO number]],DO_DB!G:I,3,0)</f>
        <v>45602</v>
      </c>
      <c r="AB2245" s="331" t="b">
        <f>EXACT(Logfile_S[[#This Row],[date pick]],Logfile_S[[#This Row],[Date]])</f>
        <v>1</v>
      </c>
      <c r="AC22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46" spans="1:29" ht="14.5">
      <c r="A2246" s="220" t="str">
        <f>TEXT(ROW(A2246)-ROW($A$4),"000")</f>
        <v>2242</v>
      </c>
      <c r="B2246" s="221"/>
      <c r="C2246" s="221" t="s">
        <v>48</v>
      </c>
      <c r="D2246" s="221" t="s">
        <v>4272</v>
      </c>
      <c r="E2246" s="221" t="s">
        <v>3295</v>
      </c>
      <c r="F2246" s="221" t="s">
        <v>3299</v>
      </c>
      <c r="G2246" s="222">
        <v>45602</v>
      </c>
      <c r="H2246" s="223">
        <v>15.291666666666666</v>
      </c>
      <c r="I2246" s="221" t="s">
        <v>37</v>
      </c>
      <c r="J2246" s="221" t="s">
        <v>3023</v>
      </c>
      <c r="K2246" s="224" t="s">
        <v>3070</v>
      </c>
      <c r="L2246" s="225" t="str">
        <f>VLOOKUP(Logfile_S[[#This Row],[Material Name]],Sheet2!B:C,2,0)</f>
        <v>ZTE1002</v>
      </c>
      <c r="M2246" s="225" t="str">
        <f>_xlfn.XLOOKUP(Logfile_S[[#This Row],[Material Name]],Sum_WH!E:E,Sum_WH!F:F,"",0)</f>
        <v>Pcs</v>
      </c>
      <c r="N2246" s="221">
        <v>8</v>
      </c>
      <c r="O2246" s="221" t="s">
        <v>2354</v>
      </c>
      <c r="P2246" s="221" t="s">
        <v>3407</v>
      </c>
      <c r="Q2246" s="221" t="s">
        <v>2356</v>
      </c>
      <c r="R2246" s="221" t="s">
        <v>2357</v>
      </c>
      <c r="S2246" s="221"/>
      <c r="T2246" s="221"/>
      <c r="U2246" s="221"/>
      <c r="V2246" s="221"/>
      <c r="W2246" s="221"/>
      <c r="X2246" s="221"/>
      <c r="Y2246" s="227"/>
      <c r="Z2246" s="227" t="str">
        <f>P2246</f>
        <v>HUBFEEDER KLAMPOK</v>
      </c>
      <c r="AA2246" s="276">
        <f>VLOOKUP(Logfile_S[[#This Row],[DO number]],DO_DB!G:I,3,0)</f>
        <v>45602</v>
      </c>
      <c r="AB2246" s="331" t="b">
        <f>EXACT(Logfile_S[[#This Row],[date pick]],Logfile_S[[#This Row],[Date]])</f>
        <v>1</v>
      </c>
      <c r="AC22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47" spans="1:29" ht="14.5">
      <c r="A2247" s="220" t="str">
        <f>TEXT(ROW(A2247)-ROW($A$4),"000")</f>
        <v>2243</v>
      </c>
      <c r="B2247" s="221"/>
      <c r="C2247" s="221" t="s">
        <v>48</v>
      </c>
      <c r="D2247" s="221" t="s">
        <v>4272</v>
      </c>
      <c r="E2247" s="221" t="s">
        <v>3295</v>
      </c>
      <c r="F2247" s="221" t="s">
        <v>3299</v>
      </c>
      <c r="G2247" s="222">
        <v>45602</v>
      </c>
      <c r="H2247" s="223">
        <v>15.291666666666666</v>
      </c>
      <c r="I2247" s="221" t="s">
        <v>37</v>
      </c>
      <c r="J2247" s="221" t="s">
        <v>3023</v>
      </c>
      <c r="K2247" s="224" t="s">
        <v>3069</v>
      </c>
      <c r="L2247" s="225" t="str">
        <f>VLOOKUP(Logfile_S[[#This Row],[Material Name]],Sheet2!B:C,2,0)</f>
        <v>ZTE1001</v>
      </c>
      <c r="M2247" s="225" t="str">
        <f>_xlfn.XLOOKUP(Logfile_S[[#This Row],[Material Name]],Sum_WH!E:E,Sum_WH!F:F,"",0)</f>
        <v>Pcs</v>
      </c>
      <c r="N2247" s="221">
        <v>25</v>
      </c>
      <c r="O2247" s="221" t="s">
        <v>2354</v>
      </c>
      <c r="P2247" s="221" t="s">
        <v>3407</v>
      </c>
      <c r="Q2247" s="221" t="s">
        <v>2356</v>
      </c>
      <c r="R2247" s="221" t="s">
        <v>2357</v>
      </c>
      <c r="S2247" s="221"/>
      <c r="T2247" s="221"/>
      <c r="U2247" s="221"/>
      <c r="V2247" s="221"/>
      <c r="W2247" s="221"/>
      <c r="X2247" s="221"/>
      <c r="Y2247" s="227"/>
      <c r="Z2247" s="227" t="str">
        <f>P2247</f>
        <v>HUBFEEDER KLAMPOK</v>
      </c>
      <c r="AA2247" s="276">
        <f>VLOOKUP(Logfile_S[[#This Row],[DO number]],DO_DB!G:I,3,0)</f>
        <v>45602</v>
      </c>
      <c r="AB2247" s="331" t="b">
        <f>EXACT(Logfile_S[[#This Row],[date pick]],Logfile_S[[#This Row],[Date]])</f>
        <v>1</v>
      </c>
      <c r="AC22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48" spans="1:29" ht="14.5">
      <c r="A2248" s="220" t="str">
        <f>TEXT(ROW(A2248)-ROW($A$4),"000")</f>
        <v>2244</v>
      </c>
      <c r="B2248" s="221"/>
      <c r="C2248" s="221" t="s">
        <v>48</v>
      </c>
      <c r="D2248" s="221" t="s">
        <v>3709</v>
      </c>
      <c r="E2248" s="221" t="s">
        <v>3295</v>
      </c>
      <c r="F2248" s="221" t="s">
        <v>3299</v>
      </c>
      <c r="G2248" s="222">
        <v>45188</v>
      </c>
      <c r="H2248" s="223">
        <v>15.291666666666666</v>
      </c>
      <c r="I2248" s="221" t="s">
        <v>38</v>
      </c>
      <c r="J2248" s="221" t="s">
        <v>3024</v>
      </c>
      <c r="K2248" s="224" t="s">
        <v>3090</v>
      </c>
      <c r="L2248" s="225" t="str">
        <f>VLOOKUP(Logfile_S[[#This Row],[Material Name]],Sheet2!B:C,2,0)</f>
        <v>GCI1004</v>
      </c>
      <c r="M2248" s="225" t="str">
        <f>_xlfn.XLOOKUP(Logfile_S[[#This Row],[Material Name]],Sum_WH!E:E,Sum_WH!F:F,"",0)</f>
        <v>Pcs</v>
      </c>
      <c r="N2248" s="221">
        <v>10</v>
      </c>
      <c r="O2248" s="221" t="s">
        <v>3344</v>
      </c>
      <c r="P2248" s="221" t="s">
        <v>3345</v>
      </c>
      <c r="Q2248" s="221">
        <v>0</v>
      </c>
      <c r="R2248" s="221">
        <v>0</v>
      </c>
      <c r="S2248" s="221"/>
      <c r="T2248" s="221"/>
      <c r="U2248" s="221"/>
      <c r="V2248" s="221"/>
      <c r="W2248" s="221"/>
      <c r="X2248" s="221" t="s">
        <v>3466</v>
      </c>
      <c r="Y2248" s="227"/>
      <c r="Z2248" s="227" t="str">
        <f>P2248</f>
        <v>Purchase</v>
      </c>
      <c r="AA2248" s="276" t="e">
        <f>VLOOKUP(Logfile_S[[#This Row],[DO number]],DO_DB!G:I,3,0)</f>
        <v>#N/A</v>
      </c>
      <c r="AB2248" s="331" t="e">
        <f>EXACT(Logfile_S[[#This Row],[date pick]],Logfile_S[[#This Row],[Date]])</f>
        <v>#N/A</v>
      </c>
      <c r="AC22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49" spans="1:29" ht="14.5">
      <c r="A2249" s="220" t="str">
        <f>TEXT(ROW(A2249)-ROW($A$4),"000")</f>
        <v>2245</v>
      </c>
      <c r="B2249" s="221"/>
      <c r="C2249" s="221" t="s">
        <v>48</v>
      </c>
      <c r="D2249" s="221" t="s">
        <v>3737</v>
      </c>
      <c r="E2249" s="221" t="s">
        <v>3295</v>
      </c>
      <c r="F2249" s="221" t="s">
        <v>3299</v>
      </c>
      <c r="G2249" s="222">
        <v>45201</v>
      </c>
      <c r="H2249" s="223">
        <v>15.291666666666666</v>
      </c>
      <c r="I2249" s="221" t="s">
        <v>38</v>
      </c>
      <c r="J2249" s="221" t="s">
        <v>3024</v>
      </c>
      <c r="K2249" s="224" t="s">
        <v>3091</v>
      </c>
      <c r="L2249" s="225" t="str">
        <f>VLOOKUP(Logfile_S[[#This Row],[Material Name]],Sheet2!B:C,2,0)</f>
        <v>GCI1005</v>
      </c>
      <c r="M2249" s="225" t="str">
        <f>_xlfn.XLOOKUP(Logfile_S[[#This Row],[Material Name]],Sum_WH!E:E,Sum_WH!F:F,"",0)</f>
        <v>Pcs</v>
      </c>
      <c r="N2249" s="221">
        <v>44</v>
      </c>
      <c r="O2249" s="221" t="s">
        <v>3344</v>
      </c>
      <c r="P2249" s="221" t="s">
        <v>3345</v>
      </c>
      <c r="Q2249" s="221">
        <v>0</v>
      </c>
      <c r="R2249" s="221">
        <v>0</v>
      </c>
      <c r="S2249" s="221"/>
      <c r="T2249" s="221"/>
      <c r="U2249" s="221"/>
      <c r="V2249" s="221"/>
      <c r="W2249" s="221"/>
      <c r="X2249" s="221"/>
      <c r="Y2249" s="227"/>
      <c r="Z2249" s="227" t="str">
        <f>P2249</f>
        <v>Purchase</v>
      </c>
      <c r="AA2249" s="276" t="e">
        <f>VLOOKUP(Logfile_S[[#This Row],[DO number]],DO_DB!G:I,3,0)</f>
        <v>#N/A</v>
      </c>
      <c r="AB2249" s="331" t="e">
        <f>EXACT(Logfile_S[[#This Row],[date pick]],Logfile_S[[#This Row],[Date]])</f>
        <v>#N/A</v>
      </c>
      <c r="AC22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50" spans="1:29" ht="14.5">
      <c r="A2250" s="220" t="str">
        <f>TEXT(ROW(A2250)-ROW($A$4),"000")</f>
        <v>2246</v>
      </c>
      <c r="B2250" s="221"/>
      <c r="C2250" s="221" t="s">
        <v>48</v>
      </c>
      <c r="D2250" s="221" t="s">
        <v>3737</v>
      </c>
      <c r="E2250" s="221" t="s">
        <v>3295</v>
      </c>
      <c r="F2250" s="221" t="s">
        <v>3299</v>
      </c>
      <c r="G2250" s="222">
        <v>45201</v>
      </c>
      <c r="H2250" s="223">
        <v>15.291666666666666</v>
      </c>
      <c r="I2250" s="221" t="s">
        <v>38</v>
      </c>
      <c r="J2250" s="221" t="s">
        <v>3024</v>
      </c>
      <c r="K2250" s="224" t="s">
        <v>3226</v>
      </c>
      <c r="L2250" s="225" t="str">
        <f>VLOOKUP(Logfile_S[[#This Row],[Material Name]],Sheet2!B:C,2,0)</f>
        <v>GCI1001</v>
      </c>
      <c r="M2250" s="225" t="str">
        <f>_xlfn.XLOOKUP(Logfile_S[[#This Row],[Material Name]],Sum_WH!E:E,Sum_WH!F:F,"",0)</f>
        <v>Pcs</v>
      </c>
      <c r="N2250" s="221">
        <v>21</v>
      </c>
      <c r="O2250" s="221" t="s">
        <v>3344</v>
      </c>
      <c r="P2250" s="221" t="s">
        <v>3345</v>
      </c>
      <c r="Q2250" s="221">
        <v>0</v>
      </c>
      <c r="R2250" s="221">
        <v>0</v>
      </c>
      <c r="S2250" s="221"/>
      <c r="T2250" s="221"/>
      <c r="U2250" s="221"/>
      <c r="V2250" s="221"/>
      <c r="W2250" s="221"/>
      <c r="X2250" s="221"/>
      <c r="Y2250" s="227"/>
      <c r="Z2250" s="227" t="str">
        <f>P2250</f>
        <v>Purchase</v>
      </c>
      <c r="AA2250" s="276" t="e">
        <f>VLOOKUP(Logfile_S[[#This Row],[DO number]],DO_DB!G:I,3,0)</f>
        <v>#N/A</v>
      </c>
      <c r="AB2250" s="331" t="e">
        <f>EXACT(Logfile_S[[#This Row],[date pick]],Logfile_S[[#This Row],[Date]])</f>
        <v>#N/A</v>
      </c>
      <c r="AC22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51" spans="1:29" ht="14.5">
      <c r="A2251" s="220" t="str">
        <f>TEXT(ROW(A2251)-ROW($A$4),"000")</f>
        <v>2247</v>
      </c>
      <c r="B2251" s="221"/>
      <c r="C2251" s="221" t="s">
        <v>48</v>
      </c>
      <c r="D2251" s="221" t="s">
        <v>3737</v>
      </c>
      <c r="E2251" s="221" t="s">
        <v>3295</v>
      </c>
      <c r="F2251" s="221" t="s">
        <v>3299</v>
      </c>
      <c r="G2251" s="222">
        <v>45201</v>
      </c>
      <c r="H2251" s="223">
        <v>15.291666666666666</v>
      </c>
      <c r="I2251" s="221" t="s">
        <v>38</v>
      </c>
      <c r="J2251" s="221" t="s">
        <v>3024</v>
      </c>
      <c r="K2251" s="224" t="s">
        <v>5137</v>
      </c>
      <c r="L2251" s="225" t="str">
        <f>VLOOKUP(Logfile_S[[#This Row],[Material Name]],Sheet2!B:C,2,0)</f>
        <v>GCI1009</v>
      </c>
      <c r="M2251" s="225" t="str">
        <f>_xlfn.XLOOKUP(Logfile_S[[#This Row],[Material Name]],Sum_WH!E:E,Sum_WH!F:F,"",0)</f>
        <v>Pcs</v>
      </c>
      <c r="N2251" s="221">
        <v>125</v>
      </c>
      <c r="O2251" s="221" t="s">
        <v>3344</v>
      </c>
      <c r="P2251" s="221" t="s">
        <v>3345</v>
      </c>
      <c r="Q2251" s="221">
        <v>0</v>
      </c>
      <c r="R2251" s="221">
        <v>0</v>
      </c>
      <c r="S2251" s="221"/>
      <c r="T2251" s="221"/>
      <c r="U2251" s="221"/>
      <c r="V2251" s="221"/>
      <c r="W2251" s="221"/>
      <c r="X2251" s="221"/>
      <c r="Y2251" s="227"/>
      <c r="Z2251" s="227" t="str">
        <f>P2251</f>
        <v>Purchase</v>
      </c>
      <c r="AA2251" s="276" t="e">
        <f>VLOOKUP(Logfile_S[[#This Row],[DO number]],DO_DB!G:I,3,0)</f>
        <v>#N/A</v>
      </c>
      <c r="AB2251" s="331" t="e">
        <f>EXACT(Logfile_S[[#This Row],[date pick]],Logfile_S[[#This Row],[Date]])</f>
        <v>#N/A</v>
      </c>
      <c r="AC22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52" spans="1:29" ht="14.5">
      <c r="A2252" s="220" t="str">
        <f>TEXT(ROW(A2252)-ROW($A$4),"000")</f>
        <v>2248</v>
      </c>
      <c r="B2252" s="221"/>
      <c r="C2252" s="221" t="s">
        <v>48</v>
      </c>
      <c r="D2252" s="221" t="s">
        <v>3737</v>
      </c>
      <c r="E2252" s="221" t="s">
        <v>3295</v>
      </c>
      <c r="F2252" s="221" t="s">
        <v>3299</v>
      </c>
      <c r="G2252" s="222">
        <v>45201</v>
      </c>
      <c r="H2252" s="223">
        <v>15.291666666666666</v>
      </c>
      <c r="I2252" s="221" t="s">
        <v>38</v>
      </c>
      <c r="J2252" s="221" t="s">
        <v>3024</v>
      </c>
      <c r="K2252" s="224" t="s">
        <v>3443</v>
      </c>
      <c r="L2252" s="225" t="str">
        <f>VLOOKUP(Logfile_S[[#This Row],[Material Name]],Sheet2!B:C,2,0)</f>
        <v>GCI1002</v>
      </c>
      <c r="M2252" s="225" t="str">
        <f>_xlfn.XLOOKUP(Logfile_S[[#This Row],[Material Name]],Sum_WH!E:E,Sum_WH!F:F,"",0)</f>
        <v>Pcs</v>
      </c>
      <c r="N2252" s="221">
        <v>2</v>
      </c>
      <c r="O2252" s="221" t="s">
        <v>3344</v>
      </c>
      <c r="P2252" s="221" t="s">
        <v>3345</v>
      </c>
      <c r="Q2252" s="221">
        <v>0</v>
      </c>
      <c r="R2252" s="221">
        <v>0</v>
      </c>
      <c r="S2252" s="221"/>
      <c r="T2252" s="221"/>
      <c r="U2252" s="221"/>
      <c r="V2252" s="221"/>
      <c r="W2252" s="221"/>
      <c r="X2252" s="221"/>
      <c r="Y2252" s="227"/>
      <c r="Z2252" s="227" t="str">
        <f>P2252</f>
        <v>Purchase</v>
      </c>
      <c r="AA2252" s="276" t="e">
        <f>VLOOKUP(Logfile_S[[#This Row],[DO number]],DO_DB!G:I,3,0)</f>
        <v>#N/A</v>
      </c>
      <c r="AB2252" s="331" t="e">
        <f>EXACT(Logfile_S[[#This Row],[date pick]],Logfile_S[[#This Row],[Date]])</f>
        <v>#N/A</v>
      </c>
      <c r="AC22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53" spans="1:29" ht="14.5">
      <c r="A2253" s="220" t="str">
        <f>TEXT(ROW(A2253)-ROW($A$4),"000")</f>
        <v>2249</v>
      </c>
      <c r="B2253" s="221"/>
      <c r="C2253" s="221" t="s">
        <v>48</v>
      </c>
      <c r="D2253" s="221" t="s">
        <v>3737</v>
      </c>
      <c r="E2253" s="221" t="s">
        <v>3295</v>
      </c>
      <c r="F2253" s="221" t="s">
        <v>3299</v>
      </c>
      <c r="G2253" s="222">
        <v>45201</v>
      </c>
      <c r="H2253" s="223">
        <v>15.291666666666666</v>
      </c>
      <c r="I2253" s="221" t="s">
        <v>38</v>
      </c>
      <c r="J2253" s="221" t="s">
        <v>3024</v>
      </c>
      <c r="K2253" s="224" t="s">
        <v>3236</v>
      </c>
      <c r="L2253" s="225" t="str">
        <f>VLOOKUP(Logfile_S[[#This Row],[Material Name]],Sheet2!B:C,2,0)</f>
        <v>GCI1008</v>
      </c>
      <c r="M2253" s="225" t="str">
        <f>_xlfn.XLOOKUP(Logfile_S[[#This Row],[Material Name]],Sum_WH!E:E,Sum_WH!F:F,"",0)</f>
        <v>Pcs</v>
      </c>
      <c r="N2253" s="221">
        <v>85</v>
      </c>
      <c r="O2253" s="221" t="s">
        <v>3344</v>
      </c>
      <c r="P2253" s="221" t="s">
        <v>3345</v>
      </c>
      <c r="Q2253" s="221">
        <v>0</v>
      </c>
      <c r="R2253" s="221">
        <v>0</v>
      </c>
      <c r="S2253" s="221"/>
      <c r="T2253" s="221"/>
      <c r="U2253" s="221"/>
      <c r="V2253" s="221"/>
      <c r="W2253" s="221"/>
      <c r="X2253" s="221"/>
      <c r="Y2253" s="227"/>
      <c r="Z2253" s="227" t="str">
        <f>P2253</f>
        <v>Purchase</v>
      </c>
      <c r="AA2253" s="276" t="e">
        <f>VLOOKUP(Logfile_S[[#This Row],[DO number]],DO_DB!G:I,3,0)</f>
        <v>#N/A</v>
      </c>
      <c r="AB2253" s="331" t="e">
        <f>EXACT(Logfile_S[[#This Row],[date pick]],Logfile_S[[#This Row],[Date]])</f>
        <v>#N/A</v>
      </c>
      <c r="AC22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54" spans="1:29" ht="14.5">
      <c r="A2254" s="220" t="str">
        <f>TEXT(ROW(A2254)-ROW($A$4),"000")</f>
        <v>2250</v>
      </c>
      <c r="B2254" s="221"/>
      <c r="C2254" s="221" t="s">
        <v>48</v>
      </c>
      <c r="D2254" s="221" t="s">
        <v>3737</v>
      </c>
      <c r="E2254" s="221" t="s">
        <v>3295</v>
      </c>
      <c r="F2254" s="221" t="s">
        <v>3299</v>
      </c>
      <c r="G2254" s="222">
        <v>45201</v>
      </c>
      <c r="H2254" s="223">
        <v>15.291666666666666</v>
      </c>
      <c r="I2254" s="221" t="s">
        <v>38</v>
      </c>
      <c r="J2254" s="221" t="s">
        <v>3024</v>
      </c>
      <c r="K2254" s="224" t="s">
        <v>3301</v>
      </c>
      <c r="L2254" s="225" t="str">
        <f>VLOOKUP(Logfile_S[[#This Row],[Material Name]],Sheet2!B:C,2,0)</f>
        <v>GCI1003</v>
      </c>
      <c r="M2254" s="225" t="str">
        <f>_xlfn.XLOOKUP(Logfile_S[[#This Row],[Material Name]],Sum_WH!E:E,Sum_WH!F:F,"",0)</f>
        <v>Pcs</v>
      </c>
      <c r="N2254" s="221">
        <v>200</v>
      </c>
      <c r="O2254" s="221" t="s">
        <v>3344</v>
      </c>
      <c r="P2254" s="221" t="s">
        <v>3345</v>
      </c>
      <c r="Q2254" s="221">
        <v>0</v>
      </c>
      <c r="R2254" s="221">
        <v>0</v>
      </c>
      <c r="S2254" s="221"/>
      <c r="T2254" s="221"/>
      <c r="U2254" s="221"/>
      <c r="V2254" s="221"/>
      <c r="W2254" s="221"/>
      <c r="X2254" s="221"/>
      <c r="Y2254" s="227"/>
      <c r="Z2254" s="227" t="str">
        <f>P2254</f>
        <v>Purchase</v>
      </c>
      <c r="AA2254" s="276" t="e">
        <f>VLOOKUP(Logfile_S[[#This Row],[DO number]],DO_DB!G:I,3,0)</f>
        <v>#N/A</v>
      </c>
      <c r="AB2254" s="331" t="e">
        <f>EXACT(Logfile_S[[#This Row],[date pick]],Logfile_S[[#This Row],[Date]])</f>
        <v>#N/A</v>
      </c>
      <c r="AC22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55" spans="1:29" ht="14.5">
      <c r="A2255" s="220" t="str">
        <f>TEXT(ROW(A2255)-ROW($A$4),"000")</f>
        <v>2251</v>
      </c>
      <c r="B2255" s="221"/>
      <c r="C2255" s="221" t="s">
        <v>48</v>
      </c>
      <c r="D2255" s="221" t="s">
        <v>3737</v>
      </c>
      <c r="E2255" s="221" t="s">
        <v>3295</v>
      </c>
      <c r="F2255" s="221" t="s">
        <v>3299</v>
      </c>
      <c r="G2255" s="222">
        <v>45201</v>
      </c>
      <c r="H2255" s="223">
        <v>15.291666666666666</v>
      </c>
      <c r="I2255" s="221" t="s">
        <v>38</v>
      </c>
      <c r="J2255" s="221" t="s">
        <v>3024</v>
      </c>
      <c r="K2255" s="224" t="s">
        <v>3234</v>
      </c>
      <c r="L2255" s="225" t="str">
        <f>VLOOKUP(Logfile_S[[#This Row],[Material Name]],Sheet2!B:C,2,0)</f>
        <v>GCI1004</v>
      </c>
      <c r="M2255" s="225" t="str">
        <f>_xlfn.XLOOKUP(Logfile_S[[#This Row],[Material Name]],Sum_WH!E:E,Sum_WH!F:F,"",0)</f>
        <v>Pcs</v>
      </c>
      <c r="N2255" s="221">
        <v>36</v>
      </c>
      <c r="O2255" s="221" t="s">
        <v>3344</v>
      </c>
      <c r="P2255" s="221" t="s">
        <v>3345</v>
      </c>
      <c r="Q2255" s="221">
        <v>0</v>
      </c>
      <c r="R2255" s="221">
        <v>0</v>
      </c>
      <c r="S2255" s="221"/>
      <c r="T2255" s="221"/>
      <c r="U2255" s="221"/>
      <c r="V2255" s="221"/>
      <c r="W2255" s="221"/>
      <c r="X2255" s="221"/>
      <c r="Y2255" s="227"/>
      <c r="Z2255" s="227" t="str">
        <f>P2255</f>
        <v>Purchase</v>
      </c>
      <c r="AA2255" s="276" t="e">
        <f>VLOOKUP(Logfile_S[[#This Row],[DO number]],DO_DB!G:I,3,0)</f>
        <v>#N/A</v>
      </c>
      <c r="AB2255" s="331" t="e">
        <f>EXACT(Logfile_S[[#This Row],[date pick]],Logfile_S[[#This Row],[Date]])</f>
        <v>#N/A</v>
      </c>
      <c r="AC22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56" spans="1:29" ht="14.5">
      <c r="A2256" s="220" t="str">
        <f>TEXT(ROW(A2256)-ROW($A$4),"000")</f>
        <v>2252</v>
      </c>
      <c r="B2256" s="221"/>
      <c r="C2256" s="221" t="s">
        <v>48</v>
      </c>
      <c r="D2256" s="221" t="s">
        <v>3787</v>
      </c>
      <c r="E2256" s="221" t="s">
        <v>3295</v>
      </c>
      <c r="F2256" s="221" t="s">
        <v>3299</v>
      </c>
      <c r="G2256" s="222">
        <v>45220</v>
      </c>
      <c r="H2256" s="223">
        <v>15.291666666666666</v>
      </c>
      <c r="I2256" s="221" t="s">
        <v>38</v>
      </c>
      <c r="J2256" s="221" t="s">
        <v>3024</v>
      </c>
      <c r="K2256" s="224" t="s">
        <v>3091</v>
      </c>
      <c r="L2256" s="225" t="str">
        <f>VLOOKUP(Logfile_S[[#This Row],[Material Name]],Sheet2!B:C,2,0)</f>
        <v>GCI1005</v>
      </c>
      <c r="M2256" s="225" t="str">
        <f>_xlfn.XLOOKUP(Logfile_S[[#This Row],[Material Name]],Sum_WH!E:E,Sum_WH!F:F,"",0)</f>
        <v>Pcs</v>
      </c>
      <c r="N2256" s="221">
        <v>143</v>
      </c>
      <c r="O2256" s="221" t="s">
        <v>3344</v>
      </c>
      <c r="P2256" s="221" t="s">
        <v>3345</v>
      </c>
      <c r="Q2256" s="221">
        <v>0</v>
      </c>
      <c r="R2256" s="221">
        <v>0</v>
      </c>
      <c r="S2256" s="221"/>
      <c r="T2256" s="221"/>
      <c r="U2256" s="221"/>
      <c r="V2256" s="221"/>
      <c r="W2256" s="221"/>
      <c r="X2256" s="221" t="s">
        <v>3350</v>
      </c>
      <c r="Y2256" s="227"/>
      <c r="Z2256" s="227" t="str">
        <f>P2256</f>
        <v>Purchase</v>
      </c>
      <c r="AA2256" s="276" t="e">
        <f>VLOOKUP(Logfile_S[[#This Row],[DO number]],DO_DB!G:I,3,0)</f>
        <v>#N/A</v>
      </c>
      <c r="AB2256" s="331" t="e">
        <f>EXACT(Logfile_S[[#This Row],[date pick]],Logfile_S[[#This Row],[Date]])</f>
        <v>#N/A</v>
      </c>
      <c r="AC22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57" spans="1:29" ht="14.5">
      <c r="A2257" s="220" t="str">
        <f>TEXT(ROW(A2257)-ROW($A$4),"000")</f>
        <v>2253</v>
      </c>
      <c r="B2257" s="221"/>
      <c r="C2257" s="221" t="s">
        <v>48</v>
      </c>
      <c r="D2257" s="221" t="s">
        <v>3787</v>
      </c>
      <c r="E2257" s="221" t="s">
        <v>3295</v>
      </c>
      <c r="F2257" s="221" t="s">
        <v>3299</v>
      </c>
      <c r="G2257" s="222">
        <v>45220</v>
      </c>
      <c r="H2257" s="223">
        <v>15.291666666666666</v>
      </c>
      <c r="I2257" s="221" t="s">
        <v>38</v>
      </c>
      <c r="J2257" s="221" t="s">
        <v>3024</v>
      </c>
      <c r="K2257" s="224" t="s">
        <v>3239</v>
      </c>
      <c r="L2257" s="225" t="str">
        <f>VLOOKUP(Logfile_S[[#This Row],[Material Name]],Sheet2!B:C,2,0)</f>
        <v>GCI1001</v>
      </c>
      <c r="M2257" s="225" t="str">
        <f>_xlfn.XLOOKUP(Logfile_S[[#This Row],[Material Name]],Sum_WH!E:E,Sum_WH!F:F,"",0)</f>
        <v>Pcs</v>
      </c>
      <c r="N2257" s="221">
        <v>88</v>
      </c>
      <c r="O2257" s="221" t="s">
        <v>3344</v>
      </c>
      <c r="P2257" s="221" t="s">
        <v>3345</v>
      </c>
      <c r="Q2257" s="221">
        <v>0</v>
      </c>
      <c r="R2257" s="221">
        <v>0</v>
      </c>
      <c r="S2257" s="221"/>
      <c r="T2257" s="221"/>
      <c r="U2257" s="221"/>
      <c r="V2257" s="221"/>
      <c r="W2257" s="221"/>
      <c r="X2257" s="221" t="s">
        <v>3350</v>
      </c>
      <c r="Y2257" s="227"/>
      <c r="Z2257" s="227" t="str">
        <f>P2257</f>
        <v>Purchase</v>
      </c>
      <c r="AA2257" s="276" t="e">
        <f>VLOOKUP(Logfile_S[[#This Row],[DO number]],DO_DB!G:I,3,0)</f>
        <v>#N/A</v>
      </c>
      <c r="AB2257" s="331" t="e">
        <f>EXACT(Logfile_S[[#This Row],[date pick]],Logfile_S[[#This Row],[Date]])</f>
        <v>#N/A</v>
      </c>
      <c r="AC22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58" spans="1:29" ht="14.5">
      <c r="A2258" s="220" t="str">
        <f>TEXT(ROW(A2258)-ROW($A$4),"000")</f>
        <v>2254</v>
      </c>
      <c r="B2258" s="221"/>
      <c r="C2258" s="221" t="s">
        <v>48</v>
      </c>
      <c r="D2258" s="221" t="s">
        <v>3787</v>
      </c>
      <c r="E2258" s="221" t="s">
        <v>3295</v>
      </c>
      <c r="F2258" s="221" t="s">
        <v>3299</v>
      </c>
      <c r="G2258" s="222">
        <v>45220</v>
      </c>
      <c r="H2258" s="223">
        <v>15.291666666666666</v>
      </c>
      <c r="I2258" s="221" t="s">
        <v>38</v>
      </c>
      <c r="J2258" s="221" t="s">
        <v>3024</v>
      </c>
      <c r="K2258" s="224" t="s">
        <v>5137</v>
      </c>
      <c r="L2258" s="225" t="str">
        <f>VLOOKUP(Logfile_S[[#This Row],[Material Name]],Sheet2!B:C,2,0)</f>
        <v>GCI1009</v>
      </c>
      <c r="M2258" s="225" t="str">
        <f>_xlfn.XLOOKUP(Logfile_S[[#This Row],[Material Name]],Sum_WH!E:E,Sum_WH!F:F,"",0)</f>
        <v>Pcs</v>
      </c>
      <c r="N2258" s="221">
        <v>310</v>
      </c>
      <c r="O2258" s="221" t="s">
        <v>3344</v>
      </c>
      <c r="P2258" s="221" t="s">
        <v>3345</v>
      </c>
      <c r="Q2258" s="221">
        <v>0</v>
      </c>
      <c r="R2258" s="221">
        <v>0</v>
      </c>
      <c r="S2258" s="221"/>
      <c r="T2258" s="221"/>
      <c r="U2258" s="221"/>
      <c r="V2258" s="221"/>
      <c r="W2258" s="221"/>
      <c r="X2258" s="221" t="s">
        <v>3350</v>
      </c>
      <c r="Y2258" s="227"/>
      <c r="Z2258" s="227" t="str">
        <f>P2258</f>
        <v>Purchase</v>
      </c>
      <c r="AA2258" s="276" t="e">
        <f>VLOOKUP(Logfile_S[[#This Row],[DO number]],DO_DB!G:I,3,0)</f>
        <v>#N/A</v>
      </c>
      <c r="AB2258" s="331" t="e">
        <f>EXACT(Logfile_S[[#This Row],[date pick]],Logfile_S[[#This Row],[Date]])</f>
        <v>#N/A</v>
      </c>
      <c r="AC22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59" spans="1:29" ht="14.5">
      <c r="A2259" s="220" t="str">
        <f>TEXT(ROW(A2259)-ROW($A$4),"000")</f>
        <v>2255</v>
      </c>
      <c r="B2259" s="221"/>
      <c r="C2259" s="221" t="s">
        <v>48</v>
      </c>
      <c r="D2259" s="221" t="s">
        <v>3787</v>
      </c>
      <c r="E2259" s="221" t="s">
        <v>3295</v>
      </c>
      <c r="F2259" s="221" t="s">
        <v>3299</v>
      </c>
      <c r="G2259" s="222">
        <v>45220</v>
      </c>
      <c r="H2259" s="223">
        <v>15.291666666666666</v>
      </c>
      <c r="I2259" s="221" t="s">
        <v>38</v>
      </c>
      <c r="J2259" s="221" t="s">
        <v>3024</v>
      </c>
      <c r="K2259" s="224" t="s">
        <v>3088</v>
      </c>
      <c r="L2259" s="225" t="str">
        <f>VLOOKUP(Logfile_S[[#This Row],[Material Name]],Sheet2!B:C,2,0)</f>
        <v>GCI1002</v>
      </c>
      <c r="M2259" s="225" t="str">
        <f>_xlfn.XLOOKUP(Logfile_S[[#This Row],[Material Name]],Sum_WH!E:E,Sum_WH!F:F,"",0)</f>
        <v>Pcs</v>
      </c>
      <c r="N2259" s="221">
        <v>9</v>
      </c>
      <c r="O2259" s="221" t="s">
        <v>3344</v>
      </c>
      <c r="P2259" s="221" t="s">
        <v>3345</v>
      </c>
      <c r="Q2259" s="221">
        <v>0</v>
      </c>
      <c r="R2259" s="221">
        <v>0</v>
      </c>
      <c r="S2259" s="221"/>
      <c r="T2259" s="221"/>
      <c r="U2259" s="221"/>
      <c r="V2259" s="221"/>
      <c r="W2259" s="221"/>
      <c r="X2259" s="221" t="s">
        <v>3350</v>
      </c>
      <c r="Y2259" s="227"/>
      <c r="Z2259" s="227" t="str">
        <f>P2259</f>
        <v>Purchase</v>
      </c>
      <c r="AA2259" s="276" t="e">
        <f>VLOOKUP(Logfile_S[[#This Row],[DO number]],DO_DB!G:I,3,0)</f>
        <v>#N/A</v>
      </c>
      <c r="AB2259" s="331" t="e">
        <f>EXACT(Logfile_S[[#This Row],[date pick]],Logfile_S[[#This Row],[Date]])</f>
        <v>#N/A</v>
      </c>
      <c r="AC22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60" spans="1:29" ht="14.5">
      <c r="A2260" s="220" t="str">
        <f>TEXT(ROW(A2260)-ROW($A$4),"000")</f>
        <v>2256</v>
      </c>
      <c r="B2260" s="221"/>
      <c r="C2260" s="221" t="s">
        <v>48</v>
      </c>
      <c r="D2260" s="221" t="s">
        <v>3787</v>
      </c>
      <c r="E2260" s="221" t="s">
        <v>3295</v>
      </c>
      <c r="F2260" s="221" t="s">
        <v>3299</v>
      </c>
      <c r="G2260" s="222">
        <v>45220</v>
      </c>
      <c r="H2260" s="223">
        <v>15.291666666666666</v>
      </c>
      <c r="I2260" s="221" t="s">
        <v>38</v>
      </c>
      <c r="J2260" s="221" t="s">
        <v>3024</v>
      </c>
      <c r="K2260" s="224" t="s">
        <v>3230</v>
      </c>
      <c r="L2260" s="225" t="str">
        <f>VLOOKUP(Logfile_S[[#This Row],[Material Name]],Sheet2!B:C,2,0)</f>
        <v>GCI1008</v>
      </c>
      <c r="M2260" s="225" t="str">
        <f>_xlfn.XLOOKUP(Logfile_S[[#This Row],[Material Name]],Sum_WH!E:E,Sum_WH!F:F,"",0)</f>
        <v>Pcs</v>
      </c>
      <c r="N2260" s="221">
        <v>204</v>
      </c>
      <c r="O2260" s="221" t="s">
        <v>3344</v>
      </c>
      <c r="P2260" s="221" t="s">
        <v>3345</v>
      </c>
      <c r="Q2260" s="221">
        <v>0</v>
      </c>
      <c r="R2260" s="221">
        <v>0</v>
      </c>
      <c r="S2260" s="221"/>
      <c r="T2260" s="221"/>
      <c r="U2260" s="221"/>
      <c r="V2260" s="221"/>
      <c r="W2260" s="221"/>
      <c r="X2260" s="221" t="s">
        <v>3350</v>
      </c>
      <c r="Y2260" s="227"/>
      <c r="Z2260" s="227" t="str">
        <f>P2260</f>
        <v>Purchase</v>
      </c>
      <c r="AA2260" s="276" t="e">
        <f>VLOOKUP(Logfile_S[[#This Row],[DO number]],DO_DB!G:I,3,0)</f>
        <v>#N/A</v>
      </c>
      <c r="AB2260" s="331" t="e">
        <f>EXACT(Logfile_S[[#This Row],[date pick]],Logfile_S[[#This Row],[Date]])</f>
        <v>#N/A</v>
      </c>
      <c r="AC22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61" spans="1:29" ht="14.5">
      <c r="A2261" s="220" t="str">
        <f>TEXT(ROW(A2261)-ROW($A$4),"000")</f>
        <v>2257</v>
      </c>
      <c r="B2261" s="221"/>
      <c r="C2261" s="221" t="s">
        <v>48</v>
      </c>
      <c r="D2261" s="221" t="s">
        <v>3787</v>
      </c>
      <c r="E2261" s="221" t="s">
        <v>3295</v>
      </c>
      <c r="F2261" s="221" t="s">
        <v>3299</v>
      </c>
      <c r="G2261" s="222">
        <v>45220</v>
      </c>
      <c r="H2261" s="223">
        <v>15.291666666666666</v>
      </c>
      <c r="I2261" s="221" t="s">
        <v>38</v>
      </c>
      <c r="J2261" s="221" t="s">
        <v>3024</v>
      </c>
      <c r="K2261" s="224" t="s">
        <v>3089</v>
      </c>
      <c r="L2261" s="225" t="str">
        <f>VLOOKUP(Logfile_S[[#This Row],[Material Name]],Sheet2!B:C,2,0)</f>
        <v>GCI1003</v>
      </c>
      <c r="M2261" s="225" t="str">
        <f>_xlfn.XLOOKUP(Logfile_S[[#This Row],[Material Name]],Sum_WH!E:E,Sum_WH!F:F,"",0)</f>
        <v>Pcs</v>
      </c>
      <c r="N2261" s="221">
        <v>204</v>
      </c>
      <c r="O2261" s="221" t="s">
        <v>3344</v>
      </c>
      <c r="P2261" s="221" t="s">
        <v>3345</v>
      </c>
      <c r="Q2261" s="221">
        <v>0</v>
      </c>
      <c r="R2261" s="221">
        <v>0</v>
      </c>
      <c r="S2261" s="221"/>
      <c r="T2261" s="221"/>
      <c r="U2261" s="221"/>
      <c r="V2261" s="221"/>
      <c r="W2261" s="221"/>
      <c r="X2261" s="221" t="s">
        <v>3350</v>
      </c>
      <c r="Y2261" s="227"/>
      <c r="Z2261" s="227" t="str">
        <f>P2261</f>
        <v>Purchase</v>
      </c>
      <c r="AA2261" s="276" t="e">
        <f>VLOOKUP(Logfile_S[[#This Row],[DO number]],DO_DB!G:I,3,0)</f>
        <v>#N/A</v>
      </c>
      <c r="AB2261" s="331" t="e">
        <f>EXACT(Logfile_S[[#This Row],[date pick]],Logfile_S[[#This Row],[Date]])</f>
        <v>#N/A</v>
      </c>
      <c r="AC22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62" spans="1:29" ht="14.5">
      <c r="A2262" s="220" t="str">
        <f>TEXT(ROW(A2262)-ROW($A$4),"000")</f>
        <v>2258</v>
      </c>
      <c r="B2262" s="221"/>
      <c r="C2262" s="221" t="s">
        <v>48</v>
      </c>
      <c r="D2262" s="221" t="s">
        <v>3787</v>
      </c>
      <c r="E2262" s="221" t="s">
        <v>3295</v>
      </c>
      <c r="F2262" s="221" t="s">
        <v>3299</v>
      </c>
      <c r="G2262" s="222">
        <v>45220</v>
      </c>
      <c r="H2262" s="223">
        <v>15.291666666666666</v>
      </c>
      <c r="I2262" s="221" t="s">
        <v>38</v>
      </c>
      <c r="J2262" s="221" t="s">
        <v>3024</v>
      </c>
      <c r="K2262" s="224" t="s">
        <v>3090</v>
      </c>
      <c r="L2262" s="225" t="str">
        <f>VLOOKUP(Logfile_S[[#This Row],[Material Name]],Sheet2!B:C,2,0)</f>
        <v>GCI1004</v>
      </c>
      <c r="M2262" s="225" t="str">
        <f>_xlfn.XLOOKUP(Logfile_S[[#This Row],[Material Name]],Sum_WH!E:E,Sum_WH!F:F,"",0)</f>
        <v>Pcs</v>
      </c>
      <c r="N2262" s="221">
        <v>200</v>
      </c>
      <c r="O2262" s="221" t="s">
        <v>3344</v>
      </c>
      <c r="P2262" s="221" t="s">
        <v>3345</v>
      </c>
      <c r="Q2262" s="221">
        <v>0</v>
      </c>
      <c r="R2262" s="221">
        <v>0</v>
      </c>
      <c r="S2262" s="221"/>
      <c r="T2262" s="221"/>
      <c r="U2262" s="221"/>
      <c r="V2262" s="221"/>
      <c r="W2262" s="221"/>
      <c r="X2262" s="221" t="s">
        <v>3350</v>
      </c>
      <c r="Y2262" s="227"/>
      <c r="Z2262" s="227" t="str">
        <f>P2262</f>
        <v>Purchase</v>
      </c>
      <c r="AA2262" s="276" t="e">
        <f>VLOOKUP(Logfile_S[[#This Row],[DO number]],DO_DB!G:I,3,0)</f>
        <v>#N/A</v>
      </c>
      <c r="AB2262" s="331" t="e">
        <f>EXACT(Logfile_S[[#This Row],[date pick]],Logfile_S[[#This Row],[Date]])</f>
        <v>#N/A</v>
      </c>
      <c r="AC22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63" spans="1:29" ht="14.5">
      <c r="A2263" s="220" t="str">
        <f>TEXT(ROW(A2263)-ROW($A$4),"000")</f>
        <v>2259</v>
      </c>
      <c r="B2263" s="221"/>
      <c r="C2263" s="221" t="s">
        <v>48</v>
      </c>
      <c r="D2263" s="221" t="s">
        <v>3798</v>
      </c>
      <c r="E2263" s="221" t="s">
        <v>3295</v>
      </c>
      <c r="F2263" s="221" t="s">
        <v>3299</v>
      </c>
      <c r="G2263" s="222">
        <v>45224</v>
      </c>
      <c r="H2263" s="223">
        <v>15.291666666666666</v>
      </c>
      <c r="I2263" s="221" t="s">
        <v>38</v>
      </c>
      <c r="J2263" s="221" t="s">
        <v>3024</v>
      </c>
      <c r="K2263" s="224" t="s">
        <v>3210</v>
      </c>
      <c r="L2263" s="225" t="str">
        <f>VLOOKUP(Logfile_S[[#This Row],[Material Name]],Sheet2!B:C,2,0)</f>
        <v>GCI1011</v>
      </c>
      <c r="M2263" s="225" t="str">
        <f>_xlfn.XLOOKUP(Logfile_S[[#This Row],[Material Name]],Sum_WH!E:E,Sum_WH!F:F,"",0)</f>
        <v>Pcs</v>
      </c>
      <c r="N2263" s="221">
        <v>1</v>
      </c>
      <c r="O2263" s="221" t="s">
        <v>3344</v>
      </c>
      <c r="P2263" s="221" t="s">
        <v>3345</v>
      </c>
      <c r="Q2263" s="221">
        <v>0</v>
      </c>
      <c r="R2263" s="221">
        <v>0</v>
      </c>
      <c r="S2263" s="221"/>
      <c r="T2263" s="221"/>
      <c r="U2263" s="221"/>
      <c r="V2263" s="221"/>
      <c r="W2263" s="221"/>
      <c r="X2263" s="221" t="s">
        <v>3458</v>
      </c>
      <c r="Y2263" s="227"/>
      <c r="Z2263" s="227" t="str">
        <f>P2263</f>
        <v>Purchase</v>
      </c>
      <c r="AA2263" s="276" t="e">
        <f>VLOOKUP(Logfile_S[[#This Row],[DO number]],DO_DB!G:I,3,0)</f>
        <v>#N/A</v>
      </c>
      <c r="AB2263" s="331" t="e">
        <f>EXACT(Logfile_S[[#This Row],[date pick]],Logfile_S[[#This Row],[Date]])</f>
        <v>#N/A</v>
      </c>
      <c r="AC22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64" spans="1:29" ht="14.5">
      <c r="A2264" s="220" t="str">
        <f>TEXT(ROW(A2264)-ROW($A$4),"000")</f>
        <v>2260</v>
      </c>
      <c r="B2264" s="221"/>
      <c r="C2264" s="221" t="s">
        <v>48</v>
      </c>
      <c r="D2264" s="221" t="s">
        <v>3800</v>
      </c>
      <c r="E2264" s="221" t="s">
        <v>3295</v>
      </c>
      <c r="F2264" s="221" t="s">
        <v>3299</v>
      </c>
      <c r="G2264" s="222">
        <v>45227</v>
      </c>
      <c r="H2264" s="223">
        <v>15.291666666666666</v>
      </c>
      <c r="I2264" s="221" t="s">
        <v>38</v>
      </c>
      <c r="J2264" s="221" t="s">
        <v>3024</v>
      </c>
      <c r="K2264" s="224" t="s">
        <v>3107</v>
      </c>
      <c r="L2264" s="225" t="str">
        <f>VLOOKUP(Logfile_S[[#This Row],[Material Name]],Sheet2!B:C,2,0)</f>
        <v>GCI1019</v>
      </c>
      <c r="M2264" s="225" t="str">
        <f>_xlfn.XLOOKUP(Logfile_S[[#This Row],[Material Name]],Sum_WH!E:E,Sum_WH!F:F,"",0)</f>
        <v>Pcs</v>
      </c>
      <c r="N2264" s="221">
        <v>200</v>
      </c>
      <c r="O2264" s="221" t="s">
        <v>3344</v>
      </c>
      <c r="P2264" s="221" t="s">
        <v>3345</v>
      </c>
      <c r="Q2264" s="221">
        <v>0</v>
      </c>
      <c r="R2264" s="221">
        <v>0</v>
      </c>
      <c r="S2264" s="221"/>
      <c r="T2264" s="221"/>
      <c r="U2264" s="221"/>
      <c r="V2264" s="221"/>
      <c r="W2264" s="221"/>
      <c r="X2264" s="221" t="s">
        <v>3356</v>
      </c>
      <c r="Y2264" s="227"/>
      <c r="Z2264" s="227" t="str">
        <f>P2264</f>
        <v>Purchase</v>
      </c>
      <c r="AA2264" s="276" t="e">
        <f>VLOOKUP(Logfile_S[[#This Row],[DO number]],DO_DB!G:I,3,0)</f>
        <v>#N/A</v>
      </c>
      <c r="AB2264" s="331" t="e">
        <f>EXACT(Logfile_S[[#This Row],[date pick]],Logfile_S[[#This Row],[Date]])</f>
        <v>#N/A</v>
      </c>
      <c r="AC22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65" spans="1:29" ht="14.5">
      <c r="A2265" s="220" t="str">
        <f>TEXT(ROW(A2265)-ROW($A$4),"000")</f>
        <v>2261</v>
      </c>
      <c r="B2265" s="221"/>
      <c r="C2265" s="221" t="s">
        <v>48</v>
      </c>
      <c r="D2265" s="221" t="s">
        <v>3804</v>
      </c>
      <c r="E2265" s="221" t="s">
        <v>3295</v>
      </c>
      <c r="F2265" s="221" t="s">
        <v>3299</v>
      </c>
      <c r="G2265" s="222">
        <v>45236</v>
      </c>
      <c r="H2265" s="223">
        <v>15.291666666666666</v>
      </c>
      <c r="I2265" s="221" t="s">
        <v>38</v>
      </c>
      <c r="J2265" s="221" t="s">
        <v>3024</v>
      </c>
      <c r="K2265" s="224" t="s">
        <v>3101</v>
      </c>
      <c r="L2265" s="225" t="str">
        <f>VLOOKUP(Logfile_S[[#This Row],[Material Name]],Sheet2!B:C,2,0)</f>
        <v>GCI1015</v>
      </c>
      <c r="M2265" s="225" t="str">
        <f>_xlfn.XLOOKUP(Logfile_S[[#This Row],[Material Name]],Sum_WH!E:E,Sum_WH!F:F,"",0)</f>
        <v>Pcs</v>
      </c>
      <c r="N2265" s="221">
        <v>35</v>
      </c>
      <c r="O2265" s="221" t="s">
        <v>3344</v>
      </c>
      <c r="P2265" s="221" t="s">
        <v>3345</v>
      </c>
      <c r="Q2265" s="221">
        <v>0</v>
      </c>
      <c r="R2265" s="221">
        <v>0</v>
      </c>
      <c r="S2265" s="221"/>
      <c r="T2265" s="221"/>
      <c r="U2265" s="221"/>
      <c r="V2265" s="221"/>
      <c r="W2265" s="221"/>
      <c r="X2265" s="221" t="s">
        <v>3426</v>
      </c>
      <c r="Y2265" s="227"/>
      <c r="Z2265" s="227" t="str">
        <f>P2265</f>
        <v>Purchase</v>
      </c>
      <c r="AA2265" s="276" t="e">
        <f>VLOOKUP(Logfile_S[[#This Row],[DO number]],DO_DB!G:I,3,0)</f>
        <v>#N/A</v>
      </c>
      <c r="AB2265" s="331" t="e">
        <f>EXACT(Logfile_S[[#This Row],[date pick]],Logfile_S[[#This Row],[Date]])</f>
        <v>#N/A</v>
      </c>
      <c r="AC22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66" spans="1:29" ht="14.5">
      <c r="A2266" s="220" t="str">
        <f>TEXT(ROW(A2266)-ROW($A$4),"000")</f>
        <v>2262</v>
      </c>
      <c r="B2266" s="221"/>
      <c r="C2266" s="221" t="s">
        <v>48</v>
      </c>
      <c r="D2266" s="221" t="s">
        <v>3818</v>
      </c>
      <c r="E2266" s="221" t="s">
        <v>3295</v>
      </c>
      <c r="F2266" s="221" t="s">
        <v>3299</v>
      </c>
      <c r="G2266" s="222">
        <v>45256</v>
      </c>
      <c r="H2266" s="223">
        <v>15.291666666666666</v>
      </c>
      <c r="I2266" s="221" t="s">
        <v>38</v>
      </c>
      <c r="J2266" s="221" t="s">
        <v>3024</v>
      </c>
      <c r="K2266" s="224" t="s">
        <v>3097</v>
      </c>
      <c r="L2266" s="225" t="str">
        <f>VLOOKUP(Logfile_S[[#This Row],[Material Name]],Sheet2!B:C,2,0)</f>
        <v>GCI1011</v>
      </c>
      <c r="M2266" s="225" t="str">
        <f>_xlfn.XLOOKUP(Logfile_S[[#This Row],[Material Name]],Sum_WH!E:E,Sum_WH!F:F,"",0)</f>
        <v>Pcs</v>
      </c>
      <c r="N2266" s="221">
        <v>1</v>
      </c>
      <c r="O2266" s="221" t="s">
        <v>3344</v>
      </c>
      <c r="P2266" s="221" t="s">
        <v>3345</v>
      </c>
      <c r="Q2266" s="221">
        <v>0</v>
      </c>
      <c r="R2266" s="221">
        <v>0</v>
      </c>
      <c r="S2266" s="221"/>
      <c r="T2266" s="221"/>
      <c r="U2266" s="221"/>
      <c r="V2266" s="221"/>
      <c r="W2266" s="221"/>
      <c r="X2266" s="221"/>
      <c r="Y2266" s="227"/>
      <c r="Z2266" s="227" t="str">
        <f>P2266</f>
        <v>Purchase</v>
      </c>
      <c r="AA2266" s="276" t="e">
        <f>VLOOKUP(Logfile_S[[#This Row],[DO number]],DO_DB!G:I,3,0)</f>
        <v>#N/A</v>
      </c>
      <c r="AB2266" s="331" t="e">
        <f>EXACT(Logfile_S[[#This Row],[date pick]],Logfile_S[[#This Row],[Date]])</f>
        <v>#N/A</v>
      </c>
      <c r="AC22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67" spans="1:29" ht="14.5">
      <c r="A2267" s="220" t="str">
        <f>TEXT(ROW(A2267)-ROW($A$4),"000")</f>
        <v>2263</v>
      </c>
      <c r="B2267" s="221"/>
      <c r="C2267" s="221" t="s">
        <v>48</v>
      </c>
      <c r="D2267" s="221" t="s">
        <v>3818</v>
      </c>
      <c r="E2267" s="221" t="s">
        <v>3295</v>
      </c>
      <c r="F2267" s="221" t="s">
        <v>3299</v>
      </c>
      <c r="G2267" s="222">
        <v>45256</v>
      </c>
      <c r="H2267" s="223">
        <v>15.291666666666666</v>
      </c>
      <c r="I2267" s="221" t="s">
        <v>38</v>
      </c>
      <c r="J2267" s="221" t="s">
        <v>3024</v>
      </c>
      <c r="K2267" s="224" t="s">
        <v>3091</v>
      </c>
      <c r="L2267" s="225" t="str">
        <f>VLOOKUP(Logfile_S[[#This Row],[Material Name]],Sheet2!B:C,2,0)</f>
        <v>GCI1005</v>
      </c>
      <c r="M2267" s="225" t="str">
        <f>_xlfn.XLOOKUP(Logfile_S[[#This Row],[Material Name]],Sum_WH!E:E,Sum_WH!F:F,"",0)</f>
        <v>Pcs</v>
      </c>
      <c r="N2267" s="221">
        <v>20</v>
      </c>
      <c r="O2267" s="221" t="s">
        <v>3344</v>
      </c>
      <c r="P2267" s="221" t="s">
        <v>3345</v>
      </c>
      <c r="Q2267" s="221">
        <v>0</v>
      </c>
      <c r="R2267" s="221">
        <v>0</v>
      </c>
      <c r="S2267" s="221"/>
      <c r="T2267" s="221"/>
      <c r="U2267" s="221"/>
      <c r="V2267" s="221"/>
      <c r="W2267" s="221"/>
      <c r="X2267" s="221"/>
      <c r="Y2267" s="227"/>
      <c r="Z2267" s="227" t="str">
        <f>P2267</f>
        <v>Purchase</v>
      </c>
      <c r="AA2267" s="276" t="e">
        <f>VLOOKUP(Logfile_S[[#This Row],[DO number]],DO_DB!G:I,3,0)</f>
        <v>#N/A</v>
      </c>
      <c r="AB2267" s="331" t="e">
        <f>EXACT(Logfile_S[[#This Row],[date pick]],Logfile_S[[#This Row],[Date]])</f>
        <v>#N/A</v>
      </c>
      <c r="AC22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68" spans="1:29" ht="14.5">
      <c r="A2268" s="220" t="str">
        <f>TEXT(ROW(A2268)-ROW($A$4),"000")</f>
        <v>2264</v>
      </c>
      <c r="B2268" s="221"/>
      <c r="C2268" s="221" t="s">
        <v>48</v>
      </c>
      <c r="D2268" s="221" t="s">
        <v>3818</v>
      </c>
      <c r="E2268" s="221" t="s">
        <v>3295</v>
      </c>
      <c r="F2268" s="221" t="s">
        <v>3299</v>
      </c>
      <c r="G2268" s="222">
        <v>45256</v>
      </c>
      <c r="H2268" s="223">
        <v>15.291666666666666</v>
      </c>
      <c r="I2268" s="221" t="s">
        <v>38</v>
      </c>
      <c r="J2268" s="221" t="s">
        <v>3024</v>
      </c>
      <c r="K2268" s="224" t="s">
        <v>3094</v>
      </c>
      <c r="L2268" s="225" t="str">
        <f>VLOOKUP(Logfile_S[[#This Row],[Material Name]],Sheet2!B:C,2,0)</f>
        <v>GCI1008</v>
      </c>
      <c r="M2268" s="225" t="str">
        <f>_xlfn.XLOOKUP(Logfile_S[[#This Row],[Material Name]],Sum_WH!E:E,Sum_WH!F:F,"",0)</f>
        <v>Pcs</v>
      </c>
      <c r="N2268" s="221">
        <v>120</v>
      </c>
      <c r="O2268" s="221" t="s">
        <v>3344</v>
      </c>
      <c r="P2268" s="221" t="s">
        <v>3345</v>
      </c>
      <c r="Q2268" s="221">
        <v>0</v>
      </c>
      <c r="R2268" s="221">
        <v>0</v>
      </c>
      <c r="S2268" s="221"/>
      <c r="T2268" s="221"/>
      <c r="U2268" s="221"/>
      <c r="V2268" s="221"/>
      <c r="W2268" s="221"/>
      <c r="X2268" s="221"/>
      <c r="Y2268" s="227"/>
      <c r="Z2268" s="227" t="str">
        <f>P2268</f>
        <v>Purchase</v>
      </c>
      <c r="AA2268" s="276" t="e">
        <f>VLOOKUP(Logfile_S[[#This Row],[DO number]],DO_DB!G:I,3,0)</f>
        <v>#N/A</v>
      </c>
      <c r="AB2268" s="331" t="e">
        <f>EXACT(Logfile_S[[#This Row],[date pick]],Logfile_S[[#This Row],[Date]])</f>
        <v>#N/A</v>
      </c>
      <c r="AC22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69" spans="1:29" ht="14.5">
      <c r="A2269" s="220" t="str">
        <f>TEXT(ROW(A2269)-ROW($A$4),"000")</f>
        <v>2265</v>
      </c>
      <c r="B2269" s="221"/>
      <c r="C2269" s="221" t="s">
        <v>48</v>
      </c>
      <c r="D2269" s="221" t="s">
        <v>3818</v>
      </c>
      <c r="E2269" s="221" t="s">
        <v>3295</v>
      </c>
      <c r="F2269" s="221" t="s">
        <v>3299</v>
      </c>
      <c r="G2269" s="222">
        <v>45256</v>
      </c>
      <c r="H2269" s="223">
        <v>15.291666666666666</v>
      </c>
      <c r="I2269" s="221" t="s">
        <v>38</v>
      </c>
      <c r="J2269" s="221" t="s">
        <v>3024</v>
      </c>
      <c r="K2269" s="224" t="s">
        <v>3089</v>
      </c>
      <c r="L2269" s="225" t="str">
        <f>VLOOKUP(Logfile_S[[#This Row],[Material Name]],Sheet2!B:C,2,0)</f>
        <v>GCI1003</v>
      </c>
      <c r="M2269" s="225" t="str">
        <f>_xlfn.XLOOKUP(Logfile_S[[#This Row],[Material Name]],Sum_WH!E:E,Sum_WH!F:F,"",0)</f>
        <v>Pcs</v>
      </c>
      <c r="N2269" s="221">
        <v>115</v>
      </c>
      <c r="O2269" s="221" t="s">
        <v>3344</v>
      </c>
      <c r="P2269" s="221" t="s">
        <v>3345</v>
      </c>
      <c r="Q2269" s="221">
        <v>0</v>
      </c>
      <c r="R2269" s="221">
        <v>0</v>
      </c>
      <c r="S2269" s="221"/>
      <c r="T2269" s="221"/>
      <c r="U2269" s="221"/>
      <c r="V2269" s="221"/>
      <c r="W2269" s="221"/>
      <c r="X2269" s="221"/>
      <c r="Y2269" s="227"/>
      <c r="Z2269" s="227" t="str">
        <f>P2269</f>
        <v>Purchase</v>
      </c>
      <c r="AA2269" s="276" t="e">
        <f>VLOOKUP(Logfile_S[[#This Row],[DO number]],DO_DB!G:I,3,0)</f>
        <v>#N/A</v>
      </c>
      <c r="AB2269" s="331" t="e">
        <f>EXACT(Logfile_S[[#This Row],[date pick]],Logfile_S[[#This Row],[Date]])</f>
        <v>#N/A</v>
      </c>
      <c r="AC22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70" spans="1:29" ht="14.5">
      <c r="A2270" s="220" t="str">
        <f>TEXT(ROW(A2270)-ROW($A$4),"000")</f>
        <v>2266</v>
      </c>
      <c r="B2270" s="221"/>
      <c r="C2270" s="221" t="s">
        <v>48</v>
      </c>
      <c r="D2270" s="221" t="s">
        <v>3818</v>
      </c>
      <c r="E2270" s="221" t="s">
        <v>3295</v>
      </c>
      <c r="F2270" s="221" t="s">
        <v>3299</v>
      </c>
      <c r="G2270" s="222">
        <v>45256</v>
      </c>
      <c r="H2270" s="223">
        <v>15.291666666666666</v>
      </c>
      <c r="I2270" s="221" t="s">
        <v>38</v>
      </c>
      <c r="J2270" s="221" t="s">
        <v>3024</v>
      </c>
      <c r="K2270" s="224" t="s">
        <v>3467</v>
      </c>
      <c r="L2270" s="225" t="str">
        <f>VLOOKUP(Logfile_S[[#This Row],[Material Name]],Sheet2!B:C,2,0)</f>
        <v>GCI1004</v>
      </c>
      <c r="M2270" s="225" t="str">
        <f>_xlfn.XLOOKUP(Logfile_S[[#This Row],[Material Name]],Sum_WH!E:E,Sum_WH!F:F,"",0)</f>
        <v>Pcs</v>
      </c>
      <c r="N2270" s="221">
        <v>50</v>
      </c>
      <c r="O2270" s="221" t="s">
        <v>3344</v>
      </c>
      <c r="P2270" s="221" t="s">
        <v>3345</v>
      </c>
      <c r="Q2270" s="221">
        <v>0</v>
      </c>
      <c r="R2270" s="221">
        <v>0</v>
      </c>
      <c r="S2270" s="221"/>
      <c r="T2270" s="221"/>
      <c r="U2270" s="221"/>
      <c r="V2270" s="221"/>
      <c r="W2270" s="221"/>
      <c r="X2270" s="221"/>
      <c r="Y2270" s="227"/>
      <c r="Z2270" s="227" t="str">
        <f>P2270</f>
        <v>Purchase</v>
      </c>
      <c r="AA2270" s="276" t="e">
        <f>VLOOKUP(Logfile_S[[#This Row],[DO number]],DO_DB!G:I,3,0)</f>
        <v>#N/A</v>
      </c>
      <c r="AB2270" s="331" t="e">
        <f>EXACT(Logfile_S[[#This Row],[date pick]],Logfile_S[[#This Row],[Date]])</f>
        <v>#N/A</v>
      </c>
      <c r="AC22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71" spans="1:29" ht="14.5">
      <c r="A2271" s="220" t="str">
        <f>TEXT(ROW(A2271)-ROW($A$4),"000")</f>
        <v>2267</v>
      </c>
      <c r="B2271" s="221"/>
      <c r="C2271" s="221" t="s">
        <v>48</v>
      </c>
      <c r="D2271" s="221" t="s">
        <v>3825</v>
      </c>
      <c r="E2271" s="221" t="s">
        <v>3295</v>
      </c>
      <c r="F2271" s="221" t="s">
        <v>3299</v>
      </c>
      <c r="G2271" s="222">
        <v>45258</v>
      </c>
      <c r="H2271" s="223">
        <v>15.291666666666666</v>
      </c>
      <c r="I2271" s="221" t="s">
        <v>38</v>
      </c>
      <c r="J2271" s="221" t="s">
        <v>3024</v>
      </c>
      <c r="K2271" s="224" t="s">
        <v>3087</v>
      </c>
      <c r="L2271" s="225" t="str">
        <f>VLOOKUP(Logfile_S[[#This Row],[Material Name]],Sheet2!B:C,2,0)</f>
        <v>GCI1001</v>
      </c>
      <c r="M2271" s="225" t="str">
        <f>_xlfn.XLOOKUP(Logfile_S[[#This Row],[Material Name]],Sum_WH!E:E,Sum_WH!F:F,"",0)</f>
        <v>Pcs</v>
      </c>
      <c r="N2271" s="221">
        <v>27</v>
      </c>
      <c r="O2271" s="221" t="s">
        <v>3344</v>
      </c>
      <c r="P2271" s="221" t="s">
        <v>3345</v>
      </c>
      <c r="Q2271" s="221">
        <v>0</v>
      </c>
      <c r="R2271" s="221">
        <v>0</v>
      </c>
      <c r="S2271" s="221"/>
      <c r="T2271" s="221"/>
      <c r="U2271" s="221"/>
      <c r="V2271" s="221"/>
      <c r="W2271" s="221"/>
      <c r="X2271" s="221"/>
      <c r="Y2271" s="227"/>
      <c r="Z2271" s="227" t="str">
        <f>P2271</f>
        <v>Purchase</v>
      </c>
      <c r="AA2271" s="276" t="e">
        <f>VLOOKUP(Logfile_S[[#This Row],[DO number]],DO_DB!G:I,3,0)</f>
        <v>#N/A</v>
      </c>
      <c r="AB2271" s="331" t="e">
        <f>EXACT(Logfile_S[[#This Row],[date pick]],Logfile_S[[#This Row],[Date]])</f>
        <v>#N/A</v>
      </c>
      <c r="AC22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72" spans="1:29" ht="14.5">
      <c r="A2272" s="220" t="str">
        <f>TEXT(ROW(A2272)-ROW($A$4),"000")</f>
        <v>2268</v>
      </c>
      <c r="B2272" s="221"/>
      <c r="C2272" s="221" t="s">
        <v>48</v>
      </c>
      <c r="D2272" s="221" t="s">
        <v>3825</v>
      </c>
      <c r="E2272" s="221" t="s">
        <v>3295</v>
      </c>
      <c r="F2272" s="221" t="s">
        <v>3299</v>
      </c>
      <c r="G2272" s="222">
        <v>45258</v>
      </c>
      <c r="H2272" s="223">
        <v>15.291666666666666</v>
      </c>
      <c r="I2272" s="221" t="s">
        <v>38</v>
      </c>
      <c r="J2272" s="221" t="s">
        <v>3024</v>
      </c>
      <c r="K2272" s="224" t="s">
        <v>5137</v>
      </c>
      <c r="L2272" s="225" t="str">
        <f>VLOOKUP(Logfile_S[[#This Row],[Material Name]],Sheet2!B:C,2,0)</f>
        <v>GCI1009</v>
      </c>
      <c r="M2272" s="225" t="str">
        <f>_xlfn.XLOOKUP(Logfile_S[[#This Row],[Material Name]],Sum_WH!E:E,Sum_WH!F:F,"",0)</f>
        <v>Pcs</v>
      </c>
      <c r="N2272" s="221">
        <v>240</v>
      </c>
      <c r="O2272" s="221" t="s">
        <v>3344</v>
      </c>
      <c r="P2272" s="221" t="s">
        <v>3345</v>
      </c>
      <c r="Q2272" s="221">
        <v>0</v>
      </c>
      <c r="R2272" s="221">
        <v>0</v>
      </c>
      <c r="S2272" s="221"/>
      <c r="T2272" s="221"/>
      <c r="U2272" s="221"/>
      <c r="V2272" s="221"/>
      <c r="W2272" s="221"/>
      <c r="X2272" s="221"/>
      <c r="Y2272" s="227"/>
      <c r="Z2272" s="227" t="str">
        <f>P2272</f>
        <v>Purchase</v>
      </c>
      <c r="AA2272" s="276" t="e">
        <f>VLOOKUP(Logfile_S[[#This Row],[DO number]],DO_DB!G:I,3,0)</f>
        <v>#N/A</v>
      </c>
      <c r="AB2272" s="331" t="e">
        <f>EXACT(Logfile_S[[#This Row],[date pick]],Logfile_S[[#This Row],[Date]])</f>
        <v>#N/A</v>
      </c>
      <c r="AC22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73" spans="1:29" ht="14.5">
      <c r="A2273" s="220" t="str">
        <f>TEXT(ROW(A2273)-ROW($A$4),"000")</f>
        <v>2269</v>
      </c>
      <c r="B2273" s="221"/>
      <c r="C2273" s="221" t="s">
        <v>48</v>
      </c>
      <c r="D2273" s="221" t="s">
        <v>3854</v>
      </c>
      <c r="E2273" s="221" t="s">
        <v>3295</v>
      </c>
      <c r="F2273" s="221" t="s">
        <v>3299</v>
      </c>
      <c r="G2273" s="222">
        <v>45295</v>
      </c>
      <c r="H2273" s="223">
        <v>15.291666666666666</v>
      </c>
      <c r="I2273" s="221" t="s">
        <v>38</v>
      </c>
      <c r="J2273" s="221" t="s">
        <v>3024</v>
      </c>
      <c r="K2273" s="224" t="s">
        <v>3091</v>
      </c>
      <c r="L2273" s="225" t="str">
        <f>VLOOKUP(Logfile_S[[#This Row],[Material Name]],Sheet2!B:C,2,0)</f>
        <v>GCI1005</v>
      </c>
      <c r="M2273" s="225" t="str">
        <f>_xlfn.XLOOKUP(Logfile_S[[#This Row],[Material Name]],Sum_WH!E:E,Sum_WH!F:F,"",0)</f>
        <v>Pcs</v>
      </c>
      <c r="N2273" s="221">
        <v>140</v>
      </c>
      <c r="O2273" s="221" t="s">
        <v>3344</v>
      </c>
      <c r="P2273" s="221" t="s">
        <v>3345</v>
      </c>
      <c r="Q2273" s="221">
        <v>0</v>
      </c>
      <c r="R2273" s="221">
        <v>0</v>
      </c>
      <c r="S2273" s="221"/>
      <c r="T2273" s="221"/>
      <c r="U2273" s="221"/>
      <c r="V2273" s="221"/>
      <c r="W2273" s="221"/>
      <c r="X2273" s="221" t="s">
        <v>3218</v>
      </c>
      <c r="Y2273" s="227"/>
      <c r="Z2273" s="227" t="str">
        <f>P2273</f>
        <v>Purchase</v>
      </c>
      <c r="AA2273" s="276" t="e">
        <f>VLOOKUP(Logfile_S[[#This Row],[DO number]],DO_DB!G:I,3,0)</f>
        <v>#N/A</v>
      </c>
      <c r="AB2273" s="331" t="e">
        <f>EXACT(Logfile_S[[#This Row],[date pick]],Logfile_S[[#This Row],[Date]])</f>
        <v>#N/A</v>
      </c>
      <c r="AC22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74" spans="1:29" ht="14.5">
      <c r="A2274" s="220" t="str">
        <f>TEXT(ROW(A2274)-ROW($A$4),"000")</f>
        <v>2270</v>
      </c>
      <c r="B2274" s="221"/>
      <c r="C2274" s="221" t="s">
        <v>48</v>
      </c>
      <c r="D2274" s="221" t="s">
        <v>3854</v>
      </c>
      <c r="E2274" s="221" t="s">
        <v>3295</v>
      </c>
      <c r="F2274" s="221" t="s">
        <v>3299</v>
      </c>
      <c r="G2274" s="222">
        <v>45295</v>
      </c>
      <c r="H2274" s="223">
        <v>15.291666666666666</v>
      </c>
      <c r="I2274" s="221" t="s">
        <v>38</v>
      </c>
      <c r="J2274" s="221" t="s">
        <v>3024</v>
      </c>
      <c r="K2274" s="224" t="s">
        <v>3087</v>
      </c>
      <c r="L2274" s="225" t="str">
        <f>VLOOKUP(Logfile_S[[#This Row],[Material Name]],Sheet2!B:C,2,0)</f>
        <v>GCI1001</v>
      </c>
      <c r="M2274" s="225" t="str">
        <f>_xlfn.XLOOKUP(Logfile_S[[#This Row],[Material Name]],Sum_WH!E:E,Sum_WH!F:F,"",0)</f>
        <v>Pcs</v>
      </c>
      <c r="N2274" s="221">
        <v>32</v>
      </c>
      <c r="O2274" s="221" t="s">
        <v>3344</v>
      </c>
      <c r="P2274" s="221" t="s">
        <v>3345</v>
      </c>
      <c r="Q2274" s="221">
        <v>0</v>
      </c>
      <c r="R2274" s="221">
        <v>0</v>
      </c>
      <c r="S2274" s="221"/>
      <c r="T2274" s="221"/>
      <c r="U2274" s="221"/>
      <c r="V2274" s="221"/>
      <c r="W2274" s="221"/>
      <c r="X2274" s="221" t="s">
        <v>3218</v>
      </c>
      <c r="Y2274" s="227"/>
      <c r="Z2274" s="227" t="str">
        <f>P2274</f>
        <v>Purchase</v>
      </c>
      <c r="AA2274" s="276" t="e">
        <f>VLOOKUP(Logfile_S[[#This Row],[DO number]],DO_DB!G:I,3,0)</f>
        <v>#N/A</v>
      </c>
      <c r="AB2274" s="331" t="e">
        <f>EXACT(Logfile_S[[#This Row],[date pick]],Logfile_S[[#This Row],[Date]])</f>
        <v>#N/A</v>
      </c>
      <c r="AC22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75" spans="1:29" ht="14.5">
      <c r="A2275" s="220" t="str">
        <f>TEXT(ROW(A2275)-ROW($A$4),"000")</f>
        <v>2271</v>
      </c>
      <c r="B2275" s="221"/>
      <c r="C2275" s="221" t="s">
        <v>48</v>
      </c>
      <c r="D2275" s="221" t="s">
        <v>3854</v>
      </c>
      <c r="E2275" s="221" t="s">
        <v>3295</v>
      </c>
      <c r="F2275" s="221" t="s">
        <v>3299</v>
      </c>
      <c r="G2275" s="222">
        <v>45295</v>
      </c>
      <c r="H2275" s="223">
        <v>15.291666666666666</v>
      </c>
      <c r="I2275" s="221" t="s">
        <v>38</v>
      </c>
      <c r="J2275" s="221" t="s">
        <v>3024</v>
      </c>
      <c r="K2275" s="224" t="s">
        <v>3088</v>
      </c>
      <c r="L2275" s="225" t="str">
        <f>VLOOKUP(Logfile_S[[#This Row],[Material Name]],Sheet2!B:C,2,0)</f>
        <v>GCI1002</v>
      </c>
      <c r="M2275" s="225" t="str">
        <f>_xlfn.XLOOKUP(Logfile_S[[#This Row],[Material Name]],Sum_WH!E:E,Sum_WH!F:F,"",0)</f>
        <v>Pcs</v>
      </c>
      <c r="N2275" s="221">
        <v>5</v>
      </c>
      <c r="O2275" s="221" t="s">
        <v>3344</v>
      </c>
      <c r="P2275" s="221" t="s">
        <v>3345</v>
      </c>
      <c r="Q2275" s="221">
        <v>0</v>
      </c>
      <c r="R2275" s="221">
        <v>0</v>
      </c>
      <c r="S2275" s="221"/>
      <c r="T2275" s="221"/>
      <c r="U2275" s="221"/>
      <c r="V2275" s="221"/>
      <c r="W2275" s="221"/>
      <c r="X2275" s="221" t="s">
        <v>3218</v>
      </c>
      <c r="Y2275" s="227"/>
      <c r="Z2275" s="227" t="str">
        <f>P2275</f>
        <v>Purchase</v>
      </c>
      <c r="AA2275" s="276" t="e">
        <f>VLOOKUP(Logfile_S[[#This Row],[DO number]],DO_DB!G:I,3,0)</f>
        <v>#N/A</v>
      </c>
      <c r="AB2275" s="331" t="e">
        <f>EXACT(Logfile_S[[#This Row],[date pick]],Logfile_S[[#This Row],[Date]])</f>
        <v>#N/A</v>
      </c>
      <c r="AC22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76" spans="1:29" ht="14.5">
      <c r="A2276" s="220" t="str">
        <f>TEXT(ROW(A2276)-ROW($A$4),"000")</f>
        <v>2272</v>
      </c>
      <c r="B2276" s="221"/>
      <c r="C2276" s="221" t="s">
        <v>48</v>
      </c>
      <c r="D2276" s="221" t="s">
        <v>3854</v>
      </c>
      <c r="E2276" s="221" t="s">
        <v>3295</v>
      </c>
      <c r="F2276" s="221" t="s">
        <v>3299</v>
      </c>
      <c r="G2276" s="222">
        <v>45295</v>
      </c>
      <c r="H2276" s="223">
        <v>15.291666666666666</v>
      </c>
      <c r="I2276" s="221" t="s">
        <v>38</v>
      </c>
      <c r="J2276" s="221" t="s">
        <v>3024</v>
      </c>
      <c r="K2276" s="224" t="s">
        <v>3094</v>
      </c>
      <c r="L2276" s="225" t="str">
        <f>VLOOKUP(Logfile_S[[#This Row],[Material Name]],Sheet2!B:C,2,0)</f>
        <v>GCI1008</v>
      </c>
      <c r="M2276" s="225" t="str">
        <f>_xlfn.XLOOKUP(Logfile_S[[#This Row],[Material Name]],Sum_WH!E:E,Sum_WH!F:F,"",0)</f>
        <v>Pcs</v>
      </c>
      <c r="N2276" s="221">
        <v>170</v>
      </c>
      <c r="O2276" s="221" t="s">
        <v>3344</v>
      </c>
      <c r="P2276" s="221" t="s">
        <v>3345</v>
      </c>
      <c r="Q2276" s="221">
        <v>0</v>
      </c>
      <c r="R2276" s="221">
        <v>0</v>
      </c>
      <c r="S2276" s="221"/>
      <c r="T2276" s="221"/>
      <c r="U2276" s="221"/>
      <c r="V2276" s="221"/>
      <c r="W2276" s="221"/>
      <c r="X2276" s="221" t="s">
        <v>3218</v>
      </c>
      <c r="Y2276" s="227"/>
      <c r="Z2276" s="227" t="str">
        <f>P2276</f>
        <v>Purchase</v>
      </c>
      <c r="AA2276" s="276" t="e">
        <f>VLOOKUP(Logfile_S[[#This Row],[DO number]],DO_DB!G:I,3,0)</f>
        <v>#N/A</v>
      </c>
      <c r="AB2276" s="331" t="e">
        <f>EXACT(Logfile_S[[#This Row],[date pick]],Logfile_S[[#This Row],[Date]])</f>
        <v>#N/A</v>
      </c>
      <c r="AC22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77" spans="1:29" ht="14.5">
      <c r="A2277" s="220" t="str">
        <f>TEXT(ROW(A2277)-ROW($A$4),"000")</f>
        <v>2273</v>
      </c>
      <c r="B2277" s="221"/>
      <c r="C2277" s="221" t="s">
        <v>48</v>
      </c>
      <c r="D2277" s="221" t="s">
        <v>3854</v>
      </c>
      <c r="E2277" s="221" t="s">
        <v>3295</v>
      </c>
      <c r="F2277" s="221" t="s">
        <v>3299</v>
      </c>
      <c r="G2277" s="222">
        <v>45295</v>
      </c>
      <c r="H2277" s="223">
        <v>15.291666666666666</v>
      </c>
      <c r="I2277" s="221" t="s">
        <v>38</v>
      </c>
      <c r="J2277" s="221" t="s">
        <v>3024</v>
      </c>
      <c r="K2277" s="224" t="s">
        <v>3089</v>
      </c>
      <c r="L2277" s="225" t="str">
        <f>VLOOKUP(Logfile_S[[#This Row],[Material Name]],Sheet2!B:C,2,0)</f>
        <v>GCI1003</v>
      </c>
      <c r="M2277" s="225" t="str">
        <f>_xlfn.XLOOKUP(Logfile_S[[#This Row],[Material Name]],Sum_WH!E:E,Sum_WH!F:F,"",0)</f>
        <v>Pcs</v>
      </c>
      <c r="N2277" s="221">
        <v>244</v>
      </c>
      <c r="O2277" s="221" t="s">
        <v>3344</v>
      </c>
      <c r="P2277" s="221" t="s">
        <v>3345</v>
      </c>
      <c r="Q2277" s="221">
        <v>0</v>
      </c>
      <c r="R2277" s="221">
        <v>0</v>
      </c>
      <c r="S2277" s="221"/>
      <c r="T2277" s="221"/>
      <c r="U2277" s="221"/>
      <c r="V2277" s="221"/>
      <c r="W2277" s="221"/>
      <c r="X2277" s="221" t="s">
        <v>3218</v>
      </c>
      <c r="Y2277" s="227"/>
      <c r="Z2277" s="227" t="str">
        <f>P2277</f>
        <v>Purchase</v>
      </c>
      <c r="AA2277" s="276" t="e">
        <f>VLOOKUP(Logfile_S[[#This Row],[DO number]],DO_DB!G:I,3,0)</f>
        <v>#N/A</v>
      </c>
      <c r="AB2277" s="331" t="e">
        <f>EXACT(Logfile_S[[#This Row],[date pick]],Logfile_S[[#This Row],[Date]])</f>
        <v>#N/A</v>
      </c>
      <c r="AC22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78" spans="1:29" ht="14.5">
      <c r="A2278" s="220" t="str">
        <f>TEXT(ROW(A2278)-ROW($A$4),"000")</f>
        <v>2274</v>
      </c>
      <c r="B2278" s="221"/>
      <c r="C2278" s="221" t="s">
        <v>48</v>
      </c>
      <c r="D2278" s="221" t="s">
        <v>3854</v>
      </c>
      <c r="E2278" s="221" t="s">
        <v>3295</v>
      </c>
      <c r="F2278" s="221" t="s">
        <v>3299</v>
      </c>
      <c r="G2278" s="222">
        <v>45295</v>
      </c>
      <c r="H2278" s="223">
        <v>15.291666666666666</v>
      </c>
      <c r="I2278" s="221" t="s">
        <v>38</v>
      </c>
      <c r="J2278" s="221" t="s">
        <v>3024</v>
      </c>
      <c r="K2278" s="224" t="s">
        <v>3090</v>
      </c>
      <c r="L2278" s="225" t="str">
        <f>VLOOKUP(Logfile_S[[#This Row],[Material Name]],Sheet2!B:C,2,0)</f>
        <v>GCI1004</v>
      </c>
      <c r="M2278" s="225" t="str">
        <f>_xlfn.XLOOKUP(Logfile_S[[#This Row],[Material Name]],Sum_WH!E:E,Sum_WH!F:F,"",0)</f>
        <v>Pcs</v>
      </c>
      <c r="N2278" s="221">
        <v>66</v>
      </c>
      <c r="O2278" s="221" t="s">
        <v>3344</v>
      </c>
      <c r="P2278" s="221" t="s">
        <v>3345</v>
      </c>
      <c r="Q2278" s="221">
        <v>0</v>
      </c>
      <c r="R2278" s="221">
        <v>0</v>
      </c>
      <c r="S2278" s="221"/>
      <c r="T2278" s="221"/>
      <c r="U2278" s="221"/>
      <c r="V2278" s="221"/>
      <c r="W2278" s="221"/>
      <c r="X2278" s="221" t="s">
        <v>3218</v>
      </c>
      <c r="Y2278" s="227"/>
      <c r="Z2278" s="227" t="str">
        <f>P2278</f>
        <v>Purchase</v>
      </c>
      <c r="AA2278" s="276" t="e">
        <f>VLOOKUP(Logfile_S[[#This Row],[DO number]],DO_DB!G:I,3,0)</f>
        <v>#N/A</v>
      </c>
      <c r="AB2278" s="331" t="e">
        <f>EXACT(Logfile_S[[#This Row],[date pick]],Logfile_S[[#This Row],[Date]])</f>
        <v>#N/A</v>
      </c>
      <c r="AC22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79" spans="1:29" ht="14.5">
      <c r="A2279" s="220" t="str">
        <f>TEXT(ROW(A2279)-ROW($A$4),"000")</f>
        <v>2275</v>
      </c>
      <c r="B2279" s="221"/>
      <c r="C2279" s="221" t="s">
        <v>48</v>
      </c>
      <c r="D2279" s="221" t="s">
        <v>3867</v>
      </c>
      <c r="E2279" s="221" t="s">
        <v>3295</v>
      </c>
      <c r="F2279" s="221" t="s">
        <v>3299</v>
      </c>
      <c r="G2279" s="222">
        <v>45307</v>
      </c>
      <c r="H2279" s="223">
        <v>15.291666666666666</v>
      </c>
      <c r="I2279" s="221" t="s">
        <v>38</v>
      </c>
      <c r="J2279" s="221" t="s">
        <v>3024</v>
      </c>
      <c r="K2279" s="224" t="s">
        <v>3097</v>
      </c>
      <c r="L2279" s="225" t="str">
        <f>VLOOKUP(Logfile_S[[#This Row],[Material Name]],Sheet2!B:C,2,0)</f>
        <v>GCI1011</v>
      </c>
      <c r="M2279" s="225" t="str">
        <f>_xlfn.XLOOKUP(Logfile_S[[#This Row],[Material Name]],Sum_WH!E:E,Sum_WH!F:F,"",0)</f>
        <v>Pcs</v>
      </c>
      <c r="N2279" s="221">
        <v>1</v>
      </c>
      <c r="O2279" s="221" t="s">
        <v>3344</v>
      </c>
      <c r="P2279" s="221" t="s">
        <v>3345</v>
      </c>
      <c r="Q2279" s="221">
        <v>0</v>
      </c>
      <c r="R2279" s="221">
        <v>0</v>
      </c>
      <c r="S2279" s="221"/>
      <c r="T2279" s="221"/>
      <c r="U2279" s="221"/>
      <c r="V2279" s="221"/>
      <c r="W2279" s="221"/>
      <c r="X2279" s="221" t="s">
        <v>3463</v>
      </c>
      <c r="Y2279" s="227"/>
      <c r="Z2279" s="227" t="str">
        <f>P2279</f>
        <v>Purchase</v>
      </c>
      <c r="AA2279" s="276" t="e">
        <f>VLOOKUP(Logfile_S[[#This Row],[DO number]],DO_DB!G:I,3,0)</f>
        <v>#N/A</v>
      </c>
      <c r="AB2279" s="331" t="e">
        <f>EXACT(Logfile_S[[#This Row],[date pick]],Logfile_S[[#This Row],[Date]])</f>
        <v>#N/A</v>
      </c>
      <c r="AC22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80" spans="1:29" ht="14.5">
      <c r="A2280" s="220" t="str">
        <f>TEXT(ROW(A2280)-ROW($A$4),"000")</f>
        <v>2276</v>
      </c>
      <c r="B2280" s="221"/>
      <c r="C2280" s="221" t="s">
        <v>48</v>
      </c>
      <c r="D2280" s="221" t="s">
        <v>3876</v>
      </c>
      <c r="E2280" s="221" t="s">
        <v>3295</v>
      </c>
      <c r="F2280" s="221" t="s">
        <v>3299</v>
      </c>
      <c r="G2280" s="222">
        <v>45309</v>
      </c>
      <c r="H2280" s="223">
        <v>15.291666666666666</v>
      </c>
      <c r="I2280" s="221" t="s">
        <v>38</v>
      </c>
      <c r="J2280" s="221" t="s">
        <v>3024</v>
      </c>
      <c r="K2280" s="224" t="s">
        <v>5136</v>
      </c>
      <c r="L2280" s="225" t="str">
        <f>VLOOKUP(Logfile_S[[#This Row],[Material Name]],Sheet2!B:C,2,0)</f>
        <v>GCI1010</v>
      </c>
      <c r="M2280" s="225" t="str">
        <f>_xlfn.XLOOKUP(Logfile_S[[#This Row],[Material Name]],Sum_WH!E:E,Sum_WH!F:F,"",0)</f>
        <v>Pcs</v>
      </c>
      <c r="N2280" s="221">
        <v>194</v>
      </c>
      <c r="O2280" s="221" t="s">
        <v>3344</v>
      </c>
      <c r="P2280" s="221" t="s">
        <v>3345</v>
      </c>
      <c r="Q2280" s="221">
        <v>0</v>
      </c>
      <c r="R2280" s="221">
        <v>0</v>
      </c>
      <c r="S2280" s="221"/>
      <c r="T2280" s="221"/>
      <c r="U2280" s="221"/>
      <c r="V2280" s="221"/>
      <c r="W2280" s="221"/>
      <c r="X2280" s="221"/>
      <c r="Y2280" s="227"/>
      <c r="Z2280" s="227" t="str">
        <f>P2280</f>
        <v>Purchase</v>
      </c>
      <c r="AA2280" s="276" t="e">
        <f>VLOOKUP(Logfile_S[[#This Row],[DO number]],DO_DB!G:I,3,0)</f>
        <v>#N/A</v>
      </c>
      <c r="AB2280" s="331" t="e">
        <f>EXACT(Logfile_S[[#This Row],[date pick]],Logfile_S[[#This Row],[Date]])</f>
        <v>#N/A</v>
      </c>
      <c r="AC22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81" spans="1:29" ht="14.5">
      <c r="A2281" s="220" t="str">
        <f>TEXT(ROW(A2281)-ROW($A$4),"000")</f>
        <v>2277</v>
      </c>
      <c r="B2281" s="221"/>
      <c r="C2281" s="221" t="s">
        <v>48</v>
      </c>
      <c r="D2281" s="221" t="s">
        <v>3876</v>
      </c>
      <c r="E2281" s="221" t="s">
        <v>3295</v>
      </c>
      <c r="F2281" s="221" t="s">
        <v>3299</v>
      </c>
      <c r="G2281" s="222">
        <v>45309</v>
      </c>
      <c r="H2281" s="223">
        <v>15.291666666666666</v>
      </c>
      <c r="I2281" s="221" t="s">
        <v>38</v>
      </c>
      <c r="J2281" s="221" t="s">
        <v>3024</v>
      </c>
      <c r="K2281" s="224" t="s">
        <v>3091</v>
      </c>
      <c r="L2281" s="225" t="str">
        <f>VLOOKUP(Logfile_S[[#This Row],[Material Name]],Sheet2!B:C,2,0)</f>
        <v>GCI1005</v>
      </c>
      <c r="M2281" s="225" t="str">
        <f>_xlfn.XLOOKUP(Logfile_S[[#This Row],[Material Name]],Sum_WH!E:E,Sum_WH!F:F,"",0)</f>
        <v>Pcs</v>
      </c>
      <c r="N2281" s="221">
        <v>205</v>
      </c>
      <c r="O2281" s="221" t="s">
        <v>3344</v>
      </c>
      <c r="P2281" s="221" t="s">
        <v>3345</v>
      </c>
      <c r="Q2281" s="221">
        <v>0</v>
      </c>
      <c r="R2281" s="221">
        <v>0</v>
      </c>
      <c r="S2281" s="221"/>
      <c r="T2281" s="221"/>
      <c r="U2281" s="221"/>
      <c r="V2281" s="221"/>
      <c r="W2281" s="221"/>
      <c r="X2281" s="221" t="s">
        <v>3218</v>
      </c>
      <c r="Y2281" s="227"/>
      <c r="Z2281" s="227" t="str">
        <f>P2281</f>
        <v>Purchase</v>
      </c>
      <c r="AA2281" s="276" t="e">
        <f>VLOOKUP(Logfile_S[[#This Row],[DO number]],DO_DB!G:I,3,0)</f>
        <v>#N/A</v>
      </c>
      <c r="AB2281" s="331" t="e">
        <f>EXACT(Logfile_S[[#This Row],[date pick]],Logfile_S[[#This Row],[Date]])</f>
        <v>#N/A</v>
      </c>
      <c r="AC22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82" spans="1:29" ht="14.5">
      <c r="A2282" s="220" t="str">
        <f>TEXT(ROW(A2282)-ROW($A$4),"000")</f>
        <v>2278</v>
      </c>
      <c r="B2282" s="221"/>
      <c r="C2282" s="221" t="s">
        <v>48</v>
      </c>
      <c r="D2282" s="221" t="s">
        <v>3876</v>
      </c>
      <c r="E2282" s="221" t="s">
        <v>3295</v>
      </c>
      <c r="F2282" s="221" t="s">
        <v>3299</v>
      </c>
      <c r="G2282" s="222">
        <v>45309</v>
      </c>
      <c r="H2282" s="223">
        <v>15.291666666666666</v>
      </c>
      <c r="I2282" s="221" t="s">
        <v>38</v>
      </c>
      <c r="J2282" s="221" t="s">
        <v>3024</v>
      </c>
      <c r="K2282" s="224" t="s">
        <v>3087</v>
      </c>
      <c r="L2282" s="225" t="str">
        <f>VLOOKUP(Logfile_S[[#This Row],[Material Name]],Sheet2!B:C,2,0)</f>
        <v>GCI1001</v>
      </c>
      <c r="M2282" s="225" t="str">
        <f>_xlfn.XLOOKUP(Logfile_S[[#This Row],[Material Name]],Sum_WH!E:E,Sum_WH!F:F,"",0)</f>
        <v>Pcs</v>
      </c>
      <c r="N2282" s="221">
        <v>131</v>
      </c>
      <c r="O2282" s="221" t="s">
        <v>3344</v>
      </c>
      <c r="P2282" s="221" t="s">
        <v>3345</v>
      </c>
      <c r="Q2282" s="221">
        <v>0</v>
      </c>
      <c r="R2282" s="221">
        <v>0</v>
      </c>
      <c r="S2282" s="221"/>
      <c r="T2282" s="221"/>
      <c r="U2282" s="221"/>
      <c r="V2282" s="221"/>
      <c r="W2282" s="221"/>
      <c r="X2282" s="221" t="s">
        <v>3218</v>
      </c>
      <c r="Y2282" s="227"/>
      <c r="Z2282" s="227" t="str">
        <f>P2282</f>
        <v>Purchase</v>
      </c>
      <c r="AA2282" s="276" t="e">
        <f>VLOOKUP(Logfile_S[[#This Row],[DO number]],DO_DB!G:I,3,0)</f>
        <v>#N/A</v>
      </c>
      <c r="AB2282" s="331" t="e">
        <f>EXACT(Logfile_S[[#This Row],[date pick]],Logfile_S[[#This Row],[Date]])</f>
        <v>#N/A</v>
      </c>
      <c r="AC22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83" spans="1:29" ht="14.5">
      <c r="A2283" s="220" t="str">
        <f>TEXT(ROW(A2283)-ROW($A$4),"000")</f>
        <v>2279</v>
      </c>
      <c r="B2283" s="221"/>
      <c r="C2283" s="221" t="s">
        <v>48</v>
      </c>
      <c r="D2283" s="221" t="s">
        <v>3876</v>
      </c>
      <c r="E2283" s="221" t="s">
        <v>3295</v>
      </c>
      <c r="F2283" s="221" t="s">
        <v>3299</v>
      </c>
      <c r="G2283" s="222">
        <v>45309</v>
      </c>
      <c r="H2283" s="223">
        <v>15.291666666666666</v>
      </c>
      <c r="I2283" s="221" t="s">
        <v>38</v>
      </c>
      <c r="J2283" s="221" t="s">
        <v>3024</v>
      </c>
      <c r="K2283" s="224" t="s">
        <v>5137</v>
      </c>
      <c r="L2283" s="225" t="str">
        <f>VLOOKUP(Logfile_S[[#This Row],[Material Name]],Sheet2!B:C,2,0)</f>
        <v>GCI1009</v>
      </c>
      <c r="M2283" s="225" t="str">
        <f>_xlfn.XLOOKUP(Logfile_S[[#This Row],[Material Name]],Sum_WH!E:E,Sum_WH!F:F,"",0)</f>
        <v>Pcs</v>
      </c>
      <c r="N2283" s="221">
        <v>252</v>
      </c>
      <c r="O2283" s="221" t="s">
        <v>3344</v>
      </c>
      <c r="P2283" s="221" t="s">
        <v>3345</v>
      </c>
      <c r="Q2283" s="221">
        <v>0</v>
      </c>
      <c r="R2283" s="221">
        <v>0</v>
      </c>
      <c r="S2283" s="221"/>
      <c r="T2283" s="221"/>
      <c r="U2283" s="221"/>
      <c r="V2283" s="221"/>
      <c r="W2283" s="221"/>
      <c r="X2283" s="221" t="s">
        <v>3218</v>
      </c>
      <c r="Y2283" s="227"/>
      <c r="Z2283" s="227" t="str">
        <f>P2283</f>
        <v>Purchase</v>
      </c>
      <c r="AA2283" s="276" t="e">
        <f>VLOOKUP(Logfile_S[[#This Row],[DO number]],DO_DB!G:I,3,0)</f>
        <v>#N/A</v>
      </c>
      <c r="AB2283" s="331" t="e">
        <f>EXACT(Logfile_S[[#This Row],[date pick]],Logfile_S[[#This Row],[Date]])</f>
        <v>#N/A</v>
      </c>
      <c r="AC22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84" spans="1:29" ht="14.5">
      <c r="A2284" s="220" t="str">
        <f>TEXT(ROW(A2284)-ROW($A$4),"000")</f>
        <v>2280</v>
      </c>
      <c r="B2284" s="221"/>
      <c r="C2284" s="221" t="s">
        <v>48</v>
      </c>
      <c r="D2284" s="221" t="s">
        <v>3876</v>
      </c>
      <c r="E2284" s="221" t="s">
        <v>3295</v>
      </c>
      <c r="F2284" s="221" t="s">
        <v>3299</v>
      </c>
      <c r="G2284" s="222">
        <v>45309</v>
      </c>
      <c r="H2284" s="223">
        <v>15.291666666666666</v>
      </c>
      <c r="I2284" s="221" t="s">
        <v>38</v>
      </c>
      <c r="J2284" s="221" t="s">
        <v>3024</v>
      </c>
      <c r="K2284" s="224" t="s">
        <v>3088</v>
      </c>
      <c r="L2284" s="225" t="str">
        <f>VLOOKUP(Logfile_S[[#This Row],[Material Name]],Sheet2!B:C,2,0)</f>
        <v>GCI1002</v>
      </c>
      <c r="M2284" s="225" t="str">
        <f>_xlfn.XLOOKUP(Logfile_S[[#This Row],[Material Name]],Sum_WH!E:E,Sum_WH!F:F,"",0)</f>
        <v>Pcs</v>
      </c>
      <c r="N2284" s="221">
        <v>11</v>
      </c>
      <c r="O2284" s="221" t="s">
        <v>3344</v>
      </c>
      <c r="P2284" s="221" t="s">
        <v>3345</v>
      </c>
      <c r="Q2284" s="221">
        <v>0</v>
      </c>
      <c r="R2284" s="221">
        <v>0</v>
      </c>
      <c r="S2284" s="221"/>
      <c r="T2284" s="221"/>
      <c r="U2284" s="221"/>
      <c r="V2284" s="221"/>
      <c r="W2284" s="221"/>
      <c r="X2284" s="221" t="s">
        <v>3218</v>
      </c>
      <c r="Y2284" s="227"/>
      <c r="Z2284" s="227" t="str">
        <f>P2284</f>
        <v>Purchase</v>
      </c>
      <c r="AA2284" s="276" t="e">
        <f>VLOOKUP(Logfile_S[[#This Row],[DO number]],DO_DB!G:I,3,0)</f>
        <v>#N/A</v>
      </c>
      <c r="AB2284" s="331" t="e">
        <f>EXACT(Logfile_S[[#This Row],[date pick]],Logfile_S[[#This Row],[Date]])</f>
        <v>#N/A</v>
      </c>
      <c r="AC22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85" spans="1:29" ht="14.5">
      <c r="A2285" s="220" t="str">
        <f>TEXT(ROW(A2285)-ROW($A$4),"000")</f>
        <v>2281</v>
      </c>
      <c r="B2285" s="221"/>
      <c r="C2285" s="221" t="s">
        <v>48</v>
      </c>
      <c r="D2285" s="221" t="s">
        <v>3876</v>
      </c>
      <c r="E2285" s="221" t="s">
        <v>3295</v>
      </c>
      <c r="F2285" s="221" t="s">
        <v>3299</v>
      </c>
      <c r="G2285" s="222">
        <v>45309</v>
      </c>
      <c r="H2285" s="223">
        <v>15.291666666666666</v>
      </c>
      <c r="I2285" s="221" t="s">
        <v>38</v>
      </c>
      <c r="J2285" s="221" t="s">
        <v>3024</v>
      </c>
      <c r="K2285" s="224" t="s">
        <v>3094</v>
      </c>
      <c r="L2285" s="225" t="str">
        <f>VLOOKUP(Logfile_S[[#This Row],[Material Name]],Sheet2!B:C,2,0)</f>
        <v>GCI1008</v>
      </c>
      <c r="M2285" s="225" t="str">
        <f>_xlfn.XLOOKUP(Logfile_S[[#This Row],[Material Name]],Sum_WH!E:E,Sum_WH!F:F,"",0)</f>
        <v>Pcs</v>
      </c>
      <c r="N2285" s="221">
        <v>210</v>
      </c>
      <c r="O2285" s="221" t="s">
        <v>3344</v>
      </c>
      <c r="P2285" s="221" t="s">
        <v>3345</v>
      </c>
      <c r="Q2285" s="221">
        <v>0</v>
      </c>
      <c r="R2285" s="221">
        <v>0</v>
      </c>
      <c r="S2285" s="221"/>
      <c r="T2285" s="221"/>
      <c r="U2285" s="221"/>
      <c r="V2285" s="221"/>
      <c r="W2285" s="221"/>
      <c r="X2285" s="221" t="s">
        <v>3218</v>
      </c>
      <c r="Y2285" s="227"/>
      <c r="Z2285" s="227" t="str">
        <f>P2285</f>
        <v>Purchase</v>
      </c>
      <c r="AA2285" s="276" t="e">
        <f>VLOOKUP(Logfile_S[[#This Row],[DO number]],DO_DB!G:I,3,0)</f>
        <v>#N/A</v>
      </c>
      <c r="AB2285" s="331" t="e">
        <f>EXACT(Logfile_S[[#This Row],[date pick]],Logfile_S[[#This Row],[Date]])</f>
        <v>#N/A</v>
      </c>
      <c r="AC22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86" spans="1:29" ht="14.5">
      <c r="A2286" s="220" t="str">
        <f>TEXT(ROW(A2286)-ROW($A$4),"000")</f>
        <v>2282</v>
      </c>
      <c r="B2286" s="221"/>
      <c r="C2286" s="221" t="s">
        <v>48</v>
      </c>
      <c r="D2286" s="221" t="s">
        <v>3876</v>
      </c>
      <c r="E2286" s="221" t="s">
        <v>3295</v>
      </c>
      <c r="F2286" s="221" t="s">
        <v>3299</v>
      </c>
      <c r="G2286" s="222">
        <v>45309</v>
      </c>
      <c r="H2286" s="223">
        <v>15.291666666666666</v>
      </c>
      <c r="I2286" s="221" t="s">
        <v>38</v>
      </c>
      <c r="J2286" s="221" t="s">
        <v>3024</v>
      </c>
      <c r="K2286" s="224" t="s">
        <v>3089</v>
      </c>
      <c r="L2286" s="225" t="str">
        <f>VLOOKUP(Logfile_S[[#This Row],[Material Name]],Sheet2!B:C,2,0)</f>
        <v>GCI1003</v>
      </c>
      <c r="M2286" s="225" t="str">
        <f>_xlfn.XLOOKUP(Logfile_S[[#This Row],[Material Name]],Sum_WH!E:E,Sum_WH!F:F,"",0)</f>
        <v>Pcs</v>
      </c>
      <c r="N2286" s="221">
        <v>562</v>
      </c>
      <c r="O2286" s="221" t="s">
        <v>3344</v>
      </c>
      <c r="P2286" s="221" t="s">
        <v>3345</v>
      </c>
      <c r="Q2286" s="221">
        <v>0</v>
      </c>
      <c r="R2286" s="221">
        <v>0</v>
      </c>
      <c r="S2286" s="221"/>
      <c r="T2286" s="221"/>
      <c r="U2286" s="221"/>
      <c r="V2286" s="221"/>
      <c r="W2286" s="221"/>
      <c r="X2286" s="221" t="s">
        <v>3218</v>
      </c>
      <c r="Y2286" s="227"/>
      <c r="Z2286" s="227" t="str">
        <f>P2286</f>
        <v>Purchase</v>
      </c>
      <c r="AA2286" s="276" t="e">
        <f>VLOOKUP(Logfile_S[[#This Row],[DO number]],DO_DB!G:I,3,0)</f>
        <v>#N/A</v>
      </c>
      <c r="AB2286" s="331" t="e">
        <f>EXACT(Logfile_S[[#This Row],[date pick]],Logfile_S[[#This Row],[Date]])</f>
        <v>#N/A</v>
      </c>
      <c r="AC22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87" spans="1:29" ht="14.5">
      <c r="A2287" s="220" t="str">
        <f>TEXT(ROW(A2287)-ROW($A$4),"000")</f>
        <v>2283</v>
      </c>
      <c r="B2287" s="221"/>
      <c r="C2287" s="221" t="s">
        <v>48</v>
      </c>
      <c r="D2287" s="221" t="s">
        <v>3876</v>
      </c>
      <c r="E2287" s="221" t="s">
        <v>3295</v>
      </c>
      <c r="F2287" s="221" t="s">
        <v>3299</v>
      </c>
      <c r="G2287" s="222">
        <v>45309</v>
      </c>
      <c r="H2287" s="223">
        <v>15.291666666666666</v>
      </c>
      <c r="I2287" s="221" t="s">
        <v>38</v>
      </c>
      <c r="J2287" s="221" t="s">
        <v>3024</v>
      </c>
      <c r="K2287" s="224" t="s">
        <v>3090</v>
      </c>
      <c r="L2287" s="225" t="str">
        <f>VLOOKUP(Logfile_S[[#This Row],[Material Name]],Sheet2!B:C,2,0)</f>
        <v>GCI1004</v>
      </c>
      <c r="M2287" s="225" t="str">
        <f>_xlfn.XLOOKUP(Logfile_S[[#This Row],[Material Name]],Sum_WH!E:E,Sum_WH!F:F,"",0)</f>
        <v>Pcs</v>
      </c>
      <c r="N2287" s="221">
        <v>103</v>
      </c>
      <c r="O2287" s="221" t="s">
        <v>3344</v>
      </c>
      <c r="P2287" s="221" t="s">
        <v>3345</v>
      </c>
      <c r="Q2287" s="221">
        <v>0</v>
      </c>
      <c r="R2287" s="221">
        <v>0</v>
      </c>
      <c r="S2287" s="221"/>
      <c r="T2287" s="221"/>
      <c r="U2287" s="221"/>
      <c r="V2287" s="221"/>
      <c r="W2287" s="221"/>
      <c r="X2287" s="221" t="s">
        <v>3218</v>
      </c>
      <c r="Y2287" s="227"/>
      <c r="Z2287" s="227" t="str">
        <f>P2287</f>
        <v>Purchase</v>
      </c>
      <c r="AA2287" s="276" t="e">
        <f>VLOOKUP(Logfile_S[[#This Row],[DO number]],DO_DB!G:I,3,0)</f>
        <v>#N/A</v>
      </c>
      <c r="AB2287" s="331" t="e">
        <f>EXACT(Logfile_S[[#This Row],[date pick]],Logfile_S[[#This Row],[Date]])</f>
        <v>#N/A</v>
      </c>
      <c r="AC22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88" spans="1:29" ht="14.5">
      <c r="A2288" s="220" t="str">
        <f>TEXT(ROW(A2288)-ROW($A$4),"000")</f>
        <v>2284</v>
      </c>
      <c r="B2288" s="221"/>
      <c r="C2288" s="221" t="s">
        <v>48</v>
      </c>
      <c r="D2288" s="221" t="s">
        <v>3892</v>
      </c>
      <c r="E2288" s="221" t="s">
        <v>3295</v>
      </c>
      <c r="F2288" s="221" t="s">
        <v>3299</v>
      </c>
      <c r="G2288" s="222">
        <v>45313</v>
      </c>
      <c r="H2288" s="223">
        <v>15.291666666666666</v>
      </c>
      <c r="I2288" s="221" t="s">
        <v>38</v>
      </c>
      <c r="J2288" s="221" t="s">
        <v>3024</v>
      </c>
      <c r="K2288" s="224" t="s">
        <v>3442</v>
      </c>
      <c r="L2288" s="225" t="str">
        <f>VLOOKUP(Logfile_S[[#This Row],[Material Name]],Sheet2!B:C,2,0)</f>
        <v>GCI1021</v>
      </c>
      <c r="M2288" s="225" t="str">
        <f>_xlfn.XLOOKUP(Logfile_S[[#This Row],[Material Name]],Sum_WH!E:E,Sum_WH!F:F,"",0)</f>
        <v>Pcs</v>
      </c>
      <c r="N2288" s="221">
        <v>2</v>
      </c>
      <c r="O2288" s="221" t="s">
        <v>3344</v>
      </c>
      <c r="P2288" s="221" t="s">
        <v>3345</v>
      </c>
      <c r="Q2288" s="221">
        <v>0</v>
      </c>
      <c r="R2288" s="221">
        <v>0</v>
      </c>
      <c r="S2288" s="221"/>
      <c r="T2288" s="221"/>
      <c r="U2288" s="221"/>
      <c r="V2288" s="221"/>
      <c r="W2288" s="221"/>
      <c r="X2288" s="221"/>
      <c r="Y2288" s="227"/>
      <c r="Z2288" s="227" t="str">
        <f>P2288</f>
        <v>Purchase</v>
      </c>
      <c r="AA2288" s="276" t="e">
        <f>VLOOKUP(Logfile_S[[#This Row],[DO number]],DO_DB!G:I,3,0)</f>
        <v>#N/A</v>
      </c>
      <c r="AB2288" s="331" t="e">
        <f>EXACT(Logfile_S[[#This Row],[date pick]],Logfile_S[[#This Row],[Date]])</f>
        <v>#N/A</v>
      </c>
      <c r="AC22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89" spans="1:29" ht="14.5">
      <c r="A2289" s="237" t="str">
        <f>TEXT(ROW(A2289)-ROW($A$4),"000")</f>
        <v>2285</v>
      </c>
      <c r="B2289" s="221">
        <v>1</v>
      </c>
      <c r="C2289" s="227" t="s">
        <v>48</v>
      </c>
      <c r="D2289" s="227" t="s">
        <v>4718</v>
      </c>
      <c r="E2289" s="227" t="s">
        <v>3295</v>
      </c>
      <c r="F2289" s="227" t="s">
        <v>3299</v>
      </c>
      <c r="G2289" s="239">
        <v>45983</v>
      </c>
      <c r="H2289" s="240">
        <v>0.54166666666666663</v>
      </c>
      <c r="I2289" s="221" t="s">
        <v>38</v>
      </c>
      <c r="J2289" s="221" t="s">
        <v>3023</v>
      </c>
      <c r="K2289" s="241" t="s">
        <v>4524</v>
      </c>
      <c r="L2289" s="225" t="str">
        <f>VLOOKUP(Logfile_S[[#This Row],[Material Name]],Sheet2!B:C,2,0)</f>
        <v>ZTE1005</v>
      </c>
      <c r="M2289" s="242" t="s">
        <v>19</v>
      </c>
      <c r="N2289" s="227">
        <v>1</v>
      </c>
      <c r="O2289" s="227" t="s">
        <v>4719</v>
      </c>
      <c r="P2289" s="227"/>
      <c r="Q2289" s="227"/>
      <c r="R2289" s="227"/>
      <c r="S2289" s="227"/>
      <c r="T2289" s="227"/>
      <c r="U2289" s="227"/>
      <c r="V2289" s="227"/>
      <c r="W2289" s="227"/>
      <c r="X2289" s="227"/>
      <c r="Y2289" s="227"/>
      <c r="Z2289" s="227">
        <f>P2289</f>
        <v>0</v>
      </c>
      <c r="AA2289" s="276" t="e">
        <f>VLOOKUP(Logfile_S[[#This Row],[DO number]],DO_DB!G:I,3,0)</f>
        <v>#N/A</v>
      </c>
      <c r="AB2289" s="331" t="e">
        <f>EXACT(Logfile_S[[#This Row],[date pick]],Logfile_S[[#This Row],[Date]])</f>
        <v>#N/A</v>
      </c>
      <c r="AC22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90" spans="1:29" ht="14.5">
      <c r="A2290" s="220" t="str">
        <f>TEXT(ROW(A2290)-ROW($A$4),"000")</f>
        <v>2286</v>
      </c>
      <c r="B2290" s="221"/>
      <c r="C2290" s="221" t="s">
        <v>48</v>
      </c>
      <c r="D2290" s="221" t="s">
        <v>4346</v>
      </c>
      <c r="E2290" s="221" t="s">
        <v>3295</v>
      </c>
      <c r="F2290" s="221" t="s">
        <v>3299</v>
      </c>
      <c r="G2290" s="222">
        <v>45716</v>
      </c>
      <c r="H2290" s="223">
        <v>15.291666666666666</v>
      </c>
      <c r="I2290" s="221" t="s">
        <v>37</v>
      </c>
      <c r="J2290" s="221" t="s">
        <v>3023</v>
      </c>
      <c r="K2290" s="224" t="s">
        <v>3069</v>
      </c>
      <c r="L2290" s="225" t="str">
        <f>VLOOKUP(Logfile_S[[#This Row],[Material Name]],Sheet2!B:C,2,0)</f>
        <v>ZTE1001</v>
      </c>
      <c r="M2290" s="225" t="str">
        <f>_xlfn.XLOOKUP(Logfile_S[[#This Row],[Material Name]],Sum_WH!E:E,Sum_WH!F:F,"",0)</f>
        <v>Pcs</v>
      </c>
      <c r="N2290" s="221">
        <v>17</v>
      </c>
      <c r="O2290" s="221" t="s">
        <v>3216</v>
      </c>
      <c r="P2290" s="221" t="s">
        <v>3589</v>
      </c>
      <c r="Q2290" s="221">
        <v>0</v>
      </c>
      <c r="R2290" s="221">
        <v>0</v>
      </c>
      <c r="S2290" s="221"/>
      <c r="T2290" s="221"/>
      <c r="U2290" s="221"/>
      <c r="V2290" s="221"/>
      <c r="W2290" s="221"/>
      <c r="X2290" s="221" t="s">
        <v>3590</v>
      </c>
      <c r="Y2290" s="227"/>
      <c r="Z2290" s="227" t="str">
        <f>P2290</f>
        <v>change design from 4" to 3"</v>
      </c>
      <c r="AA2290" s="276" t="e">
        <f>VLOOKUP(Logfile_S[[#This Row],[DO number]],DO_DB!G:I,3,0)</f>
        <v>#N/A</v>
      </c>
      <c r="AB2290" s="331" t="e">
        <f>EXACT(Logfile_S[[#This Row],[date pick]],Logfile_S[[#This Row],[Date]])</f>
        <v>#N/A</v>
      </c>
      <c r="AC22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91" spans="1:29" ht="14.5">
      <c r="A2291" s="220" t="str">
        <f>TEXT(ROW(A2291)-ROW($A$4),"000")</f>
        <v>2287</v>
      </c>
      <c r="B2291" s="221"/>
      <c r="C2291" s="221" t="s">
        <v>48</v>
      </c>
      <c r="D2291" s="221" t="s">
        <v>4045</v>
      </c>
      <c r="E2291" s="221" t="s">
        <v>3295</v>
      </c>
      <c r="F2291" s="221" t="s">
        <v>3299</v>
      </c>
      <c r="G2291" s="222">
        <v>45429</v>
      </c>
      <c r="H2291" s="223">
        <v>15.291666666666666</v>
      </c>
      <c r="I2291" s="221" t="s">
        <v>3586</v>
      </c>
      <c r="J2291" s="221" t="s">
        <v>3024</v>
      </c>
      <c r="K2291" s="224" t="s">
        <v>5137</v>
      </c>
      <c r="L2291" s="225" t="str">
        <f>VLOOKUP(Logfile_S[[#This Row],[Material Name]],Sheet2!B:C,2,0)</f>
        <v>GCI1009</v>
      </c>
      <c r="M2291" s="225" t="str">
        <f>_xlfn.XLOOKUP(Logfile_S[[#This Row],[Material Name]],Sum_WH!E:E,Sum_WH!F:F,"",0)</f>
        <v>Pcs</v>
      </c>
      <c r="N2291" s="221">
        <v>19</v>
      </c>
      <c r="O2291" s="221" t="s">
        <v>3397</v>
      </c>
      <c r="P2291" s="221">
        <v>0</v>
      </c>
      <c r="Q2291" s="221">
        <v>0</v>
      </c>
      <c r="R2291" s="221">
        <v>0</v>
      </c>
      <c r="S2291" s="221"/>
      <c r="T2291" s="221"/>
      <c r="U2291" s="221"/>
      <c r="V2291" s="221"/>
      <c r="W2291" s="221"/>
      <c r="X2291" s="221"/>
      <c r="Y2291" s="227"/>
      <c r="Z2291" s="227">
        <f>P2291</f>
        <v>0</v>
      </c>
      <c r="AA2291" s="276" t="e">
        <f>VLOOKUP(Logfile_S[[#This Row],[DO number]],DO_DB!G:I,3,0)</f>
        <v>#N/A</v>
      </c>
      <c r="AB2291" s="331" t="e">
        <f>EXACT(Logfile_S[[#This Row],[date pick]],Logfile_S[[#This Row],[Date]])</f>
        <v>#N/A</v>
      </c>
      <c r="AC22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92" spans="1:29" ht="14.5">
      <c r="A2292" s="220" t="str">
        <f>TEXT(ROW(A2292)-ROW($A$4),"000")</f>
        <v>2288</v>
      </c>
      <c r="B2292" s="221"/>
      <c r="C2292" s="221" t="s">
        <v>48</v>
      </c>
      <c r="D2292" s="221" t="s">
        <v>4045</v>
      </c>
      <c r="E2292" s="221" t="s">
        <v>3295</v>
      </c>
      <c r="F2292" s="221" t="s">
        <v>3299</v>
      </c>
      <c r="G2292" s="222">
        <v>45429</v>
      </c>
      <c r="H2292" s="223">
        <v>15.291666666666666</v>
      </c>
      <c r="I2292" s="221" t="s">
        <v>38</v>
      </c>
      <c r="J2292" s="221" t="s">
        <v>3024</v>
      </c>
      <c r="K2292" s="224" t="s">
        <v>3094</v>
      </c>
      <c r="L2292" s="225" t="str">
        <f>VLOOKUP(Logfile_S[[#This Row],[Material Name]],Sheet2!B:C,2,0)</f>
        <v>GCI1008</v>
      </c>
      <c r="M2292" s="225" t="str">
        <f>_xlfn.XLOOKUP(Logfile_S[[#This Row],[Material Name]],Sum_WH!E:E,Sum_WH!F:F,"",0)</f>
        <v>Pcs</v>
      </c>
      <c r="N2292" s="221">
        <v>11</v>
      </c>
      <c r="O2292" s="221" t="s">
        <v>3397</v>
      </c>
      <c r="P2292" s="221">
        <v>0</v>
      </c>
      <c r="Q2292" s="221">
        <v>0</v>
      </c>
      <c r="R2292" s="221">
        <v>0</v>
      </c>
      <c r="S2292" s="221"/>
      <c r="T2292" s="221"/>
      <c r="U2292" s="221"/>
      <c r="V2292" s="221"/>
      <c r="W2292" s="221"/>
      <c r="X2292" s="221"/>
      <c r="Y2292" s="227"/>
      <c r="Z2292" s="227">
        <f>P2292</f>
        <v>0</v>
      </c>
      <c r="AA2292" s="276" t="e">
        <f>VLOOKUP(Logfile_S[[#This Row],[DO number]],DO_DB!G:I,3,0)</f>
        <v>#N/A</v>
      </c>
      <c r="AB2292" s="331" t="e">
        <f>EXACT(Logfile_S[[#This Row],[date pick]],Logfile_S[[#This Row],[Date]])</f>
        <v>#N/A</v>
      </c>
      <c r="AC22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93" spans="1:29" ht="14.5">
      <c r="A2293" s="220" t="str">
        <f>TEXT(ROW(A2293)-ROW($A$4),"000")</f>
        <v>2289</v>
      </c>
      <c r="B2293" s="221"/>
      <c r="C2293" s="221" t="s">
        <v>48</v>
      </c>
      <c r="D2293" s="221" t="s">
        <v>4084</v>
      </c>
      <c r="E2293" s="221" t="s">
        <v>3295</v>
      </c>
      <c r="F2293" s="221" t="s">
        <v>3299</v>
      </c>
      <c r="G2293" s="222">
        <v>45452</v>
      </c>
      <c r="H2293" s="223">
        <v>15.291666666666666</v>
      </c>
      <c r="I2293" s="221" t="s">
        <v>38</v>
      </c>
      <c r="J2293" s="221" t="s">
        <v>3024</v>
      </c>
      <c r="K2293" s="224" t="s">
        <v>3108</v>
      </c>
      <c r="L2293" s="225" t="str">
        <f>VLOOKUP(Logfile_S[[#This Row],[Material Name]],Sheet2!B:C,2,0)</f>
        <v>GCI1020</v>
      </c>
      <c r="M2293" s="225" t="str">
        <f>_xlfn.XLOOKUP(Logfile_S[[#This Row],[Material Name]],Sum_WH!E:E,Sum_WH!F:F,"",0)</f>
        <v>Pcs</v>
      </c>
      <c r="N2293" s="221">
        <v>107</v>
      </c>
      <c r="O2293" s="221" t="s">
        <v>3397</v>
      </c>
      <c r="P2293" s="221">
        <v>0</v>
      </c>
      <c r="Q2293" s="221">
        <v>0</v>
      </c>
      <c r="R2293" s="221">
        <v>0</v>
      </c>
      <c r="S2293" s="221"/>
      <c r="T2293" s="221"/>
      <c r="U2293" s="221"/>
      <c r="V2293" s="221"/>
      <c r="W2293" s="221"/>
      <c r="X2293" s="221"/>
      <c r="Y2293" s="227"/>
      <c r="Z2293" s="227">
        <f>P2293</f>
        <v>0</v>
      </c>
      <c r="AA2293" s="276" t="e">
        <f>VLOOKUP(Logfile_S[[#This Row],[DO number]],DO_DB!G:I,3,0)</f>
        <v>#N/A</v>
      </c>
      <c r="AB2293" s="331" t="e">
        <f>EXACT(Logfile_S[[#This Row],[date pick]],Logfile_S[[#This Row],[Date]])</f>
        <v>#N/A</v>
      </c>
      <c r="AC22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94" spans="1:29" ht="14.5">
      <c r="A2294" s="220" t="str">
        <f>TEXT(ROW(A2294)-ROW($A$4),"000")</f>
        <v>2290</v>
      </c>
      <c r="B2294" s="221"/>
      <c r="C2294" s="221" t="s">
        <v>48</v>
      </c>
      <c r="D2294" s="221" t="s">
        <v>4084</v>
      </c>
      <c r="E2294" s="221" t="s">
        <v>3295</v>
      </c>
      <c r="F2294" s="221" t="s">
        <v>3299</v>
      </c>
      <c r="G2294" s="222">
        <v>45452</v>
      </c>
      <c r="H2294" s="223">
        <v>15.291666666666666</v>
      </c>
      <c r="I2294" s="221" t="s">
        <v>38</v>
      </c>
      <c r="J2294" s="221" t="s">
        <v>3024</v>
      </c>
      <c r="K2294" s="224" t="s">
        <v>3090</v>
      </c>
      <c r="L2294" s="225" t="str">
        <f>VLOOKUP(Logfile_S[[#This Row],[Material Name]],Sheet2!B:C,2,0)</f>
        <v>GCI1004</v>
      </c>
      <c r="M2294" s="225" t="str">
        <f>_xlfn.XLOOKUP(Logfile_S[[#This Row],[Material Name]],Sum_WH!E:E,Sum_WH!F:F,"",0)</f>
        <v>Pcs</v>
      </c>
      <c r="N2294" s="221">
        <v>20</v>
      </c>
      <c r="O2294" s="221" t="s">
        <v>3397</v>
      </c>
      <c r="P2294" s="221">
        <v>0</v>
      </c>
      <c r="Q2294" s="221">
        <v>0</v>
      </c>
      <c r="R2294" s="221">
        <v>0</v>
      </c>
      <c r="S2294" s="221"/>
      <c r="T2294" s="221"/>
      <c r="U2294" s="221"/>
      <c r="V2294" s="221"/>
      <c r="W2294" s="221"/>
      <c r="X2294" s="221"/>
      <c r="Y2294" s="227"/>
      <c r="Z2294" s="227">
        <f>P2294</f>
        <v>0</v>
      </c>
      <c r="AA2294" s="276" t="e">
        <f>VLOOKUP(Logfile_S[[#This Row],[DO number]],DO_DB!G:I,3,0)</f>
        <v>#N/A</v>
      </c>
      <c r="AB2294" s="331" t="e">
        <f>EXACT(Logfile_S[[#This Row],[date pick]],Logfile_S[[#This Row],[Date]])</f>
        <v>#N/A</v>
      </c>
      <c r="AC22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95" spans="1:29" ht="14.5">
      <c r="A2295" s="220" t="str">
        <f>TEXT(ROW(A2295)-ROW($A$4),"000")</f>
        <v>2291</v>
      </c>
      <c r="B2295" s="221"/>
      <c r="C2295" s="221" t="s">
        <v>48</v>
      </c>
      <c r="D2295" s="221" t="s">
        <v>4268</v>
      </c>
      <c r="E2295" s="221" t="s">
        <v>3295</v>
      </c>
      <c r="F2295" s="221" t="s">
        <v>3299</v>
      </c>
      <c r="G2295" s="222">
        <v>45596</v>
      </c>
      <c r="H2295" s="223">
        <v>15.291666666666666</v>
      </c>
      <c r="I2295" s="221" t="s">
        <v>3586</v>
      </c>
      <c r="J2295" s="221" t="s">
        <v>3024</v>
      </c>
      <c r="K2295" s="224" t="s">
        <v>3108</v>
      </c>
      <c r="L2295" s="225" t="str">
        <f>VLOOKUP(Logfile_S[[#This Row],[Material Name]],Sheet2!B:C,2,0)</f>
        <v>GCI1020</v>
      </c>
      <c r="M2295" s="225" t="str">
        <f>_xlfn.XLOOKUP(Logfile_S[[#This Row],[Material Name]],Sum_WH!E:E,Sum_WH!F:F,"",0)</f>
        <v>Pcs</v>
      </c>
      <c r="N2295" s="221">
        <v>33</v>
      </c>
      <c r="O2295" s="221" t="s">
        <v>3397</v>
      </c>
      <c r="P2295" s="221" t="s">
        <v>3439</v>
      </c>
      <c r="Q2295" s="221">
        <v>0</v>
      </c>
      <c r="R2295" s="221">
        <v>0</v>
      </c>
      <c r="S2295" s="221"/>
      <c r="T2295" s="221"/>
      <c r="U2295" s="221"/>
      <c r="V2295" s="221"/>
      <c r="W2295" s="221"/>
      <c r="X2295" s="221"/>
      <c r="Y2295" s="227"/>
      <c r="Z2295" s="227" t="str">
        <f>P2295</f>
        <v>MF Singosari</v>
      </c>
      <c r="AA2295" s="276" t="e">
        <f>VLOOKUP(Logfile_S[[#This Row],[DO number]],DO_DB!G:I,3,0)</f>
        <v>#N/A</v>
      </c>
      <c r="AB2295" s="331" t="e">
        <f>EXACT(Logfile_S[[#This Row],[date pick]],Logfile_S[[#This Row],[Date]])</f>
        <v>#N/A</v>
      </c>
      <c r="AC22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96" spans="1:29" ht="14.5">
      <c r="A2296" s="220" t="str">
        <f>TEXT(ROW(A2296)-ROW($A$4),"000")</f>
        <v>2292</v>
      </c>
      <c r="B2296" s="221"/>
      <c r="C2296" s="221" t="s">
        <v>48</v>
      </c>
      <c r="D2296" s="221" t="s">
        <v>4268</v>
      </c>
      <c r="E2296" s="221" t="s">
        <v>3295</v>
      </c>
      <c r="F2296" s="221" t="s">
        <v>3299</v>
      </c>
      <c r="G2296" s="222">
        <v>45596</v>
      </c>
      <c r="H2296" s="223">
        <v>15.291666666666666</v>
      </c>
      <c r="I2296" s="221" t="s">
        <v>3586</v>
      </c>
      <c r="J2296" s="221" t="s">
        <v>3024</v>
      </c>
      <c r="K2296" s="224" t="s">
        <v>3094</v>
      </c>
      <c r="L2296" s="225" t="str">
        <f>VLOOKUP(Logfile_S[[#This Row],[Material Name]],Sheet2!B:C,2,0)</f>
        <v>GCI1008</v>
      </c>
      <c r="M2296" s="225" t="str">
        <f>_xlfn.XLOOKUP(Logfile_S[[#This Row],[Material Name]],Sum_WH!E:E,Sum_WH!F:F,"",0)</f>
        <v>Pcs</v>
      </c>
      <c r="N2296" s="221">
        <v>111</v>
      </c>
      <c r="O2296" s="221" t="s">
        <v>3397</v>
      </c>
      <c r="P2296" s="221" t="s">
        <v>3439</v>
      </c>
      <c r="Q2296" s="221">
        <v>0</v>
      </c>
      <c r="R2296" s="221">
        <v>0</v>
      </c>
      <c r="S2296" s="221"/>
      <c r="T2296" s="221"/>
      <c r="U2296" s="221"/>
      <c r="V2296" s="221"/>
      <c r="W2296" s="221"/>
      <c r="X2296" s="221"/>
      <c r="Y2296" s="227"/>
      <c r="Z2296" s="227" t="str">
        <f>P2296</f>
        <v>MF Singosari</v>
      </c>
      <c r="AA2296" s="276" t="e">
        <f>VLOOKUP(Logfile_S[[#This Row],[DO number]],DO_DB!G:I,3,0)</f>
        <v>#N/A</v>
      </c>
      <c r="AB2296" s="331" t="e">
        <f>EXACT(Logfile_S[[#This Row],[date pick]],Logfile_S[[#This Row],[Date]])</f>
        <v>#N/A</v>
      </c>
      <c r="AC22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97" spans="1:29" ht="14.5">
      <c r="A2297" s="220" t="str">
        <f>TEXT(ROW(A2297)-ROW($A$4),"000")</f>
        <v>2293</v>
      </c>
      <c r="B2297" s="221"/>
      <c r="C2297" s="221" t="s">
        <v>48</v>
      </c>
      <c r="D2297" s="221" t="s">
        <v>4268</v>
      </c>
      <c r="E2297" s="221" t="s">
        <v>3295</v>
      </c>
      <c r="F2297" s="221" t="s">
        <v>3299</v>
      </c>
      <c r="G2297" s="222">
        <v>45596</v>
      </c>
      <c r="H2297" s="223">
        <v>15.291666666666666</v>
      </c>
      <c r="I2297" s="221" t="s">
        <v>3586</v>
      </c>
      <c r="J2297" s="221" t="s">
        <v>3024</v>
      </c>
      <c r="K2297" s="224" t="s">
        <v>3090</v>
      </c>
      <c r="L2297" s="225" t="str">
        <f>VLOOKUP(Logfile_S[[#This Row],[Material Name]],Sheet2!B:C,2,0)</f>
        <v>GCI1004</v>
      </c>
      <c r="M2297" s="225" t="str">
        <f>_xlfn.XLOOKUP(Logfile_S[[#This Row],[Material Name]],Sum_WH!E:E,Sum_WH!F:F,"",0)</f>
        <v>Pcs</v>
      </c>
      <c r="N2297" s="221">
        <v>34</v>
      </c>
      <c r="O2297" s="221" t="s">
        <v>3397</v>
      </c>
      <c r="P2297" s="221" t="s">
        <v>3439</v>
      </c>
      <c r="Q2297" s="221">
        <v>0</v>
      </c>
      <c r="R2297" s="221">
        <v>0</v>
      </c>
      <c r="S2297" s="221"/>
      <c r="T2297" s="221"/>
      <c r="U2297" s="221"/>
      <c r="V2297" s="221"/>
      <c r="W2297" s="221"/>
      <c r="X2297" s="221"/>
      <c r="Y2297" s="227"/>
      <c r="Z2297" s="227" t="str">
        <f>P2297</f>
        <v>MF Singosari</v>
      </c>
      <c r="AA2297" s="276" t="e">
        <f>VLOOKUP(Logfile_S[[#This Row],[DO number]],DO_DB!G:I,3,0)</f>
        <v>#N/A</v>
      </c>
      <c r="AB2297" s="331" t="e">
        <f>EXACT(Logfile_S[[#This Row],[date pick]],Logfile_S[[#This Row],[Date]])</f>
        <v>#N/A</v>
      </c>
      <c r="AC22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98" spans="1:29" ht="14.5">
      <c r="A2298" s="220" t="str">
        <f>TEXT(ROW(A2298)-ROW($A$4),"000")</f>
        <v>2294</v>
      </c>
      <c r="B2298" s="221"/>
      <c r="C2298" s="221" t="s">
        <v>48</v>
      </c>
      <c r="D2298" s="221" t="s">
        <v>4222</v>
      </c>
      <c r="E2298" s="221" t="s">
        <v>3295</v>
      </c>
      <c r="F2298" s="221" t="s">
        <v>3299</v>
      </c>
      <c r="G2298" s="222">
        <v>45554</v>
      </c>
      <c r="H2298" s="223">
        <v>15.291666666666666</v>
      </c>
      <c r="I2298" s="221" t="s">
        <v>3586</v>
      </c>
      <c r="J2298" s="221" t="s">
        <v>3024</v>
      </c>
      <c r="K2298" s="224" t="s">
        <v>3087</v>
      </c>
      <c r="L2298" s="225" t="str">
        <f>VLOOKUP(Logfile_S[[#This Row],[Material Name]],Sheet2!B:C,2,0)</f>
        <v>GCI1001</v>
      </c>
      <c r="M2298" s="225" t="str">
        <f>_xlfn.XLOOKUP(Logfile_S[[#This Row],[Material Name]],Sum_WH!E:E,Sum_WH!F:F,"",0)</f>
        <v>Pcs</v>
      </c>
      <c r="N2298" s="221">
        <v>3</v>
      </c>
      <c r="O2298" s="221" t="s">
        <v>3397</v>
      </c>
      <c r="P2298" s="221" t="s">
        <v>3401</v>
      </c>
      <c r="Q2298" s="221">
        <v>0</v>
      </c>
      <c r="R2298" s="221">
        <v>0</v>
      </c>
      <c r="S2298" s="221"/>
      <c r="T2298" s="221"/>
      <c r="U2298" s="221"/>
      <c r="V2298" s="221"/>
      <c r="W2298" s="221"/>
      <c r="X2298" s="221"/>
      <c r="Y2298" s="227"/>
      <c r="Z2298" s="227" t="str">
        <f>P2298</f>
        <v>MF Sumbersekar</v>
      </c>
      <c r="AA2298" s="276" t="e">
        <f>VLOOKUP(Logfile_S[[#This Row],[DO number]],DO_DB!G:I,3,0)</f>
        <v>#N/A</v>
      </c>
      <c r="AB2298" s="331" t="e">
        <f>EXACT(Logfile_S[[#This Row],[date pick]],Logfile_S[[#This Row],[Date]])</f>
        <v>#N/A</v>
      </c>
      <c r="AC22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299" spans="1:29" ht="14.5">
      <c r="A2299" s="220" t="str">
        <f>TEXT(ROW(A2299)-ROW($A$4),"000")</f>
        <v>2295</v>
      </c>
      <c r="B2299" s="221"/>
      <c r="C2299" s="221" t="s">
        <v>48</v>
      </c>
      <c r="D2299" s="221" t="s">
        <v>4222</v>
      </c>
      <c r="E2299" s="221" t="s">
        <v>3295</v>
      </c>
      <c r="F2299" s="221" t="s">
        <v>3299</v>
      </c>
      <c r="G2299" s="222">
        <v>45554</v>
      </c>
      <c r="H2299" s="223">
        <v>15.291666666666666</v>
      </c>
      <c r="I2299" s="221" t="s">
        <v>3586</v>
      </c>
      <c r="J2299" s="221" t="s">
        <v>3024</v>
      </c>
      <c r="K2299" s="224" t="s">
        <v>3108</v>
      </c>
      <c r="L2299" s="225" t="str">
        <f>VLOOKUP(Logfile_S[[#This Row],[Material Name]],Sheet2!B:C,2,0)</f>
        <v>GCI1020</v>
      </c>
      <c r="M2299" s="225" t="str">
        <f>_xlfn.XLOOKUP(Logfile_S[[#This Row],[Material Name]],Sum_WH!E:E,Sum_WH!F:F,"",0)</f>
        <v>Pcs</v>
      </c>
      <c r="N2299" s="221">
        <v>232</v>
      </c>
      <c r="O2299" s="221" t="s">
        <v>3397</v>
      </c>
      <c r="P2299" s="221" t="s">
        <v>3401</v>
      </c>
      <c r="Q2299" s="221">
        <v>0</v>
      </c>
      <c r="R2299" s="221">
        <v>0</v>
      </c>
      <c r="S2299" s="221"/>
      <c r="T2299" s="221"/>
      <c r="U2299" s="221"/>
      <c r="V2299" s="221"/>
      <c r="W2299" s="221"/>
      <c r="X2299" s="221"/>
      <c r="Y2299" s="227"/>
      <c r="Z2299" s="227" t="str">
        <f>P2299</f>
        <v>MF Sumbersekar</v>
      </c>
      <c r="AA2299" s="276" t="e">
        <f>VLOOKUP(Logfile_S[[#This Row],[DO number]],DO_DB!G:I,3,0)</f>
        <v>#N/A</v>
      </c>
      <c r="AB2299" s="331" t="e">
        <f>EXACT(Logfile_S[[#This Row],[date pick]],Logfile_S[[#This Row],[Date]])</f>
        <v>#N/A</v>
      </c>
      <c r="AC22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00" spans="1:29" ht="14.5">
      <c r="A2300" s="220" t="str">
        <f>TEXT(ROW(A2300)-ROW($A$4),"000")</f>
        <v>2296</v>
      </c>
      <c r="B2300" s="221"/>
      <c r="C2300" s="221" t="s">
        <v>48</v>
      </c>
      <c r="D2300" s="221" t="s">
        <v>4222</v>
      </c>
      <c r="E2300" s="221" t="s">
        <v>3295</v>
      </c>
      <c r="F2300" s="221" t="s">
        <v>3299</v>
      </c>
      <c r="G2300" s="222">
        <v>45554</v>
      </c>
      <c r="H2300" s="223">
        <v>15.291666666666666</v>
      </c>
      <c r="I2300" s="221" t="s">
        <v>3586</v>
      </c>
      <c r="J2300" s="221" t="s">
        <v>3024</v>
      </c>
      <c r="K2300" s="224" t="s">
        <v>3094</v>
      </c>
      <c r="L2300" s="225" t="str">
        <f>VLOOKUP(Logfile_S[[#This Row],[Material Name]],Sheet2!B:C,2,0)</f>
        <v>GCI1008</v>
      </c>
      <c r="M2300" s="225" t="str">
        <f>_xlfn.XLOOKUP(Logfile_S[[#This Row],[Material Name]],Sum_WH!E:E,Sum_WH!F:F,"",0)</f>
        <v>Pcs</v>
      </c>
      <c r="N2300" s="221">
        <v>52</v>
      </c>
      <c r="O2300" s="221" t="s">
        <v>3397</v>
      </c>
      <c r="P2300" s="221" t="s">
        <v>3401</v>
      </c>
      <c r="Q2300" s="221">
        <v>0</v>
      </c>
      <c r="R2300" s="221">
        <v>0</v>
      </c>
      <c r="S2300" s="221"/>
      <c r="T2300" s="221"/>
      <c r="U2300" s="221"/>
      <c r="V2300" s="221"/>
      <c r="W2300" s="221"/>
      <c r="X2300" s="221"/>
      <c r="Y2300" s="227"/>
      <c r="Z2300" s="227" t="str">
        <f>P2300</f>
        <v>MF Sumbersekar</v>
      </c>
      <c r="AA2300" s="276" t="e">
        <f>VLOOKUP(Logfile_S[[#This Row],[DO number]],DO_DB!G:I,3,0)</f>
        <v>#N/A</v>
      </c>
      <c r="AB2300" s="331" t="e">
        <f>EXACT(Logfile_S[[#This Row],[date pick]],Logfile_S[[#This Row],[Date]])</f>
        <v>#N/A</v>
      </c>
      <c r="AC23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01" spans="1:29" ht="14.5">
      <c r="A2301" s="220" t="str">
        <f>TEXT(ROW(A2301)-ROW($A$4),"000")</f>
        <v>2297</v>
      </c>
      <c r="B2301" s="221"/>
      <c r="C2301" s="221" t="s">
        <v>48</v>
      </c>
      <c r="D2301" s="221" t="s">
        <v>4222</v>
      </c>
      <c r="E2301" s="221" t="s">
        <v>3295</v>
      </c>
      <c r="F2301" s="221" t="s">
        <v>3299</v>
      </c>
      <c r="G2301" s="222">
        <v>45554</v>
      </c>
      <c r="H2301" s="223">
        <v>15.291666666666666</v>
      </c>
      <c r="I2301" s="221" t="s">
        <v>3586</v>
      </c>
      <c r="J2301" s="221" t="s">
        <v>3024</v>
      </c>
      <c r="K2301" s="224" t="s">
        <v>3089</v>
      </c>
      <c r="L2301" s="225" t="str">
        <f>VLOOKUP(Logfile_S[[#This Row],[Material Name]],Sheet2!B:C,2,0)</f>
        <v>GCI1003</v>
      </c>
      <c r="M2301" s="225" t="str">
        <f>_xlfn.XLOOKUP(Logfile_S[[#This Row],[Material Name]],Sum_WH!E:E,Sum_WH!F:F,"",0)</f>
        <v>Pcs</v>
      </c>
      <c r="N2301" s="221">
        <v>11</v>
      </c>
      <c r="O2301" s="221" t="s">
        <v>3397</v>
      </c>
      <c r="P2301" s="221" t="s">
        <v>3401</v>
      </c>
      <c r="Q2301" s="221">
        <v>0</v>
      </c>
      <c r="R2301" s="221">
        <v>0</v>
      </c>
      <c r="S2301" s="221"/>
      <c r="T2301" s="221"/>
      <c r="U2301" s="221"/>
      <c r="V2301" s="221"/>
      <c r="W2301" s="221"/>
      <c r="X2301" s="221"/>
      <c r="Y2301" s="227"/>
      <c r="Z2301" s="227" t="str">
        <f>P2301</f>
        <v>MF Sumbersekar</v>
      </c>
      <c r="AA2301" s="276" t="e">
        <f>VLOOKUP(Logfile_S[[#This Row],[DO number]],DO_DB!G:I,3,0)</f>
        <v>#N/A</v>
      </c>
      <c r="AB2301" s="331" t="e">
        <f>EXACT(Logfile_S[[#This Row],[date pick]],Logfile_S[[#This Row],[Date]])</f>
        <v>#N/A</v>
      </c>
      <c r="AC23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02" spans="1:29" ht="14.5">
      <c r="A2302" s="220" t="str">
        <f>TEXT(ROW(A2302)-ROW($A$4),"000")</f>
        <v>2298</v>
      </c>
      <c r="B2302" s="221"/>
      <c r="C2302" s="221" t="s">
        <v>48</v>
      </c>
      <c r="D2302" s="221" t="s">
        <v>4222</v>
      </c>
      <c r="E2302" s="221" t="s">
        <v>3295</v>
      </c>
      <c r="F2302" s="221" t="s">
        <v>3299</v>
      </c>
      <c r="G2302" s="222">
        <v>45554</v>
      </c>
      <c r="H2302" s="223">
        <v>15.291666666666666</v>
      </c>
      <c r="I2302" s="221" t="s">
        <v>3586</v>
      </c>
      <c r="J2302" s="221" t="s">
        <v>3024</v>
      </c>
      <c r="K2302" s="224" t="s">
        <v>3090</v>
      </c>
      <c r="L2302" s="225" t="str">
        <f>VLOOKUP(Logfile_S[[#This Row],[Material Name]],Sheet2!B:C,2,0)</f>
        <v>GCI1004</v>
      </c>
      <c r="M2302" s="225" t="str">
        <f>_xlfn.XLOOKUP(Logfile_S[[#This Row],[Material Name]],Sum_WH!E:E,Sum_WH!F:F,"",0)</f>
        <v>Pcs</v>
      </c>
      <c r="N2302" s="221">
        <v>38</v>
      </c>
      <c r="O2302" s="221" t="s">
        <v>3397</v>
      </c>
      <c r="P2302" s="221" t="s">
        <v>3401</v>
      </c>
      <c r="Q2302" s="221">
        <v>0</v>
      </c>
      <c r="R2302" s="221">
        <v>0</v>
      </c>
      <c r="S2302" s="221"/>
      <c r="T2302" s="221"/>
      <c r="U2302" s="221"/>
      <c r="V2302" s="221"/>
      <c r="W2302" s="221"/>
      <c r="X2302" s="221"/>
      <c r="Y2302" s="227"/>
      <c r="Z2302" s="227" t="str">
        <f>P2302</f>
        <v>MF Sumbersekar</v>
      </c>
      <c r="AA2302" s="276" t="e">
        <f>VLOOKUP(Logfile_S[[#This Row],[DO number]],DO_DB!G:I,3,0)</f>
        <v>#N/A</v>
      </c>
      <c r="AB2302" s="331" t="e">
        <f>EXACT(Logfile_S[[#This Row],[date pick]],Logfile_S[[#This Row],[Date]])</f>
        <v>#N/A</v>
      </c>
      <c r="AC23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03" spans="1:29" ht="14.5">
      <c r="A2303" s="220" t="str">
        <f>TEXT(ROW(A2303)-ROW($A$4),"000")</f>
        <v>2299</v>
      </c>
      <c r="B2303" s="221"/>
      <c r="C2303" s="221" t="s">
        <v>48</v>
      </c>
      <c r="D2303" s="221" t="s">
        <v>4245</v>
      </c>
      <c r="E2303" s="221" t="s">
        <v>3295</v>
      </c>
      <c r="F2303" s="221" t="s">
        <v>3299</v>
      </c>
      <c r="G2303" s="222">
        <v>45566</v>
      </c>
      <c r="H2303" s="223">
        <v>15.291666666666666</v>
      </c>
      <c r="I2303" s="221" t="s">
        <v>3586</v>
      </c>
      <c r="J2303" s="221" t="s">
        <v>3024</v>
      </c>
      <c r="K2303" s="224" t="s">
        <v>3087</v>
      </c>
      <c r="L2303" s="225" t="str">
        <f>VLOOKUP(Logfile_S[[#This Row],[Material Name]],Sheet2!B:C,2,0)</f>
        <v>GCI1001</v>
      </c>
      <c r="M2303" s="225" t="str">
        <f>_xlfn.XLOOKUP(Logfile_S[[#This Row],[Material Name]],Sum_WH!E:E,Sum_WH!F:F,"",0)</f>
        <v>Pcs</v>
      </c>
      <c r="N2303" s="221">
        <v>7</v>
      </c>
      <c r="O2303" s="221" t="s">
        <v>3397</v>
      </c>
      <c r="P2303" s="221" t="s">
        <v>3402</v>
      </c>
      <c r="Q2303" s="221">
        <v>0</v>
      </c>
      <c r="R2303" s="221">
        <v>0</v>
      </c>
      <c r="S2303" s="221"/>
      <c r="T2303" s="221"/>
      <c r="U2303" s="221"/>
      <c r="V2303" s="221"/>
      <c r="W2303" s="221"/>
      <c r="X2303" s="221"/>
      <c r="Y2303" s="227"/>
      <c r="Z2303" s="227" t="str">
        <f>P2303</f>
        <v>Mojosari Ngenep</v>
      </c>
      <c r="AA2303" s="276" t="e">
        <f>VLOOKUP(Logfile_S[[#This Row],[DO number]],DO_DB!G:I,3,0)</f>
        <v>#N/A</v>
      </c>
      <c r="AB2303" s="331" t="e">
        <f>EXACT(Logfile_S[[#This Row],[date pick]],Logfile_S[[#This Row],[Date]])</f>
        <v>#N/A</v>
      </c>
      <c r="AC23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04" spans="1:29" ht="14.5">
      <c r="A2304" s="220" t="str">
        <f>TEXT(ROW(A2304)-ROW($A$4),"000")</f>
        <v>2300</v>
      </c>
      <c r="B2304" s="221"/>
      <c r="C2304" s="221" t="s">
        <v>48</v>
      </c>
      <c r="D2304" s="221" t="s">
        <v>4245</v>
      </c>
      <c r="E2304" s="221" t="s">
        <v>3295</v>
      </c>
      <c r="F2304" s="221" t="s">
        <v>3299</v>
      </c>
      <c r="G2304" s="222">
        <v>45566</v>
      </c>
      <c r="H2304" s="223">
        <v>15.291666666666666</v>
      </c>
      <c r="I2304" s="221" t="s">
        <v>3586</v>
      </c>
      <c r="J2304" s="221" t="s">
        <v>3024</v>
      </c>
      <c r="K2304" s="224" t="s">
        <v>5137</v>
      </c>
      <c r="L2304" s="225" t="str">
        <f>VLOOKUP(Logfile_S[[#This Row],[Material Name]],Sheet2!B:C,2,0)</f>
        <v>GCI1009</v>
      </c>
      <c r="M2304" s="225" t="str">
        <f>_xlfn.XLOOKUP(Logfile_S[[#This Row],[Material Name]],Sum_WH!E:E,Sum_WH!F:F,"",0)</f>
        <v>Pcs</v>
      </c>
      <c r="N2304" s="221">
        <v>22</v>
      </c>
      <c r="O2304" s="221" t="s">
        <v>3397</v>
      </c>
      <c r="P2304" s="221" t="s">
        <v>3402</v>
      </c>
      <c r="Q2304" s="221">
        <v>0</v>
      </c>
      <c r="R2304" s="221">
        <v>0</v>
      </c>
      <c r="S2304" s="221"/>
      <c r="T2304" s="221"/>
      <c r="U2304" s="221"/>
      <c r="V2304" s="221"/>
      <c r="W2304" s="221"/>
      <c r="X2304" s="221"/>
      <c r="Y2304" s="227"/>
      <c r="Z2304" s="227" t="str">
        <f>P2304</f>
        <v>Mojosari Ngenep</v>
      </c>
      <c r="AA2304" s="276" t="e">
        <f>VLOOKUP(Logfile_S[[#This Row],[DO number]],DO_DB!G:I,3,0)</f>
        <v>#N/A</v>
      </c>
      <c r="AB2304" s="331" t="e">
        <f>EXACT(Logfile_S[[#This Row],[date pick]],Logfile_S[[#This Row],[Date]])</f>
        <v>#N/A</v>
      </c>
      <c r="AC23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05" spans="1:29" ht="14.5">
      <c r="A2305" s="220" t="str">
        <f>TEXT(ROW(A2305)-ROW($A$4),"000")</f>
        <v>2301</v>
      </c>
      <c r="B2305" s="221"/>
      <c r="C2305" s="221" t="s">
        <v>48</v>
      </c>
      <c r="D2305" s="221" t="s">
        <v>4245</v>
      </c>
      <c r="E2305" s="221" t="s">
        <v>3295</v>
      </c>
      <c r="F2305" s="221" t="s">
        <v>3299</v>
      </c>
      <c r="G2305" s="222">
        <v>45566</v>
      </c>
      <c r="H2305" s="223">
        <v>15.291666666666666</v>
      </c>
      <c r="I2305" s="221" t="s">
        <v>3586</v>
      </c>
      <c r="J2305" s="221" t="s">
        <v>3024</v>
      </c>
      <c r="K2305" s="224" t="s">
        <v>3094</v>
      </c>
      <c r="L2305" s="225" t="str">
        <f>VLOOKUP(Logfile_S[[#This Row],[Material Name]],Sheet2!B:C,2,0)</f>
        <v>GCI1008</v>
      </c>
      <c r="M2305" s="225" t="str">
        <f>_xlfn.XLOOKUP(Logfile_S[[#This Row],[Material Name]],Sum_WH!E:E,Sum_WH!F:F,"",0)</f>
        <v>Pcs</v>
      </c>
      <c r="N2305" s="221">
        <v>19</v>
      </c>
      <c r="O2305" s="221" t="s">
        <v>3397</v>
      </c>
      <c r="P2305" s="221" t="s">
        <v>3402</v>
      </c>
      <c r="Q2305" s="221">
        <v>0</v>
      </c>
      <c r="R2305" s="221">
        <v>0</v>
      </c>
      <c r="S2305" s="221"/>
      <c r="T2305" s="221"/>
      <c r="U2305" s="221"/>
      <c r="V2305" s="221"/>
      <c r="W2305" s="221"/>
      <c r="X2305" s="221"/>
      <c r="Y2305" s="227"/>
      <c r="Z2305" s="227" t="str">
        <f>P2305</f>
        <v>Mojosari Ngenep</v>
      </c>
      <c r="AA2305" s="276" t="e">
        <f>VLOOKUP(Logfile_S[[#This Row],[DO number]],DO_DB!G:I,3,0)</f>
        <v>#N/A</v>
      </c>
      <c r="AB2305" s="331" t="e">
        <f>EXACT(Logfile_S[[#This Row],[date pick]],Logfile_S[[#This Row],[Date]])</f>
        <v>#N/A</v>
      </c>
      <c r="AC23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06" spans="1:29" ht="14.5">
      <c r="A2306" s="220" t="str">
        <f>TEXT(ROW(A2306)-ROW($A$4),"000")</f>
        <v>2302</v>
      </c>
      <c r="B2306" s="221"/>
      <c r="C2306" s="221" t="s">
        <v>48</v>
      </c>
      <c r="D2306" s="221" t="s">
        <v>4245</v>
      </c>
      <c r="E2306" s="221" t="s">
        <v>3295</v>
      </c>
      <c r="F2306" s="221" t="s">
        <v>3299</v>
      </c>
      <c r="G2306" s="222">
        <v>45566</v>
      </c>
      <c r="H2306" s="223">
        <v>15.291666666666666</v>
      </c>
      <c r="I2306" s="221" t="s">
        <v>3586</v>
      </c>
      <c r="J2306" s="221" t="s">
        <v>3024</v>
      </c>
      <c r="K2306" s="224" t="s">
        <v>3089</v>
      </c>
      <c r="L2306" s="225" t="str">
        <f>VLOOKUP(Logfile_S[[#This Row],[Material Name]],Sheet2!B:C,2,0)</f>
        <v>GCI1003</v>
      </c>
      <c r="M2306" s="225" t="str">
        <f>_xlfn.XLOOKUP(Logfile_S[[#This Row],[Material Name]],Sum_WH!E:E,Sum_WH!F:F,"",0)</f>
        <v>Pcs</v>
      </c>
      <c r="N2306" s="221">
        <v>72</v>
      </c>
      <c r="O2306" s="221" t="s">
        <v>3397</v>
      </c>
      <c r="P2306" s="221" t="s">
        <v>3402</v>
      </c>
      <c r="Q2306" s="221">
        <v>0</v>
      </c>
      <c r="R2306" s="221">
        <v>0</v>
      </c>
      <c r="S2306" s="221"/>
      <c r="T2306" s="221"/>
      <c r="U2306" s="221"/>
      <c r="V2306" s="221"/>
      <c r="W2306" s="221"/>
      <c r="X2306" s="221"/>
      <c r="Y2306" s="227"/>
      <c r="Z2306" s="227" t="str">
        <f>P2306</f>
        <v>Mojosari Ngenep</v>
      </c>
      <c r="AA2306" s="276" t="e">
        <f>VLOOKUP(Logfile_S[[#This Row],[DO number]],DO_DB!G:I,3,0)</f>
        <v>#N/A</v>
      </c>
      <c r="AB2306" s="331" t="e">
        <f>EXACT(Logfile_S[[#This Row],[date pick]],Logfile_S[[#This Row],[Date]])</f>
        <v>#N/A</v>
      </c>
      <c r="AC23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07" spans="1:29" ht="14.5">
      <c r="A2307" s="220" t="str">
        <f>TEXT(ROW(A2307)-ROW($A$4),"000")</f>
        <v>2303</v>
      </c>
      <c r="B2307" s="221"/>
      <c r="C2307" s="221" t="s">
        <v>48</v>
      </c>
      <c r="D2307" s="221" t="s">
        <v>4245</v>
      </c>
      <c r="E2307" s="221" t="s">
        <v>3295</v>
      </c>
      <c r="F2307" s="221" t="s">
        <v>3299</v>
      </c>
      <c r="G2307" s="222">
        <v>45566</v>
      </c>
      <c r="H2307" s="223">
        <v>15.291666666666666</v>
      </c>
      <c r="I2307" s="221" t="s">
        <v>3586</v>
      </c>
      <c r="J2307" s="221" t="s">
        <v>3024</v>
      </c>
      <c r="K2307" s="224" t="s">
        <v>3090</v>
      </c>
      <c r="L2307" s="225" t="str">
        <f>VLOOKUP(Logfile_S[[#This Row],[Material Name]],Sheet2!B:C,2,0)</f>
        <v>GCI1004</v>
      </c>
      <c r="M2307" s="225" t="str">
        <f>_xlfn.XLOOKUP(Logfile_S[[#This Row],[Material Name]],Sum_WH!E:E,Sum_WH!F:F,"",0)</f>
        <v>Pcs</v>
      </c>
      <c r="N2307" s="221">
        <v>53</v>
      </c>
      <c r="O2307" s="221" t="s">
        <v>3397</v>
      </c>
      <c r="P2307" s="221" t="s">
        <v>3402</v>
      </c>
      <c r="Q2307" s="221">
        <v>0</v>
      </c>
      <c r="R2307" s="221">
        <v>0</v>
      </c>
      <c r="S2307" s="221"/>
      <c r="T2307" s="221"/>
      <c r="U2307" s="221"/>
      <c r="V2307" s="221"/>
      <c r="W2307" s="221"/>
      <c r="X2307" s="221"/>
      <c r="Y2307" s="227"/>
      <c r="Z2307" s="227" t="str">
        <f>P2307</f>
        <v>Mojosari Ngenep</v>
      </c>
      <c r="AA2307" s="276" t="e">
        <f>VLOOKUP(Logfile_S[[#This Row],[DO number]],DO_DB!G:I,3,0)</f>
        <v>#N/A</v>
      </c>
      <c r="AB2307" s="331" t="e">
        <f>EXACT(Logfile_S[[#This Row],[date pick]],Logfile_S[[#This Row],[Date]])</f>
        <v>#N/A</v>
      </c>
      <c r="AC23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08" spans="1:29" ht="14.5">
      <c r="A2308" s="220" t="str">
        <f>TEXT(ROW(A2308)-ROW($A$4),"000")</f>
        <v>2304</v>
      </c>
      <c r="B2308" s="221"/>
      <c r="C2308" s="221" t="s">
        <v>48</v>
      </c>
      <c r="D2308" s="221" t="s">
        <v>3826</v>
      </c>
      <c r="E2308" s="221" t="s">
        <v>3295</v>
      </c>
      <c r="F2308" s="221" t="s">
        <v>3299</v>
      </c>
      <c r="G2308" s="222">
        <v>45261</v>
      </c>
      <c r="H2308" s="223">
        <v>15.291666666666666</v>
      </c>
      <c r="I2308" s="221" t="s">
        <v>3586</v>
      </c>
      <c r="J2308" s="221" t="s">
        <v>3024</v>
      </c>
      <c r="K2308" s="224" t="s">
        <v>3230</v>
      </c>
      <c r="L2308" s="225" t="str">
        <f>VLOOKUP(Logfile_S[[#This Row],[Material Name]],Sheet2!B:C,2,0)</f>
        <v>GCI1008</v>
      </c>
      <c r="M2308" s="225" t="str">
        <f>_xlfn.XLOOKUP(Logfile_S[[#This Row],[Material Name]],Sum_WH!E:E,Sum_WH!F:F,"",0)</f>
        <v>Pcs</v>
      </c>
      <c r="N2308" s="221">
        <v>51</v>
      </c>
      <c r="O2308" s="221" t="s">
        <v>3397</v>
      </c>
      <c r="P2308" s="221" t="s">
        <v>3300</v>
      </c>
      <c r="Q2308" s="221">
        <v>0</v>
      </c>
      <c r="R2308" s="221">
        <v>0</v>
      </c>
      <c r="S2308" s="221"/>
      <c r="T2308" s="221"/>
      <c r="U2308" s="221"/>
      <c r="V2308" s="221"/>
      <c r="W2308" s="221"/>
      <c r="X2308" s="221" t="s">
        <v>3447</v>
      </c>
      <c r="Y2308" s="227"/>
      <c r="Z2308" s="227" t="str">
        <f>P2308</f>
        <v>Pengembalian</v>
      </c>
      <c r="AA2308" s="276" t="e">
        <f>VLOOKUP(Logfile_S[[#This Row],[DO number]],DO_DB!G:I,3,0)</f>
        <v>#N/A</v>
      </c>
      <c r="AB2308" s="331" t="e">
        <f>EXACT(Logfile_S[[#This Row],[date pick]],Logfile_S[[#This Row],[Date]])</f>
        <v>#N/A</v>
      </c>
      <c r="AC23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09" spans="1:29" ht="14.5">
      <c r="A2309" s="220" t="str">
        <f>TEXT(ROW(A2309)-ROW($A$4),"000")</f>
        <v>2305</v>
      </c>
      <c r="B2309" s="221"/>
      <c r="C2309" s="221" t="s">
        <v>48</v>
      </c>
      <c r="D2309" s="221" t="s">
        <v>3826</v>
      </c>
      <c r="E2309" s="221" t="s">
        <v>3295</v>
      </c>
      <c r="F2309" s="221" t="s">
        <v>3299</v>
      </c>
      <c r="G2309" s="222">
        <v>45261</v>
      </c>
      <c r="H2309" s="223">
        <v>15.291666666666666</v>
      </c>
      <c r="I2309" s="221" t="s">
        <v>3586</v>
      </c>
      <c r="J2309" s="221" t="s">
        <v>3024</v>
      </c>
      <c r="K2309" s="224" t="s">
        <v>3090</v>
      </c>
      <c r="L2309" s="225" t="str">
        <f>VLOOKUP(Logfile_S[[#This Row],[Material Name]],Sheet2!B:C,2,0)</f>
        <v>GCI1004</v>
      </c>
      <c r="M2309" s="225" t="str">
        <f>_xlfn.XLOOKUP(Logfile_S[[#This Row],[Material Name]],Sum_WH!E:E,Sum_WH!F:F,"",0)</f>
        <v>Pcs</v>
      </c>
      <c r="N2309" s="221">
        <v>23</v>
      </c>
      <c r="O2309" s="221" t="s">
        <v>3397</v>
      </c>
      <c r="P2309" s="221" t="s">
        <v>3300</v>
      </c>
      <c r="Q2309" s="221">
        <v>0</v>
      </c>
      <c r="R2309" s="221">
        <v>0</v>
      </c>
      <c r="S2309" s="221"/>
      <c r="T2309" s="221"/>
      <c r="U2309" s="221"/>
      <c r="V2309" s="221"/>
      <c r="W2309" s="221"/>
      <c r="X2309" s="221" t="s">
        <v>3447</v>
      </c>
      <c r="Y2309" s="227"/>
      <c r="Z2309" s="227" t="str">
        <f>P2309</f>
        <v>Pengembalian</v>
      </c>
      <c r="AA2309" s="276" t="e">
        <f>VLOOKUP(Logfile_S[[#This Row],[DO number]],DO_DB!G:I,3,0)</f>
        <v>#N/A</v>
      </c>
      <c r="AB2309" s="331" t="e">
        <f>EXACT(Logfile_S[[#This Row],[date pick]],Logfile_S[[#This Row],[Date]])</f>
        <v>#N/A</v>
      </c>
      <c r="AC23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10" spans="1:29" ht="14.5">
      <c r="A2310" s="220" t="str">
        <f>TEXT(ROW(A2310)-ROW($A$4),"000")</f>
        <v>2306</v>
      </c>
      <c r="B2310" s="221"/>
      <c r="C2310" s="221" t="s">
        <v>48</v>
      </c>
      <c r="D2310" s="221" t="s">
        <v>3838</v>
      </c>
      <c r="E2310" s="221" t="s">
        <v>3295</v>
      </c>
      <c r="F2310" s="221" t="s">
        <v>3299</v>
      </c>
      <c r="G2310" s="222">
        <v>45278</v>
      </c>
      <c r="H2310" s="223">
        <v>15.291666666666666</v>
      </c>
      <c r="I2310" s="221" t="s">
        <v>38</v>
      </c>
      <c r="J2310" s="221" t="s">
        <v>3024</v>
      </c>
      <c r="K2310" s="224" t="s">
        <v>3097</v>
      </c>
      <c r="L2310" s="225" t="str">
        <f>VLOOKUP(Logfile_S[[#This Row],[Material Name]],Sheet2!B:C,2,0)</f>
        <v>GCI1011</v>
      </c>
      <c r="M2310" s="225" t="str">
        <f>_xlfn.XLOOKUP(Logfile_S[[#This Row],[Material Name]],Sum_WH!E:E,Sum_WH!F:F,"",0)</f>
        <v>Pcs</v>
      </c>
      <c r="N2310" s="221">
        <v>1</v>
      </c>
      <c r="O2310" s="221" t="s">
        <v>3397</v>
      </c>
      <c r="P2310" s="221" t="s">
        <v>3300</v>
      </c>
      <c r="Q2310" s="221">
        <v>0</v>
      </c>
      <c r="R2310" s="221">
        <v>0</v>
      </c>
      <c r="S2310" s="221"/>
      <c r="T2310" s="221"/>
      <c r="U2310" s="221"/>
      <c r="V2310" s="221"/>
      <c r="W2310" s="221"/>
      <c r="X2310" s="221" t="s">
        <v>3462</v>
      </c>
      <c r="Y2310" s="227"/>
      <c r="Z2310" s="227" t="str">
        <f>P2310</f>
        <v>Pengembalian</v>
      </c>
      <c r="AA2310" s="276" t="e">
        <f>VLOOKUP(Logfile_S[[#This Row],[DO number]],DO_DB!G:I,3,0)</f>
        <v>#N/A</v>
      </c>
      <c r="AB2310" s="331" t="e">
        <f>EXACT(Logfile_S[[#This Row],[date pick]],Logfile_S[[#This Row],[Date]])</f>
        <v>#N/A</v>
      </c>
      <c r="AC23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11" spans="1:29" ht="14.5">
      <c r="A2311" s="220" t="str">
        <f>TEXT(ROW(A2311)-ROW($A$4),"000")</f>
        <v>2307</v>
      </c>
      <c r="B2311" s="221"/>
      <c r="C2311" s="221" t="s">
        <v>48</v>
      </c>
      <c r="D2311" s="221" t="s">
        <v>3838</v>
      </c>
      <c r="E2311" s="221" t="s">
        <v>3295</v>
      </c>
      <c r="F2311" s="221" t="s">
        <v>3299</v>
      </c>
      <c r="G2311" s="222">
        <v>45278</v>
      </c>
      <c r="H2311" s="223">
        <v>15.291666666666666</v>
      </c>
      <c r="I2311" s="221" t="s">
        <v>3586</v>
      </c>
      <c r="J2311" s="221" t="s">
        <v>3024</v>
      </c>
      <c r="K2311" s="224" t="s">
        <v>5137</v>
      </c>
      <c r="L2311" s="225" t="str">
        <f>VLOOKUP(Logfile_S[[#This Row],[Material Name]],Sheet2!B:C,2,0)</f>
        <v>GCI1009</v>
      </c>
      <c r="M2311" s="225" t="str">
        <f>_xlfn.XLOOKUP(Logfile_S[[#This Row],[Material Name]],Sum_WH!E:E,Sum_WH!F:F,"",0)</f>
        <v>Pcs</v>
      </c>
      <c r="N2311" s="221">
        <v>185</v>
      </c>
      <c r="O2311" s="221" t="s">
        <v>3397</v>
      </c>
      <c r="P2311" s="221" t="s">
        <v>3300</v>
      </c>
      <c r="Q2311" s="221">
        <v>0</v>
      </c>
      <c r="R2311" s="221">
        <v>0</v>
      </c>
      <c r="S2311" s="221"/>
      <c r="T2311" s="221"/>
      <c r="U2311" s="221"/>
      <c r="V2311" s="221"/>
      <c r="W2311" s="221"/>
      <c r="X2311" s="221" t="s">
        <v>3418</v>
      </c>
      <c r="Y2311" s="227"/>
      <c r="Z2311" s="227" t="str">
        <f>P2311</f>
        <v>Pengembalian</v>
      </c>
      <c r="AA2311" s="276" t="e">
        <f>VLOOKUP(Logfile_S[[#This Row],[DO number]],DO_DB!G:I,3,0)</f>
        <v>#N/A</v>
      </c>
      <c r="AB2311" s="331" t="e">
        <f>EXACT(Logfile_S[[#This Row],[date pick]],Logfile_S[[#This Row],[Date]])</f>
        <v>#N/A</v>
      </c>
      <c r="AC23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12" spans="1:29" ht="14.5">
      <c r="A2312" s="220" t="str">
        <f>TEXT(ROW(A2312)-ROW($A$4),"000")</f>
        <v>2308</v>
      </c>
      <c r="B2312" s="221"/>
      <c r="C2312" s="221" t="s">
        <v>48</v>
      </c>
      <c r="D2312" s="221" t="s">
        <v>3838</v>
      </c>
      <c r="E2312" s="221" t="s">
        <v>3295</v>
      </c>
      <c r="F2312" s="221" t="s">
        <v>3299</v>
      </c>
      <c r="G2312" s="222">
        <v>45278</v>
      </c>
      <c r="H2312" s="223">
        <v>15.291666666666666</v>
      </c>
      <c r="I2312" s="221" t="s">
        <v>38</v>
      </c>
      <c r="J2312" s="221" t="s">
        <v>3024</v>
      </c>
      <c r="K2312" s="224" t="s">
        <v>3094</v>
      </c>
      <c r="L2312" s="225" t="str">
        <f>VLOOKUP(Logfile_S[[#This Row],[Material Name]],Sheet2!B:C,2,0)</f>
        <v>GCI1008</v>
      </c>
      <c r="M2312" s="225" t="str">
        <f>_xlfn.XLOOKUP(Logfile_S[[#This Row],[Material Name]],Sum_WH!E:E,Sum_WH!F:F,"",0)</f>
        <v>Pcs</v>
      </c>
      <c r="N2312" s="221">
        <v>41</v>
      </c>
      <c r="O2312" s="221" t="s">
        <v>3397</v>
      </c>
      <c r="P2312" s="221" t="s">
        <v>3300</v>
      </c>
      <c r="Q2312" s="221">
        <v>0</v>
      </c>
      <c r="R2312" s="221">
        <v>0</v>
      </c>
      <c r="S2312" s="221"/>
      <c r="T2312" s="221"/>
      <c r="U2312" s="221"/>
      <c r="V2312" s="221"/>
      <c r="W2312" s="221"/>
      <c r="X2312" s="221" t="s">
        <v>3418</v>
      </c>
      <c r="Y2312" s="227"/>
      <c r="Z2312" s="227" t="str">
        <f>P2312</f>
        <v>Pengembalian</v>
      </c>
      <c r="AA2312" s="276" t="e">
        <f>VLOOKUP(Logfile_S[[#This Row],[DO number]],DO_DB!G:I,3,0)</f>
        <v>#N/A</v>
      </c>
      <c r="AB2312" s="331" t="e">
        <f>EXACT(Logfile_S[[#This Row],[date pick]],Logfile_S[[#This Row],[Date]])</f>
        <v>#N/A</v>
      </c>
      <c r="AC23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13" spans="1:29" ht="14.5">
      <c r="A2313" s="220" t="str">
        <f>TEXT(ROW(A2313)-ROW($A$4),"000")</f>
        <v>2309</v>
      </c>
      <c r="B2313" s="221"/>
      <c r="C2313" s="221" t="s">
        <v>48</v>
      </c>
      <c r="D2313" s="221" t="s">
        <v>4093</v>
      </c>
      <c r="E2313" s="221" t="s">
        <v>3295</v>
      </c>
      <c r="F2313" s="221" t="s">
        <v>3299</v>
      </c>
      <c r="G2313" s="222">
        <v>45462</v>
      </c>
      <c r="H2313" s="223">
        <v>15.291666666666666</v>
      </c>
      <c r="I2313" s="221" t="s">
        <v>38</v>
      </c>
      <c r="J2313" s="221" t="s">
        <v>3024</v>
      </c>
      <c r="K2313" s="224" t="s">
        <v>3087</v>
      </c>
      <c r="L2313" s="225" t="str">
        <f>VLOOKUP(Logfile_S[[#This Row],[Material Name]],Sheet2!B:C,2,0)</f>
        <v>GCI1001</v>
      </c>
      <c r="M2313" s="225" t="str">
        <f>_xlfn.XLOOKUP(Logfile_S[[#This Row],[Material Name]],Sum_WH!E:E,Sum_WH!F:F,"",0)</f>
        <v>Pcs</v>
      </c>
      <c r="N2313" s="221">
        <v>13</v>
      </c>
      <c r="O2313" s="221" t="s">
        <v>3397</v>
      </c>
      <c r="P2313" s="221" t="s">
        <v>3300</v>
      </c>
      <c r="Q2313" s="221">
        <v>0</v>
      </c>
      <c r="R2313" s="221">
        <v>0</v>
      </c>
      <c r="S2313" s="221"/>
      <c r="T2313" s="221"/>
      <c r="U2313" s="221"/>
      <c r="V2313" s="221"/>
      <c r="W2313" s="221"/>
      <c r="X2313" s="221"/>
      <c r="Y2313" s="227"/>
      <c r="Z2313" s="227" t="str">
        <f>P2313</f>
        <v>Pengembalian</v>
      </c>
      <c r="AA2313" s="276" t="e">
        <f>VLOOKUP(Logfile_S[[#This Row],[DO number]],DO_DB!G:I,3,0)</f>
        <v>#N/A</v>
      </c>
      <c r="AB2313" s="331" t="e">
        <f>EXACT(Logfile_S[[#This Row],[date pick]],Logfile_S[[#This Row],[Date]])</f>
        <v>#N/A</v>
      </c>
      <c r="AC23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14" spans="1:29" ht="14.5">
      <c r="A2314" s="220" t="str">
        <f>TEXT(ROW(A2314)-ROW($A$4),"000")</f>
        <v>2310</v>
      </c>
      <c r="B2314" s="221"/>
      <c r="C2314" s="221" t="s">
        <v>48</v>
      </c>
      <c r="D2314" s="221" t="s">
        <v>4093</v>
      </c>
      <c r="E2314" s="221" t="s">
        <v>3295</v>
      </c>
      <c r="F2314" s="221" t="s">
        <v>3299</v>
      </c>
      <c r="G2314" s="222">
        <v>45462</v>
      </c>
      <c r="H2314" s="223">
        <v>15.291666666666666</v>
      </c>
      <c r="I2314" s="221" t="s">
        <v>38</v>
      </c>
      <c r="J2314" s="221" t="s">
        <v>3024</v>
      </c>
      <c r="K2314" s="224" t="s">
        <v>3108</v>
      </c>
      <c r="L2314" s="225" t="str">
        <f>VLOOKUP(Logfile_S[[#This Row],[Material Name]],Sheet2!B:C,2,0)</f>
        <v>GCI1020</v>
      </c>
      <c r="M2314" s="225" t="str">
        <f>_xlfn.XLOOKUP(Logfile_S[[#This Row],[Material Name]],Sum_WH!E:E,Sum_WH!F:F,"",0)</f>
        <v>Pcs</v>
      </c>
      <c r="N2314" s="221">
        <v>120</v>
      </c>
      <c r="O2314" s="221" t="s">
        <v>3397</v>
      </c>
      <c r="P2314" s="221" t="s">
        <v>3300</v>
      </c>
      <c r="Q2314" s="221">
        <v>0</v>
      </c>
      <c r="R2314" s="221">
        <v>0</v>
      </c>
      <c r="S2314" s="221"/>
      <c r="T2314" s="221"/>
      <c r="U2314" s="221"/>
      <c r="V2314" s="221"/>
      <c r="W2314" s="221"/>
      <c r="X2314" s="221"/>
      <c r="Y2314" s="227"/>
      <c r="Z2314" s="227" t="str">
        <f>P2314</f>
        <v>Pengembalian</v>
      </c>
      <c r="AA2314" s="276" t="e">
        <f>VLOOKUP(Logfile_S[[#This Row],[DO number]],DO_DB!G:I,3,0)</f>
        <v>#N/A</v>
      </c>
      <c r="AB2314" s="331" t="e">
        <f>EXACT(Logfile_S[[#This Row],[date pick]],Logfile_S[[#This Row],[Date]])</f>
        <v>#N/A</v>
      </c>
      <c r="AC23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15" spans="1:29" ht="14.5">
      <c r="A2315" s="220" t="str">
        <f>TEXT(ROW(A2315)-ROW($A$4),"000")</f>
        <v>2311</v>
      </c>
      <c r="B2315" s="221"/>
      <c r="C2315" s="221" t="s">
        <v>48</v>
      </c>
      <c r="D2315" s="221" t="s">
        <v>4093</v>
      </c>
      <c r="E2315" s="221" t="s">
        <v>3295</v>
      </c>
      <c r="F2315" s="221" t="s">
        <v>3299</v>
      </c>
      <c r="G2315" s="222">
        <v>45462</v>
      </c>
      <c r="H2315" s="223">
        <v>15.291666666666666</v>
      </c>
      <c r="I2315" s="221" t="s">
        <v>38</v>
      </c>
      <c r="J2315" s="221" t="s">
        <v>3024</v>
      </c>
      <c r="K2315" s="224" t="s">
        <v>3089</v>
      </c>
      <c r="L2315" s="225" t="str">
        <f>VLOOKUP(Logfile_S[[#This Row],[Material Name]],Sheet2!B:C,2,0)</f>
        <v>GCI1003</v>
      </c>
      <c r="M2315" s="225" t="str">
        <f>_xlfn.XLOOKUP(Logfile_S[[#This Row],[Material Name]],Sum_WH!E:E,Sum_WH!F:F,"",0)</f>
        <v>Pcs</v>
      </c>
      <c r="N2315" s="221">
        <v>22</v>
      </c>
      <c r="O2315" s="221" t="s">
        <v>3397</v>
      </c>
      <c r="P2315" s="221" t="s">
        <v>3300</v>
      </c>
      <c r="Q2315" s="221">
        <v>0</v>
      </c>
      <c r="R2315" s="221">
        <v>0</v>
      </c>
      <c r="S2315" s="221"/>
      <c r="T2315" s="221"/>
      <c r="U2315" s="221"/>
      <c r="V2315" s="221"/>
      <c r="W2315" s="221"/>
      <c r="X2315" s="221"/>
      <c r="Y2315" s="227"/>
      <c r="Z2315" s="227" t="str">
        <f>P2315</f>
        <v>Pengembalian</v>
      </c>
      <c r="AA2315" s="276" t="e">
        <f>VLOOKUP(Logfile_S[[#This Row],[DO number]],DO_DB!G:I,3,0)</f>
        <v>#N/A</v>
      </c>
      <c r="AB2315" s="331" t="e">
        <f>EXACT(Logfile_S[[#This Row],[date pick]],Logfile_S[[#This Row],[Date]])</f>
        <v>#N/A</v>
      </c>
      <c r="AC23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16" spans="1:29" ht="14.5">
      <c r="A2316" s="220" t="str">
        <f>TEXT(ROW(A2316)-ROW($A$4),"000")</f>
        <v>2312</v>
      </c>
      <c r="B2316" s="221"/>
      <c r="C2316" s="221" t="s">
        <v>48</v>
      </c>
      <c r="D2316" s="221" t="s">
        <v>4093</v>
      </c>
      <c r="E2316" s="221" t="s">
        <v>3295</v>
      </c>
      <c r="F2316" s="221" t="s">
        <v>3299</v>
      </c>
      <c r="G2316" s="222">
        <v>45462</v>
      </c>
      <c r="H2316" s="223">
        <v>15.291666666666666</v>
      </c>
      <c r="I2316" s="221" t="s">
        <v>38</v>
      </c>
      <c r="J2316" s="221" t="s">
        <v>3024</v>
      </c>
      <c r="K2316" s="224" t="s">
        <v>3090</v>
      </c>
      <c r="L2316" s="225" t="str">
        <f>VLOOKUP(Logfile_S[[#This Row],[Material Name]],Sheet2!B:C,2,0)</f>
        <v>GCI1004</v>
      </c>
      <c r="M2316" s="225" t="str">
        <f>_xlfn.XLOOKUP(Logfile_S[[#This Row],[Material Name]],Sum_WH!E:E,Sum_WH!F:F,"",0)</f>
        <v>Pcs</v>
      </c>
      <c r="N2316" s="221">
        <v>30</v>
      </c>
      <c r="O2316" s="221" t="s">
        <v>3397</v>
      </c>
      <c r="P2316" s="221" t="s">
        <v>3300</v>
      </c>
      <c r="Q2316" s="221">
        <v>0</v>
      </c>
      <c r="R2316" s="221">
        <v>0</v>
      </c>
      <c r="S2316" s="221"/>
      <c r="T2316" s="221"/>
      <c r="U2316" s="221"/>
      <c r="V2316" s="221"/>
      <c r="W2316" s="221"/>
      <c r="X2316" s="221"/>
      <c r="Y2316" s="227"/>
      <c r="Z2316" s="227" t="str">
        <f>P2316</f>
        <v>Pengembalian</v>
      </c>
      <c r="AA2316" s="276" t="e">
        <f>VLOOKUP(Logfile_S[[#This Row],[DO number]],DO_DB!G:I,3,0)</f>
        <v>#N/A</v>
      </c>
      <c r="AB2316" s="331" t="e">
        <f>EXACT(Logfile_S[[#This Row],[date pick]],Logfile_S[[#This Row],[Date]])</f>
        <v>#N/A</v>
      </c>
      <c r="AC23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17" spans="1:29" ht="14.5">
      <c r="A2317" s="220" t="str">
        <f>TEXT(ROW(A2317)-ROW($A$4),"000")</f>
        <v>2313</v>
      </c>
      <c r="B2317" s="221"/>
      <c r="C2317" s="221" t="s">
        <v>48</v>
      </c>
      <c r="D2317" s="221" t="s">
        <v>4156</v>
      </c>
      <c r="E2317" s="221" t="s">
        <v>3295</v>
      </c>
      <c r="F2317" s="221" t="s">
        <v>3299</v>
      </c>
      <c r="G2317" s="222">
        <v>45514</v>
      </c>
      <c r="H2317" s="223">
        <v>15.291666666666666</v>
      </c>
      <c r="I2317" s="221" t="s">
        <v>38</v>
      </c>
      <c r="J2317" s="221" t="s">
        <v>3024</v>
      </c>
      <c r="K2317" s="224" t="s">
        <v>3108</v>
      </c>
      <c r="L2317" s="225" t="str">
        <f>VLOOKUP(Logfile_S[[#This Row],[Material Name]],Sheet2!B:C,2,0)</f>
        <v>GCI1020</v>
      </c>
      <c r="M2317" s="225" t="str">
        <f>_xlfn.XLOOKUP(Logfile_S[[#This Row],[Material Name]],Sum_WH!E:E,Sum_WH!F:F,"",0)</f>
        <v>Pcs</v>
      </c>
      <c r="N2317" s="221">
        <v>22</v>
      </c>
      <c r="O2317" s="221" t="s">
        <v>3397</v>
      </c>
      <c r="P2317" s="221" t="s">
        <v>3300</v>
      </c>
      <c r="Q2317" s="221">
        <v>0</v>
      </c>
      <c r="R2317" s="221">
        <v>0</v>
      </c>
      <c r="S2317" s="221"/>
      <c r="T2317" s="221"/>
      <c r="U2317" s="221"/>
      <c r="V2317" s="221"/>
      <c r="W2317" s="221"/>
      <c r="X2317" s="221"/>
      <c r="Y2317" s="227"/>
      <c r="Z2317" s="227" t="str">
        <f>P2317</f>
        <v>Pengembalian</v>
      </c>
      <c r="AA2317" s="276" t="e">
        <f>VLOOKUP(Logfile_S[[#This Row],[DO number]],DO_DB!G:I,3,0)</f>
        <v>#N/A</v>
      </c>
      <c r="AB2317" s="331" t="e">
        <f>EXACT(Logfile_S[[#This Row],[date pick]],Logfile_S[[#This Row],[Date]])</f>
        <v>#N/A</v>
      </c>
      <c r="AC23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18" spans="1:29" ht="14.5">
      <c r="A2318" s="220" t="str">
        <f>TEXT(ROW(A2318)-ROW($A$4),"000")</f>
        <v>2314</v>
      </c>
      <c r="B2318" s="221"/>
      <c r="C2318" s="221" t="s">
        <v>48</v>
      </c>
      <c r="D2318" s="221" t="s">
        <v>4156</v>
      </c>
      <c r="E2318" s="221" t="s">
        <v>3295</v>
      </c>
      <c r="F2318" s="221" t="s">
        <v>3299</v>
      </c>
      <c r="G2318" s="222">
        <v>45514</v>
      </c>
      <c r="H2318" s="223">
        <v>15.291666666666666</v>
      </c>
      <c r="I2318" s="221" t="s">
        <v>38</v>
      </c>
      <c r="J2318" s="221" t="s">
        <v>3024</v>
      </c>
      <c r="K2318" s="224" t="s">
        <v>3094</v>
      </c>
      <c r="L2318" s="225" t="str">
        <f>VLOOKUP(Logfile_S[[#This Row],[Material Name]],Sheet2!B:C,2,0)</f>
        <v>GCI1008</v>
      </c>
      <c r="M2318" s="225" t="str">
        <f>_xlfn.XLOOKUP(Logfile_S[[#This Row],[Material Name]],Sum_WH!E:E,Sum_WH!F:F,"",0)</f>
        <v>Pcs</v>
      </c>
      <c r="N2318" s="221">
        <v>6</v>
      </c>
      <c r="O2318" s="221" t="s">
        <v>3397</v>
      </c>
      <c r="P2318" s="221" t="s">
        <v>3300</v>
      </c>
      <c r="Q2318" s="221">
        <v>0</v>
      </c>
      <c r="R2318" s="221">
        <v>0</v>
      </c>
      <c r="S2318" s="221"/>
      <c r="T2318" s="221"/>
      <c r="U2318" s="221"/>
      <c r="V2318" s="221"/>
      <c r="W2318" s="221"/>
      <c r="X2318" s="221"/>
      <c r="Y2318" s="227"/>
      <c r="Z2318" s="227" t="str">
        <f>P2318</f>
        <v>Pengembalian</v>
      </c>
      <c r="AA2318" s="276" t="e">
        <f>VLOOKUP(Logfile_S[[#This Row],[DO number]],DO_DB!G:I,3,0)</f>
        <v>#N/A</v>
      </c>
      <c r="AB2318" s="331" t="e">
        <f>EXACT(Logfile_S[[#This Row],[date pick]],Logfile_S[[#This Row],[Date]])</f>
        <v>#N/A</v>
      </c>
      <c r="AC23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19" spans="1:29" ht="14.5">
      <c r="A2319" s="220" t="str">
        <f>TEXT(ROW(A2319)-ROW($A$4),"000")</f>
        <v>2315</v>
      </c>
      <c r="B2319" s="221"/>
      <c r="C2319" s="221" t="s">
        <v>48</v>
      </c>
      <c r="D2319" s="221" t="s">
        <v>4156</v>
      </c>
      <c r="E2319" s="221" t="s">
        <v>3295</v>
      </c>
      <c r="F2319" s="221" t="s">
        <v>3299</v>
      </c>
      <c r="G2319" s="222">
        <v>45514</v>
      </c>
      <c r="H2319" s="223">
        <v>15.291666666666666</v>
      </c>
      <c r="I2319" s="221" t="s">
        <v>38</v>
      </c>
      <c r="J2319" s="221" t="s">
        <v>3024</v>
      </c>
      <c r="K2319" s="224" t="s">
        <v>3089</v>
      </c>
      <c r="L2319" s="225" t="str">
        <f>VLOOKUP(Logfile_S[[#This Row],[Material Name]],Sheet2!B:C,2,0)</f>
        <v>GCI1003</v>
      </c>
      <c r="M2319" s="225" t="str">
        <f>_xlfn.XLOOKUP(Logfile_S[[#This Row],[Material Name]],Sum_WH!E:E,Sum_WH!F:F,"",0)</f>
        <v>Pcs</v>
      </c>
      <c r="N2319" s="221">
        <v>67</v>
      </c>
      <c r="O2319" s="221" t="s">
        <v>3397</v>
      </c>
      <c r="P2319" s="221" t="s">
        <v>3300</v>
      </c>
      <c r="Q2319" s="221">
        <v>0</v>
      </c>
      <c r="R2319" s="221">
        <v>0</v>
      </c>
      <c r="S2319" s="221"/>
      <c r="T2319" s="221"/>
      <c r="U2319" s="221"/>
      <c r="V2319" s="221"/>
      <c r="W2319" s="221"/>
      <c r="X2319" s="221"/>
      <c r="Y2319" s="227"/>
      <c r="Z2319" s="227" t="str">
        <f>P2319</f>
        <v>Pengembalian</v>
      </c>
      <c r="AA2319" s="276" t="e">
        <f>VLOOKUP(Logfile_S[[#This Row],[DO number]],DO_DB!G:I,3,0)</f>
        <v>#N/A</v>
      </c>
      <c r="AB2319" s="331" t="e">
        <f>EXACT(Logfile_S[[#This Row],[date pick]],Logfile_S[[#This Row],[Date]])</f>
        <v>#N/A</v>
      </c>
      <c r="AC23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20" spans="1:29" ht="14.5">
      <c r="A2320" s="220" t="str">
        <f>TEXT(ROW(A2320)-ROW($A$4),"000")</f>
        <v>2316</v>
      </c>
      <c r="B2320" s="221"/>
      <c r="C2320" s="221" t="s">
        <v>48</v>
      </c>
      <c r="D2320" s="221" t="s">
        <v>4156</v>
      </c>
      <c r="E2320" s="221" t="s">
        <v>3295</v>
      </c>
      <c r="F2320" s="221" t="s">
        <v>3299</v>
      </c>
      <c r="G2320" s="222">
        <v>45514</v>
      </c>
      <c r="H2320" s="223">
        <v>15.291666666666666</v>
      </c>
      <c r="I2320" s="221" t="s">
        <v>38</v>
      </c>
      <c r="J2320" s="221" t="s">
        <v>3024</v>
      </c>
      <c r="K2320" s="224" t="s">
        <v>3090</v>
      </c>
      <c r="L2320" s="225" t="str">
        <f>VLOOKUP(Logfile_S[[#This Row],[Material Name]],Sheet2!B:C,2,0)</f>
        <v>GCI1004</v>
      </c>
      <c r="M2320" s="225" t="str">
        <f>_xlfn.XLOOKUP(Logfile_S[[#This Row],[Material Name]],Sum_WH!E:E,Sum_WH!F:F,"",0)</f>
        <v>Pcs</v>
      </c>
      <c r="N2320" s="221">
        <v>35</v>
      </c>
      <c r="O2320" s="221" t="s">
        <v>3397</v>
      </c>
      <c r="P2320" s="221" t="s">
        <v>3300</v>
      </c>
      <c r="Q2320" s="221">
        <v>0</v>
      </c>
      <c r="R2320" s="221">
        <v>0</v>
      </c>
      <c r="S2320" s="221"/>
      <c r="T2320" s="221"/>
      <c r="U2320" s="221"/>
      <c r="V2320" s="221"/>
      <c r="W2320" s="221"/>
      <c r="X2320" s="221"/>
      <c r="Y2320" s="227"/>
      <c r="Z2320" s="227" t="str">
        <f>P2320</f>
        <v>Pengembalian</v>
      </c>
      <c r="AA2320" s="276" t="e">
        <f>VLOOKUP(Logfile_S[[#This Row],[DO number]],DO_DB!G:I,3,0)</f>
        <v>#N/A</v>
      </c>
      <c r="AB2320" s="331" t="e">
        <f>EXACT(Logfile_S[[#This Row],[date pick]],Logfile_S[[#This Row],[Date]])</f>
        <v>#N/A</v>
      </c>
      <c r="AC23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21" spans="1:29" ht="14.5">
      <c r="A2321" s="220" t="str">
        <f>TEXT(ROW(A2321)-ROW($A$4),"000")</f>
        <v>2317</v>
      </c>
      <c r="B2321" s="221"/>
      <c r="C2321" s="221" t="s">
        <v>48</v>
      </c>
      <c r="D2321" s="221" t="s">
        <v>4204</v>
      </c>
      <c r="E2321" s="221" t="s">
        <v>3295</v>
      </c>
      <c r="F2321" s="221" t="s">
        <v>3299</v>
      </c>
      <c r="G2321" s="222">
        <v>45539</v>
      </c>
      <c r="H2321" s="223">
        <v>15.291666666666666</v>
      </c>
      <c r="I2321" s="221" t="s">
        <v>38</v>
      </c>
      <c r="J2321" s="221" t="s">
        <v>3024</v>
      </c>
      <c r="K2321" s="224" t="s">
        <v>3108</v>
      </c>
      <c r="L2321" s="225" t="str">
        <f>VLOOKUP(Logfile_S[[#This Row],[Material Name]],Sheet2!B:C,2,0)</f>
        <v>GCI1020</v>
      </c>
      <c r="M2321" s="225" t="str">
        <f>_xlfn.XLOOKUP(Logfile_S[[#This Row],[Material Name]],Sum_WH!E:E,Sum_WH!F:F,"",0)</f>
        <v>Pcs</v>
      </c>
      <c r="N2321" s="221">
        <v>80</v>
      </c>
      <c r="O2321" s="221" t="s">
        <v>3397</v>
      </c>
      <c r="P2321" s="221" t="s">
        <v>3300</v>
      </c>
      <c r="Q2321" s="221">
        <v>0</v>
      </c>
      <c r="R2321" s="221">
        <v>0</v>
      </c>
      <c r="S2321" s="221"/>
      <c r="T2321" s="221"/>
      <c r="U2321" s="221"/>
      <c r="V2321" s="221"/>
      <c r="W2321" s="221"/>
      <c r="X2321" s="221"/>
      <c r="Y2321" s="227"/>
      <c r="Z2321" s="227" t="str">
        <f>P2321</f>
        <v>Pengembalian</v>
      </c>
      <c r="AA2321" s="276" t="e">
        <f>VLOOKUP(Logfile_S[[#This Row],[DO number]],DO_DB!G:I,3,0)</f>
        <v>#N/A</v>
      </c>
      <c r="AB2321" s="331" t="e">
        <f>EXACT(Logfile_S[[#This Row],[date pick]],Logfile_S[[#This Row],[Date]])</f>
        <v>#N/A</v>
      </c>
      <c r="AC23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22" spans="1:29" ht="14.5">
      <c r="A2322" s="220" t="str">
        <f>TEXT(ROW(A2322)-ROW($A$4),"000")</f>
        <v>2318</v>
      </c>
      <c r="B2322" s="221"/>
      <c r="C2322" s="221" t="s">
        <v>48</v>
      </c>
      <c r="D2322" s="221" t="s">
        <v>4238</v>
      </c>
      <c r="E2322" s="221" t="s">
        <v>3295</v>
      </c>
      <c r="F2322" s="221" t="s">
        <v>3299</v>
      </c>
      <c r="G2322" s="222">
        <v>45561</v>
      </c>
      <c r="H2322" s="223">
        <v>15.291666666666666</v>
      </c>
      <c r="I2322" s="221" t="s">
        <v>3586</v>
      </c>
      <c r="J2322" s="221" t="s">
        <v>3024</v>
      </c>
      <c r="K2322" s="224" t="s">
        <v>3094</v>
      </c>
      <c r="L2322" s="225" t="str">
        <f>VLOOKUP(Logfile_S[[#This Row],[Material Name]],Sheet2!B:C,2,0)</f>
        <v>GCI1008</v>
      </c>
      <c r="M2322" s="225" t="str">
        <f>_xlfn.XLOOKUP(Logfile_S[[#This Row],[Material Name]],Sum_WH!E:E,Sum_WH!F:F,"",0)</f>
        <v>Pcs</v>
      </c>
      <c r="N2322" s="221">
        <v>29</v>
      </c>
      <c r="O2322" s="221" t="s">
        <v>3397</v>
      </c>
      <c r="P2322" s="221" t="s">
        <v>3419</v>
      </c>
      <c r="Q2322" s="221">
        <v>0</v>
      </c>
      <c r="R2322" s="221">
        <v>0</v>
      </c>
      <c r="S2322" s="221"/>
      <c r="T2322" s="221"/>
      <c r="U2322" s="221"/>
      <c r="V2322" s="221"/>
      <c r="W2322" s="221"/>
      <c r="X2322" s="221"/>
      <c r="Y2322" s="227"/>
      <c r="Z2322" s="227" t="str">
        <f>P2322</f>
        <v>Sengguruh</v>
      </c>
      <c r="AA2322" s="276" t="e">
        <f>VLOOKUP(Logfile_S[[#This Row],[DO number]],DO_DB!G:I,3,0)</f>
        <v>#N/A</v>
      </c>
      <c r="AB2322" s="331" t="e">
        <f>EXACT(Logfile_S[[#This Row],[date pick]],Logfile_S[[#This Row],[Date]])</f>
        <v>#N/A</v>
      </c>
      <c r="AC23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23" spans="1:29" ht="14.5">
      <c r="A2323" s="220" t="str">
        <f>TEXT(ROW(A2323)-ROW($A$4),"000")</f>
        <v>2319</v>
      </c>
      <c r="B2323" s="221"/>
      <c r="C2323" s="221" t="s">
        <v>48</v>
      </c>
      <c r="D2323" s="221" t="s">
        <v>4238</v>
      </c>
      <c r="E2323" s="221" t="s">
        <v>3295</v>
      </c>
      <c r="F2323" s="221" t="s">
        <v>3299</v>
      </c>
      <c r="G2323" s="222">
        <v>45561</v>
      </c>
      <c r="H2323" s="223">
        <v>15.291666666666666</v>
      </c>
      <c r="I2323" s="221" t="s">
        <v>3586</v>
      </c>
      <c r="J2323" s="221" t="s">
        <v>3024</v>
      </c>
      <c r="K2323" s="224" t="s">
        <v>3089</v>
      </c>
      <c r="L2323" s="225" t="str">
        <f>VLOOKUP(Logfile_S[[#This Row],[Material Name]],Sheet2!B:C,2,0)</f>
        <v>GCI1003</v>
      </c>
      <c r="M2323" s="225" t="str">
        <f>_xlfn.XLOOKUP(Logfile_S[[#This Row],[Material Name]],Sum_WH!E:E,Sum_WH!F:F,"",0)</f>
        <v>Pcs</v>
      </c>
      <c r="N2323" s="221">
        <v>150</v>
      </c>
      <c r="O2323" s="221" t="s">
        <v>3397</v>
      </c>
      <c r="P2323" s="221" t="s">
        <v>3419</v>
      </c>
      <c r="Q2323" s="221">
        <v>0</v>
      </c>
      <c r="R2323" s="221">
        <v>0</v>
      </c>
      <c r="S2323" s="221"/>
      <c r="T2323" s="221"/>
      <c r="U2323" s="221"/>
      <c r="V2323" s="221"/>
      <c r="W2323" s="221"/>
      <c r="X2323" s="221"/>
      <c r="Y2323" s="227"/>
      <c r="Z2323" s="227" t="str">
        <f>P2323</f>
        <v>Sengguruh</v>
      </c>
      <c r="AA2323" s="276" t="e">
        <f>VLOOKUP(Logfile_S[[#This Row],[DO number]],DO_DB!G:I,3,0)</f>
        <v>#N/A</v>
      </c>
      <c r="AB2323" s="331" t="e">
        <f>EXACT(Logfile_S[[#This Row],[date pick]],Logfile_S[[#This Row],[Date]])</f>
        <v>#N/A</v>
      </c>
      <c r="AC23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24" spans="1:29" ht="14.5">
      <c r="A2324" s="220" t="str">
        <f>TEXT(ROW(A2324)-ROW($A$4),"000")</f>
        <v>2320</v>
      </c>
      <c r="B2324" s="221"/>
      <c r="C2324" s="221" t="s">
        <v>48</v>
      </c>
      <c r="D2324" s="221" t="s">
        <v>4238</v>
      </c>
      <c r="E2324" s="221" t="s">
        <v>3295</v>
      </c>
      <c r="F2324" s="221" t="s">
        <v>3299</v>
      </c>
      <c r="G2324" s="222">
        <v>45561</v>
      </c>
      <c r="H2324" s="223">
        <v>15.291666666666666</v>
      </c>
      <c r="I2324" s="221" t="s">
        <v>3586</v>
      </c>
      <c r="J2324" s="221" t="s">
        <v>3024</v>
      </c>
      <c r="K2324" s="224" t="s">
        <v>3090</v>
      </c>
      <c r="L2324" s="225" t="str">
        <f>VLOOKUP(Logfile_S[[#This Row],[Material Name]],Sheet2!B:C,2,0)</f>
        <v>GCI1004</v>
      </c>
      <c r="M2324" s="225" t="str">
        <f>_xlfn.XLOOKUP(Logfile_S[[#This Row],[Material Name]],Sum_WH!E:E,Sum_WH!F:F,"",0)</f>
        <v>Pcs</v>
      </c>
      <c r="N2324" s="221">
        <v>19</v>
      </c>
      <c r="O2324" s="221" t="s">
        <v>3397</v>
      </c>
      <c r="P2324" s="221" t="s">
        <v>3419</v>
      </c>
      <c r="Q2324" s="221">
        <v>0</v>
      </c>
      <c r="R2324" s="221">
        <v>0</v>
      </c>
      <c r="S2324" s="221"/>
      <c r="T2324" s="221"/>
      <c r="U2324" s="221"/>
      <c r="V2324" s="221"/>
      <c r="W2324" s="221"/>
      <c r="X2324" s="221"/>
      <c r="Y2324" s="227"/>
      <c r="Z2324" s="227" t="str">
        <f>P2324</f>
        <v>Sengguruh</v>
      </c>
      <c r="AA2324" s="276" t="e">
        <f>VLOOKUP(Logfile_S[[#This Row],[DO number]],DO_DB!G:I,3,0)</f>
        <v>#N/A</v>
      </c>
      <c r="AB2324" s="331" t="e">
        <f>EXACT(Logfile_S[[#This Row],[date pick]],Logfile_S[[#This Row],[Date]])</f>
        <v>#N/A</v>
      </c>
      <c r="AC23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25" spans="1:29" ht="14.5">
      <c r="A2325" s="220" t="str">
        <f>TEXT(ROW(A2325)-ROW($A$4),"000")</f>
        <v>2321</v>
      </c>
      <c r="B2325" s="221"/>
      <c r="C2325" s="221" t="s">
        <v>48</v>
      </c>
      <c r="D2325" s="221" t="s">
        <v>4241</v>
      </c>
      <c r="E2325" s="221" t="s">
        <v>3295</v>
      </c>
      <c r="F2325" s="221" t="s">
        <v>3299</v>
      </c>
      <c r="G2325" s="222">
        <v>45562</v>
      </c>
      <c r="H2325" s="223">
        <v>15.291666666666666</v>
      </c>
      <c r="I2325" s="221" t="s">
        <v>3586</v>
      </c>
      <c r="J2325" s="221" t="s">
        <v>3024</v>
      </c>
      <c r="K2325" s="224" t="s">
        <v>5137</v>
      </c>
      <c r="L2325" s="225" t="str">
        <f>VLOOKUP(Logfile_S[[#This Row],[Material Name]],Sheet2!B:C,2,0)</f>
        <v>GCI1009</v>
      </c>
      <c r="M2325" s="225" t="str">
        <f>_xlfn.XLOOKUP(Logfile_S[[#This Row],[Material Name]],Sum_WH!E:E,Sum_WH!F:F,"",0)</f>
        <v>Pcs</v>
      </c>
      <c r="N2325" s="221">
        <v>5</v>
      </c>
      <c r="O2325" s="221" t="s">
        <v>3397</v>
      </c>
      <c r="P2325" s="221" t="s">
        <v>3419</v>
      </c>
      <c r="Q2325" s="221">
        <v>0</v>
      </c>
      <c r="R2325" s="221">
        <v>0</v>
      </c>
      <c r="S2325" s="221"/>
      <c r="T2325" s="221"/>
      <c r="U2325" s="221"/>
      <c r="V2325" s="221"/>
      <c r="W2325" s="221"/>
      <c r="X2325" s="221"/>
      <c r="Y2325" s="227"/>
      <c r="Z2325" s="227" t="str">
        <f>P2325</f>
        <v>Sengguruh</v>
      </c>
      <c r="AA2325" s="276" t="e">
        <f>VLOOKUP(Logfile_S[[#This Row],[DO number]],DO_DB!G:I,3,0)</f>
        <v>#N/A</v>
      </c>
      <c r="AB2325" s="331" t="e">
        <f>EXACT(Logfile_S[[#This Row],[date pick]],Logfile_S[[#This Row],[Date]])</f>
        <v>#N/A</v>
      </c>
      <c r="AC23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26" spans="1:29" ht="14.5">
      <c r="A2326" s="220" t="str">
        <f>TEXT(ROW(A2326)-ROW($A$4),"000")</f>
        <v>2322</v>
      </c>
      <c r="B2326" s="221"/>
      <c r="C2326" s="221" t="s">
        <v>3388</v>
      </c>
      <c r="D2326" s="221" t="s">
        <v>4874</v>
      </c>
      <c r="E2326" s="221" t="s">
        <v>3295</v>
      </c>
      <c r="F2326" s="221" t="s">
        <v>3299</v>
      </c>
      <c r="G2326" s="222">
        <v>45623</v>
      </c>
      <c r="H2326" s="223">
        <v>0.79027777777777775</v>
      </c>
      <c r="I2326" s="221" t="s">
        <v>4918</v>
      </c>
      <c r="J2326" s="221" t="s">
        <v>3023</v>
      </c>
      <c r="K2326" s="224" t="s">
        <v>3069</v>
      </c>
      <c r="L2326" s="225" t="str">
        <f>VLOOKUP(Logfile_S[[#This Row],[Material Name]],Sheet2!B:C,2,0)</f>
        <v>ZTE1001</v>
      </c>
      <c r="M2326" s="225" t="str">
        <f>_xlfn.XLOOKUP(Logfile_S[[#This Row],[Material Name]],Sum_WH!E:E,Sum_WH!F:F,"",0)</f>
        <v>Pcs</v>
      </c>
      <c r="N2326" s="221">
        <v>18</v>
      </c>
      <c r="O2326" s="221" t="s">
        <v>3146</v>
      </c>
      <c r="P2326" s="221" t="s">
        <v>3384</v>
      </c>
      <c r="Q2326" s="221"/>
      <c r="R2326" s="221"/>
      <c r="S2326" s="221"/>
      <c r="T2326" s="221">
        <v>0</v>
      </c>
      <c r="U2326" s="221">
        <v>0</v>
      </c>
      <c r="V2326" s="221">
        <v>0</v>
      </c>
      <c r="W2326" s="221">
        <v>0</v>
      </c>
      <c r="X2326" s="221"/>
      <c r="Y2326" s="227"/>
      <c r="Z2326" s="227" t="str">
        <f>P2326</f>
        <v>GRESIK</v>
      </c>
      <c r="AA2326" s="276" t="e">
        <f>VLOOKUP(Logfile_S[[#This Row],[DO number]],DO_DB!G:I,3,0)</f>
        <v>#N/A</v>
      </c>
      <c r="AB2326" s="331" t="e">
        <f>EXACT(Logfile_S[[#This Row],[date pick]],Logfile_S[[#This Row],[Date]])</f>
        <v>#N/A</v>
      </c>
      <c r="AC23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327" spans="1:29" ht="14.5">
      <c r="A2327" s="220" t="str">
        <f>TEXT(ROW(A2327)-ROW($A$4),"000")</f>
        <v>2323</v>
      </c>
      <c r="B2327" s="221"/>
      <c r="C2327" s="221" t="s">
        <v>3388</v>
      </c>
      <c r="D2327" s="221" t="s">
        <v>4279</v>
      </c>
      <c r="E2327" s="221" t="s">
        <v>3295</v>
      </c>
      <c r="F2327" s="221" t="s">
        <v>3299</v>
      </c>
      <c r="G2327" s="222">
        <v>45616</v>
      </c>
      <c r="H2327" s="223">
        <v>0.92361111111111116</v>
      </c>
      <c r="I2327" s="221" t="s">
        <v>4920</v>
      </c>
      <c r="J2327" s="221" t="s">
        <v>3023</v>
      </c>
      <c r="K2327" s="224" t="s">
        <v>3075</v>
      </c>
      <c r="L2327" s="225" t="str">
        <f>VLOOKUP(Logfile_S[[#This Row],[Material Name]],Sheet2!B:C,2,0)</f>
        <v>ZTE2003</v>
      </c>
      <c r="M2327" s="225" t="str">
        <f>_xlfn.XLOOKUP(Logfile_S[[#This Row],[Material Name]],Sum_WH!E:E,Sum_WH!F:F,"",0)</f>
        <v>Meter</v>
      </c>
      <c r="N2327" s="221">
        <v>3000</v>
      </c>
      <c r="O2327" s="221" t="s">
        <v>3146</v>
      </c>
      <c r="P2327" s="221" t="s">
        <v>92</v>
      </c>
      <c r="Q2327" s="221"/>
      <c r="R2327" s="221"/>
      <c r="S2327" s="221"/>
      <c r="T2327" s="221" t="s">
        <v>3569</v>
      </c>
      <c r="U2327" s="221">
        <v>0</v>
      </c>
      <c r="V2327" s="221" t="s">
        <v>3303</v>
      </c>
      <c r="W2327" s="221" t="s">
        <v>3253</v>
      </c>
      <c r="X2327" s="221"/>
      <c r="Y2327" s="227"/>
      <c r="Z2327" s="227" t="str">
        <f>P2327</f>
        <v>Kediri</v>
      </c>
      <c r="AA2327" s="276" t="e">
        <f>VLOOKUP(Logfile_S[[#This Row],[DO number]],DO_DB!G:I,3,0)</f>
        <v>#N/A</v>
      </c>
      <c r="AB2327" s="331" t="e">
        <f>EXACT(Logfile_S[[#This Row],[date pick]],Logfile_S[[#This Row],[Date]])</f>
        <v>#N/A</v>
      </c>
      <c r="AC23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328" spans="1:29" ht="14.5">
      <c r="A2328" s="237" t="str">
        <f>TEXT(ROW(A2328)-ROW($A$4),"000")</f>
        <v>2324</v>
      </c>
      <c r="B2328" s="221">
        <v>1</v>
      </c>
      <c r="C2328" s="227" t="s">
        <v>3388</v>
      </c>
      <c r="D2328" s="227" t="s">
        <v>4782</v>
      </c>
      <c r="E2328" s="227" t="s">
        <v>3295</v>
      </c>
      <c r="F2328" s="227" t="s">
        <v>3299</v>
      </c>
      <c r="G2328" s="239">
        <v>46017</v>
      </c>
      <c r="H2328" s="240">
        <v>0.54166666666666663</v>
      </c>
      <c r="I2328" s="227" t="s">
        <v>4929</v>
      </c>
      <c r="J2328" s="221" t="s">
        <v>3023</v>
      </c>
      <c r="K2328" s="241" t="s">
        <v>3075</v>
      </c>
      <c r="L2328" s="225" t="str">
        <f>VLOOKUP(Logfile_S[[#This Row],[Material Name]],Sheet2!B:C,2,0)</f>
        <v>ZTE2003</v>
      </c>
      <c r="M2328" s="242" t="s">
        <v>20</v>
      </c>
      <c r="N2328" s="227">
        <v>3000</v>
      </c>
      <c r="O2328" s="227" t="s">
        <v>4781</v>
      </c>
      <c r="P2328" s="227"/>
      <c r="Q2328" s="227"/>
      <c r="R2328" s="227"/>
      <c r="S2328" s="227"/>
      <c r="T2328" s="227"/>
      <c r="U2328" s="227"/>
      <c r="V2328" s="227"/>
      <c r="W2328" s="227"/>
      <c r="X2328" s="227"/>
      <c r="Y2328" s="227"/>
      <c r="Z2328" s="227">
        <f>P2328</f>
        <v>0</v>
      </c>
      <c r="AA2328" s="276" t="e">
        <f>VLOOKUP(Logfile_S[[#This Row],[DO number]],DO_DB!G:I,3,0)</f>
        <v>#N/A</v>
      </c>
      <c r="AB2328" s="331" t="e">
        <f>EXACT(Logfile_S[[#This Row],[date pick]],Logfile_S[[#This Row],[Date]])</f>
        <v>#N/A</v>
      </c>
      <c r="AC23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329" spans="1:29" ht="14.5">
      <c r="A2329" s="220" t="str">
        <f>TEXT(ROW(A2329)-ROW($A$4),"000")</f>
        <v>2325</v>
      </c>
      <c r="B2329" s="221"/>
      <c r="C2329" s="221" t="s">
        <v>3313</v>
      </c>
      <c r="D2329" s="221" t="s">
        <v>3755</v>
      </c>
      <c r="E2329" s="221" t="s">
        <v>3295</v>
      </c>
      <c r="F2329" s="221" t="s">
        <v>3299</v>
      </c>
      <c r="G2329" s="222">
        <v>45213</v>
      </c>
      <c r="H2329" s="223">
        <v>15.291666666666666</v>
      </c>
      <c r="I2329" s="221" t="s">
        <v>37</v>
      </c>
      <c r="J2329" s="221" t="s">
        <v>3023</v>
      </c>
      <c r="K2329" s="224" t="s">
        <v>13</v>
      </c>
      <c r="L2329" s="225" t="str">
        <f>VLOOKUP(Logfile_S[[#This Row],[Material Name]],Sheet2!B:C,2,0)</f>
        <v>ZTE2008</v>
      </c>
      <c r="M2329" s="225" t="str">
        <f>_xlfn.XLOOKUP(Logfile_S[[#This Row],[Material Name]],Sum_WH!E:E,Sum_WH!F:F,"",0)</f>
        <v>Pcs</v>
      </c>
      <c r="N2329" s="221">
        <v>8</v>
      </c>
      <c r="O2329" s="221" t="s">
        <v>3314</v>
      </c>
      <c r="P2329" s="221">
        <v>0</v>
      </c>
      <c r="Q2329" s="221">
        <v>0</v>
      </c>
      <c r="R2329" s="221" t="s">
        <v>3147</v>
      </c>
      <c r="S2329" s="221"/>
      <c r="T2329" s="221"/>
      <c r="U2329" s="221"/>
      <c r="V2329" s="221"/>
      <c r="W2329" s="221"/>
      <c r="X2329" s="221"/>
      <c r="Y2329" s="227"/>
      <c r="Z2329" s="227">
        <f>P2329</f>
        <v>0</v>
      </c>
      <c r="AA2329" s="276" t="e">
        <f>VLOOKUP(Logfile_S[[#This Row],[DO number]],DO_DB!G:I,3,0)</f>
        <v>#N/A</v>
      </c>
      <c r="AB2329" s="331" t="e">
        <f>EXACT(Logfile_S[[#This Row],[date pick]],Logfile_S[[#This Row],[Date]])</f>
        <v>#N/A</v>
      </c>
      <c r="AC23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30" spans="1:29" ht="14.5">
      <c r="A2330" s="220" t="str">
        <f>TEXT(ROW(A2330)-ROW($A$4),"000")</f>
        <v>2326</v>
      </c>
      <c r="B2330" s="221"/>
      <c r="C2330" s="221" t="s">
        <v>3313</v>
      </c>
      <c r="D2330" s="221" t="s">
        <v>3755</v>
      </c>
      <c r="E2330" s="221" t="s">
        <v>3295</v>
      </c>
      <c r="F2330" s="221" t="s">
        <v>3299</v>
      </c>
      <c r="G2330" s="222">
        <v>45213</v>
      </c>
      <c r="H2330" s="223">
        <v>15.291666666666666</v>
      </c>
      <c r="I2330" s="221" t="s">
        <v>37</v>
      </c>
      <c r="J2330" s="221" t="s">
        <v>3023</v>
      </c>
      <c r="K2330" s="224" t="s">
        <v>3227</v>
      </c>
      <c r="L2330" s="225" t="str">
        <f>VLOOKUP(Logfile_S[[#This Row],[Material Name]],Sheet2!B:C,2,0)</f>
        <v>ZTE1001</v>
      </c>
      <c r="M2330" s="225" t="str">
        <f>_xlfn.XLOOKUP(Logfile_S[[#This Row],[Material Name]],Sum_WH!E:E,Sum_WH!F:F,"",0)</f>
        <v>Pcs</v>
      </c>
      <c r="N2330" s="221">
        <v>4</v>
      </c>
      <c r="O2330" s="221" t="s">
        <v>3314</v>
      </c>
      <c r="P2330" s="221">
        <v>0</v>
      </c>
      <c r="Q2330" s="221">
        <v>0</v>
      </c>
      <c r="R2330" s="221" t="s">
        <v>3147</v>
      </c>
      <c r="S2330" s="221"/>
      <c r="T2330" s="221"/>
      <c r="U2330" s="221"/>
      <c r="V2330" s="221"/>
      <c r="W2330" s="221"/>
      <c r="X2330" s="221"/>
      <c r="Y2330" s="227"/>
      <c r="Z2330" s="227">
        <f>P2330</f>
        <v>0</v>
      </c>
      <c r="AA2330" s="276" t="e">
        <f>VLOOKUP(Logfile_S[[#This Row],[DO number]],DO_DB!G:I,3,0)</f>
        <v>#N/A</v>
      </c>
      <c r="AB2330" s="331" t="e">
        <f>EXACT(Logfile_S[[#This Row],[date pick]],Logfile_S[[#This Row],[Date]])</f>
        <v>#N/A</v>
      </c>
      <c r="AC23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31" spans="1:29" ht="14.5">
      <c r="A2331" s="220" t="str">
        <f>TEXT(ROW(A2331)-ROW($A$4),"000")</f>
        <v>2327</v>
      </c>
      <c r="B2331" s="221"/>
      <c r="C2331" s="221" t="s">
        <v>3313</v>
      </c>
      <c r="D2331" s="221" t="s">
        <v>3807</v>
      </c>
      <c r="E2331" s="221" t="s">
        <v>3295</v>
      </c>
      <c r="F2331" s="221" t="s">
        <v>3299</v>
      </c>
      <c r="G2331" s="222">
        <v>45245</v>
      </c>
      <c r="H2331" s="223">
        <v>15.291666666666666</v>
      </c>
      <c r="I2331" s="221" t="s">
        <v>37</v>
      </c>
      <c r="J2331" s="221" t="s">
        <v>3023</v>
      </c>
      <c r="K2331" s="224" t="s">
        <v>3069</v>
      </c>
      <c r="L2331" s="225" t="str">
        <f>VLOOKUP(Logfile_S[[#This Row],[Material Name]],Sheet2!B:C,2,0)</f>
        <v>ZTE1001</v>
      </c>
      <c r="M2331" s="225" t="str">
        <f>_xlfn.XLOOKUP(Logfile_S[[#This Row],[Material Name]],Sum_WH!E:E,Sum_WH!F:F,"",0)</f>
        <v>Pcs</v>
      </c>
      <c r="N2331" s="221">
        <v>6</v>
      </c>
      <c r="O2331" s="221" t="s">
        <v>3314</v>
      </c>
      <c r="P2331" s="221">
        <v>0</v>
      </c>
      <c r="Q2331" s="221">
        <v>0</v>
      </c>
      <c r="R2331" s="221" t="s">
        <v>3147</v>
      </c>
      <c r="S2331" s="221"/>
      <c r="T2331" s="221"/>
      <c r="U2331" s="221"/>
      <c r="V2331" s="221"/>
      <c r="W2331" s="221"/>
      <c r="X2331" s="221"/>
      <c r="Y2331" s="227"/>
      <c r="Z2331" s="227">
        <f>P2331</f>
        <v>0</v>
      </c>
      <c r="AA2331" s="276" t="e">
        <f>VLOOKUP(Logfile_S[[#This Row],[DO number]],DO_DB!G:I,3,0)</f>
        <v>#N/A</v>
      </c>
      <c r="AB2331" s="331" t="e">
        <f>EXACT(Logfile_S[[#This Row],[date pick]],Logfile_S[[#This Row],[Date]])</f>
        <v>#N/A</v>
      </c>
      <c r="AC23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32" spans="1:29" ht="14.5">
      <c r="A2332" s="220" t="str">
        <f>TEXT(ROW(A2332)-ROW($A$4),"000")</f>
        <v>2328</v>
      </c>
      <c r="B2332" s="221"/>
      <c r="C2332" s="221" t="s">
        <v>3313</v>
      </c>
      <c r="D2332" s="221" t="s">
        <v>3807</v>
      </c>
      <c r="E2332" s="221" t="s">
        <v>3295</v>
      </c>
      <c r="F2332" s="221" t="s">
        <v>3299</v>
      </c>
      <c r="G2332" s="222">
        <v>45245</v>
      </c>
      <c r="H2332" s="223">
        <v>15.291666666666666</v>
      </c>
      <c r="I2332" s="221" t="s">
        <v>37</v>
      </c>
      <c r="J2332" s="221" t="s">
        <v>3023</v>
      </c>
      <c r="K2332" s="224" t="s">
        <v>3069</v>
      </c>
      <c r="L2332" s="225" t="str">
        <f>VLOOKUP(Logfile_S[[#This Row],[Material Name]],Sheet2!B:C,2,0)</f>
        <v>ZTE1001</v>
      </c>
      <c r="M2332" s="225" t="str">
        <f>_xlfn.XLOOKUP(Logfile_S[[#This Row],[Material Name]],Sum_WH!E:E,Sum_WH!F:F,"",0)</f>
        <v>Pcs</v>
      </c>
      <c r="N2332" s="221">
        <v>6</v>
      </c>
      <c r="O2332" s="221" t="s">
        <v>3314</v>
      </c>
      <c r="P2332" s="221">
        <v>0</v>
      </c>
      <c r="Q2332" s="221">
        <v>0</v>
      </c>
      <c r="R2332" s="221" t="s">
        <v>3147</v>
      </c>
      <c r="S2332" s="221"/>
      <c r="T2332" s="221"/>
      <c r="U2332" s="221"/>
      <c r="V2332" s="221"/>
      <c r="W2332" s="221"/>
      <c r="X2332" s="221"/>
      <c r="Y2332" s="227"/>
      <c r="Z2332" s="227">
        <f>P2332</f>
        <v>0</v>
      </c>
      <c r="AA2332" s="276" t="e">
        <f>VLOOKUP(Logfile_S[[#This Row],[DO number]],DO_DB!G:I,3,0)</f>
        <v>#N/A</v>
      </c>
      <c r="AB2332" s="331" t="e">
        <f>EXACT(Logfile_S[[#This Row],[date pick]],Logfile_S[[#This Row],[Date]])</f>
        <v>#N/A</v>
      </c>
      <c r="AC23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33" spans="1:29" ht="14.5">
      <c r="A2333" s="220" t="str">
        <f>TEXT(ROW(A2333)-ROW($A$4),"000")</f>
        <v>2329</v>
      </c>
      <c r="B2333" s="221"/>
      <c r="C2333" s="221" t="s">
        <v>3313</v>
      </c>
      <c r="D2333" s="221" t="s">
        <v>3868</v>
      </c>
      <c r="E2333" s="221" t="s">
        <v>3295</v>
      </c>
      <c r="F2333" s="221" t="s">
        <v>3299</v>
      </c>
      <c r="G2333" s="222">
        <v>45307</v>
      </c>
      <c r="H2333" s="223">
        <v>15.291666666666666</v>
      </c>
      <c r="I2333" s="221" t="s">
        <v>37</v>
      </c>
      <c r="J2333" s="221" t="s">
        <v>3023</v>
      </c>
      <c r="K2333" s="224" t="s">
        <v>13</v>
      </c>
      <c r="L2333" s="225" t="str">
        <f>VLOOKUP(Logfile_S[[#This Row],[Material Name]],Sheet2!B:C,2,0)</f>
        <v>ZTE2008</v>
      </c>
      <c r="M2333" s="225" t="str">
        <f>_xlfn.XLOOKUP(Logfile_S[[#This Row],[Material Name]],Sum_WH!E:E,Sum_WH!F:F,"",0)</f>
        <v>Pcs</v>
      </c>
      <c r="N2333" s="221">
        <v>17</v>
      </c>
      <c r="O2333" s="221" t="s">
        <v>3314</v>
      </c>
      <c r="P2333" s="221">
        <v>0</v>
      </c>
      <c r="Q2333" s="221">
        <v>0</v>
      </c>
      <c r="R2333" s="221" t="s">
        <v>3147</v>
      </c>
      <c r="S2333" s="221"/>
      <c r="T2333" s="221"/>
      <c r="U2333" s="221"/>
      <c r="V2333" s="221"/>
      <c r="W2333" s="221"/>
      <c r="X2333" s="221" t="s">
        <v>3217</v>
      </c>
      <c r="Y2333" s="227"/>
      <c r="Z2333" s="227">
        <f>P2333</f>
        <v>0</v>
      </c>
      <c r="AA2333" s="276" t="e">
        <f>VLOOKUP(Logfile_S[[#This Row],[DO number]],DO_DB!G:I,3,0)</f>
        <v>#N/A</v>
      </c>
      <c r="AB2333" s="331" t="e">
        <f>EXACT(Logfile_S[[#This Row],[date pick]],Logfile_S[[#This Row],[Date]])</f>
        <v>#N/A</v>
      </c>
      <c r="AC23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34" spans="1:29" ht="14.5">
      <c r="A2334" s="220" t="str">
        <f>TEXT(ROW(A2334)-ROW($A$4),"000")</f>
        <v>2330</v>
      </c>
      <c r="B2334" s="221"/>
      <c r="C2334" s="221" t="s">
        <v>3313</v>
      </c>
      <c r="D2334" s="221" t="s">
        <v>3868</v>
      </c>
      <c r="E2334" s="221" t="s">
        <v>3295</v>
      </c>
      <c r="F2334" s="221" t="s">
        <v>3299</v>
      </c>
      <c r="G2334" s="222">
        <v>45307</v>
      </c>
      <c r="H2334" s="223">
        <v>15.291666666666666</v>
      </c>
      <c r="I2334" s="221" t="s">
        <v>37</v>
      </c>
      <c r="J2334" s="221" t="s">
        <v>3023</v>
      </c>
      <c r="K2334" s="224" t="s">
        <v>13</v>
      </c>
      <c r="L2334" s="225" t="str">
        <f>VLOOKUP(Logfile_S[[#This Row],[Material Name]],Sheet2!B:C,2,0)</f>
        <v>ZTE2008</v>
      </c>
      <c r="M2334" s="225" t="str">
        <f>_xlfn.XLOOKUP(Logfile_S[[#This Row],[Material Name]],Sum_WH!E:E,Sum_WH!F:F,"",0)</f>
        <v>Pcs</v>
      </c>
      <c r="N2334" s="221">
        <v>19</v>
      </c>
      <c r="O2334" s="221" t="s">
        <v>3314</v>
      </c>
      <c r="P2334" s="221">
        <v>0</v>
      </c>
      <c r="Q2334" s="221">
        <v>0</v>
      </c>
      <c r="R2334" s="221" t="s">
        <v>3147</v>
      </c>
      <c r="S2334" s="221"/>
      <c r="T2334" s="221"/>
      <c r="U2334" s="221"/>
      <c r="V2334" s="221"/>
      <c r="W2334" s="221"/>
      <c r="X2334" s="221" t="s">
        <v>3217</v>
      </c>
      <c r="Y2334" s="227"/>
      <c r="Z2334" s="227">
        <f>P2334</f>
        <v>0</v>
      </c>
      <c r="AA2334" s="276" t="e">
        <f>VLOOKUP(Logfile_S[[#This Row],[DO number]],DO_DB!G:I,3,0)</f>
        <v>#N/A</v>
      </c>
      <c r="AB2334" s="331" t="e">
        <f>EXACT(Logfile_S[[#This Row],[date pick]],Logfile_S[[#This Row],[Date]])</f>
        <v>#N/A</v>
      </c>
      <c r="AC23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35" spans="1:29" ht="14.5">
      <c r="A2335" s="220" t="str">
        <f>TEXT(ROW(A2335)-ROW($A$4),"000")</f>
        <v>2331</v>
      </c>
      <c r="B2335" s="221"/>
      <c r="C2335" s="221" t="s">
        <v>3313</v>
      </c>
      <c r="D2335" s="221" t="s">
        <v>3868</v>
      </c>
      <c r="E2335" s="221" t="s">
        <v>3295</v>
      </c>
      <c r="F2335" s="221" t="s">
        <v>3299</v>
      </c>
      <c r="G2335" s="222">
        <v>45307</v>
      </c>
      <c r="H2335" s="223">
        <v>15.291666666666666</v>
      </c>
      <c r="I2335" s="221" t="s">
        <v>37</v>
      </c>
      <c r="J2335" s="221" t="s">
        <v>3023</v>
      </c>
      <c r="K2335" s="224" t="s">
        <v>13</v>
      </c>
      <c r="L2335" s="225" t="str">
        <f>VLOOKUP(Logfile_S[[#This Row],[Material Name]],Sheet2!B:C,2,0)</f>
        <v>ZTE2008</v>
      </c>
      <c r="M2335" s="225" t="str">
        <f>_xlfn.XLOOKUP(Logfile_S[[#This Row],[Material Name]],Sum_WH!E:E,Sum_WH!F:F,"",0)</f>
        <v>Pcs</v>
      </c>
      <c r="N2335" s="221">
        <v>19</v>
      </c>
      <c r="O2335" s="221" t="s">
        <v>3314</v>
      </c>
      <c r="P2335" s="221">
        <v>0</v>
      </c>
      <c r="Q2335" s="221">
        <v>0</v>
      </c>
      <c r="R2335" s="221" t="s">
        <v>3147</v>
      </c>
      <c r="S2335" s="221"/>
      <c r="T2335" s="221"/>
      <c r="U2335" s="221"/>
      <c r="V2335" s="221"/>
      <c r="W2335" s="221"/>
      <c r="X2335" s="221"/>
      <c r="Y2335" s="227"/>
      <c r="Z2335" s="227">
        <f>P2335</f>
        <v>0</v>
      </c>
      <c r="AA2335" s="276" t="e">
        <f>VLOOKUP(Logfile_S[[#This Row],[DO number]],DO_DB!G:I,3,0)</f>
        <v>#N/A</v>
      </c>
      <c r="AB2335" s="331" t="e">
        <f>EXACT(Logfile_S[[#This Row],[date pick]],Logfile_S[[#This Row],[Date]])</f>
        <v>#N/A</v>
      </c>
      <c r="AC23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36" spans="1:29" ht="14.5">
      <c r="A2336" s="220" t="str">
        <f>TEXT(ROW(A2336)-ROW($A$4),"000")</f>
        <v>2332</v>
      </c>
      <c r="B2336" s="221"/>
      <c r="C2336" s="221" t="s">
        <v>3313</v>
      </c>
      <c r="D2336" s="221" t="s">
        <v>3868</v>
      </c>
      <c r="E2336" s="221" t="s">
        <v>3295</v>
      </c>
      <c r="F2336" s="221" t="s">
        <v>3299</v>
      </c>
      <c r="G2336" s="222">
        <v>45307</v>
      </c>
      <c r="H2336" s="223">
        <v>15.291666666666666</v>
      </c>
      <c r="I2336" s="221" t="s">
        <v>37</v>
      </c>
      <c r="J2336" s="221" t="s">
        <v>3023</v>
      </c>
      <c r="K2336" s="224" t="s">
        <v>3069</v>
      </c>
      <c r="L2336" s="225" t="str">
        <f>VLOOKUP(Logfile_S[[#This Row],[Material Name]],Sheet2!B:C,2,0)</f>
        <v>ZTE1001</v>
      </c>
      <c r="M2336" s="225" t="str">
        <f>_xlfn.XLOOKUP(Logfile_S[[#This Row],[Material Name]],Sum_WH!E:E,Sum_WH!F:F,"",0)</f>
        <v>Pcs</v>
      </c>
      <c r="N2336" s="221">
        <v>9</v>
      </c>
      <c r="O2336" s="221" t="s">
        <v>3314</v>
      </c>
      <c r="P2336" s="221">
        <v>0</v>
      </c>
      <c r="Q2336" s="221">
        <v>0</v>
      </c>
      <c r="R2336" s="221" t="s">
        <v>3147</v>
      </c>
      <c r="S2336" s="221"/>
      <c r="T2336" s="221"/>
      <c r="U2336" s="221"/>
      <c r="V2336" s="221"/>
      <c r="W2336" s="221"/>
      <c r="X2336" s="221"/>
      <c r="Y2336" s="227"/>
      <c r="Z2336" s="227">
        <f>P2336</f>
        <v>0</v>
      </c>
      <c r="AA2336" s="276" t="e">
        <f>VLOOKUP(Logfile_S[[#This Row],[DO number]],DO_DB!G:I,3,0)</f>
        <v>#N/A</v>
      </c>
      <c r="AB2336" s="331" t="e">
        <f>EXACT(Logfile_S[[#This Row],[date pick]],Logfile_S[[#This Row],[Date]])</f>
        <v>#N/A</v>
      </c>
      <c r="AC23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37" spans="1:29" ht="14.5">
      <c r="A2337" s="220" t="str">
        <f>TEXT(ROW(A2337)-ROW($A$4),"000")</f>
        <v>2333</v>
      </c>
      <c r="B2337" s="221"/>
      <c r="C2337" s="221" t="s">
        <v>3313</v>
      </c>
      <c r="D2337" s="221" t="s">
        <v>3881</v>
      </c>
      <c r="E2337" s="221" t="s">
        <v>3295</v>
      </c>
      <c r="F2337" s="221" t="s">
        <v>3299</v>
      </c>
      <c r="G2337" s="222">
        <v>45311</v>
      </c>
      <c r="H2337" s="223">
        <v>15.291666666666666</v>
      </c>
      <c r="I2337" s="221" t="s">
        <v>37</v>
      </c>
      <c r="J2337" s="221" t="s">
        <v>3023</v>
      </c>
      <c r="K2337" s="224" t="s">
        <v>3069</v>
      </c>
      <c r="L2337" s="225" t="str">
        <f>VLOOKUP(Logfile_S[[#This Row],[Material Name]],Sheet2!B:C,2,0)</f>
        <v>ZTE1001</v>
      </c>
      <c r="M2337" s="225" t="str">
        <f>_xlfn.XLOOKUP(Logfile_S[[#This Row],[Material Name]],Sum_WH!E:E,Sum_WH!F:F,"",0)</f>
        <v>Pcs</v>
      </c>
      <c r="N2337" s="221">
        <v>1</v>
      </c>
      <c r="O2337" s="221" t="s">
        <v>3314</v>
      </c>
      <c r="P2337" s="221">
        <v>0</v>
      </c>
      <c r="Q2337" s="221">
        <v>0</v>
      </c>
      <c r="R2337" s="221" t="s">
        <v>3147</v>
      </c>
      <c r="S2337" s="221"/>
      <c r="T2337" s="221"/>
      <c r="U2337" s="221"/>
      <c r="V2337" s="221"/>
      <c r="W2337" s="221"/>
      <c r="X2337" s="221"/>
      <c r="Y2337" s="227"/>
      <c r="Z2337" s="227">
        <f>P2337</f>
        <v>0</v>
      </c>
      <c r="AA2337" s="276" t="e">
        <f>VLOOKUP(Logfile_S[[#This Row],[DO number]],DO_DB!G:I,3,0)</f>
        <v>#N/A</v>
      </c>
      <c r="AB2337" s="331" t="e">
        <f>EXACT(Logfile_S[[#This Row],[date pick]],Logfile_S[[#This Row],[Date]])</f>
        <v>#N/A</v>
      </c>
      <c r="AC23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38" spans="1:29" ht="14.5">
      <c r="A2338" s="220" t="str">
        <f>TEXT(ROW(A2338)-ROW($A$4),"000")</f>
        <v>2334</v>
      </c>
      <c r="B2338" s="221"/>
      <c r="C2338" s="221" t="s">
        <v>3313</v>
      </c>
      <c r="D2338" s="221" t="s">
        <v>3893</v>
      </c>
      <c r="E2338" s="221" t="s">
        <v>3295</v>
      </c>
      <c r="F2338" s="221" t="s">
        <v>3299</v>
      </c>
      <c r="G2338" s="222">
        <v>45313</v>
      </c>
      <c r="H2338" s="223">
        <v>15.291666666666666</v>
      </c>
      <c r="I2338" s="221" t="s">
        <v>37</v>
      </c>
      <c r="J2338" s="221" t="s">
        <v>3023</v>
      </c>
      <c r="K2338" s="224" t="s">
        <v>3069</v>
      </c>
      <c r="L2338" s="225" t="str">
        <f>VLOOKUP(Logfile_S[[#This Row],[Material Name]],Sheet2!B:C,2,0)</f>
        <v>ZTE1001</v>
      </c>
      <c r="M2338" s="225" t="str">
        <f>_xlfn.XLOOKUP(Logfile_S[[#This Row],[Material Name]],Sum_WH!E:E,Sum_WH!F:F,"",0)</f>
        <v>Pcs</v>
      </c>
      <c r="N2338" s="221">
        <v>1</v>
      </c>
      <c r="O2338" s="221" t="s">
        <v>3314</v>
      </c>
      <c r="P2338" s="221">
        <v>0</v>
      </c>
      <c r="Q2338" s="221">
        <v>0</v>
      </c>
      <c r="R2338" s="221" t="s">
        <v>3147</v>
      </c>
      <c r="S2338" s="221"/>
      <c r="T2338" s="221"/>
      <c r="U2338" s="221"/>
      <c r="V2338" s="221"/>
      <c r="W2338" s="221"/>
      <c r="X2338" s="221"/>
      <c r="Y2338" s="227"/>
      <c r="Z2338" s="227">
        <f>P2338</f>
        <v>0</v>
      </c>
      <c r="AA2338" s="276" t="e">
        <f>VLOOKUP(Logfile_S[[#This Row],[DO number]],DO_DB!G:I,3,0)</f>
        <v>#N/A</v>
      </c>
      <c r="AB2338" s="331" t="e">
        <f>EXACT(Logfile_S[[#This Row],[date pick]],Logfile_S[[#This Row],[Date]])</f>
        <v>#N/A</v>
      </c>
      <c r="AC23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39" spans="1:29" ht="14.5">
      <c r="A2339" s="220" t="str">
        <f>TEXT(ROW(A2339)-ROW($A$4),"000")</f>
        <v>2335</v>
      </c>
      <c r="B2339" s="221"/>
      <c r="C2339" s="221" t="s">
        <v>3313</v>
      </c>
      <c r="D2339" s="221" t="s">
        <v>3893</v>
      </c>
      <c r="E2339" s="221" t="s">
        <v>3295</v>
      </c>
      <c r="F2339" s="221" t="s">
        <v>3299</v>
      </c>
      <c r="G2339" s="222">
        <v>45313</v>
      </c>
      <c r="H2339" s="223">
        <v>15.291666666666666</v>
      </c>
      <c r="I2339" s="221" t="s">
        <v>37</v>
      </c>
      <c r="J2339" s="221" t="s">
        <v>3023</v>
      </c>
      <c r="K2339" s="224" t="s">
        <v>3069</v>
      </c>
      <c r="L2339" s="225" t="str">
        <f>VLOOKUP(Logfile_S[[#This Row],[Material Name]],Sheet2!B:C,2,0)</f>
        <v>ZTE1001</v>
      </c>
      <c r="M2339" s="225" t="str">
        <f>_xlfn.XLOOKUP(Logfile_S[[#This Row],[Material Name]],Sum_WH!E:E,Sum_WH!F:F,"",0)</f>
        <v>Pcs</v>
      </c>
      <c r="N2339" s="221">
        <v>1</v>
      </c>
      <c r="O2339" s="221" t="s">
        <v>3314</v>
      </c>
      <c r="P2339" s="221">
        <v>0</v>
      </c>
      <c r="Q2339" s="221">
        <v>0</v>
      </c>
      <c r="R2339" s="221" t="s">
        <v>3147</v>
      </c>
      <c r="S2339" s="221"/>
      <c r="T2339" s="221"/>
      <c r="U2339" s="221"/>
      <c r="V2339" s="221"/>
      <c r="W2339" s="221"/>
      <c r="X2339" s="221"/>
      <c r="Y2339" s="227"/>
      <c r="Z2339" s="227">
        <f>P2339</f>
        <v>0</v>
      </c>
      <c r="AA2339" s="276" t="e">
        <f>VLOOKUP(Logfile_S[[#This Row],[DO number]],DO_DB!G:I,3,0)</f>
        <v>#N/A</v>
      </c>
      <c r="AB2339" s="331" t="e">
        <f>EXACT(Logfile_S[[#This Row],[date pick]],Logfile_S[[#This Row],[Date]])</f>
        <v>#N/A</v>
      </c>
      <c r="AC23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40" spans="1:29" ht="14.5">
      <c r="A2340" s="220" t="str">
        <f>TEXT(ROW(A2340)-ROW($A$4),"000")</f>
        <v>2336</v>
      </c>
      <c r="B2340" s="221"/>
      <c r="C2340" s="221" t="s">
        <v>3313</v>
      </c>
      <c r="D2340" s="221" t="s">
        <v>3915</v>
      </c>
      <c r="E2340" s="221" t="s">
        <v>3295</v>
      </c>
      <c r="F2340" s="221" t="s">
        <v>3299</v>
      </c>
      <c r="G2340" s="222">
        <v>45329</v>
      </c>
      <c r="H2340" s="223">
        <v>15.291666666666666</v>
      </c>
      <c r="I2340" s="221" t="s">
        <v>37</v>
      </c>
      <c r="J2340" s="221" t="s">
        <v>3023</v>
      </c>
      <c r="K2340" s="224" t="s">
        <v>13</v>
      </c>
      <c r="L2340" s="225" t="str">
        <f>VLOOKUP(Logfile_S[[#This Row],[Material Name]],Sheet2!B:C,2,0)</f>
        <v>ZTE2008</v>
      </c>
      <c r="M2340" s="225" t="str">
        <f>_xlfn.XLOOKUP(Logfile_S[[#This Row],[Material Name]],Sum_WH!E:E,Sum_WH!F:F,"",0)</f>
        <v>Pcs</v>
      </c>
      <c r="N2340" s="221">
        <v>1</v>
      </c>
      <c r="O2340" s="221" t="s">
        <v>3314</v>
      </c>
      <c r="P2340" s="221">
        <v>0</v>
      </c>
      <c r="Q2340" s="221">
        <v>0</v>
      </c>
      <c r="R2340" s="221" t="s">
        <v>3147</v>
      </c>
      <c r="S2340" s="221"/>
      <c r="T2340" s="221"/>
      <c r="U2340" s="221"/>
      <c r="V2340" s="221"/>
      <c r="W2340" s="221"/>
      <c r="X2340" s="221"/>
      <c r="Y2340" s="227"/>
      <c r="Z2340" s="227">
        <f>P2340</f>
        <v>0</v>
      </c>
      <c r="AA2340" s="276" t="e">
        <f>VLOOKUP(Logfile_S[[#This Row],[DO number]],DO_DB!G:I,3,0)</f>
        <v>#N/A</v>
      </c>
      <c r="AB2340" s="331" t="e">
        <f>EXACT(Logfile_S[[#This Row],[date pick]],Logfile_S[[#This Row],[Date]])</f>
        <v>#N/A</v>
      </c>
      <c r="AC23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41" spans="1:29" ht="14.5">
      <c r="A2341" s="220" t="str">
        <f>TEXT(ROW(A2341)-ROW($A$4),"000")</f>
        <v>2337</v>
      </c>
      <c r="B2341" s="221"/>
      <c r="C2341" s="221" t="s">
        <v>3313</v>
      </c>
      <c r="D2341" s="221" t="s">
        <v>3925</v>
      </c>
      <c r="E2341" s="221" t="s">
        <v>3295</v>
      </c>
      <c r="F2341" s="221" t="s">
        <v>3299</v>
      </c>
      <c r="G2341" s="222">
        <v>45337</v>
      </c>
      <c r="H2341" s="223">
        <v>15.291666666666666</v>
      </c>
      <c r="I2341" s="221" t="s">
        <v>37</v>
      </c>
      <c r="J2341" s="221" t="s">
        <v>3023</v>
      </c>
      <c r="K2341" s="224" t="s">
        <v>13</v>
      </c>
      <c r="L2341" s="225" t="str">
        <f>VLOOKUP(Logfile_S[[#This Row],[Material Name]],Sheet2!B:C,2,0)</f>
        <v>ZTE2008</v>
      </c>
      <c r="M2341" s="225" t="str">
        <f>_xlfn.XLOOKUP(Logfile_S[[#This Row],[Material Name]],Sum_WH!E:E,Sum_WH!F:F,"",0)</f>
        <v>Pcs</v>
      </c>
      <c r="N2341" s="221">
        <v>7</v>
      </c>
      <c r="O2341" s="221" t="s">
        <v>3314</v>
      </c>
      <c r="P2341" s="221">
        <v>0</v>
      </c>
      <c r="Q2341" s="221">
        <v>0</v>
      </c>
      <c r="R2341" s="221" t="s">
        <v>3147</v>
      </c>
      <c r="S2341" s="221"/>
      <c r="T2341" s="221"/>
      <c r="U2341" s="221"/>
      <c r="V2341" s="221"/>
      <c r="W2341" s="221"/>
      <c r="X2341" s="221"/>
      <c r="Y2341" s="227"/>
      <c r="Z2341" s="227">
        <f>P2341</f>
        <v>0</v>
      </c>
      <c r="AA2341" s="276" t="e">
        <f>VLOOKUP(Logfile_S[[#This Row],[DO number]],DO_DB!G:I,3,0)</f>
        <v>#N/A</v>
      </c>
      <c r="AB2341" s="331" t="e">
        <f>EXACT(Logfile_S[[#This Row],[date pick]],Logfile_S[[#This Row],[Date]])</f>
        <v>#N/A</v>
      </c>
      <c r="AC23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42" spans="1:29" ht="14.5">
      <c r="A2342" s="220" t="str">
        <f>TEXT(ROW(A2342)-ROW($A$4),"000")</f>
        <v>2338</v>
      </c>
      <c r="B2342" s="221"/>
      <c r="C2342" s="221" t="s">
        <v>3313</v>
      </c>
      <c r="D2342" s="221" t="s">
        <v>3925</v>
      </c>
      <c r="E2342" s="221" t="s">
        <v>3295</v>
      </c>
      <c r="F2342" s="221" t="s">
        <v>3299</v>
      </c>
      <c r="G2342" s="222">
        <v>45337</v>
      </c>
      <c r="H2342" s="223">
        <v>15.291666666666666</v>
      </c>
      <c r="I2342" s="221" t="s">
        <v>37</v>
      </c>
      <c r="J2342" s="221" t="s">
        <v>3023</v>
      </c>
      <c r="K2342" s="224" t="s">
        <v>3069</v>
      </c>
      <c r="L2342" s="225" t="str">
        <f>VLOOKUP(Logfile_S[[#This Row],[Material Name]],Sheet2!B:C,2,0)</f>
        <v>ZTE1001</v>
      </c>
      <c r="M2342" s="225" t="str">
        <f>_xlfn.XLOOKUP(Logfile_S[[#This Row],[Material Name]],Sum_WH!E:E,Sum_WH!F:F,"",0)</f>
        <v>Pcs</v>
      </c>
      <c r="N2342" s="221">
        <v>15</v>
      </c>
      <c r="O2342" s="221" t="s">
        <v>3314</v>
      </c>
      <c r="P2342" s="221">
        <v>0</v>
      </c>
      <c r="Q2342" s="221">
        <v>0</v>
      </c>
      <c r="R2342" s="221" t="s">
        <v>3147</v>
      </c>
      <c r="S2342" s="221"/>
      <c r="T2342" s="221"/>
      <c r="U2342" s="221"/>
      <c r="V2342" s="221"/>
      <c r="W2342" s="221"/>
      <c r="X2342" s="221"/>
      <c r="Y2342" s="227"/>
      <c r="Z2342" s="227">
        <f>P2342</f>
        <v>0</v>
      </c>
      <c r="AA2342" s="276" t="e">
        <f>VLOOKUP(Logfile_S[[#This Row],[DO number]],DO_DB!G:I,3,0)</f>
        <v>#N/A</v>
      </c>
      <c r="AB2342" s="331" t="e">
        <f>EXACT(Logfile_S[[#This Row],[date pick]],Logfile_S[[#This Row],[Date]])</f>
        <v>#N/A</v>
      </c>
      <c r="AC23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43" spans="1:29" ht="14.5">
      <c r="A2343" s="220" t="str">
        <f>TEXT(ROW(A2343)-ROW($A$4),"000")</f>
        <v>2339</v>
      </c>
      <c r="B2343" s="221"/>
      <c r="C2343" s="221" t="s">
        <v>3313</v>
      </c>
      <c r="D2343" s="221" t="s">
        <v>3943</v>
      </c>
      <c r="E2343" s="221" t="s">
        <v>3295</v>
      </c>
      <c r="F2343" s="221" t="s">
        <v>3299</v>
      </c>
      <c r="G2343" s="222">
        <v>45344</v>
      </c>
      <c r="H2343" s="223">
        <v>15.291666666666666</v>
      </c>
      <c r="I2343" s="221" t="s">
        <v>37</v>
      </c>
      <c r="J2343" s="221" t="s">
        <v>3023</v>
      </c>
      <c r="K2343" s="224" t="s">
        <v>3072</v>
      </c>
      <c r="L2343" s="225" t="str">
        <f>VLOOKUP(Logfile_S[[#This Row],[Material Name]],Sheet2!B:C,2,0)</f>
        <v>ZTE1004</v>
      </c>
      <c r="M2343" s="225" t="str">
        <f>_xlfn.XLOOKUP(Logfile_S[[#This Row],[Material Name]],Sum_WH!E:E,Sum_WH!F:F,"",0)</f>
        <v>Pcs</v>
      </c>
      <c r="N2343" s="221">
        <v>1</v>
      </c>
      <c r="O2343" s="221" t="s">
        <v>3314</v>
      </c>
      <c r="P2343" s="221">
        <v>0</v>
      </c>
      <c r="Q2343" s="221">
        <v>0</v>
      </c>
      <c r="R2343" s="221" t="s">
        <v>3147</v>
      </c>
      <c r="S2343" s="221"/>
      <c r="T2343" s="221"/>
      <c r="U2343" s="221"/>
      <c r="V2343" s="221"/>
      <c r="W2343" s="221"/>
      <c r="X2343" s="221"/>
      <c r="Y2343" s="227"/>
      <c r="Z2343" s="227">
        <f>P2343</f>
        <v>0</v>
      </c>
      <c r="AA2343" s="276" t="e">
        <f>VLOOKUP(Logfile_S[[#This Row],[DO number]],DO_DB!G:I,3,0)</f>
        <v>#N/A</v>
      </c>
      <c r="AB2343" s="331" t="e">
        <f>EXACT(Logfile_S[[#This Row],[date pick]],Logfile_S[[#This Row],[Date]])</f>
        <v>#N/A</v>
      </c>
      <c r="AC23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44" spans="1:29" ht="14.5">
      <c r="A2344" s="220" t="str">
        <f>TEXT(ROW(A2344)-ROW($A$4),"000")</f>
        <v>2340</v>
      </c>
      <c r="B2344" s="221"/>
      <c r="C2344" s="221" t="s">
        <v>3313</v>
      </c>
      <c r="D2344" s="221" t="s">
        <v>3951</v>
      </c>
      <c r="E2344" s="221" t="s">
        <v>3295</v>
      </c>
      <c r="F2344" s="221" t="s">
        <v>3299</v>
      </c>
      <c r="G2344" s="222">
        <v>45348</v>
      </c>
      <c r="H2344" s="223">
        <v>15.291666666666666</v>
      </c>
      <c r="I2344" s="221" t="s">
        <v>37</v>
      </c>
      <c r="J2344" s="221" t="s">
        <v>3023</v>
      </c>
      <c r="K2344" s="224" t="s">
        <v>3072</v>
      </c>
      <c r="L2344" s="225" t="str">
        <f>VLOOKUP(Logfile_S[[#This Row],[Material Name]],Sheet2!B:C,2,0)</f>
        <v>ZTE1004</v>
      </c>
      <c r="M2344" s="225" t="str">
        <f>_xlfn.XLOOKUP(Logfile_S[[#This Row],[Material Name]],Sum_WH!E:E,Sum_WH!F:F,"",0)</f>
        <v>Pcs</v>
      </c>
      <c r="N2344" s="221">
        <v>6</v>
      </c>
      <c r="O2344" s="221" t="s">
        <v>3314</v>
      </c>
      <c r="P2344" s="221">
        <v>0</v>
      </c>
      <c r="Q2344" s="221">
        <v>0</v>
      </c>
      <c r="R2344" s="221" t="s">
        <v>3147</v>
      </c>
      <c r="S2344" s="221"/>
      <c r="T2344" s="221"/>
      <c r="U2344" s="221"/>
      <c r="V2344" s="221"/>
      <c r="W2344" s="221"/>
      <c r="X2344" s="221"/>
      <c r="Y2344" s="227"/>
      <c r="Z2344" s="227">
        <f>P2344</f>
        <v>0</v>
      </c>
      <c r="AA2344" s="276" t="e">
        <f>VLOOKUP(Logfile_S[[#This Row],[DO number]],DO_DB!G:I,3,0)</f>
        <v>#N/A</v>
      </c>
      <c r="AB2344" s="331" t="e">
        <f>EXACT(Logfile_S[[#This Row],[date pick]],Logfile_S[[#This Row],[Date]])</f>
        <v>#N/A</v>
      </c>
      <c r="AC23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45" spans="1:29" ht="14.5">
      <c r="A2345" s="220" t="str">
        <f>TEXT(ROW(A2345)-ROW($A$4),"000")</f>
        <v>2341</v>
      </c>
      <c r="B2345" s="221"/>
      <c r="C2345" s="221" t="s">
        <v>3313</v>
      </c>
      <c r="D2345" s="221" t="s">
        <v>3962</v>
      </c>
      <c r="E2345" s="221" t="s">
        <v>3295</v>
      </c>
      <c r="F2345" s="221" t="s">
        <v>3299</v>
      </c>
      <c r="G2345" s="222">
        <v>45352</v>
      </c>
      <c r="H2345" s="223">
        <v>15.291666666666666</v>
      </c>
      <c r="I2345" s="221" t="s">
        <v>37</v>
      </c>
      <c r="J2345" s="221" t="s">
        <v>3023</v>
      </c>
      <c r="K2345" s="224" t="s">
        <v>3075</v>
      </c>
      <c r="L2345" s="225" t="str">
        <f>VLOOKUP(Logfile_S[[#This Row],[Material Name]],Sheet2!B:C,2,0)</f>
        <v>ZTE2003</v>
      </c>
      <c r="M2345" s="225" t="str">
        <f>_xlfn.XLOOKUP(Logfile_S[[#This Row],[Material Name]],Sum_WH!E:E,Sum_WH!F:F,"",0)</f>
        <v>Meter</v>
      </c>
      <c r="N2345" s="221">
        <v>3000</v>
      </c>
      <c r="O2345" s="221" t="s">
        <v>3314</v>
      </c>
      <c r="P2345" s="221">
        <v>0</v>
      </c>
      <c r="Q2345" s="221">
        <v>0</v>
      </c>
      <c r="R2345" s="221" t="s">
        <v>3147</v>
      </c>
      <c r="S2345" s="221"/>
      <c r="T2345" s="221"/>
      <c r="U2345" s="221"/>
      <c r="V2345" s="221"/>
      <c r="W2345" s="221"/>
      <c r="X2345" s="221"/>
      <c r="Y2345" s="227" t="s">
        <v>5098</v>
      </c>
      <c r="Z2345" s="227">
        <f>P2345</f>
        <v>0</v>
      </c>
      <c r="AA2345" s="276" t="e">
        <f>VLOOKUP(Logfile_S[[#This Row],[DO number]],DO_DB!G:I,3,0)</f>
        <v>#N/A</v>
      </c>
      <c r="AB2345" s="331" t="e">
        <f>EXACT(Logfile_S[[#This Row],[date pick]],Logfile_S[[#This Row],[Date]])</f>
        <v>#N/A</v>
      </c>
      <c r="AC23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48C-202431-01</v>
      </c>
    </row>
    <row r="2346" spans="1:29" ht="14.5">
      <c r="A2346" s="237" t="str">
        <f>TEXT(ROW(A2346)-ROW($A$4),"000")</f>
        <v>2342</v>
      </c>
      <c r="B2346" s="221"/>
      <c r="C2346" s="221" t="s">
        <v>3313</v>
      </c>
      <c r="D2346" s="221" t="s">
        <v>3962</v>
      </c>
      <c r="E2346" s="221" t="s">
        <v>3295</v>
      </c>
      <c r="F2346" s="221" t="s">
        <v>3299</v>
      </c>
      <c r="G2346" s="222">
        <v>45352</v>
      </c>
      <c r="H2346" s="223">
        <v>15.291666666666666</v>
      </c>
      <c r="I2346" s="221" t="s">
        <v>37</v>
      </c>
      <c r="J2346" s="221" t="s">
        <v>3023</v>
      </c>
      <c r="K2346" s="224" t="s">
        <v>3075</v>
      </c>
      <c r="L2346" s="225" t="str">
        <f>VLOOKUP(Logfile_S[[#This Row],[Material Name]],Sheet2!B:C,2,0)</f>
        <v>ZTE2003</v>
      </c>
      <c r="M2346" s="225" t="str">
        <f>_xlfn.XLOOKUP(Logfile_S[[#This Row],[Material Name]],Sum_WH!E:E,Sum_WH!F:F,"",0)</f>
        <v>Meter</v>
      </c>
      <c r="N2346" s="221">
        <v>3000</v>
      </c>
      <c r="O2346" s="221" t="s">
        <v>3314</v>
      </c>
      <c r="P2346" s="221">
        <v>0</v>
      </c>
      <c r="Q2346" s="221">
        <v>0</v>
      </c>
      <c r="R2346" s="221" t="s">
        <v>3147</v>
      </c>
      <c r="S2346" s="227"/>
      <c r="T2346" s="227"/>
      <c r="U2346" s="227"/>
      <c r="V2346" s="227"/>
      <c r="W2346" s="227"/>
      <c r="X2346" s="227"/>
      <c r="Y2346" s="238" t="s">
        <v>5099</v>
      </c>
      <c r="Z2346" s="227">
        <f>P2346</f>
        <v>0</v>
      </c>
      <c r="AA2346" s="276" t="e">
        <f>VLOOKUP(Logfile_S[[#This Row],[DO number]],DO_DB!G:I,3,0)</f>
        <v>#N/A</v>
      </c>
      <c r="AB2346" s="331" t="e">
        <f>EXACT(Logfile_S[[#This Row],[date pick]],Logfile_S[[#This Row],[Date]])</f>
        <v>#N/A</v>
      </c>
      <c r="AC23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48C-202431-02</v>
      </c>
    </row>
    <row r="2347" spans="1:29" ht="14.5">
      <c r="A2347" s="237" t="str">
        <f>TEXT(ROW(A2347)-ROW($A$4),"000")</f>
        <v>2343</v>
      </c>
      <c r="B2347" s="221"/>
      <c r="C2347" s="221" t="s">
        <v>3313</v>
      </c>
      <c r="D2347" s="221" t="s">
        <v>3962</v>
      </c>
      <c r="E2347" s="221" t="s">
        <v>3295</v>
      </c>
      <c r="F2347" s="221" t="s">
        <v>3299</v>
      </c>
      <c r="G2347" s="222">
        <v>45352</v>
      </c>
      <c r="H2347" s="223">
        <v>15.291666666666666</v>
      </c>
      <c r="I2347" s="221" t="s">
        <v>37</v>
      </c>
      <c r="J2347" s="221" t="s">
        <v>3023</v>
      </c>
      <c r="K2347" s="224" t="s">
        <v>3075</v>
      </c>
      <c r="L2347" s="225" t="str">
        <f>VLOOKUP(Logfile_S[[#This Row],[Material Name]],Sheet2!B:C,2,0)</f>
        <v>ZTE2003</v>
      </c>
      <c r="M2347" s="225" t="str">
        <f>_xlfn.XLOOKUP(Logfile_S[[#This Row],[Material Name]],Sum_WH!E:E,Sum_WH!F:F,"",0)</f>
        <v>Meter</v>
      </c>
      <c r="N2347" s="221">
        <v>3000</v>
      </c>
      <c r="O2347" s="221" t="s">
        <v>3314</v>
      </c>
      <c r="P2347" s="221">
        <v>0</v>
      </c>
      <c r="Q2347" s="221">
        <v>0</v>
      </c>
      <c r="R2347" s="221" t="s">
        <v>3147</v>
      </c>
      <c r="S2347" s="227"/>
      <c r="T2347" s="227"/>
      <c r="U2347" s="227"/>
      <c r="V2347" s="227"/>
      <c r="W2347" s="227"/>
      <c r="X2347" s="227"/>
      <c r="Y2347" s="238" t="s">
        <v>5100</v>
      </c>
      <c r="Z2347" s="227">
        <f>P2347</f>
        <v>0</v>
      </c>
      <c r="AA2347" s="276" t="e">
        <f>VLOOKUP(Logfile_S[[#This Row],[DO number]],DO_DB!G:I,3,0)</f>
        <v>#N/A</v>
      </c>
      <c r="AB2347" s="331" t="e">
        <f>EXACT(Logfile_S[[#This Row],[date pick]],Logfile_S[[#This Row],[Date]])</f>
        <v>#N/A</v>
      </c>
      <c r="AC23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48C-202431-03</v>
      </c>
    </row>
    <row r="2348" spans="1:29" ht="14.5">
      <c r="A2348" s="220" t="str">
        <f>TEXT(ROW(A2348)-ROW($A$4),"000")</f>
        <v>2344</v>
      </c>
      <c r="B2348" s="221"/>
      <c r="C2348" s="221" t="s">
        <v>3313</v>
      </c>
      <c r="D2348" s="221" t="s">
        <v>3970</v>
      </c>
      <c r="E2348" s="221" t="s">
        <v>3295</v>
      </c>
      <c r="F2348" s="221" t="s">
        <v>3299</v>
      </c>
      <c r="G2348" s="222">
        <v>45355</v>
      </c>
      <c r="H2348" s="223">
        <v>15.291666666666666</v>
      </c>
      <c r="I2348" s="221" t="s">
        <v>37</v>
      </c>
      <c r="J2348" s="221" t="s">
        <v>3023</v>
      </c>
      <c r="K2348" s="224" t="s">
        <v>3069</v>
      </c>
      <c r="L2348" s="225" t="str">
        <f>VLOOKUP(Logfile_S[[#This Row],[Material Name]],Sheet2!B:C,2,0)</f>
        <v>ZTE1001</v>
      </c>
      <c r="M2348" s="225" t="str">
        <f>_xlfn.XLOOKUP(Logfile_S[[#This Row],[Material Name]],Sum_WH!E:E,Sum_WH!F:F,"",0)</f>
        <v>Pcs</v>
      </c>
      <c r="N2348" s="221">
        <v>2</v>
      </c>
      <c r="O2348" s="221" t="s">
        <v>3314</v>
      </c>
      <c r="P2348" s="221">
        <v>0</v>
      </c>
      <c r="Q2348" s="221">
        <v>0</v>
      </c>
      <c r="R2348" s="221" t="s">
        <v>3147</v>
      </c>
      <c r="S2348" s="221"/>
      <c r="T2348" s="221"/>
      <c r="U2348" s="221"/>
      <c r="V2348" s="221"/>
      <c r="W2348" s="221"/>
      <c r="X2348" s="221"/>
      <c r="Y2348" s="227"/>
      <c r="Z2348" s="227">
        <f>P2348</f>
        <v>0</v>
      </c>
      <c r="AA2348" s="276" t="e">
        <f>VLOOKUP(Logfile_S[[#This Row],[DO number]],DO_DB!G:I,3,0)</f>
        <v>#N/A</v>
      </c>
      <c r="AB2348" s="331" t="e">
        <f>EXACT(Logfile_S[[#This Row],[date pick]],Logfile_S[[#This Row],[Date]])</f>
        <v>#N/A</v>
      </c>
      <c r="AC23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49" spans="1:29" ht="14.5">
      <c r="A2349" s="220" t="str">
        <f>TEXT(ROW(A2349)-ROW($A$4),"000")</f>
        <v>2345</v>
      </c>
      <c r="B2349" s="221"/>
      <c r="C2349" s="221" t="s">
        <v>3313</v>
      </c>
      <c r="D2349" s="221" t="s">
        <v>3981</v>
      </c>
      <c r="E2349" s="221" t="s">
        <v>3295</v>
      </c>
      <c r="F2349" s="221" t="s">
        <v>3299</v>
      </c>
      <c r="G2349" s="222">
        <v>45370</v>
      </c>
      <c r="H2349" s="223">
        <v>15.291666666666666</v>
      </c>
      <c r="I2349" s="221" t="s">
        <v>37</v>
      </c>
      <c r="J2349" s="221" t="s">
        <v>3023</v>
      </c>
      <c r="K2349" s="224" t="s">
        <v>3075</v>
      </c>
      <c r="L2349" s="225" t="str">
        <f>VLOOKUP(Logfile_S[[#This Row],[Material Name]],Sheet2!B:C,2,0)</f>
        <v>ZTE2003</v>
      </c>
      <c r="M2349" s="225" t="str">
        <f>_xlfn.XLOOKUP(Logfile_S[[#This Row],[Material Name]],Sum_WH!E:E,Sum_WH!F:F,"",0)</f>
        <v>Meter</v>
      </c>
      <c r="N2349" s="221">
        <v>3000</v>
      </c>
      <c r="O2349" s="221" t="s">
        <v>3314</v>
      </c>
      <c r="P2349" s="221">
        <v>0</v>
      </c>
      <c r="Q2349" s="221">
        <v>0</v>
      </c>
      <c r="R2349" s="221" t="s">
        <v>3147</v>
      </c>
      <c r="S2349" s="221"/>
      <c r="T2349" s="221"/>
      <c r="U2349" s="221"/>
      <c r="V2349" s="221"/>
      <c r="W2349" s="221"/>
      <c r="X2349" s="221"/>
      <c r="Y2349" s="227" t="s">
        <v>5101</v>
      </c>
      <c r="Z2349" s="227">
        <f>P2349</f>
        <v>0</v>
      </c>
      <c r="AA2349" s="276" t="e">
        <f>VLOOKUP(Logfile_S[[#This Row],[DO number]],DO_DB!G:I,3,0)</f>
        <v>#N/A</v>
      </c>
      <c r="AB2349" s="331" t="e">
        <f>EXACT(Logfile_S[[#This Row],[date pick]],Logfile_S[[#This Row],[Date]])</f>
        <v>#N/A</v>
      </c>
      <c r="AC23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48C-2024319-01</v>
      </c>
    </row>
    <row r="2350" spans="1:29" ht="14.5">
      <c r="A2350" s="220" t="str">
        <f>TEXT(ROW(A2350)-ROW($A$4),"000")</f>
        <v>2346</v>
      </c>
      <c r="B2350" s="221"/>
      <c r="C2350" s="221" t="s">
        <v>3313</v>
      </c>
      <c r="D2350" s="221" t="s">
        <v>3981</v>
      </c>
      <c r="E2350" s="221" t="s">
        <v>3295</v>
      </c>
      <c r="F2350" s="221" t="s">
        <v>3299</v>
      </c>
      <c r="G2350" s="222">
        <v>45370</v>
      </c>
      <c r="H2350" s="223">
        <v>15.291666666666666</v>
      </c>
      <c r="I2350" s="221" t="s">
        <v>37</v>
      </c>
      <c r="J2350" s="221" t="s">
        <v>3023</v>
      </c>
      <c r="K2350" s="224" t="s">
        <v>3080</v>
      </c>
      <c r="L2350" s="225" t="str">
        <f>VLOOKUP(Logfile_S[[#This Row],[Material Name]],Sheet2!B:C,2,0)</f>
        <v>ZTE2010</v>
      </c>
      <c r="M2350" s="225" t="str">
        <f>_xlfn.XLOOKUP(Logfile_S[[#This Row],[Material Name]],Sum_WH!E:E,Sum_WH!F:F,"",0)</f>
        <v>Pcs</v>
      </c>
      <c r="N2350" s="221">
        <v>3</v>
      </c>
      <c r="O2350" s="221" t="s">
        <v>3314</v>
      </c>
      <c r="P2350" s="221">
        <v>0</v>
      </c>
      <c r="Q2350" s="221">
        <v>0</v>
      </c>
      <c r="R2350" s="221">
        <v>0</v>
      </c>
      <c r="S2350" s="221"/>
      <c r="T2350" s="221"/>
      <c r="U2350" s="221"/>
      <c r="V2350" s="221"/>
      <c r="W2350" s="221"/>
      <c r="X2350" s="221" t="s">
        <v>3147</v>
      </c>
      <c r="Y2350" s="227"/>
      <c r="Z2350" s="227">
        <f>P2350</f>
        <v>0</v>
      </c>
      <c r="AA2350" s="276" t="e">
        <f>VLOOKUP(Logfile_S[[#This Row],[DO number]],DO_DB!G:I,3,0)</f>
        <v>#N/A</v>
      </c>
      <c r="AB2350" s="331" t="e">
        <f>EXACT(Logfile_S[[#This Row],[date pick]],Logfile_S[[#This Row],[Date]])</f>
        <v>#N/A</v>
      </c>
      <c r="AC23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51" spans="1:29" ht="14.5">
      <c r="A2351" s="220" t="str">
        <f>TEXT(ROW(A2351)-ROW($A$4),"000")</f>
        <v>2347</v>
      </c>
      <c r="B2351" s="221"/>
      <c r="C2351" s="221" t="s">
        <v>3313</v>
      </c>
      <c r="D2351" s="221" t="s">
        <v>3981</v>
      </c>
      <c r="E2351" s="221" t="s">
        <v>3295</v>
      </c>
      <c r="F2351" s="221" t="s">
        <v>3299</v>
      </c>
      <c r="G2351" s="222">
        <v>45370</v>
      </c>
      <c r="H2351" s="223">
        <v>15.291666666666666</v>
      </c>
      <c r="I2351" s="221" t="s">
        <v>37</v>
      </c>
      <c r="J2351" s="221" t="s">
        <v>3023</v>
      </c>
      <c r="K2351" s="224" t="s">
        <v>3080</v>
      </c>
      <c r="L2351" s="225" t="str">
        <f>VLOOKUP(Logfile_S[[#This Row],[Material Name]],Sheet2!B:C,2,0)</f>
        <v>ZTE2010</v>
      </c>
      <c r="M2351" s="225" t="str">
        <f>_xlfn.XLOOKUP(Logfile_S[[#This Row],[Material Name]],Sum_WH!E:E,Sum_WH!F:F,"",0)</f>
        <v>Pcs</v>
      </c>
      <c r="N2351" s="221">
        <v>6</v>
      </c>
      <c r="O2351" s="221" t="s">
        <v>3314</v>
      </c>
      <c r="P2351" s="221">
        <v>0</v>
      </c>
      <c r="Q2351" s="221">
        <v>0</v>
      </c>
      <c r="R2351" s="221">
        <v>0</v>
      </c>
      <c r="S2351" s="221"/>
      <c r="T2351" s="221"/>
      <c r="U2351" s="221"/>
      <c r="V2351" s="221"/>
      <c r="W2351" s="221"/>
      <c r="X2351" s="221" t="s">
        <v>3147</v>
      </c>
      <c r="Y2351" s="227"/>
      <c r="Z2351" s="227">
        <f>P2351</f>
        <v>0</v>
      </c>
      <c r="AA2351" s="276" t="e">
        <f>VLOOKUP(Logfile_S[[#This Row],[DO number]],DO_DB!G:I,3,0)</f>
        <v>#N/A</v>
      </c>
      <c r="AB2351" s="331" t="e">
        <f>EXACT(Logfile_S[[#This Row],[date pick]],Logfile_S[[#This Row],[Date]])</f>
        <v>#N/A</v>
      </c>
      <c r="AC23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52" spans="1:29" ht="14.5">
      <c r="A2352" s="220" t="str">
        <f>TEXT(ROW(A2352)-ROW($A$4),"000")</f>
        <v>2348</v>
      </c>
      <c r="B2352" s="221"/>
      <c r="C2352" s="221" t="s">
        <v>3313</v>
      </c>
      <c r="D2352" s="221" t="s">
        <v>3996</v>
      </c>
      <c r="E2352" s="221" t="s">
        <v>3295</v>
      </c>
      <c r="F2352" s="221" t="s">
        <v>3299</v>
      </c>
      <c r="G2352" s="222">
        <v>45379</v>
      </c>
      <c r="H2352" s="223">
        <v>15.291666666666666</v>
      </c>
      <c r="I2352" s="221" t="s">
        <v>37</v>
      </c>
      <c r="J2352" s="221" t="s">
        <v>3023</v>
      </c>
      <c r="K2352" s="224" t="s">
        <v>3069</v>
      </c>
      <c r="L2352" s="225" t="str">
        <f>VLOOKUP(Logfile_S[[#This Row],[Material Name]],Sheet2!B:C,2,0)</f>
        <v>ZTE1001</v>
      </c>
      <c r="M2352" s="225" t="str">
        <f>_xlfn.XLOOKUP(Logfile_S[[#This Row],[Material Name]],Sum_WH!E:E,Sum_WH!F:F,"",0)</f>
        <v>Pcs</v>
      </c>
      <c r="N2352" s="221">
        <v>1</v>
      </c>
      <c r="O2352" s="221" t="s">
        <v>3314</v>
      </c>
      <c r="P2352" s="221">
        <v>0</v>
      </c>
      <c r="Q2352" s="221">
        <v>0</v>
      </c>
      <c r="R2352" s="221" t="s">
        <v>3147</v>
      </c>
      <c r="S2352" s="221"/>
      <c r="T2352" s="221"/>
      <c r="U2352" s="221"/>
      <c r="V2352" s="221"/>
      <c r="W2352" s="221"/>
      <c r="X2352" s="221"/>
      <c r="Y2352" s="227"/>
      <c r="Z2352" s="227">
        <f>P2352</f>
        <v>0</v>
      </c>
      <c r="AA2352" s="276" t="e">
        <f>VLOOKUP(Logfile_S[[#This Row],[DO number]],DO_DB!G:I,3,0)</f>
        <v>#N/A</v>
      </c>
      <c r="AB2352" s="331" t="e">
        <f>EXACT(Logfile_S[[#This Row],[date pick]],Logfile_S[[#This Row],[Date]])</f>
        <v>#N/A</v>
      </c>
      <c r="AC23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53" spans="1:29" ht="14.5">
      <c r="A2353" s="220" t="str">
        <f>TEXT(ROW(A2353)-ROW($A$4),"000")</f>
        <v>2349</v>
      </c>
      <c r="B2353" s="221"/>
      <c r="C2353" s="221" t="s">
        <v>3313</v>
      </c>
      <c r="D2353" s="221" t="s">
        <v>4002</v>
      </c>
      <c r="E2353" s="221" t="s">
        <v>3295</v>
      </c>
      <c r="F2353" s="221" t="s">
        <v>3299</v>
      </c>
      <c r="G2353" s="222">
        <v>45385</v>
      </c>
      <c r="H2353" s="223">
        <v>15.291666666666666</v>
      </c>
      <c r="I2353" s="221" t="s">
        <v>37</v>
      </c>
      <c r="J2353" s="221" t="s">
        <v>3023</v>
      </c>
      <c r="K2353" s="224" t="s">
        <v>3077</v>
      </c>
      <c r="L2353" s="225" t="str">
        <f>VLOOKUP(Logfile_S[[#This Row],[Material Name]],Sheet2!B:C,2,0)</f>
        <v>ZTE2004</v>
      </c>
      <c r="M2353" s="225" t="str">
        <f>_xlfn.XLOOKUP(Logfile_S[[#This Row],[Material Name]],Sum_WH!E:E,Sum_WH!F:F,"",0)</f>
        <v>Meter</v>
      </c>
      <c r="N2353" s="221">
        <v>3000</v>
      </c>
      <c r="O2353" s="221" t="s">
        <v>3314</v>
      </c>
      <c r="P2353" s="221">
        <v>0</v>
      </c>
      <c r="Q2353" s="221">
        <v>0</v>
      </c>
      <c r="R2353" s="221" t="s">
        <v>3147</v>
      </c>
      <c r="S2353" s="221"/>
      <c r="T2353" s="221"/>
      <c r="U2353" s="221"/>
      <c r="V2353" s="221"/>
      <c r="W2353" s="221"/>
      <c r="X2353" s="221"/>
      <c r="Y2353" s="236" t="s">
        <v>4968</v>
      </c>
      <c r="Z2353" s="227">
        <f>P2353</f>
        <v>0</v>
      </c>
      <c r="AA2353" s="276" t="e">
        <f>VLOOKUP(Logfile_S[[#This Row],[DO number]],DO_DB!G:I,3,0)</f>
        <v>#N/A</v>
      </c>
      <c r="AB2353" s="331" t="e">
        <f>EXACT(Logfile_S[[#This Row],[date pick]],Logfile_S[[#This Row],[Date]])</f>
        <v>#N/A</v>
      </c>
      <c r="AC23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144C-202443-01</v>
      </c>
    </row>
    <row r="2354" spans="1:29" ht="14.5">
      <c r="A2354" s="237" t="str">
        <f>TEXT(ROW(A2354)-ROW($A$4),"000")</f>
        <v>2350</v>
      </c>
      <c r="B2354" s="221"/>
      <c r="C2354" s="221" t="s">
        <v>3313</v>
      </c>
      <c r="D2354" s="221" t="s">
        <v>4002</v>
      </c>
      <c r="E2354" s="221" t="s">
        <v>3295</v>
      </c>
      <c r="F2354" s="221" t="s">
        <v>3299</v>
      </c>
      <c r="G2354" s="222">
        <v>45385</v>
      </c>
      <c r="H2354" s="223">
        <v>15.291666666666666</v>
      </c>
      <c r="I2354" s="221" t="s">
        <v>37</v>
      </c>
      <c r="J2354" s="221" t="s">
        <v>3023</v>
      </c>
      <c r="K2354" s="224" t="s">
        <v>3077</v>
      </c>
      <c r="L2354" s="225" t="str">
        <f>VLOOKUP(Logfile_S[[#This Row],[Material Name]],Sheet2!B:C,2,0)</f>
        <v>ZTE2004</v>
      </c>
      <c r="M2354" s="225" t="s">
        <v>20</v>
      </c>
      <c r="N2354" s="221">
        <v>3000</v>
      </c>
      <c r="O2354" s="221" t="s">
        <v>3314</v>
      </c>
      <c r="P2354" s="221">
        <v>0</v>
      </c>
      <c r="Q2354" s="221">
        <v>0</v>
      </c>
      <c r="R2354" s="221" t="s">
        <v>3147</v>
      </c>
      <c r="S2354" s="227"/>
      <c r="T2354" s="227"/>
      <c r="U2354" s="227"/>
      <c r="V2354" s="227"/>
      <c r="W2354" s="227"/>
      <c r="X2354" s="227"/>
      <c r="Y2354" s="243" t="s">
        <v>4969</v>
      </c>
      <c r="Z2354" s="227">
        <f>P2354</f>
        <v>0</v>
      </c>
      <c r="AA2354" s="276" t="e">
        <f>VLOOKUP(Logfile_S[[#This Row],[DO number]],DO_DB!G:I,3,0)</f>
        <v>#N/A</v>
      </c>
      <c r="AB2354" s="331" t="e">
        <f>EXACT(Logfile_S[[#This Row],[date pick]],Logfile_S[[#This Row],[Date]])</f>
        <v>#N/A</v>
      </c>
      <c r="AC23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144C-202443-02</v>
      </c>
    </row>
    <row r="2355" spans="1:29" ht="14.5">
      <c r="A2355" s="220" t="str">
        <f>TEXT(ROW(A2355)-ROW($A$4),"000")</f>
        <v>2351</v>
      </c>
      <c r="B2355" s="221"/>
      <c r="C2355" s="221" t="s">
        <v>3313</v>
      </c>
      <c r="D2355" s="221" t="s">
        <v>4004</v>
      </c>
      <c r="E2355" s="221" t="s">
        <v>3295</v>
      </c>
      <c r="F2355" s="221" t="s">
        <v>3299</v>
      </c>
      <c r="G2355" s="222">
        <v>45386</v>
      </c>
      <c r="H2355" s="223">
        <v>15.291666666666666</v>
      </c>
      <c r="I2355" s="221" t="s">
        <v>37</v>
      </c>
      <c r="J2355" s="221" t="s">
        <v>3023</v>
      </c>
      <c r="K2355" s="224" t="s">
        <v>14</v>
      </c>
      <c r="L2355" s="225" t="str">
        <f>VLOOKUP(Logfile_S[[#This Row],[Material Name]],Sheet2!B:C,2,0)</f>
        <v>ZTE2005</v>
      </c>
      <c r="M2355" s="225" t="str">
        <f>_xlfn.XLOOKUP(Logfile_S[[#This Row],[Material Name]],Sum_WH!E:E,Sum_WH!F:F,"",0)</f>
        <v>Pcs</v>
      </c>
      <c r="N2355" s="221">
        <v>1</v>
      </c>
      <c r="O2355" s="221" t="s">
        <v>3314</v>
      </c>
      <c r="P2355" s="221">
        <v>0</v>
      </c>
      <c r="Q2355" s="221">
        <v>0</v>
      </c>
      <c r="R2355" s="221" t="s">
        <v>3147</v>
      </c>
      <c r="S2355" s="221"/>
      <c r="T2355" s="221"/>
      <c r="U2355" s="221"/>
      <c r="V2355" s="221"/>
      <c r="W2355" s="221"/>
      <c r="X2355" s="221"/>
      <c r="Y2355" s="227"/>
      <c r="Z2355" s="227">
        <f>P2355</f>
        <v>0</v>
      </c>
      <c r="AA2355" s="276" t="e">
        <f>VLOOKUP(Logfile_S[[#This Row],[DO number]],DO_DB!G:I,3,0)</f>
        <v>#N/A</v>
      </c>
      <c r="AB2355" s="331" t="e">
        <f>EXACT(Logfile_S[[#This Row],[date pick]],Logfile_S[[#This Row],[Date]])</f>
        <v>#N/A</v>
      </c>
      <c r="AC23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56" spans="1:29" ht="14.5">
      <c r="A2356" s="220" t="str">
        <f>TEXT(ROW(A2356)-ROW($A$4),"000")</f>
        <v>2352</v>
      </c>
      <c r="B2356" s="221"/>
      <c r="C2356" s="221" t="s">
        <v>3313</v>
      </c>
      <c r="D2356" s="221" t="s">
        <v>4004</v>
      </c>
      <c r="E2356" s="221" t="s">
        <v>3295</v>
      </c>
      <c r="F2356" s="221" t="s">
        <v>3299</v>
      </c>
      <c r="G2356" s="222">
        <v>45386</v>
      </c>
      <c r="H2356" s="223">
        <v>15.291666666666666</v>
      </c>
      <c r="I2356" s="221" t="s">
        <v>37</v>
      </c>
      <c r="J2356" s="221" t="s">
        <v>3023</v>
      </c>
      <c r="K2356" s="224" t="s">
        <v>14</v>
      </c>
      <c r="L2356" s="225" t="str">
        <f>VLOOKUP(Logfile_S[[#This Row],[Material Name]],Sheet2!B:C,2,0)</f>
        <v>ZTE2005</v>
      </c>
      <c r="M2356" s="225" t="str">
        <f>_xlfn.XLOOKUP(Logfile_S[[#This Row],[Material Name]],Sum_WH!E:E,Sum_WH!F:F,"",0)</f>
        <v>Pcs</v>
      </c>
      <c r="N2356" s="221">
        <v>1</v>
      </c>
      <c r="O2356" s="221" t="s">
        <v>3314</v>
      </c>
      <c r="P2356" s="221">
        <v>0</v>
      </c>
      <c r="Q2356" s="221">
        <v>0</v>
      </c>
      <c r="R2356" s="221" t="s">
        <v>3147</v>
      </c>
      <c r="S2356" s="221"/>
      <c r="T2356" s="221"/>
      <c r="U2356" s="221"/>
      <c r="V2356" s="221"/>
      <c r="W2356" s="221"/>
      <c r="X2356" s="221"/>
      <c r="Y2356" s="227"/>
      <c r="Z2356" s="227">
        <f>P2356</f>
        <v>0</v>
      </c>
      <c r="AA2356" s="276" t="e">
        <f>VLOOKUP(Logfile_S[[#This Row],[DO number]],DO_DB!G:I,3,0)</f>
        <v>#N/A</v>
      </c>
      <c r="AB2356" s="331" t="e">
        <f>EXACT(Logfile_S[[#This Row],[date pick]],Logfile_S[[#This Row],[Date]])</f>
        <v>#N/A</v>
      </c>
      <c r="AC23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57" spans="1:29" ht="14.5">
      <c r="A2357" s="220" t="str">
        <f>TEXT(ROW(A2357)-ROW($A$4),"000")</f>
        <v>2353</v>
      </c>
      <c r="B2357" s="221"/>
      <c r="C2357" s="221" t="s">
        <v>3313</v>
      </c>
      <c r="D2357" s="221" t="s">
        <v>4009</v>
      </c>
      <c r="E2357" s="221" t="s">
        <v>3295</v>
      </c>
      <c r="F2357" s="221" t="s">
        <v>3299</v>
      </c>
      <c r="G2357" s="222">
        <v>45400</v>
      </c>
      <c r="H2357" s="223">
        <v>15.291666666666666</v>
      </c>
      <c r="I2357" s="221" t="s">
        <v>37</v>
      </c>
      <c r="J2357" s="221" t="s">
        <v>3023</v>
      </c>
      <c r="K2357" s="224" t="s">
        <v>3069</v>
      </c>
      <c r="L2357" s="225" t="str">
        <f>VLOOKUP(Logfile_S[[#This Row],[Material Name]],Sheet2!B:C,2,0)</f>
        <v>ZTE1001</v>
      </c>
      <c r="M2357" s="225" t="str">
        <f>_xlfn.XLOOKUP(Logfile_S[[#This Row],[Material Name]],Sum_WH!E:E,Sum_WH!F:F,"",0)</f>
        <v>Pcs</v>
      </c>
      <c r="N2357" s="221">
        <v>2</v>
      </c>
      <c r="O2357" s="221" t="s">
        <v>3314</v>
      </c>
      <c r="P2357" s="221">
        <v>0</v>
      </c>
      <c r="Q2357" s="221">
        <v>0</v>
      </c>
      <c r="R2357" s="221" t="s">
        <v>3147</v>
      </c>
      <c r="S2357" s="221"/>
      <c r="T2357" s="221"/>
      <c r="U2357" s="221"/>
      <c r="V2357" s="221"/>
      <c r="W2357" s="221"/>
      <c r="X2357" s="221"/>
      <c r="Y2357" s="227"/>
      <c r="Z2357" s="227">
        <f>P2357</f>
        <v>0</v>
      </c>
      <c r="AA2357" s="276" t="e">
        <f>VLOOKUP(Logfile_S[[#This Row],[DO number]],DO_DB!G:I,3,0)</f>
        <v>#N/A</v>
      </c>
      <c r="AB2357" s="331" t="e">
        <f>EXACT(Logfile_S[[#This Row],[date pick]],Logfile_S[[#This Row],[Date]])</f>
        <v>#N/A</v>
      </c>
      <c r="AC23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58" spans="1:29" ht="14.5">
      <c r="A2358" s="220" t="str">
        <f>TEXT(ROW(A2358)-ROW($A$4),"000")</f>
        <v>2354</v>
      </c>
      <c r="B2358" s="221"/>
      <c r="C2358" s="221" t="s">
        <v>3313</v>
      </c>
      <c r="D2358" s="221" t="s">
        <v>4019</v>
      </c>
      <c r="E2358" s="221" t="s">
        <v>3295</v>
      </c>
      <c r="F2358" s="221" t="s">
        <v>3299</v>
      </c>
      <c r="G2358" s="222">
        <v>45404</v>
      </c>
      <c r="H2358" s="223">
        <v>15.291666666666666</v>
      </c>
      <c r="I2358" s="221" t="s">
        <v>37</v>
      </c>
      <c r="J2358" s="221" t="s">
        <v>3023</v>
      </c>
      <c r="K2358" s="224" t="s">
        <v>3080</v>
      </c>
      <c r="L2358" s="225" t="str">
        <f>VLOOKUP(Logfile_S[[#This Row],[Material Name]],Sheet2!B:C,2,0)</f>
        <v>ZTE2010</v>
      </c>
      <c r="M2358" s="225" t="str">
        <f>_xlfn.XLOOKUP(Logfile_S[[#This Row],[Material Name]],Sum_WH!E:E,Sum_WH!F:F,"",0)</f>
        <v>Pcs</v>
      </c>
      <c r="N2358" s="221">
        <v>9</v>
      </c>
      <c r="O2358" s="221" t="s">
        <v>3314</v>
      </c>
      <c r="P2358" s="221">
        <v>0</v>
      </c>
      <c r="Q2358" s="221">
        <v>0</v>
      </c>
      <c r="R2358" s="221">
        <v>0</v>
      </c>
      <c r="S2358" s="221"/>
      <c r="T2358" s="221"/>
      <c r="U2358" s="221"/>
      <c r="V2358" s="221"/>
      <c r="W2358" s="221"/>
      <c r="X2358" s="221" t="s">
        <v>3147</v>
      </c>
      <c r="Y2358" s="227"/>
      <c r="Z2358" s="227">
        <f>P2358</f>
        <v>0</v>
      </c>
      <c r="AA2358" s="276" t="e">
        <f>VLOOKUP(Logfile_S[[#This Row],[DO number]],DO_DB!G:I,3,0)</f>
        <v>#N/A</v>
      </c>
      <c r="AB2358" s="331" t="e">
        <f>EXACT(Logfile_S[[#This Row],[date pick]],Logfile_S[[#This Row],[Date]])</f>
        <v>#N/A</v>
      </c>
      <c r="AC23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59" spans="1:29" ht="14.5">
      <c r="A2359" s="220" t="str">
        <f>TEXT(ROW(A2359)-ROW($A$4),"000")</f>
        <v>2355</v>
      </c>
      <c r="B2359" s="221"/>
      <c r="C2359" s="221" t="s">
        <v>3313</v>
      </c>
      <c r="D2359" s="221" t="s">
        <v>4019</v>
      </c>
      <c r="E2359" s="221" t="s">
        <v>3295</v>
      </c>
      <c r="F2359" s="221" t="s">
        <v>3299</v>
      </c>
      <c r="G2359" s="222">
        <v>45404</v>
      </c>
      <c r="H2359" s="223">
        <v>15.291666666666666</v>
      </c>
      <c r="I2359" s="221" t="s">
        <v>37</v>
      </c>
      <c r="J2359" s="221" t="s">
        <v>3023</v>
      </c>
      <c r="K2359" s="224" t="s">
        <v>14</v>
      </c>
      <c r="L2359" s="225" t="str">
        <f>VLOOKUP(Logfile_S[[#This Row],[Material Name]],Sheet2!B:C,2,0)</f>
        <v>ZTE2005</v>
      </c>
      <c r="M2359" s="225" t="str">
        <f>_xlfn.XLOOKUP(Logfile_S[[#This Row],[Material Name]],Sum_WH!E:E,Sum_WH!F:F,"",0)</f>
        <v>Pcs</v>
      </c>
      <c r="N2359" s="221">
        <v>3</v>
      </c>
      <c r="O2359" s="221" t="s">
        <v>3314</v>
      </c>
      <c r="P2359" s="221">
        <v>0</v>
      </c>
      <c r="Q2359" s="221">
        <v>0</v>
      </c>
      <c r="R2359" s="221" t="s">
        <v>3147</v>
      </c>
      <c r="S2359" s="221"/>
      <c r="T2359" s="221"/>
      <c r="U2359" s="221"/>
      <c r="V2359" s="221"/>
      <c r="W2359" s="221"/>
      <c r="X2359" s="221"/>
      <c r="Y2359" s="227"/>
      <c r="Z2359" s="227">
        <f>P2359</f>
        <v>0</v>
      </c>
      <c r="AA2359" s="276" t="e">
        <f>VLOOKUP(Logfile_S[[#This Row],[DO number]],DO_DB!G:I,3,0)</f>
        <v>#N/A</v>
      </c>
      <c r="AB2359" s="331" t="e">
        <f>EXACT(Logfile_S[[#This Row],[date pick]],Logfile_S[[#This Row],[Date]])</f>
        <v>#N/A</v>
      </c>
      <c r="AC23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60" spans="1:29" ht="14.5">
      <c r="A2360" s="237" t="str">
        <f>TEXT(ROW(A2360)-ROW($A$4),"000")</f>
        <v>2356</v>
      </c>
      <c r="B2360" s="221"/>
      <c r="C2360" s="221" t="s">
        <v>3313</v>
      </c>
      <c r="D2360" s="221" t="s">
        <v>4019</v>
      </c>
      <c r="E2360" s="221" t="s">
        <v>3295</v>
      </c>
      <c r="F2360" s="221" t="s">
        <v>3299</v>
      </c>
      <c r="G2360" s="222">
        <v>45404</v>
      </c>
      <c r="H2360" s="223">
        <v>15.291666666666666</v>
      </c>
      <c r="I2360" s="221" t="s">
        <v>37</v>
      </c>
      <c r="J2360" s="221" t="s">
        <v>3023</v>
      </c>
      <c r="K2360" s="224" t="s">
        <v>3072</v>
      </c>
      <c r="L2360" s="225" t="str">
        <f>VLOOKUP(Logfile_S[[#This Row],[Material Name]],Sheet2!B:C,2,0)</f>
        <v>ZTE1004</v>
      </c>
      <c r="M2360" s="225" t="str">
        <f>_xlfn.XLOOKUP(Logfile_S[[#This Row],[Material Name]],Sum_WH!E:E,Sum_WH!F:F,"",0)</f>
        <v>Pcs</v>
      </c>
      <c r="N2360" s="221">
        <v>3</v>
      </c>
      <c r="O2360" s="221" t="s">
        <v>3314</v>
      </c>
      <c r="P2360" s="221">
        <v>0</v>
      </c>
      <c r="Q2360" s="221">
        <v>0</v>
      </c>
      <c r="R2360" s="221" t="s">
        <v>3147</v>
      </c>
      <c r="S2360" s="221"/>
      <c r="T2360" s="221"/>
      <c r="U2360" s="221"/>
      <c r="V2360" s="221"/>
      <c r="W2360" s="221"/>
      <c r="X2360" s="221"/>
      <c r="Y2360" s="227"/>
      <c r="Z2360" s="227">
        <f>P2360</f>
        <v>0</v>
      </c>
      <c r="AA2360" s="276" t="e">
        <f>VLOOKUP(Logfile_S[[#This Row],[DO number]],DO_DB!G:I,3,0)</f>
        <v>#N/A</v>
      </c>
      <c r="AB2360" s="331" t="e">
        <f>EXACT(Logfile_S[[#This Row],[date pick]],Logfile_S[[#This Row],[Date]])</f>
        <v>#N/A</v>
      </c>
      <c r="AC23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61" spans="1:29" ht="14.5">
      <c r="A2361" s="220" t="str">
        <f>TEXT(ROW(A2361)-ROW($A$4),"000")</f>
        <v>2357</v>
      </c>
      <c r="B2361" s="221"/>
      <c r="C2361" s="221" t="s">
        <v>3313</v>
      </c>
      <c r="D2361" s="221" t="s">
        <v>4033</v>
      </c>
      <c r="E2361" s="221" t="s">
        <v>3295</v>
      </c>
      <c r="F2361" s="221" t="s">
        <v>3299</v>
      </c>
      <c r="G2361" s="222">
        <v>45412</v>
      </c>
      <c r="H2361" s="223">
        <v>15.291666666666666</v>
      </c>
      <c r="I2361" s="221" t="s">
        <v>37</v>
      </c>
      <c r="J2361" s="221" t="s">
        <v>3023</v>
      </c>
      <c r="K2361" s="224" t="s">
        <v>3069</v>
      </c>
      <c r="L2361" s="225" t="str">
        <f>VLOOKUP(Logfile_S[[#This Row],[Material Name]],Sheet2!B:C,2,0)</f>
        <v>ZTE1001</v>
      </c>
      <c r="M2361" s="225" t="str">
        <f>_xlfn.XLOOKUP(Logfile_S[[#This Row],[Material Name]],Sum_WH!E:E,Sum_WH!F:F,"",0)</f>
        <v>Pcs</v>
      </c>
      <c r="N2361" s="221">
        <v>2</v>
      </c>
      <c r="O2361" s="221" t="s">
        <v>3314</v>
      </c>
      <c r="P2361" s="221">
        <v>0</v>
      </c>
      <c r="Q2361" s="221">
        <v>0</v>
      </c>
      <c r="R2361" s="221" t="s">
        <v>3147</v>
      </c>
      <c r="S2361" s="221"/>
      <c r="T2361" s="221"/>
      <c r="U2361" s="221"/>
      <c r="V2361" s="221"/>
      <c r="W2361" s="221"/>
      <c r="X2361" s="221"/>
      <c r="Y2361" s="227"/>
      <c r="Z2361" s="227">
        <f>P2361</f>
        <v>0</v>
      </c>
      <c r="AA2361" s="276" t="e">
        <f>VLOOKUP(Logfile_S[[#This Row],[DO number]],DO_DB!G:I,3,0)</f>
        <v>#N/A</v>
      </c>
      <c r="AB2361" s="331" t="e">
        <f>EXACT(Logfile_S[[#This Row],[date pick]],Logfile_S[[#This Row],[Date]])</f>
        <v>#N/A</v>
      </c>
      <c r="AC23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62" spans="1:29" ht="14.5">
      <c r="A2362" s="220" t="str">
        <f>TEXT(ROW(A2362)-ROW($A$4),"000")</f>
        <v>2358</v>
      </c>
      <c r="B2362" s="221"/>
      <c r="C2362" s="221" t="s">
        <v>3313</v>
      </c>
      <c r="D2362" s="221" t="s">
        <v>4039</v>
      </c>
      <c r="E2362" s="221" t="s">
        <v>3295</v>
      </c>
      <c r="F2362" s="221" t="s">
        <v>3299</v>
      </c>
      <c r="G2362" s="222">
        <v>45420</v>
      </c>
      <c r="H2362" s="223">
        <v>15.291666666666666</v>
      </c>
      <c r="I2362" s="221" t="s">
        <v>37</v>
      </c>
      <c r="J2362" s="221" t="s">
        <v>3023</v>
      </c>
      <c r="K2362" s="224" t="s">
        <v>3069</v>
      </c>
      <c r="L2362" s="225" t="str">
        <f>VLOOKUP(Logfile_S[[#This Row],[Material Name]],Sheet2!B:C,2,0)</f>
        <v>ZTE1001</v>
      </c>
      <c r="M2362" s="225" t="str">
        <f>_xlfn.XLOOKUP(Logfile_S[[#This Row],[Material Name]],Sum_WH!E:E,Sum_WH!F:F,"",0)</f>
        <v>Pcs</v>
      </c>
      <c r="N2362" s="221">
        <v>1</v>
      </c>
      <c r="O2362" s="221" t="s">
        <v>3314</v>
      </c>
      <c r="P2362" s="221">
        <v>0</v>
      </c>
      <c r="Q2362" s="221">
        <v>0</v>
      </c>
      <c r="R2362" s="221" t="s">
        <v>3147</v>
      </c>
      <c r="S2362" s="221"/>
      <c r="T2362" s="221"/>
      <c r="U2362" s="221"/>
      <c r="V2362" s="221"/>
      <c r="W2362" s="221"/>
      <c r="X2362" s="221"/>
      <c r="Y2362" s="227"/>
      <c r="Z2362" s="227">
        <f>P2362</f>
        <v>0</v>
      </c>
      <c r="AA2362" s="276" t="e">
        <f>VLOOKUP(Logfile_S[[#This Row],[DO number]],DO_DB!G:I,3,0)</f>
        <v>#N/A</v>
      </c>
      <c r="AB2362" s="331" t="e">
        <f>EXACT(Logfile_S[[#This Row],[date pick]],Logfile_S[[#This Row],[Date]])</f>
        <v>#N/A</v>
      </c>
      <c r="AC23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63" spans="1:29" ht="14.5">
      <c r="A2363" s="220" t="str">
        <f>TEXT(ROW(A2363)-ROW($A$4),"000")</f>
        <v>2359</v>
      </c>
      <c r="B2363" s="221"/>
      <c r="C2363" s="221" t="s">
        <v>3313</v>
      </c>
      <c r="D2363" s="221" t="s">
        <v>4046</v>
      </c>
      <c r="E2363" s="221" t="s">
        <v>3295</v>
      </c>
      <c r="F2363" s="221" t="s">
        <v>3299</v>
      </c>
      <c r="G2363" s="222">
        <v>45429</v>
      </c>
      <c r="H2363" s="223">
        <v>15.291666666666666</v>
      </c>
      <c r="I2363" s="221" t="s">
        <v>37</v>
      </c>
      <c r="J2363" s="221" t="s">
        <v>3023</v>
      </c>
      <c r="K2363" s="224" t="s">
        <v>3072</v>
      </c>
      <c r="L2363" s="225" t="str">
        <f>VLOOKUP(Logfile_S[[#This Row],[Material Name]],Sheet2!B:C,2,0)</f>
        <v>ZTE1004</v>
      </c>
      <c r="M2363" s="225" t="str">
        <f>_xlfn.XLOOKUP(Logfile_S[[#This Row],[Material Name]],Sum_WH!E:E,Sum_WH!F:F,"",0)</f>
        <v>Pcs</v>
      </c>
      <c r="N2363" s="221">
        <v>5</v>
      </c>
      <c r="O2363" s="221" t="s">
        <v>3314</v>
      </c>
      <c r="P2363" s="221">
        <v>0</v>
      </c>
      <c r="Q2363" s="221">
        <v>0</v>
      </c>
      <c r="R2363" s="221" t="s">
        <v>3147</v>
      </c>
      <c r="S2363" s="221"/>
      <c r="T2363" s="221"/>
      <c r="U2363" s="221"/>
      <c r="V2363" s="221"/>
      <c r="W2363" s="221"/>
      <c r="X2363" s="221"/>
      <c r="Y2363" s="227"/>
      <c r="Z2363" s="227">
        <f>P2363</f>
        <v>0</v>
      </c>
      <c r="AA2363" s="276" t="e">
        <f>VLOOKUP(Logfile_S[[#This Row],[DO number]],DO_DB!G:I,3,0)</f>
        <v>#N/A</v>
      </c>
      <c r="AB2363" s="331" t="e">
        <f>EXACT(Logfile_S[[#This Row],[date pick]],Logfile_S[[#This Row],[Date]])</f>
        <v>#N/A</v>
      </c>
      <c r="AC23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64" spans="1:29" ht="14.5">
      <c r="A2364" s="220" t="str">
        <f>TEXT(ROW(A2364)-ROW($A$4),"000")</f>
        <v>2360</v>
      </c>
      <c r="B2364" s="221"/>
      <c r="C2364" s="221" t="s">
        <v>3313</v>
      </c>
      <c r="D2364" s="221" t="s">
        <v>4051</v>
      </c>
      <c r="E2364" s="221" t="s">
        <v>3295</v>
      </c>
      <c r="F2364" s="221" t="s">
        <v>3299</v>
      </c>
      <c r="G2364" s="222">
        <v>45433</v>
      </c>
      <c r="H2364" s="223">
        <v>15.291666666666666</v>
      </c>
      <c r="I2364" s="221" t="s">
        <v>37</v>
      </c>
      <c r="J2364" s="221" t="s">
        <v>3023</v>
      </c>
      <c r="K2364" s="224" t="s">
        <v>3075</v>
      </c>
      <c r="L2364" s="225" t="str">
        <f>VLOOKUP(Logfile_S[[#This Row],[Material Name]],Sheet2!B:C,2,0)</f>
        <v>ZTE2003</v>
      </c>
      <c r="M2364" s="225" t="str">
        <f>_xlfn.XLOOKUP(Logfile_S[[#This Row],[Material Name]],Sum_WH!E:E,Sum_WH!F:F,"",0)</f>
        <v>Meter</v>
      </c>
      <c r="N2364" s="221">
        <v>3000</v>
      </c>
      <c r="O2364" s="221" t="s">
        <v>3314</v>
      </c>
      <c r="P2364" s="221">
        <v>0</v>
      </c>
      <c r="Q2364" s="221">
        <v>0</v>
      </c>
      <c r="R2364" s="221" t="s">
        <v>3147</v>
      </c>
      <c r="S2364" s="221"/>
      <c r="T2364" s="221"/>
      <c r="U2364" s="221"/>
      <c r="V2364" s="221"/>
      <c r="W2364" s="221"/>
      <c r="X2364" s="221"/>
      <c r="Y2364" s="227" t="s">
        <v>5102</v>
      </c>
      <c r="Z2364" s="227">
        <f>P2364</f>
        <v>0</v>
      </c>
      <c r="AA2364" s="276" t="e">
        <f>VLOOKUP(Logfile_S[[#This Row],[DO number]],DO_DB!G:I,3,0)</f>
        <v>#N/A</v>
      </c>
      <c r="AB2364" s="331" t="e">
        <f>EXACT(Logfile_S[[#This Row],[date pick]],Logfile_S[[#This Row],[Date]])</f>
        <v>#N/A</v>
      </c>
      <c r="AC23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48C-2024521-01</v>
      </c>
    </row>
    <row r="2365" spans="1:29" ht="14.5">
      <c r="A2365" s="220" t="str">
        <f>TEXT(ROW(A2365)-ROW($A$4),"000")</f>
        <v>2361</v>
      </c>
      <c r="B2365" s="221"/>
      <c r="C2365" s="221" t="s">
        <v>3313</v>
      </c>
      <c r="D2365" s="221" t="s">
        <v>4053</v>
      </c>
      <c r="E2365" s="221" t="s">
        <v>3295</v>
      </c>
      <c r="F2365" s="221" t="s">
        <v>3299</v>
      </c>
      <c r="G2365" s="222">
        <v>45433</v>
      </c>
      <c r="H2365" s="223">
        <v>15.291666666666666</v>
      </c>
      <c r="I2365" s="221" t="s">
        <v>37</v>
      </c>
      <c r="J2365" s="221" t="s">
        <v>3023</v>
      </c>
      <c r="K2365" s="224" t="s">
        <v>3080</v>
      </c>
      <c r="L2365" s="225" t="str">
        <f>VLOOKUP(Logfile_S[[#This Row],[Material Name]],Sheet2!B:C,2,0)</f>
        <v>ZTE2010</v>
      </c>
      <c r="M2365" s="225" t="str">
        <f>_xlfn.XLOOKUP(Logfile_S[[#This Row],[Material Name]],Sum_WH!E:E,Sum_WH!F:F,"",0)</f>
        <v>Pcs</v>
      </c>
      <c r="N2365" s="221">
        <v>9</v>
      </c>
      <c r="O2365" s="221" t="s">
        <v>3314</v>
      </c>
      <c r="P2365" s="221">
        <v>0</v>
      </c>
      <c r="Q2365" s="221">
        <v>0</v>
      </c>
      <c r="R2365" s="221">
        <v>0</v>
      </c>
      <c r="S2365" s="221"/>
      <c r="T2365" s="221"/>
      <c r="U2365" s="221"/>
      <c r="V2365" s="221"/>
      <c r="W2365" s="221"/>
      <c r="X2365" s="221" t="s">
        <v>3147</v>
      </c>
      <c r="Y2365" s="227"/>
      <c r="Z2365" s="227">
        <f>P2365</f>
        <v>0</v>
      </c>
      <c r="AA2365" s="276" t="e">
        <f>VLOOKUP(Logfile_S[[#This Row],[DO number]],DO_DB!G:I,3,0)</f>
        <v>#N/A</v>
      </c>
      <c r="AB2365" s="331" t="e">
        <f>EXACT(Logfile_S[[#This Row],[date pick]],Logfile_S[[#This Row],[Date]])</f>
        <v>#N/A</v>
      </c>
      <c r="AC23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66" spans="1:29" ht="14.5">
      <c r="A2366" s="220" t="str">
        <f>TEXT(ROW(A2366)-ROW($A$4),"000")</f>
        <v>2362</v>
      </c>
      <c r="B2366" s="221"/>
      <c r="C2366" s="221" t="s">
        <v>3313</v>
      </c>
      <c r="D2366" s="221" t="s">
        <v>4095</v>
      </c>
      <c r="E2366" s="221" t="s">
        <v>3295</v>
      </c>
      <c r="F2366" s="221" t="s">
        <v>3299</v>
      </c>
      <c r="G2366" s="222">
        <v>45463</v>
      </c>
      <c r="H2366" s="223">
        <v>15.291666666666666</v>
      </c>
      <c r="I2366" s="221" t="s">
        <v>37</v>
      </c>
      <c r="J2366" s="221" t="s">
        <v>3023</v>
      </c>
      <c r="K2366" s="224" t="s">
        <v>3080</v>
      </c>
      <c r="L2366" s="225" t="str">
        <f>VLOOKUP(Logfile_S[[#This Row],[Material Name]],Sheet2!B:C,2,0)</f>
        <v>ZTE2010</v>
      </c>
      <c r="M2366" s="225" t="str">
        <f>_xlfn.XLOOKUP(Logfile_S[[#This Row],[Material Name]],Sum_WH!E:E,Sum_WH!F:F,"",0)</f>
        <v>Pcs</v>
      </c>
      <c r="N2366" s="221">
        <v>12</v>
      </c>
      <c r="O2366" s="221" t="s">
        <v>3314</v>
      </c>
      <c r="P2366" s="221">
        <v>0</v>
      </c>
      <c r="Q2366" s="221">
        <v>0</v>
      </c>
      <c r="R2366" s="221">
        <v>0</v>
      </c>
      <c r="S2366" s="221"/>
      <c r="T2366" s="221"/>
      <c r="U2366" s="221"/>
      <c r="V2366" s="221"/>
      <c r="W2366" s="221"/>
      <c r="X2366" s="221" t="s">
        <v>3147</v>
      </c>
      <c r="Y2366" s="227"/>
      <c r="Z2366" s="227">
        <f>P2366</f>
        <v>0</v>
      </c>
      <c r="AA2366" s="276" t="e">
        <f>VLOOKUP(Logfile_S[[#This Row],[DO number]],DO_DB!G:I,3,0)</f>
        <v>#N/A</v>
      </c>
      <c r="AB2366" s="331" t="e">
        <f>EXACT(Logfile_S[[#This Row],[date pick]],Logfile_S[[#This Row],[Date]])</f>
        <v>#N/A</v>
      </c>
      <c r="AC23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67" spans="1:29" ht="14.5">
      <c r="A2367" s="220" t="str">
        <f>TEXT(ROW(A2367)-ROW($A$4),"000")</f>
        <v>2363</v>
      </c>
      <c r="B2367" s="221"/>
      <c r="C2367" s="221" t="s">
        <v>3313</v>
      </c>
      <c r="D2367" s="221" t="s">
        <v>4095</v>
      </c>
      <c r="E2367" s="221" t="s">
        <v>3295</v>
      </c>
      <c r="F2367" s="221" t="s">
        <v>3299</v>
      </c>
      <c r="G2367" s="222">
        <v>45463</v>
      </c>
      <c r="H2367" s="223">
        <v>15.291666666666666</v>
      </c>
      <c r="I2367" s="221" t="s">
        <v>37</v>
      </c>
      <c r="J2367" s="221" t="s">
        <v>3023</v>
      </c>
      <c r="K2367" s="224" t="s">
        <v>13</v>
      </c>
      <c r="L2367" s="225" t="str">
        <f>VLOOKUP(Logfile_S[[#This Row],[Material Name]],Sheet2!B:C,2,0)</f>
        <v>ZTE2008</v>
      </c>
      <c r="M2367" s="225" t="str">
        <f>_xlfn.XLOOKUP(Logfile_S[[#This Row],[Material Name]],Sum_WH!E:E,Sum_WH!F:F,"",0)</f>
        <v>Pcs</v>
      </c>
      <c r="N2367" s="221">
        <v>30</v>
      </c>
      <c r="O2367" s="221" t="s">
        <v>3314</v>
      </c>
      <c r="P2367" s="221">
        <v>0</v>
      </c>
      <c r="Q2367" s="221">
        <v>0</v>
      </c>
      <c r="R2367" s="221" t="s">
        <v>3147</v>
      </c>
      <c r="S2367" s="221"/>
      <c r="T2367" s="221"/>
      <c r="U2367" s="221"/>
      <c r="V2367" s="221"/>
      <c r="W2367" s="221"/>
      <c r="X2367" s="221"/>
      <c r="Y2367" s="227"/>
      <c r="Z2367" s="227">
        <f>P2367</f>
        <v>0</v>
      </c>
      <c r="AA2367" s="276" t="e">
        <f>VLOOKUP(Logfile_S[[#This Row],[DO number]],DO_DB!G:I,3,0)</f>
        <v>#N/A</v>
      </c>
      <c r="AB2367" s="331" t="e">
        <f>EXACT(Logfile_S[[#This Row],[date pick]],Logfile_S[[#This Row],[Date]])</f>
        <v>#N/A</v>
      </c>
      <c r="AC23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68" spans="1:29" ht="14.5">
      <c r="A2368" s="220" t="str">
        <f>TEXT(ROW(A2368)-ROW($A$4),"000")</f>
        <v>2364</v>
      </c>
      <c r="B2368" s="221"/>
      <c r="C2368" s="221" t="s">
        <v>3313</v>
      </c>
      <c r="D2368" s="221" t="s">
        <v>4100</v>
      </c>
      <c r="E2368" s="221" t="s">
        <v>3295</v>
      </c>
      <c r="F2368" s="221" t="s">
        <v>3299</v>
      </c>
      <c r="G2368" s="222">
        <v>45468</v>
      </c>
      <c r="H2368" s="223">
        <v>15.291666666666666</v>
      </c>
      <c r="I2368" s="221" t="s">
        <v>37</v>
      </c>
      <c r="J2368" s="221" t="s">
        <v>3023</v>
      </c>
      <c r="K2368" s="224" t="s">
        <v>3075</v>
      </c>
      <c r="L2368" s="225" t="str">
        <f>VLOOKUP(Logfile_S[[#This Row],[Material Name]],Sheet2!B:C,2,0)</f>
        <v>ZTE2003</v>
      </c>
      <c r="M2368" s="225" t="str">
        <f>_xlfn.XLOOKUP(Logfile_S[[#This Row],[Material Name]],Sum_WH!E:E,Sum_WH!F:F,"",0)</f>
        <v>Meter</v>
      </c>
      <c r="N2368" s="221">
        <v>3000</v>
      </c>
      <c r="O2368" s="221" t="s">
        <v>3314</v>
      </c>
      <c r="P2368" s="221">
        <v>0</v>
      </c>
      <c r="Q2368" s="221">
        <v>0</v>
      </c>
      <c r="R2368" s="221" t="s">
        <v>3147</v>
      </c>
      <c r="S2368" s="221"/>
      <c r="T2368" s="221"/>
      <c r="U2368" s="221"/>
      <c r="V2368" s="221"/>
      <c r="W2368" s="221"/>
      <c r="X2368" s="221"/>
      <c r="Y2368" s="227" t="s">
        <v>5103</v>
      </c>
      <c r="Z2368" s="227">
        <f>P2368</f>
        <v>0</v>
      </c>
      <c r="AA2368" s="276" t="e">
        <f>VLOOKUP(Logfile_S[[#This Row],[DO number]],DO_DB!G:I,3,0)</f>
        <v>#N/A</v>
      </c>
      <c r="AB2368" s="331" t="e">
        <f>EXACT(Logfile_S[[#This Row],[date pick]],Logfile_S[[#This Row],[Date]])</f>
        <v>#N/A</v>
      </c>
      <c r="AC23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48C-2024625-01</v>
      </c>
    </row>
    <row r="2369" spans="1:29" ht="14.5">
      <c r="A2369" s="237" t="str">
        <f>TEXT(ROW(A2369)-ROW($A$4),"000")</f>
        <v>2365</v>
      </c>
      <c r="B2369" s="221"/>
      <c r="C2369" s="221" t="s">
        <v>3313</v>
      </c>
      <c r="D2369" s="221" t="s">
        <v>4100</v>
      </c>
      <c r="E2369" s="221" t="s">
        <v>3295</v>
      </c>
      <c r="F2369" s="221" t="s">
        <v>3299</v>
      </c>
      <c r="G2369" s="222">
        <v>45468</v>
      </c>
      <c r="H2369" s="223">
        <v>15.291666666666666</v>
      </c>
      <c r="I2369" s="221" t="s">
        <v>37</v>
      </c>
      <c r="J2369" s="221" t="s">
        <v>3023</v>
      </c>
      <c r="K2369" s="224" t="s">
        <v>3075</v>
      </c>
      <c r="L2369" s="225" t="str">
        <f>VLOOKUP(Logfile_S[[#This Row],[Material Name]],Sheet2!B:C,2,0)</f>
        <v>ZTE2003</v>
      </c>
      <c r="M2369" s="225" t="str">
        <f>_xlfn.XLOOKUP(Logfile_S[[#This Row],[Material Name]],Sum_WH!E:E,Sum_WH!F:F,"",0)</f>
        <v>Meter</v>
      </c>
      <c r="N2369" s="221">
        <v>3000</v>
      </c>
      <c r="O2369" s="221" t="s">
        <v>3314</v>
      </c>
      <c r="P2369" s="221">
        <v>0</v>
      </c>
      <c r="Q2369" s="221">
        <v>0</v>
      </c>
      <c r="R2369" s="221" t="s">
        <v>3147</v>
      </c>
      <c r="S2369" s="227"/>
      <c r="T2369" s="227"/>
      <c r="U2369" s="227"/>
      <c r="V2369" s="227"/>
      <c r="W2369" s="227"/>
      <c r="X2369" s="227"/>
      <c r="Y2369" s="238" t="s">
        <v>5104</v>
      </c>
      <c r="Z2369" s="227">
        <f>P2369</f>
        <v>0</v>
      </c>
      <c r="AA2369" s="276" t="e">
        <f>VLOOKUP(Logfile_S[[#This Row],[DO number]],DO_DB!G:I,3,0)</f>
        <v>#N/A</v>
      </c>
      <c r="AB2369" s="331" t="e">
        <f>EXACT(Logfile_S[[#This Row],[date pick]],Logfile_S[[#This Row],[Date]])</f>
        <v>#N/A</v>
      </c>
      <c r="AC23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48C-2024625-02</v>
      </c>
    </row>
    <row r="2370" spans="1:29" ht="14.5">
      <c r="A2370" s="237" t="str">
        <f>TEXT(ROW(A2370)-ROW($A$4),"000")</f>
        <v>2366</v>
      </c>
      <c r="B2370" s="221"/>
      <c r="C2370" s="221" t="s">
        <v>3313</v>
      </c>
      <c r="D2370" s="221" t="s">
        <v>4100</v>
      </c>
      <c r="E2370" s="221" t="s">
        <v>3295</v>
      </c>
      <c r="F2370" s="221" t="s">
        <v>3299</v>
      </c>
      <c r="G2370" s="222">
        <v>45468</v>
      </c>
      <c r="H2370" s="223">
        <v>15.291666666666666</v>
      </c>
      <c r="I2370" s="221" t="s">
        <v>37</v>
      </c>
      <c r="J2370" s="221" t="s">
        <v>3023</v>
      </c>
      <c r="K2370" s="224" t="s">
        <v>3075</v>
      </c>
      <c r="L2370" s="225" t="str">
        <f>VLOOKUP(Logfile_S[[#This Row],[Material Name]],Sheet2!B:C,2,0)</f>
        <v>ZTE2003</v>
      </c>
      <c r="M2370" s="225" t="str">
        <f>_xlfn.XLOOKUP(Logfile_S[[#This Row],[Material Name]],Sum_WH!E:E,Sum_WH!F:F,"",0)</f>
        <v>Meter</v>
      </c>
      <c r="N2370" s="221">
        <v>3000</v>
      </c>
      <c r="O2370" s="221" t="s">
        <v>3314</v>
      </c>
      <c r="P2370" s="221">
        <v>0</v>
      </c>
      <c r="Q2370" s="221">
        <v>0</v>
      </c>
      <c r="R2370" s="221" t="s">
        <v>3147</v>
      </c>
      <c r="S2370" s="227"/>
      <c r="T2370" s="227"/>
      <c r="U2370" s="227"/>
      <c r="V2370" s="227"/>
      <c r="W2370" s="227"/>
      <c r="X2370" s="227"/>
      <c r="Y2370" s="238" t="s">
        <v>5105</v>
      </c>
      <c r="Z2370" s="227">
        <f>P2370</f>
        <v>0</v>
      </c>
      <c r="AA2370" s="276" t="e">
        <f>VLOOKUP(Logfile_S[[#This Row],[DO number]],DO_DB!G:I,3,0)</f>
        <v>#N/A</v>
      </c>
      <c r="AB2370" s="331" t="e">
        <f>EXACT(Logfile_S[[#This Row],[date pick]],Logfile_S[[#This Row],[Date]])</f>
        <v>#N/A</v>
      </c>
      <c r="AC23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48C-2024625-03</v>
      </c>
    </row>
    <row r="2371" spans="1:29" ht="14.5">
      <c r="A2371" s="220" t="str">
        <f>TEXT(ROW(A2371)-ROW($A$4),"000")</f>
        <v>2367</v>
      </c>
      <c r="B2371" s="221"/>
      <c r="C2371" s="221" t="s">
        <v>3313</v>
      </c>
      <c r="D2371" s="221" t="s">
        <v>4102</v>
      </c>
      <c r="E2371" s="221" t="s">
        <v>3295</v>
      </c>
      <c r="F2371" s="221" t="s">
        <v>3299</v>
      </c>
      <c r="G2371" s="222">
        <v>45468</v>
      </c>
      <c r="H2371" s="223">
        <v>15.291666666666666</v>
      </c>
      <c r="I2371" s="221" t="s">
        <v>37</v>
      </c>
      <c r="J2371" s="221" t="s">
        <v>3023</v>
      </c>
      <c r="K2371" s="224" t="s">
        <v>3080</v>
      </c>
      <c r="L2371" s="225" t="str">
        <f>VLOOKUP(Logfile_S[[#This Row],[Material Name]],Sheet2!B:C,2,0)</f>
        <v>ZTE2010</v>
      </c>
      <c r="M2371" s="225" t="str">
        <f>_xlfn.XLOOKUP(Logfile_S[[#This Row],[Material Name]],Sum_WH!E:E,Sum_WH!F:F,"",0)</f>
        <v>Pcs</v>
      </c>
      <c r="N2371" s="221">
        <v>3</v>
      </c>
      <c r="O2371" s="221" t="s">
        <v>3314</v>
      </c>
      <c r="P2371" s="221">
        <v>0</v>
      </c>
      <c r="Q2371" s="221">
        <v>0</v>
      </c>
      <c r="R2371" s="221">
        <v>0</v>
      </c>
      <c r="S2371" s="221"/>
      <c r="T2371" s="221"/>
      <c r="U2371" s="221"/>
      <c r="V2371" s="221"/>
      <c r="W2371" s="221"/>
      <c r="X2371" s="221" t="s">
        <v>3147</v>
      </c>
      <c r="Y2371" s="227"/>
      <c r="Z2371" s="227">
        <f>P2371</f>
        <v>0</v>
      </c>
      <c r="AA2371" s="276" t="e">
        <f>VLOOKUP(Logfile_S[[#This Row],[DO number]],DO_DB!G:I,3,0)</f>
        <v>#N/A</v>
      </c>
      <c r="AB2371" s="331" t="e">
        <f>EXACT(Logfile_S[[#This Row],[date pick]],Logfile_S[[#This Row],[Date]])</f>
        <v>#N/A</v>
      </c>
      <c r="AC23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72" spans="1:29" ht="14.5">
      <c r="A2372" s="220" t="str">
        <f>TEXT(ROW(A2372)-ROW($A$4),"000")</f>
        <v>2368</v>
      </c>
      <c r="B2372" s="221"/>
      <c r="C2372" s="221" t="s">
        <v>3313</v>
      </c>
      <c r="D2372" s="221" t="s">
        <v>4102</v>
      </c>
      <c r="E2372" s="221" t="s">
        <v>3295</v>
      </c>
      <c r="F2372" s="221" t="s">
        <v>3299</v>
      </c>
      <c r="G2372" s="222">
        <v>45468</v>
      </c>
      <c r="H2372" s="223">
        <v>15.291666666666666</v>
      </c>
      <c r="I2372" s="221" t="s">
        <v>37</v>
      </c>
      <c r="J2372" s="221" t="s">
        <v>3023</v>
      </c>
      <c r="K2372" s="224" t="s">
        <v>3069</v>
      </c>
      <c r="L2372" s="225" t="str">
        <f>VLOOKUP(Logfile_S[[#This Row],[Material Name]],Sheet2!B:C,2,0)</f>
        <v>ZTE1001</v>
      </c>
      <c r="M2372" s="225" t="str">
        <f>_xlfn.XLOOKUP(Logfile_S[[#This Row],[Material Name]],Sum_WH!E:E,Sum_WH!F:F,"",0)</f>
        <v>Pcs</v>
      </c>
      <c r="N2372" s="221">
        <v>1</v>
      </c>
      <c r="O2372" s="221" t="s">
        <v>3314</v>
      </c>
      <c r="P2372" s="221">
        <v>0</v>
      </c>
      <c r="Q2372" s="221">
        <v>0</v>
      </c>
      <c r="R2372" s="221" t="s">
        <v>3147</v>
      </c>
      <c r="S2372" s="221"/>
      <c r="T2372" s="221"/>
      <c r="U2372" s="221"/>
      <c r="V2372" s="221"/>
      <c r="W2372" s="221"/>
      <c r="X2372" s="221"/>
      <c r="Y2372" s="227"/>
      <c r="Z2372" s="227">
        <f>P2372</f>
        <v>0</v>
      </c>
      <c r="AA2372" s="276" t="e">
        <f>VLOOKUP(Logfile_S[[#This Row],[DO number]],DO_DB!G:I,3,0)</f>
        <v>#N/A</v>
      </c>
      <c r="AB2372" s="331" t="e">
        <f>EXACT(Logfile_S[[#This Row],[date pick]],Logfile_S[[#This Row],[Date]])</f>
        <v>#N/A</v>
      </c>
      <c r="AC23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73" spans="1:29" ht="14.5">
      <c r="A2373" s="220" t="str">
        <f>TEXT(ROW(A2373)-ROW($A$4),"000")</f>
        <v>2369</v>
      </c>
      <c r="B2373" s="221"/>
      <c r="C2373" s="221" t="s">
        <v>3313</v>
      </c>
      <c r="D2373" s="221" t="s">
        <v>4125</v>
      </c>
      <c r="E2373" s="221" t="s">
        <v>3295</v>
      </c>
      <c r="F2373" s="221" t="s">
        <v>3299</v>
      </c>
      <c r="G2373" s="222">
        <v>45496</v>
      </c>
      <c r="H2373" s="223">
        <v>15.291666666666666</v>
      </c>
      <c r="I2373" s="221" t="s">
        <v>37</v>
      </c>
      <c r="J2373" s="221" t="s">
        <v>3023</v>
      </c>
      <c r="K2373" s="224" t="s">
        <v>3080</v>
      </c>
      <c r="L2373" s="225" t="str">
        <f>VLOOKUP(Logfile_S[[#This Row],[Material Name]],Sheet2!B:C,2,0)</f>
        <v>ZTE2010</v>
      </c>
      <c r="M2373" s="225" t="str">
        <f>_xlfn.XLOOKUP(Logfile_S[[#This Row],[Material Name]],Sum_WH!E:E,Sum_WH!F:F,"",0)</f>
        <v>Pcs</v>
      </c>
      <c r="N2373" s="221">
        <v>6</v>
      </c>
      <c r="O2373" s="221" t="s">
        <v>3314</v>
      </c>
      <c r="P2373" s="221">
        <v>0</v>
      </c>
      <c r="Q2373" s="221">
        <v>0</v>
      </c>
      <c r="R2373" s="221">
        <v>0</v>
      </c>
      <c r="S2373" s="221"/>
      <c r="T2373" s="221"/>
      <c r="U2373" s="221"/>
      <c r="V2373" s="221"/>
      <c r="W2373" s="221"/>
      <c r="X2373" s="221" t="s">
        <v>3147</v>
      </c>
      <c r="Y2373" s="227"/>
      <c r="Z2373" s="227">
        <f>P2373</f>
        <v>0</v>
      </c>
      <c r="AA2373" s="276" t="e">
        <f>VLOOKUP(Logfile_S[[#This Row],[DO number]],DO_DB!G:I,3,0)</f>
        <v>#N/A</v>
      </c>
      <c r="AB2373" s="331" t="e">
        <f>EXACT(Logfile_S[[#This Row],[date pick]],Logfile_S[[#This Row],[Date]])</f>
        <v>#N/A</v>
      </c>
      <c r="AC23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74" spans="1:29" ht="14.5">
      <c r="A2374" s="220" t="str">
        <f>TEXT(ROW(A2374)-ROW($A$4),"000")</f>
        <v>2370</v>
      </c>
      <c r="B2374" s="221"/>
      <c r="C2374" s="221" t="s">
        <v>3313</v>
      </c>
      <c r="D2374" s="221" t="s">
        <v>4142</v>
      </c>
      <c r="E2374" s="221" t="s">
        <v>3295</v>
      </c>
      <c r="F2374" s="221" t="s">
        <v>3299</v>
      </c>
      <c r="G2374" s="222">
        <v>45506</v>
      </c>
      <c r="H2374" s="223">
        <v>15.291666666666666</v>
      </c>
      <c r="I2374" s="221" t="s">
        <v>37</v>
      </c>
      <c r="J2374" s="221" t="s">
        <v>3023</v>
      </c>
      <c r="K2374" s="224" t="s">
        <v>3069</v>
      </c>
      <c r="L2374" s="225" t="str">
        <f>VLOOKUP(Logfile_S[[#This Row],[Material Name]],Sheet2!B:C,2,0)</f>
        <v>ZTE1001</v>
      </c>
      <c r="M2374" s="225" t="str">
        <f>_xlfn.XLOOKUP(Logfile_S[[#This Row],[Material Name]],Sum_WH!E:E,Sum_WH!F:F,"",0)</f>
        <v>Pcs</v>
      </c>
      <c r="N2374" s="221">
        <v>1</v>
      </c>
      <c r="O2374" s="221" t="s">
        <v>3314</v>
      </c>
      <c r="P2374" s="221">
        <v>0</v>
      </c>
      <c r="Q2374" s="221">
        <v>0</v>
      </c>
      <c r="R2374" s="221" t="s">
        <v>3147</v>
      </c>
      <c r="S2374" s="221"/>
      <c r="T2374" s="221"/>
      <c r="U2374" s="221"/>
      <c r="V2374" s="221"/>
      <c r="W2374" s="221"/>
      <c r="X2374" s="221"/>
      <c r="Y2374" s="227"/>
      <c r="Z2374" s="227">
        <f>P2374</f>
        <v>0</v>
      </c>
      <c r="AA2374" s="276" t="e">
        <f>VLOOKUP(Logfile_S[[#This Row],[DO number]],DO_DB!G:I,3,0)</f>
        <v>#N/A</v>
      </c>
      <c r="AB2374" s="331" t="e">
        <f>EXACT(Logfile_S[[#This Row],[date pick]],Logfile_S[[#This Row],[Date]])</f>
        <v>#N/A</v>
      </c>
      <c r="AC23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75" spans="1:29" ht="14.5">
      <c r="A2375" s="220" t="str">
        <f>TEXT(ROW(A2375)-ROW($A$4),"000")</f>
        <v>2371</v>
      </c>
      <c r="B2375" s="221"/>
      <c r="C2375" s="221" t="s">
        <v>3313</v>
      </c>
      <c r="D2375" s="221" t="s">
        <v>4154</v>
      </c>
      <c r="E2375" s="221" t="s">
        <v>3295</v>
      </c>
      <c r="F2375" s="221" t="s">
        <v>3299</v>
      </c>
      <c r="G2375" s="222">
        <v>45512</v>
      </c>
      <c r="H2375" s="223">
        <v>15.291666666666666</v>
      </c>
      <c r="I2375" s="221" t="s">
        <v>37</v>
      </c>
      <c r="J2375" s="221" t="s">
        <v>3023</v>
      </c>
      <c r="K2375" s="224" t="s">
        <v>3069</v>
      </c>
      <c r="L2375" s="225" t="str">
        <f>VLOOKUP(Logfile_S[[#This Row],[Material Name]],Sheet2!B:C,2,0)</f>
        <v>ZTE1001</v>
      </c>
      <c r="M2375" s="225" t="str">
        <f>_xlfn.XLOOKUP(Logfile_S[[#This Row],[Material Name]],Sum_WH!E:E,Sum_WH!F:F,"",0)</f>
        <v>Pcs</v>
      </c>
      <c r="N2375" s="221">
        <v>2</v>
      </c>
      <c r="O2375" s="221" t="s">
        <v>3314</v>
      </c>
      <c r="P2375" s="221">
        <v>0</v>
      </c>
      <c r="Q2375" s="221">
        <v>0</v>
      </c>
      <c r="R2375" s="221" t="s">
        <v>3147</v>
      </c>
      <c r="S2375" s="221"/>
      <c r="T2375" s="221"/>
      <c r="U2375" s="221"/>
      <c r="V2375" s="221"/>
      <c r="W2375" s="221"/>
      <c r="X2375" s="221"/>
      <c r="Y2375" s="227"/>
      <c r="Z2375" s="227">
        <f>P2375</f>
        <v>0</v>
      </c>
      <c r="AA2375" s="276" t="e">
        <f>VLOOKUP(Logfile_S[[#This Row],[DO number]],DO_DB!G:I,3,0)</f>
        <v>#N/A</v>
      </c>
      <c r="AB2375" s="331" t="e">
        <f>EXACT(Logfile_S[[#This Row],[date pick]],Logfile_S[[#This Row],[Date]])</f>
        <v>#N/A</v>
      </c>
      <c r="AC23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76" spans="1:29" ht="14.5">
      <c r="A2376" s="220" t="str">
        <f>TEXT(ROW(A2376)-ROW($A$4),"000")</f>
        <v>2372</v>
      </c>
      <c r="B2376" s="221"/>
      <c r="C2376" s="221" t="s">
        <v>3313</v>
      </c>
      <c r="D2376" s="221" t="s">
        <v>4154</v>
      </c>
      <c r="E2376" s="221" t="s">
        <v>3295</v>
      </c>
      <c r="F2376" s="221" t="s">
        <v>3299</v>
      </c>
      <c r="G2376" s="222">
        <v>45512</v>
      </c>
      <c r="H2376" s="223">
        <v>15.291666666666666</v>
      </c>
      <c r="I2376" s="221" t="s">
        <v>37</v>
      </c>
      <c r="J2376" s="221" t="s">
        <v>3023</v>
      </c>
      <c r="K2376" s="224" t="s">
        <v>3071</v>
      </c>
      <c r="L2376" s="225" t="str">
        <f>VLOOKUP(Logfile_S[[#This Row],[Material Name]],Sheet2!B:C,2,0)</f>
        <v>ZTE1003</v>
      </c>
      <c r="M2376" s="225" t="str">
        <f>_xlfn.XLOOKUP(Logfile_S[[#This Row],[Material Name]],Sum_WH!E:E,Sum_WH!F:F,"",0)</f>
        <v>Pcs</v>
      </c>
      <c r="N2376" s="221">
        <v>2</v>
      </c>
      <c r="O2376" s="221" t="s">
        <v>3314</v>
      </c>
      <c r="P2376" s="221">
        <v>0</v>
      </c>
      <c r="Q2376" s="221">
        <v>0</v>
      </c>
      <c r="R2376" s="221" t="s">
        <v>3147</v>
      </c>
      <c r="S2376" s="221"/>
      <c r="T2376" s="221"/>
      <c r="U2376" s="221"/>
      <c r="V2376" s="221"/>
      <c r="W2376" s="221"/>
      <c r="X2376" s="221"/>
      <c r="Y2376" s="227"/>
      <c r="Z2376" s="227">
        <f>P2376</f>
        <v>0</v>
      </c>
      <c r="AA2376" s="276" t="e">
        <f>VLOOKUP(Logfile_S[[#This Row],[DO number]],DO_DB!G:I,3,0)</f>
        <v>#N/A</v>
      </c>
      <c r="AB2376" s="331" t="e">
        <f>EXACT(Logfile_S[[#This Row],[date pick]],Logfile_S[[#This Row],[Date]])</f>
        <v>#N/A</v>
      </c>
      <c r="AC23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77" spans="1:29" ht="14.5">
      <c r="A2377" s="220" t="str">
        <f>TEXT(ROW(A2377)-ROW($A$4),"000")</f>
        <v>2373</v>
      </c>
      <c r="B2377" s="221"/>
      <c r="C2377" s="221" t="s">
        <v>3313</v>
      </c>
      <c r="D2377" s="221" t="s">
        <v>4161</v>
      </c>
      <c r="E2377" s="221" t="s">
        <v>3295</v>
      </c>
      <c r="F2377" s="221" t="s">
        <v>3299</v>
      </c>
      <c r="G2377" s="222">
        <v>45521</v>
      </c>
      <c r="H2377" s="223">
        <v>15.291666666666666</v>
      </c>
      <c r="I2377" s="221" t="s">
        <v>37</v>
      </c>
      <c r="J2377" s="221" t="s">
        <v>3023</v>
      </c>
      <c r="K2377" s="224" t="s">
        <v>13</v>
      </c>
      <c r="L2377" s="225" t="str">
        <f>VLOOKUP(Logfile_S[[#This Row],[Material Name]],Sheet2!B:C,2,0)</f>
        <v>ZTE2008</v>
      </c>
      <c r="M2377" s="225" t="str">
        <f>_xlfn.XLOOKUP(Logfile_S[[#This Row],[Material Name]],Sum_WH!E:E,Sum_WH!F:F,"",0)</f>
        <v>Pcs</v>
      </c>
      <c r="N2377" s="221">
        <v>1</v>
      </c>
      <c r="O2377" s="221" t="s">
        <v>3314</v>
      </c>
      <c r="P2377" s="221">
        <v>0</v>
      </c>
      <c r="Q2377" s="221">
        <v>0</v>
      </c>
      <c r="R2377" s="221" t="s">
        <v>3147</v>
      </c>
      <c r="S2377" s="221"/>
      <c r="T2377" s="221"/>
      <c r="U2377" s="221"/>
      <c r="V2377" s="221"/>
      <c r="W2377" s="221"/>
      <c r="X2377" s="221"/>
      <c r="Y2377" s="227"/>
      <c r="Z2377" s="227">
        <f>P2377</f>
        <v>0</v>
      </c>
      <c r="AA2377" s="276" t="e">
        <f>VLOOKUP(Logfile_S[[#This Row],[DO number]],DO_DB!G:I,3,0)</f>
        <v>#N/A</v>
      </c>
      <c r="AB2377" s="331" t="e">
        <f>EXACT(Logfile_S[[#This Row],[date pick]],Logfile_S[[#This Row],[Date]])</f>
        <v>#N/A</v>
      </c>
      <c r="AC23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78" spans="1:29" ht="14.5">
      <c r="A2378" s="220" t="str">
        <f>TEXT(ROW(A2378)-ROW($A$4),"000")</f>
        <v>2374</v>
      </c>
      <c r="B2378" s="221"/>
      <c r="C2378" s="221" t="s">
        <v>3313</v>
      </c>
      <c r="D2378" s="221" t="s">
        <v>4169</v>
      </c>
      <c r="E2378" s="221" t="s">
        <v>3295</v>
      </c>
      <c r="F2378" s="221" t="s">
        <v>3299</v>
      </c>
      <c r="G2378" s="222">
        <v>45526</v>
      </c>
      <c r="H2378" s="223">
        <v>15.291666666666666</v>
      </c>
      <c r="I2378" s="221" t="s">
        <v>37</v>
      </c>
      <c r="J2378" s="221" t="s">
        <v>3023</v>
      </c>
      <c r="K2378" s="224" t="s">
        <v>3080</v>
      </c>
      <c r="L2378" s="225" t="str">
        <f>VLOOKUP(Logfile_S[[#This Row],[Material Name]],Sheet2!B:C,2,0)</f>
        <v>ZTE2010</v>
      </c>
      <c r="M2378" s="225" t="str">
        <f>_xlfn.XLOOKUP(Logfile_S[[#This Row],[Material Name]],Sum_WH!E:E,Sum_WH!F:F,"",0)</f>
        <v>Pcs</v>
      </c>
      <c r="N2378" s="221">
        <v>15</v>
      </c>
      <c r="O2378" s="221" t="s">
        <v>3314</v>
      </c>
      <c r="P2378" s="221">
        <v>0</v>
      </c>
      <c r="Q2378" s="221">
        <v>0</v>
      </c>
      <c r="R2378" s="221">
        <v>0</v>
      </c>
      <c r="S2378" s="221"/>
      <c r="T2378" s="221"/>
      <c r="U2378" s="221"/>
      <c r="V2378" s="221"/>
      <c r="W2378" s="221"/>
      <c r="X2378" s="221" t="s">
        <v>3147</v>
      </c>
      <c r="Y2378" s="227"/>
      <c r="Z2378" s="227">
        <f>P2378</f>
        <v>0</v>
      </c>
      <c r="AA2378" s="276" t="e">
        <f>VLOOKUP(Logfile_S[[#This Row],[DO number]],DO_DB!G:I,3,0)</f>
        <v>#N/A</v>
      </c>
      <c r="AB2378" s="331" t="e">
        <f>EXACT(Logfile_S[[#This Row],[date pick]],Logfile_S[[#This Row],[Date]])</f>
        <v>#N/A</v>
      </c>
      <c r="AC23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79" spans="1:29" ht="14.5">
      <c r="A2379" s="220" t="str">
        <f>TEXT(ROW(A2379)-ROW($A$4),"000")</f>
        <v>2375</v>
      </c>
      <c r="B2379" s="221"/>
      <c r="C2379" s="221" t="s">
        <v>3313</v>
      </c>
      <c r="D2379" s="221" t="s">
        <v>4184</v>
      </c>
      <c r="E2379" s="221" t="s">
        <v>3295</v>
      </c>
      <c r="F2379" s="221" t="s">
        <v>3299</v>
      </c>
      <c r="G2379" s="222">
        <v>45532</v>
      </c>
      <c r="H2379" s="223">
        <v>15.291666666666666</v>
      </c>
      <c r="I2379" s="221" t="s">
        <v>37</v>
      </c>
      <c r="J2379" s="221" t="s">
        <v>3023</v>
      </c>
      <c r="K2379" s="224" t="s">
        <v>3080</v>
      </c>
      <c r="L2379" s="225" t="str">
        <f>VLOOKUP(Logfile_S[[#This Row],[Material Name]],Sheet2!B:C,2,0)</f>
        <v>ZTE2010</v>
      </c>
      <c r="M2379" s="225" t="str">
        <f>_xlfn.XLOOKUP(Logfile_S[[#This Row],[Material Name]],Sum_WH!E:E,Sum_WH!F:F,"",0)</f>
        <v>Pcs</v>
      </c>
      <c r="N2379" s="221">
        <v>10</v>
      </c>
      <c r="O2379" s="221" t="s">
        <v>3314</v>
      </c>
      <c r="P2379" s="221">
        <v>0</v>
      </c>
      <c r="Q2379" s="221">
        <v>0</v>
      </c>
      <c r="R2379" s="221">
        <v>0</v>
      </c>
      <c r="S2379" s="221"/>
      <c r="T2379" s="221"/>
      <c r="U2379" s="221"/>
      <c r="V2379" s="221"/>
      <c r="W2379" s="221"/>
      <c r="X2379" s="221" t="s">
        <v>3147</v>
      </c>
      <c r="Y2379" s="227"/>
      <c r="Z2379" s="227">
        <f>P2379</f>
        <v>0</v>
      </c>
      <c r="AA2379" s="276" t="e">
        <f>VLOOKUP(Logfile_S[[#This Row],[DO number]],DO_DB!G:I,3,0)</f>
        <v>#N/A</v>
      </c>
      <c r="AB2379" s="331" t="e">
        <f>EXACT(Logfile_S[[#This Row],[date pick]],Logfile_S[[#This Row],[Date]])</f>
        <v>#N/A</v>
      </c>
      <c r="AC23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80" spans="1:29" ht="14.5">
      <c r="A2380" s="220" t="str">
        <f>TEXT(ROW(A2380)-ROW($A$4),"000")</f>
        <v>2376</v>
      </c>
      <c r="B2380" s="221"/>
      <c r="C2380" s="221" t="s">
        <v>3313</v>
      </c>
      <c r="D2380" s="221" t="s">
        <v>4227</v>
      </c>
      <c r="E2380" s="221" t="s">
        <v>3295</v>
      </c>
      <c r="F2380" s="221" t="s">
        <v>3299</v>
      </c>
      <c r="G2380" s="222">
        <v>45555</v>
      </c>
      <c r="H2380" s="223">
        <v>15.291666666666666</v>
      </c>
      <c r="I2380" s="221" t="s">
        <v>37</v>
      </c>
      <c r="J2380" s="221" t="s">
        <v>3023</v>
      </c>
      <c r="K2380" s="224" t="s">
        <v>3080</v>
      </c>
      <c r="L2380" s="225" t="str">
        <f>VLOOKUP(Logfile_S[[#This Row],[Material Name]],Sheet2!B:C,2,0)</f>
        <v>ZTE2010</v>
      </c>
      <c r="M2380" s="225" t="str">
        <f>_xlfn.XLOOKUP(Logfile_S[[#This Row],[Material Name]],Sum_WH!E:E,Sum_WH!F:F,"",0)</f>
        <v>Pcs</v>
      </c>
      <c r="N2380" s="221">
        <v>4</v>
      </c>
      <c r="O2380" s="221" t="s">
        <v>3314</v>
      </c>
      <c r="P2380" s="221">
        <v>0</v>
      </c>
      <c r="Q2380" s="221">
        <v>0</v>
      </c>
      <c r="R2380" s="221">
        <v>0</v>
      </c>
      <c r="S2380" s="221"/>
      <c r="T2380" s="221"/>
      <c r="U2380" s="221"/>
      <c r="V2380" s="221"/>
      <c r="W2380" s="221"/>
      <c r="X2380" s="221" t="s">
        <v>3147</v>
      </c>
      <c r="Y2380" s="227"/>
      <c r="Z2380" s="227">
        <f>P2380</f>
        <v>0</v>
      </c>
      <c r="AA2380" s="276" t="e">
        <f>VLOOKUP(Logfile_S[[#This Row],[DO number]],DO_DB!G:I,3,0)</f>
        <v>#N/A</v>
      </c>
      <c r="AB2380" s="331" t="e">
        <f>EXACT(Logfile_S[[#This Row],[date pick]],Logfile_S[[#This Row],[Date]])</f>
        <v>#N/A</v>
      </c>
      <c r="AC23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81" spans="1:29" ht="14.5">
      <c r="A2381" s="220" t="str">
        <f>TEXT(ROW(A2381)-ROW($A$4),"000")</f>
        <v>2377</v>
      </c>
      <c r="B2381" s="221"/>
      <c r="C2381" s="221" t="s">
        <v>3313</v>
      </c>
      <c r="D2381" s="221" t="s">
        <v>4237</v>
      </c>
      <c r="E2381" s="221" t="s">
        <v>3295</v>
      </c>
      <c r="F2381" s="221" t="s">
        <v>3299</v>
      </c>
      <c r="G2381" s="222">
        <v>45561</v>
      </c>
      <c r="H2381" s="223">
        <v>15.291666666666666</v>
      </c>
      <c r="I2381" s="221" t="s">
        <v>37</v>
      </c>
      <c r="J2381" s="221" t="s">
        <v>3023</v>
      </c>
      <c r="K2381" s="224" t="s">
        <v>3069</v>
      </c>
      <c r="L2381" s="225" t="str">
        <f>VLOOKUP(Logfile_S[[#This Row],[Material Name]],Sheet2!B:C,2,0)</f>
        <v>ZTE1001</v>
      </c>
      <c r="M2381" s="225" t="str">
        <f>_xlfn.XLOOKUP(Logfile_S[[#This Row],[Material Name]],Sum_WH!E:E,Sum_WH!F:F,"",0)</f>
        <v>Pcs</v>
      </c>
      <c r="N2381" s="221">
        <v>4</v>
      </c>
      <c r="O2381" s="221" t="s">
        <v>3314</v>
      </c>
      <c r="P2381" s="221">
        <v>0</v>
      </c>
      <c r="Q2381" s="221">
        <v>0</v>
      </c>
      <c r="R2381" s="221" t="s">
        <v>3147</v>
      </c>
      <c r="S2381" s="221"/>
      <c r="T2381" s="221"/>
      <c r="U2381" s="221"/>
      <c r="V2381" s="221"/>
      <c r="W2381" s="221"/>
      <c r="X2381" s="221"/>
      <c r="Y2381" s="227"/>
      <c r="Z2381" s="227">
        <f>P2381</f>
        <v>0</v>
      </c>
      <c r="AA2381" s="276" t="e">
        <f>VLOOKUP(Logfile_S[[#This Row],[DO number]],DO_DB!G:I,3,0)</f>
        <v>#N/A</v>
      </c>
      <c r="AB2381" s="331" t="e">
        <f>EXACT(Logfile_S[[#This Row],[date pick]],Logfile_S[[#This Row],[Date]])</f>
        <v>#N/A</v>
      </c>
      <c r="AC23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82" spans="1:29" ht="14.5">
      <c r="A2382" s="220" t="str">
        <f>TEXT(ROW(A2382)-ROW($A$4),"000")</f>
        <v>2378</v>
      </c>
      <c r="B2382" s="221"/>
      <c r="C2382" s="221" t="s">
        <v>49</v>
      </c>
      <c r="D2382" s="221" t="s">
        <v>4347</v>
      </c>
      <c r="E2382" s="221" t="s">
        <v>3295</v>
      </c>
      <c r="F2382" s="221" t="s">
        <v>3299</v>
      </c>
      <c r="G2382" s="222">
        <v>45722</v>
      </c>
      <c r="H2382" s="223">
        <v>0.63124999999999998</v>
      </c>
      <c r="I2382" s="221" t="s">
        <v>4916</v>
      </c>
      <c r="J2382" s="221" t="s">
        <v>3024</v>
      </c>
      <c r="K2382" s="224" t="s">
        <v>3456</v>
      </c>
      <c r="L2382" s="225" t="str">
        <f>VLOOKUP(Logfile_S[[#This Row],[Material Name]],Sheet2!B:C,2,0)</f>
        <v>GCI1008</v>
      </c>
      <c r="M2382" s="225" t="str">
        <f>_xlfn.XLOOKUP(Logfile_S[[#This Row],[Material Name]],Sum_WH!E:E,Sum_WH!F:F,"",0)</f>
        <v>Pcs</v>
      </c>
      <c r="N2382" s="221">
        <v>15</v>
      </c>
      <c r="O2382" s="221" t="s">
        <v>3314</v>
      </c>
      <c r="P2382" s="221">
        <v>0</v>
      </c>
      <c r="Q2382" s="221"/>
      <c r="R2382" s="221"/>
      <c r="S2382" s="221"/>
      <c r="T2382" s="221" t="s">
        <v>3231</v>
      </c>
      <c r="U2382" s="221">
        <v>0</v>
      </c>
      <c r="V2382" s="221" t="s">
        <v>3375</v>
      </c>
      <c r="W2382" s="221" t="s">
        <v>3249</v>
      </c>
      <c r="X2382" s="221" t="s">
        <v>3457</v>
      </c>
      <c r="Y2382" s="227"/>
      <c r="Z2382" s="227">
        <f>P2382</f>
        <v>0</v>
      </c>
      <c r="AA2382" s="276" t="e">
        <f>VLOOKUP(Logfile_S[[#This Row],[DO number]],DO_DB!G:I,3,0)</f>
        <v>#N/A</v>
      </c>
      <c r="AB2382" s="331" t="e">
        <f>EXACT(Logfile_S[[#This Row],[date pick]],Logfile_S[[#This Row],[Date]])</f>
        <v>#N/A</v>
      </c>
      <c r="AC23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83" spans="1:29" ht="14.5">
      <c r="A2383" s="220" t="str">
        <f>TEXT(ROW(A2383)-ROW($A$4),"000")</f>
        <v>2379</v>
      </c>
      <c r="B2383" s="221"/>
      <c r="C2383" s="221" t="s">
        <v>49</v>
      </c>
      <c r="D2383" s="221" t="s">
        <v>4347</v>
      </c>
      <c r="E2383" s="221" t="s">
        <v>3295</v>
      </c>
      <c r="F2383" s="221" t="s">
        <v>3299</v>
      </c>
      <c r="G2383" s="222">
        <v>45722</v>
      </c>
      <c r="H2383" s="223">
        <v>0.63124999999999998</v>
      </c>
      <c r="I2383" s="221" t="s">
        <v>4916</v>
      </c>
      <c r="J2383" s="221" t="s">
        <v>3024</v>
      </c>
      <c r="K2383" s="224" t="s">
        <v>3089</v>
      </c>
      <c r="L2383" s="225" t="str">
        <f>VLOOKUP(Logfile_S[[#This Row],[Material Name]],Sheet2!B:C,2,0)</f>
        <v>GCI1003</v>
      </c>
      <c r="M2383" s="225" t="str">
        <f>_xlfn.XLOOKUP(Logfile_S[[#This Row],[Material Name]],Sum_WH!E:E,Sum_WH!F:F,"",0)</f>
        <v>Pcs</v>
      </c>
      <c r="N2383" s="221">
        <v>15</v>
      </c>
      <c r="O2383" s="221" t="s">
        <v>3314</v>
      </c>
      <c r="P2383" s="221">
        <v>0</v>
      </c>
      <c r="Q2383" s="221"/>
      <c r="R2383" s="221"/>
      <c r="S2383" s="221"/>
      <c r="T2383" s="221" t="s">
        <v>3231</v>
      </c>
      <c r="U2383" s="221">
        <v>0</v>
      </c>
      <c r="V2383" s="221" t="s">
        <v>3375</v>
      </c>
      <c r="W2383" s="221" t="s">
        <v>3249</v>
      </c>
      <c r="X2383" s="221" t="s">
        <v>3457</v>
      </c>
      <c r="Y2383" s="227"/>
      <c r="Z2383" s="227">
        <f>P2383</f>
        <v>0</v>
      </c>
      <c r="AA2383" s="276" t="e">
        <f>VLOOKUP(Logfile_S[[#This Row],[DO number]],DO_DB!G:I,3,0)</f>
        <v>#N/A</v>
      </c>
      <c r="AB2383" s="331" t="e">
        <f>EXACT(Logfile_S[[#This Row],[date pick]],Logfile_S[[#This Row],[Date]])</f>
        <v>#N/A</v>
      </c>
      <c r="AC23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84" spans="1:29" ht="14.5">
      <c r="A2384" s="220" t="str">
        <f>TEXT(ROW(A2384)-ROW($A$4),"000")</f>
        <v>2380</v>
      </c>
      <c r="B2384" s="221"/>
      <c r="C2384" s="221" t="s">
        <v>49</v>
      </c>
      <c r="D2384" s="221" t="s">
        <v>4347</v>
      </c>
      <c r="E2384" s="221" t="s">
        <v>3295</v>
      </c>
      <c r="F2384" s="221" t="s">
        <v>3299</v>
      </c>
      <c r="G2384" s="222">
        <v>45722</v>
      </c>
      <c r="H2384" s="223">
        <v>0.63124999999999998</v>
      </c>
      <c r="I2384" s="221" t="s">
        <v>4916</v>
      </c>
      <c r="J2384" s="221" t="s">
        <v>3024</v>
      </c>
      <c r="K2384" s="224" t="s">
        <v>3090</v>
      </c>
      <c r="L2384" s="225" t="str">
        <f>VLOOKUP(Logfile_S[[#This Row],[Material Name]],Sheet2!B:C,2,0)</f>
        <v>GCI1004</v>
      </c>
      <c r="M2384" s="225" t="str">
        <f>_xlfn.XLOOKUP(Logfile_S[[#This Row],[Material Name]],Sum_WH!E:E,Sum_WH!F:F,"",0)</f>
        <v>Pcs</v>
      </c>
      <c r="N2384" s="221">
        <v>15</v>
      </c>
      <c r="O2384" s="221" t="s">
        <v>3314</v>
      </c>
      <c r="P2384" s="221">
        <v>0</v>
      </c>
      <c r="Q2384" s="221"/>
      <c r="R2384" s="221"/>
      <c r="S2384" s="221"/>
      <c r="T2384" s="221" t="s">
        <v>3231</v>
      </c>
      <c r="U2384" s="221">
        <v>0</v>
      </c>
      <c r="V2384" s="221" t="s">
        <v>3375</v>
      </c>
      <c r="W2384" s="221" t="s">
        <v>3249</v>
      </c>
      <c r="X2384" s="221" t="s">
        <v>3457</v>
      </c>
      <c r="Y2384" s="227"/>
      <c r="Z2384" s="227">
        <f>P2384</f>
        <v>0</v>
      </c>
      <c r="AA2384" s="276" t="e">
        <f>VLOOKUP(Logfile_S[[#This Row],[DO number]],DO_DB!G:I,3,0)</f>
        <v>#N/A</v>
      </c>
      <c r="AB2384" s="331" t="e">
        <f>EXACT(Logfile_S[[#This Row],[date pick]],Logfile_S[[#This Row],[Date]])</f>
        <v>#N/A</v>
      </c>
      <c r="AC23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85" spans="1:29" ht="14.5">
      <c r="A2385" s="220" t="str">
        <f>TEXT(ROW(A2385)-ROW($A$4),"000")</f>
        <v>2381</v>
      </c>
      <c r="B2385" s="221"/>
      <c r="C2385" s="221" t="s">
        <v>3313</v>
      </c>
      <c r="D2385" s="221" t="s">
        <v>4223</v>
      </c>
      <c r="E2385" s="221" t="s">
        <v>3295</v>
      </c>
      <c r="F2385" s="221" t="s">
        <v>3299</v>
      </c>
      <c r="G2385" s="222">
        <v>45554</v>
      </c>
      <c r="H2385" s="223">
        <v>15.291666666666666</v>
      </c>
      <c r="I2385" s="221" t="s">
        <v>4917</v>
      </c>
      <c r="J2385" s="221" t="s">
        <v>3024</v>
      </c>
      <c r="K2385" s="224" t="s">
        <v>5136</v>
      </c>
      <c r="L2385" s="225" t="str">
        <f>VLOOKUP(Logfile_S[[#This Row],[Material Name]],Sheet2!B:C,2,0)</f>
        <v>GCI1010</v>
      </c>
      <c r="M2385" s="225" t="str">
        <f>_xlfn.XLOOKUP(Logfile_S[[#This Row],[Material Name]],Sum_WH!E:E,Sum_WH!F:F,"",0)</f>
        <v>Pcs</v>
      </c>
      <c r="N2385" s="221">
        <v>6</v>
      </c>
      <c r="O2385" s="221" t="s">
        <v>3314</v>
      </c>
      <c r="P2385" s="221" t="s">
        <v>68</v>
      </c>
      <c r="Q2385" s="221">
        <v>0</v>
      </c>
      <c r="R2385" s="221">
        <v>0</v>
      </c>
      <c r="S2385" s="221"/>
      <c r="T2385" s="221"/>
      <c r="U2385" s="221"/>
      <c r="V2385" s="221"/>
      <c r="W2385" s="221"/>
      <c r="X2385" s="221"/>
      <c r="Y2385" s="227"/>
      <c r="Z2385" s="227" t="str">
        <f>P2385</f>
        <v>Blitar</v>
      </c>
      <c r="AA2385" s="276" t="e">
        <f>VLOOKUP(Logfile_S[[#This Row],[DO number]],DO_DB!G:I,3,0)</f>
        <v>#N/A</v>
      </c>
      <c r="AB2385" s="331" t="e">
        <f>EXACT(Logfile_S[[#This Row],[date pick]],Logfile_S[[#This Row],[Date]])</f>
        <v>#N/A</v>
      </c>
      <c r="AC23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86" spans="1:29" ht="14.5">
      <c r="A2386" s="220" t="str">
        <f>TEXT(ROW(A2386)-ROW($A$4),"000")</f>
        <v>2382</v>
      </c>
      <c r="B2386" s="221"/>
      <c r="C2386" s="221" t="s">
        <v>3313</v>
      </c>
      <c r="D2386" s="221" t="s">
        <v>4223</v>
      </c>
      <c r="E2386" s="221" t="s">
        <v>3295</v>
      </c>
      <c r="F2386" s="221" t="s">
        <v>3299</v>
      </c>
      <c r="G2386" s="222">
        <v>45554</v>
      </c>
      <c r="H2386" s="223">
        <v>15.291666666666666</v>
      </c>
      <c r="I2386" s="221" t="s">
        <v>4917</v>
      </c>
      <c r="J2386" s="221" t="s">
        <v>3024</v>
      </c>
      <c r="K2386" s="224" t="s">
        <v>3087</v>
      </c>
      <c r="L2386" s="225" t="str">
        <f>VLOOKUP(Logfile_S[[#This Row],[Material Name]],Sheet2!B:C,2,0)</f>
        <v>GCI1001</v>
      </c>
      <c r="M2386" s="225" t="str">
        <f>_xlfn.XLOOKUP(Logfile_S[[#This Row],[Material Name]],Sum_WH!E:E,Sum_WH!F:F,"",0)</f>
        <v>Pcs</v>
      </c>
      <c r="N2386" s="221">
        <v>25</v>
      </c>
      <c r="O2386" s="221" t="s">
        <v>3314</v>
      </c>
      <c r="P2386" s="221" t="s">
        <v>68</v>
      </c>
      <c r="Q2386" s="221">
        <v>0</v>
      </c>
      <c r="R2386" s="221">
        <v>0</v>
      </c>
      <c r="S2386" s="221"/>
      <c r="T2386" s="221"/>
      <c r="U2386" s="221"/>
      <c r="V2386" s="221"/>
      <c r="W2386" s="221"/>
      <c r="X2386" s="221"/>
      <c r="Y2386" s="227"/>
      <c r="Z2386" s="227" t="str">
        <f>P2386</f>
        <v>Blitar</v>
      </c>
      <c r="AA2386" s="276" t="e">
        <f>VLOOKUP(Logfile_S[[#This Row],[DO number]],DO_DB!G:I,3,0)</f>
        <v>#N/A</v>
      </c>
      <c r="AB2386" s="331" t="e">
        <f>EXACT(Logfile_S[[#This Row],[date pick]],Logfile_S[[#This Row],[Date]])</f>
        <v>#N/A</v>
      </c>
      <c r="AC23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87" spans="1:29" ht="14.5">
      <c r="A2387" s="220" t="str">
        <f>TEXT(ROW(A2387)-ROW($A$4),"000")</f>
        <v>2383</v>
      </c>
      <c r="B2387" s="221"/>
      <c r="C2387" s="221" t="s">
        <v>3313</v>
      </c>
      <c r="D2387" s="221" t="s">
        <v>4223</v>
      </c>
      <c r="E2387" s="221" t="s">
        <v>3295</v>
      </c>
      <c r="F2387" s="221" t="s">
        <v>3299</v>
      </c>
      <c r="G2387" s="222">
        <v>45554</v>
      </c>
      <c r="H2387" s="223">
        <v>15.291666666666666</v>
      </c>
      <c r="I2387" s="221" t="s">
        <v>4917</v>
      </c>
      <c r="J2387" s="221" t="s">
        <v>3024</v>
      </c>
      <c r="K2387" s="224" t="s">
        <v>5137</v>
      </c>
      <c r="L2387" s="225" t="str">
        <f>VLOOKUP(Logfile_S[[#This Row],[Material Name]],Sheet2!B:C,2,0)</f>
        <v>GCI1009</v>
      </c>
      <c r="M2387" s="225" t="str">
        <f>_xlfn.XLOOKUP(Logfile_S[[#This Row],[Material Name]],Sum_WH!E:E,Sum_WH!F:F,"",0)</f>
        <v>Pcs</v>
      </c>
      <c r="N2387" s="221">
        <v>142</v>
      </c>
      <c r="O2387" s="221" t="s">
        <v>3314</v>
      </c>
      <c r="P2387" s="221" t="s">
        <v>68</v>
      </c>
      <c r="Q2387" s="221">
        <v>0</v>
      </c>
      <c r="R2387" s="221">
        <v>0</v>
      </c>
      <c r="S2387" s="221"/>
      <c r="T2387" s="221"/>
      <c r="U2387" s="221"/>
      <c r="V2387" s="221"/>
      <c r="W2387" s="221"/>
      <c r="X2387" s="221"/>
      <c r="Y2387" s="227"/>
      <c r="Z2387" s="227" t="str">
        <f>P2387</f>
        <v>Blitar</v>
      </c>
      <c r="AA2387" s="276" t="e">
        <f>VLOOKUP(Logfile_S[[#This Row],[DO number]],DO_DB!G:I,3,0)</f>
        <v>#N/A</v>
      </c>
      <c r="AB2387" s="331" t="e">
        <f>EXACT(Logfile_S[[#This Row],[date pick]],Logfile_S[[#This Row],[Date]])</f>
        <v>#N/A</v>
      </c>
      <c r="AC23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88" spans="1:29" ht="14.5">
      <c r="A2388" s="220" t="str">
        <f>TEXT(ROW(A2388)-ROW($A$4),"000")</f>
        <v>2384</v>
      </c>
      <c r="B2388" s="221"/>
      <c r="C2388" s="221" t="s">
        <v>3313</v>
      </c>
      <c r="D2388" s="221" t="s">
        <v>4223</v>
      </c>
      <c r="E2388" s="221" t="s">
        <v>3295</v>
      </c>
      <c r="F2388" s="221" t="s">
        <v>3299</v>
      </c>
      <c r="G2388" s="222">
        <v>45554</v>
      </c>
      <c r="H2388" s="223">
        <v>15.291666666666666</v>
      </c>
      <c r="I2388" s="221" t="s">
        <v>4917</v>
      </c>
      <c r="J2388" s="221" t="s">
        <v>3023</v>
      </c>
      <c r="K2388" s="224" t="s">
        <v>13</v>
      </c>
      <c r="L2388" s="225" t="str">
        <f>VLOOKUP(Logfile_S[[#This Row],[Material Name]],Sheet2!B:C,2,0)</f>
        <v>ZTE2008</v>
      </c>
      <c r="M2388" s="225" t="str">
        <f>_xlfn.XLOOKUP(Logfile_S[[#This Row],[Material Name]],Sum_WH!E:E,Sum_WH!F:F,"",0)</f>
        <v>Pcs</v>
      </c>
      <c r="N2388" s="221">
        <v>35</v>
      </c>
      <c r="O2388" s="221" t="s">
        <v>3314</v>
      </c>
      <c r="P2388" s="221" t="s">
        <v>68</v>
      </c>
      <c r="Q2388" s="221">
        <v>0</v>
      </c>
      <c r="R2388" s="221">
        <v>0</v>
      </c>
      <c r="S2388" s="221"/>
      <c r="T2388" s="221"/>
      <c r="U2388" s="221"/>
      <c r="V2388" s="221"/>
      <c r="W2388" s="221"/>
      <c r="X2388" s="221" t="s">
        <v>4224</v>
      </c>
      <c r="Y2388" s="227"/>
      <c r="Z2388" s="227" t="str">
        <f>P2388</f>
        <v>Blitar</v>
      </c>
      <c r="AA2388" s="276" t="e">
        <f>VLOOKUP(Logfile_S[[#This Row],[DO number]],DO_DB!G:I,3,0)</f>
        <v>#N/A</v>
      </c>
      <c r="AB2388" s="331" t="e">
        <f>EXACT(Logfile_S[[#This Row],[date pick]],Logfile_S[[#This Row],[Date]])</f>
        <v>#N/A</v>
      </c>
      <c r="AC23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89" spans="1:29" ht="14.5">
      <c r="A2389" s="220" t="str">
        <f>TEXT(ROW(A2389)-ROW($A$4),"000")</f>
        <v>2385</v>
      </c>
      <c r="B2389" s="221"/>
      <c r="C2389" s="221" t="s">
        <v>3313</v>
      </c>
      <c r="D2389" s="221" t="s">
        <v>4223</v>
      </c>
      <c r="E2389" s="221" t="s">
        <v>3295</v>
      </c>
      <c r="F2389" s="221" t="s">
        <v>3299</v>
      </c>
      <c r="G2389" s="222">
        <v>45554</v>
      </c>
      <c r="H2389" s="223">
        <v>15.291666666666666</v>
      </c>
      <c r="I2389" s="221" t="s">
        <v>4917</v>
      </c>
      <c r="J2389" s="221" t="s">
        <v>3023</v>
      </c>
      <c r="K2389" s="224" t="s">
        <v>3072</v>
      </c>
      <c r="L2389" s="225" t="str">
        <f>VLOOKUP(Logfile_S[[#This Row],[Material Name]],Sheet2!B:C,2,0)</f>
        <v>ZTE1004</v>
      </c>
      <c r="M2389" s="225" t="str">
        <f>_xlfn.XLOOKUP(Logfile_S[[#This Row],[Material Name]],Sum_WH!E:E,Sum_WH!F:F,"",0)</f>
        <v>Pcs</v>
      </c>
      <c r="N2389" s="221">
        <v>1</v>
      </c>
      <c r="O2389" s="221" t="s">
        <v>3314</v>
      </c>
      <c r="P2389" s="221" t="s">
        <v>68</v>
      </c>
      <c r="Q2389" s="221">
        <v>0</v>
      </c>
      <c r="R2389" s="221" t="s">
        <v>3147</v>
      </c>
      <c r="S2389" s="221"/>
      <c r="T2389" s="221"/>
      <c r="U2389" s="221"/>
      <c r="V2389" s="221"/>
      <c r="W2389" s="221"/>
      <c r="X2389" s="221"/>
      <c r="Y2389" s="227"/>
      <c r="Z2389" s="227" t="str">
        <f>P2389</f>
        <v>Blitar</v>
      </c>
      <c r="AA2389" s="276" t="e">
        <f>VLOOKUP(Logfile_S[[#This Row],[DO number]],DO_DB!G:I,3,0)</f>
        <v>#N/A</v>
      </c>
      <c r="AB2389" s="331" t="e">
        <f>EXACT(Logfile_S[[#This Row],[date pick]],Logfile_S[[#This Row],[Date]])</f>
        <v>#N/A</v>
      </c>
      <c r="AC23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90" spans="1:29" ht="14.5">
      <c r="A2390" s="220" t="str">
        <f>TEXT(ROW(A2390)-ROW($A$4),"000")</f>
        <v>2386</v>
      </c>
      <c r="B2390" s="221"/>
      <c r="C2390" s="221" t="s">
        <v>3313</v>
      </c>
      <c r="D2390" s="221" t="s">
        <v>4223</v>
      </c>
      <c r="E2390" s="221" t="s">
        <v>3295</v>
      </c>
      <c r="F2390" s="221" t="s">
        <v>3299</v>
      </c>
      <c r="G2390" s="222">
        <v>45554</v>
      </c>
      <c r="H2390" s="223">
        <v>15.291666666666666</v>
      </c>
      <c r="I2390" s="221" t="s">
        <v>4917</v>
      </c>
      <c r="J2390" s="221" t="s">
        <v>3024</v>
      </c>
      <c r="K2390" s="224" t="s">
        <v>3088</v>
      </c>
      <c r="L2390" s="225" t="str">
        <f>VLOOKUP(Logfile_S[[#This Row],[Material Name]],Sheet2!B:C,2,0)</f>
        <v>GCI1002</v>
      </c>
      <c r="M2390" s="225" t="str">
        <f>_xlfn.XLOOKUP(Logfile_S[[#This Row],[Material Name]],Sum_WH!E:E,Sum_WH!F:F,"",0)</f>
        <v>Pcs</v>
      </c>
      <c r="N2390" s="221">
        <v>3</v>
      </c>
      <c r="O2390" s="221" t="s">
        <v>3314</v>
      </c>
      <c r="P2390" s="221" t="s">
        <v>68</v>
      </c>
      <c r="Q2390" s="221">
        <v>0</v>
      </c>
      <c r="R2390" s="221">
        <v>0</v>
      </c>
      <c r="S2390" s="221"/>
      <c r="T2390" s="221"/>
      <c r="U2390" s="221"/>
      <c r="V2390" s="221"/>
      <c r="W2390" s="221"/>
      <c r="X2390" s="221"/>
      <c r="Y2390" s="227"/>
      <c r="Z2390" s="227" t="str">
        <f>P2390</f>
        <v>Blitar</v>
      </c>
      <c r="AA2390" s="276" t="e">
        <f>VLOOKUP(Logfile_S[[#This Row],[DO number]],DO_DB!G:I,3,0)</f>
        <v>#N/A</v>
      </c>
      <c r="AB2390" s="331" t="e">
        <f>EXACT(Logfile_S[[#This Row],[date pick]],Logfile_S[[#This Row],[Date]])</f>
        <v>#N/A</v>
      </c>
      <c r="AC23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91" spans="1:29" ht="14.5">
      <c r="A2391" s="220" t="str">
        <f>TEXT(ROW(A2391)-ROW($A$4),"000")</f>
        <v>2387</v>
      </c>
      <c r="B2391" s="221"/>
      <c r="C2391" s="221" t="s">
        <v>3313</v>
      </c>
      <c r="D2391" s="221" t="s">
        <v>4223</v>
      </c>
      <c r="E2391" s="221" t="s">
        <v>3295</v>
      </c>
      <c r="F2391" s="221" t="s">
        <v>3299</v>
      </c>
      <c r="G2391" s="222">
        <v>45554</v>
      </c>
      <c r="H2391" s="223">
        <v>15.291666666666666</v>
      </c>
      <c r="I2391" s="221" t="s">
        <v>4917</v>
      </c>
      <c r="J2391" s="221" t="s">
        <v>3023</v>
      </c>
      <c r="K2391" s="224" t="s">
        <v>3070</v>
      </c>
      <c r="L2391" s="225" t="str">
        <f>VLOOKUP(Logfile_S[[#This Row],[Material Name]],Sheet2!B:C,2,0)</f>
        <v>ZTE1002</v>
      </c>
      <c r="M2391" s="225" t="str">
        <f>_xlfn.XLOOKUP(Logfile_S[[#This Row],[Material Name]],Sum_WH!E:E,Sum_WH!F:F,"",0)</f>
        <v>Pcs</v>
      </c>
      <c r="N2391" s="221">
        <v>1</v>
      </c>
      <c r="O2391" s="221" t="s">
        <v>3314</v>
      </c>
      <c r="P2391" s="221" t="s">
        <v>68</v>
      </c>
      <c r="Q2391" s="221">
        <v>0</v>
      </c>
      <c r="R2391" s="221">
        <v>0</v>
      </c>
      <c r="S2391" s="221"/>
      <c r="T2391" s="221"/>
      <c r="U2391" s="221"/>
      <c r="V2391" s="221"/>
      <c r="W2391" s="221"/>
      <c r="X2391" s="221"/>
      <c r="Y2391" s="227"/>
      <c r="Z2391" s="227" t="str">
        <f>P2391</f>
        <v>Blitar</v>
      </c>
      <c r="AA2391" s="276" t="e">
        <f>VLOOKUP(Logfile_S[[#This Row],[DO number]],DO_DB!G:I,3,0)</f>
        <v>#N/A</v>
      </c>
      <c r="AB2391" s="331" t="e">
        <f>EXACT(Logfile_S[[#This Row],[date pick]],Logfile_S[[#This Row],[Date]])</f>
        <v>#N/A</v>
      </c>
      <c r="AC23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92" spans="1:29" ht="14.5">
      <c r="A2392" s="220" t="str">
        <f>TEXT(ROW(A2392)-ROW($A$4),"000")</f>
        <v>2388</v>
      </c>
      <c r="B2392" s="221"/>
      <c r="C2392" s="221" t="s">
        <v>3313</v>
      </c>
      <c r="D2392" s="221" t="s">
        <v>4223</v>
      </c>
      <c r="E2392" s="221" t="s">
        <v>3295</v>
      </c>
      <c r="F2392" s="221" t="s">
        <v>3299</v>
      </c>
      <c r="G2392" s="222">
        <v>45554</v>
      </c>
      <c r="H2392" s="223">
        <v>15.291666666666666</v>
      </c>
      <c r="I2392" s="221" t="s">
        <v>4917</v>
      </c>
      <c r="J2392" s="221" t="s">
        <v>3023</v>
      </c>
      <c r="K2392" s="224" t="s">
        <v>3069</v>
      </c>
      <c r="L2392" s="225" t="str">
        <f>VLOOKUP(Logfile_S[[#This Row],[Material Name]],Sheet2!B:C,2,0)</f>
        <v>ZTE1001</v>
      </c>
      <c r="M2392" s="225" t="str">
        <f>_xlfn.XLOOKUP(Logfile_S[[#This Row],[Material Name]],Sum_WH!E:E,Sum_WH!F:F,"",0)</f>
        <v>Pcs</v>
      </c>
      <c r="N2392" s="221">
        <v>98</v>
      </c>
      <c r="O2392" s="221" t="s">
        <v>3314</v>
      </c>
      <c r="P2392" s="221" t="s">
        <v>68</v>
      </c>
      <c r="Q2392" s="221">
        <v>0</v>
      </c>
      <c r="R2392" s="221">
        <v>0</v>
      </c>
      <c r="S2392" s="221"/>
      <c r="T2392" s="221"/>
      <c r="U2392" s="221"/>
      <c r="V2392" s="221"/>
      <c r="W2392" s="221"/>
      <c r="X2392" s="221"/>
      <c r="Y2392" s="227"/>
      <c r="Z2392" s="227" t="str">
        <f>P2392</f>
        <v>Blitar</v>
      </c>
      <c r="AA2392" s="276" t="e">
        <f>VLOOKUP(Logfile_S[[#This Row],[DO number]],DO_DB!G:I,3,0)</f>
        <v>#N/A</v>
      </c>
      <c r="AB2392" s="331" t="e">
        <f>EXACT(Logfile_S[[#This Row],[date pick]],Logfile_S[[#This Row],[Date]])</f>
        <v>#N/A</v>
      </c>
      <c r="AC23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93" spans="1:29" ht="14.5">
      <c r="A2393" s="220" t="str">
        <f>TEXT(ROW(A2393)-ROW($A$4),"000")</f>
        <v>2389</v>
      </c>
      <c r="B2393" s="221"/>
      <c r="C2393" s="221" t="s">
        <v>3313</v>
      </c>
      <c r="D2393" s="221" t="s">
        <v>4223</v>
      </c>
      <c r="E2393" s="221" t="s">
        <v>3295</v>
      </c>
      <c r="F2393" s="221" t="s">
        <v>3299</v>
      </c>
      <c r="G2393" s="222">
        <v>45554</v>
      </c>
      <c r="H2393" s="223">
        <v>15.291666666666666</v>
      </c>
      <c r="I2393" s="221" t="s">
        <v>4917</v>
      </c>
      <c r="J2393" s="221" t="s">
        <v>3024</v>
      </c>
      <c r="K2393" s="224" t="s">
        <v>3094</v>
      </c>
      <c r="L2393" s="225" t="str">
        <f>VLOOKUP(Logfile_S[[#This Row],[Material Name]],Sheet2!B:C,2,0)</f>
        <v>GCI1008</v>
      </c>
      <c r="M2393" s="225" t="str">
        <f>_xlfn.XLOOKUP(Logfile_S[[#This Row],[Material Name]],Sum_WH!E:E,Sum_WH!F:F,"",0)</f>
        <v>Pcs</v>
      </c>
      <c r="N2393" s="221">
        <v>49</v>
      </c>
      <c r="O2393" s="221" t="s">
        <v>3314</v>
      </c>
      <c r="P2393" s="221" t="s">
        <v>68</v>
      </c>
      <c r="Q2393" s="221">
        <v>0</v>
      </c>
      <c r="R2393" s="221">
        <v>0</v>
      </c>
      <c r="S2393" s="221"/>
      <c r="T2393" s="221"/>
      <c r="U2393" s="221"/>
      <c r="V2393" s="221"/>
      <c r="W2393" s="221"/>
      <c r="X2393" s="221"/>
      <c r="Y2393" s="227"/>
      <c r="Z2393" s="227" t="str">
        <f>P2393</f>
        <v>Blitar</v>
      </c>
      <c r="AA2393" s="276" t="e">
        <f>VLOOKUP(Logfile_S[[#This Row],[DO number]],DO_DB!G:I,3,0)</f>
        <v>#N/A</v>
      </c>
      <c r="AB2393" s="331" t="e">
        <f>EXACT(Logfile_S[[#This Row],[date pick]],Logfile_S[[#This Row],[Date]])</f>
        <v>#N/A</v>
      </c>
      <c r="AC23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94" spans="1:29" ht="14.5">
      <c r="A2394" s="220" t="str">
        <f>TEXT(ROW(A2394)-ROW($A$4),"000")</f>
        <v>2390</v>
      </c>
      <c r="B2394" s="221"/>
      <c r="C2394" s="221" t="s">
        <v>3313</v>
      </c>
      <c r="D2394" s="221" t="s">
        <v>4223</v>
      </c>
      <c r="E2394" s="221" t="s">
        <v>3295</v>
      </c>
      <c r="F2394" s="221" t="s">
        <v>3299</v>
      </c>
      <c r="G2394" s="222">
        <v>45554</v>
      </c>
      <c r="H2394" s="223">
        <v>15.291666666666666</v>
      </c>
      <c r="I2394" s="221" t="s">
        <v>4917</v>
      </c>
      <c r="J2394" s="221" t="s">
        <v>3024</v>
      </c>
      <c r="K2394" s="224" t="s">
        <v>3090</v>
      </c>
      <c r="L2394" s="225" t="str">
        <f>VLOOKUP(Logfile_S[[#This Row],[Material Name]],Sheet2!B:C,2,0)</f>
        <v>GCI1004</v>
      </c>
      <c r="M2394" s="225" t="str">
        <f>_xlfn.XLOOKUP(Logfile_S[[#This Row],[Material Name]],Sum_WH!E:E,Sum_WH!F:F,"",0)</f>
        <v>Pcs</v>
      </c>
      <c r="N2394" s="221">
        <v>32</v>
      </c>
      <c r="O2394" s="221" t="s">
        <v>3314</v>
      </c>
      <c r="P2394" s="221" t="s">
        <v>68</v>
      </c>
      <c r="Q2394" s="221">
        <v>0</v>
      </c>
      <c r="R2394" s="221">
        <v>0</v>
      </c>
      <c r="S2394" s="221"/>
      <c r="T2394" s="221"/>
      <c r="U2394" s="221"/>
      <c r="V2394" s="221"/>
      <c r="W2394" s="221"/>
      <c r="X2394" s="221"/>
      <c r="Y2394" s="227"/>
      <c r="Z2394" s="227" t="str">
        <f>P2394</f>
        <v>Blitar</v>
      </c>
      <c r="AA2394" s="276" t="e">
        <f>VLOOKUP(Logfile_S[[#This Row],[DO number]],DO_DB!G:I,3,0)</f>
        <v>#N/A</v>
      </c>
      <c r="AB2394" s="331" t="e">
        <f>EXACT(Logfile_S[[#This Row],[date pick]],Logfile_S[[#This Row],[Date]])</f>
        <v>#N/A</v>
      </c>
      <c r="AC23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95" spans="1:29" ht="14.5">
      <c r="A2395" s="220" t="str">
        <f>TEXT(ROW(A2395)-ROW($A$4),"000")</f>
        <v>2391</v>
      </c>
      <c r="B2395" s="221"/>
      <c r="C2395" s="221" t="s">
        <v>3313</v>
      </c>
      <c r="D2395" s="221" t="s">
        <v>3748</v>
      </c>
      <c r="E2395" s="221" t="s">
        <v>3295</v>
      </c>
      <c r="F2395" s="221" t="s">
        <v>3299</v>
      </c>
      <c r="G2395" s="222">
        <v>45210</v>
      </c>
      <c r="H2395" s="223">
        <v>15.291666666666666</v>
      </c>
      <c r="I2395" s="221" t="s">
        <v>4918</v>
      </c>
      <c r="J2395" s="221" t="s">
        <v>3023</v>
      </c>
      <c r="K2395" s="224" t="s">
        <v>14</v>
      </c>
      <c r="L2395" s="225" t="str">
        <f>VLOOKUP(Logfile_S[[#This Row],[Material Name]],Sheet2!B:C,2,0)</f>
        <v>ZTE2005</v>
      </c>
      <c r="M2395" s="225" t="str">
        <f>_xlfn.XLOOKUP(Logfile_S[[#This Row],[Material Name]],Sum_WH!E:E,Sum_WH!F:F,"",0)</f>
        <v>Pcs</v>
      </c>
      <c r="N2395" s="221">
        <v>1</v>
      </c>
      <c r="O2395" s="221" t="s">
        <v>3314</v>
      </c>
      <c r="P2395" s="221" t="s">
        <v>3384</v>
      </c>
      <c r="Q2395" s="221">
        <v>0</v>
      </c>
      <c r="R2395" s="221" t="s">
        <v>3147</v>
      </c>
      <c r="S2395" s="221"/>
      <c r="T2395" s="221"/>
      <c r="U2395" s="221"/>
      <c r="V2395" s="221"/>
      <c r="W2395" s="221"/>
      <c r="X2395" s="221" t="s">
        <v>3548</v>
      </c>
      <c r="Y2395" s="227"/>
      <c r="Z2395" s="227" t="str">
        <f>P2395</f>
        <v>GRESIK</v>
      </c>
      <c r="AA2395" s="276" t="e">
        <f>VLOOKUP(Logfile_S[[#This Row],[DO number]],DO_DB!G:I,3,0)</f>
        <v>#N/A</v>
      </c>
      <c r="AB2395" s="331" t="e">
        <f>EXACT(Logfile_S[[#This Row],[date pick]],Logfile_S[[#This Row],[Date]])</f>
        <v>#N/A</v>
      </c>
      <c r="AC23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96" spans="1:29" ht="14.5">
      <c r="A2396" s="220" t="str">
        <f>TEXT(ROW(A2396)-ROW($A$4),"000")</f>
        <v>2392</v>
      </c>
      <c r="B2396" s="221"/>
      <c r="C2396" s="221" t="s">
        <v>3313</v>
      </c>
      <c r="D2396" s="221" t="s">
        <v>3748</v>
      </c>
      <c r="E2396" s="221" t="s">
        <v>3295</v>
      </c>
      <c r="F2396" s="221" t="s">
        <v>3299</v>
      </c>
      <c r="G2396" s="222">
        <v>45210</v>
      </c>
      <c r="H2396" s="223">
        <v>15.291666666666666</v>
      </c>
      <c r="I2396" s="221" t="s">
        <v>4918</v>
      </c>
      <c r="J2396" s="221" t="s">
        <v>3023</v>
      </c>
      <c r="K2396" s="224" t="s">
        <v>3072</v>
      </c>
      <c r="L2396" s="225" t="str">
        <f>VLOOKUP(Logfile_S[[#This Row],[Material Name]],Sheet2!B:C,2,0)</f>
        <v>ZTE1004</v>
      </c>
      <c r="M2396" s="225" t="str">
        <f>_xlfn.XLOOKUP(Logfile_S[[#This Row],[Material Name]],Sum_WH!E:E,Sum_WH!F:F,"",0)</f>
        <v>Pcs</v>
      </c>
      <c r="N2396" s="221">
        <v>1</v>
      </c>
      <c r="O2396" s="221" t="s">
        <v>3314</v>
      </c>
      <c r="P2396" s="221" t="s">
        <v>3384</v>
      </c>
      <c r="Q2396" s="221">
        <v>0</v>
      </c>
      <c r="R2396" s="221" t="s">
        <v>3147</v>
      </c>
      <c r="S2396" s="221"/>
      <c r="T2396" s="221"/>
      <c r="U2396" s="221"/>
      <c r="V2396" s="221"/>
      <c r="W2396" s="221"/>
      <c r="X2396" s="221" t="s">
        <v>3548</v>
      </c>
      <c r="Y2396" s="227"/>
      <c r="Z2396" s="227" t="str">
        <f>P2396</f>
        <v>GRESIK</v>
      </c>
      <c r="AA2396" s="276" t="e">
        <f>VLOOKUP(Logfile_S[[#This Row],[DO number]],DO_DB!G:I,3,0)</f>
        <v>#N/A</v>
      </c>
      <c r="AB2396" s="331" t="e">
        <f>EXACT(Logfile_S[[#This Row],[date pick]],Logfile_S[[#This Row],[Date]])</f>
        <v>#N/A</v>
      </c>
      <c r="AC23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97" spans="1:29" ht="14.5">
      <c r="A2397" s="220" t="str">
        <f>TEXT(ROW(A2397)-ROW($A$4),"000")</f>
        <v>2393</v>
      </c>
      <c r="B2397" s="221"/>
      <c r="C2397" s="221" t="s">
        <v>3313</v>
      </c>
      <c r="D2397" s="221" t="s">
        <v>3766</v>
      </c>
      <c r="E2397" s="221" t="s">
        <v>3295</v>
      </c>
      <c r="F2397" s="221" t="s">
        <v>3299</v>
      </c>
      <c r="G2397" s="222">
        <v>45217</v>
      </c>
      <c r="H2397" s="223">
        <v>15.291666666666666</v>
      </c>
      <c r="I2397" s="221" t="s">
        <v>4918</v>
      </c>
      <c r="J2397" s="221" t="s">
        <v>3024</v>
      </c>
      <c r="K2397" s="224" t="s">
        <v>3215</v>
      </c>
      <c r="L2397" s="225" t="str">
        <f>VLOOKUP(Logfile_S[[#This Row],[Material Name]],Sheet2!B:C,2,0)</f>
        <v>GCI1008</v>
      </c>
      <c r="M2397" s="225" t="str">
        <f>_xlfn.XLOOKUP(Logfile_S[[#This Row],[Material Name]],Sum_WH!E:E,Sum_WH!F:F,"",0)</f>
        <v>Pcs</v>
      </c>
      <c r="N2397" s="221">
        <v>20</v>
      </c>
      <c r="O2397" s="221" t="s">
        <v>3314</v>
      </c>
      <c r="P2397" s="221" t="s">
        <v>3384</v>
      </c>
      <c r="Q2397" s="221">
        <v>0</v>
      </c>
      <c r="R2397" s="221">
        <v>0</v>
      </c>
      <c r="S2397" s="221"/>
      <c r="T2397" s="221"/>
      <c r="U2397" s="221"/>
      <c r="V2397" s="221"/>
      <c r="W2397" s="221"/>
      <c r="X2397" s="221" t="s">
        <v>3446</v>
      </c>
      <c r="Y2397" s="227"/>
      <c r="Z2397" s="227" t="str">
        <f>P2397</f>
        <v>GRESIK</v>
      </c>
      <c r="AA2397" s="276" t="e">
        <f>VLOOKUP(Logfile_S[[#This Row],[DO number]],DO_DB!G:I,3,0)</f>
        <v>#N/A</v>
      </c>
      <c r="AB2397" s="331" t="e">
        <f>EXACT(Logfile_S[[#This Row],[date pick]],Logfile_S[[#This Row],[Date]])</f>
        <v>#N/A</v>
      </c>
      <c r="AC23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98" spans="1:29" ht="14.5">
      <c r="A2398" s="220" t="str">
        <f>TEXT(ROW(A2398)-ROW($A$4),"000")</f>
        <v>2394</v>
      </c>
      <c r="B2398" s="221"/>
      <c r="C2398" s="221" t="s">
        <v>3313</v>
      </c>
      <c r="D2398" s="221" t="s">
        <v>3974</v>
      </c>
      <c r="E2398" s="221" t="s">
        <v>3295</v>
      </c>
      <c r="F2398" s="221" t="s">
        <v>3299</v>
      </c>
      <c r="G2398" s="222">
        <v>45357</v>
      </c>
      <c r="H2398" s="223">
        <v>15.291666666666666</v>
      </c>
      <c r="I2398" s="221" t="s">
        <v>4918</v>
      </c>
      <c r="J2398" s="221" t="s">
        <v>3023</v>
      </c>
      <c r="K2398" s="224" t="s">
        <v>3072</v>
      </c>
      <c r="L2398" s="225" t="str">
        <f>VLOOKUP(Logfile_S[[#This Row],[Material Name]],Sheet2!B:C,2,0)</f>
        <v>ZTE1004</v>
      </c>
      <c r="M2398" s="225" t="str">
        <f>_xlfn.XLOOKUP(Logfile_S[[#This Row],[Material Name]],Sum_WH!E:E,Sum_WH!F:F,"",0)</f>
        <v>Pcs</v>
      </c>
      <c r="N2398" s="221">
        <v>3</v>
      </c>
      <c r="O2398" s="221" t="s">
        <v>3314</v>
      </c>
      <c r="P2398" s="221" t="s">
        <v>3384</v>
      </c>
      <c r="Q2398" s="221">
        <v>0</v>
      </c>
      <c r="R2398" s="221" t="s">
        <v>3147</v>
      </c>
      <c r="S2398" s="221"/>
      <c r="T2398" s="221"/>
      <c r="U2398" s="221"/>
      <c r="V2398" s="221"/>
      <c r="W2398" s="221"/>
      <c r="X2398" s="221" t="s">
        <v>3535</v>
      </c>
      <c r="Y2398" s="227"/>
      <c r="Z2398" s="227" t="str">
        <f>P2398</f>
        <v>GRESIK</v>
      </c>
      <c r="AA2398" s="276" t="e">
        <f>VLOOKUP(Logfile_S[[#This Row],[DO number]],DO_DB!G:I,3,0)</f>
        <v>#N/A</v>
      </c>
      <c r="AB2398" s="331" t="e">
        <f>EXACT(Logfile_S[[#This Row],[date pick]],Logfile_S[[#This Row],[Date]])</f>
        <v>#N/A</v>
      </c>
      <c r="AC23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399" spans="1:29" ht="14.5">
      <c r="A2399" s="220" t="str">
        <f>TEXT(ROW(A2399)-ROW($A$4),"000")</f>
        <v>2395</v>
      </c>
      <c r="B2399" s="221"/>
      <c r="C2399" s="221" t="s">
        <v>3313</v>
      </c>
      <c r="D2399" s="221" t="s">
        <v>3976</v>
      </c>
      <c r="E2399" s="221" t="s">
        <v>3295</v>
      </c>
      <c r="F2399" s="221" t="s">
        <v>3299</v>
      </c>
      <c r="G2399" s="222">
        <v>45358</v>
      </c>
      <c r="H2399" s="223">
        <v>15.291666666666666</v>
      </c>
      <c r="I2399" s="221" t="s">
        <v>4918</v>
      </c>
      <c r="J2399" s="221" t="s">
        <v>3023</v>
      </c>
      <c r="K2399" s="224" t="s">
        <v>13</v>
      </c>
      <c r="L2399" s="225" t="str">
        <f>VLOOKUP(Logfile_S[[#This Row],[Material Name]],Sheet2!B:C,2,0)</f>
        <v>ZTE2008</v>
      </c>
      <c r="M2399" s="225" t="str">
        <f>_xlfn.XLOOKUP(Logfile_S[[#This Row],[Material Name]],Sum_WH!E:E,Sum_WH!F:F,"",0)</f>
        <v>Pcs</v>
      </c>
      <c r="N2399" s="221">
        <v>90</v>
      </c>
      <c r="O2399" s="221" t="s">
        <v>3314</v>
      </c>
      <c r="P2399" s="221" t="s">
        <v>3384</v>
      </c>
      <c r="Q2399" s="221">
        <v>0</v>
      </c>
      <c r="R2399" s="221" t="s">
        <v>3147</v>
      </c>
      <c r="S2399" s="221"/>
      <c r="T2399" s="221"/>
      <c r="U2399" s="221"/>
      <c r="V2399" s="221"/>
      <c r="W2399" s="221"/>
      <c r="X2399" s="221" t="s">
        <v>3535</v>
      </c>
      <c r="Y2399" s="227"/>
      <c r="Z2399" s="227" t="str">
        <f>P2399</f>
        <v>GRESIK</v>
      </c>
      <c r="AA2399" s="276" t="e">
        <f>VLOOKUP(Logfile_S[[#This Row],[DO number]],DO_DB!G:I,3,0)</f>
        <v>#N/A</v>
      </c>
      <c r="AB2399" s="331" t="e">
        <f>EXACT(Logfile_S[[#This Row],[date pick]],Logfile_S[[#This Row],[Date]])</f>
        <v>#N/A</v>
      </c>
      <c r="AC23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00" spans="1:29" ht="14.5">
      <c r="A2400" s="220" t="str">
        <f>TEXT(ROW(A2400)-ROW($A$4),"000")</f>
        <v>2396</v>
      </c>
      <c r="B2400" s="221"/>
      <c r="C2400" s="221" t="s">
        <v>3313</v>
      </c>
      <c r="D2400" s="221" t="s">
        <v>4190</v>
      </c>
      <c r="E2400" s="221" t="s">
        <v>3295</v>
      </c>
      <c r="F2400" s="221" t="s">
        <v>3299</v>
      </c>
      <c r="G2400" s="222">
        <v>45534</v>
      </c>
      <c r="H2400" s="223">
        <v>15.291666666666666</v>
      </c>
      <c r="I2400" s="221" t="s">
        <v>4918</v>
      </c>
      <c r="J2400" s="221" t="s">
        <v>3024</v>
      </c>
      <c r="K2400" s="224" t="s">
        <v>3097</v>
      </c>
      <c r="L2400" s="225" t="str">
        <f>VLOOKUP(Logfile_S[[#This Row],[Material Name]],Sheet2!B:C,2,0)</f>
        <v>GCI1011</v>
      </c>
      <c r="M2400" s="225" t="str">
        <f>_xlfn.XLOOKUP(Logfile_S[[#This Row],[Material Name]],Sum_WH!E:E,Sum_WH!F:F,"",0)</f>
        <v>Pcs</v>
      </c>
      <c r="N2400" s="221">
        <v>1</v>
      </c>
      <c r="O2400" s="221" t="s">
        <v>3314</v>
      </c>
      <c r="P2400" s="221" t="s">
        <v>3384</v>
      </c>
      <c r="Q2400" s="221" t="s">
        <v>3438</v>
      </c>
      <c r="R2400" s="221">
        <v>0</v>
      </c>
      <c r="S2400" s="221"/>
      <c r="T2400" s="221"/>
      <c r="U2400" s="221"/>
      <c r="V2400" s="221"/>
      <c r="W2400" s="221"/>
      <c r="X2400" s="221"/>
      <c r="Y2400" s="227"/>
      <c r="Z2400" s="227" t="str">
        <f>P2400</f>
        <v>GRESIK</v>
      </c>
      <c r="AA2400" s="276" t="e">
        <f>VLOOKUP(Logfile_S[[#This Row],[DO number]],DO_DB!G:I,3,0)</f>
        <v>#N/A</v>
      </c>
      <c r="AB2400" s="331" t="e">
        <f>EXACT(Logfile_S[[#This Row],[date pick]],Logfile_S[[#This Row],[Date]])</f>
        <v>#N/A</v>
      </c>
      <c r="AC24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01" spans="1:29" ht="14.5">
      <c r="A2401" s="220" t="str">
        <f>TEXT(ROW(A2401)-ROW($A$4),"000")</f>
        <v>2397</v>
      </c>
      <c r="B2401" s="221"/>
      <c r="C2401" s="221" t="s">
        <v>3313</v>
      </c>
      <c r="D2401" s="221" t="s">
        <v>4190</v>
      </c>
      <c r="E2401" s="221" t="s">
        <v>3295</v>
      </c>
      <c r="F2401" s="221" t="s">
        <v>3299</v>
      </c>
      <c r="G2401" s="222">
        <v>45534</v>
      </c>
      <c r="H2401" s="223">
        <v>15.291666666666666</v>
      </c>
      <c r="I2401" s="221" t="s">
        <v>4918</v>
      </c>
      <c r="J2401" s="221" t="s">
        <v>3024</v>
      </c>
      <c r="K2401" s="224" t="s">
        <v>3108</v>
      </c>
      <c r="L2401" s="225" t="str">
        <f>VLOOKUP(Logfile_S[[#This Row],[Material Name]],Sheet2!B:C,2,0)</f>
        <v>GCI1020</v>
      </c>
      <c r="M2401" s="225" t="str">
        <f>_xlfn.XLOOKUP(Logfile_S[[#This Row],[Material Name]],Sum_WH!E:E,Sum_WH!F:F,"",0)</f>
        <v>Pcs</v>
      </c>
      <c r="N2401" s="221">
        <v>800</v>
      </c>
      <c r="O2401" s="221" t="s">
        <v>3314</v>
      </c>
      <c r="P2401" s="221" t="s">
        <v>3384</v>
      </c>
      <c r="Q2401" s="221" t="s">
        <v>3438</v>
      </c>
      <c r="R2401" s="221">
        <v>0</v>
      </c>
      <c r="S2401" s="221"/>
      <c r="T2401" s="221"/>
      <c r="U2401" s="221"/>
      <c r="V2401" s="221"/>
      <c r="W2401" s="221"/>
      <c r="X2401" s="221"/>
      <c r="Y2401" s="227"/>
      <c r="Z2401" s="227" t="str">
        <f>P2401</f>
        <v>GRESIK</v>
      </c>
      <c r="AA2401" s="276" t="e">
        <f>VLOOKUP(Logfile_S[[#This Row],[DO number]],DO_DB!G:I,3,0)</f>
        <v>#N/A</v>
      </c>
      <c r="AB2401" s="331" t="e">
        <f>EXACT(Logfile_S[[#This Row],[date pick]],Logfile_S[[#This Row],[Date]])</f>
        <v>#N/A</v>
      </c>
      <c r="AC24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02" spans="1:29" ht="14.5">
      <c r="A2402" s="220" t="str">
        <f>TEXT(ROW(A2402)-ROW($A$4),"000")</f>
        <v>2398</v>
      </c>
      <c r="B2402" s="221"/>
      <c r="C2402" s="221" t="s">
        <v>3313</v>
      </c>
      <c r="D2402" s="221" t="s">
        <v>4190</v>
      </c>
      <c r="E2402" s="221" t="s">
        <v>3295</v>
      </c>
      <c r="F2402" s="221" t="s">
        <v>3299</v>
      </c>
      <c r="G2402" s="222">
        <v>45534</v>
      </c>
      <c r="H2402" s="223">
        <v>15.291666666666666</v>
      </c>
      <c r="I2402" s="221" t="s">
        <v>4918</v>
      </c>
      <c r="J2402" s="221" t="s">
        <v>3024</v>
      </c>
      <c r="K2402" s="224" t="s">
        <v>3090</v>
      </c>
      <c r="L2402" s="225" t="str">
        <f>VLOOKUP(Logfile_S[[#This Row],[Material Name]],Sheet2!B:C,2,0)</f>
        <v>GCI1004</v>
      </c>
      <c r="M2402" s="225" t="str">
        <f>_xlfn.XLOOKUP(Logfile_S[[#This Row],[Material Name]],Sum_WH!E:E,Sum_WH!F:F,"",0)</f>
        <v>Pcs</v>
      </c>
      <c r="N2402" s="221">
        <v>50</v>
      </c>
      <c r="O2402" s="221" t="s">
        <v>3314</v>
      </c>
      <c r="P2402" s="221" t="s">
        <v>3384</v>
      </c>
      <c r="Q2402" s="221" t="s">
        <v>3438</v>
      </c>
      <c r="R2402" s="221">
        <v>0</v>
      </c>
      <c r="S2402" s="221"/>
      <c r="T2402" s="221"/>
      <c r="U2402" s="221"/>
      <c r="V2402" s="221"/>
      <c r="W2402" s="221"/>
      <c r="X2402" s="221"/>
      <c r="Y2402" s="227"/>
      <c r="Z2402" s="227" t="str">
        <f>P2402</f>
        <v>GRESIK</v>
      </c>
      <c r="AA2402" s="276" t="e">
        <f>VLOOKUP(Logfile_S[[#This Row],[DO number]],DO_DB!G:I,3,0)</f>
        <v>#N/A</v>
      </c>
      <c r="AB2402" s="331" t="e">
        <f>EXACT(Logfile_S[[#This Row],[date pick]],Logfile_S[[#This Row],[Date]])</f>
        <v>#N/A</v>
      </c>
      <c r="AC24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03" spans="1:29" ht="14.5">
      <c r="A2403" s="220" t="str">
        <f>TEXT(ROW(A2403)-ROW($A$4),"000")</f>
        <v>2399</v>
      </c>
      <c r="B2403" s="221"/>
      <c r="C2403" s="221" t="s">
        <v>3313</v>
      </c>
      <c r="D2403" s="221" t="s">
        <v>4367</v>
      </c>
      <c r="E2403" s="221" t="s">
        <v>3295</v>
      </c>
      <c r="F2403" s="221" t="s">
        <v>3299</v>
      </c>
      <c r="G2403" s="222">
        <v>45804</v>
      </c>
      <c r="H2403" s="223">
        <v>15.291666666666666</v>
      </c>
      <c r="I2403" s="221" t="s">
        <v>4918</v>
      </c>
      <c r="J2403" s="221" t="s">
        <v>3023</v>
      </c>
      <c r="K2403" s="224" t="s">
        <v>3073</v>
      </c>
      <c r="L2403" s="225" t="str">
        <f>VLOOKUP(Logfile_S[[#This Row],[Material Name]],Sheet2!B:C,2,0)</f>
        <v>ZTE2001</v>
      </c>
      <c r="M2403" s="225" t="str">
        <f>_xlfn.XLOOKUP(Logfile_S[[#This Row],[Material Name]],Sum_WH!E:E,Sum_WH!F:F,"",0)</f>
        <v>Meter</v>
      </c>
      <c r="N2403" s="221">
        <v>3000</v>
      </c>
      <c r="O2403" s="221" t="s">
        <v>3314</v>
      </c>
      <c r="P2403" s="221" t="s">
        <v>3384</v>
      </c>
      <c r="Q2403" s="221">
        <v>0</v>
      </c>
      <c r="R2403" s="221">
        <v>0</v>
      </c>
      <c r="S2403" s="221"/>
      <c r="T2403" s="221"/>
      <c r="U2403" s="221"/>
      <c r="V2403" s="221"/>
      <c r="W2403" s="221"/>
      <c r="X2403" s="221"/>
      <c r="Y2403" s="227" t="s">
        <v>5095</v>
      </c>
      <c r="Z2403" s="227" t="str">
        <f>P2403</f>
        <v>GRESIK</v>
      </c>
      <c r="AA2403" s="276" t="e">
        <f>VLOOKUP(Logfile_S[[#This Row],[DO number]],DO_DB!G:I,3,0)</f>
        <v>#N/A</v>
      </c>
      <c r="AB2403" s="331" t="e">
        <f>EXACT(Logfile_S[[#This Row],[date pick]],Logfile_S[[#This Row],[Date]])</f>
        <v>#N/A</v>
      </c>
      <c r="AC24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24C-2025527-01</v>
      </c>
    </row>
    <row r="2404" spans="1:29" ht="14.5">
      <c r="A2404" s="220" t="str">
        <f>TEXT(ROW(A2404)-ROW($A$4),"000")</f>
        <v>2400</v>
      </c>
      <c r="B2404" s="221"/>
      <c r="C2404" s="221" t="s">
        <v>3313</v>
      </c>
      <c r="D2404" s="221" t="s">
        <v>4367</v>
      </c>
      <c r="E2404" s="221" t="s">
        <v>3295</v>
      </c>
      <c r="F2404" s="221" t="s">
        <v>3299</v>
      </c>
      <c r="G2404" s="222">
        <v>45804</v>
      </c>
      <c r="H2404" s="223">
        <v>15.291666666666666</v>
      </c>
      <c r="I2404" s="221" t="s">
        <v>4918</v>
      </c>
      <c r="J2404" s="221" t="s">
        <v>3023</v>
      </c>
      <c r="K2404" s="224" t="s">
        <v>14</v>
      </c>
      <c r="L2404" s="225" t="str">
        <f>VLOOKUP(Logfile_S[[#This Row],[Material Name]],Sheet2!B:C,2,0)</f>
        <v>ZTE2005</v>
      </c>
      <c r="M2404" s="225" t="str">
        <f>_xlfn.XLOOKUP(Logfile_S[[#This Row],[Material Name]],Sum_WH!E:E,Sum_WH!F:F,"",0)</f>
        <v>Pcs</v>
      </c>
      <c r="N2404" s="221">
        <v>1</v>
      </c>
      <c r="O2404" s="221" t="s">
        <v>3314</v>
      </c>
      <c r="P2404" s="221" t="s">
        <v>3384</v>
      </c>
      <c r="Q2404" s="221">
        <v>0</v>
      </c>
      <c r="R2404" s="221">
        <v>0</v>
      </c>
      <c r="S2404" s="221"/>
      <c r="T2404" s="221"/>
      <c r="U2404" s="221"/>
      <c r="V2404" s="221"/>
      <c r="W2404" s="221"/>
      <c r="X2404" s="221"/>
      <c r="Y2404" s="227"/>
      <c r="Z2404" s="227" t="str">
        <f>P2404</f>
        <v>GRESIK</v>
      </c>
      <c r="AA2404" s="276" t="e">
        <f>VLOOKUP(Logfile_S[[#This Row],[DO number]],DO_DB!G:I,3,0)</f>
        <v>#N/A</v>
      </c>
      <c r="AB2404" s="331" t="e">
        <f>EXACT(Logfile_S[[#This Row],[date pick]],Logfile_S[[#This Row],[Date]])</f>
        <v>#N/A</v>
      </c>
      <c r="AC24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05" spans="1:29" ht="14.5">
      <c r="A2405" s="220" t="str">
        <f>TEXT(ROW(A2405)-ROW($A$4),"000")</f>
        <v>2401</v>
      </c>
      <c r="B2405" s="221"/>
      <c r="C2405" s="221" t="s">
        <v>3313</v>
      </c>
      <c r="D2405" s="221" t="s">
        <v>4367</v>
      </c>
      <c r="E2405" s="221" t="s">
        <v>3295</v>
      </c>
      <c r="F2405" s="221" t="s">
        <v>3299</v>
      </c>
      <c r="G2405" s="222">
        <v>45804</v>
      </c>
      <c r="H2405" s="223">
        <v>15.291666666666666</v>
      </c>
      <c r="I2405" s="221" t="s">
        <v>4918</v>
      </c>
      <c r="J2405" s="221" t="s">
        <v>3024</v>
      </c>
      <c r="K2405" s="224" t="s">
        <v>3090</v>
      </c>
      <c r="L2405" s="225" t="str">
        <f>VLOOKUP(Logfile_S[[#This Row],[Material Name]],Sheet2!B:C,2,0)</f>
        <v>GCI1004</v>
      </c>
      <c r="M2405" s="225" t="str">
        <f>_xlfn.XLOOKUP(Logfile_S[[#This Row],[Material Name]],Sum_WH!E:E,Sum_WH!F:F,"",0)</f>
        <v>Pcs</v>
      </c>
      <c r="N2405" s="221">
        <v>75</v>
      </c>
      <c r="O2405" s="221" t="s">
        <v>3314</v>
      </c>
      <c r="P2405" s="221" t="s">
        <v>3384</v>
      </c>
      <c r="Q2405" s="221">
        <v>0</v>
      </c>
      <c r="R2405" s="221">
        <v>0</v>
      </c>
      <c r="S2405" s="221"/>
      <c r="T2405" s="221"/>
      <c r="U2405" s="221"/>
      <c r="V2405" s="221"/>
      <c r="W2405" s="221"/>
      <c r="X2405" s="221"/>
      <c r="Y2405" s="227"/>
      <c r="Z2405" s="227" t="str">
        <f>P2405</f>
        <v>GRESIK</v>
      </c>
      <c r="AA2405" s="276" t="e">
        <f>VLOOKUP(Logfile_S[[#This Row],[DO number]],DO_DB!G:I,3,0)</f>
        <v>#N/A</v>
      </c>
      <c r="AB2405" s="331" t="e">
        <f>EXACT(Logfile_S[[#This Row],[date pick]],Logfile_S[[#This Row],[Date]])</f>
        <v>#N/A</v>
      </c>
      <c r="AC24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06" spans="1:29" ht="14.5">
      <c r="A2406" s="220" t="str">
        <f>TEXT(ROW(A2406)-ROW($A$4),"000")</f>
        <v>2402</v>
      </c>
      <c r="B2406" s="221"/>
      <c r="C2406" s="221" t="s">
        <v>3313</v>
      </c>
      <c r="D2406" s="221" t="s">
        <v>4370</v>
      </c>
      <c r="E2406" s="221" t="s">
        <v>3295</v>
      </c>
      <c r="F2406" s="221" t="s">
        <v>3299</v>
      </c>
      <c r="G2406" s="222">
        <v>45819</v>
      </c>
      <c r="H2406" s="223">
        <v>15.291666666666666</v>
      </c>
      <c r="I2406" s="221" t="s">
        <v>4918</v>
      </c>
      <c r="J2406" s="221" t="s">
        <v>3024</v>
      </c>
      <c r="K2406" s="224" t="s">
        <v>3087</v>
      </c>
      <c r="L2406" s="225" t="str">
        <f>VLOOKUP(Logfile_S[[#This Row],[Material Name]],Sheet2!B:C,2,0)</f>
        <v>GCI1001</v>
      </c>
      <c r="M2406" s="225" t="str">
        <f>_xlfn.XLOOKUP(Logfile_S[[#This Row],[Material Name]],Sum_WH!E:E,Sum_WH!F:F,"",0)</f>
        <v>Pcs</v>
      </c>
      <c r="N2406" s="221">
        <v>20</v>
      </c>
      <c r="O2406" s="221" t="s">
        <v>3314</v>
      </c>
      <c r="P2406" s="221" t="s">
        <v>3384</v>
      </c>
      <c r="Q2406" s="221">
        <v>0</v>
      </c>
      <c r="R2406" s="221">
        <v>0</v>
      </c>
      <c r="S2406" s="221"/>
      <c r="T2406" s="221"/>
      <c r="U2406" s="221"/>
      <c r="V2406" s="221"/>
      <c r="W2406" s="221"/>
      <c r="X2406" s="221"/>
      <c r="Y2406" s="227"/>
      <c r="Z2406" s="227" t="str">
        <f>P2406</f>
        <v>GRESIK</v>
      </c>
      <c r="AA2406" s="276" t="e">
        <f>VLOOKUP(Logfile_S[[#This Row],[DO number]],DO_DB!G:I,3,0)</f>
        <v>#N/A</v>
      </c>
      <c r="AB2406" s="331" t="e">
        <f>EXACT(Logfile_S[[#This Row],[date pick]],Logfile_S[[#This Row],[Date]])</f>
        <v>#N/A</v>
      </c>
      <c r="AC24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07" spans="1:29" ht="14.5">
      <c r="A2407" s="220" t="str">
        <f>TEXT(ROW(A2407)-ROW($A$4),"000")</f>
        <v>2403</v>
      </c>
      <c r="B2407" s="221"/>
      <c r="C2407" s="221" t="s">
        <v>3313</v>
      </c>
      <c r="D2407" s="221" t="s">
        <v>4370</v>
      </c>
      <c r="E2407" s="221" t="s">
        <v>3295</v>
      </c>
      <c r="F2407" s="221" t="s">
        <v>3299</v>
      </c>
      <c r="G2407" s="222">
        <v>45819</v>
      </c>
      <c r="H2407" s="223">
        <v>15.291666666666666</v>
      </c>
      <c r="I2407" s="221" t="s">
        <v>4918</v>
      </c>
      <c r="J2407" s="221" t="s">
        <v>3024</v>
      </c>
      <c r="K2407" s="224" t="s">
        <v>3094</v>
      </c>
      <c r="L2407" s="225" t="str">
        <f>VLOOKUP(Logfile_S[[#This Row],[Material Name]],Sheet2!B:C,2,0)</f>
        <v>GCI1008</v>
      </c>
      <c r="M2407" s="225" t="str">
        <f>_xlfn.XLOOKUP(Logfile_S[[#This Row],[Material Name]],Sum_WH!E:E,Sum_WH!F:F,"",0)</f>
        <v>Pcs</v>
      </c>
      <c r="N2407" s="221">
        <v>75</v>
      </c>
      <c r="O2407" s="221" t="s">
        <v>3314</v>
      </c>
      <c r="P2407" s="221" t="s">
        <v>3384</v>
      </c>
      <c r="Q2407" s="221">
        <v>0</v>
      </c>
      <c r="R2407" s="221">
        <v>0</v>
      </c>
      <c r="S2407" s="221"/>
      <c r="T2407" s="221"/>
      <c r="U2407" s="221"/>
      <c r="V2407" s="221"/>
      <c r="W2407" s="221"/>
      <c r="X2407" s="221"/>
      <c r="Y2407" s="227"/>
      <c r="Z2407" s="227" t="str">
        <f>P2407</f>
        <v>GRESIK</v>
      </c>
      <c r="AA2407" s="276" t="e">
        <f>VLOOKUP(Logfile_S[[#This Row],[DO number]],DO_DB!G:I,3,0)</f>
        <v>#N/A</v>
      </c>
      <c r="AB2407" s="331" t="e">
        <f>EXACT(Logfile_S[[#This Row],[date pick]],Logfile_S[[#This Row],[Date]])</f>
        <v>#N/A</v>
      </c>
      <c r="AC24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08" spans="1:29" ht="14.5">
      <c r="A2408" s="220" t="str">
        <f>TEXT(ROW(A2408)-ROW($A$4),"000")</f>
        <v>2404</v>
      </c>
      <c r="B2408" s="221"/>
      <c r="C2408" s="221" t="s">
        <v>3313</v>
      </c>
      <c r="D2408" s="221" t="s">
        <v>4370</v>
      </c>
      <c r="E2408" s="221" t="s">
        <v>3295</v>
      </c>
      <c r="F2408" s="221" t="s">
        <v>3299</v>
      </c>
      <c r="G2408" s="222">
        <v>45819</v>
      </c>
      <c r="H2408" s="223">
        <v>15.291666666666666</v>
      </c>
      <c r="I2408" s="221" t="s">
        <v>4918</v>
      </c>
      <c r="J2408" s="221" t="s">
        <v>3024</v>
      </c>
      <c r="K2408" s="224" t="s">
        <v>3089</v>
      </c>
      <c r="L2408" s="225" t="str">
        <f>VLOOKUP(Logfile_S[[#This Row],[Material Name]],Sheet2!B:C,2,0)</f>
        <v>GCI1003</v>
      </c>
      <c r="M2408" s="225" t="str">
        <f>_xlfn.XLOOKUP(Logfile_S[[#This Row],[Material Name]],Sum_WH!E:E,Sum_WH!F:F,"",0)</f>
        <v>Pcs</v>
      </c>
      <c r="N2408" s="221">
        <v>100</v>
      </c>
      <c r="O2408" s="221" t="s">
        <v>3314</v>
      </c>
      <c r="P2408" s="221" t="s">
        <v>3384</v>
      </c>
      <c r="Q2408" s="221">
        <v>0</v>
      </c>
      <c r="R2408" s="221">
        <v>0</v>
      </c>
      <c r="S2408" s="221"/>
      <c r="T2408" s="221"/>
      <c r="U2408" s="221"/>
      <c r="V2408" s="221"/>
      <c r="W2408" s="221"/>
      <c r="X2408" s="221"/>
      <c r="Y2408" s="227"/>
      <c r="Z2408" s="227" t="str">
        <f>P2408</f>
        <v>GRESIK</v>
      </c>
      <c r="AA2408" s="276" t="e">
        <f>VLOOKUP(Logfile_S[[#This Row],[DO number]],DO_DB!G:I,3,0)</f>
        <v>#N/A</v>
      </c>
      <c r="AB2408" s="331" t="e">
        <f>EXACT(Logfile_S[[#This Row],[date pick]],Logfile_S[[#This Row],[Date]])</f>
        <v>#N/A</v>
      </c>
      <c r="AC24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09" spans="1:29" ht="14.5">
      <c r="A2409" s="220" t="str">
        <f>TEXT(ROW(A2409)-ROW($A$4),"000")</f>
        <v>2405</v>
      </c>
      <c r="B2409" s="221"/>
      <c r="C2409" s="221" t="s">
        <v>3313</v>
      </c>
      <c r="D2409" s="221" t="s">
        <v>4381</v>
      </c>
      <c r="E2409" s="221" t="s">
        <v>3295</v>
      </c>
      <c r="F2409" s="221" t="s">
        <v>3299</v>
      </c>
      <c r="G2409" s="222">
        <v>45832</v>
      </c>
      <c r="H2409" s="223">
        <v>15.291666666666666</v>
      </c>
      <c r="I2409" s="221" t="s">
        <v>4918</v>
      </c>
      <c r="J2409" s="221" t="s">
        <v>3023</v>
      </c>
      <c r="K2409" s="224" t="s">
        <v>3073</v>
      </c>
      <c r="L2409" s="225" t="str">
        <f>VLOOKUP(Logfile_S[[#This Row],[Material Name]],Sheet2!B:C,2,0)</f>
        <v>ZTE2001</v>
      </c>
      <c r="M2409" s="225" t="str">
        <f>_xlfn.XLOOKUP(Logfile_S[[#This Row],[Material Name]],Sum_WH!E:E,Sum_WH!F:F,"",0)</f>
        <v>Meter</v>
      </c>
      <c r="N2409" s="227">
        <v>3000</v>
      </c>
      <c r="O2409" s="221" t="s">
        <v>3314</v>
      </c>
      <c r="P2409" s="221" t="s">
        <v>3384</v>
      </c>
      <c r="Q2409" s="221">
        <v>0</v>
      </c>
      <c r="R2409" s="221">
        <v>0</v>
      </c>
      <c r="S2409" s="221"/>
      <c r="T2409" s="221"/>
      <c r="U2409" s="221"/>
      <c r="V2409" s="221"/>
      <c r="W2409" s="221"/>
      <c r="X2409" s="221"/>
      <c r="Y2409" s="227" t="s">
        <v>5096</v>
      </c>
      <c r="Z2409" s="227" t="str">
        <f>P2409</f>
        <v>GRESIK</v>
      </c>
      <c r="AA2409" s="276" t="e">
        <f>VLOOKUP(Logfile_S[[#This Row],[DO number]],DO_DB!G:I,3,0)</f>
        <v>#N/A</v>
      </c>
      <c r="AB2409" s="331" t="e">
        <f>EXACT(Logfile_S[[#This Row],[date pick]],Logfile_S[[#This Row],[Date]])</f>
        <v>#N/A</v>
      </c>
      <c r="AC24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24C-2025624-01</v>
      </c>
    </row>
    <row r="2410" spans="1:29" ht="14.5">
      <c r="A2410" s="237" t="str">
        <f>TEXT(ROW(A2410)-ROW($A$4),"000")</f>
        <v>2406</v>
      </c>
      <c r="B2410" s="221"/>
      <c r="C2410" s="227" t="s">
        <v>3313</v>
      </c>
      <c r="D2410" s="227" t="s">
        <v>4381</v>
      </c>
      <c r="E2410" s="227" t="s">
        <v>3295</v>
      </c>
      <c r="F2410" s="227" t="s">
        <v>3299</v>
      </c>
      <c r="G2410" s="239">
        <v>45832</v>
      </c>
      <c r="H2410" s="240">
        <v>15.291666666666666</v>
      </c>
      <c r="I2410" s="227" t="s">
        <v>4918</v>
      </c>
      <c r="J2410" s="227" t="s">
        <v>3023</v>
      </c>
      <c r="K2410" s="241" t="s">
        <v>3073</v>
      </c>
      <c r="L2410" s="225" t="str">
        <f>VLOOKUP(Logfile_S[[#This Row],[Material Name]],Sheet2!B:C,2,0)</f>
        <v>ZTE2001</v>
      </c>
      <c r="M2410" s="242" t="str">
        <f>_xlfn.XLOOKUP(Logfile_S[[#This Row],[Material Name]],Sum_WH!E:E,Sum_WH!F:F,"",0)</f>
        <v>Meter</v>
      </c>
      <c r="N2410" s="227">
        <v>3000</v>
      </c>
      <c r="O2410" s="227" t="s">
        <v>3314</v>
      </c>
      <c r="P2410" s="227" t="s">
        <v>3384</v>
      </c>
      <c r="Q2410" s="227"/>
      <c r="R2410" s="227"/>
      <c r="S2410" s="227"/>
      <c r="T2410" s="227"/>
      <c r="U2410" s="227"/>
      <c r="V2410" s="227"/>
      <c r="W2410" s="227"/>
      <c r="X2410" s="227"/>
      <c r="Y2410" s="238" t="s">
        <v>5097</v>
      </c>
      <c r="Z2410" s="227" t="str">
        <f>P2410</f>
        <v>GRESIK</v>
      </c>
      <c r="AA2410" s="276" t="e">
        <f>VLOOKUP(Logfile_S[[#This Row],[DO number]],DO_DB!G:I,3,0)</f>
        <v>#N/A</v>
      </c>
      <c r="AB2410" s="331" t="e">
        <f>EXACT(Logfile_S[[#This Row],[date pick]],Logfile_S[[#This Row],[Date]])</f>
        <v>#N/A</v>
      </c>
      <c r="AC24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24C-2025624-03</v>
      </c>
    </row>
    <row r="2411" spans="1:29" ht="14.5">
      <c r="A2411" s="220" t="str">
        <f>TEXT(ROW(A2411)-ROW($A$4),"000")</f>
        <v>2407</v>
      </c>
      <c r="B2411" s="221"/>
      <c r="C2411" s="221" t="s">
        <v>3313</v>
      </c>
      <c r="D2411" s="221" t="s">
        <v>3809</v>
      </c>
      <c r="E2411" s="221" t="s">
        <v>3295</v>
      </c>
      <c r="F2411" s="221" t="s">
        <v>3299</v>
      </c>
      <c r="G2411" s="222">
        <v>45249</v>
      </c>
      <c r="H2411" s="223">
        <v>15.291666666666666</v>
      </c>
      <c r="I2411" s="221" t="s">
        <v>4919</v>
      </c>
      <c r="J2411" s="221" t="s">
        <v>3023</v>
      </c>
      <c r="K2411" s="224" t="s">
        <v>3071</v>
      </c>
      <c r="L2411" s="225" t="str">
        <f>VLOOKUP(Logfile_S[[#This Row],[Material Name]],Sheet2!B:C,2,0)</f>
        <v>ZTE1003</v>
      </c>
      <c r="M2411" s="225" t="str">
        <f>_xlfn.XLOOKUP(Logfile_S[[#This Row],[Material Name]],Sum_WH!E:E,Sum_WH!F:F,"",0)</f>
        <v>Pcs</v>
      </c>
      <c r="N2411" s="221">
        <v>7</v>
      </c>
      <c r="O2411" s="221" t="s">
        <v>3314</v>
      </c>
      <c r="P2411" s="221" t="s">
        <v>3369</v>
      </c>
      <c r="Q2411" s="221">
        <v>0</v>
      </c>
      <c r="R2411" s="221" t="s">
        <v>3147</v>
      </c>
      <c r="S2411" s="221"/>
      <c r="T2411" s="221"/>
      <c r="U2411" s="221"/>
      <c r="V2411" s="221"/>
      <c r="W2411" s="221"/>
      <c r="X2411" s="221" t="s">
        <v>3528</v>
      </c>
      <c r="Y2411" s="227"/>
      <c r="Z2411" s="227" t="str">
        <f>P2411</f>
        <v>JOMBANG</v>
      </c>
      <c r="AA2411" s="276" t="e">
        <f>VLOOKUP(Logfile_S[[#This Row],[DO number]],DO_DB!G:I,3,0)</f>
        <v>#N/A</v>
      </c>
      <c r="AB2411" s="331" t="e">
        <f>EXACT(Logfile_S[[#This Row],[date pick]],Logfile_S[[#This Row],[Date]])</f>
        <v>#N/A</v>
      </c>
      <c r="AC24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12" spans="1:29" ht="14.5">
      <c r="A2412" s="220" t="str">
        <f>TEXT(ROW(A2412)-ROW($A$4),"000")</f>
        <v>2408</v>
      </c>
      <c r="B2412" s="221"/>
      <c r="C2412" s="221" t="s">
        <v>3313</v>
      </c>
      <c r="D2412" s="221" t="s">
        <v>3819</v>
      </c>
      <c r="E2412" s="221" t="s">
        <v>3295</v>
      </c>
      <c r="F2412" s="221" t="s">
        <v>3299</v>
      </c>
      <c r="G2412" s="222">
        <v>45256</v>
      </c>
      <c r="H2412" s="223">
        <v>15.291666666666666</v>
      </c>
      <c r="I2412" s="221" t="s">
        <v>4919</v>
      </c>
      <c r="J2412" s="221" t="s">
        <v>3023</v>
      </c>
      <c r="K2412" s="224" t="s">
        <v>13</v>
      </c>
      <c r="L2412" s="225" t="str">
        <f>VLOOKUP(Logfile_S[[#This Row],[Material Name]],Sheet2!B:C,2,0)</f>
        <v>ZTE2008</v>
      </c>
      <c r="M2412" s="225" t="str">
        <f>_xlfn.XLOOKUP(Logfile_S[[#This Row],[Material Name]],Sum_WH!E:E,Sum_WH!F:F,"",0)</f>
        <v>Pcs</v>
      </c>
      <c r="N2412" s="221">
        <v>12</v>
      </c>
      <c r="O2412" s="221" t="s">
        <v>3314</v>
      </c>
      <c r="P2412" s="221" t="s">
        <v>3369</v>
      </c>
      <c r="Q2412" s="221">
        <v>0</v>
      </c>
      <c r="R2412" s="221" t="s">
        <v>3147</v>
      </c>
      <c r="S2412" s="221"/>
      <c r="T2412" s="221"/>
      <c r="U2412" s="221"/>
      <c r="V2412" s="221"/>
      <c r="W2412" s="221"/>
      <c r="X2412" s="221" t="s">
        <v>3528</v>
      </c>
      <c r="Y2412" s="227"/>
      <c r="Z2412" s="227" t="str">
        <f>P2412</f>
        <v>JOMBANG</v>
      </c>
      <c r="AA2412" s="276" t="e">
        <f>VLOOKUP(Logfile_S[[#This Row],[DO number]],DO_DB!G:I,3,0)</f>
        <v>#N/A</v>
      </c>
      <c r="AB2412" s="331" t="e">
        <f>EXACT(Logfile_S[[#This Row],[date pick]],Logfile_S[[#This Row],[Date]])</f>
        <v>#N/A</v>
      </c>
      <c r="AC24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13" spans="1:29" ht="14.5">
      <c r="A2413" s="220" t="str">
        <f>TEXT(ROW(A2413)-ROW($A$4),"000")</f>
        <v>2409</v>
      </c>
      <c r="B2413" s="221"/>
      <c r="C2413" s="221" t="s">
        <v>3313</v>
      </c>
      <c r="D2413" s="221" t="s">
        <v>3843</v>
      </c>
      <c r="E2413" s="221" t="s">
        <v>3295</v>
      </c>
      <c r="F2413" s="221" t="s">
        <v>3299</v>
      </c>
      <c r="G2413" s="222">
        <v>45285</v>
      </c>
      <c r="H2413" s="223">
        <v>15.291666666666666</v>
      </c>
      <c r="I2413" s="221" t="s">
        <v>4919</v>
      </c>
      <c r="J2413" s="221" t="s">
        <v>3023</v>
      </c>
      <c r="K2413" s="224" t="s">
        <v>13</v>
      </c>
      <c r="L2413" s="225" t="str">
        <f>VLOOKUP(Logfile_S[[#This Row],[Material Name]],Sheet2!B:C,2,0)</f>
        <v>ZTE2008</v>
      </c>
      <c r="M2413" s="225" t="str">
        <f>_xlfn.XLOOKUP(Logfile_S[[#This Row],[Material Name]],Sum_WH!E:E,Sum_WH!F:F,"",0)</f>
        <v>Pcs</v>
      </c>
      <c r="N2413" s="221">
        <v>16</v>
      </c>
      <c r="O2413" s="221" t="s">
        <v>3314</v>
      </c>
      <c r="P2413" s="221" t="s">
        <v>3369</v>
      </c>
      <c r="Q2413" s="221">
        <v>0</v>
      </c>
      <c r="R2413" s="221" t="s">
        <v>3147</v>
      </c>
      <c r="S2413" s="221"/>
      <c r="T2413" s="221"/>
      <c r="U2413" s="221"/>
      <c r="V2413" s="221"/>
      <c r="W2413" s="221"/>
      <c r="X2413" s="221" t="s">
        <v>3354</v>
      </c>
      <c r="Y2413" s="227"/>
      <c r="Z2413" s="227" t="str">
        <f>P2413</f>
        <v>JOMBANG</v>
      </c>
      <c r="AA2413" s="276" t="e">
        <f>VLOOKUP(Logfile_S[[#This Row],[DO number]],DO_DB!G:I,3,0)</f>
        <v>#N/A</v>
      </c>
      <c r="AB2413" s="331" t="e">
        <f>EXACT(Logfile_S[[#This Row],[date pick]],Logfile_S[[#This Row],[Date]])</f>
        <v>#N/A</v>
      </c>
      <c r="AC24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14" spans="1:29" ht="14.5">
      <c r="A2414" s="220" t="str">
        <f>TEXT(ROW(A2414)-ROW($A$4),"000")</f>
        <v>2410</v>
      </c>
      <c r="B2414" s="221"/>
      <c r="C2414" s="221" t="s">
        <v>3313</v>
      </c>
      <c r="D2414" s="221" t="s">
        <v>3843</v>
      </c>
      <c r="E2414" s="221" t="s">
        <v>3295</v>
      </c>
      <c r="F2414" s="221" t="s">
        <v>3299</v>
      </c>
      <c r="G2414" s="222">
        <v>45285</v>
      </c>
      <c r="H2414" s="223">
        <v>15.291666666666666</v>
      </c>
      <c r="I2414" s="221" t="s">
        <v>4919</v>
      </c>
      <c r="J2414" s="221" t="s">
        <v>3023</v>
      </c>
      <c r="K2414" s="224" t="s">
        <v>14</v>
      </c>
      <c r="L2414" s="225" t="str">
        <f>VLOOKUP(Logfile_S[[#This Row],[Material Name]],Sheet2!B:C,2,0)</f>
        <v>ZTE2005</v>
      </c>
      <c r="M2414" s="225" t="str">
        <f>_xlfn.XLOOKUP(Logfile_S[[#This Row],[Material Name]],Sum_WH!E:E,Sum_WH!F:F,"",0)</f>
        <v>Pcs</v>
      </c>
      <c r="N2414" s="221">
        <v>1</v>
      </c>
      <c r="O2414" s="221" t="s">
        <v>3314</v>
      </c>
      <c r="P2414" s="221" t="s">
        <v>3369</v>
      </c>
      <c r="Q2414" s="221">
        <v>0</v>
      </c>
      <c r="R2414" s="221" t="s">
        <v>3147</v>
      </c>
      <c r="S2414" s="221"/>
      <c r="T2414" s="221"/>
      <c r="U2414" s="221"/>
      <c r="V2414" s="221"/>
      <c r="W2414" s="221"/>
      <c r="X2414" s="221" t="s">
        <v>3354</v>
      </c>
      <c r="Y2414" s="227"/>
      <c r="Z2414" s="227" t="str">
        <f>P2414</f>
        <v>JOMBANG</v>
      </c>
      <c r="AA2414" s="276" t="e">
        <f>VLOOKUP(Logfile_S[[#This Row],[DO number]],DO_DB!G:I,3,0)</f>
        <v>#N/A</v>
      </c>
      <c r="AB2414" s="331" t="e">
        <f>EXACT(Logfile_S[[#This Row],[date pick]],Logfile_S[[#This Row],[Date]])</f>
        <v>#N/A</v>
      </c>
      <c r="AC24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15" spans="1:29" ht="14.5">
      <c r="A2415" s="220" t="str">
        <f>TEXT(ROW(A2415)-ROW($A$4),"000")</f>
        <v>2411</v>
      </c>
      <c r="B2415" s="221"/>
      <c r="C2415" s="221" t="s">
        <v>3313</v>
      </c>
      <c r="D2415" s="221" t="s">
        <v>3843</v>
      </c>
      <c r="E2415" s="221" t="s">
        <v>3295</v>
      </c>
      <c r="F2415" s="221" t="s">
        <v>3299</v>
      </c>
      <c r="G2415" s="222">
        <v>45285</v>
      </c>
      <c r="H2415" s="223">
        <v>15.291666666666666</v>
      </c>
      <c r="I2415" s="221" t="s">
        <v>4919</v>
      </c>
      <c r="J2415" s="221" t="s">
        <v>3023</v>
      </c>
      <c r="K2415" s="224" t="s">
        <v>3072</v>
      </c>
      <c r="L2415" s="225" t="str">
        <f>VLOOKUP(Logfile_S[[#This Row],[Material Name]],Sheet2!B:C,2,0)</f>
        <v>ZTE1004</v>
      </c>
      <c r="M2415" s="225" t="str">
        <f>_xlfn.XLOOKUP(Logfile_S[[#This Row],[Material Name]],Sum_WH!E:E,Sum_WH!F:F,"",0)</f>
        <v>Pcs</v>
      </c>
      <c r="N2415" s="221">
        <v>1</v>
      </c>
      <c r="O2415" s="221" t="s">
        <v>3314</v>
      </c>
      <c r="P2415" s="221" t="s">
        <v>3369</v>
      </c>
      <c r="Q2415" s="221">
        <v>0</v>
      </c>
      <c r="R2415" s="221" t="s">
        <v>3147</v>
      </c>
      <c r="S2415" s="221"/>
      <c r="T2415" s="221"/>
      <c r="U2415" s="221"/>
      <c r="V2415" s="221"/>
      <c r="W2415" s="221"/>
      <c r="X2415" s="221" t="s">
        <v>3354</v>
      </c>
      <c r="Y2415" s="227"/>
      <c r="Z2415" s="227" t="str">
        <f>P2415</f>
        <v>JOMBANG</v>
      </c>
      <c r="AA2415" s="276" t="e">
        <f>VLOOKUP(Logfile_S[[#This Row],[DO number]],DO_DB!G:I,3,0)</f>
        <v>#N/A</v>
      </c>
      <c r="AB2415" s="331" t="e">
        <f>EXACT(Logfile_S[[#This Row],[date pick]],Logfile_S[[#This Row],[Date]])</f>
        <v>#N/A</v>
      </c>
      <c r="AC24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16" spans="1:29" ht="14.5">
      <c r="A2416" s="220" t="str">
        <f>TEXT(ROW(A2416)-ROW($A$4),"000")</f>
        <v>2412</v>
      </c>
      <c r="B2416" s="221"/>
      <c r="C2416" s="221" t="s">
        <v>3313</v>
      </c>
      <c r="D2416" s="221" t="s">
        <v>3907</v>
      </c>
      <c r="E2416" s="221" t="s">
        <v>3295</v>
      </c>
      <c r="F2416" s="221" t="s">
        <v>3299</v>
      </c>
      <c r="G2416" s="222">
        <v>45318</v>
      </c>
      <c r="H2416" s="223">
        <v>15.291666666666666</v>
      </c>
      <c r="I2416" s="221" t="s">
        <v>4919</v>
      </c>
      <c r="J2416" s="221" t="s">
        <v>3024</v>
      </c>
      <c r="K2416" s="224" t="s">
        <v>3097</v>
      </c>
      <c r="L2416" s="225" t="str">
        <f>VLOOKUP(Logfile_S[[#This Row],[Material Name]],Sheet2!B:C,2,0)</f>
        <v>GCI1011</v>
      </c>
      <c r="M2416" s="225" t="str">
        <f>_xlfn.XLOOKUP(Logfile_S[[#This Row],[Material Name]],Sum_WH!E:E,Sum_WH!F:F,"",0)</f>
        <v>Pcs</v>
      </c>
      <c r="N2416" s="221">
        <v>1</v>
      </c>
      <c r="O2416" s="221" t="s">
        <v>3314</v>
      </c>
      <c r="P2416" s="221" t="s">
        <v>3369</v>
      </c>
      <c r="Q2416" s="221">
        <v>0</v>
      </c>
      <c r="R2416" s="221">
        <v>0</v>
      </c>
      <c r="S2416" s="221"/>
      <c r="T2416" s="221"/>
      <c r="U2416" s="221"/>
      <c r="V2416" s="221"/>
      <c r="W2416" s="221"/>
      <c r="X2416" s="221" t="s">
        <v>3448</v>
      </c>
      <c r="Y2416" s="227"/>
      <c r="Z2416" s="227" t="str">
        <f>P2416</f>
        <v>JOMBANG</v>
      </c>
      <c r="AA2416" s="276" t="e">
        <f>VLOOKUP(Logfile_S[[#This Row],[DO number]],DO_DB!G:I,3,0)</f>
        <v>#N/A</v>
      </c>
      <c r="AB2416" s="331" t="e">
        <f>EXACT(Logfile_S[[#This Row],[date pick]],Logfile_S[[#This Row],[Date]])</f>
        <v>#N/A</v>
      </c>
      <c r="AC24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17" spans="1:29" ht="14.5">
      <c r="A2417" s="220" t="str">
        <f>TEXT(ROW(A2417)-ROW($A$4),"000")</f>
        <v>2413</v>
      </c>
      <c r="B2417" s="221"/>
      <c r="C2417" s="221" t="s">
        <v>3313</v>
      </c>
      <c r="D2417" s="221" t="s">
        <v>3907</v>
      </c>
      <c r="E2417" s="221" t="s">
        <v>3295</v>
      </c>
      <c r="F2417" s="221" t="s">
        <v>3299</v>
      </c>
      <c r="G2417" s="222">
        <v>45318</v>
      </c>
      <c r="H2417" s="223">
        <v>15.291666666666666</v>
      </c>
      <c r="I2417" s="221" t="s">
        <v>4919</v>
      </c>
      <c r="J2417" s="221" t="s">
        <v>3024</v>
      </c>
      <c r="K2417" s="224" t="s">
        <v>3094</v>
      </c>
      <c r="L2417" s="225" t="str">
        <f>VLOOKUP(Logfile_S[[#This Row],[Material Name]],Sheet2!B:C,2,0)</f>
        <v>GCI1008</v>
      </c>
      <c r="M2417" s="225" t="str">
        <f>_xlfn.XLOOKUP(Logfile_S[[#This Row],[Material Name]],Sum_WH!E:E,Sum_WH!F:F,"",0)</f>
        <v>Pcs</v>
      </c>
      <c r="N2417" s="221">
        <v>100</v>
      </c>
      <c r="O2417" s="221" t="s">
        <v>3314</v>
      </c>
      <c r="P2417" s="221" t="s">
        <v>3369</v>
      </c>
      <c r="Q2417" s="221">
        <v>0</v>
      </c>
      <c r="R2417" s="221">
        <v>0</v>
      </c>
      <c r="S2417" s="221"/>
      <c r="T2417" s="221"/>
      <c r="U2417" s="221"/>
      <c r="V2417" s="221"/>
      <c r="W2417" s="221"/>
      <c r="X2417" s="221" t="s">
        <v>3448</v>
      </c>
      <c r="Y2417" s="227"/>
      <c r="Z2417" s="227" t="str">
        <f>P2417</f>
        <v>JOMBANG</v>
      </c>
      <c r="AA2417" s="276" t="e">
        <f>VLOOKUP(Logfile_S[[#This Row],[DO number]],DO_DB!G:I,3,0)</f>
        <v>#N/A</v>
      </c>
      <c r="AB2417" s="331" t="e">
        <f>EXACT(Logfile_S[[#This Row],[date pick]],Logfile_S[[#This Row],[Date]])</f>
        <v>#N/A</v>
      </c>
      <c r="AC24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18" spans="1:29" ht="14.5">
      <c r="A2418" s="220" t="str">
        <f>TEXT(ROW(A2418)-ROW($A$4),"000")</f>
        <v>2414</v>
      </c>
      <c r="B2418" s="221"/>
      <c r="C2418" s="221" t="s">
        <v>3313</v>
      </c>
      <c r="D2418" s="221" t="s">
        <v>3907</v>
      </c>
      <c r="E2418" s="221" t="s">
        <v>3295</v>
      </c>
      <c r="F2418" s="221" t="s">
        <v>3299</v>
      </c>
      <c r="G2418" s="222">
        <v>45318</v>
      </c>
      <c r="H2418" s="223">
        <v>15.291666666666666</v>
      </c>
      <c r="I2418" s="221" t="s">
        <v>4919</v>
      </c>
      <c r="J2418" s="221" t="s">
        <v>3024</v>
      </c>
      <c r="K2418" s="224" t="s">
        <v>3090</v>
      </c>
      <c r="L2418" s="225" t="str">
        <f>VLOOKUP(Logfile_S[[#This Row],[Material Name]],Sheet2!B:C,2,0)</f>
        <v>GCI1004</v>
      </c>
      <c r="M2418" s="225" t="str">
        <f>_xlfn.XLOOKUP(Logfile_S[[#This Row],[Material Name]],Sum_WH!E:E,Sum_WH!F:F,"",0)</f>
        <v>Pcs</v>
      </c>
      <c r="N2418" s="221">
        <v>80</v>
      </c>
      <c r="O2418" s="221" t="s">
        <v>3314</v>
      </c>
      <c r="P2418" s="221" t="s">
        <v>3369</v>
      </c>
      <c r="Q2418" s="221">
        <v>0</v>
      </c>
      <c r="R2418" s="221">
        <v>0</v>
      </c>
      <c r="S2418" s="221"/>
      <c r="T2418" s="221"/>
      <c r="U2418" s="221"/>
      <c r="V2418" s="221"/>
      <c r="W2418" s="221"/>
      <c r="X2418" s="221" t="s">
        <v>3448</v>
      </c>
      <c r="Y2418" s="227"/>
      <c r="Z2418" s="227" t="str">
        <f>P2418</f>
        <v>JOMBANG</v>
      </c>
      <c r="AA2418" s="276" t="e">
        <f>VLOOKUP(Logfile_S[[#This Row],[DO number]],DO_DB!G:I,3,0)</f>
        <v>#N/A</v>
      </c>
      <c r="AB2418" s="331" t="e">
        <f>EXACT(Logfile_S[[#This Row],[date pick]],Logfile_S[[#This Row],[Date]])</f>
        <v>#N/A</v>
      </c>
      <c r="AC24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19" spans="1:29" ht="14.5">
      <c r="A2419" s="220" t="str">
        <f>TEXT(ROW(A2419)-ROW($A$4),"000")</f>
        <v>2415</v>
      </c>
      <c r="B2419" s="221"/>
      <c r="C2419" s="221" t="s">
        <v>3313</v>
      </c>
      <c r="D2419" s="221" t="s">
        <v>4000</v>
      </c>
      <c r="E2419" s="221" t="s">
        <v>3295</v>
      </c>
      <c r="F2419" s="221" t="s">
        <v>3299</v>
      </c>
      <c r="G2419" s="222">
        <v>45383</v>
      </c>
      <c r="H2419" s="223">
        <v>15.291666666666666</v>
      </c>
      <c r="I2419" s="221" t="s">
        <v>4919</v>
      </c>
      <c r="J2419" s="221" t="s">
        <v>3024</v>
      </c>
      <c r="K2419" s="224" t="s">
        <v>3091</v>
      </c>
      <c r="L2419" s="225" t="str">
        <f>VLOOKUP(Logfile_S[[#This Row],[Material Name]],Sheet2!B:C,2,0)</f>
        <v>GCI1005</v>
      </c>
      <c r="M2419" s="225" t="str">
        <f>_xlfn.XLOOKUP(Logfile_S[[#This Row],[Material Name]],Sum_WH!E:E,Sum_WH!F:F,"",0)</f>
        <v>Pcs</v>
      </c>
      <c r="N2419" s="221">
        <v>300</v>
      </c>
      <c r="O2419" s="221" t="s">
        <v>3314</v>
      </c>
      <c r="P2419" s="221" t="s">
        <v>3369</v>
      </c>
      <c r="Q2419" s="221">
        <v>0</v>
      </c>
      <c r="R2419" s="221">
        <v>0</v>
      </c>
      <c r="S2419" s="221"/>
      <c r="T2419" s="221"/>
      <c r="U2419" s="221"/>
      <c r="V2419" s="221"/>
      <c r="W2419" s="221"/>
      <c r="X2419" s="221"/>
      <c r="Y2419" s="227"/>
      <c r="Z2419" s="227" t="str">
        <f>P2419</f>
        <v>JOMBANG</v>
      </c>
      <c r="AA2419" s="276" t="e">
        <f>VLOOKUP(Logfile_S[[#This Row],[DO number]],DO_DB!G:I,3,0)</f>
        <v>#N/A</v>
      </c>
      <c r="AB2419" s="331" t="e">
        <f>EXACT(Logfile_S[[#This Row],[date pick]],Logfile_S[[#This Row],[Date]])</f>
        <v>#N/A</v>
      </c>
      <c r="AC24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20" spans="1:29" ht="14.5">
      <c r="A2420" s="220" t="str">
        <f>TEXT(ROW(A2420)-ROW($A$4),"000")</f>
        <v>2416</v>
      </c>
      <c r="B2420" s="221"/>
      <c r="C2420" s="221" t="s">
        <v>3313</v>
      </c>
      <c r="D2420" s="221" t="s">
        <v>4000</v>
      </c>
      <c r="E2420" s="221" t="s">
        <v>3295</v>
      </c>
      <c r="F2420" s="221" t="s">
        <v>3299</v>
      </c>
      <c r="G2420" s="222">
        <v>45383</v>
      </c>
      <c r="H2420" s="223">
        <v>15.291666666666666</v>
      </c>
      <c r="I2420" s="221" t="s">
        <v>4919</v>
      </c>
      <c r="J2420" s="221" t="s">
        <v>3024</v>
      </c>
      <c r="K2420" s="224" t="s">
        <v>3090</v>
      </c>
      <c r="L2420" s="225" t="str">
        <f>VLOOKUP(Logfile_S[[#This Row],[Material Name]],Sheet2!B:C,2,0)</f>
        <v>GCI1004</v>
      </c>
      <c r="M2420" s="225" t="str">
        <f>_xlfn.XLOOKUP(Logfile_S[[#This Row],[Material Name]],Sum_WH!E:E,Sum_WH!F:F,"",0)</f>
        <v>Pcs</v>
      </c>
      <c r="N2420" s="221">
        <v>50</v>
      </c>
      <c r="O2420" s="221" t="s">
        <v>3314</v>
      </c>
      <c r="P2420" s="221" t="s">
        <v>3369</v>
      </c>
      <c r="Q2420" s="221">
        <v>0</v>
      </c>
      <c r="R2420" s="221">
        <v>0</v>
      </c>
      <c r="S2420" s="221"/>
      <c r="T2420" s="221"/>
      <c r="U2420" s="221"/>
      <c r="V2420" s="221"/>
      <c r="W2420" s="221"/>
      <c r="X2420" s="221"/>
      <c r="Y2420" s="227"/>
      <c r="Z2420" s="227" t="str">
        <f>P2420</f>
        <v>JOMBANG</v>
      </c>
      <c r="AA2420" s="276" t="e">
        <f>VLOOKUP(Logfile_S[[#This Row],[DO number]],DO_DB!G:I,3,0)</f>
        <v>#N/A</v>
      </c>
      <c r="AB2420" s="331" t="e">
        <f>EXACT(Logfile_S[[#This Row],[date pick]],Logfile_S[[#This Row],[Date]])</f>
        <v>#N/A</v>
      </c>
      <c r="AC24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21" spans="1:29" ht="14.5">
      <c r="A2421" s="220" t="str">
        <f>TEXT(ROW(A2421)-ROW($A$4),"000")</f>
        <v>2417</v>
      </c>
      <c r="B2421" s="221"/>
      <c r="C2421" s="221" t="s">
        <v>3313</v>
      </c>
      <c r="D2421" s="221" t="s">
        <v>3706</v>
      </c>
      <c r="E2421" s="221" t="s">
        <v>3295</v>
      </c>
      <c r="F2421" s="221" t="s">
        <v>3299</v>
      </c>
      <c r="G2421" s="222">
        <v>45183</v>
      </c>
      <c r="H2421" s="223">
        <v>15.291666666666666</v>
      </c>
      <c r="I2421" s="221" t="s">
        <v>4920</v>
      </c>
      <c r="J2421" s="221" t="s">
        <v>3024</v>
      </c>
      <c r="K2421" s="224" t="s">
        <v>3098</v>
      </c>
      <c r="L2421" s="225" t="str">
        <f>VLOOKUP(Logfile_S[[#This Row],[Material Name]],Sheet2!B:C,2,0)</f>
        <v>GCI1012</v>
      </c>
      <c r="M2421" s="225" t="str">
        <f>_xlfn.XLOOKUP(Logfile_S[[#This Row],[Material Name]],Sum_WH!E:E,Sum_WH!F:F,"",0)</f>
        <v>Pcs</v>
      </c>
      <c r="N2421" s="221">
        <v>8</v>
      </c>
      <c r="O2421" s="221" t="s">
        <v>3314</v>
      </c>
      <c r="P2421" s="221" t="s">
        <v>3315</v>
      </c>
      <c r="Q2421" s="221">
        <v>0</v>
      </c>
      <c r="R2421" s="221">
        <v>0</v>
      </c>
      <c r="S2421" s="221"/>
      <c r="T2421" s="221"/>
      <c r="U2421" s="221"/>
      <c r="V2421" s="221"/>
      <c r="W2421" s="221"/>
      <c r="X2421" s="221" t="s">
        <v>3316</v>
      </c>
      <c r="Y2421" s="227"/>
      <c r="Z2421" s="227" t="str">
        <f>P2421</f>
        <v>KEDIRI</v>
      </c>
      <c r="AA2421" s="276" t="e">
        <f>VLOOKUP(Logfile_S[[#This Row],[DO number]],DO_DB!G:I,3,0)</f>
        <v>#N/A</v>
      </c>
      <c r="AB2421" s="331" t="e">
        <f>EXACT(Logfile_S[[#This Row],[date pick]],Logfile_S[[#This Row],[Date]])</f>
        <v>#N/A</v>
      </c>
      <c r="AC24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22" spans="1:29" ht="14.5">
      <c r="A2422" s="220" t="str">
        <f>TEXT(ROW(A2422)-ROW($A$4),"000")</f>
        <v>2418</v>
      </c>
      <c r="B2422" s="221"/>
      <c r="C2422" s="221" t="s">
        <v>3313</v>
      </c>
      <c r="D2422" s="221" t="s">
        <v>3706</v>
      </c>
      <c r="E2422" s="221" t="s">
        <v>3295</v>
      </c>
      <c r="F2422" s="221" t="s">
        <v>3299</v>
      </c>
      <c r="G2422" s="222">
        <v>45183</v>
      </c>
      <c r="H2422" s="223">
        <v>15.291666666666666</v>
      </c>
      <c r="I2422" s="221" t="s">
        <v>4920</v>
      </c>
      <c r="J2422" s="221" t="s">
        <v>3023</v>
      </c>
      <c r="K2422" s="224" t="s">
        <v>13</v>
      </c>
      <c r="L2422" s="225" t="str">
        <f>VLOOKUP(Logfile_S[[#This Row],[Material Name]],Sheet2!B:C,2,0)</f>
        <v>ZTE2008</v>
      </c>
      <c r="M2422" s="225" t="str">
        <f>_xlfn.XLOOKUP(Logfile_S[[#This Row],[Material Name]],Sum_WH!E:E,Sum_WH!F:F,"",0)</f>
        <v>Pcs</v>
      </c>
      <c r="N2422" s="221">
        <v>1</v>
      </c>
      <c r="O2422" s="221" t="s">
        <v>3314</v>
      </c>
      <c r="P2422" s="221" t="s">
        <v>3315</v>
      </c>
      <c r="Q2422" s="221">
        <v>0</v>
      </c>
      <c r="R2422" s="221" t="s">
        <v>3147</v>
      </c>
      <c r="S2422" s="221"/>
      <c r="T2422" s="221"/>
      <c r="U2422" s="221"/>
      <c r="V2422" s="221"/>
      <c r="W2422" s="221"/>
      <c r="X2422" s="221" t="s">
        <v>3524</v>
      </c>
      <c r="Y2422" s="227"/>
      <c r="Z2422" s="227" t="str">
        <f>P2422</f>
        <v>KEDIRI</v>
      </c>
      <c r="AA2422" s="276" t="e">
        <f>VLOOKUP(Logfile_S[[#This Row],[DO number]],DO_DB!G:I,3,0)</f>
        <v>#N/A</v>
      </c>
      <c r="AB2422" s="331" t="e">
        <f>EXACT(Logfile_S[[#This Row],[date pick]],Logfile_S[[#This Row],[Date]])</f>
        <v>#N/A</v>
      </c>
      <c r="AC24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23" spans="1:29" ht="14.5">
      <c r="A2423" s="220" t="str">
        <f>TEXT(ROW(A2423)-ROW($A$4),"000")</f>
        <v>2419</v>
      </c>
      <c r="B2423" s="221"/>
      <c r="C2423" s="221" t="s">
        <v>3313</v>
      </c>
      <c r="D2423" s="221" t="s">
        <v>3744</v>
      </c>
      <c r="E2423" s="221" t="s">
        <v>3295</v>
      </c>
      <c r="F2423" s="221" t="s">
        <v>3299</v>
      </c>
      <c r="G2423" s="222">
        <v>45208</v>
      </c>
      <c r="H2423" s="223">
        <v>15.291666666666666</v>
      </c>
      <c r="I2423" s="221" t="s">
        <v>4920</v>
      </c>
      <c r="J2423" s="221" t="s">
        <v>3024</v>
      </c>
      <c r="K2423" s="224" t="s">
        <v>3091</v>
      </c>
      <c r="L2423" s="225" t="str">
        <f>VLOOKUP(Logfile_S[[#This Row],[Material Name]],Sheet2!B:C,2,0)</f>
        <v>GCI1005</v>
      </c>
      <c r="M2423" s="225" t="str">
        <f>_xlfn.XLOOKUP(Logfile_S[[#This Row],[Material Name]],Sum_WH!E:E,Sum_WH!F:F,"",0)</f>
        <v>Pcs</v>
      </c>
      <c r="N2423" s="221">
        <v>50</v>
      </c>
      <c r="O2423" s="221" t="s">
        <v>3314</v>
      </c>
      <c r="P2423" s="221" t="s">
        <v>3315</v>
      </c>
      <c r="Q2423" s="221">
        <v>0</v>
      </c>
      <c r="R2423" s="221">
        <v>0</v>
      </c>
      <c r="S2423" s="221"/>
      <c r="T2423" s="221"/>
      <c r="U2423" s="221"/>
      <c r="V2423" s="221"/>
      <c r="W2423" s="221"/>
      <c r="X2423" s="221" t="s">
        <v>3348</v>
      </c>
      <c r="Y2423" s="227"/>
      <c r="Z2423" s="227" t="str">
        <f>P2423</f>
        <v>KEDIRI</v>
      </c>
      <c r="AA2423" s="276" t="e">
        <f>VLOOKUP(Logfile_S[[#This Row],[DO number]],DO_DB!G:I,3,0)</f>
        <v>#N/A</v>
      </c>
      <c r="AB2423" s="331" t="e">
        <f>EXACT(Logfile_S[[#This Row],[date pick]],Logfile_S[[#This Row],[Date]])</f>
        <v>#N/A</v>
      </c>
      <c r="AC24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24" spans="1:29" ht="14.5">
      <c r="A2424" s="220" t="str">
        <f>TEXT(ROW(A2424)-ROW($A$4),"000")</f>
        <v>2420</v>
      </c>
      <c r="B2424" s="221"/>
      <c r="C2424" s="221" t="s">
        <v>3313</v>
      </c>
      <c r="D2424" s="221" t="s">
        <v>3744</v>
      </c>
      <c r="E2424" s="221" t="s">
        <v>3295</v>
      </c>
      <c r="F2424" s="221" t="s">
        <v>3299</v>
      </c>
      <c r="G2424" s="222">
        <v>45208</v>
      </c>
      <c r="H2424" s="223">
        <v>15.291666666666666</v>
      </c>
      <c r="I2424" s="221" t="s">
        <v>4920</v>
      </c>
      <c r="J2424" s="221" t="s">
        <v>3023</v>
      </c>
      <c r="K2424" s="224" t="s">
        <v>13</v>
      </c>
      <c r="L2424" s="225" t="str">
        <f>VLOOKUP(Logfile_S[[#This Row],[Material Name]],Sheet2!B:C,2,0)</f>
        <v>ZTE2008</v>
      </c>
      <c r="M2424" s="225" t="str">
        <f>_xlfn.XLOOKUP(Logfile_S[[#This Row],[Material Name]],Sum_WH!E:E,Sum_WH!F:F,"",0)</f>
        <v>Pcs</v>
      </c>
      <c r="N2424" s="221">
        <v>18</v>
      </c>
      <c r="O2424" s="221" t="s">
        <v>3314</v>
      </c>
      <c r="P2424" s="221" t="s">
        <v>3315</v>
      </c>
      <c r="Q2424" s="221">
        <v>0</v>
      </c>
      <c r="R2424" s="221" t="s">
        <v>3147</v>
      </c>
      <c r="S2424" s="221"/>
      <c r="T2424" s="221"/>
      <c r="U2424" s="221"/>
      <c r="V2424" s="221"/>
      <c r="W2424" s="221"/>
      <c r="X2424" s="221" t="s">
        <v>3348</v>
      </c>
      <c r="Y2424" s="227"/>
      <c r="Z2424" s="227" t="str">
        <f>P2424</f>
        <v>KEDIRI</v>
      </c>
      <c r="AA2424" s="276" t="e">
        <f>VLOOKUP(Logfile_S[[#This Row],[DO number]],DO_DB!G:I,3,0)</f>
        <v>#N/A</v>
      </c>
      <c r="AB2424" s="331" t="e">
        <f>EXACT(Logfile_S[[#This Row],[date pick]],Logfile_S[[#This Row],[Date]])</f>
        <v>#N/A</v>
      </c>
      <c r="AC24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25" spans="1:29" ht="14.5">
      <c r="A2425" s="220" t="str">
        <f>TEXT(ROW(A2425)-ROW($A$4),"000")</f>
        <v>2421</v>
      </c>
      <c r="B2425" s="221"/>
      <c r="C2425" s="221" t="s">
        <v>3313</v>
      </c>
      <c r="D2425" s="221" t="s">
        <v>3836</v>
      </c>
      <c r="E2425" s="221" t="s">
        <v>3295</v>
      </c>
      <c r="F2425" s="221" t="s">
        <v>3299</v>
      </c>
      <c r="G2425" s="222">
        <v>45275</v>
      </c>
      <c r="H2425" s="223">
        <v>15.291666666666666</v>
      </c>
      <c r="I2425" s="221" t="s">
        <v>4920</v>
      </c>
      <c r="J2425" s="221" t="s">
        <v>3024</v>
      </c>
      <c r="K2425" s="224" t="s">
        <v>5137</v>
      </c>
      <c r="L2425" s="225" t="str">
        <f>VLOOKUP(Logfile_S[[#This Row],[Material Name]],Sheet2!B:C,2,0)</f>
        <v>GCI1009</v>
      </c>
      <c r="M2425" s="225" t="str">
        <f>_xlfn.XLOOKUP(Logfile_S[[#This Row],[Material Name]],Sum_WH!E:E,Sum_WH!F:F,"",0)</f>
        <v>Pcs</v>
      </c>
      <c r="N2425" s="221">
        <v>188</v>
      </c>
      <c r="O2425" s="221" t="s">
        <v>3314</v>
      </c>
      <c r="P2425" s="221" t="s">
        <v>3315</v>
      </c>
      <c r="Q2425" s="221">
        <v>0</v>
      </c>
      <c r="R2425" s="221">
        <v>0</v>
      </c>
      <c r="S2425" s="221"/>
      <c r="T2425" s="221"/>
      <c r="U2425" s="221"/>
      <c r="V2425" s="221"/>
      <c r="W2425" s="221"/>
      <c r="X2425" s="221" t="s">
        <v>3417</v>
      </c>
      <c r="Y2425" s="227"/>
      <c r="Z2425" s="227" t="str">
        <f>P2425</f>
        <v>KEDIRI</v>
      </c>
      <c r="AA2425" s="276" t="e">
        <f>VLOOKUP(Logfile_S[[#This Row],[DO number]],DO_DB!G:I,3,0)</f>
        <v>#N/A</v>
      </c>
      <c r="AB2425" s="331" t="e">
        <f>EXACT(Logfile_S[[#This Row],[date pick]],Logfile_S[[#This Row],[Date]])</f>
        <v>#N/A</v>
      </c>
      <c r="AC24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26" spans="1:29" ht="14.5">
      <c r="A2426" s="220" t="str">
        <f>TEXT(ROW(A2426)-ROW($A$4),"000")</f>
        <v>2422</v>
      </c>
      <c r="B2426" s="221"/>
      <c r="C2426" s="221" t="s">
        <v>3313</v>
      </c>
      <c r="D2426" s="221" t="s">
        <v>3836</v>
      </c>
      <c r="E2426" s="221" t="s">
        <v>3295</v>
      </c>
      <c r="F2426" s="221" t="s">
        <v>3299</v>
      </c>
      <c r="G2426" s="222">
        <v>45275</v>
      </c>
      <c r="H2426" s="223">
        <v>15.291666666666666</v>
      </c>
      <c r="I2426" s="221" t="s">
        <v>4920</v>
      </c>
      <c r="J2426" s="221" t="s">
        <v>3024</v>
      </c>
      <c r="K2426" s="224" t="s">
        <v>3094</v>
      </c>
      <c r="L2426" s="225" t="str">
        <f>VLOOKUP(Logfile_S[[#This Row],[Material Name]],Sheet2!B:C,2,0)</f>
        <v>GCI1008</v>
      </c>
      <c r="M2426" s="225" t="str">
        <f>_xlfn.XLOOKUP(Logfile_S[[#This Row],[Material Name]],Sum_WH!E:E,Sum_WH!F:F,"",0)</f>
        <v>Pcs</v>
      </c>
      <c r="N2426" s="221">
        <v>46</v>
      </c>
      <c r="O2426" s="221" t="s">
        <v>3314</v>
      </c>
      <c r="P2426" s="221" t="s">
        <v>3315</v>
      </c>
      <c r="Q2426" s="221">
        <v>0</v>
      </c>
      <c r="R2426" s="221">
        <v>0</v>
      </c>
      <c r="S2426" s="221"/>
      <c r="T2426" s="221"/>
      <c r="U2426" s="221"/>
      <c r="V2426" s="221"/>
      <c r="W2426" s="221"/>
      <c r="X2426" s="221" t="s">
        <v>3417</v>
      </c>
      <c r="Y2426" s="227"/>
      <c r="Z2426" s="227" t="str">
        <f>P2426</f>
        <v>KEDIRI</v>
      </c>
      <c r="AA2426" s="276" t="e">
        <f>VLOOKUP(Logfile_S[[#This Row],[DO number]],DO_DB!G:I,3,0)</f>
        <v>#N/A</v>
      </c>
      <c r="AB2426" s="331" t="e">
        <f>EXACT(Logfile_S[[#This Row],[date pick]],Logfile_S[[#This Row],[Date]])</f>
        <v>#N/A</v>
      </c>
      <c r="AC24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27" spans="1:29" ht="14.5">
      <c r="A2427" s="220" t="str">
        <f>TEXT(ROW(A2427)-ROW($A$4),"000")</f>
        <v>2423</v>
      </c>
      <c r="B2427" s="221"/>
      <c r="C2427" s="221" t="s">
        <v>3313</v>
      </c>
      <c r="D2427" s="221" t="s">
        <v>3843</v>
      </c>
      <c r="E2427" s="221" t="s">
        <v>3295</v>
      </c>
      <c r="F2427" s="221" t="s">
        <v>3299</v>
      </c>
      <c r="G2427" s="222">
        <v>45285</v>
      </c>
      <c r="H2427" s="223">
        <v>15.291666666666666</v>
      </c>
      <c r="I2427" s="221" t="s">
        <v>4920</v>
      </c>
      <c r="J2427" s="221" t="s">
        <v>3024</v>
      </c>
      <c r="K2427" s="224" t="s">
        <v>3091</v>
      </c>
      <c r="L2427" s="225" t="str">
        <f>VLOOKUP(Logfile_S[[#This Row],[Material Name]],Sheet2!B:C,2,0)</f>
        <v>GCI1005</v>
      </c>
      <c r="M2427" s="225" t="str">
        <f>_xlfn.XLOOKUP(Logfile_S[[#This Row],[Material Name]],Sum_WH!E:E,Sum_WH!F:F,"",0)</f>
        <v>Pcs</v>
      </c>
      <c r="N2427" s="221">
        <v>22</v>
      </c>
      <c r="O2427" s="221" t="s">
        <v>3314</v>
      </c>
      <c r="P2427" s="221" t="s">
        <v>3315</v>
      </c>
      <c r="Q2427" s="221">
        <v>0</v>
      </c>
      <c r="R2427" s="221">
        <v>0</v>
      </c>
      <c r="S2427" s="221"/>
      <c r="T2427" s="221"/>
      <c r="U2427" s="221"/>
      <c r="V2427" s="221"/>
      <c r="W2427" s="221"/>
      <c r="X2427" s="221" t="s">
        <v>3354</v>
      </c>
      <c r="Y2427" s="227"/>
      <c r="Z2427" s="227" t="str">
        <f>P2427</f>
        <v>KEDIRI</v>
      </c>
      <c r="AA2427" s="276" t="e">
        <f>VLOOKUP(Logfile_S[[#This Row],[DO number]],DO_DB!G:I,3,0)</f>
        <v>#N/A</v>
      </c>
      <c r="AB2427" s="331" t="e">
        <f>EXACT(Logfile_S[[#This Row],[date pick]],Logfile_S[[#This Row],[Date]])</f>
        <v>#N/A</v>
      </c>
      <c r="AC24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28" spans="1:29" ht="14.5">
      <c r="A2428" s="220" t="str">
        <f>TEXT(ROW(A2428)-ROW($A$4),"000")</f>
        <v>2424</v>
      </c>
      <c r="B2428" s="221"/>
      <c r="C2428" s="221" t="s">
        <v>3313</v>
      </c>
      <c r="D2428" s="221" t="s">
        <v>4298</v>
      </c>
      <c r="E2428" s="221" t="s">
        <v>3295</v>
      </c>
      <c r="F2428" s="221" t="s">
        <v>3299</v>
      </c>
      <c r="G2428" s="222">
        <v>45634</v>
      </c>
      <c r="H2428" s="223">
        <v>15.291666666666666</v>
      </c>
      <c r="I2428" s="221" t="s">
        <v>4920</v>
      </c>
      <c r="J2428" s="221" t="s">
        <v>3024</v>
      </c>
      <c r="K2428" s="224" t="s">
        <v>3087</v>
      </c>
      <c r="L2428" s="225" t="str">
        <f>VLOOKUP(Logfile_S[[#This Row],[Material Name]],Sheet2!B:C,2,0)</f>
        <v>GCI1001</v>
      </c>
      <c r="M2428" s="225" t="str">
        <f>_xlfn.XLOOKUP(Logfile_S[[#This Row],[Material Name]],Sum_WH!E:E,Sum_WH!F:F,"",0)</f>
        <v>Pcs</v>
      </c>
      <c r="N2428" s="221">
        <v>50</v>
      </c>
      <c r="O2428" s="221" t="s">
        <v>3314</v>
      </c>
      <c r="P2428" s="221" t="s">
        <v>3315</v>
      </c>
      <c r="Q2428" s="221">
        <v>0</v>
      </c>
      <c r="R2428" s="221">
        <v>0</v>
      </c>
      <c r="S2428" s="221"/>
      <c r="T2428" s="221"/>
      <c r="U2428" s="221"/>
      <c r="V2428" s="221"/>
      <c r="W2428" s="221"/>
      <c r="X2428" s="221"/>
      <c r="Y2428" s="227"/>
      <c r="Z2428" s="227" t="str">
        <f>P2428</f>
        <v>KEDIRI</v>
      </c>
      <c r="AA2428" s="276" t="e">
        <f>VLOOKUP(Logfile_S[[#This Row],[DO number]],DO_DB!G:I,3,0)</f>
        <v>#N/A</v>
      </c>
      <c r="AB2428" s="331" t="e">
        <f>EXACT(Logfile_S[[#This Row],[date pick]],Logfile_S[[#This Row],[Date]])</f>
        <v>#N/A</v>
      </c>
      <c r="AC24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29" spans="1:29" ht="14.5">
      <c r="A2429" s="220" t="str">
        <f>TEXT(ROW(A2429)-ROW($A$4),"000")</f>
        <v>2425</v>
      </c>
      <c r="B2429" s="221"/>
      <c r="C2429" s="221" t="s">
        <v>3313</v>
      </c>
      <c r="D2429" s="221" t="s">
        <v>4298</v>
      </c>
      <c r="E2429" s="221" t="s">
        <v>3295</v>
      </c>
      <c r="F2429" s="221" t="s">
        <v>3299</v>
      </c>
      <c r="G2429" s="222">
        <v>45634</v>
      </c>
      <c r="H2429" s="223">
        <v>15.291666666666666</v>
      </c>
      <c r="I2429" s="221" t="s">
        <v>4920</v>
      </c>
      <c r="J2429" s="221" t="s">
        <v>3024</v>
      </c>
      <c r="K2429" s="224" t="s">
        <v>3094</v>
      </c>
      <c r="L2429" s="225" t="str">
        <f>VLOOKUP(Logfile_S[[#This Row],[Material Name]],Sheet2!B:C,2,0)</f>
        <v>GCI1008</v>
      </c>
      <c r="M2429" s="225" t="str">
        <f>_xlfn.XLOOKUP(Logfile_S[[#This Row],[Material Name]],Sum_WH!E:E,Sum_WH!F:F,"",0)</f>
        <v>Pcs</v>
      </c>
      <c r="N2429" s="221">
        <v>50</v>
      </c>
      <c r="O2429" s="221" t="s">
        <v>3314</v>
      </c>
      <c r="P2429" s="221" t="s">
        <v>3315</v>
      </c>
      <c r="Q2429" s="221">
        <v>0</v>
      </c>
      <c r="R2429" s="221">
        <v>0</v>
      </c>
      <c r="S2429" s="221"/>
      <c r="T2429" s="221"/>
      <c r="U2429" s="221"/>
      <c r="V2429" s="221"/>
      <c r="W2429" s="221"/>
      <c r="X2429" s="221"/>
      <c r="Y2429" s="227"/>
      <c r="Z2429" s="227" t="str">
        <f>P2429</f>
        <v>KEDIRI</v>
      </c>
      <c r="AA2429" s="276" t="e">
        <f>VLOOKUP(Logfile_S[[#This Row],[DO number]],DO_DB!G:I,3,0)</f>
        <v>#N/A</v>
      </c>
      <c r="AB2429" s="331" t="e">
        <f>EXACT(Logfile_S[[#This Row],[date pick]],Logfile_S[[#This Row],[Date]])</f>
        <v>#N/A</v>
      </c>
      <c r="AC24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30" spans="1:29" ht="14.5">
      <c r="A2430" s="220" t="str">
        <f>TEXT(ROW(A2430)-ROW($A$4),"000")</f>
        <v>2426</v>
      </c>
      <c r="B2430" s="221"/>
      <c r="C2430" s="221" t="s">
        <v>3313</v>
      </c>
      <c r="D2430" s="221" t="s">
        <v>4383</v>
      </c>
      <c r="E2430" s="221" t="s">
        <v>3295</v>
      </c>
      <c r="F2430" s="221" t="s">
        <v>3299</v>
      </c>
      <c r="G2430" s="222">
        <v>45832</v>
      </c>
      <c r="H2430" s="223">
        <v>15.291666666666666</v>
      </c>
      <c r="I2430" s="227" t="s">
        <v>3297</v>
      </c>
      <c r="J2430" s="221" t="s">
        <v>3024</v>
      </c>
      <c r="K2430" s="224" t="s">
        <v>5137</v>
      </c>
      <c r="L2430" s="225" t="str">
        <f>VLOOKUP(Logfile_S[[#This Row],[Material Name]],Sheet2!B:C,2,0)</f>
        <v>GCI1009</v>
      </c>
      <c r="M2430" s="225" t="str">
        <f>_xlfn.XLOOKUP(Logfile_S[[#This Row],[Material Name]],Sum_WH!E:E,Sum_WH!F:F,"",0)</f>
        <v>Pcs</v>
      </c>
      <c r="N2430" s="221">
        <v>500</v>
      </c>
      <c r="O2430" s="221" t="s">
        <v>3314</v>
      </c>
      <c r="P2430" s="221" t="s">
        <v>3423</v>
      </c>
      <c r="Q2430" s="221">
        <v>0</v>
      </c>
      <c r="R2430" s="221">
        <v>0</v>
      </c>
      <c r="S2430" s="221"/>
      <c r="T2430" s="221"/>
      <c r="U2430" s="221"/>
      <c r="V2430" s="221"/>
      <c r="W2430" s="221"/>
      <c r="X2430" s="221"/>
      <c r="Y2430" s="227"/>
      <c r="Z2430" s="227" t="str">
        <f>P2430</f>
        <v>LAMONGAN</v>
      </c>
      <c r="AA2430" s="276" t="e">
        <f>VLOOKUP(Logfile_S[[#This Row],[DO number]],DO_DB!G:I,3,0)</f>
        <v>#N/A</v>
      </c>
      <c r="AB2430" s="331" t="e">
        <f>EXACT(Logfile_S[[#This Row],[date pick]],Logfile_S[[#This Row],[Date]])</f>
        <v>#N/A</v>
      </c>
      <c r="AC24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31" spans="1:29" ht="14.5">
      <c r="A2431" s="220" t="str">
        <f>TEXT(ROW(A2431)-ROW($A$4),"000")</f>
        <v>2427</v>
      </c>
      <c r="B2431" s="221"/>
      <c r="C2431" s="221" t="s">
        <v>3313</v>
      </c>
      <c r="D2431" s="221" t="s">
        <v>4383</v>
      </c>
      <c r="E2431" s="221" t="s">
        <v>3295</v>
      </c>
      <c r="F2431" s="221" t="s">
        <v>3299</v>
      </c>
      <c r="G2431" s="222">
        <v>45832</v>
      </c>
      <c r="H2431" s="223">
        <v>15.291666666666666</v>
      </c>
      <c r="I2431" s="227" t="s">
        <v>3297</v>
      </c>
      <c r="J2431" s="221" t="s">
        <v>3024</v>
      </c>
      <c r="K2431" s="224" t="s">
        <v>3088</v>
      </c>
      <c r="L2431" s="225" t="str">
        <f>VLOOKUP(Logfile_S[[#This Row],[Material Name]],Sheet2!B:C,2,0)</f>
        <v>GCI1002</v>
      </c>
      <c r="M2431" s="225" t="str">
        <f>_xlfn.XLOOKUP(Logfile_S[[#This Row],[Material Name]],Sum_WH!E:E,Sum_WH!F:F,"",0)</f>
        <v>Pcs</v>
      </c>
      <c r="N2431" s="221">
        <v>4</v>
      </c>
      <c r="O2431" s="221" t="s">
        <v>3314</v>
      </c>
      <c r="P2431" s="221" t="s">
        <v>3423</v>
      </c>
      <c r="Q2431" s="221">
        <v>0</v>
      </c>
      <c r="R2431" s="221">
        <v>0</v>
      </c>
      <c r="S2431" s="221"/>
      <c r="T2431" s="221"/>
      <c r="U2431" s="221"/>
      <c r="V2431" s="221"/>
      <c r="W2431" s="221"/>
      <c r="X2431" s="221"/>
      <c r="Y2431" s="227"/>
      <c r="Z2431" s="227" t="str">
        <f>P2431</f>
        <v>LAMONGAN</v>
      </c>
      <c r="AA2431" s="276" t="e">
        <f>VLOOKUP(Logfile_S[[#This Row],[DO number]],DO_DB!G:I,3,0)</f>
        <v>#N/A</v>
      </c>
      <c r="AB2431" s="331" t="e">
        <f>EXACT(Logfile_S[[#This Row],[date pick]],Logfile_S[[#This Row],[Date]])</f>
        <v>#N/A</v>
      </c>
      <c r="AC24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32" spans="1:29" ht="14.5">
      <c r="A2432" s="220" t="str">
        <f>TEXT(ROW(A2432)-ROW($A$4),"000")</f>
        <v>2428</v>
      </c>
      <c r="B2432" s="221"/>
      <c r="C2432" s="221" t="s">
        <v>3313</v>
      </c>
      <c r="D2432" s="221" t="s">
        <v>4298</v>
      </c>
      <c r="E2432" s="221" t="s">
        <v>3295</v>
      </c>
      <c r="F2432" s="221" t="s">
        <v>3299</v>
      </c>
      <c r="G2432" s="222">
        <v>45634</v>
      </c>
      <c r="H2432" s="223">
        <v>15.291666666666666</v>
      </c>
      <c r="I2432" s="221" t="s">
        <v>4921</v>
      </c>
      <c r="J2432" s="221" t="s">
        <v>3024</v>
      </c>
      <c r="K2432" s="224" t="s">
        <v>3087</v>
      </c>
      <c r="L2432" s="225" t="str">
        <f>VLOOKUP(Logfile_S[[#This Row],[Material Name]],Sheet2!B:C,2,0)</f>
        <v>GCI1001</v>
      </c>
      <c r="M2432" s="225" t="str">
        <f>_xlfn.XLOOKUP(Logfile_S[[#This Row],[Material Name]],Sum_WH!E:E,Sum_WH!F:F,"",0)</f>
        <v>Pcs</v>
      </c>
      <c r="N2432" s="221">
        <v>25</v>
      </c>
      <c r="O2432" s="221" t="s">
        <v>3314</v>
      </c>
      <c r="P2432" s="221" t="s">
        <v>3408</v>
      </c>
      <c r="Q2432" s="221">
        <v>0</v>
      </c>
      <c r="R2432" s="221">
        <v>0</v>
      </c>
      <c r="S2432" s="221"/>
      <c r="T2432" s="221"/>
      <c r="U2432" s="221"/>
      <c r="V2432" s="221"/>
      <c r="W2432" s="221"/>
      <c r="X2432" s="221"/>
      <c r="Y2432" s="227"/>
      <c r="Z2432" s="227" t="str">
        <f>P2432</f>
        <v>MADIUN</v>
      </c>
      <c r="AA2432" s="276" t="e">
        <f>VLOOKUP(Logfile_S[[#This Row],[DO number]],DO_DB!G:I,3,0)</f>
        <v>#N/A</v>
      </c>
      <c r="AB2432" s="331" t="e">
        <f>EXACT(Logfile_S[[#This Row],[date pick]],Logfile_S[[#This Row],[Date]])</f>
        <v>#N/A</v>
      </c>
      <c r="AC24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33" spans="1:29" ht="14.5">
      <c r="A2433" s="220" t="str">
        <f>TEXT(ROW(A2433)-ROW($A$4),"000")</f>
        <v>2429</v>
      </c>
      <c r="B2433" s="221"/>
      <c r="C2433" s="221" t="s">
        <v>3313</v>
      </c>
      <c r="D2433" s="221" t="s">
        <v>4298</v>
      </c>
      <c r="E2433" s="221" t="s">
        <v>3295</v>
      </c>
      <c r="F2433" s="221" t="s">
        <v>3299</v>
      </c>
      <c r="G2433" s="222">
        <v>45634</v>
      </c>
      <c r="H2433" s="223">
        <v>15.291666666666666</v>
      </c>
      <c r="I2433" s="221" t="s">
        <v>4921</v>
      </c>
      <c r="J2433" s="221" t="s">
        <v>3024</v>
      </c>
      <c r="K2433" s="224" t="s">
        <v>3094</v>
      </c>
      <c r="L2433" s="225" t="str">
        <f>VLOOKUP(Logfile_S[[#This Row],[Material Name]],Sheet2!B:C,2,0)</f>
        <v>GCI1008</v>
      </c>
      <c r="M2433" s="225" t="str">
        <f>_xlfn.XLOOKUP(Logfile_S[[#This Row],[Material Name]],Sum_WH!E:E,Sum_WH!F:F,"",0)</f>
        <v>Pcs</v>
      </c>
      <c r="N2433" s="221">
        <v>50</v>
      </c>
      <c r="O2433" s="221" t="s">
        <v>3314</v>
      </c>
      <c r="P2433" s="221" t="s">
        <v>3408</v>
      </c>
      <c r="Q2433" s="221">
        <v>0</v>
      </c>
      <c r="R2433" s="221">
        <v>0</v>
      </c>
      <c r="S2433" s="221"/>
      <c r="T2433" s="221"/>
      <c r="U2433" s="221"/>
      <c r="V2433" s="221"/>
      <c r="W2433" s="221"/>
      <c r="X2433" s="221"/>
      <c r="Y2433" s="227"/>
      <c r="Z2433" s="227" t="str">
        <f>P2433</f>
        <v>MADIUN</v>
      </c>
      <c r="AA2433" s="276" t="e">
        <f>VLOOKUP(Logfile_S[[#This Row],[DO number]],DO_DB!G:I,3,0)</f>
        <v>#N/A</v>
      </c>
      <c r="AB2433" s="331" t="e">
        <f>EXACT(Logfile_S[[#This Row],[date pick]],Logfile_S[[#This Row],[Date]])</f>
        <v>#N/A</v>
      </c>
      <c r="AC24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34" spans="1:29" ht="14.5">
      <c r="A2434" s="220" t="str">
        <f>TEXT(ROW(A2434)-ROW($A$4),"000")</f>
        <v>2430</v>
      </c>
      <c r="B2434" s="221"/>
      <c r="C2434" s="221" t="s">
        <v>3313</v>
      </c>
      <c r="D2434" s="221" t="s">
        <v>4298</v>
      </c>
      <c r="E2434" s="221" t="s">
        <v>3295</v>
      </c>
      <c r="F2434" s="221" t="s">
        <v>3299</v>
      </c>
      <c r="G2434" s="222">
        <v>45634</v>
      </c>
      <c r="H2434" s="223">
        <v>15.291666666666666</v>
      </c>
      <c r="I2434" s="221" t="s">
        <v>4921</v>
      </c>
      <c r="J2434" s="221" t="s">
        <v>3024</v>
      </c>
      <c r="K2434" s="224" t="s">
        <v>3090</v>
      </c>
      <c r="L2434" s="225" t="str">
        <f>VLOOKUP(Logfile_S[[#This Row],[Material Name]],Sheet2!B:C,2,0)</f>
        <v>GCI1004</v>
      </c>
      <c r="M2434" s="225" t="str">
        <f>_xlfn.XLOOKUP(Logfile_S[[#This Row],[Material Name]],Sum_WH!E:E,Sum_WH!F:F,"",0)</f>
        <v>Pcs</v>
      </c>
      <c r="N2434" s="221">
        <v>100</v>
      </c>
      <c r="O2434" s="221" t="s">
        <v>3314</v>
      </c>
      <c r="P2434" s="221" t="s">
        <v>3408</v>
      </c>
      <c r="Q2434" s="221">
        <v>0</v>
      </c>
      <c r="R2434" s="221">
        <v>0</v>
      </c>
      <c r="S2434" s="221"/>
      <c r="T2434" s="221"/>
      <c r="U2434" s="221"/>
      <c r="V2434" s="221"/>
      <c r="W2434" s="221"/>
      <c r="X2434" s="221"/>
      <c r="Y2434" s="227"/>
      <c r="Z2434" s="227" t="str">
        <f>P2434</f>
        <v>MADIUN</v>
      </c>
      <c r="AA2434" s="276" t="e">
        <f>VLOOKUP(Logfile_S[[#This Row],[DO number]],DO_DB!G:I,3,0)</f>
        <v>#N/A</v>
      </c>
      <c r="AB2434" s="331" t="e">
        <f>EXACT(Logfile_S[[#This Row],[date pick]],Logfile_S[[#This Row],[Date]])</f>
        <v>#N/A</v>
      </c>
      <c r="AC24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35" spans="1:29" ht="14.5">
      <c r="A2435" s="220" t="str">
        <f>TEXT(ROW(A2435)-ROW($A$4),"000")</f>
        <v>2431</v>
      </c>
      <c r="B2435" s="221"/>
      <c r="C2435" s="221" t="s">
        <v>3449</v>
      </c>
      <c r="D2435" s="221" t="s">
        <v>4253</v>
      </c>
      <c r="E2435" s="221" t="s">
        <v>3295</v>
      </c>
      <c r="F2435" s="221" t="s">
        <v>3299</v>
      </c>
      <c r="G2435" s="222">
        <v>45588</v>
      </c>
      <c r="H2435" s="223">
        <v>0.79791666666666672</v>
      </c>
      <c r="I2435" s="221" t="s">
        <v>3193</v>
      </c>
      <c r="J2435" s="221" t="s">
        <v>3024</v>
      </c>
      <c r="K2435" s="224" t="s">
        <v>16</v>
      </c>
      <c r="L2435" s="225" t="str">
        <f>VLOOKUP(Logfile_S[[#This Row],[Material Name]],Sheet2!B:C,2,0)</f>
        <v>ZTE2020</v>
      </c>
      <c r="M2435" s="225" t="str">
        <f>_xlfn.XLOOKUP(Logfile_S[[#This Row],[Material Name]],Sum_WH!E:E,Sum_WH!F:F,"",0)</f>
        <v>Meter</v>
      </c>
      <c r="N2435" s="221">
        <v>20</v>
      </c>
      <c r="O2435" s="221" t="s">
        <v>3314</v>
      </c>
      <c r="P2435" s="221" t="s">
        <v>4254</v>
      </c>
      <c r="Q2435" s="221"/>
      <c r="R2435" s="221"/>
      <c r="S2435" s="221"/>
      <c r="T2435" s="221">
        <v>0</v>
      </c>
      <c r="U2435" s="221">
        <v>0</v>
      </c>
      <c r="V2435" s="221">
        <v>0</v>
      </c>
      <c r="W2435" s="221">
        <v>0</v>
      </c>
      <c r="X2435" s="221"/>
      <c r="Y2435" s="227"/>
      <c r="Z2435" s="227" t="str">
        <f>P2435</f>
        <v>MYREP</v>
      </c>
      <c r="AA2435" s="276" t="e">
        <f>VLOOKUP(Logfile_S[[#This Row],[DO number]],DO_DB!G:I,3,0)</f>
        <v>#N/A</v>
      </c>
      <c r="AB2435" s="331" t="e">
        <f>EXACT(Logfile_S[[#This Row],[date pick]],Logfile_S[[#This Row],[Date]])</f>
        <v>#N/A</v>
      </c>
      <c r="AC24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BORROW OUT_</v>
      </c>
    </row>
    <row r="2436" spans="1:29" ht="14.5">
      <c r="A2436" s="220" t="str">
        <f>TEXT(ROW(A2436)-ROW($A$4),"000")</f>
        <v>2432</v>
      </c>
      <c r="B2436" s="221"/>
      <c r="C2436" s="221" t="s">
        <v>3313</v>
      </c>
      <c r="D2436" s="221" t="s">
        <v>4023</v>
      </c>
      <c r="E2436" s="221" t="s">
        <v>3295</v>
      </c>
      <c r="F2436" s="221" t="s">
        <v>3299</v>
      </c>
      <c r="G2436" s="222">
        <v>45405</v>
      </c>
      <c r="H2436" s="223">
        <v>15.291666666666666</v>
      </c>
      <c r="I2436" s="221" t="s">
        <v>4922</v>
      </c>
      <c r="J2436" s="221" t="s">
        <v>3024</v>
      </c>
      <c r="K2436" s="224" t="s">
        <v>3087</v>
      </c>
      <c r="L2436" s="225" t="str">
        <f>VLOOKUP(Logfile_S[[#This Row],[Material Name]],Sheet2!B:C,2,0)</f>
        <v>GCI1001</v>
      </c>
      <c r="M2436" s="225" t="str">
        <f>_xlfn.XLOOKUP(Logfile_S[[#This Row],[Material Name]],Sum_WH!E:E,Sum_WH!F:F,"",0)</f>
        <v>Pcs</v>
      </c>
      <c r="N2436" s="221">
        <v>75</v>
      </c>
      <c r="O2436" s="221" t="s">
        <v>3314</v>
      </c>
      <c r="P2436" s="221" t="s">
        <v>3395</v>
      </c>
      <c r="Q2436" s="221">
        <v>0</v>
      </c>
      <c r="R2436" s="221">
        <v>0</v>
      </c>
      <c r="S2436" s="221"/>
      <c r="T2436" s="221"/>
      <c r="U2436" s="221"/>
      <c r="V2436" s="221"/>
      <c r="W2436" s="221"/>
      <c r="X2436" s="221"/>
      <c r="Y2436" s="227"/>
      <c r="Z2436" s="227" t="str">
        <f>P2436</f>
        <v>NGAWI</v>
      </c>
      <c r="AA2436" s="276" t="e">
        <f>VLOOKUP(Logfile_S[[#This Row],[DO number]],DO_DB!G:I,3,0)</f>
        <v>#N/A</v>
      </c>
      <c r="AB2436" s="331" t="e">
        <f>EXACT(Logfile_S[[#This Row],[date pick]],Logfile_S[[#This Row],[Date]])</f>
        <v>#N/A</v>
      </c>
      <c r="AC24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37" spans="1:29" ht="14.5">
      <c r="A2437" s="220" t="str">
        <f>TEXT(ROW(A2437)-ROW($A$4),"000")</f>
        <v>2433</v>
      </c>
      <c r="B2437" s="221"/>
      <c r="C2437" s="221" t="s">
        <v>3313</v>
      </c>
      <c r="D2437" s="221" t="s">
        <v>4023</v>
      </c>
      <c r="E2437" s="221" t="s">
        <v>3295</v>
      </c>
      <c r="F2437" s="221" t="s">
        <v>3299</v>
      </c>
      <c r="G2437" s="222">
        <v>45405</v>
      </c>
      <c r="H2437" s="223">
        <v>15.291666666666666</v>
      </c>
      <c r="I2437" s="221" t="s">
        <v>4922</v>
      </c>
      <c r="J2437" s="221" t="s">
        <v>3024</v>
      </c>
      <c r="K2437" s="224" t="s">
        <v>5137</v>
      </c>
      <c r="L2437" s="225" t="str">
        <f>VLOOKUP(Logfile_S[[#This Row],[Material Name]],Sheet2!B:C,2,0)</f>
        <v>GCI1009</v>
      </c>
      <c r="M2437" s="225" t="str">
        <f>_xlfn.XLOOKUP(Logfile_S[[#This Row],[Material Name]],Sum_WH!E:E,Sum_WH!F:F,"",0)</f>
        <v>Pcs</v>
      </c>
      <c r="N2437" s="221">
        <v>291</v>
      </c>
      <c r="O2437" s="221" t="s">
        <v>3314</v>
      </c>
      <c r="P2437" s="221" t="s">
        <v>3395</v>
      </c>
      <c r="Q2437" s="221">
        <v>0</v>
      </c>
      <c r="R2437" s="221">
        <v>0</v>
      </c>
      <c r="S2437" s="221"/>
      <c r="T2437" s="221"/>
      <c r="U2437" s="221"/>
      <c r="V2437" s="221"/>
      <c r="W2437" s="221"/>
      <c r="X2437" s="221"/>
      <c r="Y2437" s="227"/>
      <c r="Z2437" s="227" t="str">
        <f>P2437</f>
        <v>NGAWI</v>
      </c>
      <c r="AA2437" s="276" t="e">
        <f>VLOOKUP(Logfile_S[[#This Row],[DO number]],DO_DB!G:I,3,0)</f>
        <v>#N/A</v>
      </c>
      <c r="AB2437" s="331" t="e">
        <f>EXACT(Logfile_S[[#This Row],[date pick]],Logfile_S[[#This Row],[Date]])</f>
        <v>#N/A</v>
      </c>
      <c r="AC24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38" spans="1:29" ht="14.5">
      <c r="A2438" s="220" t="str">
        <f>TEXT(ROW(A2438)-ROW($A$4),"000")</f>
        <v>2434</v>
      </c>
      <c r="B2438" s="221"/>
      <c r="C2438" s="221" t="s">
        <v>3313</v>
      </c>
      <c r="D2438" s="221" t="s">
        <v>4023</v>
      </c>
      <c r="E2438" s="221" t="s">
        <v>3295</v>
      </c>
      <c r="F2438" s="221" t="s">
        <v>3299</v>
      </c>
      <c r="G2438" s="222">
        <v>45405</v>
      </c>
      <c r="H2438" s="223">
        <v>15.291666666666666</v>
      </c>
      <c r="I2438" s="221" t="s">
        <v>4922</v>
      </c>
      <c r="J2438" s="221" t="s">
        <v>3024</v>
      </c>
      <c r="K2438" s="224" t="s">
        <v>3088</v>
      </c>
      <c r="L2438" s="225" t="str">
        <f>VLOOKUP(Logfile_S[[#This Row],[Material Name]],Sheet2!B:C,2,0)</f>
        <v>GCI1002</v>
      </c>
      <c r="M2438" s="225" t="str">
        <f>_xlfn.XLOOKUP(Logfile_S[[#This Row],[Material Name]],Sum_WH!E:E,Sum_WH!F:F,"",0)</f>
        <v>Pcs</v>
      </c>
      <c r="N2438" s="221">
        <v>6</v>
      </c>
      <c r="O2438" s="221" t="s">
        <v>3314</v>
      </c>
      <c r="P2438" s="221" t="s">
        <v>3395</v>
      </c>
      <c r="Q2438" s="221">
        <v>0</v>
      </c>
      <c r="R2438" s="221">
        <v>0</v>
      </c>
      <c r="S2438" s="221"/>
      <c r="T2438" s="221"/>
      <c r="U2438" s="221"/>
      <c r="V2438" s="221"/>
      <c r="W2438" s="221"/>
      <c r="X2438" s="221"/>
      <c r="Y2438" s="227"/>
      <c r="Z2438" s="227" t="str">
        <f>P2438</f>
        <v>NGAWI</v>
      </c>
      <c r="AA2438" s="276" t="e">
        <f>VLOOKUP(Logfile_S[[#This Row],[DO number]],DO_DB!G:I,3,0)</f>
        <v>#N/A</v>
      </c>
      <c r="AB2438" s="331" t="e">
        <f>EXACT(Logfile_S[[#This Row],[date pick]],Logfile_S[[#This Row],[Date]])</f>
        <v>#N/A</v>
      </c>
      <c r="AC24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39" spans="1:29" ht="14.5">
      <c r="A2439" s="220" t="str">
        <f>TEXT(ROW(A2439)-ROW($A$4),"000")</f>
        <v>2435</v>
      </c>
      <c r="B2439" s="221"/>
      <c r="C2439" s="221" t="s">
        <v>3313</v>
      </c>
      <c r="D2439" s="221" t="s">
        <v>4023</v>
      </c>
      <c r="E2439" s="221" t="s">
        <v>3295</v>
      </c>
      <c r="F2439" s="221" t="s">
        <v>3299</v>
      </c>
      <c r="G2439" s="222">
        <v>45405</v>
      </c>
      <c r="H2439" s="223">
        <v>15.291666666666666</v>
      </c>
      <c r="I2439" s="221" t="s">
        <v>4922</v>
      </c>
      <c r="J2439" s="221" t="s">
        <v>3024</v>
      </c>
      <c r="K2439" s="224" t="s">
        <v>3090</v>
      </c>
      <c r="L2439" s="225" t="str">
        <f>VLOOKUP(Logfile_S[[#This Row],[Material Name]],Sheet2!B:C,2,0)</f>
        <v>GCI1004</v>
      </c>
      <c r="M2439" s="225" t="str">
        <f>_xlfn.XLOOKUP(Logfile_S[[#This Row],[Material Name]],Sum_WH!E:E,Sum_WH!F:F,"",0)</f>
        <v>Pcs</v>
      </c>
      <c r="N2439" s="221">
        <v>50</v>
      </c>
      <c r="O2439" s="221" t="s">
        <v>3314</v>
      </c>
      <c r="P2439" s="221" t="s">
        <v>3395</v>
      </c>
      <c r="Q2439" s="221">
        <v>0</v>
      </c>
      <c r="R2439" s="221">
        <v>0</v>
      </c>
      <c r="S2439" s="221"/>
      <c r="T2439" s="221"/>
      <c r="U2439" s="221"/>
      <c r="V2439" s="221"/>
      <c r="W2439" s="221"/>
      <c r="X2439" s="221"/>
      <c r="Y2439" s="227"/>
      <c r="Z2439" s="227" t="str">
        <f>P2439</f>
        <v>NGAWI</v>
      </c>
      <c r="AA2439" s="276" t="e">
        <f>VLOOKUP(Logfile_S[[#This Row],[DO number]],DO_DB!G:I,3,0)</f>
        <v>#N/A</v>
      </c>
      <c r="AB2439" s="331" t="e">
        <f>EXACT(Logfile_S[[#This Row],[date pick]],Logfile_S[[#This Row],[Date]])</f>
        <v>#N/A</v>
      </c>
      <c r="AC24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40" spans="1:29" ht="14.5">
      <c r="A2440" s="220" t="str">
        <f>TEXT(ROW(A2440)-ROW($A$4),"000")</f>
        <v>2436</v>
      </c>
      <c r="B2440" s="221"/>
      <c r="C2440" s="221" t="s">
        <v>3388</v>
      </c>
      <c r="D2440" s="221" t="s">
        <v>3736</v>
      </c>
      <c r="E2440" s="221" t="s">
        <v>3295</v>
      </c>
      <c r="F2440" s="221" t="s">
        <v>3299</v>
      </c>
      <c r="G2440" s="222">
        <v>45201</v>
      </c>
      <c r="H2440" s="223">
        <v>0.87361111111111101</v>
      </c>
      <c r="I2440" s="221" t="s">
        <v>4916</v>
      </c>
      <c r="J2440" s="221" t="s">
        <v>3024</v>
      </c>
      <c r="K2440" s="224" t="s">
        <v>3087</v>
      </c>
      <c r="L2440" s="225" t="str">
        <f>VLOOKUP(Logfile_S[[#This Row],[Material Name]],Sheet2!B:C,2,0)</f>
        <v>GCI1001</v>
      </c>
      <c r="M2440" s="225" t="str">
        <f>_xlfn.XLOOKUP(Logfile_S[[#This Row],[Material Name]],Sum_WH!E:E,Sum_WH!F:F,"",0)</f>
        <v>Pcs</v>
      </c>
      <c r="N2440" s="221">
        <v>6</v>
      </c>
      <c r="O2440" s="221" t="s">
        <v>3314</v>
      </c>
      <c r="P2440" s="221" t="s">
        <v>3223</v>
      </c>
      <c r="Q2440" s="221"/>
      <c r="R2440" s="221"/>
      <c r="S2440" s="221"/>
      <c r="T2440" s="221" t="s">
        <v>3389</v>
      </c>
      <c r="U2440" s="221">
        <v>0</v>
      </c>
      <c r="V2440" s="221">
        <v>0</v>
      </c>
      <c r="W2440" s="221">
        <v>0</v>
      </c>
      <c r="X2440" s="221"/>
      <c r="Y2440" s="227"/>
      <c r="Z2440" s="227" t="str">
        <f>P2440</f>
        <v>Transfer Gudang</v>
      </c>
      <c r="AA2440" s="276" t="e">
        <f>VLOOKUP(Logfile_S[[#This Row],[DO number]],DO_DB!G:I,3,0)</f>
        <v>#N/A</v>
      </c>
      <c r="AB2440" s="331" t="e">
        <f>EXACT(Logfile_S[[#This Row],[date pick]],Logfile_S[[#This Row],[Date]])</f>
        <v>#N/A</v>
      </c>
      <c r="AC24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441" spans="1:29" ht="14.5">
      <c r="A2441" s="220" t="str">
        <f>TEXT(ROW(A2441)-ROW($A$4),"000")</f>
        <v>2437</v>
      </c>
      <c r="B2441" s="221"/>
      <c r="C2441" s="221" t="s">
        <v>3388</v>
      </c>
      <c r="D2441" s="221" t="s">
        <v>3751</v>
      </c>
      <c r="E2441" s="221" t="s">
        <v>3295</v>
      </c>
      <c r="F2441" s="221" t="s">
        <v>3299</v>
      </c>
      <c r="G2441" s="222">
        <v>45211</v>
      </c>
      <c r="H2441" s="223">
        <v>0.80902777777777779</v>
      </c>
      <c r="I2441" s="221" t="s">
        <v>4916</v>
      </c>
      <c r="J2441" s="221" t="s">
        <v>3023</v>
      </c>
      <c r="K2441" s="224" t="s">
        <v>3072</v>
      </c>
      <c r="L2441" s="225" t="str">
        <f>VLOOKUP(Logfile_S[[#This Row],[Material Name]],Sheet2!B:C,2,0)</f>
        <v>ZTE1004</v>
      </c>
      <c r="M2441" s="225" t="str">
        <f>_xlfn.XLOOKUP(Logfile_S[[#This Row],[Material Name]],Sum_WH!E:E,Sum_WH!F:F,"",0)</f>
        <v>Pcs</v>
      </c>
      <c r="N2441" s="221">
        <v>1</v>
      </c>
      <c r="O2441" s="221" t="s">
        <v>3314</v>
      </c>
      <c r="P2441" s="221" t="s">
        <v>3223</v>
      </c>
      <c r="Q2441" s="221"/>
      <c r="R2441" s="221"/>
      <c r="S2441" s="221"/>
      <c r="T2441" s="221" t="s">
        <v>3389</v>
      </c>
      <c r="U2441" s="221">
        <v>0</v>
      </c>
      <c r="V2441" s="221">
        <v>0</v>
      </c>
      <c r="W2441" s="221">
        <v>0</v>
      </c>
      <c r="X2441" s="221" t="s">
        <v>3209</v>
      </c>
      <c r="Y2441" s="227"/>
      <c r="Z2441" s="227" t="str">
        <f>P2441</f>
        <v>Transfer Gudang</v>
      </c>
      <c r="AA2441" s="276" t="e">
        <f>VLOOKUP(Logfile_S[[#This Row],[DO number]],DO_DB!G:I,3,0)</f>
        <v>#N/A</v>
      </c>
      <c r="AB2441" s="331" t="e">
        <f>EXACT(Logfile_S[[#This Row],[date pick]],Logfile_S[[#This Row],[Date]])</f>
        <v>#N/A</v>
      </c>
      <c r="AC24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442" spans="1:29" ht="14.5">
      <c r="A2442" s="220" t="str">
        <f>TEXT(ROW(A2442)-ROW($A$4),"000")</f>
        <v>2438</v>
      </c>
      <c r="B2442" s="221"/>
      <c r="C2442" s="221" t="s">
        <v>3388</v>
      </c>
      <c r="D2442" s="221" t="s">
        <v>3777</v>
      </c>
      <c r="E2442" s="221" t="s">
        <v>3295</v>
      </c>
      <c r="F2442" s="221" t="s">
        <v>3299</v>
      </c>
      <c r="G2442" s="222">
        <v>45220</v>
      </c>
      <c r="H2442" s="223">
        <v>0.97499999999999998</v>
      </c>
      <c r="I2442" s="221" t="s">
        <v>4916</v>
      </c>
      <c r="J2442" s="221" t="s">
        <v>3023</v>
      </c>
      <c r="K2442" s="224" t="s">
        <v>13</v>
      </c>
      <c r="L2442" s="225" t="str">
        <f>VLOOKUP(Logfile_S[[#This Row],[Material Name]],Sheet2!B:C,2,0)</f>
        <v>ZTE2008</v>
      </c>
      <c r="M2442" s="225" t="str">
        <f>_xlfn.XLOOKUP(Logfile_S[[#This Row],[Material Name]],Sum_WH!E:E,Sum_WH!F:F,"",0)</f>
        <v>Pcs</v>
      </c>
      <c r="N2442" s="221">
        <v>1</v>
      </c>
      <c r="O2442" s="221" t="s">
        <v>3314</v>
      </c>
      <c r="P2442" s="221" t="s">
        <v>3223</v>
      </c>
      <c r="Q2442" s="221"/>
      <c r="R2442" s="221"/>
      <c r="S2442" s="221"/>
      <c r="T2442" s="221" t="s">
        <v>3332</v>
      </c>
      <c r="U2442" s="221">
        <v>0</v>
      </c>
      <c r="V2442" s="221" t="s">
        <v>3333</v>
      </c>
      <c r="W2442" s="221" t="s">
        <v>3334</v>
      </c>
      <c r="X2442" s="221"/>
      <c r="Y2442" s="227"/>
      <c r="Z2442" s="227" t="str">
        <f>P2442</f>
        <v>Transfer Gudang</v>
      </c>
      <c r="AA2442" s="276" t="e">
        <f>VLOOKUP(Logfile_S[[#This Row],[DO number]],DO_DB!G:I,3,0)</f>
        <v>#N/A</v>
      </c>
      <c r="AB2442" s="331" t="e">
        <f>EXACT(Logfile_S[[#This Row],[date pick]],Logfile_S[[#This Row],[Date]])</f>
        <v>#N/A</v>
      </c>
      <c r="AC24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443" spans="1:29" ht="14.5">
      <c r="A2443" s="220" t="str">
        <f>TEXT(ROW(A2443)-ROW($A$4),"000")</f>
        <v>2439</v>
      </c>
      <c r="B2443" s="221"/>
      <c r="C2443" s="221" t="s">
        <v>3388</v>
      </c>
      <c r="D2443" s="221" t="s">
        <v>3780</v>
      </c>
      <c r="E2443" s="221" t="s">
        <v>3295</v>
      </c>
      <c r="F2443" s="221" t="s">
        <v>3299</v>
      </c>
      <c r="G2443" s="222">
        <v>45220</v>
      </c>
      <c r="H2443" s="223">
        <v>0.97499999999999998</v>
      </c>
      <c r="I2443" s="221" t="s">
        <v>4916</v>
      </c>
      <c r="J2443" s="221" t="s">
        <v>3023</v>
      </c>
      <c r="K2443" s="224" t="s">
        <v>3071</v>
      </c>
      <c r="L2443" s="225" t="str">
        <f>VLOOKUP(Logfile_S[[#This Row],[Material Name]],Sheet2!B:C,2,0)</f>
        <v>ZTE1003</v>
      </c>
      <c r="M2443" s="225" t="str">
        <f>_xlfn.XLOOKUP(Logfile_S[[#This Row],[Material Name]],Sum_WH!E:E,Sum_WH!F:F,"",0)</f>
        <v>Pcs</v>
      </c>
      <c r="N2443" s="221">
        <v>4</v>
      </c>
      <c r="O2443" s="221" t="s">
        <v>3314</v>
      </c>
      <c r="P2443" s="221" t="s">
        <v>3223</v>
      </c>
      <c r="Q2443" s="221"/>
      <c r="R2443" s="221"/>
      <c r="S2443" s="221"/>
      <c r="T2443" s="221" t="s">
        <v>3322</v>
      </c>
      <c r="U2443" s="221" t="s">
        <v>3323</v>
      </c>
      <c r="V2443" s="221" t="s">
        <v>3324</v>
      </c>
      <c r="W2443" s="221" t="s">
        <v>3325</v>
      </c>
      <c r="X2443" s="221"/>
      <c r="Y2443" s="227"/>
      <c r="Z2443" s="227" t="str">
        <f>P2443</f>
        <v>Transfer Gudang</v>
      </c>
      <c r="AA2443" s="276" t="e">
        <f>VLOOKUP(Logfile_S[[#This Row],[DO number]],DO_DB!G:I,3,0)</f>
        <v>#N/A</v>
      </c>
      <c r="AB2443" s="331" t="e">
        <f>EXACT(Logfile_S[[#This Row],[date pick]],Logfile_S[[#This Row],[Date]])</f>
        <v>#N/A</v>
      </c>
      <c r="AC24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444" spans="1:29" ht="14.5">
      <c r="A2444" s="220" t="str">
        <f>TEXT(ROW(A2444)-ROW($A$4),"000")</f>
        <v>2440</v>
      </c>
      <c r="B2444" s="221"/>
      <c r="C2444" s="221" t="s">
        <v>3388</v>
      </c>
      <c r="D2444" s="221" t="s">
        <v>3799</v>
      </c>
      <c r="E2444" s="221" t="s">
        <v>3295</v>
      </c>
      <c r="F2444" s="221" t="s">
        <v>3299</v>
      </c>
      <c r="G2444" s="222">
        <v>45226</v>
      </c>
      <c r="H2444" s="223">
        <v>0.89583333333333337</v>
      </c>
      <c r="I2444" s="221" t="s">
        <v>4920</v>
      </c>
      <c r="J2444" s="221" t="s">
        <v>3023</v>
      </c>
      <c r="K2444" s="224" t="s">
        <v>13</v>
      </c>
      <c r="L2444" s="225" t="str">
        <f>VLOOKUP(Logfile_S[[#This Row],[Material Name]],Sheet2!B:C,2,0)</f>
        <v>ZTE2008</v>
      </c>
      <c r="M2444" s="225" t="str">
        <f>_xlfn.XLOOKUP(Logfile_S[[#This Row],[Material Name]],Sum_WH!E:E,Sum_WH!F:F,"",0)</f>
        <v>Pcs</v>
      </c>
      <c r="N2444" s="221">
        <v>15</v>
      </c>
      <c r="O2444" s="221" t="s">
        <v>3314</v>
      </c>
      <c r="P2444" s="221" t="s">
        <v>3223</v>
      </c>
      <c r="Q2444" s="221"/>
      <c r="R2444" s="221"/>
      <c r="S2444" s="221"/>
      <c r="T2444" s="221" t="s">
        <v>3527</v>
      </c>
      <c r="U2444" s="221">
        <v>0</v>
      </c>
      <c r="V2444" s="221">
        <v>0</v>
      </c>
      <c r="W2444" s="221" t="s">
        <v>3242</v>
      </c>
      <c r="X2444" s="221"/>
      <c r="Y2444" s="227"/>
      <c r="Z2444" s="227" t="str">
        <f>P2444</f>
        <v>Transfer Gudang</v>
      </c>
      <c r="AA2444" s="276" t="e">
        <f>VLOOKUP(Logfile_S[[#This Row],[DO number]],DO_DB!G:I,3,0)</f>
        <v>#N/A</v>
      </c>
      <c r="AB2444" s="331" t="e">
        <f>EXACT(Logfile_S[[#This Row],[date pick]],Logfile_S[[#This Row],[Date]])</f>
        <v>#N/A</v>
      </c>
      <c r="AC24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445" spans="1:29" ht="14.5">
      <c r="A2445" s="220" t="str">
        <f>TEXT(ROW(A2445)-ROW($A$4),"000")</f>
        <v>2441</v>
      </c>
      <c r="B2445" s="221"/>
      <c r="C2445" s="221" t="s">
        <v>3388</v>
      </c>
      <c r="D2445" s="221" t="s">
        <v>3820</v>
      </c>
      <c r="E2445" s="221" t="s">
        <v>3295</v>
      </c>
      <c r="F2445" s="221" t="s">
        <v>3299</v>
      </c>
      <c r="G2445" s="222">
        <v>45257</v>
      </c>
      <c r="H2445" s="223">
        <v>0.63958333333333328</v>
      </c>
      <c r="I2445" s="221" t="s">
        <v>4920</v>
      </c>
      <c r="J2445" s="221" t="s">
        <v>3023</v>
      </c>
      <c r="K2445" s="224" t="s">
        <v>13</v>
      </c>
      <c r="L2445" s="225" t="str">
        <f>VLOOKUP(Logfile_S[[#This Row],[Material Name]],Sheet2!B:C,2,0)</f>
        <v>ZTE2008</v>
      </c>
      <c r="M2445" s="225" t="str">
        <f>_xlfn.XLOOKUP(Logfile_S[[#This Row],[Material Name]],Sum_WH!E:E,Sum_WH!F:F,"",0)</f>
        <v>Pcs</v>
      </c>
      <c r="N2445" s="221">
        <v>5</v>
      </c>
      <c r="O2445" s="221" t="s">
        <v>3314</v>
      </c>
      <c r="P2445" s="221" t="s">
        <v>3223</v>
      </c>
      <c r="Q2445" s="221"/>
      <c r="R2445" s="221"/>
      <c r="S2445" s="221"/>
      <c r="T2445" s="221" t="s">
        <v>3241</v>
      </c>
      <c r="U2445" s="221">
        <v>0</v>
      </c>
      <c r="V2445" s="221" t="s">
        <v>3368</v>
      </c>
      <c r="W2445" s="221" t="s">
        <v>3242</v>
      </c>
      <c r="X2445" s="221" t="s">
        <v>3529</v>
      </c>
      <c r="Y2445" s="227"/>
      <c r="Z2445" s="227" t="str">
        <f>P2445</f>
        <v>Transfer Gudang</v>
      </c>
      <c r="AA2445" s="276" t="e">
        <f>VLOOKUP(Logfile_S[[#This Row],[DO number]],DO_DB!G:I,3,0)</f>
        <v>#N/A</v>
      </c>
      <c r="AB2445" s="331" t="e">
        <f>EXACT(Logfile_S[[#This Row],[date pick]],Logfile_S[[#This Row],[Date]])</f>
        <v>#N/A</v>
      </c>
      <c r="AC24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446" spans="1:29" ht="14.5">
      <c r="A2446" s="220" t="str">
        <f>TEXT(ROW(A2446)-ROW($A$4),"000")</f>
        <v>2442</v>
      </c>
      <c r="B2446" s="221"/>
      <c r="C2446" s="221" t="s">
        <v>3388</v>
      </c>
      <c r="D2446" s="221" t="s">
        <v>3828</v>
      </c>
      <c r="E2446" s="221" t="s">
        <v>3295</v>
      </c>
      <c r="F2446" s="221" t="s">
        <v>3299</v>
      </c>
      <c r="G2446" s="222">
        <v>45264</v>
      </c>
      <c r="H2446" s="223">
        <v>0.72569444444444453</v>
      </c>
      <c r="I2446" s="221" t="s">
        <v>4919</v>
      </c>
      <c r="J2446" s="221" t="s">
        <v>3023</v>
      </c>
      <c r="K2446" s="224" t="s">
        <v>13</v>
      </c>
      <c r="L2446" s="225" t="str">
        <f>VLOOKUP(Logfile_S[[#This Row],[Material Name]],Sheet2!B:C,2,0)</f>
        <v>ZTE2008</v>
      </c>
      <c r="M2446" s="225" t="str">
        <f>_xlfn.XLOOKUP(Logfile_S[[#This Row],[Material Name]],Sum_WH!E:E,Sum_WH!F:F,"",0)</f>
        <v>Pcs</v>
      </c>
      <c r="N2446" s="221">
        <v>15</v>
      </c>
      <c r="O2446" s="221" t="s">
        <v>3314</v>
      </c>
      <c r="P2446" s="221" t="s">
        <v>3223</v>
      </c>
      <c r="Q2446" s="221"/>
      <c r="R2446" s="221"/>
      <c r="S2446" s="221"/>
      <c r="T2446" s="221">
        <v>0</v>
      </c>
      <c r="U2446" s="221">
        <v>0</v>
      </c>
      <c r="V2446" s="221">
        <v>0</v>
      </c>
      <c r="W2446" s="221" t="s">
        <v>3242</v>
      </c>
      <c r="X2446" s="221"/>
      <c r="Y2446" s="227"/>
      <c r="Z2446" s="227" t="str">
        <f>P2446</f>
        <v>Transfer Gudang</v>
      </c>
      <c r="AA2446" s="276" t="e">
        <f>VLOOKUP(Logfile_S[[#This Row],[DO number]],DO_DB!G:I,3,0)</f>
        <v>#N/A</v>
      </c>
      <c r="AB2446" s="331" t="e">
        <f>EXACT(Logfile_S[[#This Row],[date pick]],Logfile_S[[#This Row],[Date]])</f>
        <v>#N/A</v>
      </c>
      <c r="AC24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447" spans="1:29" ht="14.5">
      <c r="A2447" s="220" t="str">
        <f>TEXT(ROW(A2447)-ROW($A$4),"000")</f>
        <v>2443</v>
      </c>
      <c r="B2447" s="221"/>
      <c r="C2447" s="221" t="s">
        <v>3388</v>
      </c>
      <c r="D2447" s="221" t="s">
        <v>3833</v>
      </c>
      <c r="E2447" s="221" t="s">
        <v>3295</v>
      </c>
      <c r="F2447" s="221" t="s">
        <v>3299</v>
      </c>
      <c r="G2447" s="222">
        <v>45270</v>
      </c>
      <c r="H2447" s="223">
        <v>0.92361111111111116</v>
      </c>
      <c r="I2447" s="221" t="s">
        <v>4921</v>
      </c>
      <c r="J2447" s="221" t="s">
        <v>3024</v>
      </c>
      <c r="K2447" s="224" t="s">
        <v>5137</v>
      </c>
      <c r="L2447" s="225" t="str">
        <f>VLOOKUP(Logfile_S[[#This Row],[Material Name]],Sheet2!B:C,2,0)</f>
        <v>GCI1009</v>
      </c>
      <c r="M2447" s="225" t="str">
        <f>_xlfn.XLOOKUP(Logfile_S[[#This Row],[Material Name]],Sum_WH!E:E,Sum_WH!F:F,"",0)</f>
        <v>Pcs</v>
      </c>
      <c r="N2447" s="221">
        <v>95</v>
      </c>
      <c r="O2447" s="221" t="s">
        <v>3314</v>
      </c>
      <c r="P2447" s="221" t="s">
        <v>3223</v>
      </c>
      <c r="Q2447" s="221"/>
      <c r="R2447" s="221"/>
      <c r="S2447" s="221"/>
      <c r="T2447" s="221" t="s">
        <v>3259</v>
      </c>
      <c r="U2447" s="221">
        <v>0</v>
      </c>
      <c r="V2447" s="221" t="s">
        <v>3375</v>
      </c>
      <c r="W2447" s="221" t="s">
        <v>3415</v>
      </c>
      <c r="X2447" s="221" t="s">
        <v>3416</v>
      </c>
      <c r="Y2447" s="227"/>
      <c r="Z2447" s="227" t="str">
        <f>P2447</f>
        <v>Transfer Gudang</v>
      </c>
      <c r="AA2447" s="276" t="e">
        <f>VLOOKUP(Logfile_S[[#This Row],[DO number]],DO_DB!G:I,3,0)</f>
        <v>#N/A</v>
      </c>
      <c r="AB2447" s="331" t="e">
        <f>EXACT(Logfile_S[[#This Row],[date pick]],Logfile_S[[#This Row],[Date]])</f>
        <v>#N/A</v>
      </c>
      <c r="AC24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448" spans="1:29" ht="14.5">
      <c r="A2448" s="220" t="str">
        <f>TEXT(ROW(A2448)-ROW($A$4),"000")</f>
        <v>2444</v>
      </c>
      <c r="B2448" s="221"/>
      <c r="C2448" s="221" t="s">
        <v>3388</v>
      </c>
      <c r="D2448" s="221" t="s">
        <v>3833</v>
      </c>
      <c r="E2448" s="221" t="s">
        <v>3295</v>
      </c>
      <c r="F2448" s="221" t="s">
        <v>3299</v>
      </c>
      <c r="G2448" s="222">
        <v>45270</v>
      </c>
      <c r="H2448" s="223">
        <v>0.92361111111111116</v>
      </c>
      <c r="I2448" s="221" t="s">
        <v>4921</v>
      </c>
      <c r="J2448" s="221" t="s">
        <v>3024</v>
      </c>
      <c r="K2448" s="224" t="s">
        <v>3094</v>
      </c>
      <c r="L2448" s="225" t="str">
        <f>VLOOKUP(Logfile_S[[#This Row],[Material Name]],Sheet2!B:C,2,0)</f>
        <v>GCI1008</v>
      </c>
      <c r="M2448" s="225" t="str">
        <f>_xlfn.XLOOKUP(Logfile_S[[#This Row],[Material Name]],Sum_WH!E:E,Sum_WH!F:F,"",0)</f>
        <v>Pcs</v>
      </c>
      <c r="N2448" s="221">
        <v>75</v>
      </c>
      <c r="O2448" s="221" t="s">
        <v>3314</v>
      </c>
      <c r="P2448" s="221" t="s">
        <v>3223</v>
      </c>
      <c r="Q2448" s="221"/>
      <c r="R2448" s="221"/>
      <c r="S2448" s="221"/>
      <c r="T2448" s="221" t="s">
        <v>3259</v>
      </c>
      <c r="U2448" s="221">
        <v>0</v>
      </c>
      <c r="V2448" s="221" t="s">
        <v>3375</v>
      </c>
      <c r="W2448" s="221" t="s">
        <v>3415</v>
      </c>
      <c r="X2448" s="221" t="s">
        <v>3416</v>
      </c>
      <c r="Y2448" s="227"/>
      <c r="Z2448" s="227" t="str">
        <f>P2448</f>
        <v>Transfer Gudang</v>
      </c>
      <c r="AA2448" s="276" t="e">
        <f>VLOOKUP(Logfile_S[[#This Row],[DO number]],DO_DB!G:I,3,0)</f>
        <v>#N/A</v>
      </c>
      <c r="AB2448" s="331" t="e">
        <f>EXACT(Logfile_S[[#This Row],[date pick]],Logfile_S[[#This Row],[Date]])</f>
        <v>#N/A</v>
      </c>
      <c r="AC24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449" spans="1:29" ht="14.5">
      <c r="A2449" s="220" t="str">
        <f>TEXT(ROW(A2449)-ROW($A$4),"000")</f>
        <v>2445</v>
      </c>
      <c r="B2449" s="221"/>
      <c r="C2449" s="221" t="s">
        <v>3388</v>
      </c>
      <c r="D2449" s="221" t="s">
        <v>3833</v>
      </c>
      <c r="E2449" s="221" t="s">
        <v>3295</v>
      </c>
      <c r="F2449" s="221" t="s">
        <v>3299</v>
      </c>
      <c r="G2449" s="222">
        <v>45270</v>
      </c>
      <c r="H2449" s="223">
        <v>0.92361111111111116</v>
      </c>
      <c r="I2449" s="221" t="s">
        <v>4921</v>
      </c>
      <c r="J2449" s="221" t="s">
        <v>3024</v>
      </c>
      <c r="K2449" s="224" t="s">
        <v>3467</v>
      </c>
      <c r="L2449" s="225" t="str">
        <f>VLOOKUP(Logfile_S[[#This Row],[Material Name]],Sheet2!B:C,2,0)</f>
        <v>GCI1004</v>
      </c>
      <c r="M2449" s="225" t="str">
        <f>_xlfn.XLOOKUP(Logfile_S[[#This Row],[Material Name]],Sum_WH!E:E,Sum_WH!F:F,"",0)</f>
        <v>Pcs</v>
      </c>
      <c r="N2449" s="221">
        <v>100</v>
      </c>
      <c r="O2449" s="221" t="s">
        <v>3314</v>
      </c>
      <c r="P2449" s="221" t="s">
        <v>3223</v>
      </c>
      <c r="Q2449" s="221"/>
      <c r="R2449" s="221"/>
      <c r="S2449" s="221"/>
      <c r="T2449" s="221" t="s">
        <v>3259</v>
      </c>
      <c r="U2449" s="221">
        <v>0</v>
      </c>
      <c r="V2449" s="221" t="s">
        <v>3375</v>
      </c>
      <c r="W2449" s="221" t="s">
        <v>3415</v>
      </c>
      <c r="X2449" s="221" t="s">
        <v>3416</v>
      </c>
      <c r="Y2449" s="227"/>
      <c r="Z2449" s="227" t="str">
        <f>P2449</f>
        <v>Transfer Gudang</v>
      </c>
      <c r="AA2449" s="276" t="e">
        <f>VLOOKUP(Logfile_S[[#This Row],[DO number]],DO_DB!G:I,3,0)</f>
        <v>#N/A</v>
      </c>
      <c r="AB2449" s="331" t="e">
        <f>EXACT(Logfile_S[[#This Row],[date pick]],Logfile_S[[#This Row],[Date]])</f>
        <v>#N/A</v>
      </c>
      <c r="AC24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450" spans="1:29" ht="14.5">
      <c r="A2450" s="220" t="str">
        <f>TEXT(ROW(A2450)-ROW($A$4),"000")</f>
        <v>2446</v>
      </c>
      <c r="B2450" s="221"/>
      <c r="C2450" s="221" t="s">
        <v>3388</v>
      </c>
      <c r="D2450" s="221" t="s">
        <v>3860</v>
      </c>
      <c r="E2450" s="221" t="s">
        <v>3295</v>
      </c>
      <c r="F2450" s="221" t="s">
        <v>3299</v>
      </c>
      <c r="G2450" s="222">
        <v>45300</v>
      </c>
      <c r="H2450" s="223">
        <v>0.75555555555555554</v>
      </c>
      <c r="I2450" s="221" t="s">
        <v>4919</v>
      </c>
      <c r="J2450" s="221" t="s">
        <v>3023</v>
      </c>
      <c r="K2450" s="224" t="s">
        <v>14</v>
      </c>
      <c r="L2450" s="225" t="str">
        <f>VLOOKUP(Logfile_S[[#This Row],[Material Name]],Sheet2!B:C,2,0)</f>
        <v>ZTE2005</v>
      </c>
      <c r="M2450" s="225" t="str">
        <f>_xlfn.XLOOKUP(Logfile_S[[#This Row],[Material Name]],Sum_WH!E:E,Sum_WH!F:F,"",0)</f>
        <v>Pcs</v>
      </c>
      <c r="N2450" s="221">
        <v>1</v>
      </c>
      <c r="O2450" s="221" t="s">
        <v>3314</v>
      </c>
      <c r="P2450" s="221" t="s">
        <v>3223</v>
      </c>
      <c r="Q2450" s="221"/>
      <c r="R2450" s="221"/>
      <c r="S2450" s="221"/>
      <c r="T2450" s="221" t="s">
        <v>3255</v>
      </c>
      <c r="U2450" s="221">
        <v>0</v>
      </c>
      <c r="V2450" s="221">
        <v>0</v>
      </c>
      <c r="W2450" s="221" t="s">
        <v>3242</v>
      </c>
      <c r="X2450" s="221" t="s">
        <v>3496</v>
      </c>
      <c r="Y2450" s="227"/>
      <c r="Z2450" s="227" t="str">
        <f>P2450</f>
        <v>Transfer Gudang</v>
      </c>
      <c r="AA2450" s="276" t="e">
        <f>VLOOKUP(Logfile_S[[#This Row],[DO number]],DO_DB!G:I,3,0)</f>
        <v>#N/A</v>
      </c>
      <c r="AB2450" s="331" t="e">
        <f>EXACT(Logfile_S[[#This Row],[date pick]],Logfile_S[[#This Row],[Date]])</f>
        <v>#N/A</v>
      </c>
      <c r="AC24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451" spans="1:29" ht="14.5">
      <c r="A2451" s="220" t="str">
        <f>TEXT(ROW(A2451)-ROW($A$4),"000")</f>
        <v>2447</v>
      </c>
      <c r="B2451" s="221"/>
      <c r="C2451" s="221" t="s">
        <v>3388</v>
      </c>
      <c r="D2451" s="221" t="s">
        <v>4878</v>
      </c>
      <c r="E2451" s="221" t="s">
        <v>3295</v>
      </c>
      <c r="F2451" s="221" t="s">
        <v>3299</v>
      </c>
      <c r="G2451" s="222">
        <v>45359</v>
      </c>
      <c r="H2451" s="223">
        <v>0.43611111111111112</v>
      </c>
      <c r="I2451" s="221" t="s">
        <v>4916</v>
      </c>
      <c r="J2451" s="221" t="s">
        <v>3023</v>
      </c>
      <c r="K2451" s="224" t="s">
        <v>3080</v>
      </c>
      <c r="L2451" s="225" t="str">
        <f>VLOOKUP(Logfile_S[[#This Row],[Material Name]],Sheet2!B:C,2,0)</f>
        <v>ZTE2010</v>
      </c>
      <c r="M2451" s="225" t="str">
        <f>_xlfn.XLOOKUP(Logfile_S[[#This Row],[Material Name]],Sum_WH!E:E,Sum_WH!F:F,"",0)</f>
        <v>Pcs</v>
      </c>
      <c r="N2451" s="221">
        <v>14</v>
      </c>
      <c r="O2451" s="221" t="s">
        <v>3314</v>
      </c>
      <c r="P2451" s="221" t="s">
        <v>3223</v>
      </c>
      <c r="Q2451" s="221"/>
      <c r="R2451" s="221"/>
      <c r="S2451" s="221"/>
      <c r="T2451" s="221" t="s">
        <v>3231</v>
      </c>
      <c r="U2451" s="221" t="s">
        <v>3228</v>
      </c>
      <c r="V2451" s="221" t="s">
        <v>3232</v>
      </c>
      <c r="W2451" s="221" t="s">
        <v>3246</v>
      </c>
      <c r="X2451" s="221"/>
      <c r="Y2451" s="227"/>
      <c r="Z2451" s="227" t="str">
        <f>P2451</f>
        <v>Transfer Gudang</v>
      </c>
      <c r="AA2451" s="276" t="e">
        <f>VLOOKUP(Logfile_S[[#This Row],[DO number]],DO_DB!G:I,3,0)</f>
        <v>#N/A</v>
      </c>
      <c r="AB2451" s="331" t="e">
        <f>EXACT(Logfile_S[[#This Row],[date pick]],Logfile_S[[#This Row],[Date]])</f>
        <v>#N/A</v>
      </c>
      <c r="AC24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452" spans="1:29" ht="14.5">
      <c r="A2452" s="220" t="str">
        <f>TEXT(ROW(A2452)-ROW($A$4),"000")</f>
        <v>2448</v>
      </c>
      <c r="B2452" s="221"/>
      <c r="C2452" s="221" t="s">
        <v>3388</v>
      </c>
      <c r="D2452" s="221" t="s">
        <v>4878</v>
      </c>
      <c r="E2452" s="221" t="s">
        <v>3295</v>
      </c>
      <c r="F2452" s="221" t="s">
        <v>3299</v>
      </c>
      <c r="G2452" s="222">
        <v>45359</v>
      </c>
      <c r="H2452" s="223">
        <v>0.43611111111111112</v>
      </c>
      <c r="I2452" s="221" t="s">
        <v>4916</v>
      </c>
      <c r="J2452" s="221" t="s">
        <v>3023</v>
      </c>
      <c r="K2452" s="224" t="s">
        <v>14</v>
      </c>
      <c r="L2452" s="225" t="str">
        <f>VLOOKUP(Logfile_S[[#This Row],[Material Name]],Sheet2!B:C,2,0)</f>
        <v>ZTE2005</v>
      </c>
      <c r="M2452" s="225" t="str">
        <f>_xlfn.XLOOKUP(Logfile_S[[#This Row],[Material Name]],Sum_WH!E:E,Sum_WH!F:F,"",0)</f>
        <v>Pcs</v>
      </c>
      <c r="N2452" s="221">
        <v>1</v>
      </c>
      <c r="O2452" s="221" t="s">
        <v>3314</v>
      </c>
      <c r="P2452" s="221" t="s">
        <v>3223</v>
      </c>
      <c r="Q2452" s="221"/>
      <c r="R2452" s="221"/>
      <c r="S2452" s="221"/>
      <c r="T2452" s="221" t="s">
        <v>3231</v>
      </c>
      <c r="U2452" s="221" t="s">
        <v>3228</v>
      </c>
      <c r="V2452" s="221" t="s">
        <v>3232</v>
      </c>
      <c r="W2452" s="221" t="s">
        <v>3246</v>
      </c>
      <c r="X2452" s="221"/>
      <c r="Y2452" s="227"/>
      <c r="Z2452" s="227" t="str">
        <f>P2452</f>
        <v>Transfer Gudang</v>
      </c>
      <c r="AA2452" s="276" t="e">
        <f>VLOOKUP(Logfile_S[[#This Row],[DO number]],DO_DB!G:I,3,0)</f>
        <v>#N/A</v>
      </c>
      <c r="AB2452" s="331" t="e">
        <f>EXACT(Logfile_S[[#This Row],[date pick]],Logfile_S[[#This Row],[Date]])</f>
        <v>#N/A</v>
      </c>
      <c r="AC24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453" spans="1:29" ht="14.5">
      <c r="A2453" s="220" t="str">
        <f>TEXT(ROW(A2453)-ROW($A$4),"000")</f>
        <v>2449</v>
      </c>
      <c r="B2453" s="221"/>
      <c r="C2453" s="221" t="s">
        <v>3388</v>
      </c>
      <c r="D2453" s="221" t="s">
        <v>4878</v>
      </c>
      <c r="E2453" s="221" t="s">
        <v>3295</v>
      </c>
      <c r="F2453" s="221" t="s">
        <v>3299</v>
      </c>
      <c r="G2453" s="222">
        <v>45359</v>
      </c>
      <c r="H2453" s="223">
        <v>0.43611111111111112</v>
      </c>
      <c r="I2453" s="221" t="s">
        <v>4916</v>
      </c>
      <c r="J2453" s="221" t="s">
        <v>3023</v>
      </c>
      <c r="K2453" s="224" t="s">
        <v>15</v>
      </c>
      <c r="L2453" s="225" t="str">
        <f>VLOOKUP(Logfile_S[[#This Row],[Material Name]],Sheet2!B:C,2,0)</f>
        <v>ZTE2006</v>
      </c>
      <c r="M2453" s="225" t="str">
        <f>_xlfn.XLOOKUP(Logfile_S[[#This Row],[Material Name]],Sum_WH!E:E,Sum_WH!F:F,"",0)</f>
        <v>Pcs</v>
      </c>
      <c r="N2453" s="221">
        <v>3</v>
      </c>
      <c r="O2453" s="221" t="s">
        <v>3314</v>
      </c>
      <c r="P2453" s="221" t="s">
        <v>3223</v>
      </c>
      <c r="Q2453" s="221"/>
      <c r="R2453" s="221"/>
      <c r="S2453" s="221"/>
      <c r="T2453" s="221" t="s">
        <v>3231</v>
      </c>
      <c r="U2453" s="221" t="s">
        <v>3228</v>
      </c>
      <c r="V2453" s="221" t="s">
        <v>3232</v>
      </c>
      <c r="W2453" s="221" t="s">
        <v>3246</v>
      </c>
      <c r="X2453" s="221"/>
      <c r="Y2453" s="227"/>
      <c r="Z2453" s="227" t="str">
        <f>P2453</f>
        <v>Transfer Gudang</v>
      </c>
      <c r="AA2453" s="276" t="e">
        <f>VLOOKUP(Logfile_S[[#This Row],[DO number]],DO_DB!G:I,3,0)</f>
        <v>#N/A</v>
      </c>
      <c r="AB2453" s="331" t="e">
        <f>EXACT(Logfile_S[[#This Row],[date pick]],Logfile_S[[#This Row],[Date]])</f>
        <v>#N/A</v>
      </c>
      <c r="AC24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454" spans="1:29" ht="14.5">
      <c r="A2454" s="220" t="str">
        <f>TEXT(ROW(A2454)-ROW($A$4),"000")</f>
        <v>2450</v>
      </c>
      <c r="B2454" s="221"/>
      <c r="C2454" s="221" t="s">
        <v>3388</v>
      </c>
      <c r="D2454" s="221" t="s">
        <v>4875</v>
      </c>
      <c r="E2454" s="221" t="s">
        <v>3295</v>
      </c>
      <c r="F2454" s="221" t="s">
        <v>3299</v>
      </c>
      <c r="G2454" s="222">
        <v>45376</v>
      </c>
      <c r="H2454" s="223">
        <v>0.63958333333333328</v>
      </c>
      <c r="I2454" s="221" t="s">
        <v>4916</v>
      </c>
      <c r="J2454" s="221" t="s">
        <v>3024</v>
      </c>
      <c r="K2454" s="224" t="s">
        <v>3091</v>
      </c>
      <c r="L2454" s="225" t="str">
        <f>VLOOKUP(Logfile_S[[#This Row],[Material Name]],Sheet2!B:C,2,0)</f>
        <v>GCI1005</v>
      </c>
      <c r="M2454" s="225" t="str">
        <f>_xlfn.XLOOKUP(Logfile_S[[#This Row],[Material Name]],Sum_WH!E:E,Sum_WH!F:F,"",0)</f>
        <v>Pcs</v>
      </c>
      <c r="N2454" s="221">
        <v>230</v>
      </c>
      <c r="O2454" s="221" t="s">
        <v>3367</v>
      </c>
      <c r="P2454" s="221" t="s">
        <v>3223</v>
      </c>
      <c r="Q2454" s="221"/>
      <c r="R2454" s="221"/>
      <c r="S2454" s="221"/>
      <c r="T2454" s="221" t="s">
        <v>3241</v>
      </c>
      <c r="U2454" s="221">
        <v>0</v>
      </c>
      <c r="V2454" s="221" t="s">
        <v>3368</v>
      </c>
      <c r="W2454" s="221" t="s">
        <v>3242</v>
      </c>
      <c r="X2454" s="221"/>
      <c r="Y2454" s="227"/>
      <c r="Z2454" s="227" t="str">
        <f>P2454</f>
        <v>Transfer Gudang</v>
      </c>
      <c r="AA2454" s="276" t="e">
        <f>VLOOKUP(Logfile_S[[#This Row],[DO number]],DO_DB!G:I,3,0)</f>
        <v>#N/A</v>
      </c>
      <c r="AB2454" s="331" t="e">
        <f>EXACT(Logfile_S[[#This Row],[date pick]],Logfile_S[[#This Row],[Date]])</f>
        <v>#N/A</v>
      </c>
      <c r="AC24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455" spans="1:29" ht="14.5">
      <c r="A2455" s="220" t="str">
        <f>TEXT(ROW(A2455)-ROW($A$4),"000")</f>
        <v>2451</v>
      </c>
      <c r="B2455" s="221"/>
      <c r="C2455" s="221" t="s">
        <v>3388</v>
      </c>
      <c r="D2455" s="221" t="s">
        <v>4875</v>
      </c>
      <c r="E2455" s="221" t="s">
        <v>3295</v>
      </c>
      <c r="F2455" s="221" t="s">
        <v>3299</v>
      </c>
      <c r="G2455" s="222">
        <v>45376</v>
      </c>
      <c r="H2455" s="223">
        <v>0.63958333333333328</v>
      </c>
      <c r="I2455" s="221" t="s">
        <v>4916</v>
      </c>
      <c r="J2455" s="221" t="s">
        <v>3024</v>
      </c>
      <c r="K2455" s="224" t="s">
        <v>3090</v>
      </c>
      <c r="L2455" s="225" t="str">
        <f>VLOOKUP(Logfile_S[[#This Row],[Material Name]],Sheet2!B:C,2,0)</f>
        <v>GCI1004</v>
      </c>
      <c r="M2455" s="225" t="str">
        <f>_xlfn.XLOOKUP(Logfile_S[[#This Row],[Material Name]],Sum_WH!E:E,Sum_WH!F:F,"",0)</f>
        <v>Pcs</v>
      </c>
      <c r="N2455" s="221">
        <v>50</v>
      </c>
      <c r="O2455" s="221" t="s">
        <v>3367</v>
      </c>
      <c r="P2455" s="221" t="s">
        <v>3223</v>
      </c>
      <c r="Q2455" s="221"/>
      <c r="R2455" s="221"/>
      <c r="S2455" s="221"/>
      <c r="T2455" s="221" t="s">
        <v>3241</v>
      </c>
      <c r="U2455" s="221">
        <v>0</v>
      </c>
      <c r="V2455" s="221" t="s">
        <v>3368</v>
      </c>
      <c r="W2455" s="221" t="s">
        <v>3242</v>
      </c>
      <c r="X2455" s="221"/>
      <c r="Y2455" s="227"/>
      <c r="Z2455" s="227" t="str">
        <f>P2455</f>
        <v>Transfer Gudang</v>
      </c>
      <c r="AA2455" s="276" t="e">
        <f>VLOOKUP(Logfile_S[[#This Row],[DO number]],DO_DB!G:I,3,0)</f>
        <v>#N/A</v>
      </c>
      <c r="AB2455" s="331" t="e">
        <f>EXACT(Logfile_S[[#This Row],[date pick]],Logfile_S[[#This Row],[Date]])</f>
        <v>#N/A</v>
      </c>
      <c r="AC24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456" spans="1:29" ht="14.5">
      <c r="A2456" s="220" t="str">
        <f>TEXT(ROW(A2456)-ROW($A$4),"000")</f>
        <v>2452</v>
      </c>
      <c r="B2456" s="221"/>
      <c r="C2456" s="221" t="s">
        <v>3388</v>
      </c>
      <c r="D2456" s="221" t="s">
        <v>4879</v>
      </c>
      <c r="E2456" s="221" t="s">
        <v>3295</v>
      </c>
      <c r="F2456" s="221" t="s">
        <v>3299</v>
      </c>
      <c r="G2456" s="222">
        <v>45401</v>
      </c>
      <c r="H2456" s="223">
        <v>0.72291666666666676</v>
      </c>
      <c r="I2456" s="221" t="s">
        <v>4916</v>
      </c>
      <c r="J2456" s="221" t="s">
        <v>3023</v>
      </c>
      <c r="K2456" s="224" t="s">
        <v>3080</v>
      </c>
      <c r="L2456" s="225" t="str">
        <f>VLOOKUP(Logfile_S[[#This Row],[Material Name]],Sheet2!B:C,2,0)</f>
        <v>ZTE2010</v>
      </c>
      <c r="M2456" s="225" t="str">
        <f>_xlfn.XLOOKUP(Logfile_S[[#This Row],[Material Name]],Sum_WH!E:E,Sum_WH!F:F,"",0)</f>
        <v>Pcs</v>
      </c>
      <c r="N2456" s="221">
        <v>1</v>
      </c>
      <c r="O2456" s="221" t="s">
        <v>3314</v>
      </c>
      <c r="P2456" s="221" t="s">
        <v>3223</v>
      </c>
      <c r="Q2456" s="221"/>
      <c r="R2456" s="221"/>
      <c r="S2456" s="221"/>
      <c r="T2456" s="221" t="s">
        <v>3231</v>
      </c>
      <c r="U2456" s="221">
        <v>0</v>
      </c>
      <c r="V2456" s="221" t="s">
        <v>3232</v>
      </c>
      <c r="W2456" s="221" t="s">
        <v>3246</v>
      </c>
      <c r="X2456" s="221" t="s">
        <v>3207</v>
      </c>
      <c r="Y2456" s="227"/>
      <c r="Z2456" s="227" t="str">
        <f>P2456</f>
        <v>Transfer Gudang</v>
      </c>
      <c r="AA2456" s="276" t="e">
        <f>VLOOKUP(Logfile_S[[#This Row],[DO number]],DO_DB!G:I,3,0)</f>
        <v>#N/A</v>
      </c>
      <c r="AB2456" s="331" t="e">
        <f>EXACT(Logfile_S[[#This Row],[date pick]],Logfile_S[[#This Row],[Date]])</f>
        <v>#N/A</v>
      </c>
      <c r="AC24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457" spans="1:29" ht="14.5">
      <c r="A2457" s="220" t="str">
        <f>TEXT(ROW(A2457)-ROW($A$4),"000")</f>
        <v>2453</v>
      </c>
      <c r="B2457" s="221"/>
      <c r="C2457" s="221" t="s">
        <v>3388</v>
      </c>
      <c r="D2457" s="221" t="s">
        <v>4026</v>
      </c>
      <c r="E2457" s="221" t="s">
        <v>3295</v>
      </c>
      <c r="F2457" s="221" t="s">
        <v>3299</v>
      </c>
      <c r="G2457" s="222">
        <v>45406</v>
      </c>
      <c r="H2457" s="223">
        <v>0.41666666666666669</v>
      </c>
      <c r="I2457" s="221" t="s">
        <v>4918</v>
      </c>
      <c r="J2457" s="221" t="s">
        <v>3023</v>
      </c>
      <c r="K2457" s="224" t="s">
        <v>3103</v>
      </c>
      <c r="L2457" s="225" t="str">
        <f>VLOOKUP(Logfile_S[[#This Row],[Material Name]],Sheet2!B:C,2,0)</f>
        <v>GCI2013</v>
      </c>
      <c r="M2457" s="225" t="str">
        <f>_xlfn.XLOOKUP(Logfile_S[[#This Row],[Material Name]],Sum_WH!E:E,Sum_WH!F:F,"",0)</f>
        <v>Pcs</v>
      </c>
      <c r="N2457" s="221">
        <v>6</v>
      </c>
      <c r="O2457" s="221" t="s">
        <v>3314</v>
      </c>
      <c r="P2457" s="221" t="s">
        <v>3223</v>
      </c>
      <c r="Q2457" s="221"/>
      <c r="R2457" s="221"/>
      <c r="S2457" s="221"/>
      <c r="T2457" s="221" t="s">
        <v>3241</v>
      </c>
      <c r="U2457" s="221">
        <v>0</v>
      </c>
      <c r="V2457" s="221" t="s">
        <v>3368</v>
      </c>
      <c r="W2457" s="221" t="s">
        <v>3242</v>
      </c>
      <c r="X2457" s="221"/>
      <c r="Y2457" s="227"/>
      <c r="Z2457" s="227" t="str">
        <f>P2457</f>
        <v>Transfer Gudang</v>
      </c>
      <c r="AA2457" s="276" t="e">
        <f>VLOOKUP(Logfile_S[[#This Row],[DO number]],DO_DB!G:I,3,0)</f>
        <v>#N/A</v>
      </c>
      <c r="AB2457" s="331" t="e">
        <f>EXACT(Logfile_S[[#This Row],[date pick]],Logfile_S[[#This Row],[Date]])</f>
        <v>#N/A</v>
      </c>
      <c r="AC24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458" spans="1:29" ht="14.5">
      <c r="A2458" s="220" t="str">
        <f>TEXT(ROW(A2458)-ROW($A$4),"000")</f>
        <v>2454</v>
      </c>
      <c r="B2458" s="221"/>
      <c r="C2458" s="221" t="s">
        <v>3388</v>
      </c>
      <c r="D2458" s="221" t="s">
        <v>4880</v>
      </c>
      <c r="E2458" s="221" t="s">
        <v>3295</v>
      </c>
      <c r="F2458" s="221" t="s">
        <v>3299</v>
      </c>
      <c r="G2458" s="222">
        <v>45442</v>
      </c>
      <c r="H2458" s="223">
        <v>0.47916666666666669</v>
      </c>
      <c r="I2458" s="221" t="s">
        <v>4916</v>
      </c>
      <c r="J2458" s="221" t="s">
        <v>3023</v>
      </c>
      <c r="K2458" s="224" t="s">
        <v>3080</v>
      </c>
      <c r="L2458" s="225" t="str">
        <f>VLOOKUP(Logfile_S[[#This Row],[Material Name]],Sheet2!B:C,2,0)</f>
        <v>ZTE2010</v>
      </c>
      <c r="M2458" s="225" t="str">
        <f>_xlfn.XLOOKUP(Logfile_S[[#This Row],[Material Name]],Sum_WH!E:E,Sum_WH!F:F,"",0)</f>
        <v>Pcs</v>
      </c>
      <c r="N2458" s="221">
        <v>2</v>
      </c>
      <c r="O2458" s="221" t="s">
        <v>3314</v>
      </c>
      <c r="P2458" s="221" t="s">
        <v>3223</v>
      </c>
      <c r="Q2458" s="221"/>
      <c r="R2458" s="221"/>
      <c r="S2458" s="221"/>
      <c r="T2458" s="221" t="s">
        <v>3258</v>
      </c>
      <c r="U2458" s="221" t="s">
        <v>3228</v>
      </c>
      <c r="V2458" s="221" t="s">
        <v>3337</v>
      </c>
      <c r="W2458" s="221" t="s">
        <v>3338</v>
      </c>
      <c r="X2458" s="221" t="s">
        <v>3207</v>
      </c>
      <c r="Y2458" s="227"/>
      <c r="Z2458" s="227" t="str">
        <f>P2458</f>
        <v>Transfer Gudang</v>
      </c>
      <c r="AA2458" s="276" t="e">
        <f>VLOOKUP(Logfile_S[[#This Row],[DO number]],DO_DB!G:I,3,0)</f>
        <v>#N/A</v>
      </c>
      <c r="AB2458" s="331" t="e">
        <f>EXACT(Logfile_S[[#This Row],[date pick]],Logfile_S[[#This Row],[Date]])</f>
        <v>#N/A</v>
      </c>
      <c r="AC24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459" spans="1:29" ht="14.5">
      <c r="A2459" s="220" t="str">
        <f>TEXT(ROW(A2459)-ROW($A$4),"000")</f>
        <v>2455</v>
      </c>
      <c r="B2459" s="221"/>
      <c r="C2459" s="221" t="s">
        <v>3388</v>
      </c>
      <c r="D2459" s="221" t="s">
        <v>4882</v>
      </c>
      <c r="E2459" s="221" t="s">
        <v>3295</v>
      </c>
      <c r="F2459" s="221" t="s">
        <v>3299</v>
      </c>
      <c r="G2459" s="222">
        <v>45468</v>
      </c>
      <c r="H2459" s="223">
        <v>0.53749999999999998</v>
      </c>
      <c r="I2459" s="221" t="s">
        <v>4916</v>
      </c>
      <c r="J2459" s="221" t="s">
        <v>3023</v>
      </c>
      <c r="K2459" s="224" t="s">
        <v>3080</v>
      </c>
      <c r="L2459" s="225" t="str">
        <f>VLOOKUP(Logfile_S[[#This Row],[Material Name]],Sheet2!B:C,2,0)</f>
        <v>ZTE2010</v>
      </c>
      <c r="M2459" s="225" t="str">
        <f>_xlfn.XLOOKUP(Logfile_S[[#This Row],[Material Name]],Sum_WH!E:E,Sum_WH!F:F,"",0)</f>
        <v>Pcs</v>
      </c>
      <c r="N2459" s="221">
        <v>2</v>
      </c>
      <c r="O2459" s="221" t="s">
        <v>3314</v>
      </c>
      <c r="P2459" s="221" t="s">
        <v>3223</v>
      </c>
      <c r="Q2459" s="221"/>
      <c r="R2459" s="221"/>
      <c r="S2459" s="221"/>
      <c r="T2459" s="221" t="s">
        <v>3258</v>
      </c>
      <c r="U2459" s="221" t="s">
        <v>3228</v>
      </c>
      <c r="V2459" s="221" t="s">
        <v>3337</v>
      </c>
      <c r="W2459" s="221" t="s">
        <v>3338</v>
      </c>
      <c r="X2459" s="221" t="s">
        <v>3207</v>
      </c>
      <c r="Y2459" s="227"/>
      <c r="Z2459" s="227" t="str">
        <f>P2459</f>
        <v>Transfer Gudang</v>
      </c>
      <c r="AA2459" s="276" t="e">
        <f>VLOOKUP(Logfile_S[[#This Row],[DO number]],DO_DB!G:I,3,0)</f>
        <v>#N/A</v>
      </c>
      <c r="AB2459" s="331" t="e">
        <f>EXACT(Logfile_S[[#This Row],[date pick]],Logfile_S[[#This Row],[Date]])</f>
        <v>#N/A</v>
      </c>
      <c r="AC24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460" spans="1:29" ht="14.5">
      <c r="A2460" s="220" t="str">
        <f>TEXT(ROW(A2460)-ROW($A$4),"000")</f>
        <v>2456</v>
      </c>
      <c r="B2460" s="221"/>
      <c r="C2460" s="221" t="s">
        <v>3388</v>
      </c>
      <c r="D2460" s="221" t="s">
        <v>4883</v>
      </c>
      <c r="E2460" s="221" t="s">
        <v>3295</v>
      </c>
      <c r="F2460" s="221" t="s">
        <v>3299</v>
      </c>
      <c r="G2460" s="222">
        <v>45469</v>
      </c>
      <c r="H2460" s="223">
        <v>0.8847222222222223</v>
      </c>
      <c r="I2460" s="221" t="s">
        <v>4916</v>
      </c>
      <c r="J2460" s="221" t="s">
        <v>3023</v>
      </c>
      <c r="K2460" s="224" t="s">
        <v>3080</v>
      </c>
      <c r="L2460" s="225" t="str">
        <f>VLOOKUP(Logfile_S[[#This Row],[Material Name]],Sheet2!B:C,2,0)</f>
        <v>ZTE2010</v>
      </c>
      <c r="M2460" s="225" t="str">
        <f>_xlfn.XLOOKUP(Logfile_S[[#This Row],[Material Name]],Sum_WH!E:E,Sum_WH!F:F,"",0)</f>
        <v>Pcs</v>
      </c>
      <c r="N2460" s="221">
        <v>3</v>
      </c>
      <c r="O2460" s="221" t="s">
        <v>3314</v>
      </c>
      <c r="P2460" s="221" t="s">
        <v>3223</v>
      </c>
      <c r="Q2460" s="221"/>
      <c r="R2460" s="221"/>
      <c r="S2460" s="221"/>
      <c r="T2460" s="221" t="s">
        <v>3471</v>
      </c>
      <c r="U2460" s="221">
        <v>0</v>
      </c>
      <c r="V2460" s="221" t="s">
        <v>3472</v>
      </c>
      <c r="W2460" s="221" t="s">
        <v>3473</v>
      </c>
      <c r="X2460" s="221" t="s">
        <v>3207</v>
      </c>
      <c r="Y2460" s="227"/>
      <c r="Z2460" s="227" t="str">
        <f>P2460</f>
        <v>Transfer Gudang</v>
      </c>
      <c r="AA2460" s="276" t="e">
        <f>VLOOKUP(Logfile_S[[#This Row],[DO number]],DO_DB!G:I,3,0)</f>
        <v>#N/A</v>
      </c>
      <c r="AB2460" s="331" t="e">
        <f>EXACT(Logfile_S[[#This Row],[date pick]],Logfile_S[[#This Row],[Date]])</f>
        <v>#N/A</v>
      </c>
      <c r="AC24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461" spans="1:29" ht="14.5">
      <c r="A2461" s="220" t="str">
        <f>TEXT(ROW(A2461)-ROW($A$4),"000")</f>
        <v>2457</v>
      </c>
      <c r="B2461" s="221"/>
      <c r="C2461" s="221" t="s">
        <v>3388</v>
      </c>
      <c r="D2461" s="221" t="s">
        <v>4884</v>
      </c>
      <c r="E2461" s="221" t="s">
        <v>3295</v>
      </c>
      <c r="F2461" s="221" t="s">
        <v>3299</v>
      </c>
      <c r="G2461" s="222">
        <v>45483</v>
      </c>
      <c r="H2461" s="223">
        <v>0.40277777777777779</v>
      </c>
      <c r="I2461" s="221" t="s">
        <v>4916</v>
      </c>
      <c r="J2461" s="221" t="s">
        <v>3023</v>
      </c>
      <c r="K2461" s="224" t="s">
        <v>3080</v>
      </c>
      <c r="L2461" s="225" t="str">
        <f>VLOOKUP(Logfile_S[[#This Row],[Material Name]],Sheet2!B:C,2,0)</f>
        <v>ZTE2010</v>
      </c>
      <c r="M2461" s="225" t="str">
        <f>_xlfn.XLOOKUP(Logfile_S[[#This Row],[Material Name]],Sum_WH!E:E,Sum_WH!F:F,"",0)</f>
        <v>Pcs</v>
      </c>
      <c r="N2461" s="221">
        <v>4</v>
      </c>
      <c r="O2461" s="221" t="s">
        <v>3314</v>
      </c>
      <c r="P2461" s="221" t="s">
        <v>3223</v>
      </c>
      <c r="Q2461" s="221"/>
      <c r="R2461" s="221"/>
      <c r="S2461" s="221"/>
      <c r="T2461" s="221" t="s">
        <v>3231</v>
      </c>
      <c r="U2461" s="221">
        <v>0</v>
      </c>
      <c r="V2461" s="221" t="s">
        <v>3232</v>
      </c>
      <c r="W2461" s="221" t="s">
        <v>3254</v>
      </c>
      <c r="X2461" s="221" t="s">
        <v>3207</v>
      </c>
      <c r="Y2461" s="227"/>
      <c r="Z2461" s="227" t="str">
        <f>P2461</f>
        <v>Transfer Gudang</v>
      </c>
      <c r="AA2461" s="276" t="e">
        <f>VLOOKUP(Logfile_S[[#This Row],[DO number]],DO_DB!G:I,3,0)</f>
        <v>#N/A</v>
      </c>
      <c r="AB2461" s="331" t="e">
        <f>EXACT(Logfile_S[[#This Row],[date pick]],Logfile_S[[#This Row],[Date]])</f>
        <v>#N/A</v>
      </c>
      <c r="AC24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462" spans="1:29" ht="14.5">
      <c r="A2462" s="220" t="str">
        <f>TEXT(ROW(A2462)-ROW($A$4),"000")</f>
        <v>2458</v>
      </c>
      <c r="B2462" s="221"/>
      <c r="C2462" s="221" t="s">
        <v>3388</v>
      </c>
      <c r="D2462" s="221" t="s">
        <v>4885</v>
      </c>
      <c r="E2462" s="221" t="s">
        <v>3295</v>
      </c>
      <c r="F2462" s="221" t="s">
        <v>3299</v>
      </c>
      <c r="G2462" s="222">
        <v>45483</v>
      </c>
      <c r="H2462" s="223">
        <v>0.65347222222222223</v>
      </c>
      <c r="I2462" s="221" t="s">
        <v>4916</v>
      </c>
      <c r="J2462" s="221" t="s">
        <v>3023</v>
      </c>
      <c r="K2462" s="224" t="s">
        <v>3080</v>
      </c>
      <c r="L2462" s="225" t="str">
        <f>VLOOKUP(Logfile_S[[#This Row],[Material Name]],Sheet2!B:C,2,0)</f>
        <v>ZTE2010</v>
      </c>
      <c r="M2462" s="225" t="str">
        <f>_xlfn.XLOOKUP(Logfile_S[[#This Row],[Material Name]],Sum_WH!E:E,Sum_WH!F:F,"",0)</f>
        <v>Pcs</v>
      </c>
      <c r="N2462" s="221">
        <v>4</v>
      </c>
      <c r="O2462" s="221" t="s">
        <v>3314</v>
      </c>
      <c r="P2462" s="221" t="s">
        <v>3223</v>
      </c>
      <c r="Q2462" s="221"/>
      <c r="R2462" s="221"/>
      <c r="S2462" s="221"/>
      <c r="T2462" s="221" t="s">
        <v>3471</v>
      </c>
      <c r="U2462" s="221">
        <v>0</v>
      </c>
      <c r="V2462" s="221" t="s">
        <v>3472</v>
      </c>
      <c r="W2462" s="221" t="s">
        <v>3473</v>
      </c>
      <c r="X2462" s="221" t="s">
        <v>3207</v>
      </c>
      <c r="Y2462" s="227"/>
      <c r="Z2462" s="227" t="str">
        <f>P2462</f>
        <v>Transfer Gudang</v>
      </c>
      <c r="AA2462" s="276" t="e">
        <f>VLOOKUP(Logfile_S[[#This Row],[DO number]],DO_DB!G:I,3,0)</f>
        <v>#N/A</v>
      </c>
      <c r="AB2462" s="331" t="e">
        <f>EXACT(Logfile_S[[#This Row],[date pick]],Logfile_S[[#This Row],[Date]])</f>
        <v>#N/A</v>
      </c>
      <c r="AC24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463" spans="1:29" ht="14.5">
      <c r="A2463" s="220" t="str">
        <f>TEXT(ROW(A2463)-ROW($A$4),"000")</f>
        <v>2459</v>
      </c>
      <c r="B2463" s="221"/>
      <c r="C2463" s="221" t="s">
        <v>3388</v>
      </c>
      <c r="D2463" s="221" t="s">
        <v>4886</v>
      </c>
      <c r="E2463" s="221" t="s">
        <v>3295</v>
      </c>
      <c r="F2463" s="221" t="s">
        <v>3299</v>
      </c>
      <c r="G2463" s="222">
        <v>45487</v>
      </c>
      <c r="H2463" s="223">
        <v>0.67222222222222228</v>
      </c>
      <c r="I2463" s="221" t="s">
        <v>4916</v>
      </c>
      <c r="J2463" s="221" t="s">
        <v>3023</v>
      </c>
      <c r="K2463" s="224" t="s">
        <v>3080</v>
      </c>
      <c r="L2463" s="225" t="str">
        <f>VLOOKUP(Logfile_S[[#This Row],[Material Name]],Sheet2!B:C,2,0)</f>
        <v>ZTE2010</v>
      </c>
      <c r="M2463" s="225" t="str">
        <f>_xlfn.XLOOKUP(Logfile_S[[#This Row],[Material Name]],Sum_WH!E:E,Sum_WH!F:F,"",0)</f>
        <v>Pcs</v>
      </c>
      <c r="N2463" s="221">
        <v>2</v>
      </c>
      <c r="O2463" s="221" t="s">
        <v>3314</v>
      </c>
      <c r="P2463" s="221" t="s">
        <v>3223</v>
      </c>
      <c r="Q2463" s="221"/>
      <c r="R2463" s="221"/>
      <c r="S2463" s="221"/>
      <c r="T2463" s="221" t="s">
        <v>3258</v>
      </c>
      <c r="U2463" s="221" t="s">
        <v>3228</v>
      </c>
      <c r="V2463" s="221" t="s">
        <v>3337</v>
      </c>
      <c r="W2463" s="221" t="s">
        <v>3338</v>
      </c>
      <c r="X2463" s="221" t="s">
        <v>3207</v>
      </c>
      <c r="Y2463" s="227"/>
      <c r="Z2463" s="227" t="str">
        <f>P2463</f>
        <v>Transfer Gudang</v>
      </c>
      <c r="AA2463" s="276" t="e">
        <f>VLOOKUP(Logfile_S[[#This Row],[DO number]],DO_DB!G:I,3,0)</f>
        <v>#N/A</v>
      </c>
      <c r="AB2463" s="331" t="e">
        <f>EXACT(Logfile_S[[#This Row],[date pick]],Logfile_S[[#This Row],[Date]])</f>
        <v>#N/A</v>
      </c>
      <c r="AC24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464" spans="1:29" ht="14.5">
      <c r="A2464" s="220" t="str">
        <f>TEXT(ROW(A2464)-ROW($A$4),"000")</f>
        <v>2460</v>
      </c>
      <c r="B2464" s="221"/>
      <c r="C2464" s="221" t="s">
        <v>3388</v>
      </c>
      <c r="D2464" s="221" t="s">
        <v>4888</v>
      </c>
      <c r="E2464" s="221" t="s">
        <v>3295</v>
      </c>
      <c r="F2464" s="221" t="s">
        <v>3299</v>
      </c>
      <c r="G2464" s="222">
        <v>45531</v>
      </c>
      <c r="H2464" s="223">
        <v>0.64861111111111114</v>
      </c>
      <c r="I2464" s="221" t="s">
        <v>4916</v>
      </c>
      <c r="J2464" s="221" t="s">
        <v>3023</v>
      </c>
      <c r="K2464" s="224" t="s">
        <v>3080</v>
      </c>
      <c r="L2464" s="225" t="str">
        <f>VLOOKUP(Logfile_S[[#This Row],[Material Name]],Sheet2!B:C,2,0)</f>
        <v>ZTE2010</v>
      </c>
      <c r="M2464" s="225" t="str">
        <f>_xlfn.XLOOKUP(Logfile_S[[#This Row],[Material Name]],Sum_WH!E:E,Sum_WH!F:F,"",0)</f>
        <v>Pcs</v>
      </c>
      <c r="N2464" s="221">
        <v>2</v>
      </c>
      <c r="O2464" s="221" t="s">
        <v>3314</v>
      </c>
      <c r="P2464" s="221" t="s">
        <v>3223</v>
      </c>
      <c r="Q2464" s="221"/>
      <c r="R2464" s="221"/>
      <c r="S2464" s="221"/>
      <c r="T2464" s="221" t="s">
        <v>3471</v>
      </c>
      <c r="U2464" s="221">
        <v>0</v>
      </c>
      <c r="V2464" s="221" t="s">
        <v>3472</v>
      </c>
      <c r="W2464" s="221" t="s">
        <v>3473</v>
      </c>
      <c r="X2464" s="221" t="s">
        <v>3207</v>
      </c>
      <c r="Y2464" s="227"/>
      <c r="Z2464" s="227" t="str">
        <f>P2464</f>
        <v>Transfer Gudang</v>
      </c>
      <c r="AA2464" s="276" t="e">
        <f>VLOOKUP(Logfile_S[[#This Row],[DO number]],DO_DB!G:I,3,0)</f>
        <v>#N/A</v>
      </c>
      <c r="AB2464" s="331" t="e">
        <f>EXACT(Logfile_S[[#This Row],[date pick]],Logfile_S[[#This Row],[Date]])</f>
        <v>#N/A</v>
      </c>
      <c r="AC24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465" spans="1:29" ht="14.5">
      <c r="A2465" s="220" t="str">
        <f>TEXT(ROW(A2465)-ROW($A$4),"000")</f>
        <v>2461</v>
      </c>
      <c r="B2465" s="221"/>
      <c r="C2465" s="221" t="s">
        <v>3388</v>
      </c>
      <c r="D2465" s="221" t="s">
        <v>4889</v>
      </c>
      <c r="E2465" s="221" t="s">
        <v>3295</v>
      </c>
      <c r="F2465" s="221" t="s">
        <v>3299</v>
      </c>
      <c r="G2465" s="222">
        <v>45532</v>
      </c>
      <c r="H2465" s="223">
        <v>0.47847222222222224</v>
      </c>
      <c r="I2465" s="221" t="s">
        <v>4916</v>
      </c>
      <c r="J2465" s="221" t="s">
        <v>3023</v>
      </c>
      <c r="K2465" s="224" t="s">
        <v>3080</v>
      </c>
      <c r="L2465" s="225" t="str">
        <f>VLOOKUP(Logfile_S[[#This Row],[Material Name]],Sheet2!B:C,2,0)</f>
        <v>ZTE2010</v>
      </c>
      <c r="M2465" s="225" t="str">
        <f>_xlfn.XLOOKUP(Logfile_S[[#This Row],[Material Name]],Sum_WH!E:E,Sum_WH!F:F,"",0)</f>
        <v>Pcs</v>
      </c>
      <c r="N2465" s="221">
        <v>4</v>
      </c>
      <c r="O2465" s="221" t="s">
        <v>3314</v>
      </c>
      <c r="P2465" s="221" t="s">
        <v>3223</v>
      </c>
      <c r="Q2465" s="221"/>
      <c r="R2465" s="221"/>
      <c r="S2465" s="221"/>
      <c r="T2465" s="221" t="s">
        <v>3471</v>
      </c>
      <c r="U2465" s="221">
        <v>0</v>
      </c>
      <c r="V2465" s="221" t="s">
        <v>3472</v>
      </c>
      <c r="W2465" s="221" t="s">
        <v>3473</v>
      </c>
      <c r="X2465" s="221" t="s">
        <v>3207</v>
      </c>
      <c r="Y2465" s="227"/>
      <c r="Z2465" s="227" t="str">
        <f>P2465</f>
        <v>Transfer Gudang</v>
      </c>
      <c r="AA2465" s="276" t="e">
        <f>VLOOKUP(Logfile_S[[#This Row],[DO number]],DO_DB!G:I,3,0)</f>
        <v>#N/A</v>
      </c>
      <c r="AB2465" s="331" t="e">
        <f>EXACT(Logfile_S[[#This Row],[date pick]],Logfile_S[[#This Row],[Date]])</f>
        <v>#N/A</v>
      </c>
      <c r="AC24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466" spans="1:29" ht="14.5">
      <c r="A2466" s="220" t="str">
        <f>TEXT(ROW(A2466)-ROW($A$4),"000")</f>
        <v>2462</v>
      </c>
      <c r="B2466" s="221"/>
      <c r="C2466" s="221" t="s">
        <v>3388</v>
      </c>
      <c r="D2466" s="221" t="s">
        <v>4890</v>
      </c>
      <c r="E2466" s="221" t="s">
        <v>3295</v>
      </c>
      <c r="F2466" s="221" t="s">
        <v>3299</v>
      </c>
      <c r="G2466" s="222">
        <v>45535</v>
      </c>
      <c r="H2466" s="223">
        <v>0.52083333333333337</v>
      </c>
      <c r="I2466" s="221" t="s">
        <v>4916</v>
      </c>
      <c r="J2466" s="221" t="s">
        <v>3023</v>
      </c>
      <c r="K2466" s="224" t="s">
        <v>3080</v>
      </c>
      <c r="L2466" s="225" t="str">
        <f>VLOOKUP(Logfile_S[[#This Row],[Material Name]],Sheet2!B:C,2,0)</f>
        <v>ZTE2010</v>
      </c>
      <c r="M2466" s="225" t="str">
        <f>_xlfn.XLOOKUP(Logfile_S[[#This Row],[Material Name]],Sum_WH!E:E,Sum_WH!F:F,"",0)</f>
        <v>Pcs</v>
      </c>
      <c r="N2466" s="221">
        <v>6</v>
      </c>
      <c r="O2466" s="221" t="s">
        <v>3314</v>
      </c>
      <c r="P2466" s="221" t="s">
        <v>3223</v>
      </c>
      <c r="Q2466" s="221"/>
      <c r="R2466" s="221"/>
      <c r="S2466" s="221"/>
      <c r="T2466" s="221" t="s">
        <v>3244</v>
      </c>
      <c r="U2466" s="221">
        <v>0</v>
      </c>
      <c r="V2466" s="221" t="s">
        <v>3248</v>
      </c>
      <c r="W2466" s="221" t="s">
        <v>3252</v>
      </c>
      <c r="X2466" s="221" t="s">
        <v>3207</v>
      </c>
      <c r="Y2466" s="227"/>
      <c r="Z2466" s="227" t="str">
        <f>P2466</f>
        <v>Transfer Gudang</v>
      </c>
      <c r="AA2466" s="276" t="e">
        <f>VLOOKUP(Logfile_S[[#This Row],[DO number]],DO_DB!G:I,3,0)</f>
        <v>#N/A</v>
      </c>
      <c r="AB2466" s="331" t="e">
        <f>EXACT(Logfile_S[[#This Row],[date pick]],Logfile_S[[#This Row],[Date]])</f>
        <v>#N/A</v>
      </c>
      <c r="AC24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467" spans="1:29" ht="14.5">
      <c r="A2467" s="220" t="str">
        <f>TEXT(ROW(A2467)-ROW($A$4),"000")</f>
        <v>2463</v>
      </c>
      <c r="B2467" s="221"/>
      <c r="C2467" s="221" t="s">
        <v>3388</v>
      </c>
      <c r="D2467" s="221" t="s">
        <v>4891</v>
      </c>
      <c r="E2467" s="221" t="s">
        <v>3295</v>
      </c>
      <c r="F2467" s="221" t="s">
        <v>3299</v>
      </c>
      <c r="G2467" s="222">
        <v>45536</v>
      </c>
      <c r="H2467" s="223">
        <v>8.1944444444444445E-2</v>
      </c>
      <c r="I2467" s="221" t="s">
        <v>4916</v>
      </c>
      <c r="J2467" s="221" t="s">
        <v>3023</v>
      </c>
      <c r="K2467" s="224" t="s">
        <v>3080</v>
      </c>
      <c r="L2467" s="225" t="str">
        <f>VLOOKUP(Logfile_S[[#This Row],[Material Name]],Sheet2!B:C,2,0)</f>
        <v>ZTE2010</v>
      </c>
      <c r="M2467" s="225" t="str">
        <f>_xlfn.XLOOKUP(Logfile_S[[#This Row],[Material Name]],Sum_WH!E:E,Sum_WH!F:F,"",0)</f>
        <v>Pcs</v>
      </c>
      <c r="N2467" s="221">
        <v>5</v>
      </c>
      <c r="O2467" s="221" t="s">
        <v>3314</v>
      </c>
      <c r="P2467" s="221" t="s">
        <v>3223</v>
      </c>
      <c r="Q2467" s="221"/>
      <c r="R2467" s="221"/>
      <c r="S2467" s="221"/>
      <c r="T2467" s="221" t="s">
        <v>3231</v>
      </c>
      <c r="U2467" s="221">
        <v>0</v>
      </c>
      <c r="V2467" s="221" t="s">
        <v>3232</v>
      </c>
      <c r="W2467" s="221" t="s">
        <v>3254</v>
      </c>
      <c r="X2467" s="221" t="s">
        <v>3207</v>
      </c>
      <c r="Y2467" s="227"/>
      <c r="Z2467" s="227" t="str">
        <f>P2467</f>
        <v>Transfer Gudang</v>
      </c>
      <c r="AA2467" s="276" t="e">
        <f>VLOOKUP(Logfile_S[[#This Row],[DO number]],DO_DB!G:I,3,0)</f>
        <v>#N/A</v>
      </c>
      <c r="AB2467" s="331" t="e">
        <f>EXACT(Logfile_S[[#This Row],[date pick]],Logfile_S[[#This Row],[Date]])</f>
        <v>#N/A</v>
      </c>
      <c r="AC24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468" spans="1:29" ht="14.5">
      <c r="A2468" s="220" t="str">
        <f>TEXT(ROW(A2468)-ROW($A$4),"000")</f>
        <v>2464</v>
      </c>
      <c r="B2468" s="221"/>
      <c r="C2468" s="221" t="s">
        <v>3388</v>
      </c>
      <c r="D2468" s="221" t="s">
        <v>4892</v>
      </c>
      <c r="E2468" s="221" t="s">
        <v>3295</v>
      </c>
      <c r="F2468" s="221" t="s">
        <v>3299</v>
      </c>
      <c r="G2468" s="222">
        <v>45540</v>
      </c>
      <c r="H2468" s="223">
        <v>8.1944444444444445E-2</v>
      </c>
      <c r="I2468" s="221" t="s">
        <v>4916</v>
      </c>
      <c r="J2468" s="221" t="s">
        <v>3023</v>
      </c>
      <c r="K2468" s="224" t="s">
        <v>3080</v>
      </c>
      <c r="L2468" s="225" t="str">
        <f>VLOOKUP(Logfile_S[[#This Row],[Material Name]],Sheet2!B:C,2,0)</f>
        <v>ZTE2010</v>
      </c>
      <c r="M2468" s="225" t="str">
        <f>_xlfn.XLOOKUP(Logfile_S[[#This Row],[Material Name]],Sum_WH!E:E,Sum_WH!F:F,"",0)</f>
        <v>Pcs</v>
      </c>
      <c r="N2468" s="221">
        <v>3</v>
      </c>
      <c r="O2468" s="221" t="s">
        <v>3314</v>
      </c>
      <c r="P2468" s="221" t="s">
        <v>3223</v>
      </c>
      <c r="Q2468" s="221"/>
      <c r="R2468" s="221"/>
      <c r="S2468" s="221"/>
      <c r="T2468" s="221" t="s">
        <v>3231</v>
      </c>
      <c r="U2468" s="221">
        <v>0</v>
      </c>
      <c r="V2468" s="221" t="s">
        <v>3232</v>
      </c>
      <c r="W2468" s="221" t="s">
        <v>3254</v>
      </c>
      <c r="X2468" s="221" t="s">
        <v>3207</v>
      </c>
      <c r="Y2468" s="227"/>
      <c r="Z2468" s="227" t="str">
        <f>P2468</f>
        <v>Transfer Gudang</v>
      </c>
      <c r="AA2468" s="276" t="e">
        <f>VLOOKUP(Logfile_S[[#This Row],[DO number]],DO_DB!G:I,3,0)</f>
        <v>#N/A</v>
      </c>
      <c r="AB2468" s="331" t="e">
        <f>EXACT(Logfile_S[[#This Row],[date pick]],Logfile_S[[#This Row],[Date]])</f>
        <v>#N/A</v>
      </c>
      <c r="AC24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469" spans="1:29" ht="14.5">
      <c r="A2469" s="220" t="str">
        <f>TEXT(ROW(A2469)-ROW($A$4),"000")</f>
        <v>2465</v>
      </c>
      <c r="B2469" s="221"/>
      <c r="C2469" s="221" t="s">
        <v>3388</v>
      </c>
      <c r="D2469" s="221" t="s">
        <v>4893</v>
      </c>
      <c r="E2469" s="221" t="s">
        <v>3295</v>
      </c>
      <c r="F2469" s="221" t="s">
        <v>3299</v>
      </c>
      <c r="G2469" s="222">
        <v>45561</v>
      </c>
      <c r="H2469" s="223">
        <v>0.79027777777777775</v>
      </c>
      <c r="I2469" s="221" t="s">
        <v>4916</v>
      </c>
      <c r="J2469" s="221" t="s">
        <v>3023</v>
      </c>
      <c r="K2469" s="224" t="s">
        <v>3080</v>
      </c>
      <c r="L2469" s="225" t="str">
        <f>VLOOKUP(Logfile_S[[#This Row],[Material Name]],Sheet2!B:C,2,0)</f>
        <v>ZTE2010</v>
      </c>
      <c r="M2469" s="225" t="str">
        <f>_xlfn.XLOOKUP(Logfile_S[[#This Row],[Material Name]],Sum_WH!E:E,Sum_WH!F:F,"",0)</f>
        <v>Pcs</v>
      </c>
      <c r="N2469" s="221">
        <v>5</v>
      </c>
      <c r="O2469" s="221" t="s">
        <v>3314</v>
      </c>
      <c r="P2469" s="221" t="s">
        <v>3223</v>
      </c>
      <c r="Q2469" s="221"/>
      <c r="R2469" s="221"/>
      <c r="S2469" s="221"/>
      <c r="T2469" s="221" t="s">
        <v>3474</v>
      </c>
      <c r="U2469" s="221">
        <v>0</v>
      </c>
      <c r="V2469" s="221" t="s">
        <v>3475</v>
      </c>
      <c r="W2469" s="221" t="s">
        <v>3476</v>
      </c>
      <c r="X2469" s="221" t="s">
        <v>3207</v>
      </c>
      <c r="Y2469" s="227"/>
      <c r="Z2469" s="227" t="str">
        <f>P2469</f>
        <v>Transfer Gudang</v>
      </c>
      <c r="AA2469" s="276" t="e">
        <f>VLOOKUP(Logfile_S[[#This Row],[DO number]],DO_DB!G:I,3,0)</f>
        <v>#N/A</v>
      </c>
      <c r="AB2469" s="331" t="e">
        <f>EXACT(Logfile_S[[#This Row],[date pick]],Logfile_S[[#This Row],[Date]])</f>
        <v>#N/A</v>
      </c>
      <c r="AC24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470" spans="1:29" ht="14.5">
      <c r="A2470" s="220" t="str">
        <f>TEXT(ROW(A2470)-ROW($A$4),"000")</f>
        <v>2466</v>
      </c>
      <c r="B2470" s="221"/>
      <c r="C2470" s="221" t="s">
        <v>3388</v>
      </c>
      <c r="D2470" s="221" t="s">
        <v>4244</v>
      </c>
      <c r="E2470" s="221" t="s">
        <v>3295</v>
      </c>
      <c r="F2470" s="221" t="s">
        <v>3299</v>
      </c>
      <c r="G2470" s="222">
        <v>45565</v>
      </c>
      <c r="H2470" s="223">
        <v>0.73263888888888884</v>
      </c>
      <c r="I2470" s="221" t="s">
        <v>4922</v>
      </c>
      <c r="J2470" s="221" t="s">
        <v>3023</v>
      </c>
      <c r="K2470" s="224" t="s">
        <v>3080</v>
      </c>
      <c r="L2470" s="225" t="str">
        <f>VLOOKUP(Logfile_S[[#This Row],[Material Name]],Sheet2!B:C,2,0)</f>
        <v>ZTE2010</v>
      </c>
      <c r="M2470" s="225" t="str">
        <f>_xlfn.XLOOKUP(Logfile_S[[#This Row],[Material Name]],Sum_WH!E:E,Sum_WH!F:F,"",0)</f>
        <v>Pcs</v>
      </c>
      <c r="N2470" s="221">
        <v>2</v>
      </c>
      <c r="O2470" s="221" t="s">
        <v>3314</v>
      </c>
      <c r="P2470" s="221" t="s">
        <v>3223</v>
      </c>
      <c r="Q2470" s="221"/>
      <c r="R2470" s="221"/>
      <c r="S2470" s="221"/>
      <c r="T2470" s="221" t="s">
        <v>3247</v>
      </c>
      <c r="U2470" s="221">
        <v>0</v>
      </c>
      <c r="V2470" s="221" t="s">
        <v>3375</v>
      </c>
      <c r="W2470" s="221" t="s">
        <v>3376</v>
      </c>
      <c r="X2470" s="221" t="s">
        <v>3477</v>
      </c>
      <c r="Y2470" s="227"/>
      <c r="Z2470" s="227" t="str">
        <f>P2470</f>
        <v>Transfer Gudang</v>
      </c>
      <c r="AA2470" s="276" t="e">
        <f>VLOOKUP(Logfile_S[[#This Row],[DO number]],DO_DB!G:I,3,0)</f>
        <v>#N/A</v>
      </c>
      <c r="AB2470" s="331" t="e">
        <f>EXACT(Logfile_S[[#This Row],[date pick]],Logfile_S[[#This Row],[Date]])</f>
        <v>#N/A</v>
      </c>
      <c r="AC24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471" spans="1:29" ht="14.5">
      <c r="A2471" s="220" t="str">
        <f>TEXT(ROW(A2471)-ROW($A$4),"000")</f>
        <v>2467</v>
      </c>
      <c r="B2471" s="221"/>
      <c r="C2471" s="221" t="s">
        <v>3388</v>
      </c>
      <c r="D2471" s="221" t="s">
        <v>4894</v>
      </c>
      <c r="E2471" s="221" t="s">
        <v>3295</v>
      </c>
      <c r="F2471" s="221" t="s">
        <v>3299</v>
      </c>
      <c r="G2471" s="222">
        <v>45570</v>
      </c>
      <c r="H2471" s="223">
        <v>0.79027777777777775</v>
      </c>
      <c r="I2471" s="221" t="s">
        <v>4916</v>
      </c>
      <c r="J2471" s="221" t="s">
        <v>3023</v>
      </c>
      <c r="K2471" s="224" t="s">
        <v>3080</v>
      </c>
      <c r="L2471" s="225" t="str">
        <f>VLOOKUP(Logfile_S[[#This Row],[Material Name]],Sheet2!B:C,2,0)</f>
        <v>ZTE2010</v>
      </c>
      <c r="M2471" s="225" t="str">
        <f>_xlfn.XLOOKUP(Logfile_S[[#This Row],[Material Name]],Sum_WH!E:E,Sum_WH!F:F,"",0)</f>
        <v>Pcs</v>
      </c>
      <c r="N2471" s="221">
        <v>3</v>
      </c>
      <c r="O2471" s="221" t="s">
        <v>3314</v>
      </c>
      <c r="P2471" s="221" t="s">
        <v>3223</v>
      </c>
      <c r="Q2471" s="221"/>
      <c r="R2471" s="221"/>
      <c r="S2471" s="221"/>
      <c r="T2471" s="221" t="s">
        <v>3356</v>
      </c>
      <c r="U2471" s="221">
        <v>0</v>
      </c>
      <c r="V2471" s="221" t="s">
        <v>3357</v>
      </c>
      <c r="W2471" s="221" t="s">
        <v>3358</v>
      </c>
      <c r="X2471" s="221" t="s">
        <v>3207</v>
      </c>
      <c r="Y2471" s="227"/>
      <c r="Z2471" s="227" t="str">
        <f>P2471</f>
        <v>Transfer Gudang</v>
      </c>
      <c r="AA2471" s="276" t="e">
        <f>VLOOKUP(Logfile_S[[#This Row],[DO number]],DO_DB!G:I,3,0)</f>
        <v>#N/A</v>
      </c>
      <c r="AB2471" s="331" t="e">
        <f>EXACT(Logfile_S[[#This Row],[date pick]],Logfile_S[[#This Row],[Date]])</f>
        <v>#N/A</v>
      </c>
      <c r="AC24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472" spans="1:29" ht="14.5">
      <c r="A2472" s="220" t="str">
        <f>TEXT(ROW(A2472)-ROW($A$4),"000")</f>
        <v>2468</v>
      </c>
      <c r="B2472" s="221"/>
      <c r="C2472" s="221" t="s">
        <v>3388</v>
      </c>
      <c r="D2472" s="221" t="s">
        <v>4350</v>
      </c>
      <c r="E2472" s="221" t="s">
        <v>3295</v>
      </c>
      <c r="F2472" s="221" t="s">
        <v>3299</v>
      </c>
      <c r="G2472" s="222">
        <v>45735</v>
      </c>
      <c r="H2472" s="223">
        <v>0.63958333333333328</v>
      </c>
      <c r="I2472" s="221" t="s">
        <v>4918</v>
      </c>
      <c r="J2472" s="221" t="s">
        <v>3023</v>
      </c>
      <c r="K2472" s="224" t="s">
        <v>13</v>
      </c>
      <c r="L2472" s="225" t="str">
        <f>VLOOKUP(Logfile_S[[#This Row],[Material Name]],Sheet2!B:C,2,0)</f>
        <v>ZTE2008</v>
      </c>
      <c r="M2472" s="225" t="str">
        <f>_xlfn.XLOOKUP(Logfile_S[[#This Row],[Material Name]],Sum_WH!E:E,Sum_WH!F:F,"",0)</f>
        <v>Pcs</v>
      </c>
      <c r="N2472" s="221">
        <v>10</v>
      </c>
      <c r="O2472" s="221" t="s">
        <v>3367</v>
      </c>
      <c r="P2472" s="221" t="s">
        <v>3223</v>
      </c>
      <c r="Q2472" s="221"/>
      <c r="R2472" s="221"/>
      <c r="S2472" s="221"/>
      <c r="T2472" s="221" t="s">
        <v>3241</v>
      </c>
      <c r="U2472" s="221">
        <v>0</v>
      </c>
      <c r="V2472" s="221" t="s">
        <v>3368</v>
      </c>
      <c r="W2472" s="221" t="s">
        <v>3242</v>
      </c>
      <c r="X2472" s="221" t="s">
        <v>3544</v>
      </c>
      <c r="Y2472" s="227"/>
      <c r="Z2472" s="227" t="str">
        <f>P2472</f>
        <v>Transfer Gudang</v>
      </c>
      <c r="AA2472" s="276" t="e">
        <f>VLOOKUP(Logfile_S[[#This Row],[DO number]],DO_DB!G:I,3,0)</f>
        <v>#N/A</v>
      </c>
      <c r="AB2472" s="331" t="e">
        <f>EXACT(Logfile_S[[#This Row],[date pick]],Logfile_S[[#This Row],[Date]])</f>
        <v>#N/A</v>
      </c>
      <c r="AC24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</v>
      </c>
    </row>
    <row r="2473" spans="1:29" ht="14.5">
      <c r="A2473" s="220" t="str">
        <f>TEXT(ROW(A2473)-ROW($A$4),"000")</f>
        <v>2469</v>
      </c>
      <c r="B2473" s="221"/>
      <c r="C2473" s="221" t="s">
        <v>3388</v>
      </c>
      <c r="D2473" s="221" t="s">
        <v>3975</v>
      </c>
      <c r="E2473" s="221" t="s">
        <v>3295</v>
      </c>
      <c r="F2473" s="221" t="s">
        <v>3299</v>
      </c>
      <c r="G2473" s="222">
        <v>45358</v>
      </c>
      <c r="H2473" s="223">
        <v>0.87569444444444444</v>
      </c>
      <c r="I2473" s="221" t="s">
        <v>4918</v>
      </c>
      <c r="J2473" s="221" t="s">
        <v>3023</v>
      </c>
      <c r="K2473" s="224" t="s">
        <v>3073</v>
      </c>
      <c r="L2473" s="225" t="str">
        <f>VLOOKUP(Logfile_S[[#This Row],[Material Name]],Sheet2!B:C,2,0)</f>
        <v>ZTE2001</v>
      </c>
      <c r="M2473" s="225" t="str">
        <f>_xlfn.XLOOKUP(Logfile_S[[#This Row],[Material Name]],Sum_WH!E:E,Sum_WH!F:F,"",0)</f>
        <v>Meter</v>
      </c>
      <c r="N2473" s="221">
        <v>3000</v>
      </c>
      <c r="O2473" s="221" t="s">
        <v>3314</v>
      </c>
      <c r="P2473" s="221" t="s">
        <v>3499</v>
      </c>
      <c r="Q2473" s="221"/>
      <c r="R2473" s="221"/>
      <c r="S2473" s="221"/>
      <c r="T2473" s="221" t="s">
        <v>3500</v>
      </c>
      <c r="U2473" s="221">
        <v>0</v>
      </c>
      <c r="V2473" s="221">
        <v>0</v>
      </c>
      <c r="W2473" s="221">
        <v>0</v>
      </c>
      <c r="X2473" s="221" t="s">
        <v>3501</v>
      </c>
      <c r="Y2473" s="236" t="s">
        <v>4948</v>
      </c>
      <c r="Z2473" s="227" t="str">
        <f>P2473</f>
        <v>Transfer Gudang TO GRESIK</v>
      </c>
      <c r="AA2473" s="276" t="e">
        <f>VLOOKUP(Logfile_S[[#This Row],[DO number]],DO_DB!G:I,3,0)</f>
        <v>#N/A</v>
      </c>
      <c r="AB2473" s="331" t="e">
        <f>EXACT(Logfile_S[[#This Row],[date pick]],Logfile_S[[#This Row],[Date]])</f>
        <v>#N/A</v>
      </c>
      <c r="AC24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OUT_H-ADSS 24C-202431-01</v>
      </c>
    </row>
    <row r="2474" spans="1:29" ht="14.5">
      <c r="A2474" s="237" t="str">
        <f>TEXT(ROW(A2474)-ROW($A$4),"000")</f>
        <v>2470</v>
      </c>
      <c r="B2474" s="221"/>
      <c r="C2474" s="221" t="s">
        <v>3388</v>
      </c>
      <c r="D2474" s="221" t="s">
        <v>3975</v>
      </c>
      <c r="E2474" s="221" t="s">
        <v>3295</v>
      </c>
      <c r="F2474" s="221" t="s">
        <v>3299</v>
      </c>
      <c r="G2474" s="222">
        <v>45358</v>
      </c>
      <c r="H2474" s="223">
        <v>0.87569444444444444</v>
      </c>
      <c r="I2474" s="221" t="s">
        <v>4918</v>
      </c>
      <c r="J2474" s="221" t="s">
        <v>3023</v>
      </c>
      <c r="K2474" s="224" t="s">
        <v>3073</v>
      </c>
      <c r="L2474" s="225" t="str">
        <f>VLOOKUP(Logfile_S[[#This Row],[Material Name]],Sheet2!B:C,2,0)</f>
        <v>ZTE2001</v>
      </c>
      <c r="M2474" s="225" t="str">
        <f>_xlfn.XLOOKUP(Logfile_S[[#This Row],[Material Name]],Sum_WH!E:E,Sum_WH!F:F,"",0)</f>
        <v>Meter</v>
      </c>
      <c r="N2474" s="221">
        <v>3000</v>
      </c>
      <c r="O2474" s="221" t="s">
        <v>3314</v>
      </c>
      <c r="P2474" s="221" t="s">
        <v>3499</v>
      </c>
      <c r="Q2474" s="221"/>
      <c r="R2474" s="227"/>
      <c r="S2474" s="227"/>
      <c r="T2474" s="221" t="s">
        <v>3500</v>
      </c>
      <c r="U2474" s="221">
        <v>0</v>
      </c>
      <c r="V2474" s="221">
        <v>0</v>
      </c>
      <c r="W2474" s="221">
        <v>0</v>
      </c>
      <c r="X2474" s="221" t="s">
        <v>3501</v>
      </c>
      <c r="Y2474" s="243" t="s">
        <v>4996</v>
      </c>
      <c r="Z2474" s="227" t="str">
        <f>P2474</f>
        <v>Transfer Gudang TO GRESIK</v>
      </c>
      <c r="AA2474" s="276" t="e">
        <f>VLOOKUP(Logfile_S[[#This Row],[DO number]],DO_DB!G:I,3,0)</f>
        <v>#N/A</v>
      </c>
      <c r="AB2474" s="331" t="e">
        <f>EXACT(Logfile_S[[#This Row],[date pick]],Logfile_S[[#This Row],[Date]])</f>
        <v>#N/A</v>
      </c>
      <c r="AC24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OUT_H-ADSS 24C-202431-02</v>
      </c>
    </row>
    <row r="2475" spans="1:29" ht="14.5">
      <c r="A2475" s="220" t="str">
        <f>TEXT(ROW(A2475)-ROW($A$4),"000")</f>
        <v>2471</v>
      </c>
      <c r="B2475" s="221"/>
      <c r="C2475" s="221" t="s">
        <v>3388</v>
      </c>
      <c r="D2475" s="221" t="s">
        <v>3853</v>
      </c>
      <c r="E2475" s="221" t="s">
        <v>3295</v>
      </c>
      <c r="F2475" s="221" t="s">
        <v>3299</v>
      </c>
      <c r="G2475" s="222">
        <v>45294</v>
      </c>
      <c r="H2475" s="223">
        <v>0.89374999999999993</v>
      </c>
      <c r="I2475" s="221" t="s">
        <v>4920</v>
      </c>
      <c r="J2475" s="221" t="s">
        <v>3023</v>
      </c>
      <c r="K2475" s="224" t="s">
        <v>3073</v>
      </c>
      <c r="L2475" s="225" t="str">
        <f>VLOOKUP(Logfile_S[[#This Row],[Material Name]],Sheet2!B:C,2,0)</f>
        <v>ZTE2001</v>
      </c>
      <c r="M2475" s="225" t="str">
        <f>_xlfn.XLOOKUP(Logfile_S[[#This Row],[Material Name]],Sum_WH!E:E,Sum_WH!F:F,"",0)</f>
        <v>Meter</v>
      </c>
      <c r="N2475" s="221">
        <v>3000</v>
      </c>
      <c r="O2475" s="221" t="s">
        <v>3314</v>
      </c>
      <c r="P2475" s="221" t="s">
        <v>3494</v>
      </c>
      <c r="Q2475" s="221"/>
      <c r="R2475" s="221"/>
      <c r="S2475" s="221"/>
      <c r="T2475" s="221" t="s">
        <v>3495</v>
      </c>
      <c r="U2475" s="221">
        <v>0</v>
      </c>
      <c r="V2475" s="221">
        <v>0</v>
      </c>
      <c r="W2475" s="221" t="s">
        <v>3353</v>
      </c>
      <c r="X2475" s="221" t="s">
        <v>3496</v>
      </c>
      <c r="Y2475" s="236" t="s">
        <v>4992</v>
      </c>
      <c r="Z2475" s="227" t="str">
        <f>P2475</f>
        <v>Transfer Gudang TO KEDIRI</v>
      </c>
      <c r="AA2475" s="276" t="e">
        <f>VLOOKUP(Logfile_S[[#This Row],[DO number]],DO_DB!G:I,3,0)</f>
        <v>#N/A</v>
      </c>
      <c r="AB2475" s="331" t="e">
        <f>EXACT(Logfile_S[[#This Row],[date pick]],Logfile_S[[#This Row],[Date]])</f>
        <v>#N/A</v>
      </c>
      <c r="AC24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OUT_H-ADSS 24C-20231227-02</v>
      </c>
    </row>
    <row r="2476" spans="1:29" ht="14.5">
      <c r="A2476" s="237" t="str">
        <f>TEXT(ROW(A2476)-ROW($A$4),"000")</f>
        <v>2472</v>
      </c>
      <c r="B2476" s="221"/>
      <c r="C2476" s="221" t="s">
        <v>3388</v>
      </c>
      <c r="D2476" s="221" t="s">
        <v>3853</v>
      </c>
      <c r="E2476" s="221" t="s">
        <v>3295</v>
      </c>
      <c r="F2476" s="221" t="s">
        <v>3299</v>
      </c>
      <c r="G2476" s="222">
        <v>45294</v>
      </c>
      <c r="H2476" s="223">
        <v>0.89374999999999993</v>
      </c>
      <c r="I2476" s="221" t="s">
        <v>4920</v>
      </c>
      <c r="J2476" s="221" t="s">
        <v>3023</v>
      </c>
      <c r="K2476" s="224" t="s">
        <v>3073</v>
      </c>
      <c r="L2476" s="225" t="str">
        <f>VLOOKUP(Logfile_S[[#This Row],[Material Name]],Sheet2!B:C,2,0)</f>
        <v>ZTE2001</v>
      </c>
      <c r="M2476" s="225" t="str">
        <f>_xlfn.XLOOKUP(Logfile_S[[#This Row],[Material Name]],Sum_WH!E:E,Sum_WH!F:F,"",0)</f>
        <v>Meter</v>
      </c>
      <c r="N2476" s="221">
        <v>3000</v>
      </c>
      <c r="O2476" s="221" t="s">
        <v>3314</v>
      </c>
      <c r="P2476" s="221" t="s">
        <v>3494</v>
      </c>
      <c r="Q2476" s="221"/>
      <c r="R2476" s="227"/>
      <c r="S2476" s="227"/>
      <c r="T2476" s="221" t="s">
        <v>3495</v>
      </c>
      <c r="U2476" s="221">
        <v>0</v>
      </c>
      <c r="V2476" s="221">
        <v>0</v>
      </c>
      <c r="W2476" s="221" t="s">
        <v>3353</v>
      </c>
      <c r="X2476" s="221" t="s">
        <v>3496</v>
      </c>
      <c r="Y2476" s="243" t="s">
        <v>4993</v>
      </c>
      <c r="Z2476" s="227" t="str">
        <f>P2476</f>
        <v>Transfer Gudang TO KEDIRI</v>
      </c>
      <c r="AA2476" s="276" t="e">
        <f>VLOOKUP(Logfile_S[[#This Row],[DO number]],DO_DB!G:I,3,0)</f>
        <v>#N/A</v>
      </c>
      <c r="AB2476" s="331" t="e">
        <f>EXACT(Logfile_S[[#This Row],[date pick]],Logfile_S[[#This Row],[Date]])</f>
        <v>#N/A</v>
      </c>
      <c r="AC24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TRANSFER OUT_H-ADSS 24C-20231227-03</v>
      </c>
    </row>
    <row r="2477" spans="1:29" ht="14.5">
      <c r="A2477" s="237" t="str">
        <f>TEXT(ROW(A2477)-ROW($A$4),"000")</f>
        <v>2473</v>
      </c>
      <c r="B2477" s="221">
        <v>2</v>
      </c>
      <c r="C2477" s="227" t="s">
        <v>3313</v>
      </c>
      <c r="D2477" s="227" t="s">
        <v>4724</v>
      </c>
      <c r="E2477" s="227" t="s">
        <v>3295</v>
      </c>
      <c r="F2477" s="227" t="s">
        <v>3299</v>
      </c>
      <c r="G2477" s="239">
        <v>45959</v>
      </c>
      <c r="H2477" s="240">
        <v>0.64652777777777781</v>
      </c>
      <c r="I2477" s="221" t="s">
        <v>4918</v>
      </c>
      <c r="J2477" s="221" t="s">
        <v>3023</v>
      </c>
      <c r="K2477" s="241" t="s">
        <v>13</v>
      </c>
      <c r="L2477" s="225" t="str">
        <f>VLOOKUP(Logfile_S[[#This Row],[Material Name]],Sheet2!B:C,2,0)</f>
        <v>ZTE2008</v>
      </c>
      <c r="M2477" s="242" t="s">
        <v>19</v>
      </c>
      <c r="N2477" s="227">
        <v>18</v>
      </c>
      <c r="O2477" s="221" t="s">
        <v>3314</v>
      </c>
      <c r="P2477" s="227"/>
      <c r="Q2477" s="227"/>
      <c r="R2477" s="227"/>
      <c r="S2477" s="227"/>
      <c r="T2477" s="227"/>
      <c r="U2477" s="227"/>
      <c r="V2477" s="227"/>
      <c r="W2477" s="227"/>
      <c r="X2477" s="227"/>
      <c r="Y2477" s="227"/>
      <c r="Z2477" s="227">
        <f>P2477</f>
        <v>0</v>
      </c>
      <c r="AA2477" s="276" t="e">
        <f>VLOOKUP(Logfile_S[[#This Row],[DO number]],DO_DB!G:I,3,0)</f>
        <v>#N/A</v>
      </c>
      <c r="AB2477" s="331" t="e">
        <f>EXACT(Logfile_S[[#This Row],[date pick]],Logfile_S[[#This Row],[Date]])</f>
        <v>#N/A</v>
      </c>
      <c r="AC24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78" spans="1:29" ht="14.5">
      <c r="A2478" s="220" t="str">
        <f>TEXT(ROW(A2478)-ROW($A$4),"000")</f>
        <v>2474</v>
      </c>
      <c r="B2478" s="221"/>
      <c r="C2478" s="221" t="s">
        <v>48</v>
      </c>
      <c r="D2478" s="221" t="s">
        <v>4427</v>
      </c>
      <c r="E2478" s="221" t="s">
        <v>3295</v>
      </c>
      <c r="F2478" s="221" t="s">
        <v>3299</v>
      </c>
      <c r="G2478" s="222">
        <v>45899</v>
      </c>
      <c r="H2478" s="223">
        <v>0.6469907407407407</v>
      </c>
      <c r="I2478" s="221" t="s">
        <v>37</v>
      </c>
      <c r="J2478" s="221" t="s">
        <v>3023</v>
      </c>
      <c r="K2478" s="224" t="s">
        <v>13</v>
      </c>
      <c r="L2478" s="225" t="str">
        <f>VLOOKUP(Logfile_S[[#This Row],[Material Name]],Sheet2!B:C,2,0)</f>
        <v>ZTE2008</v>
      </c>
      <c r="M2478" s="225" t="str">
        <f>_xlfn.XLOOKUP(Logfile_S[[#This Row],[Material Name]],Sum_WH!E:E,Sum_WH!F:F,"",0)</f>
        <v>Pcs</v>
      </c>
      <c r="N2478" s="221">
        <v>19</v>
      </c>
      <c r="O2478" s="221"/>
      <c r="P2478" s="221" t="s">
        <v>3260</v>
      </c>
      <c r="Q2478" s="221" t="s">
        <v>3260</v>
      </c>
      <c r="R2478" s="221" t="s">
        <v>3260</v>
      </c>
      <c r="S2478" s="221"/>
      <c r="T2478" s="221"/>
      <c r="U2478" s="221"/>
      <c r="V2478" s="221"/>
      <c r="W2478" s="221"/>
      <c r="X2478" s="221"/>
      <c r="Y2478" s="227"/>
      <c r="Z2478" s="227" t="str">
        <f>P2478</f>
        <v>-</v>
      </c>
      <c r="AA2478" s="276" t="e">
        <f>VLOOKUP(Logfile_S[[#This Row],[DO number]],DO_DB!G:I,3,0)</f>
        <v>#N/A</v>
      </c>
      <c r="AB2478" s="331" t="e">
        <f>EXACT(Logfile_S[[#This Row],[date pick]],Logfile_S[[#This Row],[Date]])</f>
        <v>#N/A</v>
      </c>
      <c r="AC24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79" spans="1:29" ht="14.5">
      <c r="A2479" s="220" t="str">
        <f>TEXT(ROW(A2479)-ROW($A$4),"000")</f>
        <v>2475</v>
      </c>
      <c r="B2479" s="221"/>
      <c r="C2479" s="221" t="s">
        <v>48</v>
      </c>
      <c r="D2479" s="221" t="s">
        <v>4426</v>
      </c>
      <c r="E2479" s="221" t="s">
        <v>3295</v>
      </c>
      <c r="F2479" s="221" t="s">
        <v>3299</v>
      </c>
      <c r="G2479" s="222">
        <v>45899</v>
      </c>
      <c r="H2479" s="223">
        <v>0.64682870370370371</v>
      </c>
      <c r="I2479" s="221" t="s">
        <v>37</v>
      </c>
      <c r="J2479" s="221" t="s">
        <v>3023</v>
      </c>
      <c r="K2479" s="224" t="s">
        <v>14</v>
      </c>
      <c r="L2479" s="225" t="str">
        <f>VLOOKUP(Logfile_S[[#This Row],[Material Name]],Sheet2!B:C,2,0)</f>
        <v>ZTE2005</v>
      </c>
      <c r="M2479" s="225" t="str">
        <f>_xlfn.XLOOKUP(Logfile_S[[#This Row],[Material Name]],Sum_WH!E:E,Sum_WH!F:F,"",0)</f>
        <v>Pcs</v>
      </c>
      <c r="N2479" s="221">
        <v>1</v>
      </c>
      <c r="O2479" s="221"/>
      <c r="P2479" s="221" t="s">
        <v>3260</v>
      </c>
      <c r="Q2479" s="221" t="s">
        <v>3260</v>
      </c>
      <c r="R2479" s="221" t="s">
        <v>3260</v>
      </c>
      <c r="S2479" s="221"/>
      <c r="T2479" s="221"/>
      <c r="U2479" s="221"/>
      <c r="V2479" s="221"/>
      <c r="W2479" s="221"/>
      <c r="X2479" s="221"/>
      <c r="Y2479" s="227"/>
      <c r="Z2479" s="227" t="str">
        <f>P2479</f>
        <v>-</v>
      </c>
      <c r="AA2479" s="276" t="e">
        <f>VLOOKUP(Logfile_S[[#This Row],[DO number]],DO_DB!G:I,3,0)</f>
        <v>#N/A</v>
      </c>
      <c r="AB2479" s="331" t="e">
        <f>EXACT(Logfile_S[[#This Row],[date pick]],Logfile_S[[#This Row],[Date]])</f>
        <v>#N/A</v>
      </c>
      <c r="AC24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80" spans="1:29" ht="14.5">
      <c r="A2480" s="220" t="str">
        <f>TEXT(ROW(A2480)-ROW($A$4),"000")</f>
        <v>2476</v>
      </c>
      <c r="B2480" s="221"/>
      <c r="C2480" s="221" t="s">
        <v>48</v>
      </c>
      <c r="D2480" s="221" t="s">
        <v>4424</v>
      </c>
      <c r="E2480" s="221" t="s">
        <v>3295</v>
      </c>
      <c r="F2480" s="221" t="s">
        <v>3299</v>
      </c>
      <c r="G2480" s="222">
        <v>45899</v>
      </c>
      <c r="H2480" s="223">
        <v>0.64604166666666663</v>
      </c>
      <c r="I2480" s="221" t="s">
        <v>37</v>
      </c>
      <c r="J2480" s="221" t="s">
        <v>3023</v>
      </c>
      <c r="K2480" s="224" t="s">
        <v>3069</v>
      </c>
      <c r="L2480" s="225" t="str">
        <f>VLOOKUP(Logfile_S[[#This Row],[Material Name]],Sheet2!B:C,2,0)</f>
        <v>ZTE1001</v>
      </c>
      <c r="M2480" s="225" t="str">
        <f>_xlfn.XLOOKUP(Logfile_S[[#This Row],[Material Name]],Sum_WH!E:E,Sum_WH!F:F,"",0)</f>
        <v>Pcs</v>
      </c>
      <c r="N2480" s="221">
        <v>21</v>
      </c>
      <c r="O2480" s="221"/>
      <c r="P2480" s="221" t="s">
        <v>3260</v>
      </c>
      <c r="Q2480" s="221" t="s">
        <v>3260</v>
      </c>
      <c r="R2480" s="221" t="s">
        <v>3260</v>
      </c>
      <c r="S2480" s="221"/>
      <c r="T2480" s="221"/>
      <c r="U2480" s="221"/>
      <c r="V2480" s="221"/>
      <c r="W2480" s="221"/>
      <c r="X2480" s="221"/>
      <c r="Y2480" s="227"/>
      <c r="Z2480" s="227" t="str">
        <f>P2480</f>
        <v>-</v>
      </c>
      <c r="AA2480" s="276" t="e">
        <f>VLOOKUP(Logfile_S[[#This Row],[DO number]],DO_DB!G:I,3,0)</f>
        <v>#N/A</v>
      </c>
      <c r="AB2480" s="331" t="e">
        <f>EXACT(Logfile_S[[#This Row],[date pick]],Logfile_S[[#This Row],[Date]])</f>
        <v>#N/A</v>
      </c>
      <c r="AC24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81" spans="1:29" ht="14.5">
      <c r="A2481" s="237" t="str">
        <f>TEXT(ROW(A2481)-ROW($A$4),"000")</f>
        <v>2477</v>
      </c>
      <c r="B2481" s="221">
        <v>3</v>
      </c>
      <c r="C2481" s="227" t="s">
        <v>48</v>
      </c>
      <c r="D2481" s="227" t="s">
        <v>4761</v>
      </c>
      <c r="E2481" s="227" t="s">
        <v>3295</v>
      </c>
      <c r="F2481" s="227" t="s">
        <v>3299</v>
      </c>
      <c r="G2481" s="239">
        <v>46012</v>
      </c>
      <c r="H2481" s="240">
        <v>0.66666666666666663</v>
      </c>
      <c r="I2481" s="227" t="s">
        <v>3586</v>
      </c>
      <c r="J2481" s="221" t="s">
        <v>3023</v>
      </c>
      <c r="K2481" s="241" t="s">
        <v>3073</v>
      </c>
      <c r="L2481" s="225" t="str">
        <f>VLOOKUP(Logfile_S[[#This Row],[Material Name]],Sheet2!B:C,2,0)</f>
        <v>ZTE2001</v>
      </c>
      <c r="M2481" s="242" t="s">
        <v>20</v>
      </c>
      <c r="N2481" s="227">
        <v>3000</v>
      </c>
      <c r="O2481" s="221"/>
      <c r="P2481" s="227" t="s">
        <v>4826</v>
      </c>
      <c r="Q2481" s="227"/>
      <c r="R2481" s="227"/>
      <c r="S2481" s="227"/>
      <c r="T2481" s="227"/>
      <c r="U2481" s="227"/>
      <c r="V2481" s="227"/>
      <c r="W2481" s="227"/>
      <c r="X2481" s="227"/>
      <c r="Y2481" s="227" t="s">
        <v>5036</v>
      </c>
      <c r="Z2481" s="227" t="str">
        <f>P2481</f>
        <v>FDT 3 Ardirejo Line C</v>
      </c>
      <c r="AA2481" s="276" t="e">
        <f>VLOOKUP(Logfile_S[[#This Row],[DO number]],DO_DB!G:I,3,0)</f>
        <v>#N/A</v>
      </c>
      <c r="AB2481" s="331" t="e">
        <f>EXACT(Logfile_S[[#This Row],[date pick]],Logfile_S[[#This Row],[Date]])</f>
        <v>#N/A</v>
      </c>
      <c r="AC24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24C-20251221-01</v>
      </c>
    </row>
    <row r="2482" spans="1:29" ht="14.5">
      <c r="A2482" s="237" t="str">
        <f>TEXT(ROW(A2482)-ROW($A$4),"000")</f>
        <v>2478</v>
      </c>
      <c r="B2482" s="221"/>
      <c r="C2482" s="227" t="s">
        <v>49</v>
      </c>
      <c r="D2482" s="227" t="s">
        <v>5404</v>
      </c>
      <c r="E2482" s="227" t="s">
        <v>3295</v>
      </c>
      <c r="F2482" s="227"/>
      <c r="G2482" s="239">
        <v>46255</v>
      </c>
      <c r="H2482" s="240"/>
      <c r="I2482" s="227"/>
      <c r="J2482" s="227"/>
      <c r="K2482" s="241" t="s">
        <v>3073</v>
      </c>
      <c r="L2482" s="242" t="str">
        <f>VLOOKUP(Logfile_S[[#This Row],[Material Name]],Sheet2!B:C,2,0)</f>
        <v>ZTE2001</v>
      </c>
      <c r="M2482" s="242" t="s">
        <v>20</v>
      </c>
      <c r="N2482" s="227">
        <v>2000</v>
      </c>
      <c r="O2482" s="511" t="s">
        <v>5383</v>
      </c>
      <c r="P2482" s="227" t="s">
        <v>5386</v>
      </c>
      <c r="Q2482" s="227"/>
      <c r="R2482" s="227"/>
      <c r="S2482" s="227" t="s">
        <v>5390</v>
      </c>
      <c r="T2482" s="227" t="s">
        <v>5390</v>
      </c>
      <c r="U2482" s="227" t="s">
        <v>5390</v>
      </c>
      <c r="V2482" s="227" t="s">
        <v>5390</v>
      </c>
      <c r="W2482" s="227"/>
      <c r="X2482" s="227"/>
      <c r="Y2482" s="238" t="s">
        <v>5394</v>
      </c>
      <c r="Z2482" s="238" t="str">
        <f>P2482</f>
        <v>KEMANTREN RW 03 BANDUNGREJOSARI MALANG</v>
      </c>
      <c r="AA2482" s="276" t="e">
        <f>VLOOKUP(Logfile_S[[#This Row],[DO number]],DO_DB!G:I,3,0)</f>
        <v>#N/A</v>
      </c>
      <c r="AB2482" s="332" t="e">
        <f>EXACT(Logfile_S[[#This Row],[date pick]],Logfile_S[[#This Row],[Date]])</f>
        <v>#N/A</v>
      </c>
      <c r="AC2482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OUTBOUND_H-ADSS24C-260814-004</v>
      </c>
    </row>
    <row r="2483" spans="1:29" ht="14.5">
      <c r="A2483" s="237" t="str">
        <f>TEXT(ROW(A2483)-ROW($A$4),"000")</f>
        <v>2479</v>
      </c>
      <c r="B2483" s="221"/>
      <c r="C2483" s="227" t="s">
        <v>49</v>
      </c>
      <c r="D2483" s="227" t="s">
        <v>5412</v>
      </c>
      <c r="E2483" s="227" t="s">
        <v>3295</v>
      </c>
      <c r="F2483" s="227"/>
      <c r="G2483" s="239">
        <v>46272</v>
      </c>
      <c r="H2483" s="240"/>
      <c r="I2483" s="227"/>
      <c r="J2483" s="227"/>
      <c r="K2483" s="241" t="s">
        <v>3069</v>
      </c>
      <c r="L2483" s="242" t="str">
        <f>VLOOKUP(Logfile_S[[#This Row],[Material Name]],Sheet2!B:C,2,0)</f>
        <v>ZTE1001</v>
      </c>
      <c r="M2483" s="242" t="s">
        <v>19</v>
      </c>
      <c r="N2483" s="227">
        <v>4</v>
      </c>
      <c r="O2483" s="511" t="s">
        <v>5383</v>
      </c>
      <c r="P2483" s="227" t="s">
        <v>5386</v>
      </c>
      <c r="Q2483" s="227"/>
      <c r="R2483" s="227"/>
      <c r="S2483" s="227" t="s">
        <v>5390</v>
      </c>
      <c r="T2483" s="227" t="s">
        <v>5390</v>
      </c>
      <c r="U2483" s="227" t="s">
        <v>5390</v>
      </c>
      <c r="V2483" s="227" t="s">
        <v>5390</v>
      </c>
      <c r="W2483" s="227"/>
      <c r="X2483" s="227"/>
      <c r="Y2483" s="238" t="s">
        <v>5390</v>
      </c>
      <c r="Z2483" s="238" t="str">
        <f>P2483</f>
        <v>KEMANTREN RW 03 BANDUNGREJOSARI MALANG</v>
      </c>
      <c r="AA2483" s="276" t="e">
        <f>VLOOKUP(Logfile_S[[#This Row],[DO number]],DO_DB!G:I,3,0)</f>
        <v>#N/A</v>
      </c>
      <c r="AB2483" s="332" t="e">
        <f>EXACT(Logfile_S[[#This Row],[date pick]],Logfile_S[[#This Row],[Date]])</f>
        <v>#N/A</v>
      </c>
      <c r="AC2483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84" spans="1:29" ht="14.5">
      <c r="A2484" s="237" t="str">
        <f>TEXT(ROW(A2484)-ROW($A$4),"000")</f>
        <v>2480</v>
      </c>
      <c r="B2484" s="221"/>
      <c r="C2484" s="227" t="s">
        <v>49</v>
      </c>
      <c r="D2484" s="227" t="s">
        <v>5412</v>
      </c>
      <c r="E2484" s="227" t="s">
        <v>3295</v>
      </c>
      <c r="F2484" s="227"/>
      <c r="G2484" s="239">
        <v>46272</v>
      </c>
      <c r="H2484" s="240"/>
      <c r="I2484" s="227"/>
      <c r="J2484" s="227"/>
      <c r="K2484" s="241" t="s">
        <v>3070</v>
      </c>
      <c r="L2484" s="242" t="str">
        <f>VLOOKUP(Logfile_S[[#This Row],[Material Name]],Sheet2!B:C,2,0)</f>
        <v>ZTE1002</v>
      </c>
      <c r="M2484" s="242" t="s">
        <v>19</v>
      </c>
      <c r="N2484" s="227">
        <v>12</v>
      </c>
      <c r="O2484" s="511" t="s">
        <v>5383</v>
      </c>
      <c r="P2484" s="227" t="s">
        <v>5386</v>
      </c>
      <c r="Q2484" s="227"/>
      <c r="R2484" s="227"/>
      <c r="S2484" s="227" t="s">
        <v>5390</v>
      </c>
      <c r="T2484" s="227" t="s">
        <v>5390</v>
      </c>
      <c r="U2484" s="227" t="s">
        <v>5390</v>
      </c>
      <c r="V2484" s="227" t="s">
        <v>5390</v>
      </c>
      <c r="W2484" s="227"/>
      <c r="X2484" s="227"/>
      <c r="Y2484" s="238" t="s">
        <v>5390</v>
      </c>
      <c r="Z2484" s="238" t="str">
        <f>P2484</f>
        <v>KEMANTREN RW 03 BANDUNGREJOSARI MALANG</v>
      </c>
      <c r="AA2484" s="276" t="e">
        <f>VLOOKUP(Logfile_S[[#This Row],[DO number]],DO_DB!G:I,3,0)</f>
        <v>#N/A</v>
      </c>
      <c r="AB2484" s="332" t="e">
        <f>EXACT(Logfile_S[[#This Row],[date pick]],Logfile_S[[#This Row],[Date]])</f>
        <v>#N/A</v>
      </c>
      <c r="AC2484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85" spans="1:29" ht="14.5">
      <c r="A2485" s="237" t="str">
        <f>TEXT(ROW(A2485)-ROW($A$4),"000")</f>
        <v>2481</v>
      </c>
      <c r="B2485" s="221"/>
      <c r="C2485" s="227" t="s">
        <v>49</v>
      </c>
      <c r="D2485" s="227" t="s">
        <v>5412</v>
      </c>
      <c r="E2485" s="227" t="s">
        <v>3295</v>
      </c>
      <c r="F2485" s="227"/>
      <c r="G2485" s="239">
        <v>46272</v>
      </c>
      <c r="H2485" s="240"/>
      <c r="I2485" s="227"/>
      <c r="J2485" s="227"/>
      <c r="K2485" s="241" t="s">
        <v>4731</v>
      </c>
      <c r="L2485" s="242" t="str">
        <f>VLOOKUP(Logfile_S[[#This Row],[Material Name]],Sheet2!B:C,2,0)</f>
        <v>ZTE1007</v>
      </c>
      <c r="M2485" s="242" t="s">
        <v>19</v>
      </c>
      <c r="N2485" s="227">
        <v>13</v>
      </c>
      <c r="O2485" s="511" t="s">
        <v>5383</v>
      </c>
      <c r="P2485" s="227" t="s">
        <v>5386</v>
      </c>
      <c r="Q2485" s="227"/>
      <c r="R2485" s="227"/>
      <c r="S2485" s="227" t="s">
        <v>5390</v>
      </c>
      <c r="T2485" s="227" t="s">
        <v>5390</v>
      </c>
      <c r="U2485" s="227" t="s">
        <v>5390</v>
      </c>
      <c r="V2485" s="227" t="s">
        <v>5390</v>
      </c>
      <c r="W2485" s="227"/>
      <c r="X2485" s="227"/>
      <c r="Y2485" s="238" t="s">
        <v>5390</v>
      </c>
      <c r="Z2485" s="238" t="str">
        <f>P2485</f>
        <v>KEMANTREN RW 03 BANDUNGREJOSARI MALANG</v>
      </c>
      <c r="AA2485" s="276" t="e">
        <f>VLOOKUP(Logfile_S[[#This Row],[DO number]],DO_DB!G:I,3,0)</f>
        <v>#N/A</v>
      </c>
      <c r="AB2485" s="332" t="e">
        <f>EXACT(Logfile_S[[#This Row],[date pick]],Logfile_S[[#This Row],[Date]])</f>
        <v>#N/A</v>
      </c>
      <c r="AC2485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86" spans="1:29" ht="14.5">
      <c r="A2486" s="237" t="str">
        <f>TEXT(ROW(A2486)-ROW($A$4),"000")</f>
        <v>2482</v>
      </c>
      <c r="B2486" s="221"/>
      <c r="C2486" s="227" t="s">
        <v>49</v>
      </c>
      <c r="D2486" s="227" t="s">
        <v>5412</v>
      </c>
      <c r="E2486" s="227" t="s">
        <v>3295</v>
      </c>
      <c r="F2486" s="227"/>
      <c r="G2486" s="239">
        <v>46272</v>
      </c>
      <c r="H2486" s="240"/>
      <c r="I2486" s="227"/>
      <c r="J2486" s="227"/>
      <c r="K2486" s="241" t="s">
        <v>3073</v>
      </c>
      <c r="L2486" s="242" t="str">
        <f>VLOOKUP(Logfile_S[[#This Row],[Material Name]],Sheet2!B:C,2,0)</f>
        <v>ZTE2001</v>
      </c>
      <c r="M2486" s="242" t="s">
        <v>20</v>
      </c>
      <c r="N2486" s="227">
        <v>3000</v>
      </c>
      <c r="O2486" s="511" t="s">
        <v>5383</v>
      </c>
      <c r="P2486" s="227" t="s">
        <v>5386</v>
      </c>
      <c r="Q2486" s="227"/>
      <c r="R2486" s="227"/>
      <c r="S2486" s="227" t="s">
        <v>5390</v>
      </c>
      <c r="T2486" s="227" t="s">
        <v>5390</v>
      </c>
      <c r="U2486" s="227" t="s">
        <v>5390</v>
      </c>
      <c r="V2486" s="227" t="s">
        <v>5390</v>
      </c>
      <c r="W2486" s="227"/>
      <c r="X2486" s="227"/>
      <c r="Y2486" s="238" t="s">
        <v>5393</v>
      </c>
      <c r="Z2486" s="238" t="str">
        <f>P2486</f>
        <v>KEMANTREN RW 03 BANDUNGREJOSARI MALANG</v>
      </c>
      <c r="AA2486" s="276" t="e">
        <f>VLOOKUP(Logfile_S[[#This Row],[DO number]],DO_DB!G:I,3,0)</f>
        <v>#N/A</v>
      </c>
      <c r="AB2486" s="334" t="e">
        <f>EXACT(Logfile_S[[#This Row],[date pick]],Logfile_S[[#This Row],[Date]])</f>
        <v>#N/A</v>
      </c>
      <c r="AC2486" s="334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OUTBOUND_H-ADSS24C-260814-003</v>
      </c>
    </row>
    <row r="2487" spans="1:29" ht="14.5">
      <c r="A2487" s="237" t="str">
        <f>TEXT(ROW(A2487)-ROW($A$4),"000")</f>
        <v>2483</v>
      </c>
      <c r="B2487" s="221"/>
      <c r="C2487" s="227" t="s">
        <v>49</v>
      </c>
      <c r="D2487" s="227" t="s">
        <v>5407</v>
      </c>
      <c r="E2487" s="227" t="s">
        <v>3295</v>
      </c>
      <c r="F2487" s="227"/>
      <c r="G2487" s="239">
        <v>46260</v>
      </c>
      <c r="H2487" s="240"/>
      <c r="I2487" s="227"/>
      <c r="J2487" s="227"/>
      <c r="K2487" s="241" t="s">
        <v>3070</v>
      </c>
      <c r="L2487" s="242" t="str">
        <f>VLOOKUP(Logfile_S[[#This Row],[Material Name]],Sheet2!B:C,2,0)</f>
        <v>ZTE1002</v>
      </c>
      <c r="M2487" s="242" t="s">
        <v>19</v>
      </c>
      <c r="N2487" s="227">
        <v>25</v>
      </c>
      <c r="O2487" s="511" t="s">
        <v>5381</v>
      </c>
      <c r="P2487" s="227" t="s">
        <v>5382</v>
      </c>
      <c r="Q2487" s="227"/>
      <c r="R2487" s="227"/>
      <c r="S2487" s="227" t="s">
        <v>5390</v>
      </c>
      <c r="T2487" s="227" t="s">
        <v>5390</v>
      </c>
      <c r="U2487" s="227" t="s">
        <v>5390</v>
      </c>
      <c r="V2487" s="227" t="s">
        <v>5390</v>
      </c>
      <c r="W2487" s="227"/>
      <c r="X2487" s="227"/>
      <c r="Y2487" s="238" t="s">
        <v>5390</v>
      </c>
      <c r="Z2487" s="238" t="str">
        <f>P2487</f>
        <v>NGAGLIK RW 03 BATU</v>
      </c>
      <c r="AA2487" s="276" t="e">
        <f>VLOOKUP(Logfile_S[[#This Row],[DO number]],DO_DB!G:I,3,0)</f>
        <v>#N/A</v>
      </c>
      <c r="AB2487" s="332" t="e">
        <f>EXACT(Logfile_S[[#This Row],[date pick]],Logfile_S[[#This Row],[Date]])</f>
        <v>#N/A</v>
      </c>
      <c r="AC2487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88" spans="1:29" ht="14.5">
      <c r="A2488" s="237" t="str">
        <f>TEXT(ROW(A2488)-ROW($A$4),"000")</f>
        <v>2484</v>
      </c>
      <c r="B2488" s="221"/>
      <c r="C2488" s="227" t="s">
        <v>49</v>
      </c>
      <c r="D2488" s="227" t="s">
        <v>5407</v>
      </c>
      <c r="E2488" s="227" t="s">
        <v>3295</v>
      </c>
      <c r="F2488" s="227"/>
      <c r="G2488" s="239">
        <v>46260</v>
      </c>
      <c r="H2488" s="240"/>
      <c r="I2488" s="227"/>
      <c r="J2488" s="227"/>
      <c r="K2488" s="241" t="s">
        <v>3070</v>
      </c>
      <c r="L2488" s="242" t="str">
        <f>VLOOKUP(Logfile_S[[#This Row],[Material Name]],Sheet2!B:C,2,0)</f>
        <v>ZTE1002</v>
      </c>
      <c r="M2488" s="242" t="s">
        <v>19</v>
      </c>
      <c r="N2488" s="227">
        <v>23</v>
      </c>
      <c r="O2488" s="511" t="s">
        <v>5381</v>
      </c>
      <c r="P2488" s="227" t="s">
        <v>5382</v>
      </c>
      <c r="Q2488" s="227"/>
      <c r="R2488" s="227"/>
      <c r="S2488" s="227" t="s">
        <v>5390</v>
      </c>
      <c r="T2488" s="227" t="s">
        <v>5390</v>
      </c>
      <c r="U2488" s="227" t="s">
        <v>5390</v>
      </c>
      <c r="V2488" s="227" t="s">
        <v>5390</v>
      </c>
      <c r="W2488" s="227"/>
      <c r="X2488" s="227"/>
      <c r="Y2488" s="238" t="s">
        <v>5390</v>
      </c>
      <c r="Z2488" s="238" t="str">
        <f>P2488</f>
        <v>NGAGLIK RW 03 BATU</v>
      </c>
      <c r="AA2488" s="276" t="e">
        <f>VLOOKUP(Logfile_S[[#This Row],[DO number]],DO_DB!G:I,3,0)</f>
        <v>#N/A</v>
      </c>
      <c r="AB2488" s="332" t="e">
        <f>EXACT(Logfile_S[[#This Row],[date pick]],Logfile_S[[#This Row],[Date]])</f>
        <v>#N/A</v>
      </c>
      <c r="AC2488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89" spans="1:29" ht="14.5">
      <c r="A2489" s="237" t="str">
        <f>TEXT(ROW(A2489)-ROW($A$4),"000")</f>
        <v>2485</v>
      </c>
      <c r="B2489" s="221"/>
      <c r="C2489" s="227" t="s">
        <v>49</v>
      </c>
      <c r="D2489" s="227" t="s">
        <v>5407</v>
      </c>
      <c r="E2489" s="227" t="s">
        <v>3295</v>
      </c>
      <c r="F2489" s="227"/>
      <c r="G2489" s="239">
        <v>46260</v>
      </c>
      <c r="H2489" s="240"/>
      <c r="I2489" s="227"/>
      <c r="J2489" s="227"/>
      <c r="K2489" s="241" t="s">
        <v>4731</v>
      </c>
      <c r="L2489" s="242" t="str">
        <f>VLOOKUP(Logfile_S[[#This Row],[Material Name]],Sheet2!B:C,2,0)</f>
        <v>ZTE1007</v>
      </c>
      <c r="M2489" s="242" t="s">
        <v>19</v>
      </c>
      <c r="N2489" s="227">
        <v>7</v>
      </c>
      <c r="O2489" s="511" t="s">
        <v>5381</v>
      </c>
      <c r="P2489" s="227" t="s">
        <v>5382</v>
      </c>
      <c r="Q2489" s="227"/>
      <c r="R2489" s="227"/>
      <c r="S2489" s="227" t="s">
        <v>5390</v>
      </c>
      <c r="T2489" s="227" t="s">
        <v>5390</v>
      </c>
      <c r="U2489" s="227" t="s">
        <v>5390</v>
      </c>
      <c r="V2489" s="227" t="s">
        <v>5390</v>
      </c>
      <c r="W2489" s="227"/>
      <c r="X2489" s="227"/>
      <c r="Y2489" s="238" t="s">
        <v>5390</v>
      </c>
      <c r="Z2489" s="238" t="str">
        <f>P2489</f>
        <v>NGAGLIK RW 03 BATU</v>
      </c>
      <c r="AA2489" s="276" t="e">
        <f>VLOOKUP(Logfile_S[[#This Row],[DO number]],DO_DB!G:I,3,0)</f>
        <v>#N/A</v>
      </c>
      <c r="AB2489" s="332" t="e">
        <f>EXACT(Logfile_S[[#This Row],[date pick]],Logfile_S[[#This Row],[Date]])</f>
        <v>#N/A</v>
      </c>
      <c r="AC2489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90" spans="1:29" ht="14.5">
      <c r="A2490" s="237" t="str">
        <f>TEXT(ROW(A2490)-ROW($A$4),"000")</f>
        <v>2486</v>
      </c>
      <c r="B2490" s="221"/>
      <c r="C2490" s="227" t="s">
        <v>49</v>
      </c>
      <c r="D2490" s="227" t="s">
        <v>5410</v>
      </c>
      <c r="E2490" s="227" t="s">
        <v>3295</v>
      </c>
      <c r="F2490" s="227"/>
      <c r="G2490" s="239">
        <v>46264</v>
      </c>
      <c r="H2490" s="240"/>
      <c r="I2490" s="227"/>
      <c r="J2490" s="227"/>
      <c r="K2490" s="241" t="s">
        <v>3069</v>
      </c>
      <c r="L2490" s="242" t="str">
        <f>VLOOKUP(Logfile_S[[#This Row],[Material Name]],Sheet2!B:C,2,0)</f>
        <v>ZTE1001</v>
      </c>
      <c r="M2490" s="242" t="s">
        <v>19</v>
      </c>
      <c r="N2490" s="227">
        <v>7</v>
      </c>
      <c r="O2490" s="511" t="s">
        <v>5381</v>
      </c>
      <c r="P2490" s="227" t="s">
        <v>5382</v>
      </c>
      <c r="Q2490" s="227"/>
      <c r="R2490" s="227"/>
      <c r="S2490" s="227" t="s">
        <v>5390</v>
      </c>
      <c r="T2490" s="227" t="s">
        <v>5390</v>
      </c>
      <c r="U2490" s="227" t="s">
        <v>5390</v>
      </c>
      <c r="V2490" s="227" t="s">
        <v>5390</v>
      </c>
      <c r="W2490" s="227"/>
      <c r="X2490" s="227"/>
      <c r="Y2490" s="238" t="s">
        <v>5390</v>
      </c>
      <c r="Z2490" s="238" t="str">
        <f>P2490</f>
        <v>NGAGLIK RW 03 BATU</v>
      </c>
      <c r="AA2490" s="276" t="e">
        <f>VLOOKUP(Logfile_S[[#This Row],[DO number]],DO_DB!G:I,3,0)</f>
        <v>#N/A</v>
      </c>
      <c r="AB2490" s="332" t="e">
        <f>EXACT(Logfile_S[[#This Row],[date pick]],Logfile_S[[#This Row],[Date]])</f>
        <v>#N/A</v>
      </c>
      <c r="AC2490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91" spans="1:29" ht="14.5">
      <c r="A2491" s="237" t="str">
        <f>TEXT(ROW(A2491)-ROW($A$4),"000")</f>
        <v>2487</v>
      </c>
      <c r="B2491" s="221"/>
      <c r="C2491" s="227" t="s">
        <v>49</v>
      </c>
      <c r="D2491" s="227" t="s">
        <v>5410</v>
      </c>
      <c r="E2491" s="227" t="s">
        <v>3295</v>
      </c>
      <c r="F2491" s="227"/>
      <c r="G2491" s="239">
        <v>46264</v>
      </c>
      <c r="H2491" s="240"/>
      <c r="I2491" s="227"/>
      <c r="J2491" s="227"/>
      <c r="K2491" s="241" t="s">
        <v>3070</v>
      </c>
      <c r="L2491" s="242" t="str">
        <f>VLOOKUP(Logfile_S[[#This Row],[Material Name]],Sheet2!B:C,2,0)</f>
        <v>ZTE1002</v>
      </c>
      <c r="M2491" s="242" t="s">
        <v>19</v>
      </c>
      <c r="N2491" s="227">
        <v>4</v>
      </c>
      <c r="O2491" s="511" t="s">
        <v>5381</v>
      </c>
      <c r="P2491" s="227" t="s">
        <v>5382</v>
      </c>
      <c r="Q2491" s="227"/>
      <c r="R2491" s="227"/>
      <c r="S2491" s="227" t="s">
        <v>5390</v>
      </c>
      <c r="T2491" s="227" t="s">
        <v>5390</v>
      </c>
      <c r="U2491" s="227" t="s">
        <v>5390</v>
      </c>
      <c r="V2491" s="227" t="s">
        <v>5390</v>
      </c>
      <c r="W2491" s="227"/>
      <c r="X2491" s="227"/>
      <c r="Y2491" s="238" t="s">
        <v>5390</v>
      </c>
      <c r="Z2491" s="238" t="str">
        <f>P2491</f>
        <v>NGAGLIK RW 03 BATU</v>
      </c>
      <c r="AA2491" s="276" t="e">
        <f>VLOOKUP(Logfile_S[[#This Row],[DO number]],DO_DB!G:I,3,0)</f>
        <v>#N/A</v>
      </c>
      <c r="AB2491" s="332" t="e">
        <f>EXACT(Logfile_S[[#This Row],[date pick]],Logfile_S[[#This Row],[Date]])</f>
        <v>#N/A</v>
      </c>
      <c r="AC2491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92" spans="1:29" ht="14.5">
      <c r="A2492" s="237" t="str">
        <f>TEXT(ROW(A2492)-ROW($A$4),"000")</f>
        <v>2488</v>
      </c>
      <c r="B2492" s="221"/>
      <c r="C2492" s="227" t="s">
        <v>49</v>
      </c>
      <c r="D2492" s="227" t="s">
        <v>5410</v>
      </c>
      <c r="E2492" s="227" t="s">
        <v>3295</v>
      </c>
      <c r="F2492" s="227"/>
      <c r="G2492" s="239">
        <v>46264</v>
      </c>
      <c r="H2492" s="240"/>
      <c r="I2492" s="227"/>
      <c r="J2492" s="227"/>
      <c r="K2492" s="241" t="s">
        <v>4731</v>
      </c>
      <c r="L2492" s="242" t="str">
        <f>VLOOKUP(Logfile_S[[#This Row],[Material Name]],Sheet2!B:C,2,0)</f>
        <v>ZTE1007</v>
      </c>
      <c r="M2492" s="242" t="s">
        <v>19</v>
      </c>
      <c r="N2492" s="227">
        <v>4</v>
      </c>
      <c r="O2492" s="511" t="s">
        <v>5381</v>
      </c>
      <c r="P2492" s="227" t="s">
        <v>5382</v>
      </c>
      <c r="Q2492" s="227"/>
      <c r="R2492" s="227"/>
      <c r="S2492" s="227" t="s">
        <v>5390</v>
      </c>
      <c r="T2492" s="227" t="s">
        <v>5390</v>
      </c>
      <c r="U2492" s="227" t="s">
        <v>5390</v>
      </c>
      <c r="V2492" s="227" t="s">
        <v>5390</v>
      </c>
      <c r="W2492" s="227"/>
      <c r="X2492" s="227"/>
      <c r="Y2492" s="238" t="s">
        <v>5390</v>
      </c>
      <c r="Z2492" s="238" t="str">
        <f>P2492</f>
        <v>NGAGLIK RW 03 BATU</v>
      </c>
      <c r="AA2492" s="276" t="e">
        <f>VLOOKUP(Logfile_S[[#This Row],[DO number]],DO_DB!G:I,3,0)</f>
        <v>#N/A</v>
      </c>
      <c r="AB2492" s="332" t="e">
        <f>EXACT(Logfile_S[[#This Row],[date pick]],Logfile_S[[#This Row],[Date]])</f>
        <v>#N/A</v>
      </c>
      <c r="AC2492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93" spans="1:29" ht="14.5">
      <c r="A2493" s="237" t="str">
        <f>TEXT(ROW(A2493)-ROW($A$4),"000")</f>
        <v>2489</v>
      </c>
      <c r="B2493" s="221"/>
      <c r="C2493" s="227" t="s">
        <v>49</v>
      </c>
      <c r="D2493" s="227" t="s">
        <v>5410</v>
      </c>
      <c r="E2493" s="227" t="s">
        <v>3295</v>
      </c>
      <c r="F2493" s="227"/>
      <c r="G2493" s="239">
        <v>46264</v>
      </c>
      <c r="H2493" s="240"/>
      <c r="I2493" s="227"/>
      <c r="J2493" s="227"/>
      <c r="K2493" s="241" t="s">
        <v>3071</v>
      </c>
      <c r="L2493" s="242" t="str">
        <f>VLOOKUP(Logfile_S[[#This Row],[Material Name]],Sheet2!B:C,2,0)</f>
        <v>ZTE1003</v>
      </c>
      <c r="M2493" s="242" t="s">
        <v>19</v>
      </c>
      <c r="N2493" s="227">
        <v>2</v>
      </c>
      <c r="O2493" s="511" t="s">
        <v>5381</v>
      </c>
      <c r="P2493" s="227" t="s">
        <v>5382</v>
      </c>
      <c r="Q2493" s="227"/>
      <c r="R2493" s="227"/>
      <c r="S2493" s="227" t="s">
        <v>5390</v>
      </c>
      <c r="T2493" s="227" t="s">
        <v>5390</v>
      </c>
      <c r="U2493" s="227" t="s">
        <v>5390</v>
      </c>
      <c r="V2493" s="227" t="s">
        <v>5390</v>
      </c>
      <c r="W2493" s="227"/>
      <c r="X2493" s="227"/>
      <c r="Y2493" s="238" t="s">
        <v>5390</v>
      </c>
      <c r="Z2493" s="238" t="str">
        <f>P2493</f>
        <v>NGAGLIK RW 03 BATU</v>
      </c>
      <c r="AA2493" s="276" t="e">
        <f>VLOOKUP(Logfile_S[[#This Row],[DO number]],DO_DB!G:I,3,0)</f>
        <v>#N/A</v>
      </c>
      <c r="AB2493" s="332" t="e">
        <f>EXACT(Logfile_S[[#This Row],[date pick]],Logfile_S[[#This Row],[Date]])</f>
        <v>#N/A</v>
      </c>
      <c r="AC2493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94" spans="1:29" ht="14.5">
      <c r="A2494" s="237" t="str">
        <f>TEXT(ROW(A2494)-ROW($A$4),"000")</f>
        <v>2490</v>
      </c>
      <c r="B2494" s="221"/>
      <c r="C2494" s="227" t="s">
        <v>49</v>
      </c>
      <c r="D2494" s="227" t="s">
        <v>5411</v>
      </c>
      <c r="E2494" s="227" t="s">
        <v>3295</v>
      </c>
      <c r="F2494" s="227"/>
      <c r="G2494" s="239">
        <v>46266</v>
      </c>
      <c r="H2494" s="240"/>
      <c r="I2494" s="227"/>
      <c r="J2494" s="227"/>
      <c r="K2494" s="241" t="s">
        <v>13</v>
      </c>
      <c r="L2494" s="242" t="str">
        <f>VLOOKUP(Logfile_S[[#This Row],[Material Name]],Sheet2!B:C,2,0)</f>
        <v>ZTE2008</v>
      </c>
      <c r="M2494" s="242" t="s">
        <v>19</v>
      </c>
      <c r="N2494" s="227">
        <v>5</v>
      </c>
      <c r="O2494" s="511" t="s">
        <v>5381</v>
      </c>
      <c r="P2494" s="227" t="s">
        <v>5382</v>
      </c>
      <c r="Q2494" s="227"/>
      <c r="R2494" s="227"/>
      <c r="S2494" s="227" t="s">
        <v>5390</v>
      </c>
      <c r="T2494" s="227" t="s">
        <v>5390</v>
      </c>
      <c r="U2494" s="227" t="s">
        <v>5390</v>
      </c>
      <c r="V2494" s="227" t="s">
        <v>5390</v>
      </c>
      <c r="W2494" s="227"/>
      <c r="X2494" s="227"/>
      <c r="Y2494" s="238" t="s">
        <v>5390</v>
      </c>
      <c r="Z2494" s="238" t="str">
        <f>P2494</f>
        <v>NGAGLIK RW 03 BATU</v>
      </c>
      <c r="AA2494" s="276" t="e">
        <f>VLOOKUP(Logfile_S[[#This Row],[DO number]],DO_DB!G:I,3,0)</f>
        <v>#N/A</v>
      </c>
      <c r="AB2494" s="332" t="e">
        <f>EXACT(Logfile_S[[#This Row],[date pick]],Logfile_S[[#This Row],[Date]])</f>
        <v>#N/A</v>
      </c>
      <c r="AC2494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95" spans="1:29" ht="14.5">
      <c r="A2495" s="237" t="str">
        <f>TEXT(ROW(A2495)-ROW($A$4),"000")</f>
        <v>2491</v>
      </c>
      <c r="B2495" s="221"/>
      <c r="C2495" s="227" t="s">
        <v>49</v>
      </c>
      <c r="D2495" s="227" t="s">
        <v>5415</v>
      </c>
      <c r="E2495" s="227" t="s">
        <v>3295</v>
      </c>
      <c r="F2495" s="227"/>
      <c r="G2495" s="239">
        <v>46260</v>
      </c>
      <c r="H2495" s="240"/>
      <c r="I2495" s="227"/>
      <c r="J2495" s="227"/>
      <c r="K2495" s="241" t="s">
        <v>3072</v>
      </c>
      <c r="L2495" s="242" t="str">
        <f>VLOOKUP(Logfile_S[[#This Row],[Material Name]],Sheet2!B:C,2,0)</f>
        <v>ZTE1004</v>
      </c>
      <c r="M2495" s="242" t="s">
        <v>19</v>
      </c>
      <c r="N2495" s="227">
        <v>1</v>
      </c>
      <c r="O2495" s="511" t="s">
        <v>5381</v>
      </c>
      <c r="P2495" s="227" t="s">
        <v>5382</v>
      </c>
      <c r="Q2495" s="227"/>
      <c r="R2495" s="227"/>
      <c r="S2495" s="227" t="s">
        <v>39</v>
      </c>
      <c r="T2495" s="227" t="s">
        <v>5390</v>
      </c>
      <c r="U2495" s="227" t="s">
        <v>5390</v>
      </c>
      <c r="V2495" s="227" t="s">
        <v>5390</v>
      </c>
      <c r="W2495" s="227"/>
      <c r="X2495" s="227"/>
      <c r="Y2495" s="238" t="s">
        <v>5390</v>
      </c>
      <c r="Z2495" s="238" t="str">
        <f>P2495</f>
        <v>NGAGLIK RW 03 BATU</v>
      </c>
      <c r="AA2495" s="276" t="e">
        <f>VLOOKUP(Logfile_S[[#This Row],[DO number]],DO_DB!G:I,3,0)</f>
        <v>#N/A</v>
      </c>
      <c r="AB2495" s="334" t="e">
        <f>EXACT(Logfile_S[[#This Row],[date pick]],Logfile_S[[#This Row],[Date]])</f>
        <v>#N/A</v>
      </c>
      <c r="AC2495" s="334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96" spans="1:29" ht="14.5">
      <c r="A2496" s="237" t="str">
        <f>TEXT(ROW(A2496)-ROW($A$4),"000")</f>
        <v>2492</v>
      </c>
      <c r="B2496" s="221"/>
      <c r="C2496" s="227" t="s">
        <v>49</v>
      </c>
      <c r="D2496" s="227" t="s">
        <v>5396</v>
      </c>
      <c r="E2496" s="227" t="s">
        <v>3295</v>
      </c>
      <c r="F2496" s="227"/>
      <c r="G2496" s="239">
        <v>46249</v>
      </c>
      <c r="H2496" s="240"/>
      <c r="I2496" s="227"/>
      <c r="J2496" s="227"/>
      <c r="K2496" s="241" t="s">
        <v>3070</v>
      </c>
      <c r="L2496" s="242" t="str">
        <f>VLOOKUP(Logfile_S[[#This Row],[Material Name]],Sheet2!B:C,2,0)</f>
        <v>ZTE1002</v>
      </c>
      <c r="M2496" s="242" t="s">
        <v>19</v>
      </c>
      <c r="N2496" s="227">
        <v>14</v>
      </c>
      <c r="O2496" s="511" t="s">
        <v>5380</v>
      </c>
      <c r="P2496" s="227" t="s">
        <v>5397</v>
      </c>
      <c r="Q2496" s="227"/>
      <c r="R2496" s="227"/>
      <c r="S2496" s="227" t="s">
        <v>39</v>
      </c>
      <c r="T2496" s="227" t="s">
        <v>5390</v>
      </c>
      <c r="U2496" s="227" t="s">
        <v>5390</v>
      </c>
      <c r="V2496" s="227" t="s">
        <v>5390</v>
      </c>
      <c r="W2496" s="227"/>
      <c r="X2496" s="227"/>
      <c r="Y2496" s="238" t="s">
        <v>5390</v>
      </c>
      <c r="Z2496" s="238" t="str">
        <f>P2496</f>
        <v>PERUMAHAN THE EMERALD MALANG</v>
      </c>
      <c r="AA2496" s="276" t="e">
        <f>VLOOKUP(Logfile_S[[#This Row],[DO number]],DO_DB!G:I,3,0)</f>
        <v>#N/A</v>
      </c>
      <c r="AB2496" s="334" t="e">
        <f>EXACT(Logfile_S[[#This Row],[date pick]],Logfile_S[[#This Row],[Date]])</f>
        <v>#N/A</v>
      </c>
      <c r="AC2496" s="334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97" spans="1:29" ht="14.5">
      <c r="A2497" s="237" t="str">
        <f>TEXT(ROW(A2497)-ROW($A$4),"000")</f>
        <v>2493</v>
      </c>
      <c r="B2497" s="221"/>
      <c r="C2497" s="227" t="s">
        <v>49</v>
      </c>
      <c r="D2497" s="227" t="s">
        <v>5396</v>
      </c>
      <c r="E2497" s="227" t="s">
        <v>3295</v>
      </c>
      <c r="F2497" s="227"/>
      <c r="G2497" s="239">
        <v>46249</v>
      </c>
      <c r="H2497" s="240"/>
      <c r="I2497" s="227"/>
      <c r="J2497" s="590"/>
      <c r="K2497" s="241" t="s">
        <v>4731</v>
      </c>
      <c r="L2497" s="242" t="str">
        <f>VLOOKUP(Logfile_S[[#This Row],[Material Name]],Sheet2!B:C,2,0)</f>
        <v>ZTE1007</v>
      </c>
      <c r="M2497" s="242" t="s">
        <v>19</v>
      </c>
      <c r="N2497" s="227">
        <v>13</v>
      </c>
      <c r="O2497" s="511" t="s">
        <v>5380</v>
      </c>
      <c r="P2497" s="227" t="s">
        <v>5397</v>
      </c>
      <c r="Q2497" s="227"/>
      <c r="R2497" s="227"/>
      <c r="S2497" s="227" t="s">
        <v>39</v>
      </c>
      <c r="T2497" s="227" t="s">
        <v>5390</v>
      </c>
      <c r="U2497" s="227" t="s">
        <v>5390</v>
      </c>
      <c r="V2497" s="227" t="s">
        <v>5390</v>
      </c>
      <c r="W2497" s="227"/>
      <c r="X2497" s="227"/>
      <c r="Y2497" s="238" t="s">
        <v>5390</v>
      </c>
      <c r="Z2497" s="238" t="str">
        <f>P2497</f>
        <v>PERUMAHAN THE EMERALD MALANG</v>
      </c>
      <c r="AA2497" s="276" t="e">
        <f>VLOOKUP(Logfile_S[[#This Row],[DO number]],DO_DB!G:I,3,0)</f>
        <v>#N/A</v>
      </c>
      <c r="AB2497" s="332" t="e">
        <f>EXACT(Logfile_S[[#This Row],[date pick]],Logfile_S[[#This Row],[Date]])</f>
        <v>#N/A</v>
      </c>
      <c r="AC2497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498" spans="1:29" ht="14.5">
      <c r="A2498" s="237" t="str">
        <f>TEXT(ROW(A2498)-ROW($A$4),"000")</f>
        <v>2494</v>
      </c>
      <c r="B2498" s="221"/>
      <c r="C2498" s="227" t="s">
        <v>49</v>
      </c>
      <c r="D2498" s="227" t="s">
        <v>5398</v>
      </c>
      <c r="E2498" s="227" t="s">
        <v>3295</v>
      </c>
      <c r="F2498" s="227"/>
      <c r="G2498" s="239">
        <v>46249</v>
      </c>
      <c r="H2498" s="240"/>
      <c r="I2498" s="227"/>
      <c r="J2498" s="590"/>
      <c r="K2498" s="241" t="s">
        <v>3073</v>
      </c>
      <c r="L2498" s="242" t="str">
        <f>VLOOKUP(Logfile_S[[#This Row],[Material Name]],Sheet2!B:C,2,0)</f>
        <v>ZTE2001</v>
      </c>
      <c r="M2498" s="242" t="s">
        <v>20</v>
      </c>
      <c r="N2498" s="227">
        <v>1850</v>
      </c>
      <c r="O2498" s="511" t="s">
        <v>5380</v>
      </c>
      <c r="P2498" s="227" t="s">
        <v>5397</v>
      </c>
      <c r="Q2498" s="227"/>
      <c r="R2498" s="227"/>
      <c r="S2498" s="227" t="s">
        <v>39</v>
      </c>
      <c r="T2498" s="227" t="s">
        <v>5390</v>
      </c>
      <c r="U2498" s="227" t="s">
        <v>5390</v>
      </c>
      <c r="V2498" s="227" t="s">
        <v>5390</v>
      </c>
      <c r="W2498" s="227"/>
      <c r="X2498" s="227"/>
      <c r="Y2498" s="238" t="s">
        <v>5391</v>
      </c>
      <c r="Z2498" s="238" t="str">
        <f>P2498</f>
        <v>PERUMAHAN THE EMERALD MALANG</v>
      </c>
      <c r="AA2498" s="276" t="e">
        <f>VLOOKUP(Logfile_S[[#This Row],[DO number]],DO_DB!G:I,3,0)</f>
        <v>#N/A</v>
      </c>
      <c r="AB2498" s="332" t="e">
        <f>EXACT(Logfile_S[[#This Row],[date pick]],Logfile_S[[#This Row],[Date]])</f>
        <v>#N/A</v>
      </c>
      <c r="AC2498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OUTBOUND_H-ADSS24C-260814-001</v>
      </c>
    </row>
    <row r="2499" spans="1:29" ht="14.5">
      <c r="A2499" s="237" t="str">
        <f>TEXT(ROW(A2499)-ROW($A$4),"000")</f>
        <v>2495</v>
      </c>
      <c r="B2499" s="221"/>
      <c r="C2499" s="227" t="s">
        <v>49</v>
      </c>
      <c r="D2499" s="227" t="s">
        <v>5399</v>
      </c>
      <c r="E2499" s="227" t="s">
        <v>3295</v>
      </c>
      <c r="F2499" s="227"/>
      <c r="G2499" s="239">
        <v>46253</v>
      </c>
      <c r="H2499" s="240"/>
      <c r="I2499" s="227"/>
      <c r="J2499" s="591"/>
      <c r="K2499" s="241" t="s">
        <v>13</v>
      </c>
      <c r="L2499" s="242" t="str">
        <f>VLOOKUP(Logfile_S[[#This Row],[Material Name]],Sheet2!B:C,2,0)</f>
        <v>ZTE2008</v>
      </c>
      <c r="M2499" s="242" t="s">
        <v>19</v>
      </c>
      <c r="N2499" s="227">
        <v>7</v>
      </c>
      <c r="O2499" s="511" t="s">
        <v>5380</v>
      </c>
      <c r="P2499" s="227" t="s">
        <v>5397</v>
      </c>
      <c r="Q2499" s="227"/>
      <c r="R2499" s="227"/>
      <c r="S2499" s="227" t="s">
        <v>5390</v>
      </c>
      <c r="T2499" s="227" t="s">
        <v>5390</v>
      </c>
      <c r="U2499" s="227" t="s">
        <v>5390</v>
      </c>
      <c r="V2499" s="227" t="s">
        <v>5390</v>
      </c>
      <c r="W2499" s="227"/>
      <c r="X2499" s="227"/>
      <c r="Y2499" s="238" t="s">
        <v>5390</v>
      </c>
      <c r="Z2499" s="238" t="str">
        <f>P2499</f>
        <v>PERUMAHAN THE EMERALD MALANG</v>
      </c>
      <c r="AA2499" s="276" t="e">
        <f>VLOOKUP(Logfile_S[[#This Row],[DO number]],DO_DB!G:I,3,0)</f>
        <v>#N/A</v>
      </c>
      <c r="AB2499" s="332" t="e">
        <f>EXACT(Logfile_S[[#This Row],[date pick]],Logfile_S[[#This Row],[Date]])</f>
        <v>#N/A</v>
      </c>
      <c r="AC2499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00" spans="1:29" ht="14.5">
      <c r="A2500" s="237" t="str">
        <f>TEXT(ROW(A2500)-ROW($A$4),"000")</f>
        <v>2496</v>
      </c>
      <c r="B2500" s="221"/>
      <c r="C2500" s="227" t="s">
        <v>49</v>
      </c>
      <c r="D2500" s="227" t="s">
        <v>5400</v>
      </c>
      <c r="E2500" s="227" t="s">
        <v>3295</v>
      </c>
      <c r="F2500" s="227"/>
      <c r="G2500" s="239">
        <v>46254</v>
      </c>
      <c r="H2500" s="240"/>
      <c r="I2500" s="227"/>
      <c r="J2500" s="227"/>
      <c r="K2500" s="241" t="s">
        <v>3070</v>
      </c>
      <c r="L2500" s="242" t="str">
        <f>VLOOKUP(Logfile_S[[#This Row],[Material Name]],Sheet2!B:C,2,0)</f>
        <v>ZTE1002</v>
      </c>
      <c r="M2500" s="242" t="s">
        <v>19</v>
      </c>
      <c r="N2500" s="227">
        <v>25</v>
      </c>
      <c r="O2500" s="531" t="s">
        <v>5388</v>
      </c>
      <c r="P2500" s="227" t="s">
        <v>5401</v>
      </c>
      <c r="Q2500" s="227"/>
      <c r="R2500" s="227"/>
      <c r="S2500" s="227" t="s">
        <v>5390</v>
      </c>
      <c r="T2500" s="227" t="s">
        <v>5390</v>
      </c>
      <c r="U2500" s="227" t="s">
        <v>5390</v>
      </c>
      <c r="V2500" s="227" t="s">
        <v>5390</v>
      </c>
      <c r="W2500" s="227"/>
      <c r="X2500" s="227"/>
      <c r="Y2500" s="238" t="s">
        <v>5390</v>
      </c>
      <c r="Z2500" s="238" t="str">
        <f>P2500</f>
        <v>SUMBERSEKAR RW 01</v>
      </c>
      <c r="AA2500" s="276" t="e">
        <f>VLOOKUP(Logfile_S[[#This Row],[DO number]],DO_DB!G:I,3,0)</f>
        <v>#N/A</v>
      </c>
      <c r="AB2500" s="332" t="e">
        <f>EXACT(Logfile_S[[#This Row],[date pick]],Logfile_S[[#This Row],[Date]])</f>
        <v>#N/A</v>
      </c>
      <c r="AC2500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01" spans="1:29" ht="14.5">
      <c r="A2501" s="237" t="str">
        <f>TEXT(ROW(A2501)-ROW($A$4),"000")</f>
        <v>2497</v>
      </c>
      <c r="B2501" s="221"/>
      <c r="C2501" s="227" t="s">
        <v>49</v>
      </c>
      <c r="D2501" s="227" t="s">
        <v>5406</v>
      </c>
      <c r="E2501" s="227" t="s">
        <v>3295</v>
      </c>
      <c r="F2501" s="227"/>
      <c r="G2501" s="239">
        <v>46260</v>
      </c>
      <c r="H2501" s="240"/>
      <c r="I2501" s="227"/>
      <c r="J2501" s="227"/>
      <c r="K2501" s="241" t="s">
        <v>13</v>
      </c>
      <c r="L2501" s="242" t="str">
        <f>VLOOKUP(Logfile_S[[#This Row],[Material Name]],Sheet2!B:C,2,0)</f>
        <v>ZTE2008</v>
      </c>
      <c r="M2501" s="242" t="s">
        <v>19</v>
      </c>
      <c r="N2501" s="227">
        <v>20</v>
      </c>
      <c r="O2501" s="531" t="s">
        <v>5388</v>
      </c>
      <c r="P2501" s="227" t="s">
        <v>5401</v>
      </c>
      <c r="Q2501" s="227"/>
      <c r="R2501" s="227"/>
      <c r="S2501" s="227" t="s">
        <v>5390</v>
      </c>
      <c r="T2501" s="227" t="s">
        <v>5390</v>
      </c>
      <c r="U2501" s="227" t="s">
        <v>5390</v>
      </c>
      <c r="V2501" s="227" t="s">
        <v>5390</v>
      </c>
      <c r="W2501" s="227"/>
      <c r="X2501" s="227"/>
      <c r="Y2501" s="238" t="s">
        <v>5390</v>
      </c>
      <c r="Z2501" s="238" t="str">
        <f>P2501</f>
        <v>SUMBERSEKAR RW 01</v>
      </c>
      <c r="AA2501" s="276" t="e">
        <f>VLOOKUP(Logfile_S[[#This Row],[DO number]],DO_DB!G:I,3,0)</f>
        <v>#N/A</v>
      </c>
      <c r="AB2501" s="332" t="e">
        <f>EXACT(Logfile_S[[#This Row],[date pick]],Logfile_S[[#This Row],[Date]])</f>
        <v>#N/A</v>
      </c>
      <c r="AC2501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02" spans="1:29" ht="14.5">
      <c r="A2502" s="237" t="str">
        <f>TEXT(ROW(A2502)-ROW($A$4),"000")</f>
        <v>2498</v>
      </c>
      <c r="B2502" s="221"/>
      <c r="C2502" s="227" t="s">
        <v>49</v>
      </c>
      <c r="D2502" s="227" t="s">
        <v>5409</v>
      </c>
      <c r="E2502" s="227" t="s">
        <v>3295</v>
      </c>
      <c r="F2502" s="227"/>
      <c r="G2502" s="239">
        <v>46263</v>
      </c>
      <c r="H2502" s="240"/>
      <c r="I2502" s="227"/>
      <c r="J2502" s="227"/>
      <c r="K2502" s="241" t="s">
        <v>13</v>
      </c>
      <c r="L2502" s="242" t="str">
        <f>VLOOKUP(Logfile_S[[#This Row],[Material Name]],Sheet2!B:C,2,0)</f>
        <v>ZTE2008</v>
      </c>
      <c r="M2502" s="242" t="s">
        <v>19</v>
      </c>
      <c r="N2502" s="227">
        <v>13</v>
      </c>
      <c r="O2502" s="531" t="s">
        <v>5388</v>
      </c>
      <c r="P2502" s="227" t="s">
        <v>5401</v>
      </c>
      <c r="Q2502" s="227"/>
      <c r="R2502" s="227"/>
      <c r="S2502" s="227" t="s">
        <v>5390</v>
      </c>
      <c r="T2502" s="227" t="s">
        <v>5390</v>
      </c>
      <c r="U2502" s="227" t="s">
        <v>5390</v>
      </c>
      <c r="V2502" s="227" t="s">
        <v>5390</v>
      </c>
      <c r="W2502" s="227"/>
      <c r="X2502" s="227"/>
      <c r="Y2502" s="238" t="s">
        <v>5390</v>
      </c>
      <c r="Z2502" s="238" t="str">
        <f>P2502</f>
        <v>SUMBERSEKAR RW 01</v>
      </c>
      <c r="AA2502" s="276" t="e">
        <f>VLOOKUP(Logfile_S[[#This Row],[DO number]],DO_DB!G:I,3,0)</f>
        <v>#N/A</v>
      </c>
      <c r="AB2502" s="332" t="e">
        <f>EXACT(Logfile_S[[#This Row],[date pick]],Logfile_S[[#This Row],[Date]])</f>
        <v>#N/A</v>
      </c>
      <c r="AC2502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03" spans="1:29" ht="14.5">
      <c r="A2503" s="237" t="str">
        <f>TEXT(ROW(A2503)-ROW($A$4),"000")</f>
        <v>2499</v>
      </c>
      <c r="B2503" s="221"/>
      <c r="C2503" s="227" t="s">
        <v>49</v>
      </c>
      <c r="D2503" s="227" t="s">
        <v>5409</v>
      </c>
      <c r="E2503" s="227" t="s">
        <v>3295</v>
      </c>
      <c r="F2503" s="227"/>
      <c r="G2503" s="239">
        <v>46263</v>
      </c>
      <c r="H2503" s="240"/>
      <c r="I2503" s="227"/>
      <c r="J2503" s="227"/>
      <c r="K2503" s="241" t="s">
        <v>15</v>
      </c>
      <c r="L2503" s="242" t="str">
        <f>VLOOKUP(Logfile_S[[#This Row],[Material Name]],Sheet2!B:C,2,0)</f>
        <v>ZTE2006</v>
      </c>
      <c r="M2503" s="242" t="s">
        <v>19</v>
      </c>
      <c r="N2503" s="227">
        <v>1</v>
      </c>
      <c r="O2503" s="531" t="s">
        <v>5388</v>
      </c>
      <c r="P2503" s="227" t="s">
        <v>5401</v>
      </c>
      <c r="Q2503" s="227"/>
      <c r="R2503" s="227"/>
      <c r="S2503" s="227" t="s">
        <v>5390</v>
      </c>
      <c r="T2503" s="227" t="s">
        <v>5390</v>
      </c>
      <c r="U2503" s="227" t="s">
        <v>5390</v>
      </c>
      <c r="V2503" s="227" t="s">
        <v>5390</v>
      </c>
      <c r="W2503" s="227"/>
      <c r="X2503" s="227"/>
      <c r="Y2503" s="238" t="s">
        <v>5390</v>
      </c>
      <c r="Z2503" s="238" t="str">
        <f>P2503</f>
        <v>SUMBERSEKAR RW 01</v>
      </c>
      <c r="AA2503" s="276" t="e">
        <f>VLOOKUP(Logfile_S[[#This Row],[DO number]],DO_DB!G:I,3,0)</f>
        <v>#N/A</v>
      </c>
      <c r="AB2503" s="332" t="e">
        <f>EXACT(Logfile_S[[#This Row],[date pick]],Logfile_S[[#This Row],[Date]])</f>
        <v>#N/A</v>
      </c>
      <c r="AC2503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04" spans="1:29" ht="14.5">
      <c r="A2504" s="237" t="str">
        <f>TEXT(ROW(A2504)-ROW($A$4),"000")</f>
        <v>2500</v>
      </c>
      <c r="B2504" s="221"/>
      <c r="C2504" s="227" t="s">
        <v>49</v>
      </c>
      <c r="D2504" s="227" t="s">
        <v>5402</v>
      </c>
      <c r="E2504" s="227" t="s">
        <v>3295</v>
      </c>
      <c r="F2504" s="227"/>
      <c r="G2504" s="239">
        <v>46255</v>
      </c>
      <c r="H2504" s="240"/>
      <c r="I2504" s="227"/>
      <c r="J2504" s="227"/>
      <c r="K2504" s="241" t="s">
        <v>3070</v>
      </c>
      <c r="L2504" s="242" t="str">
        <f>VLOOKUP(Logfile_S[[#This Row],[Material Name]],Sheet2!B:C,2,0)</f>
        <v>ZTE1002</v>
      </c>
      <c r="M2504" s="242" t="s">
        <v>19</v>
      </c>
      <c r="N2504" s="227">
        <v>9</v>
      </c>
      <c r="O2504" s="511" t="s">
        <v>5384</v>
      </c>
      <c r="P2504" s="227" t="s">
        <v>5403</v>
      </c>
      <c r="Q2504" s="227"/>
      <c r="R2504" s="227"/>
      <c r="S2504" s="227" t="s">
        <v>5390</v>
      </c>
      <c r="T2504" s="227" t="s">
        <v>5390</v>
      </c>
      <c r="U2504" s="227" t="s">
        <v>5390</v>
      </c>
      <c r="V2504" s="227" t="s">
        <v>5390</v>
      </c>
      <c r="W2504" s="227"/>
      <c r="X2504" s="227"/>
      <c r="Y2504" s="238" t="s">
        <v>5390</v>
      </c>
      <c r="Z2504" s="238" t="str">
        <f>P2504</f>
        <v>TANJUNGREJO RW 05 MALANG</v>
      </c>
      <c r="AA2504" s="276" t="e">
        <f>VLOOKUP(Logfile_S[[#This Row],[DO number]],DO_DB!G:I,3,0)</f>
        <v>#N/A</v>
      </c>
      <c r="AB2504" s="332" t="e">
        <f>EXACT(Logfile_S[[#This Row],[date pick]],Logfile_S[[#This Row],[Date]])</f>
        <v>#N/A</v>
      </c>
      <c r="AC2504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05" spans="1:29" ht="14.5">
      <c r="A2505" s="237" t="str">
        <f>TEXT(ROW(A2505)-ROW($A$4),"000")</f>
        <v>2501</v>
      </c>
      <c r="B2505" s="221"/>
      <c r="C2505" s="227" t="s">
        <v>49</v>
      </c>
      <c r="D2505" s="227" t="s">
        <v>5402</v>
      </c>
      <c r="E2505" s="227" t="s">
        <v>3295</v>
      </c>
      <c r="F2505" s="227"/>
      <c r="G2505" s="239">
        <v>46255</v>
      </c>
      <c r="H2505" s="240"/>
      <c r="I2505" s="227"/>
      <c r="J2505" s="227"/>
      <c r="K2505" s="241" t="s">
        <v>4731</v>
      </c>
      <c r="L2505" s="242" t="str">
        <f>VLOOKUP(Logfile_S[[#This Row],[Material Name]],Sheet2!B:C,2,0)</f>
        <v>ZTE1007</v>
      </c>
      <c r="M2505" s="242" t="s">
        <v>19</v>
      </c>
      <c r="N2505" s="227">
        <v>5</v>
      </c>
      <c r="O2505" s="511" t="s">
        <v>5384</v>
      </c>
      <c r="P2505" s="227" t="s">
        <v>5403</v>
      </c>
      <c r="Q2505" s="227"/>
      <c r="R2505" s="227"/>
      <c r="S2505" s="227" t="s">
        <v>5390</v>
      </c>
      <c r="T2505" s="227" t="s">
        <v>5390</v>
      </c>
      <c r="U2505" s="227" t="s">
        <v>5390</v>
      </c>
      <c r="V2505" s="227" t="s">
        <v>5390</v>
      </c>
      <c r="W2505" s="227"/>
      <c r="X2505" s="227"/>
      <c r="Y2505" s="238" t="s">
        <v>5390</v>
      </c>
      <c r="Z2505" s="238" t="str">
        <f>P2505</f>
        <v>TANJUNGREJO RW 05 MALANG</v>
      </c>
      <c r="AA2505" s="276" t="e">
        <f>VLOOKUP(Logfile_S[[#This Row],[DO number]],DO_DB!G:I,3,0)</f>
        <v>#N/A</v>
      </c>
      <c r="AB2505" s="332" t="e">
        <f>EXACT(Logfile_S[[#This Row],[date pick]],Logfile_S[[#This Row],[Date]])</f>
        <v>#N/A</v>
      </c>
      <c r="AC2505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06" spans="1:29" ht="14.5">
      <c r="A2506" s="237" t="str">
        <f>TEXT(ROW(A2506)-ROW($A$4),"000")</f>
        <v>2502</v>
      </c>
      <c r="B2506" s="221"/>
      <c r="C2506" s="227" t="s">
        <v>49</v>
      </c>
      <c r="D2506" s="227" t="s">
        <v>5405</v>
      </c>
      <c r="E2506" s="227" t="s">
        <v>3295</v>
      </c>
      <c r="F2506" s="227"/>
      <c r="G2506" s="239">
        <v>46258</v>
      </c>
      <c r="H2506" s="240"/>
      <c r="I2506" s="227"/>
      <c r="J2506" s="227"/>
      <c r="K2506" s="241" t="s">
        <v>13</v>
      </c>
      <c r="L2506" s="242" t="str">
        <f>VLOOKUP(Logfile_S[[#This Row],[Material Name]],Sheet2!B:C,2,0)</f>
        <v>ZTE2008</v>
      </c>
      <c r="M2506" s="242" t="s">
        <v>19</v>
      </c>
      <c r="N2506" s="227">
        <v>6</v>
      </c>
      <c r="O2506" s="511" t="s">
        <v>5384</v>
      </c>
      <c r="P2506" s="227" t="s">
        <v>5403</v>
      </c>
      <c r="Q2506" s="227"/>
      <c r="R2506" s="227"/>
      <c r="S2506" s="227" t="s">
        <v>5390</v>
      </c>
      <c r="T2506" s="227" t="s">
        <v>5390</v>
      </c>
      <c r="U2506" s="227" t="s">
        <v>5390</v>
      </c>
      <c r="V2506" s="227" t="s">
        <v>5390</v>
      </c>
      <c r="W2506" s="227"/>
      <c r="X2506" s="227"/>
      <c r="Y2506" s="238" t="s">
        <v>5390</v>
      </c>
      <c r="Z2506" s="238" t="str">
        <f>P2506</f>
        <v>TANJUNGREJO RW 05 MALANG</v>
      </c>
      <c r="AA2506" s="276" t="e">
        <f>VLOOKUP(Logfile_S[[#This Row],[DO number]],DO_DB!G:I,3,0)</f>
        <v>#N/A</v>
      </c>
      <c r="AB2506" s="332" t="e">
        <f>EXACT(Logfile_S[[#This Row],[date pick]],Logfile_S[[#This Row],[Date]])</f>
        <v>#N/A</v>
      </c>
      <c r="AC2506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07" spans="1:29" ht="14.5">
      <c r="A2507" s="220" t="str">
        <f>TEXT(ROW(A2507)-ROW($A$4),"000")</f>
        <v>2503</v>
      </c>
      <c r="B2507" s="221"/>
      <c r="C2507" s="221" t="s">
        <v>48</v>
      </c>
      <c r="D2507" s="221" t="s">
        <v>3859</v>
      </c>
      <c r="E2507" s="221" t="s">
        <v>3295</v>
      </c>
      <c r="F2507" s="221" t="s">
        <v>3299</v>
      </c>
      <c r="G2507" s="222">
        <v>45299</v>
      </c>
      <c r="H2507" s="223">
        <v>15.291666666666666</v>
      </c>
      <c r="I2507" s="221" t="s">
        <v>3586</v>
      </c>
      <c r="J2507" s="221" t="s">
        <v>3023</v>
      </c>
      <c r="K2507" s="224" t="s">
        <v>3069</v>
      </c>
      <c r="L2507" s="225" t="str">
        <f>VLOOKUP(Logfile_S[[#This Row],[Material Name]],Sheet2!B:C,2,0)</f>
        <v>ZTE1001</v>
      </c>
      <c r="M2507" s="225" t="str">
        <f>_xlfn.XLOOKUP(Logfile_S[[#This Row],[Material Name]],Sum_WH!E:E,Sum_WH!F:F,"",0)</f>
        <v>Pcs</v>
      </c>
      <c r="N2507" s="221">
        <v>7</v>
      </c>
      <c r="O2507" s="221"/>
      <c r="P2507" s="221"/>
      <c r="Q2507" s="221">
        <v>0</v>
      </c>
      <c r="R2507" s="221" t="s">
        <v>3147</v>
      </c>
      <c r="S2507" s="221"/>
      <c r="T2507" s="221"/>
      <c r="U2507" s="221"/>
      <c r="V2507" s="221"/>
      <c r="W2507" s="221"/>
      <c r="X2507" s="221" t="s">
        <v>3583</v>
      </c>
      <c r="Y2507" s="227"/>
      <c r="Z2507" s="227">
        <f>P2507</f>
        <v>0</v>
      </c>
      <c r="AA2507" s="276" t="e">
        <f>VLOOKUP(Logfile_S[[#This Row],[DO number]],DO_DB!G:I,3,0)</f>
        <v>#N/A</v>
      </c>
      <c r="AB2507" s="331" t="e">
        <f>EXACT(Logfile_S[[#This Row],[date pick]],Logfile_S[[#This Row],[Date]])</f>
        <v>#N/A</v>
      </c>
      <c r="AC25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08" spans="1:29" ht="14.5">
      <c r="A2508" s="220" t="str">
        <f>TEXT(ROW(A2508)-ROW($A$4),"000")</f>
        <v>2504</v>
      </c>
      <c r="B2508" s="221"/>
      <c r="C2508" s="221" t="s">
        <v>48</v>
      </c>
      <c r="D2508" s="221" t="s">
        <v>3965</v>
      </c>
      <c r="E2508" s="221" t="s">
        <v>3295</v>
      </c>
      <c r="F2508" s="221" t="s">
        <v>3299</v>
      </c>
      <c r="G2508" s="222">
        <v>45352</v>
      </c>
      <c r="H2508" s="223">
        <v>15.291666666666666</v>
      </c>
      <c r="I2508" s="221" t="s">
        <v>37</v>
      </c>
      <c r="J2508" s="221" t="s">
        <v>3023</v>
      </c>
      <c r="K2508" s="224" t="s">
        <v>3080</v>
      </c>
      <c r="L2508" s="225" t="str">
        <f>VLOOKUP(Logfile_S[[#This Row],[Material Name]],Sheet2!B:C,2,0)</f>
        <v>ZTE2010</v>
      </c>
      <c r="M2508" s="225" t="str">
        <f>_xlfn.XLOOKUP(Logfile_S[[#This Row],[Material Name]],Sum_WH!E:E,Sum_WH!F:F,"",0)</f>
        <v>Pcs</v>
      </c>
      <c r="N2508" s="221">
        <v>14</v>
      </c>
      <c r="O2508" s="221"/>
      <c r="P2508" s="221"/>
      <c r="Q2508" s="221">
        <v>0</v>
      </c>
      <c r="R2508" s="221">
        <v>0</v>
      </c>
      <c r="S2508" s="221"/>
      <c r="T2508" s="221"/>
      <c r="U2508" s="221"/>
      <c r="V2508" s="221"/>
      <c r="W2508" s="221"/>
      <c r="X2508" s="221"/>
      <c r="Y2508" s="227"/>
      <c r="Z2508" s="227">
        <f>P2508</f>
        <v>0</v>
      </c>
      <c r="AA2508" s="276" t="e">
        <f>VLOOKUP(Logfile_S[[#This Row],[DO number]],DO_DB!G:I,3,0)</f>
        <v>#N/A</v>
      </c>
      <c r="AB2508" s="331" t="e">
        <f>EXACT(Logfile_S[[#This Row],[date pick]],Logfile_S[[#This Row],[Date]])</f>
        <v>#N/A</v>
      </c>
      <c r="AC25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09" spans="1:29" ht="14.5">
      <c r="A2509" s="220" t="str">
        <f>TEXT(ROW(A2509)-ROW($A$4),"000")</f>
        <v>2505</v>
      </c>
      <c r="B2509" s="221"/>
      <c r="C2509" s="221" t="s">
        <v>48</v>
      </c>
      <c r="D2509" s="221" t="s">
        <v>3965</v>
      </c>
      <c r="E2509" s="221" t="s">
        <v>3295</v>
      </c>
      <c r="F2509" s="221" t="s">
        <v>3299</v>
      </c>
      <c r="G2509" s="222">
        <v>45352</v>
      </c>
      <c r="H2509" s="223">
        <v>15.291666666666666</v>
      </c>
      <c r="I2509" s="221" t="s">
        <v>37</v>
      </c>
      <c r="J2509" s="221" t="s">
        <v>3023</v>
      </c>
      <c r="K2509" s="224" t="s">
        <v>14</v>
      </c>
      <c r="L2509" s="225" t="str">
        <f>VLOOKUP(Logfile_S[[#This Row],[Material Name]],Sheet2!B:C,2,0)</f>
        <v>ZTE2005</v>
      </c>
      <c r="M2509" s="225" t="str">
        <f>_xlfn.XLOOKUP(Logfile_S[[#This Row],[Material Name]],Sum_WH!E:E,Sum_WH!F:F,"",0)</f>
        <v>Pcs</v>
      </c>
      <c r="N2509" s="221">
        <v>1</v>
      </c>
      <c r="O2509" s="221"/>
      <c r="P2509" s="221"/>
      <c r="Q2509" s="221">
        <v>0</v>
      </c>
      <c r="R2509" s="221">
        <v>0</v>
      </c>
      <c r="S2509" s="221"/>
      <c r="T2509" s="221"/>
      <c r="U2509" s="221"/>
      <c r="V2509" s="221"/>
      <c r="W2509" s="221"/>
      <c r="X2509" s="221"/>
      <c r="Y2509" s="227"/>
      <c r="Z2509" s="227">
        <f>P2509</f>
        <v>0</v>
      </c>
      <c r="AA2509" s="276" t="e">
        <f>VLOOKUP(Logfile_S[[#This Row],[DO number]],DO_DB!G:I,3,0)</f>
        <v>#N/A</v>
      </c>
      <c r="AB2509" s="331" t="e">
        <f>EXACT(Logfile_S[[#This Row],[date pick]],Logfile_S[[#This Row],[Date]])</f>
        <v>#N/A</v>
      </c>
      <c r="AC25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10" spans="1:29" ht="14.5">
      <c r="A2510" s="220" t="str">
        <f>TEXT(ROW(A2510)-ROW($A$4),"000")</f>
        <v>2506</v>
      </c>
      <c r="B2510" s="221"/>
      <c r="C2510" s="221" t="s">
        <v>48</v>
      </c>
      <c r="D2510" s="221" t="s">
        <v>3965</v>
      </c>
      <c r="E2510" s="221" t="s">
        <v>3295</v>
      </c>
      <c r="F2510" s="221" t="s">
        <v>3299</v>
      </c>
      <c r="G2510" s="222">
        <v>45352</v>
      </c>
      <c r="H2510" s="223">
        <v>15.291666666666666</v>
      </c>
      <c r="I2510" s="221" t="s">
        <v>37</v>
      </c>
      <c r="J2510" s="221" t="s">
        <v>3023</v>
      </c>
      <c r="K2510" s="224" t="s">
        <v>15</v>
      </c>
      <c r="L2510" s="225" t="str">
        <f>VLOOKUP(Logfile_S[[#This Row],[Material Name]],Sheet2!B:C,2,0)</f>
        <v>ZTE2006</v>
      </c>
      <c r="M2510" s="225" t="str">
        <f>_xlfn.XLOOKUP(Logfile_S[[#This Row],[Material Name]],Sum_WH!E:E,Sum_WH!F:F,"",0)</f>
        <v>Pcs</v>
      </c>
      <c r="N2510" s="221">
        <v>3</v>
      </c>
      <c r="O2510" s="221"/>
      <c r="P2510" s="221"/>
      <c r="Q2510" s="221">
        <v>0</v>
      </c>
      <c r="R2510" s="221">
        <v>0</v>
      </c>
      <c r="S2510" s="221"/>
      <c r="T2510" s="221"/>
      <c r="U2510" s="221"/>
      <c r="V2510" s="221"/>
      <c r="W2510" s="221"/>
      <c r="X2510" s="221"/>
      <c r="Y2510" s="227"/>
      <c r="Z2510" s="227">
        <f>P2510</f>
        <v>0</v>
      </c>
      <c r="AA2510" s="276" t="e">
        <f>VLOOKUP(Logfile_S[[#This Row],[DO number]],DO_DB!G:I,3,0)</f>
        <v>#N/A</v>
      </c>
      <c r="AB2510" s="331" t="e">
        <f>EXACT(Logfile_S[[#This Row],[date pick]],Logfile_S[[#This Row],[Date]])</f>
        <v>#N/A</v>
      </c>
      <c r="AC25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11" spans="1:29" ht="14.5">
      <c r="A2511" s="220" t="str">
        <f>TEXT(ROW(A2511)-ROW($A$4),"000")</f>
        <v>2507</v>
      </c>
      <c r="B2511" s="221"/>
      <c r="C2511" s="221" t="s">
        <v>48</v>
      </c>
      <c r="D2511" s="221" t="s">
        <v>3965</v>
      </c>
      <c r="E2511" s="221" t="s">
        <v>3295</v>
      </c>
      <c r="F2511" s="221" t="s">
        <v>3299</v>
      </c>
      <c r="G2511" s="222">
        <v>45352</v>
      </c>
      <c r="H2511" s="223">
        <v>15.291666666666666</v>
      </c>
      <c r="I2511" s="221" t="s">
        <v>37</v>
      </c>
      <c r="J2511" s="221" t="s">
        <v>3023</v>
      </c>
      <c r="K2511" s="224" t="s">
        <v>3070</v>
      </c>
      <c r="L2511" s="225" t="str">
        <f>VLOOKUP(Logfile_S[[#This Row],[Material Name]],Sheet2!B:C,2,0)</f>
        <v>ZTE1002</v>
      </c>
      <c r="M2511" s="225" t="str">
        <f>_xlfn.XLOOKUP(Logfile_S[[#This Row],[Material Name]],Sum_WH!E:E,Sum_WH!F:F,"",0)</f>
        <v>Pcs</v>
      </c>
      <c r="N2511" s="221">
        <v>28</v>
      </c>
      <c r="O2511" s="221"/>
      <c r="P2511" s="221"/>
      <c r="Q2511" s="221">
        <v>0</v>
      </c>
      <c r="R2511" s="221">
        <v>0</v>
      </c>
      <c r="S2511" s="221"/>
      <c r="T2511" s="221"/>
      <c r="U2511" s="221"/>
      <c r="V2511" s="221"/>
      <c r="W2511" s="221"/>
      <c r="X2511" s="221"/>
      <c r="Y2511" s="227"/>
      <c r="Z2511" s="227">
        <f>P2511</f>
        <v>0</v>
      </c>
      <c r="AA2511" s="276" t="e">
        <f>VLOOKUP(Logfile_S[[#This Row],[DO number]],DO_DB!G:I,3,0)</f>
        <v>#N/A</v>
      </c>
      <c r="AB2511" s="331" t="e">
        <f>EXACT(Logfile_S[[#This Row],[date pick]],Logfile_S[[#This Row],[Date]])</f>
        <v>#N/A</v>
      </c>
      <c r="AC25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12" spans="1:29" ht="14.5">
      <c r="A2512" s="220" t="str">
        <f>TEXT(ROW(A2512)-ROW($A$4),"000")</f>
        <v>2508</v>
      </c>
      <c r="B2512" s="221"/>
      <c r="C2512" s="221" t="s">
        <v>48</v>
      </c>
      <c r="D2512" s="221" t="s">
        <v>3965</v>
      </c>
      <c r="E2512" s="221" t="s">
        <v>3295</v>
      </c>
      <c r="F2512" s="221" t="s">
        <v>3299</v>
      </c>
      <c r="G2512" s="222">
        <v>45352</v>
      </c>
      <c r="H2512" s="223">
        <v>15.291666666666666</v>
      </c>
      <c r="I2512" s="221" t="s">
        <v>37</v>
      </c>
      <c r="J2512" s="221" t="s">
        <v>3023</v>
      </c>
      <c r="K2512" s="224" t="s">
        <v>3069</v>
      </c>
      <c r="L2512" s="225" t="str">
        <f>VLOOKUP(Logfile_S[[#This Row],[Material Name]],Sheet2!B:C,2,0)</f>
        <v>ZTE1001</v>
      </c>
      <c r="M2512" s="225" t="str">
        <f>_xlfn.XLOOKUP(Logfile_S[[#This Row],[Material Name]],Sum_WH!E:E,Sum_WH!F:F,"",0)</f>
        <v>Pcs</v>
      </c>
      <c r="N2512" s="221">
        <v>203</v>
      </c>
      <c r="O2512" s="221"/>
      <c r="P2512" s="221"/>
      <c r="Q2512" s="221">
        <v>0</v>
      </c>
      <c r="R2512" s="221">
        <v>0</v>
      </c>
      <c r="S2512" s="221"/>
      <c r="T2512" s="221"/>
      <c r="U2512" s="221"/>
      <c r="V2512" s="221"/>
      <c r="W2512" s="221"/>
      <c r="X2512" s="221"/>
      <c r="Y2512" s="227"/>
      <c r="Z2512" s="227">
        <f>P2512</f>
        <v>0</v>
      </c>
      <c r="AA2512" s="276" t="e">
        <f>VLOOKUP(Logfile_S[[#This Row],[DO number]],DO_DB!G:I,3,0)</f>
        <v>#N/A</v>
      </c>
      <c r="AB2512" s="331" t="e">
        <f>EXACT(Logfile_S[[#This Row],[date pick]],Logfile_S[[#This Row],[Date]])</f>
        <v>#N/A</v>
      </c>
      <c r="AC25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13" spans="1:29" ht="14.5">
      <c r="A2513" s="220" t="str">
        <f>TEXT(ROW(A2513)-ROW($A$4),"000")</f>
        <v>2509</v>
      </c>
      <c r="B2513" s="221"/>
      <c r="C2513" s="221" t="s">
        <v>48</v>
      </c>
      <c r="D2513" s="221" t="s">
        <v>3965</v>
      </c>
      <c r="E2513" s="221" t="s">
        <v>3295</v>
      </c>
      <c r="F2513" s="221" t="s">
        <v>3299</v>
      </c>
      <c r="G2513" s="222">
        <v>45352</v>
      </c>
      <c r="H2513" s="223">
        <v>15.291666666666666</v>
      </c>
      <c r="I2513" s="221" t="s">
        <v>37</v>
      </c>
      <c r="J2513" s="221" t="s">
        <v>3023</v>
      </c>
      <c r="K2513" s="224" t="s">
        <v>3071</v>
      </c>
      <c r="L2513" s="225" t="str">
        <f>VLOOKUP(Logfile_S[[#This Row],[Material Name]],Sheet2!B:C,2,0)</f>
        <v>ZTE1003</v>
      </c>
      <c r="M2513" s="225" t="str">
        <f>_xlfn.XLOOKUP(Logfile_S[[#This Row],[Material Name]],Sum_WH!E:E,Sum_WH!F:F,"",0)</f>
        <v>Pcs</v>
      </c>
      <c r="N2513" s="221">
        <v>8</v>
      </c>
      <c r="O2513" s="221"/>
      <c r="P2513" s="221"/>
      <c r="Q2513" s="221">
        <v>0</v>
      </c>
      <c r="R2513" s="221">
        <v>0</v>
      </c>
      <c r="S2513" s="221"/>
      <c r="T2513" s="221"/>
      <c r="U2513" s="221"/>
      <c r="V2513" s="221"/>
      <c r="W2513" s="221"/>
      <c r="X2513" s="221"/>
      <c r="Y2513" s="227"/>
      <c r="Z2513" s="227">
        <f>P2513</f>
        <v>0</v>
      </c>
      <c r="AA2513" s="276" t="e">
        <f>VLOOKUP(Logfile_S[[#This Row],[DO number]],DO_DB!G:I,3,0)</f>
        <v>#N/A</v>
      </c>
      <c r="AB2513" s="331" t="e">
        <f>EXACT(Logfile_S[[#This Row],[date pick]],Logfile_S[[#This Row],[Date]])</f>
        <v>#N/A</v>
      </c>
      <c r="AC25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14" spans="1:29" ht="14.5">
      <c r="A2514" s="220" t="str">
        <f>TEXT(ROW(A2514)-ROW($A$4),"000")</f>
        <v>2510</v>
      </c>
      <c r="B2514" s="221"/>
      <c r="C2514" s="221" t="s">
        <v>48</v>
      </c>
      <c r="D2514" s="221" t="s">
        <v>3980</v>
      </c>
      <c r="E2514" s="221" t="s">
        <v>3295</v>
      </c>
      <c r="F2514" s="221" t="s">
        <v>3299</v>
      </c>
      <c r="G2514" s="222">
        <v>45370</v>
      </c>
      <c r="H2514" s="223">
        <v>15.291666666666666</v>
      </c>
      <c r="I2514" s="221" t="s">
        <v>37</v>
      </c>
      <c r="J2514" s="221" t="s">
        <v>3023</v>
      </c>
      <c r="K2514" s="224" t="s">
        <v>13</v>
      </c>
      <c r="L2514" s="225" t="str">
        <f>VLOOKUP(Logfile_S[[#This Row],[Material Name]],Sheet2!B:C,2,0)</f>
        <v>ZTE2008</v>
      </c>
      <c r="M2514" s="225" t="str">
        <f>_xlfn.XLOOKUP(Logfile_S[[#This Row],[Material Name]],Sum_WH!E:E,Sum_WH!F:F,"",0)</f>
        <v>Pcs</v>
      </c>
      <c r="N2514" s="221">
        <v>28</v>
      </c>
      <c r="O2514" s="221"/>
      <c r="P2514" s="221"/>
      <c r="Q2514" s="221">
        <v>0</v>
      </c>
      <c r="R2514" s="221">
        <v>0</v>
      </c>
      <c r="S2514" s="221"/>
      <c r="T2514" s="221"/>
      <c r="U2514" s="221"/>
      <c r="V2514" s="221"/>
      <c r="W2514" s="221"/>
      <c r="X2514" s="221"/>
      <c r="Y2514" s="227"/>
      <c r="Z2514" s="227">
        <f>P2514</f>
        <v>0</v>
      </c>
      <c r="AA2514" s="276" t="e">
        <f>VLOOKUP(Logfile_S[[#This Row],[DO number]],DO_DB!G:I,3,0)</f>
        <v>#N/A</v>
      </c>
      <c r="AB2514" s="331" t="e">
        <f>EXACT(Logfile_S[[#This Row],[date pick]],Logfile_S[[#This Row],[Date]])</f>
        <v>#N/A</v>
      </c>
      <c r="AC25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15" spans="1:29" ht="14.5">
      <c r="A2515" s="220" t="str">
        <f>TEXT(ROW(A2515)-ROW($A$4),"000")</f>
        <v>2511</v>
      </c>
      <c r="B2515" s="221"/>
      <c r="C2515" s="221" t="s">
        <v>48</v>
      </c>
      <c r="D2515" s="221" t="s">
        <v>3980</v>
      </c>
      <c r="E2515" s="221" t="s">
        <v>3295</v>
      </c>
      <c r="F2515" s="221" t="s">
        <v>3299</v>
      </c>
      <c r="G2515" s="222">
        <v>45370</v>
      </c>
      <c r="H2515" s="223">
        <v>15.291666666666666</v>
      </c>
      <c r="I2515" s="221" t="s">
        <v>37</v>
      </c>
      <c r="J2515" s="221" t="s">
        <v>3023</v>
      </c>
      <c r="K2515" s="224" t="s">
        <v>14</v>
      </c>
      <c r="L2515" s="225" t="str">
        <f>VLOOKUP(Logfile_S[[#This Row],[Material Name]],Sheet2!B:C,2,0)</f>
        <v>ZTE2005</v>
      </c>
      <c r="M2515" s="225" t="str">
        <f>_xlfn.XLOOKUP(Logfile_S[[#This Row],[Material Name]],Sum_WH!E:E,Sum_WH!F:F,"",0)</f>
        <v>Pcs</v>
      </c>
      <c r="N2515" s="221">
        <v>2</v>
      </c>
      <c r="O2515" s="221"/>
      <c r="P2515" s="221"/>
      <c r="Q2515" s="221">
        <v>0</v>
      </c>
      <c r="R2515" s="221">
        <v>0</v>
      </c>
      <c r="S2515" s="221"/>
      <c r="T2515" s="221"/>
      <c r="U2515" s="221"/>
      <c r="V2515" s="221"/>
      <c r="W2515" s="221"/>
      <c r="X2515" s="221"/>
      <c r="Y2515" s="227"/>
      <c r="Z2515" s="227">
        <f>P2515</f>
        <v>0</v>
      </c>
      <c r="AA2515" s="276" t="e">
        <f>VLOOKUP(Logfile_S[[#This Row],[DO number]],DO_DB!G:I,3,0)</f>
        <v>#N/A</v>
      </c>
      <c r="AB2515" s="331" t="e">
        <f>EXACT(Logfile_S[[#This Row],[date pick]],Logfile_S[[#This Row],[Date]])</f>
        <v>#N/A</v>
      </c>
      <c r="AC25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16" spans="1:29" ht="14.5">
      <c r="A2516" s="220" t="str">
        <f>TEXT(ROW(A2516)-ROW($A$4),"000")</f>
        <v>2512</v>
      </c>
      <c r="B2516" s="221"/>
      <c r="C2516" s="221" t="s">
        <v>48</v>
      </c>
      <c r="D2516" s="221" t="s">
        <v>3980</v>
      </c>
      <c r="E2516" s="221" t="s">
        <v>3295</v>
      </c>
      <c r="F2516" s="221" t="s">
        <v>3299</v>
      </c>
      <c r="G2516" s="222">
        <v>45370</v>
      </c>
      <c r="H2516" s="223">
        <v>15.291666666666666</v>
      </c>
      <c r="I2516" s="221" t="s">
        <v>37</v>
      </c>
      <c r="J2516" s="221" t="s">
        <v>3023</v>
      </c>
      <c r="K2516" s="224" t="s">
        <v>3070</v>
      </c>
      <c r="L2516" s="225" t="str">
        <f>VLOOKUP(Logfile_S[[#This Row],[Material Name]],Sheet2!B:C,2,0)</f>
        <v>ZTE1002</v>
      </c>
      <c r="M2516" s="225" t="str">
        <f>_xlfn.XLOOKUP(Logfile_S[[#This Row],[Material Name]],Sum_WH!E:E,Sum_WH!F:F,"",0)</f>
        <v>Pcs</v>
      </c>
      <c r="N2516" s="221">
        <v>7</v>
      </c>
      <c r="O2516" s="221"/>
      <c r="P2516" s="221"/>
      <c r="Q2516" s="221">
        <v>0</v>
      </c>
      <c r="R2516" s="221">
        <v>0</v>
      </c>
      <c r="S2516" s="221"/>
      <c r="T2516" s="221"/>
      <c r="U2516" s="221"/>
      <c r="V2516" s="221"/>
      <c r="W2516" s="221"/>
      <c r="X2516" s="221"/>
      <c r="Y2516" s="227"/>
      <c r="Z2516" s="227">
        <f>P2516</f>
        <v>0</v>
      </c>
      <c r="AA2516" s="276" t="e">
        <f>VLOOKUP(Logfile_S[[#This Row],[DO number]],DO_DB!G:I,3,0)</f>
        <v>#N/A</v>
      </c>
      <c r="AB2516" s="331" t="e">
        <f>EXACT(Logfile_S[[#This Row],[date pick]],Logfile_S[[#This Row],[Date]])</f>
        <v>#N/A</v>
      </c>
      <c r="AC25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17" spans="1:29" ht="14.5">
      <c r="A2517" s="220" t="str">
        <f>TEXT(ROW(A2517)-ROW($A$4),"000")</f>
        <v>2513</v>
      </c>
      <c r="B2517" s="221"/>
      <c r="C2517" s="221" t="s">
        <v>48</v>
      </c>
      <c r="D2517" s="221" t="s">
        <v>3980</v>
      </c>
      <c r="E2517" s="221" t="s">
        <v>3295</v>
      </c>
      <c r="F2517" s="221" t="s">
        <v>3299</v>
      </c>
      <c r="G2517" s="222">
        <v>45370</v>
      </c>
      <c r="H2517" s="223">
        <v>15.291666666666666</v>
      </c>
      <c r="I2517" s="221" t="s">
        <v>37</v>
      </c>
      <c r="J2517" s="221" t="s">
        <v>3023</v>
      </c>
      <c r="K2517" s="224" t="s">
        <v>3069</v>
      </c>
      <c r="L2517" s="225" t="str">
        <f>VLOOKUP(Logfile_S[[#This Row],[Material Name]],Sheet2!B:C,2,0)</f>
        <v>ZTE1001</v>
      </c>
      <c r="M2517" s="225" t="str">
        <f>_xlfn.XLOOKUP(Logfile_S[[#This Row],[Material Name]],Sum_WH!E:E,Sum_WH!F:F,"",0)</f>
        <v>Pcs</v>
      </c>
      <c r="N2517" s="221">
        <v>53</v>
      </c>
      <c r="O2517" s="221"/>
      <c r="P2517" s="221"/>
      <c r="Q2517" s="221">
        <v>0</v>
      </c>
      <c r="R2517" s="221">
        <v>0</v>
      </c>
      <c r="S2517" s="221"/>
      <c r="T2517" s="221"/>
      <c r="U2517" s="221"/>
      <c r="V2517" s="221"/>
      <c r="W2517" s="221"/>
      <c r="X2517" s="221"/>
      <c r="Y2517" s="227"/>
      <c r="Z2517" s="227">
        <f>P2517</f>
        <v>0</v>
      </c>
      <c r="AA2517" s="276" t="e">
        <f>VLOOKUP(Logfile_S[[#This Row],[DO number]],DO_DB!G:I,3,0)</f>
        <v>#N/A</v>
      </c>
      <c r="AB2517" s="331" t="e">
        <f>EXACT(Logfile_S[[#This Row],[date pick]],Logfile_S[[#This Row],[Date]])</f>
        <v>#N/A</v>
      </c>
      <c r="AC25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18" spans="1:29" ht="14.5">
      <c r="A2518" s="220" t="str">
        <f>TEXT(ROW(A2518)-ROW($A$4),"000")</f>
        <v>2514</v>
      </c>
      <c r="B2518" s="221"/>
      <c r="C2518" s="221" t="s">
        <v>48</v>
      </c>
      <c r="D2518" s="221" t="s">
        <v>3980</v>
      </c>
      <c r="E2518" s="221" t="s">
        <v>3295</v>
      </c>
      <c r="F2518" s="221" t="s">
        <v>3299</v>
      </c>
      <c r="G2518" s="222">
        <v>45370</v>
      </c>
      <c r="H2518" s="223">
        <v>15.291666666666666</v>
      </c>
      <c r="I2518" s="221" t="s">
        <v>37</v>
      </c>
      <c r="J2518" s="221" t="s">
        <v>3023</v>
      </c>
      <c r="K2518" s="224" t="s">
        <v>3071</v>
      </c>
      <c r="L2518" s="225" t="str">
        <f>VLOOKUP(Logfile_S[[#This Row],[Material Name]],Sheet2!B:C,2,0)</f>
        <v>ZTE1003</v>
      </c>
      <c r="M2518" s="225" t="str">
        <f>_xlfn.XLOOKUP(Logfile_S[[#This Row],[Material Name]],Sum_WH!E:E,Sum_WH!F:F,"",0)</f>
        <v>Pcs</v>
      </c>
      <c r="N2518" s="221">
        <v>1</v>
      </c>
      <c r="O2518" s="221"/>
      <c r="P2518" s="221"/>
      <c r="Q2518" s="221">
        <v>0</v>
      </c>
      <c r="R2518" s="221">
        <v>0</v>
      </c>
      <c r="S2518" s="221"/>
      <c r="T2518" s="221"/>
      <c r="U2518" s="221"/>
      <c r="V2518" s="221"/>
      <c r="W2518" s="221"/>
      <c r="X2518" s="221"/>
      <c r="Y2518" s="227"/>
      <c r="Z2518" s="227">
        <f>P2518</f>
        <v>0</v>
      </c>
      <c r="AA2518" s="276" t="e">
        <f>VLOOKUP(Logfile_S[[#This Row],[DO number]],DO_DB!G:I,3,0)</f>
        <v>#N/A</v>
      </c>
      <c r="AB2518" s="331" t="e">
        <f>EXACT(Logfile_S[[#This Row],[date pick]],Logfile_S[[#This Row],[Date]])</f>
        <v>#N/A</v>
      </c>
      <c r="AC25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19" spans="1:29" ht="14.5">
      <c r="A2519" s="220" t="str">
        <f>TEXT(ROW(A2519)-ROW($A$4),"000")</f>
        <v>2515</v>
      </c>
      <c r="B2519" s="221"/>
      <c r="C2519" s="221" t="s">
        <v>48</v>
      </c>
      <c r="D2519" s="221" t="s">
        <v>4020</v>
      </c>
      <c r="E2519" s="221" t="s">
        <v>3295</v>
      </c>
      <c r="F2519" s="221" t="s">
        <v>3299</v>
      </c>
      <c r="G2519" s="222">
        <v>45404</v>
      </c>
      <c r="H2519" s="223">
        <v>15.291666666666666</v>
      </c>
      <c r="I2519" s="221" t="s">
        <v>37</v>
      </c>
      <c r="J2519" s="221" t="s">
        <v>3023</v>
      </c>
      <c r="K2519" s="224" t="s">
        <v>13</v>
      </c>
      <c r="L2519" s="225" t="str">
        <f>VLOOKUP(Logfile_S[[#This Row],[Material Name]],Sheet2!B:C,2,0)</f>
        <v>ZTE2008</v>
      </c>
      <c r="M2519" s="225" t="str">
        <f>_xlfn.XLOOKUP(Logfile_S[[#This Row],[Material Name]],Sum_WH!E:E,Sum_WH!F:F,"",0)</f>
        <v>Pcs</v>
      </c>
      <c r="N2519" s="221">
        <v>28</v>
      </c>
      <c r="O2519" s="221"/>
      <c r="P2519" s="221"/>
      <c r="Q2519" s="221">
        <v>0</v>
      </c>
      <c r="R2519" s="221">
        <v>0</v>
      </c>
      <c r="S2519" s="221"/>
      <c r="T2519" s="221"/>
      <c r="U2519" s="221"/>
      <c r="V2519" s="221"/>
      <c r="W2519" s="221"/>
      <c r="X2519" s="221"/>
      <c r="Y2519" s="227"/>
      <c r="Z2519" s="227">
        <f>P2519</f>
        <v>0</v>
      </c>
      <c r="AA2519" s="276" t="e">
        <f>VLOOKUP(Logfile_S[[#This Row],[DO number]],DO_DB!G:I,3,0)</f>
        <v>#N/A</v>
      </c>
      <c r="AB2519" s="331" t="e">
        <f>EXACT(Logfile_S[[#This Row],[date pick]],Logfile_S[[#This Row],[Date]])</f>
        <v>#N/A</v>
      </c>
      <c r="AC25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20" spans="1:29" ht="14.5">
      <c r="A2520" s="220" t="str">
        <f>TEXT(ROW(A2520)-ROW($A$4),"000")</f>
        <v>2516</v>
      </c>
      <c r="B2520" s="221"/>
      <c r="C2520" s="221" t="s">
        <v>48</v>
      </c>
      <c r="D2520" s="221" t="s">
        <v>4054</v>
      </c>
      <c r="E2520" s="221" t="s">
        <v>3295</v>
      </c>
      <c r="F2520" s="221" t="s">
        <v>3299</v>
      </c>
      <c r="G2520" s="222">
        <v>45433</v>
      </c>
      <c r="H2520" s="223">
        <v>15.291666666666666</v>
      </c>
      <c r="I2520" s="221" t="s">
        <v>37</v>
      </c>
      <c r="J2520" s="221" t="s">
        <v>3023</v>
      </c>
      <c r="K2520" s="224" t="s">
        <v>13</v>
      </c>
      <c r="L2520" s="225" t="str">
        <f>VLOOKUP(Logfile_S[[#This Row],[Material Name]],Sheet2!B:C,2,0)</f>
        <v>ZTE2008</v>
      </c>
      <c r="M2520" s="225" t="str">
        <f>_xlfn.XLOOKUP(Logfile_S[[#This Row],[Material Name]],Sum_WH!E:E,Sum_WH!F:F,"",0)</f>
        <v>Pcs</v>
      </c>
      <c r="N2520" s="221">
        <v>47</v>
      </c>
      <c r="O2520" s="221"/>
      <c r="P2520" s="221"/>
      <c r="Q2520" s="221">
        <v>0</v>
      </c>
      <c r="R2520" s="221">
        <v>0</v>
      </c>
      <c r="S2520" s="221"/>
      <c r="T2520" s="221"/>
      <c r="U2520" s="221"/>
      <c r="V2520" s="221"/>
      <c r="W2520" s="221"/>
      <c r="X2520" s="221"/>
      <c r="Y2520" s="227"/>
      <c r="Z2520" s="227">
        <f>P2520</f>
        <v>0</v>
      </c>
      <c r="AA2520" s="276" t="e">
        <f>VLOOKUP(Logfile_S[[#This Row],[DO number]],DO_DB!G:I,3,0)</f>
        <v>#N/A</v>
      </c>
      <c r="AB2520" s="331" t="e">
        <f>EXACT(Logfile_S[[#This Row],[date pick]],Logfile_S[[#This Row],[Date]])</f>
        <v>#N/A</v>
      </c>
      <c r="AC25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21" spans="1:29" ht="14.5">
      <c r="A2521" s="220" t="str">
        <f>TEXT(ROW(A2521)-ROW($A$4),"000")</f>
        <v>2517</v>
      </c>
      <c r="B2521" s="221"/>
      <c r="C2521" s="221" t="s">
        <v>48</v>
      </c>
      <c r="D2521" s="221" t="s">
        <v>4054</v>
      </c>
      <c r="E2521" s="221" t="s">
        <v>3295</v>
      </c>
      <c r="F2521" s="221" t="s">
        <v>3299</v>
      </c>
      <c r="G2521" s="222">
        <v>45433</v>
      </c>
      <c r="H2521" s="223">
        <v>15.291666666666666</v>
      </c>
      <c r="I2521" s="221" t="s">
        <v>37</v>
      </c>
      <c r="J2521" s="221" t="s">
        <v>3023</v>
      </c>
      <c r="K2521" s="224" t="s">
        <v>14</v>
      </c>
      <c r="L2521" s="225" t="str">
        <f>VLOOKUP(Logfile_S[[#This Row],[Material Name]],Sheet2!B:C,2,0)</f>
        <v>ZTE2005</v>
      </c>
      <c r="M2521" s="225" t="str">
        <f>_xlfn.XLOOKUP(Logfile_S[[#This Row],[Material Name]],Sum_WH!E:E,Sum_WH!F:F,"",0)</f>
        <v>Pcs</v>
      </c>
      <c r="N2521" s="221">
        <v>4</v>
      </c>
      <c r="O2521" s="221"/>
      <c r="P2521" s="221"/>
      <c r="Q2521" s="221">
        <v>0</v>
      </c>
      <c r="R2521" s="221">
        <v>0</v>
      </c>
      <c r="S2521" s="221"/>
      <c r="T2521" s="221"/>
      <c r="U2521" s="221"/>
      <c r="V2521" s="221"/>
      <c r="W2521" s="221"/>
      <c r="X2521" s="221"/>
      <c r="Y2521" s="227"/>
      <c r="Z2521" s="227">
        <f>P2521</f>
        <v>0</v>
      </c>
      <c r="AA2521" s="276" t="e">
        <f>VLOOKUP(Logfile_S[[#This Row],[DO number]],DO_DB!G:I,3,0)</f>
        <v>#N/A</v>
      </c>
      <c r="AB2521" s="331" t="e">
        <f>EXACT(Logfile_S[[#This Row],[date pick]],Logfile_S[[#This Row],[Date]])</f>
        <v>#N/A</v>
      </c>
      <c r="AC25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22" spans="1:29" ht="14.5">
      <c r="A2522" s="220" t="str">
        <f>TEXT(ROW(A2522)-ROW($A$4),"000")</f>
        <v>2518</v>
      </c>
      <c r="B2522" s="221"/>
      <c r="C2522" s="221" t="s">
        <v>48</v>
      </c>
      <c r="D2522" s="221" t="s">
        <v>4054</v>
      </c>
      <c r="E2522" s="221" t="s">
        <v>3295</v>
      </c>
      <c r="F2522" s="221" t="s">
        <v>3299</v>
      </c>
      <c r="G2522" s="222">
        <v>45433</v>
      </c>
      <c r="H2522" s="223">
        <v>15.291666666666666</v>
      </c>
      <c r="I2522" s="221" t="s">
        <v>37</v>
      </c>
      <c r="J2522" s="221" t="s">
        <v>3023</v>
      </c>
      <c r="K2522" s="224" t="s">
        <v>3072</v>
      </c>
      <c r="L2522" s="225" t="str">
        <f>VLOOKUP(Logfile_S[[#This Row],[Material Name]],Sheet2!B:C,2,0)</f>
        <v>ZTE1004</v>
      </c>
      <c r="M2522" s="225" t="str">
        <f>_xlfn.XLOOKUP(Logfile_S[[#This Row],[Material Name]],Sum_WH!E:E,Sum_WH!F:F,"",0)</f>
        <v>Pcs</v>
      </c>
      <c r="N2522" s="221">
        <v>1</v>
      </c>
      <c r="O2522" s="221"/>
      <c r="P2522" s="221"/>
      <c r="Q2522" s="221">
        <v>0</v>
      </c>
      <c r="R2522" s="221">
        <v>0</v>
      </c>
      <c r="S2522" s="221"/>
      <c r="T2522" s="221"/>
      <c r="U2522" s="221"/>
      <c r="V2522" s="221"/>
      <c r="W2522" s="221"/>
      <c r="X2522" s="221"/>
      <c r="Y2522" s="227"/>
      <c r="Z2522" s="227">
        <f>P2522</f>
        <v>0</v>
      </c>
      <c r="AA2522" s="276" t="e">
        <f>VLOOKUP(Logfile_S[[#This Row],[DO number]],DO_DB!G:I,3,0)</f>
        <v>#N/A</v>
      </c>
      <c r="AB2522" s="331" t="e">
        <f>EXACT(Logfile_S[[#This Row],[date pick]],Logfile_S[[#This Row],[Date]])</f>
        <v>#N/A</v>
      </c>
      <c r="AC25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23" spans="1:29" ht="14.5">
      <c r="A2523" s="220" t="str">
        <f>TEXT(ROW(A2523)-ROW($A$4),"000")</f>
        <v>2519</v>
      </c>
      <c r="B2523" s="221"/>
      <c r="C2523" s="221" t="s">
        <v>48</v>
      </c>
      <c r="D2523" s="221" t="s">
        <v>4054</v>
      </c>
      <c r="E2523" s="221" t="s">
        <v>3295</v>
      </c>
      <c r="F2523" s="221" t="s">
        <v>3299</v>
      </c>
      <c r="G2523" s="222">
        <v>45433</v>
      </c>
      <c r="H2523" s="223">
        <v>15.291666666666666</v>
      </c>
      <c r="I2523" s="221" t="s">
        <v>37</v>
      </c>
      <c r="J2523" s="221" t="s">
        <v>3023</v>
      </c>
      <c r="K2523" s="224" t="s">
        <v>3070</v>
      </c>
      <c r="L2523" s="225" t="str">
        <f>VLOOKUP(Logfile_S[[#This Row],[Material Name]],Sheet2!B:C,2,0)</f>
        <v>ZTE1002</v>
      </c>
      <c r="M2523" s="225" t="str">
        <f>_xlfn.XLOOKUP(Logfile_S[[#This Row],[Material Name]],Sum_WH!E:E,Sum_WH!F:F,"",0)</f>
        <v>Pcs</v>
      </c>
      <c r="N2523" s="221">
        <v>7</v>
      </c>
      <c r="O2523" s="221"/>
      <c r="P2523" s="221"/>
      <c r="Q2523" s="221">
        <v>0</v>
      </c>
      <c r="R2523" s="221">
        <v>0</v>
      </c>
      <c r="S2523" s="221"/>
      <c r="T2523" s="221"/>
      <c r="U2523" s="221"/>
      <c r="V2523" s="221"/>
      <c r="W2523" s="221"/>
      <c r="X2523" s="221"/>
      <c r="Y2523" s="227"/>
      <c r="Z2523" s="227">
        <f>P2523</f>
        <v>0</v>
      </c>
      <c r="AA2523" s="276" t="e">
        <f>VLOOKUP(Logfile_S[[#This Row],[DO number]],DO_DB!G:I,3,0)</f>
        <v>#N/A</v>
      </c>
      <c r="AB2523" s="331" t="e">
        <f>EXACT(Logfile_S[[#This Row],[date pick]],Logfile_S[[#This Row],[Date]])</f>
        <v>#N/A</v>
      </c>
      <c r="AC25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24" spans="1:29" ht="14.5">
      <c r="A2524" s="220" t="str">
        <f>TEXT(ROW(A2524)-ROW($A$4),"000")</f>
        <v>2520</v>
      </c>
      <c r="B2524" s="221"/>
      <c r="C2524" s="221" t="s">
        <v>48</v>
      </c>
      <c r="D2524" s="221" t="s">
        <v>4054</v>
      </c>
      <c r="E2524" s="221" t="s">
        <v>3295</v>
      </c>
      <c r="F2524" s="221" t="s">
        <v>3299</v>
      </c>
      <c r="G2524" s="222">
        <v>45433</v>
      </c>
      <c r="H2524" s="223">
        <v>15.291666666666666</v>
      </c>
      <c r="I2524" s="221" t="s">
        <v>37</v>
      </c>
      <c r="J2524" s="221" t="s">
        <v>3023</v>
      </c>
      <c r="K2524" s="224" t="s">
        <v>3069</v>
      </c>
      <c r="L2524" s="225" t="str">
        <f>VLOOKUP(Logfile_S[[#This Row],[Material Name]],Sheet2!B:C,2,0)</f>
        <v>ZTE1001</v>
      </c>
      <c r="M2524" s="225" t="str">
        <f>_xlfn.XLOOKUP(Logfile_S[[#This Row],[Material Name]],Sum_WH!E:E,Sum_WH!F:F,"",0)</f>
        <v>Pcs</v>
      </c>
      <c r="N2524" s="221">
        <v>246</v>
      </c>
      <c r="O2524" s="221"/>
      <c r="P2524" s="221"/>
      <c r="Q2524" s="221">
        <v>0</v>
      </c>
      <c r="R2524" s="221">
        <v>0</v>
      </c>
      <c r="S2524" s="221"/>
      <c r="T2524" s="221"/>
      <c r="U2524" s="221"/>
      <c r="V2524" s="221"/>
      <c r="W2524" s="221"/>
      <c r="X2524" s="221"/>
      <c r="Y2524" s="227"/>
      <c r="Z2524" s="227">
        <f>P2524</f>
        <v>0</v>
      </c>
      <c r="AA2524" s="276" t="e">
        <f>VLOOKUP(Logfile_S[[#This Row],[DO number]],DO_DB!G:I,3,0)</f>
        <v>#N/A</v>
      </c>
      <c r="AB2524" s="331" t="e">
        <f>EXACT(Logfile_S[[#This Row],[date pick]],Logfile_S[[#This Row],[Date]])</f>
        <v>#N/A</v>
      </c>
      <c r="AC25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25" spans="1:29" ht="14.5">
      <c r="A2525" s="220" t="str">
        <f>TEXT(ROW(A2525)-ROW($A$4),"000")</f>
        <v>2521</v>
      </c>
      <c r="B2525" s="221"/>
      <c r="C2525" s="221" t="s">
        <v>48</v>
      </c>
      <c r="D2525" s="221" t="s">
        <v>4057</v>
      </c>
      <c r="E2525" s="221" t="s">
        <v>3295</v>
      </c>
      <c r="F2525" s="221" t="s">
        <v>3299</v>
      </c>
      <c r="G2525" s="222">
        <v>45434</v>
      </c>
      <c r="H2525" s="223">
        <v>15.291666666666666</v>
      </c>
      <c r="I2525" s="221" t="s">
        <v>3586</v>
      </c>
      <c r="J2525" s="221" t="s">
        <v>3023</v>
      </c>
      <c r="K2525" s="224" t="s">
        <v>3069</v>
      </c>
      <c r="L2525" s="225" t="str">
        <f>VLOOKUP(Logfile_S[[#This Row],[Material Name]],Sheet2!B:C,2,0)</f>
        <v>ZTE1001</v>
      </c>
      <c r="M2525" s="225" t="str">
        <f>_xlfn.XLOOKUP(Logfile_S[[#This Row],[Material Name]],Sum_WH!E:E,Sum_WH!F:F,"",0)</f>
        <v>Pcs</v>
      </c>
      <c r="N2525" s="221">
        <v>8</v>
      </c>
      <c r="O2525" s="221"/>
      <c r="P2525" s="221"/>
      <c r="Q2525" s="221">
        <v>0</v>
      </c>
      <c r="R2525" s="221" t="s">
        <v>3147</v>
      </c>
      <c r="S2525" s="221"/>
      <c r="T2525" s="221"/>
      <c r="U2525" s="221"/>
      <c r="V2525" s="221"/>
      <c r="W2525" s="221"/>
      <c r="X2525" s="221" t="s">
        <v>3585</v>
      </c>
      <c r="Y2525" s="227"/>
      <c r="Z2525" s="227">
        <f>P2525</f>
        <v>0</v>
      </c>
      <c r="AA2525" s="276" t="e">
        <f>VLOOKUP(Logfile_S[[#This Row],[DO number]],DO_DB!G:I,3,0)</f>
        <v>#N/A</v>
      </c>
      <c r="AB2525" s="331" t="e">
        <f>EXACT(Logfile_S[[#This Row],[date pick]],Logfile_S[[#This Row],[Date]])</f>
        <v>#N/A</v>
      </c>
      <c r="AC25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26" spans="1:29" ht="14.5">
      <c r="A2526" s="220" t="str">
        <f>TEXT(ROW(A2526)-ROW($A$4),"000")</f>
        <v>2522</v>
      </c>
      <c r="B2526" s="221"/>
      <c r="C2526" s="221" t="s">
        <v>48</v>
      </c>
      <c r="D2526" s="221" t="s">
        <v>4098</v>
      </c>
      <c r="E2526" s="221" t="s">
        <v>3295</v>
      </c>
      <c r="F2526" s="221" t="s">
        <v>3299</v>
      </c>
      <c r="G2526" s="222">
        <v>45467</v>
      </c>
      <c r="H2526" s="223">
        <v>15.291666666666666</v>
      </c>
      <c r="I2526" s="221" t="s">
        <v>37</v>
      </c>
      <c r="J2526" s="221" t="s">
        <v>3023</v>
      </c>
      <c r="K2526" s="224" t="s">
        <v>3070</v>
      </c>
      <c r="L2526" s="225" t="str">
        <f>VLOOKUP(Logfile_S[[#This Row],[Material Name]],Sheet2!B:C,2,0)</f>
        <v>ZTE1002</v>
      </c>
      <c r="M2526" s="225" t="str">
        <f>_xlfn.XLOOKUP(Logfile_S[[#This Row],[Material Name]],Sum_WH!E:E,Sum_WH!F:F,"",0)</f>
        <v>Pcs</v>
      </c>
      <c r="N2526" s="221">
        <v>13</v>
      </c>
      <c r="O2526" s="221"/>
      <c r="P2526" s="221"/>
      <c r="Q2526" s="221">
        <v>0</v>
      </c>
      <c r="R2526" s="221">
        <v>0</v>
      </c>
      <c r="S2526" s="221"/>
      <c r="T2526" s="221"/>
      <c r="U2526" s="221"/>
      <c r="V2526" s="221"/>
      <c r="W2526" s="221"/>
      <c r="X2526" s="221"/>
      <c r="Y2526" s="227"/>
      <c r="Z2526" s="227">
        <f>P2526</f>
        <v>0</v>
      </c>
      <c r="AA2526" s="276" t="e">
        <f>VLOOKUP(Logfile_S[[#This Row],[DO number]],DO_DB!G:I,3,0)</f>
        <v>#N/A</v>
      </c>
      <c r="AB2526" s="331" t="e">
        <f>EXACT(Logfile_S[[#This Row],[date pick]],Logfile_S[[#This Row],[Date]])</f>
        <v>#N/A</v>
      </c>
      <c r="AC25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27" spans="1:29" ht="14.5">
      <c r="A2527" s="220" t="str">
        <f>TEXT(ROW(A2527)-ROW($A$4),"000")</f>
        <v>2523</v>
      </c>
      <c r="B2527" s="221"/>
      <c r="C2527" s="221" t="s">
        <v>48</v>
      </c>
      <c r="D2527" s="221" t="s">
        <v>4098</v>
      </c>
      <c r="E2527" s="221" t="s">
        <v>3295</v>
      </c>
      <c r="F2527" s="221" t="s">
        <v>3299</v>
      </c>
      <c r="G2527" s="222">
        <v>45467</v>
      </c>
      <c r="H2527" s="223">
        <v>15.291666666666666</v>
      </c>
      <c r="I2527" s="221" t="s">
        <v>37</v>
      </c>
      <c r="J2527" s="221" t="s">
        <v>3023</v>
      </c>
      <c r="K2527" s="224" t="s">
        <v>3069</v>
      </c>
      <c r="L2527" s="225" t="str">
        <f>VLOOKUP(Logfile_S[[#This Row],[Material Name]],Sheet2!B:C,2,0)</f>
        <v>ZTE1001</v>
      </c>
      <c r="M2527" s="225" t="str">
        <f>_xlfn.XLOOKUP(Logfile_S[[#This Row],[Material Name]],Sum_WH!E:E,Sum_WH!F:F,"",0)</f>
        <v>Pcs</v>
      </c>
      <c r="N2527" s="221">
        <v>165</v>
      </c>
      <c r="O2527" s="221"/>
      <c r="P2527" s="221"/>
      <c r="Q2527" s="221">
        <v>0</v>
      </c>
      <c r="R2527" s="221">
        <v>0</v>
      </c>
      <c r="S2527" s="221"/>
      <c r="T2527" s="221"/>
      <c r="U2527" s="221"/>
      <c r="V2527" s="221"/>
      <c r="W2527" s="221"/>
      <c r="X2527" s="221"/>
      <c r="Y2527" s="227"/>
      <c r="Z2527" s="227">
        <f>P2527</f>
        <v>0</v>
      </c>
      <c r="AA2527" s="276" t="e">
        <f>VLOOKUP(Logfile_S[[#This Row],[DO number]],DO_DB!G:I,3,0)</f>
        <v>#N/A</v>
      </c>
      <c r="AB2527" s="331" t="e">
        <f>EXACT(Logfile_S[[#This Row],[date pick]],Logfile_S[[#This Row],[Date]])</f>
        <v>#N/A</v>
      </c>
      <c r="AC25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28" spans="1:29" ht="14.5">
      <c r="A2528" s="220" t="str">
        <f>TEXT(ROW(A2528)-ROW($A$4),"000")</f>
        <v>2524</v>
      </c>
      <c r="B2528" s="221"/>
      <c r="C2528" s="221" t="s">
        <v>48</v>
      </c>
      <c r="D2528" s="221" t="s">
        <v>4099</v>
      </c>
      <c r="E2528" s="221" t="s">
        <v>3295</v>
      </c>
      <c r="F2528" s="221" t="s">
        <v>3299</v>
      </c>
      <c r="G2528" s="222">
        <v>45468</v>
      </c>
      <c r="H2528" s="223">
        <v>15.291666666666666</v>
      </c>
      <c r="I2528" s="221" t="s">
        <v>37</v>
      </c>
      <c r="J2528" s="221" t="s">
        <v>3023</v>
      </c>
      <c r="K2528" s="224" t="s">
        <v>3073</v>
      </c>
      <c r="L2528" s="225" t="str">
        <f>VLOOKUP(Logfile_S[[#This Row],[Material Name]],Sheet2!B:C,2,0)</f>
        <v>ZTE2001</v>
      </c>
      <c r="M2528" s="225" t="str">
        <f>_xlfn.XLOOKUP(Logfile_S[[#This Row],[Material Name]],Sum_WH!E:E,Sum_WH!F:F,"",0)</f>
        <v>Meter</v>
      </c>
      <c r="N2528" s="221">
        <v>3000</v>
      </c>
      <c r="O2528" s="221"/>
      <c r="P2528" s="221"/>
      <c r="Q2528" s="221">
        <v>0</v>
      </c>
      <c r="R2528" s="221">
        <v>0</v>
      </c>
      <c r="S2528" s="221"/>
      <c r="T2528" s="221"/>
      <c r="U2528" s="221"/>
      <c r="V2528" s="221"/>
      <c r="W2528" s="221"/>
      <c r="X2528" s="221"/>
      <c r="Y2528" s="227" t="s">
        <v>5003</v>
      </c>
      <c r="Z2528" s="227">
        <f>P2528</f>
        <v>0</v>
      </c>
      <c r="AA2528" s="276" t="e">
        <f>VLOOKUP(Logfile_S[[#This Row],[DO number]],DO_DB!G:I,3,0)</f>
        <v>#N/A</v>
      </c>
      <c r="AB2528" s="331" t="e">
        <f>EXACT(Logfile_S[[#This Row],[date pick]],Logfile_S[[#This Row],[Date]])</f>
        <v>#N/A</v>
      </c>
      <c r="AC25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24C-2024625-01</v>
      </c>
    </row>
    <row r="2529" spans="1:29" ht="14.5">
      <c r="A2529" s="220" t="str">
        <f>TEXT(ROW(A2529)-ROW($A$4),"000")</f>
        <v>2525</v>
      </c>
      <c r="B2529" s="221"/>
      <c r="C2529" s="221" t="s">
        <v>48</v>
      </c>
      <c r="D2529" s="221" t="s">
        <v>4103</v>
      </c>
      <c r="E2529" s="221" t="s">
        <v>3295</v>
      </c>
      <c r="F2529" s="221" t="s">
        <v>3299</v>
      </c>
      <c r="G2529" s="222">
        <v>45468</v>
      </c>
      <c r="H2529" s="223">
        <v>15.291666666666666</v>
      </c>
      <c r="I2529" s="221" t="s">
        <v>37</v>
      </c>
      <c r="J2529" s="221" t="s">
        <v>3023</v>
      </c>
      <c r="K2529" s="224" t="s">
        <v>14</v>
      </c>
      <c r="L2529" s="225" t="str">
        <f>VLOOKUP(Logfile_S[[#This Row],[Material Name]],Sheet2!B:C,2,0)</f>
        <v>ZTE2005</v>
      </c>
      <c r="M2529" s="225" t="str">
        <f>_xlfn.XLOOKUP(Logfile_S[[#This Row],[Material Name]],Sum_WH!E:E,Sum_WH!F:F,"",0)</f>
        <v>Pcs</v>
      </c>
      <c r="N2529" s="221">
        <v>1</v>
      </c>
      <c r="O2529" s="221"/>
      <c r="P2529" s="221"/>
      <c r="Q2529" s="221">
        <v>0</v>
      </c>
      <c r="R2529" s="221">
        <v>0</v>
      </c>
      <c r="S2529" s="221"/>
      <c r="T2529" s="221"/>
      <c r="U2529" s="221"/>
      <c r="V2529" s="221"/>
      <c r="W2529" s="221"/>
      <c r="X2529" s="221"/>
      <c r="Y2529" s="227"/>
      <c r="Z2529" s="227">
        <f>P2529</f>
        <v>0</v>
      </c>
      <c r="AA2529" s="276" t="e">
        <f>VLOOKUP(Logfile_S[[#This Row],[DO number]],DO_DB!G:I,3,0)</f>
        <v>#N/A</v>
      </c>
      <c r="AB2529" s="331" t="e">
        <f>EXACT(Logfile_S[[#This Row],[date pick]],Logfile_S[[#This Row],[Date]])</f>
        <v>#N/A</v>
      </c>
      <c r="AC25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30" spans="1:29" ht="14.5">
      <c r="A2530" s="220" t="str">
        <f>TEXT(ROW(A2530)-ROW($A$4),"000")</f>
        <v>2526</v>
      </c>
      <c r="B2530" s="221"/>
      <c r="C2530" s="221" t="s">
        <v>48</v>
      </c>
      <c r="D2530" s="221" t="s">
        <v>4113</v>
      </c>
      <c r="E2530" s="221" t="s">
        <v>3295</v>
      </c>
      <c r="F2530" s="221" t="s">
        <v>3299</v>
      </c>
      <c r="G2530" s="222">
        <v>45481</v>
      </c>
      <c r="H2530" s="223">
        <v>15.291666666666666</v>
      </c>
      <c r="I2530" s="221" t="s">
        <v>37</v>
      </c>
      <c r="J2530" s="221" t="s">
        <v>3023</v>
      </c>
      <c r="K2530" s="224" t="s">
        <v>3073</v>
      </c>
      <c r="L2530" s="225" t="str">
        <f>VLOOKUP(Logfile_S[[#This Row],[Material Name]],Sheet2!B:C,2,0)</f>
        <v>ZTE2001</v>
      </c>
      <c r="M2530" s="225" t="str">
        <f>_xlfn.XLOOKUP(Logfile_S[[#This Row],[Material Name]],Sum_WH!E:E,Sum_WH!F:F,"",0)</f>
        <v>Meter</v>
      </c>
      <c r="N2530" s="221">
        <v>3000</v>
      </c>
      <c r="O2530" s="221"/>
      <c r="P2530" s="221"/>
      <c r="Q2530" s="221">
        <v>0</v>
      </c>
      <c r="R2530" s="221">
        <v>0</v>
      </c>
      <c r="S2530" s="221"/>
      <c r="T2530" s="221"/>
      <c r="U2530" s="221"/>
      <c r="V2530" s="221"/>
      <c r="W2530" s="221"/>
      <c r="X2530" s="221"/>
      <c r="Y2530" s="227" t="s">
        <v>5004</v>
      </c>
      <c r="Z2530" s="227">
        <f>P2530</f>
        <v>0</v>
      </c>
      <c r="AA2530" s="276" t="e">
        <f>VLOOKUP(Logfile_S[[#This Row],[DO number]],DO_DB!G:I,3,0)</f>
        <v>#N/A</v>
      </c>
      <c r="AB2530" s="331" t="e">
        <f>EXACT(Logfile_S[[#This Row],[date pick]],Logfile_S[[#This Row],[Date]])</f>
        <v>#N/A</v>
      </c>
      <c r="AC25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24C-202478-01</v>
      </c>
    </row>
    <row r="2531" spans="1:29" ht="14.5">
      <c r="A2531" s="237" t="str">
        <f>TEXT(ROW(A2531)-ROW($A$4),"000")</f>
        <v>2527</v>
      </c>
      <c r="B2531" s="221"/>
      <c r="C2531" s="227" t="s">
        <v>48</v>
      </c>
      <c r="D2531" s="227" t="s">
        <v>4122</v>
      </c>
      <c r="E2531" s="227" t="s">
        <v>3295</v>
      </c>
      <c r="F2531" s="227" t="s">
        <v>3299</v>
      </c>
      <c r="G2531" s="239">
        <v>45496</v>
      </c>
      <c r="H2531" s="240">
        <v>15.291666666666666</v>
      </c>
      <c r="I2531" s="227" t="s">
        <v>37</v>
      </c>
      <c r="J2531" s="227" t="s">
        <v>3023</v>
      </c>
      <c r="K2531" s="241" t="s">
        <v>3073</v>
      </c>
      <c r="L2531" s="225" t="str">
        <f>VLOOKUP(Logfile_S[[#This Row],[Material Name]],Sheet2!B:C,2,0)</f>
        <v>ZTE2001</v>
      </c>
      <c r="M2531" s="242" t="s">
        <v>20</v>
      </c>
      <c r="N2531" s="227">
        <v>3000</v>
      </c>
      <c r="O2531" s="227"/>
      <c r="P2531" s="227"/>
      <c r="Q2531" s="227">
        <v>0</v>
      </c>
      <c r="R2531" s="227">
        <v>0</v>
      </c>
      <c r="S2531" s="227"/>
      <c r="T2531" s="227"/>
      <c r="U2531" s="227"/>
      <c r="V2531" s="227"/>
      <c r="W2531" s="227"/>
      <c r="X2531" s="227"/>
      <c r="Y2531" s="227" t="s">
        <v>4950</v>
      </c>
      <c r="Z2531" s="227">
        <f>P2531</f>
        <v>0</v>
      </c>
      <c r="AA2531" s="276" t="e">
        <f>VLOOKUP(Logfile_S[[#This Row],[DO number]],DO_DB!G:I,3,0)</f>
        <v>#N/A</v>
      </c>
      <c r="AB2531" s="331" t="e">
        <f>EXACT(Logfile_S[[#This Row],[date pick]],Logfile_S[[#This Row],[Date]])</f>
        <v>#N/A</v>
      </c>
      <c r="AC25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24C-2024723-01</v>
      </c>
    </row>
    <row r="2532" spans="1:29" ht="14.5">
      <c r="A2532" s="220" t="str">
        <f>TEXT(ROW(A2532)-ROW($A$4),"000")</f>
        <v>2528</v>
      </c>
      <c r="B2532" s="221"/>
      <c r="C2532" s="221" t="s">
        <v>48</v>
      </c>
      <c r="D2532" s="221" t="s">
        <v>4122</v>
      </c>
      <c r="E2532" s="221" t="s">
        <v>3295</v>
      </c>
      <c r="F2532" s="221" t="s">
        <v>3299</v>
      </c>
      <c r="G2532" s="222">
        <v>45496</v>
      </c>
      <c r="H2532" s="223">
        <v>15.291666666666666</v>
      </c>
      <c r="I2532" s="221" t="s">
        <v>37</v>
      </c>
      <c r="J2532" s="221" t="s">
        <v>3023</v>
      </c>
      <c r="K2532" s="224" t="s">
        <v>3073</v>
      </c>
      <c r="L2532" s="225" t="str">
        <f>VLOOKUP(Logfile_S[[#This Row],[Material Name]],Sheet2!B:C,2,0)</f>
        <v>ZTE2001</v>
      </c>
      <c r="M2532" s="225" t="str">
        <f>_xlfn.XLOOKUP(Logfile_S[[#This Row],[Material Name]],Sum_WH!E:E,Sum_WH!F:F,"",0)</f>
        <v>Meter</v>
      </c>
      <c r="N2532" s="227">
        <v>3000</v>
      </c>
      <c r="O2532" s="221"/>
      <c r="P2532" s="221"/>
      <c r="Q2532" s="221">
        <v>0</v>
      </c>
      <c r="R2532" s="221">
        <v>0</v>
      </c>
      <c r="S2532" s="221"/>
      <c r="T2532" s="221"/>
      <c r="U2532" s="221"/>
      <c r="V2532" s="221"/>
      <c r="W2532" s="221"/>
      <c r="X2532" s="221"/>
      <c r="Y2532" s="227" t="s">
        <v>5005</v>
      </c>
      <c r="Z2532" s="227">
        <f>P2532</f>
        <v>0</v>
      </c>
      <c r="AA2532" s="276" t="e">
        <f>VLOOKUP(Logfile_S[[#This Row],[DO number]],DO_DB!G:I,3,0)</f>
        <v>#N/A</v>
      </c>
      <c r="AB2532" s="331" t="e">
        <f>EXACT(Logfile_S[[#This Row],[date pick]],Logfile_S[[#This Row],[Date]])</f>
        <v>#N/A</v>
      </c>
      <c r="AC25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24C-2024723-02</v>
      </c>
    </row>
    <row r="2533" spans="1:29" ht="14.5">
      <c r="A2533" s="220" t="str">
        <f>TEXT(ROW(A2533)-ROW($A$4),"000")</f>
        <v>2529</v>
      </c>
      <c r="B2533" s="221"/>
      <c r="C2533" s="221" t="s">
        <v>48</v>
      </c>
      <c r="D2533" s="221" t="s">
        <v>4126</v>
      </c>
      <c r="E2533" s="221" t="s">
        <v>3295</v>
      </c>
      <c r="F2533" s="221" t="s">
        <v>3299</v>
      </c>
      <c r="G2533" s="222">
        <v>45496</v>
      </c>
      <c r="H2533" s="223">
        <v>15.291666666666666</v>
      </c>
      <c r="I2533" s="221" t="s">
        <v>37</v>
      </c>
      <c r="J2533" s="221" t="s">
        <v>3023</v>
      </c>
      <c r="K2533" s="224" t="s">
        <v>13</v>
      </c>
      <c r="L2533" s="225" t="str">
        <f>VLOOKUP(Logfile_S[[#This Row],[Material Name]],Sheet2!B:C,2,0)</f>
        <v>ZTE2008</v>
      </c>
      <c r="M2533" s="225" t="str">
        <f>_xlfn.XLOOKUP(Logfile_S[[#This Row],[Material Name]],Sum_WH!E:E,Sum_WH!F:F,"",0)</f>
        <v>Pcs</v>
      </c>
      <c r="N2533" s="221">
        <v>37</v>
      </c>
      <c r="O2533" s="221"/>
      <c r="P2533" s="221"/>
      <c r="Q2533" s="221">
        <v>0</v>
      </c>
      <c r="R2533" s="221">
        <v>0</v>
      </c>
      <c r="S2533" s="221"/>
      <c r="T2533" s="221"/>
      <c r="U2533" s="221"/>
      <c r="V2533" s="221"/>
      <c r="W2533" s="221"/>
      <c r="X2533" s="221"/>
      <c r="Y2533" s="227"/>
      <c r="Z2533" s="227">
        <f>P2533</f>
        <v>0</v>
      </c>
      <c r="AA2533" s="276" t="e">
        <f>VLOOKUP(Logfile_S[[#This Row],[DO number]],DO_DB!G:I,3,0)</f>
        <v>#N/A</v>
      </c>
      <c r="AB2533" s="331" t="e">
        <f>EXACT(Logfile_S[[#This Row],[date pick]],Logfile_S[[#This Row],[Date]])</f>
        <v>#N/A</v>
      </c>
      <c r="AC253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34" spans="1:29" ht="14.5">
      <c r="A2534" s="220" t="str">
        <f>TEXT(ROW(A2534)-ROW($A$4),"000")</f>
        <v>2530</v>
      </c>
      <c r="B2534" s="221"/>
      <c r="C2534" s="221" t="s">
        <v>48</v>
      </c>
      <c r="D2534" s="221" t="s">
        <v>4126</v>
      </c>
      <c r="E2534" s="221" t="s">
        <v>3295</v>
      </c>
      <c r="F2534" s="221" t="s">
        <v>3299</v>
      </c>
      <c r="G2534" s="222">
        <v>45496</v>
      </c>
      <c r="H2534" s="223">
        <v>15.291666666666666</v>
      </c>
      <c r="I2534" s="221" t="s">
        <v>37</v>
      </c>
      <c r="J2534" s="221" t="s">
        <v>3023</v>
      </c>
      <c r="K2534" s="224" t="s">
        <v>14</v>
      </c>
      <c r="L2534" s="225" t="str">
        <f>VLOOKUP(Logfile_S[[#This Row],[Material Name]],Sheet2!B:C,2,0)</f>
        <v>ZTE2005</v>
      </c>
      <c r="M2534" s="225" t="str">
        <f>_xlfn.XLOOKUP(Logfile_S[[#This Row],[Material Name]],Sum_WH!E:E,Sum_WH!F:F,"",0)</f>
        <v>Pcs</v>
      </c>
      <c r="N2534" s="221">
        <v>2</v>
      </c>
      <c r="O2534" s="221"/>
      <c r="P2534" s="221"/>
      <c r="Q2534" s="221">
        <v>0</v>
      </c>
      <c r="R2534" s="221">
        <v>0</v>
      </c>
      <c r="S2534" s="221"/>
      <c r="T2534" s="221"/>
      <c r="U2534" s="221"/>
      <c r="V2534" s="221"/>
      <c r="W2534" s="221"/>
      <c r="X2534" s="221"/>
      <c r="Y2534" s="227"/>
      <c r="Z2534" s="227">
        <f>P2534</f>
        <v>0</v>
      </c>
      <c r="AA2534" s="276" t="e">
        <f>VLOOKUP(Logfile_S[[#This Row],[DO number]],DO_DB!G:I,3,0)</f>
        <v>#N/A</v>
      </c>
      <c r="AB2534" s="331" t="e">
        <f>EXACT(Logfile_S[[#This Row],[date pick]],Logfile_S[[#This Row],[Date]])</f>
        <v>#N/A</v>
      </c>
      <c r="AC253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35" spans="1:29" ht="14.5">
      <c r="A2535" s="220" t="str">
        <f>TEXT(ROW(A2535)-ROW($A$4),"000")</f>
        <v>2531</v>
      </c>
      <c r="B2535" s="221"/>
      <c r="C2535" s="221" t="s">
        <v>48</v>
      </c>
      <c r="D2535" s="221" t="s">
        <v>4126</v>
      </c>
      <c r="E2535" s="221" t="s">
        <v>3295</v>
      </c>
      <c r="F2535" s="221" t="s">
        <v>3299</v>
      </c>
      <c r="G2535" s="222">
        <v>45496</v>
      </c>
      <c r="H2535" s="223">
        <v>15.291666666666666</v>
      </c>
      <c r="I2535" s="221" t="s">
        <v>37</v>
      </c>
      <c r="J2535" s="221" t="s">
        <v>3023</v>
      </c>
      <c r="K2535" s="224" t="s">
        <v>3072</v>
      </c>
      <c r="L2535" s="225" t="str">
        <f>VLOOKUP(Logfile_S[[#This Row],[Material Name]],Sheet2!B:C,2,0)</f>
        <v>ZTE1004</v>
      </c>
      <c r="M2535" s="225" t="str">
        <f>_xlfn.XLOOKUP(Logfile_S[[#This Row],[Material Name]],Sum_WH!E:E,Sum_WH!F:F,"",0)</f>
        <v>Pcs</v>
      </c>
      <c r="N2535" s="221">
        <v>5</v>
      </c>
      <c r="O2535" s="221"/>
      <c r="P2535" s="221"/>
      <c r="Q2535" s="221">
        <v>0</v>
      </c>
      <c r="R2535" s="221">
        <v>0</v>
      </c>
      <c r="S2535" s="221"/>
      <c r="T2535" s="221"/>
      <c r="U2535" s="221"/>
      <c r="V2535" s="221"/>
      <c r="W2535" s="221"/>
      <c r="X2535" s="221"/>
      <c r="Y2535" s="227"/>
      <c r="Z2535" s="227">
        <f>P2535</f>
        <v>0</v>
      </c>
      <c r="AA2535" s="276" t="e">
        <f>VLOOKUP(Logfile_S[[#This Row],[DO number]],DO_DB!G:I,3,0)</f>
        <v>#N/A</v>
      </c>
      <c r="AB2535" s="331" t="e">
        <f>EXACT(Logfile_S[[#This Row],[date pick]],Logfile_S[[#This Row],[Date]])</f>
        <v>#N/A</v>
      </c>
      <c r="AC253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36" spans="1:29" ht="14.5">
      <c r="A2536" s="220" t="str">
        <f>TEXT(ROW(A2536)-ROW($A$4),"000")</f>
        <v>2532</v>
      </c>
      <c r="B2536" s="221"/>
      <c r="C2536" s="221" t="s">
        <v>48</v>
      </c>
      <c r="D2536" s="221" t="s">
        <v>4126</v>
      </c>
      <c r="E2536" s="221" t="s">
        <v>3295</v>
      </c>
      <c r="F2536" s="221" t="s">
        <v>3299</v>
      </c>
      <c r="G2536" s="222">
        <v>45496</v>
      </c>
      <c r="H2536" s="223">
        <v>15.291666666666666</v>
      </c>
      <c r="I2536" s="221" t="s">
        <v>37</v>
      </c>
      <c r="J2536" s="221" t="s">
        <v>3023</v>
      </c>
      <c r="K2536" s="224" t="s">
        <v>3069</v>
      </c>
      <c r="L2536" s="225" t="str">
        <f>VLOOKUP(Logfile_S[[#This Row],[Material Name]],Sheet2!B:C,2,0)</f>
        <v>ZTE1001</v>
      </c>
      <c r="M2536" s="225" t="str">
        <f>_xlfn.XLOOKUP(Logfile_S[[#This Row],[Material Name]],Sum_WH!E:E,Sum_WH!F:F,"",0)</f>
        <v>Pcs</v>
      </c>
      <c r="N2536" s="221">
        <v>256</v>
      </c>
      <c r="O2536" s="221"/>
      <c r="P2536" s="221"/>
      <c r="Q2536" s="221">
        <v>0</v>
      </c>
      <c r="R2536" s="221">
        <v>0</v>
      </c>
      <c r="S2536" s="221"/>
      <c r="T2536" s="221"/>
      <c r="U2536" s="221"/>
      <c r="V2536" s="221"/>
      <c r="W2536" s="221"/>
      <c r="X2536" s="221"/>
      <c r="Y2536" s="227"/>
      <c r="Z2536" s="227">
        <f>P2536</f>
        <v>0</v>
      </c>
      <c r="AA2536" s="276" t="e">
        <f>VLOOKUP(Logfile_S[[#This Row],[DO number]],DO_DB!G:I,3,0)</f>
        <v>#N/A</v>
      </c>
      <c r="AB2536" s="331" t="e">
        <f>EXACT(Logfile_S[[#This Row],[date pick]],Logfile_S[[#This Row],[Date]])</f>
        <v>#N/A</v>
      </c>
      <c r="AC253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37" spans="1:29" ht="14.5">
      <c r="A2537" s="220" t="str">
        <f>TEXT(ROW(A2537)-ROW($A$4),"000")</f>
        <v>2533</v>
      </c>
      <c r="B2537" s="221"/>
      <c r="C2537" s="221" t="s">
        <v>48</v>
      </c>
      <c r="D2537" s="221" t="s">
        <v>4126</v>
      </c>
      <c r="E2537" s="221" t="s">
        <v>3295</v>
      </c>
      <c r="F2537" s="221" t="s">
        <v>3299</v>
      </c>
      <c r="G2537" s="222">
        <v>45496</v>
      </c>
      <c r="H2537" s="223">
        <v>15.291666666666666</v>
      </c>
      <c r="I2537" s="221" t="s">
        <v>37</v>
      </c>
      <c r="J2537" s="221" t="s">
        <v>3023</v>
      </c>
      <c r="K2537" s="224" t="s">
        <v>3071</v>
      </c>
      <c r="L2537" s="225" t="str">
        <f>VLOOKUP(Logfile_S[[#This Row],[Material Name]],Sheet2!B:C,2,0)</f>
        <v>ZTE1003</v>
      </c>
      <c r="M2537" s="225" t="str">
        <f>_xlfn.XLOOKUP(Logfile_S[[#This Row],[Material Name]],Sum_WH!E:E,Sum_WH!F:F,"",0)</f>
        <v>Pcs</v>
      </c>
      <c r="N2537" s="221">
        <v>9</v>
      </c>
      <c r="O2537" s="221"/>
      <c r="P2537" s="221"/>
      <c r="Q2537" s="221">
        <v>0</v>
      </c>
      <c r="R2537" s="221">
        <v>0</v>
      </c>
      <c r="S2537" s="221"/>
      <c r="T2537" s="221"/>
      <c r="U2537" s="221"/>
      <c r="V2537" s="221"/>
      <c r="W2537" s="221"/>
      <c r="X2537" s="221"/>
      <c r="Y2537" s="227"/>
      <c r="Z2537" s="227">
        <f>P2537</f>
        <v>0</v>
      </c>
      <c r="AA2537" s="276" t="e">
        <f>VLOOKUP(Logfile_S[[#This Row],[DO number]],DO_DB!G:I,3,0)</f>
        <v>#N/A</v>
      </c>
      <c r="AB2537" s="331" t="e">
        <f>EXACT(Logfile_S[[#This Row],[date pick]],Logfile_S[[#This Row],[Date]])</f>
        <v>#N/A</v>
      </c>
      <c r="AC253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38" spans="1:29" ht="14.5">
      <c r="A2538" s="220" t="str">
        <f>TEXT(ROW(A2538)-ROW($A$4),"000")</f>
        <v>2534</v>
      </c>
      <c r="B2538" s="221"/>
      <c r="C2538" s="221" t="s">
        <v>48</v>
      </c>
      <c r="D2538" s="221" t="s">
        <v>4166</v>
      </c>
      <c r="E2538" s="221" t="s">
        <v>3295</v>
      </c>
      <c r="F2538" s="221" t="s">
        <v>3299</v>
      </c>
      <c r="G2538" s="222">
        <v>45526</v>
      </c>
      <c r="H2538" s="223">
        <v>15.291666666666666</v>
      </c>
      <c r="I2538" s="221" t="s">
        <v>37</v>
      </c>
      <c r="J2538" s="221" t="s">
        <v>3023</v>
      </c>
      <c r="K2538" s="224" t="s">
        <v>3073</v>
      </c>
      <c r="L2538" s="225" t="str">
        <f>VLOOKUP(Logfile_S[[#This Row],[Material Name]],Sheet2!B:C,2,0)</f>
        <v>ZTE2001</v>
      </c>
      <c r="M2538" s="225" t="str">
        <f>_xlfn.XLOOKUP(Logfile_S[[#This Row],[Material Name]],Sum_WH!E:E,Sum_WH!F:F,"",0)</f>
        <v>Meter</v>
      </c>
      <c r="N2538" s="227">
        <v>3000</v>
      </c>
      <c r="O2538" s="221"/>
      <c r="P2538" s="221"/>
      <c r="Q2538" s="221">
        <v>0</v>
      </c>
      <c r="R2538" s="221">
        <v>0</v>
      </c>
      <c r="S2538" s="221"/>
      <c r="T2538" s="221"/>
      <c r="U2538" s="221"/>
      <c r="V2538" s="221"/>
      <c r="W2538" s="221"/>
      <c r="X2538" s="221"/>
      <c r="Y2538" s="227" t="s">
        <v>5006</v>
      </c>
      <c r="Z2538" s="227">
        <f>P2538</f>
        <v>0</v>
      </c>
      <c r="AA2538" s="276" t="e">
        <f>VLOOKUP(Logfile_S[[#This Row],[DO number]],DO_DB!G:I,3,0)</f>
        <v>#N/A</v>
      </c>
      <c r="AB2538" s="331" t="e">
        <f>EXACT(Logfile_S[[#This Row],[date pick]],Logfile_S[[#This Row],[Date]])</f>
        <v>#N/A</v>
      </c>
      <c r="AC253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24C-2024822-01</v>
      </c>
    </row>
    <row r="2539" spans="1:29" ht="14.5">
      <c r="A2539" s="237" t="str">
        <f>TEXT(ROW(A2539)-ROW($A$4),"000")</f>
        <v>2535</v>
      </c>
      <c r="B2539" s="221"/>
      <c r="C2539" s="221" t="s">
        <v>48</v>
      </c>
      <c r="D2539" s="221" t="s">
        <v>4166</v>
      </c>
      <c r="E2539" s="221" t="s">
        <v>3295</v>
      </c>
      <c r="F2539" s="221" t="s">
        <v>3299</v>
      </c>
      <c r="G2539" s="222">
        <v>45526</v>
      </c>
      <c r="H2539" s="223">
        <v>15.291666666666666</v>
      </c>
      <c r="I2539" s="221" t="s">
        <v>37</v>
      </c>
      <c r="J2539" s="221" t="s">
        <v>3023</v>
      </c>
      <c r="K2539" s="224" t="s">
        <v>3073</v>
      </c>
      <c r="L2539" s="225" t="str">
        <f>VLOOKUP(Logfile_S[[#This Row],[Material Name]],Sheet2!B:C,2,0)</f>
        <v>ZTE2001</v>
      </c>
      <c r="M2539" s="225" t="str">
        <f>_xlfn.XLOOKUP(Logfile_S[[#This Row],[Material Name]],Sum_WH!E:E,Sum_WH!F:F,"",0)</f>
        <v>Meter</v>
      </c>
      <c r="N2539" s="227">
        <v>3000</v>
      </c>
      <c r="O2539" s="221"/>
      <c r="P2539" s="221"/>
      <c r="Q2539" s="227"/>
      <c r="R2539" s="227"/>
      <c r="S2539" s="227"/>
      <c r="T2539" s="227"/>
      <c r="U2539" s="227"/>
      <c r="V2539" s="227"/>
      <c r="W2539" s="227"/>
      <c r="X2539" s="227"/>
      <c r="Y2539" s="238" t="s">
        <v>5007</v>
      </c>
      <c r="Z2539" s="227">
        <f>P2539</f>
        <v>0</v>
      </c>
      <c r="AA2539" s="276" t="e">
        <f>VLOOKUP(Logfile_S[[#This Row],[DO number]],DO_DB!G:I,3,0)</f>
        <v>#N/A</v>
      </c>
      <c r="AB2539" s="331" t="e">
        <f>EXACT(Logfile_S[[#This Row],[date pick]],Logfile_S[[#This Row],[Date]])</f>
        <v>#N/A</v>
      </c>
      <c r="AC253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24C-2024822-02</v>
      </c>
    </row>
    <row r="2540" spans="1:29" ht="14.5">
      <c r="A2540" s="237" t="str">
        <f>TEXT(ROW(A2540)-ROW($A$4),"000")</f>
        <v>2536</v>
      </c>
      <c r="B2540" s="221"/>
      <c r="C2540" s="221" t="s">
        <v>48</v>
      </c>
      <c r="D2540" s="221" t="s">
        <v>4166</v>
      </c>
      <c r="E2540" s="221" t="s">
        <v>3295</v>
      </c>
      <c r="F2540" s="221" t="s">
        <v>3299</v>
      </c>
      <c r="G2540" s="222">
        <v>45526</v>
      </c>
      <c r="H2540" s="223">
        <v>15.291666666666666</v>
      </c>
      <c r="I2540" s="221" t="s">
        <v>37</v>
      </c>
      <c r="J2540" s="221" t="s">
        <v>3023</v>
      </c>
      <c r="K2540" s="224" t="s">
        <v>3073</v>
      </c>
      <c r="L2540" s="225" t="str">
        <f>VLOOKUP(Logfile_S[[#This Row],[Material Name]],Sheet2!B:C,2,0)</f>
        <v>ZTE2001</v>
      </c>
      <c r="M2540" s="225" t="str">
        <f>_xlfn.XLOOKUP(Logfile_S[[#This Row],[Material Name]],Sum_WH!E:E,Sum_WH!F:F,"",0)</f>
        <v>Meter</v>
      </c>
      <c r="N2540" s="227">
        <v>3000</v>
      </c>
      <c r="O2540" s="221"/>
      <c r="P2540" s="221"/>
      <c r="Q2540" s="227"/>
      <c r="R2540" s="227"/>
      <c r="S2540" s="227"/>
      <c r="T2540" s="227"/>
      <c r="U2540" s="227"/>
      <c r="V2540" s="227"/>
      <c r="W2540" s="227"/>
      <c r="X2540" s="227"/>
      <c r="Y2540" s="238" t="s">
        <v>5008</v>
      </c>
      <c r="Z2540" s="227">
        <f>P2540</f>
        <v>0</v>
      </c>
      <c r="AA2540" s="276" t="e">
        <f>VLOOKUP(Logfile_S[[#This Row],[DO number]],DO_DB!G:I,3,0)</f>
        <v>#N/A</v>
      </c>
      <c r="AB2540" s="331" t="e">
        <f>EXACT(Logfile_S[[#This Row],[date pick]],Logfile_S[[#This Row],[Date]])</f>
        <v>#N/A</v>
      </c>
      <c r="AC254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24C-2024822-03</v>
      </c>
    </row>
    <row r="2541" spans="1:29" ht="14.5">
      <c r="A2541" s="220" t="str">
        <f>TEXT(ROW(A2541)-ROW($A$4),"000")</f>
        <v>2537</v>
      </c>
      <c r="B2541" s="221"/>
      <c r="C2541" s="221" t="s">
        <v>48</v>
      </c>
      <c r="D2541" s="221" t="s">
        <v>4170</v>
      </c>
      <c r="E2541" s="221" t="s">
        <v>3295</v>
      </c>
      <c r="F2541" s="221" t="s">
        <v>3299</v>
      </c>
      <c r="G2541" s="222">
        <v>45526</v>
      </c>
      <c r="H2541" s="223">
        <v>15.291666666666666</v>
      </c>
      <c r="I2541" s="221" t="s">
        <v>37</v>
      </c>
      <c r="J2541" s="221" t="s">
        <v>3023</v>
      </c>
      <c r="K2541" s="224" t="s">
        <v>13</v>
      </c>
      <c r="L2541" s="225" t="str">
        <f>VLOOKUP(Logfile_S[[#This Row],[Material Name]],Sheet2!B:C,2,0)</f>
        <v>ZTE2008</v>
      </c>
      <c r="M2541" s="225" t="str">
        <f>_xlfn.XLOOKUP(Logfile_S[[#This Row],[Material Name]],Sum_WH!E:E,Sum_WH!F:F,"",0)</f>
        <v>Pcs</v>
      </c>
      <c r="N2541" s="221">
        <v>90</v>
      </c>
      <c r="O2541" s="221"/>
      <c r="P2541" s="221"/>
      <c r="Q2541" s="221">
        <v>0</v>
      </c>
      <c r="R2541" s="221">
        <v>0</v>
      </c>
      <c r="S2541" s="221"/>
      <c r="T2541" s="221"/>
      <c r="U2541" s="221"/>
      <c r="V2541" s="221"/>
      <c r="W2541" s="221"/>
      <c r="X2541" s="221"/>
      <c r="Y2541" s="227"/>
      <c r="Z2541" s="227">
        <f>P2541</f>
        <v>0</v>
      </c>
      <c r="AA2541" s="276" t="e">
        <f>VLOOKUP(Logfile_S[[#This Row],[DO number]],DO_DB!G:I,3,0)</f>
        <v>#N/A</v>
      </c>
      <c r="AB2541" s="331" t="e">
        <f>EXACT(Logfile_S[[#This Row],[date pick]],Logfile_S[[#This Row],[Date]])</f>
        <v>#N/A</v>
      </c>
      <c r="AC254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42" spans="1:29" ht="14.5">
      <c r="A2542" s="220" t="str">
        <f>TEXT(ROW(A2542)-ROW($A$4),"000")</f>
        <v>2538</v>
      </c>
      <c r="B2542" s="221"/>
      <c r="C2542" s="221" t="s">
        <v>48</v>
      </c>
      <c r="D2542" s="221" t="s">
        <v>4170</v>
      </c>
      <c r="E2542" s="221" t="s">
        <v>3295</v>
      </c>
      <c r="F2542" s="221" t="s">
        <v>3299</v>
      </c>
      <c r="G2542" s="222">
        <v>45526</v>
      </c>
      <c r="H2542" s="223">
        <v>15.291666666666666</v>
      </c>
      <c r="I2542" s="221" t="s">
        <v>37</v>
      </c>
      <c r="J2542" s="221" t="s">
        <v>3023</v>
      </c>
      <c r="K2542" s="224" t="s">
        <v>14</v>
      </c>
      <c r="L2542" s="225" t="str">
        <f>VLOOKUP(Logfile_S[[#This Row],[Material Name]],Sheet2!B:C,2,0)</f>
        <v>ZTE2005</v>
      </c>
      <c r="M2542" s="225" t="str">
        <f>_xlfn.XLOOKUP(Logfile_S[[#This Row],[Material Name]],Sum_WH!E:E,Sum_WH!F:F,"",0)</f>
        <v>Pcs</v>
      </c>
      <c r="N2542" s="221">
        <v>5</v>
      </c>
      <c r="O2542" s="221"/>
      <c r="P2542" s="221"/>
      <c r="Q2542" s="221">
        <v>0</v>
      </c>
      <c r="R2542" s="221">
        <v>0</v>
      </c>
      <c r="S2542" s="221"/>
      <c r="T2542" s="221"/>
      <c r="U2542" s="221"/>
      <c r="V2542" s="221"/>
      <c r="W2542" s="221"/>
      <c r="X2542" s="221"/>
      <c r="Y2542" s="227"/>
      <c r="Z2542" s="227">
        <f>P2542</f>
        <v>0</v>
      </c>
      <c r="AA2542" s="276" t="e">
        <f>VLOOKUP(Logfile_S[[#This Row],[DO number]],DO_DB!G:I,3,0)</f>
        <v>#N/A</v>
      </c>
      <c r="AB2542" s="331" t="e">
        <f>EXACT(Logfile_S[[#This Row],[date pick]],Logfile_S[[#This Row],[Date]])</f>
        <v>#N/A</v>
      </c>
      <c r="AC254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43" spans="1:29" ht="14.5">
      <c r="A2543" s="220" t="str">
        <f>TEXT(ROW(A2543)-ROW($A$4),"000")</f>
        <v>2539</v>
      </c>
      <c r="B2543" s="221"/>
      <c r="C2543" s="221" t="s">
        <v>48</v>
      </c>
      <c r="D2543" s="221" t="s">
        <v>4170</v>
      </c>
      <c r="E2543" s="221" t="s">
        <v>3295</v>
      </c>
      <c r="F2543" s="221" t="s">
        <v>3299</v>
      </c>
      <c r="G2543" s="222">
        <v>45526</v>
      </c>
      <c r="H2543" s="223">
        <v>15.291666666666666</v>
      </c>
      <c r="I2543" s="221" t="s">
        <v>37</v>
      </c>
      <c r="J2543" s="221" t="s">
        <v>3023</v>
      </c>
      <c r="K2543" s="224" t="s">
        <v>3072</v>
      </c>
      <c r="L2543" s="225" t="str">
        <f>VLOOKUP(Logfile_S[[#This Row],[Material Name]],Sheet2!B:C,2,0)</f>
        <v>ZTE1004</v>
      </c>
      <c r="M2543" s="225" t="str">
        <f>_xlfn.XLOOKUP(Logfile_S[[#This Row],[Material Name]],Sum_WH!E:E,Sum_WH!F:F,"",0)</f>
        <v>Pcs</v>
      </c>
      <c r="N2543" s="221">
        <v>1</v>
      </c>
      <c r="O2543" s="221"/>
      <c r="P2543" s="221"/>
      <c r="Q2543" s="221">
        <v>0</v>
      </c>
      <c r="R2543" s="221">
        <v>0</v>
      </c>
      <c r="S2543" s="221"/>
      <c r="T2543" s="221"/>
      <c r="U2543" s="221"/>
      <c r="V2543" s="221"/>
      <c r="W2543" s="221"/>
      <c r="X2543" s="221"/>
      <c r="Y2543" s="227"/>
      <c r="Z2543" s="227">
        <f>P2543</f>
        <v>0</v>
      </c>
      <c r="AA2543" s="276" t="e">
        <f>VLOOKUP(Logfile_S[[#This Row],[DO number]],DO_DB!G:I,3,0)</f>
        <v>#N/A</v>
      </c>
      <c r="AB2543" s="331" t="e">
        <f>EXACT(Logfile_S[[#This Row],[date pick]],Logfile_S[[#This Row],[Date]])</f>
        <v>#N/A</v>
      </c>
      <c r="AC254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44" spans="1:29" ht="14.5">
      <c r="A2544" s="220" t="str">
        <f>TEXT(ROW(A2544)-ROW($A$4),"000")</f>
        <v>2540</v>
      </c>
      <c r="B2544" s="221"/>
      <c r="C2544" s="221" t="s">
        <v>48</v>
      </c>
      <c r="D2544" s="221" t="s">
        <v>4170</v>
      </c>
      <c r="E2544" s="221" t="s">
        <v>3295</v>
      </c>
      <c r="F2544" s="221" t="s">
        <v>3299</v>
      </c>
      <c r="G2544" s="222">
        <v>45526</v>
      </c>
      <c r="H2544" s="223">
        <v>15.291666666666666</v>
      </c>
      <c r="I2544" s="221" t="s">
        <v>37</v>
      </c>
      <c r="J2544" s="221" t="s">
        <v>3023</v>
      </c>
      <c r="K2544" s="224" t="s">
        <v>3070</v>
      </c>
      <c r="L2544" s="225" t="str">
        <f>VLOOKUP(Logfile_S[[#This Row],[Material Name]],Sheet2!B:C,2,0)</f>
        <v>ZTE1002</v>
      </c>
      <c r="M2544" s="225" t="str">
        <f>_xlfn.XLOOKUP(Logfile_S[[#This Row],[Material Name]],Sum_WH!E:E,Sum_WH!F:F,"",0)</f>
        <v>Pcs</v>
      </c>
      <c r="N2544" s="221">
        <v>19</v>
      </c>
      <c r="O2544" s="221"/>
      <c r="P2544" s="221"/>
      <c r="Q2544" s="221">
        <v>0</v>
      </c>
      <c r="R2544" s="221">
        <v>0</v>
      </c>
      <c r="S2544" s="221"/>
      <c r="T2544" s="221"/>
      <c r="U2544" s="221"/>
      <c r="V2544" s="221"/>
      <c r="W2544" s="221"/>
      <c r="X2544" s="221"/>
      <c r="Y2544" s="227"/>
      <c r="Z2544" s="227">
        <f>P2544</f>
        <v>0</v>
      </c>
      <c r="AA2544" s="276" t="e">
        <f>VLOOKUP(Logfile_S[[#This Row],[DO number]],DO_DB!G:I,3,0)</f>
        <v>#N/A</v>
      </c>
      <c r="AB2544" s="331" t="e">
        <f>EXACT(Logfile_S[[#This Row],[date pick]],Logfile_S[[#This Row],[Date]])</f>
        <v>#N/A</v>
      </c>
      <c r="AC254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45" spans="1:29" ht="14.5">
      <c r="A2545" s="220" t="str">
        <f>TEXT(ROW(A2545)-ROW($A$4),"000")</f>
        <v>2541</v>
      </c>
      <c r="B2545" s="221"/>
      <c r="C2545" s="221" t="s">
        <v>48</v>
      </c>
      <c r="D2545" s="221" t="s">
        <v>4170</v>
      </c>
      <c r="E2545" s="221" t="s">
        <v>3295</v>
      </c>
      <c r="F2545" s="221" t="s">
        <v>3299</v>
      </c>
      <c r="G2545" s="222">
        <v>45526</v>
      </c>
      <c r="H2545" s="223">
        <v>15.291666666666666</v>
      </c>
      <c r="I2545" s="221" t="s">
        <v>37</v>
      </c>
      <c r="J2545" s="221" t="s">
        <v>3023</v>
      </c>
      <c r="K2545" s="224" t="s">
        <v>3069</v>
      </c>
      <c r="L2545" s="225" t="str">
        <f>VLOOKUP(Logfile_S[[#This Row],[Material Name]],Sheet2!B:C,2,0)</f>
        <v>ZTE1001</v>
      </c>
      <c r="M2545" s="225" t="str">
        <f>_xlfn.XLOOKUP(Logfile_S[[#This Row],[Material Name]],Sum_WH!E:E,Sum_WH!F:F,"",0)</f>
        <v>Pcs</v>
      </c>
      <c r="N2545" s="221">
        <v>175</v>
      </c>
      <c r="O2545" s="221"/>
      <c r="P2545" s="221"/>
      <c r="Q2545" s="221">
        <v>0</v>
      </c>
      <c r="R2545" s="221">
        <v>0</v>
      </c>
      <c r="S2545" s="221"/>
      <c r="T2545" s="221"/>
      <c r="U2545" s="221"/>
      <c r="V2545" s="221"/>
      <c r="W2545" s="221"/>
      <c r="X2545" s="221"/>
      <c r="Y2545" s="227"/>
      <c r="Z2545" s="227">
        <f>P2545</f>
        <v>0</v>
      </c>
      <c r="AA2545" s="276" t="e">
        <f>VLOOKUP(Logfile_S[[#This Row],[DO number]],DO_DB!G:I,3,0)</f>
        <v>#N/A</v>
      </c>
      <c r="AB2545" s="331" t="e">
        <f>EXACT(Logfile_S[[#This Row],[date pick]],Logfile_S[[#This Row],[Date]])</f>
        <v>#N/A</v>
      </c>
      <c r="AC254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46" spans="1:29" ht="14.5">
      <c r="A2546" s="220" t="str">
        <f>TEXT(ROW(A2546)-ROW($A$4),"000")</f>
        <v>2542</v>
      </c>
      <c r="B2546" s="221"/>
      <c r="C2546" s="221" t="s">
        <v>48</v>
      </c>
      <c r="D2546" s="221" t="s">
        <v>4170</v>
      </c>
      <c r="E2546" s="221" t="s">
        <v>3295</v>
      </c>
      <c r="F2546" s="221" t="s">
        <v>3299</v>
      </c>
      <c r="G2546" s="222">
        <v>45526</v>
      </c>
      <c r="H2546" s="223">
        <v>15.291666666666666</v>
      </c>
      <c r="I2546" s="221" t="s">
        <v>37</v>
      </c>
      <c r="J2546" s="221" t="s">
        <v>3023</v>
      </c>
      <c r="K2546" s="224" t="s">
        <v>3071</v>
      </c>
      <c r="L2546" s="225" t="str">
        <f>VLOOKUP(Logfile_S[[#This Row],[Material Name]],Sheet2!B:C,2,0)</f>
        <v>ZTE1003</v>
      </c>
      <c r="M2546" s="225" t="str">
        <f>_xlfn.XLOOKUP(Logfile_S[[#This Row],[Material Name]],Sum_WH!E:E,Sum_WH!F:F,"",0)</f>
        <v>Pcs</v>
      </c>
      <c r="N2546" s="221">
        <v>15</v>
      </c>
      <c r="O2546" s="221"/>
      <c r="P2546" s="221"/>
      <c r="Q2546" s="221">
        <v>0</v>
      </c>
      <c r="R2546" s="221">
        <v>0</v>
      </c>
      <c r="S2546" s="221"/>
      <c r="T2546" s="221"/>
      <c r="U2546" s="221"/>
      <c r="V2546" s="221"/>
      <c r="W2546" s="221"/>
      <c r="X2546" s="221"/>
      <c r="Y2546" s="227"/>
      <c r="Z2546" s="227">
        <f>P2546</f>
        <v>0</v>
      </c>
      <c r="AA2546" s="276" t="e">
        <f>VLOOKUP(Logfile_S[[#This Row],[DO number]],DO_DB!G:I,3,0)</f>
        <v>#N/A</v>
      </c>
      <c r="AB2546" s="331" t="e">
        <f>EXACT(Logfile_S[[#This Row],[date pick]],Logfile_S[[#This Row],[Date]])</f>
        <v>#N/A</v>
      </c>
      <c r="AC254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47" spans="1:29" ht="14.5">
      <c r="A2547" s="220" t="str">
        <f>TEXT(ROW(A2547)-ROW($A$4),"000")</f>
        <v>2543</v>
      </c>
      <c r="B2547" s="221"/>
      <c r="C2547" s="221" t="s">
        <v>48</v>
      </c>
      <c r="D2547" s="221" t="s">
        <v>4181</v>
      </c>
      <c r="E2547" s="221" t="s">
        <v>3295</v>
      </c>
      <c r="F2547" s="221" t="s">
        <v>3299</v>
      </c>
      <c r="G2547" s="222">
        <v>45531</v>
      </c>
      <c r="H2547" s="223">
        <v>15.291666666666666</v>
      </c>
      <c r="I2547" s="221" t="s">
        <v>37</v>
      </c>
      <c r="J2547" s="221" t="s">
        <v>3023</v>
      </c>
      <c r="K2547" s="224" t="s">
        <v>3073</v>
      </c>
      <c r="L2547" s="225" t="str">
        <f>VLOOKUP(Logfile_S[[#This Row],[Material Name]],Sheet2!B:C,2,0)</f>
        <v>ZTE2001</v>
      </c>
      <c r="M2547" s="225" t="str">
        <f>_xlfn.XLOOKUP(Logfile_S[[#This Row],[Material Name]],Sum_WH!E:E,Sum_WH!F:F,"",0)</f>
        <v>Meter</v>
      </c>
      <c r="N2547" s="227">
        <v>3000</v>
      </c>
      <c r="O2547" s="221"/>
      <c r="P2547" s="221"/>
      <c r="Q2547" s="221">
        <v>0</v>
      </c>
      <c r="R2547" s="221">
        <v>0</v>
      </c>
      <c r="S2547" s="221"/>
      <c r="T2547" s="221"/>
      <c r="U2547" s="221"/>
      <c r="V2547" s="221"/>
      <c r="W2547" s="221"/>
      <c r="X2547" s="221"/>
      <c r="Y2547" s="236" t="s">
        <v>4951</v>
      </c>
      <c r="Z2547" s="227">
        <f>P2547</f>
        <v>0</v>
      </c>
      <c r="AA2547" s="276" t="e">
        <f>VLOOKUP(Logfile_S[[#This Row],[DO number]],DO_DB!G:I,3,0)</f>
        <v>#N/A</v>
      </c>
      <c r="AB2547" s="331" t="e">
        <f>EXACT(Logfile_S[[#This Row],[date pick]],Logfile_S[[#This Row],[Date]])</f>
        <v>#N/A</v>
      </c>
      <c r="AC254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24C-2024827-01</v>
      </c>
    </row>
    <row r="2548" spans="1:29" ht="14.5">
      <c r="A2548" s="237" t="str">
        <f>TEXT(ROW(A2548)-ROW($A$4),"000")</f>
        <v>2544</v>
      </c>
      <c r="B2548" s="221"/>
      <c r="C2548" s="227" t="s">
        <v>48</v>
      </c>
      <c r="D2548" s="227" t="s">
        <v>4181</v>
      </c>
      <c r="E2548" s="227" t="s">
        <v>3295</v>
      </c>
      <c r="F2548" s="227" t="s">
        <v>3299</v>
      </c>
      <c r="G2548" s="239">
        <v>45531</v>
      </c>
      <c r="H2548" s="240">
        <v>15.291666666666666</v>
      </c>
      <c r="I2548" s="227" t="s">
        <v>37</v>
      </c>
      <c r="J2548" s="227" t="s">
        <v>3023</v>
      </c>
      <c r="K2548" s="241" t="s">
        <v>3073</v>
      </c>
      <c r="L2548" s="225" t="str">
        <f>VLOOKUP(Logfile_S[[#This Row],[Material Name]],Sheet2!B:C,2,0)</f>
        <v>ZTE2001</v>
      </c>
      <c r="M2548" s="242" t="s">
        <v>20</v>
      </c>
      <c r="N2548" s="227">
        <v>3000</v>
      </c>
      <c r="O2548" s="227"/>
      <c r="P2548" s="227"/>
      <c r="Q2548" s="227">
        <v>0</v>
      </c>
      <c r="R2548" s="227">
        <v>0</v>
      </c>
      <c r="S2548" s="227"/>
      <c r="T2548" s="227"/>
      <c r="U2548" s="227"/>
      <c r="V2548" s="227"/>
      <c r="W2548" s="227"/>
      <c r="X2548" s="227"/>
      <c r="Y2548" s="227" t="s">
        <v>5009</v>
      </c>
      <c r="Z2548" s="227">
        <f>P2548</f>
        <v>0</v>
      </c>
      <c r="AA2548" s="276" t="e">
        <f>VLOOKUP(Logfile_S[[#This Row],[DO number]],DO_DB!G:I,3,0)</f>
        <v>#N/A</v>
      </c>
      <c r="AB2548" s="331" t="e">
        <f>EXACT(Logfile_S[[#This Row],[date pick]],Logfile_S[[#This Row],[Date]])</f>
        <v>#N/A</v>
      </c>
      <c r="AC254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24C-2024827-02</v>
      </c>
    </row>
    <row r="2549" spans="1:29" ht="14.5">
      <c r="A2549" s="220" t="str">
        <f>TEXT(ROW(A2549)-ROW($A$4),"000")</f>
        <v>2545</v>
      </c>
      <c r="B2549" s="221"/>
      <c r="C2549" s="221" t="s">
        <v>48</v>
      </c>
      <c r="D2549" s="221" t="s">
        <v>4180</v>
      </c>
      <c r="E2549" s="221" t="s">
        <v>3295</v>
      </c>
      <c r="F2549" s="221" t="s">
        <v>3299</v>
      </c>
      <c r="G2549" s="222">
        <v>45531</v>
      </c>
      <c r="H2549" s="223">
        <v>15.291666666666666</v>
      </c>
      <c r="I2549" s="221" t="s">
        <v>37</v>
      </c>
      <c r="J2549" s="221" t="s">
        <v>3023</v>
      </c>
      <c r="K2549" s="224" t="s">
        <v>3072</v>
      </c>
      <c r="L2549" s="225" t="str">
        <f>VLOOKUP(Logfile_S[[#This Row],[Material Name]],Sheet2!B:C,2,0)</f>
        <v>ZTE1004</v>
      </c>
      <c r="M2549" s="225" t="str">
        <f>_xlfn.XLOOKUP(Logfile_S[[#This Row],[Material Name]],Sum_WH!E:E,Sum_WH!F:F,"",0)</f>
        <v>Pcs</v>
      </c>
      <c r="N2549" s="221">
        <v>2</v>
      </c>
      <c r="O2549" s="221"/>
      <c r="P2549" s="221"/>
      <c r="Q2549" s="221">
        <v>0</v>
      </c>
      <c r="R2549" s="221">
        <v>0</v>
      </c>
      <c r="S2549" s="221"/>
      <c r="T2549" s="221"/>
      <c r="U2549" s="221"/>
      <c r="V2549" s="221"/>
      <c r="W2549" s="221"/>
      <c r="X2549" s="221"/>
      <c r="Y2549" s="227"/>
      <c r="Z2549" s="227">
        <f>P2549</f>
        <v>0</v>
      </c>
      <c r="AA2549" s="276" t="e">
        <f>VLOOKUP(Logfile_S[[#This Row],[DO number]],DO_DB!G:I,3,0)</f>
        <v>#N/A</v>
      </c>
      <c r="AB2549" s="331" t="e">
        <f>EXACT(Logfile_S[[#This Row],[date pick]],Logfile_S[[#This Row],[Date]])</f>
        <v>#N/A</v>
      </c>
      <c r="AC254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50" spans="1:29" ht="14.5">
      <c r="A2550" s="220" t="str">
        <f>TEXT(ROW(A2550)-ROW($A$4),"000")</f>
        <v>2546</v>
      </c>
      <c r="B2550" s="221"/>
      <c r="C2550" s="221" t="s">
        <v>48</v>
      </c>
      <c r="D2550" s="221" t="s">
        <v>4185</v>
      </c>
      <c r="E2550" s="221" t="s">
        <v>3295</v>
      </c>
      <c r="F2550" s="221" t="s">
        <v>3299</v>
      </c>
      <c r="G2550" s="222">
        <v>45532</v>
      </c>
      <c r="H2550" s="223">
        <v>15.291666666666666</v>
      </c>
      <c r="I2550" s="221" t="s">
        <v>37</v>
      </c>
      <c r="J2550" s="221" t="s">
        <v>3023</v>
      </c>
      <c r="K2550" s="224" t="s">
        <v>13</v>
      </c>
      <c r="L2550" s="225" t="str">
        <f>VLOOKUP(Logfile_S[[#This Row],[Material Name]],Sheet2!B:C,2,0)</f>
        <v>ZTE2008</v>
      </c>
      <c r="M2550" s="225" t="str">
        <f>_xlfn.XLOOKUP(Logfile_S[[#This Row],[Material Name]],Sum_WH!E:E,Sum_WH!F:F,"",0)</f>
        <v>Pcs</v>
      </c>
      <c r="N2550" s="221">
        <v>94</v>
      </c>
      <c r="O2550" s="221"/>
      <c r="P2550" s="221"/>
      <c r="Q2550" s="221">
        <v>0</v>
      </c>
      <c r="R2550" s="221">
        <v>0</v>
      </c>
      <c r="S2550" s="221"/>
      <c r="T2550" s="221"/>
      <c r="U2550" s="221"/>
      <c r="V2550" s="221"/>
      <c r="W2550" s="221"/>
      <c r="X2550" s="221"/>
      <c r="Y2550" s="227"/>
      <c r="Z2550" s="227">
        <f>P2550</f>
        <v>0</v>
      </c>
      <c r="AA2550" s="276" t="e">
        <f>VLOOKUP(Logfile_S[[#This Row],[DO number]],DO_DB!G:I,3,0)</f>
        <v>#N/A</v>
      </c>
      <c r="AB2550" s="331" t="e">
        <f>EXACT(Logfile_S[[#This Row],[date pick]],Logfile_S[[#This Row],[Date]])</f>
        <v>#N/A</v>
      </c>
      <c r="AC255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51" spans="1:29" ht="14.5">
      <c r="A2551" s="220" t="str">
        <f>TEXT(ROW(A2551)-ROW($A$4),"000")</f>
        <v>2547</v>
      </c>
      <c r="B2551" s="221"/>
      <c r="C2551" s="221" t="s">
        <v>48</v>
      </c>
      <c r="D2551" s="221" t="s">
        <v>4185</v>
      </c>
      <c r="E2551" s="221" t="s">
        <v>3295</v>
      </c>
      <c r="F2551" s="221" t="s">
        <v>3299</v>
      </c>
      <c r="G2551" s="222">
        <v>45532</v>
      </c>
      <c r="H2551" s="223">
        <v>15.291666666666666</v>
      </c>
      <c r="I2551" s="221" t="s">
        <v>37</v>
      </c>
      <c r="J2551" s="221" t="s">
        <v>3023</v>
      </c>
      <c r="K2551" s="224" t="s">
        <v>14</v>
      </c>
      <c r="L2551" s="225" t="str">
        <f>VLOOKUP(Logfile_S[[#This Row],[Material Name]],Sheet2!B:C,2,0)</f>
        <v>ZTE2005</v>
      </c>
      <c r="M2551" s="225" t="str">
        <f>_xlfn.XLOOKUP(Logfile_S[[#This Row],[Material Name]],Sum_WH!E:E,Sum_WH!F:F,"",0)</f>
        <v>Pcs</v>
      </c>
      <c r="N2551" s="221">
        <v>4</v>
      </c>
      <c r="O2551" s="221"/>
      <c r="P2551" s="221"/>
      <c r="Q2551" s="221">
        <v>0</v>
      </c>
      <c r="R2551" s="221">
        <v>0</v>
      </c>
      <c r="S2551" s="221"/>
      <c r="T2551" s="221"/>
      <c r="U2551" s="221"/>
      <c r="V2551" s="221"/>
      <c r="W2551" s="221"/>
      <c r="X2551" s="221"/>
      <c r="Y2551" s="227"/>
      <c r="Z2551" s="227">
        <f>P2551</f>
        <v>0</v>
      </c>
      <c r="AA2551" s="276" t="e">
        <f>VLOOKUP(Logfile_S[[#This Row],[DO number]],DO_DB!G:I,3,0)</f>
        <v>#N/A</v>
      </c>
      <c r="AB2551" s="331" t="e">
        <f>EXACT(Logfile_S[[#This Row],[date pick]],Logfile_S[[#This Row],[Date]])</f>
        <v>#N/A</v>
      </c>
      <c r="AC255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52" spans="1:29" ht="14.5">
      <c r="A2552" s="220" t="str">
        <f>TEXT(ROW(A2552)-ROW($A$4),"000")</f>
        <v>2548</v>
      </c>
      <c r="B2552" s="221"/>
      <c r="C2552" s="221" t="s">
        <v>48</v>
      </c>
      <c r="D2552" s="221" t="s">
        <v>4185</v>
      </c>
      <c r="E2552" s="221" t="s">
        <v>3295</v>
      </c>
      <c r="F2552" s="221" t="s">
        <v>3299</v>
      </c>
      <c r="G2552" s="222">
        <v>45532</v>
      </c>
      <c r="H2552" s="223">
        <v>15.291666666666666</v>
      </c>
      <c r="I2552" s="221" t="s">
        <v>37</v>
      </c>
      <c r="J2552" s="221" t="s">
        <v>3023</v>
      </c>
      <c r="K2552" s="224" t="s">
        <v>15</v>
      </c>
      <c r="L2552" s="225" t="str">
        <f>VLOOKUP(Logfile_S[[#This Row],[Material Name]],Sheet2!B:C,2,0)</f>
        <v>ZTE2006</v>
      </c>
      <c r="M2552" s="225" t="str">
        <f>_xlfn.XLOOKUP(Logfile_S[[#This Row],[Material Name]],Sum_WH!E:E,Sum_WH!F:F,"",0)</f>
        <v>Pcs</v>
      </c>
      <c r="N2552" s="221">
        <v>1</v>
      </c>
      <c r="O2552" s="221"/>
      <c r="P2552" s="221"/>
      <c r="Q2552" s="221">
        <v>0</v>
      </c>
      <c r="R2552" s="221">
        <v>0</v>
      </c>
      <c r="S2552" s="221"/>
      <c r="T2552" s="221"/>
      <c r="U2552" s="221"/>
      <c r="V2552" s="221"/>
      <c r="W2552" s="221"/>
      <c r="X2552" s="221"/>
      <c r="Y2552" s="227"/>
      <c r="Z2552" s="227">
        <f>P2552</f>
        <v>0</v>
      </c>
      <c r="AA2552" s="276" t="e">
        <f>VLOOKUP(Logfile_S[[#This Row],[DO number]],DO_DB!G:I,3,0)</f>
        <v>#N/A</v>
      </c>
      <c r="AB2552" s="331" t="e">
        <f>EXACT(Logfile_S[[#This Row],[date pick]],Logfile_S[[#This Row],[Date]])</f>
        <v>#N/A</v>
      </c>
      <c r="AC255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53" spans="1:29" ht="14.5">
      <c r="A2553" s="220" t="str">
        <f>TEXT(ROW(A2553)-ROW($A$4),"000")</f>
        <v>2549</v>
      </c>
      <c r="B2553" s="221"/>
      <c r="C2553" s="221" t="s">
        <v>48</v>
      </c>
      <c r="D2553" s="221" t="s">
        <v>4185</v>
      </c>
      <c r="E2553" s="221" t="s">
        <v>3295</v>
      </c>
      <c r="F2553" s="221" t="s">
        <v>3299</v>
      </c>
      <c r="G2553" s="222">
        <v>45532</v>
      </c>
      <c r="H2553" s="223">
        <v>15.291666666666666</v>
      </c>
      <c r="I2553" s="221" t="s">
        <v>37</v>
      </c>
      <c r="J2553" s="221" t="s">
        <v>3023</v>
      </c>
      <c r="K2553" s="224" t="s">
        <v>3072</v>
      </c>
      <c r="L2553" s="225" t="str">
        <f>VLOOKUP(Logfile_S[[#This Row],[Material Name]],Sheet2!B:C,2,0)</f>
        <v>ZTE1004</v>
      </c>
      <c r="M2553" s="225" t="str">
        <f>_xlfn.XLOOKUP(Logfile_S[[#This Row],[Material Name]],Sum_WH!E:E,Sum_WH!F:F,"",0)</f>
        <v>Pcs</v>
      </c>
      <c r="N2553" s="221">
        <v>2</v>
      </c>
      <c r="O2553" s="221"/>
      <c r="P2553" s="221"/>
      <c r="Q2553" s="221">
        <v>0</v>
      </c>
      <c r="R2553" s="221">
        <v>0</v>
      </c>
      <c r="S2553" s="221"/>
      <c r="T2553" s="221"/>
      <c r="U2553" s="221"/>
      <c r="V2553" s="221"/>
      <c r="W2553" s="221"/>
      <c r="X2553" s="221"/>
      <c r="Y2553" s="227"/>
      <c r="Z2553" s="227">
        <f>P2553</f>
        <v>0</v>
      </c>
      <c r="AA2553" s="276" t="e">
        <f>VLOOKUP(Logfile_S[[#This Row],[DO number]],DO_DB!G:I,3,0)</f>
        <v>#N/A</v>
      </c>
      <c r="AB2553" s="331" t="e">
        <f>EXACT(Logfile_S[[#This Row],[date pick]],Logfile_S[[#This Row],[Date]])</f>
        <v>#N/A</v>
      </c>
      <c r="AC255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54" spans="1:29" ht="14.5">
      <c r="A2554" s="220" t="str">
        <f>TEXT(ROW(A2554)-ROW($A$4),"000")</f>
        <v>2550</v>
      </c>
      <c r="B2554" s="221"/>
      <c r="C2554" s="221" t="s">
        <v>48</v>
      </c>
      <c r="D2554" s="221" t="s">
        <v>4185</v>
      </c>
      <c r="E2554" s="221" t="s">
        <v>3295</v>
      </c>
      <c r="F2554" s="221" t="s">
        <v>3299</v>
      </c>
      <c r="G2554" s="222">
        <v>45532</v>
      </c>
      <c r="H2554" s="223">
        <v>15.291666666666666</v>
      </c>
      <c r="I2554" s="221" t="s">
        <v>37</v>
      </c>
      <c r="J2554" s="221" t="s">
        <v>3023</v>
      </c>
      <c r="K2554" s="224" t="s">
        <v>3070</v>
      </c>
      <c r="L2554" s="225" t="str">
        <f>VLOOKUP(Logfile_S[[#This Row],[Material Name]],Sheet2!B:C,2,0)</f>
        <v>ZTE1002</v>
      </c>
      <c r="M2554" s="225" t="str">
        <f>_xlfn.XLOOKUP(Logfile_S[[#This Row],[Material Name]],Sum_WH!E:E,Sum_WH!F:F,"",0)</f>
        <v>Pcs</v>
      </c>
      <c r="N2554" s="221">
        <v>22</v>
      </c>
      <c r="O2554" s="221"/>
      <c r="P2554" s="221"/>
      <c r="Q2554" s="221">
        <v>0</v>
      </c>
      <c r="R2554" s="221">
        <v>0</v>
      </c>
      <c r="S2554" s="221"/>
      <c r="T2554" s="221"/>
      <c r="U2554" s="221"/>
      <c r="V2554" s="221"/>
      <c r="W2554" s="221"/>
      <c r="X2554" s="221"/>
      <c r="Y2554" s="227"/>
      <c r="Z2554" s="227">
        <f>P2554</f>
        <v>0</v>
      </c>
      <c r="AA2554" s="276" t="e">
        <f>VLOOKUP(Logfile_S[[#This Row],[DO number]],DO_DB!G:I,3,0)</f>
        <v>#N/A</v>
      </c>
      <c r="AB2554" s="331" t="e">
        <f>EXACT(Logfile_S[[#This Row],[date pick]],Logfile_S[[#This Row],[Date]])</f>
        <v>#N/A</v>
      </c>
      <c r="AC255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55" spans="1:29" ht="14.5">
      <c r="A2555" s="220" t="str">
        <f>TEXT(ROW(A2555)-ROW($A$4),"000")</f>
        <v>2551</v>
      </c>
      <c r="B2555" s="221"/>
      <c r="C2555" s="221" t="s">
        <v>48</v>
      </c>
      <c r="D2555" s="221" t="s">
        <v>4185</v>
      </c>
      <c r="E2555" s="221" t="s">
        <v>3295</v>
      </c>
      <c r="F2555" s="221" t="s">
        <v>3299</v>
      </c>
      <c r="G2555" s="222">
        <v>45532</v>
      </c>
      <c r="H2555" s="223">
        <v>15.291666666666666</v>
      </c>
      <c r="I2555" s="221" t="s">
        <v>37</v>
      </c>
      <c r="J2555" s="221" t="s">
        <v>3023</v>
      </c>
      <c r="K2555" s="224" t="s">
        <v>3069</v>
      </c>
      <c r="L2555" s="225" t="str">
        <f>VLOOKUP(Logfile_S[[#This Row],[Material Name]],Sheet2!B:C,2,0)</f>
        <v>ZTE1001</v>
      </c>
      <c r="M2555" s="225" t="str">
        <f>_xlfn.XLOOKUP(Logfile_S[[#This Row],[Material Name]],Sum_WH!E:E,Sum_WH!F:F,"",0)</f>
        <v>Pcs</v>
      </c>
      <c r="N2555" s="221">
        <v>109</v>
      </c>
      <c r="O2555" s="221"/>
      <c r="P2555" s="221"/>
      <c r="Q2555" s="221">
        <v>0</v>
      </c>
      <c r="R2555" s="221">
        <v>0</v>
      </c>
      <c r="S2555" s="221"/>
      <c r="T2555" s="221"/>
      <c r="U2555" s="221"/>
      <c r="V2555" s="221"/>
      <c r="W2555" s="221"/>
      <c r="X2555" s="221"/>
      <c r="Y2555" s="227"/>
      <c r="Z2555" s="227">
        <f>P2555</f>
        <v>0</v>
      </c>
      <c r="AA2555" s="276" t="e">
        <f>VLOOKUP(Logfile_S[[#This Row],[DO number]],DO_DB!G:I,3,0)</f>
        <v>#N/A</v>
      </c>
      <c r="AB2555" s="331" t="e">
        <f>EXACT(Logfile_S[[#This Row],[date pick]],Logfile_S[[#This Row],[Date]])</f>
        <v>#N/A</v>
      </c>
      <c r="AC255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56" spans="1:29" ht="14.5">
      <c r="A2556" s="220" t="str">
        <f>TEXT(ROW(A2556)-ROW($A$4),"000")</f>
        <v>2552</v>
      </c>
      <c r="B2556" s="221"/>
      <c r="C2556" s="221" t="s">
        <v>48</v>
      </c>
      <c r="D2556" s="221" t="s">
        <v>4185</v>
      </c>
      <c r="E2556" s="221" t="s">
        <v>3295</v>
      </c>
      <c r="F2556" s="221" t="s">
        <v>3299</v>
      </c>
      <c r="G2556" s="222">
        <v>45532</v>
      </c>
      <c r="H2556" s="223">
        <v>15.291666666666666</v>
      </c>
      <c r="I2556" s="221" t="s">
        <v>37</v>
      </c>
      <c r="J2556" s="221" t="s">
        <v>3023</v>
      </c>
      <c r="K2556" s="224" t="s">
        <v>3071</v>
      </c>
      <c r="L2556" s="225" t="str">
        <f>VLOOKUP(Logfile_S[[#This Row],[Material Name]],Sheet2!B:C,2,0)</f>
        <v>ZTE1003</v>
      </c>
      <c r="M2556" s="225" t="str">
        <f>_xlfn.XLOOKUP(Logfile_S[[#This Row],[Material Name]],Sum_WH!E:E,Sum_WH!F:F,"",0)</f>
        <v>Pcs</v>
      </c>
      <c r="N2556" s="221">
        <v>2</v>
      </c>
      <c r="O2556" s="221"/>
      <c r="P2556" s="221"/>
      <c r="Q2556" s="221">
        <v>0</v>
      </c>
      <c r="R2556" s="221">
        <v>0</v>
      </c>
      <c r="S2556" s="221"/>
      <c r="T2556" s="221"/>
      <c r="U2556" s="221"/>
      <c r="V2556" s="221"/>
      <c r="W2556" s="221"/>
      <c r="X2556" s="221"/>
      <c r="Y2556" s="227"/>
      <c r="Z2556" s="227">
        <f>P2556</f>
        <v>0</v>
      </c>
      <c r="AA2556" s="276" t="e">
        <f>VLOOKUP(Logfile_S[[#This Row],[DO number]],DO_DB!G:I,3,0)</f>
        <v>#N/A</v>
      </c>
      <c r="AB2556" s="331" t="e">
        <f>EXACT(Logfile_S[[#This Row],[date pick]],Logfile_S[[#This Row],[Date]])</f>
        <v>#N/A</v>
      </c>
      <c r="AC255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57" spans="1:29" ht="14.5">
      <c r="A2557" s="220" t="str">
        <f>TEXT(ROW(A2557)-ROW($A$4),"000")</f>
        <v>2553</v>
      </c>
      <c r="B2557" s="221"/>
      <c r="C2557" s="221" t="s">
        <v>48</v>
      </c>
      <c r="D2557" s="221" t="s">
        <v>4225</v>
      </c>
      <c r="E2557" s="221" t="s">
        <v>3295</v>
      </c>
      <c r="F2557" s="221" t="s">
        <v>3299</v>
      </c>
      <c r="G2557" s="222">
        <v>45555</v>
      </c>
      <c r="H2557" s="223">
        <v>15.291666666666666</v>
      </c>
      <c r="I2557" s="221" t="s">
        <v>37</v>
      </c>
      <c r="J2557" s="221" t="s">
        <v>3023</v>
      </c>
      <c r="K2557" s="224" t="s">
        <v>3073</v>
      </c>
      <c r="L2557" s="225" t="str">
        <f>VLOOKUP(Logfile_S[[#This Row],[Material Name]],Sheet2!B:C,2,0)</f>
        <v>ZTE2001</v>
      </c>
      <c r="M2557" s="225" t="str">
        <f>_xlfn.XLOOKUP(Logfile_S[[#This Row],[Material Name]],Sum_WH!E:E,Sum_WH!F:F,"",0)</f>
        <v>Meter</v>
      </c>
      <c r="N2557" s="221">
        <v>3000</v>
      </c>
      <c r="O2557" s="221"/>
      <c r="P2557" s="221"/>
      <c r="Q2557" s="221">
        <v>0</v>
      </c>
      <c r="R2557" s="221">
        <v>0</v>
      </c>
      <c r="S2557" s="221"/>
      <c r="T2557" s="221"/>
      <c r="U2557" s="221"/>
      <c r="V2557" s="221"/>
      <c r="W2557" s="221"/>
      <c r="X2557" s="221"/>
      <c r="Y2557" s="227" t="s">
        <v>5010</v>
      </c>
      <c r="Z2557" s="227">
        <f>P2557</f>
        <v>0</v>
      </c>
      <c r="AA2557" s="276" t="e">
        <f>VLOOKUP(Logfile_S[[#This Row],[DO number]],DO_DB!G:I,3,0)</f>
        <v>#N/A</v>
      </c>
      <c r="AB2557" s="331" t="e">
        <f>EXACT(Logfile_S[[#This Row],[date pick]],Logfile_S[[#This Row],[Date]])</f>
        <v>#N/A</v>
      </c>
      <c r="AC255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24C-2024920-01</v>
      </c>
    </row>
    <row r="2558" spans="1:29" ht="14.5">
      <c r="A2558" s="220" t="str">
        <f>TEXT(ROW(A2558)-ROW($A$4),"000")</f>
        <v>2554</v>
      </c>
      <c r="B2558" s="221"/>
      <c r="C2558" s="221" t="s">
        <v>48</v>
      </c>
      <c r="D2558" s="221" t="s">
        <v>4228</v>
      </c>
      <c r="E2558" s="221" t="s">
        <v>3295</v>
      </c>
      <c r="F2558" s="221" t="s">
        <v>3299</v>
      </c>
      <c r="G2558" s="222">
        <v>45555</v>
      </c>
      <c r="H2558" s="223">
        <v>15.291666666666666</v>
      </c>
      <c r="I2558" s="221" t="s">
        <v>37</v>
      </c>
      <c r="J2558" s="221" t="s">
        <v>3023</v>
      </c>
      <c r="K2558" s="224" t="s">
        <v>13</v>
      </c>
      <c r="L2558" s="225" t="str">
        <f>VLOOKUP(Logfile_S[[#This Row],[Material Name]],Sheet2!B:C,2,0)</f>
        <v>ZTE2008</v>
      </c>
      <c r="M2558" s="225" t="str">
        <f>_xlfn.XLOOKUP(Logfile_S[[#This Row],[Material Name]],Sum_WH!E:E,Sum_WH!F:F,"",0)</f>
        <v>Pcs</v>
      </c>
      <c r="N2558" s="221">
        <v>22</v>
      </c>
      <c r="O2558" s="221"/>
      <c r="P2558" s="221"/>
      <c r="Q2558" s="221">
        <v>0</v>
      </c>
      <c r="R2558" s="221">
        <v>0</v>
      </c>
      <c r="S2558" s="221"/>
      <c r="T2558" s="221"/>
      <c r="U2558" s="221"/>
      <c r="V2558" s="221"/>
      <c r="W2558" s="221"/>
      <c r="X2558" s="221"/>
      <c r="Y2558" s="227"/>
      <c r="Z2558" s="227">
        <f>P2558</f>
        <v>0</v>
      </c>
      <c r="AA2558" s="276" t="e">
        <f>VLOOKUP(Logfile_S[[#This Row],[DO number]],DO_DB!G:I,3,0)</f>
        <v>#N/A</v>
      </c>
      <c r="AB2558" s="331" t="e">
        <f>EXACT(Logfile_S[[#This Row],[date pick]],Logfile_S[[#This Row],[Date]])</f>
        <v>#N/A</v>
      </c>
      <c r="AC255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59" spans="1:29" ht="14.5">
      <c r="A2559" s="220" t="str">
        <f>TEXT(ROW(A2559)-ROW($A$4),"000")</f>
        <v>2555</v>
      </c>
      <c r="B2559" s="221"/>
      <c r="C2559" s="221" t="s">
        <v>48</v>
      </c>
      <c r="D2559" s="221" t="s">
        <v>4228</v>
      </c>
      <c r="E2559" s="221" t="s">
        <v>3295</v>
      </c>
      <c r="F2559" s="221" t="s">
        <v>3299</v>
      </c>
      <c r="G2559" s="222">
        <v>45555</v>
      </c>
      <c r="H2559" s="223">
        <v>15.291666666666666</v>
      </c>
      <c r="I2559" s="221" t="s">
        <v>37</v>
      </c>
      <c r="J2559" s="221" t="s">
        <v>3023</v>
      </c>
      <c r="K2559" s="224" t="s">
        <v>15</v>
      </c>
      <c r="L2559" s="225" t="str">
        <f>VLOOKUP(Logfile_S[[#This Row],[Material Name]],Sheet2!B:C,2,0)</f>
        <v>ZTE2006</v>
      </c>
      <c r="M2559" s="225" t="str">
        <f>_xlfn.XLOOKUP(Logfile_S[[#This Row],[Material Name]],Sum_WH!E:E,Sum_WH!F:F,"",0)</f>
        <v>Pcs</v>
      </c>
      <c r="N2559" s="221">
        <v>1</v>
      </c>
      <c r="O2559" s="221"/>
      <c r="P2559" s="221"/>
      <c r="Q2559" s="221">
        <v>0</v>
      </c>
      <c r="R2559" s="221">
        <v>0</v>
      </c>
      <c r="S2559" s="221"/>
      <c r="T2559" s="221"/>
      <c r="U2559" s="221"/>
      <c r="V2559" s="221"/>
      <c r="W2559" s="221"/>
      <c r="X2559" s="221"/>
      <c r="Y2559" s="227"/>
      <c r="Z2559" s="227">
        <f>P2559</f>
        <v>0</v>
      </c>
      <c r="AA2559" s="276" t="e">
        <f>VLOOKUP(Logfile_S[[#This Row],[DO number]],DO_DB!G:I,3,0)</f>
        <v>#N/A</v>
      </c>
      <c r="AB2559" s="331" t="e">
        <f>EXACT(Logfile_S[[#This Row],[date pick]],Logfile_S[[#This Row],[Date]])</f>
        <v>#N/A</v>
      </c>
      <c r="AC255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60" spans="1:29" ht="14.5">
      <c r="A2560" s="220" t="str">
        <f>TEXT(ROW(A2560)-ROW($A$4),"000")</f>
        <v>2556</v>
      </c>
      <c r="B2560" s="221"/>
      <c r="C2560" s="221" t="s">
        <v>48</v>
      </c>
      <c r="D2560" s="221" t="s">
        <v>4228</v>
      </c>
      <c r="E2560" s="221" t="s">
        <v>3295</v>
      </c>
      <c r="F2560" s="221" t="s">
        <v>3299</v>
      </c>
      <c r="G2560" s="222">
        <v>45555</v>
      </c>
      <c r="H2560" s="223">
        <v>15.291666666666666</v>
      </c>
      <c r="I2560" s="221" t="s">
        <v>37</v>
      </c>
      <c r="J2560" s="221" t="s">
        <v>3023</v>
      </c>
      <c r="K2560" s="224" t="s">
        <v>3072</v>
      </c>
      <c r="L2560" s="225" t="str">
        <f>VLOOKUP(Logfile_S[[#This Row],[Material Name]],Sheet2!B:C,2,0)</f>
        <v>ZTE1004</v>
      </c>
      <c r="M2560" s="225" t="str">
        <f>_xlfn.XLOOKUP(Logfile_S[[#This Row],[Material Name]],Sum_WH!E:E,Sum_WH!F:F,"",0)</f>
        <v>Pcs</v>
      </c>
      <c r="N2560" s="221">
        <v>4</v>
      </c>
      <c r="O2560" s="221"/>
      <c r="P2560" s="221"/>
      <c r="Q2560" s="221">
        <v>0</v>
      </c>
      <c r="R2560" s="221">
        <v>0</v>
      </c>
      <c r="S2560" s="221"/>
      <c r="T2560" s="221"/>
      <c r="U2560" s="221"/>
      <c r="V2560" s="221"/>
      <c r="W2560" s="221"/>
      <c r="X2560" s="221"/>
      <c r="Y2560" s="227"/>
      <c r="Z2560" s="227">
        <f>P2560</f>
        <v>0</v>
      </c>
      <c r="AA2560" s="276" t="e">
        <f>VLOOKUP(Logfile_S[[#This Row],[DO number]],DO_DB!G:I,3,0)</f>
        <v>#N/A</v>
      </c>
      <c r="AB2560" s="331" t="e">
        <f>EXACT(Logfile_S[[#This Row],[date pick]],Logfile_S[[#This Row],[Date]])</f>
        <v>#N/A</v>
      </c>
      <c r="AC256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61" spans="1:29" ht="14.5">
      <c r="A2561" s="220" t="str">
        <f>TEXT(ROW(A2561)-ROW($A$4),"000")</f>
        <v>2557</v>
      </c>
      <c r="B2561" s="221"/>
      <c r="C2561" s="221" t="s">
        <v>48</v>
      </c>
      <c r="D2561" s="221" t="s">
        <v>4228</v>
      </c>
      <c r="E2561" s="221" t="s">
        <v>3295</v>
      </c>
      <c r="F2561" s="221" t="s">
        <v>3299</v>
      </c>
      <c r="G2561" s="222">
        <v>45555</v>
      </c>
      <c r="H2561" s="223">
        <v>15.291666666666666</v>
      </c>
      <c r="I2561" s="221" t="s">
        <v>37</v>
      </c>
      <c r="J2561" s="221" t="s">
        <v>3023</v>
      </c>
      <c r="K2561" s="224" t="s">
        <v>3070</v>
      </c>
      <c r="L2561" s="225" t="str">
        <f>VLOOKUP(Logfile_S[[#This Row],[Material Name]],Sheet2!B:C,2,0)</f>
        <v>ZTE1002</v>
      </c>
      <c r="M2561" s="225" t="str">
        <f>_xlfn.XLOOKUP(Logfile_S[[#This Row],[Material Name]],Sum_WH!E:E,Sum_WH!F:F,"",0)</f>
        <v>Pcs</v>
      </c>
      <c r="N2561" s="221">
        <v>14</v>
      </c>
      <c r="O2561" s="221"/>
      <c r="P2561" s="221"/>
      <c r="Q2561" s="221">
        <v>0</v>
      </c>
      <c r="R2561" s="221">
        <v>0</v>
      </c>
      <c r="S2561" s="221"/>
      <c r="T2561" s="221"/>
      <c r="U2561" s="221"/>
      <c r="V2561" s="221"/>
      <c r="W2561" s="221"/>
      <c r="X2561" s="221"/>
      <c r="Y2561" s="227"/>
      <c r="Z2561" s="227">
        <f>P2561</f>
        <v>0</v>
      </c>
      <c r="AA2561" s="276" t="e">
        <f>VLOOKUP(Logfile_S[[#This Row],[DO number]],DO_DB!G:I,3,0)</f>
        <v>#N/A</v>
      </c>
      <c r="AB2561" s="331" t="e">
        <f>EXACT(Logfile_S[[#This Row],[date pick]],Logfile_S[[#This Row],[Date]])</f>
        <v>#N/A</v>
      </c>
      <c r="AC256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62" spans="1:29" ht="14.5">
      <c r="A2562" s="220" t="str">
        <f>TEXT(ROW(A2562)-ROW($A$4),"000")</f>
        <v>2558</v>
      </c>
      <c r="B2562" s="221"/>
      <c r="C2562" s="221" t="s">
        <v>48</v>
      </c>
      <c r="D2562" s="221" t="s">
        <v>4228</v>
      </c>
      <c r="E2562" s="221" t="s">
        <v>3295</v>
      </c>
      <c r="F2562" s="221" t="s">
        <v>3299</v>
      </c>
      <c r="G2562" s="222">
        <v>45555</v>
      </c>
      <c r="H2562" s="223">
        <v>15.291666666666666</v>
      </c>
      <c r="I2562" s="221" t="s">
        <v>37</v>
      </c>
      <c r="J2562" s="221" t="s">
        <v>3023</v>
      </c>
      <c r="K2562" s="224" t="s">
        <v>3069</v>
      </c>
      <c r="L2562" s="225" t="str">
        <f>VLOOKUP(Logfile_S[[#This Row],[Material Name]],Sheet2!B:C,2,0)</f>
        <v>ZTE1001</v>
      </c>
      <c r="M2562" s="225" t="str">
        <f>_xlfn.XLOOKUP(Logfile_S[[#This Row],[Material Name]],Sum_WH!E:E,Sum_WH!F:F,"",0)</f>
        <v>Pcs</v>
      </c>
      <c r="N2562" s="221">
        <v>126</v>
      </c>
      <c r="O2562" s="221"/>
      <c r="P2562" s="221"/>
      <c r="Q2562" s="221">
        <v>0</v>
      </c>
      <c r="R2562" s="221">
        <v>0</v>
      </c>
      <c r="S2562" s="221"/>
      <c r="T2562" s="221"/>
      <c r="U2562" s="221"/>
      <c r="V2562" s="221"/>
      <c r="W2562" s="221"/>
      <c r="X2562" s="221"/>
      <c r="Y2562" s="227"/>
      <c r="Z2562" s="227">
        <f>P2562</f>
        <v>0</v>
      </c>
      <c r="AA2562" s="276" t="e">
        <f>VLOOKUP(Logfile_S[[#This Row],[DO number]],DO_DB!G:I,3,0)</f>
        <v>#N/A</v>
      </c>
      <c r="AB2562" s="331" t="e">
        <f>EXACT(Logfile_S[[#This Row],[date pick]],Logfile_S[[#This Row],[Date]])</f>
        <v>#N/A</v>
      </c>
      <c r="AC256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63" spans="1:29" ht="14.5">
      <c r="A2563" s="220" t="str">
        <f>TEXT(ROW(A2563)-ROW($A$4),"000")</f>
        <v>2559</v>
      </c>
      <c r="B2563" s="221"/>
      <c r="C2563" s="221" t="s">
        <v>48</v>
      </c>
      <c r="D2563" s="221" t="s">
        <v>4255</v>
      </c>
      <c r="E2563" s="221" t="s">
        <v>3295</v>
      </c>
      <c r="F2563" s="221" t="s">
        <v>3299</v>
      </c>
      <c r="G2563" s="222">
        <v>45588</v>
      </c>
      <c r="H2563" s="223">
        <v>15.291666666666666</v>
      </c>
      <c r="I2563" s="221" t="s">
        <v>37</v>
      </c>
      <c r="J2563" s="221" t="s">
        <v>3023</v>
      </c>
      <c r="K2563" s="224" t="s">
        <v>3072</v>
      </c>
      <c r="L2563" s="225" t="str">
        <f>VLOOKUP(Logfile_S[[#This Row],[Material Name]],Sheet2!B:C,2,0)</f>
        <v>ZTE1004</v>
      </c>
      <c r="M2563" s="225" t="str">
        <f>_xlfn.XLOOKUP(Logfile_S[[#This Row],[Material Name]],Sum_WH!E:E,Sum_WH!F:F,"",0)</f>
        <v>Pcs</v>
      </c>
      <c r="N2563" s="221">
        <v>3</v>
      </c>
      <c r="O2563" s="221"/>
      <c r="P2563" s="221"/>
      <c r="Q2563" s="221">
        <v>0</v>
      </c>
      <c r="R2563" s="221">
        <v>0</v>
      </c>
      <c r="S2563" s="221"/>
      <c r="T2563" s="221"/>
      <c r="U2563" s="221"/>
      <c r="V2563" s="221"/>
      <c r="W2563" s="221"/>
      <c r="X2563" s="221"/>
      <c r="Y2563" s="227"/>
      <c r="Z2563" s="227">
        <f>P2563</f>
        <v>0</v>
      </c>
      <c r="AA2563" s="276" t="e">
        <f>VLOOKUP(Logfile_S[[#This Row],[DO number]],DO_DB!G:I,3,0)</f>
        <v>#N/A</v>
      </c>
      <c r="AB2563" s="331" t="e">
        <f>EXACT(Logfile_S[[#This Row],[date pick]],Logfile_S[[#This Row],[Date]])</f>
        <v>#N/A</v>
      </c>
      <c r="AC256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64" spans="1:29" ht="14.5">
      <c r="A2564" s="220" t="str">
        <f>TEXT(ROW(A2564)-ROW($A$4),"000")</f>
        <v>2560</v>
      </c>
      <c r="B2564" s="221"/>
      <c r="C2564" s="221" t="s">
        <v>48</v>
      </c>
      <c r="D2564" s="221" t="s">
        <v>4293</v>
      </c>
      <c r="E2564" s="221" t="s">
        <v>3295</v>
      </c>
      <c r="F2564" s="221" t="s">
        <v>3299</v>
      </c>
      <c r="G2564" s="222">
        <v>45623</v>
      </c>
      <c r="H2564" s="223">
        <v>15.291666666666666</v>
      </c>
      <c r="I2564" s="221" t="s">
        <v>3586</v>
      </c>
      <c r="J2564" s="221" t="s">
        <v>3023</v>
      </c>
      <c r="K2564" s="224" t="s">
        <v>3071</v>
      </c>
      <c r="L2564" s="225" t="str">
        <f>VLOOKUP(Logfile_S[[#This Row],[Material Name]],Sheet2!B:C,2,0)</f>
        <v>ZTE1003</v>
      </c>
      <c r="M2564" s="225" t="str">
        <f>_xlfn.XLOOKUP(Logfile_S[[#This Row],[Material Name]],Sum_WH!E:E,Sum_WH!F:F,"",0)</f>
        <v>Pcs</v>
      </c>
      <c r="N2564" s="221">
        <v>2</v>
      </c>
      <c r="O2564" s="221"/>
      <c r="P2564" s="221"/>
      <c r="Q2564" s="221">
        <v>0</v>
      </c>
      <c r="R2564" s="221">
        <v>0</v>
      </c>
      <c r="S2564" s="221"/>
      <c r="T2564" s="221"/>
      <c r="U2564" s="221"/>
      <c r="V2564" s="221"/>
      <c r="W2564" s="221"/>
      <c r="X2564" s="221" t="s">
        <v>3602</v>
      </c>
      <c r="Y2564" s="227"/>
      <c r="Z2564" s="227">
        <f>P2564</f>
        <v>0</v>
      </c>
      <c r="AA2564" s="276" t="e">
        <f>VLOOKUP(Logfile_S[[#This Row],[DO number]],DO_DB!G:I,3,0)</f>
        <v>#N/A</v>
      </c>
      <c r="AB2564" s="331" t="e">
        <f>EXACT(Logfile_S[[#This Row],[date pick]],Logfile_S[[#This Row],[Date]])</f>
        <v>#N/A</v>
      </c>
      <c r="AC256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65" spans="1:29" ht="14.5">
      <c r="A2565" s="220" t="str">
        <f>TEXT(ROW(A2565)-ROW($A$4),"000")</f>
        <v>2561</v>
      </c>
      <c r="B2565" s="221"/>
      <c r="C2565" s="221" t="s">
        <v>48</v>
      </c>
      <c r="D2565" s="221" t="s">
        <v>4305</v>
      </c>
      <c r="E2565" s="221" t="s">
        <v>3295</v>
      </c>
      <c r="F2565" s="221" t="s">
        <v>3299</v>
      </c>
      <c r="G2565" s="222">
        <v>45642</v>
      </c>
      <c r="H2565" s="223">
        <v>15.291666666666666</v>
      </c>
      <c r="I2565" s="221" t="s">
        <v>37</v>
      </c>
      <c r="J2565" s="221" t="s">
        <v>3023</v>
      </c>
      <c r="K2565" s="224" t="s">
        <v>3073</v>
      </c>
      <c r="L2565" s="225" t="str">
        <f>VLOOKUP(Logfile_S[[#This Row],[Material Name]],Sheet2!B:C,2,0)</f>
        <v>ZTE2001</v>
      </c>
      <c r="M2565" s="225" t="str">
        <f>_xlfn.XLOOKUP(Logfile_S[[#This Row],[Material Name]],Sum_WH!E:E,Sum_WH!F:F,"",0)</f>
        <v>Meter</v>
      </c>
      <c r="N2565" s="227">
        <v>3000</v>
      </c>
      <c r="O2565" s="221"/>
      <c r="P2565" s="221"/>
      <c r="Q2565" s="221">
        <v>0</v>
      </c>
      <c r="R2565" s="221">
        <v>0</v>
      </c>
      <c r="S2565" s="221"/>
      <c r="T2565" s="221"/>
      <c r="U2565" s="221"/>
      <c r="V2565" s="221"/>
      <c r="W2565" s="221"/>
      <c r="X2565" s="221"/>
      <c r="Y2565" s="227" t="s">
        <v>5334</v>
      </c>
      <c r="Z2565" s="227">
        <f>P2565</f>
        <v>0</v>
      </c>
      <c r="AA2565" s="276" t="e">
        <f>VLOOKUP(Logfile_S[[#This Row],[DO number]],DO_DB!G:I,3,0)</f>
        <v>#N/A</v>
      </c>
      <c r="AB2565" s="331" t="e">
        <f>EXACT(Logfile_S[[#This Row],[date pick]],Logfile_S[[#This Row],[Date]])</f>
        <v>#N/A</v>
      </c>
      <c r="AC256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24C-20241216-01</v>
      </c>
    </row>
    <row r="2566" spans="1:29" ht="14.5">
      <c r="A2566" s="237" t="str">
        <f>TEXT(ROW(A2566)-ROW($A$4),"000")</f>
        <v>2562</v>
      </c>
      <c r="B2566" s="221"/>
      <c r="C2566" s="227" t="s">
        <v>48</v>
      </c>
      <c r="D2566" s="227" t="s">
        <v>4305</v>
      </c>
      <c r="E2566" s="227" t="s">
        <v>3295</v>
      </c>
      <c r="F2566" s="227" t="s">
        <v>3299</v>
      </c>
      <c r="G2566" s="239">
        <v>45642</v>
      </c>
      <c r="H2566" s="240">
        <v>15.291666666666666</v>
      </c>
      <c r="I2566" s="227" t="s">
        <v>37</v>
      </c>
      <c r="J2566" s="227" t="s">
        <v>3023</v>
      </c>
      <c r="K2566" s="241" t="s">
        <v>3073</v>
      </c>
      <c r="L2566" s="225" t="str">
        <f>VLOOKUP(Logfile_S[[#This Row],[Material Name]],Sheet2!B:C,2,0)</f>
        <v>ZTE2001</v>
      </c>
      <c r="M2566" s="242" t="s">
        <v>20</v>
      </c>
      <c r="N2566" s="227">
        <v>3000</v>
      </c>
      <c r="O2566" s="227"/>
      <c r="P2566" s="227"/>
      <c r="Q2566" s="227">
        <v>0</v>
      </c>
      <c r="R2566" s="227">
        <v>0</v>
      </c>
      <c r="S2566" s="227"/>
      <c r="T2566" s="227"/>
      <c r="U2566" s="227"/>
      <c r="V2566" s="227"/>
      <c r="W2566" s="227"/>
      <c r="X2566" s="227"/>
      <c r="Y2566" s="227" t="s">
        <v>5335</v>
      </c>
      <c r="Z2566" s="227">
        <f>P2566</f>
        <v>0</v>
      </c>
      <c r="AA2566" s="276" t="e">
        <f>VLOOKUP(Logfile_S[[#This Row],[DO number]],DO_DB!G:I,3,0)</f>
        <v>#N/A</v>
      </c>
      <c r="AB2566" s="331" t="e">
        <f>EXACT(Logfile_S[[#This Row],[date pick]],Logfile_S[[#This Row],[Date]])</f>
        <v>#N/A</v>
      </c>
      <c r="AC256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24C-20241216-02</v>
      </c>
    </row>
    <row r="2567" spans="1:29" ht="14.5">
      <c r="A2567" s="220" t="str">
        <f>TEXT(ROW(A2567)-ROW($A$4),"000")</f>
        <v>2563</v>
      </c>
      <c r="B2567" s="221"/>
      <c r="C2567" s="221" t="s">
        <v>48</v>
      </c>
      <c r="D2567" s="221" t="s">
        <v>4308</v>
      </c>
      <c r="E2567" s="221" t="s">
        <v>3295</v>
      </c>
      <c r="F2567" s="221" t="s">
        <v>3299</v>
      </c>
      <c r="G2567" s="222">
        <v>45643</v>
      </c>
      <c r="H2567" s="223">
        <v>15.291666666666666</v>
      </c>
      <c r="I2567" s="221" t="s">
        <v>37</v>
      </c>
      <c r="J2567" s="221" t="s">
        <v>3023</v>
      </c>
      <c r="K2567" s="224" t="s">
        <v>13</v>
      </c>
      <c r="L2567" s="225" t="str">
        <f>VLOOKUP(Logfile_S[[#This Row],[Material Name]],Sheet2!B:C,2,0)</f>
        <v>ZTE2008</v>
      </c>
      <c r="M2567" s="225" t="str">
        <f>_xlfn.XLOOKUP(Logfile_S[[#This Row],[Material Name]],Sum_WH!E:E,Sum_WH!F:F,"",0)</f>
        <v>Pcs</v>
      </c>
      <c r="N2567" s="221">
        <v>49</v>
      </c>
      <c r="O2567" s="221"/>
      <c r="P2567" s="221"/>
      <c r="Q2567" s="221">
        <v>0</v>
      </c>
      <c r="R2567" s="221">
        <v>0</v>
      </c>
      <c r="S2567" s="221"/>
      <c r="T2567" s="221"/>
      <c r="U2567" s="221"/>
      <c r="V2567" s="221"/>
      <c r="W2567" s="221"/>
      <c r="X2567" s="221"/>
      <c r="Y2567" s="227"/>
      <c r="Z2567" s="227">
        <f>P2567</f>
        <v>0</v>
      </c>
      <c r="AA2567" s="276" t="e">
        <f>VLOOKUP(Logfile_S[[#This Row],[DO number]],DO_DB!G:I,3,0)</f>
        <v>#N/A</v>
      </c>
      <c r="AB2567" s="331" t="e">
        <f>EXACT(Logfile_S[[#This Row],[date pick]],Logfile_S[[#This Row],[Date]])</f>
        <v>#N/A</v>
      </c>
      <c r="AC256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68" spans="1:29" ht="14.5">
      <c r="A2568" s="220" t="str">
        <f>TEXT(ROW(A2568)-ROW($A$4),"000")</f>
        <v>2564</v>
      </c>
      <c r="B2568" s="221"/>
      <c r="C2568" s="221" t="s">
        <v>48</v>
      </c>
      <c r="D2568" s="221" t="s">
        <v>4308</v>
      </c>
      <c r="E2568" s="221" t="s">
        <v>3295</v>
      </c>
      <c r="F2568" s="221" t="s">
        <v>3299</v>
      </c>
      <c r="G2568" s="222">
        <v>45643</v>
      </c>
      <c r="H2568" s="223">
        <v>15.291666666666666</v>
      </c>
      <c r="I2568" s="221" t="s">
        <v>37</v>
      </c>
      <c r="J2568" s="221" t="s">
        <v>3023</v>
      </c>
      <c r="K2568" s="224" t="s">
        <v>14</v>
      </c>
      <c r="L2568" s="225" t="str">
        <f>VLOOKUP(Logfile_S[[#This Row],[Material Name]],Sheet2!B:C,2,0)</f>
        <v>ZTE2005</v>
      </c>
      <c r="M2568" s="225" t="str">
        <f>_xlfn.XLOOKUP(Logfile_S[[#This Row],[Material Name]],Sum_WH!E:E,Sum_WH!F:F,"",0)</f>
        <v>Pcs</v>
      </c>
      <c r="N2568" s="221">
        <v>3</v>
      </c>
      <c r="O2568" s="221"/>
      <c r="P2568" s="221"/>
      <c r="Q2568" s="221">
        <v>0</v>
      </c>
      <c r="R2568" s="221">
        <v>0</v>
      </c>
      <c r="S2568" s="221"/>
      <c r="T2568" s="221"/>
      <c r="U2568" s="221"/>
      <c r="V2568" s="221"/>
      <c r="W2568" s="221"/>
      <c r="X2568" s="221"/>
      <c r="Y2568" s="227"/>
      <c r="Z2568" s="227">
        <f>P2568</f>
        <v>0</v>
      </c>
      <c r="AA2568" s="276" t="e">
        <f>VLOOKUP(Logfile_S[[#This Row],[DO number]],DO_DB!G:I,3,0)</f>
        <v>#N/A</v>
      </c>
      <c r="AB2568" s="331" t="e">
        <f>EXACT(Logfile_S[[#This Row],[date pick]],Logfile_S[[#This Row],[Date]])</f>
        <v>#N/A</v>
      </c>
      <c r="AC256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69" spans="1:29" ht="14.5">
      <c r="A2569" s="220" t="str">
        <f>TEXT(ROW(A2569)-ROW($A$4),"000")</f>
        <v>2565</v>
      </c>
      <c r="B2569" s="221"/>
      <c r="C2569" s="221" t="s">
        <v>48</v>
      </c>
      <c r="D2569" s="221" t="s">
        <v>4308</v>
      </c>
      <c r="E2569" s="221" t="s">
        <v>3295</v>
      </c>
      <c r="F2569" s="221" t="s">
        <v>3299</v>
      </c>
      <c r="G2569" s="222">
        <v>45643</v>
      </c>
      <c r="H2569" s="223">
        <v>15.291666666666666</v>
      </c>
      <c r="I2569" s="221" t="s">
        <v>37</v>
      </c>
      <c r="J2569" s="221" t="s">
        <v>3023</v>
      </c>
      <c r="K2569" s="224" t="s">
        <v>3072</v>
      </c>
      <c r="L2569" s="225" t="str">
        <f>VLOOKUP(Logfile_S[[#This Row],[Material Name]],Sheet2!B:C,2,0)</f>
        <v>ZTE1004</v>
      </c>
      <c r="M2569" s="225" t="str">
        <f>_xlfn.XLOOKUP(Logfile_S[[#This Row],[Material Name]],Sum_WH!E:E,Sum_WH!F:F,"",0)</f>
        <v>Pcs</v>
      </c>
      <c r="N2569" s="221">
        <v>1</v>
      </c>
      <c r="O2569" s="221"/>
      <c r="P2569" s="221"/>
      <c r="Q2569" s="221">
        <v>0</v>
      </c>
      <c r="R2569" s="221">
        <v>0</v>
      </c>
      <c r="S2569" s="221"/>
      <c r="T2569" s="221"/>
      <c r="U2569" s="221"/>
      <c r="V2569" s="221"/>
      <c r="W2569" s="221"/>
      <c r="X2569" s="221"/>
      <c r="Y2569" s="227"/>
      <c r="Z2569" s="227">
        <f>P2569</f>
        <v>0</v>
      </c>
      <c r="AA2569" s="276" t="e">
        <f>VLOOKUP(Logfile_S[[#This Row],[DO number]],DO_DB!G:I,3,0)</f>
        <v>#N/A</v>
      </c>
      <c r="AB2569" s="331" t="e">
        <f>EXACT(Logfile_S[[#This Row],[date pick]],Logfile_S[[#This Row],[Date]])</f>
        <v>#N/A</v>
      </c>
      <c r="AC256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70" spans="1:29" ht="14.5">
      <c r="A2570" s="220" t="str">
        <f>TEXT(ROW(A2570)-ROW($A$4),"000")</f>
        <v>2566</v>
      </c>
      <c r="B2570" s="221"/>
      <c r="C2570" s="221" t="s">
        <v>48</v>
      </c>
      <c r="D2570" s="221" t="s">
        <v>4308</v>
      </c>
      <c r="E2570" s="221" t="s">
        <v>3295</v>
      </c>
      <c r="F2570" s="221" t="s">
        <v>3299</v>
      </c>
      <c r="G2570" s="222">
        <v>45643</v>
      </c>
      <c r="H2570" s="223">
        <v>15.291666666666666</v>
      </c>
      <c r="I2570" s="221" t="s">
        <v>37</v>
      </c>
      <c r="J2570" s="221" t="s">
        <v>3023</v>
      </c>
      <c r="K2570" s="224" t="s">
        <v>3070</v>
      </c>
      <c r="L2570" s="225" t="str">
        <f>VLOOKUP(Logfile_S[[#This Row],[Material Name]],Sheet2!B:C,2,0)</f>
        <v>ZTE1002</v>
      </c>
      <c r="M2570" s="225" t="str">
        <f>_xlfn.XLOOKUP(Logfile_S[[#This Row],[Material Name]],Sum_WH!E:E,Sum_WH!F:F,"",0)</f>
        <v>Pcs</v>
      </c>
      <c r="N2570" s="221">
        <v>16</v>
      </c>
      <c r="O2570" s="221"/>
      <c r="P2570" s="221"/>
      <c r="Q2570" s="221">
        <v>0</v>
      </c>
      <c r="R2570" s="221">
        <v>0</v>
      </c>
      <c r="S2570" s="221"/>
      <c r="T2570" s="221"/>
      <c r="U2570" s="221"/>
      <c r="V2570" s="221"/>
      <c r="W2570" s="221"/>
      <c r="X2570" s="221"/>
      <c r="Y2570" s="227"/>
      <c r="Z2570" s="227">
        <f>P2570</f>
        <v>0</v>
      </c>
      <c r="AA2570" s="276" t="e">
        <f>VLOOKUP(Logfile_S[[#This Row],[DO number]],DO_DB!G:I,3,0)</f>
        <v>#N/A</v>
      </c>
      <c r="AB2570" s="331" t="e">
        <f>EXACT(Logfile_S[[#This Row],[date pick]],Logfile_S[[#This Row],[Date]])</f>
        <v>#N/A</v>
      </c>
      <c r="AC257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71" spans="1:29" ht="14.5">
      <c r="A2571" s="220" t="str">
        <f>TEXT(ROW(A2571)-ROW($A$4),"000")</f>
        <v>2567</v>
      </c>
      <c r="B2571" s="221"/>
      <c r="C2571" s="221" t="s">
        <v>48</v>
      </c>
      <c r="D2571" s="221" t="s">
        <v>4308</v>
      </c>
      <c r="E2571" s="221" t="s">
        <v>3295</v>
      </c>
      <c r="F2571" s="221" t="s">
        <v>3299</v>
      </c>
      <c r="G2571" s="222">
        <v>45643</v>
      </c>
      <c r="H2571" s="223">
        <v>15.291666666666666</v>
      </c>
      <c r="I2571" s="221" t="s">
        <v>37</v>
      </c>
      <c r="J2571" s="221" t="s">
        <v>3023</v>
      </c>
      <c r="K2571" s="224" t="s">
        <v>3069</v>
      </c>
      <c r="L2571" s="225" t="str">
        <f>VLOOKUP(Logfile_S[[#This Row],[Material Name]],Sheet2!B:C,2,0)</f>
        <v>ZTE1001</v>
      </c>
      <c r="M2571" s="225" t="str">
        <f>_xlfn.XLOOKUP(Logfile_S[[#This Row],[Material Name]],Sum_WH!E:E,Sum_WH!F:F,"",0)</f>
        <v>Pcs</v>
      </c>
      <c r="N2571" s="221">
        <v>113</v>
      </c>
      <c r="O2571" s="221"/>
      <c r="P2571" s="221"/>
      <c r="Q2571" s="221">
        <v>0</v>
      </c>
      <c r="R2571" s="221">
        <v>0</v>
      </c>
      <c r="S2571" s="221"/>
      <c r="T2571" s="221"/>
      <c r="U2571" s="221"/>
      <c r="V2571" s="221"/>
      <c r="W2571" s="221"/>
      <c r="X2571" s="221"/>
      <c r="Y2571" s="227"/>
      <c r="Z2571" s="227">
        <f>P2571</f>
        <v>0</v>
      </c>
      <c r="AA2571" s="276" t="e">
        <f>VLOOKUP(Logfile_S[[#This Row],[DO number]],DO_DB!G:I,3,0)</f>
        <v>#N/A</v>
      </c>
      <c r="AB2571" s="331" t="e">
        <f>EXACT(Logfile_S[[#This Row],[date pick]],Logfile_S[[#This Row],[Date]])</f>
        <v>#N/A</v>
      </c>
      <c r="AC257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72" spans="1:29" ht="14.5">
      <c r="A2572" s="220" t="str">
        <f>TEXT(ROW(A2572)-ROW($A$4),"000")</f>
        <v>2568</v>
      </c>
      <c r="B2572" s="221"/>
      <c r="C2572" s="221" t="s">
        <v>48</v>
      </c>
      <c r="D2572" s="221" t="s">
        <v>4335</v>
      </c>
      <c r="E2572" s="221" t="s">
        <v>3295</v>
      </c>
      <c r="F2572" s="221" t="s">
        <v>3299</v>
      </c>
      <c r="G2572" s="222">
        <v>45708</v>
      </c>
      <c r="H2572" s="223">
        <v>15.291666666666666</v>
      </c>
      <c r="I2572" s="221" t="s">
        <v>37</v>
      </c>
      <c r="J2572" s="221" t="s">
        <v>3023</v>
      </c>
      <c r="K2572" s="224" t="s">
        <v>13</v>
      </c>
      <c r="L2572" s="225" t="str">
        <f>VLOOKUP(Logfile_S[[#This Row],[Material Name]],Sheet2!B:C,2,0)</f>
        <v>ZTE2008</v>
      </c>
      <c r="M2572" s="225" t="str">
        <f>_xlfn.XLOOKUP(Logfile_S[[#This Row],[Material Name]],Sum_WH!E:E,Sum_WH!F:F,"",0)</f>
        <v>Pcs</v>
      </c>
      <c r="N2572" s="221">
        <v>20</v>
      </c>
      <c r="O2572" s="221"/>
      <c r="P2572" s="221"/>
      <c r="Q2572" s="221">
        <v>0</v>
      </c>
      <c r="R2572" s="221">
        <v>0</v>
      </c>
      <c r="S2572" s="221"/>
      <c r="T2572" s="221"/>
      <c r="U2572" s="221"/>
      <c r="V2572" s="221"/>
      <c r="W2572" s="221"/>
      <c r="X2572" s="221"/>
      <c r="Y2572" s="227"/>
      <c r="Z2572" s="227">
        <f>P2572</f>
        <v>0</v>
      </c>
      <c r="AA2572" s="276" t="e">
        <f>VLOOKUP(Logfile_S[[#This Row],[DO number]],DO_DB!G:I,3,0)</f>
        <v>#N/A</v>
      </c>
      <c r="AB2572" s="331" t="e">
        <f>EXACT(Logfile_S[[#This Row],[date pick]],Logfile_S[[#This Row],[Date]])</f>
        <v>#N/A</v>
      </c>
      <c r="AC257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73" spans="1:29" ht="14.5">
      <c r="A2573" s="220" t="str">
        <f>TEXT(ROW(A2573)-ROW($A$4),"000")</f>
        <v>2569</v>
      </c>
      <c r="B2573" s="221"/>
      <c r="C2573" s="221" t="s">
        <v>48</v>
      </c>
      <c r="D2573" s="221" t="s">
        <v>4335</v>
      </c>
      <c r="E2573" s="221" t="s">
        <v>3295</v>
      </c>
      <c r="F2573" s="221" t="s">
        <v>3299</v>
      </c>
      <c r="G2573" s="222">
        <v>45708</v>
      </c>
      <c r="H2573" s="223">
        <v>15.291666666666666</v>
      </c>
      <c r="I2573" s="221" t="s">
        <v>37</v>
      </c>
      <c r="J2573" s="221" t="s">
        <v>3023</v>
      </c>
      <c r="K2573" s="224" t="s">
        <v>14</v>
      </c>
      <c r="L2573" s="225" t="str">
        <f>VLOOKUP(Logfile_S[[#This Row],[Material Name]],Sheet2!B:C,2,0)</f>
        <v>ZTE2005</v>
      </c>
      <c r="M2573" s="225" t="str">
        <f>_xlfn.XLOOKUP(Logfile_S[[#This Row],[Material Name]],Sum_WH!E:E,Sum_WH!F:F,"",0)</f>
        <v>Pcs</v>
      </c>
      <c r="N2573" s="221">
        <v>1</v>
      </c>
      <c r="O2573" s="221"/>
      <c r="P2573" s="221"/>
      <c r="Q2573" s="221">
        <v>0</v>
      </c>
      <c r="R2573" s="221">
        <v>0</v>
      </c>
      <c r="S2573" s="221"/>
      <c r="T2573" s="221"/>
      <c r="U2573" s="221"/>
      <c r="V2573" s="221"/>
      <c r="W2573" s="221"/>
      <c r="X2573" s="221"/>
      <c r="Y2573" s="227"/>
      <c r="Z2573" s="227">
        <f>P2573</f>
        <v>0</v>
      </c>
      <c r="AA2573" s="276" t="e">
        <f>VLOOKUP(Logfile_S[[#This Row],[DO number]],DO_DB!G:I,3,0)</f>
        <v>#N/A</v>
      </c>
      <c r="AB2573" s="331" t="e">
        <f>EXACT(Logfile_S[[#This Row],[date pick]],Logfile_S[[#This Row],[Date]])</f>
        <v>#N/A</v>
      </c>
      <c r="AC257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74" spans="1:29" ht="14.5">
      <c r="A2574" s="220" t="str">
        <f>TEXT(ROW(A2574)-ROW($A$4),"000")</f>
        <v>2570</v>
      </c>
      <c r="B2574" s="221"/>
      <c r="C2574" s="221" t="s">
        <v>48</v>
      </c>
      <c r="D2574" s="221" t="s">
        <v>4351</v>
      </c>
      <c r="E2574" s="221" t="s">
        <v>3295</v>
      </c>
      <c r="F2574" s="221" t="s">
        <v>3299</v>
      </c>
      <c r="G2574" s="222">
        <v>45735</v>
      </c>
      <c r="H2574" s="223">
        <v>15.291666666666666</v>
      </c>
      <c r="I2574" s="221" t="s">
        <v>37</v>
      </c>
      <c r="J2574" s="221" t="s">
        <v>3023</v>
      </c>
      <c r="K2574" s="224" t="s">
        <v>14</v>
      </c>
      <c r="L2574" s="225" t="str">
        <f>VLOOKUP(Logfile_S[[#This Row],[Material Name]],Sheet2!B:C,2,0)</f>
        <v>ZTE2005</v>
      </c>
      <c r="M2574" s="225" t="str">
        <f>_xlfn.XLOOKUP(Logfile_S[[#This Row],[Material Name]],Sum_WH!E:E,Sum_WH!F:F,"",0)</f>
        <v>Pcs</v>
      </c>
      <c r="N2574" s="221">
        <v>2</v>
      </c>
      <c r="O2574" s="221"/>
      <c r="P2574" s="221"/>
      <c r="Q2574" s="221">
        <v>0</v>
      </c>
      <c r="R2574" s="221">
        <v>0</v>
      </c>
      <c r="S2574" s="221"/>
      <c r="T2574" s="221"/>
      <c r="U2574" s="221"/>
      <c r="V2574" s="221"/>
      <c r="W2574" s="221"/>
      <c r="X2574" s="221"/>
      <c r="Y2574" s="227"/>
      <c r="Z2574" s="227">
        <f>P2574</f>
        <v>0</v>
      </c>
      <c r="AA2574" s="276" t="e">
        <f>VLOOKUP(Logfile_S[[#This Row],[DO number]],DO_DB!G:I,3,0)</f>
        <v>#N/A</v>
      </c>
      <c r="AB2574" s="331" t="e">
        <f>EXACT(Logfile_S[[#This Row],[date pick]],Logfile_S[[#This Row],[Date]])</f>
        <v>#N/A</v>
      </c>
      <c r="AC257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75" spans="1:29" ht="14.5">
      <c r="A2575" s="220" t="str">
        <f>TEXT(ROW(A2575)-ROW($A$4),"000")</f>
        <v>2571</v>
      </c>
      <c r="B2575" s="221"/>
      <c r="C2575" s="221" t="s">
        <v>48</v>
      </c>
      <c r="D2575" s="221" t="s">
        <v>4351</v>
      </c>
      <c r="E2575" s="221" t="s">
        <v>3295</v>
      </c>
      <c r="F2575" s="221" t="s">
        <v>3299</v>
      </c>
      <c r="G2575" s="222">
        <v>45735</v>
      </c>
      <c r="H2575" s="223">
        <v>15.291666666666666</v>
      </c>
      <c r="I2575" s="221" t="s">
        <v>37</v>
      </c>
      <c r="J2575" s="221" t="s">
        <v>3023</v>
      </c>
      <c r="K2575" s="224" t="s">
        <v>15</v>
      </c>
      <c r="L2575" s="225" t="str">
        <f>VLOOKUP(Logfile_S[[#This Row],[Material Name]],Sheet2!B:C,2,0)</f>
        <v>ZTE2006</v>
      </c>
      <c r="M2575" s="225" t="str">
        <f>_xlfn.XLOOKUP(Logfile_S[[#This Row],[Material Name]],Sum_WH!E:E,Sum_WH!F:F,"",0)</f>
        <v>Pcs</v>
      </c>
      <c r="N2575" s="221">
        <v>1</v>
      </c>
      <c r="O2575" s="221"/>
      <c r="P2575" s="221"/>
      <c r="Q2575" s="221">
        <v>0</v>
      </c>
      <c r="R2575" s="221">
        <v>0</v>
      </c>
      <c r="S2575" s="221"/>
      <c r="T2575" s="221"/>
      <c r="U2575" s="221"/>
      <c r="V2575" s="221"/>
      <c r="W2575" s="221"/>
      <c r="X2575" s="221"/>
      <c r="Y2575" s="227"/>
      <c r="Z2575" s="227">
        <f>P2575</f>
        <v>0</v>
      </c>
      <c r="AA2575" s="276" t="e">
        <f>VLOOKUP(Logfile_S[[#This Row],[DO number]],DO_DB!G:I,3,0)</f>
        <v>#N/A</v>
      </c>
      <c r="AB2575" s="331" t="e">
        <f>EXACT(Logfile_S[[#This Row],[date pick]],Logfile_S[[#This Row],[Date]])</f>
        <v>#N/A</v>
      </c>
      <c r="AC257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76" spans="1:29" ht="14.5">
      <c r="A2576" s="220" t="str">
        <f>TEXT(ROW(A2576)-ROW($A$4),"000")</f>
        <v>2572</v>
      </c>
      <c r="B2576" s="221"/>
      <c r="C2576" s="221" t="s">
        <v>48</v>
      </c>
      <c r="D2576" s="221" t="s">
        <v>4371</v>
      </c>
      <c r="E2576" s="221" t="s">
        <v>3295</v>
      </c>
      <c r="F2576" s="221" t="s">
        <v>3299</v>
      </c>
      <c r="G2576" s="222">
        <v>45821</v>
      </c>
      <c r="H2576" s="223">
        <v>15.291666666666666</v>
      </c>
      <c r="I2576" s="221" t="s">
        <v>37</v>
      </c>
      <c r="J2576" s="221" t="s">
        <v>3023</v>
      </c>
      <c r="K2576" s="224" t="s">
        <v>3073</v>
      </c>
      <c r="L2576" s="225" t="str">
        <f>VLOOKUP(Logfile_S[[#This Row],[Material Name]],Sheet2!B:C,2,0)</f>
        <v>ZTE2001</v>
      </c>
      <c r="M2576" s="225" t="str">
        <f>_xlfn.XLOOKUP(Logfile_S[[#This Row],[Material Name]],Sum_WH!E:E,Sum_WH!F:F,"",0)</f>
        <v>Meter</v>
      </c>
      <c r="N2576" s="227">
        <v>3000</v>
      </c>
      <c r="O2576" s="221"/>
      <c r="P2576" s="221"/>
      <c r="Q2576" s="221">
        <v>0</v>
      </c>
      <c r="R2576" s="221">
        <v>0</v>
      </c>
      <c r="S2576" s="221"/>
      <c r="T2576" s="221"/>
      <c r="U2576" s="221"/>
      <c r="V2576" s="221"/>
      <c r="W2576" s="221"/>
      <c r="X2576" s="221"/>
      <c r="Y2576" s="227" t="s">
        <v>5019</v>
      </c>
      <c r="Z2576" s="227">
        <f>P2576</f>
        <v>0</v>
      </c>
      <c r="AA2576" s="276" t="e">
        <f>VLOOKUP(Logfile_S[[#This Row],[DO number]],DO_DB!G:I,3,0)</f>
        <v>#N/A</v>
      </c>
      <c r="AB2576" s="331" t="e">
        <f>EXACT(Logfile_S[[#This Row],[date pick]],Logfile_S[[#This Row],[Date]])</f>
        <v>#N/A</v>
      </c>
      <c r="AC257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24C-2025613-01</v>
      </c>
    </row>
    <row r="2577" spans="1:29" ht="14.5">
      <c r="A2577" s="237" t="str">
        <f>TEXT(ROW(A2577)-ROW($A$4),"000")</f>
        <v>2573</v>
      </c>
      <c r="B2577" s="221"/>
      <c r="C2577" s="221" t="s">
        <v>48</v>
      </c>
      <c r="D2577" s="221" t="s">
        <v>4371</v>
      </c>
      <c r="E2577" s="221" t="s">
        <v>3295</v>
      </c>
      <c r="F2577" s="221" t="s">
        <v>3299</v>
      </c>
      <c r="G2577" s="222">
        <v>45821</v>
      </c>
      <c r="H2577" s="223">
        <v>15.291666666666666</v>
      </c>
      <c r="I2577" s="221" t="s">
        <v>37</v>
      </c>
      <c r="J2577" s="221" t="s">
        <v>3023</v>
      </c>
      <c r="K2577" s="224" t="s">
        <v>3073</v>
      </c>
      <c r="L2577" s="225" t="str">
        <f>VLOOKUP(Logfile_S[[#This Row],[Material Name]],Sheet2!B:C,2,0)</f>
        <v>ZTE2001</v>
      </c>
      <c r="M2577" s="225" t="str">
        <f>_xlfn.XLOOKUP(Logfile_S[[#This Row],[Material Name]],Sum_WH!E:E,Sum_WH!F:F,"",0)</f>
        <v>Meter</v>
      </c>
      <c r="N2577" s="227">
        <v>3000</v>
      </c>
      <c r="O2577" s="221"/>
      <c r="P2577" s="221"/>
      <c r="Q2577" s="227"/>
      <c r="R2577" s="227"/>
      <c r="S2577" s="227"/>
      <c r="T2577" s="227"/>
      <c r="U2577" s="227"/>
      <c r="V2577" s="227"/>
      <c r="W2577" s="227"/>
      <c r="X2577" s="227"/>
      <c r="Y2577" s="238" t="s">
        <v>5020</v>
      </c>
      <c r="Z2577" s="227">
        <f>P2577</f>
        <v>0</v>
      </c>
      <c r="AA2577" s="276" t="e">
        <f>VLOOKUP(Logfile_S[[#This Row],[DO number]],DO_DB!G:I,3,0)</f>
        <v>#N/A</v>
      </c>
      <c r="AB2577" s="331" t="e">
        <f>EXACT(Logfile_S[[#This Row],[date pick]],Logfile_S[[#This Row],[Date]])</f>
        <v>#N/A</v>
      </c>
      <c r="AC257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24C-2025613-02</v>
      </c>
    </row>
    <row r="2578" spans="1:29" ht="14.5">
      <c r="A2578" s="237" t="str">
        <f>TEXT(ROW(A2578)-ROW($A$4),"000")</f>
        <v>2574</v>
      </c>
      <c r="B2578" s="221"/>
      <c r="C2578" s="221" t="s">
        <v>48</v>
      </c>
      <c r="D2578" s="221" t="s">
        <v>4371</v>
      </c>
      <c r="E2578" s="221" t="s">
        <v>3295</v>
      </c>
      <c r="F2578" s="221" t="s">
        <v>3299</v>
      </c>
      <c r="G2578" s="222">
        <v>45821</v>
      </c>
      <c r="H2578" s="223">
        <v>15.291666666666666</v>
      </c>
      <c r="I2578" s="221" t="s">
        <v>37</v>
      </c>
      <c r="J2578" s="221" t="s">
        <v>3023</v>
      </c>
      <c r="K2578" s="224" t="s">
        <v>3073</v>
      </c>
      <c r="L2578" s="225" t="str">
        <f>VLOOKUP(Logfile_S[[#This Row],[Material Name]],Sheet2!B:C,2,0)</f>
        <v>ZTE2001</v>
      </c>
      <c r="M2578" s="225" t="str">
        <f>_xlfn.XLOOKUP(Logfile_S[[#This Row],[Material Name]],Sum_WH!E:E,Sum_WH!F:F,"",0)</f>
        <v>Meter</v>
      </c>
      <c r="N2578" s="227">
        <v>3000</v>
      </c>
      <c r="O2578" s="221"/>
      <c r="P2578" s="221"/>
      <c r="Q2578" s="227"/>
      <c r="R2578" s="227"/>
      <c r="S2578" s="227"/>
      <c r="T2578" s="227"/>
      <c r="U2578" s="227"/>
      <c r="V2578" s="227"/>
      <c r="W2578" s="227"/>
      <c r="X2578" s="227"/>
      <c r="Y2578" s="238" t="s">
        <v>5021</v>
      </c>
      <c r="Z2578" s="227">
        <f>P2578</f>
        <v>0</v>
      </c>
      <c r="AA2578" s="276" t="e">
        <f>VLOOKUP(Logfile_S[[#This Row],[DO number]],DO_DB!G:I,3,0)</f>
        <v>#N/A</v>
      </c>
      <c r="AB2578" s="331" t="e">
        <f>EXACT(Logfile_S[[#This Row],[date pick]],Logfile_S[[#This Row],[Date]])</f>
        <v>#N/A</v>
      </c>
      <c r="AC257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24C-2025613-03</v>
      </c>
    </row>
    <row r="2579" spans="1:29" ht="14.5">
      <c r="A2579" s="220" t="str">
        <f>TEXT(ROW(A2579)-ROW($A$4),"000")</f>
        <v>2575</v>
      </c>
      <c r="B2579" s="221"/>
      <c r="C2579" s="221" t="s">
        <v>48</v>
      </c>
      <c r="D2579" s="221" t="s">
        <v>4371</v>
      </c>
      <c r="E2579" s="221" t="s">
        <v>3295</v>
      </c>
      <c r="F2579" s="221" t="s">
        <v>3299</v>
      </c>
      <c r="G2579" s="222">
        <v>45821</v>
      </c>
      <c r="H2579" s="223">
        <v>15.291666666666666</v>
      </c>
      <c r="I2579" s="221" t="s">
        <v>37</v>
      </c>
      <c r="J2579" s="221" t="s">
        <v>3023</v>
      </c>
      <c r="K2579" s="224" t="s">
        <v>13</v>
      </c>
      <c r="L2579" s="225" t="str">
        <f>VLOOKUP(Logfile_S[[#This Row],[Material Name]],Sheet2!B:C,2,0)</f>
        <v>ZTE2008</v>
      </c>
      <c r="M2579" s="225" t="str">
        <f>_xlfn.XLOOKUP(Logfile_S[[#This Row],[Material Name]],Sum_WH!E:E,Sum_WH!F:F,"",0)</f>
        <v>Pcs</v>
      </c>
      <c r="N2579" s="221">
        <v>80</v>
      </c>
      <c r="O2579" s="221"/>
      <c r="P2579" s="221"/>
      <c r="Q2579" s="221">
        <v>0</v>
      </c>
      <c r="R2579" s="221">
        <v>0</v>
      </c>
      <c r="S2579" s="221"/>
      <c r="T2579" s="221"/>
      <c r="U2579" s="221"/>
      <c r="V2579" s="221"/>
      <c r="W2579" s="221"/>
      <c r="X2579" s="221"/>
      <c r="Y2579" s="227"/>
      <c r="Z2579" s="227">
        <f>P2579</f>
        <v>0</v>
      </c>
      <c r="AA2579" s="276" t="e">
        <f>VLOOKUP(Logfile_S[[#This Row],[DO number]],DO_DB!G:I,3,0)</f>
        <v>#N/A</v>
      </c>
      <c r="AB2579" s="331" t="e">
        <f>EXACT(Logfile_S[[#This Row],[date pick]],Logfile_S[[#This Row],[Date]])</f>
        <v>#N/A</v>
      </c>
      <c r="AC257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80" spans="1:29" ht="14.5">
      <c r="A2580" s="220" t="str">
        <f>TEXT(ROW(A2580)-ROW($A$4),"000")</f>
        <v>2576</v>
      </c>
      <c r="B2580" s="221"/>
      <c r="C2580" s="221" t="s">
        <v>48</v>
      </c>
      <c r="D2580" s="221" t="s">
        <v>4371</v>
      </c>
      <c r="E2580" s="221" t="s">
        <v>3295</v>
      </c>
      <c r="F2580" s="221" t="s">
        <v>3299</v>
      </c>
      <c r="G2580" s="222">
        <v>45821</v>
      </c>
      <c r="H2580" s="223">
        <v>15.291666666666666</v>
      </c>
      <c r="I2580" s="221" t="s">
        <v>37</v>
      </c>
      <c r="J2580" s="221" t="s">
        <v>3023</v>
      </c>
      <c r="K2580" s="224" t="s">
        <v>14</v>
      </c>
      <c r="L2580" s="225" t="str">
        <f>VLOOKUP(Logfile_S[[#This Row],[Material Name]],Sheet2!B:C,2,0)</f>
        <v>ZTE2005</v>
      </c>
      <c r="M2580" s="225" t="str">
        <f>_xlfn.XLOOKUP(Logfile_S[[#This Row],[Material Name]],Sum_WH!E:E,Sum_WH!F:F,"",0)</f>
        <v>Pcs</v>
      </c>
      <c r="N2580" s="221">
        <v>3</v>
      </c>
      <c r="O2580" s="221"/>
      <c r="P2580" s="221"/>
      <c r="Q2580" s="221">
        <v>0</v>
      </c>
      <c r="R2580" s="221">
        <v>0</v>
      </c>
      <c r="S2580" s="221"/>
      <c r="T2580" s="221"/>
      <c r="U2580" s="221"/>
      <c r="V2580" s="221"/>
      <c r="W2580" s="221"/>
      <c r="X2580" s="221"/>
      <c r="Y2580" s="227"/>
      <c r="Z2580" s="227">
        <f>P2580</f>
        <v>0</v>
      </c>
      <c r="AA2580" s="276" t="e">
        <f>VLOOKUP(Logfile_S[[#This Row],[DO number]],DO_DB!G:I,3,0)</f>
        <v>#N/A</v>
      </c>
      <c r="AB2580" s="331" t="e">
        <f>EXACT(Logfile_S[[#This Row],[date pick]],Logfile_S[[#This Row],[Date]])</f>
        <v>#N/A</v>
      </c>
      <c r="AC258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81" spans="1:29" ht="14.5">
      <c r="A2581" s="220" t="str">
        <f>TEXT(ROW(A2581)-ROW($A$4),"000")</f>
        <v>2577</v>
      </c>
      <c r="B2581" s="221"/>
      <c r="C2581" s="221" t="s">
        <v>48</v>
      </c>
      <c r="D2581" s="221" t="s">
        <v>4371</v>
      </c>
      <c r="E2581" s="221" t="s">
        <v>3295</v>
      </c>
      <c r="F2581" s="221" t="s">
        <v>3299</v>
      </c>
      <c r="G2581" s="222">
        <v>45821</v>
      </c>
      <c r="H2581" s="223">
        <v>15.291666666666666</v>
      </c>
      <c r="I2581" s="221" t="s">
        <v>37</v>
      </c>
      <c r="J2581" s="221" t="s">
        <v>3023</v>
      </c>
      <c r="K2581" s="224" t="s">
        <v>15</v>
      </c>
      <c r="L2581" s="225" t="str">
        <f>VLOOKUP(Logfile_S[[#This Row],[Material Name]],Sheet2!B:C,2,0)</f>
        <v>ZTE2006</v>
      </c>
      <c r="M2581" s="225" t="str">
        <f>_xlfn.XLOOKUP(Logfile_S[[#This Row],[Material Name]],Sum_WH!E:E,Sum_WH!F:F,"",0)</f>
        <v>Pcs</v>
      </c>
      <c r="N2581" s="221">
        <v>2</v>
      </c>
      <c r="O2581" s="221"/>
      <c r="P2581" s="221"/>
      <c r="Q2581" s="221">
        <v>0</v>
      </c>
      <c r="R2581" s="221">
        <v>0</v>
      </c>
      <c r="S2581" s="221"/>
      <c r="T2581" s="221"/>
      <c r="U2581" s="221"/>
      <c r="V2581" s="221"/>
      <c r="W2581" s="221"/>
      <c r="X2581" s="221"/>
      <c r="Y2581" s="227"/>
      <c r="Z2581" s="250">
        <f>P2581</f>
        <v>0</v>
      </c>
      <c r="AA2581" s="303" t="e">
        <f>VLOOKUP(Logfile_S[[#This Row],[DO number]],DO_DB!G:I,3,0)</f>
        <v>#N/A</v>
      </c>
      <c r="AB2581" s="331" t="e">
        <f>EXACT(Logfile_S[[#This Row],[date pick]],Logfile_S[[#This Row],[Date]])</f>
        <v>#N/A</v>
      </c>
      <c r="AC258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82" spans="1:29" ht="14.5">
      <c r="A2582" s="346" t="str">
        <f>TEXT(ROW(A2582)-ROW($A$4),"000")</f>
        <v>2578</v>
      </c>
      <c r="B2582" s="249"/>
      <c r="C2582" s="221" t="s">
        <v>48</v>
      </c>
      <c r="D2582" s="249" t="s">
        <v>4371</v>
      </c>
      <c r="E2582" s="249" t="s">
        <v>3295</v>
      </c>
      <c r="F2582" s="249" t="s">
        <v>3299</v>
      </c>
      <c r="G2582" s="347">
        <v>45821</v>
      </c>
      <c r="H2582" s="342">
        <v>15.291666666666666</v>
      </c>
      <c r="I2582" s="249" t="s">
        <v>37</v>
      </c>
      <c r="J2582" s="249" t="s">
        <v>3023</v>
      </c>
      <c r="K2582" s="224" t="s">
        <v>3070</v>
      </c>
      <c r="L2582" s="348" t="str">
        <f>VLOOKUP(Logfile_S[[#This Row],[Material Name]],Sheet2!B:C,2,0)</f>
        <v>ZTE1002</v>
      </c>
      <c r="M2582" s="348" t="str">
        <f>_xlfn.XLOOKUP(Logfile_S[[#This Row],[Material Name]],Sum_WH!E:E,Sum_WH!F:F,"",0)</f>
        <v>Pcs</v>
      </c>
      <c r="N2582" s="249">
        <v>159</v>
      </c>
      <c r="O2582" s="249"/>
      <c r="P2582" s="249"/>
      <c r="Q2582" s="249">
        <v>0</v>
      </c>
      <c r="R2582" s="249">
        <v>0</v>
      </c>
      <c r="S2582" s="249"/>
      <c r="T2582" s="249"/>
      <c r="U2582" s="249"/>
      <c r="V2582" s="249"/>
      <c r="W2582" s="249"/>
      <c r="X2582" s="249"/>
      <c r="Y2582" s="250"/>
      <c r="Z2582" s="250">
        <f>P2582</f>
        <v>0</v>
      </c>
      <c r="AA2582" s="303" t="e">
        <f>VLOOKUP(Logfile_S[[#This Row],[DO number]],DO_DB!G:I,3,0)</f>
        <v>#N/A</v>
      </c>
      <c r="AB2582" s="331" t="e">
        <f>EXACT(Logfile_S[[#This Row],[date pick]],Logfile_S[[#This Row],[Date]])</f>
        <v>#N/A</v>
      </c>
      <c r="AC258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83" spans="1:29" ht="14.5">
      <c r="A2583" s="220" t="str">
        <f>TEXT(ROW(A2583)-ROW($A$4),"000")</f>
        <v>2579</v>
      </c>
      <c r="B2583" s="221"/>
      <c r="C2583" s="221" t="s">
        <v>48</v>
      </c>
      <c r="D2583" s="249" t="s">
        <v>4371</v>
      </c>
      <c r="E2583" s="249" t="s">
        <v>3295</v>
      </c>
      <c r="F2583" s="249" t="s">
        <v>3299</v>
      </c>
      <c r="G2583" s="222">
        <v>45821</v>
      </c>
      <c r="H2583" s="223">
        <v>15.291666666666666</v>
      </c>
      <c r="I2583" s="221" t="s">
        <v>37</v>
      </c>
      <c r="J2583" s="221" t="s">
        <v>3023</v>
      </c>
      <c r="K2583" s="224" t="s">
        <v>3071</v>
      </c>
      <c r="L2583" s="348" t="str">
        <f>VLOOKUP(Logfile_S[[#This Row],[Material Name]],Sheet2!B:C,2,0)</f>
        <v>ZTE1003</v>
      </c>
      <c r="M2583" s="225" t="str">
        <f>_xlfn.XLOOKUP(Logfile_S[[#This Row],[Material Name]],Sum_WH!E:E,Sum_WH!F:F,"",0)</f>
        <v>Pcs</v>
      </c>
      <c r="N2583" s="221">
        <v>10</v>
      </c>
      <c r="O2583" s="249"/>
      <c r="P2583" s="249"/>
      <c r="Q2583" s="343">
        <v>0</v>
      </c>
      <c r="R2583" s="343">
        <v>0</v>
      </c>
      <c r="S2583" s="221"/>
      <c r="T2583" s="221"/>
      <c r="U2583" s="221"/>
      <c r="V2583" s="221"/>
      <c r="W2583" s="221"/>
      <c r="X2583" s="221"/>
      <c r="Y2583" s="227"/>
      <c r="Z2583" s="227">
        <f>P2583</f>
        <v>0</v>
      </c>
      <c r="AA2583" s="276" t="e">
        <f>VLOOKUP(Logfile_S[[#This Row],[DO number]],DO_DB!G:I,3,0)</f>
        <v>#N/A</v>
      </c>
      <c r="AB2583" s="331" t="e">
        <f>EXACT(Logfile_S[[#This Row],[date pick]],Logfile_S[[#This Row],[Date]])</f>
        <v>#N/A</v>
      </c>
      <c r="AC258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84" spans="1:29" ht="14.5">
      <c r="A2584" s="220" t="str">
        <f>TEXT(ROW(A2584)-ROW($A$4),"000")</f>
        <v>2580</v>
      </c>
      <c r="B2584" s="221"/>
      <c r="C2584" s="221" t="s">
        <v>48</v>
      </c>
      <c r="D2584" s="249" t="s">
        <v>4374</v>
      </c>
      <c r="E2584" s="249" t="s">
        <v>3295</v>
      </c>
      <c r="F2584" s="249" t="s">
        <v>3299</v>
      </c>
      <c r="G2584" s="222">
        <v>45826</v>
      </c>
      <c r="H2584" s="223">
        <v>15.291666666666666</v>
      </c>
      <c r="I2584" s="221" t="s">
        <v>37</v>
      </c>
      <c r="J2584" s="221" t="s">
        <v>3023</v>
      </c>
      <c r="K2584" s="224" t="s">
        <v>13</v>
      </c>
      <c r="L2584" s="348" t="str">
        <f>VLOOKUP(Logfile_S[[#This Row],[Material Name]],Sheet2!B:C,2,0)</f>
        <v>ZTE2008</v>
      </c>
      <c r="M2584" s="348" t="str">
        <f>_xlfn.XLOOKUP(Logfile_S[[#This Row],[Material Name]],Sum_WH!E:E,Sum_WH!F:F,"",0)</f>
        <v>Pcs</v>
      </c>
      <c r="N2584" s="221">
        <v>72</v>
      </c>
      <c r="O2584" s="249"/>
      <c r="P2584" s="249"/>
      <c r="Q2584" s="343">
        <v>0</v>
      </c>
      <c r="R2584" s="343">
        <v>0</v>
      </c>
      <c r="S2584" s="221"/>
      <c r="T2584" s="221"/>
      <c r="U2584" s="221"/>
      <c r="V2584" s="221"/>
      <c r="W2584" s="221"/>
      <c r="X2584" s="221"/>
      <c r="Y2584" s="227"/>
      <c r="Z2584" s="227">
        <f>P2584</f>
        <v>0</v>
      </c>
      <c r="AA2584" s="276" t="e">
        <f>VLOOKUP(Logfile_S[[#This Row],[DO number]],DO_DB!G:I,3,0)</f>
        <v>#N/A</v>
      </c>
      <c r="AB2584" s="331" t="e">
        <f>EXACT(Logfile_S[[#This Row],[date pick]],Logfile_S[[#This Row],[Date]])</f>
        <v>#N/A</v>
      </c>
      <c r="AC258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85" spans="1:29" ht="14.5">
      <c r="A2585" s="220" t="str">
        <f>TEXT(ROW(A2585)-ROW($A$4),"000")</f>
        <v>2581</v>
      </c>
      <c r="B2585" s="221"/>
      <c r="C2585" s="221" t="s">
        <v>48</v>
      </c>
      <c r="D2585" s="249" t="s">
        <v>4374</v>
      </c>
      <c r="E2585" s="249" t="s">
        <v>3295</v>
      </c>
      <c r="F2585" s="249" t="s">
        <v>3299</v>
      </c>
      <c r="G2585" s="222">
        <v>45826</v>
      </c>
      <c r="H2585" s="223">
        <v>15.291666666666666</v>
      </c>
      <c r="I2585" s="221" t="s">
        <v>37</v>
      </c>
      <c r="J2585" s="221" t="s">
        <v>3023</v>
      </c>
      <c r="K2585" s="224" t="s">
        <v>14</v>
      </c>
      <c r="L2585" s="348" t="str">
        <f>VLOOKUP(Logfile_S[[#This Row],[Material Name]],Sheet2!B:C,2,0)</f>
        <v>ZTE2005</v>
      </c>
      <c r="M2585" s="348" t="str">
        <f>_xlfn.XLOOKUP(Logfile_S[[#This Row],[Material Name]],Sum_WH!E:E,Sum_WH!F:F,"",0)</f>
        <v>Pcs</v>
      </c>
      <c r="N2585" s="221">
        <v>1</v>
      </c>
      <c r="O2585" s="249"/>
      <c r="P2585" s="249"/>
      <c r="Q2585" s="343">
        <v>0</v>
      </c>
      <c r="R2585" s="343">
        <v>0</v>
      </c>
      <c r="S2585" s="221"/>
      <c r="T2585" s="221"/>
      <c r="U2585" s="221"/>
      <c r="V2585" s="221"/>
      <c r="W2585" s="221"/>
      <c r="X2585" s="221"/>
      <c r="Y2585" s="227"/>
      <c r="Z2585" s="227">
        <f>P2585</f>
        <v>0</v>
      </c>
      <c r="AA2585" s="276" t="e">
        <f>VLOOKUP(Logfile_S[[#This Row],[DO number]],DO_DB!G:I,3,0)</f>
        <v>#N/A</v>
      </c>
      <c r="AB2585" s="331" t="e">
        <f>EXACT(Logfile_S[[#This Row],[date pick]],Logfile_S[[#This Row],[Date]])</f>
        <v>#N/A</v>
      </c>
      <c r="AC258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86" spans="1:29" ht="14.5">
      <c r="A2586" s="220" t="str">
        <f>TEXT(ROW(A2586)-ROW($A$4),"000")</f>
        <v>2582</v>
      </c>
      <c r="B2586" s="221"/>
      <c r="C2586" s="221" t="s">
        <v>48</v>
      </c>
      <c r="D2586" s="249" t="s">
        <v>4374</v>
      </c>
      <c r="E2586" s="249" t="s">
        <v>3295</v>
      </c>
      <c r="F2586" s="249" t="s">
        <v>3299</v>
      </c>
      <c r="G2586" s="222">
        <v>45826</v>
      </c>
      <c r="H2586" s="223">
        <v>15.291666666666666</v>
      </c>
      <c r="I2586" s="221" t="s">
        <v>37</v>
      </c>
      <c r="J2586" s="221" t="s">
        <v>3023</v>
      </c>
      <c r="K2586" s="224" t="s">
        <v>15</v>
      </c>
      <c r="L2586" s="348" t="str">
        <f>VLOOKUP(Logfile_S[[#This Row],[Material Name]],Sheet2!B:C,2,0)</f>
        <v>ZTE2006</v>
      </c>
      <c r="M2586" s="348" t="str">
        <f>_xlfn.XLOOKUP(Logfile_S[[#This Row],[Material Name]],Sum_WH!E:E,Sum_WH!F:F,"",0)</f>
        <v>Pcs</v>
      </c>
      <c r="N2586" s="221">
        <v>2</v>
      </c>
      <c r="O2586" s="249"/>
      <c r="P2586" s="249"/>
      <c r="Q2586" s="343">
        <v>0</v>
      </c>
      <c r="R2586" s="343">
        <v>0</v>
      </c>
      <c r="S2586" s="221"/>
      <c r="T2586" s="221"/>
      <c r="U2586" s="221"/>
      <c r="V2586" s="221"/>
      <c r="W2586" s="221"/>
      <c r="X2586" s="221"/>
      <c r="Y2586" s="227"/>
      <c r="Z2586" s="227">
        <f>P2586</f>
        <v>0</v>
      </c>
      <c r="AA2586" s="276" t="e">
        <f>VLOOKUP(Logfile_S[[#This Row],[DO number]],DO_DB!G:I,3,0)</f>
        <v>#N/A</v>
      </c>
      <c r="AB2586" s="331" t="e">
        <f>EXACT(Logfile_S[[#This Row],[date pick]],Logfile_S[[#This Row],[Date]])</f>
        <v>#N/A</v>
      </c>
      <c r="AC258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87" spans="1:29" ht="14.5">
      <c r="A2587" s="220" t="str">
        <f>TEXT(ROW(A2587)-ROW($A$4),"000")</f>
        <v>2583</v>
      </c>
      <c r="B2587" s="221"/>
      <c r="C2587" s="221" t="s">
        <v>48</v>
      </c>
      <c r="D2587" s="249" t="s">
        <v>4374</v>
      </c>
      <c r="E2587" s="249" t="s">
        <v>3295</v>
      </c>
      <c r="F2587" s="249" t="s">
        <v>3299</v>
      </c>
      <c r="G2587" s="222">
        <v>45826</v>
      </c>
      <c r="H2587" s="223">
        <v>15.291666666666666</v>
      </c>
      <c r="I2587" s="221" t="s">
        <v>37</v>
      </c>
      <c r="J2587" s="221" t="s">
        <v>3023</v>
      </c>
      <c r="K2587" s="224" t="s">
        <v>3072</v>
      </c>
      <c r="L2587" s="348" t="str">
        <f>VLOOKUP(Logfile_S[[#This Row],[Material Name]],Sheet2!B:C,2,0)</f>
        <v>ZTE1004</v>
      </c>
      <c r="M2587" s="348" t="str">
        <f>_xlfn.XLOOKUP(Logfile_S[[#This Row],[Material Name]],Sum_WH!E:E,Sum_WH!F:F,"",0)</f>
        <v>Pcs</v>
      </c>
      <c r="N2587" s="221">
        <v>1</v>
      </c>
      <c r="O2587" s="249"/>
      <c r="P2587" s="249"/>
      <c r="Q2587" s="343">
        <v>0</v>
      </c>
      <c r="R2587" s="343">
        <v>0</v>
      </c>
      <c r="S2587" s="221"/>
      <c r="T2587" s="221"/>
      <c r="U2587" s="221"/>
      <c r="V2587" s="221"/>
      <c r="W2587" s="221"/>
      <c r="X2587" s="221"/>
      <c r="Y2587" s="227"/>
      <c r="Z2587" s="227">
        <f>P2587</f>
        <v>0</v>
      </c>
      <c r="AA2587" s="276" t="e">
        <f>VLOOKUP(Logfile_S[[#This Row],[DO number]],DO_DB!G:I,3,0)</f>
        <v>#N/A</v>
      </c>
      <c r="AB2587" s="331" t="e">
        <f>EXACT(Logfile_S[[#This Row],[date pick]],Logfile_S[[#This Row],[Date]])</f>
        <v>#N/A</v>
      </c>
      <c r="AC258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88" spans="1:29" ht="14.5">
      <c r="A2588" s="220" t="str">
        <f>TEXT(ROW(A2588)-ROW($A$4),"000")</f>
        <v>2584</v>
      </c>
      <c r="B2588" s="221"/>
      <c r="C2588" s="221" t="s">
        <v>48</v>
      </c>
      <c r="D2588" s="249" t="s">
        <v>4374</v>
      </c>
      <c r="E2588" s="249" t="s">
        <v>3295</v>
      </c>
      <c r="F2588" s="249" t="s">
        <v>3299</v>
      </c>
      <c r="G2588" s="222">
        <v>45826</v>
      </c>
      <c r="H2588" s="223">
        <v>15.291666666666666</v>
      </c>
      <c r="I2588" s="221" t="s">
        <v>37</v>
      </c>
      <c r="J2588" s="221" t="s">
        <v>3023</v>
      </c>
      <c r="K2588" s="224" t="s">
        <v>3070</v>
      </c>
      <c r="L2588" s="348" t="str">
        <f>VLOOKUP(Logfile_S[[#This Row],[Material Name]],Sheet2!B:C,2,0)</f>
        <v>ZTE1002</v>
      </c>
      <c r="M2588" s="348" t="str">
        <f>_xlfn.XLOOKUP(Logfile_S[[#This Row],[Material Name]],Sum_WH!E:E,Sum_WH!F:F,"",0)</f>
        <v>Pcs</v>
      </c>
      <c r="N2588" s="221">
        <v>192</v>
      </c>
      <c r="O2588" s="249"/>
      <c r="P2588" s="249"/>
      <c r="Q2588" s="343">
        <v>0</v>
      </c>
      <c r="R2588" s="343">
        <v>0</v>
      </c>
      <c r="S2588" s="221"/>
      <c r="T2588" s="221"/>
      <c r="U2588" s="221"/>
      <c r="V2588" s="221"/>
      <c r="W2588" s="221"/>
      <c r="X2588" s="221"/>
      <c r="Y2588" s="227"/>
      <c r="Z2588" s="227">
        <f>P2588</f>
        <v>0</v>
      </c>
      <c r="AA2588" s="276" t="e">
        <f>VLOOKUP(Logfile_S[[#This Row],[DO number]],DO_DB!G:I,3,0)</f>
        <v>#N/A</v>
      </c>
      <c r="AB2588" s="331" t="e">
        <f>EXACT(Logfile_S[[#This Row],[date pick]],Logfile_S[[#This Row],[Date]])</f>
        <v>#N/A</v>
      </c>
      <c r="AC258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89" spans="1:29" ht="14.5">
      <c r="A2589" s="346" t="str">
        <f>TEXT(ROW(A2589)-ROW($A$4),"000")</f>
        <v>2585</v>
      </c>
      <c r="B2589" s="249"/>
      <c r="C2589" s="221" t="s">
        <v>48</v>
      </c>
      <c r="D2589" s="249" t="s">
        <v>4374</v>
      </c>
      <c r="E2589" s="249" t="s">
        <v>3295</v>
      </c>
      <c r="F2589" s="249" t="s">
        <v>3299</v>
      </c>
      <c r="G2589" s="222">
        <v>45826</v>
      </c>
      <c r="H2589" s="223">
        <v>15.291666666666666</v>
      </c>
      <c r="I2589" s="221" t="s">
        <v>37</v>
      </c>
      <c r="J2589" s="221" t="s">
        <v>3023</v>
      </c>
      <c r="K2589" s="224" t="s">
        <v>3071</v>
      </c>
      <c r="L2589" s="348" t="str">
        <f>VLOOKUP(Logfile_S[[#This Row],[Material Name]],Sheet2!B:C,2,0)</f>
        <v>ZTE1003</v>
      </c>
      <c r="M2589" s="348" t="str">
        <f>_xlfn.XLOOKUP(Logfile_S[[#This Row],[Material Name]],Sum_WH!E:E,Sum_WH!F:F,"",0)</f>
        <v>Pcs</v>
      </c>
      <c r="N2589" s="249">
        <v>12</v>
      </c>
      <c r="O2589" s="249"/>
      <c r="P2589" s="249"/>
      <c r="Q2589" s="343">
        <v>0</v>
      </c>
      <c r="R2589" s="343">
        <v>0</v>
      </c>
      <c r="S2589" s="249"/>
      <c r="T2589" s="249"/>
      <c r="U2589" s="249"/>
      <c r="V2589" s="249"/>
      <c r="W2589" s="249"/>
      <c r="X2589" s="249"/>
      <c r="Y2589" s="250"/>
      <c r="Z2589" s="250">
        <f>P2589</f>
        <v>0</v>
      </c>
      <c r="AA2589" s="303" t="e">
        <f>VLOOKUP(Logfile_S[[#This Row],[DO number]],DO_DB!G:I,3,0)</f>
        <v>#N/A</v>
      </c>
      <c r="AB2589" s="331" t="e">
        <f>EXACT(Logfile_S[[#This Row],[date pick]],Logfile_S[[#This Row],[Date]])</f>
        <v>#N/A</v>
      </c>
      <c r="AC258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90" spans="1:29" ht="14.5">
      <c r="A2590" s="346" t="str">
        <f>TEXT(ROW(A2590)-ROW($A$4),"000")</f>
        <v>2586</v>
      </c>
      <c r="B2590" s="249"/>
      <c r="C2590" s="249" t="s">
        <v>48</v>
      </c>
      <c r="D2590" s="249" t="s">
        <v>4393</v>
      </c>
      <c r="E2590" s="249" t="s">
        <v>3295</v>
      </c>
      <c r="F2590" s="249" t="s">
        <v>3299</v>
      </c>
      <c r="G2590" s="347">
        <v>45850</v>
      </c>
      <c r="H2590" s="342">
        <v>15.291666666666666</v>
      </c>
      <c r="I2590" s="249" t="s">
        <v>37</v>
      </c>
      <c r="J2590" s="249" t="s">
        <v>3023</v>
      </c>
      <c r="K2590" s="224" t="s">
        <v>3072</v>
      </c>
      <c r="L2590" s="348" t="str">
        <f>VLOOKUP(Logfile_S[[#This Row],[Material Name]],Sheet2!B:C,2,0)</f>
        <v>ZTE1004</v>
      </c>
      <c r="M2590" s="348" t="str">
        <f>_xlfn.XLOOKUP(Logfile_S[[#This Row],[Material Name]],Sum_WH!E:E,Sum_WH!F:F,"",0)</f>
        <v>Pcs</v>
      </c>
      <c r="N2590" s="249">
        <v>1</v>
      </c>
      <c r="O2590" s="249"/>
      <c r="P2590" s="249"/>
      <c r="Q2590" s="249">
        <v>0</v>
      </c>
      <c r="R2590" s="249">
        <v>0</v>
      </c>
      <c r="S2590" s="249"/>
      <c r="T2590" s="221"/>
      <c r="U2590" s="221"/>
      <c r="V2590" s="221"/>
      <c r="W2590" s="221"/>
      <c r="X2590" s="249"/>
      <c r="Y2590" s="250"/>
      <c r="Z2590" s="250">
        <f>P2590</f>
        <v>0</v>
      </c>
      <c r="AA2590" s="303" t="e">
        <f>VLOOKUP(Logfile_S[[#This Row],[DO number]],DO_DB!G:I,3,0)</f>
        <v>#N/A</v>
      </c>
      <c r="AB2590" s="331" t="e">
        <f>EXACT(Logfile_S[[#This Row],[date pick]],Logfile_S[[#This Row],[Date]])</f>
        <v>#N/A</v>
      </c>
      <c r="AC259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91" spans="1:29" ht="14.5">
      <c r="A2591" s="220" t="str">
        <f>TEXT(ROW(A2591)-ROW($A$4),"000")</f>
        <v>2587</v>
      </c>
      <c r="B2591" s="221"/>
      <c r="C2591" s="249" t="s">
        <v>48</v>
      </c>
      <c r="D2591" s="249" t="s">
        <v>4423</v>
      </c>
      <c r="E2591" s="249" t="s">
        <v>3295</v>
      </c>
      <c r="F2591" s="249" t="s">
        <v>3299</v>
      </c>
      <c r="G2591" s="347">
        <v>45899</v>
      </c>
      <c r="H2591" s="342">
        <v>0.64637731481481486</v>
      </c>
      <c r="I2591" s="249" t="s">
        <v>37</v>
      </c>
      <c r="J2591" s="249" t="s">
        <v>3023</v>
      </c>
      <c r="K2591" s="224" t="s">
        <v>3073</v>
      </c>
      <c r="L2591" s="225" t="str">
        <f>VLOOKUP(Logfile_S[[#This Row],[Material Name]],Sheet2!B:C,2,0)</f>
        <v>ZTE2001</v>
      </c>
      <c r="M2591" s="348" t="str">
        <f>_xlfn.XLOOKUP(Logfile_S[[#This Row],[Material Name]],Sum_WH!E:E,Sum_WH!F:F,"",0)</f>
        <v>Meter</v>
      </c>
      <c r="N2591" s="227">
        <v>3000</v>
      </c>
      <c r="O2591" s="249"/>
      <c r="P2591" s="249"/>
      <c r="Q2591" s="221" t="s">
        <v>3260</v>
      </c>
      <c r="R2591" s="221" t="s">
        <v>3260</v>
      </c>
      <c r="S2591" s="221"/>
      <c r="T2591" s="221"/>
      <c r="U2591" s="221"/>
      <c r="V2591" s="221"/>
      <c r="W2591" s="221"/>
      <c r="X2591" s="221"/>
      <c r="Y2591" s="227" t="s">
        <v>4953</v>
      </c>
      <c r="Z2591" s="227">
        <f>P2591</f>
        <v>0</v>
      </c>
      <c r="AA2591" s="276" t="e">
        <f>VLOOKUP(Logfile_S[[#This Row],[DO number]],DO_DB!G:I,3,0)</f>
        <v>#N/A</v>
      </c>
      <c r="AB2591" s="331" t="e">
        <f>EXACT(Logfile_S[[#This Row],[date pick]],Logfile_S[[#This Row],[Date]])</f>
        <v>#N/A</v>
      </c>
      <c r="AC259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24C-2025830-01</v>
      </c>
    </row>
    <row r="2592" spans="1:29" ht="14.5">
      <c r="A2592" s="237" t="str">
        <f>TEXT(ROW(A2592)-ROW($A$4),"000")</f>
        <v>2588</v>
      </c>
      <c r="B2592" s="221"/>
      <c r="C2592" s="227" t="s">
        <v>48</v>
      </c>
      <c r="D2592" s="227" t="s">
        <v>4423</v>
      </c>
      <c r="E2592" s="227" t="s">
        <v>3295</v>
      </c>
      <c r="F2592" s="227" t="s">
        <v>3299</v>
      </c>
      <c r="G2592" s="239">
        <v>45899</v>
      </c>
      <c r="H2592" s="240">
        <v>0.64637731481481486</v>
      </c>
      <c r="I2592" s="227" t="s">
        <v>37</v>
      </c>
      <c r="J2592" s="227" t="s">
        <v>3023</v>
      </c>
      <c r="K2592" s="241" t="s">
        <v>3073</v>
      </c>
      <c r="L2592" s="225" t="str">
        <f>VLOOKUP(Logfile_S[[#This Row],[Material Name]],Sheet2!B:C,2,0)</f>
        <v>ZTE2001</v>
      </c>
      <c r="M2592" s="242" t="s">
        <v>20</v>
      </c>
      <c r="N2592" s="227">
        <v>3000</v>
      </c>
      <c r="O2592" s="250"/>
      <c r="P2592" s="250"/>
      <c r="Q2592" s="227" t="s">
        <v>3260</v>
      </c>
      <c r="R2592" s="227" t="s">
        <v>3260</v>
      </c>
      <c r="S2592" s="227"/>
      <c r="T2592" s="227"/>
      <c r="U2592" s="227"/>
      <c r="V2592" s="227"/>
      <c r="W2592" s="227"/>
      <c r="X2592" s="227"/>
      <c r="Y2592" s="227" t="s">
        <v>5025</v>
      </c>
      <c r="Z2592" s="227">
        <f>P2592</f>
        <v>0</v>
      </c>
      <c r="AA2592" s="276" t="e">
        <f>VLOOKUP(Logfile_S[[#This Row],[DO number]],DO_DB!G:I,3,0)</f>
        <v>#N/A</v>
      </c>
      <c r="AB2592" s="331" t="e">
        <f>EXACT(Logfile_S[[#This Row],[date pick]],Logfile_S[[#This Row],[Date]])</f>
        <v>#N/A</v>
      </c>
      <c r="AC259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24C-2025830-02</v>
      </c>
    </row>
    <row r="2593" spans="1:29" ht="14.5">
      <c r="A2593" s="480" t="str">
        <f>TEXT(ROW(A2593)-ROW($A$4),"000")</f>
        <v>2589</v>
      </c>
      <c r="B2593" s="249">
        <v>1</v>
      </c>
      <c r="C2593" s="250" t="s">
        <v>49</v>
      </c>
      <c r="D2593" s="227" t="s">
        <v>4720</v>
      </c>
      <c r="E2593" s="250" t="s">
        <v>3295</v>
      </c>
      <c r="F2593" s="250" t="s">
        <v>3299</v>
      </c>
      <c r="G2593" s="239">
        <v>45984</v>
      </c>
      <c r="H2593" s="251">
        <v>0.54166666666666663</v>
      </c>
      <c r="I2593" s="250" t="s">
        <v>3295</v>
      </c>
      <c r="J2593" s="249" t="s">
        <v>3023</v>
      </c>
      <c r="K2593" s="241" t="s">
        <v>4524</v>
      </c>
      <c r="L2593" s="348" t="str">
        <f>VLOOKUP(Logfile_S[[#This Row],[Material Name]],Sheet2!B:C,2,0)</f>
        <v>ZTE1005</v>
      </c>
      <c r="M2593" s="333" t="s">
        <v>19</v>
      </c>
      <c r="N2593" s="250">
        <v>1</v>
      </c>
      <c r="O2593" s="250"/>
      <c r="P2593" s="250"/>
      <c r="Q2593" s="250"/>
      <c r="R2593" s="250"/>
      <c r="S2593" s="250"/>
      <c r="T2593" s="250" t="s">
        <v>3356</v>
      </c>
      <c r="U2593" s="250"/>
      <c r="V2593" s="250"/>
      <c r="W2593" s="250" t="s">
        <v>4681</v>
      </c>
      <c r="X2593" s="250"/>
      <c r="Y2593" s="250"/>
      <c r="Z2593" s="250">
        <f>P2593</f>
        <v>0</v>
      </c>
      <c r="AA2593" s="303" t="e">
        <f>VLOOKUP(Logfile_S[[#This Row],[DO number]],DO_DB!G:I,3,0)</f>
        <v>#N/A</v>
      </c>
      <c r="AB2593" s="331" t="e">
        <f>EXACT(Logfile_S[[#This Row],[date pick]],Logfile_S[[#This Row],[Date]])</f>
        <v>#N/A</v>
      </c>
      <c r="AC259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94" spans="1:29" ht="14.5">
      <c r="A2594" s="237" t="str">
        <f>TEXT(ROW(A2594)-ROW($A$4),"000")</f>
        <v>2590</v>
      </c>
      <c r="B2594" s="221">
        <v>10</v>
      </c>
      <c r="C2594" s="227" t="s">
        <v>48</v>
      </c>
      <c r="D2594" s="227" t="s">
        <v>4730</v>
      </c>
      <c r="E2594" s="227" t="s">
        <v>3295</v>
      </c>
      <c r="F2594" s="227" t="s">
        <v>3299</v>
      </c>
      <c r="G2594" s="239">
        <v>46003</v>
      </c>
      <c r="H2594" s="240">
        <v>0.54166666666666663</v>
      </c>
      <c r="I2594" s="227" t="s">
        <v>37</v>
      </c>
      <c r="J2594" s="221" t="s">
        <v>3023</v>
      </c>
      <c r="K2594" s="241" t="s">
        <v>3070</v>
      </c>
      <c r="L2594" s="225" t="str">
        <f>VLOOKUP(Logfile_S[[#This Row],[Material Name]],Sheet2!B:C,2,0)</f>
        <v>ZTE1002</v>
      </c>
      <c r="M2594" s="242" t="s">
        <v>19</v>
      </c>
      <c r="N2594" s="227">
        <v>86</v>
      </c>
      <c r="O2594" s="221"/>
      <c r="P2594" s="227"/>
      <c r="Q2594" s="227" t="s">
        <v>3260</v>
      </c>
      <c r="R2594" s="227" t="s">
        <v>3260</v>
      </c>
      <c r="S2594" s="227"/>
      <c r="T2594" s="227"/>
      <c r="U2594" s="227"/>
      <c r="V2594" s="227"/>
      <c r="W2594" s="227"/>
      <c r="X2594" s="227"/>
      <c r="Y2594" s="250"/>
      <c r="Z2594" s="227">
        <f>P2594</f>
        <v>0</v>
      </c>
      <c r="AA2594" s="276" t="e">
        <f>VLOOKUP(Logfile_S[[#This Row],[DO number]],DO_DB!G:I,3,0)</f>
        <v>#N/A</v>
      </c>
      <c r="AB2594" s="331" t="e">
        <f>EXACT(Logfile_S[[#This Row],[date pick]],Logfile_S[[#This Row],[Date]])</f>
        <v>#N/A</v>
      </c>
      <c r="AC259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95" spans="1:29" ht="14.5">
      <c r="A2595" s="480" t="str">
        <f>TEXT(ROW(A2595)-ROW($A$4),"000")</f>
        <v>2591</v>
      </c>
      <c r="B2595" s="249">
        <v>2</v>
      </c>
      <c r="C2595" s="250" t="s">
        <v>48</v>
      </c>
      <c r="D2595" s="227" t="s">
        <v>4730</v>
      </c>
      <c r="E2595" s="250" t="s">
        <v>3295</v>
      </c>
      <c r="F2595" s="250" t="s">
        <v>3299</v>
      </c>
      <c r="G2595" s="239">
        <v>46003</v>
      </c>
      <c r="H2595" s="251">
        <v>0.54166666666666663</v>
      </c>
      <c r="I2595" s="250" t="s">
        <v>37</v>
      </c>
      <c r="J2595" s="249" t="s">
        <v>3023</v>
      </c>
      <c r="K2595" s="241" t="s">
        <v>3070</v>
      </c>
      <c r="L2595" s="348" t="str">
        <f>VLOOKUP(Logfile_S[[#This Row],[Material Name]],Sheet2!B:C,2,0)</f>
        <v>ZTE1002</v>
      </c>
      <c r="M2595" s="333" t="s">
        <v>19</v>
      </c>
      <c r="N2595" s="250">
        <v>134</v>
      </c>
      <c r="O2595" s="249"/>
      <c r="P2595" s="250"/>
      <c r="Q2595" s="250" t="s">
        <v>3260</v>
      </c>
      <c r="R2595" s="250" t="s">
        <v>3260</v>
      </c>
      <c r="S2595" s="250"/>
      <c r="T2595" s="250"/>
      <c r="U2595" s="250"/>
      <c r="V2595" s="250"/>
      <c r="W2595" s="250"/>
      <c r="X2595" s="250"/>
      <c r="Y2595" s="227"/>
      <c r="Z2595" s="250">
        <f>P2595</f>
        <v>0</v>
      </c>
      <c r="AA2595" s="303" t="e">
        <f>VLOOKUP(Logfile_S[[#This Row],[DO number]],DO_DB!G:I,3,0)</f>
        <v>#N/A</v>
      </c>
      <c r="AB2595" s="331" t="e">
        <f>EXACT(Logfile_S[[#This Row],[date pick]],Logfile_S[[#This Row],[Date]])</f>
        <v>#N/A</v>
      </c>
      <c r="AC259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96" spans="1:29" ht="14.5">
      <c r="A2596" s="480" t="str">
        <f>TEXT(ROW(A2596)-ROW($A$4),"000")</f>
        <v>2592</v>
      </c>
      <c r="B2596" s="249">
        <v>1</v>
      </c>
      <c r="C2596" s="250" t="s">
        <v>48</v>
      </c>
      <c r="D2596" s="250" t="s">
        <v>4730</v>
      </c>
      <c r="E2596" s="250" t="s">
        <v>3295</v>
      </c>
      <c r="F2596" s="250" t="s">
        <v>3299</v>
      </c>
      <c r="G2596" s="239">
        <v>46003</v>
      </c>
      <c r="H2596" s="251">
        <v>0.54166666666666663</v>
      </c>
      <c r="I2596" s="250" t="s">
        <v>37</v>
      </c>
      <c r="J2596" s="249" t="s">
        <v>3023</v>
      </c>
      <c r="K2596" s="241" t="s">
        <v>3069</v>
      </c>
      <c r="L2596" s="348" t="str">
        <f>VLOOKUP(Logfile_S[[#This Row],[Material Name]],Sheet2!B:C,2,0)</f>
        <v>ZTE1001</v>
      </c>
      <c r="M2596" s="333" t="s">
        <v>19</v>
      </c>
      <c r="N2596" s="250">
        <v>50</v>
      </c>
      <c r="O2596" s="249"/>
      <c r="P2596" s="250"/>
      <c r="Q2596" s="250" t="s">
        <v>3260</v>
      </c>
      <c r="R2596" s="250" t="s">
        <v>3260</v>
      </c>
      <c r="S2596" s="250"/>
      <c r="T2596" s="250"/>
      <c r="U2596" s="250"/>
      <c r="V2596" s="250"/>
      <c r="W2596" s="250"/>
      <c r="X2596" s="250"/>
      <c r="Y2596" s="250"/>
      <c r="Z2596" s="250">
        <f>P2596</f>
        <v>0</v>
      </c>
      <c r="AA2596" s="303" t="e">
        <f>VLOOKUP(Logfile_S[[#This Row],[DO number]],DO_DB!G:I,3,0)</f>
        <v>#N/A</v>
      </c>
      <c r="AB2596" s="331" t="e">
        <f>EXACT(Logfile_S[[#This Row],[date pick]],Logfile_S[[#This Row],[Date]])</f>
        <v>#N/A</v>
      </c>
      <c r="AC259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97" spans="1:29" ht="14.5">
      <c r="A2597" s="237" t="str">
        <f>TEXT(ROW(A2597)-ROW($A$4),"000")</f>
        <v>2593</v>
      </c>
      <c r="B2597" s="221">
        <v>11</v>
      </c>
      <c r="C2597" s="227" t="s">
        <v>48</v>
      </c>
      <c r="D2597" s="250" t="s">
        <v>4730</v>
      </c>
      <c r="E2597" s="227" t="s">
        <v>3295</v>
      </c>
      <c r="F2597" s="227" t="s">
        <v>3299</v>
      </c>
      <c r="G2597" s="239">
        <v>46003</v>
      </c>
      <c r="H2597" s="240">
        <v>0.54166666666666663</v>
      </c>
      <c r="I2597" s="227" t="s">
        <v>37</v>
      </c>
      <c r="J2597" s="221" t="s">
        <v>3023</v>
      </c>
      <c r="K2597" s="241" t="s">
        <v>3069</v>
      </c>
      <c r="L2597" s="348" t="str">
        <f>VLOOKUP(Logfile_S[[#This Row],[Material Name]],Sheet2!B:C,2,0)</f>
        <v>ZTE1001</v>
      </c>
      <c r="M2597" s="242" t="s">
        <v>19</v>
      </c>
      <c r="N2597" s="227">
        <v>50</v>
      </c>
      <c r="O2597" s="221"/>
      <c r="P2597" s="227"/>
      <c r="Q2597" s="227" t="s">
        <v>3260</v>
      </c>
      <c r="R2597" s="227" t="s">
        <v>3260</v>
      </c>
      <c r="S2597" s="227"/>
      <c r="T2597" s="227"/>
      <c r="U2597" s="227"/>
      <c r="V2597" s="227"/>
      <c r="W2597" s="227"/>
      <c r="X2597" s="227"/>
      <c r="Y2597" s="227"/>
      <c r="Z2597" s="227">
        <f>P2597</f>
        <v>0</v>
      </c>
      <c r="AA2597" s="276" t="e">
        <f>VLOOKUP(Logfile_S[[#This Row],[DO number]],DO_DB!G:I,3,0)</f>
        <v>#N/A</v>
      </c>
      <c r="AB2597" s="331" t="e">
        <f>EXACT(Logfile_S[[#This Row],[date pick]],Logfile_S[[#This Row],[Date]])</f>
        <v>#N/A</v>
      </c>
      <c r="AC259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98" spans="1:29" ht="14.5">
      <c r="A2598" s="237" t="str">
        <f>TEXT(ROW(A2598)-ROW($A$4),"000")</f>
        <v>2594</v>
      </c>
      <c r="B2598" s="221">
        <v>9</v>
      </c>
      <c r="C2598" s="227" t="s">
        <v>48</v>
      </c>
      <c r="D2598" s="250" t="s">
        <v>4730</v>
      </c>
      <c r="E2598" s="227" t="s">
        <v>3295</v>
      </c>
      <c r="F2598" s="227" t="s">
        <v>3299</v>
      </c>
      <c r="G2598" s="239">
        <v>46003</v>
      </c>
      <c r="H2598" s="240">
        <v>0.54166666666666663</v>
      </c>
      <c r="I2598" s="227" t="s">
        <v>37</v>
      </c>
      <c r="J2598" s="221" t="s">
        <v>3023</v>
      </c>
      <c r="K2598" s="241" t="s">
        <v>3071</v>
      </c>
      <c r="L2598" s="348" t="str">
        <f>VLOOKUP(Logfile_S[[#This Row],[Material Name]],Sheet2!B:C,2,0)</f>
        <v>ZTE1003</v>
      </c>
      <c r="M2598" s="242" t="s">
        <v>19</v>
      </c>
      <c r="N2598" s="227">
        <v>2</v>
      </c>
      <c r="O2598" s="221"/>
      <c r="P2598" s="227"/>
      <c r="Q2598" s="227" t="s">
        <v>3260</v>
      </c>
      <c r="R2598" s="227" t="s">
        <v>3260</v>
      </c>
      <c r="S2598" s="227"/>
      <c r="T2598" s="227"/>
      <c r="U2598" s="227"/>
      <c r="V2598" s="227"/>
      <c r="W2598" s="227"/>
      <c r="X2598" s="227"/>
      <c r="Y2598" s="227"/>
      <c r="Z2598" s="227">
        <f>P2598</f>
        <v>0</v>
      </c>
      <c r="AA2598" s="276" t="e">
        <f>VLOOKUP(Logfile_S[[#This Row],[DO number]],DO_DB!G:I,3,0)</f>
        <v>#N/A</v>
      </c>
      <c r="AB2598" s="331" t="e">
        <f>EXACT(Logfile_S[[#This Row],[date pick]],Logfile_S[[#This Row],[Date]])</f>
        <v>#N/A</v>
      </c>
      <c r="AC259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599" spans="1:29" ht="14.5">
      <c r="A2599" s="237" t="str">
        <f>TEXT(ROW(A2599)-ROW($A$4),"000")</f>
        <v>2595</v>
      </c>
      <c r="B2599" s="221"/>
      <c r="C2599" s="227" t="s">
        <v>48</v>
      </c>
      <c r="D2599" s="250" t="s">
        <v>4730</v>
      </c>
      <c r="E2599" s="227" t="s">
        <v>3295</v>
      </c>
      <c r="F2599" s="227" t="s">
        <v>3299</v>
      </c>
      <c r="G2599" s="239">
        <v>46003</v>
      </c>
      <c r="H2599" s="240">
        <v>0.54166666666666663</v>
      </c>
      <c r="I2599" s="227" t="s">
        <v>37</v>
      </c>
      <c r="J2599" s="221" t="s">
        <v>3023</v>
      </c>
      <c r="K2599" s="241" t="s">
        <v>3071</v>
      </c>
      <c r="L2599" s="348" t="str">
        <f>VLOOKUP(Logfile_S[[#This Row],[Material Name]],Sheet2!B:C,2,0)</f>
        <v>ZTE1003</v>
      </c>
      <c r="M2599" s="242" t="s">
        <v>19</v>
      </c>
      <c r="N2599" s="227">
        <v>3</v>
      </c>
      <c r="O2599" s="221"/>
      <c r="P2599" s="227"/>
      <c r="Q2599" s="227"/>
      <c r="R2599" s="227"/>
      <c r="S2599" s="227"/>
      <c r="T2599" s="227"/>
      <c r="U2599" s="227"/>
      <c r="V2599" s="227"/>
      <c r="W2599" s="227"/>
      <c r="X2599" s="227"/>
      <c r="Y2599" s="227"/>
      <c r="Z2599" s="227">
        <f>P2599</f>
        <v>0</v>
      </c>
      <c r="AA2599" s="276" t="e">
        <f>VLOOKUP(Logfile_S[[#This Row],[DO number]],DO_DB!G:I,3,0)</f>
        <v>#N/A</v>
      </c>
      <c r="AB2599" s="331" t="e">
        <f>EXACT(Logfile_S[[#This Row],[date pick]],Logfile_S[[#This Row],[Date]])</f>
        <v>#N/A</v>
      </c>
      <c r="AC259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00" spans="1:29" ht="14.5">
      <c r="A2600" s="237" t="str">
        <f>TEXT(ROW(A2600)-ROW($A$4),"000")</f>
        <v>2596</v>
      </c>
      <c r="B2600" s="221">
        <v>1</v>
      </c>
      <c r="C2600" s="227" t="s">
        <v>49</v>
      </c>
      <c r="D2600" s="250" t="s">
        <v>4745</v>
      </c>
      <c r="E2600" s="227" t="s">
        <v>3295</v>
      </c>
      <c r="F2600" s="227" t="s">
        <v>3299</v>
      </c>
      <c r="G2600" s="239">
        <v>46007</v>
      </c>
      <c r="H2600" s="240">
        <v>0.33333333333333331</v>
      </c>
      <c r="I2600" s="227" t="s">
        <v>3295</v>
      </c>
      <c r="J2600" s="221" t="s">
        <v>3023</v>
      </c>
      <c r="K2600" s="241" t="s">
        <v>3074</v>
      </c>
      <c r="L2600" s="348" t="str">
        <f>VLOOKUP(Logfile_S[[#This Row],[Material Name]],Sheet2!B:C,2,0)</f>
        <v>ZTE2002</v>
      </c>
      <c r="M2600" s="242" t="s">
        <v>20</v>
      </c>
      <c r="N2600" s="227">
        <v>3000</v>
      </c>
      <c r="O2600" s="227"/>
      <c r="P2600" s="227"/>
      <c r="Q2600" s="227"/>
      <c r="R2600" s="227"/>
      <c r="S2600" s="227"/>
      <c r="T2600" s="221" t="s">
        <v>3258</v>
      </c>
      <c r="U2600" s="221" t="s">
        <v>4811</v>
      </c>
      <c r="V2600" s="221" t="s">
        <v>3337</v>
      </c>
      <c r="W2600" s="221" t="s">
        <v>3338</v>
      </c>
      <c r="X2600" s="227"/>
      <c r="Y2600" s="227"/>
      <c r="Z2600" s="227">
        <f>P2600</f>
        <v>0</v>
      </c>
      <c r="AA2600" s="276" t="e">
        <f>VLOOKUP(Logfile_S[[#This Row],[DO number]],DO_DB!G:I,3,0)</f>
        <v>#N/A</v>
      </c>
      <c r="AB2600" s="331" t="e">
        <f>EXACT(Logfile_S[[#This Row],[date pick]],Logfile_S[[#This Row],[Date]])</f>
        <v>#N/A</v>
      </c>
      <c r="AC260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01" spans="1:29" ht="14.5">
      <c r="A2601" s="237" t="str">
        <f>TEXT(ROW(A2601)-ROW($A$4),"000")</f>
        <v>2597</v>
      </c>
      <c r="B2601" s="221">
        <v>2</v>
      </c>
      <c r="C2601" s="227" t="s">
        <v>49</v>
      </c>
      <c r="D2601" s="250" t="s">
        <v>4745</v>
      </c>
      <c r="E2601" s="227" t="s">
        <v>3295</v>
      </c>
      <c r="F2601" s="227" t="s">
        <v>3299</v>
      </c>
      <c r="G2601" s="239">
        <v>46007</v>
      </c>
      <c r="H2601" s="240">
        <v>0.33333333333333331</v>
      </c>
      <c r="I2601" s="227" t="s">
        <v>3295</v>
      </c>
      <c r="J2601" s="221" t="s">
        <v>3023</v>
      </c>
      <c r="K2601" s="241" t="s">
        <v>3074</v>
      </c>
      <c r="L2601" s="348" t="str">
        <f>VLOOKUP(Logfile_S[[#This Row],[Material Name]],Sheet2!B:C,2,0)</f>
        <v>ZTE2002</v>
      </c>
      <c r="M2601" s="242" t="s">
        <v>20</v>
      </c>
      <c r="N2601" s="227">
        <v>3000</v>
      </c>
      <c r="O2601" s="227"/>
      <c r="P2601" s="227"/>
      <c r="Q2601" s="227"/>
      <c r="R2601" s="227"/>
      <c r="S2601" s="227"/>
      <c r="T2601" s="221" t="s">
        <v>3258</v>
      </c>
      <c r="U2601" s="221" t="s">
        <v>4811</v>
      </c>
      <c r="V2601" s="221" t="s">
        <v>3337</v>
      </c>
      <c r="W2601" s="221" t="s">
        <v>3338</v>
      </c>
      <c r="X2601" s="227"/>
      <c r="Y2601" s="227"/>
      <c r="Z2601" s="227">
        <f>P2601</f>
        <v>0</v>
      </c>
      <c r="AA2601" s="276" t="e">
        <f>VLOOKUP(Logfile_S[[#This Row],[DO number]],DO_DB!G:I,3,0)</f>
        <v>#N/A</v>
      </c>
      <c r="AB2601" s="331" t="e">
        <f>EXACT(Logfile_S[[#This Row],[date pick]],Logfile_S[[#This Row],[Date]])</f>
        <v>#N/A</v>
      </c>
      <c r="AC260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02" spans="1:29" ht="14.5">
      <c r="A2602" s="237" t="str">
        <f>TEXT(ROW(A2602)-ROW($A$4),"000")</f>
        <v>2598</v>
      </c>
      <c r="B2602" s="221">
        <v>1</v>
      </c>
      <c r="C2602" s="227" t="s">
        <v>3313</v>
      </c>
      <c r="D2602" s="227" t="s">
        <v>4765</v>
      </c>
      <c r="E2602" s="227" t="s">
        <v>3295</v>
      </c>
      <c r="F2602" s="227" t="s">
        <v>3299</v>
      </c>
      <c r="G2602" s="239">
        <v>46007</v>
      </c>
      <c r="H2602" s="240">
        <v>0.33333333333333331</v>
      </c>
      <c r="I2602" s="227" t="s">
        <v>3295</v>
      </c>
      <c r="J2602" s="221" t="s">
        <v>3023</v>
      </c>
      <c r="K2602" s="241" t="s">
        <v>13</v>
      </c>
      <c r="L2602" s="348" t="str">
        <f>VLOOKUP(Logfile_S[[#This Row],[Material Name]],Sheet2!B:C,2,0)</f>
        <v>ZTE2008</v>
      </c>
      <c r="M2602" s="242" t="s">
        <v>19</v>
      </c>
      <c r="N2602" s="227">
        <v>60</v>
      </c>
      <c r="O2602" s="227"/>
      <c r="P2602" s="227"/>
      <c r="Q2602" s="227"/>
      <c r="R2602" s="227"/>
      <c r="S2602" s="227"/>
      <c r="T2602" s="227"/>
      <c r="U2602" s="227"/>
      <c r="V2602" s="227"/>
      <c r="W2602" s="227"/>
      <c r="X2602" s="227"/>
      <c r="Y2602" s="227"/>
      <c r="Z2602" s="227">
        <f>P2602</f>
        <v>0</v>
      </c>
      <c r="AA2602" s="276" t="e">
        <f>VLOOKUP(Logfile_S[[#This Row],[DO number]],DO_DB!G:I,3,0)</f>
        <v>#N/A</v>
      </c>
      <c r="AB2602" s="331" t="e">
        <f>EXACT(Logfile_S[[#This Row],[date pick]],Logfile_S[[#This Row],[Date]])</f>
        <v>#N/A</v>
      </c>
      <c r="AC260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03" spans="1:29" ht="14.5">
      <c r="A2603" s="237" t="str">
        <f>TEXT(ROW(A2603)-ROW($A$4),"000")</f>
        <v>2599</v>
      </c>
      <c r="B2603" s="221">
        <v>1</v>
      </c>
      <c r="C2603" s="227" t="s">
        <v>49</v>
      </c>
      <c r="D2603" s="227" t="s">
        <v>4746</v>
      </c>
      <c r="E2603" s="227" t="s">
        <v>3295</v>
      </c>
      <c r="F2603" s="227" t="s">
        <v>3299</v>
      </c>
      <c r="G2603" s="239">
        <v>46008</v>
      </c>
      <c r="H2603" s="240">
        <v>0.33333333333333331</v>
      </c>
      <c r="I2603" s="227" t="s">
        <v>3295</v>
      </c>
      <c r="J2603" s="221" t="s">
        <v>3023</v>
      </c>
      <c r="K2603" s="241" t="s">
        <v>3073</v>
      </c>
      <c r="L2603" s="348" t="str">
        <f>VLOOKUP(Logfile_S[[#This Row],[Material Name]],Sheet2!B:C,2,0)</f>
        <v>ZTE2001</v>
      </c>
      <c r="M2603" s="242" t="s">
        <v>20</v>
      </c>
      <c r="N2603" s="227">
        <v>3000</v>
      </c>
      <c r="O2603" s="227"/>
      <c r="P2603" s="227"/>
      <c r="Q2603" s="227"/>
      <c r="R2603" s="227"/>
      <c r="S2603" s="227"/>
      <c r="T2603" s="221" t="s">
        <v>3258</v>
      </c>
      <c r="U2603" s="221" t="s">
        <v>4811</v>
      </c>
      <c r="V2603" s="221" t="s">
        <v>3337</v>
      </c>
      <c r="W2603" s="221" t="s">
        <v>3338</v>
      </c>
      <c r="X2603" s="227"/>
      <c r="Y2603" s="227"/>
      <c r="Z2603" s="227">
        <f>P2603</f>
        <v>0</v>
      </c>
      <c r="AA2603" s="276" t="e">
        <f>VLOOKUP(Logfile_S[[#This Row],[DO number]],DO_DB!G:I,3,0)</f>
        <v>#N/A</v>
      </c>
      <c r="AB2603" s="331" t="e">
        <f>EXACT(Logfile_S[[#This Row],[date pick]],Logfile_S[[#This Row],[Date]])</f>
        <v>#N/A</v>
      </c>
      <c r="AC260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04" spans="1:29" ht="14.5">
      <c r="A2604" s="237" t="str">
        <f>TEXT(ROW(A2604)-ROW($A$4),"000")</f>
        <v>2600</v>
      </c>
      <c r="B2604" s="221">
        <v>2</v>
      </c>
      <c r="C2604" s="227" t="s">
        <v>49</v>
      </c>
      <c r="D2604" s="227" t="s">
        <v>4746</v>
      </c>
      <c r="E2604" s="227" t="s">
        <v>3295</v>
      </c>
      <c r="F2604" s="227" t="s">
        <v>3299</v>
      </c>
      <c r="G2604" s="239">
        <v>46008</v>
      </c>
      <c r="H2604" s="240">
        <v>0.33333333333333331</v>
      </c>
      <c r="I2604" s="227" t="s">
        <v>3295</v>
      </c>
      <c r="J2604" s="221" t="s">
        <v>3023</v>
      </c>
      <c r="K2604" s="241" t="s">
        <v>3074</v>
      </c>
      <c r="L2604" s="348" t="str">
        <f>VLOOKUP(Logfile_S[[#This Row],[Material Name]],Sheet2!B:C,2,0)</f>
        <v>ZTE2002</v>
      </c>
      <c r="M2604" s="242" t="s">
        <v>20</v>
      </c>
      <c r="N2604" s="227">
        <v>3000</v>
      </c>
      <c r="O2604" s="227"/>
      <c r="P2604" s="227"/>
      <c r="Q2604" s="227"/>
      <c r="R2604" s="227"/>
      <c r="S2604" s="227"/>
      <c r="T2604" s="221" t="s">
        <v>3258</v>
      </c>
      <c r="U2604" s="221" t="s">
        <v>4811</v>
      </c>
      <c r="V2604" s="221" t="s">
        <v>3337</v>
      </c>
      <c r="W2604" s="221" t="s">
        <v>3338</v>
      </c>
      <c r="X2604" s="227"/>
      <c r="Y2604" s="227"/>
      <c r="Z2604" s="227">
        <f>P2604</f>
        <v>0</v>
      </c>
      <c r="AA2604" s="276" t="e">
        <f>VLOOKUP(Logfile_S[[#This Row],[DO number]],DO_DB!G:I,3,0)</f>
        <v>#N/A</v>
      </c>
      <c r="AB2604" s="331" t="e">
        <f>EXACT(Logfile_S[[#This Row],[date pick]],Logfile_S[[#This Row],[Date]])</f>
        <v>#N/A</v>
      </c>
      <c r="AC260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05" spans="1:29" ht="14.5">
      <c r="A2605" s="237" t="str">
        <f>TEXT(ROW(A2605)-ROW($A$4),"000")</f>
        <v>2601</v>
      </c>
      <c r="B2605" s="221">
        <v>3</v>
      </c>
      <c r="C2605" s="227" t="s">
        <v>48</v>
      </c>
      <c r="D2605" s="227" t="s">
        <v>4749</v>
      </c>
      <c r="E2605" s="227" t="s">
        <v>3295</v>
      </c>
      <c r="F2605" s="227" t="s">
        <v>3299</v>
      </c>
      <c r="G2605" s="239">
        <v>46009</v>
      </c>
      <c r="H2605" s="240">
        <v>0.54166666666666663</v>
      </c>
      <c r="I2605" s="227" t="s">
        <v>37</v>
      </c>
      <c r="J2605" s="221" t="s">
        <v>3023</v>
      </c>
      <c r="K2605" s="241" t="s">
        <v>3074</v>
      </c>
      <c r="L2605" s="348" t="str">
        <f>VLOOKUP(Logfile_S[[#This Row],[Material Name]],Sheet2!B:C,2,0)</f>
        <v>ZTE2002</v>
      </c>
      <c r="M2605" s="242" t="s">
        <v>20</v>
      </c>
      <c r="N2605" s="221">
        <v>3000</v>
      </c>
      <c r="O2605" s="221"/>
      <c r="P2605" s="227"/>
      <c r="Q2605" s="227"/>
      <c r="R2605" s="227"/>
      <c r="S2605" s="227"/>
      <c r="T2605" s="227"/>
      <c r="U2605" s="227"/>
      <c r="V2605" s="227"/>
      <c r="W2605" s="227"/>
      <c r="X2605" s="227"/>
      <c r="Y2605" s="227" t="s">
        <v>5048</v>
      </c>
      <c r="Z2605" s="227">
        <f>P2605</f>
        <v>0</v>
      </c>
      <c r="AA2605" s="276" t="e">
        <f>VLOOKUP(Logfile_S[[#This Row],[DO number]],DO_DB!G:I,3,0)</f>
        <v>#N/A</v>
      </c>
      <c r="AB2605" s="331" t="e">
        <f>EXACT(Logfile_S[[#This Row],[date pick]],Logfile_S[[#This Row],[Date]])</f>
        <v>#N/A</v>
      </c>
      <c r="AC260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36C-20251218-01</v>
      </c>
    </row>
    <row r="2606" spans="1:29" ht="14.5">
      <c r="A2606" s="480" t="str">
        <f>TEXT(ROW(A2606)-ROW($A$4),"000")</f>
        <v>2602</v>
      </c>
      <c r="B2606" s="249"/>
      <c r="C2606" s="250" t="s">
        <v>48</v>
      </c>
      <c r="D2606" s="250" t="s">
        <v>4749</v>
      </c>
      <c r="E2606" s="250" t="s">
        <v>3295</v>
      </c>
      <c r="F2606" s="250" t="s">
        <v>3299</v>
      </c>
      <c r="G2606" s="481">
        <v>46009</v>
      </c>
      <c r="H2606" s="251">
        <v>0.54166666666666663</v>
      </c>
      <c r="I2606" s="250" t="s">
        <v>37</v>
      </c>
      <c r="J2606" s="249" t="s">
        <v>3023</v>
      </c>
      <c r="K2606" s="241" t="s">
        <v>3074</v>
      </c>
      <c r="L2606" s="348" t="str">
        <f>VLOOKUP(Logfile_S[[#This Row],[Material Name]],Sheet2!B:C,2,0)</f>
        <v>ZTE2002</v>
      </c>
      <c r="M2606" s="242" t="s">
        <v>20</v>
      </c>
      <c r="N2606" s="221">
        <v>3000</v>
      </c>
      <c r="O2606" s="249"/>
      <c r="P2606" s="250"/>
      <c r="Q2606" s="250"/>
      <c r="R2606" s="250"/>
      <c r="S2606" s="250"/>
      <c r="T2606" s="250"/>
      <c r="U2606" s="250"/>
      <c r="V2606" s="250"/>
      <c r="W2606" s="250"/>
      <c r="X2606" s="250"/>
      <c r="Y2606" s="472" t="s">
        <v>5049</v>
      </c>
      <c r="Z2606" s="250">
        <f>P2606</f>
        <v>0</v>
      </c>
      <c r="AA2606" s="303" t="e">
        <f>VLOOKUP(Logfile_S[[#This Row],[DO number]],DO_DB!G:I,3,0)</f>
        <v>#N/A</v>
      </c>
      <c r="AB2606" s="331" t="e">
        <f>EXACT(Logfile_S[[#This Row],[date pick]],Logfile_S[[#This Row],[Date]])</f>
        <v>#N/A</v>
      </c>
      <c r="AC260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 36C-20251218-02</v>
      </c>
    </row>
    <row r="2607" spans="1:29" ht="14.5">
      <c r="A2607" s="480" t="str">
        <f>TEXT(ROW(A2607)-ROW($A$4),"000")</f>
        <v>2603</v>
      </c>
      <c r="B2607" s="249">
        <v>2</v>
      </c>
      <c r="C2607" s="250" t="s">
        <v>48</v>
      </c>
      <c r="D2607" s="250" t="s">
        <v>4749</v>
      </c>
      <c r="E2607" s="250" t="s">
        <v>3295</v>
      </c>
      <c r="F2607" s="250" t="s">
        <v>3299</v>
      </c>
      <c r="G2607" s="481">
        <v>46009</v>
      </c>
      <c r="H2607" s="251">
        <v>0.54166666666666663</v>
      </c>
      <c r="I2607" s="250" t="s">
        <v>37</v>
      </c>
      <c r="J2607" s="249" t="s">
        <v>3023</v>
      </c>
      <c r="K2607" s="252" t="s">
        <v>13</v>
      </c>
      <c r="L2607" s="348" t="str">
        <f>VLOOKUP(Logfile_S[[#This Row],[Material Name]],Sheet2!B:C,2,0)</f>
        <v>ZTE2008</v>
      </c>
      <c r="M2607" s="333" t="s">
        <v>19</v>
      </c>
      <c r="N2607" s="250">
        <v>110</v>
      </c>
      <c r="O2607" s="249"/>
      <c r="P2607" s="250"/>
      <c r="Q2607" s="250"/>
      <c r="R2607" s="250"/>
      <c r="S2607" s="250"/>
      <c r="T2607" s="250"/>
      <c r="U2607" s="250"/>
      <c r="V2607" s="250"/>
      <c r="W2607" s="250"/>
      <c r="X2607" s="250"/>
      <c r="Y2607" s="250"/>
      <c r="Z2607" s="250">
        <f>P2607</f>
        <v>0</v>
      </c>
      <c r="AA2607" s="303" t="e">
        <f>VLOOKUP(Logfile_S[[#This Row],[DO number]],DO_DB!G:I,3,0)</f>
        <v>#N/A</v>
      </c>
      <c r="AB2607" s="331" t="e">
        <f>EXACT(Logfile_S[[#This Row],[date pick]],Logfile_S[[#This Row],[Date]])</f>
        <v>#N/A</v>
      </c>
      <c r="AC260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08" spans="1:29" ht="14.5">
      <c r="A2608" s="480" t="str">
        <f>TEXT(ROW(A2608)-ROW($A$4),"000")</f>
        <v>2604</v>
      </c>
      <c r="B2608" s="249">
        <v>1</v>
      </c>
      <c r="C2608" s="250" t="s">
        <v>49</v>
      </c>
      <c r="D2608" s="250" t="s">
        <v>4760</v>
      </c>
      <c r="E2608" s="250" t="s">
        <v>3295</v>
      </c>
      <c r="F2608" s="250" t="s">
        <v>3299</v>
      </c>
      <c r="G2608" s="481">
        <v>46011</v>
      </c>
      <c r="H2608" s="251">
        <v>0.33333333333333331</v>
      </c>
      <c r="I2608" s="250" t="s">
        <v>3295</v>
      </c>
      <c r="J2608" s="249" t="s">
        <v>3023</v>
      </c>
      <c r="K2608" s="252" t="s">
        <v>3073</v>
      </c>
      <c r="L2608" s="348" t="str">
        <f>VLOOKUP(Logfile_S[[#This Row],[Material Name]],Sheet2!B:C,2,0)</f>
        <v>ZTE2001</v>
      </c>
      <c r="M2608" s="333" t="s">
        <v>20</v>
      </c>
      <c r="N2608" s="250">
        <v>3000</v>
      </c>
      <c r="O2608" s="250"/>
      <c r="P2608" s="250"/>
      <c r="Q2608" s="250"/>
      <c r="R2608" s="250"/>
      <c r="S2608" s="250"/>
      <c r="T2608" s="249" t="s">
        <v>3258</v>
      </c>
      <c r="U2608" s="249" t="s">
        <v>4811</v>
      </c>
      <c r="V2608" s="249" t="s">
        <v>3337</v>
      </c>
      <c r="W2608" s="249" t="s">
        <v>3338</v>
      </c>
      <c r="X2608" s="250"/>
      <c r="Y2608" s="250"/>
      <c r="Z2608" s="250">
        <f>P2608</f>
        <v>0</v>
      </c>
      <c r="AA2608" s="303" t="e">
        <f>VLOOKUP(Logfile_S[[#This Row],[DO number]],DO_DB!G:I,3,0)</f>
        <v>#N/A</v>
      </c>
      <c r="AB2608" s="331" t="e">
        <f>EXACT(Logfile_S[[#This Row],[date pick]],Logfile_S[[#This Row],[Date]])</f>
        <v>#N/A</v>
      </c>
      <c r="AC260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09" spans="1:29" ht="14.5">
      <c r="A2609" s="480" t="str">
        <f>TEXT(ROW(A2609)-ROW($A$4),"000")</f>
        <v>2605</v>
      </c>
      <c r="B2609" s="249">
        <v>1</v>
      </c>
      <c r="C2609" s="250" t="s">
        <v>49</v>
      </c>
      <c r="D2609" s="250" t="s">
        <v>4762</v>
      </c>
      <c r="E2609" s="250" t="s">
        <v>3295</v>
      </c>
      <c r="F2609" s="250" t="s">
        <v>3299</v>
      </c>
      <c r="G2609" s="481">
        <v>46012</v>
      </c>
      <c r="H2609" s="251">
        <v>0.33333333333333331</v>
      </c>
      <c r="I2609" s="250" t="s">
        <v>3295</v>
      </c>
      <c r="J2609" s="249" t="s">
        <v>3023</v>
      </c>
      <c r="K2609" s="252" t="s">
        <v>3073</v>
      </c>
      <c r="L2609" s="348" t="str">
        <f>VLOOKUP(Logfile_S[[#This Row],[Material Name]],Sheet2!B:C,2,0)</f>
        <v>ZTE2001</v>
      </c>
      <c r="M2609" s="333" t="s">
        <v>20</v>
      </c>
      <c r="N2609" s="250">
        <v>3000</v>
      </c>
      <c r="O2609" s="250"/>
      <c r="P2609" s="250"/>
      <c r="Q2609" s="250"/>
      <c r="R2609" s="250"/>
      <c r="S2609" s="250"/>
      <c r="T2609" s="249" t="s">
        <v>3258</v>
      </c>
      <c r="U2609" s="249" t="s">
        <v>4811</v>
      </c>
      <c r="V2609" s="249" t="s">
        <v>3337</v>
      </c>
      <c r="W2609" s="249" t="s">
        <v>3338</v>
      </c>
      <c r="X2609" s="250"/>
      <c r="Y2609" s="250"/>
      <c r="Z2609" s="250">
        <f>P2609</f>
        <v>0</v>
      </c>
      <c r="AA2609" s="303" t="e">
        <f>VLOOKUP(Logfile_S[[#This Row],[DO number]],DO_DB!G:I,3,0)</f>
        <v>#N/A</v>
      </c>
      <c r="AB2609" s="331" t="e">
        <f>EXACT(Logfile_S[[#This Row],[date pick]],Logfile_S[[#This Row],[Date]])</f>
        <v>#N/A</v>
      </c>
      <c r="AC260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10" spans="1:29" ht="14.5">
      <c r="A2610" s="480" t="str">
        <f>TEXT(ROW(A2610)-ROW($A$4),"000")</f>
        <v>2606</v>
      </c>
      <c r="B2610" s="249">
        <v>1</v>
      </c>
      <c r="C2610" s="250" t="s">
        <v>49</v>
      </c>
      <c r="D2610" s="250" t="s">
        <v>4763</v>
      </c>
      <c r="E2610" s="250" t="s">
        <v>3295</v>
      </c>
      <c r="F2610" s="250" t="s">
        <v>3299</v>
      </c>
      <c r="G2610" s="481">
        <v>46012</v>
      </c>
      <c r="H2610" s="251">
        <v>0.33333333333333331</v>
      </c>
      <c r="I2610" s="250" t="s">
        <v>3295</v>
      </c>
      <c r="J2610" s="249" t="s">
        <v>3023</v>
      </c>
      <c r="K2610" s="252" t="s">
        <v>3073</v>
      </c>
      <c r="L2610" s="348" t="str">
        <f>VLOOKUP(Logfile_S[[#This Row],[Material Name]],Sheet2!B:C,2,0)</f>
        <v>ZTE2001</v>
      </c>
      <c r="M2610" s="333" t="s">
        <v>20</v>
      </c>
      <c r="N2610" s="250">
        <v>3000</v>
      </c>
      <c r="O2610" s="250"/>
      <c r="P2610" s="250"/>
      <c r="Q2610" s="250"/>
      <c r="R2610" s="250"/>
      <c r="S2610" s="250"/>
      <c r="T2610" s="249" t="s">
        <v>3258</v>
      </c>
      <c r="U2610" s="249" t="s">
        <v>4811</v>
      </c>
      <c r="V2610" s="249" t="s">
        <v>3337</v>
      </c>
      <c r="W2610" s="249" t="s">
        <v>3338</v>
      </c>
      <c r="X2610" s="250"/>
      <c r="Y2610" s="250"/>
      <c r="Z2610" s="250">
        <f>P2610</f>
        <v>0</v>
      </c>
      <c r="AA2610" s="303" t="e">
        <f>VLOOKUP(Logfile_S[[#This Row],[DO number]],DO_DB!G:I,3,0)</f>
        <v>#N/A</v>
      </c>
      <c r="AB2610" s="331" t="e">
        <f>EXACT(Logfile_S[[#This Row],[date pick]],Logfile_S[[#This Row],[Date]])</f>
        <v>#N/A</v>
      </c>
      <c r="AC261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11" spans="1:29" ht="14.5">
      <c r="A2611" s="480" t="str">
        <f>TEXT(ROW(A2611)-ROW($A$4),"000")</f>
        <v>2607</v>
      </c>
      <c r="B2611" s="249">
        <v>2</v>
      </c>
      <c r="C2611" s="250" t="s">
        <v>49</v>
      </c>
      <c r="D2611" s="250" t="s">
        <v>4762</v>
      </c>
      <c r="E2611" s="250" t="s">
        <v>3295</v>
      </c>
      <c r="F2611" s="250" t="s">
        <v>3299</v>
      </c>
      <c r="G2611" s="481">
        <v>46012</v>
      </c>
      <c r="H2611" s="251">
        <v>0.33333333333333331</v>
      </c>
      <c r="I2611" s="250" t="s">
        <v>3295</v>
      </c>
      <c r="J2611" s="249" t="s">
        <v>3023</v>
      </c>
      <c r="K2611" s="252" t="s">
        <v>3074</v>
      </c>
      <c r="L2611" s="348" t="str">
        <f>VLOOKUP(Logfile_S[[#This Row],[Material Name]],Sheet2!B:C,2,0)</f>
        <v>ZTE2002</v>
      </c>
      <c r="M2611" s="333" t="s">
        <v>20</v>
      </c>
      <c r="N2611" s="250">
        <v>3000</v>
      </c>
      <c r="O2611" s="250"/>
      <c r="P2611" s="250"/>
      <c r="Q2611" s="250"/>
      <c r="R2611" s="250"/>
      <c r="S2611" s="250"/>
      <c r="T2611" s="249" t="s">
        <v>3258</v>
      </c>
      <c r="U2611" s="249" t="s">
        <v>4811</v>
      </c>
      <c r="V2611" s="249" t="s">
        <v>3337</v>
      </c>
      <c r="W2611" s="249" t="s">
        <v>3338</v>
      </c>
      <c r="X2611" s="250"/>
      <c r="Y2611" s="250"/>
      <c r="Z2611" s="250">
        <f>P2611</f>
        <v>0</v>
      </c>
      <c r="AA2611" s="303" t="e">
        <f>VLOOKUP(Logfile_S[[#This Row],[DO number]],DO_DB!G:I,3,0)</f>
        <v>#N/A</v>
      </c>
      <c r="AB2611" s="331" t="e">
        <f>EXACT(Logfile_S[[#This Row],[date pick]],Logfile_S[[#This Row],[Date]])</f>
        <v>#N/A</v>
      </c>
      <c r="AC261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12" spans="1:29" ht="14.5">
      <c r="A2612" s="480" t="str">
        <f>TEXT(ROW(A2612)-ROW($A$4),"000")</f>
        <v>2608</v>
      </c>
      <c r="B2612" s="249">
        <v>2</v>
      </c>
      <c r="C2612" s="250" t="s">
        <v>49</v>
      </c>
      <c r="D2612" s="250" t="s">
        <v>4763</v>
      </c>
      <c r="E2612" s="250" t="s">
        <v>3295</v>
      </c>
      <c r="F2612" s="250" t="s">
        <v>3299</v>
      </c>
      <c r="G2612" s="481">
        <v>46012</v>
      </c>
      <c r="H2612" s="251">
        <v>0.33333333333333331</v>
      </c>
      <c r="I2612" s="250" t="s">
        <v>3295</v>
      </c>
      <c r="J2612" s="249" t="s">
        <v>3023</v>
      </c>
      <c r="K2612" s="252" t="s">
        <v>3074</v>
      </c>
      <c r="L2612" s="348" t="str">
        <f>VLOOKUP(Logfile_S[[#This Row],[Material Name]],Sheet2!B:C,2,0)</f>
        <v>ZTE2002</v>
      </c>
      <c r="M2612" s="333" t="s">
        <v>20</v>
      </c>
      <c r="N2612" s="250">
        <v>3000</v>
      </c>
      <c r="O2612" s="250"/>
      <c r="P2612" s="250"/>
      <c r="Q2612" s="250"/>
      <c r="R2612" s="250"/>
      <c r="S2612" s="250"/>
      <c r="T2612" s="249" t="s">
        <v>3258</v>
      </c>
      <c r="U2612" s="249" t="s">
        <v>4811</v>
      </c>
      <c r="V2612" s="249" t="s">
        <v>3337</v>
      </c>
      <c r="W2612" s="249" t="s">
        <v>3338</v>
      </c>
      <c r="X2612" s="250"/>
      <c r="Y2612" s="250"/>
      <c r="Z2612" s="250">
        <f>P2612</f>
        <v>0</v>
      </c>
      <c r="AA2612" s="303" t="e">
        <f>VLOOKUP(Logfile_S[[#This Row],[DO number]],DO_DB!G:I,3,0)</f>
        <v>#N/A</v>
      </c>
      <c r="AB2612" s="331" t="e">
        <f>EXACT(Logfile_S[[#This Row],[date pick]],Logfile_S[[#This Row],[Date]])</f>
        <v>#N/A</v>
      </c>
      <c r="AC261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13" spans="1:29" ht="14.5">
      <c r="A2613" s="480" t="str">
        <f>TEXT(ROW(A2613)-ROW($A$4),"000")</f>
        <v>2609</v>
      </c>
      <c r="B2613" s="249">
        <v>1</v>
      </c>
      <c r="C2613" s="250" t="s">
        <v>49</v>
      </c>
      <c r="D2613" s="250" t="s">
        <v>4764</v>
      </c>
      <c r="E2613" s="250" t="s">
        <v>3295</v>
      </c>
      <c r="F2613" s="250" t="s">
        <v>3299</v>
      </c>
      <c r="G2613" s="481">
        <v>46013</v>
      </c>
      <c r="H2613" s="251">
        <v>0.33333333333333331</v>
      </c>
      <c r="I2613" s="250" t="s">
        <v>3295</v>
      </c>
      <c r="J2613" s="249" t="s">
        <v>3023</v>
      </c>
      <c r="K2613" s="252" t="s">
        <v>3073</v>
      </c>
      <c r="L2613" s="348" t="str">
        <f>VLOOKUP(Logfile_S[[#This Row],[Material Name]],Sheet2!B:C,2,0)</f>
        <v>ZTE2001</v>
      </c>
      <c r="M2613" s="333" t="s">
        <v>20</v>
      </c>
      <c r="N2613" s="250">
        <v>3000</v>
      </c>
      <c r="O2613" s="250"/>
      <c r="P2613" s="250"/>
      <c r="Q2613" s="250"/>
      <c r="R2613" s="250"/>
      <c r="S2613" s="250"/>
      <c r="T2613" s="249" t="s">
        <v>3258</v>
      </c>
      <c r="U2613" s="249" t="s">
        <v>4811</v>
      </c>
      <c r="V2613" s="249" t="s">
        <v>3337</v>
      </c>
      <c r="W2613" s="249" t="s">
        <v>3338</v>
      </c>
      <c r="X2613" s="250"/>
      <c r="Y2613" s="250"/>
      <c r="Z2613" s="250">
        <f>P2613</f>
        <v>0</v>
      </c>
      <c r="AA2613" s="303" t="e">
        <f>VLOOKUP(Logfile_S[[#This Row],[DO number]],DO_DB!G:I,3,0)</f>
        <v>#N/A</v>
      </c>
      <c r="AB2613" s="331" t="e">
        <f>EXACT(Logfile_S[[#This Row],[date pick]],Logfile_S[[#This Row],[Date]])</f>
        <v>#N/A</v>
      </c>
      <c r="AC261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14" spans="1:29" ht="14.5">
      <c r="A2614" s="480" t="str">
        <f>TEXT(ROW(A2614)-ROW($A$4),"000")</f>
        <v>2610</v>
      </c>
      <c r="B2614" s="249">
        <v>2</v>
      </c>
      <c r="C2614" s="250" t="s">
        <v>49</v>
      </c>
      <c r="D2614" s="250" t="s">
        <v>4764</v>
      </c>
      <c r="E2614" s="250" t="s">
        <v>3295</v>
      </c>
      <c r="F2614" s="250" t="s">
        <v>3299</v>
      </c>
      <c r="G2614" s="481">
        <v>46013</v>
      </c>
      <c r="H2614" s="251">
        <v>0.33333333333333331</v>
      </c>
      <c r="I2614" s="250" t="s">
        <v>3295</v>
      </c>
      <c r="J2614" s="249" t="s">
        <v>3023</v>
      </c>
      <c r="K2614" s="252" t="s">
        <v>3074</v>
      </c>
      <c r="L2614" s="348" t="str">
        <f>VLOOKUP(Logfile_S[[#This Row],[Material Name]],Sheet2!B:C,2,0)</f>
        <v>ZTE2002</v>
      </c>
      <c r="M2614" s="333" t="s">
        <v>20</v>
      </c>
      <c r="N2614" s="250">
        <v>3000</v>
      </c>
      <c r="O2614" s="250"/>
      <c r="P2614" s="250"/>
      <c r="Q2614" s="250"/>
      <c r="R2614" s="250"/>
      <c r="S2614" s="250"/>
      <c r="T2614" s="249" t="s">
        <v>3258</v>
      </c>
      <c r="U2614" s="249" t="s">
        <v>4811</v>
      </c>
      <c r="V2614" s="249" t="s">
        <v>3337</v>
      </c>
      <c r="W2614" s="249" t="s">
        <v>3338</v>
      </c>
      <c r="X2614" s="250"/>
      <c r="Y2614" s="250"/>
      <c r="Z2614" s="250">
        <f>P2614</f>
        <v>0</v>
      </c>
      <c r="AA2614" s="303" t="e">
        <f>VLOOKUP(Logfile_S[[#This Row],[DO number]],DO_DB!G:I,3,0)</f>
        <v>#N/A</v>
      </c>
      <c r="AB2614" s="331" t="e">
        <f>EXACT(Logfile_S[[#This Row],[date pick]],Logfile_S[[#This Row],[Date]])</f>
        <v>#N/A</v>
      </c>
      <c r="AC261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15" spans="1:29" ht="14.5">
      <c r="A2615" s="480" t="str">
        <f>TEXT(ROW(A2615)-ROW($A$4),"000")</f>
        <v>2611</v>
      </c>
      <c r="B2615" s="249">
        <v>5</v>
      </c>
      <c r="C2615" s="250" t="s">
        <v>48</v>
      </c>
      <c r="D2615" s="250" t="s">
        <v>4778</v>
      </c>
      <c r="E2615" s="250" t="s">
        <v>3295</v>
      </c>
      <c r="F2615" s="250" t="s">
        <v>3299</v>
      </c>
      <c r="G2615" s="481">
        <v>46014</v>
      </c>
      <c r="H2615" s="251">
        <v>0.33333333333333331</v>
      </c>
      <c r="I2615" s="249" t="s">
        <v>38</v>
      </c>
      <c r="J2615" s="250" t="s">
        <v>3024</v>
      </c>
      <c r="K2615" s="252" t="s">
        <v>3091</v>
      </c>
      <c r="L2615" s="348" t="str">
        <f>VLOOKUP(Logfile_S[[#This Row],[Material Name]],Sheet2!B:C,2,0)</f>
        <v>GCI1005</v>
      </c>
      <c r="M2615" s="333" t="s">
        <v>19</v>
      </c>
      <c r="N2615" s="250">
        <v>666</v>
      </c>
      <c r="O2615" s="250"/>
      <c r="P2615" s="250"/>
      <c r="Q2615" s="250"/>
      <c r="R2615" s="250"/>
      <c r="S2615" s="250"/>
      <c r="T2615" s="250"/>
      <c r="U2615" s="250"/>
      <c r="V2615" s="250"/>
      <c r="W2615" s="250"/>
      <c r="X2615" s="250"/>
      <c r="Y2615" s="250"/>
      <c r="Z2615" s="250">
        <f>P2615</f>
        <v>0</v>
      </c>
      <c r="AA2615" s="303" t="e">
        <f>VLOOKUP(Logfile_S[[#This Row],[DO number]],DO_DB!G:I,3,0)</f>
        <v>#N/A</v>
      </c>
      <c r="AB2615" s="331" t="e">
        <f>EXACT(Logfile_S[[#This Row],[date pick]],Logfile_S[[#This Row],[Date]])</f>
        <v>#N/A</v>
      </c>
      <c r="AC261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16" spans="1:29" ht="14.5">
      <c r="A2616" s="480" t="str">
        <f>TEXT(ROW(A2616)-ROW($A$4),"000")</f>
        <v>2612</v>
      </c>
      <c r="B2616" s="249">
        <v>1</v>
      </c>
      <c r="C2616" s="250" t="s">
        <v>48</v>
      </c>
      <c r="D2616" s="250" t="s">
        <v>4778</v>
      </c>
      <c r="E2616" s="250" t="s">
        <v>3295</v>
      </c>
      <c r="F2616" s="250" t="s">
        <v>3299</v>
      </c>
      <c r="G2616" s="481">
        <v>46014</v>
      </c>
      <c r="H2616" s="251">
        <v>0.33333333333333331</v>
      </c>
      <c r="I2616" s="249" t="s">
        <v>38</v>
      </c>
      <c r="J2616" s="250" t="s">
        <v>3024</v>
      </c>
      <c r="K2616" s="252" t="s">
        <v>3087</v>
      </c>
      <c r="L2616" s="348" t="str">
        <f>VLOOKUP(Logfile_S[[#This Row],[Material Name]],Sheet2!B:C,2,0)</f>
        <v>GCI1001</v>
      </c>
      <c r="M2616" s="333" t="s">
        <v>19</v>
      </c>
      <c r="N2616" s="250">
        <v>234</v>
      </c>
      <c r="O2616" s="250"/>
      <c r="P2616" s="250"/>
      <c r="Q2616" s="250"/>
      <c r="R2616" s="250"/>
      <c r="S2616" s="250"/>
      <c r="T2616" s="250"/>
      <c r="U2616" s="250"/>
      <c r="V2616" s="250"/>
      <c r="W2616" s="250"/>
      <c r="X2616" s="250"/>
      <c r="Y2616" s="250"/>
      <c r="Z2616" s="250">
        <f>P2616</f>
        <v>0</v>
      </c>
      <c r="AA2616" s="303" t="e">
        <f>VLOOKUP(Logfile_S[[#This Row],[DO number]],DO_DB!G:I,3,0)</f>
        <v>#N/A</v>
      </c>
      <c r="AB2616" s="331" t="e">
        <f>EXACT(Logfile_S[[#This Row],[date pick]],Logfile_S[[#This Row],[Date]])</f>
        <v>#N/A</v>
      </c>
      <c r="AC261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17" spans="1:29" ht="14.5">
      <c r="A2617" s="480" t="str">
        <f>TEXT(ROW(A2617)-ROW($A$4),"000")</f>
        <v>2613</v>
      </c>
      <c r="B2617" s="249">
        <v>7</v>
      </c>
      <c r="C2617" s="250" t="s">
        <v>48</v>
      </c>
      <c r="D2617" s="250" t="s">
        <v>4778</v>
      </c>
      <c r="E2617" s="250" t="s">
        <v>3295</v>
      </c>
      <c r="F2617" s="250" t="s">
        <v>3299</v>
      </c>
      <c r="G2617" s="481">
        <v>46014</v>
      </c>
      <c r="H2617" s="251">
        <v>0.33333333333333331</v>
      </c>
      <c r="I2617" s="249" t="s">
        <v>38</v>
      </c>
      <c r="J2617" s="250" t="s">
        <v>3024</v>
      </c>
      <c r="K2617" s="592" t="s">
        <v>5137</v>
      </c>
      <c r="L2617" s="348" t="str">
        <f>VLOOKUP(Logfile_S[[#This Row],[Material Name]],Sheet2!B:C,2,0)</f>
        <v>GCI1009</v>
      </c>
      <c r="M2617" s="333" t="s">
        <v>19</v>
      </c>
      <c r="N2617" s="250">
        <v>1413</v>
      </c>
      <c r="O2617" s="250"/>
      <c r="P2617" s="250"/>
      <c r="Q2617" s="250"/>
      <c r="R2617" s="250"/>
      <c r="S2617" s="250"/>
      <c r="T2617" s="250"/>
      <c r="U2617" s="250"/>
      <c r="V2617" s="250"/>
      <c r="W2617" s="250"/>
      <c r="X2617" s="250"/>
      <c r="Y2617" s="250"/>
      <c r="Z2617" s="250">
        <f>P2617</f>
        <v>0</v>
      </c>
      <c r="AA2617" s="303" t="e">
        <f>VLOOKUP(Logfile_S[[#This Row],[DO number]],DO_DB!G:I,3,0)</f>
        <v>#N/A</v>
      </c>
      <c r="AB2617" s="331" t="e">
        <f>EXACT(Logfile_S[[#This Row],[date pick]],Logfile_S[[#This Row],[Date]])</f>
        <v>#N/A</v>
      </c>
      <c r="AC261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18" spans="1:29" ht="14.5">
      <c r="A2618" s="480" t="str">
        <f>TEXT(ROW(A2618)-ROW($A$4),"000")</f>
        <v>2614</v>
      </c>
      <c r="B2618" s="249">
        <v>3</v>
      </c>
      <c r="C2618" s="250" t="s">
        <v>48</v>
      </c>
      <c r="D2618" s="250" t="s">
        <v>4778</v>
      </c>
      <c r="E2618" s="250" t="s">
        <v>3295</v>
      </c>
      <c r="F2618" s="250" t="s">
        <v>3299</v>
      </c>
      <c r="G2618" s="481">
        <v>46014</v>
      </c>
      <c r="H2618" s="251">
        <v>0.33333333333333331</v>
      </c>
      <c r="I2618" s="249" t="s">
        <v>38</v>
      </c>
      <c r="J2618" s="250" t="s">
        <v>3024</v>
      </c>
      <c r="K2618" s="252" t="s">
        <v>3088</v>
      </c>
      <c r="L2618" s="348" t="str">
        <f>VLOOKUP(Logfile_S[[#This Row],[Material Name]],Sheet2!B:C,2,0)</f>
        <v>GCI1002</v>
      </c>
      <c r="M2618" s="333" t="s">
        <v>19</v>
      </c>
      <c r="N2618" s="250">
        <v>9</v>
      </c>
      <c r="O2618" s="250"/>
      <c r="P2618" s="250"/>
      <c r="Q2618" s="250"/>
      <c r="R2618" s="250"/>
      <c r="S2618" s="250"/>
      <c r="T2618" s="250"/>
      <c r="U2618" s="250"/>
      <c r="V2618" s="250"/>
      <c r="W2618" s="250"/>
      <c r="X2618" s="250"/>
      <c r="Y2618" s="250"/>
      <c r="Z2618" s="250">
        <f>P2618</f>
        <v>0</v>
      </c>
      <c r="AA2618" s="303" t="e">
        <f>VLOOKUP(Logfile_S[[#This Row],[DO number]],DO_DB!G:I,3,0)</f>
        <v>#N/A</v>
      </c>
      <c r="AB2618" s="331" t="e">
        <f>EXACT(Logfile_S[[#This Row],[date pick]],Logfile_S[[#This Row],[Date]])</f>
        <v>#N/A</v>
      </c>
      <c r="AC261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19" spans="1:29" ht="14.5">
      <c r="A2619" s="237" t="str">
        <f>TEXT(ROW(A2619)-ROW($A$4),"000")</f>
        <v>2615</v>
      </c>
      <c r="B2619" s="221">
        <v>6</v>
      </c>
      <c r="C2619" s="227" t="s">
        <v>48</v>
      </c>
      <c r="D2619" s="227" t="s">
        <v>4778</v>
      </c>
      <c r="E2619" s="227" t="s">
        <v>3295</v>
      </c>
      <c r="F2619" s="227" t="s">
        <v>3299</v>
      </c>
      <c r="G2619" s="239">
        <v>46014</v>
      </c>
      <c r="H2619" s="240">
        <v>0.33333333333333331</v>
      </c>
      <c r="I2619" s="221" t="s">
        <v>38</v>
      </c>
      <c r="J2619" s="227" t="s">
        <v>3024</v>
      </c>
      <c r="K2619" s="241" t="s">
        <v>3094</v>
      </c>
      <c r="L2619" s="348" t="str">
        <f>VLOOKUP(Logfile_S[[#This Row],[Material Name]],Sheet2!B:C,2,0)</f>
        <v>GCI1008</v>
      </c>
      <c r="M2619" s="242" t="s">
        <v>19</v>
      </c>
      <c r="N2619" s="227">
        <v>1087</v>
      </c>
      <c r="O2619" s="227"/>
      <c r="P2619" s="227"/>
      <c r="Q2619" s="227"/>
      <c r="R2619" s="227"/>
      <c r="S2619" s="227"/>
      <c r="T2619" s="227"/>
      <c r="U2619" s="227"/>
      <c r="V2619" s="227"/>
      <c r="W2619" s="227"/>
      <c r="X2619" s="227"/>
      <c r="Y2619" s="227"/>
      <c r="Z2619" s="227">
        <f>P2619</f>
        <v>0</v>
      </c>
      <c r="AA2619" s="276" t="e">
        <f>VLOOKUP(Logfile_S[[#This Row],[DO number]],DO_DB!G:I,3,0)</f>
        <v>#N/A</v>
      </c>
      <c r="AB2619" s="331" t="e">
        <f>EXACT(Logfile_S[[#This Row],[date pick]],Logfile_S[[#This Row],[Date]])</f>
        <v>#N/A</v>
      </c>
      <c r="AC261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20" spans="1:29" ht="14.5">
      <c r="A2620" s="237" t="str">
        <f>TEXT(ROW(A2620)-ROW($A$4),"000")</f>
        <v>2616</v>
      </c>
      <c r="B2620" s="221">
        <v>8</v>
      </c>
      <c r="C2620" s="227" t="s">
        <v>48</v>
      </c>
      <c r="D2620" s="227" t="s">
        <v>4778</v>
      </c>
      <c r="E2620" s="227" t="s">
        <v>3295</v>
      </c>
      <c r="F2620" s="227" t="s">
        <v>3299</v>
      </c>
      <c r="G2620" s="239">
        <v>46014</v>
      </c>
      <c r="H2620" s="240">
        <v>0.33333333333333331</v>
      </c>
      <c r="I2620" s="221" t="s">
        <v>38</v>
      </c>
      <c r="J2620" s="227" t="s">
        <v>3024</v>
      </c>
      <c r="K2620" s="241" t="s">
        <v>3097</v>
      </c>
      <c r="L2620" s="348" t="str">
        <f>VLOOKUP(Logfile_S[[#This Row],[Material Name]],Sheet2!B:C,2,0)</f>
        <v>GCI1011</v>
      </c>
      <c r="M2620" s="242" t="s">
        <v>19</v>
      </c>
      <c r="N2620" s="227">
        <v>4</v>
      </c>
      <c r="O2620" s="227"/>
      <c r="P2620" s="227"/>
      <c r="Q2620" s="227"/>
      <c r="R2620" s="227"/>
      <c r="S2620" s="227"/>
      <c r="T2620" s="227"/>
      <c r="U2620" s="227"/>
      <c r="V2620" s="227"/>
      <c r="W2620" s="227"/>
      <c r="X2620" s="227"/>
      <c r="Y2620" s="227"/>
      <c r="Z2620" s="227">
        <f>P2620</f>
        <v>0</v>
      </c>
      <c r="AA2620" s="276" t="e">
        <f>VLOOKUP(Logfile_S[[#This Row],[DO number]],DO_DB!G:I,3,0)</f>
        <v>#N/A</v>
      </c>
      <c r="AB2620" s="331" t="e">
        <f>EXACT(Logfile_S[[#This Row],[date pick]],Logfile_S[[#This Row],[Date]])</f>
        <v>#N/A</v>
      </c>
      <c r="AC262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21" spans="1:29" ht="14.5">
      <c r="A2621" s="237" t="str">
        <f>TEXT(ROW(A2621)-ROW($A$4),"000")</f>
        <v>2617</v>
      </c>
      <c r="B2621" s="221">
        <v>2</v>
      </c>
      <c r="C2621" s="227" t="s">
        <v>48</v>
      </c>
      <c r="D2621" s="227" t="s">
        <v>4778</v>
      </c>
      <c r="E2621" s="227" t="s">
        <v>3295</v>
      </c>
      <c r="F2621" s="227" t="s">
        <v>3299</v>
      </c>
      <c r="G2621" s="239">
        <v>46014</v>
      </c>
      <c r="H2621" s="240">
        <v>0.33333333333333331</v>
      </c>
      <c r="I2621" s="221" t="s">
        <v>38</v>
      </c>
      <c r="J2621" s="227" t="s">
        <v>3024</v>
      </c>
      <c r="K2621" s="241" t="s">
        <v>3089</v>
      </c>
      <c r="L2621" s="348" t="str">
        <f>VLOOKUP(Logfile_S[[#This Row],[Material Name]],Sheet2!B:C,2,0)</f>
        <v>GCI1003</v>
      </c>
      <c r="M2621" s="242" t="s">
        <v>19</v>
      </c>
      <c r="N2621" s="227">
        <v>1350</v>
      </c>
      <c r="O2621" s="227"/>
      <c r="P2621" s="227"/>
      <c r="Q2621" s="227"/>
      <c r="R2621" s="227"/>
      <c r="S2621" s="227"/>
      <c r="T2621" s="227"/>
      <c r="U2621" s="227"/>
      <c r="V2621" s="227"/>
      <c r="W2621" s="227"/>
      <c r="X2621" s="227"/>
      <c r="Y2621" s="227"/>
      <c r="Z2621" s="227">
        <f>P2621</f>
        <v>0</v>
      </c>
      <c r="AA2621" s="276" t="e">
        <f>VLOOKUP(Logfile_S[[#This Row],[DO number]],DO_DB!G:I,3,0)</f>
        <v>#N/A</v>
      </c>
      <c r="AB2621" s="331" t="e">
        <f>EXACT(Logfile_S[[#This Row],[date pick]],Logfile_S[[#This Row],[Date]])</f>
        <v>#N/A</v>
      </c>
      <c r="AC262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22" spans="1:29" ht="14.5">
      <c r="A2622" s="237" t="str">
        <f>TEXT(ROW(A2622)-ROW($A$4),"000")</f>
        <v>2618</v>
      </c>
      <c r="B2622" s="221">
        <v>4</v>
      </c>
      <c r="C2622" s="227" t="s">
        <v>48</v>
      </c>
      <c r="D2622" s="227" t="s">
        <v>4778</v>
      </c>
      <c r="E2622" s="227" t="s">
        <v>3295</v>
      </c>
      <c r="F2622" s="227" t="s">
        <v>3299</v>
      </c>
      <c r="G2622" s="239">
        <v>46014</v>
      </c>
      <c r="H2622" s="240">
        <v>0.33333333333333331</v>
      </c>
      <c r="I2622" s="221" t="s">
        <v>38</v>
      </c>
      <c r="J2622" s="227" t="s">
        <v>3024</v>
      </c>
      <c r="K2622" s="241" t="s">
        <v>3090</v>
      </c>
      <c r="L2622" s="348" t="str">
        <f>VLOOKUP(Logfile_S[[#This Row],[Material Name]],Sheet2!B:C,2,0)</f>
        <v>GCI1004</v>
      </c>
      <c r="M2622" s="242" t="s">
        <v>19</v>
      </c>
      <c r="N2622" s="227">
        <v>430</v>
      </c>
      <c r="O2622" s="227"/>
      <c r="P2622" s="227"/>
      <c r="Q2622" s="227"/>
      <c r="R2622" s="227"/>
      <c r="S2622" s="227"/>
      <c r="T2622" s="227"/>
      <c r="U2622" s="227"/>
      <c r="V2622" s="227"/>
      <c r="W2622" s="227"/>
      <c r="X2622" s="227"/>
      <c r="Y2622" s="227"/>
      <c r="Z2622" s="227">
        <f>P2622</f>
        <v>0</v>
      </c>
      <c r="AA2622" s="276" t="e">
        <f>VLOOKUP(Logfile_S[[#This Row],[DO number]],DO_DB!G:I,3,0)</f>
        <v>#N/A</v>
      </c>
      <c r="AB2622" s="331" t="e">
        <f>EXACT(Logfile_S[[#This Row],[date pick]],Logfile_S[[#This Row],[Date]])</f>
        <v>#N/A</v>
      </c>
      <c r="AC262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23" spans="1:29" ht="14.5">
      <c r="A2623" s="237" t="str">
        <f>TEXT(ROW(A2623)-ROW($A$4),"000")</f>
        <v>2619</v>
      </c>
      <c r="B2623" s="221">
        <v>3</v>
      </c>
      <c r="C2623" s="227" t="s">
        <v>49</v>
      </c>
      <c r="D2623" s="227" t="s">
        <v>4777</v>
      </c>
      <c r="E2623" s="227" t="s">
        <v>3295</v>
      </c>
      <c r="F2623" s="227" t="s">
        <v>3299</v>
      </c>
      <c r="G2623" s="239">
        <v>46016</v>
      </c>
      <c r="H2623" s="240">
        <v>0.50902777777777775</v>
      </c>
      <c r="I2623" s="227" t="s">
        <v>3295</v>
      </c>
      <c r="J2623" s="221" t="s">
        <v>3023</v>
      </c>
      <c r="K2623" s="241" t="s">
        <v>3073</v>
      </c>
      <c r="L2623" s="348" t="str">
        <f>VLOOKUP(Logfile_S[[#This Row],[Material Name]],Sheet2!B:C,2,0)</f>
        <v>ZTE2001</v>
      </c>
      <c r="M2623" s="242" t="s">
        <v>20</v>
      </c>
      <c r="N2623" s="221">
        <v>3000</v>
      </c>
      <c r="O2623" s="227"/>
      <c r="P2623" s="227"/>
      <c r="Q2623" s="227"/>
      <c r="R2623" s="227"/>
      <c r="S2623" s="227"/>
      <c r="T2623" s="221" t="s">
        <v>3258</v>
      </c>
      <c r="U2623" s="221" t="s">
        <v>4811</v>
      </c>
      <c r="V2623" s="221" t="s">
        <v>3337</v>
      </c>
      <c r="W2623" s="221" t="s">
        <v>3338</v>
      </c>
      <c r="X2623" s="227"/>
      <c r="Y2623" s="227"/>
      <c r="Z2623" s="227">
        <f>P2623</f>
        <v>0</v>
      </c>
      <c r="AA2623" s="276" t="e">
        <f>VLOOKUP(Logfile_S[[#This Row],[DO number]],DO_DB!G:I,3,0)</f>
        <v>#N/A</v>
      </c>
      <c r="AB2623" s="331" t="e">
        <f>EXACT(Logfile_S[[#This Row],[date pick]],Logfile_S[[#This Row],[Date]])</f>
        <v>#N/A</v>
      </c>
      <c r="AC2623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24" spans="1:29" ht="14.5">
      <c r="A2624" s="237" t="str">
        <f>TEXT(ROW(A2624)-ROW($A$4),"000")</f>
        <v>2620</v>
      </c>
      <c r="B2624" s="221"/>
      <c r="C2624" s="227" t="s">
        <v>49</v>
      </c>
      <c r="D2624" s="227" t="s">
        <v>4777</v>
      </c>
      <c r="E2624" s="227" t="s">
        <v>3295</v>
      </c>
      <c r="F2624" s="227" t="s">
        <v>3299</v>
      </c>
      <c r="G2624" s="239">
        <v>46016</v>
      </c>
      <c r="H2624" s="240">
        <v>0.50902777777777775</v>
      </c>
      <c r="I2624" s="227" t="s">
        <v>3295</v>
      </c>
      <c r="J2624" s="221" t="s">
        <v>3023</v>
      </c>
      <c r="K2624" s="241" t="s">
        <v>3073</v>
      </c>
      <c r="L2624" s="348" t="str">
        <f>VLOOKUP(Logfile_S[[#This Row],[Material Name]],Sheet2!B:C,2,0)</f>
        <v>ZTE2001</v>
      </c>
      <c r="M2624" s="242" t="s">
        <v>20</v>
      </c>
      <c r="N2624" s="221">
        <v>3000</v>
      </c>
      <c r="O2624" s="227"/>
      <c r="P2624" s="227"/>
      <c r="Q2624" s="227"/>
      <c r="R2624" s="227"/>
      <c r="S2624" s="227"/>
      <c r="T2624" s="221" t="s">
        <v>3258</v>
      </c>
      <c r="U2624" s="221" t="s">
        <v>4811</v>
      </c>
      <c r="V2624" s="221" t="s">
        <v>3337</v>
      </c>
      <c r="W2624" s="221" t="s">
        <v>3338</v>
      </c>
      <c r="X2624" s="227"/>
      <c r="Y2624" s="238"/>
      <c r="Z2624" s="227">
        <f>P2624</f>
        <v>0</v>
      </c>
      <c r="AA2624" s="276" t="e">
        <f>VLOOKUP(Logfile_S[[#This Row],[DO number]],DO_DB!G:I,3,0)</f>
        <v>#N/A</v>
      </c>
      <c r="AB2624" s="331" t="e">
        <f>EXACT(Logfile_S[[#This Row],[date pick]],Logfile_S[[#This Row],[Date]])</f>
        <v>#N/A</v>
      </c>
      <c r="AC2624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25" spans="1:29" ht="14.5">
      <c r="A2625" s="237" t="str">
        <f>TEXT(ROW(A2625)-ROW($A$4),"000")</f>
        <v>2621</v>
      </c>
      <c r="B2625" s="221">
        <v>8</v>
      </c>
      <c r="C2625" s="227" t="s">
        <v>49</v>
      </c>
      <c r="D2625" s="227" t="s">
        <v>4777</v>
      </c>
      <c r="E2625" s="227" t="s">
        <v>3295</v>
      </c>
      <c r="F2625" s="227" t="s">
        <v>3299</v>
      </c>
      <c r="G2625" s="239">
        <v>46016</v>
      </c>
      <c r="H2625" s="240">
        <v>0.50902777777777775</v>
      </c>
      <c r="I2625" s="227" t="s">
        <v>3295</v>
      </c>
      <c r="J2625" s="227" t="s">
        <v>3024</v>
      </c>
      <c r="K2625" s="241" t="s">
        <v>3091</v>
      </c>
      <c r="L2625" s="348" t="str">
        <f>VLOOKUP(Logfile_S[[#This Row],[Material Name]],Sheet2!B:C,2,0)</f>
        <v>GCI1005</v>
      </c>
      <c r="M2625" s="242" t="s">
        <v>19</v>
      </c>
      <c r="N2625" s="227">
        <v>666</v>
      </c>
      <c r="O2625" s="227"/>
      <c r="P2625" s="227"/>
      <c r="Q2625" s="227"/>
      <c r="R2625" s="227"/>
      <c r="S2625" s="227"/>
      <c r="T2625" s="221" t="s">
        <v>3258</v>
      </c>
      <c r="U2625" s="221" t="s">
        <v>4811</v>
      </c>
      <c r="V2625" s="221" t="s">
        <v>3337</v>
      </c>
      <c r="W2625" s="221" t="s">
        <v>3338</v>
      </c>
      <c r="X2625" s="227"/>
      <c r="Y2625" s="227"/>
      <c r="Z2625" s="227">
        <f>P2625</f>
        <v>0</v>
      </c>
      <c r="AA2625" s="276" t="e">
        <f>VLOOKUP(Logfile_S[[#This Row],[DO number]],DO_DB!G:I,3,0)</f>
        <v>#N/A</v>
      </c>
      <c r="AB2625" s="331" t="e">
        <f>EXACT(Logfile_S[[#This Row],[date pick]],Logfile_S[[#This Row],[Date]])</f>
        <v>#N/A</v>
      </c>
      <c r="AC2625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26" spans="1:29" ht="14.5">
      <c r="A2626" s="237" t="str">
        <f>TEXT(ROW(A2626)-ROW($A$4),"000")</f>
        <v>2622</v>
      </c>
      <c r="B2626" s="221">
        <v>4</v>
      </c>
      <c r="C2626" s="227" t="s">
        <v>49</v>
      </c>
      <c r="D2626" s="227" t="s">
        <v>4777</v>
      </c>
      <c r="E2626" s="227" t="s">
        <v>3295</v>
      </c>
      <c r="F2626" s="227" t="s">
        <v>3299</v>
      </c>
      <c r="G2626" s="239">
        <v>46016</v>
      </c>
      <c r="H2626" s="240">
        <v>0.50902777777777775</v>
      </c>
      <c r="I2626" s="227" t="s">
        <v>3295</v>
      </c>
      <c r="J2626" s="227" t="s">
        <v>3024</v>
      </c>
      <c r="K2626" s="241" t="s">
        <v>3087</v>
      </c>
      <c r="L2626" s="348" t="str">
        <f>VLOOKUP(Logfile_S[[#This Row],[Material Name]],Sheet2!B:C,2,0)</f>
        <v>GCI1001</v>
      </c>
      <c r="M2626" s="242" t="s">
        <v>19</v>
      </c>
      <c r="N2626" s="227">
        <v>234</v>
      </c>
      <c r="O2626" s="227"/>
      <c r="P2626" s="227"/>
      <c r="Q2626" s="227"/>
      <c r="R2626" s="227"/>
      <c r="S2626" s="227"/>
      <c r="T2626" s="221" t="s">
        <v>3258</v>
      </c>
      <c r="U2626" s="221" t="s">
        <v>4811</v>
      </c>
      <c r="V2626" s="221" t="s">
        <v>3337</v>
      </c>
      <c r="W2626" s="221" t="s">
        <v>3338</v>
      </c>
      <c r="X2626" s="227"/>
      <c r="Y2626" s="227"/>
      <c r="Z2626" s="227">
        <f>P2626</f>
        <v>0</v>
      </c>
      <c r="AA2626" s="276" t="e">
        <f>VLOOKUP(Logfile_S[[#This Row],[DO number]],DO_DB!G:I,3,0)</f>
        <v>#N/A</v>
      </c>
      <c r="AB2626" s="331" t="e">
        <f>EXACT(Logfile_S[[#This Row],[date pick]],Logfile_S[[#This Row],[Date]])</f>
        <v>#N/A</v>
      </c>
      <c r="AC2626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27" spans="1:29" ht="14.5">
      <c r="A2627" s="237" t="str">
        <f>TEXT(ROW(A2627)-ROW($A$4),"000")</f>
        <v>2623</v>
      </c>
      <c r="B2627" s="221">
        <v>10</v>
      </c>
      <c r="C2627" s="227" t="s">
        <v>49</v>
      </c>
      <c r="D2627" s="227" t="s">
        <v>4777</v>
      </c>
      <c r="E2627" s="227" t="s">
        <v>3295</v>
      </c>
      <c r="F2627" s="227" t="s">
        <v>3299</v>
      </c>
      <c r="G2627" s="239">
        <v>46016</v>
      </c>
      <c r="H2627" s="240">
        <v>0.50902777777777775</v>
      </c>
      <c r="I2627" s="227" t="s">
        <v>3295</v>
      </c>
      <c r="J2627" s="227" t="s">
        <v>3024</v>
      </c>
      <c r="K2627" s="224" t="s">
        <v>5137</v>
      </c>
      <c r="L2627" s="348" t="str">
        <f>VLOOKUP(Logfile_S[[#This Row],[Material Name]],Sheet2!B:C,2,0)</f>
        <v>GCI1009</v>
      </c>
      <c r="M2627" s="242" t="s">
        <v>19</v>
      </c>
      <c r="N2627" s="227">
        <v>1413</v>
      </c>
      <c r="O2627" s="227"/>
      <c r="P2627" s="227"/>
      <c r="Q2627" s="227"/>
      <c r="R2627" s="227"/>
      <c r="S2627" s="227"/>
      <c r="T2627" s="221" t="s">
        <v>3258</v>
      </c>
      <c r="U2627" s="221" t="s">
        <v>4811</v>
      </c>
      <c r="V2627" s="221" t="s">
        <v>3337</v>
      </c>
      <c r="W2627" s="221" t="s">
        <v>3338</v>
      </c>
      <c r="X2627" s="227"/>
      <c r="Y2627" s="227"/>
      <c r="Z2627" s="227">
        <f>P2627</f>
        <v>0</v>
      </c>
      <c r="AA2627" s="276" t="e">
        <f>VLOOKUP(Logfile_S[[#This Row],[DO number]],DO_DB!G:I,3,0)</f>
        <v>#N/A</v>
      </c>
      <c r="AB2627" s="331" t="e">
        <f>EXACT(Logfile_S[[#This Row],[date pick]],Logfile_S[[#This Row],[Date]])</f>
        <v>#N/A</v>
      </c>
      <c r="AC2627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28" spans="1:29" ht="14.5">
      <c r="A2628" s="237" t="str">
        <f>TEXT(ROW(A2628)-ROW($A$4),"000")</f>
        <v>2624</v>
      </c>
      <c r="B2628" s="221">
        <v>6</v>
      </c>
      <c r="C2628" s="227" t="s">
        <v>49</v>
      </c>
      <c r="D2628" s="227" t="s">
        <v>4777</v>
      </c>
      <c r="E2628" s="227" t="s">
        <v>3295</v>
      </c>
      <c r="F2628" s="227" t="s">
        <v>3299</v>
      </c>
      <c r="G2628" s="239">
        <v>46016</v>
      </c>
      <c r="H2628" s="240">
        <v>0.50902777777777775</v>
      </c>
      <c r="I2628" s="227" t="s">
        <v>3295</v>
      </c>
      <c r="J2628" s="227" t="s">
        <v>3024</v>
      </c>
      <c r="K2628" s="241" t="s">
        <v>3088</v>
      </c>
      <c r="L2628" s="348" t="str">
        <f>VLOOKUP(Logfile_S[[#This Row],[Material Name]],Sheet2!B:C,2,0)</f>
        <v>GCI1002</v>
      </c>
      <c r="M2628" s="242" t="s">
        <v>19</v>
      </c>
      <c r="N2628" s="227">
        <v>9</v>
      </c>
      <c r="O2628" s="227"/>
      <c r="P2628" s="227"/>
      <c r="Q2628" s="227"/>
      <c r="R2628" s="227"/>
      <c r="S2628" s="227"/>
      <c r="T2628" s="221" t="s">
        <v>3258</v>
      </c>
      <c r="U2628" s="221" t="s">
        <v>4811</v>
      </c>
      <c r="V2628" s="221" t="s">
        <v>3337</v>
      </c>
      <c r="W2628" s="221" t="s">
        <v>3338</v>
      </c>
      <c r="X2628" s="227"/>
      <c r="Y2628" s="227"/>
      <c r="Z2628" s="227">
        <f>P2628</f>
        <v>0</v>
      </c>
      <c r="AA2628" s="276" t="e">
        <f>VLOOKUP(Logfile_S[[#This Row],[DO number]],DO_DB!G:I,3,0)</f>
        <v>#N/A</v>
      </c>
      <c r="AB2628" s="331" t="e">
        <f>EXACT(Logfile_S[[#This Row],[date pick]],Logfile_S[[#This Row],[Date]])</f>
        <v>#N/A</v>
      </c>
      <c r="AC2628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29" spans="1:29" ht="14.5">
      <c r="A2629" s="237" t="str">
        <f>TEXT(ROW(A2629)-ROW($A$4),"000")</f>
        <v>2625</v>
      </c>
      <c r="B2629" s="221">
        <v>9</v>
      </c>
      <c r="C2629" s="227" t="s">
        <v>49</v>
      </c>
      <c r="D2629" s="227" t="s">
        <v>4777</v>
      </c>
      <c r="E2629" s="227" t="s">
        <v>3295</v>
      </c>
      <c r="F2629" s="227" t="s">
        <v>3299</v>
      </c>
      <c r="G2629" s="239">
        <v>46016</v>
      </c>
      <c r="H2629" s="240">
        <v>0.50902777777777775</v>
      </c>
      <c r="I2629" s="227" t="s">
        <v>3295</v>
      </c>
      <c r="J2629" s="227" t="s">
        <v>3024</v>
      </c>
      <c r="K2629" s="241" t="s">
        <v>3094</v>
      </c>
      <c r="L2629" s="348" t="str">
        <f>VLOOKUP(Logfile_S[[#This Row],[Material Name]],Sheet2!B:C,2,0)</f>
        <v>GCI1008</v>
      </c>
      <c r="M2629" s="242" t="s">
        <v>19</v>
      </c>
      <c r="N2629" s="227">
        <v>1087</v>
      </c>
      <c r="O2629" s="227"/>
      <c r="P2629" s="227"/>
      <c r="Q2629" s="227"/>
      <c r="R2629" s="227"/>
      <c r="S2629" s="227"/>
      <c r="T2629" s="221" t="s">
        <v>3258</v>
      </c>
      <c r="U2629" s="221" t="s">
        <v>4811</v>
      </c>
      <c r="V2629" s="221" t="s">
        <v>3337</v>
      </c>
      <c r="W2629" s="221" t="s">
        <v>3338</v>
      </c>
      <c r="X2629" s="227"/>
      <c r="Y2629" s="227"/>
      <c r="Z2629" s="227">
        <f>P2629</f>
        <v>0</v>
      </c>
      <c r="AA2629" s="276" t="e">
        <f>VLOOKUP(Logfile_S[[#This Row],[DO number]],DO_DB!G:I,3,0)</f>
        <v>#N/A</v>
      </c>
      <c r="AB2629" s="331" t="e">
        <f>EXACT(Logfile_S[[#This Row],[date pick]],Logfile_S[[#This Row],[Date]])</f>
        <v>#N/A</v>
      </c>
      <c r="AC2629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30" spans="1:29" ht="14.5">
      <c r="A2630" s="237" t="str">
        <f>TEXT(ROW(A2630)-ROW($A$4),"000")</f>
        <v>2626</v>
      </c>
      <c r="B2630" s="221">
        <v>11</v>
      </c>
      <c r="C2630" s="227" t="s">
        <v>49</v>
      </c>
      <c r="D2630" s="227" t="s">
        <v>4777</v>
      </c>
      <c r="E2630" s="227" t="s">
        <v>3295</v>
      </c>
      <c r="F2630" s="227" t="s">
        <v>3299</v>
      </c>
      <c r="G2630" s="239">
        <v>46016</v>
      </c>
      <c r="H2630" s="240">
        <v>0.50902777777777775</v>
      </c>
      <c r="I2630" s="227" t="s">
        <v>3295</v>
      </c>
      <c r="J2630" s="227" t="s">
        <v>3024</v>
      </c>
      <c r="K2630" s="241" t="s">
        <v>3097</v>
      </c>
      <c r="L2630" s="348" t="str">
        <f>VLOOKUP(Logfile_S[[#This Row],[Material Name]],Sheet2!B:C,2,0)</f>
        <v>GCI1011</v>
      </c>
      <c r="M2630" s="242" t="s">
        <v>19</v>
      </c>
      <c r="N2630" s="227">
        <v>4</v>
      </c>
      <c r="O2630" s="227"/>
      <c r="P2630" s="227"/>
      <c r="Q2630" s="227"/>
      <c r="R2630" s="227"/>
      <c r="S2630" s="227"/>
      <c r="T2630" s="221" t="s">
        <v>3258</v>
      </c>
      <c r="U2630" s="221" t="s">
        <v>4811</v>
      </c>
      <c r="V2630" s="221" t="s">
        <v>3337</v>
      </c>
      <c r="W2630" s="221" t="s">
        <v>3338</v>
      </c>
      <c r="X2630" s="227"/>
      <c r="Y2630" s="227"/>
      <c r="Z2630" s="227">
        <f>P2630</f>
        <v>0</v>
      </c>
      <c r="AA2630" s="276" t="e">
        <f>VLOOKUP(Logfile_S[[#This Row],[DO number]],DO_DB!G:I,3,0)</f>
        <v>#N/A</v>
      </c>
      <c r="AB2630" s="331" t="e">
        <f>EXACT(Logfile_S[[#This Row],[date pick]],Logfile_S[[#This Row],[Date]])</f>
        <v>#N/A</v>
      </c>
      <c r="AC2630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31" spans="1:29" ht="14.5">
      <c r="A2631" s="237" t="str">
        <f>TEXT(ROW(A2631)-ROW($A$4),"000")</f>
        <v>2627</v>
      </c>
      <c r="B2631" s="221">
        <v>5</v>
      </c>
      <c r="C2631" s="227" t="s">
        <v>49</v>
      </c>
      <c r="D2631" s="227" t="s">
        <v>4777</v>
      </c>
      <c r="E2631" s="227" t="s">
        <v>3295</v>
      </c>
      <c r="F2631" s="227" t="s">
        <v>3299</v>
      </c>
      <c r="G2631" s="239">
        <v>46016</v>
      </c>
      <c r="H2631" s="240">
        <v>0.50902777777777775</v>
      </c>
      <c r="I2631" s="227" t="s">
        <v>3295</v>
      </c>
      <c r="J2631" s="227" t="s">
        <v>3024</v>
      </c>
      <c r="K2631" s="241" t="s">
        <v>3089</v>
      </c>
      <c r="L2631" s="348" t="str">
        <f>VLOOKUP(Logfile_S[[#This Row],[Material Name]],Sheet2!B:C,2,0)</f>
        <v>GCI1003</v>
      </c>
      <c r="M2631" s="242" t="s">
        <v>19</v>
      </c>
      <c r="N2631" s="227">
        <v>1350</v>
      </c>
      <c r="O2631" s="227"/>
      <c r="P2631" s="227"/>
      <c r="Q2631" s="227"/>
      <c r="R2631" s="227"/>
      <c r="S2631" s="227"/>
      <c r="T2631" s="221" t="s">
        <v>3258</v>
      </c>
      <c r="U2631" s="221" t="s">
        <v>4811</v>
      </c>
      <c r="V2631" s="221" t="s">
        <v>3337</v>
      </c>
      <c r="W2631" s="221" t="s">
        <v>3338</v>
      </c>
      <c r="X2631" s="227"/>
      <c r="Y2631" s="227"/>
      <c r="Z2631" s="227">
        <f>P2631</f>
        <v>0</v>
      </c>
      <c r="AA2631" s="276" t="e">
        <f>VLOOKUP(Logfile_S[[#This Row],[DO number]],DO_DB!G:I,3,0)</f>
        <v>#N/A</v>
      </c>
      <c r="AB2631" s="331" t="e">
        <f>EXACT(Logfile_S[[#This Row],[date pick]],Logfile_S[[#This Row],[Date]])</f>
        <v>#N/A</v>
      </c>
      <c r="AC2631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32" spans="1:29" ht="14.5">
      <c r="A2632" s="237" t="str">
        <f>TEXT(ROW(A2632)-ROW($A$4),"000")</f>
        <v>2628</v>
      </c>
      <c r="B2632" s="221">
        <v>7</v>
      </c>
      <c r="C2632" s="227" t="s">
        <v>49</v>
      </c>
      <c r="D2632" s="227" t="s">
        <v>4777</v>
      </c>
      <c r="E2632" s="227" t="s">
        <v>3295</v>
      </c>
      <c r="F2632" s="227" t="s">
        <v>3299</v>
      </c>
      <c r="G2632" s="239">
        <v>46016</v>
      </c>
      <c r="H2632" s="240">
        <v>0.50902777777777775</v>
      </c>
      <c r="I2632" s="227" t="s">
        <v>3295</v>
      </c>
      <c r="J2632" s="227" t="s">
        <v>3024</v>
      </c>
      <c r="K2632" s="241" t="s">
        <v>3090</v>
      </c>
      <c r="L2632" s="348" t="str">
        <f>VLOOKUP(Logfile_S[[#This Row],[Material Name]],Sheet2!B:C,2,0)</f>
        <v>GCI1004</v>
      </c>
      <c r="M2632" s="242" t="s">
        <v>19</v>
      </c>
      <c r="N2632" s="227">
        <v>430</v>
      </c>
      <c r="O2632" s="227"/>
      <c r="P2632" s="227"/>
      <c r="Q2632" s="227"/>
      <c r="R2632" s="227"/>
      <c r="S2632" s="227"/>
      <c r="T2632" s="221" t="s">
        <v>3258</v>
      </c>
      <c r="U2632" s="221" t="s">
        <v>4811</v>
      </c>
      <c r="V2632" s="221" t="s">
        <v>3337</v>
      </c>
      <c r="W2632" s="221" t="s">
        <v>3338</v>
      </c>
      <c r="X2632" s="227"/>
      <c r="Y2632" s="227"/>
      <c r="Z2632" s="227">
        <f>P2632</f>
        <v>0</v>
      </c>
      <c r="AA2632" s="276" t="e">
        <f>VLOOKUP(Logfile_S[[#This Row],[DO number]],DO_DB!G:I,3,0)</f>
        <v>#N/A</v>
      </c>
      <c r="AB2632" s="331" t="e">
        <f>EXACT(Logfile_S[[#This Row],[date pick]],Logfile_S[[#This Row],[Date]])</f>
        <v>#N/A</v>
      </c>
      <c r="AC2632" s="331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33" spans="1:29" ht="14.5">
      <c r="A2633" s="237" t="str">
        <f>TEXT(ROW(A2633)-ROW($A$4),"000")</f>
        <v>2629</v>
      </c>
      <c r="B2633" s="221"/>
      <c r="C2633" s="227" t="s">
        <v>48</v>
      </c>
      <c r="D2633" s="227" t="s">
        <v>5389</v>
      </c>
      <c r="E2633" s="227" t="s">
        <v>3295</v>
      </c>
      <c r="F2633" s="227"/>
      <c r="G2633" s="239">
        <v>46248</v>
      </c>
      <c r="H2633" s="240"/>
      <c r="I2633" s="227"/>
      <c r="J2633" s="227"/>
      <c r="K2633" s="241" t="s">
        <v>3069</v>
      </c>
      <c r="L2633" s="333" t="str">
        <f>VLOOKUP(Logfile_S[[#This Row],[Material Name]],Sheet2!B:C,2,0)</f>
        <v>ZTE1001</v>
      </c>
      <c r="M2633" s="242" t="s">
        <v>19</v>
      </c>
      <c r="N2633" s="227">
        <v>14</v>
      </c>
      <c r="O2633" s="227"/>
      <c r="P2633" s="227"/>
      <c r="Q2633" s="227"/>
      <c r="R2633" s="227"/>
      <c r="S2633" s="227" t="s">
        <v>39</v>
      </c>
      <c r="T2633" s="227" t="s">
        <v>5390</v>
      </c>
      <c r="U2633" s="227" t="s">
        <v>5390</v>
      </c>
      <c r="V2633" s="227" t="s">
        <v>5390</v>
      </c>
      <c r="W2633" s="227"/>
      <c r="X2633" s="227"/>
      <c r="Y2633" s="238" t="s">
        <v>5390</v>
      </c>
      <c r="Z2633" s="238">
        <f>P2633</f>
        <v>0</v>
      </c>
      <c r="AA2633" s="276" t="e">
        <f>VLOOKUP(Logfile_S[[#This Row],[DO number]],DO_DB!G:I,3,0)</f>
        <v>#N/A</v>
      </c>
      <c r="AB2633" s="334" t="e">
        <f>EXACT(Logfile_S[[#This Row],[date pick]],Logfile_S[[#This Row],[Date]])</f>
        <v>#N/A</v>
      </c>
      <c r="AC2633" s="334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34" spans="1:29" ht="14.5">
      <c r="A2634" s="237" t="str">
        <f>TEXT(ROW(A2634)-ROW($A$4),"000")</f>
        <v>2630</v>
      </c>
      <c r="B2634" s="221"/>
      <c r="C2634" s="227" t="s">
        <v>48</v>
      </c>
      <c r="D2634" s="227" t="s">
        <v>5389</v>
      </c>
      <c r="E2634" s="227" t="s">
        <v>3295</v>
      </c>
      <c r="F2634" s="227"/>
      <c r="G2634" s="239">
        <v>46248</v>
      </c>
      <c r="H2634" s="240"/>
      <c r="I2634" s="227"/>
      <c r="J2634" s="227"/>
      <c r="K2634" s="241" t="s">
        <v>3070</v>
      </c>
      <c r="L2634" s="333" t="str">
        <f>VLOOKUP(Logfile_S[[#This Row],[Material Name]],Sheet2!B:C,2,0)</f>
        <v>ZTE1002</v>
      </c>
      <c r="M2634" s="242" t="s">
        <v>19</v>
      </c>
      <c r="N2634" s="227">
        <v>106</v>
      </c>
      <c r="O2634" s="227"/>
      <c r="P2634" s="227"/>
      <c r="Q2634" s="227"/>
      <c r="R2634" s="227"/>
      <c r="S2634" s="227" t="s">
        <v>39</v>
      </c>
      <c r="T2634" s="227" t="s">
        <v>5390</v>
      </c>
      <c r="U2634" s="227" t="s">
        <v>5390</v>
      </c>
      <c r="V2634" s="227" t="s">
        <v>5390</v>
      </c>
      <c r="W2634" s="227"/>
      <c r="X2634" s="227"/>
      <c r="Y2634" s="238" t="s">
        <v>5390</v>
      </c>
      <c r="Z2634" s="238">
        <f>P2634</f>
        <v>0</v>
      </c>
      <c r="AA2634" s="276" t="e">
        <f>VLOOKUP(Logfile_S[[#This Row],[DO number]],DO_DB!G:I,3,0)</f>
        <v>#N/A</v>
      </c>
      <c r="AB2634" s="334" t="e">
        <f>EXACT(Logfile_S[[#This Row],[date pick]],Logfile_S[[#This Row],[Date]])</f>
        <v>#N/A</v>
      </c>
      <c r="AC2634" s="334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35" spans="1:29" ht="14.5">
      <c r="A2635" s="237" t="str">
        <f>TEXT(ROW(A2635)-ROW($A$4),"000")</f>
        <v>2631</v>
      </c>
      <c r="B2635" s="221"/>
      <c r="C2635" s="227" t="s">
        <v>48</v>
      </c>
      <c r="D2635" s="227" t="s">
        <v>5389</v>
      </c>
      <c r="E2635" s="227" t="s">
        <v>3295</v>
      </c>
      <c r="F2635" s="227"/>
      <c r="G2635" s="239">
        <v>46248</v>
      </c>
      <c r="H2635" s="240"/>
      <c r="I2635" s="227"/>
      <c r="J2635" s="227"/>
      <c r="K2635" s="241" t="s">
        <v>4731</v>
      </c>
      <c r="L2635" s="333" t="str">
        <f>VLOOKUP(Logfile_S[[#This Row],[Material Name]],Sheet2!B:C,2,0)</f>
        <v>ZTE1007</v>
      </c>
      <c r="M2635" s="242" t="s">
        <v>19</v>
      </c>
      <c r="N2635" s="227">
        <v>43</v>
      </c>
      <c r="O2635" s="227"/>
      <c r="P2635" s="227"/>
      <c r="Q2635" s="227"/>
      <c r="R2635" s="227"/>
      <c r="S2635" s="227" t="s">
        <v>39</v>
      </c>
      <c r="T2635" s="227" t="s">
        <v>5390</v>
      </c>
      <c r="U2635" s="227" t="s">
        <v>5390</v>
      </c>
      <c r="V2635" s="227" t="s">
        <v>5390</v>
      </c>
      <c r="W2635" s="227"/>
      <c r="X2635" s="227"/>
      <c r="Y2635" s="238" t="s">
        <v>5390</v>
      </c>
      <c r="Z2635" s="238">
        <f>P2635</f>
        <v>0</v>
      </c>
      <c r="AA2635" s="276" t="e">
        <f>VLOOKUP(Logfile_S[[#This Row],[DO number]],DO_DB!G:I,3,0)</f>
        <v>#N/A</v>
      </c>
      <c r="AB2635" s="334" t="e">
        <f>EXACT(Logfile_S[[#This Row],[date pick]],Logfile_S[[#This Row],[Date]])</f>
        <v>#N/A</v>
      </c>
      <c r="AC2635" s="334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36" spans="1:29" ht="14.5">
      <c r="A2636" s="237" t="str">
        <f>TEXT(ROW(A2636)-ROW($A$4),"000")</f>
        <v>2632</v>
      </c>
      <c r="B2636" s="221"/>
      <c r="C2636" s="227" t="s">
        <v>48</v>
      </c>
      <c r="D2636" s="227" t="s">
        <v>5389</v>
      </c>
      <c r="E2636" s="227" t="s">
        <v>3295</v>
      </c>
      <c r="F2636" s="227"/>
      <c r="G2636" s="239">
        <v>46248</v>
      </c>
      <c r="H2636" s="240"/>
      <c r="I2636" s="227"/>
      <c r="J2636" s="227"/>
      <c r="K2636" s="241" t="s">
        <v>3073</v>
      </c>
      <c r="L2636" s="333" t="str">
        <f>VLOOKUP(Logfile_S[[#This Row],[Material Name]],Sheet2!B:C,2,0)</f>
        <v>ZTE2001</v>
      </c>
      <c r="M2636" s="242" t="s">
        <v>20</v>
      </c>
      <c r="N2636" s="227">
        <v>3000</v>
      </c>
      <c r="O2636" s="227"/>
      <c r="P2636" s="227"/>
      <c r="Q2636" s="227"/>
      <c r="R2636" s="227"/>
      <c r="S2636" s="227" t="s">
        <v>39</v>
      </c>
      <c r="T2636" s="227" t="s">
        <v>5390</v>
      </c>
      <c r="U2636" s="227" t="s">
        <v>5390</v>
      </c>
      <c r="V2636" s="227" t="s">
        <v>5390</v>
      </c>
      <c r="W2636" s="227"/>
      <c r="X2636" s="227"/>
      <c r="Y2636" s="238" t="s">
        <v>5391</v>
      </c>
      <c r="Z2636" s="238">
        <f>P2636</f>
        <v>0</v>
      </c>
      <c r="AA2636" s="276" t="e">
        <f>VLOOKUP(Logfile_S[[#This Row],[DO number]],DO_DB!G:I,3,0)</f>
        <v>#N/A</v>
      </c>
      <c r="AB2636" s="334" t="e">
        <f>EXACT(Logfile_S[[#This Row],[date pick]],Logfile_S[[#This Row],[Date]])</f>
        <v>#N/A</v>
      </c>
      <c r="AC2636" s="334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OUTBOUND_H-ADSS24C-260814-001</v>
      </c>
    </row>
    <row r="2637" spans="1:29" ht="14.5">
      <c r="A2637" s="237" t="str">
        <f>TEXT(ROW(A2637)-ROW($A$4),"000")</f>
        <v>2633</v>
      </c>
      <c r="B2637" s="221"/>
      <c r="C2637" s="227" t="s">
        <v>48</v>
      </c>
      <c r="D2637" s="227" t="s">
        <v>5389</v>
      </c>
      <c r="E2637" s="227" t="s">
        <v>3295</v>
      </c>
      <c r="F2637" s="227"/>
      <c r="G2637" s="239">
        <v>46248</v>
      </c>
      <c r="H2637" s="240"/>
      <c r="I2637" s="227"/>
      <c r="J2637" s="227"/>
      <c r="K2637" s="241" t="s">
        <v>3073</v>
      </c>
      <c r="L2637" s="333" t="str">
        <f>VLOOKUP(Logfile_S[[#This Row],[Material Name]],Sheet2!B:C,2,0)</f>
        <v>ZTE2001</v>
      </c>
      <c r="M2637" s="242" t="s">
        <v>20</v>
      </c>
      <c r="N2637" s="227">
        <v>3000</v>
      </c>
      <c r="O2637" s="227"/>
      <c r="P2637" s="227"/>
      <c r="Q2637" s="227"/>
      <c r="R2637" s="227"/>
      <c r="S2637" s="227" t="s">
        <v>39</v>
      </c>
      <c r="T2637" s="227" t="s">
        <v>5390</v>
      </c>
      <c r="U2637" s="227" t="s">
        <v>5390</v>
      </c>
      <c r="V2637" s="227" t="s">
        <v>5390</v>
      </c>
      <c r="W2637" s="227"/>
      <c r="X2637" s="227"/>
      <c r="Y2637" s="238" t="s">
        <v>5392</v>
      </c>
      <c r="Z2637" s="238">
        <f>P2637</f>
        <v>0</v>
      </c>
      <c r="AA2637" s="276" t="e">
        <f>VLOOKUP(Logfile_S[[#This Row],[DO number]],DO_DB!G:I,3,0)</f>
        <v>#N/A</v>
      </c>
      <c r="AB2637" s="334" t="e">
        <f>EXACT(Logfile_S[[#This Row],[date pick]],Logfile_S[[#This Row],[Date]])</f>
        <v>#N/A</v>
      </c>
      <c r="AC2637" s="334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OUTBOUND_H-ADSS24C-260814-002</v>
      </c>
    </row>
    <row r="2638" spans="1:29" ht="14.5">
      <c r="A2638" s="237" t="str">
        <f>TEXT(ROW(A2638)-ROW($A$4),"000")</f>
        <v>2634</v>
      </c>
      <c r="B2638" s="221"/>
      <c r="C2638" s="227" t="s">
        <v>48</v>
      </c>
      <c r="D2638" s="227" t="s">
        <v>5389</v>
      </c>
      <c r="E2638" s="227" t="s">
        <v>3295</v>
      </c>
      <c r="F2638" s="227"/>
      <c r="G2638" s="239">
        <v>46248</v>
      </c>
      <c r="H2638" s="240"/>
      <c r="I2638" s="227"/>
      <c r="J2638" s="227"/>
      <c r="K2638" s="241" t="s">
        <v>3073</v>
      </c>
      <c r="L2638" s="333" t="str">
        <f>VLOOKUP(Logfile_S[[#This Row],[Material Name]],Sheet2!B:C,2,0)</f>
        <v>ZTE2001</v>
      </c>
      <c r="M2638" s="242" t="s">
        <v>20</v>
      </c>
      <c r="N2638" s="227">
        <v>3000</v>
      </c>
      <c r="O2638" s="227"/>
      <c r="P2638" s="227"/>
      <c r="Q2638" s="227"/>
      <c r="R2638" s="227"/>
      <c r="S2638" s="227" t="s">
        <v>39</v>
      </c>
      <c r="T2638" s="227" t="s">
        <v>5390</v>
      </c>
      <c r="U2638" s="227" t="s">
        <v>5390</v>
      </c>
      <c r="V2638" s="227" t="s">
        <v>5390</v>
      </c>
      <c r="W2638" s="227"/>
      <c r="X2638" s="227"/>
      <c r="Y2638" s="238" t="s">
        <v>5393</v>
      </c>
      <c r="Z2638" s="238">
        <f>P2638</f>
        <v>0</v>
      </c>
      <c r="AA2638" s="276" t="e">
        <f>VLOOKUP(Logfile_S[[#This Row],[DO number]],DO_DB!G:I,3,0)</f>
        <v>#N/A</v>
      </c>
      <c r="AB2638" s="334" t="e">
        <f>EXACT(Logfile_S[[#This Row],[date pick]],Logfile_S[[#This Row],[Date]])</f>
        <v>#N/A</v>
      </c>
      <c r="AC2638" s="334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OUTBOUND_H-ADSS24C-260814-003</v>
      </c>
    </row>
    <row r="2639" spans="1:29" ht="14.5">
      <c r="A2639" s="237" t="str">
        <f>TEXT(ROW(A2639)-ROW($A$4),"000")</f>
        <v>2635</v>
      </c>
      <c r="B2639" s="221"/>
      <c r="C2639" s="227" t="s">
        <v>48</v>
      </c>
      <c r="D2639" s="227" t="s">
        <v>5389</v>
      </c>
      <c r="E2639" s="227" t="s">
        <v>3295</v>
      </c>
      <c r="F2639" s="227"/>
      <c r="G2639" s="239">
        <v>46248</v>
      </c>
      <c r="H2639" s="240"/>
      <c r="I2639" s="227"/>
      <c r="J2639" s="227"/>
      <c r="K2639" s="241" t="s">
        <v>3073</v>
      </c>
      <c r="L2639" s="333" t="str">
        <f>VLOOKUP(Logfile_S[[#This Row],[Material Name]],Sheet2!B:C,2,0)</f>
        <v>ZTE2001</v>
      </c>
      <c r="M2639" s="242" t="s">
        <v>20</v>
      </c>
      <c r="N2639" s="227">
        <v>2000</v>
      </c>
      <c r="O2639" s="227"/>
      <c r="P2639" s="227"/>
      <c r="Q2639" s="227"/>
      <c r="R2639" s="227"/>
      <c r="S2639" s="227" t="s">
        <v>39</v>
      </c>
      <c r="T2639" s="227" t="s">
        <v>5390</v>
      </c>
      <c r="U2639" s="227" t="s">
        <v>5390</v>
      </c>
      <c r="V2639" s="227" t="s">
        <v>5390</v>
      </c>
      <c r="W2639" s="227"/>
      <c r="X2639" s="227"/>
      <c r="Y2639" s="238" t="s">
        <v>5394</v>
      </c>
      <c r="Z2639" s="238">
        <f>P2639</f>
        <v>0</v>
      </c>
      <c r="AA2639" s="276" t="e">
        <f>VLOOKUP(Logfile_S[[#This Row],[DO number]],DO_DB!G:I,3,0)</f>
        <v>#N/A</v>
      </c>
      <c r="AB2639" s="334" t="e">
        <f>EXACT(Logfile_S[[#This Row],[date pick]],Logfile_S[[#This Row],[Date]])</f>
        <v>#N/A</v>
      </c>
      <c r="AC2639" s="334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OUTBOUND_H-ADSS24C-260814-004</v>
      </c>
    </row>
    <row r="2640" spans="1:29" ht="14.5">
      <c r="A2640" s="237" t="str">
        <f>TEXT(ROW(A2640)-ROW($A$4),"000")</f>
        <v>2636</v>
      </c>
      <c r="B2640" s="221"/>
      <c r="C2640" s="227" t="s">
        <v>48</v>
      </c>
      <c r="D2640" s="227" t="s">
        <v>5389</v>
      </c>
      <c r="E2640" s="227" t="s">
        <v>3295</v>
      </c>
      <c r="F2640" s="227"/>
      <c r="G2640" s="239">
        <v>46248</v>
      </c>
      <c r="H2640" s="240"/>
      <c r="I2640" s="227"/>
      <c r="J2640" s="227"/>
      <c r="K2640" s="241" t="s">
        <v>3074</v>
      </c>
      <c r="L2640" s="333" t="str">
        <f>VLOOKUP(Logfile_S[[#This Row],[Material Name]],Sheet2!B:C,2,0)</f>
        <v>ZTE2002</v>
      </c>
      <c r="M2640" s="242" t="s">
        <v>20</v>
      </c>
      <c r="N2640" s="227">
        <v>3000</v>
      </c>
      <c r="O2640" s="227"/>
      <c r="P2640" s="227"/>
      <c r="Q2640" s="227"/>
      <c r="R2640" s="227"/>
      <c r="S2640" s="227" t="s">
        <v>39</v>
      </c>
      <c r="T2640" s="227" t="s">
        <v>5390</v>
      </c>
      <c r="U2640" s="227" t="s">
        <v>5390</v>
      </c>
      <c r="V2640" s="227" t="s">
        <v>5390</v>
      </c>
      <c r="W2640" s="227"/>
      <c r="X2640" s="227"/>
      <c r="Y2640" s="238" t="s">
        <v>5395</v>
      </c>
      <c r="Z2640" s="238">
        <f>P2640</f>
        <v>0</v>
      </c>
      <c r="AA2640" s="276" t="e">
        <f>VLOOKUP(Logfile_S[[#This Row],[DO number]],DO_DB!G:I,3,0)</f>
        <v>#N/A</v>
      </c>
      <c r="AB2640" s="334" t="e">
        <f>EXACT(Logfile_S[[#This Row],[date pick]],Logfile_S[[#This Row],[Date]])</f>
        <v>#N/A</v>
      </c>
      <c r="AC2640" s="334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OUTBOUND_H-ADSS36C-260814-001</v>
      </c>
    </row>
    <row r="2641" spans="1:29" ht="14.5">
      <c r="A2641" s="237" t="str">
        <f>TEXT(ROW(A2641)-ROW($A$4),"000")</f>
        <v>2637</v>
      </c>
      <c r="B2641" s="221"/>
      <c r="C2641" s="227" t="s">
        <v>48</v>
      </c>
      <c r="D2641" s="227" t="s">
        <v>5389</v>
      </c>
      <c r="E2641" s="227" t="s">
        <v>3295</v>
      </c>
      <c r="F2641" s="227"/>
      <c r="G2641" s="239">
        <v>46248</v>
      </c>
      <c r="H2641" s="240"/>
      <c r="I2641" s="227"/>
      <c r="J2641" s="227"/>
      <c r="K2641" s="241" t="s">
        <v>15</v>
      </c>
      <c r="L2641" s="333" t="str">
        <f>VLOOKUP(Logfile_S[[#This Row],[Material Name]],Sheet2!B:C,2,0)</f>
        <v>ZTE2006</v>
      </c>
      <c r="M2641" s="242" t="s">
        <v>19</v>
      </c>
      <c r="N2641" s="227">
        <v>2</v>
      </c>
      <c r="O2641" s="227"/>
      <c r="P2641" s="227"/>
      <c r="Q2641" s="227"/>
      <c r="R2641" s="227"/>
      <c r="S2641" s="227" t="s">
        <v>39</v>
      </c>
      <c r="T2641" s="227" t="s">
        <v>5390</v>
      </c>
      <c r="U2641" s="227" t="s">
        <v>5390</v>
      </c>
      <c r="V2641" s="227" t="s">
        <v>5390</v>
      </c>
      <c r="W2641" s="227"/>
      <c r="X2641" s="227"/>
      <c r="Y2641" s="238" t="s">
        <v>5390</v>
      </c>
      <c r="Z2641" s="238">
        <f>P2641</f>
        <v>0</v>
      </c>
      <c r="AA2641" s="276" t="e">
        <f>VLOOKUP(Logfile_S[[#This Row],[DO number]],DO_DB!G:I,3,0)</f>
        <v>#N/A</v>
      </c>
      <c r="AB2641" s="334" t="e">
        <f>EXACT(Logfile_S[[#This Row],[date pick]],Logfile_S[[#This Row],[Date]])</f>
        <v>#N/A</v>
      </c>
      <c r="AC2641" s="334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42" spans="1:29" ht="14.5">
      <c r="A2642" s="237" t="str">
        <f>TEXT(ROW(A2642)-ROW($A$4),"000")</f>
        <v>2638</v>
      </c>
      <c r="B2642" s="221"/>
      <c r="C2642" s="227" t="s">
        <v>48</v>
      </c>
      <c r="D2642" s="227" t="s">
        <v>5389</v>
      </c>
      <c r="E2642" s="227" t="s">
        <v>3295</v>
      </c>
      <c r="F2642" s="227"/>
      <c r="G2642" s="239">
        <v>46248</v>
      </c>
      <c r="H2642" s="240"/>
      <c r="I2642" s="227"/>
      <c r="J2642" s="227"/>
      <c r="K2642" s="241" t="s">
        <v>13</v>
      </c>
      <c r="L2642" s="333" t="str">
        <f>VLOOKUP(Logfile_S[[#This Row],[Material Name]],Sheet2!B:C,2,0)</f>
        <v>ZTE2008</v>
      </c>
      <c r="M2642" s="242" t="s">
        <v>19</v>
      </c>
      <c r="N2642" s="227">
        <v>65</v>
      </c>
      <c r="O2642" s="227"/>
      <c r="P2642" s="227"/>
      <c r="Q2642" s="227"/>
      <c r="R2642" s="227"/>
      <c r="S2642" s="227" t="s">
        <v>39</v>
      </c>
      <c r="T2642" s="227" t="s">
        <v>5390</v>
      </c>
      <c r="U2642" s="227" t="s">
        <v>5390</v>
      </c>
      <c r="V2642" s="227" t="s">
        <v>5390</v>
      </c>
      <c r="W2642" s="227"/>
      <c r="X2642" s="227"/>
      <c r="Y2642" s="238" t="s">
        <v>5390</v>
      </c>
      <c r="Z2642" s="238">
        <f>P2642</f>
        <v>0</v>
      </c>
      <c r="AA2642" s="276" t="e">
        <f>VLOOKUP(Logfile_S[[#This Row],[DO number]],DO_DB!G:I,3,0)</f>
        <v>#N/A</v>
      </c>
      <c r="AB2642" s="334" t="e">
        <f>EXACT(Logfile_S[[#This Row],[date pick]],Logfile_S[[#This Row],[Date]])</f>
        <v>#N/A</v>
      </c>
      <c r="AC2642" s="334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43" spans="1:29" ht="14.5">
      <c r="A2643" s="237" t="str">
        <f>TEXT(ROW(A2643)-ROW($A$4),"000")</f>
        <v>2639</v>
      </c>
      <c r="B2643" s="221"/>
      <c r="C2643" s="227" t="s">
        <v>48</v>
      </c>
      <c r="D2643" s="227" t="s">
        <v>5389</v>
      </c>
      <c r="E2643" s="227" t="s">
        <v>3295</v>
      </c>
      <c r="F2643" s="227"/>
      <c r="G2643" s="239">
        <v>46248</v>
      </c>
      <c r="H2643" s="240"/>
      <c r="I2643" s="227"/>
      <c r="J2643" s="227"/>
      <c r="K2643" s="241" t="s">
        <v>3072</v>
      </c>
      <c r="L2643" s="333" t="str">
        <f>VLOOKUP(Logfile_S[[#This Row],[Material Name]],Sheet2!B:C,2,0)</f>
        <v>ZTE1004</v>
      </c>
      <c r="M2643" s="242" t="s">
        <v>19</v>
      </c>
      <c r="N2643" s="227">
        <v>1</v>
      </c>
      <c r="O2643" s="227"/>
      <c r="P2643" s="227"/>
      <c r="Q2643" s="227"/>
      <c r="R2643" s="227"/>
      <c r="S2643" s="227" t="s">
        <v>39</v>
      </c>
      <c r="T2643" s="227" t="s">
        <v>5390</v>
      </c>
      <c r="U2643" s="227" t="s">
        <v>5390</v>
      </c>
      <c r="V2643" s="227" t="s">
        <v>5390</v>
      </c>
      <c r="W2643" s="227"/>
      <c r="X2643" s="227"/>
      <c r="Y2643" s="238" t="s">
        <v>5390</v>
      </c>
      <c r="Z2643" s="238">
        <f>P2643</f>
        <v>0</v>
      </c>
      <c r="AA2643" s="276" t="e">
        <f>VLOOKUP(Logfile_S[[#This Row],[DO number]],DO_DB!G:I,3,0)</f>
        <v>#N/A</v>
      </c>
      <c r="AB2643" s="334" t="e">
        <f>EXACT(Logfile_S[[#This Row],[date pick]],Logfile_S[[#This Row],[Date]])</f>
        <v>#N/A</v>
      </c>
      <c r="AC2643" s="334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44" spans="1:29" ht="14.5">
      <c r="A2644" s="237" t="str">
        <f>TEXT(ROW(A2644)-ROW($A$4),"000")</f>
        <v>2640</v>
      </c>
      <c r="B2644" s="221"/>
      <c r="C2644" s="227" t="s">
        <v>48</v>
      </c>
      <c r="D2644" s="227" t="s">
        <v>5408</v>
      </c>
      <c r="E2644" s="227" t="s">
        <v>3295</v>
      </c>
      <c r="F2644" s="227"/>
      <c r="G2644" s="239">
        <v>46261</v>
      </c>
      <c r="H2644" s="240"/>
      <c r="I2644" s="227"/>
      <c r="J2644" s="227"/>
      <c r="K2644" s="241" t="s">
        <v>3069</v>
      </c>
      <c r="L2644" s="333" t="str">
        <f>VLOOKUP(Logfile_S[[#This Row],[Material Name]],Sheet2!B:C,2,0)</f>
        <v>ZTE1001</v>
      </c>
      <c r="M2644" s="242" t="s">
        <v>19</v>
      </c>
      <c r="N2644" s="227">
        <v>14</v>
      </c>
      <c r="O2644" s="227"/>
      <c r="P2644" s="227"/>
      <c r="Q2644" s="227"/>
      <c r="R2644" s="227"/>
      <c r="S2644" s="227" t="s">
        <v>5390</v>
      </c>
      <c r="T2644" s="227" t="s">
        <v>5390</v>
      </c>
      <c r="U2644" s="227" t="s">
        <v>5390</v>
      </c>
      <c r="V2644" s="227" t="s">
        <v>5390</v>
      </c>
      <c r="W2644" s="227"/>
      <c r="X2644" s="227"/>
      <c r="Y2644" s="238" t="s">
        <v>5390</v>
      </c>
      <c r="Z2644" s="238">
        <f>P2644</f>
        <v>0</v>
      </c>
      <c r="AA2644" s="276" t="e">
        <f>VLOOKUP(Logfile_S[[#This Row],[DO number]],DO_DB!G:I,3,0)</f>
        <v>#N/A</v>
      </c>
      <c r="AB2644" s="332" t="e">
        <f>EXACT(Logfile_S[[#This Row],[date pick]],Logfile_S[[#This Row],[Date]])</f>
        <v>#N/A</v>
      </c>
      <c r="AC2644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45" spans="1:29" ht="14.5">
      <c r="A2645" s="237" t="str">
        <f>TEXT(ROW(A2645)-ROW($A$4),"000")</f>
        <v>2641</v>
      </c>
      <c r="B2645" s="221"/>
      <c r="C2645" s="227" t="s">
        <v>48</v>
      </c>
      <c r="D2645" s="227" t="s">
        <v>5408</v>
      </c>
      <c r="E2645" s="227" t="s">
        <v>3295</v>
      </c>
      <c r="F2645" s="227"/>
      <c r="G2645" s="239">
        <v>46261</v>
      </c>
      <c r="H2645" s="240"/>
      <c r="I2645" s="227"/>
      <c r="J2645" s="227"/>
      <c r="K2645" s="241" t="s">
        <v>3070</v>
      </c>
      <c r="L2645" s="333" t="str">
        <f>VLOOKUP(Logfile_S[[#This Row],[Material Name]],Sheet2!B:C,2,0)</f>
        <v>ZTE1002</v>
      </c>
      <c r="M2645" s="242" t="s">
        <v>19</v>
      </c>
      <c r="N2645" s="227">
        <v>20</v>
      </c>
      <c r="O2645" s="227"/>
      <c r="P2645" s="227"/>
      <c r="Q2645" s="227"/>
      <c r="R2645" s="227"/>
      <c r="S2645" s="227" t="s">
        <v>5390</v>
      </c>
      <c r="T2645" s="227" t="s">
        <v>5390</v>
      </c>
      <c r="U2645" s="227" t="s">
        <v>5390</v>
      </c>
      <c r="V2645" s="227" t="s">
        <v>5390</v>
      </c>
      <c r="W2645" s="227"/>
      <c r="X2645" s="227"/>
      <c r="Y2645" s="238" t="s">
        <v>5390</v>
      </c>
      <c r="Z2645" s="238">
        <f>P2645</f>
        <v>0</v>
      </c>
      <c r="AA2645" s="276" t="e">
        <f>VLOOKUP(Logfile_S[[#This Row],[DO number]],DO_DB!G:I,3,0)</f>
        <v>#N/A</v>
      </c>
      <c r="AB2645" s="332" t="e">
        <f>EXACT(Logfile_S[[#This Row],[date pick]],Logfile_S[[#This Row],[Date]])</f>
        <v>#N/A</v>
      </c>
      <c r="AC2645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46" spans="1:29" ht="14.5">
      <c r="A2646" s="237" t="str">
        <f>TEXT(ROW(A2646)-ROW($A$4),"000")</f>
        <v>2642</v>
      </c>
      <c r="B2646" s="221"/>
      <c r="C2646" s="227" t="s">
        <v>48</v>
      </c>
      <c r="D2646" s="227" t="s">
        <v>5408</v>
      </c>
      <c r="E2646" s="227" t="s">
        <v>3295</v>
      </c>
      <c r="F2646" s="227"/>
      <c r="G2646" s="239">
        <v>46261</v>
      </c>
      <c r="H2646" s="240"/>
      <c r="I2646" s="227"/>
      <c r="J2646" s="227"/>
      <c r="K2646" s="241" t="s">
        <v>3071</v>
      </c>
      <c r="L2646" s="333" t="str">
        <f>VLOOKUP(Logfile_S[[#This Row],[Material Name]],Sheet2!B:C,2,0)</f>
        <v>ZTE1003</v>
      </c>
      <c r="M2646" s="242" t="s">
        <v>19</v>
      </c>
      <c r="N2646" s="227">
        <v>1</v>
      </c>
      <c r="O2646" s="227"/>
      <c r="P2646" s="227"/>
      <c r="Q2646" s="227"/>
      <c r="R2646" s="227"/>
      <c r="S2646" s="227" t="s">
        <v>5390</v>
      </c>
      <c r="T2646" s="227" t="s">
        <v>5390</v>
      </c>
      <c r="U2646" s="227" t="s">
        <v>5390</v>
      </c>
      <c r="V2646" s="227" t="s">
        <v>5390</v>
      </c>
      <c r="W2646" s="227"/>
      <c r="X2646" s="227"/>
      <c r="Y2646" s="238" t="s">
        <v>5390</v>
      </c>
      <c r="Z2646" s="238">
        <f>P2646</f>
        <v>0</v>
      </c>
      <c r="AA2646" s="276" t="e">
        <f>VLOOKUP(Logfile_S[[#This Row],[DO number]],DO_DB!G:I,3,0)</f>
        <v>#N/A</v>
      </c>
      <c r="AB2646" s="332" t="e">
        <f>EXACT(Logfile_S[[#This Row],[date pick]],Logfile_S[[#This Row],[Date]])</f>
        <v>#N/A</v>
      </c>
      <c r="AC2646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47" spans="1:29" ht="14.5">
      <c r="A2647" s="237" t="str">
        <f>TEXT(ROW(A2647)-ROW($A$4),"000")</f>
        <v>2643</v>
      </c>
      <c r="B2647" s="221"/>
      <c r="C2647" s="227" t="s">
        <v>48</v>
      </c>
      <c r="D2647" s="227" t="s">
        <v>5408</v>
      </c>
      <c r="E2647" s="227" t="s">
        <v>3295</v>
      </c>
      <c r="F2647" s="227"/>
      <c r="G2647" s="239">
        <v>46261</v>
      </c>
      <c r="H2647" s="240"/>
      <c r="I2647" s="227"/>
      <c r="J2647" s="227"/>
      <c r="K2647" s="241" t="s">
        <v>4731</v>
      </c>
      <c r="L2647" s="333" t="str">
        <f>VLOOKUP(Logfile_S[[#This Row],[Material Name]],Sheet2!B:C,2,0)</f>
        <v>ZTE1007</v>
      </c>
      <c r="M2647" s="242" t="s">
        <v>19</v>
      </c>
      <c r="N2647" s="227">
        <v>19</v>
      </c>
      <c r="O2647" s="227"/>
      <c r="P2647" s="227"/>
      <c r="Q2647" s="227"/>
      <c r="R2647" s="227"/>
      <c r="S2647" s="227" t="s">
        <v>5390</v>
      </c>
      <c r="T2647" s="227" t="s">
        <v>5390</v>
      </c>
      <c r="U2647" s="227" t="s">
        <v>5390</v>
      </c>
      <c r="V2647" s="227" t="s">
        <v>5390</v>
      </c>
      <c r="W2647" s="227"/>
      <c r="X2647" s="227"/>
      <c r="Y2647" s="238" t="s">
        <v>5390</v>
      </c>
      <c r="Z2647" s="238">
        <f>P2647</f>
        <v>0</v>
      </c>
      <c r="AA2647" s="276" t="e">
        <f>VLOOKUP(Logfile_S[[#This Row],[DO number]],DO_DB!G:I,3,0)</f>
        <v>#N/A</v>
      </c>
      <c r="AB2647" s="332" t="e">
        <f>EXACT(Logfile_S[[#This Row],[date pick]],Logfile_S[[#This Row],[Date]])</f>
        <v>#N/A</v>
      </c>
      <c r="AC2647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48" spans="1:29" ht="14.5">
      <c r="A2648" s="480" t="str">
        <f>TEXT(ROW(A2648)-ROW($A$4),"000")</f>
        <v>2644</v>
      </c>
      <c r="B2648" s="249"/>
      <c r="C2648" s="250" t="s">
        <v>48</v>
      </c>
      <c r="D2648" s="250" t="s">
        <v>5408</v>
      </c>
      <c r="E2648" s="250" t="s">
        <v>3295</v>
      </c>
      <c r="F2648" s="250"/>
      <c r="G2648" s="481">
        <v>46261</v>
      </c>
      <c r="H2648" s="251"/>
      <c r="I2648" s="250"/>
      <c r="J2648" s="250"/>
      <c r="K2648" s="252" t="s">
        <v>3072</v>
      </c>
      <c r="L2648" s="333" t="str">
        <f>VLOOKUP(Logfile_S[[#This Row],[Material Name]],Sheet2!B:C,2,0)</f>
        <v>ZTE1004</v>
      </c>
      <c r="M2648" s="333" t="s">
        <v>19</v>
      </c>
      <c r="N2648" s="250">
        <v>1</v>
      </c>
      <c r="O2648" s="250"/>
      <c r="P2648" s="250"/>
      <c r="Q2648" s="250"/>
      <c r="R2648" s="250"/>
      <c r="S2648" s="250" t="s">
        <v>5390</v>
      </c>
      <c r="T2648" s="250" t="s">
        <v>5390</v>
      </c>
      <c r="U2648" s="250" t="s">
        <v>5390</v>
      </c>
      <c r="V2648" s="250" t="s">
        <v>5390</v>
      </c>
      <c r="W2648" s="250"/>
      <c r="X2648" s="250"/>
      <c r="Y2648" s="472" t="s">
        <v>5390</v>
      </c>
      <c r="Z2648" s="472">
        <f>P2648</f>
        <v>0</v>
      </c>
      <c r="AA2648" s="303" t="e">
        <f>VLOOKUP(Logfile_S[[#This Row],[DO number]],DO_DB!G:I,3,0)</f>
        <v>#N/A</v>
      </c>
      <c r="AB2648" s="332" t="e">
        <f>EXACT(Logfile_S[[#This Row],[date pick]],Logfile_S[[#This Row],[Date]])</f>
        <v>#N/A</v>
      </c>
      <c r="AC2648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49" spans="1:29" ht="14.5">
      <c r="A2649" s="237" t="str">
        <f>TEXT(ROW(A2649)-ROW($A$4),"000")</f>
        <v>2645</v>
      </c>
      <c r="B2649" s="221"/>
      <c r="C2649" s="227" t="s">
        <v>48</v>
      </c>
      <c r="D2649" s="227" t="s">
        <v>5408</v>
      </c>
      <c r="E2649" s="227" t="s">
        <v>3295</v>
      </c>
      <c r="F2649" s="227"/>
      <c r="G2649" s="239">
        <v>46261</v>
      </c>
      <c r="H2649" s="240"/>
      <c r="I2649" s="227"/>
      <c r="J2649" s="227"/>
      <c r="K2649" s="241" t="s">
        <v>15</v>
      </c>
      <c r="L2649" s="333" t="str">
        <f>VLOOKUP(Logfile_S[[#This Row],[Material Name]],Sheet2!B:C,2,0)</f>
        <v>ZTE2006</v>
      </c>
      <c r="M2649" s="242" t="s">
        <v>19</v>
      </c>
      <c r="N2649" s="227">
        <v>1</v>
      </c>
      <c r="O2649" s="227"/>
      <c r="P2649" s="227"/>
      <c r="Q2649" s="227"/>
      <c r="R2649" s="227"/>
      <c r="S2649" s="227" t="s">
        <v>5390</v>
      </c>
      <c r="T2649" s="227" t="s">
        <v>5390</v>
      </c>
      <c r="U2649" s="227" t="s">
        <v>5390</v>
      </c>
      <c r="V2649" s="227" t="s">
        <v>5390</v>
      </c>
      <c r="W2649" s="227"/>
      <c r="X2649" s="227"/>
      <c r="Y2649" s="238" t="s">
        <v>5390</v>
      </c>
      <c r="Z2649" s="238">
        <f>P2649</f>
        <v>0</v>
      </c>
      <c r="AA2649" s="276" t="e">
        <f>VLOOKUP(Logfile_S[[#This Row],[DO number]],DO_DB!G:I,3,0)</f>
        <v>#N/A</v>
      </c>
      <c r="AB2649" s="332" t="e">
        <f>EXACT(Logfile_S[[#This Row],[date pick]],Logfile_S[[#This Row],[Date]])</f>
        <v>#N/A</v>
      </c>
      <c r="AC2649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50" spans="1:29" ht="14.5">
      <c r="A2650" s="237" t="str">
        <f>TEXT(ROW(A2650)-ROW($A$4),"000")</f>
        <v>2646</v>
      </c>
      <c r="B2650" s="221"/>
      <c r="C2650" s="227" t="s">
        <v>48</v>
      </c>
      <c r="D2650" s="227" t="s">
        <v>5408</v>
      </c>
      <c r="E2650" s="227" t="s">
        <v>3295</v>
      </c>
      <c r="F2650" s="227"/>
      <c r="G2650" s="239">
        <v>46261</v>
      </c>
      <c r="H2650" s="240"/>
      <c r="I2650" s="227"/>
      <c r="J2650" s="227"/>
      <c r="K2650" s="241" t="s">
        <v>13</v>
      </c>
      <c r="L2650" s="333" t="str">
        <f>VLOOKUP(Logfile_S[[#This Row],[Material Name]],Sheet2!B:C,2,0)</f>
        <v>ZTE2008</v>
      </c>
      <c r="M2650" s="242" t="s">
        <v>19</v>
      </c>
      <c r="N2650" s="227">
        <v>24</v>
      </c>
      <c r="O2650" s="227"/>
      <c r="P2650" s="227"/>
      <c r="Q2650" s="227"/>
      <c r="R2650" s="227"/>
      <c r="S2650" s="227" t="s">
        <v>5390</v>
      </c>
      <c r="T2650" s="227" t="s">
        <v>5390</v>
      </c>
      <c r="U2650" s="227" t="s">
        <v>5390</v>
      </c>
      <c r="V2650" s="227" t="s">
        <v>5390</v>
      </c>
      <c r="W2650" s="227"/>
      <c r="X2650" s="227"/>
      <c r="Y2650" s="238" t="s">
        <v>5390</v>
      </c>
      <c r="Z2650" s="238">
        <f>P2650</f>
        <v>0</v>
      </c>
      <c r="AA2650" s="276" t="e">
        <f>VLOOKUP(Logfile_S[[#This Row],[DO number]],DO_DB!G:I,3,0)</f>
        <v>#N/A</v>
      </c>
      <c r="AB2650" s="332" t="e">
        <f>EXACT(Logfile_S[[#This Row],[date pick]],Logfile_S[[#This Row],[Date]])</f>
        <v>#N/A</v>
      </c>
      <c r="AC2650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  <row r="2651" spans="1:29" ht="14.5">
      <c r="A2651" s="480" t="str">
        <f>TEXT(ROW(A2651)-ROW($A$4),"000")</f>
        <v>2647</v>
      </c>
      <c r="B2651" s="249"/>
      <c r="C2651" s="250" t="s">
        <v>3313</v>
      </c>
      <c r="D2651" s="250" t="s">
        <v>5413</v>
      </c>
      <c r="E2651" s="250" t="s">
        <v>3295</v>
      </c>
      <c r="F2651" s="250"/>
      <c r="G2651" s="481">
        <v>46275</v>
      </c>
      <c r="H2651" s="251"/>
      <c r="I2651" s="250"/>
      <c r="J2651" s="250"/>
      <c r="K2651" s="252" t="s">
        <v>3108</v>
      </c>
      <c r="L2651" s="333" t="str">
        <f>VLOOKUP(Logfile_S[[#This Row],[Material Name]],Sheet2!B:C,2,0)</f>
        <v>GCI1020</v>
      </c>
      <c r="M2651" s="333" t="s">
        <v>19</v>
      </c>
      <c r="N2651" s="250">
        <v>30</v>
      </c>
      <c r="O2651" s="250"/>
      <c r="P2651" s="250"/>
      <c r="Q2651" s="250"/>
      <c r="R2651" s="250"/>
      <c r="S2651" s="250" t="s">
        <v>39</v>
      </c>
      <c r="T2651" s="250" t="s">
        <v>5390</v>
      </c>
      <c r="U2651" s="250" t="s">
        <v>5390</v>
      </c>
      <c r="V2651" s="250" t="s">
        <v>5390</v>
      </c>
      <c r="W2651" s="250"/>
      <c r="X2651" s="250"/>
      <c r="Y2651" s="472" t="s">
        <v>5390</v>
      </c>
      <c r="Z2651" s="472">
        <f>P2651</f>
        <v>0</v>
      </c>
      <c r="AA2651" s="303" t="e">
        <f>VLOOKUP(Logfile_S[[#This Row],[DO number]],DO_DB!G:I,3,0)</f>
        <v>#N/A</v>
      </c>
      <c r="AB2651" s="332" t="e">
        <f>EXACT(Logfile_S[[#This Row],[date pick]],Logfile_S[[#This Row],[Date]])</f>
        <v>#N/A</v>
      </c>
      <c r="AC2651" s="332" t="str">
        <f>IF(OR(Logfile_S[[#This Row],[Transaction  Type]]="INBOUND",Logfile_S[[#This Row],[Transaction  Type]]="TRANSFER IN",Logfile_S[[#This Row],[Transaction  Type]]="BORROW IN"),"OUTBOUND_"&amp;Logfile_S[[#This Row],[Haspel/Drum]],Logfile_S[[#This Row],[Transaction  Type]]&amp;"_"&amp;Logfile_S[[#This Row],[Haspel/Drum]])</f>
        <v>OUTBOUND_</v>
      </c>
    </row>
  </sheetData>
  <phoneticPr fontId="20" type="noConversion"/>
  <conditionalFormatting sqref="P2483">
    <cfRule type="duplicateValues" dxfId="199" priority="68"/>
  </conditionalFormatting>
  <conditionalFormatting sqref="P2484">
    <cfRule type="duplicateValues" dxfId="196" priority="65"/>
  </conditionalFormatting>
  <conditionalFormatting sqref="O1022">
    <cfRule type="duplicateValues" dxfId="195" priority="60"/>
  </conditionalFormatting>
  <conditionalFormatting sqref="O1022">
    <cfRule type="duplicateValues" dxfId="194" priority="61"/>
  </conditionalFormatting>
  <conditionalFormatting sqref="P1022">
    <cfRule type="duplicateValues" dxfId="193" priority="62"/>
  </conditionalFormatting>
  <conditionalFormatting sqref="O2422">
    <cfRule type="duplicateValues" dxfId="192" priority="52"/>
  </conditionalFormatting>
  <conditionalFormatting sqref="P2422:P2423">
    <cfRule type="duplicateValues" dxfId="191" priority="53"/>
  </conditionalFormatting>
  <conditionalFormatting sqref="O2462:O2463">
    <cfRule type="duplicateValues" dxfId="190" priority="50"/>
  </conditionalFormatting>
  <conditionalFormatting sqref="P2462:P2463">
    <cfRule type="duplicateValues" dxfId="189" priority="51"/>
  </conditionalFormatting>
  <conditionalFormatting sqref="K1:K2 K2597:K2604 K2607:K1048576 K4:K2579">
    <cfRule type="containsText" dxfId="188" priority="44" operator="containsText" text="48C">
      <formula>NOT(ISERROR(SEARCH("48C",K1)))</formula>
    </cfRule>
    <cfRule type="containsText" dxfId="187" priority="45" operator="containsText" text="24C">
      <formula>NOT(ISERROR(SEARCH("24C",K1)))</formula>
    </cfRule>
  </conditionalFormatting>
  <conditionalFormatting sqref="C1:C2 C2597:C1048576 C4:C2589">
    <cfRule type="containsText" dxfId="186" priority="42" operator="containsText" text="IN">
      <formula>NOT(ISERROR(SEARCH("IN",C1)))</formula>
    </cfRule>
    <cfRule type="containsText" dxfId="185" priority="43" operator="containsText" text="OUT">
      <formula>NOT(ISERROR(SEARCH("OUT",C1)))</formula>
    </cfRule>
  </conditionalFormatting>
  <conditionalFormatting sqref="C2590">
    <cfRule type="containsText" dxfId="184" priority="38" operator="containsText" text="IN">
      <formula>NOT(ISERROR(SEARCH("IN",C2590)))</formula>
    </cfRule>
    <cfRule type="containsText" dxfId="183" priority="39" operator="containsText" text="OUT">
      <formula>NOT(ISERROR(SEARCH("OUT",C2590)))</formula>
    </cfRule>
  </conditionalFormatting>
  <conditionalFormatting sqref="C2591">
    <cfRule type="containsText" dxfId="182" priority="34" operator="containsText" text="IN">
      <formula>NOT(ISERROR(SEARCH("IN",C2591)))</formula>
    </cfRule>
    <cfRule type="containsText" dxfId="181" priority="35" operator="containsText" text="OUT">
      <formula>NOT(ISERROR(SEARCH("OUT",C2591)))</formula>
    </cfRule>
  </conditionalFormatting>
  <conditionalFormatting sqref="C2592">
    <cfRule type="containsText" dxfId="180" priority="28" operator="containsText" text="IN">
      <formula>NOT(ISERROR(SEARCH("IN",C2592)))</formula>
    </cfRule>
    <cfRule type="containsText" dxfId="179" priority="29" operator="containsText" text="OUT">
      <formula>NOT(ISERROR(SEARCH("OUT",C2592)))</formula>
    </cfRule>
  </conditionalFormatting>
  <conditionalFormatting sqref="C2593">
    <cfRule type="containsText" dxfId="178" priority="26" operator="containsText" text="IN">
      <formula>NOT(ISERROR(SEARCH("IN",C2593)))</formula>
    </cfRule>
    <cfRule type="containsText" dxfId="177" priority="27" operator="containsText" text="OUT">
      <formula>NOT(ISERROR(SEARCH("OUT",C2593)))</formula>
    </cfRule>
  </conditionalFormatting>
  <conditionalFormatting sqref="C2594">
    <cfRule type="containsText" dxfId="176" priority="22" operator="containsText" text="IN">
      <formula>NOT(ISERROR(SEARCH("IN",C2594)))</formula>
    </cfRule>
    <cfRule type="containsText" dxfId="175" priority="23" operator="containsText" text="OUT">
      <formula>NOT(ISERROR(SEARCH("OUT",C2594)))</formula>
    </cfRule>
  </conditionalFormatting>
  <conditionalFormatting sqref="C2595">
    <cfRule type="containsText" dxfId="174" priority="20" operator="containsText" text="IN">
      <formula>NOT(ISERROR(SEARCH("IN",C2595)))</formula>
    </cfRule>
    <cfRule type="containsText" dxfId="173" priority="21" operator="containsText" text="OUT">
      <formula>NOT(ISERROR(SEARCH("OUT",C2595)))</formula>
    </cfRule>
  </conditionalFormatting>
  <conditionalFormatting sqref="C2596">
    <cfRule type="containsText" dxfId="172" priority="16" operator="containsText" text="IN">
      <formula>NOT(ISERROR(SEARCH("IN",C2596)))</formula>
    </cfRule>
    <cfRule type="containsText" dxfId="171" priority="17" operator="containsText" text="OUT">
      <formula>NOT(ISERROR(SEARCH("OUT",C2596)))</formula>
    </cfRule>
  </conditionalFormatting>
  <conditionalFormatting sqref="Y4:Y1048576 Y1:Y2">
    <cfRule type="containsText" dxfId="170" priority="9" operator="containsText" text="24C">
      <formula>NOT(ISERROR(SEARCH("24C",Y1)))</formula>
    </cfRule>
    <cfRule type="containsText" dxfId="169" priority="13" operator="containsText" text="48C">
      <formula>NOT(ISERROR(SEARCH("48C",Y1)))</formula>
    </cfRule>
  </conditionalFormatting>
  <conditionalFormatting sqref="K2580:K2596">
    <cfRule type="containsText" dxfId="168" priority="11" operator="containsText" text="48C">
      <formula>NOT(ISERROR(SEARCH("48C",K2580)))</formula>
    </cfRule>
    <cfRule type="containsText" dxfId="167" priority="12" operator="containsText" text="24C">
      <formula>NOT(ISERROR(SEARCH("24C",K2580)))</formula>
    </cfRule>
  </conditionalFormatting>
  <conditionalFormatting sqref="AC1:AC2 AC4:AC1048576">
    <cfRule type="duplicateValues" dxfId="166" priority="10"/>
  </conditionalFormatting>
  <conditionalFormatting sqref="K2605:K2606">
    <cfRule type="containsText" dxfId="165" priority="7" operator="containsText" text="48C">
      <formula>NOT(ISERROR(SEARCH("48C",K2605)))</formula>
    </cfRule>
    <cfRule type="containsText" dxfId="164" priority="8" operator="containsText" text="24C">
      <formula>NOT(ISERROR(SEARCH("24C",K2605)))</formula>
    </cfRule>
  </conditionalFormatting>
  <conditionalFormatting sqref="O2487:O2495">
    <cfRule type="duplicateValues" dxfId="5" priority="6"/>
  </conditionalFormatting>
  <conditionalFormatting sqref="O2496:O2499">
    <cfRule type="duplicateValues" dxfId="4" priority="5"/>
  </conditionalFormatting>
  <conditionalFormatting sqref="O2486">
    <cfRule type="duplicateValues" dxfId="3" priority="4"/>
  </conditionalFormatting>
  <conditionalFormatting sqref="O2500:O2503">
    <cfRule type="duplicateValues" dxfId="2" priority="3"/>
  </conditionalFormatting>
  <conditionalFormatting sqref="O2504:O2506">
    <cfRule type="duplicateValues" dxfId="1" priority="2"/>
  </conditionalFormatting>
  <conditionalFormatting sqref="O2482:O2485">
    <cfRule type="duplicateValues" dxfId="0" priority="1"/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943CE5D-2E1B-4FAB-8EFF-32377ADEDA73}">
          <x14:formula1>
            <xm:f>DV!$C$10:$C$31</xm:f>
          </x14:formula1>
          <xm:sqref>C2391 C2360:C2362 C2372:C2379 C2389 C5:C2294 C2483:C2552 C2560:C2561 C2564:C2572 C2575:C2604</xm:sqref>
        </x14:dataValidation>
        <x14:dataValidation type="list" allowBlank="1" showInputMessage="1" showErrorMessage="1" xr:uid="{82FAB2E5-2053-4FE3-AF07-D15C0A0509F5}">
          <x14:formula1>
            <xm:f>DV!$C$10:$C$55</xm:f>
          </x14:formula1>
          <xm:sqref>C2295:C2359 C2363:C2371 C2380:C2388 C2390 C2392:C2444 C2448:C2482 C2553:C2559 C2562:C2563 C2573:C2574</xm:sqref>
        </x14:dataValidation>
        <x14:dataValidation type="list" allowBlank="1" showInputMessage="1" showErrorMessage="1" xr:uid="{BE624482-7515-49CF-A7E1-0074F0487BD4}">
          <x14:formula1>
            <xm:f>DV!$E$10:$E$55</xm:f>
          </x14:formula1>
          <xm:sqref>E5:E2651</xm:sqref>
        </x14:dataValidation>
        <x14:dataValidation type="list" allowBlank="1" showInputMessage="1" showErrorMessage="1" xr:uid="{B8B4A90D-8B37-4E67-A769-FDF0CA14E206}">
          <x14:formula1>
            <xm:f>DV!$F$10:$F$55</xm:f>
          </x14:formula1>
          <xm:sqref>F5:F2651</xm:sqref>
        </x14:dataValidation>
        <x14:dataValidation type="list" allowBlank="1" showInputMessage="1" showErrorMessage="1" xr:uid="{4FDFB567-A3E0-420F-9738-34284C75C99A}">
          <x14:formula1>
            <xm:f>Sum_WH!$E$5:$E$53</xm:f>
          </x14:formula1>
          <xm:sqref>K5:K2651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6EA6F-D21C-41B7-9773-74CD0D13BBE9}">
  <dimension ref="A1:AD142"/>
  <sheetViews>
    <sheetView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20" sqref="F20"/>
    </sheetView>
  </sheetViews>
  <sheetFormatPr defaultColWidth="8.83203125" defaultRowHeight="14.5"/>
  <cols>
    <col min="1" max="1" width="18.83203125" style="353" bestFit="1" customWidth="1"/>
    <col min="2" max="2" width="11.4140625" style="353" bestFit="1" customWidth="1"/>
    <col min="3" max="3" width="13.1640625" style="353" bestFit="1" customWidth="1"/>
    <col min="4" max="4" width="7.9140625" style="353" bestFit="1" customWidth="1"/>
    <col min="5" max="5" width="7.58203125" style="495" customWidth="1"/>
    <col min="6" max="6" width="16.58203125" style="495" bestFit="1" customWidth="1"/>
    <col min="7" max="7" width="8" style="353" bestFit="1" customWidth="1"/>
    <col min="8" max="8" width="11.33203125" style="355" bestFit="1" customWidth="1"/>
    <col min="9" max="9" width="9.5" style="353" bestFit="1" customWidth="1"/>
    <col min="10" max="10" width="8.4140625" style="356" bestFit="1" customWidth="1"/>
    <col min="11" max="11" width="10" style="353" bestFit="1" customWidth="1"/>
    <col min="12" max="12" width="5.4140625" style="353" bestFit="1" customWidth="1"/>
    <col min="13" max="13" width="9" style="353" bestFit="1" customWidth="1"/>
    <col min="14" max="14" width="9" style="356" customWidth="1"/>
    <col min="15" max="17" width="8.83203125" style="353"/>
    <col min="18" max="18" width="8.83203125" style="356"/>
    <col min="19" max="22" width="8.83203125" style="357"/>
    <col min="23" max="23" width="15.83203125" style="353" hidden="1" customWidth="1"/>
    <col min="24" max="24" width="14.08203125" style="353" hidden="1" customWidth="1"/>
    <col min="25" max="25" width="0" style="353" hidden="1" customWidth="1"/>
    <col min="26" max="26" width="20" style="353" bestFit="1" customWidth="1"/>
    <col min="27" max="16384" width="8.83203125" style="353"/>
  </cols>
  <sheetData>
    <row r="1" spans="1:30">
      <c r="D1" s="354"/>
      <c r="E1" s="356">
        <f>SUBTOTAL(9,Table411[[#All],[Qty Inbound]])</f>
        <v>99913</v>
      </c>
      <c r="F1" s="356"/>
      <c r="J1" s="356">
        <f>SUBTOTAL(9,Table411[[#All],[leftover]])</f>
        <v>35806</v>
      </c>
      <c r="N1" s="356">
        <f>SUBTOTAL(9,Table411[[#All],[leftover2]])</f>
        <v>13961</v>
      </c>
      <c r="R1" s="356">
        <f>SUBTOTAL(9,Table411[[#All],[leftover3]])</f>
        <v>10829</v>
      </c>
      <c r="V1" s="356">
        <f>SUBTOTAL(9,Table411[[#All],[leftover4]])</f>
        <v>10829</v>
      </c>
    </row>
    <row r="2" spans="1:30" ht="14">
      <c r="A2" s="358" t="s">
        <v>5145</v>
      </c>
      <c r="B2" s="359" t="s">
        <v>5146</v>
      </c>
      <c r="C2" s="359" t="s">
        <v>5147</v>
      </c>
      <c r="D2" s="359" t="s">
        <v>5148</v>
      </c>
      <c r="E2" s="496" t="s">
        <v>5149</v>
      </c>
      <c r="F2" s="360" t="s">
        <v>5342</v>
      </c>
      <c r="G2" s="359" t="s">
        <v>5150</v>
      </c>
      <c r="H2" s="361" t="s">
        <v>5151</v>
      </c>
      <c r="I2" s="359" t="s">
        <v>5152</v>
      </c>
      <c r="J2" s="362" t="s">
        <v>5153</v>
      </c>
      <c r="K2" s="359" t="s">
        <v>5154</v>
      </c>
      <c r="L2" s="359" t="s">
        <v>5155</v>
      </c>
      <c r="M2" s="359" t="s">
        <v>5156</v>
      </c>
      <c r="N2" s="363" t="s">
        <v>5157</v>
      </c>
      <c r="O2" s="359" t="s">
        <v>5158</v>
      </c>
      <c r="P2" s="359" t="s">
        <v>5159</v>
      </c>
      <c r="Q2" s="359" t="s">
        <v>5160</v>
      </c>
      <c r="R2" s="362" t="s">
        <v>5161</v>
      </c>
      <c r="S2" s="359" t="s">
        <v>5162</v>
      </c>
      <c r="T2" s="359" t="s">
        <v>5163</v>
      </c>
      <c r="U2" s="359" t="s">
        <v>5164</v>
      </c>
      <c r="V2" s="364" t="s">
        <v>5165</v>
      </c>
      <c r="W2" s="359" t="s">
        <v>5166</v>
      </c>
      <c r="X2" s="359" t="s">
        <v>5167</v>
      </c>
      <c r="Y2" s="359" t="s">
        <v>5168</v>
      </c>
      <c r="Z2" s="359" t="s">
        <v>5244</v>
      </c>
    </row>
    <row r="3" spans="1:30" s="378" customFormat="1" ht="14">
      <c r="A3" s="489" t="str">
        <f>"H-"&amp;B3&amp;"-"&amp;YEAR(C3)&amp;MONTH(Table411[[#This Row],[Date Inbound]])&amp;DAY(Table411[[#This Row],[Date Inbound]])&amp;"-0"&amp;D3</f>
        <v>H-ADSS 24C-202384-01</v>
      </c>
      <c r="B3" s="366" t="s">
        <v>3073</v>
      </c>
      <c r="C3" s="367">
        <v>45142</v>
      </c>
      <c r="D3" s="368">
        <v>1</v>
      </c>
      <c r="E3" s="498">
        <v>3000</v>
      </c>
      <c r="F3" s="498">
        <f>_xlfn.XLOOKUP(Table411[[#This Row],[HASBEL_ID]],Logfile!Y:Y,Logfile!X:X,"",0,1)</f>
        <v>0</v>
      </c>
      <c r="G3" s="370">
        <v>45148</v>
      </c>
      <c r="H3" s="371">
        <v>1279</v>
      </c>
      <c r="I3" s="366" t="s">
        <v>5169</v>
      </c>
      <c r="J3" s="372">
        <f t="shared" ref="J3:J11" si="0">E3-H3</f>
        <v>1721</v>
      </c>
      <c r="K3" s="370">
        <v>45173</v>
      </c>
      <c r="L3" s="366">
        <v>795</v>
      </c>
      <c r="M3" s="366" t="s">
        <v>5170</v>
      </c>
      <c r="N3" s="372">
        <f t="shared" ref="N3:N34" si="1">J3-L3</f>
        <v>926</v>
      </c>
      <c r="O3" s="370">
        <v>45465</v>
      </c>
      <c r="P3" s="366">
        <v>610</v>
      </c>
      <c r="Q3" s="366" t="s">
        <v>5171</v>
      </c>
      <c r="R3" s="372">
        <f t="shared" ref="R3:R34" si="2">N3-P3</f>
        <v>316</v>
      </c>
      <c r="S3" s="370">
        <v>45173</v>
      </c>
      <c r="T3" s="380">
        <v>0</v>
      </c>
      <c r="U3" s="380" t="s">
        <v>5172</v>
      </c>
      <c r="V3" s="380">
        <f t="shared" ref="V3:V34" si="3">R3-T3</f>
        <v>316</v>
      </c>
      <c r="W3" s="366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45173_ADSS 24C_926</v>
      </c>
      <c r="X3" s="366" t="str">
        <f>Table411[[#This Row],[date out4]]&amp;"_"&amp;Table411[[#This Row],[Core]]&amp;"_"&amp;Table411[[#This Row],[leftover4]]</f>
        <v>45173_ADSS 24C_316</v>
      </c>
      <c r="Y3" s="366" t="str">
        <f>IF(Table411[[#This Row],[Date Inbound]]&gt;Table411[[#This Row],[date1]],"INV","")</f>
        <v/>
      </c>
      <c r="Z3" s="524" t="str">
        <f>_xlfn.IFNA(VLOOKUP(Table411[[#This Row],[HASBEL_ID]],Logfile!Y:Y,1,0),VLOOKUP(Table411[[#This Row],[HASBEL_ID]],LO_Logfile!Z:Z,1,0))</f>
        <v>H-ADSS 24C-202384-01</v>
      </c>
      <c r="AB3" s="378">
        <v>3000</v>
      </c>
      <c r="AD3" s="378">
        <v>1219</v>
      </c>
    </row>
    <row r="4" spans="1:30" s="378" customFormat="1" ht="14">
      <c r="A4" s="489" t="str">
        <f>"H-"&amp;B4&amp;"-"&amp;YEAR(C4)&amp;MONTH(Table411[[#This Row],[Date Inbound]])&amp;DAY(Table411[[#This Row],[Date Inbound]])&amp;"-0"&amp;D4</f>
        <v>H-ADSS 48C-202384-01</v>
      </c>
      <c r="B4" s="366" t="s">
        <v>3075</v>
      </c>
      <c r="C4" s="383">
        <v>45142</v>
      </c>
      <c r="D4" s="368">
        <v>1</v>
      </c>
      <c r="E4" s="498">
        <v>3000</v>
      </c>
      <c r="F4" s="498">
        <f>_xlfn.XLOOKUP(Table411[[#This Row],[HASBEL_ID]],Logfile!Y:Y,Logfile!X:X,"",0,-1)</f>
        <v>890</v>
      </c>
      <c r="G4" s="370">
        <v>45148</v>
      </c>
      <c r="H4" s="371">
        <v>2110</v>
      </c>
      <c r="I4" s="366" t="s">
        <v>5169</v>
      </c>
      <c r="J4" s="372">
        <f t="shared" si="0"/>
        <v>890</v>
      </c>
      <c r="K4" s="370">
        <v>45165</v>
      </c>
      <c r="L4" s="366"/>
      <c r="M4" s="366"/>
      <c r="N4" s="372">
        <f t="shared" si="1"/>
        <v>890</v>
      </c>
      <c r="O4" s="366"/>
      <c r="P4" s="366"/>
      <c r="Q4" s="366"/>
      <c r="R4" s="372">
        <f t="shared" si="2"/>
        <v>890</v>
      </c>
      <c r="S4" s="380"/>
      <c r="T4" s="380"/>
      <c r="U4" s="380"/>
      <c r="V4" s="380">
        <f t="shared" si="3"/>
        <v>890</v>
      </c>
      <c r="W4" s="366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45165_ADSS 48C_890</v>
      </c>
      <c r="X4" s="366" t="str">
        <f>Table411[[#This Row],[date out4]]&amp;"_"&amp;Table411[[#This Row],[Core]]&amp;"_"&amp;Table411[[#This Row],[leftover4]]</f>
        <v>_ADSS 48C_890</v>
      </c>
      <c r="Y4" s="366" t="str">
        <f>IF(Table411[[#This Row],[Date Inbound]]&gt;Table411[[#This Row],[date1]],"INV","")</f>
        <v/>
      </c>
      <c r="Z4" s="524" t="str">
        <f>_xlfn.IFNA(VLOOKUP(Table411[[#This Row],[HASBEL_ID]],Logfile!Y:Y,1,0),VLOOKUP(Table411[[#This Row],[HASBEL_ID]],LO_Logfile!Z:Z,1,0))</f>
        <v>H-ADSS 48C-202384-01</v>
      </c>
      <c r="AB4" s="378">
        <v>609</v>
      </c>
      <c r="AD4" s="378">
        <v>795</v>
      </c>
    </row>
    <row r="5" spans="1:30" s="378" customFormat="1" ht="14">
      <c r="A5" s="489" t="str">
        <f>"H-"&amp;B5&amp;"-"&amp;YEAR(C5)&amp;MONTH(Table411[[#This Row],[Date Inbound]])&amp;DAY(Table411[[#This Row],[Date Inbound]])&amp;"-0"&amp;D5</f>
        <v>H-ADSS 48C-202391-01</v>
      </c>
      <c r="B5" s="366" t="s">
        <v>3075</v>
      </c>
      <c r="C5" s="383">
        <v>45170</v>
      </c>
      <c r="D5" s="368">
        <v>1</v>
      </c>
      <c r="E5" s="498">
        <v>3000</v>
      </c>
      <c r="F5" s="498" t="str">
        <f>_xlfn.XLOOKUP(Table411[[#This Row],[HASBEL_ID]],Logfile!Y:Y,Logfile!X:X,"",0,-1)</f>
        <v>new hasbelUSE 605, sisa 2395</v>
      </c>
      <c r="G5" s="370">
        <v>45173</v>
      </c>
      <c r="H5" s="371">
        <v>605</v>
      </c>
      <c r="I5" s="366" t="s">
        <v>5219</v>
      </c>
      <c r="J5" s="372">
        <f t="shared" si="0"/>
        <v>2395</v>
      </c>
      <c r="K5" s="370">
        <v>45173</v>
      </c>
      <c r="L5" s="366">
        <v>1267</v>
      </c>
      <c r="M5" s="366" t="s">
        <v>5219</v>
      </c>
      <c r="N5" s="372">
        <f t="shared" si="1"/>
        <v>1128</v>
      </c>
      <c r="O5" s="366"/>
      <c r="P5" s="366"/>
      <c r="Q5" s="366" t="s">
        <v>3266</v>
      </c>
      <c r="R5" s="372">
        <f t="shared" si="2"/>
        <v>1128</v>
      </c>
      <c r="S5" s="380"/>
      <c r="T5" s="380"/>
      <c r="U5" s="380"/>
      <c r="V5" s="380">
        <f t="shared" si="3"/>
        <v>1128</v>
      </c>
      <c r="W5" s="366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45173_ADSS 48C_1128</v>
      </c>
      <c r="X5" s="366" t="str">
        <f>Table411[[#This Row],[date out4]]&amp;"_"&amp;Table411[[#This Row],[Core]]&amp;"_"&amp;Table411[[#This Row],[leftover4]]</f>
        <v>_ADSS 48C_1128</v>
      </c>
      <c r="Y5" s="366" t="str">
        <f>IF(Table411[[#This Row],[Date Inbound]]&gt;Table411[[#This Row],[date1]],"INV","")</f>
        <v/>
      </c>
      <c r="Z5" s="524" t="str">
        <f>_xlfn.IFNA(VLOOKUP(Table411[[#This Row],[HASBEL_ID]],Logfile!Y:Y,1,0),VLOOKUP(Table411[[#This Row],[HASBEL_ID]],LO_Logfile!Z:Z,1,0))</f>
        <v>H-ADSS 48C-202391-01</v>
      </c>
      <c r="AB5" s="378">
        <f>AB3-AB4</f>
        <v>2391</v>
      </c>
      <c r="AD5" s="378">
        <f>SUM(AD3:AD4)</f>
        <v>2014</v>
      </c>
    </row>
    <row r="6" spans="1:30" s="378" customFormat="1" ht="14">
      <c r="A6" s="489" t="str">
        <f>"H-"&amp;B6&amp;"-"&amp;YEAR(C6)&amp;MONTH(Table411[[#This Row],[Date Inbound]])&amp;DAY(Table411[[#This Row],[Date Inbound]])&amp;"-0"&amp;D6</f>
        <v>H-ADSS 48C-2023915-01</v>
      </c>
      <c r="B6" s="366" t="s">
        <v>3075</v>
      </c>
      <c r="C6" s="383">
        <v>45184</v>
      </c>
      <c r="D6" s="368">
        <v>1</v>
      </c>
      <c r="E6" s="498">
        <v>1250</v>
      </c>
      <c r="F6" s="498" t="str">
        <f>_xlfn.XLOOKUP(Table411[[#This Row],[HASBEL_ID]],Logfile!Y:Y,Logfile!X:X,"",0,-1)</f>
        <v/>
      </c>
      <c r="G6" s="370">
        <v>45487</v>
      </c>
      <c r="H6" s="371">
        <v>860</v>
      </c>
      <c r="I6" s="366" t="s">
        <v>5239</v>
      </c>
      <c r="J6" s="372">
        <f t="shared" si="0"/>
        <v>390</v>
      </c>
      <c r="K6" s="370">
        <v>45487</v>
      </c>
      <c r="L6" s="366">
        <v>390</v>
      </c>
      <c r="M6" s="366" t="s">
        <v>5239</v>
      </c>
      <c r="N6" s="372">
        <f t="shared" si="1"/>
        <v>0</v>
      </c>
      <c r="O6" s="366"/>
      <c r="P6" s="366"/>
      <c r="Q6" s="366"/>
      <c r="R6" s="372">
        <f t="shared" si="2"/>
        <v>0</v>
      </c>
      <c r="S6" s="380"/>
      <c r="T6" s="380"/>
      <c r="U6" s="380"/>
      <c r="V6" s="380">
        <f t="shared" si="3"/>
        <v>0</v>
      </c>
      <c r="W6" s="366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45487_ADSS 48C_390</v>
      </c>
      <c r="X6" s="366" t="str">
        <f>Table411[[#This Row],[date out4]]&amp;"_"&amp;Table411[[#This Row],[Core]]&amp;"_"&amp;Table411[[#This Row],[leftover4]]</f>
        <v>_ADSS 48C_0</v>
      </c>
      <c r="Y6" s="366" t="str">
        <f>IF(Table411[[#This Row],[Date Inbound]]&gt;Table411[[#This Row],[date1]],"INV","")</f>
        <v/>
      </c>
      <c r="Z6" s="526" t="str">
        <f>_xlfn.IFNA(VLOOKUP(Table411[[#This Row],[HASBEL_ID]],Logfile!Y:Y,1,0),VLOOKUP(Table411[[#This Row],[HASBEL_ID]],LO_Logfile!Z:Z,1,0))</f>
        <v>H-ADSS 48C-2023915-01</v>
      </c>
      <c r="AB6" s="378" t="e">
        <f>AB5-#REF!</f>
        <v>#REF!</v>
      </c>
      <c r="AD6" s="378" t="e">
        <f>#REF!-AD5</f>
        <v>#REF!</v>
      </c>
    </row>
    <row r="7" spans="1:30" s="378" customFormat="1" ht="14">
      <c r="A7" s="527" t="str">
        <f>"H-"&amp;B7&amp;"-"&amp;YEAR(C7)&amp;MONTH(Table411[[#This Row],[Date Inbound]])&amp;DAY(Table411[[#This Row],[Date Inbound]])&amp;"-0"&amp;D7</f>
        <v>H-ADSS 48C-2023916-01</v>
      </c>
      <c r="B7" s="366" t="s">
        <v>3075</v>
      </c>
      <c r="C7" s="367">
        <v>45185</v>
      </c>
      <c r="D7" s="368">
        <v>1</v>
      </c>
      <c r="E7" s="498">
        <v>3000</v>
      </c>
      <c r="F7" s="498">
        <f>_xlfn.XLOOKUP(Table411[[#This Row],[HASBEL_ID]],Logfile!Y:Y,Logfile!X:X,"",0,-1)</f>
        <v>0</v>
      </c>
      <c r="G7" s="370">
        <v>45193</v>
      </c>
      <c r="H7" s="371">
        <v>387</v>
      </c>
      <c r="I7" s="366" t="s">
        <v>5220</v>
      </c>
      <c r="J7" s="372">
        <f t="shared" si="0"/>
        <v>2613</v>
      </c>
      <c r="K7" s="370">
        <v>45211</v>
      </c>
      <c r="L7" s="366">
        <v>2613</v>
      </c>
      <c r="M7" s="366" t="s">
        <v>5221</v>
      </c>
      <c r="N7" s="372">
        <f t="shared" si="1"/>
        <v>0</v>
      </c>
      <c r="O7" s="366"/>
      <c r="P7" s="366"/>
      <c r="Q7" s="366"/>
      <c r="R7" s="372">
        <f t="shared" si="2"/>
        <v>0</v>
      </c>
      <c r="S7" s="380"/>
      <c r="T7" s="380"/>
      <c r="U7" s="380"/>
      <c r="V7" s="380">
        <f t="shared" si="3"/>
        <v>0</v>
      </c>
      <c r="W7" s="366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45193_ADSS 48C_2613</v>
      </c>
      <c r="X7" s="366" t="str">
        <f>Table411[[#This Row],[date out4]]&amp;"_"&amp;Table411[[#This Row],[Core]]&amp;"_"&amp;Table411[[#This Row],[leftover4]]</f>
        <v>_ADSS 48C_0</v>
      </c>
      <c r="Y7" s="366" t="str">
        <f>IF(Table411[[#This Row],[Date Inbound]]&gt;Table411[[#This Row],[date1]],"INV","")</f>
        <v/>
      </c>
      <c r="Z7" s="526" t="str">
        <f>_xlfn.IFNA(VLOOKUP(Table411[[#This Row],[HASBEL_ID]],Logfile!Y:Y,1,0),VLOOKUP(Table411[[#This Row],[HASBEL_ID]],LO_Logfile!Z:Z,1,0))</f>
        <v>H-ADSS 48C-2023916-01</v>
      </c>
      <c r="AB7" s="378">
        <v>805</v>
      </c>
      <c r="AD7" s="378" t="e">
        <f>AD6-158</f>
        <v>#REF!</v>
      </c>
    </row>
    <row r="8" spans="1:30" s="395" customFormat="1" ht="14">
      <c r="A8" s="489" t="str">
        <f>"H-"&amp;B8&amp;"-"&amp;YEAR(C8)&amp;MONTH(Table411[[#This Row],[Date Inbound]])&amp;DAY(Table411[[#This Row],[Date Inbound]])&amp;"-0"&amp;D8</f>
        <v>H-ADSS 24C-2023919-01</v>
      </c>
      <c r="B8" s="366" t="s">
        <v>3073</v>
      </c>
      <c r="C8" s="367">
        <v>45188</v>
      </c>
      <c r="D8" s="368">
        <v>1</v>
      </c>
      <c r="E8" s="498">
        <v>3000</v>
      </c>
      <c r="F8" s="498" t="str">
        <f>_xlfn.XLOOKUP(Table411[[#This Row],[HASBEL_ID]],Logfile!Y:Y,Logfile!X:X,"",0,-1)</f>
        <v>3000-1235=1765</v>
      </c>
      <c r="G8" s="370">
        <v>45194</v>
      </c>
      <c r="H8" s="379">
        <v>1100</v>
      </c>
      <c r="I8" s="366" t="s">
        <v>5173</v>
      </c>
      <c r="J8" s="372">
        <f t="shared" si="0"/>
        <v>1900</v>
      </c>
      <c r="K8" s="370">
        <v>45195</v>
      </c>
      <c r="L8" s="366">
        <v>1900</v>
      </c>
      <c r="M8" s="366" t="s">
        <v>5173</v>
      </c>
      <c r="N8" s="372">
        <f t="shared" si="1"/>
        <v>0</v>
      </c>
      <c r="O8" s="366"/>
      <c r="P8" s="366"/>
      <c r="Q8" s="366"/>
      <c r="R8" s="372">
        <f t="shared" si="2"/>
        <v>0</v>
      </c>
      <c r="S8" s="380"/>
      <c r="T8" s="380"/>
      <c r="U8" s="380"/>
      <c r="V8" s="380">
        <f t="shared" si="3"/>
        <v>0</v>
      </c>
      <c r="W8" s="366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45194_ADSS 24C_1900</v>
      </c>
      <c r="X8" s="366" t="str">
        <f>Table411[[#This Row],[date out4]]&amp;"_"&amp;Table411[[#This Row],[Core]]&amp;"_"&amp;Table411[[#This Row],[leftover4]]</f>
        <v>_ADSS 24C_0</v>
      </c>
      <c r="Y8" s="366" t="str">
        <f>IF(Table411[[#This Row],[Date Inbound]]&gt;Table411[[#This Row],[date1]],"INV","")</f>
        <v/>
      </c>
      <c r="Z8" s="524" t="str">
        <f>_xlfn.IFNA(VLOOKUP(Table411[[#This Row],[HASBEL_ID]],Logfile!Y:Y,1,0),VLOOKUP(Table411[[#This Row],[HASBEL_ID]],LO_Logfile!Z:Z,1,0))</f>
        <v>H-ADSS 24C-2023919-01</v>
      </c>
      <c r="AB8" s="395" t="e">
        <f>AB6-AB7</f>
        <v>#REF!</v>
      </c>
    </row>
    <row r="9" spans="1:30" ht="14">
      <c r="A9" s="489" t="str">
        <f>"H-"&amp;B9&amp;"-"&amp;YEAR(C9)&amp;MONTH(Table411[[#This Row],[Date Inbound]])&amp;DAY(Table411[[#This Row],[Date Inbound]])&amp;"-0"&amp;D9</f>
        <v>H-ADSS 24C-2023920-01</v>
      </c>
      <c r="B9" s="366" t="s">
        <v>3073</v>
      </c>
      <c r="C9" s="367">
        <v>45189</v>
      </c>
      <c r="D9" s="368">
        <v>1</v>
      </c>
      <c r="E9" s="498">
        <v>3000</v>
      </c>
      <c r="F9" s="498" t="str">
        <f>_xlfn.XLOOKUP(Table411[[#This Row],[HASBEL_ID]],Logfile!Y:Y,Logfile!X:X,"",0,-1)</f>
        <v>1100&amp;1900</v>
      </c>
      <c r="G9" s="370">
        <v>45193</v>
      </c>
      <c r="H9" s="371">
        <v>1235</v>
      </c>
      <c r="I9" s="366" t="s">
        <v>5174</v>
      </c>
      <c r="J9" s="372">
        <f t="shared" si="0"/>
        <v>1765</v>
      </c>
      <c r="K9" s="370">
        <v>45200</v>
      </c>
      <c r="L9" s="379">
        <v>1550</v>
      </c>
      <c r="M9" s="366" t="s">
        <v>5173</v>
      </c>
      <c r="N9" s="372">
        <f t="shared" si="1"/>
        <v>215</v>
      </c>
      <c r="O9" s="366"/>
      <c r="P9" s="366"/>
      <c r="Q9" s="366"/>
      <c r="R9" s="372">
        <f t="shared" si="2"/>
        <v>215</v>
      </c>
      <c r="S9" s="380"/>
      <c r="T9" s="380"/>
      <c r="U9" s="380"/>
      <c r="V9" s="380">
        <f t="shared" si="3"/>
        <v>215</v>
      </c>
      <c r="W9" s="366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45200_ADSS 24C_215</v>
      </c>
      <c r="X9" s="366" t="str">
        <f>Table411[[#This Row],[date out4]]&amp;"_"&amp;Table411[[#This Row],[Core]]&amp;"_"&amp;Table411[[#This Row],[leftover4]]</f>
        <v>_ADSS 24C_215</v>
      </c>
      <c r="Y9" s="366" t="str">
        <f>IF(Table411[[#This Row],[Date Inbound]]&gt;Table411[[#This Row],[date1]],"INV","")</f>
        <v/>
      </c>
      <c r="Z9" s="524" t="str">
        <f>_xlfn.IFNA(VLOOKUP(Table411[[#This Row],[HASBEL_ID]],Logfile!Y:Y,1,0),VLOOKUP(Table411[[#This Row],[HASBEL_ID]],LO_Logfile!Z:Z,1,0))</f>
        <v>H-ADSS 24C-2023920-01</v>
      </c>
      <c r="AB9" s="353">
        <v>418</v>
      </c>
    </row>
    <row r="10" spans="1:30" ht="14">
      <c r="A10" s="489" t="str">
        <f>"H-"&amp;B10&amp;"-"&amp;YEAR(C10)&amp;MONTH(Table411[[#This Row],[Date Inbound]])&amp;DAY(Table411[[#This Row],[Date Inbound]])&amp;"-0"&amp;D10</f>
        <v>H-ADSS 24C-2023926-01</v>
      </c>
      <c r="B10" s="366" t="s">
        <v>3073</v>
      </c>
      <c r="C10" s="367">
        <v>45195</v>
      </c>
      <c r="D10" s="366">
        <v>1</v>
      </c>
      <c r="E10" s="499">
        <v>3000</v>
      </c>
      <c r="F10" s="499">
        <f>_xlfn.XLOOKUP(Table411[[#This Row],[HASBEL_ID]],Logfile!Y:Y,Logfile!X:X,"",0,-1)</f>
        <v>0</v>
      </c>
      <c r="G10" s="370">
        <v>45200</v>
      </c>
      <c r="H10" s="366">
        <v>2065</v>
      </c>
      <c r="I10" s="366" t="s">
        <v>5173</v>
      </c>
      <c r="J10" s="372">
        <f t="shared" si="0"/>
        <v>935</v>
      </c>
      <c r="K10" s="370"/>
      <c r="L10" s="366"/>
      <c r="M10" s="366"/>
      <c r="N10" s="372">
        <f t="shared" si="1"/>
        <v>935</v>
      </c>
      <c r="O10" s="366"/>
      <c r="P10" s="366"/>
      <c r="Q10" s="366"/>
      <c r="R10" s="372">
        <f t="shared" si="2"/>
        <v>935</v>
      </c>
      <c r="S10" s="380"/>
      <c r="T10" s="380"/>
      <c r="U10" s="380"/>
      <c r="V10" s="380">
        <f t="shared" si="3"/>
        <v>935</v>
      </c>
      <c r="W10" s="366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45200_ADSS 24C_935</v>
      </c>
      <c r="X10" s="366" t="str">
        <f>Table411[[#This Row],[date out4]]&amp;"_"&amp;Table411[[#This Row],[Core]]&amp;"_"&amp;Table411[[#This Row],[leftover4]]</f>
        <v>_ADSS 24C_935</v>
      </c>
      <c r="Y10" s="366" t="str">
        <f>IF(Table411[[#This Row],[Date Inbound]]&gt;Table411[[#This Row],[date1]],"INV","")</f>
        <v/>
      </c>
      <c r="Z10" s="524" t="str">
        <f>_xlfn.IFNA(VLOOKUP(Table411[[#This Row],[HASBEL_ID]],Logfile!Y:Y,1,0),VLOOKUP(Table411[[#This Row],[HASBEL_ID]],LO_Logfile!Z:Z,1,0))</f>
        <v>H-ADSS 24C-2023926-01</v>
      </c>
      <c r="AB10" s="353" t="e">
        <f>AB8-AB9</f>
        <v>#REF!</v>
      </c>
    </row>
    <row r="11" spans="1:30" s="378" customFormat="1" ht="14">
      <c r="A11" s="527" t="str">
        <f>"H-"&amp;B11&amp;"-"&amp;YEAR(C11)&amp;MONTH(Table411[[#This Row],[Date Inbound]])&amp;DAY(Table411[[#This Row],[Date Inbound]])&amp;"-0"&amp;D11</f>
        <v>H-ADSS 48C-2023926-01</v>
      </c>
      <c r="B11" s="366" t="s">
        <v>3075</v>
      </c>
      <c r="C11" s="367">
        <v>45195</v>
      </c>
      <c r="D11" s="368">
        <v>1</v>
      </c>
      <c r="E11" s="498">
        <v>3000</v>
      </c>
      <c r="F11" s="498">
        <f>_xlfn.XLOOKUP(Table411[[#This Row],[HASBEL_ID]],Logfile!Y:Y,Logfile!X:X,"",0,-1)</f>
        <v>0</v>
      </c>
      <c r="G11" s="370">
        <v>45196</v>
      </c>
      <c r="H11" s="379">
        <v>1679</v>
      </c>
      <c r="I11" s="366" t="s">
        <v>5221</v>
      </c>
      <c r="J11" s="372">
        <f t="shared" si="0"/>
        <v>1321</v>
      </c>
      <c r="K11" s="370">
        <v>45196</v>
      </c>
      <c r="L11" s="379">
        <v>1321</v>
      </c>
      <c r="M11" s="366" t="s">
        <v>5222</v>
      </c>
      <c r="N11" s="372">
        <f t="shared" si="1"/>
        <v>0</v>
      </c>
      <c r="O11" s="366"/>
      <c r="P11" s="366"/>
      <c r="Q11" s="366"/>
      <c r="R11" s="372">
        <f t="shared" si="2"/>
        <v>0</v>
      </c>
      <c r="S11" s="380"/>
      <c r="T11" s="380"/>
      <c r="U11" s="380"/>
      <c r="V11" s="380">
        <f t="shared" si="3"/>
        <v>0</v>
      </c>
      <c r="W11" s="366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45196_ADSS 48C_1321</v>
      </c>
      <c r="X11" s="366" t="str">
        <f>Table411[[#This Row],[date out4]]&amp;"_"&amp;Table411[[#This Row],[Core]]&amp;"_"&amp;Table411[[#This Row],[leftover4]]</f>
        <v>_ADSS 48C_0</v>
      </c>
      <c r="Y11" s="366" t="str">
        <f>IF(Table411[[#This Row],[Date Inbound]]&gt;Table411[[#This Row],[date1]],"INV","")</f>
        <v/>
      </c>
      <c r="Z11" s="526" t="str">
        <f>_xlfn.IFNA(VLOOKUP(Table411[[#This Row],[HASBEL_ID]],Logfile!Y:Y,1,0),VLOOKUP(Table411[[#This Row],[HASBEL_ID]],LO_Logfile!Z:Z,1,0))</f>
        <v>H-ADSS 48C-2023926-01</v>
      </c>
      <c r="AB11" s="378">
        <v>158</v>
      </c>
    </row>
    <row r="12" spans="1:30" ht="14">
      <c r="A12" s="489" t="str">
        <f>"H-"&amp;B12&amp;"-"&amp;YEAR(C12)&amp;MONTH(Table411[[#This Row],[Date Inbound]])&amp;DAY(Table411[[#This Row],[Date Inbound]])&amp;"-0"&amp;D12</f>
        <v>H-ADSS 48C-2023926-02</v>
      </c>
      <c r="B12" s="382" t="s">
        <v>3075</v>
      </c>
      <c r="C12" s="383">
        <v>45195</v>
      </c>
      <c r="D12" s="384">
        <v>2</v>
      </c>
      <c r="E12" s="497">
        <v>3000</v>
      </c>
      <c r="F12" s="497">
        <f>_xlfn.XLOOKUP(Table411[[#This Row],[HASBEL_ID]],Logfile!Y:Y,Logfile!X:X,"",0,-1)</f>
        <v>0</v>
      </c>
      <c r="G12" s="386">
        <v>45196</v>
      </c>
      <c r="H12" s="387">
        <v>3000</v>
      </c>
      <c r="I12" s="423" t="s">
        <v>5223</v>
      </c>
      <c r="J12" s="389"/>
      <c r="K12" s="382"/>
      <c r="L12" s="382"/>
      <c r="M12" s="382"/>
      <c r="N12" s="389">
        <f t="shared" si="1"/>
        <v>0</v>
      </c>
      <c r="O12" s="382"/>
      <c r="P12" s="382"/>
      <c r="Q12" s="382"/>
      <c r="R12" s="389">
        <f t="shared" si="2"/>
        <v>0</v>
      </c>
      <c r="S12" s="391"/>
      <c r="T12" s="391"/>
      <c r="U12" s="391"/>
      <c r="V12" s="391">
        <f t="shared" si="3"/>
        <v>0</v>
      </c>
      <c r="W12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45196_ADSS 48C_</v>
      </c>
      <c r="X12" s="382" t="str">
        <f>Table411[[#This Row],[date out4]]&amp;"_"&amp;Table411[[#This Row],[Core]]&amp;"_"&amp;Table411[[#This Row],[leftover4]]</f>
        <v>_ADSS 48C_0</v>
      </c>
      <c r="Y12" s="382" t="str">
        <f>IF(Table411[[#This Row],[Date Inbound]]&gt;Table411[[#This Row],[date1]],"INV","")</f>
        <v/>
      </c>
      <c r="Z12" s="524" t="str">
        <f>_xlfn.IFNA(VLOOKUP(Table411[[#This Row],[HASBEL_ID]],Logfile!Y:Y,1,0),VLOOKUP(Table411[[#This Row],[HASBEL_ID]],LO_Logfile!Z:Z,1,0))</f>
        <v>H-ADSS 48C-2023926-02</v>
      </c>
      <c r="AB12" s="353" t="e">
        <f>AB10-AB11</f>
        <v>#REF!</v>
      </c>
    </row>
    <row r="13" spans="1:30" s="378" customFormat="1" ht="14">
      <c r="A13" s="527" t="str">
        <f>"H-"&amp;B13&amp;"-"&amp;YEAR(C13)&amp;MONTH(Table411[[#This Row],[Date Inbound]])&amp;DAY(Table411[[#This Row],[Date Inbound]])&amp;"-0"&amp;D13</f>
        <v>H-ADSS 24C-20231014-01</v>
      </c>
      <c r="B13" s="366" t="s">
        <v>3073</v>
      </c>
      <c r="C13" s="367">
        <v>45213</v>
      </c>
      <c r="D13" s="368">
        <v>1</v>
      </c>
      <c r="E13" s="498">
        <v>3000</v>
      </c>
      <c r="F13" s="498" t="str">
        <f>_xlfn.XLOOKUP(Table411[[#This Row],[HASBEL_ID]],Logfile!Y:Y,Logfile!X:X,"",0,-1)</f>
        <v>USE 1200 + 1800</v>
      </c>
      <c r="G13" s="370">
        <v>45222</v>
      </c>
      <c r="H13" s="371">
        <v>1800</v>
      </c>
      <c r="I13" s="366" t="s">
        <v>5177</v>
      </c>
      <c r="J13" s="372">
        <f t="shared" ref="J13:J44" si="4">E13-H13</f>
        <v>1200</v>
      </c>
      <c r="K13" s="370">
        <v>45222</v>
      </c>
      <c r="L13" s="366">
        <v>1200</v>
      </c>
      <c r="M13" s="366" t="s">
        <v>5178</v>
      </c>
      <c r="N13" s="372">
        <f t="shared" si="1"/>
        <v>0</v>
      </c>
      <c r="O13" s="366"/>
      <c r="P13" s="366"/>
      <c r="Q13" s="366"/>
      <c r="R13" s="372">
        <f t="shared" si="2"/>
        <v>0</v>
      </c>
      <c r="S13" s="380"/>
      <c r="T13" s="380"/>
      <c r="U13" s="380"/>
      <c r="V13" s="380">
        <f t="shared" si="3"/>
        <v>0</v>
      </c>
      <c r="W13" s="366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45222_ADSS 24C_1200</v>
      </c>
      <c r="X13" s="366" t="str">
        <f>Table411[[#This Row],[date out4]]&amp;"_"&amp;Table411[[#This Row],[Core]]&amp;"_"&amp;Table411[[#This Row],[leftover4]]</f>
        <v>_ADSS 24C_0</v>
      </c>
      <c r="Y13" s="366" t="str">
        <f>IF(Table411[[#This Row],[Date Inbound]]&gt;Table411[[#This Row],[date1]],"INV","")</f>
        <v/>
      </c>
      <c r="Z13" s="526" t="str">
        <f>_xlfn.IFNA(VLOOKUP(Table411[[#This Row],[HASBEL_ID]],Logfile!Y:Y,1,0),VLOOKUP(Table411[[#This Row],[HASBEL_ID]],LO_Logfile!Z:Z,1,0))</f>
        <v>H-ADSS 24C-20231014-01</v>
      </c>
    </row>
    <row r="14" spans="1:30" ht="14">
      <c r="A14" s="489" t="str">
        <f>"H-"&amp;B14&amp;"-"&amp;YEAR(C14)&amp;MONTH(Table411[[#This Row],[Date Inbound]])&amp;DAY(Table411[[#This Row],[Date Inbound]])&amp;"-0"&amp;D14</f>
        <v>H-ADSS 24C-20231014-03</v>
      </c>
      <c r="B14" s="366" t="s">
        <v>3073</v>
      </c>
      <c r="C14" s="367">
        <v>45213</v>
      </c>
      <c r="D14" s="368">
        <v>3</v>
      </c>
      <c r="E14" s="498">
        <v>3000</v>
      </c>
      <c r="F14" s="498" t="str">
        <f>_xlfn.XLOOKUP(Table411[[#This Row],[HASBEL_ID]],Logfile!Y:Y,Logfile!X:X,"",0,-1)</f>
        <v>3000-1260=1740</v>
      </c>
      <c r="G14" s="370">
        <v>45218</v>
      </c>
      <c r="H14" s="371">
        <v>1260</v>
      </c>
      <c r="I14" s="366" t="s">
        <v>5175</v>
      </c>
      <c r="J14" s="372">
        <f t="shared" si="4"/>
        <v>1740</v>
      </c>
      <c r="K14" s="370">
        <v>45218</v>
      </c>
      <c r="L14" s="366">
        <v>684</v>
      </c>
      <c r="M14" s="366" t="s">
        <v>5176</v>
      </c>
      <c r="N14" s="372">
        <f t="shared" si="1"/>
        <v>1056</v>
      </c>
      <c r="O14" s="370">
        <v>45218</v>
      </c>
      <c r="P14" s="366">
        <v>772</v>
      </c>
      <c r="Q14" s="366" t="s">
        <v>5175</v>
      </c>
      <c r="R14" s="372">
        <f t="shared" si="2"/>
        <v>284</v>
      </c>
      <c r="S14" s="380"/>
      <c r="T14" s="380"/>
      <c r="U14" s="380"/>
      <c r="V14" s="380">
        <f t="shared" si="3"/>
        <v>284</v>
      </c>
      <c r="W14" s="366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45218_ADSS 24C_1056</v>
      </c>
      <c r="X14" s="366" t="str">
        <f>Table411[[#This Row],[date out4]]&amp;"_"&amp;Table411[[#This Row],[Core]]&amp;"_"&amp;Table411[[#This Row],[leftover4]]</f>
        <v>_ADSS 24C_284</v>
      </c>
      <c r="Y14" s="366" t="str">
        <f>IF(Table411[[#This Row],[Date Inbound]]&gt;Table411[[#This Row],[date1]],"INV","")</f>
        <v/>
      </c>
      <c r="Z14" s="524" t="str">
        <f>_xlfn.IFNA(VLOOKUP(Table411[[#This Row],[HASBEL_ID]],Logfile!Y:Y,1,0),VLOOKUP(Table411[[#This Row],[HASBEL_ID]],LO_Logfile!Z:Z,1,0))</f>
        <v>H-ADSS 24C-20231014-03</v>
      </c>
    </row>
    <row r="15" spans="1:30" s="378" customFormat="1" ht="14">
      <c r="A15" s="527" t="str">
        <f>"H-"&amp;B15&amp;"-"&amp;YEAR(C15)&amp;MONTH(Table411[[#This Row],[Date Inbound]])&amp;DAY(Table411[[#This Row],[Date Inbound]])&amp;"-0"&amp;D15</f>
        <v>H-ADSS 24C-20231014-02</v>
      </c>
      <c r="B15" s="366" t="s">
        <v>3073</v>
      </c>
      <c r="C15" s="367">
        <v>45213</v>
      </c>
      <c r="D15" s="368">
        <v>2</v>
      </c>
      <c r="E15" s="498">
        <v>3000</v>
      </c>
      <c r="F15" s="498">
        <f>_xlfn.XLOOKUP(Table411[[#This Row],[HASBEL_ID]],Logfile!Y:Y,Logfile!X:X,"",0,-1)</f>
        <v>0</v>
      </c>
      <c r="G15" s="370">
        <v>45222</v>
      </c>
      <c r="H15" s="528">
        <v>1650</v>
      </c>
      <c r="I15" s="366" t="s">
        <v>5178</v>
      </c>
      <c r="J15" s="372">
        <f t="shared" si="4"/>
        <v>1350</v>
      </c>
      <c r="K15" s="370">
        <v>45222</v>
      </c>
      <c r="L15" s="366">
        <v>650</v>
      </c>
      <c r="M15" s="366" t="s">
        <v>5179</v>
      </c>
      <c r="N15" s="372">
        <f t="shared" si="1"/>
        <v>700</v>
      </c>
      <c r="O15" s="370">
        <v>45328</v>
      </c>
      <c r="P15" s="366">
        <v>300</v>
      </c>
      <c r="Q15" s="366" t="s">
        <v>3286</v>
      </c>
      <c r="R15" s="372">
        <f t="shared" si="2"/>
        <v>400</v>
      </c>
      <c r="S15" s="380"/>
      <c r="T15" s="380"/>
      <c r="U15" s="380"/>
      <c r="V15" s="380">
        <f t="shared" si="3"/>
        <v>400</v>
      </c>
      <c r="W15" s="366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45222_ADSS 24C_700</v>
      </c>
      <c r="X15" s="366" t="str">
        <f>Table411[[#This Row],[date out4]]&amp;"_"&amp;Table411[[#This Row],[Core]]&amp;"_"&amp;Table411[[#This Row],[leftover4]]</f>
        <v>_ADSS 24C_400</v>
      </c>
      <c r="Y15" s="366" t="str">
        <f>IF(Table411[[#This Row],[Date Inbound]]&gt;Table411[[#This Row],[date1]],"INV","")</f>
        <v/>
      </c>
      <c r="Z15" s="526" t="str">
        <f>_xlfn.IFNA(VLOOKUP(Table411[[#This Row],[HASBEL_ID]],Logfile!Y:Y,1,0),VLOOKUP(Table411[[#This Row],[HASBEL_ID]],LO_Logfile!Z:Z,1,0))</f>
        <v>H-ADSS 24C-20231014-02</v>
      </c>
    </row>
    <row r="16" spans="1:30" ht="14">
      <c r="A16" s="489" t="str">
        <f>"H-"&amp;B16&amp;"-"&amp;YEAR(C16)&amp;MONTH(Table411[[#This Row],[Date Inbound]])&amp;DAY(Table411[[#This Row],[Date Inbound]])&amp;"-0"&amp;D16</f>
        <v>H-ADSS 48C-20231014-01</v>
      </c>
      <c r="B16" s="382" t="s">
        <v>3075</v>
      </c>
      <c r="C16" s="383">
        <v>45213</v>
      </c>
      <c r="D16" s="384">
        <v>1</v>
      </c>
      <c r="E16" s="497">
        <v>3000</v>
      </c>
      <c r="F16" s="497">
        <f>_xlfn.XLOOKUP(Table411[[#This Row],[HASBEL_ID]],Logfile!Y:Y,Logfile!X:X,"",0,-1)</f>
        <v>0</v>
      </c>
      <c r="G16" s="386">
        <v>45224</v>
      </c>
      <c r="H16" s="387">
        <v>2600</v>
      </c>
      <c r="I16" s="388" t="s">
        <v>5178</v>
      </c>
      <c r="J16" s="389">
        <f t="shared" si="4"/>
        <v>400</v>
      </c>
      <c r="K16" s="386">
        <v>45343</v>
      </c>
      <c r="L16" s="382">
        <v>400</v>
      </c>
      <c r="M16" s="382" t="s">
        <v>5187</v>
      </c>
      <c r="N16" s="389">
        <f t="shared" si="1"/>
        <v>0</v>
      </c>
      <c r="O16" s="382"/>
      <c r="P16" s="382"/>
      <c r="Q16" s="382"/>
      <c r="R16" s="389">
        <f t="shared" si="2"/>
        <v>0</v>
      </c>
      <c r="S16" s="391"/>
      <c r="T16" s="391"/>
      <c r="U16" s="391"/>
      <c r="V16" s="391">
        <f t="shared" si="3"/>
        <v>0</v>
      </c>
      <c r="W16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45224_ADSS 48C_400</v>
      </c>
      <c r="X16" s="382" t="str">
        <f>Table411[[#This Row],[date out4]]&amp;"_"&amp;Table411[[#This Row],[Core]]&amp;"_"&amp;Table411[[#This Row],[leftover4]]</f>
        <v>_ADSS 48C_0</v>
      </c>
      <c r="Y16" s="382" t="str">
        <f>IF(Table411[[#This Row],[Date Inbound]]&gt;Table411[[#This Row],[date1]],"INV","")</f>
        <v/>
      </c>
      <c r="Z16" s="524" t="str">
        <f>_xlfn.IFNA(VLOOKUP(Table411[[#This Row],[HASBEL_ID]],Logfile!Y:Y,1,0),VLOOKUP(Table411[[#This Row],[HASBEL_ID]],LO_Logfile!Z:Z,1,0))</f>
        <v>H-ADSS 48C-20231014-01</v>
      </c>
    </row>
    <row r="17" spans="1:26" s="408" customFormat="1" ht="14">
      <c r="A17" s="489" t="str">
        <f>"H-"&amp;B17&amp;"-"&amp;YEAR(C17)&amp;MONTH(Table411[[#This Row],[Date Inbound]])&amp;DAY(Table411[[#This Row],[Date Inbound]])&amp;"-0"&amp;D17</f>
        <v>H-ADSS 48C-20231014-02</v>
      </c>
      <c r="B17" s="382" t="s">
        <v>3075</v>
      </c>
      <c r="C17" s="383">
        <v>45213</v>
      </c>
      <c r="D17" s="384">
        <v>2</v>
      </c>
      <c r="E17" s="497">
        <v>3000</v>
      </c>
      <c r="F17" s="497">
        <f>_xlfn.XLOOKUP(Table411[[#This Row],[HASBEL_ID]],Logfile!Y:Y,Logfile!X:X,"",0,-1)</f>
        <v>0</v>
      </c>
      <c r="G17" s="386">
        <v>45221</v>
      </c>
      <c r="H17" s="424">
        <v>1739</v>
      </c>
      <c r="I17" s="423" t="s">
        <v>5176</v>
      </c>
      <c r="J17" s="389">
        <f t="shared" si="4"/>
        <v>1261</v>
      </c>
      <c r="K17" s="382"/>
      <c r="L17" s="382"/>
      <c r="M17" s="382"/>
      <c r="N17" s="389">
        <f t="shared" si="1"/>
        <v>1261</v>
      </c>
      <c r="O17" s="382"/>
      <c r="P17" s="382"/>
      <c r="Q17" s="382"/>
      <c r="R17" s="389">
        <f t="shared" si="2"/>
        <v>1261</v>
      </c>
      <c r="S17" s="391"/>
      <c r="T17" s="391"/>
      <c r="U17" s="391"/>
      <c r="V17" s="391">
        <f t="shared" si="3"/>
        <v>1261</v>
      </c>
      <c r="W17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45221_ADSS 48C_1261</v>
      </c>
      <c r="X17" s="382" t="str">
        <f>Table411[[#This Row],[date out4]]&amp;"_"&amp;Table411[[#This Row],[Core]]&amp;"_"&amp;Table411[[#This Row],[leftover4]]</f>
        <v>_ADSS 48C_1261</v>
      </c>
      <c r="Y17" s="382" t="str">
        <f>IF(Table411[[#This Row],[Date Inbound]]&gt;Table411[[#This Row],[date1]],"INV","")</f>
        <v/>
      </c>
      <c r="Z17" s="524" t="str">
        <f>_xlfn.IFNA(VLOOKUP(Table411[[#This Row],[HASBEL_ID]],Logfile!Y:Y,1,0),VLOOKUP(Table411[[#This Row],[HASBEL_ID]],LO_Logfile!Z:Z,1,0))</f>
        <v>H-ADSS 48C-20231014-02</v>
      </c>
    </row>
    <row r="18" spans="1:26" ht="14">
      <c r="A18" s="489" t="str">
        <f>"H-"&amp;B18&amp;"-"&amp;YEAR(C18)&amp;MONTH(Table411[[#This Row],[Date Inbound]])&amp;DAY(Table411[[#This Row],[Date Inbound]])&amp;"-0"&amp;D18</f>
        <v>H-ADSS 24C-20231115-01</v>
      </c>
      <c r="B18" s="382" t="s">
        <v>3073</v>
      </c>
      <c r="C18" s="383">
        <v>45245</v>
      </c>
      <c r="D18" s="384">
        <v>1</v>
      </c>
      <c r="E18" s="497">
        <v>3000</v>
      </c>
      <c r="F18" s="497">
        <f>_xlfn.XLOOKUP(Table411[[#This Row],[HASBEL_ID]],Logfile!Y:Y,Logfile!X:X,"",0,-1)</f>
        <v>0</v>
      </c>
      <c r="G18" s="386">
        <v>45255</v>
      </c>
      <c r="H18" s="387">
        <v>1000</v>
      </c>
      <c r="I18" s="388" t="s">
        <v>5180</v>
      </c>
      <c r="J18" s="389">
        <f t="shared" si="4"/>
        <v>2000</v>
      </c>
      <c r="K18" s="382"/>
      <c r="L18" s="382"/>
      <c r="M18" s="382"/>
      <c r="N18" s="389">
        <f t="shared" si="1"/>
        <v>2000</v>
      </c>
      <c r="O18" s="382"/>
      <c r="P18" s="382"/>
      <c r="Q18" s="382"/>
      <c r="R18" s="389">
        <f t="shared" si="2"/>
        <v>2000</v>
      </c>
      <c r="S18" s="391"/>
      <c r="T18" s="391"/>
      <c r="U18" s="391"/>
      <c r="V18" s="391">
        <f t="shared" si="3"/>
        <v>2000</v>
      </c>
      <c r="W18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45255_ADSS 24C_2000</v>
      </c>
      <c r="X18" s="382" t="str">
        <f>Table411[[#This Row],[date out4]]&amp;"_"&amp;Table411[[#This Row],[Core]]&amp;"_"&amp;Table411[[#This Row],[leftover4]]</f>
        <v>_ADSS 24C_2000</v>
      </c>
      <c r="Y18" s="382" t="str">
        <f>IF(Table411[[#This Row],[Date Inbound]]&gt;Table411[[#This Row],[date1]],"INV","")</f>
        <v/>
      </c>
      <c r="Z18" s="524" t="str">
        <f>_xlfn.IFNA(VLOOKUP(Table411[[#This Row],[HASBEL_ID]],Logfile!Y:Y,1,0),VLOOKUP(Table411[[#This Row],[HASBEL_ID]],LO_Logfile!Z:Z,1,0))</f>
        <v>H-ADSS 24C-20231115-01</v>
      </c>
    </row>
    <row r="19" spans="1:26" ht="14">
      <c r="A19" s="489" t="str">
        <f>"H-"&amp;B19&amp;"-"&amp;YEAR(C19)&amp;MONTH(Table411[[#This Row],[Date Inbound]])&amp;DAY(Table411[[#This Row],[Date Inbound]])&amp;"-0"&amp;D19</f>
        <v>H-ADSS 48C-20231115-01</v>
      </c>
      <c r="B19" s="382" t="s">
        <v>3075</v>
      </c>
      <c r="C19" s="383">
        <v>45245</v>
      </c>
      <c r="D19" s="384">
        <v>1</v>
      </c>
      <c r="E19" s="497">
        <v>3000</v>
      </c>
      <c r="F19" s="497">
        <f>_xlfn.XLOOKUP(Table411[[#This Row],[HASBEL_ID]],Logfile!Y:Y,Logfile!X:X,"",0,-1)</f>
        <v>0</v>
      </c>
      <c r="G19" s="386">
        <v>45255</v>
      </c>
      <c r="H19" s="387">
        <v>1804</v>
      </c>
      <c r="I19" s="388" t="s">
        <v>5180</v>
      </c>
      <c r="J19" s="389">
        <f t="shared" si="4"/>
        <v>1196</v>
      </c>
      <c r="K19" s="386">
        <v>45345</v>
      </c>
      <c r="L19" s="382">
        <v>1196</v>
      </c>
      <c r="M19" s="382" t="s">
        <v>5224</v>
      </c>
      <c r="N19" s="389">
        <f t="shared" si="1"/>
        <v>0</v>
      </c>
      <c r="O19" s="382"/>
      <c r="P19" s="382"/>
      <c r="Q19" s="382"/>
      <c r="R19" s="389">
        <f t="shared" si="2"/>
        <v>0</v>
      </c>
      <c r="S19" s="391"/>
      <c r="T19" s="391"/>
      <c r="U19" s="391"/>
      <c r="V19" s="391">
        <f t="shared" si="3"/>
        <v>0</v>
      </c>
      <c r="W19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45255_ADSS 48C_1196</v>
      </c>
      <c r="X19" s="382" t="str">
        <f>Table411[[#This Row],[date out4]]&amp;"_"&amp;Table411[[#This Row],[Core]]&amp;"_"&amp;Table411[[#This Row],[leftover4]]</f>
        <v>_ADSS 48C_0</v>
      </c>
      <c r="Y19" s="382" t="str">
        <f>IF(Table411[[#This Row],[Date Inbound]]&gt;Table411[[#This Row],[date1]],"INV","")</f>
        <v/>
      </c>
      <c r="Z19" s="524" t="str">
        <f>_xlfn.IFNA(VLOOKUP(Table411[[#This Row],[HASBEL_ID]],Logfile!Y:Y,1,0),VLOOKUP(Table411[[#This Row],[HASBEL_ID]],LO_Logfile!Z:Z,1,0))</f>
        <v>H-ADSS 48C-20231115-01</v>
      </c>
    </row>
    <row r="20" spans="1:26" ht="14">
      <c r="A20" s="489" t="str">
        <f>"H-"&amp;B20&amp;"-"&amp;YEAR(C20)&amp;MONTH(Table411[[#This Row],[Date Inbound]])&amp;DAY(Table411[[#This Row],[Date Inbound]])&amp;"-0"&amp;D20</f>
        <v>H-ADSS 48C-20231126-01</v>
      </c>
      <c r="B20" s="382" t="s">
        <v>3075</v>
      </c>
      <c r="C20" s="383">
        <v>45256</v>
      </c>
      <c r="D20" s="384">
        <v>1</v>
      </c>
      <c r="E20" s="498">
        <v>1559</v>
      </c>
      <c r="F20" s="498" t="str">
        <f>_xlfn.XLOOKUP(Table411[[#This Row],[HASBEL_ID]],Logfile!Y:Y,Logfile!X:X,"",0,-1)</f>
        <v/>
      </c>
      <c r="G20" s="386">
        <v>45258</v>
      </c>
      <c r="H20" s="425">
        <v>1559</v>
      </c>
      <c r="I20" s="388" t="s">
        <v>5180</v>
      </c>
      <c r="J20" s="389">
        <f t="shared" si="4"/>
        <v>0</v>
      </c>
      <c r="K20" s="382"/>
      <c r="L20" s="382"/>
      <c r="M20" s="382"/>
      <c r="N20" s="389">
        <f t="shared" si="1"/>
        <v>0</v>
      </c>
      <c r="O20" s="382"/>
      <c r="P20" s="382"/>
      <c r="Q20" s="382"/>
      <c r="R20" s="389">
        <f t="shared" si="2"/>
        <v>0</v>
      </c>
      <c r="S20" s="391"/>
      <c r="T20" s="391"/>
      <c r="U20" s="391"/>
      <c r="V20" s="391">
        <f t="shared" si="3"/>
        <v>0</v>
      </c>
      <c r="W20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45258_ADSS 48C_0</v>
      </c>
      <c r="X20" s="382" t="str">
        <f>Table411[[#This Row],[date out4]]&amp;"_"&amp;Table411[[#This Row],[Core]]&amp;"_"&amp;Table411[[#This Row],[leftover4]]</f>
        <v>_ADSS 48C_0</v>
      </c>
      <c r="Y20" s="382" t="str">
        <f>IF(Table411[[#This Row],[Date Inbound]]&gt;Table411[[#This Row],[date1]],"INV","")</f>
        <v/>
      </c>
      <c r="Z20" s="524" t="str">
        <f>_xlfn.IFNA(VLOOKUP(Table411[[#This Row],[HASBEL_ID]],Logfile!Y:Y,1,0),VLOOKUP(Table411[[#This Row],[HASBEL_ID]],LO_Logfile!Z:Z,1,0))</f>
        <v>H-ADSS 48C-20231126-01</v>
      </c>
    </row>
    <row r="21" spans="1:26" ht="14">
      <c r="A21" s="489" t="str">
        <f>"H-"&amp;B21&amp;"-"&amp;YEAR(C21)&amp;MONTH(Table411[[#This Row],[Date Inbound]])&amp;DAY(Table411[[#This Row],[Date Inbound]])&amp;"-0"&amp;D21</f>
        <v>H-ADSS 24C-20231226-01</v>
      </c>
      <c r="B21" s="382" t="s">
        <v>3073</v>
      </c>
      <c r="C21" s="383">
        <v>45286</v>
      </c>
      <c r="D21" s="384">
        <v>1</v>
      </c>
      <c r="E21" s="497">
        <v>3000</v>
      </c>
      <c r="F21" s="497" t="str">
        <f>_xlfn.XLOOKUP(Table411[[#This Row],[HASBEL_ID]],Logfile!Y:Y,Logfile!X:X,"",0,-1)</f>
        <v>1265+735</v>
      </c>
      <c r="G21" s="386">
        <v>45286</v>
      </c>
      <c r="H21" s="387">
        <v>2300</v>
      </c>
      <c r="I21" s="382" t="s">
        <v>5181</v>
      </c>
      <c r="J21" s="389">
        <f t="shared" si="4"/>
        <v>700</v>
      </c>
      <c r="K21" s="382"/>
      <c r="L21" s="382"/>
      <c r="M21" s="382"/>
      <c r="N21" s="389">
        <f t="shared" si="1"/>
        <v>700</v>
      </c>
      <c r="O21" s="382"/>
      <c r="P21" s="382"/>
      <c r="Q21" s="382"/>
      <c r="R21" s="389">
        <f t="shared" si="2"/>
        <v>700</v>
      </c>
      <c r="S21" s="391"/>
      <c r="T21" s="391"/>
      <c r="U21" s="391"/>
      <c r="V21" s="391">
        <f t="shared" si="3"/>
        <v>700</v>
      </c>
      <c r="W21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45286_ADSS 24C_700</v>
      </c>
      <c r="X21" s="382" t="str">
        <f>Table411[[#This Row],[date out4]]&amp;"_"&amp;Table411[[#This Row],[Core]]&amp;"_"&amp;Table411[[#This Row],[leftover4]]</f>
        <v>_ADSS 24C_700</v>
      </c>
      <c r="Y21" s="382" t="str">
        <f>IF(Table411[[#This Row],[Date Inbound]]&gt;Table411[[#This Row],[date1]],"INV","")</f>
        <v/>
      </c>
      <c r="Z21" s="524" t="str">
        <f>_xlfn.IFNA(VLOOKUP(Table411[[#This Row],[HASBEL_ID]],Logfile!Y:Y,1,0),VLOOKUP(Table411[[#This Row],[HASBEL_ID]],LO_Logfile!Z:Z,1,0))</f>
        <v>H-ADSS 24C-20231226-01</v>
      </c>
    </row>
    <row r="22" spans="1:26" ht="14">
      <c r="A22" s="489" t="str">
        <f>"H-"&amp;B22&amp;"-"&amp;YEAR(C22)&amp;MONTH(Table411[[#This Row],[Date Inbound]])&amp;DAY(Table411[[#This Row],[Date Inbound]])&amp;"-0"&amp;D22</f>
        <v>H-ADSS 24C-20231227-02</v>
      </c>
      <c r="B22" s="382" t="s">
        <v>3073</v>
      </c>
      <c r="C22" s="383">
        <v>45287</v>
      </c>
      <c r="D22" s="384">
        <v>2</v>
      </c>
      <c r="E22" s="497">
        <v>3000</v>
      </c>
      <c r="F22" s="497" t="str">
        <f>_xlfn.XLOOKUP(Table411[[#This Row],[HASBEL_ID]],Logfile!Y:Y,Logfile!X:X,"",0,-1)</f>
        <v>WH MALANG KE WH JOMBANG</v>
      </c>
      <c r="G22" s="386">
        <v>45294</v>
      </c>
      <c r="H22" s="387">
        <v>3000</v>
      </c>
      <c r="I22" s="382" t="s">
        <v>5182</v>
      </c>
      <c r="J22" s="389">
        <f t="shared" si="4"/>
        <v>0</v>
      </c>
      <c r="K22" s="382"/>
      <c r="L22" s="382"/>
      <c r="M22" s="382"/>
      <c r="N22" s="389">
        <f t="shared" si="1"/>
        <v>0</v>
      </c>
      <c r="O22" s="382"/>
      <c r="P22" s="382"/>
      <c r="Q22" s="382"/>
      <c r="R22" s="389">
        <f t="shared" si="2"/>
        <v>0</v>
      </c>
      <c r="S22" s="391"/>
      <c r="T22" s="391"/>
      <c r="U22" s="391"/>
      <c r="V22" s="391">
        <f t="shared" si="3"/>
        <v>0</v>
      </c>
      <c r="W22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45294_ADSS 24C_0</v>
      </c>
      <c r="X22" s="382" t="str">
        <f>Table411[[#This Row],[date out4]]&amp;"_"&amp;Table411[[#This Row],[Core]]&amp;"_"&amp;Table411[[#This Row],[leftover4]]</f>
        <v>_ADSS 24C_0</v>
      </c>
      <c r="Y22" s="382" t="str">
        <f>IF(Table411[[#This Row],[Date Inbound]]&gt;Table411[[#This Row],[date1]],"INV","")</f>
        <v/>
      </c>
      <c r="Z22" s="524" t="str">
        <f>_xlfn.IFNA(VLOOKUP(Table411[[#This Row],[HASBEL_ID]],Logfile!Y:Y,1,0),VLOOKUP(Table411[[#This Row],[HASBEL_ID]],LO_Logfile!Z:Z,1,0))</f>
        <v>H-ADSS 24C-20231227-02</v>
      </c>
    </row>
    <row r="23" spans="1:26" ht="14">
      <c r="A23" s="489" t="str">
        <f>"H-"&amp;B23&amp;"-"&amp;YEAR(C23)&amp;MONTH(Table411[[#This Row],[Date Inbound]])&amp;DAY(Table411[[#This Row],[Date Inbound]])&amp;"-0"&amp;D23</f>
        <v>H-ADSS 24C-20231227-03</v>
      </c>
      <c r="B23" s="382" t="s">
        <v>3073</v>
      </c>
      <c r="C23" s="383">
        <v>45287</v>
      </c>
      <c r="D23" s="384">
        <v>3</v>
      </c>
      <c r="E23" s="497">
        <v>3000</v>
      </c>
      <c r="F23" s="497" t="str">
        <f>_xlfn.XLOOKUP(Table411[[#This Row],[HASBEL_ID]],Logfile!Y:Y,Logfile!X:X,"",0,-1)</f>
        <v>WH MALANG KE WH JOMBANG</v>
      </c>
      <c r="G23" s="386">
        <v>45294</v>
      </c>
      <c r="H23" s="387">
        <v>3000</v>
      </c>
      <c r="I23" s="382" t="s">
        <v>5182</v>
      </c>
      <c r="J23" s="389">
        <f t="shared" si="4"/>
        <v>0</v>
      </c>
      <c r="K23" s="382"/>
      <c r="L23" s="382"/>
      <c r="M23" s="382"/>
      <c r="N23" s="389">
        <f t="shared" si="1"/>
        <v>0</v>
      </c>
      <c r="O23" s="382"/>
      <c r="P23" s="382"/>
      <c r="Q23" s="382"/>
      <c r="R23" s="389">
        <f t="shared" si="2"/>
        <v>0</v>
      </c>
      <c r="S23" s="391"/>
      <c r="T23" s="391"/>
      <c r="U23" s="391"/>
      <c r="V23" s="391">
        <f t="shared" si="3"/>
        <v>0</v>
      </c>
      <c r="W23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45294_ADSS 24C_0</v>
      </c>
      <c r="X23" s="382" t="str">
        <f>Table411[[#This Row],[date out4]]&amp;"_"&amp;Table411[[#This Row],[Core]]&amp;"_"&amp;Table411[[#This Row],[leftover4]]</f>
        <v>_ADSS 24C_0</v>
      </c>
      <c r="Y23" s="382" t="str">
        <f>IF(Table411[[#This Row],[Date Inbound]]&gt;Table411[[#This Row],[date1]],"INV","")</f>
        <v/>
      </c>
      <c r="Z23" s="524" t="str">
        <f>_xlfn.IFNA(VLOOKUP(Table411[[#This Row],[HASBEL_ID]],Logfile!Y:Y,1,0),VLOOKUP(Table411[[#This Row],[HASBEL_ID]],LO_Logfile!Z:Z,1,0))</f>
        <v>H-ADSS 24C-20231227-03</v>
      </c>
    </row>
    <row r="24" spans="1:26" s="421" customFormat="1" ht="14">
      <c r="A24" s="489" t="str">
        <f>"H-"&amp;B24&amp;"-"&amp;YEAR(C24)&amp;MONTH(Table411[[#This Row],[Date Inbound]])&amp;DAY(Table411[[#This Row],[Date Inbound]])&amp;"-0"&amp;D24</f>
        <v>H-ADSS 24C-20231227-01</v>
      </c>
      <c r="B24" s="382" t="s">
        <v>3073</v>
      </c>
      <c r="C24" s="383">
        <v>45287</v>
      </c>
      <c r="D24" s="384">
        <v>1</v>
      </c>
      <c r="E24" s="497">
        <v>3000</v>
      </c>
      <c r="F24" s="497" t="str">
        <f>_xlfn.XLOOKUP(Table411[[#This Row],[HASBEL_ID]],Logfile!Y:Y,Logfile!X:X,"",0,-1)</f>
        <v>Diambil Bayu</v>
      </c>
      <c r="G24" s="383">
        <v>45287</v>
      </c>
      <c r="H24" s="387">
        <v>3000</v>
      </c>
      <c r="I24" s="382" t="s">
        <v>3266</v>
      </c>
      <c r="J24" s="389">
        <f t="shared" si="4"/>
        <v>0</v>
      </c>
      <c r="K24" s="382"/>
      <c r="L24" s="382"/>
      <c r="M24" s="382"/>
      <c r="N24" s="389">
        <f t="shared" si="1"/>
        <v>0</v>
      </c>
      <c r="O24" s="382"/>
      <c r="P24" s="382"/>
      <c r="Q24" s="382"/>
      <c r="R24" s="389">
        <f t="shared" si="2"/>
        <v>0</v>
      </c>
      <c r="S24" s="391"/>
      <c r="T24" s="391"/>
      <c r="U24" s="391"/>
      <c r="V24" s="391">
        <f t="shared" si="3"/>
        <v>0</v>
      </c>
      <c r="W24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45287_ADSS 24C_0</v>
      </c>
      <c r="X24" s="382" t="str">
        <f>Table411[[#This Row],[date out4]]&amp;"_"&amp;Table411[[#This Row],[Core]]&amp;"_"&amp;Table411[[#This Row],[leftover4]]</f>
        <v>_ADSS 24C_0</v>
      </c>
      <c r="Y24" s="382" t="str">
        <f>IF(Table411[[#This Row],[Date Inbound]]&gt;Table411[[#This Row],[date1]],"INV","")</f>
        <v/>
      </c>
      <c r="Z24" s="524" t="str">
        <f>_xlfn.IFNA(VLOOKUP(Table411[[#This Row],[HASBEL_ID]],Logfile!Y:Y,1,0),VLOOKUP(Table411[[#This Row],[HASBEL_ID]],LO_Logfile!Z:Z,1,0))</f>
        <v>H-ADSS 24C-20231227-01</v>
      </c>
    </row>
    <row r="25" spans="1:26" s="421" customFormat="1" ht="22.5" customHeight="1">
      <c r="A25" s="489" t="str">
        <f>"H-"&amp;B25&amp;"-"&amp;YEAR(C25)&amp;MONTH(Table411[[#This Row],[Date Inbound]])&amp;DAY(Table411[[#This Row],[Date Inbound]])&amp;"-0"&amp;D25</f>
        <v>H-ADSS 48C-2024116-02</v>
      </c>
      <c r="B25" s="382" t="s">
        <v>3075</v>
      </c>
      <c r="C25" s="383">
        <v>45307</v>
      </c>
      <c r="D25" s="384">
        <v>2</v>
      </c>
      <c r="E25" s="497">
        <v>3000</v>
      </c>
      <c r="F25" s="497">
        <f>_xlfn.XLOOKUP(Table411[[#This Row],[HASBEL_ID]],Logfile!Y:Y,Logfile!X:X,"",0,-1)</f>
        <v>0</v>
      </c>
      <c r="G25" s="386">
        <v>45310</v>
      </c>
      <c r="H25" s="387">
        <v>1850</v>
      </c>
      <c r="I25" s="396" t="s">
        <v>5172</v>
      </c>
      <c r="J25" s="389">
        <f t="shared" si="4"/>
        <v>1150</v>
      </c>
      <c r="K25" s="386">
        <v>45310</v>
      </c>
      <c r="L25" s="382">
        <v>700</v>
      </c>
      <c r="M25" s="396" t="s">
        <v>5172</v>
      </c>
      <c r="N25" s="389">
        <f t="shared" si="1"/>
        <v>450</v>
      </c>
      <c r="O25" s="386">
        <v>45310</v>
      </c>
      <c r="P25" s="382">
        <v>450</v>
      </c>
      <c r="Q25" s="396" t="s">
        <v>5172</v>
      </c>
      <c r="R25" s="389">
        <f t="shared" si="2"/>
        <v>0</v>
      </c>
      <c r="S25" s="391"/>
      <c r="T25" s="391"/>
      <c r="U25" s="391"/>
      <c r="V25" s="391">
        <f t="shared" si="3"/>
        <v>0</v>
      </c>
      <c r="W25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45310_ADSS 48C_450</v>
      </c>
      <c r="X25" s="382" t="str">
        <f>Table411[[#This Row],[date out4]]&amp;"_"&amp;Table411[[#This Row],[Core]]&amp;"_"&amp;Table411[[#This Row],[leftover4]]</f>
        <v>_ADSS 48C_0</v>
      </c>
      <c r="Y25" s="382" t="str">
        <f>IF(Table411[[#This Row],[Date Inbound]]&gt;Table411[[#This Row],[date1]],"INV","")</f>
        <v/>
      </c>
      <c r="Z25" s="524" t="str">
        <f>_xlfn.IFNA(VLOOKUP(Table411[[#This Row],[HASBEL_ID]],Logfile!Y:Y,1,0),VLOOKUP(Table411[[#This Row],[HASBEL_ID]],LO_Logfile!Z:Z,1,0))</f>
        <v>H-ADSS 48C-2024116-02</v>
      </c>
    </row>
    <row r="26" spans="1:26" ht="22.5" customHeight="1">
      <c r="A26" s="489" t="str">
        <f>"H-"&amp;B26&amp;"-"&amp;YEAR(C26)&amp;MONTH(Table411[[#This Row],[Date Inbound]])&amp;DAY(Table411[[#This Row],[Date Inbound]])&amp;"-0"&amp;D26</f>
        <v>H-ADSS 24C-2024116-01</v>
      </c>
      <c r="B26" s="382" t="s">
        <v>3073</v>
      </c>
      <c r="C26" s="383">
        <v>45307</v>
      </c>
      <c r="D26" s="384">
        <v>1</v>
      </c>
      <c r="E26" s="497">
        <v>3000</v>
      </c>
      <c r="F26" s="497" t="str">
        <f>_xlfn.XLOOKUP(Table411[[#This Row],[HASBEL_ID]],Logfile!Y:Y,Logfile!X:X,"",0,-1)</f>
        <v>+410 dari kabel potongan (leftover)</v>
      </c>
      <c r="G26" s="386">
        <v>45311</v>
      </c>
      <c r="H26" s="387">
        <v>2150</v>
      </c>
      <c r="I26" s="396" t="s">
        <v>5172</v>
      </c>
      <c r="J26" s="389">
        <f t="shared" si="4"/>
        <v>850</v>
      </c>
      <c r="K26" s="382"/>
      <c r="L26" s="382"/>
      <c r="M26" s="382"/>
      <c r="N26" s="389">
        <f t="shared" si="1"/>
        <v>850</v>
      </c>
      <c r="O26" s="382"/>
      <c r="P26" s="382"/>
      <c r="Q26" s="382"/>
      <c r="R26" s="389">
        <f t="shared" si="2"/>
        <v>850</v>
      </c>
      <c r="S26" s="391"/>
      <c r="T26" s="391"/>
      <c r="U26" s="391"/>
      <c r="V26" s="391">
        <f t="shared" si="3"/>
        <v>850</v>
      </c>
      <c r="W26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45311_ADSS 24C_850</v>
      </c>
      <c r="X26" s="382" t="str">
        <f>Table411[[#This Row],[date out4]]&amp;"_"&amp;Table411[[#This Row],[Core]]&amp;"_"&amp;Table411[[#This Row],[leftover4]]</f>
        <v>_ADSS 24C_850</v>
      </c>
      <c r="Y26" s="382" t="str">
        <f>IF(Table411[[#This Row],[Date Inbound]]&gt;Table411[[#This Row],[date1]],"INV","")</f>
        <v/>
      </c>
      <c r="Z26" s="524" t="str">
        <f>_xlfn.IFNA(VLOOKUP(Table411[[#This Row],[HASBEL_ID]],Logfile!Y:Y,1,0),VLOOKUP(Table411[[#This Row],[HASBEL_ID]],LO_Logfile!Z:Z,1,0))</f>
        <v>H-ADSS 24C-2024116-01</v>
      </c>
    </row>
    <row r="27" spans="1:26" ht="22.5" customHeight="1">
      <c r="A27" s="489" t="str">
        <f>"H-"&amp;B27&amp;"-"&amp;YEAR(C27)&amp;MONTH(Table411[[#This Row],[Date Inbound]])&amp;DAY(Table411[[#This Row],[Date Inbound]])&amp;"-0"&amp;D27</f>
        <v>H-ADSS 24C-2024116-02</v>
      </c>
      <c r="B27" s="382" t="s">
        <v>3073</v>
      </c>
      <c r="C27" s="383">
        <v>45307</v>
      </c>
      <c r="D27" s="384">
        <v>2</v>
      </c>
      <c r="E27" s="497">
        <v>3000</v>
      </c>
      <c r="F27" s="497" t="str">
        <f>_xlfn.XLOOKUP(Table411[[#This Row],[HASBEL_ID]],Logfile!Y:Y,Logfile!X:X,"",0,-1)</f>
        <v>1000+1363</v>
      </c>
      <c r="G27" s="386">
        <v>45317</v>
      </c>
      <c r="H27" s="387">
        <v>1265</v>
      </c>
      <c r="I27" s="382" t="s">
        <v>5183</v>
      </c>
      <c r="J27" s="389">
        <f t="shared" si="4"/>
        <v>1735</v>
      </c>
      <c r="K27" s="386">
        <v>45317</v>
      </c>
      <c r="L27" s="382">
        <v>735</v>
      </c>
      <c r="M27" s="382" t="s">
        <v>5183</v>
      </c>
      <c r="N27" s="389">
        <f t="shared" si="1"/>
        <v>1000</v>
      </c>
      <c r="O27" s="386">
        <v>45331</v>
      </c>
      <c r="P27" s="382">
        <v>1000</v>
      </c>
      <c r="Q27" s="382" t="s">
        <v>5184</v>
      </c>
      <c r="R27" s="389">
        <f t="shared" si="2"/>
        <v>0</v>
      </c>
      <c r="S27" s="391"/>
      <c r="T27" s="391"/>
      <c r="U27" s="391"/>
      <c r="V27" s="391">
        <f t="shared" si="3"/>
        <v>0</v>
      </c>
      <c r="W27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45317_ADSS 24C_1000</v>
      </c>
      <c r="X27" s="382" t="str">
        <f>Table411[[#This Row],[date out4]]&amp;"_"&amp;Table411[[#This Row],[Core]]&amp;"_"&amp;Table411[[#This Row],[leftover4]]</f>
        <v>_ADSS 24C_0</v>
      </c>
      <c r="Y27" s="382" t="str">
        <f>IF(Table411[[#This Row],[Date Inbound]]&gt;Table411[[#This Row],[date1]],"INV","")</f>
        <v/>
      </c>
      <c r="Z27" s="524" t="str">
        <f>_xlfn.IFNA(VLOOKUP(Table411[[#This Row],[HASBEL_ID]],Logfile!Y:Y,1,0),VLOOKUP(Table411[[#This Row],[HASBEL_ID]],LO_Logfile!Z:Z,1,0))</f>
        <v>H-ADSS 24C-2024116-02</v>
      </c>
    </row>
    <row r="28" spans="1:26" ht="14">
      <c r="A28" s="489" t="str">
        <f>"H-"&amp;B28&amp;"-"&amp;YEAR(C28)&amp;MONTH(Table411[[#This Row],[Date Inbound]])&amp;DAY(Table411[[#This Row],[Date Inbound]])&amp;"-0"&amp;D28</f>
        <v>H-ADSS 48C-2024116-01</v>
      </c>
      <c r="B28" s="382" t="s">
        <v>3075</v>
      </c>
      <c r="C28" s="383">
        <v>45307</v>
      </c>
      <c r="D28" s="384">
        <v>1</v>
      </c>
      <c r="E28" s="497">
        <v>3000</v>
      </c>
      <c r="F28" s="497" t="str">
        <f>_xlfn.XLOOKUP(Table411[[#This Row],[HASBEL_ID]],Logfile!Y:Y,Logfile!X:X,"",0,-1)</f>
        <v>Diambil Bayu</v>
      </c>
      <c r="G28" s="386">
        <v>45312</v>
      </c>
      <c r="H28" s="387">
        <v>1380</v>
      </c>
      <c r="I28" s="396" t="s">
        <v>5172</v>
      </c>
      <c r="J28" s="389">
        <f t="shared" si="4"/>
        <v>1620</v>
      </c>
      <c r="K28" s="409">
        <v>45313</v>
      </c>
      <c r="L28" s="382">
        <v>1620</v>
      </c>
      <c r="M28" s="382" t="s">
        <v>5185</v>
      </c>
      <c r="N28" s="389">
        <f t="shared" si="1"/>
        <v>0</v>
      </c>
      <c r="O28" s="382"/>
      <c r="P28" s="382"/>
      <c r="Q28" s="382"/>
      <c r="R28" s="389">
        <f t="shared" si="2"/>
        <v>0</v>
      </c>
      <c r="S28" s="391"/>
      <c r="T28" s="391"/>
      <c r="U28" s="391"/>
      <c r="V28" s="391">
        <f t="shared" si="3"/>
        <v>0</v>
      </c>
      <c r="W28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45312_ADSS 48C_1620</v>
      </c>
      <c r="X28" s="382" t="str">
        <f>Table411[[#This Row],[date out4]]&amp;"_"&amp;Table411[[#This Row],[Core]]&amp;"_"&amp;Table411[[#This Row],[leftover4]]</f>
        <v>_ADSS 48C_0</v>
      </c>
      <c r="Y28" s="382" t="str">
        <f>IF(Table411[[#This Row],[Date Inbound]]&gt;Table411[[#This Row],[date1]],"INV","")</f>
        <v/>
      </c>
      <c r="Z28" s="524" t="str">
        <f>_xlfn.IFNA(VLOOKUP(Table411[[#This Row],[HASBEL_ID]],Logfile!Y:Y,1,0),VLOOKUP(Table411[[#This Row],[HASBEL_ID]],LO_Logfile!Z:Z,1,0))</f>
        <v>H-ADSS 48C-2024116-01</v>
      </c>
    </row>
    <row r="29" spans="1:26" ht="14">
      <c r="A29" s="489" t="str">
        <f>"H-"&amp;B29&amp;"-"&amp;YEAR(C29)&amp;MONTH(Table411[[#This Row],[Date Inbound]])&amp;DAY(Table411[[#This Row],[Date Inbound]])&amp;"-0"&amp;D29</f>
        <v>H-ADSS 24C-2024121-01</v>
      </c>
      <c r="B29" s="382" t="s">
        <v>3073</v>
      </c>
      <c r="C29" s="383">
        <v>45312</v>
      </c>
      <c r="D29" s="384">
        <v>1</v>
      </c>
      <c r="E29" s="500">
        <v>1550</v>
      </c>
      <c r="F29" s="500" t="str">
        <f>_xlfn.XLOOKUP(Table411[[#This Row],[HASBEL_ID]],Logfile!Y:Y,Logfile!X:X,"",0,-1)</f>
        <v/>
      </c>
      <c r="G29" s="386">
        <v>45313</v>
      </c>
      <c r="H29" s="387">
        <v>1550</v>
      </c>
      <c r="I29" s="382" t="s">
        <v>5185</v>
      </c>
      <c r="J29" s="389">
        <f t="shared" si="4"/>
        <v>0</v>
      </c>
      <c r="K29" s="382"/>
      <c r="L29" s="382"/>
      <c r="M29" s="382"/>
      <c r="N29" s="389">
        <f t="shared" si="1"/>
        <v>0</v>
      </c>
      <c r="O29" s="382"/>
      <c r="P29" s="382"/>
      <c r="Q29" s="382"/>
      <c r="R29" s="389">
        <f t="shared" si="2"/>
        <v>0</v>
      </c>
      <c r="S29" s="391"/>
      <c r="T29" s="391"/>
      <c r="U29" s="391"/>
      <c r="V29" s="391">
        <f t="shared" si="3"/>
        <v>0</v>
      </c>
      <c r="W29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45313_ADSS 24C_0</v>
      </c>
      <c r="X29" s="382" t="str">
        <f>Table411[[#This Row],[date out4]]&amp;"_"&amp;Table411[[#This Row],[Core]]&amp;"_"&amp;Table411[[#This Row],[leftover4]]</f>
        <v>_ADSS 24C_0</v>
      </c>
      <c r="Y29" s="382" t="str">
        <f>IF(Table411[[#This Row],[Date Inbound]]&gt;Table411[[#This Row],[date1]],"INV","")</f>
        <v/>
      </c>
      <c r="Z29" s="524" t="e">
        <f>_xlfn.IFNA(VLOOKUP(Table411[[#This Row],[HASBEL_ID]],Logfile!Y:Y,1,0),VLOOKUP(Table411[[#This Row],[HASBEL_ID]],LO_Logfile!Z:Z,1,0))</f>
        <v>#N/A</v>
      </c>
    </row>
    <row r="30" spans="1:26" ht="14">
      <c r="A30" s="489" t="str">
        <f>"H-"&amp;B30&amp;"-"&amp;YEAR(C30)&amp;MONTH(Table411[[#This Row],[Date Inbound]])&amp;DAY(Table411[[#This Row],[Date Inbound]])&amp;"-0"&amp;D30</f>
        <v>H-ADSS 48C-2024123-01</v>
      </c>
      <c r="B30" s="382" t="s">
        <v>3075</v>
      </c>
      <c r="C30" s="383">
        <v>45314</v>
      </c>
      <c r="D30" s="384">
        <v>1</v>
      </c>
      <c r="E30" s="498">
        <v>2554</v>
      </c>
      <c r="F30" s="498" t="str">
        <f>_xlfn.XLOOKUP(Table411[[#This Row],[HASBEL_ID]],Logfile!Y:Y,Logfile!X:X,"",0,-1)</f>
        <v/>
      </c>
      <c r="G30" s="386">
        <v>45314</v>
      </c>
      <c r="H30" s="387">
        <v>2010</v>
      </c>
      <c r="I30" s="382" t="s">
        <v>5185</v>
      </c>
      <c r="J30" s="389">
        <f>E30-H30</f>
        <v>544</v>
      </c>
      <c r="K30" s="386">
        <v>45437</v>
      </c>
      <c r="L30" s="382">
        <v>544</v>
      </c>
      <c r="M30" s="382" t="s">
        <v>5200</v>
      </c>
      <c r="N30" s="389">
        <f t="shared" si="1"/>
        <v>0</v>
      </c>
      <c r="O30" s="382"/>
      <c r="P30" s="382"/>
      <c r="Q30" s="382"/>
      <c r="R30" s="389">
        <f t="shared" si="2"/>
        <v>0</v>
      </c>
      <c r="S30" s="391"/>
      <c r="T30" s="391"/>
      <c r="U30" s="391"/>
      <c r="V30" s="391">
        <f t="shared" si="3"/>
        <v>0</v>
      </c>
      <c r="W30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45314_ADSS 48C_544</v>
      </c>
      <c r="X30" s="382" t="str">
        <f>Table411[[#This Row],[date out4]]&amp;"_"&amp;Table411[[#This Row],[Core]]&amp;"_"&amp;Table411[[#This Row],[leftover4]]</f>
        <v>_ADSS 48C_0</v>
      </c>
      <c r="Y30" s="382" t="str">
        <f>IF(Table411[[#This Row],[Date Inbound]]&gt;Table411[[#This Row],[date1]],"INV","")</f>
        <v/>
      </c>
      <c r="Z30" s="524" t="str">
        <f>_xlfn.IFNA(VLOOKUP(Table411[[#This Row],[HASBEL_ID]],Logfile!Y:Y,1,0),VLOOKUP(Table411[[#This Row],[HASBEL_ID]],LO_Logfile!Z:Z,1,0))</f>
        <v>H-ADSS 48C-2024123-01</v>
      </c>
    </row>
    <row r="31" spans="1:26" ht="14">
      <c r="A31" s="489" t="str">
        <f>"H-"&amp;B31&amp;"-"&amp;YEAR(C31)&amp;MONTH(Table411[[#This Row],[Date Inbound]])&amp;DAY(Table411[[#This Row],[Date Inbound]])&amp;"-0"&amp;D31</f>
        <v>H-ADSS 24C-2024215-01</v>
      </c>
      <c r="B31" s="394" t="s">
        <v>3073</v>
      </c>
      <c r="C31" s="398">
        <v>45337</v>
      </c>
      <c r="D31" s="399">
        <v>1</v>
      </c>
      <c r="E31" s="501">
        <v>3000</v>
      </c>
      <c r="F31" s="501">
        <f>_xlfn.XLOOKUP(Table411[[#This Row],[HASBEL_ID]],Logfile!Y:Y,Logfile!X:X,"",0,-1)</f>
        <v>0</v>
      </c>
      <c r="G31" s="401">
        <v>45338</v>
      </c>
      <c r="H31" s="402">
        <v>1050</v>
      </c>
      <c r="I31" s="394" t="s">
        <v>5186</v>
      </c>
      <c r="J31" s="403">
        <f t="shared" si="4"/>
        <v>1950</v>
      </c>
      <c r="K31" s="404">
        <v>45343</v>
      </c>
      <c r="L31" s="394">
        <v>1950</v>
      </c>
      <c r="M31" s="394" t="s">
        <v>5187</v>
      </c>
      <c r="N31" s="403">
        <f t="shared" si="1"/>
        <v>0</v>
      </c>
      <c r="O31" s="394"/>
      <c r="P31" s="394"/>
      <c r="Q31" s="394"/>
      <c r="R31" s="403">
        <f t="shared" si="2"/>
        <v>0</v>
      </c>
      <c r="S31" s="406"/>
      <c r="T31" s="406"/>
      <c r="U31" s="406"/>
      <c r="V31" s="406">
        <f t="shared" si="3"/>
        <v>0</v>
      </c>
      <c r="W31" s="39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45338_ADSS 24C_1950</v>
      </c>
      <c r="X31" s="394" t="str">
        <f>Table411[[#This Row],[date out4]]&amp;"_"&amp;Table411[[#This Row],[Core]]&amp;"_"&amp;Table411[[#This Row],[leftover4]]</f>
        <v>_ADSS 24C_0</v>
      </c>
      <c r="Y31" s="394" t="str">
        <f>IF(Table411[[#This Row],[Date Inbound]]&gt;Table411[[#This Row],[date1]],"INV","")</f>
        <v/>
      </c>
      <c r="Z31" s="524" t="str">
        <f>_xlfn.IFNA(VLOOKUP(Table411[[#This Row],[HASBEL_ID]],Logfile!Y:Y,1,0),VLOOKUP(Table411[[#This Row],[HASBEL_ID]],LO_Logfile!Z:Z,1,0))</f>
        <v>H-ADSS 24C-2024215-01</v>
      </c>
    </row>
    <row r="32" spans="1:26" ht="14">
      <c r="A32" s="489" t="str">
        <f>"H-"&amp;B32&amp;"-"&amp;YEAR(C32)&amp;MONTH(Table411[[#This Row],[Date Inbound]])&amp;DAY(Table411[[#This Row],[Date Inbound]])&amp;"-0"&amp;D32</f>
        <v>H-ADSS 48C-2024215-01</v>
      </c>
      <c r="B32" s="382" t="s">
        <v>3075</v>
      </c>
      <c r="C32" s="383">
        <v>45337</v>
      </c>
      <c r="D32" s="384">
        <v>1</v>
      </c>
      <c r="E32" s="497">
        <v>3000</v>
      </c>
      <c r="F32" s="497">
        <f>_xlfn.XLOOKUP(Table411[[#This Row],[HASBEL_ID]],Logfile!Y:Y,Logfile!X:X,"",0,-1)</f>
        <v>0</v>
      </c>
      <c r="G32" s="386">
        <v>45344</v>
      </c>
      <c r="H32" s="387">
        <v>1670</v>
      </c>
      <c r="I32" s="382" t="s">
        <v>5187</v>
      </c>
      <c r="J32" s="389">
        <f t="shared" si="4"/>
        <v>1330</v>
      </c>
      <c r="K32" s="386">
        <v>45379</v>
      </c>
      <c r="L32" s="382">
        <v>1330</v>
      </c>
      <c r="M32" s="382" t="s">
        <v>5225</v>
      </c>
      <c r="N32" s="389">
        <f t="shared" si="1"/>
        <v>0</v>
      </c>
      <c r="O32" s="382"/>
      <c r="P32" s="382"/>
      <c r="Q32" s="382"/>
      <c r="R32" s="389">
        <f t="shared" si="2"/>
        <v>0</v>
      </c>
      <c r="S32" s="391"/>
      <c r="T32" s="391"/>
      <c r="U32" s="391"/>
      <c r="V32" s="391">
        <f t="shared" si="3"/>
        <v>0</v>
      </c>
      <c r="W32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45344_ADSS 48C_1330</v>
      </c>
      <c r="X32" s="382" t="str">
        <f>Table411[[#This Row],[date out4]]&amp;"_"&amp;Table411[[#This Row],[Core]]&amp;"_"&amp;Table411[[#This Row],[leftover4]]</f>
        <v>_ADSS 48C_0</v>
      </c>
      <c r="Y32" s="382" t="str">
        <f>IF(Table411[[#This Row],[Date Inbound]]&gt;Table411[[#This Row],[date1]],"INV","")</f>
        <v/>
      </c>
      <c r="Z32" s="524" t="str">
        <f>_xlfn.IFNA(VLOOKUP(Table411[[#This Row],[HASBEL_ID]],Logfile!Y:Y,1,0),VLOOKUP(Table411[[#This Row],[HASBEL_ID]],LO_Logfile!Z:Z,1,0))</f>
        <v>H-ADSS 48C-2024215-01</v>
      </c>
    </row>
    <row r="33" spans="1:26" ht="14">
      <c r="A33" s="489" t="str">
        <f>"H-"&amp;B33&amp;"-"&amp;YEAR(C33)&amp;MONTH(Table411[[#This Row],[Date Inbound]])&amp;DAY(Table411[[#This Row],[Date Inbound]])&amp;"-0"&amp;D33</f>
        <v>H-ADSS 48C-2024215-02</v>
      </c>
      <c r="B33" s="382" t="s">
        <v>3075</v>
      </c>
      <c r="C33" s="383">
        <v>45337</v>
      </c>
      <c r="D33" s="384">
        <v>2</v>
      </c>
      <c r="E33" s="497">
        <v>3000</v>
      </c>
      <c r="F33" s="497">
        <f>_xlfn.XLOOKUP(Table411[[#This Row],[HASBEL_ID]],Logfile!Y:Y,Logfile!X:X,"",0,-1)</f>
        <v>0</v>
      </c>
      <c r="G33" s="386">
        <v>45345</v>
      </c>
      <c r="H33" s="387">
        <v>2100</v>
      </c>
      <c r="I33" s="382" t="s">
        <v>5224</v>
      </c>
      <c r="J33" s="389">
        <f t="shared" si="4"/>
        <v>900</v>
      </c>
      <c r="K33" s="382"/>
      <c r="L33" s="382"/>
      <c r="M33" s="382"/>
      <c r="N33" s="389">
        <f t="shared" si="1"/>
        <v>900</v>
      </c>
      <c r="O33" s="382"/>
      <c r="P33" s="382"/>
      <c r="Q33" s="382"/>
      <c r="R33" s="389">
        <f t="shared" si="2"/>
        <v>900</v>
      </c>
      <c r="S33" s="391"/>
      <c r="T33" s="391"/>
      <c r="U33" s="391"/>
      <c r="V33" s="391">
        <f t="shared" si="3"/>
        <v>900</v>
      </c>
      <c r="W33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45345_ADSS 48C_900</v>
      </c>
      <c r="X33" s="382" t="str">
        <f>Table411[[#This Row],[date out4]]&amp;"_"&amp;Table411[[#This Row],[Core]]&amp;"_"&amp;Table411[[#This Row],[leftover4]]</f>
        <v>_ADSS 48C_900</v>
      </c>
      <c r="Y33" s="382" t="str">
        <f>IF(Table411[[#This Row],[Date Inbound]]&gt;Table411[[#This Row],[date1]],"INV","")</f>
        <v/>
      </c>
      <c r="Z33" s="524" t="str">
        <f>_xlfn.IFNA(VLOOKUP(Table411[[#This Row],[HASBEL_ID]],Logfile!Y:Y,1,0),VLOOKUP(Table411[[#This Row],[HASBEL_ID]],LO_Logfile!Z:Z,1,0))</f>
        <v>H-ADSS 48C-2024215-02</v>
      </c>
    </row>
    <row r="34" spans="1:26" ht="14">
      <c r="A34" s="489" t="str">
        <f>"H-"&amp;B34&amp;"-"&amp;YEAR(C34)&amp;MONTH(Table411[[#This Row],[Date Inbound]])&amp;DAY(Table411[[#This Row],[Date Inbound]])&amp;"-0"&amp;D34</f>
        <v>H-ADSS 48C-2024223-02</v>
      </c>
      <c r="B34" s="382" t="s">
        <v>3075</v>
      </c>
      <c r="C34" s="383">
        <v>45345</v>
      </c>
      <c r="D34" s="384">
        <v>2</v>
      </c>
      <c r="E34" s="497">
        <v>3000</v>
      </c>
      <c r="F34" s="497">
        <f>_xlfn.XLOOKUP(Table411[[#This Row],[HASBEL_ID]],Logfile!Y:Y,Logfile!X:X,"",0,-1)</f>
        <v>0</v>
      </c>
      <c r="G34" s="386">
        <v>45345</v>
      </c>
      <c r="H34" s="387">
        <v>2000</v>
      </c>
      <c r="I34" s="382" t="s">
        <v>5224</v>
      </c>
      <c r="J34" s="389">
        <f t="shared" si="4"/>
        <v>1000</v>
      </c>
      <c r="K34" s="386">
        <v>45405</v>
      </c>
      <c r="L34" s="382">
        <v>1000</v>
      </c>
      <c r="M34" s="382" t="s">
        <v>5199</v>
      </c>
      <c r="N34" s="389">
        <f t="shared" si="1"/>
        <v>0</v>
      </c>
      <c r="O34" s="382"/>
      <c r="P34" s="382"/>
      <c r="Q34" s="382"/>
      <c r="R34" s="389">
        <f t="shared" si="2"/>
        <v>0</v>
      </c>
      <c r="S34" s="391"/>
      <c r="T34" s="391"/>
      <c r="U34" s="391"/>
      <c r="V34" s="391">
        <f t="shared" si="3"/>
        <v>0</v>
      </c>
      <c r="W34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45345_ADSS 48C_1000</v>
      </c>
      <c r="X34" s="382" t="str">
        <f>Table411[[#This Row],[date out4]]&amp;"_"&amp;Table411[[#This Row],[Core]]&amp;"_"&amp;Table411[[#This Row],[leftover4]]</f>
        <v>_ADSS 48C_0</v>
      </c>
      <c r="Y34" s="382" t="str">
        <f>IF(Table411[[#This Row],[Date Inbound]]&gt;Table411[[#This Row],[date1]],"INV","")</f>
        <v/>
      </c>
      <c r="Z34" s="524" t="str">
        <f>_xlfn.IFNA(VLOOKUP(Table411[[#This Row],[HASBEL_ID]],Logfile!Y:Y,1,0),VLOOKUP(Table411[[#This Row],[HASBEL_ID]],LO_Logfile!Z:Z,1,0))</f>
        <v>H-ADSS 48C-2024223-02</v>
      </c>
    </row>
    <row r="35" spans="1:26" ht="14">
      <c r="A35" s="489" t="str">
        <f>"H-"&amp;B35&amp;"-"&amp;YEAR(C35)&amp;MONTH(Table411[[#This Row],[Date Inbound]])&amp;DAY(Table411[[#This Row],[Date Inbound]])&amp;"-0"&amp;D35</f>
        <v>H-ADSS 48C-2024223-01</v>
      </c>
      <c r="B35" s="382" t="s">
        <v>3075</v>
      </c>
      <c r="C35" s="383">
        <v>45345</v>
      </c>
      <c r="D35" s="384">
        <v>1</v>
      </c>
      <c r="E35" s="497">
        <v>3000</v>
      </c>
      <c r="F35" s="497" t="str">
        <f>_xlfn.XLOOKUP(Table411[[#This Row],[HASBEL_ID]],Logfile!Y:Y,Logfile!X:X,"",0,-1)</f>
        <v>Borrow From Morasa</v>
      </c>
      <c r="G35" s="386">
        <v>45345</v>
      </c>
      <c r="H35" s="387">
        <v>2050</v>
      </c>
      <c r="I35" s="382" t="s">
        <v>5224</v>
      </c>
      <c r="J35" s="389">
        <f t="shared" si="4"/>
        <v>950</v>
      </c>
      <c r="K35" s="382"/>
      <c r="L35" s="382"/>
      <c r="M35" s="382"/>
      <c r="N35" s="389">
        <f t="shared" ref="N35:N66" si="5">J35-L35</f>
        <v>950</v>
      </c>
      <c r="O35" s="382"/>
      <c r="P35" s="382"/>
      <c r="Q35" s="382"/>
      <c r="R35" s="389">
        <f t="shared" ref="R35:R66" si="6">N35-P35</f>
        <v>950</v>
      </c>
      <c r="S35" s="391"/>
      <c r="T35" s="391"/>
      <c r="U35" s="391"/>
      <c r="V35" s="391">
        <f t="shared" ref="V35:V66" si="7">R35-T35</f>
        <v>950</v>
      </c>
      <c r="W35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45345_ADSS 48C_950</v>
      </c>
      <c r="X35" s="382" t="str">
        <f>Table411[[#This Row],[date out4]]&amp;"_"&amp;Table411[[#This Row],[Core]]&amp;"_"&amp;Table411[[#This Row],[leftover4]]</f>
        <v>_ADSS 48C_950</v>
      </c>
      <c r="Y35" s="382" t="str">
        <f>IF(Table411[[#This Row],[Date Inbound]]&gt;Table411[[#This Row],[date1]],"INV","")</f>
        <v/>
      </c>
      <c r="Z35" s="524" t="str">
        <f>_xlfn.IFNA(VLOOKUP(Table411[[#This Row],[HASBEL_ID]],Logfile!Y:Y,1,0),VLOOKUP(Table411[[#This Row],[HASBEL_ID]],LO_Logfile!Z:Z,1,0))</f>
        <v>H-ADSS 48C-2024223-01</v>
      </c>
    </row>
    <row r="36" spans="1:26" ht="14">
      <c r="A36" s="489" t="str">
        <f>"H-"&amp;B36&amp;"-"&amp;YEAR(C36)&amp;MONTH(Table411[[#This Row],[Date Inbound]])&amp;DAY(Table411[[#This Row],[Date Inbound]])&amp;"-0"&amp;D36</f>
        <v>H-ADSS 48C-2024229-01</v>
      </c>
      <c r="B36" s="382" t="s">
        <v>3075</v>
      </c>
      <c r="C36" s="383">
        <v>45351</v>
      </c>
      <c r="D36" s="384">
        <v>1</v>
      </c>
      <c r="E36" s="497">
        <v>3000</v>
      </c>
      <c r="F36" s="497">
        <f>_xlfn.XLOOKUP(Table411[[#This Row],[HASBEL_ID]],Logfile!Y:Y,Logfile!X:X,"",0,-1)</f>
        <v>0</v>
      </c>
      <c r="G36" s="386">
        <v>45372</v>
      </c>
      <c r="H36" s="426">
        <v>3000</v>
      </c>
      <c r="I36" s="382" t="s">
        <v>3314</v>
      </c>
      <c r="J36" s="389">
        <f t="shared" si="4"/>
        <v>0</v>
      </c>
      <c r="K36" s="382"/>
      <c r="L36" s="382"/>
      <c r="M36" s="382"/>
      <c r="N36" s="389">
        <f t="shared" si="5"/>
        <v>0</v>
      </c>
      <c r="O36" s="382"/>
      <c r="P36" s="382"/>
      <c r="Q36" s="382"/>
      <c r="R36" s="389">
        <f t="shared" si="6"/>
        <v>0</v>
      </c>
      <c r="S36" s="391"/>
      <c r="T36" s="391"/>
      <c r="U36" s="391"/>
      <c r="V36" s="391">
        <f t="shared" si="7"/>
        <v>0</v>
      </c>
      <c r="W36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45372_ADSS 48C_0</v>
      </c>
      <c r="X36" s="382" t="str">
        <f>Table411[[#This Row],[date out4]]&amp;"_"&amp;Table411[[#This Row],[Core]]&amp;"_"&amp;Table411[[#This Row],[leftover4]]</f>
        <v>_ADSS 48C_0</v>
      </c>
      <c r="Y36" s="382" t="str">
        <f>IF(Table411[[#This Row],[Date Inbound]]&gt;Table411[[#This Row],[date1]],"INV","")</f>
        <v/>
      </c>
      <c r="Z36" s="524" t="str">
        <f>_xlfn.IFNA(VLOOKUP(Table411[[#This Row],[HASBEL_ID]],Logfile!Y:Y,1,0),VLOOKUP(Table411[[#This Row],[HASBEL_ID]],LO_Logfile!Z:Z,1,0))</f>
        <v>H-ADSS 48C-2024229-01</v>
      </c>
    </row>
    <row r="37" spans="1:26" s="408" customFormat="1" ht="14">
      <c r="A37" s="489" t="str">
        <f>"H-"&amp;B37&amp;"-"&amp;YEAR(C37)&amp;MONTH(Table411[[#This Row],[Date Inbound]])&amp;DAY(Table411[[#This Row],[Date Inbound]])&amp;"-0"&amp;D37</f>
        <v>H-ADSS 48C-2024229-02</v>
      </c>
      <c r="B37" s="382" t="s">
        <v>3075</v>
      </c>
      <c r="C37" s="383">
        <v>45351</v>
      </c>
      <c r="D37" s="384">
        <v>2</v>
      </c>
      <c r="E37" s="497">
        <v>3000</v>
      </c>
      <c r="F37" s="497">
        <f>_xlfn.XLOOKUP(Table411[[#This Row],[HASBEL_ID]],Logfile!Y:Y,Logfile!X:X,"",0,-1)</f>
        <v>0</v>
      </c>
      <c r="G37" s="386">
        <v>45372</v>
      </c>
      <c r="H37" s="426">
        <v>3000</v>
      </c>
      <c r="I37" s="382" t="s">
        <v>3314</v>
      </c>
      <c r="J37" s="389">
        <f t="shared" si="4"/>
        <v>0</v>
      </c>
      <c r="K37" s="382"/>
      <c r="L37" s="382"/>
      <c r="M37" s="382"/>
      <c r="N37" s="389">
        <f t="shared" si="5"/>
        <v>0</v>
      </c>
      <c r="O37" s="382"/>
      <c r="P37" s="382"/>
      <c r="Q37" s="382"/>
      <c r="R37" s="389">
        <f t="shared" si="6"/>
        <v>0</v>
      </c>
      <c r="S37" s="391"/>
      <c r="T37" s="391"/>
      <c r="U37" s="391"/>
      <c r="V37" s="391">
        <f t="shared" si="7"/>
        <v>0</v>
      </c>
      <c r="W37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45372_ADSS 48C_0</v>
      </c>
      <c r="X37" s="382" t="str">
        <f>Table411[[#This Row],[date out4]]&amp;"_"&amp;Table411[[#This Row],[Core]]&amp;"_"&amp;Table411[[#This Row],[leftover4]]</f>
        <v>_ADSS 48C_0</v>
      </c>
      <c r="Y37" s="382" t="str">
        <f>IF(Table411[[#This Row],[Date Inbound]]&gt;Table411[[#This Row],[date1]],"INV","")</f>
        <v/>
      </c>
      <c r="Z37" s="524" t="str">
        <f>_xlfn.IFNA(VLOOKUP(Table411[[#This Row],[HASBEL_ID]],Logfile!Y:Y,1,0),VLOOKUP(Table411[[#This Row],[HASBEL_ID]],LO_Logfile!Z:Z,1,0))</f>
        <v>H-ADSS 48C-2024229-02</v>
      </c>
    </row>
    <row r="38" spans="1:26" ht="14" hidden="1">
      <c r="A38" s="489" t="str">
        <f>"H-"&amp;B38&amp;"-"&amp;YEAR(C38)&amp;MONTH(Table411[[#This Row],[Date Inbound]])&amp;DAY(Table411[[#This Row],[Date Inbound]])&amp;"-0"&amp;D38</f>
        <v>H-ADSS 24C-202431-01</v>
      </c>
      <c r="B38" s="382" t="s">
        <v>3073</v>
      </c>
      <c r="C38" s="383">
        <v>45352</v>
      </c>
      <c r="D38" s="384">
        <v>1</v>
      </c>
      <c r="E38" s="497">
        <v>3000</v>
      </c>
      <c r="F38" s="497" t="str">
        <f>_xlfn.XLOOKUP(Table411[[#This Row],[HASBEL_ID]],Logfile!Y:Y,Logfile!X:X,"",0,-1)</f>
        <v>WH MALANg ke Wh Gresik</v>
      </c>
      <c r="G38" s="386">
        <v>45358</v>
      </c>
      <c r="H38" s="387">
        <v>3000</v>
      </c>
      <c r="I38" s="382" t="s">
        <v>5188</v>
      </c>
      <c r="J38" s="389">
        <f t="shared" si="4"/>
        <v>0</v>
      </c>
      <c r="K38" s="382"/>
      <c r="L38" s="382"/>
      <c r="M38" s="382"/>
      <c r="N38" s="389">
        <f t="shared" si="5"/>
        <v>0</v>
      </c>
      <c r="O38" s="382"/>
      <c r="P38" s="382"/>
      <c r="Q38" s="382"/>
      <c r="R38" s="389">
        <f t="shared" si="6"/>
        <v>0</v>
      </c>
      <c r="S38" s="391"/>
      <c r="T38" s="391"/>
      <c r="U38" s="391"/>
      <c r="V38" s="391">
        <f t="shared" si="7"/>
        <v>0</v>
      </c>
      <c r="W38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45358_ADSS 24C_0</v>
      </c>
      <c r="X38" s="382" t="str">
        <f>Table411[[#This Row],[date out4]]&amp;"_"&amp;Table411[[#This Row],[Core]]&amp;"_"&amp;Table411[[#This Row],[leftover4]]</f>
        <v>_ADSS 24C_0</v>
      </c>
      <c r="Y38" s="382" t="str">
        <f>IF(Table411[[#This Row],[Date Inbound]]&gt;Table411[[#This Row],[date1]],"INV","")</f>
        <v/>
      </c>
      <c r="Z38" s="524" t="str">
        <f>_xlfn.IFNA(VLOOKUP(Table411[[#This Row],[HASBEL_ID]],Logfile!Y:Y,1,0),VLOOKUP(Table411[[#This Row],[HASBEL_ID]],LO_Logfile!Z:Z,1,0))</f>
        <v>H-ADSS 24C-202431-01</v>
      </c>
    </row>
    <row r="39" spans="1:26" ht="14" hidden="1">
      <c r="A39" s="489" t="str">
        <f>"H-"&amp;B39&amp;"-"&amp;YEAR(C39)&amp;MONTH(Table411[[#This Row],[Date Inbound]])&amp;DAY(Table411[[#This Row],[Date Inbound]])&amp;"-0"&amp;D39</f>
        <v>H-ADSS 24C-202431-02</v>
      </c>
      <c r="B39" s="382" t="s">
        <v>3073</v>
      </c>
      <c r="C39" s="383">
        <v>45352</v>
      </c>
      <c r="D39" s="384">
        <v>2</v>
      </c>
      <c r="E39" s="497">
        <v>3000</v>
      </c>
      <c r="F39" s="497" t="str">
        <f>_xlfn.XLOOKUP(Table411[[#This Row],[HASBEL_ID]],Logfile!Y:Y,Logfile!X:X,"",0,-1)</f>
        <v>WH MALANg ke Wh Gresik</v>
      </c>
      <c r="G39" s="386">
        <v>45358</v>
      </c>
      <c r="H39" s="387">
        <v>3000</v>
      </c>
      <c r="I39" s="382" t="s">
        <v>5188</v>
      </c>
      <c r="J39" s="389">
        <f t="shared" si="4"/>
        <v>0</v>
      </c>
      <c r="K39" s="382"/>
      <c r="L39" s="382"/>
      <c r="M39" s="382"/>
      <c r="N39" s="389">
        <f t="shared" si="5"/>
        <v>0</v>
      </c>
      <c r="O39" s="382"/>
      <c r="P39" s="382"/>
      <c r="Q39" s="382"/>
      <c r="R39" s="389">
        <f t="shared" si="6"/>
        <v>0</v>
      </c>
      <c r="S39" s="391"/>
      <c r="T39" s="391"/>
      <c r="U39" s="391"/>
      <c r="V39" s="391">
        <f t="shared" si="7"/>
        <v>0</v>
      </c>
      <c r="W39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45358_ADSS 24C_0</v>
      </c>
      <c r="X39" s="382" t="str">
        <f>Table411[[#This Row],[date out4]]&amp;"_"&amp;Table411[[#This Row],[Core]]&amp;"_"&amp;Table411[[#This Row],[leftover4]]</f>
        <v>_ADSS 24C_0</v>
      </c>
      <c r="Y39" s="382" t="str">
        <f>IF(Table411[[#This Row],[Date Inbound]]&gt;Table411[[#This Row],[date1]],"INV","")</f>
        <v/>
      </c>
      <c r="Z39" s="524" t="str">
        <f>_xlfn.IFNA(VLOOKUP(Table411[[#This Row],[HASBEL_ID]],Logfile!Y:Y,1,0),VLOOKUP(Table411[[#This Row],[HASBEL_ID]],LO_Logfile!Z:Z,1,0))</f>
        <v>H-ADSS 24C-202431-02</v>
      </c>
    </row>
    <row r="40" spans="1:26" ht="14" hidden="1">
      <c r="A40" s="489" t="str">
        <f>"H-"&amp;B40&amp;"-"&amp;YEAR(C40)&amp;MONTH(Table411[[#This Row],[Date Inbound]])&amp;DAY(Table411[[#This Row],[Date Inbound]])&amp;"-0"&amp;D40</f>
        <v>H-ADSS 48C-202431-01</v>
      </c>
      <c r="B40" s="382" t="s">
        <v>3075</v>
      </c>
      <c r="C40" s="383">
        <v>45352</v>
      </c>
      <c r="D40" s="384">
        <v>1</v>
      </c>
      <c r="E40" s="497">
        <v>3000</v>
      </c>
      <c r="F40" s="497">
        <f>_xlfn.XLOOKUP(Table411[[#This Row],[HASBEL_ID]],Logfile!Y:Y,Logfile!X:X,"",0,-1)</f>
        <v>0</v>
      </c>
      <c r="G40" s="386">
        <v>45366</v>
      </c>
      <c r="H40" s="387">
        <v>2680</v>
      </c>
      <c r="I40" s="382" t="s">
        <v>5191</v>
      </c>
      <c r="J40" s="389">
        <f t="shared" si="4"/>
        <v>320</v>
      </c>
      <c r="K40" s="382"/>
      <c r="L40" s="382"/>
      <c r="M40" s="382"/>
      <c r="N40" s="389">
        <f t="shared" si="5"/>
        <v>320</v>
      </c>
      <c r="O40" s="382"/>
      <c r="P40" s="382"/>
      <c r="Q40" s="382"/>
      <c r="R40" s="389">
        <f t="shared" si="6"/>
        <v>320</v>
      </c>
      <c r="S40" s="391"/>
      <c r="T40" s="391"/>
      <c r="U40" s="391"/>
      <c r="V40" s="391">
        <f t="shared" si="7"/>
        <v>320</v>
      </c>
      <c r="W40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45366_ADSS 48C_320</v>
      </c>
      <c r="X40" s="382" t="str">
        <f>Table411[[#This Row],[date out4]]&amp;"_"&amp;Table411[[#This Row],[Core]]&amp;"_"&amp;Table411[[#This Row],[leftover4]]</f>
        <v>_ADSS 48C_320</v>
      </c>
      <c r="Y40" s="382" t="str">
        <f>IF(Table411[[#This Row],[Date Inbound]]&gt;Table411[[#This Row],[date1]],"INV","")</f>
        <v/>
      </c>
      <c r="Z40" s="524" t="str">
        <f>_xlfn.IFNA(VLOOKUP(Table411[[#This Row],[HASBEL_ID]],Logfile!Y:Y,1,0),VLOOKUP(Table411[[#This Row],[HASBEL_ID]],LO_Logfile!Z:Z,1,0))</f>
        <v>H-ADSS 48C-202431-01</v>
      </c>
    </row>
    <row r="41" spans="1:26" ht="14" hidden="1">
      <c r="A41" s="489" t="str">
        <f>"H-"&amp;B41&amp;"-"&amp;YEAR(C41)&amp;MONTH(Table411[[#This Row],[Date Inbound]])&amp;DAY(Table411[[#This Row],[Date Inbound]])&amp;"-0"&amp;D41</f>
        <v>H-ADSS 48C-202431-02</v>
      </c>
      <c r="B41" s="382" t="s">
        <v>3075</v>
      </c>
      <c r="C41" s="383">
        <v>45352</v>
      </c>
      <c r="D41" s="384">
        <v>2</v>
      </c>
      <c r="E41" s="497">
        <v>3000</v>
      </c>
      <c r="F41" s="497">
        <f>_xlfn.XLOOKUP(Table411[[#This Row],[HASBEL_ID]],Logfile!Y:Y,Logfile!X:X,"",0,-1)</f>
        <v>0</v>
      </c>
      <c r="G41" s="386">
        <v>45439</v>
      </c>
      <c r="H41" s="387">
        <v>1000</v>
      </c>
      <c r="I41" s="382" t="s">
        <v>5228</v>
      </c>
      <c r="J41" s="389">
        <f t="shared" si="4"/>
        <v>2000</v>
      </c>
      <c r="K41" s="386">
        <v>45439</v>
      </c>
      <c r="L41" s="382">
        <v>1600</v>
      </c>
      <c r="M41" s="382" t="s">
        <v>5229</v>
      </c>
      <c r="N41" s="389">
        <f t="shared" si="5"/>
        <v>400</v>
      </c>
      <c r="O41" s="409">
        <v>45534</v>
      </c>
      <c r="P41" s="382">
        <v>400</v>
      </c>
      <c r="Q41" s="382" t="s">
        <v>5230</v>
      </c>
      <c r="R41" s="389">
        <f t="shared" si="6"/>
        <v>0</v>
      </c>
      <c r="S41" s="391"/>
      <c r="T41" s="391"/>
      <c r="U41" s="391"/>
      <c r="V41" s="391">
        <f t="shared" si="7"/>
        <v>0</v>
      </c>
      <c r="W41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45439_ADSS 48C_400</v>
      </c>
      <c r="X41" s="382" t="str">
        <f>Table411[[#This Row],[date out4]]&amp;"_"&amp;Table411[[#This Row],[Core]]&amp;"_"&amp;Table411[[#This Row],[leftover4]]</f>
        <v>_ADSS 48C_0</v>
      </c>
      <c r="Y41" s="382" t="str">
        <f>IF(Table411[[#This Row],[Date Inbound]]&gt;Table411[[#This Row],[date1]],"INV","")</f>
        <v/>
      </c>
      <c r="Z41" s="524" t="str">
        <f>_xlfn.IFNA(VLOOKUP(Table411[[#This Row],[HASBEL_ID]],Logfile!Y:Y,1,0),VLOOKUP(Table411[[#This Row],[HASBEL_ID]],LO_Logfile!Z:Z,1,0))</f>
        <v>H-ADSS 48C-202431-02</v>
      </c>
    </row>
    <row r="42" spans="1:26" ht="14" hidden="1">
      <c r="A42" s="489" t="str">
        <f>"H-"&amp;B42&amp;"-"&amp;YEAR(C42)&amp;MONTH(Table411[[#This Row],[Date Inbound]])&amp;DAY(Table411[[#This Row],[Date Inbound]])&amp;"-0"&amp;D42</f>
        <v>H-ADSS 48C-202431-03</v>
      </c>
      <c r="B42" s="382" t="s">
        <v>3075</v>
      </c>
      <c r="C42" s="383">
        <v>45352</v>
      </c>
      <c r="D42" s="384">
        <v>3</v>
      </c>
      <c r="E42" s="497">
        <v>3000</v>
      </c>
      <c r="F42" s="497">
        <f>_xlfn.XLOOKUP(Table411[[#This Row],[HASBEL_ID]],Logfile!Y:Y,Logfile!X:X,"",0,-1)</f>
        <v>0</v>
      </c>
      <c r="G42" s="386">
        <v>45404</v>
      </c>
      <c r="H42" s="387">
        <v>1450</v>
      </c>
      <c r="I42" s="382" t="s">
        <v>5197</v>
      </c>
      <c r="J42" s="389">
        <f t="shared" si="4"/>
        <v>1550</v>
      </c>
      <c r="K42" s="409">
        <v>45487</v>
      </c>
      <c r="L42" s="382">
        <v>500</v>
      </c>
      <c r="M42" s="382" t="s">
        <v>5226</v>
      </c>
      <c r="N42" s="389">
        <f t="shared" si="5"/>
        <v>1050</v>
      </c>
      <c r="O42" s="409">
        <v>45491</v>
      </c>
      <c r="P42" s="382">
        <v>1050</v>
      </c>
      <c r="Q42" s="382" t="s">
        <v>5227</v>
      </c>
      <c r="R42" s="389">
        <f t="shared" si="6"/>
        <v>0</v>
      </c>
      <c r="S42" s="391"/>
      <c r="T42" s="391"/>
      <c r="U42" s="391"/>
      <c r="V42" s="391">
        <f t="shared" si="7"/>
        <v>0</v>
      </c>
      <c r="W42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45487_ADSS 48C_1050</v>
      </c>
      <c r="X42" s="382" t="str">
        <f>Table411[[#This Row],[date out4]]&amp;"_"&amp;Table411[[#This Row],[Core]]&amp;"_"&amp;Table411[[#This Row],[leftover4]]</f>
        <v>_ADSS 48C_0</v>
      </c>
      <c r="Y42" s="382" t="str">
        <f>IF(Table411[[#This Row],[Date Inbound]]&gt;Table411[[#This Row],[date1]],"INV","")</f>
        <v/>
      </c>
      <c r="Z42" s="524" t="str">
        <f>_xlfn.IFNA(VLOOKUP(Table411[[#This Row],[HASBEL_ID]],Logfile!Y:Y,1,0),VLOOKUP(Table411[[#This Row],[HASBEL_ID]],LO_Logfile!Z:Z,1,0))</f>
        <v>H-ADSS 48C-202431-03</v>
      </c>
    </row>
    <row r="43" spans="1:26" ht="14" hidden="1">
      <c r="A43" s="489" t="str">
        <f>"H-"&amp;B43&amp;"-"&amp;YEAR(C43)&amp;MONTH(Table411[[#This Row],[Date Inbound]])&amp;DAY(Table411[[#This Row],[Date Inbound]])&amp;"-0"&amp;D43</f>
        <v>H-ADSS 24C-2024319-01</v>
      </c>
      <c r="B43" s="382" t="s">
        <v>3073</v>
      </c>
      <c r="C43" s="383">
        <v>45370</v>
      </c>
      <c r="D43" s="384">
        <v>1</v>
      </c>
      <c r="E43" s="497">
        <v>3000</v>
      </c>
      <c r="F43" s="497">
        <f>_xlfn.XLOOKUP(Table411[[#This Row],[HASBEL_ID]],Logfile!Y:Y,Logfile!X:X,"",0,-1)</f>
        <v>0</v>
      </c>
      <c r="G43" s="386">
        <v>45386</v>
      </c>
      <c r="H43" s="387">
        <v>2100</v>
      </c>
      <c r="I43" s="382" t="s">
        <v>5189</v>
      </c>
      <c r="J43" s="389">
        <f t="shared" si="4"/>
        <v>900</v>
      </c>
      <c r="K43" s="386">
        <v>45400</v>
      </c>
      <c r="L43" s="382">
        <v>900</v>
      </c>
      <c r="M43" s="382" t="s">
        <v>5190</v>
      </c>
      <c r="N43" s="389">
        <f t="shared" si="5"/>
        <v>0</v>
      </c>
      <c r="O43" s="382"/>
      <c r="P43" s="382"/>
      <c r="Q43" s="382"/>
      <c r="R43" s="389">
        <f t="shared" si="6"/>
        <v>0</v>
      </c>
      <c r="S43" s="391"/>
      <c r="T43" s="391"/>
      <c r="U43" s="391"/>
      <c r="V43" s="391">
        <f t="shared" si="7"/>
        <v>0</v>
      </c>
      <c r="W43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45386_ADSS 24C_900</v>
      </c>
      <c r="X43" s="382" t="str">
        <f>Table411[[#This Row],[date out4]]&amp;"_"&amp;Table411[[#This Row],[Core]]&amp;"_"&amp;Table411[[#This Row],[leftover4]]</f>
        <v>_ADSS 24C_0</v>
      </c>
      <c r="Y43" s="382" t="str">
        <f>IF(Table411[[#This Row],[Date Inbound]]&gt;Table411[[#This Row],[date1]],"INV","")</f>
        <v/>
      </c>
      <c r="Z43" s="524" t="str">
        <f>_xlfn.IFNA(VLOOKUP(Table411[[#This Row],[HASBEL_ID]],Logfile!Y:Y,1,0),VLOOKUP(Table411[[#This Row],[HASBEL_ID]],LO_Logfile!Z:Z,1,0))</f>
        <v>H-ADSS 24C-2024319-01</v>
      </c>
    </row>
    <row r="44" spans="1:26" ht="14" hidden="1">
      <c r="A44" s="489" t="str">
        <f>"H-"&amp;B44&amp;"-"&amp;YEAR(C44)&amp;MONTH(Table411[[#This Row],[Date Inbound]])&amp;DAY(Table411[[#This Row],[Date Inbound]])&amp;"-0"&amp;D44</f>
        <v>H-ADSS 24C-2024323-01</v>
      </c>
      <c r="B44" s="382" t="s">
        <v>3073</v>
      </c>
      <c r="C44" s="383">
        <v>45374</v>
      </c>
      <c r="D44" s="384">
        <v>1</v>
      </c>
      <c r="E44" s="497">
        <v>3000</v>
      </c>
      <c r="F44" s="497">
        <f>_xlfn.XLOOKUP(Table411[[#This Row],[HASBEL_ID]],Logfile!Y:Y,Logfile!X:X,"",0,-1)</f>
        <v>0</v>
      </c>
      <c r="G44" s="386">
        <v>45374</v>
      </c>
      <c r="H44" s="387">
        <v>1420</v>
      </c>
      <c r="I44" s="382" t="s">
        <v>5191</v>
      </c>
      <c r="J44" s="389">
        <f t="shared" si="4"/>
        <v>1580</v>
      </c>
      <c r="K44" s="386">
        <v>45374</v>
      </c>
      <c r="L44" s="382">
        <v>1380</v>
      </c>
      <c r="M44" s="382" t="s">
        <v>5192</v>
      </c>
      <c r="N44" s="389">
        <f t="shared" si="5"/>
        <v>200</v>
      </c>
      <c r="O44" s="386">
        <v>45465</v>
      </c>
      <c r="P44" s="382">
        <v>200</v>
      </c>
      <c r="Q44" s="382" t="s">
        <v>5171</v>
      </c>
      <c r="R44" s="389">
        <f t="shared" si="6"/>
        <v>0</v>
      </c>
      <c r="S44" s="391"/>
      <c r="T44" s="391"/>
      <c r="U44" s="391"/>
      <c r="V44" s="391">
        <f t="shared" si="7"/>
        <v>0</v>
      </c>
      <c r="W44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45374_ADSS 24C_200</v>
      </c>
      <c r="X44" s="382" t="str">
        <f>Table411[[#This Row],[date out4]]&amp;"_"&amp;Table411[[#This Row],[Core]]&amp;"_"&amp;Table411[[#This Row],[leftover4]]</f>
        <v>_ADSS 24C_0</v>
      </c>
      <c r="Y44" s="382" t="str">
        <f>IF(Table411[[#This Row],[Date Inbound]]&gt;Table411[[#This Row],[date1]],"INV","")</f>
        <v/>
      </c>
      <c r="Z44" s="524" t="str">
        <f>_xlfn.IFNA(VLOOKUP(Table411[[#This Row],[HASBEL_ID]],Logfile!Y:Y,1,0),VLOOKUP(Table411[[#This Row],[HASBEL_ID]],LO_Logfile!Z:Z,1,0))</f>
        <v>H-ADSS 24C-2024323-01</v>
      </c>
    </row>
    <row r="45" spans="1:26" ht="14" hidden="1">
      <c r="A45" s="489" t="str">
        <f>"H-"&amp;B45&amp;"-"&amp;YEAR(C45)&amp;MONTH(Table411[[#This Row],[Date Inbound]])&amp;DAY(Table411[[#This Row],[Date Inbound]])&amp;"-0"&amp;D45</f>
        <v>H-ADSS 24C-2024323-02</v>
      </c>
      <c r="B45" s="382" t="s">
        <v>3073</v>
      </c>
      <c r="C45" s="383">
        <v>45374</v>
      </c>
      <c r="D45" s="384">
        <v>2</v>
      </c>
      <c r="E45" s="497">
        <v>3000</v>
      </c>
      <c r="F45" s="497">
        <f>_xlfn.XLOOKUP(Table411[[#This Row],[HASBEL_ID]],Logfile!Y:Y,Logfile!X:X,"",0,-1)</f>
        <v>0</v>
      </c>
      <c r="G45" s="386">
        <v>45374</v>
      </c>
      <c r="H45" s="387">
        <v>1080</v>
      </c>
      <c r="I45" s="382" t="s">
        <v>5193</v>
      </c>
      <c r="J45" s="389">
        <f t="shared" ref="J45:J76" si="8">E45-H45</f>
        <v>1920</v>
      </c>
      <c r="K45" s="386">
        <v>45374</v>
      </c>
      <c r="L45" s="382">
        <v>1050</v>
      </c>
      <c r="M45" s="382" t="s">
        <v>5194</v>
      </c>
      <c r="N45" s="389">
        <f t="shared" si="5"/>
        <v>870</v>
      </c>
      <c r="O45" s="386">
        <v>45374</v>
      </c>
      <c r="P45" s="382">
        <v>870</v>
      </c>
      <c r="Q45" s="382" t="s">
        <v>5195</v>
      </c>
      <c r="R45" s="389">
        <f t="shared" si="6"/>
        <v>0</v>
      </c>
      <c r="S45" s="391"/>
      <c r="T45" s="391"/>
      <c r="U45" s="391"/>
      <c r="V45" s="391">
        <f t="shared" si="7"/>
        <v>0</v>
      </c>
      <c r="W45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45374_ADSS 24C_870</v>
      </c>
      <c r="X45" s="382" t="str">
        <f>Table411[[#This Row],[date out4]]&amp;"_"&amp;Table411[[#This Row],[Core]]&amp;"_"&amp;Table411[[#This Row],[leftover4]]</f>
        <v>_ADSS 24C_0</v>
      </c>
      <c r="Y45" s="382" t="str">
        <f>IF(Table411[[#This Row],[Date Inbound]]&gt;Table411[[#This Row],[date1]],"INV","")</f>
        <v/>
      </c>
      <c r="Z45" s="524" t="str">
        <f>_xlfn.IFNA(VLOOKUP(Table411[[#This Row],[HASBEL_ID]],Logfile!Y:Y,1,0),VLOOKUP(Table411[[#This Row],[HASBEL_ID]],LO_Logfile!Z:Z,1,0))</f>
        <v>H-ADSS 24C-2024323-02</v>
      </c>
    </row>
    <row r="46" spans="1:26" ht="14" hidden="1">
      <c r="A46" s="489" t="str">
        <f>"H-"&amp;B46&amp;"-"&amp;YEAR(C46)&amp;MONTH(Table411[[#This Row],[Date Inbound]])&amp;DAY(Table411[[#This Row],[Date Inbound]])&amp;"-0"&amp;D46</f>
        <v>H-ADSS 24C-2024330-01</v>
      </c>
      <c r="B46" s="382" t="s">
        <v>3073</v>
      </c>
      <c r="C46" s="383">
        <v>45381</v>
      </c>
      <c r="D46" s="384">
        <v>1</v>
      </c>
      <c r="E46" s="498">
        <v>1879</v>
      </c>
      <c r="F46" s="498" t="str">
        <f>_xlfn.XLOOKUP(Table411[[#This Row],[HASBEL_ID]],Logfile!Y:Y,Logfile!X:X,"",0,-1)</f>
        <v/>
      </c>
      <c r="G46" s="409">
        <v>45383</v>
      </c>
      <c r="H46" s="387">
        <v>679</v>
      </c>
      <c r="I46" s="382" t="s">
        <v>5193</v>
      </c>
      <c r="J46" s="389">
        <f t="shared" si="8"/>
        <v>1200</v>
      </c>
      <c r="K46" s="386">
        <v>45434</v>
      </c>
      <c r="L46" s="382">
        <v>750</v>
      </c>
      <c r="M46" s="382" t="s">
        <v>5196</v>
      </c>
      <c r="N46" s="389">
        <f t="shared" si="5"/>
        <v>450</v>
      </c>
      <c r="O46" s="382"/>
      <c r="P46" s="382"/>
      <c r="Q46" s="382"/>
      <c r="R46" s="389">
        <f t="shared" si="6"/>
        <v>450</v>
      </c>
      <c r="S46" s="391"/>
      <c r="T46" s="391"/>
      <c r="U46" s="391"/>
      <c r="V46" s="391">
        <f t="shared" si="7"/>
        <v>450</v>
      </c>
      <c r="W46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45434_ADSS 24C_450</v>
      </c>
      <c r="X46" s="382" t="str">
        <f>Table411[[#This Row],[date out4]]&amp;"_"&amp;Table411[[#This Row],[Core]]&amp;"_"&amp;Table411[[#This Row],[leftover4]]</f>
        <v>_ADSS 24C_450</v>
      </c>
      <c r="Y46" s="382" t="str">
        <f>IF(Table411[[#This Row],[Date Inbound]]&gt;Table411[[#This Row],[date1]],"INV","")</f>
        <v/>
      </c>
      <c r="Z46" s="524" t="str">
        <f>_xlfn.IFNA(VLOOKUP(Table411[[#This Row],[HASBEL_ID]],Logfile!Y:Y,1,0),VLOOKUP(Table411[[#This Row],[HASBEL_ID]],LO_Logfile!Z:Z,1,0))</f>
        <v>H-ADSS 24C-2024330-01</v>
      </c>
    </row>
    <row r="47" spans="1:26" ht="14" hidden="1">
      <c r="A47" s="489" t="str">
        <f>"H-"&amp;B47&amp;"-"&amp;YEAR(C47)&amp;MONTH(Table411[[#This Row],[Date Inbound]])&amp;DAY(Table411[[#This Row],[Date Inbound]])&amp;"-0"&amp;D47</f>
        <v>H-ADSS 24C-2024419-02</v>
      </c>
      <c r="B47" s="411" t="s">
        <v>3073</v>
      </c>
      <c r="C47" s="412">
        <v>45401</v>
      </c>
      <c r="D47" s="413">
        <v>2</v>
      </c>
      <c r="E47" s="502">
        <v>4000</v>
      </c>
      <c r="F47" s="502">
        <f>_xlfn.XLOOKUP(Table411[[#This Row],[HASBEL_ID]],Logfile!Y:Y,Logfile!X:X,"",0,-1)</f>
        <v>0</v>
      </c>
      <c r="G47" s="415">
        <v>45405</v>
      </c>
      <c r="H47" s="416">
        <v>3300</v>
      </c>
      <c r="I47" s="411" t="s">
        <v>5197</v>
      </c>
      <c r="J47" s="417">
        <f t="shared" si="8"/>
        <v>700</v>
      </c>
      <c r="K47" s="411"/>
      <c r="L47" s="411"/>
      <c r="M47" s="411"/>
      <c r="N47" s="417">
        <f t="shared" si="5"/>
        <v>700</v>
      </c>
      <c r="O47" s="411"/>
      <c r="P47" s="411"/>
      <c r="Q47" s="411"/>
      <c r="R47" s="417">
        <f t="shared" si="6"/>
        <v>700</v>
      </c>
      <c r="S47" s="419"/>
      <c r="T47" s="419"/>
      <c r="U47" s="419"/>
      <c r="V47" s="419">
        <f t="shared" si="7"/>
        <v>700</v>
      </c>
      <c r="W47" s="411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45405_ADSS 24C_700</v>
      </c>
      <c r="X47" s="411" t="str">
        <f>Table411[[#This Row],[date out4]]&amp;"_"&amp;Table411[[#This Row],[Core]]&amp;"_"&amp;Table411[[#This Row],[leftover4]]</f>
        <v>_ADSS 24C_700</v>
      </c>
      <c r="Y47" s="411" t="str">
        <f>IF(Table411[[#This Row],[Date Inbound]]&gt;Table411[[#This Row],[date1]],"INV","")</f>
        <v/>
      </c>
      <c r="Z47" s="524" t="str">
        <f>_xlfn.IFNA(VLOOKUP(Table411[[#This Row],[HASBEL_ID]],Logfile!Y:Y,1,0),VLOOKUP(Table411[[#This Row],[HASBEL_ID]],LO_Logfile!Z:Z,1,0))</f>
        <v>H-ADSS 24C-2024419-02</v>
      </c>
    </row>
    <row r="48" spans="1:26" ht="14" hidden="1">
      <c r="A48" s="489" t="str">
        <f>"H-"&amp;B48&amp;"-"&amp;YEAR(C48)&amp;MONTH(Table411[[#This Row],[Date Inbound]])&amp;DAY(Table411[[#This Row],[Date Inbound]])&amp;"-0"&amp;D48</f>
        <v>H-ADSS 24C-2024419-01</v>
      </c>
      <c r="B48" s="411" t="s">
        <v>3073</v>
      </c>
      <c r="C48" s="412">
        <v>45401</v>
      </c>
      <c r="D48" s="413">
        <v>1</v>
      </c>
      <c r="E48" s="502">
        <v>4000</v>
      </c>
      <c r="F48" s="502" t="str">
        <f>_xlfn.XLOOKUP(Table411[[#This Row],[HASBEL_ID]],Logfile!Y:Y,Logfile!X:X,"",0,-1)</f>
        <v>FH 2 HASBEL @4000</v>
      </c>
      <c r="G48" s="415">
        <v>45433</v>
      </c>
      <c r="H48" s="416">
        <v>1950</v>
      </c>
      <c r="I48" s="411" t="s">
        <v>5198</v>
      </c>
      <c r="J48" s="417">
        <f t="shared" si="8"/>
        <v>2050</v>
      </c>
      <c r="K48" s="415">
        <v>45405</v>
      </c>
      <c r="L48" s="411">
        <v>1000</v>
      </c>
      <c r="M48" s="411" t="s">
        <v>5199</v>
      </c>
      <c r="N48" s="417">
        <f t="shared" si="5"/>
        <v>1050</v>
      </c>
      <c r="O48" s="411"/>
      <c r="P48" s="411"/>
      <c r="Q48" s="411"/>
      <c r="R48" s="417">
        <f t="shared" si="6"/>
        <v>1050</v>
      </c>
      <c r="S48" s="419"/>
      <c r="T48" s="419"/>
      <c r="U48" s="419"/>
      <c r="V48" s="419">
        <f t="shared" si="7"/>
        <v>1050</v>
      </c>
      <c r="W48" s="411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45405_ADSS 24C_1050</v>
      </c>
      <c r="X48" s="411" t="str">
        <f>Table411[[#This Row],[date out4]]&amp;"_"&amp;Table411[[#This Row],[Core]]&amp;"_"&amp;Table411[[#This Row],[leftover4]]</f>
        <v>_ADSS 24C_1050</v>
      </c>
      <c r="Y48" s="411" t="str">
        <f>IF(Table411[[#This Row],[Date Inbound]]&gt;Table411[[#This Row],[date1]],"INV","")</f>
        <v/>
      </c>
      <c r="Z48" s="524" t="str">
        <f>_xlfn.IFNA(VLOOKUP(Table411[[#This Row],[HASBEL_ID]],Logfile!Y:Y,1,0),VLOOKUP(Table411[[#This Row],[HASBEL_ID]],LO_Logfile!Z:Z,1,0))</f>
        <v>H-ADSS 24C-2024419-01</v>
      </c>
    </row>
    <row r="49" spans="1:26" ht="14" hidden="1">
      <c r="A49" s="489" t="str">
        <f>"H-"&amp;B49&amp;"-"&amp;YEAR(C49)&amp;MONTH(Table411[[#This Row],[Date Inbound]])&amp;DAY(Table411[[#This Row],[Date Inbound]])&amp;"-0"&amp;D49</f>
        <v>H-ADSS 24C-2024520-01</v>
      </c>
      <c r="B49" s="382" t="s">
        <v>3073</v>
      </c>
      <c r="C49" s="383">
        <v>45432</v>
      </c>
      <c r="D49" s="384">
        <v>1</v>
      </c>
      <c r="E49" s="497">
        <v>3000</v>
      </c>
      <c r="F49" s="497">
        <f>_xlfn.XLOOKUP(Table411[[#This Row],[HASBEL_ID]],Logfile!Y:Y,Logfile!X:X,"",0,-1)</f>
        <v>0</v>
      </c>
      <c r="G49" s="386">
        <v>45437</v>
      </c>
      <c r="H49" s="387">
        <v>2000</v>
      </c>
      <c r="I49" s="382" t="s">
        <v>5200</v>
      </c>
      <c r="J49" s="389">
        <f t="shared" si="8"/>
        <v>1000</v>
      </c>
      <c r="K49" s="386">
        <v>45437</v>
      </c>
      <c r="L49" s="382">
        <v>1000</v>
      </c>
      <c r="M49" s="382" t="s">
        <v>5200</v>
      </c>
      <c r="N49" s="389">
        <f t="shared" si="5"/>
        <v>0</v>
      </c>
      <c r="O49" s="382"/>
      <c r="P49" s="382"/>
      <c r="Q49" s="382"/>
      <c r="R49" s="389">
        <f t="shared" si="6"/>
        <v>0</v>
      </c>
      <c r="S49" s="391"/>
      <c r="T49" s="391"/>
      <c r="U49" s="391"/>
      <c r="V49" s="391">
        <f t="shared" si="7"/>
        <v>0</v>
      </c>
      <c r="W49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45437_ADSS 24C_1000</v>
      </c>
      <c r="X49" s="382" t="str">
        <f>Table411[[#This Row],[date out4]]&amp;"_"&amp;Table411[[#This Row],[Core]]&amp;"_"&amp;Table411[[#This Row],[leftover4]]</f>
        <v>_ADSS 24C_0</v>
      </c>
      <c r="Y49" s="382" t="str">
        <f>IF(Table411[[#This Row],[Date Inbound]]&gt;Table411[[#This Row],[date1]],"INV","")</f>
        <v/>
      </c>
      <c r="Z49" s="524" t="str">
        <f>_xlfn.IFNA(VLOOKUP(Table411[[#This Row],[HASBEL_ID]],Logfile!Y:Y,1,0),VLOOKUP(Table411[[#This Row],[HASBEL_ID]],LO_Logfile!Z:Z,1,0))</f>
        <v>H-ADSS 24C-2024520-01</v>
      </c>
    </row>
    <row r="50" spans="1:26" ht="14" hidden="1">
      <c r="A50" s="489" t="str">
        <f>"H-"&amp;B50&amp;"-"&amp;YEAR(C50)&amp;MONTH(Table411[[#This Row],[Date Inbound]])&amp;DAY(Table411[[#This Row],[Date Inbound]])&amp;"-0"&amp;D50</f>
        <v>H-ADSS 24C-2024520-02</v>
      </c>
      <c r="B50" s="382" t="s">
        <v>3073</v>
      </c>
      <c r="C50" s="383">
        <v>45432</v>
      </c>
      <c r="D50" s="384">
        <v>2</v>
      </c>
      <c r="E50" s="497">
        <v>3000</v>
      </c>
      <c r="F50" s="497">
        <f>_xlfn.XLOOKUP(Table411[[#This Row],[HASBEL_ID]],Logfile!Y:Y,Logfile!X:X,"",0,-1)</f>
        <v>0</v>
      </c>
      <c r="G50" s="386">
        <v>45442</v>
      </c>
      <c r="H50" s="387">
        <v>1100</v>
      </c>
      <c r="I50" s="382" t="s">
        <v>5201</v>
      </c>
      <c r="J50" s="389">
        <f t="shared" si="8"/>
        <v>1900</v>
      </c>
      <c r="K50" s="409">
        <v>45442</v>
      </c>
      <c r="L50" s="382">
        <v>1050</v>
      </c>
      <c r="M50" s="382" t="s">
        <v>5202</v>
      </c>
      <c r="N50" s="389">
        <f t="shared" si="5"/>
        <v>850</v>
      </c>
      <c r="O50" s="386">
        <v>45485</v>
      </c>
      <c r="P50" s="382">
        <v>850</v>
      </c>
      <c r="Q50" s="382" t="s">
        <v>5203</v>
      </c>
      <c r="R50" s="389">
        <f t="shared" si="6"/>
        <v>0</v>
      </c>
      <c r="S50" s="391"/>
      <c r="T50" s="391"/>
      <c r="U50" s="391"/>
      <c r="V50" s="391">
        <f t="shared" si="7"/>
        <v>0</v>
      </c>
      <c r="W50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45442_ADSS 24C_850</v>
      </c>
      <c r="X50" s="382" t="str">
        <f>Table411[[#This Row],[date out4]]&amp;"_"&amp;Table411[[#This Row],[Core]]&amp;"_"&amp;Table411[[#This Row],[leftover4]]</f>
        <v>_ADSS 24C_0</v>
      </c>
      <c r="Y50" s="382" t="str">
        <f>IF(Table411[[#This Row],[Date Inbound]]&gt;Table411[[#This Row],[date1]],"INV","")</f>
        <v/>
      </c>
      <c r="Z50" s="524" t="str">
        <f>_xlfn.IFNA(VLOOKUP(Table411[[#This Row],[HASBEL_ID]],Logfile!Y:Y,1,0),VLOOKUP(Table411[[#This Row],[HASBEL_ID]],LO_Logfile!Z:Z,1,0))</f>
        <v>H-ADSS 24C-2024520-02</v>
      </c>
    </row>
    <row r="51" spans="1:26" ht="14" hidden="1">
      <c r="A51" s="489" t="str">
        <f>"H-"&amp;B51&amp;"-"&amp;YEAR(C51)&amp;MONTH(Table411[[#This Row],[Date Inbound]])&amp;DAY(Table411[[#This Row],[Date Inbound]])&amp;"-0"&amp;D51</f>
        <v>H-ADSS 48C-2024521-01</v>
      </c>
      <c r="B51" s="382" t="s">
        <v>3075</v>
      </c>
      <c r="C51" s="383">
        <v>45433</v>
      </c>
      <c r="D51" s="384">
        <v>1</v>
      </c>
      <c r="E51" s="497">
        <v>3000</v>
      </c>
      <c r="F51" s="497">
        <f>_xlfn.XLOOKUP(Table411[[#This Row],[HASBEL_ID]],Logfile!Y:Y,Logfile!X:X,"",0,-1)</f>
        <v>0</v>
      </c>
      <c r="G51" s="386">
        <v>45439</v>
      </c>
      <c r="H51" s="387">
        <v>600</v>
      </c>
      <c r="I51" s="382" t="s">
        <v>5231</v>
      </c>
      <c r="J51" s="389">
        <f t="shared" si="8"/>
        <v>2400</v>
      </c>
      <c r="K51" s="386">
        <v>45439</v>
      </c>
      <c r="L51" s="382">
        <v>2400</v>
      </c>
      <c r="M51" s="382" t="s">
        <v>5232</v>
      </c>
      <c r="N51" s="389">
        <f t="shared" si="5"/>
        <v>0</v>
      </c>
      <c r="O51" s="382"/>
      <c r="P51" s="382"/>
      <c r="Q51" s="382"/>
      <c r="R51" s="389">
        <f t="shared" si="6"/>
        <v>0</v>
      </c>
      <c r="S51" s="391"/>
      <c r="T51" s="391"/>
      <c r="U51" s="391"/>
      <c r="V51" s="391">
        <f t="shared" si="7"/>
        <v>0</v>
      </c>
      <c r="W51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45439_ADSS 48C_2400</v>
      </c>
      <c r="X51" s="382" t="str">
        <f>Table411[[#This Row],[date out4]]&amp;"_"&amp;Table411[[#This Row],[Core]]&amp;"_"&amp;Table411[[#This Row],[leftover4]]</f>
        <v>_ADSS 48C_0</v>
      </c>
      <c r="Y51" s="382" t="str">
        <f>IF(Table411[[#This Row],[Date Inbound]]&gt;Table411[[#This Row],[date1]],"INV","")</f>
        <v/>
      </c>
      <c r="Z51" s="524" t="str">
        <f>_xlfn.IFNA(VLOOKUP(Table411[[#This Row],[HASBEL_ID]],Logfile!Y:Y,1,0),VLOOKUP(Table411[[#This Row],[HASBEL_ID]],LO_Logfile!Z:Z,1,0))</f>
        <v>H-ADSS 48C-2024521-01</v>
      </c>
    </row>
    <row r="52" spans="1:26" ht="14" hidden="1">
      <c r="A52" s="489" t="str">
        <f>"H-"&amp;B52&amp;"-"&amp;YEAR(C52)&amp;MONTH(Table411[[#This Row],[Date Inbound]])&amp;DAY(Table411[[#This Row],[Date Inbound]])&amp;"-0"&amp;D52</f>
        <v>H-ADSS 48C-202461-01</v>
      </c>
      <c r="B52" s="382" t="s">
        <v>3075</v>
      </c>
      <c r="C52" s="383">
        <v>45444</v>
      </c>
      <c r="D52" s="384">
        <v>1</v>
      </c>
      <c r="E52" s="505">
        <v>3000</v>
      </c>
      <c r="F52" s="505">
        <f>_xlfn.XLOOKUP(Table411[[#This Row],[HASBEL_ID]],Logfile!Y:Y,Logfile!X:X,"",0,-1)</f>
        <v>0</v>
      </c>
      <c r="G52" s="386">
        <v>45465</v>
      </c>
      <c r="H52" s="387">
        <v>1700</v>
      </c>
      <c r="I52" s="382" t="s">
        <v>5234</v>
      </c>
      <c r="J52" s="389">
        <f t="shared" si="8"/>
        <v>1300</v>
      </c>
      <c r="K52" s="382"/>
      <c r="L52" s="382"/>
      <c r="M52" s="382"/>
      <c r="N52" s="389">
        <f t="shared" si="5"/>
        <v>1300</v>
      </c>
      <c r="O52" s="382"/>
      <c r="P52" s="382"/>
      <c r="Q52" s="382"/>
      <c r="R52" s="389">
        <f t="shared" si="6"/>
        <v>1300</v>
      </c>
      <c r="S52" s="391"/>
      <c r="T52" s="391"/>
      <c r="U52" s="391"/>
      <c r="V52" s="391">
        <f t="shared" si="7"/>
        <v>1300</v>
      </c>
      <c r="W52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45465_ADSS 48C_1300</v>
      </c>
      <c r="X52" s="382" t="str">
        <f>Table411[[#This Row],[date out4]]&amp;"_"&amp;Table411[[#This Row],[Core]]&amp;"_"&amp;Table411[[#This Row],[leftover4]]</f>
        <v>_ADSS 48C_1300</v>
      </c>
      <c r="Y52" s="382" t="str">
        <f>IF(Table411[[#This Row],[Date Inbound]]&gt;Table411[[#This Row],[date1]],"INV","")</f>
        <v/>
      </c>
      <c r="Z52" s="524" t="str">
        <f>_xlfn.IFNA(VLOOKUP(Table411[[#This Row],[HASBEL_ID]],Logfile!Y:Y,1,0),VLOOKUP(Table411[[#This Row],[HASBEL_ID]],LO_Logfile!Z:Z,1,0))</f>
        <v>H-ADSS 48C-202461-01</v>
      </c>
    </row>
    <row r="53" spans="1:26" ht="14" hidden="1">
      <c r="A53" s="489" t="str">
        <f>"H-"&amp;B53&amp;"-"&amp;YEAR(C53)&amp;MONTH(Table411[[#This Row],[Date Inbound]])&amp;DAY(Table411[[#This Row],[Date Inbound]])&amp;"-0"&amp;D53</f>
        <v>H-ADSS 48C-202461-02</v>
      </c>
      <c r="B53" s="430" t="s">
        <v>3075</v>
      </c>
      <c r="C53" s="383">
        <v>45444</v>
      </c>
      <c r="D53" s="432">
        <v>2</v>
      </c>
      <c r="E53" s="506">
        <v>3000</v>
      </c>
      <c r="F53" s="506">
        <f>_xlfn.XLOOKUP(Table411[[#This Row],[HASBEL_ID]],Logfile!Y:Y,Logfile!X:X,"",0,-1)</f>
        <v>0</v>
      </c>
      <c r="G53" s="386">
        <v>45465</v>
      </c>
      <c r="H53" s="387">
        <v>1700</v>
      </c>
      <c r="I53" s="382" t="s">
        <v>5235</v>
      </c>
      <c r="J53" s="389">
        <f t="shared" si="8"/>
        <v>1300</v>
      </c>
      <c r="K53" s="434"/>
      <c r="L53" s="430"/>
      <c r="M53" s="430"/>
      <c r="N53" s="436">
        <f t="shared" si="5"/>
        <v>1300</v>
      </c>
      <c r="O53" s="430"/>
      <c r="P53" s="430"/>
      <c r="Q53" s="430"/>
      <c r="R53" s="436">
        <f t="shared" si="6"/>
        <v>1300</v>
      </c>
      <c r="S53" s="437"/>
      <c r="T53" s="437"/>
      <c r="U53" s="437"/>
      <c r="V53" s="437">
        <f t="shared" si="7"/>
        <v>1300</v>
      </c>
      <c r="W53" s="430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45465_ADSS 48C_1300</v>
      </c>
      <c r="X53" s="430" t="str">
        <f>Table411[[#This Row],[date out4]]&amp;"_"&amp;Table411[[#This Row],[Core]]&amp;"_"&amp;Table411[[#This Row],[leftover4]]</f>
        <v>_ADSS 48C_1300</v>
      </c>
      <c r="Y53" s="430" t="str">
        <f>IF(Table411[[#This Row],[Date Inbound]]&gt;Table411[[#This Row],[date1]],"INV","")</f>
        <v/>
      </c>
      <c r="Z53" s="524" t="str">
        <f>_xlfn.IFNA(VLOOKUP(Table411[[#This Row],[HASBEL_ID]],Logfile!Y:Y,1,0),VLOOKUP(Table411[[#This Row],[HASBEL_ID]],LO_Logfile!Z:Z,1,0))</f>
        <v>H-ADSS 48C-202461-02</v>
      </c>
    </row>
    <row r="54" spans="1:26" ht="14" hidden="1">
      <c r="A54" s="489" t="str">
        <f>"H-"&amp;B54&amp;"-"&amp;YEAR(C54)&amp;MONTH(Table411[[#This Row],[Date Inbound]])&amp;DAY(Table411[[#This Row],[Date Inbound]])&amp;"-0"&amp;D54</f>
        <v>H-ADSS 48C-202461-03</v>
      </c>
      <c r="B54" s="382" t="s">
        <v>3075</v>
      </c>
      <c r="C54" s="383">
        <v>45444</v>
      </c>
      <c r="D54" s="384">
        <v>3</v>
      </c>
      <c r="E54" s="505">
        <v>3000</v>
      </c>
      <c r="F54" s="505">
        <f>_xlfn.XLOOKUP(Table411[[#This Row],[HASBEL_ID]],Logfile!Y:Y,Logfile!X:X,"",0,-1)</f>
        <v>0</v>
      </c>
      <c r="G54" s="386">
        <v>45444</v>
      </c>
      <c r="H54" s="387">
        <v>2750</v>
      </c>
      <c r="I54" s="382" t="s">
        <v>5233</v>
      </c>
      <c r="J54" s="389">
        <f t="shared" si="8"/>
        <v>250</v>
      </c>
      <c r="K54" s="382"/>
      <c r="L54" s="382"/>
      <c r="M54" s="382"/>
      <c r="N54" s="389">
        <f t="shared" si="5"/>
        <v>250</v>
      </c>
      <c r="O54" s="382"/>
      <c r="P54" s="382"/>
      <c r="Q54" s="382"/>
      <c r="R54" s="389">
        <f t="shared" si="6"/>
        <v>250</v>
      </c>
      <c r="S54" s="391"/>
      <c r="T54" s="391"/>
      <c r="U54" s="391"/>
      <c r="V54" s="391">
        <f t="shared" si="7"/>
        <v>250</v>
      </c>
      <c r="W54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45444_ADSS 48C_250</v>
      </c>
      <c r="X54" s="382" t="str">
        <f>Table411[[#This Row],[date out4]]&amp;"_"&amp;Table411[[#This Row],[Core]]&amp;"_"&amp;Table411[[#This Row],[leftover4]]</f>
        <v>_ADSS 48C_250</v>
      </c>
      <c r="Y54" s="382" t="str">
        <f>IF(Table411[[#This Row],[Date Inbound]]&gt;Table411[[#This Row],[date1]],"INV","")</f>
        <v/>
      </c>
      <c r="Z54" s="524" t="str">
        <f>_xlfn.IFNA(VLOOKUP(Table411[[#This Row],[HASBEL_ID]],Logfile!Y:Y,1,0),VLOOKUP(Table411[[#This Row],[HASBEL_ID]],LO_Logfile!Z:Z,1,0))</f>
        <v>H-ADSS 48C-202461-03</v>
      </c>
    </row>
    <row r="55" spans="1:26" ht="14" hidden="1">
      <c r="A55" s="489" t="str">
        <f>"H-"&amp;B55&amp;"-"&amp;YEAR(C55)&amp;MONTH(Table411[[#This Row],[Date Inbound]])&amp;DAY(Table411[[#This Row],[Date Inbound]])&amp;"-0"&amp;D55</f>
        <v>H-ADSS 24C-202465-01</v>
      </c>
      <c r="B55" s="382" t="s">
        <v>3073</v>
      </c>
      <c r="C55" s="383">
        <v>45448</v>
      </c>
      <c r="D55" s="384">
        <v>1</v>
      </c>
      <c r="E55" s="497">
        <v>3000</v>
      </c>
      <c r="F55" s="497">
        <f>_xlfn.XLOOKUP(Table411[[#This Row],[HASBEL_ID]],Logfile!Y:Y,Logfile!X:X,"",0,-1)</f>
        <v>0</v>
      </c>
      <c r="G55" s="386">
        <v>45448</v>
      </c>
      <c r="H55" s="387">
        <v>600</v>
      </c>
      <c r="I55" s="382" t="s">
        <v>5204</v>
      </c>
      <c r="J55" s="389">
        <f t="shared" si="8"/>
        <v>2400</v>
      </c>
      <c r="K55" s="409">
        <v>45462</v>
      </c>
      <c r="L55" s="382">
        <v>2400</v>
      </c>
      <c r="M55" s="382" t="s">
        <v>3397</v>
      </c>
      <c r="N55" s="389">
        <f t="shared" si="5"/>
        <v>0</v>
      </c>
      <c r="O55" s="382"/>
      <c r="P55" s="382"/>
      <c r="Q55" s="382"/>
      <c r="R55" s="389">
        <f t="shared" si="6"/>
        <v>0</v>
      </c>
      <c r="S55" s="391"/>
      <c r="T55" s="391"/>
      <c r="U55" s="391"/>
      <c r="V55" s="391">
        <f t="shared" si="7"/>
        <v>0</v>
      </c>
      <c r="W55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45448_ADSS 24C_2400</v>
      </c>
      <c r="X55" s="382" t="str">
        <f>Table411[[#This Row],[date out4]]&amp;"_"&amp;Table411[[#This Row],[Core]]&amp;"_"&amp;Table411[[#This Row],[leftover4]]</f>
        <v>_ADSS 24C_0</v>
      </c>
      <c r="Y55" s="382" t="str">
        <f>IF(Table411[[#This Row],[Date Inbound]]&gt;Table411[[#This Row],[date1]],"INV","")</f>
        <v/>
      </c>
      <c r="Z55" s="524" t="str">
        <f>_xlfn.IFNA(VLOOKUP(Table411[[#This Row],[HASBEL_ID]],Logfile!Y:Y,1,0),VLOOKUP(Table411[[#This Row],[HASBEL_ID]],LO_Logfile!Z:Z,1,0))</f>
        <v>H-ADSS 24C-202465-01</v>
      </c>
    </row>
    <row r="56" spans="1:26" ht="14" hidden="1">
      <c r="A56" s="489" t="str">
        <f>"H-"&amp;B56&amp;"-"&amp;YEAR(C56)&amp;MONTH(Table411[[#This Row],[Date Inbound]])&amp;DAY(Table411[[#This Row],[Date Inbound]])&amp;"-0"&amp;D56</f>
        <v>H-ADSS 24C-202465-02</v>
      </c>
      <c r="B56" s="382" t="s">
        <v>3073</v>
      </c>
      <c r="C56" s="383">
        <v>45448</v>
      </c>
      <c r="D56" s="384">
        <v>2</v>
      </c>
      <c r="E56" s="497">
        <v>3000</v>
      </c>
      <c r="F56" s="497">
        <f>_xlfn.XLOOKUP(Table411[[#This Row],[HASBEL_ID]],Logfile!Y:Y,Logfile!X:X,"",0,-1)</f>
        <v>0</v>
      </c>
      <c r="G56" s="386">
        <v>45448</v>
      </c>
      <c r="H56" s="387">
        <v>1200</v>
      </c>
      <c r="I56" s="382" t="s">
        <v>5204</v>
      </c>
      <c r="J56" s="389">
        <f t="shared" si="8"/>
        <v>1800</v>
      </c>
      <c r="K56" s="386">
        <v>45448</v>
      </c>
      <c r="L56" s="382">
        <v>1800</v>
      </c>
      <c r="M56" s="382" t="s">
        <v>5205</v>
      </c>
      <c r="N56" s="389">
        <f t="shared" si="5"/>
        <v>0</v>
      </c>
      <c r="O56" s="382"/>
      <c r="P56" s="382"/>
      <c r="Q56" s="382"/>
      <c r="R56" s="389">
        <f t="shared" si="6"/>
        <v>0</v>
      </c>
      <c r="S56" s="391"/>
      <c r="T56" s="391"/>
      <c r="U56" s="391"/>
      <c r="V56" s="391">
        <f t="shared" si="7"/>
        <v>0</v>
      </c>
      <c r="W56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45448_ADSS 24C_1800</v>
      </c>
      <c r="X56" s="382" t="str">
        <f>Table411[[#This Row],[date out4]]&amp;"_"&amp;Table411[[#This Row],[Core]]&amp;"_"&amp;Table411[[#This Row],[leftover4]]</f>
        <v>_ADSS 24C_0</v>
      </c>
      <c r="Y56" s="382" t="str">
        <f>IF(Table411[[#This Row],[Date Inbound]]&gt;Table411[[#This Row],[date1]],"INV","")</f>
        <v/>
      </c>
      <c r="Z56" s="524" t="str">
        <f>_xlfn.IFNA(VLOOKUP(Table411[[#This Row],[HASBEL_ID]],Logfile!Y:Y,1,0),VLOOKUP(Table411[[#This Row],[HASBEL_ID]],LO_Logfile!Z:Z,1,0))</f>
        <v>H-ADSS 24C-202465-02</v>
      </c>
    </row>
    <row r="57" spans="1:26" ht="14" hidden="1">
      <c r="A57" s="489" t="str">
        <f>"H-"&amp;B57&amp;"-"&amp;YEAR(C57)&amp;MONTH(Table411[[#This Row],[Date Inbound]])&amp;DAY(Table411[[#This Row],[Date Inbound]])&amp;"-0"&amp;D57</f>
        <v>H-ADSS 24C-2024619-01</v>
      </c>
      <c r="B57" s="382" t="s">
        <v>3073</v>
      </c>
      <c r="C57" s="383">
        <v>45462</v>
      </c>
      <c r="D57" s="384">
        <v>1</v>
      </c>
      <c r="E57" s="498">
        <v>2400</v>
      </c>
      <c r="F57" s="498" t="str">
        <f>_xlfn.XLOOKUP(Table411[[#This Row],[HASBEL_ID]],Logfile!Y:Y,Logfile!X:X,"",0,-1)</f>
        <v/>
      </c>
      <c r="G57" s="386">
        <v>45463</v>
      </c>
      <c r="H57" s="387">
        <v>560</v>
      </c>
      <c r="I57" s="382" t="s">
        <v>5206</v>
      </c>
      <c r="J57" s="389">
        <f t="shared" si="8"/>
        <v>1840</v>
      </c>
      <c r="K57" s="409">
        <v>45477</v>
      </c>
      <c r="L57" s="382">
        <v>1280</v>
      </c>
      <c r="M57" s="382" t="s">
        <v>5207</v>
      </c>
      <c r="N57" s="389">
        <f t="shared" si="5"/>
        <v>560</v>
      </c>
      <c r="O57" s="382"/>
      <c r="P57" s="382"/>
      <c r="Q57" s="382"/>
      <c r="R57" s="389">
        <f t="shared" si="6"/>
        <v>560</v>
      </c>
      <c r="S57" s="391"/>
      <c r="T57" s="391"/>
      <c r="U57" s="391"/>
      <c r="V57" s="391">
        <f t="shared" si="7"/>
        <v>560</v>
      </c>
      <c r="W57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45477_ADSS 24C_560</v>
      </c>
      <c r="X57" s="382" t="str">
        <f>Table411[[#This Row],[date out4]]&amp;"_"&amp;Table411[[#This Row],[Core]]&amp;"_"&amp;Table411[[#This Row],[leftover4]]</f>
        <v>_ADSS 24C_560</v>
      </c>
      <c r="Y57" s="382" t="str">
        <f>IF(Table411[[#This Row],[Date Inbound]]&gt;Table411[[#This Row],[date1]],"INV","")</f>
        <v/>
      </c>
      <c r="Z57" s="524" t="str">
        <f>_xlfn.IFNA(VLOOKUP(Table411[[#This Row],[HASBEL_ID]],Logfile!Y:Y,1,0),VLOOKUP(Table411[[#This Row],[HASBEL_ID]],LO_Logfile!Z:Z,1,0))</f>
        <v>H-ADSS 24C-2024619-01</v>
      </c>
    </row>
    <row r="58" spans="1:26" ht="14" hidden="1">
      <c r="A58" s="489" t="str">
        <f>"H-"&amp;B58&amp;"-"&amp;YEAR(C58)&amp;MONTH(Table411[[#This Row],[Date Inbound]])&amp;DAY(Table411[[#This Row],[Date Inbound]])&amp;"-0"&amp;D58</f>
        <v>H-ADSS 48C-2024624-01</v>
      </c>
      <c r="B58" s="382" t="s">
        <v>3075</v>
      </c>
      <c r="C58" s="383">
        <v>45467</v>
      </c>
      <c r="D58" s="384">
        <v>1</v>
      </c>
      <c r="E58" s="497">
        <v>3000</v>
      </c>
      <c r="F58" s="497">
        <f>_xlfn.XLOOKUP(Table411[[#This Row],[HASBEL_ID]],Logfile!Y:Y,Logfile!X:X,"",0,-1)</f>
        <v>0</v>
      </c>
      <c r="G58" s="386"/>
      <c r="H58" s="387"/>
      <c r="I58" s="382"/>
      <c r="J58" s="389">
        <f t="shared" si="8"/>
        <v>3000</v>
      </c>
      <c r="K58" s="382"/>
      <c r="L58" s="382"/>
      <c r="M58" s="382"/>
      <c r="N58" s="389">
        <f t="shared" si="5"/>
        <v>3000</v>
      </c>
      <c r="O58" s="382"/>
      <c r="P58" s="382"/>
      <c r="Q58" s="382"/>
      <c r="R58" s="389">
        <f t="shared" si="6"/>
        <v>3000</v>
      </c>
      <c r="S58" s="391"/>
      <c r="T58" s="391"/>
      <c r="U58" s="391"/>
      <c r="V58" s="391">
        <f t="shared" si="7"/>
        <v>3000</v>
      </c>
      <c r="W58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58" s="382" t="str">
        <f>Table411[[#This Row],[date out4]]&amp;"_"&amp;Table411[[#This Row],[Core]]&amp;"_"&amp;Table411[[#This Row],[leftover4]]</f>
        <v>_ADSS 48C_3000</v>
      </c>
      <c r="Y58" s="382" t="str">
        <f>IF(Table411[[#This Row],[Date Inbound]]&gt;Table411[[#This Row],[date1]],"INV","")</f>
        <v>INV</v>
      </c>
      <c r="Z58" s="524" t="str">
        <f>_xlfn.IFNA(VLOOKUP(Table411[[#This Row],[HASBEL_ID]],Logfile!Y:Y,1,0),VLOOKUP(Table411[[#This Row],[HASBEL_ID]],LO_Logfile!Z:Z,1,0))</f>
        <v>H-ADSS 48C-2024624-01</v>
      </c>
    </row>
    <row r="59" spans="1:26" ht="14" hidden="1">
      <c r="A59" s="489" t="str">
        <f>"H-"&amp;B59&amp;"-"&amp;YEAR(C59)&amp;MONTH(Table411[[#This Row],[Date Inbound]])&amp;DAY(Table411[[#This Row],[Date Inbound]])&amp;"-0"&amp;D59</f>
        <v>H-ADSS 24C-2024625-01</v>
      </c>
      <c r="B59" s="382" t="s">
        <v>3073</v>
      </c>
      <c r="C59" s="383">
        <v>45468</v>
      </c>
      <c r="D59" s="384">
        <v>1</v>
      </c>
      <c r="E59" s="497">
        <v>3000</v>
      </c>
      <c r="F59" s="497">
        <f>_xlfn.XLOOKUP(Table411[[#This Row],[HASBEL_ID]],Logfile!Y:Y,Logfile!X:X,"",0,-1)</f>
        <v>0</v>
      </c>
      <c r="G59" s="386">
        <v>45500</v>
      </c>
      <c r="H59" s="387">
        <v>850</v>
      </c>
      <c r="I59" s="382" t="s">
        <v>5208</v>
      </c>
      <c r="J59" s="389">
        <f t="shared" si="8"/>
        <v>2150</v>
      </c>
      <c r="K59" s="382"/>
      <c r="L59" s="382"/>
      <c r="M59" s="382"/>
      <c r="N59" s="389">
        <f t="shared" si="5"/>
        <v>2150</v>
      </c>
      <c r="O59" s="382"/>
      <c r="P59" s="382"/>
      <c r="Q59" s="382"/>
      <c r="R59" s="389">
        <f t="shared" si="6"/>
        <v>2150</v>
      </c>
      <c r="S59" s="391"/>
      <c r="T59" s="391"/>
      <c r="U59" s="391"/>
      <c r="V59" s="391">
        <f t="shared" si="7"/>
        <v>2150</v>
      </c>
      <c r="W59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45500_ADSS 24C_2150</v>
      </c>
      <c r="X59" s="382" t="str">
        <f>Table411[[#This Row],[date out4]]&amp;"_"&amp;Table411[[#This Row],[Core]]&amp;"_"&amp;Table411[[#This Row],[leftover4]]</f>
        <v>_ADSS 24C_2150</v>
      </c>
      <c r="Y59" s="382" t="str">
        <f>IF(Table411[[#This Row],[Date Inbound]]&gt;Table411[[#This Row],[date1]],"INV","")</f>
        <v/>
      </c>
      <c r="Z59" s="524" t="str">
        <f>_xlfn.IFNA(VLOOKUP(Table411[[#This Row],[HASBEL_ID]],Logfile!Y:Y,1,0),VLOOKUP(Table411[[#This Row],[HASBEL_ID]],LO_Logfile!Z:Z,1,0))</f>
        <v>H-ADSS 24C-2024625-01</v>
      </c>
    </row>
    <row r="60" spans="1:26" ht="14" hidden="1">
      <c r="A60" s="489" t="str">
        <f>"H-"&amp;B60&amp;"-"&amp;YEAR(C60)&amp;MONTH(Table411[[#This Row],[Date Inbound]])&amp;DAY(Table411[[#This Row],[Date Inbound]])&amp;"-0"&amp;D60</f>
        <v>H-ADSS 48C-2024625-01</v>
      </c>
      <c r="B60" s="394" t="s">
        <v>3075</v>
      </c>
      <c r="C60" s="383">
        <v>45468</v>
      </c>
      <c r="D60" s="399">
        <v>1</v>
      </c>
      <c r="E60" s="501">
        <v>3000</v>
      </c>
      <c r="F60" s="501">
        <f>_xlfn.XLOOKUP(Table411[[#This Row],[HASBEL_ID]],Logfile!Y:Y,Logfile!X:X,"",0,-1)</f>
        <v>0</v>
      </c>
      <c r="G60" s="401">
        <v>45470</v>
      </c>
      <c r="H60" s="439">
        <v>1025</v>
      </c>
      <c r="I60" s="394" t="s">
        <v>5236</v>
      </c>
      <c r="J60" s="403">
        <f t="shared" si="8"/>
        <v>1975</v>
      </c>
      <c r="K60" s="401">
        <v>45470</v>
      </c>
      <c r="L60" s="394">
        <v>1700</v>
      </c>
      <c r="M60" s="394" t="s">
        <v>5237</v>
      </c>
      <c r="N60" s="403">
        <f t="shared" si="5"/>
        <v>275</v>
      </c>
      <c r="O60" s="404">
        <v>45533</v>
      </c>
      <c r="P60" s="394">
        <v>275</v>
      </c>
      <c r="Q60" s="394" t="s">
        <v>5238</v>
      </c>
      <c r="R60" s="403">
        <f t="shared" si="6"/>
        <v>0</v>
      </c>
      <c r="S60" s="406"/>
      <c r="T60" s="406"/>
      <c r="U60" s="406"/>
      <c r="V60" s="406">
        <f t="shared" si="7"/>
        <v>0</v>
      </c>
      <c r="W60" s="39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45470_ADSS 48C_275</v>
      </c>
      <c r="X60" s="394" t="str">
        <f>Table411[[#This Row],[date out4]]&amp;"_"&amp;Table411[[#This Row],[Core]]&amp;"_"&amp;Table411[[#This Row],[leftover4]]</f>
        <v>_ADSS 48C_0</v>
      </c>
      <c r="Y60" s="394" t="str">
        <f>IF(Table411[[#This Row],[Date Inbound]]&gt;Table411[[#This Row],[date1]],"INV","")</f>
        <v/>
      </c>
      <c r="Z60" s="524" t="str">
        <f>_xlfn.IFNA(VLOOKUP(Table411[[#This Row],[HASBEL_ID]],Logfile!Y:Y,1,0),VLOOKUP(Table411[[#This Row],[HASBEL_ID]],LO_Logfile!Z:Z,1,0))</f>
        <v>H-ADSS 48C-2024625-01</v>
      </c>
    </row>
    <row r="61" spans="1:26" ht="14" hidden="1">
      <c r="A61" s="489" t="str">
        <f>"H-"&amp;B61&amp;"-"&amp;YEAR(C61)&amp;MONTH(Table411[[#This Row],[Date Inbound]])&amp;DAY(Table411[[#This Row],[Date Inbound]])&amp;"-0"&amp;D61</f>
        <v>H-ADSS 48C-2024625-02</v>
      </c>
      <c r="B61" s="394" t="s">
        <v>3075</v>
      </c>
      <c r="C61" s="383">
        <v>45468</v>
      </c>
      <c r="D61" s="399">
        <v>2</v>
      </c>
      <c r="E61" s="501">
        <v>3000</v>
      </c>
      <c r="F61" s="501">
        <f>_xlfn.XLOOKUP(Table411[[#This Row],[HASBEL_ID]],Logfile!Y:Y,Logfile!X:X,"",0,-1)</f>
        <v>0</v>
      </c>
      <c r="G61" s="401">
        <v>45470</v>
      </c>
      <c r="H61" s="439">
        <v>1375</v>
      </c>
      <c r="I61" s="394" t="s">
        <v>5236</v>
      </c>
      <c r="J61" s="403">
        <f t="shared" si="8"/>
        <v>1625</v>
      </c>
      <c r="K61" s="401">
        <v>45470</v>
      </c>
      <c r="L61" s="394">
        <v>1500</v>
      </c>
      <c r="M61" s="394" t="s">
        <v>5237</v>
      </c>
      <c r="N61" s="403">
        <f t="shared" si="5"/>
        <v>125</v>
      </c>
      <c r="O61" s="401">
        <v>45470</v>
      </c>
      <c r="P61" s="394">
        <v>125</v>
      </c>
      <c r="Q61" s="394" t="s">
        <v>5226</v>
      </c>
      <c r="R61" s="403">
        <f t="shared" si="6"/>
        <v>0</v>
      </c>
      <c r="S61" s="406"/>
      <c r="T61" s="406"/>
      <c r="U61" s="406"/>
      <c r="V61" s="406">
        <f t="shared" si="7"/>
        <v>0</v>
      </c>
      <c r="W61" s="394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45470_ADSS 48C_125</v>
      </c>
      <c r="X61" s="394" t="str">
        <f>Table411[[#This Row],[date out4]]&amp;"_"&amp;Table411[[#This Row],[Core]]&amp;"_"&amp;Table411[[#This Row],[leftover4]]</f>
        <v>_ADSS 48C_0</v>
      </c>
      <c r="Y61" s="394" t="str">
        <f>IF(Table411[[#This Row],[Date Inbound]]&gt;Table411[[#This Row],[date1]],"INV","")</f>
        <v/>
      </c>
      <c r="Z61" s="524" t="str">
        <f>_xlfn.IFNA(VLOOKUP(Table411[[#This Row],[HASBEL_ID]],Logfile!Y:Y,1,0),VLOOKUP(Table411[[#This Row],[HASBEL_ID]],LO_Logfile!Z:Z,1,0))</f>
        <v>H-ADSS 48C-2024625-02</v>
      </c>
    </row>
    <row r="62" spans="1:26" ht="14" hidden="1">
      <c r="A62" s="489" t="str">
        <f>"H-"&amp;B62&amp;"-"&amp;YEAR(C62)&amp;MONTH(Table411[[#This Row],[Date Inbound]])&amp;DAY(Table411[[#This Row],[Date Inbound]])&amp;"-0"&amp;D62</f>
        <v>H-ADSS 48C-2024625-03</v>
      </c>
      <c r="B62" s="382" t="s">
        <v>3075</v>
      </c>
      <c r="C62" s="383">
        <v>45468</v>
      </c>
      <c r="D62" s="384">
        <v>3</v>
      </c>
      <c r="E62" s="497">
        <v>3000</v>
      </c>
      <c r="F62" s="497">
        <f>_xlfn.XLOOKUP(Table411[[#This Row],[HASBEL_ID]],Logfile!Y:Y,Logfile!X:X,"",0,-1)</f>
        <v>0</v>
      </c>
      <c r="G62" s="386"/>
      <c r="H62" s="387"/>
      <c r="I62" s="382"/>
      <c r="J62" s="389">
        <f t="shared" si="8"/>
        <v>3000</v>
      </c>
      <c r="K62" s="382"/>
      <c r="L62" s="382"/>
      <c r="M62" s="382"/>
      <c r="N62" s="389">
        <f t="shared" si="5"/>
        <v>3000</v>
      </c>
      <c r="O62" s="382"/>
      <c r="P62" s="382"/>
      <c r="Q62" s="382"/>
      <c r="R62" s="389">
        <f t="shared" si="6"/>
        <v>3000</v>
      </c>
      <c r="S62" s="391"/>
      <c r="T62" s="391"/>
      <c r="U62" s="391"/>
      <c r="V62" s="391">
        <f t="shared" si="7"/>
        <v>3000</v>
      </c>
      <c r="W62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62" s="382" t="str">
        <f>Table411[[#This Row],[date out4]]&amp;"_"&amp;Table411[[#This Row],[Core]]&amp;"_"&amp;Table411[[#This Row],[leftover4]]</f>
        <v>_ADSS 48C_3000</v>
      </c>
      <c r="Y62" s="382" t="str">
        <f>IF(Table411[[#This Row],[Date Inbound]]&gt;Table411[[#This Row],[date1]],"INV","")</f>
        <v>INV</v>
      </c>
      <c r="Z62" s="524" t="str">
        <f>_xlfn.IFNA(VLOOKUP(Table411[[#This Row],[HASBEL_ID]],Logfile!Y:Y,1,0),VLOOKUP(Table411[[#This Row],[HASBEL_ID]],LO_Logfile!Z:Z,1,0))</f>
        <v>H-ADSS 48C-2024625-03</v>
      </c>
    </row>
    <row r="63" spans="1:26" ht="14" hidden="1">
      <c r="A63" s="489" t="str">
        <f>"H-"&amp;B63&amp;"-"&amp;YEAR(C63)&amp;MONTH(Table411[[#This Row],[Date Inbound]])&amp;DAY(Table411[[#This Row],[Date Inbound]])&amp;"-0"&amp;D63</f>
        <v>H-ADSS 24C-202478-01</v>
      </c>
      <c r="B63" s="382" t="s">
        <v>3073</v>
      </c>
      <c r="C63" s="383">
        <v>45481</v>
      </c>
      <c r="D63" s="384">
        <v>1</v>
      </c>
      <c r="E63" s="497">
        <v>3000</v>
      </c>
      <c r="F63" s="497">
        <f>_xlfn.XLOOKUP(Table411[[#This Row],[HASBEL_ID]],Logfile!Y:Y,Logfile!X:X,"",0,-1)</f>
        <v>0</v>
      </c>
      <c r="G63" s="386">
        <v>45485</v>
      </c>
      <c r="H63" s="387">
        <v>775</v>
      </c>
      <c r="I63" s="382" t="s">
        <v>5209</v>
      </c>
      <c r="J63" s="389">
        <f t="shared" si="8"/>
        <v>2225</v>
      </c>
      <c r="K63" s="386">
        <v>45524</v>
      </c>
      <c r="L63" s="382">
        <v>1700</v>
      </c>
      <c r="M63" s="382" t="s">
        <v>5210</v>
      </c>
      <c r="N63" s="389">
        <f t="shared" si="5"/>
        <v>525</v>
      </c>
      <c r="O63" s="386">
        <v>45527</v>
      </c>
      <c r="P63" s="382">
        <v>525</v>
      </c>
      <c r="Q63" s="382" t="s">
        <v>5211</v>
      </c>
      <c r="R63" s="389">
        <f t="shared" si="6"/>
        <v>0</v>
      </c>
      <c r="S63" s="391"/>
      <c r="T63" s="391"/>
      <c r="U63" s="391"/>
      <c r="V63" s="391">
        <f t="shared" si="7"/>
        <v>0</v>
      </c>
      <c r="W63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45524_ADSS 24C_525</v>
      </c>
      <c r="X63" s="382" t="str">
        <f>Table411[[#This Row],[date out4]]&amp;"_"&amp;Table411[[#This Row],[Core]]&amp;"_"&amp;Table411[[#This Row],[leftover4]]</f>
        <v>_ADSS 24C_0</v>
      </c>
      <c r="Y63" s="382" t="str">
        <f>IF(Table411[[#This Row],[Date Inbound]]&gt;Table411[[#This Row],[date1]],"INV","")</f>
        <v/>
      </c>
      <c r="Z63" s="524" t="str">
        <f>_xlfn.IFNA(VLOOKUP(Table411[[#This Row],[HASBEL_ID]],Logfile!Y:Y,1,0),VLOOKUP(Table411[[#This Row],[HASBEL_ID]],LO_Logfile!Z:Z,1,0))</f>
        <v>H-ADSS 24C-202478-01</v>
      </c>
    </row>
    <row r="64" spans="1:26" ht="14" hidden="1">
      <c r="A64" s="489" t="str">
        <f>"H-"&amp;B64&amp;"-"&amp;YEAR(C64)&amp;MONTH(Table411[[#This Row],[Date Inbound]])&amp;DAY(Table411[[#This Row],[Date Inbound]])&amp;"-0"&amp;D64</f>
        <v>H-ADSS 48C-202478-01</v>
      </c>
      <c r="B64" s="382" t="s">
        <v>3075</v>
      </c>
      <c r="C64" s="383">
        <v>45481</v>
      </c>
      <c r="D64" s="384">
        <v>1</v>
      </c>
      <c r="E64" s="497">
        <v>3000</v>
      </c>
      <c r="F64" s="497">
        <f>_xlfn.XLOOKUP(Table411[[#This Row],[HASBEL_ID]],Logfile!Y:Y,Logfile!X:X,"",0,-1)</f>
        <v>0</v>
      </c>
      <c r="G64" s="386">
        <v>45500</v>
      </c>
      <c r="H64" s="387">
        <v>2150</v>
      </c>
      <c r="I64" s="382" t="s">
        <v>5208</v>
      </c>
      <c r="J64" s="389">
        <f t="shared" si="8"/>
        <v>850</v>
      </c>
      <c r="K64" s="382"/>
      <c r="L64" s="382"/>
      <c r="M64" s="382"/>
      <c r="N64" s="389">
        <f t="shared" si="5"/>
        <v>850</v>
      </c>
      <c r="O64" s="382"/>
      <c r="P64" s="382"/>
      <c r="Q64" s="382"/>
      <c r="R64" s="389">
        <f t="shared" si="6"/>
        <v>850</v>
      </c>
      <c r="S64" s="391"/>
      <c r="T64" s="391"/>
      <c r="U64" s="391"/>
      <c r="V64" s="391">
        <f t="shared" si="7"/>
        <v>850</v>
      </c>
      <c r="W64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45500_ADSS 48C_850</v>
      </c>
      <c r="X64" s="382" t="str">
        <f>Table411[[#This Row],[date out4]]&amp;"_"&amp;Table411[[#This Row],[Core]]&amp;"_"&amp;Table411[[#This Row],[leftover4]]</f>
        <v>_ADSS 48C_850</v>
      </c>
      <c r="Y64" s="382" t="str">
        <f>IF(Table411[[#This Row],[Date Inbound]]&gt;Table411[[#This Row],[date1]],"INV","")</f>
        <v/>
      </c>
      <c r="Z64" s="524" t="str">
        <f>_xlfn.IFNA(VLOOKUP(Table411[[#This Row],[HASBEL_ID]],Logfile!Y:Y,1,0),VLOOKUP(Table411[[#This Row],[HASBEL_ID]],LO_Logfile!Z:Z,1,0))</f>
        <v>H-ADSS 48C-202478-01</v>
      </c>
    </row>
    <row r="65" spans="1:26" ht="14" hidden="1">
      <c r="A65" s="489" t="str">
        <f>"H-"&amp;B65&amp;"-"&amp;YEAR(C65)&amp;MONTH(Table411[[#This Row],[Date Inbound]])&amp;DAY(Table411[[#This Row],[Date Inbound]])&amp;"-0"&amp;D65</f>
        <v>H-ADSS 24C-2024723-01</v>
      </c>
      <c r="B65" s="382" t="s">
        <v>3073</v>
      </c>
      <c r="C65" s="383">
        <v>45496</v>
      </c>
      <c r="D65" s="384">
        <v>1</v>
      </c>
      <c r="E65" s="497">
        <v>3000</v>
      </c>
      <c r="F65" s="497">
        <f>_xlfn.XLOOKUP(Table411[[#This Row],[HASBEL_ID]],Logfile!Y:Y,Logfile!X:X,"",0,-1)</f>
        <v>0</v>
      </c>
      <c r="G65" s="386">
        <v>45500</v>
      </c>
      <c r="H65" s="387">
        <v>1250</v>
      </c>
      <c r="I65" s="382" t="s">
        <v>5208</v>
      </c>
      <c r="J65" s="389">
        <f t="shared" si="8"/>
        <v>1750</v>
      </c>
      <c r="K65" s="409">
        <v>45500</v>
      </c>
      <c r="L65" s="382">
        <v>900</v>
      </c>
      <c r="M65" s="382" t="s">
        <v>5208</v>
      </c>
      <c r="N65" s="389">
        <f t="shared" si="5"/>
        <v>850</v>
      </c>
      <c r="O65" s="382"/>
      <c r="P65" s="382"/>
      <c r="Q65" s="382"/>
      <c r="R65" s="389">
        <f t="shared" si="6"/>
        <v>850</v>
      </c>
      <c r="S65" s="391"/>
      <c r="T65" s="391"/>
      <c r="U65" s="391"/>
      <c r="V65" s="391">
        <f t="shared" si="7"/>
        <v>850</v>
      </c>
      <c r="W65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45500_ADSS 24C_850</v>
      </c>
      <c r="X65" s="382" t="str">
        <f>Table411[[#This Row],[date out4]]&amp;"_"&amp;Table411[[#This Row],[Core]]&amp;"_"&amp;Table411[[#This Row],[leftover4]]</f>
        <v>_ADSS 24C_850</v>
      </c>
      <c r="Y65" s="382" t="str">
        <f>IF(Table411[[#This Row],[Date Inbound]]&gt;Table411[[#This Row],[date1]],"INV","")</f>
        <v/>
      </c>
      <c r="Z65" s="524" t="str">
        <f>_xlfn.IFNA(VLOOKUP(Table411[[#This Row],[HASBEL_ID]],Logfile!Y:Y,1,0),VLOOKUP(Table411[[#This Row],[HASBEL_ID]],LO_Logfile!Z:Z,1,0))</f>
        <v>H-ADSS 24C-2024723-01</v>
      </c>
    </row>
    <row r="66" spans="1:26" ht="14" hidden="1">
      <c r="A66" s="489" t="str">
        <f>"H-"&amp;B66&amp;"-"&amp;YEAR(C66)&amp;MONTH(Table411[[#This Row],[Date Inbound]])&amp;DAY(Table411[[#This Row],[Date Inbound]])&amp;"-0"&amp;D66</f>
        <v>H-ADSS 24C-2024723-02</v>
      </c>
      <c r="B66" s="382" t="s">
        <v>3073</v>
      </c>
      <c r="C66" s="383">
        <v>45496</v>
      </c>
      <c r="D66" s="384">
        <v>2</v>
      </c>
      <c r="E66" s="497">
        <v>3000</v>
      </c>
      <c r="F66" s="497">
        <f>_xlfn.XLOOKUP(Table411[[#This Row],[HASBEL_ID]],Logfile!Y:Y,Logfile!X:X,"",0,-1)</f>
        <v>0</v>
      </c>
      <c r="G66" s="386">
        <v>45503</v>
      </c>
      <c r="H66" s="387">
        <v>950</v>
      </c>
      <c r="I66" s="382" t="s">
        <v>5208</v>
      </c>
      <c r="J66" s="389">
        <f t="shared" si="8"/>
        <v>2050</v>
      </c>
      <c r="K66" s="386">
        <v>45503</v>
      </c>
      <c r="L66" s="382">
        <v>700</v>
      </c>
      <c r="M66" s="382" t="s">
        <v>5208</v>
      </c>
      <c r="N66" s="389">
        <f t="shared" si="5"/>
        <v>1350</v>
      </c>
      <c r="O66" s="386"/>
      <c r="P66" s="382"/>
      <c r="Q66" s="382"/>
      <c r="R66" s="389">
        <f t="shared" si="6"/>
        <v>1350</v>
      </c>
      <c r="S66" s="391"/>
      <c r="T66" s="391"/>
      <c r="U66" s="391"/>
      <c r="V66" s="391">
        <f t="shared" si="7"/>
        <v>1350</v>
      </c>
      <c r="W66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45503_ADSS 24C_1350</v>
      </c>
      <c r="X66" s="382" t="str">
        <f>Table411[[#This Row],[date out4]]&amp;"_"&amp;Table411[[#This Row],[Core]]&amp;"_"&amp;Table411[[#This Row],[leftover4]]</f>
        <v>_ADSS 24C_1350</v>
      </c>
      <c r="Y66" s="382" t="str">
        <f>IF(Table411[[#This Row],[Date Inbound]]&gt;Table411[[#This Row],[date1]],"INV","")</f>
        <v/>
      </c>
      <c r="Z66" s="524" t="str">
        <f>_xlfn.IFNA(VLOOKUP(Table411[[#This Row],[HASBEL_ID]],Logfile!Y:Y,1,0),VLOOKUP(Table411[[#This Row],[HASBEL_ID]],LO_Logfile!Z:Z,1,0))</f>
        <v>H-ADSS 24C-2024723-02</v>
      </c>
    </row>
    <row r="67" spans="1:26" ht="14" hidden="1">
      <c r="A67" s="489" t="str">
        <f>"H-"&amp;B67&amp;"-"&amp;YEAR(C67)&amp;MONTH(Table411[[#This Row],[Date Inbound]])&amp;DAY(Table411[[#This Row],[Date Inbound]])&amp;"-0"&amp;D67</f>
        <v>H-ADSS 48C-2024723-01</v>
      </c>
      <c r="B67" s="382" t="s">
        <v>3075</v>
      </c>
      <c r="C67" s="383">
        <v>45496</v>
      </c>
      <c r="D67" s="384">
        <v>1</v>
      </c>
      <c r="E67" s="497">
        <v>3000</v>
      </c>
      <c r="F67" s="497">
        <f>_xlfn.XLOOKUP(Table411[[#This Row],[HASBEL_ID]],Logfile!Y:Y,Logfile!X:X,"",0,-1)</f>
        <v>0</v>
      </c>
      <c r="G67" s="386">
        <v>45500</v>
      </c>
      <c r="H67" s="387">
        <v>1060</v>
      </c>
      <c r="I67" s="382" t="s">
        <v>5208</v>
      </c>
      <c r="J67" s="389">
        <f t="shared" si="8"/>
        <v>1940</v>
      </c>
      <c r="K67" s="386">
        <v>45533</v>
      </c>
      <c r="L67" s="382">
        <v>1940</v>
      </c>
      <c r="M67" s="382" t="s">
        <v>5213</v>
      </c>
      <c r="N67" s="389">
        <f t="shared" ref="N67:N98" si="9">J67-L67</f>
        <v>0</v>
      </c>
      <c r="O67" s="382"/>
      <c r="P67" s="382"/>
      <c r="Q67" s="382"/>
      <c r="R67" s="389">
        <f t="shared" ref="R67:R98" si="10">N67-P67</f>
        <v>0</v>
      </c>
      <c r="S67" s="391"/>
      <c r="T67" s="391"/>
      <c r="U67" s="391"/>
      <c r="V67" s="391">
        <f t="shared" ref="V67:V98" si="11">R67-T67</f>
        <v>0</v>
      </c>
      <c r="W67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45500_ADSS 48C_1940</v>
      </c>
      <c r="X67" s="382" t="str">
        <f>Table411[[#This Row],[date out4]]&amp;"_"&amp;Table411[[#This Row],[Core]]&amp;"_"&amp;Table411[[#This Row],[leftover4]]</f>
        <v>_ADSS 48C_0</v>
      </c>
      <c r="Y67" s="382" t="str">
        <f>IF(Table411[[#This Row],[Date Inbound]]&gt;Table411[[#This Row],[date1]],"INV","")</f>
        <v/>
      </c>
      <c r="Z67" s="524" t="str">
        <f>_xlfn.IFNA(VLOOKUP(Table411[[#This Row],[HASBEL_ID]],Logfile!Y:Y,1,0),VLOOKUP(Table411[[#This Row],[HASBEL_ID]],LO_Logfile!Z:Z,1,0))</f>
        <v>H-ADSS 48C-2024723-01</v>
      </c>
    </row>
    <row r="68" spans="1:26" ht="14" hidden="1">
      <c r="A68" s="489" t="str">
        <f>"H-"&amp;B68&amp;"-"&amp;YEAR(C68)&amp;MONTH(Table411[[#This Row],[Date Inbound]])&amp;DAY(Table411[[#This Row],[Date Inbound]])&amp;"-0"&amp;D68</f>
        <v>H-ADSS 24C-2024822-01</v>
      </c>
      <c r="B68" s="382" t="s">
        <v>3073</v>
      </c>
      <c r="C68" s="383">
        <v>45526</v>
      </c>
      <c r="D68" s="384">
        <v>1</v>
      </c>
      <c r="E68" s="497">
        <v>3000</v>
      </c>
      <c r="F68" s="497">
        <f>_xlfn.XLOOKUP(Table411[[#This Row],[HASBEL_ID]],Logfile!Y:Y,Logfile!X:X,"",0,-1)</f>
        <v>0</v>
      </c>
      <c r="G68" s="386">
        <v>45527</v>
      </c>
      <c r="H68" s="387">
        <v>3000</v>
      </c>
      <c r="I68" s="382" t="s">
        <v>5212</v>
      </c>
      <c r="J68" s="389">
        <f t="shared" si="8"/>
        <v>0</v>
      </c>
      <c r="K68" s="382"/>
      <c r="L68" s="382"/>
      <c r="M68" s="382"/>
      <c r="N68" s="389">
        <f t="shared" si="9"/>
        <v>0</v>
      </c>
      <c r="O68" s="382"/>
      <c r="P68" s="382"/>
      <c r="Q68" s="382"/>
      <c r="R68" s="389">
        <f t="shared" si="10"/>
        <v>0</v>
      </c>
      <c r="S68" s="391"/>
      <c r="T68" s="391"/>
      <c r="U68" s="391"/>
      <c r="V68" s="391">
        <f t="shared" si="11"/>
        <v>0</v>
      </c>
      <c r="W68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45527_ADSS 24C_0</v>
      </c>
      <c r="X68" s="382" t="str">
        <f>Table411[[#This Row],[date out4]]&amp;"_"&amp;Table411[[#This Row],[Core]]&amp;"_"&amp;Table411[[#This Row],[leftover4]]</f>
        <v>_ADSS 24C_0</v>
      </c>
      <c r="Y68" s="382" t="str">
        <f>IF(Table411[[#This Row],[Date Inbound]]&gt;Table411[[#This Row],[date1]],"INV","")</f>
        <v/>
      </c>
      <c r="Z68" s="524" t="str">
        <f>_xlfn.IFNA(VLOOKUP(Table411[[#This Row],[HASBEL_ID]],Logfile!Y:Y,1,0),VLOOKUP(Table411[[#This Row],[HASBEL_ID]],LO_Logfile!Z:Z,1,0))</f>
        <v>H-ADSS 24C-2024822-01</v>
      </c>
    </row>
    <row r="69" spans="1:26" s="408" customFormat="1" ht="14" hidden="1">
      <c r="A69" s="489" t="str">
        <f>"H-"&amp;B69&amp;"-"&amp;YEAR(C69)&amp;MONTH(Table411[[#This Row],[Date Inbound]])&amp;DAY(Table411[[#This Row],[Date Inbound]])&amp;"-0"&amp;D69</f>
        <v>H-ADSS 24C-2024822-02</v>
      </c>
      <c r="B69" s="382" t="s">
        <v>3073</v>
      </c>
      <c r="C69" s="383">
        <v>45526</v>
      </c>
      <c r="D69" s="384">
        <v>2</v>
      </c>
      <c r="E69" s="497">
        <v>3000</v>
      </c>
      <c r="F69" s="497">
        <f>_xlfn.XLOOKUP(Table411[[#This Row],[HASBEL_ID]],Logfile!Y:Y,Logfile!X:X,"",0,-1)</f>
        <v>0</v>
      </c>
      <c r="G69" s="386">
        <v>45532</v>
      </c>
      <c r="H69" s="382">
        <v>1350</v>
      </c>
      <c r="I69" s="382" t="s">
        <v>5213</v>
      </c>
      <c r="J69" s="389">
        <f t="shared" si="8"/>
        <v>1650</v>
      </c>
      <c r="K69" s="382"/>
      <c r="L69" s="382"/>
      <c r="M69" s="382"/>
      <c r="N69" s="389">
        <f t="shared" si="9"/>
        <v>1650</v>
      </c>
      <c r="O69" s="382"/>
      <c r="P69" s="382"/>
      <c r="Q69" s="382"/>
      <c r="R69" s="389">
        <f t="shared" si="10"/>
        <v>1650</v>
      </c>
      <c r="S69" s="391"/>
      <c r="T69" s="391"/>
      <c r="U69" s="391"/>
      <c r="V69" s="391">
        <f t="shared" si="11"/>
        <v>1650</v>
      </c>
      <c r="W69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45532_ADSS 24C_1650</v>
      </c>
      <c r="X69" s="382" t="str">
        <f>Table411[[#This Row],[date out4]]&amp;"_"&amp;Table411[[#This Row],[Core]]&amp;"_"&amp;Table411[[#This Row],[leftover4]]</f>
        <v>_ADSS 24C_1650</v>
      </c>
      <c r="Y69" s="382" t="str">
        <f>IF(Table411[[#This Row],[Date Inbound]]&gt;Table411[[#This Row],[date1]],"INV","")</f>
        <v/>
      </c>
      <c r="Z69" s="524" t="str">
        <f>_xlfn.IFNA(VLOOKUP(Table411[[#This Row],[HASBEL_ID]],Logfile!Y:Y,1,0),VLOOKUP(Table411[[#This Row],[HASBEL_ID]],LO_Logfile!Z:Z,1,0))</f>
        <v>H-ADSS 24C-2024822-02</v>
      </c>
    </row>
    <row r="70" spans="1:26" s="408" customFormat="1" ht="14" hidden="1">
      <c r="A70" s="489" t="str">
        <f>"H-"&amp;B70&amp;"-"&amp;YEAR(C70)&amp;MONTH(Table411[[#This Row],[Date Inbound]])&amp;DAY(Table411[[#This Row],[Date Inbound]])&amp;"-0"&amp;D70</f>
        <v>H-ADSS 24C-2024822-03</v>
      </c>
      <c r="B70" s="382" t="s">
        <v>3073</v>
      </c>
      <c r="C70" s="383">
        <v>45526</v>
      </c>
      <c r="D70" s="384">
        <v>3</v>
      </c>
      <c r="E70" s="497">
        <v>3000</v>
      </c>
      <c r="F70" s="497">
        <f>_xlfn.XLOOKUP(Table411[[#This Row],[HASBEL_ID]],Logfile!Y:Y,Logfile!X:X,"",0,-1)</f>
        <v>0</v>
      </c>
      <c r="G70" s="386">
        <v>45538</v>
      </c>
      <c r="H70" s="387">
        <v>975</v>
      </c>
      <c r="I70" s="382" t="s">
        <v>5214</v>
      </c>
      <c r="J70" s="389">
        <f t="shared" si="8"/>
        <v>2025</v>
      </c>
      <c r="K70" s="386">
        <v>45553</v>
      </c>
      <c r="L70" s="382">
        <v>975</v>
      </c>
      <c r="M70" s="382" t="s">
        <v>5215</v>
      </c>
      <c r="N70" s="389">
        <f t="shared" si="9"/>
        <v>1050</v>
      </c>
      <c r="O70" s="382"/>
      <c r="P70" s="382"/>
      <c r="Q70" s="382"/>
      <c r="R70" s="389">
        <f t="shared" si="10"/>
        <v>1050</v>
      </c>
      <c r="S70" s="391"/>
      <c r="T70" s="391"/>
      <c r="U70" s="391"/>
      <c r="V70" s="391">
        <f t="shared" si="11"/>
        <v>1050</v>
      </c>
      <c r="W70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45553_ADSS 24C_1050</v>
      </c>
      <c r="X70" s="382" t="str">
        <f>Table411[[#This Row],[date out4]]&amp;"_"&amp;Table411[[#This Row],[Core]]&amp;"_"&amp;Table411[[#This Row],[leftover4]]</f>
        <v>_ADSS 24C_1050</v>
      </c>
      <c r="Y70" s="382" t="str">
        <f>IF(Table411[[#This Row],[Date Inbound]]&gt;Table411[[#This Row],[date1]],"INV","")</f>
        <v/>
      </c>
      <c r="Z70" s="524" t="str">
        <f>_xlfn.IFNA(VLOOKUP(Table411[[#This Row],[HASBEL_ID]],Logfile!Y:Y,1,0),VLOOKUP(Table411[[#This Row],[HASBEL_ID]],LO_Logfile!Z:Z,1,0))</f>
        <v>H-ADSS 24C-2024822-03</v>
      </c>
    </row>
    <row r="71" spans="1:26" ht="14" hidden="1">
      <c r="A71" s="489" t="str">
        <f>"H-"&amp;B71&amp;"-"&amp;YEAR(C71)&amp;MONTH(Table411[[#This Row],[Date Inbound]])&amp;DAY(Table411[[#This Row],[Date Inbound]])&amp;"-0"&amp;D71</f>
        <v>H-ADSS 48C-2024822-01</v>
      </c>
      <c r="B71" s="382" t="s">
        <v>3075</v>
      </c>
      <c r="C71" s="383">
        <v>45526</v>
      </c>
      <c r="D71" s="384">
        <v>1</v>
      </c>
      <c r="E71" s="497">
        <v>3000</v>
      </c>
      <c r="F71" s="497">
        <f>_xlfn.XLOOKUP(Table411[[#This Row],[HASBEL_ID]],Logfile!Y:Y,Logfile!X:X,"",0,-1)</f>
        <v>0</v>
      </c>
      <c r="G71" s="386">
        <v>45527</v>
      </c>
      <c r="H71" s="387">
        <v>2125</v>
      </c>
      <c r="I71" s="382" t="s">
        <v>5210</v>
      </c>
      <c r="J71" s="389">
        <f t="shared" si="8"/>
        <v>875</v>
      </c>
      <c r="K71" s="382"/>
      <c r="L71" s="382"/>
      <c r="M71" s="382"/>
      <c r="N71" s="389">
        <f t="shared" si="9"/>
        <v>875</v>
      </c>
      <c r="O71" s="382"/>
      <c r="P71" s="382"/>
      <c r="Q71" s="382"/>
      <c r="R71" s="389">
        <f t="shared" si="10"/>
        <v>875</v>
      </c>
      <c r="S71" s="391"/>
      <c r="T71" s="391"/>
      <c r="U71" s="391"/>
      <c r="V71" s="391">
        <f t="shared" si="11"/>
        <v>875</v>
      </c>
      <c r="W71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45527_ADSS 48C_875</v>
      </c>
      <c r="X71" s="382" t="str">
        <f>Table411[[#This Row],[date out4]]&amp;"_"&amp;Table411[[#This Row],[Core]]&amp;"_"&amp;Table411[[#This Row],[leftover4]]</f>
        <v>_ADSS 48C_875</v>
      </c>
      <c r="Y71" s="382" t="str">
        <f>IF(Table411[[#This Row],[Date Inbound]]&gt;Table411[[#This Row],[date1]],"INV","")</f>
        <v/>
      </c>
      <c r="Z71" s="524" t="str">
        <f>_xlfn.IFNA(VLOOKUP(Table411[[#This Row],[HASBEL_ID]],Logfile!Y:Y,1,0),VLOOKUP(Table411[[#This Row],[HASBEL_ID]],LO_Logfile!Z:Z,1,0))</f>
        <v>H-ADSS 48C-2024822-01</v>
      </c>
    </row>
    <row r="72" spans="1:26" ht="14" hidden="1">
      <c r="A72" s="489" t="str">
        <f>"H-"&amp;B72&amp;"-"&amp;YEAR(C72)&amp;MONTH(Table411[[#This Row],[Date Inbound]])&amp;DAY(Table411[[#This Row],[Date Inbound]])&amp;"-0"&amp;D72</f>
        <v>H-ADSS 48C-2024822-02</v>
      </c>
      <c r="B72" s="382" t="s">
        <v>3075</v>
      </c>
      <c r="C72" s="383">
        <v>45526</v>
      </c>
      <c r="D72" s="384">
        <v>2</v>
      </c>
      <c r="E72" s="497">
        <v>3000</v>
      </c>
      <c r="F72" s="497">
        <f>_xlfn.XLOOKUP(Table411[[#This Row],[HASBEL_ID]],Logfile!Y:Y,Logfile!X:X,"",0,-1)</f>
        <v>0</v>
      </c>
      <c r="G72" s="386">
        <v>45533</v>
      </c>
      <c r="H72" s="387">
        <v>1400</v>
      </c>
      <c r="I72" s="382" t="s">
        <v>5213</v>
      </c>
      <c r="J72" s="389">
        <f t="shared" si="8"/>
        <v>1600</v>
      </c>
      <c r="K72" s="382"/>
      <c r="L72" s="382"/>
      <c r="M72" s="382"/>
      <c r="N72" s="389">
        <f t="shared" si="9"/>
        <v>1600</v>
      </c>
      <c r="O72" s="382"/>
      <c r="P72" s="382"/>
      <c r="Q72" s="382"/>
      <c r="R72" s="389">
        <f t="shared" si="10"/>
        <v>1600</v>
      </c>
      <c r="S72" s="391"/>
      <c r="T72" s="391"/>
      <c r="U72" s="391"/>
      <c r="V72" s="391">
        <f t="shared" si="11"/>
        <v>1600</v>
      </c>
      <c r="W72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45533_ADSS 48C_1600</v>
      </c>
      <c r="X72" s="382" t="str">
        <f>Table411[[#This Row],[date out4]]&amp;"_"&amp;Table411[[#This Row],[Core]]&amp;"_"&amp;Table411[[#This Row],[leftover4]]</f>
        <v>_ADSS 48C_1600</v>
      </c>
      <c r="Y72" s="382" t="str">
        <f>IF(Table411[[#This Row],[Date Inbound]]&gt;Table411[[#This Row],[date1]],"INV","")</f>
        <v/>
      </c>
      <c r="Z72" s="524" t="str">
        <f>_xlfn.IFNA(VLOOKUP(Table411[[#This Row],[HASBEL_ID]],Logfile!Y:Y,1,0),VLOOKUP(Table411[[#This Row],[HASBEL_ID]],LO_Logfile!Z:Z,1,0))</f>
        <v>H-ADSS 48C-2024822-02</v>
      </c>
    </row>
    <row r="73" spans="1:26" ht="14" hidden="1">
      <c r="A73" s="489" t="str">
        <f>"H-"&amp;B73&amp;"-"&amp;YEAR(C73)&amp;MONTH(Table411[[#This Row],[Date Inbound]])&amp;DAY(Table411[[#This Row],[Date Inbound]])&amp;"-0"&amp;D73</f>
        <v>H-ADSS 24C-2024827-02</v>
      </c>
      <c r="B73" s="382" t="s">
        <v>3073</v>
      </c>
      <c r="C73" s="383">
        <v>45531</v>
      </c>
      <c r="D73" s="384">
        <v>2</v>
      </c>
      <c r="E73" s="497">
        <v>3000</v>
      </c>
      <c r="F73" s="497">
        <f>_xlfn.XLOOKUP(Table411[[#This Row],[HASBEL_ID]],Logfile!Y:Y,Logfile!X:X,"",0,-1)</f>
        <v>0</v>
      </c>
      <c r="G73" s="386">
        <v>45540</v>
      </c>
      <c r="H73" s="387">
        <v>1025</v>
      </c>
      <c r="I73" s="382" t="s">
        <v>5218</v>
      </c>
      <c r="J73" s="389">
        <f t="shared" si="8"/>
        <v>1975</v>
      </c>
      <c r="K73" s="386">
        <v>45553</v>
      </c>
      <c r="L73" s="382">
        <v>1975</v>
      </c>
      <c r="M73" s="382" t="s">
        <v>5215</v>
      </c>
      <c r="N73" s="389">
        <f t="shared" si="9"/>
        <v>0</v>
      </c>
      <c r="O73" s="382"/>
      <c r="P73" s="382"/>
      <c r="Q73" s="382"/>
      <c r="R73" s="389">
        <f t="shared" si="10"/>
        <v>0</v>
      </c>
      <c r="S73" s="391"/>
      <c r="T73" s="391"/>
      <c r="U73" s="391"/>
      <c r="V73" s="391">
        <f t="shared" si="11"/>
        <v>0</v>
      </c>
      <c r="W73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45540_ADSS 24C_1975</v>
      </c>
      <c r="X73" s="382" t="str">
        <f>Table411[[#This Row],[date out4]]&amp;"_"&amp;Table411[[#This Row],[Core]]&amp;"_"&amp;Table411[[#This Row],[leftover4]]</f>
        <v>_ADSS 24C_0</v>
      </c>
      <c r="Y73" s="382" t="str">
        <f>IF(Table411[[#This Row],[Date Inbound]]&gt;Table411[[#This Row],[date1]],"INV","")</f>
        <v/>
      </c>
      <c r="Z73" s="524" t="str">
        <f>_xlfn.IFNA(VLOOKUP(Table411[[#This Row],[HASBEL_ID]],Logfile!Y:Y,1,0),VLOOKUP(Table411[[#This Row],[HASBEL_ID]],LO_Logfile!Z:Z,1,0))</f>
        <v>H-ADSS 24C-2024827-02</v>
      </c>
    </row>
    <row r="74" spans="1:26" s="408" customFormat="1" ht="14" hidden="1">
      <c r="A74" s="489" t="str">
        <f>"H-"&amp;B74&amp;"-"&amp;YEAR(C74)&amp;MONTH(Table411[[#This Row],[Date Inbound]])&amp;DAY(Table411[[#This Row],[Date Inbound]])&amp;"-0"&amp;D74</f>
        <v>H-ADSS 24C-2024827-01</v>
      </c>
      <c r="B74" s="382" t="s">
        <v>3073</v>
      </c>
      <c r="C74" s="383">
        <v>45531</v>
      </c>
      <c r="D74" s="384">
        <v>1</v>
      </c>
      <c r="E74" s="497">
        <v>3000</v>
      </c>
      <c r="F74" s="497">
        <f>_xlfn.XLOOKUP(Table411[[#This Row],[HASBEL_ID]],Logfile!Y:Y,Logfile!X:X,"",0,-1)</f>
        <v>0</v>
      </c>
      <c r="G74" s="386">
        <v>45535</v>
      </c>
      <c r="H74" s="387">
        <v>1500</v>
      </c>
      <c r="I74" s="382" t="s">
        <v>5216</v>
      </c>
      <c r="J74" s="389">
        <f t="shared" si="8"/>
        <v>1500</v>
      </c>
      <c r="K74" s="386">
        <v>45535</v>
      </c>
      <c r="L74" s="382">
        <v>900</v>
      </c>
      <c r="M74" s="382" t="s">
        <v>5217</v>
      </c>
      <c r="N74" s="389">
        <f t="shared" si="9"/>
        <v>600</v>
      </c>
      <c r="O74" s="382"/>
      <c r="P74" s="382"/>
      <c r="Q74" s="382"/>
      <c r="R74" s="389">
        <f t="shared" si="10"/>
        <v>600</v>
      </c>
      <c r="S74" s="391"/>
      <c r="T74" s="391"/>
      <c r="U74" s="391"/>
      <c r="V74" s="391">
        <f t="shared" si="11"/>
        <v>600</v>
      </c>
      <c r="W74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45535_ADSS 24C_600</v>
      </c>
      <c r="X74" s="382" t="str">
        <f>Table411[[#This Row],[date out4]]&amp;"_"&amp;Table411[[#This Row],[Core]]&amp;"_"&amp;Table411[[#This Row],[leftover4]]</f>
        <v>_ADSS 24C_600</v>
      </c>
      <c r="Y74" s="382" t="str">
        <f>IF(Table411[[#This Row],[Date Inbound]]&gt;Table411[[#This Row],[date1]],"INV","")</f>
        <v/>
      </c>
      <c r="Z74" s="524" t="str">
        <f>_xlfn.IFNA(VLOOKUP(Table411[[#This Row],[HASBEL_ID]],Logfile!Y:Y,1,0),VLOOKUP(Table411[[#This Row],[HASBEL_ID]],LO_Logfile!Z:Z,1,0))</f>
        <v>H-ADSS 24C-2024827-01</v>
      </c>
    </row>
    <row r="75" spans="1:26" ht="14" hidden="1">
      <c r="A75" s="489" t="str">
        <f>"H-"&amp;B75&amp;"-"&amp;YEAR(C75)&amp;MONTH(Table411[[#This Row],[Date Inbound]])&amp;DAY(Table411[[#This Row],[Date Inbound]])&amp;"-0"&amp;D75</f>
        <v>H-ADSS 48C-2024828-01</v>
      </c>
      <c r="B75" s="382" t="s">
        <v>3075</v>
      </c>
      <c r="C75" s="383">
        <v>45532</v>
      </c>
      <c r="D75" s="384">
        <v>1</v>
      </c>
      <c r="E75" s="497">
        <v>3000</v>
      </c>
      <c r="F75" s="497">
        <f>_xlfn.XLOOKUP(Table411[[#This Row],[HASBEL_ID]],Logfile!Y:Y,Logfile!X:X,"",0,-1)</f>
        <v>0</v>
      </c>
      <c r="G75" s="386">
        <v>45534</v>
      </c>
      <c r="H75" s="387">
        <v>2525</v>
      </c>
      <c r="I75" s="382" t="s">
        <v>5240</v>
      </c>
      <c r="J75" s="389">
        <f t="shared" si="8"/>
        <v>475</v>
      </c>
      <c r="K75" s="409">
        <v>45538</v>
      </c>
      <c r="L75" s="382">
        <v>475</v>
      </c>
      <c r="M75" s="382" t="s">
        <v>5241</v>
      </c>
      <c r="N75" s="389">
        <f t="shared" si="9"/>
        <v>0</v>
      </c>
      <c r="O75" s="382"/>
      <c r="P75" s="382"/>
      <c r="Q75" s="382"/>
      <c r="R75" s="389">
        <f t="shared" si="10"/>
        <v>0</v>
      </c>
      <c r="S75" s="391"/>
      <c r="T75" s="391"/>
      <c r="U75" s="391"/>
      <c r="V75" s="391">
        <f t="shared" si="11"/>
        <v>0</v>
      </c>
      <c r="W75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45534_ADSS 48C_475</v>
      </c>
      <c r="X75" s="382" t="str">
        <f>Table411[[#This Row],[date out4]]&amp;"_"&amp;Table411[[#This Row],[Core]]&amp;"_"&amp;Table411[[#This Row],[leftover4]]</f>
        <v>_ADSS 48C_0</v>
      </c>
      <c r="Y75" s="382" t="str">
        <f>IF(Table411[[#This Row],[Date Inbound]]&gt;Table411[[#This Row],[date1]],"INV","")</f>
        <v/>
      </c>
      <c r="Z75" s="524" t="str">
        <f>_xlfn.IFNA(VLOOKUP(Table411[[#This Row],[HASBEL_ID]],Logfile!Y:Y,1,0),VLOOKUP(Table411[[#This Row],[HASBEL_ID]],LO_Logfile!Z:Z,1,0))</f>
        <v>H-ADSS 48C-2024828-01</v>
      </c>
    </row>
    <row r="76" spans="1:26" ht="14" hidden="1">
      <c r="A76" s="489" t="str">
        <f>"H-"&amp;B76&amp;"-"&amp;YEAR(C76)&amp;MONTH(Table411[[#This Row],[Date Inbound]])&amp;DAY(Table411[[#This Row],[Date Inbound]])&amp;"-0"&amp;D76</f>
        <v>H-ADSS 48C-2024828-02</v>
      </c>
      <c r="B76" s="382" t="s">
        <v>3075</v>
      </c>
      <c r="C76" s="383">
        <v>45532</v>
      </c>
      <c r="D76" s="384">
        <v>2</v>
      </c>
      <c r="E76" s="497">
        <v>3000</v>
      </c>
      <c r="F76" s="497">
        <f>_xlfn.XLOOKUP(Table411[[#This Row],[HASBEL_ID]],Logfile!Y:Y,Logfile!X:X,"",0,-1)</f>
        <v>0</v>
      </c>
      <c r="G76" s="386">
        <v>45536</v>
      </c>
      <c r="H76" s="387">
        <v>1850</v>
      </c>
      <c r="I76" s="382" t="s">
        <v>5242</v>
      </c>
      <c r="J76" s="389">
        <f t="shared" si="8"/>
        <v>1150</v>
      </c>
      <c r="K76" s="382"/>
      <c r="L76" s="382"/>
      <c r="M76" s="382"/>
      <c r="N76" s="389">
        <f t="shared" si="9"/>
        <v>1150</v>
      </c>
      <c r="O76" s="382"/>
      <c r="P76" s="382"/>
      <c r="Q76" s="382"/>
      <c r="R76" s="389">
        <f t="shared" si="10"/>
        <v>1150</v>
      </c>
      <c r="S76" s="391"/>
      <c r="T76" s="391"/>
      <c r="U76" s="391"/>
      <c r="V76" s="391">
        <f t="shared" si="11"/>
        <v>1150</v>
      </c>
      <c r="W76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45536_ADSS 48C_1150</v>
      </c>
      <c r="X76" s="382" t="str">
        <f>Table411[[#This Row],[date out4]]&amp;"_"&amp;Table411[[#This Row],[Core]]&amp;"_"&amp;Table411[[#This Row],[leftover4]]</f>
        <v>_ADSS 48C_1150</v>
      </c>
      <c r="Y76" s="382" t="str">
        <f>IF(Table411[[#This Row],[Date Inbound]]&gt;Table411[[#This Row],[date1]],"INV","")</f>
        <v/>
      </c>
      <c r="Z76" s="524" t="str">
        <f>_xlfn.IFNA(VLOOKUP(Table411[[#This Row],[HASBEL_ID]],Logfile!Y:Y,1,0),VLOOKUP(Table411[[#This Row],[HASBEL_ID]],LO_Logfile!Z:Z,1,0))</f>
        <v>H-ADSS 48C-2024828-02</v>
      </c>
    </row>
    <row r="77" spans="1:26" ht="14" hidden="1">
      <c r="A77" s="489" t="str">
        <f>"H-"&amp;B77&amp;"-"&amp;YEAR(C77)&amp;MONTH(Table411[[#This Row],[Date Inbound]])&amp;DAY(Table411[[#This Row],[Date Inbound]])&amp;"-0"&amp;D77</f>
        <v>H-ADSS 48C-2024828-03</v>
      </c>
      <c r="B77" s="382" t="s">
        <v>3075</v>
      </c>
      <c r="C77" s="383">
        <v>45532</v>
      </c>
      <c r="D77" s="384">
        <v>3</v>
      </c>
      <c r="E77" s="497">
        <v>3000</v>
      </c>
      <c r="F77" s="497">
        <f>_xlfn.XLOOKUP(Table411[[#This Row],[HASBEL_ID]],Logfile!Y:Y,Logfile!X:X,"",0,-1)</f>
        <v>0</v>
      </c>
      <c r="G77" s="386">
        <v>45542</v>
      </c>
      <c r="H77" s="387">
        <v>1750</v>
      </c>
      <c r="I77" s="382" t="s">
        <v>5243</v>
      </c>
      <c r="J77" s="389">
        <f t="shared" ref="J77:J108" si="12">E77-H77</f>
        <v>1250</v>
      </c>
      <c r="K77" s="382"/>
      <c r="L77" s="382"/>
      <c r="M77" s="382"/>
      <c r="N77" s="389">
        <f t="shared" si="9"/>
        <v>1250</v>
      </c>
      <c r="O77" s="382"/>
      <c r="P77" s="382"/>
      <c r="Q77" s="382"/>
      <c r="R77" s="389">
        <f t="shared" si="10"/>
        <v>1250</v>
      </c>
      <c r="S77" s="391"/>
      <c r="T77" s="391"/>
      <c r="U77" s="391"/>
      <c r="V77" s="391">
        <f t="shared" si="11"/>
        <v>1250</v>
      </c>
      <c r="W77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45542_ADSS 48C_1250</v>
      </c>
      <c r="X77" s="382" t="str">
        <f>Table411[[#This Row],[date out4]]&amp;"_"&amp;Table411[[#This Row],[Core]]&amp;"_"&amp;Table411[[#This Row],[leftover4]]</f>
        <v>_ADSS 48C_1250</v>
      </c>
      <c r="Y77" s="382" t="str">
        <f>IF(Table411[[#This Row],[Date Inbound]]&gt;Table411[[#This Row],[date1]],"INV","")</f>
        <v/>
      </c>
      <c r="Z77" s="524" t="str">
        <f>_xlfn.IFNA(VLOOKUP(Table411[[#This Row],[HASBEL_ID]],Logfile!Y:Y,1,0),VLOOKUP(Table411[[#This Row],[HASBEL_ID]],LO_Logfile!Z:Z,1,0))</f>
        <v>H-ADSS 48C-2024828-03</v>
      </c>
    </row>
    <row r="78" spans="1:26" ht="14" hidden="1">
      <c r="A78" s="489" t="str">
        <f>"H-"&amp;B78&amp;"-"&amp;YEAR(C78)&amp;MONTH(Table411[[#This Row],[Date Inbound]])&amp;DAY(Table411[[#This Row],[Date Inbound]])&amp;"-0"&amp;D78</f>
        <v>H-ADSS 24C-2024920-01</v>
      </c>
      <c r="B78" s="382" t="s">
        <v>3073</v>
      </c>
      <c r="C78" s="383">
        <v>45555</v>
      </c>
      <c r="D78" s="384">
        <v>1</v>
      </c>
      <c r="E78" s="497">
        <v>3000</v>
      </c>
      <c r="F78" s="497">
        <f>_xlfn.XLOOKUP(Table411[[#This Row],[HASBEL_ID]],Logfile!Y:Y,Logfile!X:X,"",0,-1)</f>
        <v>0</v>
      </c>
      <c r="G78" s="386"/>
      <c r="H78" s="387"/>
      <c r="I78" s="382"/>
      <c r="J78" s="389">
        <f t="shared" si="12"/>
        <v>3000</v>
      </c>
      <c r="K78" s="382"/>
      <c r="L78" s="382"/>
      <c r="M78" s="382"/>
      <c r="N78" s="389">
        <f t="shared" si="9"/>
        <v>3000</v>
      </c>
      <c r="O78" s="382"/>
      <c r="P78" s="382"/>
      <c r="Q78" s="382"/>
      <c r="R78" s="389">
        <f t="shared" si="10"/>
        <v>3000</v>
      </c>
      <c r="S78" s="391"/>
      <c r="T78" s="391"/>
      <c r="U78" s="391"/>
      <c r="V78" s="391">
        <f t="shared" si="11"/>
        <v>3000</v>
      </c>
      <c r="W78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78" s="382" t="str">
        <f>Table411[[#This Row],[date out4]]&amp;"_"&amp;Table411[[#This Row],[Core]]&amp;"_"&amp;Table411[[#This Row],[leftover4]]</f>
        <v>_ADSS 24C_3000</v>
      </c>
      <c r="Y78" s="382" t="str">
        <f>IF(Table411[[#This Row],[Date Inbound]]&gt;Table411[[#This Row],[date1]],"INV","")</f>
        <v>INV</v>
      </c>
      <c r="Z78" s="524" t="str">
        <f>_xlfn.IFNA(VLOOKUP(Table411[[#This Row],[HASBEL_ID]],Logfile!Y:Y,1,0),VLOOKUP(Table411[[#This Row],[HASBEL_ID]],LO_Logfile!Z:Z,1,0))</f>
        <v>H-ADSS 24C-2024920-01</v>
      </c>
    </row>
    <row r="79" spans="1:26" ht="14" hidden="1">
      <c r="A79" s="489" t="str">
        <f>"H-"&amp;B79&amp;"-"&amp;YEAR(C79)&amp;MONTH(Table411[[#This Row],[Date Inbound]])&amp;DAY(Table411[[#This Row],[Date Inbound]])&amp;"-0"&amp;D79</f>
        <v>H-ADSS 48C-2024920-01</v>
      </c>
      <c r="B79" s="382" t="s">
        <v>3075</v>
      </c>
      <c r="C79" s="383">
        <v>45555</v>
      </c>
      <c r="D79" s="384">
        <v>1</v>
      </c>
      <c r="E79" s="497">
        <v>3000</v>
      </c>
      <c r="F79" s="497">
        <f>_xlfn.XLOOKUP(Table411[[#This Row],[HASBEL_ID]],Logfile!Y:Y,Logfile!X:X,"",0,-1)</f>
        <v>0</v>
      </c>
      <c r="G79" s="386"/>
      <c r="H79" s="387"/>
      <c r="I79" s="382"/>
      <c r="J79" s="389">
        <f t="shared" si="12"/>
        <v>3000</v>
      </c>
      <c r="K79" s="382"/>
      <c r="L79" s="382"/>
      <c r="M79" s="382"/>
      <c r="N79" s="389">
        <f t="shared" si="9"/>
        <v>3000</v>
      </c>
      <c r="O79" s="382"/>
      <c r="P79" s="382"/>
      <c r="Q79" s="382"/>
      <c r="R79" s="389">
        <f t="shared" si="10"/>
        <v>3000</v>
      </c>
      <c r="S79" s="391"/>
      <c r="T79" s="391"/>
      <c r="U79" s="391"/>
      <c r="V79" s="391">
        <f t="shared" si="11"/>
        <v>3000</v>
      </c>
      <c r="W79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79" s="382" t="str">
        <f>Table411[[#This Row],[date out4]]&amp;"_"&amp;Table411[[#This Row],[Core]]&amp;"_"&amp;Table411[[#This Row],[leftover4]]</f>
        <v>_ADSS 48C_3000</v>
      </c>
      <c r="Y79" s="382" t="str">
        <f>IF(Table411[[#This Row],[Date Inbound]]&gt;Table411[[#This Row],[date1]],"INV","")</f>
        <v>INV</v>
      </c>
      <c r="Z79" s="524" t="str">
        <f>_xlfn.IFNA(VLOOKUP(Table411[[#This Row],[HASBEL_ID]],Logfile!Y:Y,1,0),VLOOKUP(Table411[[#This Row],[HASBEL_ID]],LO_Logfile!Z:Z,1,0))</f>
        <v>H-ADSS 48C-2024920-01</v>
      </c>
    </row>
    <row r="80" spans="1:26" ht="14" hidden="1">
      <c r="A80" s="489" t="str">
        <f>"H-"&amp;B80&amp;"-"&amp;YEAR(C80)&amp;MONTH(Table411[[#This Row],[Date Inbound]])&amp;DAY(Table411[[#This Row],[Date Inbound]])&amp;"-0"&amp;D80</f>
        <v>H-ADSS 48C-2024920-02</v>
      </c>
      <c r="B80" s="382" t="s">
        <v>3075</v>
      </c>
      <c r="C80" s="383">
        <v>45555</v>
      </c>
      <c r="D80" s="384">
        <v>2</v>
      </c>
      <c r="E80" s="497">
        <v>3000</v>
      </c>
      <c r="F80" s="497">
        <f>_xlfn.XLOOKUP(Table411[[#This Row],[HASBEL_ID]],Logfile!Y:Y,Logfile!X:X,"",0,-1)</f>
        <v>0</v>
      </c>
      <c r="G80" s="386"/>
      <c r="H80" s="387"/>
      <c r="I80" s="382"/>
      <c r="J80" s="389">
        <f t="shared" si="12"/>
        <v>3000</v>
      </c>
      <c r="K80" s="382"/>
      <c r="L80" s="382"/>
      <c r="M80" s="382"/>
      <c r="N80" s="389">
        <f t="shared" si="9"/>
        <v>3000</v>
      </c>
      <c r="O80" s="382"/>
      <c r="P80" s="382"/>
      <c r="Q80" s="382"/>
      <c r="R80" s="389">
        <f t="shared" si="10"/>
        <v>3000</v>
      </c>
      <c r="S80" s="391"/>
      <c r="T80" s="391"/>
      <c r="U80" s="391"/>
      <c r="V80" s="391">
        <f t="shared" si="11"/>
        <v>3000</v>
      </c>
      <c r="W80" s="382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80" s="382" t="str">
        <f>Table411[[#This Row],[date out4]]&amp;"_"&amp;Table411[[#This Row],[Core]]&amp;"_"&amp;Table411[[#This Row],[leftover4]]</f>
        <v>_ADSS 48C_3000</v>
      </c>
      <c r="Y80" s="382" t="str">
        <f>IF(Table411[[#This Row],[Date Inbound]]&gt;Table411[[#This Row],[date1]],"INV","")</f>
        <v>INV</v>
      </c>
      <c r="Z80" s="524" t="str">
        <f>_xlfn.IFNA(VLOOKUP(Table411[[#This Row],[HASBEL_ID]],Logfile!Y:Y,1,0),VLOOKUP(Table411[[#This Row],[HASBEL_ID]],LO_Logfile!Z:Z,1,0))</f>
        <v>H-ADSS 48C-2024920-02</v>
      </c>
    </row>
    <row r="81" spans="1:26" ht="14" hidden="1">
      <c r="A81" s="489" t="str">
        <f>"H-"&amp;B81&amp;"-"&amp;YEAR(C81)&amp;MONTH(Table411[[#This Row],[Date Inbound]])&amp;DAY(Table411[[#This Row],[Date Inbound]])&amp;"-0"&amp;D81</f>
        <v>H-ADSS 144C-20241023-01</v>
      </c>
      <c r="B81" s="382" t="s">
        <v>3077</v>
      </c>
      <c r="C81" s="485">
        <v>45588</v>
      </c>
      <c r="D81" s="491">
        <v>1</v>
      </c>
      <c r="E81" s="497">
        <v>3000</v>
      </c>
      <c r="F81" s="497">
        <f>_xlfn.XLOOKUP(Table411[[#This Row],[HASBEL_ID]],Logfile!Y:Y,Logfile!X:X,"",0,-1)</f>
        <v>0</v>
      </c>
      <c r="G81" s="492"/>
      <c r="H81" s="493"/>
      <c r="I81" s="484"/>
      <c r="J81" s="494">
        <f t="shared" si="12"/>
        <v>3000</v>
      </c>
      <c r="K81" s="484"/>
      <c r="L81" s="484"/>
      <c r="M81" s="484"/>
      <c r="N81" s="494">
        <f t="shared" si="9"/>
        <v>3000</v>
      </c>
      <c r="O81" s="484"/>
      <c r="P81" s="484"/>
      <c r="Q81" s="484"/>
      <c r="R81" s="486">
        <f t="shared" si="10"/>
        <v>3000</v>
      </c>
      <c r="S81" s="487"/>
      <c r="T81" s="487"/>
      <c r="U81" s="487"/>
      <c r="V81" s="488">
        <f t="shared" si="11"/>
        <v>3000</v>
      </c>
      <c r="W81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144C_3000</v>
      </c>
      <c r="X81" s="489" t="str">
        <f>Table411[[#This Row],[date out4]]&amp;"_"&amp;Table411[[#This Row],[Core]]&amp;"_"&amp;Table411[[#This Row],[leftover4]]</f>
        <v>_ADSS 144C_3000</v>
      </c>
      <c r="Y81" s="489" t="str">
        <f>IF(Table411[[#This Row],[Date Inbound]]&gt;Table411[[#This Row],[date1]],"INV","")</f>
        <v>INV</v>
      </c>
      <c r="Z81" s="525" t="str">
        <f>_xlfn.IFNA(VLOOKUP(Table411[[#This Row],[HASBEL_ID]],Logfile!Y:Y,1,0),VLOOKUP(Table411[[#This Row],[HASBEL_ID]],LO_Logfile!Z:Z,1,0))</f>
        <v>H-ADSS 144C-20241023-01</v>
      </c>
    </row>
    <row r="82" spans="1:26" ht="14" hidden="1">
      <c r="A82" s="489" t="str">
        <f>"H-"&amp;B82&amp;"-"&amp;YEAR(C82)&amp;MONTH(Table411[[#This Row],[Date Inbound]])&amp;DAY(Table411[[#This Row],[Date Inbound]])&amp;"-0"&amp;D82</f>
        <v>H-ADSS 144C-20241023-02</v>
      </c>
      <c r="B82" s="382" t="s">
        <v>3077</v>
      </c>
      <c r="C82" s="485">
        <v>45588</v>
      </c>
      <c r="D82" s="491">
        <v>2</v>
      </c>
      <c r="E82" s="497">
        <v>3000</v>
      </c>
      <c r="F82" s="497">
        <f>_xlfn.XLOOKUP(Table411[[#This Row],[HASBEL_ID]],Logfile!Y:Y,Logfile!X:X,"",0,-1)</f>
        <v>0</v>
      </c>
      <c r="G82" s="492"/>
      <c r="H82" s="493"/>
      <c r="I82" s="484"/>
      <c r="J82" s="494">
        <f t="shared" si="12"/>
        <v>3000</v>
      </c>
      <c r="K82" s="484"/>
      <c r="L82" s="484"/>
      <c r="M82" s="484"/>
      <c r="N82" s="494">
        <f t="shared" si="9"/>
        <v>3000</v>
      </c>
      <c r="O82" s="484"/>
      <c r="P82" s="484"/>
      <c r="Q82" s="484"/>
      <c r="R82" s="486">
        <f t="shared" si="10"/>
        <v>3000</v>
      </c>
      <c r="S82" s="487"/>
      <c r="T82" s="487"/>
      <c r="U82" s="487"/>
      <c r="V82" s="488">
        <f t="shared" si="11"/>
        <v>3000</v>
      </c>
      <c r="W82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144C_3000</v>
      </c>
      <c r="X82" s="489" t="str">
        <f>Table411[[#This Row],[date out4]]&amp;"_"&amp;Table411[[#This Row],[Core]]&amp;"_"&amp;Table411[[#This Row],[leftover4]]</f>
        <v>_ADSS 144C_3000</v>
      </c>
      <c r="Y82" s="489" t="str">
        <f>IF(Table411[[#This Row],[Date Inbound]]&gt;Table411[[#This Row],[date1]],"INV","")</f>
        <v>INV</v>
      </c>
      <c r="Z82" s="525" t="str">
        <f>_xlfn.IFNA(VLOOKUP(Table411[[#This Row],[HASBEL_ID]],Logfile!Y:Y,1,0),VLOOKUP(Table411[[#This Row],[HASBEL_ID]],LO_Logfile!Z:Z,1,0))</f>
        <v>H-ADSS 144C-20241023-02</v>
      </c>
    </row>
    <row r="83" spans="1:26" ht="14" hidden="1">
      <c r="A83" s="489" t="str">
        <f>"H-"&amp;B83&amp;"-"&amp;YEAR(C83)&amp;MONTH(Table411[[#This Row],[Date Inbound]])&amp;DAY(Table411[[#This Row],[Date Inbound]])&amp;"-0"&amp;D83</f>
        <v>H-ADSS 144C-2024116-01</v>
      </c>
      <c r="B83" s="382" t="s">
        <v>3077</v>
      </c>
      <c r="C83" s="485">
        <v>45602</v>
      </c>
      <c r="D83" s="491">
        <v>1</v>
      </c>
      <c r="E83" s="497">
        <v>3000</v>
      </c>
      <c r="F83" s="497">
        <f>_xlfn.XLOOKUP(Table411[[#This Row],[HASBEL_ID]],Logfile!Y:Y,Logfile!X:X,"",0,-1)</f>
        <v>0</v>
      </c>
      <c r="G83" s="492"/>
      <c r="H83" s="493"/>
      <c r="I83" s="484"/>
      <c r="J83" s="494">
        <f t="shared" si="12"/>
        <v>3000</v>
      </c>
      <c r="K83" s="484"/>
      <c r="L83" s="484"/>
      <c r="M83" s="484"/>
      <c r="N83" s="494">
        <f t="shared" si="9"/>
        <v>3000</v>
      </c>
      <c r="O83" s="484"/>
      <c r="P83" s="484"/>
      <c r="Q83" s="484"/>
      <c r="R83" s="486">
        <f t="shared" si="10"/>
        <v>3000</v>
      </c>
      <c r="S83" s="487"/>
      <c r="T83" s="487"/>
      <c r="U83" s="487"/>
      <c r="V83" s="488">
        <f t="shared" si="11"/>
        <v>3000</v>
      </c>
      <c r="W83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144C_3000</v>
      </c>
      <c r="X83" s="489" t="str">
        <f>Table411[[#This Row],[date out4]]&amp;"_"&amp;Table411[[#This Row],[Core]]&amp;"_"&amp;Table411[[#This Row],[leftover4]]</f>
        <v>_ADSS 144C_3000</v>
      </c>
      <c r="Y83" s="489" t="str">
        <f>IF(Table411[[#This Row],[Date Inbound]]&gt;Table411[[#This Row],[date1]],"INV","")</f>
        <v>INV</v>
      </c>
      <c r="Z83" s="525" t="str">
        <f>_xlfn.IFNA(VLOOKUP(Table411[[#This Row],[HASBEL_ID]],Logfile!Y:Y,1,0),VLOOKUP(Table411[[#This Row],[HASBEL_ID]],LO_Logfile!Z:Z,1,0))</f>
        <v>H-ADSS 144C-2024116-01</v>
      </c>
    </row>
    <row r="84" spans="1:26" ht="14" hidden="1">
      <c r="A84" s="489" t="str">
        <f>"H-"&amp;B84&amp;"-"&amp;YEAR(C84)&amp;MONTH(Table411[[#This Row],[Date Inbound]])&amp;DAY(Table411[[#This Row],[Date Inbound]])&amp;"-0"&amp;D84</f>
        <v>H-ADSS 24C-2024116-03</v>
      </c>
      <c r="B84" s="382" t="s">
        <v>3073</v>
      </c>
      <c r="C84" s="485">
        <v>45602</v>
      </c>
      <c r="D84" s="491">
        <v>3</v>
      </c>
      <c r="E84" s="497">
        <v>3000</v>
      </c>
      <c r="F84" s="497">
        <f>_xlfn.XLOOKUP(Table411[[#This Row],[HASBEL_ID]],Logfile!Y:Y,Logfile!X:X,"",0,-1)</f>
        <v>0</v>
      </c>
      <c r="G84" s="492"/>
      <c r="H84" s="493"/>
      <c r="I84" s="484"/>
      <c r="J84" s="494">
        <f t="shared" si="12"/>
        <v>3000</v>
      </c>
      <c r="K84" s="484"/>
      <c r="L84" s="484"/>
      <c r="M84" s="484"/>
      <c r="N84" s="494">
        <f t="shared" si="9"/>
        <v>3000</v>
      </c>
      <c r="O84" s="484"/>
      <c r="P84" s="484"/>
      <c r="Q84" s="484"/>
      <c r="R84" s="486">
        <f t="shared" si="10"/>
        <v>3000</v>
      </c>
      <c r="S84" s="487"/>
      <c r="T84" s="487"/>
      <c r="U84" s="487"/>
      <c r="V84" s="488">
        <f t="shared" si="11"/>
        <v>3000</v>
      </c>
      <c r="W84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84" s="489" t="str">
        <f>Table411[[#This Row],[date out4]]&amp;"_"&amp;Table411[[#This Row],[Core]]&amp;"_"&amp;Table411[[#This Row],[leftover4]]</f>
        <v>_ADSS 24C_3000</v>
      </c>
      <c r="Y84" s="489" t="str">
        <f>IF(Table411[[#This Row],[Date Inbound]]&gt;Table411[[#This Row],[date1]],"INV","")</f>
        <v>INV</v>
      </c>
      <c r="Z84" s="525" t="str">
        <f>_xlfn.IFNA(VLOOKUP(Table411[[#This Row],[HASBEL_ID]],Logfile!Y:Y,1,0),VLOOKUP(Table411[[#This Row],[HASBEL_ID]],LO_Logfile!Z:Z,1,0))</f>
        <v>H-ADSS 24C-2024116-03</v>
      </c>
    </row>
    <row r="85" spans="1:26" ht="14" hidden="1">
      <c r="A85" s="489" t="str">
        <f>"H-"&amp;B85&amp;"-"&amp;YEAR(C85)&amp;MONTH(Table411[[#This Row],[Date Inbound]])&amp;DAY(Table411[[#This Row],[Date Inbound]])&amp;"-0"&amp;D85</f>
        <v>H-ADSS 24C-2024116-04</v>
      </c>
      <c r="B85" s="382" t="s">
        <v>3073</v>
      </c>
      <c r="C85" s="485">
        <v>45602</v>
      </c>
      <c r="D85" s="491">
        <v>4</v>
      </c>
      <c r="E85" s="497">
        <v>3000</v>
      </c>
      <c r="F85" s="497">
        <f>_xlfn.XLOOKUP(Table411[[#This Row],[HASBEL_ID]],Logfile!Y:Y,Logfile!X:X,"",0,-1)</f>
        <v>0</v>
      </c>
      <c r="G85" s="492"/>
      <c r="H85" s="493"/>
      <c r="I85" s="484"/>
      <c r="J85" s="494">
        <f t="shared" si="12"/>
        <v>3000</v>
      </c>
      <c r="K85" s="484"/>
      <c r="L85" s="484"/>
      <c r="M85" s="484"/>
      <c r="N85" s="494">
        <f t="shared" si="9"/>
        <v>3000</v>
      </c>
      <c r="O85" s="484"/>
      <c r="P85" s="484"/>
      <c r="Q85" s="484"/>
      <c r="R85" s="486">
        <f t="shared" si="10"/>
        <v>3000</v>
      </c>
      <c r="S85" s="487"/>
      <c r="T85" s="487"/>
      <c r="U85" s="487"/>
      <c r="V85" s="488">
        <f t="shared" si="11"/>
        <v>3000</v>
      </c>
      <c r="W85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85" s="489" t="str">
        <f>Table411[[#This Row],[date out4]]&amp;"_"&amp;Table411[[#This Row],[Core]]&amp;"_"&amp;Table411[[#This Row],[leftover4]]</f>
        <v>_ADSS 24C_3000</v>
      </c>
      <c r="Y85" s="489" t="str">
        <f>IF(Table411[[#This Row],[Date Inbound]]&gt;Table411[[#This Row],[date1]],"INV","")</f>
        <v>INV</v>
      </c>
      <c r="Z85" s="525" t="str">
        <f>_xlfn.IFNA(VLOOKUP(Table411[[#This Row],[HASBEL_ID]],Logfile!Y:Y,1,0),VLOOKUP(Table411[[#This Row],[HASBEL_ID]],LO_Logfile!Z:Z,1,0))</f>
        <v>H-ADSS 24C-2024116-04</v>
      </c>
    </row>
    <row r="86" spans="1:26" ht="14" hidden="1">
      <c r="A86" s="489" t="str">
        <f>"H-"&amp;B86&amp;"-"&amp;YEAR(C86)&amp;MONTH(Table411[[#This Row],[Date Inbound]])&amp;DAY(Table411[[#This Row],[Date Inbound]])&amp;"-0"&amp;D86</f>
        <v>H-ADSS 48C-2024116-03</v>
      </c>
      <c r="B86" s="382" t="s">
        <v>3075</v>
      </c>
      <c r="C86" s="383">
        <v>45602</v>
      </c>
      <c r="D86" s="491">
        <v>3</v>
      </c>
      <c r="E86" s="497">
        <v>3000</v>
      </c>
      <c r="F86" s="497">
        <f>_xlfn.XLOOKUP(Table411[[#This Row],[HASBEL_ID]],Logfile!Y:Y,Logfile!X:X,"",0,-1)</f>
        <v>0</v>
      </c>
      <c r="G86" s="492"/>
      <c r="H86" s="493"/>
      <c r="I86" s="484"/>
      <c r="J86" s="494">
        <f t="shared" si="12"/>
        <v>3000</v>
      </c>
      <c r="K86" s="484"/>
      <c r="L86" s="484"/>
      <c r="M86" s="484"/>
      <c r="N86" s="494">
        <f t="shared" si="9"/>
        <v>3000</v>
      </c>
      <c r="O86" s="484"/>
      <c r="P86" s="484"/>
      <c r="Q86" s="484"/>
      <c r="R86" s="486">
        <f t="shared" si="10"/>
        <v>3000</v>
      </c>
      <c r="S86" s="487"/>
      <c r="T86" s="487"/>
      <c r="U86" s="487"/>
      <c r="V86" s="488">
        <f t="shared" si="11"/>
        <v>3000</v>
      </c>
      <c r="W86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86" s="489" t="str">
        <f>Table411[[#This Row],[date out4]]&amp;"_"&amp;Table411[[#This Row],[Core]]&amp;"_"&amp;Table411[[#This Row],[leftover4]]</f>
        <v>_ADSS 48C_3000</v>
      </c>
      <c r="Y86" s="489" t="str">
        <f>IF(Table411[[#This Row],[Date Inbound]]&gt;Table411[[#This Row],[date1]],"INV","")</f>
        <v>INV</v>
      </c>
      <c r="Z86" s="525" t="str">
        <f>_xlfn.IFNA(VLOOKUP(Table411[[#This Row],[HASBEL_ID]],Logfile!Y:Y,1,0),VLOOKUP(Table411[[#This Row],[HASBEL_ID]],LO_Logfile!Z:Z,1,0))</f>
        <v>H-ADSS 48C-2024116-03</v>
      </c>
    </row>
    <row r="87" spans="1:26" ht="14" hidden="1">
      <c r="A87" s="489" t="str">
        <f>"H-"&amp;B87&amp;"-"&amp;YEAR(C87)&amp;MONTH(Table411[[#This Row],[Date Inbound]])&amp;DAY(Table411[[#This Row],[Date Inbound]])&amp;"-0"&amp;D87</f>
        <v>H-ADSS 48C-2024116-04</v>
      </c>
      <c r="B87" s="382" t="s">
        <v>3075</v>
      </c>
      <c r="C87" s="383">
        <v>45602</v>
      </c>
      <c r="D87" s="491">
        <v>4</v>
      </c>
      <c r="E87" s="497">
        <v>3000</v>
      </c>
      <c r="F87" s="497">
        <f>_xlfn.XLOOKUP(Table411[[#This Row],[HASBEL_ID]],Logfile!Y:Y,Logfile!X:X,"",0,-1)</f>
        <v>0</v>
      </c>
      <c r="G87" s="492"/>
      <c r="H87" s="493"/>
      <c r="I87" s="484"/>
      <c r="J87" s="494">
        <f t="shared" si="12"/>
        <v>3000</v>
      </c>
      <c r="K87" s="484"/>
      <c r="L87" s="484"/>
      <c r="M87" s="484"/>
      <c r="N87" s="494">
        <f t="shared" si="9"/>
        <v>3000</v>
      </c>
      <c r="O87" s="484"/>
      <c r="P87" s="484"/>
      <c r="Q87" s="484"/>
      <c r="R87" s="486">
        <f t="shared" si="10"/>
        <v>3000</v>
      </c>
      <c r="S87" s="487"/>
      <c r="T87" s="487"/>
      <c r="U87" s="487"/>
      <c r="V87" s="488">
        <f t="shared" si="11"/>
        <v>3000</v>
      </c>
      <c r="W87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87" s="489" t="str">
        <f>Table411[[#This Row],[date out4]]&amp;"_"&amp;Table411[[#This Row],[Core]]&amp;"_"&amp;Table411[[#This Row],[leftover4]]</f>
        <v>_ADSS 48C_3000</v>
      </c>
      <c r="Y87" s="489" t="str">
        <f>IF(Table411[[#This Row],[Date Inbound]]&gt;Table411[[#This Row],[date1]],"INV","")</f>
        <v>INV</v>
      </c>
      <c r="Z87" s="525" t="str">
        <f>_xlfn.IFNA(VLOOKUP(Table411[[#This Row],[HASBEL_ID]],Logfile!Y:Y,1,0),VLOOKUP(Table411[[#This Row],[HASBEL_ID]],LO_Logfile!Z:Z,1,0))</f>
        <v>H-ADSS 48C-2024116-04</v>
      </c>
    </row>
    <row r="88" spans="1:26" ht="14" hidden="1">
      <c r="A88" s="489" t="str">
        <f>"H-"&amp;B88&amp;"-"&amp;YEAR(C88)&amp;MONTH(Table411[[#This Row],[Date Inbound]])&amp;DAY(Table411[[#This Row],[Date Inbound]])&amp;"-0"&amp;D88</f>
        <v>H-ADSS 24C-20241126-01</v>
      </c>
      <c r="B88" s="382" t="s">
        <v>3073</v>
      </c>
      <c r="C88" s="485">
        <v>45622</v>
      </c>
      <c r="D88" s="491">
        <v>1</v>
      </c>
      <c r="E88" s="497">
        <v>3000</v>
      </c>
      <c r="F88" s="497">
        <f>_xlfn.XLOOKUP(Table411[[#This Row],[HASBEL_ID]],Logfile!Y:Y,Logfile!X:X,"",0,-1)</f>
        <v>0</v>
      </c>
      <c r="G88" s="492"/>
      <c r="H88" s="493"/>
      <c r="I88" s="484"/>
      <c r="J88" s="494">
        <f t="shared" si="12"/>
        <v>3000</v>
      </c>
      <c r="K88" s="484"/>
      <c r="L88" s="484"/>
      <c r="M88" s="484"/>
      <c r="N88" s="494">
        <f t="shared" si="9"/>
        <v>3000</v>
      </c>
      <c r="O88" s="484"/>
      <c r="P88" s="484"/>
      <c r="Q88" s="484"/>
      <c r="R88" s="486">
        <f t="shared" si="10"/>
        <v>3000</v>
      </c>
      <c r="S88" s="487"/>
      <c r="T88" s="487"/>
      <c r="U88" s="487"/>
      <c r="V88" s="488">
        <f t="shared" si="11"/>
        <v>3000</v>
      </c>
      <c r="W88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88" s="489" t="str">
        <f>Table411[[#This Row],[date out4]]&amp;"_"&amp;Table411[[#This Row],[Core]]&amp;"_"&amp;Table411[[#This Row],[leftover4]]</f>
        <v>_ADSS 24C_3000</v>
      </c>
      <c r="Y88" s="489" t="str">
        <f>IF(Table411[[#This Row],[Date Inbound]]&gt;Table411[[#This Row],[date1]],"INV","")</f>
        <v>INV</v>
      </c>
      <c r="Z88" s="525" t="str">
        <f>_xlfn.IFNA(VLOOKUP(Table411[[#This Row],[HASBEL_ID]],Logfile!Y:Y,1,0),VLOOKUP(Table411[[#This Row],[HASBEL_ID]],LO_Logfile!Z:Z,1,0))</f>
        <v>H-ADSS 24C-20241126-01</v>
      </c>
    </row>
    <row r="89" spans="1:26" ht="14" hidden="1">
      <c r="A89" s="489" t="str">
        <f>"H-"&amp;B89&amp;"-"&amp;YEAR(C89)&amp;MONTH(Table411[[#This Row],[Date Inbound]])&amp;DAY(Table411[[#This Row],[Date Inbound]])&amp;"-0"&amp;D89</f>
        <v>H-ADSS 24C-20241126-02</v>
      </c>
      <c r="B89" s="382" t="s">
        <v>3073</v>
      </c>
      <c r="C89" s="485">
        <v>45622</v>
      </c>
      <c r="D89" s="491">
        <v>2</v>
      </c>
      <c r="E89" s="497">
        <v>3000</v>
      </c>
      <c r="F89" s="497">
        <f>_xlfn.XLOOKUP(Table411[[#This Row],[HASBEL_ID]],Logfile!Y:Y,Logfile!X:X,"",0,-1)</f>
        <v>0</v>
      </c>
      <c r="G89" s="492"/>
      <c r="H89" s="493"/>
      <c r="I89" s="484"/>
      <c r="J89" s="494">
        <f t="shared" si="12"/>
        <v>3000</v>
      </c>
      <c r="K89" s="484"/>
      <c r="L89" s="484"/>
      <c r="M89" s="484"/>
      <c r="N89" s="494">
        <f t="shared" si="9"/>
        <v>3000</v>
      </c>
      <c r="O89" s="484"/>
      <c r="P89" s="484"/>
      <c r="Q89" s="484"/>
      <c r="R89" s="486">
        <f t="shared" si="10"/>
        <v>3000</v>
      </c>
      <c r="S89" s="487"/>
      <c r="T89" s="487"/>
      <c r="U89" s="487"/>
      <c r="V89" s="488">
        <f t="shared" si="11"/>
        <v>3000</v>
      </c>
      <c r="W89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89" s="489" t="str">
        <f>Table411[[#This Row],[date out4]]&amp;"_"&amp;Table411[[#This Row],[Core]]&amp;"_"&amp;Table411[[#This Row],[leftover4]]</f>
        <v>_ADSS 24C_3000</v>
      </c>
      <c r="Y89" s="489" t="str">
        <f>IF(Table411[[#This Row],[Date Inbound]]&gt;Table411[[#This Row],[date1]],"INV","")</f>
        <v>INV</v>
      </c>
      <c r="Z89" s="525" t="str">
        <f>_xlfn.IFNA(VLOOKUP(Table411[[#This Row],[HASBEL_ID]],Logfile!Y:Y,1,0),VLOOKUP(Table411[[#This Row],[HASBEL_ID]],LO_Logfile!Z:Z,1,0))</f>
        <v>H-ADSS 24C-20241126-02</v>
      </c>
    </row>
    <row r="90" spans="1:26" ht="14" hidden="1">
      <c r="A90" s="489" t="str">
        <f>"H-"&amp;B90&amp;"-"&amp;YEAR(C90)&amp;MONTH(Table411[[#This Row],[Date Inbound]])&amp;DAY(Table411[[#This Row],[Date Inbound]])&amp;"-0"&amp;D90</f>
        <v>H-ADSS 24C-20241126-03</v>
      </c>
      <c r="B90" s="382" t="s">
        <v>3073</v>
      </c>
      <c r="C90" s="485">
        <v>45622</v>
      </c>
      <c r="D90" s="491">
        <v>3</v>
      </c>
      <c r="E90" s="497">
        <v>3000</v>
      </c>
      <c r="F90" s="497">
        <f>_xlfn.XLOOKUP(Table411[[#This Row],[HASBEL_ID]],Logfile!Y:Y,Logfile!X:X,"",0,-1)</f>
        <v>0</v>
      </c>
      <c r="G90" s="492"/>
      <c r="H90" s="493"/>
      <c r="I90" s="484"/>
      <c r="J90" s="494">
        <f t="shared" si="12"/>
        <v>3000</v>
      </c>
      <c r="K90" s="484"/>
      <c r="L90" s="484"/>
      <c r="M90" s="484"/>
      <c r="N90" s="494">
        <f t="shared" si="9"/>
        <v>3000</v>
      </c>
      <c r="O90" s="484"/>
      <c r="P90" s="484"/>
      <c r="Q90" s="484"/>
      <c r="R90" s="486">
        <f t="shared" si="10"/>
        <v>3000</v>
      </c>
      <c r="S90" s="487"/>
      <c r="T90" s="487"/>
      <c r="U90" s="487"/>
      <c r="V90" s="488">
        <f t="shared" si="11"/>
        <v>3000</v>
      </c>
      <c r="W90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90" s="489" t="str">
        <f>Table411[[#This Row],[date out4]]&amp;"_"&amp;Table411[[#This Row],[Core]]&amp;"_"&amp;Table411[[#This Row],[leftover4]]</f>
        <v>_ADSS 24C_3000</v>
      </c>
      <c r="Y90" s="489" t="str">
        <f>IF(Table411[[#This Row],[Date Inbound]]&gt;Table411[[#This Row],[date1]],"INV","")</f>
        <v>INV</v>
      </c>
      <c r="Z90" s="525" t="str">
        <f>_xlfn.IFNA(VLOOKUP(Table411[[#This Row],[HASBEL_ID]],Logfile!Y:Y,1,0),VLOOKUP(Table411[[#This Row],[HASBEL_ID]],LO_Logfile!Z:Z,1,0))</f>
        <v>H-ADSS 24C-20241126-03</v>
      </c>
    </row>
    <row r="91" spans="1:26" ht="14" hidden="1">
      <c r="A91" s="489" t="str">
        <f>"H-"&amp;B91&amp;"-"&amp;YEAR(C91)&amp;MONTH(Table411[[#This Row],[Date Inbound]])&amp;DAY(Table411[[#This Row],[Date Inbound]])&amp;"-0"&amp;D91</f>
        <v>H-ADSS 48C-20241126-01</v>
      </c>
      <c r="B91" s="382" t="s">
        <v>3075</v>
      </c>
      <c r="C91" s="383">
        <v>45622</v>
      </c>
      <c r="D91" s="491">
        <v>1</v>
      </c>
      <c r="E91" s="497">
        <v>3000</v>
      </c>
      <c r="F91" s="497">
        <f>_xlfn.XLOOKUP(Table411[[#This Row],[HASBEL_ID]],Logfile!Y:Y,Logfile!X:X,"",0,-1)</f>
        <v>0</v>
      </c>
      <c r="G91" s="492"/>
      <c r="H91" s="493"/>
      <c r="I91" s="484"/>
      <c r="J91" s="494">
        <f t="shared" si="12"/>
        <v>3000</v>
      </c>
      <c r="K91" s="484"/>
      <c r="L91" s="484"/>
      <c r="M91" s="484"/>
      <c r="N91" s="494">
        <f t="shared" si="9"/>
        <v>3000</v>
      </c>
      <c r="O91" s="484"/>
      <c r="P91" s="484"/>
      <c r="Q91" s="484"/>
      <c r="R91" s="486">
        <f t="shared" si="10"/>
        <v>3000</v>
      </c>
      <c r="S91" s="487"/>
      <c r="T91" s="487"/>
      <c r="U91" s="487"/>
      <c r="V91" s="488">
        <f t="shared" si="11"/>
        <v>3000</v>
      </c>
      <c r="W91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91" s="489" t="str">
        <f>Table411[[#This Row],[date out4]]&amp;"_"&amp;Table411[[#This Row],[Core]]&amp;"_"&amp;Table411[[#This Row],[leftover4]]</f>
        <v>_ADSS 48C_3000</v>
      </c>
      <c r="Y91" s="489" t="str">
        <f>IF(Table411[[#This Row],[Date Inbound]]&gt;Table411[[#This Row],[date1]],"INV","")</f>
        <v>INV</v>
      </c>
      <c r="Z91" s="525" t="str">
        <f>_xlfn.IFNA(VLOOKUP(Table411[[#This Row],[HASBEL_ID]],Logfile!Y:Y,1,0),VLOOKUP(Table411[[#This Row],[HASBEL_ID]],LO_Logfile!Z:Z,1,0))</f>
        <v>H-ADSS 48C-20241126-01</v>
      </c>
    </row>
    <row r="92" spans="1:26" ht="14" hidden="1">
      <c r="A92" s="489" t="str">
        <f>"H-"&amp;B92&amp;"-"&amp;YEAR(C92)&amp;MONTH(Table411[[#This Row],[Date Inbound]])&amp;DAY(Table411[[#This Row],[Date Inbound]])&amp;"-0"&amp;D92</f>
        <v>H-ADSS 48C-20241126-02</v>
      </c>
      <c r="B92" s="382" t="s">
        <v>3075</v>
      </c>
      <c r="C92" s="383">
        <v>45622</v>
      </c>
      <c r="D92" s="491">
        <v>2</v>
      </c>
      <c r="E92" s="497">
        <v>3000</v>
      </c>
      <c r="F92" s="497">
        <f>_xlfn.XLOOKUP(Table411[[#This Row],[HASBEL_ID]],Logfile!Y:Y,Logfile!X:X,"",0,-1)</f>
        <v>0</v>
      </c>
      <c r="G92" s="492"/>
      <c r="H92" s="493"/>
      <c r="I92" s="484"/>
      <c r="J92" s="494">
        <f t="shared" si="12"/>
        <v>3000</v>
      </c>
      <c r="K92" s="484"/>
      <c r="L92" s="484"/>
      <c r="M92" s="484"/>
      <c r="N92" s="494">
        <f t="shared" si="9"/>
        <v>3000</v>
      </c>
      <c r="O92" s="484"/>
      <c r="P92" s="484"/>
      <c r="Q92" s="484"/>
      <c r="R92" s="486">
        <f t="shared" si="10"/>
        <v>3000</v>
      </c>
      <c r="S92" s="487"/>
      <c r="T92" s="487"/>
      <c r="U92" s="487"/>
      <c r="V92" s="488">
        <f t="shared" si="11"/>
        <v>3000</v>
      </c>
      <c r="W92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92" s="489" t="str">
        <f>Table411[[#This Row],[date out4]]&amp;"_"&amp;Table411[[#This Row],[Core]]&amp;"_"&amp;Table411[[#This Row],[leftover4]]</f>
        <v>_ADSS 48C_3000</v>
      </c>
      <c r="Y92" s="489" t="str">
        <f>IF(Table411[[#This Row],[Date Inbound]]&gt;Table411[[#This Row],[date1]],"INV","")</f>
        <v>INV</v>
      </c>
      <c r="Z92" s="525" t="str">
        <f>_xlfn.IFNA(VLOOKUP(Table411[[#This Row],[HASBEL_ID]],Logfile!Y:Y,1,0),VLOOKUP(Table411[[#This Row],[HASBEL_ID]],LO_Logfile!Z:Z,1,0))</f>
        <v>H-ADSS 48C-20241126-02</v>
      </c>
    </row>
    <row r="93" spans="1:26" ht="14" hidden="1">
      <c r="A93" s="489" t="str">
        <f>"H-"&amp;B93&amp;"-"&amp;YEAR(C93)&amp;MONTH(Table411[[#This Row],[Date Inbound]])&amp;DAY(Table411[[#This Row],[Date Inbound]])&amp;"-0"&amp;D93</f>
        <v>H-ADSS 24C-20241216-01</v>
      </c>
      <c r="B93" s="382" t="s">
        <v>3073</v>
      </c>
      <c r="C93" s="485">
        <v>45642</v>
      </c>
      <c r="D93" s="491">
        <v>1</v>
      </c>
      <c r="E93" s="497">
        <v>3000</v>
      </c>
      <c r="F93" s="497">
        <f>_xlfn.XLOOKUP(Table411[[#This Row],[HASBEL_ID]],Logfile!Y:Y,Logfile!X:X,"",0,-1)</f>
        <v>0</v>
      </c>
      <c r="G93" s="492"/>
      <c r="H93" s="493"/>
      <c r="I93" s="484"/>
      <c r="J93" s="494">
        <f t="shared" si="12"/>
        <v>3000</v>
      </c>
      <c r="K93" s="484"/>
      <c r="L93" s="484"/>
      <c r="M93" s="484"/>
      <c r="N93" s="494">
        <f t="shared" si="9"/>
        <v>3000</v>
      </c>
      <c r="O93" s="484"/>
      <c r="P93" s="484"/>
      <c r="Q93" s="484"/>
      <c r="R93" s="486">
        <f t="shared" si="10"/>
        <v>3000</v>
      </c>
      <c r="S93" s="487"/>
      <c r="T93" s="487"/>
      <c r="U93" s="487"/>
      <c r="V93" s="488">
        <f t="shared" si="11"/>
        <v>3000</v>
      </c>
      <c r="W93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93" s="489" t="str">
        <f>Table411[[#This Row],[date out4]]&amp;"_"&amp;Table411[[#This Row],[Core]]&amp;"_"&amp;Table411[[#This Row],[leftover4]]</f>
        <v>_ADSS 24C_3000</v>
      </c>
      <c r="Y93" s="489" t="str">
        <f>IF(Table411[[#This Row],[Date Inbound]]&gt;Table411[[#This Row],[date1]],"INV","")</f>
        <v>INV</v>
      </c>
      <c r="Z93" s="525" t="str">
        <f>_xlfn.IFNA(VLOOKUP(Table411[[#This Row],[HASBEL_ID]],Logfile!Y:Y,1,0),VLOOKUP(Table411[[#This Row],[HASBEL_ID]],LO_Logfile!Z:Z,1,0))</f>
        <v>H-ADSS 24C-20241216-01</v>
      </c>
    </row>
    <row r="94" spans="1:26" ht="14" hidden="1">
      <c r="A94" s="489" t="str">
        <f>"H-"&amp;B94&amp;"-"&amp;YEAR(C94)&amp;MONTH(Table411[[#This Row],[Date Inbound]])&amp;DAY(Table411[[#This Row],[Date Inbound]])&amp;"-0"&amp;D94</f>
        <v>H-ADSS 24C-20241216-02</v>
      </c>
      <c r="B94" s="382" t="s">
        <v>3073</v>
      </c>
      <c r="C94" s="485">
        <v>45642</v>
      </c>
      <c r="D94" s="491">
        <v>2</v>
      </c>
      <c r="E94" s="497">
        <v>3000</v>
      </c>
      <c r="F94" s="497">
        <f>_xlfn.XLOOKUP(Table411[[#This Row],[HASBEL_ID]],Logfile!Y:Y,Logfile!X:X,"",0,-1)</f>
        <v>0</v>
      </c>
      <c r="G94" s="492"/>
      <c r="H94" s="493"/>
      <c r="I94" s="484"/>
      <c r="J94" s="494">
        <f t="shared" si="12"/>
        <v>3000</v>
      </c>
      <c r="K94" s="484"/>
      <c r="L94" s="484"/>
      <c r="M94" s="484"/>
      <c r="N94" s="494">
        <f t="shared" si="9"/>
        <v>3000</v>
      </c>
      <c r="O94" s="484"/>
      <c r="P94" s="484"/>
      <c r="Q94" s="484"/>
      <c r="R94" s="486">
        <f t="shared" si="10"/>
        <v>3000</v>
      </c>
      <c r="S94" s="487"/>
      <c r="T94" s="487"/>
      <c r="U94" s="487"/>
      <c r="V94" s="488">
        <f t="shared" si="11"/>
        <v>3000</v>
      </c>
      <c r="W94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94" s="489" t="str">
        <f>Table411[[#This Row],[date out4]]&amp;"_"&amp;Table411[[#This Row],[Core]]&amp;"_"&amp;Table411[[#This Row],[leftover4]]</f>
        <v>_ADSS 24C_3000</v>
      </c>
      <c r="Y94" s="489" t="str">
        <f>IF(Table411[[#This Row],[Date Inbound]]&gt;Table411[[#This Row],[date1]],"INV","")</f>
        <v>INV</v>
      </c>
      <c r="Z94" s="525" t="str">
        <f>_xlfn.IFNA(VLOOKUP(Table411[[#This Row],[HASBEL_ID]],Logfile!Y:Y,1,0),VLOOKUP(Table411[[#This Row],[HASBEL_ID]],LO_Logfile!Z:Z,1,0))</f>
        <v>H-ADSS 24C-20241216-02</v>
      </c>
    </row>
    <row r="95" spans="1:26" ht="14" hidden="1">
      <c r="A95" s="489" t="str">
        <f>"H-"&amp;B95&amp;"-"&amp;YEAR(C95)&amp;MONTH(Table411[[#This Row],[Date Inbound]])&amp;DAY(Table411[[#This Row],[Date Inbound]])&amp;"-0"&amp;D95</f>
        <v>H-ADSS 24C-202525-01</v>
      </c>
      <c r="B95" s="490" t="s">
        <v>3073</v>
      </c>
      <c r="C95" s="383">
        <v>45693</v>
      </c>
      <c r="D95" s="491">
        <v>1</v>
      </c>
      <c r="E95" s="503">
        <v>3000</v>
      </c>
      <c r="F95" s="503">
        <f>_xlfn.XLOOKUP(Table411[[#This Row],[HASBEL_ID]],Logfile!Y:Y,Logfile!X:X,"",0,-1)</f>
        <v>0</v>
      </c>
      <c r="G95" s="492"/>
      <c r="H95" s="493"/>
      <c r="I95" s="484"/>
      <c r="J95" s="494">
        <f t="shared" si="12"/>
        <v>3000</v>
      </c>
      <c r="K95" s="484"/>
      <c r="L95" s="484"/>
      <c r="M95" s="484"/>
      <c r="N95" s="494">
        <f t="shared" si="9"/>
        <v>3000</v>
      </c>
      <c r="O95" s="484"/>
      <c r="P95" s="484"/>
      <c r="Q95" s="484"/>
      <c r="R95" s="486">
        <f t="shared" si="10"/>
        <v>3000</v>
      </c>
      <c r="S95" s="487"/>
      <c r="T95" s="487"/>
      <c r="U95" s="487"/>
      <c r="V95" s="488">
        <f t="shared" si="11"/>
        <v>3000</v>
      </c>
      <c r="W95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95" s="489" t="str">
        <f>Table411[[#This Row],[date out4]]&amp;"_"&amp;Table411[[#This Row],[Core]]&amp;"_"&amp;Table411[[#This Row],[leftover4]]</f>
        <v>_ADSS 24C_3000</v>
      </c>
      <c r="Y95" s="489" t="str">
        <f>IF(Table411[[#This Row],[Date Inbound]]&gt;Table411[[#This Row],[date1]],"INV","")</f>
        <v>INV</v>
      </c>
      <c r="Z95" s="525" t="str">
        <f>_xlfn.IFNA(VLOOKUP(Table411[[#This Row],[HASBEL_ID]],Logfile!Y:Y,1,0),VLOOKUP(Table411[[#This Row],[HASBEL_ID]],LO_Logfile!Z:Z,1,0))</f>
        <v>H-ADSS 24C-202525-01</v>
      </c>
    </row>
    <row r="96" spans="1:26" ht="14" hidden="1">
      <c r="A96" s="489" t="str">
        <f>"H-"&amp;B96&amp;"-"&amp;YEAR(C96)&amp;MONTH(Table411[[#This Row],[Date Inbound]])&amp;DAY(Table411[[#This Row],[Date Inbound]])&amp;"-0"&amp;D96</f>
        <v>H-ADSS 24C-2025219-01</v>
      </c>
      <c r="B96" s="490" t="s">
        <v>3073</v>
      </c>
      <c r="C96" s="383">
        <v>45707</v>
      </c>
      <c r="D96" s="491">
        <v>1</v>
      </c>
      <c r="E96" s="503">
        <v>3000</v>
      </c>
      <c r="F96" s="503" t="str">
        <f>_xlfn.XLOOKUP(Table411[[#This Row],[HASBEL_ID]],Logfile!Y:Y,Logfile!X:X,"",0,-1)</f>
        <v/>
      </c>
      <c r="G96" s="492"/>
      <c r="H96" s="493"/>
      <c r="I96" s="484"/>
      <c r="J96" s="494">
        <f t="shared" si="12"/>
        <v>3000</v>
      </c>
      <c r="K96" s="484"/>
      <c r="L96" s="484"/>
      <c r="M96" s="484"/>
      <c r="N96" s="494">
        <f t="shared" si="9"/>
        <v>3000</v>
      </c>
      <c r="O96" s="484"/>
      <c r="P96" s="484"/>
      <c r="Q96" s="484"/>
      <c r="R96" s="486">
        <f t="shared" si="10"/>
        <v>3000</v>
      </c>
      <c r="S96" s="487"/>
      <c r="T96" s="487"/>
      <c r="U96" s="487"/>
      <c r="V96" s="488">
        <f t="shared" si="11"/>
        <v>3000</v>
      </c>
      <c r="W96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96" s="489" t="str">
        <f>Table411[[#This Row],[date out4]]&amp;"_"&amp;Table411[[#This Row],[Core]]&amp;"_"&amp;Table411[[#This Row],[leftover4]]</f>
        <v>_ADSS 24C_3000</v>
      </c>
      <c r="Y96" s="489" t="str">
        <f>IF(Table411[[#This Row],[Date Inbound]]&gt;Table411[[#This Row],[date1]],"INV","")</f>
        <v>INV</v>
      </c>
      <c r="Z96" s="525" t="e">
        <f>_xlfn.IFNA(VLOOKUP(Table411[[#This Row],[HASBEL_ID]],Logfile!Y:Y,1,0),VLOOKUP(Table411[[#This Row],[HASBEL_ID]],LO_Logfile!Z:Z,1,0))</f>
        <v>#N/A</v>
      </c>
    </row>
    <row r="97" spans="1:26" ht="14" hidden="1">
      <c r="A97" s="489" t="str">
        <f>"H-"&amp;B97&amp;"-"&amp;YEAR(C97)&amp;MONTH(Table411[[#This Row],[Date Inbound]])&amp;DAY(Table411[[#This Row],[Date Inbound]])&amp;"-0"&amp;D97</f>
        <v>H-ADSS 48C-2025219-01</v>
      </c>
      <c r="B97" s="490" t="s">
        <v>3075</v>
      </c>
      <c r="C97" s="383">
        <v>45707</v>
      </c>
      <c r="D97" s="491">
        <v>1</v>
      </c>
      <c r="E97" s="497">
        <v>3000</v>
      </c>
      <c r="F97" s="497" t="str">
        <f>_xlfn.XLOOKUP(Table411[[#This Row],[HASBEL_ID]],Logfile!Y:Y,Logfile!X:X,"",0,-1)</f>
        <v/>
      </c>
      <c r="G97" s="492"/>
      <c r="H97" s="493"/>
      <c r="I97" s="484"/>
      <c r="J97" s="494">
        <f t="shared" si="12"/>
        <v>3000</v>
      </c>
      <c r="K97" s="484"/>
      <c r="L97" s="484"/>
      <c r="M97" s="484"/>
      <c r="N97" s="494">
        <f t="shared" si="9"/>
        <v>3000</v>
      </c>
      <c r="O97" s="484"/>
      <c r="P97" s="484"/>
      <c r="Q97" s="484"/>
      <c r="R97" s="486">
        <f t="shared" si="10"/>
        <v>3000</v>
      </c>
      <c r="S97" s="487"/>
      <c r="T97" s="487"/>
      <c r="U97" s="487"/>
      <c r="V97" s="488">
        <f t="shared" si="11"/>
        <v>3000</v>
      </c>
      <c r="W97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97" s="489" t="str">
        <f>Table411[[#This Row],[date out4]]&amp;"_"&amp;Table411[[#This Row],[Core]]&amp;"_"&amp;Table411[[#This Row],[leftover4]]</f>
        <v>_ADSS 48C_3000</v>
      </c>
      <c r="Y97" s="489" t="str">
        <f>IF(Table411[[#This Row],[Date Inbound]]&gt;Table411[[#This Row],[date1]],"INV","")</f>
        <v>INV</v>
      </c>
      <c r="Z97" s="525" t="e">
        <f>_xlfn.IFNA(VLOOKUP(Table411[[#This Row],[HASBEL_ID]],Logfile!Y:Y,1,0),VLOOKUP(Table411[[#This Row],[HASBEL_ID]],LO_Logfile!Z:Z,1,0))</f>
        <v>#N/A</v>
      </c>
    </row>
    <row r="98" spans="1:26" ht="14" hidden="1">
      <c r="A98" s="489" t="str">
        <f>"H-"&amp;B98&amp;"-"&amp;YEAR(C98)&amp;MONTH(Table411[[#This Row],[Date Inbound]])&amp;DAY(Table411[[#This Row],[Date Inbound]])&amp;"-0"&amp;D98</f>
        <v>H-ADSS 24C-2025612-01</v>
      </c>
      <c r="B98" s="490" t="s">
        <v>3073</v>
      </c>
      <c r="C98" s="383">
        <v>45820</v>
      </c>
      <c r="D98" s="491">
        <v>1</v>
      </c>
      <c r="E98" s="503">
        <v>3000</v>
      </c>
      <c r="F98" s="503" t="str">
        <f>_xlfn.XLOOKUP(Table411[[#This Row],[HASBEL_ID]],Logfile!Y:Y,Logfile!X:X,"",0,-1)</f>
        <v/>
      </c>
      <c r="G98" s="492"/>
      <c r="H98" s="493"/>
      <c r="I98" s="484"/>
      <c r="J98" s="494">
        <f t="shared" si="12"/>
        <v>3000</v>
      </c>
      <c r="K98" s="484"/>
      <c r="L98" s="484"/>
      <c r="M98" s="484"/>
      <c r="N98" s="494">
        <f t="shared" si="9"/>
        <v>3000</v>
      </c>
      <c r="O98" s="484"/>
      <c r="P98" s="484"/>
      <c r="Q98" s="484"/>
      <c r="R98" s="486">
        <f t="shared" si="10"/>
        <v>3000</v>
      </c>
      <c r="S98" s="487"/>
      <c r="T98" s="487"/>
      <c r="U98" s="487"/>
      <c r="V98" s="488">
        <f t="shared" si="11"/>
        <v>3000</v>
      </c>
      <c r="W98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98" s="489" t="str">
        <f>Table411[[#This Row],[date out4]]&amp;"_"&amp;Table411[[#This Row],[Core]]&amp;"_"&amp;Table411[[#This Row],[leftover4]]</f>
        <v>_ADSS 24C_3000</v>
      </c>
      <c r="Y98" s="489" t="str">
        <f>IF(Table411[[#This Row],[Date Inbound]]&gt;Table411[[#This Row],[date1]],"INV","")</f>
        <v>INV</v>
      </c>
      <c r="Z98" s="525" t="e">
        <f>_xlfn.IFNA(VLOOKUP(Table411[[#This Row],[HASBEL_ID]],Logfile!Y:Y,1,0),VLOOKUP(Table411[[#This Row],[HASBEL_ID]],LO_Logfile!Z:Z,1,0))</f>
        <v>#N/A</v>
      </c>
    </row>
    <row r="99" spans="1:26" ht="14" hidden="1">
      <c r="A99" s="489" t="str">
        <f>"H-"&amp;B99&amp;"-"&amp;YEAR(C99)&amp;MONTH(Table411[[#This Row],[Date Inbound]])&amp;DAY(Table411[[#This Row],[Date Inbound]])&amp;"-0"&amp;D99</f>
        <v>H-ADSS 24C-2025612-02</v>
      </c>
      <c r="B99" s="490" t="s">
        <v>3073</v>
      </c>
      <c r="C99" s="383">
        <v>45820</v>
      </c>
      <c r="D99" s="491">
        <v>2</v>
      </c>
      <c r="E99" s="503">
        <v>3000</v>
      </c>
      <c r="F99" s="503" t="str">
        <f>_xlfn.XLOOKUP(Table411[[#This Row],[HASBEL_ID]],Logfile!Y:Y,Logfile!X:X,"",0,-1)</f>
        <v/>
      </c>
      <c r="G99" s="492"/>
      <c r="H99" s="493"/>
      <c r="I99" s="484"/>
      <c r="J99" s="494">
        <f t="shared" si="12"/>
        <v>3000</v>
      </c>
      <c r="K99" s="484"/>
      <c r="L99" s="484"/>
      <c r="M99" s="484"/>
      <c r="N99" s="494">
        <f t="shared" ref="N99:N130" si="13">J99-L99</f>
        <v>3000</v>
      </c>
      <c r="O99" s="484"/>
      <c r="P99" s="484"/>
      <c r="Q99" s="484"/>
      <c r="R99" s="486">
        <f t="shared" ref="R99:R130" si="14">N99-P99</f>
        <v>3000</v>
      </c>
      <c r="S99" s="487"/>
      <c r="T99" s="487"/>
      <c r="U99" s="487"/>
      <c r="V99" s="488">
        <f t="shared" ref="V99:V130" si="15">R99-T99</f>
        <v>3000</v>
      </c>
      <c r="W99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99" s="489" t="str">
        <f>Table411[[#This Row],[date out4]]&amp;"_"&amp;Table411[[#This Row],[Core]]&amp;"_"&amp;Table411[[#This Row],[leftover4]]</f>
        <v>_ADSS 24C_3000</v>
      </c>
      <c r="Y99" s="489" t="str">
        <f>IF(Table411[[#This Row],[Date Inbound]]&gt;Table411[[#This Row],[date1]],"INV","")</f>
        <v>INV</v>
      </c>
      <c r="Z99" s="525" t="e">
        <f>_xlfn.IFNA(VLOOKUP(Table411[[#This Row],[HASBEL_ID]],Logfile!Y:Y,1,0),VLOOKUP(Table411[[#This Row],[HASBEL_ID]],LO_Logfile!Z:Z,1,0))</f>
        <v>#N/A</v>
      </c>
    </row>
    <row r="100" spans="1:26" ht="14" hidden="1">
      <c r="A100" s="489" t="str">
        <f>"H-"&amp;B100&amp;"-"&amp;YEAR(C100)&amp;MONTH(Table411[[#This Row],[Date Inbound]])&amp;DAY(Table411[[#This Row],[Date Inbound]])&amp;"-0"&amp;D100</f>
        <v>H-ADSS 24C-2025612-03</v>
      </c>
      <c r="B100" s="490" t="s">
        <v>3073</v>
      </c>
      <c r="C100" s="383">
        <v>45820</v>
      </c>
      <c r="D100" s="491">
        <v>3</v>
      </c>
      <c r="E100" s="503">
        <v>3000</v>
      </c>
      <c r="F100" s="503" t="str">
        <f>_xlfn.XLOOKUP(Table411[[#This Row],[HASBEL_ID]],Logfile!Y:Y,Logfile!X:X,"",0,-1)</f>
        <v/>
      </c>
      <c r="G100" s="492"/>
      <c r="H100" s="493"/>
      <c r="I100" s="484"/>
      <c r="J100" s="494">
        <f t="shared" si="12"/>
        <v>3000</v>
      </c>
      <c r="K100" s="484"/>
      <c r="L100" s="484"/>
      <c r="M100" s="484"/>
      <c r="N100" s="494">
        <f t="shared" si="13"/>
        <v>3000</v>
      </c>
      <c r="O100" s="484"/>
      <c r="P100" s="484"/>
      <c r="Q100" s="484"/>
      <c r="R100" s="486">
        <f t="shared" si="14"/>
        <v>3000</v>
      </c>
      <c r="S100" s="487"/>
      <c r="T100" s="487"/>
      <c r="U100" s="487"/>
      <c r="V100" s="488">
        <f t="shared" si="15"/>
        <v>3000</v>
      </c>
      <c r="W100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00" s="489" t="str">
        <f>Table411[[#This Row],[date out4]]&amp;"_"&amp;Table411[[#This Row],[Core]]&amp;"_"&amp;Table411[[#This Row],[leftover4]]</f>
        <v>_ADSS 24C_3000</v>
      </c>
      <c r="Y100" s="489" t="str">
        <f>IF(Table411[[#This Row],[Date Inbound]]&gt;Table411[[#This Row],[date1]],"INV","")</f>
        <v>INV</v>
      </c>
      <c r="Z100" s="525" t="e">
        <f>_xlfn.IFNA(VLOOKUP(Table411[[#This Row],[HASBEL_ID]],Logfile!Y:Y,1,0),VLOOKUP(Table411[[#This Row],[HASBEL_ID]],LO_Logfile!Z:Z,1,0))</f>
        <v>#N/A</v>
      </c>
    </row>
    <row r="101" spans="1:26" ht="14" hidden="1">
      <c r="A101" s="489" t="str">
        <f>"H-"&amp;B101&amp;"-"&amp;YEAR(C101)&amp;MONTH(Table411[[#This Row],[Date Inbound]])&amp;DAY(Table411[[#This Row],[Date Inbound]])&amp;"-0"&amp;D101</f>
        <v>H-ADSS 48C-2025612-01</v>
      </c>
      <c r="B101" s="490" t="s">
        <v>3075</v>
      </c>
      <c r="C101" s="383">
        <v>45820</v>
      </c>
      <c r="D101" s="491">
        <v>1</v>
      </c>
      <c r="E101" s="497">
        <v>3000</v>
      </c>
      <c r="F101" s="497" t="str">
        <f>_xlfn.XLOOKUP(Table411[[#This Row],[HASBEL_ID]],Logfile!Y:Y,Logfile!X:X,"",0,-1)</f>
        <v/>
      </c>
      <c r="G101" s="492"/>
      <c r="H101" s="493"/>
      <c r="I101" s="484"/>
      <c r="J101" s="494">
        <f t="shared" si="12"/>
        <v>3000</v>
      </c>
      <c r="K101" s="484"/>
      <c r="L101" s="484"/>
      <c r="M101" s="484"/>
      <c r="N101" s="494">
        <f t="shared" si="13"/>
        <v>3000</v>
      </c>
      <c r="O101" s="484"/>
      <c r="P101" s="484"/>
      <c r="Q101" s="484"/>
      <c r="R101" s="486">
        <f t="shared" si="14"/>
        <v>3000</v>
      </c>
      <c r="S101" s="487"/>
      <c r="T101" s="487"/>
      <c r="U101" s="487"/>
      <c r="V101" s="488">
        <f t="shared" si="15"/>
        <v>3000</v>
      </c>
      <c r="W101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101" s="489" t="str">
        <f>Table411[[#This Row],[date out4]]&amp;"_"&amp;Table411[[#This Row],[Core]]&amp;"_"&amp;Table411[[#This Row],[leftover4]]</f>
        <v>_ADSS 48C_3000</v>
      </c>
      <c r="Y101" s="489" t="str">
        <f>IF(Table411[[#This Row],[Date Inbound]]&gt;Table411[[#This Row],[date1]],"INV","")</f>
        <v>INV</v>
      </c>
      <c r="Z101" s="525" t="e">
        <f>_xlfn.IFNA(VLOOKUP(Table411[[#This Row],[HASBEL_ID]],Logfile!Y:Y,1,0),VLOOKUP(Table411[[#This Row],[HASBEL_ID]],LO_Logfile!Z:Z,1,0))</f>
        <v>#N/A</v>
      </c>
    </row>
    <row r="102" spans="1:26" ht="14" hidden="1">
      <c r="A102" s="489" t="str">
        <f>"H-"&amp;B102&amp;"-"&amp;YEAR(C102)&amp;MONTH(Table411[[#This Row],[Date Inbound]])&amp;DAY(Table411[[#This Row],[Date Inbound]])&amp;"-0"&amp;D102</f>
        <v>H-ADSS 48C-2025612-02</v>
      </c>
      <c r="B102" s="490" t="s">
        <v>3075</v>
      </c>
      <c r="C102" s="383">
        <v>45820</v>
      </c>
      <c r="D102" s="491">
        <v>2</v>
      </c>
      <c r="E102" s="497">
        <v>3000</v>
      </c>
      <c r="F102" s="497" t="str">
        <f>_xlfn.XLOOKUP(Table411[[#This Row],[HASBEL_ID]],Logfile!Y:Y,Logfile!X:X,"",0,-1)</f>
        <v/>
      </c>
      <c r="G102" s="492"/>
      <c r="H102" s="493"/>
      <c r="I102" s="484"/>
      <c r="J102" s="494">
        <f t="shared" si="12"/>
        <v>3000</v>
      </c>
      <c r="K102" s="484"/>
      <c r="L102" s="484"/>
      <c r="M102" s="484"/>
      <c r="N102" s="494">
        <f t="shared" si="13"/>
        <v>3000</v>
      </c>
      <c r="O102" s="484"/>
      <c r="P102" s="484"/>
      <c r="Q102" s="484"/>
      <c r="R102" s="486">
        <f t="shared" si="14"/>
        <v>3000</v>
      </c>
      <c r="S102" s="487"/>
      <c r="T102" s="487"/>
      <c r="U102" s="487"/>
      <c r="V102" s="488">
        <f t="shared" si="15"/>
        <v>3000</v>
      </c>
      <c r="W102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102" s="489" t="str">
        <f>Table411[[#This Row],[date out4]]&amp;"_"&amp;Table411[[#This Row],[Core]]&amp;"_"&amp;Table411[[#This Row],[leftover4]]</f>
        <v>_ADSS 48C_3000</v>
      </c>
      <c r="Y102" s="489" t="str">
        <f>IF(Table411[[#This Row],[Date Inbound]]&gt;Table411[[#This Row],[date1]],"INV","")</f>
        <v>INV</v>
      </c>
      <c r="Z102" s="525" t="e">
        <f>_xlfn.IFNA(VLOOKUP(Table411[[#This Row],[HASBEL_ID]],Logfile!Y:Y,1,0),VLOOKUP(Table411[[#This Row],[HASBEL_ID]],LO_Logfile!Z:Z,1,0))</f>
        <v>#N/A</v>
      </c>
    </row>
    <row r="103" spans="1:26" ht="14" hidden="1">
      <c r="A103" s="489" t="str">
        <f>"H-"&amp;B103&amp;"-"&amp;YEAR(C103)&amp;MONTH(Table411[[#This Row],[Date Inbound]])&amp;DAY(Table411[[#This Row],[Date Inbound]])&amp;"-0"&amp;D103</f>
        <v>H-ADSS 48C-2025612-03</v>
      </c>
      <c r="B103" s="490" t="s">
        <v>3075</v>
      </c>
      <c r="C103" s="383">
        <v>45820</v>
      </c>
      <c r="D103" s="491">
        <v>3</v>
      </c>
      <c r="E103" s="497">
        <v>1019</v>
      </c>
      <c r="F103" s="497" t="str">
        <f>_xlfn.XLOOKUP(Table411[[#This Row],[HASBEL_ID]],Logfile!Y:Y,Logfile!X:X,"",0,-1)</f>
        <v/>
      </c>
      <c r="G103" s="492"/>
      <c r="H103" s="493"/>
      <c r="I103" s="484"/>
      <c r="J103" s="494">
        <f t="shared" si="12"/>
        <v>1019</v>
      </c>
      <c r="K103" s="484"/>
      <c r="L103" s="484"/>
      <c r="M103" s="484"/>
      <c r="N103" s="494">
        <f t="shared" si="13"/>
        <v>1019</v>
      </c>
      <c r="O103" s="484"/>
      <c r="P103" s="484"/>
      <c r="Q103" s="484"/>
      <c r="R103" s="486">
        <f t="shared" si="14"/>
        <v>1019</v>
      </c>
      <c r="S103" s="487"/>
      <c r="T103" s="487"/>
      <c r="U103" s="487"/>
      <c r="V103" s="488">
        <f t="shared" si="15"/>
        <v>1019</v>
      </c>
      <c r="W103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48C_1019</v>
      </c>
      <c r="X103" s="489" t="str">
        <f>Table411[[#This Row],[date out4]]&amp;"_"&amp;Table411[[#This Row],[Core]]&amp;"_"&amp;Table411[[#This Row],[leftover4]]</f>
        <v>_ADSS 48C_1019</v>
      </c>
      <c r="Y103" s="489" t="str">
        <f>IF(Table411[[#This Row],[Date Inbound]]&gt;Table411[[#This Row],[date1]],"INV","")</f>
        <v>INV</v>
      </c>
      <c r="Z103" s="525" t="e">
        <f>_xlfn.IFNA(VLOOKUP(Table411[[#This Row],[HASBEL_ID]],Logfile!Y:Y,1,0),VLOOKUP(Table411[[#This Row],[HASBEL_ID]],LO_Logfile!Z:Z,1,0))</f>
        <v>#N/A</v>
      </c>
    </row>
    <row r="104" spans="1:26" ht="14" hidden="1">
      <c r="A104" s="489" t="str">
        <f>"H-"&amp;B104&amp;"-"&amp;YEAR(C104)&amp;MONTH(Table411[[#This Row],[Date Inbound]])&amp;DAY(Table411[[#This Row],[Date Inbound]])&amp;"-0"&amp;D104</f>
        <v>H-ADSS 48C-2025617-01</v>
      </c>
      <c r="B104" s="490" t="s">
        <v>3075</v>
      </c>
      <c r="C104" s="383">
        <v>45825</v>
      </c>
      <c r="D104" s="491">
        <v>1</v>
      </c>
      <c r="E104" s="497">
        <v>3000</v>
      </c>
      <c r="F104" s="497" t="str">
        <f>_xlfn.XLOOKUP(Table411[[#This Row],[HASBEL_ID]],Logfile!Y:Y,Logfile!X:X,"",0,-1)</f>
        <v/>
      </c>
      <c r="G104" s="492"/>
      <c r="H104" s="493"/>
      <c r="I104" s="484"/>
      <c r="J104" s="494">
        <f t="shared" si="12"/>
        <v>3000</v>
      </c>
      <c r="K104" s="484"/>
      <c r="L104" s="484"/>
      <c r="M104" s="484"/>
      <c r="N104" s="494">
        <f t="shared" si="13"/>
        <v>3000</v>
      </c>
      <c r="O104" s="484"/>
      <c r="P104" s="484"/>
      <c r="Q104" s="484"/>
      <c r="R104" s="486">
        <f t="shared" si="14"/>
        <v>3000</v>
      </c>
      <c r="S104" s="487"/>
      <c r="T104" s="487"/>
      <c r="U104" s="487"/>
      <c r="V104" s="488">
        <f t="shared" si="15"/>
        <v>3000</v>
      </c>
      <c r="W104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104" s="489" t="str">
        <f>Table411[[#This Row],[date out4]]&amp;"_"&amp;Table411[[#This Row],[Core]]&amp;"_"&amp;Table411[[#This Row],[leftover4]]</f>
        <v>_ADSS 48C_3000</v>
      </c>
      <c r="Y104" s="489" t="str">
        <f>IF(Table411[[#This Row],[Date Inbound]]&gt;Table411[[#This Row],[date1]],"INV","")</f>
        <v>INV</v>
      </c>
      <c r="Z104" s="525" t="e">
        <f>_xlfn.IFNA(VLOOKUP(Table411[[#This Row],[HASBEL_ID]],Logfile!Y:Y,1,0),VLOOKUP(Table411[[#This Row],[HASBEL_ID]],LO_Logfile!Z:Z,1,0))</f>
        <v>#N/A</v>
      </c>
    </row>
    <row r="105" spans="1:26" ht="14" hidden="1">
      <c r="A105" s="489" t="str">
        <f>"H-"&amp;B105&amp;"-"&amp;YEAR(C105)&amp;MONTH(Table411[[#This Row],[Date Inbound]])&amp;DAY(Table411[[#This Row],[Date Inbound]])&amp;"-0"&amp;D105</f>
        <v>H-ADSS 48C-2025617-02</v>
      </c>
      <c r="B105" s="490" t="s">
        <v>3075</v>
      </c>
      <c r="C105" s="383">
        <v>45825</v>
      </c>
      <c r="D105" s="491">
        <v>2</v>
      </c>
      <c r="E105" s="497">
        <v>3000</v>
      </c>
      <c r="F105" s="497" t="str">
        <f>_xlfn.XLOOKUP(Table411[[#This Row],[HASBEL_ID]],Logfile!Y:Y,Logfile!X:X,"",0,-1)</f>
        <v/>
      </c>
      <c r="G105" s="492"/>
      <c r="H105" s="493"/>
      <c r="I105" s="484"/>
      <c r="J105" s="494">
        <f t="shared" si="12"/>
        <v>3000</v>
      </c>
      <c r="K105" s="484"/>
      <c r="L105" s="484"/>
      <c r="M105" s="484"/>
      <c r="N105" s="494">
        <f t="shared" si="13"/>
        <v>3000</v>
      </c>
      <c r="O105" s="484"/>
      <c r="P105" s="484"/>
      <c r="Q105" s="484"/>
      <c r="R105" s="486">
        <f t="shared" si="14"/>
        <v>3000</v>
      </c>
      <c r="S105" s="487"/>
      <c r="T105" s="487"/>
      <c r="U105" s="487"/>
      <c r="V105" s="488">
        <f t="shared" si="15"/>
        <v>3000</v>
      </c>
      <c r="W105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105" s="489" t="str">
        <f>Table411[[#This Row],[date out4]]&amp;"_"&amp;Table411[[#This Row],[Core]]&amp;"_"&amp;Table411[[#This Row],[leftover4]]</f>
        <v>_ADSS 48C_3000</v>
      </c>
      <c r="Y105" s="489" t="str">
        <f>IF(Table411[[#This Row],[Date Inbound]]&gt;Table411[[#This Row],[date1]],"INV","")</f>
        <v>INV</v>
      </c>
      <c r="Z105" s="525" t="e">
        <f>_xlfn.IFNA(VLOOKUP(Table411[[#This Row],[HASBEL_ID]],Logfile!Y:Y,1,0),VLOOKUP(Table411[[#This Row],[HASBEL_ID]],LO_Logfile!Z:Z,1,0))</f>
        <v>#N/A</v>
      </c>
    </row>
    <row r="106" spans="1:26" ht="14" hidden="1">
      <c r="A106" s="489" t="str">
        <f>"H-"&amp;B106&amp;"-"&amp;YEAR(C106)&amp;MONTH(Table411[[#This Row],[Date Inbound]])&amp;DAY(Table411[[#This Row],[Date Inbound]])&amp;"-0"&amp;D106</f>
        <v>H-ADSS 48C-2025712-01</v>
      </c>
      <c r="B106" s="490" t="s">
        <v>3075</v>
      </c>
      <c r="C106" s="383">
        <v>45850</v>
      </c>
      <c r="D106" s="491">
        <v>1</v>
      </c>
      <c r="E106" s="497">
        <v>3000</v>
      </c>
      <c r="F106" s="497">
        <f>_xlfn.XLOOKUP(Table411[[#This Row],[HASBEL_ID]],Logfile!Y:Y,Logfile!X:X,"",0,-1)</f>
        <v>0</v>
      </c>
      <c r="G106" s="492"/>
      <c r="H106" s="493"/>
      <c r="I106" s="484"/>
      <c r="J106" s="494">
        <f t="shared" si="12"/>
        <v>3000</v>
      </c>
      <c r="K106" s="484"/>
      <c r="L106" s="484"/>
      <c r="M106" s="484"/>
      <c r="N106" s="494">
        <f t="shared" si="13"/>
        <v>3000</v>
      </c>
      <c r="O106" s="484"/>
      <c r="P106" s="484"/>
      <c r="Q106" s="484"/>
      <c r="R106" s="486">
        <f t="shared" si="14"/>
        <v>3000</v>
      </c>
      <c r="S106" s="487"/>
      <c r="T106" s="487"/>
      <c r="U106" s="487"/>
      <c r="V106" s="488">
        <f t="shared" si="15"/>
        <v>3000</v>
      </c>
      <c r="W106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106" s="489" t="str">
        <f>Table411[[#This Row],[date out4]]&amp;"_"&amp;Table411[[#This Row],[Core]]&amp;"_"&amp;Table411[[#This Row],[leftover4]]</f>
        <v>_ADSS 48C_3000</v>
      </c>
      <c r="Y106" s="489" t="str">
        <f>IF(Table411[[#This Row],[Date Inbound]]&gt;Table411[[#This Row],[date1]],"INV","")</f>
        <v>INV</v>
      </c>
      <c r="Z106" s="525" t="str">
        <f>_xlfn.IFNA(VLOOKUP(Table411[[#This Row],[HASBEL_ID]],Logfile!Y:Y,1,0),VLOOKUP(Table411[[#This Row],[HASBEL_ID]],LO_Logfile!Z:Z,1,0))</f>
        <v>H-ADSS 48C-2025712-01</v>
      </c>
    </row>
    <row r="107" spans="1:26" ht="14" hidden="1">
      <c r="A107" s="489" t="str">
        <f>"H-"&amp;B107&amp;"-"&amp;YEAR(C107)&amp;MONTH(Table411[[#This Row],[Date Inbound]])&amp;DAY(Table411[[#This Row],[Date Inbound]])&amp;"-0"&amp;D107</f>
        <v>H-ADSS 48C-2025712-02</v>
      </c>
      <c r="B107" s="490" t="s">
        <v>3075</v>
      </c>
      <c r="C107" s="383">
        <v>45850</v>
      </c>
      <c r="D107" s="491">
        <v>2</v>
      </c>
      <c r="E107" s="497">
        <v>3000</v>
      </c>
      <c r="F107" s="497">
        <f>_xlfn.XLOOKUP(Table411[[#This Row],[HASBEL_ID]],Logfile!Y:Y,Logfile!X:X,"",0,-1)</f>
        <v>0</v>
      </c>
      <c r="G107" s="492"/>
      <c r="H107" s="493"/>
      <c r="I107" s="484"/>
      <c r="J107" s="494">
        <f t="shared" si="12"/>
        <v>3000</v>
      </c>
      <c r="K107" s="484"/>
      <c r="L107" s="484"/>
      <c r="M107" s="484"/>
      <c r="N107" s="494">
        <f t="shared" si="13"/>
        <v>3000</v>
      </c>
      <c r="O107" s="484"/>
      <c r="P107" s="484"/>
      <c r="Q107" s="484"/>
      <c r="R107" s="486">
        <f t="shared" si="14"/>
        <v>3000</v>
      </c>
      <c r="S107" s="487"/>
      <c r="T107" s="487"/>
      <c r="U107" s="487"/>
      <c r="V107" s="488">
        <f t="shared" si="15"/>
        <v>3000</v>
      </c>
      <c r="W107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107" s="489" t="str">
        <f>Table411[[#This Row],[date out4]]&amp;"_"&amp;Table411[[#This Row],[Core]]&amp;"_"&amp;Table411[[#This Row],[leftover4]]</f>
        <v>_ADSS 48C_3000</v>
      </c>
      <c r="Y107" s="489" t="str">
        <f>IF(Table411[[#This Row],[Date Inbound]]&gt;Table411[[#This Row],[date1]],"INV","")</f>
        <v>INV</v>
      </c>
      <c r="Z107" s="525" t="str">
        <f>_xlfn.IFNA(VLOOKUP(Table411[[#This Row],[HASBEL_ID]],Logfile!Y:Y,1,0),VLOOKUP(Table411[[#This Row],[HASBEL_ID]],LO_Logfile!Z:Z,1,0))</f>
        <v>H-ADSS 48C-2025712-02</v>
      </c>
    </row>
    <row r="108" spans="1:26" ht="14" hidden="1">
      <c r="A108" s="489" t="str">
        <f>"H-"&amp;B108&amp;"-"&amp;YEAR(C108)&amp;MONTH(Table411[[#This Row],[Date Inbound]])&amp;DAY(Table411[[#This Row],[Date Inbound]])&amp;"-0"&amp;D108</f>
        <v>H-ADSS 48C-2025712-03</v>
      </c>
      <c r="B108" s="490" t="s">
        <v>3075</v>
      </c>
      <c r="C108" s="383">
        <v>45850</v>
      </c>
      <c r="D108" s="491">
        <v>3</v>
      </c>
      <c r="E108" s="497">
        <v>3000</v>
      </c>
      <c r="F108" s="497">
        <f>_xlfn.XLOOKUP(Table411[[#This Row],[HASBEL_ID]],Logfile!Y:Y,Logfile!X:X,"",0,-1)</f>
        <v>0</v>
      </c>
      <c r="G108" s="492"/>
      <c r="H108" s="493"/>
      <c r="I108" s="484"/>
      <c r="J108" s="494">
        <f t="shared" si="12"/>
        <v>3000</v>
      </c>
      <c r="K108" s="484"/>
      <c r="L108" s="484"/>
      <c r="M108" s="484"/>
      <c r="N108" s="494">
        <f t="shared" si="13"/>
        <v>3000</v>
      </c>
      <c r="O108" s="484"/>
      <c r="P108" s="484"/>
      <c r="Q108" s="484"/>
      <c r="R108" s="486">
        <f t="shared" si="14"/>
        <v>3000</v>
      </c>
      <c r="S108" s="487"/>
      <c r="T108" s="487"/>
      <c r="U108" s="487"/>
      <c r="V108" s="488">
        <f t="shared" si="15"/>
        <v>3000</v>
      </c>
      <c r="W108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108" s="489" t="str">
        <f>Table411[[#This Row],[date out4]]&amp;"_"&amp;Table411[[#This Row],[Core]]&amp;"_"&amp;Table411[[#This Row],[leftover4]]</f>
        <v>_ADSS 48C_3000</v>
      </c>
      <c r="Y108" s="489" t="str">
        <f>IF(Table411[[#This Row],[Date Inbound]]&gt;Table411[[#This Row],[date1]],"INV","")</f>
        <v>INV</v>
      </c>
      <c r="Z108" s="525" t="str">
        <f>_xlfn.IFNA(VLOOKUP(Table411[[#This Row],[HASBEL_ID]],Logfile!Y:Y,1,0),VLOOKUP(Table411[[#This Row],[HASBEL_ID]],LO_Logfile!Z:Z,1,0))</f>
        <v>H-ADSS 48C-2025712-03</v>
      </c>
    </row>
    <row r="109" spans="1:26" ht="14" hidden="1">
      <c r="A109" s="489" t="str">
        <f>"H-"&amp;B109&amp;"-"&amp;YEAR(C109)&amp;MONTH(Table411[[#This Row],[Date Inbound]])&amp;DAY(Table411[[#This Row],[Date Inbound]])&amp;"-0"&amp;D109</f>
        <v>H-ADSS 24C-202586-01</v>
      </c>
      <c r="B109" s="490" t="s">
        <v>3073</v>
      </c>
      <c r="C109" s="383">
        <v>45875</v>
      </c>
      <c r="D109" s="491">
        <v>1</v>
      </c>
      <c r="E109" s="503">
        <v>1440</v>
      </c>
      <c r="F109" s="503">
        <f>_xlfn.XLOOKUP(Table411[[#This Row],[HASBEL_ID]],Logfile!Y:Y,Logfile!X:X,"",0,-1)</f>
        <v>0</v>
      </c>
      <c r="G109" s="492"/>
      <c r="H109" s="493"/>
      <c r="I109" s="484"/>
      <c r="J109" s="494">
        <f t="shared" ref="J109:J139" si="16">E109-H109</f>
        <v>1440</v>
      </c>
      <c r="K109" s="484"/>
      <c r="L109" s="484"/>
      <c r="M109" s="484"/>
      <c r="N109" s="494">
        <f t="shared" si="13"/>
        <v>1440</v>
      </c>
      <c r="O109" s="484"/>
      <c r="P109" s="484"/>
      <c r="Q109" s="484"/>
      <c r="R109" s="486">
        <f t="shared" si="14"/>
        <v>1440</v>
      </c>
      <c r="S109" s="487"/>
      <c r="T109" s="487"/>
      <c r="U109" s="487"/>
      <c r="V109" s="488">
        <f t="shared" si="15"/>
        <v>1440</v>
      </c>
      <c r="W109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24C_1440</v>
      </c>
      <c r="X109" s="489" t="str">
        <f>Table411[[#This Row],[date out4]]&amp;"_"&amp;Table411[[#This Row],[Core]]&amp;"_"&amp;Table411[[#This Row],[leftover4]]</f>
        <v>_ADSS 24C_1440</v>
      </c>
      <c r="Y109" s="489" t="str">
        <f>IF(Table411[[#This Row],[Date Inbound]]&gt;Table411[[#This Row],[date1]],"INV","")</f>
        <v>INV</v>
      </c>
      <c r="Z109" s="525" t="str">
        <f>_xlfn.IFNA(VLOOKUP(Table411[[#This Row],[HASBEL_ID]],Logfile!Y:Y,1,0),VLOOKUP(Table411[[#This Row],[HASBEL_ID]],LO_Logfile!Z:Z,1,0))</f>
        <v>H-ADSS 24C-202586-01</v>
      </c>
    </row>
    <row r="110" spans="1:26" ht="14" hidden="1">
      <c r="A110" s="489" t="str">
        <f>"H-"&amp;B110&amp;"-"&amp;YEAR(C110)&amp;MONTH(Table411[[#This Row],[Date Inbound]])&amp;DAY(Table411[[#This Row],[Date Inbound]])&amp;"-0"&amp;D110</f>
        <v>H-ADSS 24C-202586-02</v>
      </c>
      <c r="B110" s="490" t="s">
        <v>3073</v>
      </c>
      <c r="C110" s="383">
        <v>45875</v>
      </c>
      <c r="D110" s="491">
        <v>2</v>
      </c>
      <c r="E110" s="503">
        <v>3000</v>
      </c>
      <c r="F110" s="503">
        <f>_xlfn.XLOOKUP(Table411[[#This Row],[HASBEL_ID]],Logfile!Y:Y,Logfile!X:X,"",0,-1)</f>
        <v>0</v>
      </c>
      <c r="G110" s="492"/>
      <c r="H110" s="493"/>
      <c r="I110" s="484"/>
      <c r="J110" s="494">
        <f t="shared" si="16"/>
        <v>3000</v>
      </c>
      <c r="K110" s="484"/>
      <c r="L110" s="484"/>
      <c r="M110" s="484"/>
      <c r="N110" s="494">
        <f t="shared" si="13"/>
        <v>3000</v>
      </c>
      <c r="O110" s="484"/>
      <c r="P110" s="484"/>
      <c r="Q110" s="484"/>
      <c r="R110" s="486">
        <f t="shared" si="14"/>
        <v>3000</v>
      </c>
      <c r="S110" s="487"/>
      <c r="T110" s="487"/>
      <c r="U110" s="487"/>
      <c r="V110" s="488">
        <f t="shared" si="15"/>
        <v>3000</v>
      </c>
      <c r="W110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10" s="489" t="str">
        <f>Table411[[#This Row],[date out4]]&amp;"_"&amp;Table411[[#This Row],[Core]]&amp;"_"&amp;Table411[[#This Row],[leftover4]]</f>
        <v>_ADSS 24C_3000</v>
      </c>
      <c r="Y110" s="489" t="str">
        <f>IF(Table411[[#This Row],[Date Inbound]]&gt;Table411[[#This Row],[date1]],"INV","")</f>
        <v>INV</v>
      </c>
      <c r="Z110" s="525" t="str">
        <f>_xlfn.IFNA(VLOOKUP(Table411[[#This Row],[HASBEL_ID]],Logfile!Y:Y,1,0),VLOOKUP(Table411[[#This Row],[HASBEL_ID]],LO_Logfile!Z:Z,1,0))</f>
        <v>H-ADSS 24C-202586-02</v>
      </c>
    </row>
    <row r="111" spans="1:26" ht="14" hidden="1">
      <c r="A111" s="489" t="str">
        <f>"H-"&amp;B111&amp;"-"&amp;YEAR(C111)&amp;MONTH(Table411[[#This Row],[Date Inbound]])&amp;DAY(Table411[[#This Row],[Date Inbound]])&amp;"-0"&amp;D111</f>
        <v>H-ADSS 48C-2025819-01</v>
      </c>
      <c r="B111" s="490" t="s">
        <v>3075</v>
      </c>
      <c r="C111" s="383">
        <v>45888</v>
      </c>
      <c r="D111" s="491">
        <v>1</v>
      </c>
      <c r="E111" s="497">
        <v>3000</v>
      </c>
      <c r="F111" s="497">
        <f>_xlfn.XLOOKUP(Table411[[#This Row],[HASBEL_ID]],Logfile!Y:Y,Logfile!X:X,"",0,-1)</f>
        <v>0</v>
      </c>
      <c r="G111" s="492"/>
      <c r="H111" s="493"/>
      <c r="I111" s="484"/>
      <c r="J111" s="494">
        <f t="shared" si="16"/>
        <v>3000</v>
      </c>
      <c r="K111" s="484"/>
      <c r="L111" s="484"/>
      <c r="M111" s="484"/>
      <c r="N111" s="494">
        <f t="shared" si="13"/>
        <v>3000</v>
      </c>
      <c r="O111" s="484"/>
      <c r="P111" s="484"/>
      <c r="Q111" s="484"/>
      <c r="R111" s="486">
        <f t="shared" si="14"/>
        <v>3000</v>
      </c>
      <c r="S111" s="487"/>
      <c r="T111" s="487"/>
      <c r="U111" s="487"/>
      <c r="V111" s="488">
        <f t="shared" si="15"/>
        <v>3000</v>
      </c>
      <c r="W111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111" s="489" t="str">
        <f>Table411[[#This Row],[date out4]]&amp;"_"&amp;Table411[[#This Row],[Core]]&amp;"_"&amp;Table411[[#This Row],[leftover4]]</f>
        <v>_ADSS 48C_3000</v>
      </c>
      <c r="Y111" s="489" t="str">
        <f>IF(Table411[[#This Row],[Date Inbound]]&gt;Table411[[#This Row],[date1]],"INV","")</f>
        <v>INV</v>
      </c>
      <c r="Z111" s="525" t="str">
        <f>_xlfn.IFNA(VLOOKUP(Table411[[#This Row],[HASBEL_ID]],Logfile!Y:Y,1,0),VLOOKUP(Table411[[#This Row],[HASBEL_ID]],LO_Logfile!Z:Z,1,0))</f>
        <v>H-ADSS 48C-2025819-01</v>
      </c>
    </row>
    <row r="112" spans="1:26" ht="14" hidden="1">
      <c r="A112" s="489" t="str">
        <f>"H-"&amp;B112&amp;"-"&amp;YEAR(C112)&amp;MONTH(Table411[[#This Row],[Date Inbound]])&amp;DAY(Table411[[#This Row],[Date Inbound]])&amp;"-0"&amp;D112</f>
        <v>H-ADSS 24C-2025827-01</v>
      </c>
      <c r="B112" s="490" t="s">
        <v>3073</v>
      </c>
      <c r="C112" s="383">
        <v>45896</v>
      </c>
      <c r="D112" s="491">
        <v>1</v>
      </c>
      <c r="E112" s="503">
        <v>3000</v>
      </c>
      <c r="F112" s="503" t="str">
        <f>_xlfn.XLOOKUP(Table411[[#This Row],[HASBEL_ID]],Logfile!Y:Y,Logfile!X:X,"",0,-1)</f>
        <v/>
      </c>
      <c r="G112" s="492"/>
      <c r="H112" s="493"/>
      <c r="I112" s="484"/>
      <c r="J112" s="494">
        <f t="shared" si="16"/>
        <v>3000</v>
      </c>
      <c r="K112" s="484"/>
      <c r="L112" s="484"/>
      <c r="M112" s="484"/>
      <c r="N112" s="494">
        <f t="shared" si="13"/>
        <v>3000</v>
      </c>
      <c r="O112" s="484"/>
      <c r="P112" s="484"/>
      <c r="Q112" s="484"/>
      <c r="R112" s="486">
        <f t="shared" si="14"/>
        <v>3000</v>
      </c>
      <c r="S112" s="487"/>
      <c r="T112" s="487"/>
      <c r="U112" s="487"/>
      <c r="V112" s="488">
        <f t="shared" si="15"/>
        <v>3000</v>
      </c>
      <c r="W112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12" s="489" t="str">
        <f>Table411[[#This Row],[date out4]]&amp;"_"&amp;Table411[[#This Row],[Core]]&amp;"_"&amp;Table411[[#This Row],[leftover4]]</f>
        <v>_ADSS 24C_3000</v>
      </c>
      <c r="Y112" s="489" t="str">
        <f>IF(Table411[[#This Row],[Date Inbound]]&gt;Table411[[#This Row],[date1]],"INV","")</f>
        <v>INV</v>
      </c>
      <c r="Z112" s="525" t="e">
        <f>_xlfn.IFNA(VLOOKUP(Table411[[#This Row],[HASBEL_ID]],Logfile!Y:Y,1,0),VLOOKUP(Table411[[#This Row],[HASBEL_ID]],LO_Logfile!Z:Z,1,0))</f>
        <v>#N/A</v>
      </c>
    </row>
    <row r="113" spans="1:26" ht="14" hidden="1">
      <c r="A113" s="489" t="str">
        <f>"H-"&amp;B113&amp;"-"&amp;YEAR(C113)&amp;MONTH(Table411[[#This Row],[Date Inbound]])&amp;DAY(Table411[[#This Row],[Date Inbound]])&amp;"-0"&amp;D113</f>
        <v>H-ADSS 24C-2025827-02</v>
      </c>
      <c r="B113" s="490" t="s">
        <v>3073</v>
      </c>
      <c r="C113" s="383">
        <v>45896</v>
      </c>
      <c r="D113" s="491">
        <v>2</v>
      </c>
      <c r="E113" s="503">
        <v>3000</v>
      </c>
      <c r="F113" s="503" t="str">
        <f>_xlfn.XLOOKUP(Table411[[#This Row],[HASBEL_ID]],Logfile!Y:Y,Logfile!X:X,"",0,-1)</f>
        <v/>
      </c>
      <c r="G113" s="492"/>
      <c r="H113" s="493"/>
      <c r="I113" s="484"/>
      <c r="J113" s="494">
        <f t="shared" si="16"/>
        <v>3000</v>
      </c>
      <c r="K113" s="484"/>
      <c r="L113" s="484"/>
      <c r="M113" s="484"/>
      <c r="N113" s="494">
        <f t="shared" si="13"/>
        <v>3000</v>
      </c>
      <c r="O113" s="484"/>
      <c r="P113" s="484"/>
      <c r="Q113" s="484"/>
      <c r="R113" s="486">
        <f t="shared" si="14"/>
        <v>3000</v>
      </c>
      <c r="S113" s="487"/>
      <c r="T113" s="487"/>
      <c r="U113" s="487"/>
      <c r="V113" s="488">
        <f t="shared" si="15"/>
        <v>3000</v>
      </c>
      <c r="W113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13" s="489" t="str">
        <f>Table411[[#This Row],[date out4]]&amp;"_"&amp;Table411[[#This Row],[Core]]&amp;"_"&amp;Table411[[#This Row],[leftover4]]</f>
        <v>_ADSS 24C_3000</v>
      </c>
      <c r="Y113" s="489" t="str">
        <f>IF(Table411[[#This Row],[Date Inbound]]&gt;Table411[[#This Row],[date1]],"INV","")</f>
        <v>INV</v>
      </c>
      <c r="Z113" s="525" t="e">
        <f>_xlfn.IFNA(VLOOKUP(Table411[[#This Row],[HASBEL_ID]],Logfile!Y:Y,1,0),VLOOKUP(Table411[[#This Row],[HASBEL_ID]],LO_Logfile!Z:Z,1,0))</f>
        <v>#N/A</v>
      </c>
    </row>
    <row r="114" spans="1:26" ht="14" hidden="1">
      <c r="A114" s="489" t="str">
        <f>"H-"&amp;B114&amp;"-"&amp;YEAR(C114)&amp;MONTH(Table411[[#This Row],[Date Inbound]])&amp;DAY(Table411[[#This Row],[Date Inbound]])&amp;"-0"&amp;D114</f>
        <v>H-ADSS 24C-20251025-01</v>
      </c>
      <c r="B114" s="490" t="s">
        <v>3073</v>
      </c>
      <c r="C114" s="383">
        <v>45955</v>
      </c>
      <c r="D114" s="491">
        <v>1</v>
      </c>
      <c r="E114" s="503">
        <v>3000</v>
      </c>
      <c r="F114" s="503">
        <f>_xlfn.XLOOKUP(Table411[[#This Row],[HASBEL_ID]],Logfile!Y:Y,Logfile!X:X,"",0,-1)</f>
        <v>0</v>
      </c>
      <c r="G114" s="492"/>
      <c r="H114" s="493"/>
      <c r="I114" s="484"/>
      <c r="J114" s="494">
        <f t="shared" si="16"/>
        <v>3000</v>
      </c>
      <c r="K114" s="484"/>
      <c r="L114" s="484"/>
      <c r="M114" s="484"/>
      <c r="N114" s="494">
        <f t="shared" si="13"/>
        <v>3000</v>
      </c>
      <c r="O114" s="484"/>
      <c r="P114" s="484"/>
      <c r="Q114" s="484"/>
      <c r="R114" s="486">
        <f t="shared" si="14"/>
        <v>3000</v>
      </c>
      <c r="S114" s="487"/>
      <c r="T114" s="487"/>
      <c r="U114" s="487"/>
      <c r="V114" s="488">
        <f t="shared" si="15"/>
        <v>3000</v>
      </c>
      <c r="W114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14" s="489" t="str">
        <f>Table411[[#This Row],[date out4]]&amp;"_"&amp;Table411[[#This Row],[Core]]&amp;"_"&amp;Table411[[#This Row],[leftover4]]</f>
        <v>_ADSS 24C_3000</v>
      </c>
      <c r="Y114" s="489" t="str">
        <f>IF(Table411[[#This Row],[Date Inbound]]&gt;Table411[[#This Row],[date1]],"INV","")</f>
        <v>INV</v>
      </c>
      <c r="Z114" s="525" t="str">
        <f>_xlfn.IFNA(VLOOKUP(Table411[[#This Row],[HASBEL_ID]],Logfile!Y:Y,1,0),VLOOKUP(Table411[[#This Row],[HASBEL_ID]],LO_Logfile!Z:Z,1,0))</f>
        <v>H-ADSS 24C-20251025-01</v>
      </c>
    </row>
    <row r="115" spans="1:26" ht="14" hidden="1">
      <c r="A115" s="489" t="str">
        <f>"H-"&amp;B115&amp;"-"&amp;YEAR(C115)&amp;MONTH(Table411[[#This Row],[Date Inbound]])&amp;DAY(Table411[[#This Row],[Date Inbound]])&amp;"-0"&amp;D115</f>
        <v>H-ADSS 24C-20251025-02</v>
      </c>
      <c r="B115" s="490" t="s">
        <v>3073</v>
      </c>
      <c r="C115" s="383">
        <v>45955</v>
      </c>
      <c r="D115" s="491">
        <v>2</v>
      </c>
      <c r="E115" s="503">
        <v>3000</v>
      </c>
      <c r="F115" s="503">
        <f>_xlfn.XLOOKUP(Table411[[#This Row],[HASBEL_ID]],Logfile!Y:Y,Logfile!X:X,"",0,-1)</f>
        <v>0</v>
      </c>
      <c r="G115" s="492"/>
      <c r="H115" s="493"/>
      <c r="I115" s="484"/>
      <c r="J115" s="494">
        <f t="shared" si="16"/>
        <v>3000</v>
      </c>
      <c r="K115" s="484"/>
      <c r="L115" s="484"/>
      <c r="M115" s="484"/>
      <c r="N115" s="494">
        <f t="shared" si="13"/>
        <v>3000</v>
      </c>
      <c r="O115" s="484"/>
      <c r="P115" s="484"/>
      <c r="Q115" s="484"/>
      <c r="R115" s="486">
        <f t="shared" si="14"/>
        <v>3000</v>
      </c>
      <c r="S115" s="487"/>
      <c r="T115" s="487"/>
      <c r="U115" s="487"/>
      <c r="V115" s="488">
        <f t="shared" si="15"/>
        <v>3000</v>
      </c>
      <c r="W115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15" s="489" t="str">
        <f>Table411[[#This Row],[date out4]]&amp;"_"&amp;Table411[[#This Row],[Core]]&amp;"_"&amp;Table411[[#This Row],[leftover4]]</f>
        <v>_ADSS 24C_3000</v>
      </c>
      <c r="Y115" s="489" t="str">
        <f>IF(Table411[[#This Row],[Date Inbound]]&gt;Table411[[#This Row],[date1]],"INV","")</f>
        <v>INV</v>
      </c>
      <c r="Z115" s="525" t="str">
        <f>_xlfn.IFNA(VLOOKUP(Table411[[#This Row],[HASBEL_ID]],Logfile!Y:Y,1,0),VLOOKUP(Table411[[#This Row],[HASBEL_ID]],LO_Logfile!Z:Z,1,0))</f>
        <v>H-ADSS 24C-20251025-02</v>
      </c>
    </row>
    <row r="116" spans="1:26" ht="14" hidden="1">
      <c r="A116" s="489" t="str">
        <f>"H-"&amp;B116&amp;"-"&amp;YEAR(C116)&amp;MONTH(Table411[[#This Row],[Date Inbound]])&amp;DAY(Table411[[#This Row],[Date Inbound]])&amp;"-0"&amp;D116</f>
        <v>H-ADSS 36C-20251025-01</v>
      </c>
      <c r="B116" s="490" t="s">
        <v>3074</v>
      </c>
      <c r="C116" s="383">
        <v>45955</v>
      </c>
      <c r="D116" s="491">
        <v>1</v>
      </c>
      <c r="E116" s="503">
        <v>3000</v>
      </c>
      <c r="F116" s="503">
        <f>_xlfn.XLOOKUP(Table411[[#This Row],[HASBEL_ID]],Logfile!Y:Y,Logfile!X:X,"",0,-1)</f>
        <v>0</v>
      </c>
      <c r="G116" s="492"/>
      <c r="H116" s="493"/>
      <c r="I116" s="484"/>
      <c r="J116" s="494">
        <f t="shared" si="16"/>
        <v>3000</v>
      </c>
      <c r="K116" s="484"/>
      <c r="L116" s="484"/>
      <c r="M116" s="484"/>
      <c r="N116" s="494">
        <f t="shared" si="13"/>
        <v>3000</v>
      </c>
      <c r="O116" s="484"/>
      <c r="P116" s="484"/>
      <c r="Q116" s="484"/>
      <c r="R116" s="486">
        <f t="shared" si="14"/>
        <v>3000</v>
      </c>
      <c r="S116" s="487"/>
      <c r="T116" s="487"/>
      <c r="U116" s="487"/>
      <c r="V116" s="488">
        <f t="shared" si="15"/>
        <v>3000</v>
      </c>
      <c r="W116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36C_3000</v>
      </c>
      <c r="X116" s="489" t="str">
        <f>Table411[[#This Row],[date out4]]&amp;"_"&amp;Table411[[#This Row],[Core]]&amp;"_"&amp;Table411[[#This Row],[leftover4]]</f>
        <v>_ADSS 36C_3000</v>
      </c>
      <c r="Y116" s="489" t="str">
        <f>IF(Table411[[#This Row],[Date Inbound]]&gt;Table411[[#This Row],[date1]],"INV","")</f>
        <v>INV</v>
      </c>
      <c r="Z116" s="525" t="str">
        <f>_xlfn.IFNA(VLOOKUP(Table411[[#This Row],[HASBEL_ID]],Logfile!Y:Y,1,0),VLOOKUP(Table411[[#This Row],[HASBEL_ID]],LO_Logfile!Z:Z,1,0))</f>
        <v>H-ADSS 36C-20251025-01</v>
      </c>
    </row>
    <row r="117" spans="1:26" ht="14" hidden="1">
      <c r="A117" s="489" t="str">
        <f>"H-"&amp;B117&amp;"-"&amp;YEAR(C117)&amp;MONTH(Table411[[#This Row],[Date Inbound]])&amp;DAY(Table411[[#This Row],[Date Inbound]])&amp;"-0"&amp;D117</f>
        <v>H-ADSS 48C-20251025-01</v>
      </c>
      <c r="B117" s="490" t="s">
        <v>3075</v>
      </c>
      <c r="C117" s="383">
        <v>45955</v>
      </c>
      <c r="D117" s="491">
        <v>1</v>
      </c>
      <c r="E117" s="497">
        <v>3000</v>
      </c>
      <c r="F117" s="497">
        <f>_xlfn.XLOOKUP(Table411[[#This Row],[HASBEL_ID]],Logfile!Y:Y,Logfile!X:X,"",0,-1)</f>
        <v>0</v>
      </c>
      <c r="G117" s="492"/>
      <c r="H117" s="493"/>
      <c r="I117" s="484"/>
      <c r="J117" s="494">
        <f t="shared" si="16"/>
        <v>3000</v>
      </c>
      <c r="K117" s="484"/>
      <c r="L117" s="484"/>
      <c r="M117" s="484"/>
      <c r="N117" s="494">
        <f t="shared" si="13"/>
        <v>3000</v>
      </c>
      <c r="O117" s="484"/>
      <c r="P117" s="484"/>
      <c r="Q117" s="484"/>
      <c r="R117" s="486">
        <f t="shared" si="14"/>
        <v>3000</v>
      </c>
      <c r="S117" s="487"/>
      <c r="T117" s="487"/>
      <c r="U117" s="487"/>
      <c r="V117" s="488">
        <f t="shared" si="15"/>
        <v>3000</v>
      </c>
      <c r="W117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48C_3000</v>
      </c>
      <c r="X117" s="489" t="str">
        <f>Table411[[#This Row],[date out4]]&amp;"_"&amp;Table411[[#This Row],[Core]]&amp;"_"&amp;Table411[[#This Row],[leftover4]]</f>
        <v>_ADSS 48C_3000</v>
      </c>
      <c r="Y117" s="489" t="str">
        <f>IF(Table411[[#This Row],[Date Inbound]]&gt;Table411[[#This Row],[date1]],"INV","")</f>
        <v>INV</v>
      </c>
      <c r="Z117" s="525" t="str">
        <f>_xlfn.IFNA(VLOOKUP(Table411[[#This Row],[HASBEL_ID]],Logfile!Y:Y,1,0),VLOOKUP(Table411[[#This Row],[HASBEL_ID]],LO_Logfile!Z:Z,1,0))</f>
        <v>H-ADSS 48C-20251025-01</v>
      </c>
    </row>
    <row r="118" spans="1:26" ht="14" hidden="1">
      <c r="A118" s="489" t="str">
        <f>"H-"&amp;B118&amp;"-"&amp;YEAR(C118)&amp;MONTH(Table411[[#This Row],[Date Inbound]])&amp;DAY(Table411[[#This Row],[Date Inbound]])&amp;"-0"&amp;D118</f>
        <v>H-ADSS 24C-20251120-01</v>
      </c>
      <c r="B118" s="490" t="s">
        <v>3073</v>
      </c>
      <c r="C118" s="383">
        <v>45981</v>
      </c>
      <c r="D118" s="491">
        <v>1</v>
      </c>
      <c r="E118" s="503">
        <v>3000</v>
      </c>
      <c r="F118" s="503" t="str">
        <f>_xlfn.XLOOKUP(Table411[[#This Row],[HASBEL_ID]],Logfile!Y:Y,Logfile!X:X,"",0,-1)</f>
        <v/>
      </c>
      <c r="G118" s="492"/>
      <c r="H118" s="493"/>
      <c r="I118" s="484"/>
      <c r="J118" s="494">
        <f t="shared" si="16"/>
        <v>3000</v>
      </c>
      <c r="K118" s="484"/>
      <c r="L118" s="484"/>
      <c r="M118" s="484"/>
      <c r="N118" s="494">
        <f t="shared" si="13"/>
        <v>3000</v>
      </c>
      <c r="O118" s="484"/>
      <c r="P118" s="484"/>
      <c r="Q118" s="484"/>
      <c r="R118" s="486">
        <f t="shared" si="14"/>
        <v>3000</v>
      </c>
      <c r="S118" s="487"/>
      <c r="T118" s="487"/>
      <c r="U118" s="487"/>
      <c r="V118" s="488">
        <f t="shared" si="15"/>
        <v>3000</v>
      </c>
      <c r="W118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18" s="489" t="str">
        <f>Table411[[#This Row],[date out4]]&amp;"_"&amp;Table411[[#This Row],[Core]]&amp;"_"&amp;Table411[[#This Row],[leftover4]]</f>
        <v>_ADSS 24C_3000</v>
      </c>
      <c r="Y118" s="489" t="str">
        <f>IF(Table411[[#This Row],[Date Inbound]]&gt;Table411[[#This Row],[date1]],"INV","")</f>
        <v>INV</v>
      </c>
      <c r="Z118" s="525" t="e">
        <f>_xlfn.IFNA(VLOOKUP(Table411[[#This Row],[HASBEL_ID]],Logfile!Y:Y,1,0),VLOOKUP(Table411[[#This Row],[HASBEL_ID]],LO_Logfile!Z:Z,1,0))</f>
        <v>#N/A</v>
      </c>
    </row>
    <row r="119" spans="1:26" ht="14" hidden="1">
      <c r="A119" s="489" t="str">
        <f>"H-"&amp;B119&amp;"-"&amp;YEAR(C119)&amp;MONTH(Table411[[#This Row],[Date Inbound]])&amp;DAY(Table411[[#This Row],[Date Inbound]])&amp;"-0"&amp;D119</f>
        <v>H-ADSS 24C-20251212-01</v>
      </c>
      <c r="B119" s="490" t="s">
        <v>3073</v>
      </c>
      <c r="C119" s="383">
        <v>46003</v>
      </c>
      <c r="D119" s="491">
        <v>1</v>
      </c>
      <c r="E119" s="503">
        <v>3000</v>
      </c>
      <c r="F119" s="503">
        <f>_xlfn.XLOOKUP(Table411[[#This Row],[HASBEL_ID]],Logfile!Y:Y,Logfile!X:X,"",0,-1)</f>
        <v>0</v>
      </c>
      <c r="G119" s="492"/>
      <c r="H119" s="493"/>
      <c r="I119" s="484"/>
      <c r="J119" s="494">
        <f t="shared" si="16"/>
        <v>3000</v>
      </c>
      <c r="K119" s="484"/>
      <c r="L119" s="484"/>
      <c r="M119" s="484"/>
      <c r="N119" s="494">
        <f t="shared" si="13"/>
        <v>3000</v>
      </c>
      <c r="O119" s="484"/>
      <c r="P119" s="484"/>
      <c r="Q119" s="484"/>
      <c r="R119" s="486">
        <f t="shared" si="14"/>
        <v>3000</v>
      </c>
      <c r="S119" s="487"/>
      <c r="T119" s="487"/>
      <c r="U119" s="487"/>
      <c r="V119" s="488">
        <f t="shared" si="15"/>
        <v>3000</v>
      </c>
      <c r="W119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19" s="489" t="str">
        <f>Table411[[#This Row],[date out4]]&amp;"_"&amp;Table411[[#This Row],[Core]]&amp;"_"&amp;Table411[[#This Row],[leftover4]]</f>
        <v>_ADSS 24C_3000</v>
      </c>
      <c r="Y119" s="489" t="str">
        <f>IF(Table411[[#This Row],[Date Inbound]]&gt;Table411[[#This Row],[date1]],"INV","")</f>
        <v>INV</v>
      </c>
      <c r="Z119" s="525" t="str">
        <f>_xlfn.IFNA(VLOOKUP(Table411[[#This Row],[HASBEL_ID]],Logfile!Y:Y,1,0),VLOOKUP(Table411[[#This Row],[HASBEL_ID]],LO_Logfile!Z:Z,1,0))</f>
        <v>H-ADSS 24C-20251212-01</v>
      </c>
    </row>
    <row r="120" spans="1:26" ht="14" hidden="1">
      <c r="A120" s="489" t="str">
        <f>"H-"&amp;B120&amp;"-"&amp;YEAR(C120)&amp;MONTH(Table411[[#This Row],[Date Inbound]])&amp;DAY(Table411[[#This Row],[Date Inbound]])&amp;"-0"&amp;D120</f>
        <v>H-ADSS 24C-20251212-02</v>
      </c>
      <c r="B120" s="490" t="s">
        <v>3073</v>
      </c>
      <c r="C120" s="383">
        <v>46003</v>
      </c>
      <c r="D120" s="491">
        <v>2</v>
      </c>
      <c r="E120" s="503">
        <v>3000</v>
      </c>
      <c r="F120" s="503">
        <f>_xlfn.XLOOKUP(Table411[[#This Row],[HASBEL_ID]],Logfile!Y:Y,Logfile!X:X,"",0,-1)</f>
        <v>0</v>
      </c>
      <c r="G120" s="492"/>
      <c r="H120" s="493"/>
      <c r="I120" s="484"/>
      <c r="J120" s="494">
        <f t="shared" si="16"/>
        <v>3000</v>
      </c>
      <c r="K120" s="484"/>
      <c r="L120" s="484"/>
      <c r="M120" s="484"/>
      <c r="N120" s="494">
        <f t="shared" si="13"/>
        <v>3000</v>
      </c>
      <c r="O120" s="484"/>
      <c r="P120" s="484"/>
      <c r="Q120" s="484"/>
      <c r="R120" s="486">
        <f t="shared" si="14"/>
        <v>3000</v>
      </c>
      <c r="S120" s="487"/>
      <c r="T120" s="487"/>
      <c r="U120" s="487"/>
      <c r="V120" s="488">
        <f t="shared" si="15"/>
        <v>3000</v>
      </c>
      <c r="W120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20" s="489" t="str">
        <f>Table411[[#This Row],[date out4]]&amp;"_"&amp;Table411[[#This Row],[Core]]&amp;"_"&amp;Table411[[#This Row],[leftover4]]</f>
        <v>_ADSS 24C_3000</v>
      </c>
      <c r="Y120" s="489" t="str">
        <f>IF(Table411[[#This Row],[Date Inbound]]&gt;Table411[[#This Row],[date1]],"INV","")</f>
        <v>INV</v>
      </c>
      <c r="Z120" s="525" t="str">
        <f>_xlfn.IFNA(VLOOKUP(Table411[[#This Row],[HASBEL_ID]],Logfile!Y:Y,1,0),VLOOKUP(Table411[[#This Row],[HASBEL_ID]],LO_Logfile!Z:Z,1,0))</f>
        <v>H-ADSS 24C-20251212-02</v>
      </c>
    </row>
    <row r="121" spans="1:26" ht="14" hidden="1">
      <c r="A121" s="489" t="str">
        <f>"H-"&amp;B121&amp;"-"&amp;YEAR(C121)&amp;MONTH(Table411[[#This Row],[Date Inbound]])&amp;DAY(Table411[[#This Row],[Date Inbound]])&amp;"-0"&amp;D121</f>
        <v>H-ADSS 24C-20251212-03</v>
      </c>
      <c r="B121" s="490" t="s">
        <v>3073</v>
      </c>
      <c r="C121" s="383">
        <v>46003</v>
      </c>
      <c r="D121" s="491">
        <v>3</v>
      </c>
      <c r="E121" s="503">
        <v>3000</v>
      </c>
      <c r="F121" s="503">
        <f>_xlfn.XLOOKUP(Table411[[#This Row],[HASBEL_ID]],Logfile!Y:Y,Logfile!X:X,"",0,-1)</f>
        <v>0</v>
      </c>
      <c r="G121" s="492"/>
      <c r="H121" s="493"/>
      <c r="I121" s="484"/>
      <c r="J121" s="494">
        <f t="shared" si="16"/>
        <v>3000</v>
      </c>
      <c r="K121" s="484"/>
      <c r="L121" s="484"/>
      <c r="M121" s="484"/>
      <c r="N121" s="494">
        <f t="shared" si="13"/>
        <v>3000</v>
      </c>
      <c r="O121" s="484"/>
      <c r="P121" s="484"/>
      <c r="Q121" s="484"/>
      <c r="R121" s="486">
        <f t="shared" si="14"/>
        <v>3000</v>
      </c>
      <c r="S121" s="487"/>
      <c r="T121" s="487"/>
      <c r="U121" s="487"/>
      <c r="V121" s="488">
        <f t="shared" si="15"/>
        <v>3000</v>
      </c>
      <c r="W121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21" s="489" t="str">
        <f>Table411[[#This Row],[date out4]]&amp;"_"&amp;Table411[[#This Row],[Core]]&amp;"_"&amp;Table411[[#This Row],[leftover4]]</f>
        <v>_ADSS 24C_3000</v>
      </c>
      <c r="Y121" s="489" t="str">
        <f>IF(Table411[[#This Row],[Date Inbound]]&gt;Table411[[#This Row],[date1]],"INV","")</f>
        <v>INV</v>
      </c>
      <c r="Z121" s="525" t="str">
        <f>_xlfn.IFNA(VLOOKUP(Table411[[#This Row],[HASBEL_ID]],Logfile!Y:Y,1,0),VLOOKUP(Table411[[#This Row],[HASBEL_ID]],LO_Logfile!Z:Z,1,0))</f>
        <v>H-ADSS 24C-20251212-03</v>
      </c>
    </row>
    <row r="122" spans="1:26" ht="14" hidden="1">
      <c r="A122" s="489" t="str">
        <f>"H-"&amp;B122&amp;"-"&amp;YEAR(C122)&amp;MONTH(Table411[[#This Row],[Date Inbound]])&amp;DAY(Table411[[#This Row],[Date Inbound]])&amp;"-0"&amp;D122</f>
        <v>H-ADSS 24C-20251212-07</v>
      </c>
      <c r="B122" s="490" t="s">
        <v>3073</v>
      </c>
      <c r="C122" s="383">
        <v>46003</v>
      </c>
      <c r="D122" s="491">
        <v>7</v>
      </c>
      <c r="E122" s="503">
        <v>3000</v>
      </c>
      <c r="F122" s="503">
        <f>_xlfn.XLOOKUP(Table411[[#This Row],[HASBEL_ID]],Logfile!Y:Y,Logfile!X:X,"",0,-1)</f>
        <v>0</v>
      </c>
      <c r="G122" s="492"/>
      <c r="H122" s="493"/>
      <c r="I122" s="484"/>
      <c r="J122" s="494">
        <f t="shared" si="16"/>
        <v>3000</v>
      </c>
      <c r="K122" s="484"/>
      <c r="L122" s="484"/>
      <c r="M122" s="484"/>
      <c r="N122" s="494">
        <f t="shared" si="13"/>
        <v>3000</v>
      </c>
      <c r="O122" s="484"/>
      <c r="P122" s="484"/>
      <c r="Q122" s="484"/>
      <c r="R122" s="486">
        <f t="shared" si="14"/>
        <v>3000</v>
      </c>
      <c r="S122" s="487"/>
      <c r="T122" s="487"/>
      <c r="U122" s="487"/>
      <c r="V122" s="488">
        <f t="shared" si="15"/>
        <v>3000</v>
      </c>
      <c r="W122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22" s="489" t="str">
        <f>Table411[[#This Row],[date out4]]&amp;"_"&amp;Table411[[#This Row],[Core]]&amp;"_"&amp;Table411[[#This Row],[leftover4]]</f>
        <v>_ADSS 24C_3000</v>
      </c>
      <c r="Y122" s="489" t="str">
        <f>IF(Table411[[#This Row],[Date Inbound]]&gt;Table411[[#This Row],[date1]],"INV","")</f>
        <v>INV</v>
      </c>
      <c r="Z122" s="525" t="str">
        <f>_xlfn.IFNA(VLOOKUP(Table411[[#This Row],[HASBEL_ID]],Logfile!Y:Y,1,0),VLOOKUP(Table411[[#This Row],[HASBEL_ID]],LO_Logfile!Z:Z,1,0))</f>
        <v>H-ADSS 24C-20251212-07</v>
      </c>
    </row>
    <row r="123" spans="1:26" ht="14" hidden="1">
      <c r="A123" s="489" t="str">
        <f>"H-"&amp;B123&amp;"-"&amp;YEAR(C123)&amp;MONTH(Table411[[#This Row],[Date Inbound]])&amp;DAY(Table411[[#This Row],[Date Inbound]])&amp;"-0"&amp;D123</f>
        <v>H-ADSS 36C-20251212-01</v>
      </c>
      <c r="B123" s="490" t="s">
        <v>3074</v>
      </c>
      <c r="C123" s="383">
        <v>46003</v>
      </c>
      <c r="D123" s="491">
        <v>1</v>
      </c>
      <c r="E123" s="503">
        <v>3000</v>
      </c>
      <c r="F123" s="503">
        <f>_xlfn.XLOOKUP(Table411[[#This Row],[HASBEL_ID]],Logfile!Y:Y,Logfile!X:X,"",0,-1)</f>
        <v>0</v>
      </c>
      <c r="G123" s="492"/>
      <c r="H123" s="493"/>
      <c r="I123" s="484"/>
      <c r="J123" s="494">
        <f t="shared" si="16"/>
        <v>3000</v>
      </c>
      <c r="K123" s="484"/>
      <c r="L123" s="484"/>
      <c r="M123" s="484"/>
      <c r="N123" s="494">
        <f t="shared" si="13"/>
        <v>3000</v>
      </c>
      <c r="O123" s="484"/>
      <c r="P123" s="484"/>
      <c r="Q123" s="484"/>
      <c r="R123" s="486">
        <f t="shared" si="14"/>
        <v>3000</v>
      </c>
      <c r="S123" s="487"/>
      <c r="T123" s="487"/>
      <c r="U123" s="487"/>
      <c r="V123" s="488">
        <f t="shared" si="15"/>
        <v>3000</v>
      </c>
      <c r="W123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36C_3000</v>
      </c>
      <c r="X123" s="489" t="str">
        <f>Table411[[#This Row],[date out4]]&amp;"_"&amp;Table411[[#This Row],[Core]]&amp;"_"&amp;Table411[[#This Row],[leftover4]]</f>
        <v>_ADSS 36C_3000</v>
      </c>
      <c r="Y123" s="489" t="str">
        <f>IF(Table411[[#This Row],[Date Inbound]]&gt;Table411[[#This Row],[date1]],"INV","")</f>
        <v>INV</v>
      </c>
      <c r="Z123" s="525" t="str">
        <f>_xlfn.IFNA(VLOOKUP(Table411[[#This Row],[HASBEL_ID]],Logfile!Y:Y,1,0),VLOOKUP(Table411[[#This Row],[HASBEL_ID]],LO_Logfile!Z:Z,1,0))</f>
        <v>H-ADSS 36C-20251212-01</v>
      </c>
    </row>
    <row r="124" spans="1:26" ht="14" hidden="1">
      <c r="A124" s="489" t="str">
        <f>"H-"&amp;B124&amp;"-"&amp;YEAR(C124)&amp;MONTH(Table411[[#This Row],[Date Inbound]])&amp;DAY(Table411[[#This Row],[Date Inbound]])&amp;"-0"&amp;D124</f>
        <v>H-ADSS 36C-20251212-02</v>
      </c>
      <c r="B124" s="490" t="s">
        <v>3074</v>
      </c>
      <c r="C124" s="383">
        <v>46003</v>
      </c>
      <c r="D124" s="491">
        <v>2</v>
      </c>
      <c r="E124" s="503">
        <v>3000</v>
      </c>
      <c r="F124" s="503">
        <f>_xlfn.XLOOKUP(Table411[[#This Row],[HASBEL_ID]],Logfile!Y:Y,Logfile!X:X,"",0,-1)</f>
        <v>0</v>
      </c>
      <c r="G124" s="492"/>
      <c r="H124" s="493"/>
      <c r="I124" s="484"/>
      <c r="J124" s="494">
        <f t="shared" si="16"/>
        <v>3000</v>
      </c>
      <c r="K124" s="484"/>
      <c r="L124" s="484"/>
      <c r="M124" s="484"/>
      <c r="N124" s="494">
        <f t="shared" si="13"/>
        <v>3000</v>
      </c>
      <c r="O124" s="484"/>
      <c r="P124" s="484"/>
      <c r="Q124" s="484"/>
      <c r="R124" s="486">
        <f t="shared" si="14"/>
        <v>3000</v>
      </c>
      <c r="S124" s="487"/>
      <c r="T124" s="487"/>
      <c r="U124" s="487"/>
      <c r="V124" s="488">
        <f t="shared" si="15"/>
        <v>3000</v>
      </c>
      <c r="W124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36C_3000</v>
      </c>
      <c r="X124" s="489" t="str">
        <f>Table411[[#This Row],[date out4]]&amp;"_"&amp;Table411[[#This Row],[Core]]&amp;"_"&amp;Table411[[#This Row],[leftover4]]</f>
        <v>_ADSS 36C_3000</v>
      </c>
      <c r="Y124" s="489" t="str">
        <f>IF(Table411[[#This Row],[Date Inbound]]&gt;Table411[[#This Row],[date1]],"INV","")</f>
        <v>INV</v>
      </c>
      <c r="Z124" s="525" t="str">
        <f>_xlfn.IFNA(VLOOKUP(Table411[[#This Row],[HASBEL_ID]],Logfile!Y:Y,1,0),VLOOKUP(Table411[[#This Row],[HASBEL_ID]],LO_Logfile!Z:Z,1,0))</f>
        <v>H-ADSS 36C-20251212-02</v>
      </c>
    </row>
    <row r="125" spans="1:26" ht="14" hidden="1">
      <c r="A125" s="489" t="str">
        <f>"H-"&amp;B125&amp;"-"&amp;YEAR(C125)&amp;MONTH(Table411[[#This Row],[Date Inbound]])&amp;DAY(Table411[[#This Row],[Date Inbound]])&amp;"-0"&amp;D125</f>
        <v>H-ADSS 36C-20251212-03</v>
      </c>
      <c r="B125" s="490" t="s">
        <v>3074</v>
      </c>
      <c r="C125" s="383">
        <v>46003</v>
      </c>
      <c r="D125" s="491">
        <v>3</v>
      </c>
      <c r="E125" s="503">
        <v>3000</v>
      </c>
      <c r="F125" s="503">
        <f>_xlfn.XLOOKUP(Table411[[#This Row],[HASBEL_ID]],Logfile!Y:Y,Logfile!X:X,"",0,-1)</f>
        <v>0</v>
      </c>
      <c r="G125" s="492"/>
      <c r="H125" s="493"/>
      <c r="I125" s="484"/>
      <c r="J125" s="494">
        <f t="shared" si="16"/>
        <v>3000</v>
      </c>
      <c r="K125" s="484"/>
      <c r="L125" s="484"/>
      <c r="M125" s="484"/>
      <c r="N125" s="494">
        <f t="shared" si="13"/>
        <v>3000</v>
      </c>
      <c r="O125" s="484"/>
      <c r="P125" s="484"/>
      <c r="Q125" s="484"/>
      <c r="R125" s="486">
        <f t="shared" si="14"/>
        <v>3000</v>
      </c>
      <c r="S125" s="487"/>
      <c r="T125" s="487"/>
      <c r="U125" s="487"/>
      <c r="V125" s="488">
        <f t="shared" si="15"/>
        <v>3000</v>
      </c>
      <c r="W125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36C_3000</v>
      </c>
      <c r="X125" s="489" t="str">
        <f>Table411[[#This Row],[date out4]]&amp;"_"&amp;Table411[[#This Row],[Core]]&amp;"_"&amp;Table411[[#This Row],[leftover4]]</f>
        <v>_ADSS 36C_3000</v>
      </c>
      <c r="Y125" s="489" t="str">
        <f>IF(Table411[[#This Row],[Date Inbound]]&gt;Table411[[#This Row],[date1]],"INV","")</f>
        <v>INV</v>
      </c>
      <c r="Z125" s="525" t="str">
        <f>_xlfn.IFNA(VLOOKUP(Table411[[#This Row],[HASBEL_ID]],Logfile!Y:Y,1,0),VLOOKUP(Table411[[#This Row],[HASBEL_ID]],LO_Logfile!Z:Z,1,0))</f>
        <v>H-ADSS 36C-20251212-03</v>
      </c>
    </row>
    <row r="126" spans="1:26" ht="14" hidden="1">
      <c r="A126" s="489" t="str">
        <f>"H-"&amp;B126&amp;"-"&amp;YEAR(C126)&amp;MONTH(Table411[[#This Row],[Date Inbound]])&amp;DAY(Table411[[#This Row],[Date Inbound]])&amp;"-0"&amp;D126</f>
        <v>H-ADSS 36C-20251212-04</v>
      </c>
      <c r="B126" s="490" t="s">
        <v>3074</v>
      </c>
      <c r="C126" s="383">
        <v>46003</v>
      </c>
      <c r="D126" s="491">
        <v>4</v>
      </c>
      <c r="E126" s="503">
        <v>3000</v>
      </c>
      <c r="F126" s="503">
        <f>_xlfn.XLOOKUP(Table411[[#This Row],[HASBEL_ID]],Logfile!Y:Y,Logfile!X:X,"",0,-1)</f>
        <v>0</v>
      </c>
      <c r="G126" s="492"/>
      <c r="H126" s="493"/>
      <c r="I126" s="484"/>
      <c r="J126" s="494">
        <f t="shared" si="16"/>
        <v>3000</v>
      </c>
      <c r="K126" s="484"/>
      <c r="L126" s="484"/>
      <c r="M126" s="484"/>
      <c r="N126" s="494">
        <f t="shared" si="13"/>
        <v>3000</v>
      </c>
      <c r="O126" s="484"/>
      <c r="P126" s="484"/>
      <c r="Q126" s="484"/>
      <c r="R126" s="486">
        <f t="shared" si="14"/>
        <v>3000</v>
      </c>
      <c r="S126" s="487"/>
      <c r="T126" s="487"/>
      <c r="U126" s="487"/>
      <c r="V126" s="488">
        <f t="shared" si="15"/>
        <v>3000</v>
      </c>
      <c r="W126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36C_3000</v>
      </c>
      <c r="X126" s="489" t="str">
        <f>Table411[[#This Row],[date out4]]&amp;"_"&amp;Table411[[#This Row],[Core]]&amp;"_"&amp;Table411[[#This Row],[leftover4]]</f>
        <v>_ADSS 36C_3000</v>
      </c>
      <c r="Y126" s="489" t="str">
        <f>IF(Table411[[#This Row],[Date Inbound]]&gt;Table411[[#This Row],[date1]],"INV","")</f>
        <v>INV</v>
      </c>
      <c r="Z126" s="525" t="str">
        <f>_xlfn.IFNA(VLOOKUP(Table411[[#This Row],[HASBEL_ID]],Logfile!Y:Y,1,0),VLOOKUP(Table411[[#This Row],[HASBEL_ID]],LO_Logfile!Z:Z,1,0))</f>
        <v>H-ADSS 36C-20251212-04</v>
      </c>
    </row>
    <row r="127" spans="1:26" ht="14" hidden="1">
      <c r="A127" s="489" t="str">
        <f>"H-"&amp;B127&amp;"-"&amp;YEAR(C127)&amp;MONTH(Table411[[#This Row],[Date Inbound]])&amp;DAY(Table411[[#This Row],[Date Inbound]])&amp;"-0"&amp;D127</f>
        <v>H-ADSS 36C-20251212-05</v>
      </c>
      <c r="B127" s="490" t="s">
        <v>3074</v>
      </c>
      <c r="C127" s="383">
        <v>46003</v>
      </c>
      <c r="D127" s="491">
        <v>5</v>
      </c>
      <c r="E127" s="503">
        <v>3000</v>
      </c>
      <c r="F127" s="503">
        <f>_xlfn.XLOOKUP(Table411[[#This Row],[HASBEL_ID]],Logfile!Y:Y,Logfile!X:X,"",0,-1)</f>
        <v>0</v>
      </c>
      <c r="G127" s="492"/>
      <c r="H127" s="493"/>
      <c r="I127" s="484"/>
      <c r="J127" s="494">
        <f t="shared" si="16"/>
        <v>3000</v>
      </c>
      <c r="K127" s="484"/>
      <c r="L127" s="484"/>
      <c r="M127" s="484"/>
      <c r="N127" s="494">
        <f t="shared" si="13"/>
        <v>3000</v>
      </c>
      <c r="O127" s="484"/>
      <c r="P127" s="484"/>
      <c r="Q127" s="484"/>
      <c r="R127" s="486">
        <f t="shared" si="14"/>
        <v>3000</v>
      </c>
      <c r="S127" s="487"/>
      <c r="T127" s="487"/>
      <c r="U127" s="487"/>
      <c r="V127" s="488">
        <f t="shared" si="15"/>
        <v>3000</v>
      </c>
      <c r="W127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36C_3000</v>
      </c>
      <c r="X127" s="489" t="str">
        <f>Table411[[#This Row],[date out4]]&amp;"_"&amp;Table411[[#This Row],[Core]]&amp;"_"&amp;Table411[[#This Row],[leftover4]]</f>
        <v>_ADSS 36C_3000</v>
      </c>
      <c r="Y127" s="489" t="str">
        <f>IF(Table411[[#This Row],[Date Inbound]]&gt;Table411[[#This Row],[date1]],"INV","")</f>
        <v>INV</v>
      </c>
      <c r="Z127" s="525" t="str">
        <f>_xlfn.IFNA(VLOOKUP(Table411[[#This Row],[HASBEL_ID]],Logfile!Y:Y,1,0),VLOOKUP(Table411[[#This Row],[HASBEL_ID]],LO_Logfile!Z:Z,1,0))</f>
        <v>H-ADSS 36C-20251212-05</v>
      </c>
    </row>
    <row r="128" spans="1:26" ht="14" hidden="1">
      <c r="A128" s="489" t="str">
        <f>"H-"&amp;B128&amp;"-"&amp;YEAR(C128)&amp;MONTH(Table411[[#This Row],[Date Inbound]])&amp;DAY(Table411[[#This Row],[Date Inbound]])&amp;"-0"&amp;D128</f>
        <v>H-ADSS 36C-20251212-06</v>
      </c>
      <c r="B128" s="490" t="s">
        <v>3074</v>
      </c>
      <c r="C128" s="383">
        <v>46003</v>
      </c>
      <c r="D128" s="491">
        <v>6</v>
      </c>
      <c r="E128" s="503">
        <v>3000</v>
      </c>
      <c r="F128" s="503">
        <f>_xlfn.XLOOKUP(Table411[[#This Row],[HASBEL_ID]],Logfile!Y:Y,Logfile!X:X,"",0,-1)</f>
        <v>0</v>
      </c>
      <c r="G128" s="492"/>
      <c r="H128" s="493"/>
      <c r="I128" s="484"/>
      <c r="J128" s="494">
        <f t="shared" si="16"/>
        <v>3000</v>
      </c>
      <c r="K128" s="484"/>
      <c r="L128" s="484"/>
      <c r="M128" s="484"/>
      <c r="N128" s="494">
        <f t="shared" si="13"/>
        <v>3000</v>
      </c>
      <c r="O128" s="484"/>
      <c r="P128" s="484"/>
      <c r="Q128" s="484"/>
      <c r="R128" s="486">
        <f t="shared" si="14"/>
        <v>3000</v>
      </c>
      <c r="S128" s="487"/>
      <c r="T128" s="487"/>
      <c r="U128" s="487"/>
      <c r="V128" s="488">
        <f t="shared" si="15"/>
        <v>3000</v>
      </c>
      <c r="W128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36C_3000</v>
      </c>
      <c r="X128" s="489" t="str">
        <f>Table411[[#This Row],[date out4]]&amp;"_"&amp;Table411[[#This Row],[Core]]&amp;"_"&amp;Table411[[#This Row],[leftover4]]</f>
        <v>_ADSS 36C_3000</v>
      </c>
      <c r="Y128" s="489" t="str">
        <f>IF(Table411[[#This Row],[Date Inbound]]&gt;Table411[[#This Row],[date1]],"INV","")</f>
        <v>INV</v>
      </c>
      <c r="Z128" s="525" t="str">
        <f>_xlfn.IFNA(VLOOKUP(Table411[[#This Row],[HASBEL_ID]],Logfile!Y:Y,1,0),VLOOKUP(Table411[[#This Row],[HASBEL_ID]],LO_Logfile!Z:Z,1,0))</f>
        <v>H-ADSS 36C-20251212-06</v>
      </c>
    </row>
    <row r="129" spans="1:26" ht="14" hidden="1">
      <c r="A129" s="489" t="str">
        <f>"H-"&amp;B129&amp;"-"&amp;YEAR(C129)&amp;MONTH(Table411[[#This Row],[Date Inbound]])&amp;DAY(Table411[[#This Row],[Date Inbound]])&amp;"-0"&amp;D129</f>
        <v>H-ADSS 24C-20251212-010</v>
      </c>
      <c r="B129" s="490" t="s">
        <v>3073</v>
      </c>
      <c r="C129" s="383">
        <v>46003</v>
      </c>
      <c r="D129" s="491">
        <v>10</v>
      </c>
      <c r="E129" s="503">
        <v>3000</v>
      </c>
      <c r="F129" s="503" t="str">
        <f>_xlfn.XLOOKUP(Table411[[#This Row],[HASBEL_ID]],Logfile!Y:Y,Logfile!X:X,"",0,-1)</f>
        <v/>
      </c>
      <c r="G129" s="492"/>
      <c r="H129" s="493"/>
      <c r="I129" s="484"/>
      <c r="J129" s="494">
        <f t="shared" si="16"/>
        <v>3000</v>
      </c>
      <c r="K129" s="484"/>
      <c r="L129" s="484"/>
      <c r="M129" s="484"/>
      <c r="N129" s="494">
        <f t="shared" si="13"/>
        <v>3000</v>
      </c>
      <c r="O129" s="484"/>
      <c r="P129" s="484"/>
      <c r="Q129" s="484"/>
      <c r="R129" s="486">
        <f t="shared" si="14"/>
        <v>3000</v>
      </c>
      <c r="S129" s="487"/>
      <c r="T129" s="487"/>
      <c r="U129" s="487"/>
      <c r="V129" s="488">
        <f t="shared" si="15"/>
        <v>3000</v>
      </c>
      <c r="W129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29" s="489" t="str">
        <f>Table411[[#This Row],[date out4]]&amp;"_"&amp;Table411[[#This Row],[Core]]&amp;"_"&amp;Table411[[#This Row],[leftover4]]</f>
        <v>_ADSS 24C_3000</v>
      </c>
      <c r="Y129" s="489" t="str">
        <f>IF(Table411[[#This Row],[Date Inbound]]&gt;Table411[[#This Row],[date1]],"INV","")</f>
        <v>INV</v>
      </c>
      <c r="Z129" s="525" t="e">
        <f>_xlfn.IFNA(VLOOKUP(Table411[[#This Row],[HASBEL_ID]],Logfile!Y:Y,1,0),VLOOKUP(Table411[[#This Row],[HASBEL_ID]],LO_Logfile!Z:Z,1,0))</f>
        <v>#N/A</v>
      </c>
    </row>
    <row r="130" spans="1:26" ht="14" hidden="1">
      <c r="A130" s="489" t="str">
        <f>"H-"&amp;B130&amp;"-"&amp;YEAR(C130)&amp;MONTH(Table411[[#This Row],[Date Inbound]])&amp;DAY(Table411[[#This Row],[Date Inbound]])&amp;"-0"&amp;D130</f>
        <v>H-ADSS 24C-20251212-08</v>
      </c>
      <c r="B130" s="490" t="s">
        <v>3073</v>
      </c>
      <c r="C130" s="383">
        <v>46003</v>
      </c>
      <c r="D130" s="491">
        <v>8</v>
      </c>
      <c r="E130" s="503">
        <v>3000</v>
      </c>
      <c r="F130" s="503" t="str">
        <f>_xlfn.XLOOKUP(Table411[[#This Row],[HASBEL_ID]],Logfile!Y:Y,Logfile!X:X,"",0,-1)</f>
        <v/>
      </c>
      <c r="G130" s="492"/>
      <c r="H130" s="493"/>
      <c r="I130" s="484"/>
      <c r="J130" s="494">
        <f t="shared" si="16"/>
        <v>3000</v>
      </c>
      <c r="K130" s="484"/>
      <c r="L130" s="484"/>
      <c r="M130" s="484"/>
      <c r="N130" s="494">
        <f t="shared" si="13"/>
        <v>3000</v>
      </c>
      <c r="O130" s="484"/>
      <c r="P130" s="484"/>
      <c r="Q130" s="484"/>
      <c r="R130" s="486">
        <f t="shared" si="14"/>
        <v>3000</v>
      </c>
      <c r="S130" s="487"/>
      <c r="T130" s="487"/>
      <c r="U130" s="487"/>
      <c r="V130" s="488">
        <f t="shared" si="15"/>
        <v>3000</v>
      </c>
      <c r="W130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30" s="489" t="str">
        <f>Table411[[#This Row],[date out4]]&amp;"_"&amp;Table411[[#This Row],[Core]]&amp;"_"&amp;Table411[[#This Row],[leftover4]]</f>
        <v>_ADSS 24C_3000</v>
      </c>
      <c r="Y130" s="489" t="str">
        <f>IF(Table411[[#This Row],[Date Inbound]]&gt;Table411[[#This Row],[date1]],"INV","")</f>
        <v>INV</v>
      </c>
      <c r="Z130" s="525" t="e">
        <f>_xlfn.IFNA(VLOOKUP(Table411[[#This Row],[HASBEL_ID]],Logfile!Y:Y,1,0),VLOOKUP(Table411[[#This Row],[HASBEL_ID]],LO_Logfile!Z:Z,1,0))</f>
        <v>#N/A</v>
      </c>
    </row>
    <row r="131" spans="1:26" ht="14" hidden="1">
      <c r="A131" s="489" t="str">
        <f>"H-"&amp;B131&amp;"-"&amp;YEAR(C131)&amp;MONTH(Table411[[#This Row],[Date Inbound]])&amp;DAY(Table411[[#This Row],[Date Inbound]])&amp;"-0"&amp;D131</f>
        <v>H-ADSS 24C-20251212-09</v>
      </c>
      <c r="B131" s="490" t="s">
        <v>3073</v>
      </c>
      <c r="C131" s="383">
        <v>46003</v>
      </c>
      <c r="D131" s="491">
        <v>9</v>
      </c>
      <c r="E131" s="503">
        <v>3000</v>
      </c>
      <c r="F131" s="503" t="str">
        <f>_xlfn.XLOOKUP(Table411[[#This Row],[HASBEL_ID]],Logfile!Y:Y,Logfile!X:X,"",0,-1)</f>
        <v/>
      </c>
      <c r="G131" s="492"/>
      <c r="H131" s="493"/>
      <c r="I131" s="484"/>
      <c r="J131" s="494">
        <f t="shared" si="16"/>
        <v>3000</v>
      </c>
      <c r="K131" s="484"/>
      <c r="L131" s="484"/>
      <c r="M131" s="484"/>
      <c r="N131" s="494">
        <f t="shared" ref="N131:N139" si="17">J131-L131</f>
        <v>3000</v>
      </c>
      <c r="O131" s="484"/>
      <c r="P131" s="484"/>
      <c r="Q131" s="484"/>
      <c r="R131" s="486">
        <f t="shared" ref="R131:R139" si="18">N131-P131</f>
        <v>3000</v>
      </c>
      <c r="S131" s="487"/>
      <c r="T131" s="487"/>
      <c r="U131" s="487"/>
      <c r="V131" s="488">
        <f t="shared" ref="V131:V139" si="19">R131-T131</f>
        <v>3000</v>
      </c>
      <c r="W131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31" s="489" t="str">
        <f>Table411[[#This Row],[date out4]]&amp;"_"&amp;Table411[[#This Row],[Core]]&amp;"_"&amp;Table411[[#This Row],[leftover4]]</f>
        <v>_ADSS 24C_3000</v>
      </c>
      <c r="Y131" s="489" t="str">
        <f>IF(Table411[[#This Row],[Date Inbound]]&gt;Table411[[#This Row],[date1]],"INV","")</f>
        <v>INV</v>
      </c>
      <c r="Z131" s="525" t="e">
        <f>_xlfn.IFNA(VLOOKUP(Table411[[#This Row],[HASBEL_ID]],Logfile!Y:Y,1,0),VLOOKUP(Table411[[#This Row],[HASBEL_ID]],LO_Logfile!Z:Z,1,0))</f>
        <v>#N/A</v>
      </c>
    </row>
    <row r="132" spans="1:26" ht="14" hidden="1">
      <c r="A132" s="489" t="str">
        <f>"H-"&amp;B132&amp;"-"&amp;YEAR(C132)&amp;MONTH(Table411[[#This Row],[Date Inbound]])&amp;DAY(Table411[[#This Row],[Date Inbound]])&amp;"-0"&amp;D132</f>
        <v>H-ADSS 36C-20251216-01</v>
      </c>
      <c r="B132" s="490" t="s">
        <v>3074</v>
      </c>
      <c r="C132" s="383">
        <v>46007</v>
      </c>
      <c r="D132" s="491">
        <v>1</v>
      </c>
      <c r="E132" s="504">
        <v>3000</v>
      </c>
      <c r="F132" s="504" t="str">
        <f>_xlfn.XLOOKUP(Table411[[#This Row],[HASBEL_ID]],Logfile!Y:Y,Logfile!X:X,"",0,-1)</f>
        <v/>
      </c>
      <c r="G132" s="492"/>
      <c r="H132" s="493"/>
      <c r="I132" s="484"/>
      <c r="J132" s="494">
        <f t="shared" si="16"/>
        <v>3000</v>
      </c>
      <c r="K132" s="484"/>
      <c r="L132" s="484"/>
      <c r="M132" s="484"/>
      <c r="N132" s="494">
        <f t="shared" si="17"/>
        <v>3000</v>
      </c>
      <c r="O132" s="484"/>
      <c r="P132" s="484"/>
      <c r="Q132" s="484"/>
      <c r="R132" s="486">
        <f t="shared" si="18"/>
        <v>3000</v>
      </c>
      <c r="S132" s="487"/>
      <c r="T132" s="487"/>
      <c r="U132" s="487"/>
      <c r="V132" s="488">
        <f t="shared" si="19"/>
        <v>3000</v>
      </c>
      <c r="W132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36C_3000</v>
      </c>
      <c r="X132" s="489" t="str">
        <f>Table411[[#This Row],[date out4]]&amp;"_"&amp;Table411[[#This Row],[Core]]&amp;"_"&amp;Table411[[#This Row],[leftover4]]</f>
        <v>_ADSS 36C_3000</v>
      </c>
      <c r="Y132" s="489" t="str">
        <f>IF(Table411[[#This Row],[Date Inbound]]&gt;Table411[[#This Row],[date1]],"INV","")</f>
        <v>INV</v>
      </c>
      <c r="Z132" s="525" t="e">
        <f>_xlfn.IFNA(VLOOKUP(Table411[[#This Row],[HASBEL_ID]],Logfile!Y:Y,1,0),VLOOKUP(Table411[[#This Row],[HASBEL_ID]],LO_Logfile!Z:Z,1,0))</f>
        <v>#N/A</v>
      </c>
    </row>
    <row r="133" spans="1:26" ht="14" hidden="1">
      <c r="A133" s="489" t="str">
        <f>"H-"&amp;B133&amp;"-"&amp;YEAR(C133)&amp;MONTH(Table411[[#This Row],[Date Inbound]])&amp;DAY(Table411[[#This Row],[Date Inbound]])&amp;"-0"&amp;D133</f>
        <v>H-ADSS 36C-20251216-02</v>
      </c>
      <c r="B133" s="490" t="s">
        <v>3074</v>
      </c>
      <c r="C133" s="383">
        <v>46007</v>
      </c>
      <c r="D133" s="491">
        <v>2</v>
      </c>
      <c r="E133" s="504">
        <v>3000</v>
      </c>
      <c r="F133" s="504" t="str">
        <f>_xlfn.XLOOKUP(Table411[[#This Row],[HASBEL_ID]],Logfile!Y:Y,Logfile!X:X,"",0,-1)</f>
        <v/>
      </c>
      <c r="G133" s="492"/>
      <c r="H133" s="493"/>
      <c r="I133" s="484"/>
      <c r="J133" s="494">
        <f t="shared" si="16"/>
        <v>3000</v>
      </c>
      <c r="K133" s="484"/>
      <c r="L133" s="484"/>
      <c r="M133" s="484"/>
      <c r="N133" s="494">
        <f t="shared" si="17"/>
        <v>3000</v>
      </c>
      <c r="O133" s="484"/>
      <c r="P133" s="484"/>
      <c r="Q133" s="484"/>
      <c r="R133" s="486">
        <f t="shared" si="18"/>
        <v>3000</v>
      </c>
      <c r="S133" s="487"/>
      <c r="T133" s="487"/>
      <c r="U133" s="487"/>
      <c r="V133" s="488">
        <f t="shared" si="19"/>
        <v>3000</v>
      </c>
      <c r="W133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36C_3000</v>
      </c>
      <c r="X133" s="489" t="str">
        <f>Table411[[#This Row],[date out4]]&amp;"_"&amp;Table411[[#This Row],[Core]]&amp;"_"&amp;Table411[[#This Row],[leftover4]]</f>
        <v>_ADSS 36C_3000</v>
      </c>
      <c r="Y133" s="489" t="str">
        <f>IF(Table411[[#This Row],[Date Inbound]]&gt;Table411[[#This Row],[date1]],"INV","")</f>
        <v>INV</v>
      </c>
      <c r="Z133" s="525" t="e">
        <f>_xlfn.IFNA(VLOOKUP(Table411[[#This Row],[HASBEL_ID]],Logfile!Y:Y,1,0),VLOOKUP(Table411[[#This Row],[HASBEL_ID]],LO_Logfile!Z:Z,1,0))</f>
        <v>#N/A</v>
      </c>
    </row>
    <row r="134" spans="1:26" ht="14" hidden="1">
      <c r="A134" s="489" t="str">
        <f>"H-"&amp;B134&amp;"-"&amp;YEAR(C134)&amp;MONTH(Table411[[#This Row],[Date Inbound]])&amp;DAY(Table411[[#This Row],[Date Inbound]])&amp;"-0"&amp;D134</f>
        <v>H-ADSS 36C-2026119-01</v>
      </c>
      <c r="B134" s="490" t="s">
        <v>3074</v>
      </c>
      <c r="C134" s="383">
        <v>46041</v>
      </c>
      <c r="D134" s="491">
        <v>1</v>
      </c>
      <c r="E134" s="504">
        <v>3000</v>
      </c>
      <c r="F134" s="504" t="str">
        <f>_xlfn.XLOOKUP(Table411[[#This Row],[HASBEL_ID]],Logfile!Y:Y,Logfile!X:X,"",0,-1)</f>
        <v/>
      </c>
      <c r="G134" s="492"/>
      <c r="H134" s="493"/>
      <c r="I134" s="484"/>
      <c r="J134" s="494">
        <f t="shared" si="16"/>
        <v>3000</v>
      </c>
      <c r="K134" s="484"/>
      <c r="L134" s="484"/>
      <c r="M134" s="484"/>
      <c r="N134" s="494">
        <f t="shared" si="17"/>
        <v>3000</v>
      </c>
      <c r="O134" s="484"/>
      <c r="P134" s="484"/>
      <c r="Q134" s="484"/>
      <c r="R134" s="486">
        <f t="shared" si="18"/>
        <v>3000</v>
      </c>
      <c r="S134" s="487"/>
      <c r="T134" s="487"/>
      <c r="U134" s="487"/>
      <c r="V134" s="488">
        <f t="shared" si="19"/>
        <v>3000</v>
      </c>
      <c r="W134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36C_3000</v>
      </c>
      <c r="X134" s="489" t="str">
        <f>Table411[[#This Row],[date out4]]&amp;"_"&amp;Table411[[#This Row],[Core]]&amp;"_"&amp;Table411[[#This Row],[leftover4]]</f>
        <v>_ADSS 36C_3000</v>
      </c>
      <c r="Y134" s="489" t="str">
        <f>IF(Table411[[#This Row],[Date Inbound]]&gt;Table411[[#This Row],[date1]],"INV","")</f>
        <v>INV</v>
      </c>
      <c r="Z134" s="525" t="e">
        <f>_xlfn.IFNA(VLOOKUP(Table411[[#This Row],[HASBEL_ID]],Logfile!Y:Y,1,0),VLOOKUP(Table411[[#This Row],[HASBEL_ID]],LO_Logfile!Z:Z,1,0))</f>
        <v>#N/A</v>
      </c>
    </row>
    <row r="135" spans="1:26" ht="14" hidden="1">
      <c r="A135" s="489" t="str">
        <f>"H-"&amp;B135&amp;"-"&amp;YEAR(C135)&amp;MONTH(Table411[[#This Row],[Date Inbound]])&amp;DAY(Table411[[#This Row],[Date Inbound]])&amp;"-0"&amp;D135</f>
        <v>H-ADSS 24C-2026312-01</v>
      </c>
      <c r="B135" s="490" t="s">
        <v>3073</v>
      </c>
      <c r="C135" s="383">
        <v>46093</v>
      </c>
      <c r="D135" s="491">
        <v>1</v>
      </c>
      <c r="E135" s="504">
        <v>3000</v>
      </c>
      <c r="F135" s="504" t="str">
        <f>_xlfn.XLOOKUP(Table411[[#This Row],[HASBEL_ID]],Logfile!Y:Y,Logfile!X:X,"",0,-1)</f>
        <v/>
      </c>
      <c r="G135" s="492"/>
      <c r="H135" s="493"/>
      <c r="I135" s="484"/>
      <c r="J135" s="494">
        <f t="shared" si="16"/>
        <v>3000</v>
      </c>
      <c r="K135" s="484"/>
      <c r="L135" s="484"/>
      <c r="M135" s="484"/>
      <c r="N135" s="494">
        <f t="shared" si="17"/>
        <v>3000</v>
      </c>
      <c r="O135" s="484"/>
      <c r="P135" s="484"/>
      <c r="Q135" s="484"/>
      <c r="R135" s="486">
        <f t="shared" si="18"/>
        <v>3000</v>
      </c>
      <c r="S135" s="487"/>
      <c r="T135" s="487"/>
      <c r="U135" s="487"/>
      <c r="V135" s="488">
        <f t="shared" si="19"/>
        <v>3000</v>
      </c>
      <c r="W135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35" s="489" t="str">
        <f>Table411[[#This Row],[date out4]]&amp;"_"&amp;Table411[[#This Row],[Core]]&amp;"_"&amp;Table411[[#This Row],[leftover4]]</f>
        <v>_ADSS 24C_3000</v>
      </c>
      <c r="Y135" s="489" t="str">
        <f>IF(Table411[[#This Row],[Date Inbound]]&gt;Table411[[#This Row],[date1]],"INV","")</f>
        <v>INV</v>
      </c>
      <c r="Z135" s="525" t="e">
        <f>_xlfn.IFNA(VLOOKUP(Table411[[#This Row],[HASBEL_ID]],Logfile!Y:Y,1,0),VLOOKUP(Table411[[#This Row],[HASBEL_ID]],LO_Logfile!Z:Z,1,0))</f>
        <v>#N/A</v>
      </c>
    </row>
    <row r="136" spans="1:26" ht="14" hidden="1">
      <c r="A136" s="489" t="str">
        <f>"H-"&amp;B136&amp;"-"&amp;YEAR(C136)&amp;MONTH(Table411[[#This Row],[Date Inbound]])&amp;DAY(Table411[[#This Row],[Date Inbound]])&amp;"-0"&amp;D136</f>
        <v>H-ADSS 24C-202659-01</v>
      </c>
      <c r="B136" s="490" t="s">
        <v>3073</v>
      </c>
      <c r="C136" s="383">
        <v>46151</v>
      </c>
      <c r="D136" s="491">
        <v>1</v>
      </c>
      <c r="E136" s="503">
        <v>3000</v>
      </c>
      <c r="F136" s="503">
        <f>_xlfn.XLOOKUP(Table411[[#This Row],[HASBEL_ID]],Logfile!Y:Y,Logfile!X:X,"",0,-1)</f>
        <v>0</v>
      </c>
      <c r="G136" s="492"/>
      <c r="H136" s="493"/>
      <c r="I136" s="484"/>
      <c r="J136" s="494">
        <f t="shared" si="16"/>
        <v>3000</v>
      </c>
      <c r="K136" s="484"/>
      <c r="L136" s="484"/>
      <c r="M136" s="484"/>
      <c r="N136" s="494">
        <f t="shared" si="17"/>
        <v>3000</v>
      </c>
      <c r="O136" s="484"/>
      <c r="P136" s="484"/>
      <c r="Q136" s="484"/>
      <c r="R136" s="486">
        <f t="shared" si="18"/>
        <v>3000</v>
      </c>
      <c r="S136" s="487"/>
      <c r="T136" s="487"/>
      <c r="U136" s="487"/>
      <c r="V136" s="488">
        <f t="shared" si="19"/>
        <v>3000</v>
      </c>
      <c r="W136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36" s="489" t="str">
        <f>Table411[[#This Row],[date out4]]&amp;"_"&amp;Table411[[#This Row],[Core]]&amp;"_"&amp;Table411[[#This Row],[leftover4]]</f>
        <v>_ADSS 24C_3000</v>
      </c>
      <c r="Y136" s="489" t="str">
        <f>IF(Table411[[#This Row],[Date Inbound]]&gt;Table411[[#This Row],[date1]],"INV","")</f>
        <v>INV</v>
      </c>
      <c r="Z136" s="525" t="str">
        <f>_xlfn.IFNA(VLOOKUP(Table411[[#This Row],[HASBEL_ID]],Logfile!Y:Y,1,0),VLOOKUP(Table411[[#This Row],[HASBEL_ID]],LO_Logfile!Z:Z,1,0))</f>
        <v>H-ADSS 24C-202659-01</v>
      </c>
    </row>
    <row r="137" spans="1:26" ht="14" hidden="1">
      <c r="A137" s="489" t="str">
        <f>"H-"&amp;B137&amp;"-"&amp;YEAR(C137)&amp;MONTH(Table411[[#This Row],[Date Inbound]])&amp;DAY(Table411[[#This Row],[Date Inbound]])&amp;"-0"&amp;D137</f>
        <v>H-ADSS 24C-2026522-01</v>
      </c>
      <c r="B137" s="490" t="s">
        <v>3073</v>
      </c>
      <c r="C137" s="383">
        <v>46164</v>
      </c>
      <c r="D137" s="491">
        <v>1</v>
      </c>
      <c r="E137" s="503">
        <v>3000</v>
      </c>
      <c r="F137" s="503">
        <f>_xlfn.XLOOKUP(Table411[[#This Row],[HASBEL_ID]],Logfile!Y:Y,Logfile!X:X,"",0,-1)</f>
        <v>0</v>
      </c>
      <c r="G137" s="492"/>
      <c r="H137" s="493"/>
      <c r="I137" s="484"/>
      <c r="J137" s="494">
        <f t="shared" si="16"/>
        <v>3000</v>
      </c>
      <c r="K137" s="484"/>
      <c r="L137" s="484"/>
      <c r="M137" s="484"/>
      <c r="N137" s="494">
        <f t="shared" si="17"/>
        <v>3000</v>
      </c>
      <c r="O137" s="484"/>
      <c r="P137" s="484"/>
      <c r="Q137" s="484"/>
      <c r="R137" s="486">
        <f t="shared" si="18"/>
        <v>3000</v>
      </c>
      <c r="S137" s="487"/>
      <c r="T137" s="487"/>
      <c r="U137" s="487"/>
      <c r="V137" s="488">
        <f t="shared" si="19"/>
        <v>3000</v>
      </c>
      <c r="W137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37" s="489" t="str">
        <f>Table411[[#This Row],[date out4]]&amp;"_"&amp;Table411[[#This Row],[Core]]&amp;"_"&amp;Table411[[#This Row],[leftover4]]</f>
        <v>_ADSS 24C_3000</v>
      </c>
      <c r="Y137" s="489" t="str">
        <f>IF(Table411[[#This Row],[Date Inbound]]&gt;Table411[[#This Row],[date1]],"INV","")</f>
        <v>INV</v>
      </c>
      <c r="Z137" s="525" t="str">
        <f>_xlfn.IFNA(VLOOKUP(Table411[[#This Row],[HASBEL_ID]],Logfile!Y:Y,1,0),VLOOKUP(Table411[[#This Row],[HASBEL_ID]],LO_Logfile!Z:Z,1,0))</f>
        <v>H-ADSS 24C-2026522-01</v>
      </c>
    </row>
    <row r="138" spans="1:26" ht="14" hidden="1">
      <c r="A138" s="489" t="str">
        <f>"H-"&amp;B138&amp;"-"&amp;YEAR(C138)&amp;MONTH(Table411[[#This Row],[Date Inbound]])&amp;DAY(Table411[[#This Row],[Date Inbound]])&amp;"-0"&amp;D138</f>
        <v>H-ADSS 24C-2026627-01</v>
      </c>
      <c r="B138" s="490" t="s">
        <v>3073</v>
      </c>
      <c r="C138" s="383">
        <v>46200</v>
      </c>
      <c r="D138" s="491">
        <v>1</v>
      </c>
      <c r="E138" s="503">
        <v>3000</v>
      </c>
      <c r="F138" s="503">
        <f>_xlfn.XLOOKUP(Table411[[#This Row],[HASBEL_ID]],Logfile!Y:Y,Logfile!X:X,"",0,-1)</f>
        <v>0</v>
      </c>
      <c r="G138" s="492"/>
      <c r="H138" s="493"/>
      <c r="I138" s="484"/>
      <c r="J138" s="494">
        <f t="shared" si="16"/>
        <v>3000</v>
      </c>
      <c r="K138" s="484"/>
      <c r="L138" s="484"/>
      <c r="M138" s="484"/>
      <c r="N138" s="494">
        <f t="shared" si="17"/>
        <v>3000</v>
      </c>
      <c r="O138" s="484"/>
      <c r="P138" s="484"/>
      <c r="Q138" s="484"/>
      <c r="R138" s="486">
        <f t="shared" si="18"/>
        <v>3000</v>
      </c>
      <c r="S138" s="487"/>
      <c r="T138" s="487"/>
      <c r="U138" s="487"/>
      <c r="V138" s="488">
        <f t="shared" si="19"/>
        <v>3000</v>
      </c>
      <c r="W138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_ADSS 24C_3000</v>
      </c>
      <c r="X138" s="489" t="str">
        <f>Table411[[#This Row],[date out4]]&amp;"_"&amp;Table411[[#This Row],[Core]]&amp;"_"&amp;Table411[[#This Row],[leftover4]]</f>
        <v>_ADSS 24C_3000</v>
      </c>
      <c r="Y138" s="489" t="str">
        <f>IF(Table411[[#This Row],[Date Inbound]]&gt;Table411[[#This Row],[date1]],"INV","")</f>
        <v>INV</v>
      </c>
      <c r="Z138" s="525" t="str">
        <f>_xlfn.IFNA(VLOOKUP(Table411[[#This Row],[HASBEL_ID]],Logfile!Y:Y,1,0),VLOOKUP(Table411[[#This Row],[HASBEL_ID]],LO_Logfile!Z:Z,1,0))</f>
        <v>H-ADSS 24C-2026627-01</v>
      </c>
    </row>
    <row r="139" spans="1:26" ht="14" hidden="1">
      <c r="A139" s="489" t="str">
        <f>"H-"&amp;B139&amp;"-"&amp;YEAR(C139)&amp;MONTH(Table411[[#This Row],[Date Inbound]])&amp;DAY(Table411[[#This Row],[Date Inbound]])&amp;"-0"&amp;D139</f>
        <v>H-ADSS 24C-202679-01</v>
      </c>
      <c r="B139" s="490" t="s">
        <v>3073</v>
      </c>
      <c r="C139" s="383">
        <v>46212</v>
      </c>
      <c r="D139" s="491">
        <v>1</v>
      </c>
      <c r="E139" s="503">
        <v>3000</v>
      </c>
      <c r="F139" s="503" t="str">
        <f>_xlfn.XLOOKUP(Table411[[#This Row],[HASBEL_ID]],Logfile!Y:Y,Logfile!X:X,"",0,-1)</f>
        <v>12JUL-1100 KTRN9</v>
      </c>
      <c r="G139" s="492">
        <v>46215</v>
      </c>
      <c r="H139" s="493">
        <v>1100</v>
      </c>
      <c r="I139" s="484" t="s">
        <v>5358</v>
      </c>
      <c r="J139" s="494">
        <f t="shared" si="16"/>
        <v>1900</v>
      </c>
      <c r="K139" s="484"/>
      <c r="L139" s="484"/>
      <c r="M139" s="484"/>
      <c r="N139" s="494">
        <f t="shared" si="17"/>
        <v>1900</v>
      </c>
      <c r="O139" s="484"/>
      <c r="P139" s="484"/>
      <c r="Q139" s="484"/>
      <c r="R139" s="486">
        <f t="shared" si="18"/>
        <v>1900</v>
      </c>
      <c r="S139" s="487"/>
      <c r="T139" s="487"/>
      <c r="U139" s="487"/>
      <c r="V139" s="488">
        <f t="shared" si="19"/>
        <v>1900</v>
      </c>
      <c r="W139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46215_ADSS 24C_1900</v>
      </c>
      <c r="X139" s="489" t="str">
        <f>Table411[[#This Row],[date out4]]&amp;"_"&amp;Table411[[#This Row],[Core]]&amp;"_"&amp;Table411[[#This Row],[leftover4]]</f>
        <v>_ADSS 24C_1900</v>
      </c>
      <c r="Y139" s="489" t="str">
        <f>IF(Table411[[#This Row],[Date Inbound]]&gt;Table411[[#This Row],[date1]],"INV","")</f>
        <v/>
      </c>
      <c r="Z139" s="525" t="str">
        <f>_xlfn.IFNA(VLOOKUP(Table411[[#This Row],[HASBEL_ID]],Logfile!Y:Y,1,0),VLOOKUP(Table411[[#This Row],[HASBEL_ID]],LO_Logfile!Z:Z,1,0))</f>
        <v>H-ADSS 24C-202679-01</v>
      </c>
    </row>
    <row r="140" spans="1:26" ht="14" hidden="1">
      <c r="A140" s="489" t="str">
        <f>"H-"&amp;B140&amp;"-"&amp;YEAR(C140)&amp;MONTH(Table411[[#This Row],[Date Inbound]])&amp;DAY(Table411[[#This Row],[Date Inbound]])&amp;"-0"&amp;D140</f>
        <v>H-ADSS 24C-2026717-01</v>
      </c>
      <c r="B140" s="490" t="s">
        <v>3073</v>
      </c>
      <c r="C140" s="383">
        <v>46220</v>
      </c>
      <c r="D140" s="491">
        <v>1</v>
      </c>
      <c r="E140" s="503">
        <v>3000</v>
      </c>
      <c r="F140" s="535">
        <f>_xlfn.XLOOKUP(Table411[[#This Row],[HASBEL_ID]],Logfile!Y:Y,Logfile!X:X,"",0,-1)</f>
        <v>0</v>
      </c>
      <c r="G140" s="492">
        <v>46221</v>
      </c>
      <c r="H140" s="493">
        <v>2500</v>
      </c>
      <c r="I140" s="484" t="s">
        <v>5357</v>
      </c>
      <c r="J140" s="494">
        <f>E140-H140</f>
        <v>500</v>
      </c>
      <c r="K140" s="484"/>
      <c r="L140" s="484"/>
      <c r="M140" s="484"/>
      <c r="N140" s="494">
        <f>J140-L140</f>
        <v>500</v>
      </c>
      <c r="O140" s="484"/>
      <c r="P140" s="484"/>
      <c r="Q140" s="484"/>
      <c r="R140" s="486">
        <f>N140-P140</f>
        <v>500</v>
      </c>
      <c r="S140" s="487"/>
      <c r="T140" s="487"/>
      <c r="U140" s="487"/>
      <c r="V140" s="488">
        <f>R140-T140</f>
        <v>500</v>
      </c>
      <c r="W140" s="489" t="str">
        <f>IF(OR(Table411[[#This Row],[date out 2]]="",Table411[[#This Row],[leftover2]]=0),Table411[[#This Row],[date1]]&amp;"_"&amp;Table411[[#This Row],[Core]]&amp;"_"&amp;Table411[[#This Row],[leftover]],Table411[[#This Row],[date out 2]]&amp;"_"&amp;Table411[[#This Row],[Core]]&amp;"_"&amp;Table411[[#This Row],[leftover2]])</f>
        <v>46221_ADSS 24C_500</v>
      </c>
      <c r="X140" s="489" t="str">
        <f>Table411[[#This Row],[date out4]]&amp;"_"&amp;Table411[[#This Row],[Core]]&amp;"_"&amp;Table411[[#This Row],[leftover4]]</f>
        <v>_ADSS 24C_500</v>
      </c>
      <c r="Y140" s="489" t="str">
        <f>IF(Table411[[#This Row],[Date Inbound]]&gt;Table411[[#This Row],[date1]],"INV","")</f>
        <v/>
      </c>
      <c r="Z140" s="525" t="str">
        <f>_xlfn.IFNA(VLOOKUP(Table411[[#This Row],[HASBEL_ID]],Logfile!Y:Y,1,0),VLOOKUP(Table411[[#This Row],[HASBEL_ID]],LO_Logfile!Z:Z,1,0))</f>
        <v>H-ADSS 24C-2026717-01</v>
      </c>
    </row>
    <row r="142" spans="1:26">
      <c r="F142" s="495">
        <f>3000-2363</f>
        <v>637</v>
      </c>
    </row>
  </sheetData>
  <conditionalFormatting sqref="B1:B80 B141:B1048576">
    <cfRule type="containsText" dxfId="163" priority="8" operator="containsText" text="48">
      <formula>NOT(ISERROR(SEARCH("48",B1)))</formula>
    </cfRule>
    <cfRule type="containsText" dxfId="162" priority="9" operator="containsText" text="24">
      <formula>NOT(ISERROR(SEARCH("24",B1)))</formula>
    </cfRule>
    <cfRule type="iconSet" priority="12">
      <iconSet iconSet="3Arrows">
        <cfvo type="percent" val="0"/>
        <cfvo type="percent" val="33"/>
        <cfvo type="percent" val="67"/>
      </iconSet>
    </cfRule>
  </conditionalFormatting>
  <conditionalFormatting sqref="J55:V55 L54:V54 J23:V29 P22:V22 L22:N22 J21:J22 L21:V21 J44:N44 P44:V44 J43:V43 J70:V73 J68:J69 L68:V68 P69:V69 L41:V42 J57:V67 J56 N56:V56 J53:V53 L52:N52 P52:V52 J3:N3 P3:R3 T3:V3 J17:V18 J16 L16:V16 J20:V20 J19 L19:V19 J31:V34 J30 L30:V30 J36:V40 J35 L35:V35 J45:V50 J54 J41:J42 J51:J52 L51:V51 J11:V13 J15:L15 N15:V15 N7:V7 J7:L10 N9:V10 N8 P8 R8:V8 J14:N14 P14:V14 J75:V1048576 J74 L74:V74 L69:N69 J1:V2 J4:V4 J6:V6 J5 N5:V5 L5">
    <cfRule type="cellIs" dxfId="161" priority="11" operator="equal">
      <formula>0</formula>
    </cfRule>
  </conditionalFormatting>
  <conditionalFormatting sqref="G23:H23">
    <cfRule type="cellIs" dxfId="160" priority="10" operator="equal">
      <formula>0</formula>
    </cfRule>
  </conditionalFormatting>
  <conditionalFormatting sqref="L56:M56">
    <cfRule type="cellIs" dxfId="159" priority="7" operator="equal">
      <formula>0</formula>
    </cfRule>
  </conditionalFormatting>
  <conditionalFormatting sqref="G70:I70">
    <cfRule type="cellIs" dxfId="158" priority="6" operator="equal">
      <formula>0</formula>
    </cfRule>
  </conditionalFormatting>
  <conditionalFormatting sqref="B81:B94">
    <cfRule type="containsText" dxfId="157" priority="3" operator="containsText" text="48">
      <formula>NOT(ISERROR(SEARCH("48",B81)))</formula>
    </cfRule>
    <cfRule type="containsText" dxfId="156" priority="4" operator="containsText" text="24">
      <formula>NOT(ISERROR(SEARCH("24",B81)))</formula>
    </cfRule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A1:A1048576">
    <cfRule type="duplicateValues" dxfId="155" priority="2"/>
  </conditionalFormatting>
  <conditionalFormatting sqref="E1:F1">
    <cfRule type="cellIs" dxfId="154" priority="1" operator="equal">
      <formula>0</formula>
    </cfRule>
  </conditionalFormatting>
  <pageMargins left="0.7" right="0.7" top="0.75" bottom="0.75" header="0.3" footer="0.3"/>
  <pageSetup paperSize="195" orientation="portrait" horizontalDpi="203" verticalDpi="203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6CCA149-11FC-4C6A-B1C8-13AAD3263FBA}">
          <x14:formula1>
            <xm:f>Sum_WH!$E$5:$E$53</xm:f>
          </x14:formula1>
          <xm:sqref>B81:B140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1FEA5-F00F-4586-93C4-1BB3CF4082F0}">
  <dimension ref="A1:H50"/>
  <sheetViews>
    <sheetView workbookViewId="0">
      <selection activeCell="C4" sqref="C4:C22"/>
    </sheetView>
  </sheetViews>
  <sheetFormatPr defaultRowHeight="14"/>
  <cols>
    <col min="1" max="1" width="4.58203125" bestFit="1" customWidth="1"/>
    <col min="2" max="4" width="20.83203125" customWidth="1"/>
    <col min="6" max="6" width="14.58203125" bestFit="1" customWidth="1"/>
  </cols>
  <sheetData>
    <row r="1" spans="1:8">
      <c r="A1" s="537" t="s">
        <v>5360</v>
      </c>
      <c r="B1" s="537" t="s">
        <v>5361</v>
      </c>
      <c r="C1" s="537" t="s">
        <v>5362</v>
      </c>
      <c r="D1" s="537" t="s">
        <v>5363</v>
      </c>
      <c r="E1" s="543" t="s">
        <v>5371</v>
      </c>
      <c r="F1" s="543" t="s">
        <v>5372</v>
      </c>
      <c r="G1" s="543" t="s">
        <v>5373</v>
      </c>
    </row>
    <row r="2" spans="1:8">
      <c r="A2" s="538">
        <v>2</v>
      </c>
      <c r="B2" s="537" t="s">
        <v>5368</v>
      </c>
      <c r="C2" s="538">
        <v>3000</v>
      </c>
      <c r="D2" s="537" t="s">
        <v>3617</v>
      </c>
      <c r="E2" t="str">
        <f t="shared" ref="E2:E7" si="0">RIGHT(B2,2)</f>
        <v>36</v>
      </c>
      <c r="F2" t="str">
        <f t="shared" ref="F2:F33" si="1">"ADSS "&amp;E2&amp;"C_"&amp;C2</f>
        <v>ADSS 36C_3000</v>
      </c>
      <c r="G2" t="e">
        <f>VLOOKUP(F2,LO_Logfile!AD:AD,1,0)</f>
        <v>#N/A</v>
      </c>
      <c r="H2" t="str">
        <f>"ADSS "&amp;E2&amp;"C"</f>
        <v>ADSS 36C</v>
      </c>
    </row>
    <row r="3" spans="1:8">
      <c r="A3" s="538">
        <v>13</v>
      </c>
      <c r="B3" s="537" t="s">
        <v>5364</v>
      </c>
      <c r="C3" s="538">
        <v>3000</v>
      </c>
      <c r="D3" s="537" t="s">
        <v>3617</v>
      </c>
      <c r="E3" t="str">
        <f t="shared" si="0"/>
        <v>48</v>
      </c>
      <c r="F3" t="str">
        <f t="shared" si="1"/>
        <v>ADSS 48C_3000</v>
      </c>
      <c r="G3" t="e">
        <f>VLOOKUP(F3,LO_Logfile!AD:AD,1,0)</f>
        <v>#N/A</v>
      </c>
      <c r="H3" t="str">
        <f t="shared" ref="H3:H22" si="2">"ADSS "&amp;E3&amp;"C"</f>
        <v>ADSS 48C</v>
      </c>
    </row>
    <row r="4" spans="1:8">
      <c r="A4" s="538">
        <v>6</v>
      </c>
      <c r="B4" s="537" t="s">
        <v>5364</v>
      </c>
      <c r="C4" s="538">
        <v>800</v>
      </c>
      <c r="D4" s="537" t="s">
        <v>3617</v>
      </c>
      <c r="E4" t="str">
        <f t="shared" si="0"/>
        <v>48</v>
      </c>
      <c r="F4" t="str">
        <f t="shared" si="1"/>
        <v>ADSS 48C_800</v>
      </c>
      <c r="G4" t="str">
        <f>VLOOKUP(F4,LO_Logfile!AD:AD,1,0)</f>
        <v>ADSS 48C_800</v>
      </c>
      <c r="H4" t="str">
        <f t="shared" si="2"/>
        <v>ADSS 48C</v>
      </c>
    </row>
    <row r="5" spans="1:8">
      <c r="A5" s="538">
        <v>8</v>
      </c>
      <c r="B5" s="537" t="s">
        <v>5364</v>
      </c>
      <c r="C5" s="538">
        <v>750</v>
      </c>
      <c r="D5" s="537" t="s">
        <v>3617</v>
      </c>
      <c r="E5" t="str">
        <f t="shared" si="0"/>
        <v>48</v>
      </c>
      <c r="F5" t="str">
        <f t="shared" si="1"/>
        <v>ADSS 48C_750</v>
      </c>
      <c r="G5" t="str">
        <f>VLOOKUP(F5,LO_Logfile!AD:AD,1,0)</f>
        <v>ADSS 48C_750</v>
      </c>
      <c r="H5" t="str">
        <f t="shared" si="2"/>
        <v>ADSS 48C</v>
      </c>
    </row>
    <row r="6" spans="1:8">
      <c r="A6" s="538">
        <v>33</v>
      </c>
      <c r="B6" s="537" t="s">
        <v>5368</v>
      </c>
      <c r="C6" s="538">
        <v>550</v>
      </c>
      <c r="D6" s="537" t="s">
        <v>5365</v>
      </c>
      <c r="E6" t="str">
        <f t="shared" si="0"/>
        <v>36</v>
      </c>
      <c r="F6" t="str">
        <f t="shared" si="1"/>
        <v>ADSS 36C_550</v>
      </c>
      <c r="G6" t="str">
        <f>VLOOKUP(F6,LO_Logfile!AD:AD,1,0)</f>
        <v>ADSS 36C_550</v>
      </c>
      <c r="H6" t="str">
        <f t="shared" si="2"/>
        <v>ADSS 36C</v>
      </c>
    </row>
    <row r="7" spans="1:8">
      <c r="A7" s="538">
        <v>35</v>
      </c>
      <c r="B7" s="537" t="s">
        <v>5364</v>
      </c>
      <c r="C7" s="538">
        <v>400</v>
      </c>
      <c r="D7" s="537" t="s">
        <v>5365</v>
      </c>
      <c r="E7" t="str">
        <f t="shared" si="0"/>
        <v>48</v>
      </c>
      <c r="F7" t="str">
        <f t="shared" si="1"/>
        <v>ADSS 48C_400</v>
      </c>
      <c r="G7" t="str">
        <f>VLOOKUP(F7,LO_Logfile!AD:AD,1,0)</f>
        <v>ADSS 48C_400</v>
      </c>
      <c r="H7" t="str">
        <f t="shared" si="2"/>
        <v>ADSS 48C</v>
      </c>
    </row>
    <row r="8" spans="1:8">
      <c r="A8" s="538">
        <v>7</v>
      </c>
      <c r="B8" s="537" t="s">
        <v>5367</v>
      </c>
      <c r="C8" s="538">
        <v>365</v>
      </c>
      <c r="D8" s="537" t="s">
        <v>3617</v>
      </c>
      <c r="E8" t="str">
        <f>RIGHT(B8,3)</f>
        <v>144</v>
      </c>
      <c r="F8" t="str">
        <f t="shared" si="1"/>
        <v>ADSS 144C_365</v>
      </c>
      <c r="G8" t="str">
        <f>VLOOKUP(F8,LO_Logfile!AD:AD,1,0)</f>
        <v>ADSS 144C_365</v>
      </c>
      <c r="H8" t="str">
        <f t="shared" si="2"/>
        <v>ADSS 144C</v>
      </c>
    </row>
    <row r="9" spans="1:8">
      <c r="A9" s="538">
        <v>42</v>
      </c>
      <c r="B9" s="537" t="s">
        <v>5366</v>
      </c>
      <c r="C9" s="538">
        <v>290</v>
      </c>
      <c r="D9" s="537" t="s">
        <v>5365</v>
      </c>
      <c r="E9" t="str">
        <f t="shared" ref="E9:E14" si="3">RIGHT(B9,2)</f>
        <v>24</v>
      </c>
      <c r="F9" t="str">
        <f t="shared" si="1"/>
        <v>ADSS 24C_290</v>
      </c>
      <c r="G9" t="str">
        <f>VLOOKUP(F9,LO_Logfile!AD:AD,1,0)</f>
        <v>ADSS 24C_290</v>
      </c>
      <c r="H9" t="str">
        <f t="shared" si="2"/>
        <v>ADSS 24C</v>
      </c>
    </row>
    <row r="10" spans="1:8">
      <c r="A10" s="538">
        <v>31</v>
      </c>
      <c r="B10" s="537" t="s">
        <v>5366</v>
      </c>
      <c r="C10" s="538">
        <v>200</v>
      </c>
      <c r="D10" s="537" t="s">
        <v>5365</v>
      </c>
      <c r="E10" t="str">
        <f t="shared" si="3"/>
        <v>24</v>
      </c>
      <c r="F10" t="str">
        <f t="shared" si="1"/>
        <v>ADSS 24C_200</v>
      </c>
      <c r="G10" t="str">
        <f>VLOOKUP(F10,LO_Logfile!AD:AD,1,0)</f>
        <v>ADSS 24C_200</v>
      </c>
      <c r="H10" t="str">
        <f t="shared" si="2"/>
        <v>ADSS 24C</v>
      </c>
    </row>
    <row r="11" spans="1:8">
      <c r="A11" s="538">
        <v>17</v>
      </c>
      <c r="B11" s="537" t="s">
        <v>5368</v>
      </c>
      <c r="C11" s="538">
        <v>116</v>
      </c>
      <c r="D11" s="537" t="s">
        <v>5365</v>
      </c>
      <c r="E11" t="str">
        <f t="shared" si="3"/>
        <v>36</v>
      </c>
      <c r="F11" t="str">
        <f t="shared" si="1"/>
        <v>ADSS 36C_116</v>
      </c>
      <c r="G11" t="str">
        <f>VLOOKUP(F11,LO_Logfile!AD:AD,1,0)</f>
        <v>ADSS 36C_116</v>
      </c>
      <c r="H11" t="str">
        <f t="shared" si="2"/>
        <v>ADSS 36C</v>
      </c>
    </row>
    <row r="12" spans="1:8">
      <c r="A12" s="538">
        <v>25</v>
      </c>
      <c r="B12" s="537" t="s">
        <v>5366</v>
      </c>
      <c r="C12" s="538">
        <v>95</v>
      </c>
      <c r="D12" s="537" t="s">
        <v>5365</v>
      </c>
      <c r="E12" t="str">
        <f t="shared" si="3"/>
        <v>24</v>
      </c>
      <c r="F12" t="str">
        <f t="shared" si="1"/>
        <v>ADSS 24C_95</v>
      </c>
      <c r="G12" t="str">
        <f>VLOOKUP(F12,LO_Logfile!AD:AD,1,0)</f>
        <v>ADSS 24C_95</v>
      </c>
      <c r="H12" t="str">
        <f t="shared" si="2"/>
        <v>ADSS 24C</v>
      </c>
    </row>
    <row r="13" spans="1:8">
      <c r="A13" s="538">
        <v>43</v>
      </c>
      <c r="B13" s="537" t="s">
        <v>5366</v>
      </c>
      <c r="C13" s="538">
        <v>80</v>
      </c>
      <c r="D13" s="537" t="s">
        <v>5365</v>
      </c>
      <c r="E13" t="str">
        <f t="shared" si="3"/>
        <v>24</v>
      </c>
      <c r="F13" t="str">
        <f t="shared" si="1"/>
        <v>ADSS 24C_80</v>
      </c>
      <c r="G13" t="str">
        <f>VLOOKUP(F13,LO_Logfile!AD:AD,1,0)</f>
        <v>ADSS 24C_80</v>
      </c>
      <c r="H13" t="str">
        <f t="shared" si="2"/>
        <v>ADSS 24C</v>
      </c>
    </row>
    <row r="14" spans="1:8">
      <c r="A14" s="538">
        <v>18</v>
      </c>
      <c r="B14" s="537" t="s">
        <v>5364</v>
      </c>
      <c r="C14" s="538">
        <v>70</v>
      </c>
      <c r="D14" s="537" t="s">
        <v>5365</v>
      </c>
      <c r="E14" t="str">
        <f t="shared" si="3"/>
        <v>48</v>
      </c>
      <c r="F14" t="str">
        <f t="shared" si="1"/>
        <v>ADSS 48C_70</v>
      </c>
      <c r="G14" t="str">
        <f>VLOOKUP(F14,LO_Logfile!AD:AD,1,0)</f>
        <v>ADSS 48C_70</v>
      </c>
      <c r="H14" t="str">
        <f t="shared" si="2"/>
        <v>ADSS 48C</v>
      </c>
    </row>
    <row r="15" spans="1:8">
      <c r="A15" s="538">
        <v>41</v>
      </c>
      <c r="B15" s="537" t="s">
        <v>5367</v>
      </c>
      <c r="C15" s="538">
        <v>60</v>
      </c>
      <c r="D15" s="537" t="s">
        <v>5365</v>
      </c>
      <c r="E15" t="str">
        <f>RIGHT(B15,3)</f>
        <v>144</v>
      </c>
      <c r="F15" t="str">
        <f t="shared" si="1"/>
        <v>ADSS 144C_60</v>
      </c>
      <c r="G15" t="str">
        <f>VLOOKUP(F15,LO_Logfile!AD:AD,1,0)</f>
        <v>ADSS 144C_60</v>
      </c>
      <c r="H15" t="str">
        <f t="shared" si="2"/>
        <v>ADSS 144C</v>
      </c>
    </row>
    <row r="16" spans="1:8">
      <c r="A16" s="538">
        <v>36</v>
      </c>
      <c r="B16" s="537" t="s">
        <v>5364</v>
      </c>
      <c r="C16" s="538">
        <v>60</v>
      </c>
      <c r="D16" s="537" t="s">
        <v>5365</v>
      </c>
      <c r="E16" t="str">
        <f t="shared" ref="E16:E49" si="4">RIGHT(B16,2)</f>
        <v>48</v>
      </c>
      <c r="F16" t="str">
        <f t="shared" si="1"/>
        <v>ADSS 48C_60</v>
      </c>
      <c r="G16" t="str">
        <f>VLOOKUP(F16,LO_Logfile!AD:AD,1,0)</f>
        <v>ADSS 48C_60</v>
      </c>
      <c r="H16" t="str">
        <f t="shared" si="2"/>
        <v>ADSS 48C</v>
      </c>
    </row>
    <row r="17" spans="1:8">
      <c r="A17" s="538">
        <v>12</v>
      </c>
      <c r="B17" s="537" t="s">
        <v>5364</v>
      </c>
      <c r="C17" s="538">
        <v>58</v>
      </c>
      <c r="D17" s="537" t="s">
        <v>3617</v>
      </c>
      <c r="E17" t="str">
        <f t="shared" si="4"/>
        <v>48</v>
      </c>
      <c r="F17" t="str">
        <f t="shared" si="1"/>
        <v>ADSS 48C_58</v>
      </c>
      <c r="G17" t="str">
        <f>VLOOKUP(F17,LO_Logfile!AD:AD,1,0)</f>
        <v>ADSS 48C_58</v>
      </c>
      <c r="H17" t="str">
        <f t="shared" si="2"/>
        <v>ADSS 48C</v>
      </c>
    </row>
    <row r="18" spans="1:8">
      <c r="A18" s="538">
        <v>46</v>
      </c>
      <c r="B18" s="537" t="s">
        <v>5364</v>
      </c>
      <c r="C18" s="538">
        <v>58</v>
      </c>
      <c r="D18" s="537" t="s">
        <v>3617</v>
      </c>
      <c r="E18" t="str">
        <f t="shared" si="4"/>
        <v>48</v>
      </c>
      <c r="F18" t="str">
        <f t="shared" si="1"/>
        <v>ADSS 48C_58</v>
      </c>
      <c r="G18" t="str">
        <f>VLOOKUP(F18,LO_Logfile!AD:AD,1,0)</f>
        <v>ADSS 48C_58</v>
      </c>
      <c r="H18" t="str">
        <f t="shared" si="2"/>
        <v>ADSS 48C</v>
      </c>
    </row>
    <row r="19" spans="1:8">
      <c r="A19" s="538">
        <v>47</v>
      </c>
      <c r="B19" s="537" t="s">
        <v>5366</v>
      </c>
      <c r="C19" s="538">
        <v>52</v>
      </c>
      <c r="D19" s="537" t="s">
        <v>5365</v>
      </c>
      <c r="E19" t="str">
        <f t="shared" si="4"/>
        <v>24</v>
      </c>
      <c r="F19" t="str">
        <f t="shared" si="1"/>
        <v>ADSS 24C_52</v>
      </c>
      <c r="G19" t="str">
        <f>VLOOKUP(F19,LO_Logfile!AD:AD,1,0)</f>
        <v>ADSS 24C_52</v>
      </c>
      <c r="H19" t="str">
        <f t="shared" si="2"/>
        <v>ADSS 24C</v>
      </c>
    </row>
    <row r="20" spans="1:8">
      <c r="A20" s="538">
        <v>21</v>
      </c>
      <c r="B20" s="537" t="s">
        <v>5366</v>
      </c>
      <c r="C20" s="538">
        <v>48</v>
      </c>
      <c r="D20" s="537" t="s">
        <v>5365</v>
      </c>
      <c r="E20" t="str">
        <f t="shared" si="4"/>
        <v>24</v>
      </c>
      <c r="F20" t="str">
        <f t="shared" si="1"/>
        <v>ADSS 24C_48</v>
      </c>
      <c r="G20" t="str">
        <f>VLOOKUP(F20,LO_Logfile!AD:AD,1,0)</f>
        <v>ADSS 24C_48</v>
      </c>
      <c r="H20" t="str">
        <f t="shared" si="2"/>
        <v>ADSS 24C</v>
      </c>
    </row>
    <row r="21" spans="1:8">
      <c r="A21" s="538">
        <v>44</v>
      </c>
      <c r="B21" s="537" t="s">
        <v>5364</v>
      </c>
      <c r="C21" s="538">
        <v>35</v>
      </c>
      <c r="D21" s="537" t="s">
        <v>5365</v>
      </c>
      <c r="E21" t="str">
        <f t="shared" si="4"/>
        <v>48</v>
      </c>
      <c r="F21" t="str">
        <f t="shared" si="1"/>
        <v>ADSS 48C_35</v>
      </c>
      <c r="G21" t="str">
        <f>VLOOKUP(F21,LO_Logfile!AD:AD,1,0)</f>
        <v>ADSS 48C_35</v>
      </c>
      <c r="H21" t="str">
        <f t="shared" si="2"/>
        <v>ADSS 48C</v>
      </c>
    </row>
    <row r="22" spans="1:8">
      <c r="A22" s="538">
        <v>14</v>
      </c>
      <c r="B22" s="537" t="s">
        <v>5364</v>
      </c>
      <c r="C22" s="538">
        <v>18</v>
      </c>
      <c r="D22" s="537" t="s">
        <v>5365</v>
      </c>
      <c r="E22" t="str">
        <f t="shared" si="4"/>
        <v>48</v>
      </c>
      <c r="F22" t="str">
        <f t="shared" si="1"/>
        <v>ADSS 48C_18</v>
      </c>
      <c r="G22" t="str">
        <f>VLOOKUP(F22,LO_Logfile!AD:AD,1,0)</f>
        <v>ADSS 48C_18</v>
      </c>
      <c r="H22" t="str">
        <f t="shared" si="2"/>
        <v>ADSS 48C</v>
      </c>
    </row>
    <row r="23" spans="1:8">
      <c r="A23" s="538">
        <v>39</v>
      </c>
      <c r="B23" s="537" t="s">
        <v>5364</v>
      </c>
      <c r="C23" s="538">
        <v>700</v>
      </c>
      <c r="D23" s="537" t="s">
        <v>5365</v>
      </c>
      <c r="E23" t="str">
        <f t="shared" si="4"/>
        <v>48</v>
      </c>
      <c r="F23" t="str">
        <f t="shared" si="1"/>
        <v>ADSS 48C_700</v>
      </c>
      <c r="G23" t="str">
        <f>VLOOKUP(F23,LO_Logfile!AD:AD,1,0)</f>
        <v>ADSS 48C_700</v>
      </c>
    </row>
    <row r="24" spans="1:8">
      <c r="A24" s="538">
        <v>32</v>
      </c>
      <c r="B24" s="537" t="s">
        <v>5364</v>
      </c>
      <c r="C24" s="538">
        <v>64</v>
      </c>
      <c r="D24" s="537" t="s">
        <v>5365</v>
      </c>
      <c r="E24" t="str">
        <f t="shared" si="4"/>
        <v>48</v>
      </c>
      <c r="F24" t="str">
        <f t="shared" si="1"/>
        <v>ADSS 48C_64</v>
      </c>
      <c r="G24" t="str">
        <f>VLOOKUP(F24,LO_Logfile!AD:AD,1,0)</f>
        <v>ADSS 48C_64</v>
      </c>
    </row>
    <row r="25" spans="1:8">
      <c r="A25" s="538">
        <v>15</v>
      </c>
      <c r="B25" s="537" t="s">
        <v>5364</v>
      </c>
      <c r="C25" s="538">
        <v>44</v>
      </c>
      <c r="D25" s="537" t="s">
        <v>5365</v>
      </c>
      <c r="E25" t="str">
        <f t="shared" si="4"/>
        <v>48</v>
      </c>
      <c r="F25" t="str">
        <f t="shared" si="1"/>
        <v>ADSS 48C_44</v>
      </c>
      <c r="G25" t="str">
        <f>VLOOKUP(F25,LO_Logfile!AD:AD,1,0)</f>
        <v>ADSS 48C_44</v>
      </c>
    </row>
    <row r="26" spans="1:8">
      <c r="A26" s="538">
        <v>11</v>
      </c>
      <c r="B26" s="537" t="s">
        <v>5364</v>
      </c>
      <c r="C26" s="538">
        <v>1000</v>
      </c>
      <c r="D26" s="537" t="s">
        <v>3617</v>
      </c>
      <c r="E26" t="str">
        <f t="shared" si="4"/>
        <v>48</v>
      </c>
      <c r="F26" t="str">
        <f t="shared" si="1"/>
        <v>ADSS 48C_1000</v>
      </c>
      <c r="G26" t="str">
        <f>VLOOKUP(F26,LO_Logfile!AD:AD,1,0)</f>
        <v>ADSS 48C_1000</v>
      </c>
    </row>
    <row r="27" spans="1:8">
      <c r="A27" s="538">
        <v>10</v>
      </c>
      <c r="B27" s="537" t="s">
        <v>5364</v>
      </c>
      <c r="C27" s="538">
        <v>100</v>
      </c>
      <c r="D27" s="537" t="s">
        <v>3617</v>
      </c>
      <c r="E27" t="str">
        <f t="shared" si="4"/>
        <v>48</v>
      </c>
      <c r="F27" t="str">
        <f t="shared" si="1"/>
        <v>ADSS 48C_100</v>
      </c>
      <c r="G27" t="str">
        <f>VLOOKUP(F27,LO_Logfile!AD:AD,1,0)</f>
        <v>ADSS 48C_100</v>
      </c>
    </row>
    <row r="28" spans="1:8">
      <c r="A28" s="538">
        <v>5</v>
      </c>
      <c r="B28" s="537" t="s">
        <v>5368</v>
      </c>
      <c r="C28" s="538">
        <v>875</v>
      </c>
      <c r="D28" s="537" t="s">
        <v>3617</v>
      </c>
      <c r="E28" t="str">
        <f t="shared" si="4"/>
        <v>36</v>
      </c>
      <c r="F28" t="str">
        <f t="shared" si="1"/>
        <v>ADSS 36C_875</v>
      </c>
      <c r="G28" t="str">
        <f>VLOOKUP(F28,LO_Logfile!AD:AD,1,0)</f>
        <v>ADSS 36C_875</v>
      </c>
    </row>
    <row r="29" spans="1:8">
      <c r="A29" s="538">
        <v>4</v>
      </c>
      <c r="B29" s="537" t="s">
        <v>5368</v>
      </c>
      <c r="C29" s="538">
        <v>1200</v>
      </c>
      <c r="D29" s="537" t="s">
        <v>3617</v>
      </c>
      <c r="E29" t="str">
        <f t="shared" si="4"/>
        <v>36</v>
      </c>
      <c r="F29" t="str">
        <f t="shared" si="1"/>
        <v>ADSS 36C_1200</v>
      </c>
      <c r="G29" t="str">
        <f>VLOOKUP(F29,LO_Logfile!AD:AD,1,0)</f>
        <v>ADSS 36C_1200</v>
      </c>
    </row>
    <row r="30" spans="1:8">
      <c r="A30" s="538">
        <v>3</v>
      </c>
      <c r="B30" s="537" t="s">
        <v>5368</v>
      </c>
      <c r="C30" s="538">
        <v>1100</v>
      </c>
      <c r="D30" s="537" t="s">
        <v>3617</v>
      </c>
      <c r="E30" t="str">
        <f t="shared" si="4"/>
        <v>36</v>
      </c>
      <c r="F30" t="str">
        <f t="shared" si="1"/>
        <v>ADSS 36C_1100</v>
      </c>
      <c r="G30" t="str">
        <f>VLOOKUP(F30,LO_Logfile!AD:AD,1,0)</f>
        <v>ADSS 36C_1100</v>
      </c>
    </row>
    <row r="31" spans="1:8">
      <c r="A31" s="538">
        <v>23</v>
      </c>
      <c r="B31" s="537" t="s">
        <v>5366</v>
      </c>
      <c r="C31" s="538">
        <v>87</v>
      </c>
      <c r="D31" s="537" t="s">
        <v>5365</v>
      </c>
      <c r="E31" t="str">
        <f t="shared" si="4"/>
        <v>24</v>
      </c>
      <c r="F31" t="str">
        <f t="shared" si="1"/>
        <v>ADSS 24C_87</v>
      </c>
      <c r="G31" t="str">
        <f>VLOOKUP(F31,LO_Logfile!AD:AD,1,0)</f>
        <v>ADSS 24C_87</v>
      </c>
    </row>
    <row r="32" spans="1:8">
      <c r="A32" s="538">
        <v>34</v>
      </c>
      <c r="B32" s="537" t="s">
        <v>5366</v>
      </c>
      <c r="C32" s="538">
        <v>75</v>
      </c>
      <c r="D32" s="537" t="s">
        <v>5365</v>
      </c>
      <c r="E32" t="str">
        <f t="shared" si="4"/>
        <v>24</v>
      </c>
      <c r="F32" t="str">
        <f t="shared" si="1"/>
        <v>ADSS 24C_75</v>
      </c>
      <c r="G32" t="str">
        <f>VLOOKUP(F32,LO_Logfile!AD:AD,1,0)</f>
        <v>ADSS 24C_75</v>
      </c>
    </row>
    <row r="33" spans="1:7">
      <c r="A33" s="538">
        <v>37</v>
      </c>
      <c r="B33" s="537" t="s">
        <v>5366</v>
      </c>
      <c r="C33" s="538">
        <v>75</v>
      </c>
      <c r="D33" s="537" t="s">
        <v>5365</v>
      </c>
      <c r="E33" t="str">
        <f t="shared" si="4"/>
        <v>24</v>
      </c>
      <c r="F33" t="str">
        <f t="shared" si="1"/>
        <v>ADSS 24C_75</v>
      </c>
      <c r="G33" t="str">
        <f>VLOOKUP(F33,LO_Logfile!AD:AD,1,0)</f>
        <v>ADSS 24C_75</v>
      </c>
    </row>
    <row r="34" spans="1:7">
      <c r="A34" s="538">
        <v>38</v>
      </c>
      <c r="B34" s="537" t="s">
        <v>5366</v>
      </c>
      <c r="C34" s="538">
        <v>68</v>
      </c>
      <c r="D34" s="537" t="s">
        <v>5365</v>
      </c>
      <c r="E34" t="str">
        <f t="shared" si="4"/>
        <v>24</v>
      </c>
      <c r="F34" t="str">
        <f t="shared" ref="F34:F50" si="5">"ADSS "&amp;E34&amp;"C_"&amp;C34</f>
        <v>ADSS 24C_68</v>
      </c>
      <c r="G34" t="str">
        <f>VLOOKUP(F34,LO_Logfile!AD:AD,1,0)</f>
        <v>ADSS 24C_68</v>
      </c>
    </row>
    <row r="35" spans="1:7">
      <c r="A35" s="538">
        <v>26</v>
      </c>
      <c r="B35" s="537" t="s">
        <v>5366</v>
      </c>
      <c r="C35" s="538">
        <v>62</v>
      </c>
      <c r="D35" s="537" t="s">
        <v>5365</v>
      </c>
      <c r="E35" t="str">
        <f t="shared" si="4"/>
        <v>24</v>
      </c>
      <c r="F35" t="str">
        <f t="shared" si="5"/>
        <v>ADSS 24C_62</v>
      </c>
      <c r="G35" t="str">
        <f>VLOOKUP(F35,LO_Logfile!AD:AD,1,0)</f>
        <v>ADSS 24C_62</v>
      </c>
    </row>
    <row r="36" spans="1:7">
      <c r="A36" s="538">
        <v>28</v>
      </c>
      <c r="B36" s="537" t="s">
        <v>5366</v>
      </c>
      <c r="C36" s="538">
        <v>60</v>
      </c>
      <c r="D36" s="537" t="s">
        <v>5365</v>
      </c>
      <c r="E36" t="str">
        <f t="shared" si="4"/>
        <v>24</v>
      </c>
      <c r="F36" t="str">
        <f t="shared" si="5"/>
        <v>ADSS 24C_60</v>
      </c>
      <c r="G36" t="str">
        <f>VLOOKUP(F36,LO_Logfile!AD:AD,1,0)</f>
        <v>ADSS 24C_60</v>
      </c>
    </row>
    <row r="37" spans="1:7">
      <c r="A37" s="538">
        <v>24</v>
      </c>
      <c r="B37" s="537" t="s">
        <v>5366</v>
      </c>
      <c r="C37" s="538">
        <v>55</v>
      </c>
      <c r="D37" s="537" t="s">
        <v>5365</v>
      </c>
      <c r="E37" t="str">
        <f t="shared" si="4"/>
        <v>24</v>
      </c>
      <c r="F37" t="str">
        <f t="shared" si="5"/>
        <v>ADSS 24C_55</v>
      </c>
      <c r="G37" t="str">
        <f>VLOOKUP(F37,LO_Logfile!AD:AD,1,0)</f>
        <v>ADSS 24C_55</v>
      </c>
    </row>
    <row r="38" spans="1:7">
      <c r="A38" s="538">
        <v>29</v>
      </c>
      <c r="B38" s="537" t="s">
        <v>5366</v>
      </c>
      <c r="C38" s="538">
        <v>500</v>
      </c>
      <c r="D38" s="537" t="s">
        <v>5365</v>
      </c>
      <c r="E38" t="str">
        <f t="shared" si="4"/>
        <v>24</v>
      </c>
      <c r="F38" t="str">
        <f t="shared" si="5"/>
        <v>ADSS 24C_500</v>
      </c>
      <c r="G38" t="str">
        <f>VLOOKUP(F38,LO_Logfile!AD:AD,1,0)</f>
        <v>ADSS 24C_500</v>
      </c>
    </row>
    <row r="39" spans="1:7">
      <c r="A39" s="538">
        <v>49</v>
      </c>
      <c r="B39" s="537" t="s">
        <v>5366</v>
      </c>
      <c r="C39" s="538">
        <v>500</v>
      </c>
      <c r="D39" s="537" t="s">
        <v>5365</v>
      </c>
      <c r="E39" t="str">
        <f t="shared" si="4"/>
        <v>24</v>
      </c>
      <c r="F39" t="str">
        <f t="shared" si="5"/>
        <v>ADSS 24C_500</v>
      </c>
      <c r="G39" t="str">
        <f>VLOOKUP(F39,LO_Logfile!AD:AD,1,0)</f>
        <v>ADSS 24C_500</v>
      </c>
    </row>
    <row r="40" spans="1:7">
      <c r="A40" s="538">
        <v>9</v>
      </c>
      <c r="B40" s="537" t="s">
        <v>5366</v>
      </c>
      <c r="C40" s="538">
        <v>350</v>
      </c>
      <c r="D40" s="537" t="s">
        <v>3617</v>
      </c>
      <c r="E40" t="str">
        <f t="shared" si="4"/>
        <v>24</v>
      </c>
      <c r="F40" t="str">
        <f t="shared" si="5"/>
        <v>ADSS 24C_350</v>
      </c>
      <c r="G40" t="str">
        <f>VLOOKUP(F40,LO_Logfile!AD:AD,1,0)</f>
        <v>ADSS 24C_350</v>
      </c>
    </row>
    <row r="41" spans="1:7">
      <c r="A41" s="538">
        <v>27</v>
      </c>
      <c r="B41" s="537" t="s">
        <v>5366</v>
      </c>
      <c r="C41" s="538">
        <v>300</v>
      </c>
      <c r="D41" s="537" t="s">
        <v>5365</v>
      </c>
      <c r="E41" t="str">
        <f t="shared" si="4"/>
        <v>24</v>
      </c>
      <c r="F41" t="str">
        <f t="shared" si="5"/>
        <v>ADSS 24C_300</v>
      </c>
      <c r="G41" t="str">
        <f>VLOOKUP(F41,LO_Logfile!AD:AD,1,0)</f>
        <v>ADSS 24C_300</v>
      </c>
    </row>
    <row r="42" spans="1:7">
      <c r="A42" s="538">
        <v>48</v>
      </c>
      <c r="B42" s="537" t="s">
        <v>5366</v>
      </c>
      <c r="C42" s="538">
        <v>300</v>
      </c>
      <c r="D42" s="537" t="s">
        <v>5365</v>
      </c>
      <c r="E42" t="str">
        <f t="shared" si="4"/>
        <v>24</v>
      </c>
      <c r="F42" t="str">
        <f t="shared" si="5"/>
        <v>ADSS 24C_300</v>
      </c>
      <c r="G42" t="str">
        <f>VLOOKUP(F42,LO_Logfile!AD:AD,1,0)</f>
        <v>ADSS 24C_300</v>
      </c>
    </row>
    <row r="43" spans="1:7">
      <c r="A43" s="538">
        <v>22</v>
      </c>
      <c r="B43" s="537" t="s">
        <v>5366</v>
      </c>
      <c r="C43" s="538">
        <v>291</v>
      </c>
      <c r="D43" s="537" t="s">
        <v>5365</v>
      </c>
      <c r="E43" t="str">
        <f t="shared" si="4"/>
        <v>24</v>
      </c>
      <c r="F43" t="str">
        <f t="shared" si="5"/>
        <v>ADSS 24C_291</v>
      </c>
      <c r="G43" t="str">
        <f>VLOOKUP(F43,LO_Logfile!AD:AD,1,0)</f>
        <v>ADSS 24C_291</v>
      </c>
    </row>
    <row r="44" spans="1:7">
      <c r="A44" s="538">
        <v>1</v>
      </c>
      <c r="B44" s="537" t="s">
        <v>5366</v>
      </c>
      <c r="C44" s="538">
        <v>1900</v>
      </c>
      <c r="D44" s="537" t="s">
        <v>3617</v>
      </c>
      <c r="E44" t="str">
        <f t="shared" si="4"/>
        <v>24</v>
      </c>
      <c r="F44" t="str">
        <f t="shared" si="5"/>
        <v>ADSS 24C_1900</v>
      </c>
      <c r="G44" t="str">
        <f>VLOOKUP(F44,LO_Logfile!AD:AD,1,0)</f>
        <v>ADSS 24C_1900</v>
      </c>
    </row>
    <row r="45" spans="1:7">
      <c r="A45" s="538">
        <v>30</v>
      </c>
      <c r="B45" s="537" t="s">
        <v>5366</v>
      </c>
      <c r="C45" s="538">
        <v>162</v>
      </c>
      <c r="D45" s="537" t="s">
        <v>5365</v>
      </c>
      <c r="E45" t="str">
        <f t="shared" si="4"/>
        <v>24</v>
      </c>
      <c r="F45" t="str">
        <f t="shared" si="5"/>
        <v>ADSS 24C_162</v>
      </c>
      <c r="G45" t="str">
        <f>VLOOKUP(F45,LO_Logfile!AD:AD,1,0)</f>
        <v>ADSS 24C_162</v>
      </c>
    </row>
    <row r="46" spans="1:7">
      <c r="A46" s="538">
        <v>45</v>
      </c>
      <c r="B46" s="537" t="s">
        <v>5366</v>
      </c>
      <c r="C46" s="538">
        <v>158</v>
      </c>
      <c r="D46" s="537" t="s">
        <v>5365</v>
      </c>
      <c r="E46" t="str">
        <f t="shared" si="4"/>
        <v>24</v>
      </c>
      <c r="F46" t="str">
        <f t="shared" si="5"/>
        <v>ADSS 24C_158</v>
      </c>
      <c r="G46" t="str">
        <f>VLOOKUP(F46,LO_Logfile!AD:AD,1,0)</f>
        <v>ADSS 24C_158</v>
      </c>
    </row>
    <row r="47" spans="1:7">
      <c r="A47" s="538">
        <v>16</v>
      </c>
      <c r="B47" s="537" t="s">
        <v>5366</v>
      </c>
      <c r="C47" s="538">
        <v>150</v>
      </c>
      <c r="D47" s="537" t="s">
        <v>5365</v>
      </c>
      <c r="E47" t="str">
        <f t="shared" si="4"/>
        <v>24</v>
      </c>
      <c r="F47" t="str">
        <f t="shared" si="5"/>
        <v>ADSS 24C_150</v>
      </c>
      <c r="G47" t="str">
        <f>VLOOKUP(F47,LO_Logfile!AD:AD,1,0)</f>
        <v>ADSS 24C_150</v>
      </c>
    </row>
    <row r="48" spans="1:7">
      <c r="A48" s="538">
        <v>20</v>
      </c>
      <c r="B48" s="537" t="s">
        <v>5366</v>
      </c>
      <c r="C48" s="538">
        <v>125</v>
      </c>
      <c r="D48" s="537" t="s">
        <v>5365</v>
      </c>
      <c r="E48" t="str">
        <f t="shared" si="4"/>
        <v>24</v>
      </c>
      <c r="F48" t="str">
        <f t="shared" si="5"/>
        <v>ADSS 24C_125</v>
      </c>
      <c r="G48" t="str">
        <f>VLOOKUP(F48,LO_Logfile!AD:AD,1,0)</f>
        <v>ADSS 24C_125</v>
      </c>
    </row>
    <row r="49" spans="1:7">
      <c r="A49" s="538">
        <v>19</v>
      </c>
      <c r="B49" s="537" t="s">
        <v>5366</v>
      </c>
      <c r="C49" s="538">
        <v>114</v>
      </c>
      <c r="D49" s="537" t="s">
        <v>5365</v>
      </c>
      <c r="E49" t="str">
        <f t="shared" si="4"/>
        <v>24</v>
      </c>
      <c r="F49" t="str">
        <f t="shared" si="5"/>
        <v>ADSS 24C_114</v>
      </c>
      <c r="G49" t="str">
        <f>VLOOKUP(F49,LO_Logfile!AD:AD,1,0)</f>
        <v>ADSS 24C_114</v>
      </c>
    </row>
    <row r="50" spans="1:7">
      <c r="A50" s="538">
        <v>40</v>
      </c>
      <c r="B50" s="537" t="s">
        <v>5367</v>
      </c>
      <c r="C50" s="538">
        <v>150</v>
      </c>
      <c r="D50" s="537" t="s">
        <v>5365</v>
      </c>
      <c r="E50" t="str">
        <f>RIGHT(B50,3)</f>
        <v>144</v>
      </c>
      <c r="F50" t="str">
        <f t="shared" si="5"/>
        <v>ADSS 144C_150</v>
      </c>
      <c r="G50" t="str">
        <f>VLOOKUP(F50,LO_Logfile!AD:AD,1,0)</f>
        <v>ADSS 144C_150</v>
      </c>
    </row>
  </sheetData>
  <autoFilter ref="A1:G50" xr:uid="{AAF1FEA5-F00F-4586-93C4-1BB3CF4082F0}">
    <sortState xmlns:xlrd2="http://schemas.microsoft.com/office/spreadsheetml/2017/richdata2" ref="A2:G50">
      <sortCondition descending="1" ref="G1:G50"/>
    </sortState>
  </autoFilter>
  <pageMargins left="0.7" right="0.7" top="0.75" bottom="0.75" header="0.3" footer="0.3"/>
  <pageSetup paperSize="183" orientation="portrait" horizontalDpi="203" verticalDpi="203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9328F-B5E9-49E6-A89A-991F35190690}">
  <sheetPr codeName="Sheet8">
    <tabColor rgb="FFFFC000"/>
  </sheetPr>
  <dimension ref="A1:AG145"/>
  <sheetViews>
    <sheetView zoomScale="115" zoomScaleNormal="115" workbookViewId="0">
      <pane xSplit="6" ySplit="4" topLeftCell="G123" activePane="bottomRight" state="frozen"/>
      <selection pane="topRight" activeCell="F1" sqref="F1"/>
      <selection pane="bottomLeft" activeCell="A5" sqref="A5"/>
      <selection pane="bottomRight" activeCell="E147" sqref="E147"/>
    </sheetView>
  </sheetViews>
  <sheetFormatPr defaultRowHeight="14"/>
  <cols>
    <col min="2" max="2" width="12.4140625" customWidth="1"/>
    <col min="3" max="3" width="10.4140625" customWidth="1"/>
    <col min="4" max="4" width="11.58203125" customWidth="1"/>
    <col min="5" max="5" width="17.5" customWidth="1"/>
    <col min="6" max="6" width="14.9140625" customWidth="1"/>
    <col min="7" max="7" width="15.4140625" customWidth="1"/>
    <col min="8" max="8" width="10.6640625" style="116" customWidth="1"/>
    <col min="9" max="9" width="2.6640625" customWidth="1"/>
    <col min="10" max="10" width="13.33203125" customWidth="1"/>
    <col min="11" max="11" width="16.5" bestFit="1" customWidth="1"/>
    <col min="12" max="12" width="7.9140625" customWidth="1"/>
    <col min="13" max="13" width="9.83203125" style="479" customWidth="1"/>
    <col min="14" max="14" width="8.83203125" style="214"/>
    <col min="15" max="15" width="8.4140625" bestFit="1" customWidth="1"/>
    <col min="16" max="16" width="12.83203125" customWidth="1"/>
    <col min="17" max="17" width="36.6640625" bestFit="1" customWidth="1"/>
    <col min="18" max="18" width="12.1640625" customWidth="1"/>
    <col min="19" max="19" width="12.5" customWidth="1"/>
    <col min="20" max="20" width="11" customWidth="1"/>
    <col min="21" max="21" width="20.6640625" customWidth="1"/>
    <col min="22" max="22" width="16.1640625" customWidth="1"/>
    <col min="23" max="23" width="18.1640625" customWidth="1"/>
    <col min="24" max="24" width="10.5" customWidth="1"/>
    <col min="25" max="25" width="36" customWidth="1"/>
    <col min="26" max="26" width="20.6640625" bestFit="1" customWidth="1"/>
    <col min="27" max="27" width="17.5" customWidth="1"/>
    <col min="28" max="28" width="12.5" customWidth="1"/>
    <col min="29" max="29" width="12" customWidth="1"/>
    <col min="30" max="30" width="13.9140625" bestFit="1" customWidth="1"/>
    <col min="32" max="33" width="15.4140625" bestFit="1" customWidth="1"/>
  </cols>
  <sheetData>
    <row r="1" spans="1:33" s="3" customFormat="1" ht="15.5">
      <c r="B1" s="1" t="s">
        <v>3261</v>
      </c>
      <c r="H1" s="196"/>
      <c r="M1" s="474"/>
      <c r="N1" s="312"/>
    </row>
    <row r="2" spans="1:33" s="3" customFormat="1">
      <c r="H2" s="196"/>
      <c r="M2" s="474"/>
      <c r="N2" s="312"/>
      <c r="O2" s="3">
        <f>O8-1128</f>
        <v>-970</v>
      </c>
    </row>
    <row r="3" spans="1:33" s="557" customFormat="1">
      <c r="A3" s="556">
        <v>1</v>
      </c>
      <c r="B3" s="556">
        <v>2</v>
      </c>
      <c r="C3" s="556">
        <v>3</v>
      </c>
      <c r="D3" s="556">
        <v>4</v>
      </c>
      <c r="E3" s="556">
        <v>5</v>
      </c>
      <c r="F3" s="556">
        <v>6</v>
      </c>
      <c r="G3" s="556">
        <v>7</v>
      </c>
      <c r="H3" s="556">
        <v>8</v>
      </c>
      <c r="I3" s="556">
        <v>9</v>
      </c>
      <c r="J3" s="556">
        <v>10</v>
      </c>
      <c r="K3" s="556">
        <v>11</v>
      </c>
      <c r="L3" s="556">
        <v>12</v>
      </c>
      <c r="M3" s="556">
        <v>13</v>
      </c>
      <c r="N3" s="556">
        <v>14</v>
      </c>
      <c r="O3" s="556">
        <v>15</v>
      </c>
      <c r="P3" s="556">
        <v>16</v>
      </c>
      <c r="Q3" s="556">
        <v>17</v>
      </c>
      <c r="R3" s="556">
        <v>18</v>
      </c>
      <c r="S3" s="556">
        <v>19</v>
      </c>
      <c r="T3" s="556">
        <v>20</v>
      </c>
      <c r="U3" s="556">
        <v>21</v>
      </c>
      <c r="V3" s="556">
        <v>22</v>
      </c>
      <c r="W3" s="556">
        <v>23</v>
      </c>
      <c r="X3" s="556">
        <v>24</v>
      </c>
      <c r="Y3" s="556">
        <v>25</v>
      </c>
      <c r="Z3" s="556">
        <v>26</v>
      </c>
      <c r="AA3" s="556">
        <v>27</v>
      </c>
      <c r="AB3" s="556">
        <v>28</v>
      </c>
      <c r="AC3" s="556">
        <v>29</v>
      </c>
      <c r="AD3" s="556">
        <v>30</v>
      </c>
      <c r="AE3" s="556">
        <v>31</v>
      </c>
      <c r="AF3" s="556">
        <v>32</v>
      </c>
      <c r="AG3" s="556">
        <v>33</v>
      </c>
    </row>
    <row r="4" spans="1:33" s="2" customFormat="1" ht="32.4" customHeight="1">
      <c r="A4" s="31" t="s">
        <v>18</v>
      </c>
      <c r="B4" s="27" t="s">
        <v>3262</v>
      </c>
      <c r="C4" s="31" t="s">
        <v>3178</v>
      </c>
      <c r="D4" s="69" t="s">
        <v>57</v>
      </c>
      <c r="E4" s="31" t="s">
        <v>59</v>
      </c>
      <c r="F4" s="31" t="s">
        <v>23</v>
      </c>
      <c r="G4" s="31" t="s">
        <v>56</v>
      </c>
      <c r="H4" s="197" t="s">
        <v>54</v>
      </c>
      <c r="I4" s="31" t="s">
        <v>42</v>
      </c>
      <c r="J4" s="31" t="s">
        <v>3025</v>
      </c>
      <c r="K4" s="31" t="s">
        <v>30</v>
      </c>
      <c r="L4" s="31" t="s">
        <v>27</v>
      </c>
      <c r="M4" s="475" t="s">
        <v>28</v>
      </c>
      <c r="N4" s="313" t="s">
        <v>17</v>
      </c>
      <c r="O4" s="31" t="s">
        <v>35</v>
      </c>
      <c r="P4" s="31" t="s">
        <v>31</v>
      </c>
      <c r="Q4" s="31" t="s">
        <v>32</v>
      </c>
      <c r="R4" s="31" t="s">
        <v>33</v>
      </c>
      <c r="S4" s="31" t="s">
        <v>34</v>
      </c>
      <c r="T4" s="31" t="s">
        <v>22</v>
      </c>
      <c r="U4" s="31" t="s">
        <v>3018</v>
      </c>
      <c r="V4" s="31" t="s">
        <v>51</v>
      </c>
      <c r="W4" s="31" t="s">
        <v>52</v>
      </c>
      <c r="X4" s="31" t="s">
        <v>53</v>
      </c>
      <c r="Y4" s="68" t="s">
        <v>36</v>
      </c>
      <c r="Z4" s="31" t="s">
        <v>4945</v>
      </c>
      <c r="AA4" s="123" t="s">
        <v>3631</v>
      </c>
      <c r="AB4" s="123" t="s">
        <v>3618</v>
      </c>
      <c r="AC4" s="123" t="s">
        <v>3615</v>
      </c>
      <c r="AD4" s="31" t="s">
        <v>5369</v>
      </c>
      <c r="AE4" s="31" t="s">
        <v>5370</v>
      </c>
      <c r="AF4" s="31" t="s">
        <v>5374</v>
      </c>
      <c r="AG4" s="31" t="s">
        <v>5375</v>
      </c>
    </row>
    <row r="5" spans="1:33" s="81" customFormat="1" ht="14.5">
      <c r="A5" s="280" t="str">
        <f t="shared" ref="A5:A36" si="0">TEXT(ROW(A5)-ROW($A$4),"000")</f>
        <v>001</v>
      </c>
      <c r="B5" s="545" t="str" cm="1">
        <f t="array" ref="B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B-001-895m</v>
      </c>
      <c r="C5" s="221"/>
      <c r="D5" s="227" t="s">
        <v>48</v>
      </c>
      <c r="E5" s="221" t="s">
        <v>4959</v>
      </c>
      <c r="F5" s="221" t="s">
        <v>3295</v>
      </c>
      <c r="G5" s="221" t="s">
        <v>3299</v>
      </c>
      <c r="H5" s="282">
        <v>45148</v>
      </c>
      <c r="I5" s="223">
        <v>15.692638888888888</v>
      </c>
      <c r="J5" s="262" t="s">
        <v>3586</v>
      </c>
      <c r="K5" s="249" t="s">
        <v>3023</v>
      </c>
      <c r="L5" s="241" t="s">
        <v>3075</v>
      </c>
      <c r="M5" s="309" t="str">
        <f>VLOOKUP(LO_Logfile[[#This Row],[Material Name]],Sheet2!B:D,2,0)</f>
        <v>ZTE2003</v>
      </c>
      <c r="N5" s="241" t="s">
        <v>20</v>
      </c>
      <c r="O5" s="221">
        <v>895</v>
      </c>
      <c r="P5" s="221" t="s">
        <v>84</v>
      </c>
      <c r="Q5" s="221" t="s">
        <v>85</v>
      </c>
      <c r="R5" s="221"/>
      <c r="S5" s="221"/>
      <c r="T5" s="221"/>
      <c r="U5" s="221" t="s">
        <v>3305</v>
      </c>
      <c r="V5" s="221" t="s">
        <v>3228</v>
      </c>
      <c r="W5" s="221" t="s">
        <v>3306</v>
      </c>
      <c r="X5" s="221" t="s">
        <v>3307</v>
      </c>
      <c r="Y5" s="284">
        <v>890</v>
      </c>
      <c r="Z5" s="336" t="s">
        <v>4957</v>
      </c>
      <c r="AA5" s="296"/>
      <c r="AB5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5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5" s="539" t="str">
        <f>LO_Logfile[[#This Row],[Material Name]]&amp;"_"&amp;LO_Logfile[[#This Row],[Qty]]</f>
        <v>ADSS 48C_895</v>
      </c>
      <c r="AE5" s="539" t="e">
        <f>VLOOKUP(LO_Logfile[[#This Row],[looK]],MANUAL!F:F,1,0)</f>
        <v>#N/A</v>
      </c>
      <c r="AF5" s="539" t="str">
        <f>LO_Logfile[[#This Row],[Material Name]]&amp;LO_Logfile[[#This Row],[Qty]]&amp;"_"&amp;LO_Logfile[[#This Row],[In-Out Qty]]</f>
        <v>ADSS 48C895_1</v>
      </c>
      <c r="AG5" s="554" t="str">
        <f>VLOOKUP(LO_Logfile[[#This Row],[Material Name]]&amp;LO_Logfile[[#This Row],[Qty]]&amp;"_"&amp;-2+LO_Logfile[[#This Row],[In-Out Qty]],AF:AF,1,0)</f>
        <v>ADSS 48C895_-1</v>
      </c>
    </row>
    <row r="6" spans="1:33" s="81" customFormat="1" ht="14.5">
      <c r="A6" s="280" t="str">
        <f t="shared" si="0"/>
        <v>002</v>
      </c>
      <c r="B6" s="545" t="str" cm="1">
        <f t="array" ref="B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A-001-1721m</v>
      </c>
      <c r="C6" s="221"/>
      <c r="D6" s="262" t="s">
        <v>48</v>
      </c>
      <c r="E6" s="221" t="s">
        <v>4959</v>
      </c>
      <c r="F6" s="221" t="s">
        <v>3295</v>
      </c>
      <c r="G6" s="221" t="s">
        <v>3299</v>
      </c>
      <c r="H6" s="282">
        <v>45148</v>
      </c>
      <c r="I6" s="223">
        <v>15.692638888888888</v>
      </c>
      <c r="J6" s="262" t="s">
        <v>3586</v>
      </c>
      <c r="K6" s="249" t="s">
        <v>3023</v>
      </c>
      <c r="L6" s="241" t="s">
        <v>3073</v>
      </c>
      <c r="M6" s="309" t="str">
        <f>VLOOKUP(LO_Logfile[[#This Row],[Material Name]],Sheet2!B:D,2,0)</f>
        <v>ZTE2001</v>
      </c>
      <c r="N6" s="241" t="s">
        <v>20</v>
      </c>
      <c r="O6" s="221">
        <v>1721</v>
      </c>
      <c r="P6" s="221" t="s">
        <v>84</v>
      </c>
      <c r="Q6" s="221" t="s">
        <v>85</v>
      </c>
      <c r="R6" s="221"/>
      <c r="S6" s="221"/>
      <c r="T6" s="221"/>
      <c r="U6" s="221" t="s">
        <v>3305</v>
      </c>
      <c r="V6" s="221" t="s">
        <v>3228</v>
      </c>
      <c r="W6" s="221" t="s">
        <v>3306</v>
      </c>
      <c r="X6" s="221" t="s">
        <v>3307</v>
      </c>
      <c r="Y6" s="284" t="s">
        <v>3483</v>
      </c>
      <c r="Z6" s="311" t="s">
        <v>4946</v>
      </c>
      <c r="AA6" s="279"/>
      <c r="AB6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6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6" s="539" t="str">
        <f>LO_Logfile[[#This Row],[Material Name]]&amp;"_"&amp;LO_Logfile[[#This Row],[Qty]]</f>
        <v>ADSS 24C_1721</v>
      </c>
      <c r="AE6" s="539" t="e">
        <f>VLOOKUP(LO_Logfile[[#This Row],[looK]],MANUAL!F:F,1,0)</f>
        <v>#N/A</v>
      </c>
      <c r="AF6" s="539" t="str">
        <f>LO_Logfile[[#This Row],[Material Name]]&amp;LO_Logfile[[#This Row],[Qty]]&amp;"_"&amp;LO_Logfile[[#This Row],[In-Out Qty]]</f>
        <v>ADSS 24C1721_1</v>
      </c>
      <c r="AG6" s="552" t="str">
        <f>VLOOKUP(LO_Logfile[[#This Row],[Material Name]]&amp;LO_Logfile[[#This Row],[Qty]]&amp;"_"&amp;-2+LO_Logfile[[#This Row],[In-Out Qty]],AF:AF,1,0)</f>
        <v>ADSS 24C1721_-1</v>
      </c>
    </row>
    <row r="7" spans="1:33" ht="14.5">
      <c r="A7" s="280" t="str">
        <f t="shared" si="0"/>
        <v>003</v>
      </c>
      <c r="B7" s="545" t="str" cm="1">
        <f t="array" ref="B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B-002-895m</v>
      </c>
      <c r="C7" s="221"/>
      <c r="D7" s="227" t="s">
        <v>3388</v>
      </c>
      <c r="E7" s="221" t="s">
        <v>4960</v>
      </c>
      <c r="F7" s="221" t="s">
        <v>3295</v>
      </c>
      <c r="G7" s="221" t="s">
        <v>3299</v>
      </c>
      <c r="H7" s="282">
        <v>45165</v>
      </c>
      <c r="I7" s="223">
        <v>15.692638888888888</v>
      </c>
      <c r="J7" s="262" t="s">
        <v>4920</v>
      </c>
      <c r="K7" s="249" t="s">
        <v>3023</v>
      </c>
      <c r="L7" s="241" t="s">
        <v>3075</v>
      </c>
      <c r="M7" s="309" t="str">
        <f>VLOOKUP(LO_Logfile[[#This Row],[Material Name]],Sheet2!B:D,2,0)</f>
        <v>ZTE2003</v>
      </c>
      <c r="N7" s="241" t="s">
        <v>20</v>
      </c>
      <c r="O7" s="221">
        <v>895</v>
      </c>
      <c r="P7" s="221" t="s">
        <v>84</v>
      </c>
      <c r="Q7" s="221" t="s">
        <v>85</v>
      </c>
      <c r="R7" s="221"/>
      <c r="S7" s="221"/>
      <c r="T7" s="221"/>
      <c r="U7" s="221" t="s">
        <v>4961</v>
      </c>
      <c r="V7" s="221"/>
      <c r="W7" s="221"/>
      <c r="X7" s="221"/>
      <c r="Y7" s="284">
        <v>890</v>
      </c>
      <c r="Z7" s="311" t="s">
        <v>4957</v>
      </c>
      <c r="AA7" s="279"/>
      <c r="AB7" s="285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7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7" s="540" t="str">
        <f>LO_Logfile[[#This Row],[Material Name]]&amp;"_"&amp;LO_Logfile[[#This Row],[Qty]]</f>
        <v>ADSS 48C_895</v>
      </c>
      <c r="AE7" s="540" t="e">
        <f>VLOOKUP(LO_Logfile[[#This Row],[looK]],MANUAL!F:F,1,0)</f>
        <v>#N/A</v>
      </c>
      <c r="AF7" s="540" t="str">
        <f>LO_Logfile[[#This Row],[Material Name]]&amp;LO_Logfile[[#This Row],[Qty]]&amp;"_"&amp;LO_Logfile[[#This Row],[In-Out Qty]]</f>
        <v>ADSS 48C895_-1</v>
      </c>
      <c r="AG7" s="554" t="e">
        <f>VLOOKUP(LO_Logfile[[#This Row],[Material Name]]&amp;LO_Logfile[[#This Row],[Qty]]&amp;"_"&amp;-2+LO_Logfile[[#This Row],[In-Out Qty]],AF:AF,1,0)</f>
        <v>#N/A</v>
      </c>
    </row>
    <row r="8" spans="1:33" s="81" customFormat="1" ht="14.5">
      <c r="A8" s="260" t="str">
        <f t="shared" si="0"/>
        <v>004</v>
      </c>
      <c r="B8" s="261" t="str" cm="1">
        <f t="array" ref="B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A-002-158m</v>
      </c>
      <c r="C8" s="262"/>
      <c r="D8" s="262" t="s">
        <v>48</v>
      </c>
      <c r="E8" s="262" t="s">
        <v>4431</v>
      </c>
      <c r="F8" s="262" t="s">
        <v>3295</v>
      </c>
      <c r="G8" s="262" t="s">
        <v>3299</v>
      </c>
      <c r="H8" s="263">
        <v>45173</v>
      </c>
      <c r="I8" s="240">
        <v>0.79166666666666663</v>
      </c>
      <c r="J8" s="262" t="s">
        <v>3586</v>
      </c>
      <c r="K8" s="249" t="s">
        <v>4432</v>
      </c>
      <c r="L8" s="241" t="s">
        <v>3073</v>
      </c>
      <c r="M8" s="242" t="str">
        <f>VLOOKUP(LO_Logfile[[#This Row],[Material Name]],Sheet2!B:D,2,0)</f>
        <v>ZTE2001</v>
      </c>
      <c r="N8" s="241" t="s">
        <v>20</v>
      </c>
      <c r="O8" s="262">
        <v>158</v>
      </c>
      <c r="P8" s="262" t="s">
        <v>150</v>
      </c>
      <c r="Q8" s="262" t="s">
        <v>151</v>
      </c>
      <c r="R8" s="262"/>
      <c r="S8" s="262"/>
      <c r="T8" s="262"/>
      <c r="U8" s="262"/>
      <c r="V8" s="262"/>
      <c r="W8" s="262"/>
      <c r="X8" s="262"/>
      <c r="Y8" s="262" t="s">
        <v>3606</v>
      </c>
      <c r="Z8" s="267"/>
      <c r="AA8" s="267" t="s">
        <v>4433</v>
      </c>
      <c r="AB8" s="26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8" s="26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8" s="541" t="str">
        <f>LO_Logfile[[#This Row],[Material Name]]&amp;"_"&amp;LO_Logfile[[#This Row],[Qty]]</f>
        <v>ADSS 24C_158</v>
      </c>
      <c r="AE8" s="541" t="str">
        <f>VLOOKUP(LO_Logfile[[#This Row],[looK]],MANUAL!F:F,1,0)</f>
        <v>ADSS 24C_158</v>
      </c>
      <c r="AF8" s="540" t="str">
        <f>LO_Logfile[[#This Row],[Material Name]]&amp;LO_Logfile[[#This Row],[Qty]]&amp;"_"&amp;LO_Logfile[[#This Row],[In-Out Qty]]</f>
        <v>ADSS 24C158_1</v>
      </c>
      <c r="AG8" s="553" t="e">
        <f>VLOOKUP(LO_Logfile[[#This Row],[Material Name]]&amp;LO_Logfile[[#This Row],[Qty]]&amp;"_"&amp;-2+LO_Logfile[[#This Row],[In-Out Qty]],AF:AF,1,0)</f>
        <v>#N/A</v>
      </c>
    </row>
    <row r="9" spans="1:33" s="207" customFormat="1" ht="14.5">
      <c r="A9" s="260" t="str">
        <f t="shared" si="0"/>
        <v>005</v>
      </c>
      <c r="B9" s="261" t="str" cm="1">
        <f t="array" ref="B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A-003-55m</v>
      </c>
      <c r="C9" s="262"/>
      <c r="D9" s="262" t="s">
        <v>48</v>
      </c>
      <c r="E9" s="262" t="s">
        <v>4434</v>
      </c>
      <c r="F9" s="221" t="s">
        <v>3295</v>
      </c>
      <c r="G9" s="262" t="s">
        <v>3299</v>
      </c>
      <c r="H9" s="263">
        <v>45173</v>
      </c>
      <c r="I9" s="264">
        <v>0.69236111111111109</v>
      </c>
      <c r="J9" s="262" t="s">
        <v>3586</v>
      </c>
      <c r="K9" s="249" t="s">
        <v>4432</v>
      </c>
      <c r="L9" s="241" t="s">
        <v>3073</v>
      </c>
      <c r="M9" s="242" t="str">
        <f>VLOOKUP(LO_Logfile[[#This Row],[Material Name]],Sheet2!B:D,2,0)</f>
        <v>ZTE2001</v>
      </c>
      <c r="N9" s="241" t="s">
        <v>20</v>
      </c>
      <c r="O9" s="262">
        <v>55</v>
      </c>
      <c r="P9" s="262" t="s">
        <v>150</v>
      </c>
      <c r="Q9" s="262" t="s">
        <v>151</v>
      </c>
      <c r="R9" s="262"/>
      <c r="S9" s="262"/>
      <c r="T9" s="262"/>
      <c r="U9" s="262"/>
      <c r="V9" s="262"/>
      <c r="W9" s="262"/>
      <c r="X9" s="262"/>
      <c r="Y9" s="262" t="s">
        <v>3609</v>
      </c>
      <c r="Z9" s="267"/>
      <c r="AA9" s="267" t="s">
        <v>4436</v>
      </c>
      <c r="AB9" s="26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9" s="26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9" s="541" t="str">
        <f>LO_Logfile[[#This Row],[Material Name]]&amp;"_"&amp;LO_Logfile[[#This Row],[Qty]]</f>
        <v>ADSS 24C_55</v>
      </c>
      <c r="AE9" s="541" t="str">
        <f>VLOOKUP(LO_Logfile[[#This Row],[looK]],MANUAL!F:F,1,0)</f>
        <v>ADSS 24C_55</v>
      </c>
      <c r="AF9" s="540" t="str">
        <f>LO_Logfile[[#This Row],[Material Name]]&amp;LO_Logfile[[#This Row],[Qty]]&amp;"_"&amp;LO_Logfile[[#This Row],[In-Out Qty]]</f>
        <v>ADSS 24C55_1</v>
      </c>
      <c r="AG9" s="553" t="e">
        <f>VLOOKUP(LO_Logfile[[#This Row],[Material Name]]&amp;LO_Logfile[[#This Row],[Qty]]&amp;"_"&amp;-2+LO_Logfile[[#This Row],[In-Out Qty]],AF:AF,1,0)</f>
        <v>#N/A</v>
      </c>
    </row>
    <row r="10" spans="1:33" s="207" customFormat="1" ht="14.5">
      <c r="A10" s="260" t="str">
        <f t="shared" si="0"/>
        <v>006</v>
      </c>
      <c r="B10" s="261" t="str" cm="1">
        <f t="array" ref="B1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A-004-60m</v>
      </c>
      <c r="C10" s="262"/>
      <c r="D10" s="262" t="s">
        <v>48</v>
      </c>
      <c r="E10" s="262" t="s">
        <v>4434</v>
      </c>
      <c r="F10" s="262" t="s">
        <v>3295</v>
      </c>
      <c r="G10" s="262" t="s">
        <v>3299</v>
      </c>
      <c r="H10" s="263">
        <v>45173</v>
      </c>
      <c r="I10" s="264">
        <v>0.69236111111111109</v>
      </c>
      <c r="J10" s="262" t="s">
        <v>3586</v>
      </c>
      <c r="K10" s="249" t="s">
        <v>4432</v>
      </c>
      <c r="L10" s="241" t="s">
        <v>3073</v>
      </c>
      <c r="M10" s="242" t="str">
        <f>VLOOKUP(LO_Logfile[[#This Row],[Material Name]],Sheet2!B:D,2,0)</f>
        <v>ZTE2001</v>
      </c>
      <c r="N10" s="241" t="s">
        <v>20</v>
      </c>
      <c r="O10" s="262">
        <v>60</v>
      </c>
      <c r="P10" s="262" t="s">
        <v>150</v>
      </c>
      <c r="Q10" s="262" t="s">
        <v>151</v>
      </c>
      <c r="R10" s="262"/>
      <c r="S10" s="262"/>
      <c r="T10" s="262"/>
      <c r="U10" s="262"/>
      <c r="V10" s="262"/>
      <c r="W10" s="262"/>
      <c r="X10" s="262"/>
      <c r="Y10" s="262" t="s">
        <v>3608</v>
      </c>
      <c r="Z10" s="311" t="s">
        <v>4946</v>
      </c>
      <c r="AA10" s="267" t="s">
        <v>4435</v>
      </c>
      <c r="AB10" s="26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0" s="26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0" s="541" t="str">
        <f>LO_Logfile[[#This Row],[Material Name]]&amp;"_"&amp;LO_Logfile[[#This Row],[Qty]]</f>
        <v>ADSS 24C_60</v>
      </c>
      <c r="AE10" s="541" t="str">
        <f>VLOOKUP(LO_Logfile[[#This Row],[looK]],MANUAL!F:F,1,0)</f>
        <v>ADSS 24C_60</v>
      </c>
      <c r="AF10" s="540" t="str">
        <f>LO_Logfile[[#This Row],[Material Name]]&amp;LO_Logfile[[#This Row],[Qty]]&amp;"_"&amp;LO_Logfile[[#This Row],[In-Out Qty]]</f>
        <v>ADSS 24C60_1</v>
      </c>
      <c r="AG10" s="553" t="e">
        <f>VLOOKUP(LO_Logfile[[#This Row],[Material Name]]&amp;LO_Logfile[[#This Row],[Qty]]&amp;"_"&amp;-2+LO_Logfile[[#This Row],[In-Out Qty]],AF:AF,1,0)</f>
        <v>#N/A</v>
      </c>
    </row>
    <row r="11" spans="1:33" s="207" customFormat="1" ht="14.5">
      <c r="A11" s="280" t="str">
        <f t="shared" si="0"/>
        <v>007</v>
      </c>
      <c r="B11" s="545" t="str" cm="1">
        <f t="array" ref="B1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A-005-926m</v>
      </c>
      <c r="C11" s="221"/>
      <c r="D11" s="221" t="s">
        <v>48</v>
      </c>
      <c r="E11" s="221" t="s">
        <v>4964</v>
      </c>
      <c r="F11" s="221" t="s">
        <v>3295</v>
      </c>
      <c r="G11" s="221" t="s">
        <v>3299</v>
      </c>
      <c r="H11" s="282">
        <v>45173</v>
      </c>
      <c r="I11" s="223">
        <v>0.69236111111111109</v>
      </c>
      <c r="J11" s="221" t="s">
        <v>3586</v>
      </c>
      <c r="K11" s="249" t="s">
        <v>3023</v>
      </c>
      <c r="L11" s="241" t="s">
        <v>3073</v>
      </c>
      <c r="M11" s="309" t="str">
        <f>VLOOKUP(LO_Logfile[[#This Row],[Material Name]],Sheet2!B:D,2,0)</f>
        <v>ZTE2001</v>
      </c>
      <c r="N11" s="241" t="s">
        <v>20</v>
      </c>
      <c r="O11" s="221">
        <v>926</v>
      </c>
      <c r="P11" s="221" t="s">
        <v>150</v>
      </c>
      <c r="Q11" s="221" t="s">
        <v>151</v>
      </c>
      <c r="R11" s="221"/>
      <c r="S11" s="221"/>
      <c r="T11" s="221"/>
      <c r="U11" s="221"/>
      <c r="V11" s="221"/>
      <c r="W11" s="221"/>
      <c r="X11" s="221"/>
      <c r="Y11" s="221"/>
      <c r="Z11" s="311" t="s">
        <v>4946</v>
      </c>
      <c r="AA11" s="279"/>
      <c r="AB11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1" s="26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11" s="541" t="str">
        <f>LO_Logfile[[#This Row],[Material Name]]&amp;"_"&amp;LO_Logfile[[#This Row],[Qty]]</f>
        <v>ADSS 24C_926</v>
      </c>
      <c r="AE11" s="541" t="e">
        <f>VLOOKUP(LO_Logfile[[#This Row],[looK]],MANUAL!F:F,1,0)</f>
        <v>#N/A</v>
      </c>
      <c r="AF11" s="541" t="str">
        <f>LO_Logfile[[#This Row],[Material Name]]&amp;LO_Logfile[[#This Row],[Qty]]&amp;"_"&amp;LO_Logfile[[#This Row],[In-Out Qty]]</f>
        <v>ADSS 24C926_1</v>
      </c>
      <c r="AG11" s="553" t="str">
        <f>VLOOKUP(LO_Logfile[[#This Row],[Material Name]]&amp;LO_Logfile[[#This Row],[Qty]]&amp;"_"&amp;-2+LO_Logfile[[#This Row],[In-Out Qty]],AF:AF,1,0)</f>
        <v>ADSS 24C926_-1</v>
      </c>
    </row>
    <row r="12" spans="1:33" s="207" customFormat="1" ht="14.5">
      <c r="A12" s="280" t="str">
        <f t="shared" si="0"/>
        <v>008</v>
      </c>
      <c r="B12" s="545" t="str" cm="1">
        <f t="array" ref="B1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A-006-418m</v>
      </c>
      <c r="C12" s="221"/>
      <c r="D12" s="262" t="s">
        <v>48</v>
      </c>
      <c r="E12" s="262" t="s">
        <v>4431</v>
      </c>
      <c r="F12" s="221" t="s">
        <v>3295</v>
      </c>
      <c r="G12" s="262" t="s">
        <v>3299</v>
      </c>
      <c r="H12" s="263">
        <v>45173</v>
      </c>
      <c r="I12" s="240">
        <v>0.79166666666666663</v>
      </c>
      <c r="J12" s="262" t="s">
        <v>3586</v>
      </c>
      <c r="K12" s="249" t="s">
        <v>3023</v>
      </c>
      <c r="L12" s="241" t="s">
        <v>3073</v>
      </c>
      <c r="M12" s="476" t="str">
        <f>VLOOKUP(LO_Logfile[[#This Row],[Material Name]],Sheet2!B:D,2,0)</f>
        <v>ZTE2001</v>
      </c>
      <c r="N12" s="241" t="s">
        <v>20</v>
      </c>
      <c r="O12" s="255">
        <v>418</v>
      </c>
      <c r="P12" s="262" t="s">
        <v>150</v>
      </c>
      <c r="Q12" s="262" t="s">
        <v>151</v>
      </c>
      <c r="R12" s="221"/>
      <c r="S12" s="221"/>
      <c r="T12" s="221"/>
      <c r="U12" s="221"/>
      <c r="V12" s="221"/>
      <c r="W12" s="221"/>
      <c r="X12" s="221"/>
      <c r="Y12" s="221"/>
      <c r="Z12" s="279"/>
      <c r="AA12" s="279"/>
      <c r="AB12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2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12" s="541" t="str">
        <f>LO_Logfile[[#This Row],[Material Name]]&amp;"_"&amp;LO_Logfile[[#This Row],[Qty]]</f>
        <v>ADSS 24C_418</v>
      </c>
      <c r="AE12" s="541" t="e">
        <f>VLOOKUP(LO_Logfile[[#This Row],[looK]],MANUAL!F:F,1,0)</f>
        <v>#N/A</v>
      </c>
      <c r="AF12" s="541" t="str">
        <f>LO_Logfile[[#This Row],[Material Name]]&amp;LO_Logfile[[#This Row],[Qty]]&amp;"_"&amp;LO_Logfile[[#This Row],[In-Out Qty]]</f>
        <v>ADSS 24C418_1</v>
      </c>
      <c r="AG12" s="554" t="str">
        <f>VLOOKUP(LO_Logfile[[#This Row],[Material Name]]&amp;LO_Logfile[[#This Row],[Qty]]&amp;"_"&amp;-2+LO_Logfile[[#This Row],[In-Out Qty]],AF:AF,1,0)</f>
        <v>ADSS 24C418_-1</v>
      </c>
    </row>
    <row r="13" spans="1:33" s="207" customFormat="1" ht="14.5">
      <c r="A13" s="280" t="str">
        <f t="shared" si="0"/>
        <v>009</v>
      </c>
      <c r="B13" s="545" t="str" cm="1">
        <f t="array" ref="B1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B-003-2395m</v>
      </c>
      <c r="C13" s="221"/>
      <c r="D13" s="221" t="s">
        <v>48</v>
      </c>
      <c r="E13" s="221" t="s">
        <v>4964</v>
      </c>
      <c r="F13" s="221" t="s">
        <v>3295</v>
      </c>
      <c r="G13" s="221" t="s">
        <v>3299</v>
      </c>
      <c r="H13" s="282">
        <v>45173</v>
      </c>
      <c r="I13" s="223">
        <v>0.69236111111111109</v>
      </c>
      <c r="J13" s="221" t="s">
        <v>3586</v>
      </c>
      <c r="K13" s="249" t="s">
        <v>3023</v>
      </c>
      <c r="L13" s="241" t="s">
        <v>3075</v>
      </c>
      <c r="M13" s="309" t="str">
        <f>VLOOKUP(LO_Logfile[[#This Row],[Material Name]],Sheet2!B:D,2,0)</f>
        <v>ZTE2003</v>
      </c>
      <c r="N13" s="241" t="s">
        <v>20</v>
      </c>
      <c r="O13" s="221">
        <v>2395</v>
      </c>
      <c r="P13" s="221" t="s">
        <v>150</v>
      </c>
      <c r="Q13" s="221" t="s">
        <v>151</v>
      </c>
      <c r="R13" s="221"/>
      <c r="S13" s="221"/>
      <c r="T13" s="221"/>
      <c r="U13" s="221"/>
      <c r="V13" s="221"/>
      <c r="W13" s="221"/>
      <c r="X13" s="221"/>
      <c r="Y13" s="221"/>
      <c r="Z13" s="279" t="s">
        <v>4958</v>
      </c>
      <c r="AA13" s="279"/>
      <c r="AB13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3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&gt;2000</v>
      </c>
      <c r="AD13" s="541" t="str">
        <f>LO_Logfile[[#This Row],[Material Name]]&amp;"_"&amp;LO_Logfile[[#This Row],[Qty]]</f>
        <v>ADSS 48C_2395</v>
      </c>
      <c r="AE13" s="541" t="e">
        <f>VLOOKUP(LO_Logfile[[#This Row],[looK]],MANUAL!F:F,1,0)</f>
        <v>#N/A</v>
      </c>
      <c r="AF13" s="541" t="str">
        <f>LO_Logfile[[#This Row],[Material Name]]&amp;LO_Logfile[[#This Row],[Qty]]&amp;"_"&amp;LO_Logfile[[#This Row],[In-Out Qty]]</f>
        <v>ADSS 48C2395_1</v>
      </c>
      <c r="AG13" s="554" t="str">
        <f>VLOOKUP(LO_Logfile[[#This Row],[Material Name]]&amp;LO_Logfile[[#This Row],[Qty]]&amp;"_"&amp;-2+LO_Logfile[[#This Row],[In-Out Qty]],AF:AF,1,0)</f>
        <v>ADSS 48C2395_-1</v>
      </c>
    </row>
    <row r="14" spans="1:33" s="207" customFormat="1" ht="14.5">
      <c r="A14" s="280" t="str">
        <f t="shared" si="0"/>
        <v>010</v>
      </c>
      <c r="B14" s="545" t="str" cm="1">
        <f t="array" ref="B1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B-004-2395m</v>
      </c>
      <c r="C14" s="221"/>
      <c r="D14" s="221" t="s">
        <v>49</v>
      </c>
      <c r="E14" s="221" t="s">
        <v>3696</v>
      </c>
      <c r="F14" s="221" t="s">
        <v>3295</v>
      </c>
      <c r="G14" s="221" t="s">
        <v>3299</v>
      </c>
      <c r="H14" s="282">
        <v>45173</v>
      </c>
      <c r="I14" s="223">
        <v>0.69236111111111109</v>
      </c>
      <c r="J14" s="221" t="s">
        <v>3586</v>
      </c>
      <c r="K14" s="249" t="s">
        <v>3023</v>
      </c>
      <c r="L14" s="241" t="s">
        <v>3075</v>
      </c>
      <c r="M14" s="309" t="str">
        <f>VLOOKUP(LO_Logfile[[#This Row],[Material Name]],Sheet2!B:D,2,0)</f>
        <v>ZTE2003</v>
      </c>
      <c r="N14" s="241" t="s">
        <v>20</v>
      </c>
      <c r="O14" s="221">
        <v>2395</v>
      </c>
      <c r="P14" s="221" t="s">
        <v>150</v>
      </c>
      <c r="Q14" s="221" t="s">
        <v>151</v>
      </c>
      <c r="R14" s="221"/>
      <c r="S14" s="221"/>
      <c r="T14" s="221"/>
      <c r="U14" s="221"/>
      <c r="V14" s="221"/>
      <c r="W14" s="221"/>
      <c r="X14" s="221"/>
      <c r="Y14" s="221"/>
      <c r="Z14" s="279" t="s">
        <v>4958</v>
      </c>
      <c r="AA14" s="279"/>
      <c r="AB14" s="285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4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&gt;2000</v>
      </c>
      <c r="AD14" s="541" t="str">
        <f>LO_Logfile[[#This Row],[Material Name]]&amp;"_"&amp;LO_Logfile[[#This Row],[Qty]]</f>
        <v>ADSS 48C_2395</v>
      </c>
      <c r="AE14" s="541" t="e">
        <f>VLOOKUP(LO_Logfile[[#This Row],[looK]],MANUAL!F:F,1,0)</f>
        <v>#N/A</v>
      </c>
      <c r="AF14" s="541" t="str">
        <f>LO_Logfile[[#This Row],[Material Name]]&amp;LO_Logfile[[#This Row],[Qty]]&amp;"_"&amp;LO_Logfile[[#This Row],[In-Out Qty]]</f>
        <v>ADSS 48C2395_-1</v>
      </c>
      <c r="AG14" s="554" t="e">
        <f>VLOOKUP(LO_Logfile[[#This Row],[Material Name]]&amp;LO_Logfile[[#This Row],[Qty]]&amp;"_"&amp;-2+LO_Logfile[[#This Row],[In-Out Qty]],AF:AF,1,0)</f>
        <v>#N/A</v>
      </c>
    </row>
    <row r="15" spans="1:33" s="207" customFormat="1" ht="14.5">
      <c r="A15" s="280" t="str">
        <f t="shared" si="0"/>
        <v>011</v>
      </c>
      <c r="B15" s="545" t="str" cm="1">
        <f t="array" ref="B1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A-007-1721m</v>
      </c>
      <c r="C15" s="221"/>
      <c r="D15" s="221" t="s">
        <v>49</v>
      </c>
      <c r="E15" s="221" t="s">
        <v>3696</v>
      </c>
      <c r="F15" s="221" t="s">
        <v>3295</v>
      </c>
      <c r="G15" s="221" t="s">
        <v>3299</v>
      </c>
      <c r="H15" s="282">
        <v>45173</v>
      </c>
      <c r="I15" s="223">
        <v>0.69236111111111109</v>
      </c>
      <c r="J15" s="221" t="s">
        <v>3586</v>
      </c>
      <c r="K15" s="249" t="s">
        <v>3023</v>
      </c>
      <c r="L15" s="241" t="s">
        <v>3073</v>
      </c>
      <c r="M15" s="309" t="str">
        <f>VLOOKUP(LO_Logfile[[#This Row],[Material Name]],Sheet2!B:D,2,0)</f>
        <v>ZTE2001</v>
      </c>
      <c r="N15" s="241" t="s">
        <v>20</v>
      </c>
      <c r="O15" s="221">
        <v>1721</v>
      </c>
      <c r="P15" s="221" t="s">
        <v>150</v>
      </c>
      <c r="Q15" s="221" t="s">
        <v>151</v>
      </c>
      <c r="R15" s="221"/>
      <c r="S15" s="221"/>
      <c r="T15" s="221"/>
      <c r="U15" s="221"/>
      <c r="V15" s="221"/>
      <c r="W15" s="221"/>
      <c r="X15" s="221"/>
      <c r="Y15" s="221"/>
      <c r="Z15" s="311" t="s">
        <v>4946</v>
      </c>
      <c r="AA15" s="279"/>
      <c r="AB15" s="285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5" s="26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15" s="539" t="str">
        <f>LO_Logfile[[#This Row],[Material Name]]&amp;"_"&amp;LO_Logfile[[#This Row],[Qty]]</f>
        <v>ADSS 24C_1721</v>
      </c>
      <c r="AE15" s="539" t="e">
        <f>VLOOKUP(LO_Logfile[[#This Row],[looK]],MANUAL!F:F,1,0)</f>
        <v>#N/A</v>
      </c>
      <c r="AF15" s="539" t="str">
        <f>LO_Logfile[[#This Row],[Material Name]]&amp;LO_Logfile[[#This Row],[Qty]]&amp;"_"&amp;LO_Logfile[[#This Row],[In-Out Qty]]</f>
        <v>ADSS 24C1721_-1</v>
      </c>
      <c r="AG15" s="552" t="e">
        <f>VLOOKUP(LO_Logfile[[#This Row],[Material Name]]&amp;LO_Logfile[[#This Row],[Qty]]&amp;"_"&amp;-2+LO_Logfile[[#This Row],[In-Out Qty]],AF:AF,1,0)</f>
        <v>#N/A</v>
      </c>
    </row>
    <row r="16" spans="1:33" s="207" customFormat="1" ht="14.5">
      <c r="A16" s="280" t="str">
        <f t="shared" si="0"/>
        <v>012</v>
      </c>
      <c r="B16" s="545" t="str" cm="1">
        <f t="array" ref="B1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B-005-1128m</v>
      </c>
      <c r="C16" s="221"/>
      <c r="D16" s="221" t="s">
        <v>48</v>
      </c>
      <c r="E16" s="221" t="s">
        <v>4964</v>
      </c>
      <c r="F16" s="221" t="s">
        <v>3295</v>
      </c>
      <c r="G16" s="221" t="s">
        <v>3299</v>
      </c>
      <c r="H16" s="282">
        <v>45173</v>
      </c>
      <c r="I16" s="223">
        <v>0.69236111111111109</v>
      </c>
      <c r="J16" s="221" t="s">
        <v>3586</v>
      </c>
      <c r="K16" s="249" t="s">
        <v>3023</v>
      </c>
      <c r="L16" s="241" t="s">
        <v>3075</v>
      </c>
      <c r="M16" s="309" t="str">
        <f>VLOOKUP(LO_Logfile[[#This Row],[Material Name]],Sheet2!B:D,2,0)</f>
        <v>ZTE2003</v>
      </c>
      <c r="N16" s="241" t="s">
        <v>20</v>
      </c>
      <c r="O16" s="221">
        <v>1128</v>
      </c>
      <c r="P16" s="221" t="s">
        <v>150</v>
      </c>
      <c r="Q16" s="221" t="s">
        <v>151</v>
      </c>
      <c r="R16" s="221"/>
      <c r="S16" s="221"/>
      <c r="T16" s="221"/>
      <c r="U16" s="221"/>
      <c r="V16" s="221"/>
      <c r="W16" s="221"/>
      <c r="X16" s="221"/>
      <c r="Y16" s="221"/>
      <c r="Z16" s="279" t="s">
        <v>4958</v>
      </c>
      <c r="AA16" s="279"/>
      <c r="AB16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6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6" s="541" t="str">
        <f>LO_Logfile[[#This Row],[Material Name]]&amp;"_"&amp;LO_Logfile[[#This Row],[Qty]]</f>
        <v>ADSS 48C_1128</v>
      </c>
      <c r="AE16" s="541" t="e">
        <f>VLOOKUP(LO_Logfile[[#This Row],[looK]],MANUAL!F:F,1,0)</f>
        <v>#N/A</v>
      </c>
      <c r="AF16" s="541" t="str">
        <f>LO_Logfile[[#This Row],[Material Name]]&amp;LO_Logfile[[#This Row],[Qty]]&amp;"_"&amp;LO_Logfile[[#This Row],[In-Out Qty]]</f>
        <v>ADSS 48C1128_1</v>
      </c>
      <c r="AG16" s="552" t="e">
        <f>VLOOKUP(LO_Logfile[[#This Row],[Material Name]]&amp;LO_Logfile[[#This Row],[Qty]]&amp;"_"&amp;-2+LO_Logfile[[#This Row],[In-Out Qty]],AF:AF,1,0)</f>
        <v>#N/A</v>
      </c>
    </row>
    <row r="17" spans="1:33" s="81" customFormat="1" ht="14.5">
      <c r="A17" s="280" t="str">
        <f t="shared" si="0"/>
        <v>013</v>
      </c>
      <c r="B17" s="545" t="str" cm="1">
        <f t="array" ref="B1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B-006-895m</v>
      </c>
      <c r="C17" s="221"/>
      <c r="D17" s="221" t="s">
        <v>3313</v>
      </c>
      <c r="E17" s="221" t="s">
        <v>5253</v>
      </c>
      <c r="F17" s="221" t="s">
        <v>3295</v>
      </c>
      <c r="G17" s="221" t="s">
        <v>3299</v>
      </c>
      <c r="H17" s="276">
        <v>45184</v>
      </c>
      <c r="I17" s="240">
        <v>0.25</v>
      </c>
      <c r="J17" s="221" t="s">
        <v>4920</v>
      </c>
      <c r="K17" s="250" t="s">
        <v>3023</v>
      </c>
      <c r="L17" s="241" t="s">
        <v>3075</v>
      </c>
      <c r="M17" s="309" t="str">
        <f>VLOOKUP(LO_Logfile[[#This Row],[Material Name]],Sheet2!B:D,2,0)</f>
        <v>ZTE2003</v>
      </c>
      <c r="N17" s="241" t="s">
        <v>20</v>
      </c>
      <c r="O17" s="221">
        <v>895</v>
      </c>
      <c r="P17" s="221"/>
      <c r="Q17" s="221"/>
      <c r="R17" s="221"/>
      <c r="S17" s="221"/>
      <c r="T17" s="221"/>
      <c r="U17" s="221"/>
      <c r="V17" s="221"/>
      <c r="W17" s="221"/>
      <c r="X17" s="221"/>
      <c r="Y17" s="284"/>
      <c r="Z17" s="238" t="s">
        <v>4957</v>
      </c>
      <c r="AA17" s="279"/>
      <c r="AB17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7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17" s="539" t="str">
        <f>LO_Logfile[[#This Row],[Material Name]]&amp;"_"&amp;LO_Logfile[[#This Row],[Qty]]</f>
        <v>ADSS 48C_895</v>
      </c>
      <c r="AE17" s="539" t="e">
        <f>VLOOKUP(LO_Logfile[[#This Row],[looK]],MANUAL!F:F,1,0)</f>
        <v>#N/A</v>
      </c>
      <c r="AF17" s="541" t="str">
        <f>LO_Logfile[[#This Row],[Material Name]]&amp;LO_Logfile[[#This Row],[Qty]]&amp;"_"&amp;LO_Logfile[[#This Row],[In-Out Qty]]</f>
        <v>ADSS 48C895_1</v>
      </c>
      <c r="AG17" s="554" t="str">
        <f>VLOOKUP(LO_Logfile[[#This Row],[Material Name]]&amp;LO_Logfile[[#This Row],[Qty]]&amp;"_"&amp;-2+LO_Logfile[[#This Row],[In-Out Qty]],AF:AF,1,0)</f>
        <v>ADSS 48C895_-1</v>
      </c>
    </row>
    <row r="18" spans="1:33" ht="14.5">
      <c r="A18" s="280" t="str">
        <f t="shared" si="0"/>
        <v>014</v>
      </c>
      <c r="B18" s="545" t="str" cm="1">
        <f t="array" ref="B1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B-007-1250m</v>
      </c>
      <c r="C18" s="221"/>
      <c r="D18" s="221" t="s">
        <v>3313</v>
      </c>
      <c r="E18" s="221" t="s">
        <v>5253</v>
      </c>
      <c r="F18" s="262" t="s">
        <v>3295</v>
      </c>
      <c r="G18" s="262" t="s">
        <v>3299</v>
      </c>
      <c r="H18" s="276">
        <v>45184</v>
      </c>
      <c r="I18" s="240">
        <v>0.25</v>
      </c>
      <c r="J18" s="221" t="s">
        <v>4920</v>
      </c>
      <c r="K18" s="250" t="s">
        <v>3023</v>
      </c>
      <c r="L18" s="241" t="s">
        <v>3075</v>
      </c>
      <c r="M18" s="309" t="str">
        <f>VLOOKUP(LO_Logfile[[#This Row],[Material Name]],Sheet2!B:D,2,0)</f>
        <v>ZTE2003</v>
      </c>
      <c r="N18" s="241" t="s">
        <v>20</v>
      </c>
      <c r="O18" s="221">
        <v>1250</v>
      </c>
      <c r="P18" s="221"/>
      <c r="Q18" s="221"/>
      <c r="R18" s="221"/>
      <c r="S18" s="221"/>
      <c r="T18" s="221"/>
      <c r="U18" s="221"/>
      <c r="V18" s="221"/>
      <c r="W18" s="221"/>
      <c r="X18" s="221"/>
      <c r="Y18" s="284"/>
      <c r="Z18" s="279" t="s">
        <v>5249</v>
      </c>
      <c r="AA18" s="279"/>
      <c r="AB18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8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8" s="540" t="str">
        <f>LO_Logfile[[#This Row],[Material Name]]&amp;"_"&amp;LO_Logfile[[#This Row],[Qty]]</f>
        <v>ADSS 48C_1250</v>
      </c>
      <c r="AE18" s="540" t="e">
        <f>VLOOKUP(LO_Logfile[[#This Row],[looK]],MANUAL!F:F,1,0)</f>
        <v>#N/A</v>
      </c>
      <c r="AF18" s="541" t="str">
        <f>LO_Logfile[[#This Row],[Material Name]]&amp;LO_Logfile[[#This Row],[Qty]]&amp;"_"&amp;LO_Logfile[[#This Row],[In-Out Qty]]</f>
        <v>ADSS 48C1250_1</v>
      </c>
      <c r="AG18" s="552" t="str">
        <f>VLOOKUP(LO_Logfile[[#This Row],[Material Name]]&amp;LO_Logfile[[#This Row],[Qty]]&amp;"_"&amp;-2+LO_Logfile[[#This Row],[In-Out Qty]],AF:AF,1,0)</f>
        <v>ADSS 48C1250_-1</v>
      </c>
    </row>
    <row r="19" spans="1:33" s="81" customFormat="1" ht="14.5">
      <c r="A19" s="280" t="str">
        <f t="shared" si="0"/>
        <v>015</v>
      </c>
      <c r="B19" s="545" t="str" cm="1">
        <f t="array" ref="B1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A-008-1765m</v>
      </c>
      <c r="C19" s="221"/>
      <c r="D19" s="221" t="s">
        <v>48</v>
      </c>
      <c r="E19" s="221" t="s">
        <v>5109</v>
      </c>
      <c r="F19" s="221" t="s">
        <v>3295</v>
      </c>
      <c r="G19" s="221" t="s">
        <v>3299</v>
      </c>
      <c r="H19" s="282">
        <v>45193</v>
      </c>
      <c r="I19" s="223">
        <v>0.31666666666666665</v>
      </c>
      <c r="J19" s="221" t="s">
        <v>3586</v>
      </c>
      <c r="K19" s="249" t="s">
        <v>3023</v>
      </c>
      <c r="L19" s="241" t="s">
        <v>3073</v>
      </c>
      <c r="M19" s="242" t="str">
        <f>VLOOKUP(LO_Logfile[[#This Row],[Material Name]],Sheet2!B:D,2,0)</f>
        <v>ZTE2001</v>
      </c>
      <c r="N19" s="241" t="s">
        <v>20</v>
      </c>
      <c r="O19" s="221">
        <v>1765</v>
      </c>
      <c r="P19" s="221" t="s">
        <v>180</v>
      </c>
      <c r="Q19" s="221" t="s">
        <v>181</v>
      </c>
      <c r="R19" s="221"/>
      <c r="S19" s="221"/>
      <c r="T19" s="221"/>
      <c r="U19" s="221" t="s">
        <v>3322</v>
      </c>
      <c r="V19" s="221" t="s">
        <v>3323</v>
      </c>
      <c r="W19" s="221" t="s">
        <v>3324</v>
      </c>
      <c r="X19" s="221" t="s">
        <v>3386</v>
      </c>
      <c r="Y19" s="284" t="s">
        <v>3484</v>
      </c>
      <c r="Z19" s="319" t="s">
        <v>4955</v>
      </c>
      <c r="AA19" s="279"/>
      <c r="AB19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9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19" s="539" t="str">
        <f>LO_Logfile[[#This Row],[Material Name]]&amp;"_"&amp;LO_Logfile[[#This Row],[Qty]]</f>
        <v>ADSS 24C_1765</v>
      </c>
      <c r="AE19" s="539" t="e">
        <f>VLOOKUP(LO_Logfile[[#This Row],[looK]],MANUAL!F:F,1,0)</f>
        <v>#N/A</v>
      </c>
      <c r="AF19" s="541" t="str">
        <f>LO_Logfile[[#This Row],[Material Name]]&amp;LO_Logfile[[#This Row],[Qty]]&amp;"_"&amp;LO_Logfile[[#This Row],[In-Out Qty]]</f>
        <v>ADSS 24C1765_1</v>
      </c>
      <c r="AG19" s="554" t="str">
        <f>VLOOKUP(LO_Logfile[[#This Row],[Material Name]]&amp;LO_Logfile[[#This Row],[Qty]]&amp;"_"&amp;-2+LO_Logfile[[#This Row],[In-Out Qty]],AF:AF,1,0)</f>
        <v>ADSS 24C1765_-1</v>
      </c>
    </row>
    <row r="20" spans="1:33" s="207" customFormat="1" ht="14.5">
      <c r="A20" s="280" t="str">
        <f t="shared" si="0"/>
        <v>016</v>
      </c>
      <c r="B20" s="545" t="str" cm="1">
        <f t="array" ref="B2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A-009-935m</v>
      </c>
      <c r="C20" s="221"/>
      <c r="D20" s="227" t="s">
        <v>48</v>
      </c>
      <c r="E20" s="221" t="s">
        <v>5138</v>
      </c>
      <c r="F20" s="221" t="s">
        <v>3295</v>
      </c>
      <c r="G20" s="221" t="s">
        <v>3299</v>
      </c>
      <c r="H20" s="282">
        <v>45200</v>
      </c>
      <c r="I20" s="223">
        <v>0.27083333333333331</v>
      </c>
      <c r="J20" s="221" t="s">
        <v>4916</v>
      </c>
      <c r="K20" s="249" t="s">
        <v>3023</v>
      </c>
      <c r="L20" s="241" t="s">
        <v>3073</v>
      </c>
      <c r="M20" s="242" t="str">
        <f>VLOOKUP(LO_Logfile[[#This Row],[Material Name]],Sheet2!B:D,2,0)</f>
        <v>ZTE2001</v>
      </c>
      <c r="N20" s="241" t="s">
        <v>20</v>
      </c>
      <c r="O20" s="221">
        <v>935</v>
      </c>
      <c r="P20" s="221" t="s">
        <v>222</v>
      </c>
      <c r="Q20" s="221" t="s">
        <v>223</v>
      </c>
      <c r="R20" s="221"/>
      <c r="S20" s="221"/>
      <c r="T20" s="221"/>
      <c r="U20" s="221"/>
      <c r="V20" s="221"/>
      <c r="W20" s="221"/>
      <c r="X20" s="221"/>
      <c r="Y20" s="284"/>
      <c r="Z20" s="279" t="s">
        <v>4986</v>
      </c>
      <c r="AA20" s="279"/>
      <c r="AB20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20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20" s="539" t="str">
        <f>LO_Logfile[[#This Row],[Material Name]]&amp;"_"&amp;LO_Logfile[[#This Row],[Qty]]</f>
        <v>ADSS 24C_935</v>
      </c>
      <c r="AE20" s="539" t="e">
        <f>VLOOKUP(LO_Logfile[[#This Row],[looK]],MANUAL!F:F,1,0)</f>
        <v>#N/A</v>
      </c>
      <c r="AF20" s="539" t="str">
        <f>LO_Logfile[[#This Row],[Material Name]]&amp;LO_Logfile[[#This Row],[Qty]]&amp;"_"&amp;LO_Logfile[[#This Row],[In-Out Qty]]</f>
        <v>ADSS 24C935_1</v>
      </c>
      <c r="AG20" s="553" t="e">
        <f>VLOOKUP(LO_Logfile[[#This Row],[Material Name]]&amp;LO_Logfile[[#This Row],[Qty]]&amp;"_"&amp;-2+LO_Logfile[[#This Row],[In-Out Qty]],AF:AF,1,0)</f>
        <v>#N/A</v>
      </c>
    </row>
    <row r="21" spans="1:33" s="207" customFormat="1" ht="14.5">
      <c r="A21" s="253" t="str">
        <f t="shared" si="0"/>
        <v>017</v>
      </c>
      <c r="B21" s="550" t="str" cm="1">
        <f t="array" ref="B2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A-010-215m</v>
      </c>
      <c r="C21" s="255"/>
      <c r="D21" s="255" t="s">
        <v>48</v>
      </c>
      <c r="E21" s="255" t="s">
        <v>4437</v>
      </c>
      <c r="F21" s="262" t="s">
        <v>3295</v>
      </c>
      <c r="G21" s="262" t="s">
        <v>3299</v>
      </c>
      <c r="H21" s="256">
        <v>45200</v>
      </c>
      <c r="I21" s="278">
        <v>0.27083333333333331</v>
      </c>
      <c r="J21" s="255" t="s">
        <v>3586</v>
      </c>
      <c r="K21" s="249" t="s">
        <v>3023</v>
      </c>
      <c r="L21" s="241" t="s">
        <v>3073</v>
      </c>
      <c r="M21" s="477" t="str">
        <f>VLOOKUP(LO_Logfile[[#This Row],[Material Name]],Sheet2!B:D,2,0)</f>
        <v>ZTE2001</v>
      </c>
      <c r="N21" s="241" t="s">
        <v>20</v>
      </c>
      <c r="O21" s="255">
        <v>215</v>
      </c>
      <c r="P21" s="255" t="s">
        <v>222</v>
      </c>
      <c r="Q21" s="255" t="s">
        <v>223</v>
      </c>
      <c r="R21" s="255"/>
      <c r="S21" s="255"/>
      <c r="T21" s="255"/>
      <c r="U21" s="255" t="s">
        <v>3322</v>
      </c>
      <c r="V21" s="255"/>
      <c r="W21" s="255"/>
      <c r="X21" s="255"/>
      <c r="Y21" s="258" t="s">
        <v>3607</v>
      </c>
      <c r="Z21" s="320" t="s">
        <v>4955</v>
      </c>
      <c r="AA21" s="272" t="s">
        <v>4438</v>
      </c>
      <c r="AB21" s="25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21" s="25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21" s="541" t="str">
        <f>LO_Logfile[[#This Row],[Material Name]]&amp;"_"&amp;LO_Logfile[[#This Row],[Qty]]</f>
        <v>ADSS 24C_215</v>
      </c>
      <c r="AE21" s="541" t="e">
        <f>VLOOKUP(LO_Logfile[[#This Row],[looK]],MANUAL!F:F,1,0)</f>
        <v>#N/A</v>
      </c>
      <c r="AF21" s="540" t="str">
        <f>LO_Logfile[[#This Row],[Material Name]]&amp;LO_Logfile[[#This Row],[Qty]]&amp;"_"&amp;LO_Logfile[[#This Row],[In-Out Qty]]</f>
        <v>ADSS 24C215_1</v>
      </c>
      <c r="AG21" s="554" t="str">
        <f>VLOOKUP(LO_Logfile[[#This Row],[Material Name]]&amp;LO_Logfile[[#This Row],[Qty]]&amp;"_"&amp;-2+LO_Logfile[[#This Row],[In-Out Qty]],AF:AF,1,0)</f>
        <v>ADSS 24C215_-1</v>
      </c>
    </row>
    <row r="22" spans="1:33" s="81" customFormat="1" ht="14.5">
      <c r="A22" s="280" t="str">
        <f t="shared" si="0"/>
        <v>018</v>
      </c>
      <c r="B22" s="545" t="str" cm="1">
        <f t="array" ref="B2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A-011-1765m</v>
      </c>
      <c r="C22" s="221"/>
      <c r="D22" s="255" t="s">
        <v>49</v>
      </c>
      <c r="E22" s="255" t="s">
        <v>5110</v>
      </c>
      <c r="F22" s="221" t="s">
        <v>3295</v>
      </c>
      <c r="G22" s="221" t="s">
        <v>3299</v>
      </c>
      <c r="H22" s="256">
        <v>45200</v>
      </c>
      <c r="I22" s="278">
        <v>0.27083333333333331</v>
      </c>
      <c r="J22" s="255" t="s">
        <v>3586</v>
      </c>
      <c r="K22" s="249" t="s">
        <v>3023</v>
      </c>
      <c r="L22" s="241" t="s">
        <v>3073</v>
      </c>
      <c r="M22" s="478" t="str">
        <f>VLOOKUP(LO_Logfile[[#This Row],[Material Name]],Sheet2!B:D,2,0)</f>
        <v>ZTE2001</v>
      </c>
      <c r="N22" s="316" t="s">
        <v>20</v>
      </c>
      <c r="O22" s="255">
        <v>1765</v>
      </c>
      <c r="P22" s="255" t="s">
        <v>222</v>
      </c>
      <c r="Q22" s="255" t="s">
        <v>223</v>
      </c>
      <c r="R22" s="255"/>
      <c r="S22" s="255"/>
      <c r="T22" s="255"/>
      <c r="U22" s="221" t="s">
        <v>3322</v>
      </c>
      <c r="V22" s="221" t="s">
        <v>3323</v>
      </c>
      <c r="W22" s="221" t="s">
        <v>3324</v>
      </c>
      <c r="X22" s="221" t="s">
        <v>3386</v>
      </c>
      <c r="Y22" s="258" t="s">
        <v>3607</v>
      </c>
      <c r="Z22" s="320" t="s">
        <v>4955</v>
      </c>
      <c r="AA22" s="272" t="s">
        <v>4438</v>
      </c>
      <c r="AB22" s="285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22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22" s="541" t="str">
        <f>LO_Logfile[[#This Row],[Material Name]]&amp;"_"&amp;LO_Logfile[[#This Row],[Qty]]</f>
        <v>ADSS 24C_1765</v>
      </c>
      <c r="AE22" s="541" t="e">
        <f>VLOOKUP(LO_Logfile[[#This Row],[looK]],MANUAL!F:F,1,0)</f>
        <v>#N/A</v>
      </c>
      <c r="AF22" s="539" t="str">
        <f>LO_Logfile[[#This Row],[Material Name]]&amp;LO_Logfile[[#This Row],[Qty]]&amp;"_"&amp;LO_Logfile[[#This Row],[In-Out Qty]]</f>
        <v>ADSS 24C1765_-1</v>
      </c>
      <c r="AG22" s="552" t="e">
        <f>VLOOKUP(LO_Logfile[[#This Row],[Material Name]]&amp;LO_Logfile[[#This Row],[Qty]]&amp;"_"&amp;-2+LO_Logfile[[#This Row],[In-Out Qty]],AF:AF,1,0)</f>
        <v>#N/A</v>
      </c>
    </row>
    <row r="23" spans="1:33" s="207" customFormat="1" ht="14.5">
      <c r="A23" s="280" t="str">
        <f t="shared" si="0"/>
        <v>019</v>
      </c>
      <c r="B23" s="545" t="str" cm="1">
        <f t="array" ref="B2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A-012-772m</v>
      </c>
      <c r="C23" s="221"/>
      <c r="D23" s="221" t="s">
        <v>49</v>
      </c>
      <c r="E23" s="221" t="s">
        <v>3768</v>
      </c>
      <c r="F23" s="221" t="s">
        <v>3295</v>
      </c>
      <c r="G23" s="221" t="s">
        <v>3299</v>
      </c>
      <c r="H23" s="282">
        <v>45218</v>
      </c>
      <c r="I23" s="223">
        <v>0.33263888888888887</v>
      </c>
      <c r="J23" s="221" t="s">
        <v>3586</v>
      </c>
      <c r="K23" s="249" t="s">
        <v>3023</v>
      </c>
      <c r="L23" s="241" t="s">
        <v>3073</v>
      </c>
      <c r="M23" s="477" t="str">
        <f>VLOOKUP(LO_Logfile[[#This Row],[Material Name]],Sheet2!B:D,2,0)</f>
        <v>ZTE2001</v>
      </c>
      <c r="N23" s="314" t="s">
        <v>20</v>
      </c>
      <c r="O23" s="221">
        <v>772</v>
      </c>
      <c r="P23" s="221" t="s">
        <v>324</v>
      </c>
      <c r="Q23" s="221" t="s">
        <v>325</v>
      </c>
      <c r="R23" s="221" t="s">
        <v>3486</v>
      </c>
      <c r="S23" s="255" t="s">
        <v>5142</v>
      </c>
      <c r="T23" s="221"/>
      <c r="U23" s="283" t="s">
        <v>4989</v>
      </c>
      <c r="V23" s="221"/>
      <c r="W23" s="221"/>
      <c r="X23" s="221"/>
      <c r="Y23" s="284"/>
      <c r="Z23" s="319" t="s">
        <v>4989</v>
      </c>
      <c r="AA23" s="279"/>
      <c r="AB23" s="285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23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23" s="541" t="str">
        <f>LO_Logfile[[#This Row],[Material Name]]&amp;"_"&amp;LO_Logfile[[#This Row],[Qty]]</f>
        <v>ADSS 24C_772</v>
      </c>
      <c r="AE23" s="541" t="e">
        <f>VLOOKUP(LO_Logfile[[#This Row],[looK]],MANUAL!F:F,1,0)</f>
        <v>#N/A</v>
      </c>
      <c r="AF23" s="541" t="str">
        <f>LO_Logfile[[#This Row],[Material Name]]&amp;LO_Logfile[[#This Row],[Qty]]&amp;"_"&amp;LO_Logfile[[#This Row],[In-Out Qty]]</f>
        <v>ADSS 24C772_-1</v>
      </c>
      <c r="AG23" s="554" t="e">
        <f>VLOOKUP(LO_Logfile[[#This Row],[Material Name]]&amp;LO_Logfile[[#This Row],[Qty]]&amp;"_"&amp;-2+LO_Logfile[[#This Row],[In-Out Qty]],AF:AF,1,0)</f>
        <v>#N/A</v>
      </c>
    </row>
    <row r="24" spans="1:33" s="207" customFormat="1" ht="14.5">
      <c r="A24" s="280" t="str">
        <f t="shared" si="0"/>
        <v>020</v>
      </c>
      <c r="B24" s="545" t="str" cm="1">
        <f t="array" ref="B2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A-013-684m</v>
      </c>
      <c r="C24" s="221"/>
      <c r="D24" s="221" t="s">
        <v>49</v>
      </c>
      <c r="E24" s="221" t="s">
        <v>3768</v>
      </c>
      <c r="F24" s="221" t="s">
        <v>3295</v>
      </c>
      <c r="G24" s="221" t="s">
        <v>3299</v>
      </c>
      <c r="H24" s="282">
        <v>45218</v>
      </c>
      <c r="I24" s="223">
        <v>0.33263888888888887</v>
      </c>
      <c r="J24" s="221" t="s">
        <v>3586</v>
      </c>
      <c r="K24" s="249" t="s">
        <v>3023</v>
      </c>
      <c r="L24" s="241" t="s">
        <v>3073</v>
      </c>
      <c r="M24" s="477" t="str">
        <f>VLOOKUP(LO_Logfile[[#This Row],[Material Name]],Sheet2!B:D,2,0)</f>
        <v>ZTE2001</v>
      </c>
      <c r="N24" s="314" t="s">
        <v>20</v>
      </c>
      <c r="O24" s="221">
        <v>684</v>
      </c>
      <c r="P24" s="144" t="s">
        <v>340</v>
      </c>
      <c r="Q24" s="144" t="s">
        <v>341</v>
      </c>
      <c r="R24" s="221"/>
      <c r="S24" s="221"/>
      <c r="T24" s="221"/>
      <c r="U24" s="221"/>
      <c r="V24" s="221"/>
      <c r="W24" s="221"/>
      <c r="X24" s="221"/>
      <c r="Y24" s="284"/>
      <c r="Z24" s="319" t="s">
        <v>4989</v>
      </c>
      <c r="AA24" s="279"/>
      <c r="AB24" s="285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24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24" s="541" t="str">
        <f>LO_Logfile[[#This Row],[Material Name]]&amp;"_"&amp;LO_Logfile[[#This Row],[Qty]]</f>
        <v>ADSS 24C_684</v>
      </c>
      <c r="AE24" s="541" t="e">
        <f>VLOOKUP(LO_Logfile[[#This Row],[looK]],MANUAL!F:F,1,0)</f>
        <v>#N/A</v>
      </c>
      <c r="AF24" s="541" t="str">
        <f>LO_Logfile[[#This Row],[Material Name]]&amp;LO_Logfile[[#This Row],[Qty]]&amp;"_"&amp;LO_Logfile[[#This Row],[In-Out Qty]]</f>
        <v>ADSS 24C684_-1</v>
      </c>
      <c r="AG24" s="554" t="e">
        <f>VLOOKUP(LO_Logfile[[#This Row],[Material Name]]&amp;LO_Logfile[[#This Row],[Qty]]&amp;"_"&amp;-2+LO_Logfile[[#This Row],[In-Out Qty]],AF:AF,1,0)</f>
        <v>#N/A</v>
      </c>
    </row>
    <row r="25" spans="1:33" s="207" customFormat="1" ht="14.5">
      <c r="A25" s="280" t="str">
        <f t="shared" si="0"/>
        <v>021</v>
      </c>
      <c r="B25" s="545" t="str" cm="1">
        <f t="array" ref="B2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A-014-284m</v>
      </c>
      <c r="C25" s="221"/>
      <c r="D25" s="221" t="s">
        <v>48</v>
      </c>
      <c r="E25" s="221" t="s">
        <v>5114</v>
      </c>
      <c r="F25" s="262" t="s">
        <v>3295</v>
      </c>
      <c r="G25" s="262" t="s">
        <v>3299</v>
      </c>
      <c r="H25" s="282">
        <v>45218</v>
      </c>
      <c r="I25" s="223">
        <v>0.33263888888888887</v>
      </c>
      <c r="J25" s="221" t="s">
        <v>3586</v>
      </c>
      <c r="K25" s="249" t="s">
        <v>3023</v>
      </c>
      <c r="L25" s="241" t="s">
        <v>3073</v>
      </c>
      <c r="M25" s="477" t="str">
        <f>VLOOKUP(LO_Logfile[[#This Row],[Material Name]],Sheet2!B:D,2,0)</f>
        <v>ZTE2001</v>
      </c>
      <c r="N25" s="314" t="s">
        <v>20</v>
      </c>
      <c r="O25" s="221">
        <f>3000-(1260+684+772)</f>
        <v>284</v>
      </c>
      <c r="P25" s="221" t="s">
        <v>324</v>
      </c>
      <c r="Q25" s="221" t="s">
        <v>325</v>
      </c>
      <c r="R25" s="221"/>
      <c r="S25" s="221"/>
      <c r="T25" s="221"/>
      <c r="U25" s="221" t="s">
        <v>3322</v>
      </c>
      <c r="V25" s="221" t="s">
        <v>3323</v>
      </c>
      <c r="W25" s="221" t="s">
        <v>3324</v>
      </c>
      <c r="X25" s="221" t="s">
        <v>3325</v>
      </c>
      <c r="Y25" s="221" t="s">
        <v>5345</v>
      </c>
      <c r="Z25" s="283" t="s">
        <v>4989</v>
      </c>
      <c r="AA25" s="279"/>
      <c r="AB25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25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25" s="541" t="str">
        <f>LO_Logfile[[#This Row],[Material Name]]&amp;"_"&amp;LO_Logfile[[#This Row],[Qty]]</f>
        <v>ADSS 24C_284</v>
      </c>
      <c r="AE25" s="541" t="e">
        <f>VLOOKUP(LO_Logfile[[#This Row],[looK]],MANUAL!F:F,1,0)</f>
        <v>#N/A</v>
      </c>
      <c r="AF25" s="539" t="str">
        <f>LO_Logfile[[#This Row],[Material Name]]&amp;LO_Logfile[[#This Row],[Qty]]&amp;"_"&amp;LO_Logfile[[#This Row],[In-Out Qty]]</f>
        <v>ADSS 24C284_1</v>
      </c>
      <c r="AG25" s="554" t="e">
        <f>VLOOKUP(LO_Logfile[[#This Row],[Material Name]]&amp;LO_Logfile[[#This Row],[Qty]]&amp;"_"&amp;-2+LO_Logfile[[#This Row],[In-Out Qty]],AF:AF,1,0)</f>
        <v>#N/A</v>
      </c>
    </row>
    <row r="26" spans="1:33" s="207" customFormat="1" ht="14.5">
      <c r="A26" s="280" t="str">
        <f t="shared" si="0"/>
        <v>022</v>
      </c>
      <c r="B26" s="545" t="str" cm="1">
        <f t="array" ref="B2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A-015-650m</v>
      </c>
      <c r="C26" s="221"/>
      <c r="D26" s="221" t="s">
        <v>49</v>
      </c>
      <c r="E26" s="221" t="s">
        <v>3792</v>
      </c>
      <c r="F26" s="221" t="s">
        <v>3295</v>
      </c>
      <c r="G26" s="221" t="s">
        <v>3299</v>
      </c>
      <c r="H26" s="222">
        <v>45222</v>
      </c>
      <c r="I26" s="223">
        <v>0.34652777777777777</v>
      </c>
      <c r="J26" s="221" t="s">
        <v>4916</v>
      </c>
      <c r="K26" s="249" t="s">
        <v>3023</v>
      </c>
      <c r="L26" s="241" t="s">
        <v>3073</v>
      </c>
      <c r="M26" s="477" t="str">
        <f>VLOOKUP(LO_Logfile[[#This Row],[Material Name]],Sheet2!B:D,2,0)</f>
        <v>ZTE2001</v>
      </c>
      <c r="N26" s="225" t="s">
        <v>20</v>
      </c>
      <c r="O26" s="221">
        <v>650</v>
      </c>
      <c r="P26" s="221" t="s">
        <v>332</v>
      </c>
      <c r="Q26" s="221" t="s">
        <v>337</v>
      </c>
      <c r="R26" s="221"/>
      <c r="S26" s="221"/>
      <c r="T26" s="221"/>
      <c r="U26" s="221"/>
      <c r="V26" s="221"/>
      <c r="W26" s="221"/>
      <c r="X26" s="221"/>
      <c r="Y26" s="284"/>
      <c r="Z26" s="320" t="s">
        <v>4988</v>
      </c>
      <c r="AA26" s="279"/>
      <c r="AB26" s="285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26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26" s="541" t="str">
        <f>LO_Logfile[[#This Row],[Material Name]]&amp;"_"&amp;LO_Logfile[[#This Row],[Qty]]</f>
        <v>ADSS 24C_650</v>
      </c>
      <c r="AE26" s="541" t="e">
        <f>VLOOKUP(LO_Logfile[[#This Row],[looK]],MANUAL!F:F,1,0)</f>
        <v>#N/A</v>
      </c>
      <c r="AF26" s="541" t="str">
        <f>LO_Logfile[[#This Row],[Material Name]]&amp;LO_Logfile[[#This Row],[Qty]]&amp;"_"&amp;LO_Logfile[[#This Row],[In-Out Qty]]</f>
        <v>ADSS 24C650_-1</v>
      </c>
      <c r="AG26" s="554" t="e">
        <f>VLOOKUP(LO_Logfile[[#This Row],[Material Name]]&amp;LO_Logfile[[#This Row],[Qty]]&amp;"_"&amp;-2+LO_Logfile[[#This Row],[In-Out Qty]],AF:AF,1,0)</f>
        <v>#N/A</v>
      </c>
    </row>
    <row r="27" spans="1:33" s="207" customFormat="1" ht="14.5">
      <c r="A27" s="280" t="str">
        <f t="shared" si="0"/>
        <v>023</v>
      </c>
      <c r="B27" s="545" t="str" cm="1">
        <f t="array" ref="B2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A-016-1350m</v>
      </c>
      <c r="C27" s="221"/>
      <c r="D27" s="221" t="s">
        <v>48</v>
      </c>
      <c r="E27" s="221" t="s">
        <v>5144</v>
      </c>
      <c r="F27" s="262" t="s">
        <v>3295</v>
      </c>
      <c r="G27" s="262" t="s">
        <v>3299</v>
      </c>
      <c r="H27" s="222">
        <v>45222</v>
      </c>
      <c r="I27" s="223">
        <v>0.34652777777777777</v>
      </c>
      <c r="J27" s="221" t="s">
        <v>4916</v>
      </c>
      <c r="K27" s="249" t="s">
        <v>3023</v>
      </c>
      <c r="L27" s="241" t="s">
        <v>3073</v>
      </c>
      <c r="M27" s="477" t="str">
        <f>VLOOKUP(LO_Logfile[[#This Row],[Material Name]],Sheet2!B:D,2,0)</f>
        <v>ZTE2001</v>
      </c>
      <c r="N27" s="225" t="s">
        <v>20</v>
      </c>
      <c r="O27" s="221">
        <v>1350</v>
      </c>
      <c r="P27" s="221" t="s">
        <v>332</v>
      </c>
      <c r="Q27" s="221" t="s">
        <v>337</v>
      </c>
      <c r="R27" s="221" t="s">
        <v>3793</v>
      </c>
      <c r="S27" s="221"/>
      <c r="T27" s="221"/>
      <c r="U27" s="221"/>
      <c r="V27" s="221"/>
      <c r="W27" s="221"/>
      <c r="X27" s="221"/>
      <c r="Y27" s="284"/>
      <c r="Z27" s="320" t="s">
        <v>4988</v>
      </c>
      <c r="AA27" s="279"/>
      <c r="AB27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27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27" s="541" t="str">
        <f>LO_Logfile[[#This Row],[Material Name]]&amp;"_"&amp;LO_Logfile[[#This Row],[Qty]]</f>
        <v>ADSS 24C_1350</v>
      </c>
      <c r="AE27" s="541" t="e">
        <f>VLOOKUP(LO_Logfile[[#This Row],[looK]],MANUAL!F:F,1,0)</f>
        <v>#N/A</v>
      </c>
      <c r="AF27" s="541" t="str">
        <f>LO_Logfile[[#This Row],[Material Name]]&amp;LO_Logfile[[#This Row],[Qty]]&amp;"_"&amp;LO_Logfile[[#This Row],[In-Out Qty]]</f>
        <v>ADSS 24C1350_1</v>
      </c>
      <c r="AG27" s="552" t="str">
        <f>VLOOKUP(LO_Logfile[[#This Row],[Material Name]]&amp;LO_Logfile[[#This Row],[Qty]]&amp;"_"&amp;-2+LO_Logfile[[#This Row],[In-Out Qty]],AF:AF,1,0)</f>
        <v>ADSS 24C1350_-1</v>
      </c>
    </row>
    <row r="28" spans="1:33" ht="14.5">
      <c r="A28" s="280" t="str">
        <f t="shared" si="0"/>
        <v>024</v>
      </c>
      <c r="B28" s="545" t="str" cm="1">
        <f t="array" ref="B2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B-008-1559m</v>
      </c>
      <c r="C28" s="221"/>
      <c r="D28" s="221" t="s">
        <v>3313</v>
      </c>
      <c r="E28" s="221" t="s">
        <v>5250</v>
      </c>
      <c r="F28" s="221" t="s">
        <v>3295</v>
      </c>
      <c r="G28" s="221" t="s">
        <v>3299</v>
      </c>
      <c r="H28" s="276">
        <v>45256</v>
      </c>
      <c r="I28" s="240">
        <v>0.25</v>
      </c>
      <c r="J28" s="221" t="s">
        <v>5254</v>
      </c>
      <c r="K28" s="250" t="s">
        <v>3023</v>
      </c>
      <c r="L28" s="241" t="s">
        <v>3075</v>
      </c>
      <c r="M28" s="309" t="str">
        <f>VLOOKUP(LO_Logfile[[#This Row],[Material Name]],Sheet2!B:D,2,0)</f>
        <v>ZTE2003</v>
      </c>
      <c r="N28" s="315" t="s">
        <v>20</v>
      </c>
      <c r="O28" s="221">
        <v>1559</v>
      </c>
      <c r="P28" s="221"/>
      <c r="Q28" s="221"/>
      <c r="R28" s="221"/>
      <c r="S28" s="221"/>
      <c r="T28" s="221"/>
      <c r="U28" s="221"/>
      <c r="V28" s="221"/>
      <c r="W28" s="221"/>
      <c r="X28" s="221"/>
      <c r="Y28" s="284"/>
      <c r="Z28" s="279" t="s">
        <v>5245</v>
      </c>
      <c r="AA28" s="279"/>
      <c r="AB28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28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28" s="540" t="str">
        <f>LO_Logfile[[#This Row],[Material Name]]&amp;"_"&amp;LO_Logfile[[#This Row],[Qty]]</f>
        <v>ADSS 48C_1559</v>
      </c>
      <c r="AE28" s="540" t="e">
        <f>VLOOKUP(LO_Logfile[[#This Row],[looK]],MANUAL!F:F,1,0)</f>
        <v>#N/A</v>
      </c>
      <c r="AF28" s="541" t="str">
        <f>LO_Logfile[[#This Row],[Material Name]]&amp;LO_Logfile[[#This Row],[Qty]]&amp;"_"&amp;LO_Logfile[[#This Row],[In-Out Qty]]</f>
        <v>ADSS 48C1559_1</v>
      </c>
      <c r="AG28" s="552" t="str">
        <f>VLOOKUP(LO_Logfile[[#This Row],[Material Name]]&amp;LO_Logfile[[#This Row],[Qty]]&amp;"_"&amp;-2+LO_Logfile[[#This Row],[In-Out Qty]],AF:AF,1,0)</f>
        <v>ADSS 48C1559_-1</v>
      </c>
    </row>
    <row r="29" spans="1:33" s="207" customFormat="1" ht="14.5">
      <c r="A29" s="260" t="str">
        <f t="shared" si="0"/>
        <v>025</v>
      </c>
      <c r="B29" s="544" t="str" cm="1">
        <f t="array" ref="B2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B-009-65m</v>
      </c>
      <c r="C29" s="262"/>
      <c r="D29" s="262" t="s">
        <v>48</v>
      </c>
      <c r="E29" s="262" t="s">
        <v>4439</v>
      </c>
      <c r="F29" s="221" t="s">
        <v>3295</v>
      </c>
      <c r="G29" s="221" t="s">
        <v>3299</v>
      </c>
      <c r="H29" s="263">
        <v>45261</v>
      </c>
      <c r="I29" s="240">
        <v>0.79166666666666663</v>
      </c>
      <c r="J29" s="262" t="s">
        <v>3586</v>
      </c>
      <c r="K29" s="249" t="s">
        <v>4432</v>
      </c>
      <c r="L29" s="241" t="s">
        <v>3075</v>
      </c>
      <c r="M29" s="242" t="str">
        <f>VLOOKUP(LO_Logfile[[#This Row],[Material Name]],Sheet2!B:D,2,0)</f>
        <v>ZTE2003</v>
      </c>
      <c r="N29" s="315" t="s">
        <v>20</v>
      </c>
      <c r="O29" s="262">
        <v>65</v>
      </c>
      <c r="P29" s="255" t="s">
        <v>222</v>
      </c>
      <c r="Q29" s="255" t="s">
        <v>223</v>
      </c>
      <c r="R29" s="262"/>
      <c r="S29" s="262"/>
      <c r="T29" s="262"/>
      <c r="U29" s="262"/>
      <c r="V29" s="262"/>
      <c r="W29" s="262"/>
      <c r="X29" s="262"/>
      <c r="Y29" s="265" t="s">
        <v>3605</v>
      </c>
      <c r="Z29" s="267"/>
      <c r="AA29" s="267" t="s">
        <v>4441</v>
      </c>
      <c r="AB29" s="26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29" s="26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29" s="541" t="str">
        <f>LO_Logfile[[#This Row],[Material Name]]&amp;"_"&amp;LO_Logfile[[#This Row],[Qty]]</f>
        <v>ADSS 48C_65</v>
      </c>
      <c r="AE29" s="541" t="e">
        <f>VLOOKUP(LO_Logfile[[#This Row],[looK]],MANUAL!F:F,1,0)</f>
        <v>#N/A</v>
      </c>
      <c r="AF29" s="541" t="str">
        <f>LO_Logfile[[#This Row],[Material Name]]&amp;LO_Logfile[[#This Row],[Qty]]&amp;"_"&amp;LO_Logfile[[#This Row],[In-Out Qty]]</f>
        <v>ADSS 48C65_1</v>
      </c>
      <c r="AG29" s="554" t="e">
        <f>VLOOKUP(LO_Logfile[[#This Row],[Material Name]]&amp;LO_Logfile[[#This Row],[Qty]]&amp;"_"&amp;-2+LO_Logfile[[#This Row],[In-Out Qty]],AF:AF,1,0)</f>
        <v>#N/A</v>
      </c>
    </row>
    <row r="30" spans="1:33" s="207" customFormat="1" ht="14.5">
      <c r="A30" s="260" t="str">
        <f t="shared" si="0"/>
        <v>026</v>
      </c>
      <c r="B30" s="544" t="str" cm="1">
        <f t="array" ref="B3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B-010-115m</v>
      </c>
      <c r="C30" s="262"/>
      <c r="D30" s="262" t="s">
        <v>48</v>
      </c>
      <c r="E30" s="262" t="s">
        <v>4439</v>
      </c>
      <c r="F30" s="262" t="s">
        <v>3295</v>
      </c>
      <c r="G30" s="262" t="s">
        <v>3299</v>
      </c>
      <c r="H30" s="263">
        <v>45261</v>
      </c>
      <c r="I30" s="240">
        <v>0.79166666666666663</v>
      </c>
      <c r="J30" s="262" t="s">
        <v>3586</v>
      </c>
      <c r="K30" s="249" t="s">
        <v>4432</v>
      </c>
      <c r="L30" s="241" t="s">
        <v>3075</v>
      </c>
      <c r="M30" s="242" t="str">
        <f>VLOOKUP(LO_Logfile[[#This Row],[Material Name]],Sheet2!B:D,2,0)</f>
        <v>ZTE2003</v>
      </c>
      <c r="N30" s="315" t="s">
        <v>20</v>
      </c>
      <c r="O30" s="262">
        <v>115</v>
      </c>
      <c r="P30" s="255" t="s">
        <v>222</v>
      </c>
      <c r="Q30" s="255" t="s">
        <v>223</v>
      </c>
      <c r="R30" s="262"/>
      <c r="S30" s="262"/>
      <c r="T30" s="262"/>
      <c r="U30" s="262"/>
      <c r="V30" s="262"/>
      <c r="W30" s="262"/>
      <c r="X30" s="262"/>
      <c r="Y30" s="265" t="s">
        <v>3604</v>
      </c>
      <c r="Z30" s="267"/>
      <c r="AA30" s="267" t="s">
        <v>4440</v>
      </c>
      <c r="AB30" s="26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30" s="26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30" s="541" t="str">
        <f>LO_Logfile[[#This Row],[Material Name]]&amp;"_"&amp;LO_Logfile[[#This Row],[Qty]]</f>
        <v>ADSS 48C_115</v>
      </c>
      <c r="AE30" s="541" t="e">
        <f>VLOOKUP(LO_Logfile[[#This Row],[looK]],MANUAL!F:F,1,0)</f>
        <v>#N/A</v>
      </c>
      <c r="AF30" s="541" t="str">
        <f>LO_Logfile[[#This Row],[Material Name]]&amp;LO_Logfile[[#This Row],[Qty]]&amp;"_"&amp;LO_Logfile[[#This Row],[In-Out Qty]]</f>
        <v>ADSS 48C115_1</v>
      </c>
      <c r="AG30" s="552" t="e">
        <f>VLOOKUP(LO_Logfile[[#This Row],[Material Name]]&amp;LO_Logfile[[#This Row],[Qty]]&amp;"_"&amp;-2+LO_Logfile[[#This Row],[In-Out Qty]],AF:AF,1,0)</f>
        <v>#N/A</v>
      </c>
    </row>
    <row r="31" spans="1:33" s="207" customFormat="1" ht="14.5">
      <c r="A31" s="280" t="str">
        <f t="shared" si="0"/>
        <v>027</v>
      </c>
      <c r="B31" s="545" t="str" cm="1">
        <f t="array" ref="B3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A-017-700m</v>
      </c>
      <c r="C31" s="221"/>
      <c r="D31" s="221" t="s">
        <v>48</v>
      </c>
      <c r="E31" s="221" t="s">
        <v>5106</v>
      </c>
      <c r="F31" s="221" t="s">
        <v>3295</v>
      </c>
      <c r="G31" s="221" t="s">
        <v>3299</v>
      </c>
      <c r="H31" s="282">
        <v>45286</v>
      </c>
      <c r="I31" s="223">
        <v>0.3923611111111111</v>
      </c>
      <c r="J31" s="221" t="s">
        <v>3586</v>
      </c>
      <c r="K31" s="249" t="s">
        <v>3023</v>
      </c>
      <c r="L31" s="241" t="s">
        <v>3073</v>
      </c>
      <c r="M31" s="242" t="str">
        <f>VLOOKUP(LO_Logfile[[#This Row],[Material Name]],Sheet2!B:D,2,0)</f>
        <v>ZTE2001</v>
      </c>
      <c r="N31" s="241" t="s">
        <v>20</v>
      </c>
      <c r="O31" s="221">
        <v>700</v>
      </c>
      <c r="P31" s="221" t="s">
        <v>732</v>
      </c>
      <c r="Q31" s="221" t="s">
        <v>733</v>
      </c>
      <c r="R31" s="221"/>
      <c r="S31" s="221"/>
      <c r="T31" s="221"/>
      <c r="U31" s="221" t="s">
        <v>3258</v>
      </c>
      <c r="V31" s="221" t="s">
        <v>3228</v>
      </c>
      <c r="W31" s="221" t="s">
        <v>3337</v>
      </c>
      <c r="X31" s="221" t="s">
        <v>3338</v>
      </c>
      <c r="Y31" s="284" t="s">
        <v>3848</v>
      </c>
      <c r="Z31" s="337" t="s">
        <v>5090</v>
      </c>
      <c r="AA31" s="279"/>
      <c r="AB31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31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31" s="541" t="str">
        <f>LO_Logfile[[#This Row],[Material Name]]&amp;"_"&amp;LO_Logfile[[#This Row],[Qty]]</f>
        <v>ADSS 24C_700</v>
      </c>
      <c r="AE31" s="541" t="e">
        <f>VLOOKUP(LO_Logfile[[#This Row],[looK]],MANUAL!F:F,1,0)</f>
        <v>#N/A</v>
      </c>
      <c r="AF31" s="540" t="str">
        <f>LO_Logfile[[#This Row],[Material Name]]&amp;LO_Logfile[[#This Row],[Qty]]&amp;"_"&amp;LO_Logfile[[#This Row],[In-Out Qty]]</f>
        <v>ADSS 24C700_1</v>
      </c>
      <c r="AG31" s="554" t="e">
        <f>VLOOKUP(LO_Logfile[[#This Row],[Material Name]]&amp;LO_Logfile[[#This Row],[Qty]]&amp;"_"&amp;-2+LO_Logfile[[#This Row],[In-Out Qty]],AF:AF,1,0)</f>
        <v>#N/A</v>
      </c>
    </row>
    <row r="32" spans="1:33" s="207" customFormat="1" ht="14.5">
      <c r="A32" s="280" t="str">
        <f t="shared" si="0"/>
        <v>028</v>
      </c>
      <c r="B32" s="545" t="str" cm="1">
        <f t="array" ref="B3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A-018-418m</v>
      </c>
      <c r="C32" s="221"/>
      <c r="D32" s="262" t="s">
        <v>49</v>
      </c>
      <c r="E32" s="262" t="s">
        <v>4965</v>
      </c>
      <c r="F32" s="262" t="s">
        <v>3295</v>
      </c>
      <c r="G32" s="262" t="s">
        <v>3299</v>
      </c>
      <c r="H32" s="351">
        <v>45311</v>
      </c>
      <c r="I32" s="240">
        <v>0.79166666666666663</v>
      </c>
      <c r="J32" s="262" t="s">
        <v>3586</v>
      </c>
      <c r="K32" s="249" t="s">
        <v>3023</v>
      </c>
      <c r="L32" s="241" t="s">
        <v>3073</v>
      </c>
      <c r="M32" s="242" t="str">
        <f>VLOOKUP(LO_Logfile[[#This Row],[Material Name]],Sheet2!B:D,2,0)</f>
        <v>ZTE2001</v>
      </c>
      <c r="N32" s="315" t="s">
        <v>20</v>
      </c>
      <c r="O32" s="255">
        <v>418</v>
      </c>
      <c r="P32" s="221" t="s">
        <v>828</v>
      </c>
      <c r="Q32" s="221" t="s">
        <v>829</v>
      </c>
      <c r="R32" s="221"/>
      <c r="S32" s="221"/>
      <c r="T32" s="221"/>
      <c r="U32" s="221"/>
      <c r="V32" s="221"/>
      <c r="W32" s="221"/>
      <c r="X32" s="221"/>
      <c r="Y32" s="284"/>
      <c r="Z32" s="279"/>
      <c r="AA32" s="279"/>
      <c r="AB32" s="285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32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32" s="541" t="str">
        <f>LO_Logfile[[#This Row],[Material Name]]&amp;"_"&amp;LO_Logfile[[#This Row],[Qty]]</f>
        <v>ADSS 24C_418</v>
      </c>
      <c r="AE32" s="541" t="e">
        <f>VLOOKUP(LO_Logfile[[#This Row],[looK]],MANUAL!F:F,1,0)</f>
        <v>#N/A</v>
      </c>
      <c r="AF32" s="541" t="str">
        <f>LO_Logfile[[#This Row],[Material Name]]&amp;LO_Logfile[[#This Row],[Qty]]&amp;"_"&amp;LO_Logfile[[#This Row],[In-Out Qty]]</f>
        <v>ADSS 24C418_-1</v>
      </c>
      <c r="AG32" s="554" t="e">
        <f>VLOOKUP(LO_Logfile[[#This Row],[Material Name]]&amp;LO_Logfile[[#This Row],[Qty]]&amp;"_"&amp;-2+LO_Logfile[[#This Row],[In-Out Qty]],AF:AF,1,0)</f>
        <v>#N/A</v>
      </c>
    </row>
    <row r="33" spans="1:33" s="207" customFormat="1" ht="14.5">
      <c r="A33" s="253" t="str">
        <f t="shared" si="0"/>
        <v>029</v>
      </c>
      <c r="B33" s="550" t="str" cm="1">
        <f t="array" ref="B3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C-001-1750m</v>
      </c>
      <c r="C33" s="255"/>
      <c r="D33" s="255" t="s">
        <v>48</v>
      </c>
      <c r="E33" s="255" t="s">
        <v>4442</v>
      </c>
      <c r="F33" s="221" t="s">
        <v>3295</v>
      </c>
      <c r="G33" s="221" t="s">
        <v>3299</v>
      </c>
      <c r="H33" s="256">
        <v>45313</v>
      </c>
      <c r="I33" s="278">
        <v>0.3840277777777778</v>
      </c>
      <c r="J33" s="255" t="s">
        <v>3586</v>
      </c>
      <c r="K33" s="249" t="s">
        <v>3023</v>
      </c>
      <c r="L33" s="241" t="s">
        <v>3076</v>
      </c>
      <c r="M33" s="242" t="str">
        <f>VLOOKUP(LO_Logfile[[#This Row],[Material Name]],Sheet2!B:D,2,0)</f>
        <v>ZTE2013</v>
      </c>
      <c r="N33" s="316" t="s">
        <v>20</v>
      </c>
      <c r="O33" s="255">
        <v>1750</v>
      </c>
      <c r="P33" s="255" t="s">
        <v>834</v>
      </c>
      <c r="Q33" s="255" t="s">
        <v>3335</v>
      </c>
      <c r="R33" s="255"/>
      <c r="S33" s="255"/>
      <c r="T33" s="255"/>
      <c r="U33" s="255" t="s">
        <v>3258</v>
      </c>
      <c r="V33" s="255" t="s">
        <v>3228</v>
      </c>
      <c r="W33" s="255" t="s">
        <v>3337</v>
      </c>
      <c r="X33" s="255" t="s">
        <v>3338</v>
      </c>
      <c r="Y33" s="258" t="s">
        <v>4443</v>
      </c>
      <c r="Z33" s="272" t="s">
        <v>4967</v>
      </c>
      <c r="AA33" s="272" t="s">
        <v>4443</v>
      </c>
      <c r="AB33" s="25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33" s="25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33" s="541" t="str">
        <f>LO_Logfile[[#This Row],[Material Name]]&amp;"_"&amp;LO_Logfile[[#This Row],[Qty]]</f>
        <v>ADSS 96C_1750</v>
      </c>
      <c r="AE33" s="541" t="e">
        <f>VLOOKUP(LO_Logfile[[#This Row],[looK]],MANUAL!F:F,1,0)</f>
        <v>#N/A</v>
      </c>
      <c r="AF33" s="541" t="str">
        <f>LO_Logfile[[#This Row],[Material Name]]&amp;LO_Logfile[[#This Row],[Qty]]&amp;"_"&amp;LO_Logfile[[#This Row],[In-Out Qty]]</f>
        <v>ADSS 96C1750_1</v>
      </c>
      <c r="AG33" s="552" t="str">
        <f>VLOOKUP(LO_Logfile[[#This Row],[Material Name]]&amp;LO_Logfile[[#This Row],[Qty]]&amp;"_"&amp;-2+LO_Logfile[[#This Row],[In-Out Qty]],AF:AF,1,0)</f>
        <v>ADSS 96C1750_-1</v>
      </c>
    </row>
    <row r="34" spans="1:33" s="207" customFormat="1" ht="14.5">
      <c r="A34" s="280" t="str">
        <f t="shared" si="0"/>
        <v>030</v>
      </c>
      <c r="B34" s="545" t="str" cm="1">
        <f t="array" ref="B3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B-011-2554m</v>
      </c>
      <c r="C34" s="249"/>
      <c r="D34" s="249" t="s">
        <v>3313</v>
      </c>
      <c r="E34" s="249" t="s">
        <v>5251</v>
      </c>
      <c r="F34" s="221" t="s">
        <v>3295</v>
      </c>
      <c r="G34" s="221" t="s">
        <v>3299</v>
      </c>
      <c r="H34" s="303">
        <v>45314</v>
      </c>
      <c r="I34" s="251">
        <v>0.25</v>
      </c>
      <c r="J34" s="221" t="s">
        <v>5254</v>
      </c>
      <c r="K34" s="250" t="s">
        <v>3023</v>
      </c>
      <c r="L34" s="241" t="s">
        <v>3075</v>
      </c>
      <c r="M34" s="309" t="str">
        <f>VLOOKUP(LO_Logfile[[#This Row],[Material Name]],Sheet2!B:D,2,0)</f>
        <v>ZTE2003</v>
      </c>
      <c r="N34" s="318" t="s">
        <v>20</v>
      </c>
      <c r="O34" s="249">
        <v>2554</v>
      </c>
      <c r="P34" s="249"/>
      <c r="Q34" s="249"/>
      <c r="R34" s="249"/>
      <c r="S34" s="249"/>
      <c r="T34" s="249"/>
      <c r="U34" s="221"/>
      <c r="V34" s="221"/>
      <c r="W34" s="221"/>
      <c r="X34" s="221"/>
      <c r="Y34" s="296"/>
      <c r="Z34" s="279" t="s">
        <v>5246</v>
      </c>
      <c r="AA34" s="279"/>
      <c r="AB34" s="30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34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&gt;2000</v>
      </c>
      <c r="AD34" s="541" t="str">
        <f>LO_Logfile[[#This Row],[Material Name]]&amp;"_"&amp;LO_Logfile[[#This Row],[Qty]]</f>
        <v>ADSS 48C_2554</v>
      </c>
      <c r="AE34" s="541" t="e">
        <f>VLOOKUP(LO_Logfile[[#This Row],[looK]],MANUAL!F:F,1,0)</f>
        <v>#N/A</v>
      </c>
      <c r="AF34" s="541" t="str">
        <f>LO_Logfile[[#This Row],[Material Name]]&amp;LO_Logfile[[#This Row],[Qty]]&amp;"_"&amp;LO_Logfile[[#This Row],[In-Out Qty]]</f>
        <v>ADSS 48C2554_1</v>
      </c>
      <c r="AG34" s="554" t="str">
        <f>VLOOKUP(LO_Logfile[[#This Row],[Material Name]]&amp;LO_Logfile[[#This Row],[Qty]]&amp;"_"&amp;-2+LO_Logfile[[#This Row],[In-Out Qty]],AF:AF,1,0)</f>
        <v>ADSS 48C2554_-1</v>
      </c>
    </row>
    <row r="35" spans="1:33" s="207" customFormat="1" ht="14.5">
      <c r="A35" s="280" t="str">
        <f t="shared" si="0"/>
        <v>031</v>
      </c>
      <c r="B35" s="545" t="str" cm="1">
        <f t="array" ref="B3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B-012-2554m</v>
      </c>
      <c r="C35" s="221"/>
      <c r="D35" s="221" t="s">
        <v>49</v>
      </c>
      <c r="E35" s="221" t="s">
        <v>5343</v>
      </c>
      <c r="F35" s="221" t="s">
        <v>3295</v>
      </c>
      <c r="G35" s="221" t="s">
        <v>3299</v>
      </c>
      <c r="H35" s="276">
        <v>45314</v>
      </c>
      <c r="I35" s="240">
        <v>0.25</v>
      </c>
      <c r="J35" s="221" t="s">
        <v>5254</v>
      </c>
      <c r="K35" s="250" t="s">
        <v>3023</v>
      </c>
      <c r="L35" s="241" t="s">
        <v>3075</v>
      </c>
      <c r="M35" s="309" t="str">
        <f>VLOOKUP(LO_Logfile[[#This Row],[Material Name]],Sheet2!B:D,2,0)</f>
        <v>ZTE2003</v>
      </c>
      <c r="N35" s="315" t="s">
        <v>20</v>
      </c>
      <c r="O35" s="221">
        <v>2554</v>
      </c>
      <c r="P35" s="221" t="s">
        <v>742</v>
      </c>
      <c r="Q35" s="221" t="s">
        <v>743</v>
      </c>
      <c r="R35" s="221"/>
      <c r="S35" s="221"/>
      <c r="T35" s="221"/>
      <c r="U35" s="221"/>
      <c r="V35" s="221"/>
      <c r="W35" s="221"/>
      <c r="X35" s="221"/>
      <c r="Y35" s="284"/>
      <c r="Z35" s="249" t="s">
        <v>5246</v>
      </c>
      <c r="AA35" s="296"/>
      <c r="AB35" s="285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35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&gt;2000</v>
      </c>
      <c r="AD35" s="541" t="str">
        <f>LO_Logfile[[#This Row],[Material Name]]&amp;"_"&amp;LO_Logfile[[#This Row],[Qty]]</f>
        <v>ADSS 48C_2554</v>
      </c>
      <c r="AE35" s="541" t="e">
        <f>VLOOKUP(LO_Logfile[[#This Row],[looK]],MANUAL!F:F,1,0)</f>
        <v>#N/A</v>
      </c>
      <c r="AF35" s="541" t="str">
        <f>LO_Logfile[[#This Row],[Material Name]]&amp;LO_Logfile[[#This Row],[Qty]]&amp;"_"&amp;LO_Logfile[[#This Row],[In-Out Qty]]</f>
        <v>ADSS 48C2554_-1</v>
      </c>
      <c r="AG35" s="554" t="e">
        <f>VLOOKUP(LO_Logfile[[#This Row],[Material Name]]&amp;LO_Logfile[[#This Row],[Qty]]&amp;"_"&amp;-2+LO_Logfile[[#This Row],[In-Out Qty]],AF:AF,1,0)</f>
        <v>#N/A</v>
      </c>
    </row>
    <row r="36" spans="1:33" s="207" customFormat="1" ht="14.5">
      <c r="A36" s="304" t="str">
        <f t="shared" si="0"/>
        <v>032</v>
      </c>
      <c r="B36" s="281" t="str" cm="1">
        <f t="array" ref="B3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A-019-1000m</v>
      </c>
      <c r="C36" s="249"/>
      <c r="D36" s="286" t="s">
        <v>48</v>
      </c>
      <c r="E36" s="286" t="s">
        <v>5377</v>
      </c>
      <c r="F36" s="221" t="s">
        <v>3295</v>
      </c>
      <c r="G36" s="221" t="s">
        <v>3299</v>
      </c>
      <c r="H36" s="307">
        <v>45317</v>
      </c>
      <c r="I36" s="308">
        <v>0.3840277777777778</v>
      </c>
      <c r="J36" s="255" t="s">
        <v>3586</v>
      </c>
      <c r="K36" s="249" t="s">
        <v>3023</v>
      </c>
      <c r="L36" s="241" t="s">
        <v>3073</v>
      </c>
      <c r="M36" s="476" t="str">
        <f>VLOOKUP(LO_Logfile[[#This Row],[Material Name]],Sheet2!B:D,2,0)</f>
        <v>ZTE2001</v>
      </c>
      <c r="N36" s="316" t="s">
        <v>20</v>
      </c>
      <c r="O36" s="286">
        <v>1000</v>
      </c>
      <c r="P36" s="286" t="s">
        <v>738</v>
      </c>
      <c r="Q36" s="249" t="s">
        <v>3392</v>
      </c>
      <c r="R36" s="249" t="s">
        <v>3610</v>
      </c>
      <c r="S36" s="249" t="s">
        <v>5090</v>
      </c>
      <c r="T36" s="249"/>
      <c r="U36" s="221"/>
      <c r="V36" s="221"/>
      <c r="W36" s="221"/>
      <c r="X36" s="221"/>
      <c r="Y36" s="296"/>
      <c r="Z36" s="352" t="s">
        <v>5090</v>
      </c>
      <c r="AA36" s="279"/>
      <c r="AB36" s="30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36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36" s="555" t="str">
        <f>LO_Logfile[[#This Row],[Material Name]]&amp;"_"&amp;LO_Logfile[[#This Row],[Qty]]</f>
        <v>ADSS 24C_1000</v>
      </c>
      <c r="AE36" s="555" t="e">
        <f>VLOOKUP(LO_Logfile[[#This Row],[looK]],MANUAL!F:F,1,0)</f>
        <v>#N/A</v>
      </c>
      <c r="AF36" s="555" t="str">
        <f>LO_Logfile[[#This Row],[Material Name]]&amp;LO_Logfile[[#This Row],[Qty]]&amp;"_"&amp;LO_Logfile[[#This Row],[In-Out Qty]]</f>
        <v>ADSS 24C1000_1</v>
      </c>
      <c r="AG36" s="555" t="str">
        <f>VLOOKUP(LO_Logfile[[#This Row],[Material Name]]&amp;LO_Logfile[[#This Row],[Qty]]&amp;"_"&amp;-2+LO_Logfile[[#This Row],[In-Out Qty]],AF:AF,1,0)</f>
        <v>ADSS 24C1000_-1</v>
      </c>
    </row>
    <row r="37" spans="1:33" s="207" customFormat="1" ht="14.5">
      <c r="A37" s="260" t="str">
        <f t="shared" ref="A37:A68" si="1">TEXT(ROW(A37)-ROW($A$4),"000")</f>
        <v>033</v>
      </c>
      <c r="B37" s="261" t="str" cm="1">
        <f t="array" ref="B3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A-020-300m</v>
      </c>
      <c r="C37" s="262"/>
      <c r="D37" s="262" t="s">
        <v>48</v>
      </c>
      <c r="E37" s="293" t="s">
        <v>4444</v>
      </c>
      <c r="F37" s="262" t="s">
        <v>3295</v>
      </c>
      <c r="G37" s="262" t="s">
        <v>3299</v>
      </c>
      <c r="H37" s="263">
        <v>45344</v>
      </c>
      <c r="I37" s="240">
        <v>0.79166666666666663</v>
      </c>
      <c r="J37" s="262" t="s">
        <v>3586</v>
      </c>
      <c r="K37" s="249" t="s">
        <v>3023</v>
      </c>
      <c r="L37" s="241" t="s">
        <v>3073</v>
      </c>
      <c r="M37" s="242" t="str">
        <f>VLOOKUP(LO_Logfile[[#This Row],[Material Name]],Sheet2!B:D,2,0)</f>
        <v>ZTE2001</v>
      </c>
      <c r="N37" s="315" t="s">
        <v>20</v>
      </c>
      <c r="O37" s="262">
        <v>300</v>
      </c>
      <c r="P37" s="262"/>
      <c r="Q37" s="262"/>
      <c r="R37" s="262"/>
      <c r="S37" s="262"/>
      <c r="T37" s="262"/>
      <c r="U37" s="262"/>
      <c r="V37" s="262"/>
      <c r="W37" s="262"/>
      <c r="X37" s="262"/>
      <c r="Y37" s="265" t="s">
        <v>3611</v>
      </c>
      <c r="Z37" s="293"/>
      <c r="AA37" s="266" t="s">
        <v>4445</v>
      </c>
      <c r="AB37" s="26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37" s="26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37" s="541" t="str">
        <f>LO_Logfile[[#This Row],[Material Name]]&amp;"_"&amp;LO_Logfile[[#This Row],[Qty]]</f>
        <v>ADSS 24C_300</v>
      </c>
      <c r="AE37" s="541" t="str">
        <f>VLOOKUP(LO_Logfile[[#This Row],[looK]],MANUAL!F:F,1,0)</f>
        <v>ADSS 24C_300</v>
      </c>
      <c r="AF37" s="540" t="str">
        <f>LO_Logfile[[#This Row],[Material Name]]&amp;LO_Logfile[[#This Row],[Qty]]&amp;"_"&amp;LO_Logfile[[#This Row],[In-Out Qty]]</f>
        <v>ADSS 24C300_1</v>
      </c>
      <c r="AG37" s="553" t="e">
        <f>VLOOKUP(LO_Logfile[[#This Row],[Material Name]]&amp;LO_Logfile[[#This Row],[Qty]]&amp;"_"&amp;-2+LO_Logfile[[#This Row],[In-Out Qty]],AF:AF,1,0)</f>
        <v>#N/A</v>
      </c>
    </row>
    <row r="38" spans="1:33" s="207" customFormat="1" ht="14.5">
      <c r="A38" s="280" t="str">
        <f t="shared" si="1"/>
        <v>034</v>
      </c>
      <c r="B38" s="545" t="str" cm="1">
        <f t="array" ref="B3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A-021-1879m</v>
      </c>
      <c r="C38" s="221"/>
      <c r="D38" s="221" t="s">
        <v>3313</v>
      </c>
      <c r="E38" s="249" t="s">
        <v>5252</v>
      </c>
      <c r="F38" s="221" t="s">
        <v>3295</v>
      </c>
      <c r="G38" s="221" t="s">
        <v>3299</v>
      </c>
      <c r="H38" s="276">
        <v>45381</v>
      </c>
      <c r="I38" s="240">
        <v>0.25</v>
      </c>
      <c r="J38" s="221" t="s">
        <v>5254</v>
      </c>
      <c r="K38" s="250" t="s">
        <v>3023</v>
      </c>
      <c r="L38" s="241" t="s">
        <v>3073</v>
      </c>
      <c r="M38" s="309" t="str">
        <f>VLOOKUP(LO_Logfile[[#This Row],[Material Name]],Sheet2!B:D,2,0)</f>
        <v>ZTE2001</v>
      </c>
      <c r="N38" s="315" t="s">
        <v>20</v>
      </c>
      <c r="O38" s="221">
        <v>1879</v>
      </c>
      <c r="P38" s="221"/>
      <c r="Q38" s="221"/>
      <c r="R38" s="221"/>
      <c r="S38" s="221"/>
      <c r="T38" s="221"/>
      <c r="U38" s="221"/>
      <c r="V38" s="221"/>
      <c r="W38" s="221"/>
      <c r="X38" s="221"/>
      <c r="Y38" s="284"/>
      <c r="Z38" s="279" t="s">
        <v>5247</v>
      </c>
      <c r="AA38" s="296"/>
      <c r="AB38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38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38" s="541" t="str">
        <f>LO_Logfile[[#This Row],[Material Name]]&amp;"_"&amp;LO_Logfile[[#This Row],[Qty]]</f>
        <v>ADSS 24C_1879</v>
      </c>
      <c r="AE38" s="541" t="e">
        <f>VLOOKUP(LO_Logfile[[#This Row],[looK]],MANUAL!F:F,1,0)</f>
        <v>#N/A</v>
      </c>
      <c r="AF38" s="541" t="str">
        <f>LO_Logfile[[#This Row],[Material Name]]&amp;LO_Logfile[[#This Row],[Qty]]&amp;"_"&amp;LO_Logfile[[#This Row],[In-Out Qty]]</f>
        <v>ADSS 24C1879_1</v>
      </c>
      <c r="AG38" s="554" t="e">
        <f>VLOOKUP(LO_Logfile[[#This Row],[Material Name]]&amp;LO_Logfile[[#This Row],[Qty]]&amp;"_"&amp;-2+LO_Logfile[[#This Row],[In-Out Qty]],AF:AF,1,0)</f>
        <v>#N/A</v>
      </c>
    </row>
    <row r="39" spans="1:33" s="207" customFormat="1" ht="14.5">
      <c r="A39" s="280" t="str">
        <f t="shared" si="1"/>
        <v>035</v>
      </c>
      <c r="B39" s="281" t="str" cm="1">
        <f t="array" ref="B3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D-001-150m</v>
      </c>
      <c r="C39" s="221"/>
      <c r="D39" s="249" t="s">
        <v>48</v>
      </c>
      <c r="E39" s="221" t="s">
        <v>4985</v>
      </c>
      <c r="F39" s="262" t="s">
        <v>3295</v>
      </c>
      <c r="G39" s="262" t="s">
        <v>3299</v>
      </c>
      <c r="H39" s="282">
        <v>45424</v>
      </c>
      <c r="I39" s="223">
        <v>0.8125</v>
      </c>
      <c r="J39" s="221" t="s">
        <v>3586</v>
      </c>
      <c r="K39" s="249" t="s">
        <v>3023</v>
      </c>
      <c r="L39" s="241" t="s">
        <v>3077</v>
      </c>
      <c r="M39" s="242" t="str">
        <f>VLOOKUP(LO_Logfile[[#This Row],[Material Name]],Sheet2!B:D,2,0)</f>
        <v>ZTE2004</v>
      </c>
      <c r="N39" s="314" t="s">
        <v>20</v>
      </c>
      <c r="O39" s="221">
        <v>150</v>
      </c>
      <c r="P39" s="221" t="s">
        <v>1967</v>
      </c>
      <c r="Q39" s="221" t="s">
        <v>3396</v>
      </c>
      <c r="R39" s="221"/>
      <c r="S39" s="221"/>
      <c r="T39" s="221"/>
      <c r="U39" s="221" t="s">
        <v>3258</v>
      </c>
      <c r="V39" s="221" t="s">
        <v>3228</v>
      </c>
      <c r="W39" s="221" t="s">
        <v>3337</v>
      </c>
      <c r="X39" s="221" t="s">
        <v>3338</v>
      </c>
      <c r="Y39" s="284"/>
      <c r="Z39" s="279" t="s">
        <v>4968</v>
      </c>
      <c r="AA39" s="296"/>
      <c r="AB39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39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39" s="541" t="str">
        <f>LO_Logfile[[#This Row],[Material Name]]&amp;"_"&amp;LO_Logfile[[#This Row],[Qty]]</f>
        <v>ADSS 144C_150</v>
      </c>
      <c r="AE39" s="541" t="str">
        <f>VLOOKUP(LO_Logfile[[#This Row],[looK]],MANUAL!F:F,1,0)</f>
        <v>ADSS 144C_150</v>
      </c>
      <c r="AF39" s="540" t="str">
        <f>LO_Logfile[[#This Row],[Material Name]]&amp;LO_Logfile[[#This Row],[Qty]]&amp;"_"&amp;LO_Logfile[[#This Row],[In-Out Qty]]</f>
        <v>ADSS 144C150_1</v>
      </c>
      <c r="AG39" s="551" t="str">
        <f>VLOOKUP(LO_Logfile[[#This Row],[Material Name]]&amp;LO_Logfile[[#This Row],[Qty]]&amp;"_"&amp;-2+LO_Logfile[[#This Row],[In-Out Qty]],AF:AF,1,0)</f>
        <v>ADSS 144C150_-1</v>
      </c>
    </row>
    <row r="40" spans="1:33" s="207" customFormat="1" ht="14.5">
      <c r="A40" s="349" t="str">
        <f t="shared" si="1"/>
        <v>036</v>
      </c>
      <c r="B40" s="350" t="str" cm="1">
        <f t="array" ref="B4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P74-001-1</v>
      </c>
      <c r="C40" s="286"/>
      <c r="D40" s="286" t="s">
        <v>48</v>
      </c>
      <c r="E40" s="286" t="s">
        <v>4470</v>
      </c>
      <c r="F40" s="221" t="s">
        <v>3295</v>
      </c>
      <c r="G40" s="221" t="s">
        <v>3299</v>
      </c>
      <c r="H40" s="256">
        <v>45437</v>
      </c>
      <c r="I40" s="257">
        <v>0.79166666666666663</v>
      </c>
      <c r="J40" s="255" t="s">
        <v>3586</v>
      </c>
      <c r="K40" s="249" t="s">
        <v>3023</v>
      </c>
      <c r="L40" s="241" t="s">
        <v>3227</v>
      </c>
      <c r="M40" s="242" t="str">
        <f>VLOOKUP(LO_Logfile[[#This Row],[Material Name]],Sheet2!B:D,2,0)</f>
        <v>ZTE1001</v>
      </c>
      <c r="N40" s="317" t="s">
        <v>19</v>
      </c>
      <c r="O40" s="286">
        <v>1</v>
      </c>
      <c r="P40" s="255" t="s">
        <v>834</v>
      </c>
      <c r="Q40" s="255" t="s">
        <v>3335</v>
      </c>
      <c r="R40" s="286"/>
      <c r="S40" s="286"/>
      <c r="T40" s="286" t="s">
        <v>3173</v>
      </c>
      <c r="U40" s="255"/>
      <c r="V40" s="255"/>
      <c r="W40" s="255"/>
      <c r="X40" s="255"/>
      <c r="Y40" s="259" t="s">
        <v>3587</v>
      </c>
      <c r="Z40" s="272"/>
      <c r="AA40" s="259"/>
      <c r="AB40" s="28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40" s="28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/>
      </c>
      <c r="AD40" s="541" t="str">
        <f>LO_Logfile[[#This Row],[Material Name]]&amp;"_"&amp;LO_Logfile[[#This Row],[Qty]]</f>
        <v>Pole 7m 4"_1</v>
      </c>
      <c r="AE40" s="541" t="e">
        <f>VLOOKUP(LO_Logfile[[#This Row],[looK]],MANUAL!F:F,1,0)</f>
        <v>#N/A</v>
      </c>
      <c r="AF40" s="541" t="str">
        <f>LO_Logfile[[#This Row],[Material Name]]&amp;LO_Logfile[[#This Row],[Qty]]&amp;"_"&amp;LO_Logfile[[#This Row],[In-Out Qty]]</f>
        <v>Pole 7m 4"1_1</v>
      </c>
      <c r="AG40" s="552" t="str">
        <f>VLOOKUP(LO_Logfile[[#This Row],[Material Name]]&amp;LO_Logfile[[#This Row],[Qty]]&amp;"_"&amp;-2+LO_Logfile[[#This Row],[In-Out Qty]],AF:AF,1,0)</f>
        <v>Pole 7M 4"1_-1</v>
      </c>
    </row>
    <row r="41" spans="1:33" s="207" customFormat="1" ht="14.5">
      <c r="A41" s="280" t="str">
        <f t="shared" si="1"/>
        <v>037</v>
      </c>
      <c r="B41" s="545" t="str" cm="1">
        <f t="array" ref="B4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A-022-2400m</v>
      </c>
      <c r="C41" s="221"/>
      <c r="D41" s="227" t="s">
        <v>48</v>
      </c>
      <c r="E41" s="221" t="s">
        <v>5255</v>
      </c>
      <c r="F41" s="221" t="s">
        <v>3295</v>
      </c>
      <c r="G41" s="221" t="s">
        <v>3299</v>
      </c>
      <c r="H41" s="276">
        <v>45462</v>
      </c>
      <c r="I41" s="240">
        <v>0.25</v>
      </c>
      <c r="J41" s="221" t="s">
        <v>3586</v>
      </c>
      <c r="K41" s="250" t="s">
        <v>3023</v>
      </c>
      <c r="L41" s="241" t="s">
        <v>3073</v>
      </c>
      <c r="M41" s="309" t="str">
        <f>VLOOKUP(LO_Logfile[[#This Row],[Material Name]],Sheet2!B:D,2,0)</f>
        <v>ZTE2001</v>
      </c>
      <c r="N41" s="315" t="s">
        <v>20</v>
      </c>
      <c r="O41" s="221">
        <v>2400</v>
      </c>
      <c r="P41" s="221"/>
      <c r="Q41" s="221" t="s">
        <v>5256</v>
      </c>
      <c r="R41" s="221"/>
      <c r="S41" s="221"/>
      <c r="T41" s="249"/>
      <c r="U41" s="221"/>
      <c r="V41" s="221"/>
      <c r="W41" s="221"/>
      <c r="X41" s="221"/>
      <c r="Y41" s="284" t="s">
        <v>5256</v>
      </c>
      <c r="Z41" s="249" t="s">
        <v>5248</v>
      </c>
      <c r="AA41" s="296"/>
      <c r="AB41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41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&gt;2000</v>
      </c>
      <c r="AD41" s="541" t="str">
        <f>LO_Logfile[[#This Row],[Material Name]]&amp;"_"&amp;LO_Logfile[[#This Row],[Qty]]</f>
        <v>ADSS 24C_2400</v>
      </c>
      <c r="AE41" s="541" t="e">
        <f>VLOOKUP(LO_Logfile[[#This Row],[looK]],MANUAL!F:F,1,0)</f>
        <v>#N/A</v>
      </c>
      <c r="AF41" s="541" t="str">
        <f>LO_Logfile[[#This Row],[Material Name]]&amp;LO_Logfile[[#This Row],[Qty]]&amp;"_"&amp;LO_Logfile[[#This Row],[In-Out Qty]]</f>
        <v>ADSS 24C2400_1</v>
      </c>
      <c r="AG41" s="554" t="e">
        <f>VLOOKUP(LO_Logfile[[#This Row],[Material Name]]&amp;LO_Logfile[[#This Row],[Qty]]&amp;"_"&amp;-2+LO_Logfile[[#This Row],[In-Out Qty]],AF:AF,1,0)</f>
        <v>#N/A</v>
      </c>
    </row>
    <row r="42" spans="1:33" s="207" customFormat="1" ht="14.5">
      <c r="A42" s="280" t="str">
        <f t="shared" si="1"/>
        <v>038</v>
      </c>
      <c r="B42" s="545" t="str" cm="1">
        <f t="array" ref="B4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A-023-926m</v>
      </c>
      <c r="C42" s="221"/>
      <c r="D42" s="221" t="s">
        <v>49</v>
      </c>
      <c r="E42" s="221" t="s">
        <v>5140</v>
      </c>
      <c r="F42" s="262" t="s">
        <v>3295</v>
      </c>
      <c r="G42" s="262" t="s">
        <v>3299</v>
      </c>
      <c r="H42" s="282">
        <v>45465</v>
      </c>
      <c r="I42" s="223">
        <v>0.69236111111111109</v>
      </c>
      <c r="J42" s="221" t="s">
        <v>3586</v>
      </c>
      <c r="K42" s="249" t="s">
        <v>3023</v>
      </c>
      <c r="L42" s="241" t="s">
        <v>3073</v>
      </c>
      <c r="M42" s="242" t="str">
        <f>VLOOKUP(LO_Logfile[[#This Row],[Material Name]],Sheet2!B:D,2,0)</f>
        <v>ZTE2001</v>
      </c>
      <c r="N42" s="314" t="s">
        <v>20</v>
      </c>
      <c r="O42" s="221">
        <v>926</v>
      </c>
      <c r="P42" s="144" t="s">
        <v>1689</v>
      </c>
      <c r="Q42" s="144" t="s">
        <v>1690</v>
      </c>
      <c r="R42" s="221"/>
      <c r="S42" s="221"/>
      <c r="T42" s="249"/>
      <c r="U42" s="221"/>
      <c r="V42" s="221"/>
      <c r="W42" s="221"/>
      <c r="X42" s="221"/>
      <c r="Y42" s="284"/>
      <c r="Z42" s="472" t="s">
        <v>4946</v>
      </c>
      <c r="AA42" s="296"/>
      <c r="AB42" s="285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42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42" s="541" t="str">
        <f>LO_Logfile[[#This Row],[Material Name]]&amp;"_"&amp;LO_Logfile[[#This Row],[Qty]]</f>
        <v>ADSS 24C_926</v>
      </c>
      <c r="AE42" s="541" t="e">
        <f>VLOOKUP(LO_Logfile[[#This Row],[looK]],MANUAL!F:F,1,0)</f>
        <v>#N/A</v>
      </c>
      <c r="AF42" s="541" t="str">
        <f>LO_Logfile[[#This Row],[Material Name]]&amp;LO_Logfile[[#This Row],[Qty]]&amp;"_"&amp;LO_Logfile[[#This Row],[In-Out Qty]]</f>
        <v>ADSS 24C926_-1</v>
      </c>
      <c r="AG42" s="553" t="e">
        <f>VLOOKUP(LO_Logfile[[#This Row],[Material Name]]&amp;LO_Logfile[[#This Row],[Qty]]&amp;"_"&amp;-2+LO_Logfile[[#This Row],[In-Out Qty]],AF:AF,1,0)</f>
        <v>#N/A</v>
      </c>
    </row>
    <row r="43" spans="1:33" s="207" customFormat="1" ht="14.5">
      <c r="A43" s="280" t="str">
        <f t="shared" si="1"/>
        <v>039</v>
      </c>
      <c r="B43" s="545" t="str" cm="1">
        <f t="array" ref="B4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A-024-316m</v>
      </c>
      <c r="C43" s="221"/>
      <c r="D43" s="221" t="s">
        <v>48</v>
      </c>
      <c r="E43" s="249" t="s">
        <v>5141</v>
      </c>
      <c r="F43" s="221" t="s">
        <v>3295</v>
      </c>
      <c r="G43" s="221" t="s">
        <v>3299</v>
      </c>
      <c r="H43" s="282">
        <v>45465</v>
      </c>
      <c r="I43" s="223">
        <v>0.69236111111111109</v>
      </c>
      <c r="J43" s="221" t="s">
        <v>3586</v>
      </c>
      <c r="K43" s="249" t="s">
        <v>3023</v>
      </c>
      <c r="L43" s="241" t="s">
        <v>3073</v>
      </c>
      <c r="M43" s="242" t="str">
        <f>VLOOKUP(LO_Logfile[[#This Row],[Material Name]],Sheet2!B:D,2,0)</f>
        <v>ZTE2001</v>
      </c>
      <c r="N43" s="314" t="s">
        <v>20</v>
      </c>
      <c r="O43" s="221">
        <v>316</v>
      </c>
      <c r="P43" s="144" t="s">
        <v>1689</v>
      </c>
      <c r="Q43" s="144" t="s">
        <v>1690</v>
      </c>
      <c r="R43" s="221"/>
      <c r="S43" s="221"/>
      <c r="T43" s="221"/>
      <c r="U43" s="221"/>
      <c r="V43" s="221"/>
      <c r="W43" s="221"/>
      <c r="X43" s="221"/>
      <c r="Y43" s="284"/>
      <c r="Z43" s="472" t="s">
        <v>4946</v>
      </c>
      <c r="AA43" s="296"/>
      <c r="AB43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43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43" s="541" t="str">
        <f>LO_Logfile[[#This Row],[Material Name]]&amp;"_"&amp;LO_Logfile[[#This Row],[Qty]]</f>
        <v>ADSS 24C_316</v>
      </c>
      <c r="AE43" s="541" t="e">
        <f>VLOOKUP(LO_Logfile[[#This Row],[looK]],MANUAL!F:F,1,0)</f>
        <v>#N/A</v>
      </c>
      <c r="AF43" s="541" t="str">
        <f>LO_Logfile[[#This Row],[Material Name]]&amp;LO_Logfile[[#This Row],[Qty]]&amp;"_"&amp;LO_Logfile[[#This Row],[In-Out Qty]]</f>
        <v>ADSS 24C316_1</v>
      </c>
      <c r="AG43" s="554" t="e">
        <f>VLOOKUP(LO_Logfile[[#This Row],[Material Name]]&amp;LO_Logfile[[#This Row],[Qty]]&amp;"_"&amp;-2+LO_Logfile[[#This Row],[In-Out Qty]],AF:AF,1,0)</f>
        <v>#N/A</v>
      </c>
    </row>
    <row r="44" spans="1:33" s="213" customFormat="1" ht="14.5">
      <c r="A44" s="294" t="str">
        <f t="shared" si="1"/>
        <v>040</v>
      </c>
      <c r="B44" s="295" t="str" cm="1">
        <f t="array" ref="B4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B-013-700m</v>
      </c>
      <c r="C44" s="293"/>
      <c r="D44" s="293" t="s">
        <v>48</v>
      </c>
      <c r="E44" s="293" t="s">
        <v>4448</v>
      </c>
      <c r="F44" s="221" t="s">
        <v>3295</v>
      </c>
      <c r="G44" s="221" t="s">
        <v>3299</v>
      </c>
      <c r="H44" s="300">
        <v>45468</v>
      </c>
      <c r="I44" s="251">
        <v>0.79166666666666663</v>
      </c>
      <c r="J44" s="262" t="s">
        <v>3586</v>
      </c>
      <c r="K44" s="249" t="s">
        <v>3023</v>
      </c>
      <c r="L44" s="241" t="s">
        <v>3075</v>
      </c>
      <c r="M44" s="242" t="str">
        <f>VLOOKUP(LO_Logfile[[#This Row],[Material Name]],Sheet2!B:D,2,0)</f>
        <v>ZTE2003</v>
      </c>
      <c r="N44" s="315" t="s">
        <v>20</v>
      </c>
      <c r="O44" s="293">
        <v>700</v>
      </c>
      <c r="P44" s="293" t="s">
        <v>1683</v>
      </c>
      <c r="Q44" s="293" t="s">
        <v>1684</v>
      </c>
      <c r="R44" s="293"/>
      <c r="S44" s="293"/>
      <c r="T44" s="293"/>
      <c r="U44" s="221" t="s">
        <v>3258</v>
      </c>
      <c r="V44" s="221" t="s">
        <v>3228</v>
      </c>
      <c r="W44" s="221" t="s">
        <v>3337</v>
      </c>
      <c r="X44" s="221" t="s">
        <v>3338</v>
      </c>
      <c r="Y44" s="266" t="s">
        <v>3614</v>
      </c>
      <c r="Z44" s="293"/>
      <c r="AA44" s="266" t="s">
        <v>3614</v>
      </c>
      <c r="AB44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44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44" s="542" t="str">
        <f>LO_Logfile[[#This Row],[Material Name]]&amp;"_"&amp;LO_Logfile[[#This Row],[Qty]]</f>
        <v>ADSS 48C_700</v>
      </c>
      <c r="AE44" s="542" t="str">
        <f>VLOOKUP(LO_Logfile[[#This Row],[looK]],MANUAL!F:F,1,0)</f>
        <v>ADSS 48C_700</v>
      </c>
      <c r="AF44" s="540" t="str">
        <f>LO_Logfile[[#This Row],[Material Name]]&amp;LO_Logfile[[#This Row],[Qty]]&amp;"_"&amp;LO_Logfile[[#This Row],[In-Out Qty]]</f>
        <v>ADSS 48C700_1</v>
      </c>
      <c r="AG44" s="553" t="e">
        <f>VLOOKUP(LO_Logfile[[#This Row],[Material Name]]&amp;LO_Logfile[[#This Row],[Qty]]&amp;"_"&amp;-2+LO_Logfile[[#This Row],[In-Out Qty]],AF:AF,1,0)</f>
        <v>#N/A</v>
      </c>
    </row>
    <row r="45" spans="1:33" s="213" customFormat="1" ht="14.5">
      <c r="A45" s="304" t="str">
        <f t="shared" si="1"/>
        <v>041</v>
      </c>
      <c r="B45" s="546" t="str" cm="1">
        <f t="array" ref="B4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B-014-1250m</v>
      </c>
      <c r="C45" s="249"/>
      <c r="D45" s="249" t="s">
        <v>49</v>
      </c>
      <c r="E45" s="249" t="s">
        <v>5257</v>
      </c>
      <c r="F45" s="262" t="s">
        <v>3295</v>
      </c>
      <c r="G45" s="262" t="s">
        <v>3299</v>
      </c>
      <c r="H45" s="303">
        <v>45487</v>
      </c>
      <c r="I45" s="251">
        <v>0.25</v>
      </c>
      <c r="J45" s="262" t="s">
        <v>3586</v>
      </c>
      <c r="K45" s="250" t="s">
        <v>3023</v>
      </c>
      <c r="L45" s="241" t="s">
        <v>3075</v>
      </c>
      <c r="M45" s="309" t="s">
        <v>5</v>
      </c>
      <c r="N45" s="241" t="s">
        <v>20</v>
      </c>
      <c r="O45" s="249">
        <v>1250</v>
      </c>
      <c r="P45" s="473" t="s">
        <v>1705</v>
      </c>
      <c r="Q45" s="473" t="s">
        <v>1706</v>
      </c>
      <c r="R45" s="249"/>
      <c r="S45" s="352"/>
      <c r="T45" s="249"/>
      <c r="U45" s="249" t="s">
        <v>5249</v>
      </c>
      <c r="V45" s="249"/>
      <c r="W45" s="249"/>
      <c r="X45" s="249"/>
      <c r="Y45" s="296"/>
      <c r="Z45" s="249" t="s">
        <v>5249</v>
      </c>
      <c r="AA45" s="296"/>
      <c r="AB45" s="30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45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45" s="542" t="str">
        <f>LO_Logfile[[#This Row],[Material Name]]&amp;"_"&amp;LO_Logfile[[#This Row],[Qty]]</f>
        <v>ADSS 48C_1250</v>
      </c>
      <c r="AE45" s="542" t="e">
        <f>VLOOKUP(LO_Logfile[[#This Row],[looK]],MANUAL!F:F,1,0)</f>
        <v>#N/A</v>
      </c>
      <c r="AF45" s="541" t="str">
        <f>LO_Logfile[[#This Row],[Material Name]]&amp;LO_Logfile[[#This Row],[Qty]]&amp;"_"&amp;LO_Logfile[[#This Row],[In-Out Qty]]</f>
        <v>ADSS 48C1250_-1</v>
      </c>
      <c r="AG45" s="552" t="e">
        <f>VLOOKUP(LO_Logfile[[#This Row],[Material Name]]&amp;LO_Logfile[[#This Row],[Qty]]&amp;"_"&amp;-2+LO_Logfile[[#This Row],[In-Out Qty]],AF:AF,1,0)</f>
        <v>#N/A</v>
      </c>
    </row>
    <row r="46" spans="1:33" s="213" customFormat="1" ht="14.5">
      <c r="A46" s="304" t="str">
        <f t="shared" si="1"/>
        <v>042</v>
      </c>
      <c r="B46" s="546" t="str" cm="1">
        <f t="array" ref="B4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D-002-1500m</v>
      </c>
      <c r="C46" s="249"/>
      <c r="D46" s="249" t="s">
        <v>48</v>
      </c>
      <c r="E46" s="249" t="s">
        <v>4976</v>
      </c>
      <c r="F46" s="262" t="s">
        <v>3295</v>
      </c>
      <c r="G46" s="262" t="s">
        <v>3299</v>
      </c>
      <c r="H46" s="468">
        <v>45496</v>
      </c>
      <c r="I46" s="342">
        <v>0.29166666666666669</v>
      </c>
      <c r="J46" s="221" t="s">
        <v>3586</v>
      </c>
      <c r="K46" s="249" t="s">
        <v>3023</v>
      </c>
      <c r="L46" s="241" t="s">
        <v>3077</v>
      </c>
      <c r="M46" s="242" t="str">
        <f>VLOOKUP(LO_Logfile[[#This Row],[Material Name]],Sheet2!B:D,2,0)</f>
        <v>ZTE2004</v>
      </c>
      <c r="N46" s="314" t="s">
        <v>20</v>
      </c>
      <c r="O46" s="249">
        <v>1500</v>
      </c>
      <c r="P46" s="249" t="s">
        <v>1799</v>
      </c>
      <c r="Q46" s="249" t="s">
        <v>3398</v>
      </c>
      <c r="R46" s="249"/>
      <c r="S46" s="249"/>
      <c r="T46" s="249"/>
      <c r="U46" s="249" t="s">
        <v>3258</v>
      </c>
      <c r="V46" s="249" t="s">
        <v>3228</v>
      </c>
      <c r="W46" s="249" t="s">
        <v>3337</v>
      </c>
      <c r="X46" s="249" t="s">
        <v>3338</v>
      </c>
      <c r="Y46" s="296" t="s">
        <v>4975</v>
      </c>
      <c r="Z46" s="249" t="s">
        <v>4971</v>
      </c>
      <c r="AA46" s="296"/>
      <c r="AB46" s="30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46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46" s="542" t="str">
        <f>LO_Logfile[[#This Row],[Material Name]]&amp;"_"&amp;LO_Logfile[[#This Row],[Qty]]</f>
        <v>ADSS 144C_1500</v>
      </c>
      <c r="AE46" s="542" t="e">
        <f>VLOOKUP(LO_Logfile[[#This Row],[looK]],MANUAL!F:F,1,0)</f>
        <v>#N/A</v>
      </c>
      <c r="AF46" s="541" t="str">
        <f>LO_Logfile[[#This Row],[Material Name]]&amp;LO_Logfile[[#This Row],[Qty]]&amp;"_"&amp;LO_Logfile[[#This Row],[In-Out Qty]]</f>
        <v>ADSS 144C1500_1</v>
      </c>
      <c r="AG46" s="552" t="str">
        <f>VLOOKUP(LO_Logfile[[#This Row],[Material Name]]&amp;LO_Logfile[[#This Row],[Qty]]&amp;"_"&amp;-2+LO_Logfile[[#This Row],[In-Out Qty]],AF:AF,1,0)</f>
        <v>ADSS 144C1500_-1</v>
      </c>
    </row>
    <row r="47" spans="1:33" s="213" customFormat="1" ht="14.5">
      <c r="A47" s="304" t="str">
        <f t="shared" si="1"/>
        <v>043</v>
      </c>
      <c r="B47" s="546" t="str" cm="1">
        <f t="array" ref="B4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D-003-1500m</v>
      </c>
      <c r="C47" s="249"/>
      <c r="D47" s="249" t="s">
        <v>49</v>
      </c>
      <c r="E47" s="249" t="s">
        <v>4147</v>
      </c>
      <c r="F47" s="221" t="s">
        <v>3295</v>
      </c>
      <c r="G47" s="221" t="s">
        <v>3299</v>
      </c>
      <c r="H47" s="468">
        <v>45508</v>
      </c>
      <c r="I47" s="342">
        <v>0.74444444444444446</v>
      </c>
      <c r="J47" s="221" t="s">
        <v>4916</v>
      </c>
      <c r="K47" s="249" t="s">
        <v>3023</v>
      </c>
      <c r="L47" s="241" t="s">
        <v>3077</v>
      </c>
      <c r="M47" s="242" t="str">
        <f>VLOOKUP(LO_Logfile[[#This Row],[Material Name]],Sheet2!B:D,2,0)</f>
        <v>ZTE2004</v>
      </c>
      <c r="N47" s="314" t="s">
        <v>20</v>
      </c>
      <c r="O47" s="249">
        <v>1500</v>
      </c>
      <c r="P47" s="249" t="s">
        <v>1807</v>
      </c>
      <c r="Q47" s="249" t="s">
        <v>3399</v>
      </c>
      <c r="R47" s="249"/>
      <c r="S47" s="249"/>
      <c r="T47" s="249"/>
      <c r="U47" s="249" t="s">
        <v>3244</v>
      </c>
      <c r="V47" s="249">
        <v>0</v>
      </c>
      <c r="W47" s="249" t="s">
        <v>3248</v>
      </c>
      <c r="X47" s="249" t="s">
        <v>3252</v>
      </c>
      <c r="Y47" s="296"/>
      <c r="Z47" s="249" t="s">
        <v>4971</v>
      </c>
      <c r="AA47" s="279"/>
      <c r="AB47" s="30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47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47" s="542" t="str">
        <f>LO_Logfile[[#This Row],[Material Name]]&amp;"_"&amp;LO_Logfile[[#This Row],[Qty]]</f>
        <v>ADSS 144C_1500</v>
      </c>
      <c r="AE47" s="542" t="e">
        <f>VLOOKUP(LO_Logfile[[#This Row],[looK]],MANUAL!F:F,1,0)</f>
        <v>#N/A</v>
      </c>
      <c r="AF47" s="541" t="str">
        <f>LO_Logfile[[#This Row],[Material Name]]&amp;LO_Logfile[[#This Row],[Qty]]&amp;"_"&amp;LO_Logfile[[#This Row],[In-Out Qty]]</f>
        <v>ADSS 144C1500_-1</v>
      </c>
      <c r="AG47" s="552" t="e">
        <f>VLOOKUP(LO_Logfile[[#This Row],[Material Name]]&amp;LO_Logfile[[#This Row],[Qty]]&amp;"_"&amp;-2+LO_Logfile[[#This Row],[In-Out Qty]],AF:AF,1,0)</f>
        <v>#N/A</v>
      </c>
    </row>
    <row r="48" spans="1:33" s="213" customFormat="1" ht="14.5">
      <c r="A48" s="280" t="str">
        <f t="shared" si="1"/>
        <v>044</v>
      </c>
      <c r="B48" s="545" t="str" cm="1">
        <f t="array" ref="B4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A-025-600m</v>
      </c>
      <c r="C48" s="221"/>
      <c r="D48" s="262" t="s">
        <v>48</v>
      </c>
      <c r="E48" s="221" t="s">
        <v>5120</v>
      </c>
      <c r="F48" s="221" t="s">
        <v>3295</v>
      </c>
      <c r="G48" s="221" t="s">
        <v>3299</v>
      </c>
      <c r="H48" s="468">
        <v>45535</v>
      </c>
      <c r="I48" s="223">
        <v>0.51180555555555551</v>
      </c>
      <c r="J48" s="221" t="s">
        <v>3586</v>
      </c>
      <c r="K48" s="249" t="s">
        <v>3023</v>
      </c>
      <c r="L48" s="241" t="s">
        <v>3073</v>
      </c>
      <c r="M48" s="242" t="str">
        <f>VLOOKUP(LO_Logfile[[#This Row],[Material Name]],Sheet2!B:D,2,0)</f>
        <v>ZTE2001</v>
      </c>
      <c r="N48" s="314" t="s">
        <v>20</v>
      </c>
      <c r="O48" s="221">
        <v>600</v>
      </c>
      <c r="P48" s="221" t="s">
        <v>1951</v>
      </c>
      <c r="Q48" s="221" t="s">
        <v>3374</v>
      </c>
      <c r="R48" s="221"/>
      <c r="S48" s="221"/>
      <c r="T48" s="221"/>
      <c r="U48" s="221" t="s">
        <v>3258</v>
      </c>
      <c r="V48" s="221" t="s">
        <v>3228</v>
      </c>
      <c r="W48" s="221" t="s">
        <v>3337</v>
      </c>
      <c r="X48" s="221" t="s">
        <v>3338</v>
      </c>
      <c r="Y48" s="221" t="s">
        <v>3511</v>
      </c>
      <c r="Z48" s="352" t="s">
        <v>4951</v>
      </c>
      <c r="AA48" s="296"/>
      <c r="AB48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48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48" s="542" t="str">
        <f>LO_Logfile[[#This Row],[Material Name]]&amp;"_"&amp;LO_Logfile[[#This Row],[Qty]]</f>
        <v>ADSS 24C_600</v>
      </c>
      <c r="AE48" s="542" t="e">
        <f>VLOOKUP(LO_Logfile[[#This Row],[looK]],MANUAL!F:F,1,0)</f>
        <v>#N/A</v>
      </c>
      <c r="AF48" s="541" t="str">
        <f>LO_Logfile[[#This Row],[Material Name]]&amp;LO_Logfile[[#This Row],[Qty]]&amp;"_"&amp;LO_Logfile[[#This Row],[In-Out Qty]]</f>
        <v>ADSS 24C600_1</v>
      </c>
      <c r="AG48" s="554" t="e">
        <f>VLOOKUP(LO_Logfile[[#This Row],[Material Name]]&amp;LO_Logfile[[#This Row],[Qty]]&amp;"_"&amp;-2+LO_Logfile[[#This Row],[In-Out Qty]],AF:AF,1,0)</f>
        <v>#N/A</v>
      </c>
    </row>
    <row r="49" spans="1:33" s="213" customFormat="1" ht="14.5">
      <c r="A49" s="294" t="str">
        <f t="shared" si="1"/>
        <v>045</v>
      </c>
      <c r="B49" s="295" t="str" cm="1">
        <f t="array" ref="B4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A-026-62m</v>
      </c>
      <c r="C49" s="293"/>
      <c r="D49" s="293" t="s">
        <v>3313</v>
      </c>
      <c r="E49" s="293" t="s">
        <v>4449</v>
      </c>
      <c r="F49" s="262" t="s">
        <v>3295</v>
      </c>
      <c r="G49" s="262" t="s">
        <v>3299</v>
      </c>
      <c r="H49" s="300">
        <v>45554</v>
      </c>
      <c r="I49" s="251">
        <v>0.79166666666666663</v>
      </c>
      <c r="J49" s="293" t="s">
        <v>4962</v>
      </c>
      <c r="K49" s="249" t="s">
        <v>4432</v>
      </c>
      <c r="L49" s="241" t="s">
        <v>3073</v>
      </c>
      <c r="M49" s="242" t="str">
        <f>VLOOKUP(LO_Logfile[[#This Row],[Material Name]],Sheet2!B:D,2,0)</f>
        <v>ZTE2001</v>
      </c>
      <c r="N49" s="318" t="s">
        <v>20</v>
      </c>
      <c r="O49" s="293">
        <v>62</v>
      </c>
      <c r="P49" s="293">
        <v>0</v>
      </c>
      <c r="Q49" s="262" t="s">
        <v>3613</v>
      </c>
      <c r="R49" s="293"/>
      <c r="S49" s="293"/>
      <c r="T49" s="293"/>
      <c r="U49" s="293"/>
      <c r="V49" s="293"/>
      <c r="W49" s="293"/>
      <c r="X49" s="293"/>
      <c r="Y49" s="262" t="s">
        <v>4451</v>
      </c>
      <c r="Z49" s="293"/>
      <c r="AA49" s="267" t="s">
        <v>4451</v>
      </c>
      <c r="AB49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49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49" s="542" t="str">
        <f>LO_Logfile[[#This Row],[Material Name]]&amp;"_"&amp;LO_Logfile[[#This Row],[Qty]]</f>
        <v>ADSS 24C_62</v>
      </c>
      <c r="AE49" s="542" t="str">
        <f>VLOOKUP(LO_Logfile[[#This Row],[looK]],MANUAL!F:F,1,0)</f>
        <v>ADSS 24C_62</v>
      </c>
      <c r="AF49" s="540" t="str">
        <f>LO_Logfile[[#This Row],[Material Name]]&amp;LO_Logfile[[#This Row],[Qty]]&amp;"_"&amp;LO_Logfile[[#This Row],[In-Out Qty]]</f>
        <v>ADSS 24C62_1</v>
      </c>
      <c r="AG49" s="553" t="e">
        <f>VLOOKUP(LO_Logfile[[#This Row],[Material Name]]&amp;LO_Logfile[[#This Row],[Qty]]&amp;"_"&amp;-2+LO_Logfile[[#This Row],[In-Out Qty]],AF:AF,1,0)</f>
        <v>#N/A</v>
      </c>
    </row>
    <row r="50" spans="1:33" s="213" customFormat="1" ht="14.5">
      <c r="A50" s="260" t="str">
        <f t="shared" si="1"/>
        <v>046</v>
      </c>
      <c r="B50" s="261" t="str" cm="1">
        <f t="array" ref="B5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A-027-87m</v>
      </c>
      <c r="C50" s="262"/>
      <c r="D50" s="262" t="s">
        <v>3313</v>
      </c>
      <c r="E50" s="262" t="s">
        <v>4449</v>
      </c>
      <c r="F50" s="221" t="s">
        <v>3295</v>
      </c>
      <c r="G50" s="221" t="s">
        <v>3299</v>
      </c>
      <c r="H50" s="300">
        <v>45554</v>
      </c>
      <c r="I50" s="240">
        <v>0.79166666666666663</v>
      </c>
      <c r="J50" s="262" t="s">
        <v>4962</v>
      </c>
      <c r="K50" s="249" t="s">
        <v>4432</v>
      </c>
      <c r="L50" s="241" t="s">
        <v>3073</v>
      </c>
      <c r="M50" s="242" t="str">
        <f>VLOOKUP(LO_Logfile[[#This Row],[Material Name]],Sheet2!B:D,2,0)</f>
        <v>ZTE2001</v>
      </c>
      <c r="N50" s="315" t="s">
        <v>20</v>
      </c>
      <c r="O50" s="262">
        <v>87</v>
      </c>
      <c r="P50" s="262">
        <v>0</v>
      </c>
      <c r="Q50" s="262" t="s">
        <v>3613</v>
      </c>
      <c r="R50" s="262"/>
      <c r="S50" s="262"/>
      <c r="T50" s="262"/>
      <c r="U50" s="262"/>
      <c r="V50" s="262"/>
      <c r="W50" s="262"/>
      <c r="X50" s="262"/>
      <c r="Y50" s="265" t="s">
        <v>4450</v>
      </c>
      <c r="Z50" s="293"/>
      <c r="AA50" s="266" t="s">
        <v>4450</v>
      </c>
      <c r="AB50" s="26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50" s="26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50" s="542" t="str">
        <f>LO_Logfile[[#This Row],[Material Name]]&amp;"_"&amp;LO_Logfile[[#This Row],[Qty]]</f>
        <v>ADSS 24C_87</v>
      </c>
      <c r="AE50" s="542" t="str">
        <f>VLOOKUP(LO_Logfile[[#This Row],[looK]],MANUAL!F:F,1,0)</f>
        <v>ADSS 24C_87</v>
      </c>
      <c r="AF50" s="540" t="str">
        <f>LO_Logfile[[#This Row],[Material Name]]&amp;LO_Logfile[[#This Row],[Qty]]&amp;"_"&amp;LO_Logfile[[#This Row],[In-Out Qty]]</f>
        <v>ADSS 24C87_1</v>
      </c>
      <c r="AG50" s="552" t="e">
        <f>VLOOKUP(LO_Logfile[[#This Row],[Material Name]]&amp;LO_Logfile[[#This Row],[Qty]]&amp;"_"&amp;-2+LO_Logfile[[#This Row],[In-Out Qty]],AF:AF,1,0)</f>
        <v>#N/A</v>
      </c>
    </row>
    <row r="51" spans="1:33" s="213" customFormat="1" ht="14.5">
      <c r="A51" s="294" t="str">
        <f t="shared" si="1"/>
        <v>047</v>
      </c>
      <c r="B51" s="295" t="str" cm="1">
        <f t="array" ref="B5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B-015-64m</v>
      </c>
      <c r="C51" s="293"/>
      <c r="D51" s="293" t="s">
        <v>3313</v>
      </c>
      <c r="E51" s="293" t="s">
        <v>4449</v>
      </c>
      <c r="F51" s="249" t="s">
        <v>3295</v>
      </c>
      <c r="G51" s="221" t="s">
        <v>3299</v>
      </c>
      <c r="H51" s="300">
        <v>45554</v>
      </c>
      <c r="I51" s="251">
        <v>0.79166666666666663</v>
      </c>
      <c r="J51" s="293" t="s">
        <v>4962</v>
      </c>
      <c r="K51" s="249" t="s">
        <v>4432</v>
      </c>
      <c r="L51" s="241" t="s">
        <v>3075</v>
      </c>
      <c r="M51" s="242" t="str">
        <f>VLOOKUP(LO_Logfile[[#This Row],[Material Name]],Sheet2!B:D,2,0)</f>
        <v>ZTE2003</v>
      </c>
      <c r="N51" s="318" t="s">
        <v>20</v>
      </c>
      <c r="O51" s="293">
        <v>64</v>
      </c>
      <c r="P51" s="293">
        <v>0</v>
      </c>
      <c r="Q51" s="262" t="s">
        <v>3613</v>
      </c>
      <c r="R51" s="293"/>
      <c r="S51" s="293"/>
      <c r="T51" s="293"/>
      <c r="U51" s="262"/>
      <c r="V51" s="262"/>
      <c r="W51" s="262"/>
      <c r="X51" s="262"/>
      <c r="Y51" s="266" t="s">
        <v>4452</v>
      </c>
      <c r="Z51" s="293"/>
      <c r="AA51" s="267" t="s">
        <v>4452</v>
      </c>
      <c r="AB51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51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51" s="542" t="str">
        <f>LO_Logfile[[#This Row],[Material Name]]&amp;"_"&amp;LO_Logfile[[#This Row],[Qty]]</f>
        <v>ADSS 48C_64</v>
      </c>
      <c r="AE51" s="542" t="str">
        <f>VLOOKUP(LO_Logfile[[#This Row],[looK]],MANUAL!F:F,1,0)</f>
        <v>ADSS 48C_64</v>
      </c>
      <c r="AF51" s="540" t="str">
        <f>LO_Logfile[[#This Row],[Material Name]]&amp;LO_Logfile[[#This Row],[Qty]]&amp;"_"&amp;LO_Logfile[[#This Row],[In-Out Qty]]</f>
        <v>ADSS 48C64_1</v>
      </c>
      <c r="AG51" s="553" t="e">
        <f>VLOOKUP(LO_Logfile[[#This Row],[Material Name]]&amp;LO_Logfile[[#This Row],[Qty]]&amp;"_"&amp;-2+LO_Logfile[[#This Row],[In-Out Qty]],AF:AF,1,0)</f>
        <v>#N/A</v>
      </c>
    </row>
    <row r="52" spans="1:33" s="213" customFormat="1" ht="14.5">
      <c r="A52" s="349" t="str">
        <f t="shared" si="1"/>
        <v>048</v>
      </c>
      <c r="B52" s="350" t="str" cm="1">
        <f t="array" ref="B5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A-028-350m</v>
      </c>
      <c r="C52" s="286"/>
      <c r="D52" s="286" t="s">
        <v>48</v>
      </c>
      <c r="E52" s="286" t="s">
        <v>4453</v>
      </c>
      <c r="F52" s="249" t="s">
        <v>3295</v>
      </c>
      <c r="G52" s="221" t="s">
        <v>3299</v>
      </c>
      <c r="H52" s="307">
        <v>45617</v>
      </c>
      <c r="I52" s="308">
        <v>0.44097222222222221</v>
      </c>
      <c r="J52" s="286" t="s">
        <v>3586</v>
      </c>
      <c r="K52" s="249" t="s">
        <v>3023</v>
      </c>
      <c r="L52" s="241" t="s">
        <v>3073</v>
      </c>
      <c r="M52" s="242" t="str">
        <f>VLOOKUP(LO_Logfile[[#This Row],[Material Name]],Sheet2!B:D,2,0)</f>
        <v>ZTE2001</v>
      </c>
      <c r="N52" s="317" t="s">
        <v>20</v>
      </c>
      <c r="O52" s="286">
        <v>350</v>
      </c>
      <c r="P52" s="286"/>
      <c r="Q52" s="286"/>
      <c r="R52" s="286"/>
      <c r="S52" s="286"/>
      <c r="T52" s="286"/>
      <c r="U52" s="255"/>
      <c r="V52" s="255"/>
      <c r="W52" s="255"/>
      <c r="X52" s="255"/>
      <c r="Y52" s="259"/>
      <c r="Z52" s="286"/>
      <c r="AA52" s="259" t="s">
        <v>4455</v>
      </c>
      <c r="AB52" s="28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52" s="28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52" s="542" t="str">
        <f>LO_Logfile[[#This Row],[Material Name]]&amp;"_"&amp;LO_Logfile[[#This Row],[Qty]]</f>
        <v>ADSS 24C_350</v>
      </c>
      <c r="AE52" s="542" t="str">
        <f>VLOOKUP(LO_Logfile[[#This Row],[looK]],MANUAL!F:F,1,0)</f>
        <v>ADSS 24C_350</v>
      </c>
      <c r="AF52" s="540" t="str">
        <f>LO_Logfile[[#This Row],[Material Name]]&amp;LO_Logfile[[#This Row],[Qty]]&amp;"_"&amp;LO_Logfile[[#This Row],[In-Out Qty]]</f>
        <v>ADSS 24C350_1</v>
      </c>
      <c r="AG52" s="553" t="str">
        <f>VLOOKUP(LO_Logfile[[#This Row],[Material Name]]&amp;LO_Logfile[[#This Row],[Qty]]&amp;"_"&amp;-2+LO_Logfile[[#This Row],[In-Out Qty]],AF:AF,1,0)</f>
        <v>ADSS 24C350_-1</v>
      </c>
    </row>
    <row r="53" spans="1:33" s="213" customFormat="1" ht="14.5">
      <c r="A53" s="294" t="str">
        <f t="shared" si="1"/>
        <v>049</v>
      </c>
      <c r="B53" s="549" t="str" cm="1">
        <f t="array" ref="B5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B-016-995m</v>
      </c>
      <c r="C53" s="293"/>
      <c r="D53" s="293" t="s">
        <v>48</v>
      </c>
      <c r="E53" s="293" t="s">
        <v>4453</v>
      </c>
      <c r="F53" s="293" t="s">
        <v>3295</v>
      </c>
      <c r="G53" s="262" t="s">
        <v>3299</v>
      </c>
      <c r="H53" s="300">
        <v>45617</v>
      </c>
      <c r="I53" s="301">
        <v>0.44097222222222221</v>
      </c>
      <c r="J53" s="293" t="s">
        <v>3586</v>
      </c>
      <c r="K53" s="249" t="s">
        <v>3023</v>
      </c>
      <c r="L53" s="241" t="s">
        <v>3075</v>
      </c>
      <c r="M53" s="242" t="str">
        <f>VLOOKUP(LO_Logfile[[#This Row],[Material Name]],Sheet2!B:D,2,0)</f>
        <v>ZTE2003</v>
      </c>
      <c r="N53" s="318" t="s">
        <v>20</v>
      </c>
      <c r="O53" s="293">
        <v>995</v>
      </c>
      <c r="P53" s="293" t="s">
        <v>2013</v>
      </c>
      <c r="Q53" s="262" t="s">
        <v>2014</v>
      </c>
      <c r="R53" s="293"/>
      <c r="S53" s="293"/>
      <c r="T53" s="293"/>
      <c r="U53" s="262" t="s">
        <v>3420</v>
      </c>
      <c r="V53" s="262">
        <v>0</v>
      </c>
      <c r="W53" s="262" t="s">
        <v>3421</v>
      </c>
      <c r="X53" s="262" t="s">
        <v>3256</v>
      </c>
      <c r="Y53" s="266" t="s">
        <v>4281</v>
      </c>
      <c r="Z53" s="293"/>
      <c r="AA53" s="266" t="s">
        <v>4454</v>
      </c>
      <c r="AB53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53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53" s="542" t="str">
        <f>LO_Logfile[[#This Row],[Material Name]]&amp;"_"&amp;LO_Logfile[[#This Row],[Qty]]</f>
        <v>ADSS 48C_995</v>
      </c>
      <c r="AE53" s="542" t="e">
        <f>VLOOKUP(LO_Logfile[[#This Row],[looK]],MANUAL!F:F,1,0)</f>
        <v>#N/A</v>
      </c>
      <c r="AF53" s="541" t="str">
        <f>LO_Logfile[[#This Row],[Material Name]]&amp;LO_Logfile[[#This Row],[Qty]]&amp;"_"&amp;LO_Logfile[[#This Row],[In-Out Qty]]</f>
        <v>ADSS 48C995_1</v>
      </c>
      <c r="AG53" s="553" t="e">
        <f>VLOOKUP(LO_Logfile[[#This Row],[Material Name]]&amp;LO_Logfile[[#This Row],[Qty]]&amp;"_"&amp;-2+LO_Logfile[[#This Row],[In-Out Qty]],AF:AF,1,0)</f>
        <v>#N/A</v>
      </c>
    </row>
    <row r="54" spans="1:33" s="213" customFormat="1" ht="14.5">
      <c r="A54" s="294" t="str">
        <f t="shared" si="1"/>
        <v>050</v>
      </c>
      <c r="B54" s="549" t="str" cm="1">
        <f t="array" ref="B5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B-017-770m</v>
      </c>
      <c r="C54" s="293"/>
      <c r="D54" s="293" t="s">
        <v>48</v>
      </c>
      <c r="E54" s="293" t="s">
        <v>4456</v>
      </c>
      <c r="F54" s="293" t="s">
        <v>3295</v>
      </c>
      <c r="G54" s="262" t="s">
        <v>3299</v>
      </c>
      <c r="H54" s="263">
        <v>45737</v>
      </c>
      <c r="I54" s="301">
        <v>0.78472222222222221</v>
      </c>
      <c r="J54" s="293" t="s">
        <v>3586</v>
      </c>
      <c r="K54" s="249" t="s">
        <v>3023</v>
      </c>
      <c r="L54" s="241" t="s">
        <v>3075</v>
      </c>
      <c r="M54" s="242" t="str">
        <f>VLOOKUP(LO_Logfile[[#This Row],[Material Name]],Sheet2!B:D,2,0)</f>
        <v>ZTE2003</v>
      </c>
      <c r="N54" s="318" t="s">
        <v>20</v>
      </c>
      <c r="O54" s="293">
        <v>770</v>
      </c>
      <c r="P54" s="293"/>
      <c r="Q54" s="293"/>
      <c r="R54" s="293"/>
      <c r="S54" s="293"/>
      <c r="T54" s="293"/>
      <c r="U54" s="262"/>
      <c r="V54" s="262"/>
      <c r="W54" s="262"/>
      <c r="X54" s="262"/>
      <c r="Y54" s="266"/>
      <c r="Z54" s="293"/>
      <c r="AA54" s="266" t="s">
        <v>4458</v>
      </c>
      <c r="AB54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54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54" s="542" t="str">
        <f>LO_Logfile[[#This Row],[Material Name]]&amp;"_"&amp;LO_Logfile[[#This Row],[Qty]]</f>
        <v>ADSS 48C_770</v>
      </c>
      <c r="AE54" s="542" t="e">
        <f>VLOOKUP(LO_Logfile[[#This Row],[looK]],MANUAL!F:F,1,0)</f>
        <v>#N/A</v>
      </c>
      <c r="AF54" s="542" t="str">
        <f>LO_Logfile[[#This Row],[Material Name]]&amp;LO_Logfile[[#This Row],[Qty]]&amp;"_"&amp;LO_Logfile[[#This Row],[In-Out Qty]]</f>
        <v>ADSS 48C770_1</v>
      </c>
      <c r="AG54" s="554" t="e">
        <f>VLOOKUP(LO_Logfile[[#This Row],[Material Name]]&amp;LO_Logfile[[#This Row],[Qty]]&amp;"_"&amp;-2+LO_Logfile[[#This Row],[In-Out Qty]],AF:AF,1,0)</f>
        <v>#N/A</v>
      </c>
    </row>
    <row r="55" spans="1:33" s="213" customFormat="1" ht="14.5">
      <c r="A55" s="294" t="str">
        <f t="shared" si="1"/>
        <v>051</v>
      </c>
      <c r="B55" s="549" t="str" cm="1">
        <f t="array" ref="B5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D-004-2000m</v>
      </c>
      <c r="C55" s="293"/>
      <c r="D55" s="293" t="s">
        <v>48</v>
      </c>
      <c r="E55" s="293" t="s">
        <v>4456</v>
      </c>
      <c r="F55" s="249" t="s">
        <v>3295</v>
      </c>
      <c r="G55" s="221" t="s">
        <v>3299</v>
      </c>
      <c r="H55" s="300">
        <v>45737</v>
      </c>
      <c r="I55" s="301">
        <v>0.78472222222222221</v>
      </c>
      <c r="J55" s="293" t="s">
        <v>3586</v>
      </c>
      <c r="K55" s="249" t="s">
        <v>3023</v>
      </c>
      <c r="L55" s="241" t="s">
        <v>3077</v>
      </c>
      <c r="M55" s="242" t="str">
        <f>VLOOKUP(LO_Logfile[[#This Row],[Material Name]],Sheet2!B:D,2,0)</f>
        <v>ZTE2004</v>
      </c>
      <c r="N55" s="318" t="s">
        <v>20</v>
      </c>
      <c r="O55" s="293">
        <v>2000</v>
      </c>
      <c r="P55" s="293" t="s">
        <v>2322</v>
      </c>
      <c r="Q55" s="293" t="s">
        <v>3403</v>
      </c>
      <c r="R55" s="293"/>
      <c r="S55" s="293"/>
      <c r="T55" s="293"/>
      <c r="U55" s="262"/>
      <c r="V55" s="262"/>
      <c r="W55" s="262"/>
      <c r="X55" s="262"/>
      <c r="Y55" s="266" t="s">
        <v>4457</v>
      </c>
      <c r="Z55" s="293" t="s">
        <v>4984</v>
      </c>
      <c r="AA55" s="266" t="s">
        <v>4457</v>
      </c>
      <c r="AB55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55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&gt;2000</v>
      </c>
      <c r="AD55" s="542" t="str">
        <f>LO_Logfile[[#This Row],[Material Name]]&amp;"_"&amp;LO_Logfile[[#This Row],[Qty]]</f>
        <v>ADSS 144C_2000</v>
      </c>
      <c r="AE55" s="542" t="e">
        <f>VLOOKUP(LO_Logfile[[#This Row],[looK]],MANUAL!F:F,1,0)</f>
        <v>#N/A</v>
      </c>
      <c r="AF55" s="541" t="str">
        <f>LO_Logfile[[#This Row],[Material Name]]&amp;LO_Logfile[[#This Row],[Qty]]&amp;"_"&amp;LO_Logfile[[#This Row],[In-Out Qty]]</f>
        <v>ADSS 144C2000_1</v>
      </c>
      <c r="AG55" s="554" t="e">
        <f>VLOOKUP(LO_Logfile[[#This Row],[Material Name]]&amp;LO_Logfile[[#This Row],[Qty]]&amp;"_"&amp;-2+LO_Logfile[[#This Row],[In-Out Qty]],AF:AF,1,0)</f>
        <v>#N/A</v>
      </c>
    </row>
    <row r="56" spans="1:33" s="213" customFormat="1" ht="14.5">
      <c r="A56" s="260" t="str">
        <f t="shared" si="1"/>
        <v>052</v>
      </c>
      <c r="B56" s="261" t="str" cm="1">
        <f t="array" ref="B5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P74-002-1</v>
      </c>
      <c r="C56" s="262"/>
      <c r="D56" s="262" t="s">
        <v>48</v>
      </c>
      <c r="E56" s="262" t="s">
        <v>4471</v>
      </c>
      <c r="F56" s="262" t="s">
        <v>3295</v>
      </c>
      <c r="G56" s="221" t="s">
        <v>3299</v>
      </c>
      <c r="H56" s="300">
        <v>45854</v>
      </c>
      <c r="I56" s="264">
        <v>0.46805555555555556</v>
      </c>
      <c r="J56" s="293" t="s">
        <v>3586</v>
      </c>
      <c r="K56" s="249" t="s">
        <v>3023</v>
      </c>
      <c r="L56" s="241" t="s">
        <v>3069</v>
      </c>
      <c r="M56" s="242" t="str">
        <f>VLOOKUP(LO_Logfile[[#This Row],[Material Name]],Sheet2!B:D,2,0)</f>
        <v>ZTE1001</v>
      </c>
      <c r="N56" s="315" t="s">
        <v>19</v>
      </c>
      <c r="O56" s="262">
        <v>1</v>
      </c>
      <c r="P56" s="262" t="s">
        <v>1799</v>
      </c>
      <c r="Q56" s="262" t="s">
        <v>1800</v>
      </c>
      <c r="R56" s="262"/>
      <c r="S56" s="262"/>
      <c r="T56" s="262" t="s">
        <v>3173</v>
      </c>
      <c r="U56" s="262" t="s">
        <v>3258</v>
      </c>
      <c r="V56" s="262">
        <v>0</v>
      </c>
      <c r="W56" s="262" t="s">
        <v>3337</v>
      </c>
      <c r="X56" s="262" t="s">
        <v>3338</v>
      </c>
      <c r="Y56" s="265" t="s">
        <v>3603</v>
      </c>
      <c r="Z56" s="293"/>
      <c r="AA56" s="266"/>
      <c r="AB56" s="26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56" s="26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/>
      </c>
      <c r="AD56" s="542" t="str">
        <f>LO_Logfile[[#This Row],[Material Name]]&amp;"_"&amp;LO_Logfile[[#This Row],[Qty]]</f>
        <v>Pole 7M 4"_1</v>
      </c>
      <c r="AE56" s="542" t="e">
        <f>VLOOKUP(LO_Logfile[[#This Row],[looK]],MANUAL!F:F,1,0)</f>
        <v>#N/A</v>
      </c>
      <c r="AF56" s="542" t="str">
        <f>LO_Logfile[[#This Row],[Material Name]]&amp;LO_Logfile[[#This Row],[Qty]]&amp;"_"&amp;LO_Logfile[[#This Row],[In-Out Qty]]</f>
        <v>Pole 7M 4"1_1</v>
      </c>
      <c r="AG56" s="552" t="str">
        <f>VLOOKUP(LO_Logfile[[#This Row],[Material Name]]&amp;LO_Logfile[[#This Row],[Qty]]&amp;"_"&amp;-2+LO_Logfile[[#This Row],[In-Out Qty]],AF:AF,1,0)</f>
        <v>Pole 7M 4"1_-1</v>
      </c>
    </row>
    <row r="57" spans="1:33" s="213" customFormat="1" ht="14.5">
      <c r="A57" s="349" t="str">
        <f t="shared" si="1"/>
        <v>053</v>
      </c>
      <c r="B57" s="350" t="str" cm="1">
        <f t="array" ref="B5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A-029-150m</v>
      </c>
      <c r="C57" s="286"/>
      <c r="D57" s="286" t="s">
        <v>48</v>
      </c>
      <c r="E57" s="255" t="s">
        <v>4459</v>
      </c>
      <c r="F57" s="286" t="s">
        <v>3295</v>
      </c>
      <c r="G57" s="262" t="s">
        <v>3299</v>
      </c>
      <c r="H57" s="307">
        <v>45856</v>
      </c>
      <c r="I57" s="308">
        <v>0.46805555555555556</v>
      </c>
      <c r="J57" s="286" t="s">
        <v>3586</v>
      </c>
      <c r="K57" s="249" t="s">
        <v>3023</v>
      </c>
      <c r="L57" s="241" t="s">
        <v>3073</v>
      </c>
      <c r="M57" s="242" t="str">
        <f>VLOOKUP(LO_Logfile[[#This Row],[Material Name]],Sheet2!B:D,2,0)</f>
        <v>ZTE2001</v>
      </c>
      <c r="N57" s="317" t="s">
        <v>20</v>
      </c>
      <c r="O57" s="286">
        <v>150</v>
      </c>
      <c r="P57" s="286" t="s">
        <v>2809</v>
      </c>
      <c r="Q57" s="255" t="s">
        <v>2810</v>
      </c>
      <c r="R57" s="286"/>
      <c r="S57" s="286"/>
      <c r="T57" s="286"/>
      <c r="U57" s="255" t="s">
        <v>3258</v>
      </c>
      <c r="V57" s="255"/>
      <c r="W57" s="255"/>
      <c r="X57" s="255"/>
      <c r="Y57" s="259"/>
      <c r="Z57" s="286"/>
      <c r="AA57" s="272" t="s">
        <v>4460</v>
      </c>
      <c r="AB57" s="28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57" s="28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57" s="542" t="str">
        <f>LO_Logfile[[#This Row],[Material Name]]&amp;"_"&amp;LO_Logfile[[#This Row],[Qty]]</f>
        <v>ADSS 24C_150</v>
      </c>
      <c r="AE57" s="542" t="str">
        <f>VLOOKUP(LO_Logfile[[#This Row],[looK]],MANUAL!F:F,1,0)</f>
        <v>ADSS 24C_150</v>
      </c>
      <c r="AF57" s="540" t="str">
        <f>LO_Logfile[[#This Row],[Material Name]]&amp;LO_Logfile[[#This Row],[Qty]]&amp;"_"&amp;LO_Logfile[[#This Row],[In-Out Qty]]</f>
        <v>ADSS 24C150_1</v>
      </c>
      <c r="AG57" s="553" t="e">
        <f>VLOOKUP(LO_Logfile[[#This Row],[Material Name]]&amp;LO_Logfile[[#This Row],[Qty]]&amp;"_"&amp;-2+LO_Logfile[[#This Row],[In-Out Qty]],AF:AF,1,0)</f>
        <v>#N/A</v>
      </c>
    </row>
    <row r="58" spans="1:33" s="213" customFormat="1" ht="14.5">
      <c r="A58" s="294" t="str">
        <f t="shared" si="1"/>
        <v>054</v>
      </c>
      <c r="B58" s="295" t="str" cm="1">
        <f t="array" ref="B5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A-030-291m</v>
      </c>
      <c r="C58" s="293"/>
      <c r="D58" s="293" t="s">
        <v>48</v>
      </c>
      <c r="E58" s="293" t="s">
        <v>4459</v>
      </c>
      <c r="F58" s="293" t="s">
        <v>3295</v>
      </c>
      <c r="G58" s="221" t="s">
        <v>3299</v>
      </c>
      <c r="H58" s="300">
        <v>45856</v>
      </c>
      <c r="I58" s="301">
        <v>0.46805555555555556</v>
      </c>
      <c r="J58" s="293" t="s">
        <v>3586</v>
      </c>
      <c r="K58" s="249" t="s">
        <v>4432</v>
      </c>
      <c r="L58" s="241" t="s">
        <v>3073</v>
      </c>
      <c r="M58" s="242" t="str">
        <f>VLOOKUP(LO_Logfile[[#This Row],[Material Name]],Sheet2!B:D,2,0)</f>
        <v>ZTE2001</v>
      </c>
      <c r="N58" s="318" t="s">
        <v>20</v>
      </c>
      <c r="O58" s="293">
        <v>291</v>
      </c>
      <c r="P58" s="293"/>
      <c r="Q58" s="293"/>
      <c r="R58" s="293"/>
      <c r="S58" s="293"/>
      <c r="T58" s="293"/>
      <c r="U58" s="293" t="s">
        <v>3258</v>
      </c>
      <c r="V58" s="293"/>
      <c r="W58" s="293"/>
      <c r="X58" s="293"/>
      <c r="Y58" s="266"/>
      <c r="Z58" s="293"/>
      <c r="AA58" s="266" t="s">
        <v>4465</v>
      </c>
      <c r="AB58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58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58" s="542" t="str">
        <f>LO_Logfile[[#This Row],[Material Name]]&amp;"_"&amp;LO_Logfile[[#This Row],[Qty]]</f>
        <v>ADSS 24C_291</v>
      </c>
      <c r="AE58" s="542" t="str">
        <f>VLOOKUP(LO_Logfile[[#This Row],[looK]],MANUAL!F:F,1,0)</f>
        <v>ADSS 24C_291</v>
      </c>
      <c r="AF58" s="540" t="str">
        <f>LO_Logfile[[#This Row],[Material Name]]&amp;LO_Logfile[[#This Row],[Qty]]&amp;"_"&amp;LO_Logfile[[#This Row],[In-Out Qty]]</f>
        <v>ADSS 24C291_1</v>
      </c>
      <c r="AG58" s="553" t="e">
        <f>VLOOKUP(LO_Logfile[[#This Row],[Material Name]]&amp;LO_Logfile[[#This Row],[Qty]]&amp;"_"&amp;-2+LO_Logfile[[#This Row],[In-Out Qty]],AF:AF,1,0)</f>
        <v>#N/A</v>
      </c>
    </row>
    <row r="59" spans="1:33" s="213" customFormat="1" ht="14.5">
      <c r="A59" s="294" t="str">
        <f t="shared" si="1"/>
        <v>055</v>
      </c>
      <c r="B59" s="295" t="str" cm="1">
        <f t="array" ref="B5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A-031-75m</v>
      </c>
      <c r="C59" s="293"/>
      <c r="D59" s="293" t="s">
        <v>48</v>
      </c>
      <c r="E59" s="293" t="s">
        <v>4459</v>
      </c>
      <c r="F59" s="293" t="s">
        <v>3295</v>
      </c>
      <c r="G59" s="221" t="s">
        <v>3299</v>
      </c>
      <c r="H59" s="300">
        <v>45856</v>
      </c>
      <c r="I59" s="301">
        <v>0.46805555555555556</v>
      </c>
      <c r="J59" s="293" t="s">
        <v>3586</v>
      </c>
      <c r="K59" s="249" t="s">
        <v>4432</v>
      </c>
      <c r="L59" s="241" t="s">
        <v>3073</v>
      </c>
      <c r="M59" s="242" t="str">
        <f>VLOOKUP(LO_Logfile[[#This Row],[Material Name]],Sheet2!B:D,2,0)</f>
        <v>ZTE2001</v>
      </c>
      <c r="N59" s="318" t="s">
        <v>20</v>
      </c>
      <c r="O59" s="293">
        <v>75</v>
      </c>
      <c r="P59" s="293"/>
      <c r="Q59" s="293"/>
      <c r="R59" s="293"/>
      <c r="S59" s="293"/>
      <c r="T59" s="293"/>
      <c r="U59" s="293" t="s">
        <v>3258</v>
      </c>
      <c r="V59" s="293"/>
      <c r="W59" s="293"/>
      <c r="X59" s="293"/>
      <c r="Y59" s="266"/>
      <c r="Z59" s="293"/>
      <c r="AA59" s="266" t="s">
        <v>4461</v>
      </c>
      <c r="AB59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59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59" s="542" t="str">
        <f>LO_Logfile[[#This Row],[Material Name]]&amp;"_"&amp;LO_Logfile[[#This Row],[Qty]]</f>
        <v>ADSS 24C_75</v>
      </c>
      <c r="AE59" s="542" t="str">
        <f>VLOOKUP(LO_Logfile[[#This Row],[looK]],MANUAL!F:F,1,0)</f>
        <v>ADSS 24C_75</v>
      </c>
      <c r="AF59" s="540" t="str">
        <f>LO_Logfile[[#This Row],[Material Name]]&amp;LO_Logfile[[#This Row],[Qty]]&amp;"_"&amp;LO_Logfile[[#This Row],[In-Out Qty]]</f>
        <v>ADSS 24C75_1</v>
      </c>
      <c r="AG59" s="553" t="e">
        <f>VLOOKUP(LO_Logfile[[#This Row],[Material Name]]&amp;LO_Logfile[[#This Row],[Qty]]&amp;"_"&amp;-2+LO_Logfile[[#This Row],[In-Out Qty]],AF:AF,1,0)</f>
        <v>#N/A</v>
      </c>
    </row>
    <row r="60" spans="1:33" s="213" customFormat="1" ht="14.5">
      <c r="A60" s="260" t="str">
        <f t="shared" si="1"/>
        <v>056</v>
      </c>
      <c r="B60" s="261" t="str" cm="1">
        <f t="array" ref="B6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B-018-100m</v>
      </c>
      <c r="C60" s="262"/>
      <c r="D60" s="262" t="s">
        <v>48</v>
      </c>
      <c r="E60" s="262" t="s">
        <v>4459</v>
      </c>
      <c r="F60" s="262" t="s">
        <v>3295</v>
      </c>
      <c r="G60" s="221" t="s">
        <v>3299</v>
      </c>
      <c r="H60" s="263">
        <v>45856</v>
      </c>
      <c r="I60" s="264">
        <v>0.46805555555555556</v>
      </c>
      <c r="J60" s="293" t="s">
        <v>3586</v>
      </c>
      <c r="K60" s="249" t="s">
        <v>4432</v>
      </c>
      <c r="L60" s="241" t="s">
        <v>3075</v>
      </c>
      <c r="M60" s="242" t="str">
        <f>VLOOKUP(LO_Logfile[[#This Row],[Material Name]],Sheet2!B:D,2,0)</f>
        <v>ZTE2003</v>
      </c>
      <c r="N60" s="315" t="s">
        <v>20</v>
      </c>
      <c r="O60" s="262">
        <v>100</v>
      </c>
      <c r="P60" s="262"/>
      <c r="Q60" s="262"/>
      <c r="R60" s="262"/>
      <c r="S60" s="262"/>
      <c r="T60" s="262"/>
      <c r="U60" s="262"/>
      <c r="V60" s="262"/>
      <c r="W60" s="262"/>
      <c r="X60" s="262"/>
      <c r="Y60" s="265"/>
      <c r="Z60" s="262"/>
      <c r="AA60" s="267" t="s">
        <v>3634</v>
      </c>
      <c r="AB60" s="26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60" s="26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60" s="542" t="str">
        <f>LO_Logfile[[#This Row],[Material Name]]&amp;"_"&amp;LO_Logfile[[#This Row],[Qty]]</f>
        <v>ADSS 48C_100</v>
      </c>
      <c r="AE60" s="542" t="str">
        <f>VLOOKUP(LO_Logfile[[#This Row],[looK]],MANUAL!F:F,1,0)</f>
        <v>ADSS 48C_100</v>
      </c>
      <c r="AF60" s="540" t="str">
        <f>LO_Logfile[[#This Row],[Material Name]]&amp;LO_Logfile[[#This Row],[Qty]]&amp;"_"&amp;LO_Logfile[[#This Row],[In-Out Qty]]</f>
        <v>ADSS 48C100_1</v>
      </c>
      <c r="AG60" s="553" t="e">
        <f>VLOOKUP(LO_Logfile[[#This Row],[Material Name]]&amp;LO_Logfile[[#This Row],[Qty]]&amp;"_"&amp;-2+LO_Logfile[[#This Row],[In-Out Qty]],AF:AF,1,0)</f>
        <v>#N/A</v>
      </c>
    </row>
    <row r="61" spans="1:33" s="213" customFormat="1" ht="14.5">
      <c r="A61" s="294" t="str">
        <f t="shared" si="1"/>
        <v>057</v>
      </c>
      <c r="B61" s="549" t="str" cm="1">
        <f t="array" ref="B6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B-019-91m</v>
      </c>
      <c r="C61" s="293"/>
      <c r="D61" s="293" t="s">
        <v>48</v>
      </c>
      <c r="E61" s="293" t="s">
        <v>4459</v>
      </c>
      <c r="F61" s="293" t="s">
        <v>3295</v>
      </c>
      <c r="G61" s="262" t="s">
        <v>3299</v>
      </c>
      <c r="H61" s="300">
        <v>45856</v>
      </c>
      <c r="I61" s="301">
        <v>0.46805555555555556</v>
      </c>
      <c r="J61" s="293" t="s">
        <v>3586</v>
      </c>
      <c r="K61" s="249" t="s">
        <v>4432</v>
      </c>
      <c r="L61" s="241" t="s">
        <v>3075</v>
      </c>
      <c r="M61" s="242" t="str">
        <f>VLOOKUP(LO_Logfile[[#This Row],[Material Name]],Sheet2!B:D,2,0)</f>
        <v>ZTE2003</v>
      </c>
      <c r="N61" s="318" t="s">
        <v>20</v>
      </c>
      <c r="O61" s="293">
        <v>91</v>
      </c>
      <c r="P61" s="293"/>
      <c r="Q61" s="293"/>
      <c r="R61" s="293"/>
      <c r="S61" s="293"/>
      <c r="T61" s="293"/>
      <c r="U61" s="262"/>
      <c r="V61" s="262"/>
      <c r="W61" s="293"/>
      <c r="X61" s="262"/>
      <c r="Y61" s="266"/>
      <c r="Z61" s="293"/>
      <c r="AA61" s="267" t="s">
        <v>4463</v>
      </c>
      <c r="AB61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61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61" s="542" t="str">
        <f>LO_Logfile[[#This Row],[Material Name]]&amp;"_"&amp;LO_Logfile[[#This Row],[Qty]]</f>
        <v>ADSS 48C_91</v>
      </c>
      <c r="AE61" s="542" t="e">
        <f>VLOOKUP(LO_Logfile[[#This Row],[looK]],MANUAL!F:F,1,0)</f>
        <v>#N/A</v>
      </c>
      <c r="AF61" s="542" t="str">
        <f>LO_Logfile[[#This Row],[Material Name]]&amp;LO_Logfile[[#This Row],[Qty]]&amp;"_"&amp;LO_Logfile[[#This Row],[In-Out Qty]]</f>
        <v>ADSS 48C91_1</v>
      </c>
      <c r="AG61" s="553" t="e">
        <f>VLOOKUP(LO_Logfile[[#This Row],[Material Name]]&amp;LO_Logfile[[#This Row],[Qty]]&amp;"_"&amp;-2+LO_Logfile[[#This Row],[In-Out Qty]],AF:AF,1,0)</f>
        <v>#N/A</v>
      </c>
    </row>
    <row r="62" spans="1:33" s="213" customFormat="1" ht="14.5">
      <c r="A62" s="294" t="str">
        <f t="shared" si="1"/>
        <v>058</v>
      </c>
      <c r="B62" s="549" t="str" cm="1">
        <f t="array" ref="B6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B-020-57m</v>
      </c>
      <c r="C62" s="293"/>
      <c r="D62" s="293" t="s">
        <v>48</v>
      </c>
      <c r="E62" s="262" t="s">
        <v>4459</v>
      </c>
      <c r="F62" s="293" t="s">
        <v>3295</v>
      </c>
      <c r="G62" s="221" t="s">
        <v>3299</v>
      </c>
      <c r="H62" s="300">
        <v>45856</v>
      </c>
      <c r="I62" s="301">
        <v>0.46805555555555556</v>
      </c>
      <c r="J62" s="293" t="s">
        <v>3586</v>
      </c>
      <c r="K62" s="249" t="s">
        <v>4432</v>
      </c>
      <c r="L62" s="241" t="s">
        <v>3075</v>
      </c>
      <c r="M62" s="242" t="str">
        <f>VLOOKUP(LO_Logfile[[#This Row],[Material Name]],Sheet2!B:D,2,0)</f>
        <v>ZTE2003</v>
      </c>
      <c r="N62" s="318" t="s">
        <v>20</v>
      </c>
      <c r="O62" s="293">
        <v>57</v>
      </c>
      <c r="P62" s="293"/>
      <c r="Q62" s="262"/>
      <c r="R62" s="293"/>
      <c r="S62" s="293"/>
      <c r="T62" s="293"/>
      <c r="U62" s="293" t="s">
        <v>3258</v>
      </c>
      <c r="V62" s="293"/>
      <c r="W62" s="293"/>
      <c r="X62" s="293"/>
      <c r="Y62" s="266"/>
      <c r="Z62" s="293"/>
      <c r="AA62" s="266" t="s">
        <v>4462</v>
      </c>
      <c r="AB62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62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62" s="542" t="str">
        <f>LO_Logfile[[#This Row],[Material Name]]&amp;"_"&amp;LO_Logfile[[#This Row],[Qty]]</f>
        <v>ADSS 48C_57</v>
      </c>
      <c r="AE62" s="542" t="e">
        <f>VLOOKUP(LO_Logfile[[#This Row],[looK]],MANUAL!F:F,1,0)</f>
        <v>#N/A</v>
      </c>
      <c r="AF62" s="542" t="str">
        <f>LO_Logfile[[#This Row],[Material Name]]&amp;LO_Logfile[[#This Row],[Qty]]&amp;"_"&amp;LO_Logfile[[#This Row],[In-Out Qty]]</f>
        <v>ADSS 48C57_1</v>
      </c>
      <c r="AG62" s="554" t="e">
        <f>VLOOKUP(LO_Logfile[[#This Row],[Material Name]]&amp;LO_Logfile[[#This Row],[Qty]]&amp;"_"&amp;-2+LO_Logfile[[#This Row],[In-Out Qty]],AF:AF,1,0)</f>
        <v>#N/A</v>
      </c>
    </row>
    <row r="63" spans="1:33" s="213" customFormat="1" ht="14.5">
      <c r="A63" s="294" t="str">
        <f t="shared" si="1"/>
        <v>059</v>
      </c>
      <c r="B63" s="549" t="str" cm="1">
        <f t="array" ref="B6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B-021-49m</v>
      </c>
      <c r="C63" s="293"/>
      <c r="D63" s="293" t="s">
        <v>48</v>
      </c>
      <c r="E63" s="293" t="s">
        <v>4459</v>
      </c>
      <c r="F63" s="293" t="s">
        <v>3295</v>
      </c>
      <c r="G63" s="221" t="s">
        <v>3299</v>
      </c>
      <c r="H63" s="300">
        <v>45856</v>
      </c>
      <c r="I63" s="301">
        <v>0.46805555555555556</v>
      </c>
      <c r="J63" s="293" t="s">
        <v>3586</v>
      </c>
      <c r="K63" s="249" t="s">
        <v>4432</v>
      </c>
      <c r="L63" s="241" t="s">
        <v>3075</v>
      </c>
      <c r="M63" s="242" t="str">
        <f>VLOOKUP(LO_Logfile[[#This Row],[Material Name]],Sheet2!B:D,2,0)</f>
        <v>ZTE2003</v>
      </c>
      <c r="N63" s="318" t="s">
        <v>20</v>
      </c>
      <c r="O63" s="293">
        <v>49</v>
      </c>
      <c r="P63" s="293"/>
      <c r="Q63" s="293"/>
      <c r="R63" s="293"/>
      <c r="S63" s="293"/>
      <c r="T63" s="293"/>
      <c r="U63" s="293"/>
      <c r="V63" s="293"/>
      <c r="W63" s="293"/>
      <c r="X63" s="293"/>
      <c r="Y63" s="266"/>
      <c r="Z63" s="293"/>
      <c r="AA63" s="266" t="s">
        <v>4464</v>
      </c>
      <c r="AB63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63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63" s="542" t="str">
        <f>LO_Logfile[[#This Row],[Material Name]]&amp;"_"&amp;LO_Logfile[[#This Row],[Qty]]</f>
        <v>ADSS 48C_49</v>
      </c>
      <c r="AE63" s="542" t="e">
        <f>VLOOKUP(LO_Logfile[[#This Row],[looK]],MANUAL!F:F,1,0)</f>
        <v>#N/A</v>
      </c>
      <c r="AF63" s="542" t="str">
        <f>LO_Logfile[[#This Row],[Material Name]]&amp;LO_Logfile[[#This Row],[Qty]]&amp;"_"&amp;LO_Logfile[[#This Row],[In-Out Qty]]</f>
        <v>ADSS 48C49_1</v>
      </c>
      <c r="AG63" s="554" t="e">
        <f>VLOOKUP(LO_Logfile[[#This Row],[Material Name]]&amp;LO_Logfile[[#This Row],[Qty]]&amp;"_"&amp;-2+LO_Logfile[[#This Row],[In-Out Qty]],AF:AF,1,0)</f>
        <v>#N/A</v>
      </c>
    </row>
    <row r="64" spans="1:33" s="213" customFormat="1" ht="14.5">
      <c r="A64" s="253" t="str">
        <f t="shared" si="1"/>
        <v>060</v>
      </c>
      <c r="B64" s="254" t="str" cm="1">
        <f t="array" ref="B6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A-032-500m</v>
      </c>
      <c r="C64" s="255"/>
      <c r="D64" s="255" t="s">
        <v>48</v>
      </c>
      <c r="E64" s="255" t="s">
        <v>4466</v>
      </c>
      <c r="F64" s="255" t="s">
        <v>3295</v>
      </c>
      <c r="G64" s="262" t="s">
        <v>3299</v>
      </c>
      <c r="H64" s="256">
        <v>45876</v>
      </c>
      <c r="I64" s="278">
        <v>0.47291666666666665</v>
      </c>
      <c r="J64" s="286" t="s">
        <v>3586</v>
      </c>
      <c r="K64" s="249" t="s">
        <v>3023</v>
      </c>
      <c r="L64" s="241" t="s">
        <v>3073</v>
      </c>
      <c r="M64" s="242" t="str">
        <f>VLOOKUP(LO_Logfile[[#This Row],[Material Name]],Sheet2!B:D,2,0)</f>
        <v>ZTE2001</v>
      </c>
      <c r="N64" s="316" t="s">
        <v>20</v>
      </c>
      <c r="O64" s="255">
        <v>500</v>
      </c>
      <c r="P64" s="255" t="s">
        <v>2996</v>
      </c>
      <c r="Q64" s="255" t="s">
        <v>2997</v>
      </c>
      <c r="R64" s="255"/>
      <c r="S64" s="255"/>
      <c r="T64" s="255"/>
      <c r="U64" s="255" t="s">
        <v>3258</v>
      </c>
      <c r="V64" s="255">
        <v>0</v>
      </c>
      <c r="W64" s="255" t="s">
        <v>3337</v>
      </c>
      <c r="X64" s="255" t="s">
        <v>3338</v>
      </c>
      <c r="Y64" s="258" t="s">
        <v>4467</v>
      </c>
      <c r="Z64" s="286"/>
      <c r="AA64" s="259" t="s">
        <v>4467</v>
      </c>
      <c r="AB64" s="25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64" s="25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64" s="542" t="str">
        <f>LO_Logfile[[#This Row],[Material Name]]&amp;"_"&amp;LO_Logfile[[#This Row],[Qty]]</f>
        <v>ADSS 24C_500</v>
      </c>
      <c r="AE64" s="542" t="str">
        <f>VLOOKUP(LO_Logfile[[#This Row],[looK]],MANUAL!F:F,1,0)</f>
        <v>ADSS 24C_500</v>
      </c>
      <c r="AF64" s="540" t="str">
        <f>LO_Logfile[[#This Row],[Material Name]]&amp;LO_Logfile[[#This Row],[Qty]]&amp;"_"&amp;LO_Logfile[[#This Row],[In-Out Qty]]</f>
        <v>ADSS 24C500_1</v>
      </c>
      <c r="AG64" s="552" t="str">
        <f>VLOOKUP(LO_Logfile[[#This Row],[Material Name]]&amp;LO_Logfile[[#This Row],[Qty]]&amp;"_"&amp;-2+LO_Logfile[[#This Row],[In-Out Qty]],AF:AF,1,0)</f>
        <v>ADSS 24C500_-1</v>
      </c>
    </row>
    <row r="65" spans="1:33" s="213" customFormat="1" ht="14.5">
      <c r="A65" s="294" t="str">
        <f t="shared" si="1"/>
        <v>061</v>
      </c>
      <c r="B65" s="295" t="str" cm="1">
        <f t="array" ref="B6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B-022-44m</v>
      </c>
      <c r="C65" s="293"/>
      <c r="D65" s="293" t="s">
        <v>48</v>
      </c>
      <c r="E65" s="262" t="s">
        <v>4466</v>
      </c>
      <c r="F65" s="293" t="s">
        <v>3295</v>
      </c>
      <c r="G65" s="249" t="s">
        <v>3299</v>
      </c>
      <c r="H65" s="300">
        <v>45876</v>
      </c>
      <c r="I65" s="301">
        <v>0.47291666666666665</v>
      </c>
      <c r="J65" s="293" t="s">
        <v>3586</v>
      </c>
      <c r="K65" s="249" t="s">
        <v>4432</v>
      </c>
      <c r="L65" s="241" t="s">
        <v>3075</v>
      </c>
      <c r="M65" s="242" t="str">
        <f>VLOOKUP(LO_Logfile[[#This Row],[Material Name]],Sheet2!B:D,2,0)</f>
        <v>ZTE2003</v>
      </c>
      <c r="N65" s="318" t="s">
        <v>20</v>
      </c>
      <c r="O65" s="293">
        <v>44</v>
      </c>
      <c r="P65" s="293"/>
      <c r="Q65" s="293"/>
      <c r="R65" s="293"/>
      <c r="S65" s="293"/>
      <c r="T65" s="293"/>
      <c r="U65" s="293"/>
      <c r="V65" s="293"/>
      <c r="W65" s="293"/>
      <c r="X65" s="293"/>
      <c r="Y65" s="266"/>
      <c r="Z65" s="293"/>
      <c r="AA65" s="267" t="s">
        <v>4468</v>
      </c>
      <c r="AB65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65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65" s="542" t="str">
        <f>LO_Logfile[[#This Row],[Material Name]]&amp;"_"&amp;LO_Logfile[[#This Row],[Qty]]</f>
        <v>ADSS 48C_44</v>
      </c>
      <c r="AE65" s="542" t="str">
        <f>VLOOKUP(LO_Logfile[[#This Row],[looK]],MANUAL!F:F,1,0)</f>
        <v>ADSS 48C_44</v>
      </c>
      <c r="AF65" s="540" t="str">
        <f>LO_Logfile[[#This Row],[Material Name]]&amp;LO_Logfile[[#This Row],[Qty]]&amp;"_"&amp;LO_Logfile[[#This Row],[In-Out Qty]]</f>
        <v>ADSS 48C44_1</v>
      </c>
      <c r="AG65" s="553" t="e">
        <f>VLOOKUP(LO_Logfile[[#This Row],[Material Name]]&amp;LO_Logfile[[#This Row],[Qty]]&amp;"_"&amp;-2+LO_Logfile[[#This Row],[In-Out Qty]],AF:AF,1,0)</f>
        <v>#N/A</v>
      </c>
    </row>
    <row r="66" spans="1:33" s="213" customFormat="1" ht="14.5">
      <c r="A66" s="294" t="str">
        <f t="shared" si="1"/>
        <v>062</v>
      </c>
      <c r="B66" s="549" t="str" cm="1">
        <f t="array" ref="B6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B-023-4m</v>
      </c>
      <c r="C66" s="293"/>
      <c r="D66" s="293" t="s">
        <v>48</v>
      </c>
      <c r="E66" s="293" t="s">
        <v>4466</v>
      </c>
      <c r="F66" s="293" t="s">
        <v>3295</v>
      </c>
      <c r="G66" s="249" t="s">
        <v>3299</v>
      </c>
      <c r="H66" s="300">
        <v>45876</v>
      </c>
      <c r="I66" s="301">
        <v>0.47291666666666665</v>
      </c>
      <c r="J66" s="293" t="s">
        <v>3586</v>
      </c>
      <c r="K66" s="249" t="s">
        <v>4432</v>
      </c>
      <c r="L66" s="241" t="s">
        <v>3075</v>
      </c>
      <c r="M66" s="242" t="str">
        <f>VLOOKUP(LO_Logfile[[#This Row],[Material Name]],Sheet2!B:D,2,0)</f>
        <v>ZTE2003</v>
      </c>
      <c r="N66" s="318" t="s">
        <v>20</v>
      </c>
      <c r="O66" s="293">
        <v>4</v>
      </c>
      <c r="P66" s="293"/>
      <c r="Q66" s="293"/>
      <c r="R66" s="293"/>
      <c r="S66" s="293"/>
      <c r="T66" s="293"/>
      <c r="U66" s="293"/>
      <c r="V66" s="293"/>
      <c r="W66" s="293"/>
      <c r="X66" s="293"/>
      <c r="Y66" s="266"/>
      <c r="Z66" s="293"/>
      <c r="AA66" s="266" t="s">
        <v>4469</v>
      </c>
      <c r="AB66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66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66" s="542" t="str">
        <f>LO_Logfile[[#This Row],[Material Name]]&amp;"_"&amp;LO_Logfile[[#This Row],[Qty]]</f>
        <v>ADSS 48C_4</v>
      </c>
      <c r="AE66" s="542" t="e">
        <f>VLOOKUP(LO_Logfile[[#This Row],[looK]],MANUAL!F:F,1,0)</f>
        <v>#N/A</v>
      </c>
      <c r="AF66" s="542" t="str">
        <f>LO_Logfile[[#This Row],[Material Name]]&amp;LO_Logfile[[#This Row],[Qty]]&amp;"_"&amp;LO_Logfile[[#This Row],[In-Out Qty]]</f>
        <v>ADSS 48C4_1</v>
      </c>
      <c r="AG66" s="554" t="e">
        <f>VLOOKUP(LO_Logfile[[#This Row],[Material Name]]&amp;LO_Logfile[[#This Row],[Qty]]&amp;"_"&amp;-2+LO_Logfile[[#This Row],[In-Out Qty]],AF:AF,1,0)</f>
        <v>#N/A</v>
      </c>
    </row>
    <row r="67" spans="1:33" s="213" customFormat="1" ht="14.5">
      <c r="A67" s="294" t="str">
        <f t="shared" si="1"/>
        <v>063</v>
      </c>
      <c r="B67" s="295" t="str" cm="1">
        <f t="array" ref="B6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P94-001-1</v>
      </c>
      <c r="C67" s="293"/>
      <c r="D67" s="293" t="s">
        <v>48</v>
      </c>
      <c r="E67" s="293" t="s">
        <v>4472</v>
      </c>
      <c r="F67" s="293" t="s">
        <v>3295</v>
      </c>
      <c r="G67" s="293" t="s">
        <v>3299</v>
      </c>
      <c r="H67" s="300">
        <v>45889</v>
      </c>
      <c r="I67" s="301">
        <v>0.44097222222222221</v>
      </c>
      <c r="J67" s="293" t="s">
        <v>3586</v>
      </c>
      <c r="K67" s="249" t="s">
        <v>3023</v>
      </c>
      <c r="L67" s="241" t="s">
        <v>3071</v>
      </c>
      <c r="M67" s="242" t="str">
        <f>VLOOKUP(LO_Logfile[[#This Row],[Material Name]],Sheet2!B:D,2,0)</f>
        <v>ZTE1003</v>
      </c>
      <c r="N67" s="318" t="s">
        <v>19</v>
      </c>
      <c r="O67" s="293">
        <v>1</v>
      </c>
      <c r="P67" s="293" t="s">
        <v>2915</v>
      </c>
      <c r="Q67" s="293" t="s">
        <v>2916</v>
      </c>
      <c r="R67" s="293"/>
      <c r="S67" s="293"/>
      <c r="T67" s="293" t="s">
        <v>3173</v>
      </c>
      <c r="U67" s="293" t="s">
        <v>3258</v>
      </c>
      <c r="V67" s="293">
        <v>0</v>
      </c>
      <c r="W67" s="293" t="s">
        <v>3337</v>
      </c>
      <c r="X67" s="293" t="s">
        <v>3338</v>
      </c>
      <c r="Y67" s="266" t="s">
        <v>3603</v>
      </c>
      <c r="Z67" s="293"/>
      <c r="AA67" s="266"/>
      <c r="AB67" s="29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67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/>
      </c>
      <c r="AD67" s="542" t="str">
        <f>LO_Logfile[[#This Row],[Material Name]]&amp;"_"&amp;LO_Logfile[[#This Row],[Qty]]</f>
        <v>Pole 9M_1</v>
      </c>
      <c r="AE67" s="542" t="e">
        <f>VLOOKUP(LO_Logfile[[#This Row],[looK]],MANUAL!F:F,1,0)</f>
        <v>#N/A</v>
      </c>
      <c r="AF67" s="542" t="str">
        <f>LO_Logfile[[#This Row],[Material Name]]&amp;LO_Logfile[[#This Row],[Qty]]&amp;"_"&amp;LO_Logfile[[#This Row],[In-Out Qty]]</f>
        <v>Pole 9M1_1</v>
      </c>
      <c r="AG67" s="552" t="e">
        <f>VLOOKUP(LO_Logfile[[#This Row],[Material Name]]&amp;LO_Logfile[[#This Row],[Qty]]&amp;"_"&amp;-2+LO_Logfile[[#This Row],[In-Out Qty]],AF:AF,1,0)</f>
        <v>#N/A</v>
      </c>
    </row>
    <row r="68" spans="1:33" s="213" customFormat="1" ht="14.5">
      <c r="A68" s="294" t="str">
        <f t="shared" si="1"/>
        <v>064</v>
      </c>
      <c r="B68" s="549" t="str" cm="1">
        <f t="array" ref="B6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D-005-575m</v>
      </c>
      <c r="C68" s="293">
        <v>1</v>
      </c>
      <c r="D68" s="262" t="s">
        <v>49</v>
      </c>
      <c r="E68" s="262" t="s">
        <v>4486</v>
      </c>
      <c r="F68" s="293" t="s">
        <v>3295</v>
      </c>
      <c r="G68" s="249" t="s">
        <v>3299</v>
      </c>
      <c r="H68" s="300">
        <v>45903</v>
      </c>
      <c r="I68" s="301">
        <v>0.72465277777777781</v>
      </c>
      <c r="J68" s="262" t="s">
        <v>4963</v>
      </c>
      <c r="K68" s="249" t="s">
        <v>3023</v>
      </c>
      <c r="L68" s="241" t="s">
        <v>3077</v>
      </c>
      <c r="M68" s="242" t="str">
        <f>VLOOKUP(LO_Logfile[[#This Row],[Material Name]],Sheet2!B:D,2,0)</f>
        <v>ZTE2004</v>
      </c>
      <c r="N68" s="318" t="s">
        <v>20</v>
      </c>
      <c r="O68" s="293">
        <v>575</v>
      </c>
      <c r="P68" s="293" t="s">
        <v>2142</v>
      </c>
      <c r="Q68" s="293" t="s">
        <v>2143</v>
      </c>
      <c r="R68" s="293" t="s">
        <v>2144</v>
      </c>
      <c r="S68" s="293" t="s">
        <v>2145</v>
      </c>
      <c r="T68" s="293" t="s">
        <v>39</v>
      </c>
      <c r="U68" s="293"/>
      <c r="V68" s="293"/>
      <c r="W68" s="293"/>
      <c r="X68" s="293"/>
      <c r="Y68" s="266"/>
      <c r="Z68" s="293" t="s">
        <v>4984</v>
      </c>
      <c r="AA68" s="266"/>
      <c r="AB68" s="293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68" s="29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68" s="542" t="str">
        <f>LO_Logfile[[#This Row],[Material Name]]&amp;"_"&amp;LO_Logfile[[#This Row],[Qty]]</f>
        <v>ADSS 144C_575</v>
      </c>
      <c r="AE68" s="542" t="e">
        <f>VLOOKUP(LO_Logfile[[#This Row],[looK]],MANUAL!F:F,1,0)</f>
        <v>#N/A</v>
      </c>
      <c r="AF68" s="542" t="str">
        <f>LO_Logfile[[#This Row],[Material Name]]&amp;LO_Logfile[[#This Row],[Qty]]&amp;"_"&amp;LO_Logfile[[#This Row],[In-Out Qty]]</f>
        <v>ADSS 144C575_-1</v>
      </c>
      <c r="AG68" s="554" t="e">
        <f>VLOOKUP(LO_Logfile[[#This Row],[Material Name]]&amp;LO_Logfile[[#This Row],[Qty]]&amp;"_"&amp;-2+LO_Logfile[[#This Row],[In-Out Qty]],AF:AF,1,0)</f>
        <v>#N/A</v>
      </c>
    </row>
    <row r="69" spans="1:33" s="213" customFormat="1" ht="14.5">
      <c r="A69" s="274" t="str">
        <f t="shared" ref="A69:A100" si="2">TEXT(ROW(A69)-ROW($A$4),"000")</f>
        <v>065</v>
      </c>
      <c r="B69" s="547" t="str" cm="1">
        <f t="array" ref="B6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D-006-685m</v>
      </c>
      <c r="C69" s="262">
        <v>1</v>
      </c>
      <c r="D69" s="293" t="s">
        <v>49</v>
      </c>
      <c r="E69" s="293" t="s">
        <v>4648</v>
      </c>
      <c r="F69" s="293" t="s">
        <v>3295</v>
      </c>
      <c r="G69" s="293" t="s">
        <v>3299</v>
      </c>
      <c r="H69" s="300">
        <v>45920</v>
      </c>
      <c r="I69" s="301">
        <v>0.67421296296296296</v>
      </c>
      <c r="J69" s="262" t="s">
        <v>4963</v>
      </c>
      <c r="K69" s="249" t="s">
        <v>3023</v>
      </c>
      <c r="L69" s="241" t="s">
        <v>3077</v>
      </c>
      <c r="M69" s="242" t="str">
        <f>VLOOKUP(LO_Logfile[[#This Row],[Material Name]],Sheet2!B:D,2,0)</f>
        <v>ZTE2004</v>
      </c>
      <c r="N69" s="318" t="s">
        <v>20</v>
      </c>
      <c r="O69" s="293">
        <v>685</v>
      </c>
      <c r="P69" s="262" t="s">
        <v>2142</v>
      </c>
      <c r="Q69" s="262" t="s">
        <v>2143</v>
      </c>
      <c r="R69" s="262" t="s">
        <v>2144</v>
      </c>
      <c r="S69" s="262" t="s">
        <v>2145</v>
      </c>
      <c r="T69" s="262" t="s">
        <v>39</v>
      </c>
      <c r="U69" s="262" t="s">
        <v>4657</v>
      </c>
      <c r="V69" s="262"/>
      <c r="W69" s="262" t="s">
        <v>4658</v>
      </c>
      <c r="X69" s="262" t="s">
        <v>4659</v>
      </c>
      <c r="Y69" s="265"/>
      <c r="Z69" s="293" t="s">
        <v>4984</v>
      </c>
      <c r="AA69" s="266"/>
      <c r="AB69" s="277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69" s="27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69" s="542" t="str">
        <f>LO_Logfile[[#This Row],[Material Name]]&amp;"_"&amp;LO_Logfile[[#This Row],[Qty]]</f>
        <v>ADSS 144C_685</v>
      </c>
      <c r="AE69" s="542" t="e">
        <f>VLOOKUP(LO_Logfile[[#This Row],[looK]],MANUAL!F:F,1,0)</f>
        <v>#N/A</v>
      </c>
      <c r="AF69" s="542" t="str">
        <f>LO_Logfile[[#This Row],[Material Name]]&amp;LO_Logfile[[#This Row],[Qty]]&amp;"_"&amp;LO_Logfile[[#This Row],[In-Out Qty]]</f>
        <v>ADSS 144C685_-1</v>
      </c>
      <c r="AG69" s="554" t="e">
        <f>VLOOKUP(LO_Logfile[[#This Row],[Material Name]]&amp;LO_Logfile[[#This Row],[Qty]]&amp;"_"&amp;-2+LO_Logfile[[#This Row],[In-Out Qty]],AF:AF,1,0)</f>
        <v>#N/A</v>
      </c>
    </row>
    <row r="70" spans="1:33" s="213" customFormat="1" ht="14.5">
      <c r="A70" s="298" t="str">
        <f t="shared" si="2"/>
        <v>066</v>
      </c>
      <c r="B70" s="547" t="str" cm="1">
        <f t="array" ref="B7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D-007-375m</v>
      </c>
      <c r="C70" s="293">
        <v>1</v>
      </c>
      <c r="D70" s="293" t="s">
        <v>49</v>
      </c>
      <c r="E70" s="293" t="s">
        <v>4647</v>
      </c>
      <c r="F70" s="293" t="s">
        <v>3295</v>
      </c>
      <c r="G70" s="249" t="s">
        <v>3299</v>
      </c>
      <c r="H70" s="300">
        <v>45920</v>
      </c>
      <c r="I70" s="301">
        <v>0.67421296296296296</v>
      </c>
      <c r="J70" s="293" t="s">
        <v>4963</v>
      </c>
      <c r="K70" s="249" t="s">
        <v>4432</v>
      </c>
      <c r="L70" s="241" t="s">
        <v>3077</v>
      </c>
      <c r="M70" s="242" t="str">
        <f>VLOOKUP(LO_Logfile[[#This Row],[Material Name]],Sheet2!B:D,2,0)</f>
        <v>ZTE2004</v>
      </c>
      <c r="N70" s="318" t="s">
        <v>20</v>
      </c>
      <c r="O70" s="293">
        <v>375</v>
      </c>
      <c r="P70" s="293" t="s">
        <v>2142</v>
      </c>
      <c r="Q70" s="293" t="s">
        <v>2143</v>
      </c>
      <c r="R70" s="293" t="s">
        <v>2144</v>
      </c>
      <c r="S70" s="293" t="s">
        <v>2145</v>
      </c>
      <c r="T70" s="293" t="s">
        <v>39</v>
      </c>
      <c r="U70" s="293" t="s">
        <v>3258</v>
      </c>
      <c r="V70" s="293">
        <v>0</v>
      </c>
      <c r="W70" s="293" t="s">
        <v>3337</v>
      </c>
      <c r="X70" s="293" t="s">
        <v>3338</v>
      </c>
      <c r="Y70" s="266"/>
      <c r="Z70" s="293" t="s">
        <v>4984</v>
      </c>
      <c r="AA70" s="266"/>
      <c r="AB70" s="302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70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70" s="542" t="str">
        <f>LO_Logfile[[#This Row],[Material Name]]&amp;"_"&amp;LO_Logfile[[#This Row],[Qty]]</f>
        <v>ADSS 144C_375</v>
      </c>
      <c r="AE70" s="542" t="e">
        <f>VLOOKUP(LO_Logfile[[#This Row],[looK]],MANUAL!F:F,1,0)</f>
        <v>#N/A</v>
      </c>
      <c r="AF70" s="542" t="str">
        <f>LO_Logfile[[#This Row],[Material Name]]&amp;LO_Logfile[[#This Row],[Qty]]&amp;"_"&amp;LO_Logfile[[#This Row],[In-Out Qty]]</f>
        <v>ADSS 144C375_-1</v>
      </c>
      <c r="AG70" s="554" t="e">
        <f>VLOOKUP(LO_Logfile[[#This Row],[Material Name]]&amp;LO_Logfile[[#This Row],[Qty]]&amp;"_"&amp;-2+LO_Logfile[[#This Row],[In-Out Qty]],AF:AF,1,0)</f>
        <v>#N/A</v>
      </c>
    </row>
    <row r="71" spans="1:33" s="213" customFormat="1" ht="14.5">
      <c r="A71" s="292" t="str">
        <f t="shared" si="2"/>
        <v>067</v>
      </c>
      <c r="B71" s="546" t="str" cm="1">
        <f t="array" ref="B7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B-024-1500m</v>
      </c>
      <c r="C71" s="286">
        <v>2</v>
      </c>
      <c r="D71" s="286" t="s">
        <v>48</v>
      </c>
      <c r="E71" s="286" t="s">
        <v>4660</v>
      </c>
      <c r="F71" s="286" t="s">
        <v>3295</v>
      </c>
      <c r="G71" s="286" t="s">
        <v>3299</v>
      </c>
      <c r="H71" s="307">
        <v>45946</v>
      </c>
      <c r="I71" s="308">
        <v>0.46527777777777779</v>
      </c>
      <c r="J71" s="255" t="s">
        <v>3586</v>
      </c>
      <c r="K71" s="249" t="s">
        <v>3023</v>
      </c>
      <c r="L71" s="241" t="s">
        <v>3075</v>
      </c>
      <c r="M71" s="242" t="str">
        <f>VLOOKUP(LO_Logfile[[#This Row],[Material Name]],Sheet2!B:D,2,0)</f>
        <v>ZTE2003</v>
      </c>
      <c r="N71" s="317" t="s">
        <v>20</v>
      </c>
      <c r="O71" s="286">
        <v>1500</v>
      </c>
      <c r="P71" s="286" t="s">
        <v>3203</v>
      </c>
      <c r="Q71" s="286" t="s">
        <v>4597</v>
      </c>
      <c r="R71" s="286"/>
      <c r="S71" s="286"/>
      <c r="T71" s="286" t="s">
        <v>39</v>
      </c>
      <c r="U71" s="286" t="s">
        <v>3258</v>
      </c>
      <c r="V71" s="286">
        <v>0</v>
      </c>
      <c r="W71" s="286" t="s">
        <v>3337</v>
      </c>
      <c r="X71" s="286" t="s">
        <v>3338</v>
      </c>
      <c r="Y71" s="259"/>
      <c r="Z71" s="286"/>
      <c r="AA71" s="259"/>
      <c r="AB71" s="29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71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71" s="542" t="str">
        <f>LO_Logfile[[#This Row],[Material Name]]&amp;"_"&amp;LO_Logfile[[#This Row],[Qty]]</f>
        <v>ADSS 48C_1500</v>
      </c>
      <c r="AE71" s="542" t="e">
        <f>VLOOKUP(LO_Logfile[[#This Row],[looK]],MANUAL!F:F,1,0)</f>
        <v>#N/A</v>
      </c>
      <c r="AF71" s="542" t="str">
        <f>LO_Logfile[[#This Row],[Material Name]]&amp;LO_Logfile[[#This Row],[Qty]]&amp;"_"&amp;LO_Logfile[[#This Row],[In-Out Qty]]</f>
        <v>ADSS 48C1500_1</v>
      </c>
      <c r="AG71" s="552" t="str">
        <f>VLOOKUP(LO_Logfile[[#This Row],[Material Name]]&amp;LO_Logfile[[#This Row],[Qty]]&amp;"_"&amp;-2+LO_Logfile[[#This Row],[In-Out Qty]],AF:AF,1,0)</f>
        <v>ADSS 48C1500_-1</v>
      </c>
    </row>
    <row r="72" spans="1:33" s="213" customFormat="1" ht="14.5">
      <c r="A72" s="268" t="str">
        <f t="shared" si="2"/>
        <v>068</v>
      </c>
      <c r="B72" s="545" t="str" cm="1">
        <f t="array" ref="B7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B-025-1500m</v>
      </c>
      <c r="C72" s="255">
        <v>2</v>
      </c>
      <c r="D72" s="255" t="s">
        <v>49</v>
      </c>
      <c r="E72" s="255" t="s">
        <v>4661</v>
      </c>
      <c r="F72" s="255" t="s">
        <v>3295</v>
      </c>
      <c r="G72" s="255" t="s">
        <v>3299</v>
      </c>
      <c r="H72" s="307">
        <v>45946</v>
      </c>
      <c r="I72" s="308">
        <v>0.46527777777777779</v>
      </c>
      <c r="J72" s="255" t="s">
        <v>4963</v>
      </c>
      <c r="K72" s="249" t="s">
        <v>3023</v>
      </c>
      <c r="L72" s="241" t="s">
        <v>3075</v>
      </c>
      <c r="M72" s="242" t="str">
        <f>VLOOKUP(LO_Logfile[[#This Row],[Material Name]],Sheet2!B:D,2,0)</f>
        <v>ZTE2003</v>
      </c>
      <c r="N72" s="316" t="s">
        <v>20</v>
      </c>
      <c r="O72" s="310">
        <v>1500</v>
      </c>
      <c r="P72" s="270" t="s">
        <v>4595</v>
      </c>
      <c r="Q72" s="270" t="s">
        <v>4662</v>
      </c>
      <c r="R72" s="255"/>
      <c r="S72" s="255"/>
      <c r="T72" s="255" t="s">
        <v>39</v>
      </c>
      <c r="U72" s="255" t="s">
        <v>3258</v>
      </c>
      <c r="V72" s="255">
        <v>0</v>
      </c>
      <c r="W72" s="255" t="s">
        <v>3337</v>
      </c>
      <c r="X72" s="255" t="s">
        <v>3338</v>
      </c>
      <c r="Y72" s="258"/>
      <c r="Z72" s="286"/>
      <c r="AA72" s="310"/>
      <c r="AB72" s="273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72" s="27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72" s="542" t="str">
        <f>LO_Logfile[[#This Row],[Material Name]]&amp;"_"&amp;LO_Logfile[[#This Row],[Qty]]</f>
        <v>ADSS 48C_1500</v>
      </c>
      <c r="AE72" s="542" t="e">
        <f>VLOOKUP(LO_Logfile[[#This Row],[looK]],MANUAL!F:F,1,0)</f>
        <v>#N/A</v>
      </c>
      <c r="AF72" s="542" t="str">
        <f>LO_Logfile[[#This Row],[Material Name]]&amp;LO_Logfile[[#This Row],[Qty]]&amp;"_"&amp;LO_Logfile[[#This Row],[In-Out Qty]]</f>
        <v>ADSS 48C1500_-1</v>
      </c>
      <c r="AG72" s="552" t="e">
        <f>VLOOKUP(LO_Logfile[[#This Row],[Material Name]]&amp;LO_Logfile[[#This Row],[Qty]]&amp;"_"&amp;-2+LO_Logfile[[#This Row],[In-Out Qty]],AF:AF,1,0)</f>
        <v>#N/A</v>
      </c>
    </row>
    <row r="73" spans="1:33" s="213" customFormat="1" ht="14.5">
      <c r="A73" s="268" t="str">
        <f t="shared" si="2"/>
        <v>069</v>
      </c>
      <c r="B73" s="545" t="str" cm="1">
        <f t="array" ref="B7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A-033-1150m</v>
      </c>
      <c r="C73" s="255">
        <v>1</v>
      </c>
      <c r="D73" s="255" t="s">
        <v>48</v>
      </c>
      <c r="E73" s="255" t="s">
        <v>4660</v>
      </c>
      <c r="F73" s="255" t="s">
        <v>3295</v>
      </c>
      <c r="G73" s="255" t="s">
        <v>3299</v>
      </c>
      <c r="H73" s="307">
        <v>45946</v>
      </c>
      <c r="I73" s="308">
        <v>0.46527777777777779</v>
      </c>
      <c r="J73" s="255" t="s">
        <v>3586</v>
      </c>
      <c r="K73" s="249" t="s">
        <v>3023</v>
      </c>
      <c r="L73" s="241" t="s">
        <v>3073</v>
      </c>
      <c r="M73" s="242" t="str">
        <f>VLOOKUP(LO_Logfile[[#This Row],[Material Name]],Sheet2!B:D,2,0)</f>
        <v>ZTE2001</v>
      </c>
      <c r="N73" s="316" t="s">
        <v>20</v>
      </c>
      <c r="O73" s="310">
        <v>1150</v>
      </c>
      <c r="P73" s="255" t="s">
        <v>3203</v>
      </c>
      <c r="Q73" s="255" t="s">
        <v>4597</v>
      </c>
      <c r="R73" s="255"/>
      <c r="S73" s="255"/>
      <c r="T73" s="255" t="s">
        <v>39</v>
      </c>
      <c r="U73" s="255" t="s">
        <v>3258</v>
      </c>
      <c r="V73" s="255">
        <v>0</v>
      </c>
      <c r="W73" s="255" t="s">
        <v>3337</v>
      </c>
      <c r="X73" s="255" t="s">
        <v>3338</v>
      </c>
      <c r="Y73" s="258"/>
      <c r="Z73" s="286"/>
      <c r="AA73" s="310"/>
      <c r="AB73" s="27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73" s="27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73" s="542" t="str">
        <f>LO_Logfile[[#This Row],[Material Name]]&amp;"_"&amp;LO_Logfile[[#This Row],[Qty]]</f>
        <v>ADSS 24C_1150</v>
      </c>
      <c r="AE73" s="542" t="e">
        <f>VLOOKUP(LO_Logfile[[#This Row],[looK]],MANUAL!F:F,1,0)</f>
        <v>#N/A</v>
      </c>
      <c r="AF73" s="542" t="str">
        <f>LO_Logfile[[#This Row],[Material Name]]&amp;LO_Logfile[[#This Row],[Qty]]&amp;"_"&amp;LO_Logfile[[#This Row],[In-Out Qty]]</f>
        <v>ADSS 24C1150_1</v>
      </c>
      <c r="AG73" s="552" t="str">
        <f>VLOOKUP(LO_Logfile[[#This Row],[Material Name]]&amp;LO_Logfile[[#This Row],[Qty]]&amp;"_"&amp;-2+LO_Logfile[[#This Row],[In-Out Qty]],AF:AF,1,0)</f>
        <v>ADSS 24C1150_-1</v>
      </c>
    </row>
    <row r="74" spans="1:33" s="213" customFormat="1" ht="14.5">
      <c r="A74" s="268" t="str">
        <f t="shared" si="2"/>
        <v>070</v>
      </c>
      <c r="B74" s="545" t="str" cm="1">
        <f t="array" ref="B7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A-034-1150m</v>
      </c>
      <c r="C74" s="255">
        <v>1</v>
      </c>
      <c r="D74" s="255" t="s">
        <v>49</v>
      </c>
      <c r="E74" s="255" t="s">
        <v>4661</v>
      </c>
      <c r="F74" s="255" t="s">
        <v>3295</v>
      </c>
      <c r="G74" s="255" t="s">
        <v>3299</v>
      </c>
      <c r="H74" s="307">
        <v>45946</v>
      </c>
      <c r="I74" s="308">
        <v>0.46527777777777779</v>
      </c>
      <c r="J74" s="255" t="s">
        <v>4963</v>
      </c>
      <c r="K74" s="249" t="s">
        <v>3023</v>
      </c>
      <c r="L74" s="241" t="s">
        <v>3073</v>
      </c>
      <c r="M74" s="242" t="str">
        <f>VLOOKUP(LO_Logfile[[#This Row],[Material Name]],Sheet2!B:D,2,0)</f>
        <v>ZTE2001</v>
      </c>
      <c r="N74" s="316" t="s">
        <v>20</v>
      </c>
      <c r="O74" s="310">
        <v>1150</v>
      </c>
      <c r="P74" s="270" t="s">
        <v>4595</v>
      </c>
      <c r="Q74" s="270" t="s">
        <v>4662</v>
      </c>
      <c r="R74" s="255"/>
      <c r="S74" s="255"/>
      <c r="T74" s="255" t="s">
        <v>39</v>
      </c>
      <c r="U74" s="255" t="s">
        <v>3258</v>
      </c>
      <c r="V74" s="255">
        <v>0</v>
      </c>
      <c r="W74" s="255" t="s">
        <v>3337</v>
      </c>
      <c r="X74" s="255" t="s">
        <v>3338</v>
      </c>
      <c r="Y74" s="258"/>
      <c r="Z74" s="286"/>
      <c r="AA74" s="310"/>
      <c r="AB74" s="273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74" s="27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74" s="542" t="str">
        <f>LO_Logfile[[#This Row],[Material Name]]&amp;"_"&amp;LO_Logfile[[#This Row],[Qty]]</f>
        <v>ADSS 24C_1150</v>
      </c>
      <c r="AE74" s="542" t="e">
        <f>VLOOKUP(LO_Logfile[[#This Row],[looK]],MANUAL!F:F,1,0)</f>
        <v>#N/A</v>
      </c>
      <c r="AF74" s="542" t="str">
        <f>LO_Logfile[[#This Row],[Material Name]]&amp;LO_Logfile[[#This Row],[Qty]]&amp;"_"&amp;LO_Logfile[[#This Row],[In-Out Qty]]</f>
        <v>ADSS 24C1150_-1</v>
      </c>
      <c r="AG74" s="552" t="e">
        <f>VLOOKUP(LO_Logfile[[#This Row],[Material Name]]&amp;LO_Logfile[[#This Row],[Qty]]&amp;"_"&amp;-2+LO_Logfile[[#This Row],[In-Out Qty]],AF:AF,1,0)</f>
        <v>#N/A</v>
      </c>
    </row>
    <row r="75" spans="1:33" s="213" customFormat="1" ht="14.5">
      <c r="A75" s="292" t="str">
        <f t="shared" si="2"/>
        <v>071</v>
      </c>
      <c r="B75" s="546" t="str" cm="1">
        <f t="array" ref="B7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A-035-925m</v>
      </c>
      <c r="C75" s="286">
        <v>2</v>
      </c>
      <c r="D75" s="286" t="s">
        <v>48</v>
      </c>
      <c r="E75" s="270" t="s">
        <v>4678</v>
      </c>
      <c r="F75" s="286" t="s">
        <v>3295</v>
      </c>
      <c r="G75" s="286" t="s">
        <v>3299</v>
      </c>
      <c r="H75" s="307">
        <v>45955</v>
      </c>
      <c r="I75" s="308">
        <v>0.66666666666666663</v>
      </c>
      <c r="J75" s="286" t="s">
        <v>3586</v>
      </c>
      <c r="K75" s="249" t="s">
        <v>3023</v>
      </c>
      <c r="L75" s="241" t="s">
        <v>3073</v>
      </c>
      <c r="M75" s="242" t="str">
        <f>VLOOKUP(LO_Logfile[[#This Row],[Material Name]],Sheet2!B:D,2,0)</f>
        <v>ZTE2001</v>
      </c>
      <c r="N75" s="317" t="s">
        <v>20</v>
      </c>
      <c r="O75" s="310">
        <v>925</v>
      </c>
      <c r="P75" s="287" t="s">
        <v>4687</v>
      </c>
      <c r="Q75" s="287" t="s">
        <v>4599</v>
      </c>
      <c r="R75" s="286"/>
      <c r="S75" s="286"/>
      <c r="T75" s="286" t="s">
        <v>39</v>
      </c>
      <c r="U75" s="286" t="s">
        <v>3258</v>
      </c>
      <c r="V75" s="286">
        <v>0</v>
      </c>
      <c r="W75" s="286" t="s">
        <v>3337</v>
      </c>
      <c r="X75" s="286" t="s">
        <v>3338</v>
      </c>
      <c r="Y75" s="259"/>
      <c r="Z75" s="286"/>
      <c r="AA75" s="310"/>
      <c r="AB75" s="29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75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75" s="542" t="str">
        <f>LO_Logfile[[#This Row],[Material Name]]&amp;"_"&amp;LO_Logfile[[#This Row],[Qty]]</f>
        <v>ADSS 24C_925</v>
      </c>
      <c r="AE75" s="542" t="e">
        <f>VLOOKUP(LO_Logfile[[#This Row],[looK]],MANUAL!F:F,1,0)</f>
        <v>#N/A</v>
      </c>
      <c r="AF75" s="542" t="str">
        <f>LO_Logfile[[#This Row],[Material Name]]&amp;LO_Logfile[[#This Row],[Qty]]&amp;"_"&amp;LO_Logfile[[#This Row],[In-Out Qty]]</f>
        <v>ADSS 24C925_1</v>
      </c>
      <c r="AG75" s="553" t="str">
        <f>VLOOKUP(LO_Logfile[[#This Row],[Material Name]]&amp;LO_Logfile[[#This Row],[Qty]]&amp;"_"&amp;-2+LO_Logfile[[#This Row],[In-Out Qty]],AF:AF,1,0)</f>
        <v>ADSS 24C925_-1</v>
      </c>
    </row>
    <row r="76" spans="1:33" s="213" customFormat="1" ht="14.5">
      <c r="A76" s="292" t="str">
        <f t="shared" si="2"/>
        <v>072</v>
      </c>
      <c r="B76" s="545" t="str" cm="1">
        <f t="array" ref="B7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A-036-1350m</v>
      </c>
      <c r="C76" s="255">
        <v>1</v>
      </c>
      <c r="D76" s="255" t="s">
        <v>48</v>
      </c>
      <c r="E76" s="270" t="s">
        <v>4678</v>
      </c>
      <c r="F76" s="255" t="s">
        <v>3295</v>
      </c>
      <c r="G76" s="255" t="s">
        <v>3299</v>
      </c>
      <c r="H76" s="307">
        <v>45955</v>
      </c>
      <c r="I76" s="308">
        <v>0.66666666666666663</v>
      </c>
      <c r="J76" s="255" t="s">
        <v>3586</v>
      </c>
      <c r="K76" s="249" t="s">
        <v>3023</v>
      </c>
      <c r="L76" s="241" t="s">
        <v>3073</v>
      </c>
      <c r="M76" s="242" t="str">
        <f>VLOOKUP(LO_Logfile[[#This Row],[Material Name]],Sheet2!B:D,2,0)</f>
        <v>ZTE2001</v>
      </c>
      <c r="N76" s="316" t="s">
        <v>20</v>
      </c>
      <c r="O76" s="310">
        <v>1350</v>
      </c>
      <c r="P76" s="287" t="s">
        <v>4663</v>
      </c>
      <c r="Q76" s="287" t="s">
        <v>4664</v>
      </c>
      <c r="R76" s="286"/>
      <c r="S76" s="286"/>
      <c r="T76" s="286" t="s">
        <v>39</v>
      </c>
      <c r="U76" s="286" t="s">
        <v>3258</v>
      </c>
      <c r="V76" s="286">
        <v>0</v>
      </c>
      <c r="W76" s="286" t="s">
        <v>3337</v>
      </c>
      <c r="X76" s="286" t="s">
        <v>3338</v>
      </c>
      <c r="Y76" s="259"/>
      <c r="Z76" s="286"/>
      <c r="AA76" s="259"/>
      <c r="AB76" s="29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76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76" s="542" t="str">
        <f>LO_Logfile[[#This Row],[Material Name]]&amp;"_"&amp;LO_Logfile[[#This Row],[Qty]]</f>
        <v>ADSS 24C_1350</v>
      </c>
      <c r="AE76" s="542" t="e">
        <f>VLOOKUP(LO_Logfile[[#This Row],[looK]],MANUAL!F:F,1,0)</f>
        <v>#N/A</v>
      </c>
      <c r="AF76" s="542" t="str">
        <f>LO_Logfile[[#This Row],[Material Name]]&amp;LO_Logfile[[#This Row],[Qty]]&amp;"_"&amp;LO_Logfile[[#This Row],[In-Out Qty]]</f>
        <v>ADSS 24C1350_1</v>
      </c>
      <c r="AG76" s="552" t="str">
        <f>VLOOKUP(LO_Logfile[[#This Row],[Material Name]]&amp;LO_Logfile[[#This Row],[Qty]]&amp;"_"&amp;-2+LO_Logfile[[#This Row],[In-Out Qty]],AF:AF,1,0)</f>
        <v>ADSS 24C1350_-1</v>
      </c>
    </row>
    <row r="77" spans="1:33" s="213" customFormat="1" ht="14.5">
      <c r="A77" s="292" t="str">
        <f t="shared" si="2"/>
        <v>073</v>
      </c>
      <c r="B77" s="546" t="str" cm="1">
        <f t="array" ref="B7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A-037-925m</v>
      </c>
      <c r="C77" s="286">
        <v>1</v>
      </c>
      <c r="D77" s="286" t="s">
        <v>49</v>
      </c>
      <c r="E77" s="255" t="s">
        <v>4685</v>
      </c>
      <c r="F77" s="286" t="s">
        <v>3295</v>
      </c>
      <c r="G77" s="286" t="s">
        <v>3299</v>
      </c>
      <c r="H77" s="307">
        <v>45970</v>
      </c>
      <c r="I77" s="308">
        <v>0.75</v>
      </c>
      <c r="J77" s="286" t="s">
        <v>4963</v>
      </c>
      <c r="K77" s="249" t="s">
        <v>3023</v>
      </c>
      <c r="L77" s="241" t="s">
        <v>3073</v>
      </c>
      <c r="M77" s="242" t="str">
        <f>VLOOKUP(LO_Logfile[[#This Row],[Material Name]],Sheet2!B:D,2,0)</f>
        <v>ZTE2001</v>
      </c>
      <c r="N77" s="317" t="s">
        <v>20</v>
      </c>
      <c r="O77" s="310">
        <v>925</v>
      </c>
      <c r="P77" s="287" t="s">
        <v>4692</v>
      </c>
      <c r="Q77" s="287" t="s">
        <v>4693</v>
      </c>
      <c r="R77" s="286"/>
      <c r="S77" s="286"/>
      <c r="T77" s="286"/>
      <c r="U77" s="286" t="s">
        <v>3258</v>
      </c>
      <c r="V77" s="286">
        <v>0</v>
      </c>
      <c r="W77" s="286" t="s">
        <v>3337</v>
      </c>
      <c r="X77" s="286" t="s">
        <v>3338</v>
      </c>
      <c r="Y77" s="259"/>
      <c r="Z77" s="286"/>
      <c r="AA77" s="259"/>
      <c r="AB77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77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77" s="542" t="str">
        <f>LO_Logfile[[#This Row],[Material Name]]&amp;"_"&amp;LO_Logfile[[#This Row],[Qty]]</f>
        <v>ADSS 24C_925</v>
      </c>
      <c r="AE77" s="542" t="e">
        <f>VLOOKUP(LO_Logfile[[#This Row],[looK]],MANUAL!F:F,1,0)</f>
        <v>#N/A</v>
      </c>
      <c r="AF77" s="542" t="str">
        <f>LO_Logfile[[#This Row],[Material Name]]&amp;LO_Logfile[[#This Row],[Qty]]&amp;"_"&amp;LO_Logfile[[#This Row],[In-Out Qty]]</f>
        <v>ADSS 24C925_-1</v>
      </c>
      <c r="AG77" s="553" t="e">
        <f>VLOOKUP(LO_Logfile[[#This Row],[Material Name]]&amp;LO_Logfile[[#This Row],[Qty]]&amp;"_"&amp;-2+LO_Logfile[[#This Row],[In-Out Qty]],AF:AF,1,0)</f>
        <v>#N/A</v>
      </c>
    </row>
    <row r="78" spans="1:33" s="213" customFormat="1" ht="14.5">
      <c r="A78" s="292" t="str">
        <f t="shared" si="2"/>
        <v>074</v>
      </c>
      <c r="B78" s="546" t="str" cm="1">
        <f t="array" ref="B7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A-038-1350m</v>
      </c>
      <c r="C78" s="286">
        <v>1</v>
      </c>
      <c r="D78" s="287" t="s">
        <v>49</v>
      </c>
      <c r="E78" s="287" t="s">
        <v>4717</v>
      </c>
      <c r="F78" s="287" t="s">
        <v>3295</v>
      </c>
      <c r="G78" s="287" t="s">
        <v>3299</v>
      </c>
      <c r="H78" s="288">
        <v>45983</v>
      </c>
      <c r="I78" s="289">
        <v>0.54166666666666663</v>
      </c>
      <c r="J78" s="286" t="s">
        <v>4963</v>
      </c>
      <c r="K78" s="249" t="s">
        <v>3023</v>
      </c>
      <c r="L78" s="241" t="s">
        <v>3073</v>
      </c>
      <c r="M78" s="242" t="str">
        <f>VLOOKUP(LO_Logfile[[#This Row],[Material Name]],Sheet2!B:D,2,0)</f>
        <v>ZTE2001</v>
      </c>
      <c r="N78" s="317" t="s">
        <v>20</v>
      </c>
      <c r="O78" s="287">
        <v>1350</v>
      </c>
      <c r="P78" s="287" t="s">
        <v>4696</v>
      </c>
      <c r="Q78" s="287" t="s">
        <v>4697</v>
      </c>
      <c r="R78" s="287"/>
      <c r="S78" s="287"/>
      <c r="T78" s="286"/>
      <c r="U78" s="286" t="s">
        <v>3258</v>
      </c>
      <c r="V78" s="286">
        <v>0</v>
      </c>
      <c r="W78" s="286" t="s">
        <v>3337</v>
      </c>
      <c r="X78" s="286" t="s">
        <v>3338</v>
      </c>
      <c r="Y78" s="259"/>
      <c r="Z78" s="286"/>
      <c r="AA78" s="259"/>
      <c r="AB78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78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78" s="542" t="str">
        <f>LO_Logfile[[#This Row],[Material Name]]&amp;"_"&amp;LO_Logfile[[#This Row],[Qty]]</f>
        <v>ADSS 24C_1350</v>
      </c>
      <c r="AE78" s="542" t="e">
        <f>VLOOKUP(LO_Logfile[[#This Row],[looK]],MANUAL!F:F,1,0)</f>
        <v>#N/A</v>
      </c>
      <c r="AF78" s="542" t="str">
        <f>LO_Logfile[[#This Row],[Material Name]]&amp;LO_Logfile[[#This Row],[Qty]]&amp;"_"&amp;LO_Logfile[[#This Row],[In-Out Qty]]</f>
        <v>ADSS 24C1350_-1</v>
      </c>
      <c r="AG78" s="552" t="e">
        <f>VLOOKUP(LO_Logfile[[#This Row],[Material Name]]&amp;LO_Logfile[[#This Row],[Qty]]&amp;"_"&amp;-2+LO_Logfile[[#This Row],[In-Out Qty]],AF:AF,1,0)</f>
        <v>#N/A</v>
      </c>
    </row>
    <row r="79" spans="1:33" s="213" customFormat="1" ht="14.5">
      <c r="A79" s="304" t="str">
        <f t="shared" si="2"/>
        <v>075</v>
      </c>
      <c r="B79" s="546" t="str" cm="1">
        <f t="array" ref="B7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B-026-1559m</v>
      </c>
      <c r="C79" s="249"/>
      <c r="D79" s="249" t="s">
        <v>49</v>
      </c>
      <c r="E79" s="249" t="s">
        <v>5337</v>
      </c>
      <c r="F79" s="249" t="s">
        <v>3295</v>
      </c>
      <c r="G79" s="249" t="s">
        <v>3299</v>
      </c>
      <c r="H79" s="468">
        <v>45989</v>
      </c>
      <c r="I79" s="342">
        <v>0.66666666666666663</v>
      </c>
      <c r="J79" s="249" t="s">
        <v>4963</v>
      </c>
      <c r="K79" s="249" t="s">
        <v>3023</v>
      </c>
      <c r="L79" s="241" t="s">
        <v>3075</v>
      </c>
      <c r="M79" s="242" t="str">
        <f>VLOOKUP(LO_Logfile[[#This Row],[Material Name]],Sheet2!B:D,2,0)</f>
        <v>ZTE2003</v>
      </c>
      <c r="N79" s="252" t="s">
        <v>20</v>
      </c>
      <c r="O79" s="249">
        <v>1559</v>
      </c>
      <c r="P79" s="249" t="s">
        <v>468</v>
      </c>
      <c r="Q79" s="249" t="s">
        <v>469</v>
      </c>
      <c r="R79" s="249"/>
      <c r="S79" s="249"/>
      <c r="T79" s="249"/>
      <c r="U79" s="249"/>
      <c r="V79" s="249"/>
      <c r="W79" s="249"/>
      <c r="X79" s="249"/>
      <c r="Y79" s="296"/>
      <c r="Z79" s="249" t="s">
        <v>5245</v>
      </c>
      <c r="AA79" s="296"/>
      <c r="AB79" s="30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79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79" s="542" t="str">
        <f>LO_Logfile[[#This Row],[Material Name]]&amp;"_"&amp;LO_Logfile[[#This Row],[Qty]]</f>
        <v>ADSS 48C_1559</v>
      </c>
      <c r="AE79" s="542" t="e">
        <f>VLOOKUP(LO_Logfile[[#This Row],[looK]],MANUAL!F:F,1,0)</f>
        <v>#N/A</v>
      </c>
      <c r="AF79" s="542" t="str">
        <f>LO_Logfile[[#This Row],[Material Name]]&amp;LO_Logfile[[#This Row],[Qty]]&amp;"_"&amp;LO_Logfile[[#This Row],[In-Out Qty]]</f>
        <v>ADSS 48C1559_-1</v>
      </c>
      <c r="AG79" s="552" t="e">
        <f>VLOOKUP(LO_Logfile[[#This Row],[Material Name]]&amp;LO_Logfile[[#This Row],[Qty]]&amp;"_"&amp;-2+LO_Logfile[[#This Row],[In-Out Qty]],AF:AF,1,0)</f>
        <v>#N/A</v>
      </c>
    </row>
    <row r="80" spans="1:33" s="213" customFormat="1" ht="14.5">
      <c r="A80" s="292" t="str">
        <f t="shared" si="2"/>
        <v>076</v>
      </c>
      <c r="B80" s="546" t="str" cm="1">
        <f t="array" ref="B8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A-039-175m</v>
      </c>
      <c r="C80" s="286">
        <v>1</v>
      </c>
      <c r="D80" s="286" t="s">
        <v>48</v>
      </c>
      <c r="E80" s="287" t="s">
        <v>4727</v>
      </c>
      <c r="F80" s="286" t="s">
        <v>3295</v>
      </c>
      <c r="G80" s="286" t="s">
        <v>3299</v>
      </c>
      <c r="H80" s="307">
        <v>45991</v>
      </c>
      <c r="I80" s="308">
        <v>0.66666666666666663</v>
      </c>
      <c r="J80" s="286" t="s">
        <v>3586</v>
      </c>
      <c r="K80" s="249" t="s">
        <v>3023</v>
      </c>
      <c r="L80" s="241" t="s">
        <v>3073</v>
      </c>
      <c r="M80" s="242" t="str">
        <f>VLOOKUP(LO_Logfile[[#This Row],[Material Name]],Sheet2!B:D,2,0)</f>
        <v>ZTE2001</v>
      </c>
      <c r="N80" s="317" t="s">
        <v>20</v>
      </c>
      <c r="O80" s="286">
        <v>175</v>
      </c>
      <c r="P80" s="287" t="s">
        <v>4696</v>
      </c>
      <c r="Q80" s="287" t="s">
        <v>4697</v>
      </c>
      <c r="R80" s="286"/>
      <c r="S80" s="286"/>
      <c r="T80" s="286" t="s">
        <v>39</v>
      </c>
      <c r="U80" s="286" t="s">
        <v>3258</v>
      </c>
      <c r="V80" s="286">
        <v>0</v>
      </c>
      <c r="W80" s="286" t="s">
        <v>3337</v>
      </c>
      <c r="X80" s="286" t="s">
        <v>3338</v>
      </c>
      <c r="Y80" s="259"/>
      <c r="Z80" s="286"/>
      <c r="AA80" s="259"/>
      <c r="AB80" s="29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80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80" s="542" t="str">
        <f>LO_Logfile[[#This Row],[Material Name]]&amp;"_"&amp;LO_Logfile[[#This Row],[Qty]]</f>
        <v>ADSS 24C_175</v>
      </c>
      <c r="AE80" s="542" t="e">
        <f>VLOOKUP(LO_Logfile[[#This Row],[looK]],MANUAL!F:F,1,0)</f>
        <v>#N/A</v>
      </c>
      <c r="AF80" s="542" t="str">
        <f>LO_Logfile[[#This Row],[Material Name]]&amp;LO_Logfile[[#This Row],[Qty]]&amp;"_"&amp;LO_Logfile[[#This Row],[In-Out Qty]]</f>
        <v>ADSS 24C175_1</v>
      </c>
      <c r="AG80" s="552" t="str">
        <f>VLOOKUP(LO_Logfile[[#This Row],[Material Name]]&amp;LO_Logfile[[#This Row],[Qty]]&amp;"_"&amp;-2+LO_Logfile[[#This Row],[In-Out Qty]],AF:AF,1,0)</f>
        <v>ADSS 24C175_-1</v>
      </c>
    </row>
    <row r="81" spans="1:33" s="213" customFormat="1" ht="14.5">
      <c r="A81" s="292" t="str">
        <f t="shared" si="2"/>
        <v>077</v>
      </c>
      <c r="B81" s="546" t="str" cm="1">
        <f t="array" ref="B8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A-040-175m</v>
      </c>
      <c r="C81" s="286">
        <v>1</v>
      </c>
      <c r="D81" s="286" t="s">
        <v>49</v>
      </c>
      <c r="E81" s="287" t="s">
        <v>4728</v>
      </c>
      <c r="F81" s="286" t="s">
        <v>3295</v>
      </c>
      <c r="G81" s="286" t="s">
        <v>3299</v>
      </c>
      <c r="H81" s="307">
        <v>45991</v>
      </c>
      <c r="I81" s="308">
        <v>0.66666666666666663</v>
      </c>
      <c r="J81" s="286" t="s">
        <v>4963</v>
      </c>
      <c r="K81" s="249" t="s">
        <v>3023</v>
      </c>
      <c r="L81" s="241" t="s">
        <v>3073</v>
      </c>
      <c r="M81" s="242" t="str">
        <f>VLOOKUP(LO_Logfile[[#This Row],[Material Name]],Sheet2!B:D,2,0)</f>
        <v>ZTE2001</v>
      </c>
      <c r="N81" s="317" t="s">
        <v>20</v>
      </c>
      <c r="O81" s="286">
        <v>175</v>
      </c>
      <c r="P81" s="287" t="s">
        <v>4663</v>
      </c>
      <c r="Q81" s="287" t="s">
        <v>4664</v>
      </c>
      <c r="R81" s="286"/>
      <c r="S81" s="286"/>
      <c r="T81" s="286" t="s">
        <v>39</v>
      </c>
      <c r="U81" s="286" t="s">
        <v>3258</v>
      </c>
      <c r="V81" s="286">
        <v>0</v>
      </c>
      <c r="W81" s="286" t="s">
        <v>3337</v>
      </c>
      <c r="X81" s="286" t="s">
        <v>3338</v>
      </c>
      <c r="Y81" s="259" t="s">
        <v>4726</v>
      </c>
      <c r="Z81" s="286"/>
      <c r="AA81" s="259"/>
      <c r="AB81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81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81" s="542" t="str">
        <f>LO_Logfile[[#This Row],[Material Name]]&amp;"_"&amp;LO_Logfile[[#This Row],[Qty]]</f>
        <v>ADSS 24C_175</v>
      </c>
      <c r="AE81" s="542" t="e">
        <f>VLOOKUP(LO_Logfile[[#This Row],[looK]],MANUAL!F:F,1,0)</f>
        <v>#N/A</v>
      </c>
      <c r="AF81" s="542" t="str">
        <f>LO_Logfile[[#This Row],[Material Name]]&amp;LO_Logfile[[#This Row],[Qty]]&amp;"_"&amp;LO_Logfile[[#This Row],[In-Out Qty]]</f>
        <v>ADSS 24C175_-1</v>
      </c>
      <c r="AG81" s="552" t="e">
        <f>VLOOKUP(LO_Logfile[[#This Row],[Material Name]]&amp;LO_Logfile[[#This Row],[Qty]]&amp;"_"&amp;-2+LO_Logfile[[#This Row],[In-Out Qty]],AF:AF,1,0)</f>
        <v>#N/A</v>
      </c>
    </row>
    <row r="82" spans="1:33" s="213" customFormat="1" ht="14.5">
      <c r="A82" s="268" t="str">
        <f t="shared" si="2"/>
        <v>078</v>
      </c>
      <c r="B82" s="545" t="str" cm="1">
        <f t="array" ref="B8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C-002-1750m</v>
      </c>
      <c r="C82" s="255">
        <v>1</v>
      </c>
      <c r="D82" s="287" t="s">
        <v>3388</v>
      </c>
      <c r="E82" s="287" t="s">
        <v>4738</v>
      </c>
      <c r="F82" s="287" t="s">
        <v>3295</v>
      </c>
      <c r="G82" s="287" t="s">
        <v>3299</v>
      </c>
      <c r="H82" s="288">
        <v>45994</v>
      </c>
      <c r="I82" s="289">
        <v>0.76041666666666663</v>
      </c>
      <c r="J82" s="287" t="s">
        <v>3148</v>
      </c>
      <c r="K82" s="249" t="s">
        <v>3023</v>
      </c>
      <c r="L82" s="241" t="s">
        <v>3076</v>
      </c>
      <c r="M82" s="242" t="str">
        <f>VLOOKUP(LO_Logfile[[#This Row],[Material Name]],Sheet2!B:D,2,0)</f>
        <v>ZTE2013</v>
      </c>
      <c r="N82" s="290" t="s">
        <v>20</v>
      </c>
      <c r="O82" s="270">
        <v>1750</v>
      </c>
      <c r="P82" s="286"/>
      <c r="Q82" s="286"/>
      <c r="R82" s="255"/>
      <c r="S82" s="255"/>
      <c r="T82" s="255"/>
      <c r="U82" s="255"/>
      <c r="V82" s="255"/>
      <c r="W82" s="255"/>
      <c r="X82" s="255"/>
      <c r="Y82" s="258"/>
      <c r="Z82" s="286" t="s">
        <v>4967</v>
      </c>
      <c r="AA82" s="259" t="s">
        <v>4443</v>
      </c>
      <c r="AB82" s="273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82" s="27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82" s="542" t="str">
        <f>LO_Logfile[[#This Row],[Material Name]]&amp;"_"&amp;LO_Logfile[[#This Row],[Qty]]</f>
        <v>ADSS 96C_1750</v>
      </c>
      <c r="AE82" s="542" t="e">
        <f>VLOOKUP(LO_Logfile[[#This Row],[looK]],MANUAL!F:F,1,0)</f>
        <v>#N/A</v>
      </c>
      <c r="AF82" s="542" t="str">
        <f>LO_Logfile[[#This Row],[Material Name]]&amp;LO_Logfile[[#This Row],[Qty]]&amp;"_"&amp;LO_Logfile[[#This Row],[In-Out Qty]]</f>
        <v>ADSS 96C1750_-1</v>
      </c>
      <c r="AG82" s="552" t="e">
        <f>VLOOKUP(LO_Logfile[[#This Row],[Material Name]]&amp;LO_Logfile[[#This Row],[Qty]]&amp;"_"&amp;-2+LO_Logfile[[#This Row],[In-Out Qty]],AF:AF,1,0)</f>
        <v>#N/A</v>
      </c>
    </row>
    <row r="83" spans="1:33" ht="14.5">
      <c r="A83" s="298" t="str">
        <f t="shared" si="2"/>
        <v>079</v>
      </c>
      <c r="B83" s="547" t="str" cm="1">
        <f t="array" ref="B8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B-027-385m</v>
      </c>
      <c r="C83" s="293">
        <v>1</v>
      </c>
      <c r="D83" s="293" t="s">
        <v>48</v>
      </c>
      <c r="E83" s="250" t="s">
        <v>4741</v>
      </c>
      <c r="F83" s="293" t="s">
        <v>3295</v>
      </c>
      <c r="G83" s="293" t="s">
        <v>3299</v>
      </c>
      <c r="H83" s="303">
        <v>46006</v>
      </c>
      <c r="I83" s="301">
        <v>0.66666666666666663</v>
      </c>
      <c r="J83" s="293" t="s">
        <v>3586</v>
      </c>
      <c r="K83" s="249" t="s">
        <v>4432</v>
      </c>
      <c r="L83" s="241" t="s">
        <v>3075</v>
      </c>
      <c r="M83" s="242" t="str">
        <f>VLOOKUP(LO_Logfile[[#This Row],[Material Name]],Sheet2!B:D,2,0)</f>
        <v>ZTE2003</v>
      </c>
      <c r="N83" s="318" t="s">
        <v>20</v>
      </c>
      <c r="O83" s="293">
        <f>3000-2615</f>
        <v>385</v>
      </c>
      <c r="P83" s="293" t="s">
        <v>4801</v>
      </c>
      <c r="Q83" s="293" t="s">
        <v>4802</v>
      </c>
      <c r="R83" s="293"/>
      <c r="S83" s="293"/>
      <c r="T83" s="293"/>
      <c r="U83" s="293"/>
      <c r="V83" s="293"/>
      <c r="W83" s="293"/>
      <c r="X83" s="293"/>
      <c r="Y83" s="293" t="s">
        <v>4742</v>
      </c>
      <c r="Z83" s="293"/>
      <c r="AA83" s="266"/>
      <c r="AB83" s="3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83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83" s="540" t="str">
        <f>LO_Logfile[[#This Row],[Material Name]]&amp;"_"&amp;LO_Logfile[[#This Row],[Qty]]</f>
        <v>ADSS 48C_385</v>
      </c>
      <c r="AE83" s="540" t="e">
        <f>VLOOKUP(LO_Logfile[[#This Row],[looK]],MANUAL!F:F,1,0)</f>
        <v>#N/A</v>
      </c>
      <c r="AF83" s="542" t="str">
        <f>LO_Logfile[[#This Row],[Material Name]]&amp;LO_Logfile[[#This Row],[Qty]]&amp;"_"&amp;LO_Logfile[[#This Row],[In-Out Qty]]</f>
        <v>ADSS 48C385_1</v>
      </c>
      <c r="AG83" s="554" t="e">
        <f>VLOOKUP(LO_Logfile[[#This Row],[Material Name]]&amp;LO_Logfile[[#This Row],[Qty]]&amp;"_"&amp;-2+LO_Logfile[[#This Row],[In-Out Qty]],AF:AF,1,0)</f>
        <v>#N/A</v>
      </c>
    </row>
    <row r="84" spans="1:33" ht="14.5">
      <c r="A84" s="298" t="str">
        <f t="shared" si="2"/>
        <v>080</v>
      </c>
      <c r="B84" s="547" t="str" cm="1">
        <f t="array" ref="B8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E-001-1000m</v>
      </c>
      <c r="C84" s="293">
        <v>2</v>
      </c>
      <c r="D84" s="293" t="s">
        <v>48</v>
      </c>
      <c r="E84" s="250" t="s">
        <v>4741</v>
      </c>
      <c r="F84" s="293" t="s">
        <v>3295</v>
      </c>
      <c r="G84" s="293" t="s">
        <v>3299</v>
      </c>
      <c r="H84" s="303">
        <v>46006</v>
      </c>
      <c r="I84" s="301">
        <v>0.66666666666666663</v>
      </c>
      <c r="J84" s="293" t="s">
        <v>3586</v>
      </c>
      <c r="K84" s="249" t="s">
        <v>3023</v>
      </c>
      <c r="L84" s="241" t="s">
        <v>3074</v>
      </c>
      <c r="M84" s="242" t="str">
        <f>VLOOKUP(LO_Logfile[[#This Row],[Material Name]],Sheet2!B:D,2,0)</f>
        <v>ZTE2002</v>
      </c>
      <c r="N84" s="318" t="s">
        <v>20</v>
      </c>
      <c r="O84" s="293">
        <v>1000</v>
      </c>
      <c r="P84" s="293" t="s">
        <v>4801</v>
      </c>
      <c r="Q84" s="293" t="s">
        <v>4802</v>
      </c>
      <c r="R84" s="293"/>
      <c r="S84" s="293"/>
      <c r="T84" s="293"/>
      <c r="U84" s="293"/>
      <c r="V84" s="293"/>
      <c r="W84" s="293"/>
      <c r="X84" s="293"/>
      <c r="Y84" s="293" t="s">
        <v>4743</v>
      </c>
      <c r="Z84" s="293"/>
      <c r="AA84" s="266"/>
      <c r="AB84" s="3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84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84" s="540" t="str">
        <f>LO_Logfile[[#This Row],[Material Name]]&amp;"_"&amp;LO_Logfile[[#This Row],[Qty]]</f>
        <v>ADSS 36C_1000</v>
      </c>
      <c r="AE84" s="540" t="e">
        <f>VLOOKUP(LO_Logfile[[#This Row],[looK]],MANUAL!F:F,1,0)</f>
        <v>#N/A</v>
      </c>
      <c r="AF84" s="542" t="str">
        <f>LO_Logfile[[#This Row],[Material Name]]&amp;LO_Logfile[[#This Row],[Qty]]&amp;"_"&amp;LO_Logfile[[#This Row],[In-Out Qty]]</f>
        <v>ADSS 36C1000_1</v>
      </c>
      <c r="AG84" s="552" t="str">
        <f>VLOOKUP(LO_Logfile[[#This Row],[Material Name]]&amp;LO_Logfile[[#This Row],[Qty]]&amp;"_"&amp;-2+LO_Logfile[[#This Row],[In-Out Qty]],AF:AF,1,0)</f>
        <v>ADSS 36C1000_-1</v>
      </c>
    </row>
    <row r="85" spans="1:33" ht="14.5">
      <c r="A85" s="274" t="str">
        <f t="shared" si="2"/>
        <v>081</v>
      </c>
      <c r="B85" s="275" t="str" cm="1">
        <f t="array" ref="B8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E-002-1100m</v>
      </c>
      <c r="C85" s="262">
        <v>2</v>
      </c>
      <c r="D85" s="293" t="s">
        <v>48</v>
      </c>
      <c r="E85" s="227" t="s">
        <v>4848</v>
      </c>
      <c r="F85" s="262" t="s">
        <v>3295</v>
      </c>
      <c r="G85" s="262" t="s">
        <v>3299</v>
      </c>
      <c r="H85" s="276">
        <v>46007</v>
      </c>
      <c r="I85" s="264">
        <v>0.66666666666666663</v>
      </c>
      <c r="J85" s="293" t="s">
        <v>3586</v>
      </c>
      <c r="K85" s="249" t="s">
        <v>3023</v>
      </c>
      <c r="L85" s="241" t="s">
        <v>3074</v>
      </c>
      <c r="M85" s="242" t="str">
        <f>VLOOKUP(LO_Logfile[[#This Row],[Material Name]],Sheet2!B:D,2,0)</f>
        <v>ZTE2002</v>
      </c>
      <c r="N85" s="318" t="s">
        <v>20</v>
      </c>
      <c r="O85" s="262">
        <v>1100</v>
      </c>
      <c r="P85" s="262"/>
      <c r="Q85" s="262"/>
      <c r="R85" s="262"/>
      <c r="S85" s="262"/>
      <c r="T85" s="262"/>
      <c r="U85" s="262"/>
      <c r="V85" s="262"/>
      <c r="W85" s="262"/>
      <c r="X85" s="262"/>
      <c r="Y85" s="265"/>
      <c r="Z85" s="267"/>
      <c r="AA85" s="266"/>
      <c r="AB85" s="27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85" s="27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85" s="540" t="str">
        <f>LO_Logfile[[#This Row],[Material Name]]&amp;"_"&amp;LO_Logfile[[#This Row],[Qty]]</f>
        <v>ADSS 36C_1100</v>
      </c>
      <c r="AE85" s="540" t="str">
        <f>VLOOKUP(LO_Logfile[[#This Row],[looK]],MANUAL!F:F,1,0)</f>
        <v>ADSS 36C_1100</v>
      </c>
      <c r="AF85" s="540" t="str">
        <f>LO_Logfile[[#This Row],[Material Name]]&amp;LO_Logfile[[#This Row],[Qty]]&amp;"_"&amp;LO_Logfile[[#This Row],[In-Out Qty]]</f>
        <v>ADSS 36C1100_1</v>
      </c>
      <c r="AG85" s="553" t="e">
        <f>VLOOKUP(LO_Logfile[[#This Row],[Material Name]]&amp;LO_Logfile[[#This Row],[Qty]]&amp;"_"&amp;-2+LO_Logfile[[#This Row],[In-Out Qty]],AF:AF,1,0)</f>
        <v>#N/A</v>
      </c>
    </row>
    <row r="86" spans="1:33" ht="14.5">
      <c r="A86" s="298" t="str">
        <f t="shared" si="2"/>
        <v>082</v>
      </c>
      <c r="B86" s="299" t="str" cm="1">
        <f t="array" ref="B8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E-003-875m</v>
      </c>
      <c r="C86" s="293">
        <v>2</v>
      </c>
      <c r="D86" s="293" t="s">
        <v>48</v>
      </c>
      <c r="E86" s="250" t="s">
        <v>4747</v>
      </c>
      <c r="F86" s="293" t="s">
        <v>3295</v>
      </c>
      <c r="G86" s="293" t="s">
        <v>3299</v>
      </c>
      <c r="H86" s="303">
        <v>46007</v>
      </c>
      <c r="I86" s="301">
        <v>0.66666666666666663</v>
      </c>
      <c r="J86" s="293" t="s">
        <v>3586</v>
      </c>
      <c r="K86" s="249" t="s">
        <v>3023</v>
      </c>
      <c r="L86" s="241" t="s">
        <v>3074</v>
      </c>
      <c r="M86" s="242" t="str">
        <f>VLOOKUP(LO_Logfile[[#This Row],[Material Name]],Sheet2!B:D,2,0)</f>
        <v>ZTE2002</v>
      </c>
      <c r="N86" s="318" t="s">
        <v>20</v>
      </c>
      <c r="O86" s="293">
        <v>875</v>
      </c>
      <c r="P86" s="293" t="s">
        <v>4801</v>
      </c>
      <c r="Q86" s="293" t="s">
        <v>4802</v>
      </c>
      <c r="R86" s="293"/>
      <c r="S86" s="293"/>
      <c r="T86" s="293"/>
      <c r="U86" s="293"/>
      <c r="V86" s="293"/>
      <c r="W86" s="293"/>
      <c r="X86" s="293"/>
      <c r="Y86" s="266" t="s">
        <v>4751</v>
      </c>
      <c r="Z86" s="267"/>
      <c r="AA86" s="267"/>
      <c r="AB86" s="3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86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86" s="540" t="str">
        <f>LO_Logfile[[#This Row],[Material Name]]&amp;"_"&amp;LO_Logfile[[#This Row],[Qty]]</f>
        <v>ADSS 36C_875</v>
      </c>
      <c r="AE86" s="540" t="str">
        <f>VLOOKUP(LO_Logfile[[#This Row],[looK]],MANUAL!F:F,1,0)</f>
        <v>ADSS 36C_875</v>
      </c>
      <c r="AF86" s="540" t="str">
        <f>LO_Logfile[[#This Row],[Material Name]]&amp;LO_Logfile[[#This Row],[Qty]]&amp;"_"&amp;LO_Logfile[[#This Row],[In-Out Qty]]</f>
        <v>ADSS 36C875_1</v>
      </c>
      <c r="AG86" s="553" t="e">
        <f>VLOOKUP(LO_Logfile[[#This Row],[Material Name]]&amp;LO_Logfile[[#This Row],[Qty]]&amp;"_"&amp;-2+LO_Logfile[[#This Row],[In-Out Qty]],AF:AF,1,0)</f>
        <v>#N/A</v>
      </c>
    </row>
    <row r="87" spans="1:33" ht="14.5">
      <c r="A87" s="292" t="str">
        <f t="shared" si="2"/>
        <v>083</v>
      </c>
      <c r="B87" s="546" t="str" cm="1">
        <f t="array" ref="B8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E-004-1375m</v>
      </c>
      <c r="C87" s="286">
        <v>1</v>
      </c>
      <c r="D87" s="286" t="s">
        <v>48</v>
      </c>
      <c r="E87" s="287" t="s">
        <v>4747</v>
      </c>
      <c r="F87" s="286" t="s">
        <v>3295</v>
      </c>
      <c r="G87" s="286" t="s">
        <v>3299</v>
      </c>
      <c r="H87" s="288">
        <v>46007</v>
      </c>
      <c r="I87" s="308">
        <v>0.66666666666666663</v>
      </c>
      <c r="J87" s="286" t="s">
        <v>3586</v>
      </c>
      <c r="K87" s="249" t="s">
        <v>3023</v>
      </c>
      <c r="L87" s="241" t="s">
        <v>3074</v>
      </c>
      <c r="M87" s="242" t="str">
        <f>VLOOKUP(LO_Logfile[[#This Row],[Material Name]],Sheet2!B:D,2,0)</f>
        <v>ZTE2002</v>
      </c>
      <c r="N87" s="317" t="s">
        <v>20</v>
      </c>
      <c r="O87" s="286">
        <v>1375</v>
      </c>
      <c r="P87" s="286" t="s">
        <v>4801</v>
      </c>
      <c r="Q87" s="286" t="s">
        <v>4802</v>
      </c>
      <c r="R87" s="286"/>
      <c r="S87" s="286"/>
      <c r="T87" s="286"/>
      <c r="U87" s="286"/>
      <c r="V87" s="286"/>
      <c r="W87" s="286"/>
      <c r="X87" s="286"/>
      <c r="Y87" s="286" t="s">
        <v>4750</v>
      </c>
      <c r="Z87" s="286"/>
      <c r="AA87" s="259"/>
      <c r="AB87" s="29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87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87" s="540" t="str">
        <f>LO_Logfile[[#This Row],[Material Name]]&amp;"_"&amp;LO_Logfile[[#This Row],[Qty]]</f>
        <v>ADSS 36C_1375</v>
      </c>
      <c r="AE87" s="540" t="e">
        <f>VLOOKUP(LO_Logfile[[#This Row],[looK]],MANUAL!F:F,1,0)</f>
        <v>#N/A</v>
      </c>
      <c r="AF87" s="542" t="str">
        <f>LO_Logfile[[#This Row],[Material Name]]&amp;LO_Logfile[[#This Row],[Qty]]&amp;"_"&amp;LO_Logfile[[#This Row],[In-Out Qty]]</f>
        <v>ADSS 36C1375_1</v>
      </c>
      <c r="AG87" s="552" t="str">
        <f>VLOOKUP(LO_Logfile[[#This Row],[Material Name]]&amp;LO_Logfile[[#This Row],[Qty]]&amp;"_"&amp;-2+LO_Logfile[[#This Row],[In-Out Qty]],AF:AF,1,0)</f>
        <v>ADSS 36C1375_-1</v>
      </c>
    </row>
    <row r="88" spans="1:33" ht="14.5">
      <c r="A88" s="292" t="str">
        <f t="shared" si="2"/>
        <v>084</v>
      </c>
      <c r="B88" s="546" t="str" cm="1">
        <f t="array" ref="B8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E-005-1300m</v>
      </c>
      <c r="C88" s="286">
        <v>3</v>
      </c>
      <c r="D88" s="286" t="s">
        <v>48</v>
      </c>
      <c r="E88" s="287" t="s">
        <v>4747</v>
      </c>
      <c r="F88" s="286" t="s">
        <v>3295</v>
      </c>
      <c r="G88" s="286" t="s">
        <v>3299</v>
      </c>
      <c r="H88" s="288">
        <v>46007</v>
      </c>
      <c r="I88" s="308">
        <v>0.66666666666666663</v>
      </c>
      <c r="J88" s="286" t="s">
        <v>3586</v>
      </c>
      <c r="K88" s="249" t="s">
        <v>3023</v>
      </c>
      <c r="L88" s="241" t="s">
        <v>3074</v>
      </c>
      <c r="M88" s="242" t="str">
        <f>VLOOKUP(LO_Logfile[[#This Row],[Material Name]],Sheet2!B:D,2,0)</f>
        <v>ZTE2002</v>
      </c>
      <c r="N88" s="317" t="s">
        <v>20</v>
      </c>
      <c r="O88" s="286">
        <v>1300</v>
      </c>
      <c r="P88" s="286"/>
      <c r="Q88" s="286" t="s">
        <v>4752</v>
      </c>
      <c r="R88" s="286"/>
      <c r="S88" s="286"/>
      <c r="T88" s="286"/>
      <c r="U88" s="286"/>
      <c r="V88" s="286"/>
      <c r="W88" s="286"/>
      <c r="X88" s="286"/>
      <c r="Y88" s="286" t="s">
        <v>4752</v>
      </c>
      <c r="Z88" s="286"/>
      <c r="AA88" s="259"/>
      <c r="AB88" s="29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88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88" s="540" t="str">
        <f>LO_Logfile[[#This Row],[Material Name]]&amp;"_"&amp;LO_Logfile[[#This Row],[Qty]]</f>
        <v>ADSS 36C_1300</v>
      </c>
      <c r="AE88" s="540" t="e">
        <f>VLOOKUP(LO_Logfile[[#This Row],[looK]],MANUAL!F:F,1,0)</f>
        <v>#N/A</v>
      </c>
      <c r="AF88" s="542" t="str">
        <f>LO_Logfile[[#This Row],[Material Name]]&amp;LO_Logfile[[#This Row],[Qty]]&amp;"_"&amp;LO_Logfile[[#This Row],[In-Out Qty]]</f>
        <v>ADSS 36C1300_1</v>
      </c>
      <c r="AG88" s="552" t="str">
        <f>VLOOKUP(LO_Logfile[[#This Row],[Material Name]]&amp;LO_Logfile[[#This Row],[Qty]]&amp;"_"&amp;-2+LO_Logfile[[#This Row],[In-Out Qty]],AF:AF,1,0)</f>
        <v>ADSS 36C1300_-1</v>
      </c>
    </row>
    <row r="89" spans="1:33" ht="14.5">
      <c r="A89" s="298" t="str">
        <f t="shared" si="2"/>
        <v>085</v>
      </c>
      <c r="B89" s="299" t="str" cm="1">
        <f t="array" ref="B8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E-006-1200m</v>
      </c>
      <c r="C89" s="293">
        <v>3</v>
      </c>
      <c r="D89" s="293" t="s">
        <v>48</v>
      </c>
      <c r="E89" s="250" t="s">
        <v>4748</v>
      </c>
      <c r="F89" s="293" t="s">
        <v>3295</v>
      </c>
      <c r="G89" s="293" t="s">
        <v>3299</v>
      </c>
      <c r="H89" s="303">
        <v>46008</v>
      </c>
      <c r="I89" s="301">
        <v>0.66666666666666663</v>
      </c>
      <c r="J89" s="293" t="s">
        <v>3586</v>
      </c>
      <c r="K89" s="249" t="s">
        <v>3023</v>
      </c>
      <c r="L89" s="241" t="s">
        <v>3074</v>
      </c>
      <c r="M89" s="242" t="str">
        <f>VLOOKUP(LO_Logfile[[#This Row],[Material Name]],Sheet2!B:D,2,0)</f>
        <v>ZTE2002</v>
      </c>
      <c r="N89" s="318" t="s">
        <v>20</v>
      </c>
      <c r="O89" s="262">
        <v>1200</v>
      </c>
      <c r="P89" s="293"/>
      <c r="Q89" s="293" t="s">
        <v>4753</v>
      </c>
      <c r="R89" s="293"/>
      <c r="S89" s="293"/>
      <c r="T89" s="293"/>
      <c r="U89" s="293"/>
      <c r="V89" s="293"/>
      <c r="W89" s="293"/>
      <c r="X89" s="293"/>
      <c r="Y89" s="293" t="s">
        <v>4753</v>
      </c>
      <c r="Z89" s="293"/>
      <c r="AA89" s="266"/>
      <c r="AB89" s="3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89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89" s="540" t="str">
        <f>LO_Logfile[[#This Row],[Material Name]]&amp;"_"&amp;LO_Logfile[[#This Row],[Qty]]</f>
        <v>ADSS 36C_1200</v>
      </c>
      <c r="AE89" s="540" t="str">
        <f>VLOOKUP(LO_Logfile[[#This Row],[looK]],MANUAL!F:F,1,0)</f>
        <v>ADSS 36C_1200</v>
      </c>
      <c r="AF89" s="540" t="str">
        <f>LO_Logfile[[#This Row],[Material Name]]&amp;LO_Logfile[[#This Row],[Qty]]&amp;"_"&amp;LO_Logfile[[#This Row],[In-Out Qty]]</f>
        <v>ADSS 36C1200_1</v>
      </c>
      <c r="AG89" s="553" t="e">
        <f>VLOOKUP(LO_Logfile[[#This Row],[Material Name]]&amp;LO_Logfile[[#This Row],[Qty]]&amp;"_"&amp;-2+LO_Logfile[[#This Row],[In-Out Qty]],AF:AF,1,0)</f>
        <v>#N/A</v>
      </c>
    </row>
    <row r="90" spans="1:33" ht="14.5">
      <c r="A90" s="292" t="str">
        <f t="shared" si="2"/>
        <v>086</v>
      </c>
      <c r="B90" s="297" t="str" cm="1">
        <f t="array" ref="B9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A-041-500m</v>
      </c>
      <c r="C90" s="286">
        <v>1</v>
      </c>
      <c r="D90" s="286" t="s">
        <v>48</v>
      </c>
      <c r="E90" s="287" t="s">
        <v>4757</v>
      </c>
      <c r="F90" s="286" t="s">
        <v>3295</v>
      </c>
      <c r="G90" s="286" t="s">
        <v>3299</v>
      </c>
      <c r="H90" s="288">
        <v>46009</v>
      </c>
      <c r="I90" s="308">
        <v>0.66666666666666663</v>
      </c>
      <c r="J90" s="286" t="s">
        <v>3586</v>
      </c>
      <c r="K90" s="249" t="s">
        <v>3023</v>
      </c>
      <c r="L90" s="241" t="s">
        <v>3073</v>
      </c>
      <c r="M90" s="242" t="str">
        <f>VLOOKUP(LO_Logfile[[#This Row],[Material Name]],Sheet2!B:D,2,0)</f>
        <v>ZTE2001</v>
      </c>
      <c r="N90" s="317" t="s">
        <v>20</v>
      </c>
      <c r="O90" s="255">
        <v>500</v>
      </c>
      <c r="P90" s="293" t="s">
        <v>4801</v>
      </c>
      <c r="Q90" s="293" t="s">
        <v>4802</v>
      </c>
      <c r="R90" s="286"/>
      <c r="S90" s="286"/>
      <c r="T90" s="286"/>
      <c r="U90" s="286" t="s">
        <v>3258</v>
      </c>
      <c r="V90" s="286">
        <v>0</v>
      </c>
      <c r="W90" s="286" t="s">
        <v>3337</v>
      </c>
      <c r="X90" s="286" t="s">
        <v>3338</v>
      </c>
      <c r="Y90" s="259" t="s">
        <v>4758</v>
      </c>
      <c r="Z90" s="286"/>
      <c r="AA90" s="259"/>
      <c r="AB90" s="29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90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90" s="540" t="str">
        <f>LO_Logfile[[#This Row],[Material Name]]&amp;"_"&amp;LO_Logfile[[#This Row],[Qty]]</f>
        <v>ADSS 24C_500</v>
      </c>
      <c r="AE90" s="540" t="str">
        <f>VLOOKUP(LO_Logfile[[#This Row],[looK]],MANUAL!F:F,1,0)</f>
        <v>ADSS 24C_500</v>
      </c>
      <c r="AF90" s="540" t="str">
        <f>LO_Logfile[[#This Row],[Material Name]]&amp;LO_Logfile[[#This Row],[Qty]]&amp;"_"&amp;LO_Logfile[[#This Row],[In-Out Qty]]</f>
        <v>ADSS 24C500_1</v>
      </c>
      <c r="AG90" s="551" t="str">
        <f>VLOOKUP(LO_Logfile[[#This Row],[Material Name]]&amp;LO_Logfile[[#This Row],[Qty]]&amp;"_"&amp;-2+LO_Logfile[[#This Row],[In-Out Qty]],AF:AF,1,0)</f>
        <v>ADSS 24C500_-1</v>
      </c>
    </row>
    <row r="91" spans="1:33" ht="14.5">
      <c r="A91" s="292" t="str">
        <f t="shared" si="2"/>
        <v>087</v>
      </c>
      <c r="B91" s="546" t="str" cm="1">
        <f t="array" ref="B9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E-007-1300m</v>
      </c>
      <c r="C91" s="286">
        <v>2</v>
      </c>
      <c r="D91" s="287" t="s">
        <v>49</v>
      </c>
      <c r="E91" s="287" t="s">
        <v>4760</v>
      </c>
      <c r="F91" s="287" t="s">
        <v>3295</v>
      </c>
      <c r="G91" s="287" t="s">
        <v>3299</v>
      </c>
      <c r="H91" s="288">
        <v>46011</v>
      </c>
      <c r="I91" s="289">
        <v>0.33333333333333331</v>
      </c>
      <c r="J91" s="286" t="s">
        <v>4963</v>
      </c>
      <c r="K91" s="249" t="s">
        <v>3023</v>
      </c>
      <c r="L91" s="241" t="s">
        <v>3074</v>
      </c>
      <c r="M91" s="242" t="str">
        <f>VLOOKUP(LO_Logfile[[#This Row],[Material Name]],Sheet2!B:D,2,0)</f>
        <v>ZTE2002</v>
      </c>
      <c r="N91" s="317" t="s">
        <v>20</v>
      </c>
      <c r="O91" s="287">
        <v>1300</v>
      </c>
      <c r="P91" s="286" t="s">
        <v>4785</v>
      </c>
      <c r="Q91" s="286" t="s">
        <v>4786</v>
      </c>
      <c r="R91" s="286"/>
      <c r="S91" s="286"/>
      <c r="T91" s="286"/>
      <c r="U91" s="286"/>
      <c r="V91" s="286"/>
      <c r="W91" s="286"/>
      <c r="X91" s="286"/>
      <c r="Y91" s="286" t="s">
        <v>4766</v>
      </c>
      <c r="Z91" s="286"/>
      <c r="AA91" s="259"/>
      <c r="AB91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91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91" s="540" t="str">
        <f>LO_Logfile[[#This Row],[Material Name]]&amp;"_"&amp;LO_Logfile[[#This Row],[Qty]]</f>
        <v>ADSS 36C_1300</v>
      </c>
      <c r="AE91" s="540" t="e">
        <f>VLOOKUP(LO_Logfile[[#This Row],[looK]],MANUAL!F:F,1,0)</f>
        <v>#N/A</v>
      </c>
      <c r="AF91" s="542" t="str">
        <f>LO_Logfile[[#This Row],[Material Name]]&amp;LO_Logfile[[#This Row],[Qty]]&amp;"_"&amp;LO_Logfile[[#This Row],[In-Out Qty]]</f>
        <v>ADSS 36C1300_-1</v>
      </c>
      <c r="AG91" s="552" t="e">
        <f>VLOOKUP(LO_Logfile[[#This Row],[Material Name]]&amp;LO_Logfile[[#This Row],[Qty]]&amp;"_"&amp;-2+LO_Logfile[[#This Row],[In-Out Qty]],AF:AF,1,0)</f>
        <v>#N/A</v>
      </c>
    </row>
    <row r="92" spans="1:33" ht="14.5">
      <c r="A92" s="298" t="str">
        <f t="shared" si="2"/>
        <v>088</v>
      </c>
      <c r="B92" s="547" t="str" cm="1">
        <f t="array" ref="B9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E-008-450m</v>
      </c>
      <c r="C92" s="293">
        <v>1</v>
      </c>
      <c r="D92" s="293" t="s">
        <v>48</v>
      </c>
      <c r="E92" s="250" t="s">
        <v>4761</v>
      </c>
      <c r="F92" s="293" t="s">
        <v>3295</v>
      </c>
      <c r="G92" s="293" t="s">
        <v>3299</v>
      </c>
      <c r="H92" s="303">
        <v>46012</v>
      </c>
      <c r="I92" s="301">
        <v>0.66666666666666663</v>
      </c>
      <c r="J92" s="293" t="s">
        <v>3586</v>
      </c>
      <c r="K92" s="249" t="s">
        <v>4432</v>
      </c>
      <c r="L92" s="241" t="s">
        <v>3074</v>
      </c>
      <c r="M92" s="242" t="str">
        <f>VLOOKUP(LO_Logfile[[#This Row],[Material Name]],Sheet2!B:D,2,0)</f>
        <v>ZTE2002</v>
      </c>
      <c r="N92" s="318" t="s">
        <v>20</v>
      </c>
      <c r="O92" s="293">
        <v>450</v>
      </c>
      <c r="P92" s="286" t="s">
        <v>4785</v>
      </c>
      <c r="Q92" s="286" t="s">
        <v>4786</v>
      </c>
      <c r="R92" s="293"/>
      <c r="S92" s="293"/>
      <c r="T92" s="293"/>
      <c r="U92" s="293"/>
      <c r="V92" s="293"/>
      <c r="W92" s="293"/>
      <c r="X92" s="293"/>
      <c r="Y92" s="293" t="s">
        <v>4767</v>
      </c>
      <c r="Z92" s="293"/>
      <c r="AA92" s="266"/>
      <c r="AB92" s="3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92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92" s="540" t="str">
        <f>LO_Logfile[[#This Row],[Material Name]]&amp;"_"&amp;LO_Logfile[[#This Row],[Qty]]</f>
        <v>ADSS 36C_450</v>
      </c>
      <c r="AE92" s="540" t="e">
        <f>VLOOKUP(LO_Logfile[[#This Row],[looK]],MANUAL!F:F,1,0)</f>
        <v>#N/A</v>
      </c>
      <c r="AF92" s="542" t="str">
        <f>LO_Logfile[[#This Row],[Material Name]]&amp;LO_Logfile[[#This Row],[Qty]]&amp;"_"&amp;LO_Logfile[[#This Row],[In-Out Qty]]</f>
        <v>ADSS 36C450_1</v>
      </c>
      <c r="AG92" s="554" t="e">
        <f>VLOOKUP(LO_Logfile[[#This Row],[Material Name]]&amp;LO_Logfile[[#This Row],[Qty]]&amp;"_"&amp;-2+LO_Logfile[[#This Row],[In-Out Qty]],AF:AF,1,0)</f>
        <v>#N/A</v>
      </c>
    </row>
    <row r="93" spans="1:33" ht="14.5">
      <c r="A93" s="292" t="str">
        <f t="shared" si="2"/>
        <v>089</v>
      </c>
      <c r="B93" s="546" t="str" cm="1">
        <f t="array" ref="B9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E-009-275m</v>
      </c>
      <c r="C93" s="286">
        <v>1</v>
      </c>
      <c r="D93" s="286" t="s">
        <v>48</v>
      </c>
      <c r="E93" s="287" t="s">
        <v>4761</v>
      </c>
      <c r="F93" s="286" t="s">
        <v>3295</v>
      </c>
      <c r="G93" s="286" t="s">
        <v>3299</v>
      </c>
      <c r="H93" s="288">
        <v>46012</v>
      </c>
      <c r="I93" s="308">
        <v>0.66666666666666663</v>
      </c>
      <c r="J93" s="286" t="s">
        <v>3586</v>
      </c>
      <c r="K93" s="249" t="s">
        <v>3023</v>
      </c>
      <c r="L93" s="241" t="s">
        <v>3074</v>
      </c>
      <c r="M93" s="242" t="str">
        <f>VLOOKUP(LO_Logfile[[#This Row],[Material Name]],Sheet2!B:D,2,0)</f>
        <v>ZTE2002</v>
      </c>
      <c r="N93" s="317" t="s">
        <v>20</v>
      </c>
      <c r="O93" s="286">
        <v>275</v>
      </c>
      <c r="P93" s="286" t="s">
        <v>4785</v>
      </c>
      <c r="Q93" s="286" t="s">
        <v>4786</v>
      </c>
      <c r="R93" s="287"/>
      <c r="S93" s="287"/>
      <c r="T93" s="286"/>
      <c r="U93" s="286" t="s">
        <v>3258</v>
      </c>
      <c r="V93" s="286" t="s">
        <v>4811</v>
      </c>
      <c r="W93" s="286" t="s">
        <v>3337</v>
      </c>
      <c r="X93" s="286" t="s">
        <v>3338</v>
      </c>
      <c r="Y93" s="259" t="s">
        <v>4826</v>
      </c>
      <c r="Z93" s="286"/>
      <c r="AA93" s="259" t="s">
        <v>4825</v>
      </c>
      <c r="AB93" s="29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93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93" s="540" t="str">
        <f>LO_Logfile[[#This Row],[Material Name]]&amp;"_"&amp;LO_Logfile[[#This Row],[Qty]]</f>
        <v>ADSS 36C_275</v>
      </c>
      <c r="AE93" s="540" t="e">
        <f>VLOOKUP(LO_Logfile[[#This Row],[looK]],MANUAL!F:F,1,0)</f>
        <v>#N/A</v>
      </c>
      <c r="AF93" s="542" t="str">
        <f>LO_Logfile[[#This Row],[Material Name]]&amp;LO_Logfile[[#This Row],[Qty]]&amp;"_"&amp;LO_Logfile[[#This Row],[In-Out Qty]]</f>
        <v>ADSS 36C275_1</v>
      </c>
      <c r="AG93" s="554" t="str">
        <f>VLOOKUP(LO_Logfile[[#This Row],[Material Name]]&amp;LO_Logfile[[#This Row],[Qty]]&amp;"_"&amp;-2+LO_Logfile[[#This Row],[In-Out Qty]],AF:AF,1,0)</f>
        <v>ADSS 36C275_-1</v>
      </c>
    </row>
    <row r="94" spans="1:33" ht="14.5">
      <c r="A94" s="292" t="str">
        <f t="shared" si="2"/>
        <v>090</v>
      </c>
      <c r="B94" s="546" t="str" cm="1">
        <f t="array" ref="B9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A-042-1500m</v>
      </c>
      <c r="C94" s="286">
        <v>2</v>
      </c>
      <c r="D94" s="286" t="s">
        <v>48</v>
      </c>
      <c r="E94" s="287" t="s">
        <v>4761</v>
      </c>
      <c r="F94" s="286" t="s">
        <v>3295</v>
      </c>
      <c r="G94" s="286" t="s">
        <v>3299</v>
      </c>
      <c r="H94" s="288">
        <v>46012</v>
      </c>
      <c r="I94" s="308">
        <v>0.66666666666666663</v>
      </c>
      <c r="J94" s="286" t="s">
        <v>3586</v>
      </c>
      <c r="K94" s="249" t="s">
        <v>3023</v>
      </c>
      <c r="L94" s="241" t="s">
        <v>3073</v>
      </c>
      <c r="M94" s="242" t="str">
        <f>VLOOKUP(LO_Logfile[[#This Row],[Material Name]],Sheet2!B:D,2,0)</f>
        <v>ZTE2001</v>
      </c>
      <c r="N94" s="317" t="s">
        <v>20</v>
      </c>
      <c r="O94" s="286">
        <v>1500</v>
      </c>
      <c r="P94" s="286" t="s">
        <v>4785</v>
      </c>
      <c r="Q94" s="286" t="s">
        <v>4786</v>
      </c>
      <c r="R94" s="286"/>
      <c r="S94" s="286"/>
      <c r="T94" s="286"/>
      <c r="U94" s="286" t="s">
        <v>3258</v>
      </c>
      <c r="V94" s="286">
        <v>0</v>
      </c>
      <c r="W94" s="286" t="s">
        <v>3337</v>
      </c>
      <c r="X94" s="286" t="s">
        <v>3338</v>
      </c>
      <c r="Y94" s="259" t="s">
        <v>4768</v>
      </c>
      <c r="Z94" s="272"/>
      <c r="AA94" s="259"/>
      <c r="AB94" s="29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94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94" s="540" t="str">
        <f>LO_Logfile[[#This Row],[Material Name]]&amp;"_"&amp;LO_Logfile[[#This Row],[Qty]]</f>
        <v>ADSS 24C_1500</v>
      </c>
      <c r="AE94" s="540" t="e">
        <f>VLOOKUP(LO_Logfile[[#This Row],[looK]],MANUAL!F:F,1,0)</f>
        <v>#N/A</v>
      </c>
      <c r="AF94" s="542" t="str">
        <f>LO_Logfile[[#This Row],[Material Name]]&amp;LO_Logfile[[#This Row],[Qty]]&amp;"_"&amp;LO_Logfile[[#This Row],[In-Out Qty]]</f>
        <v>ADSS 24C1500_1</v>
      </c>
      <c r="AG94" s="552" t="str">
        <f>VLOOKUP(LO_Logfile[[#This Row],[Material Name]]&amp;LO_Logfile[[#This Row],[Qty]]&amp;"_"&amp;-2+LO_Logfile[[#This Row],[In-Out Qty]],AF:AF,1,0)</f>
        <v>ADSS 24C1500_-1</v>
      </c>
    </row>
    <row r="95" spans="1:33" ht="14.5">
      <c r="A95" s="292" t="str">
        <f t="shared" si="2"/>
        <v>091</v>
      </c>
      <c r="B95" s="546" t="str" cm="1">
        <f t="array" ref="B9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A-043-1500m</v>
      </c>
      <c r="C95" s="286">
        <v>2</v>
      </c>
      <c r="D95" s="286" t="s">
        <v>48</v>
      </c>
      <c r="E95" s="287" t="s">
        <v>4832</v>
      </c>
      <c r="F95" s="286" t="s">
        <v>3295</v>
      </c>
      <c r="G95" s="286" t="s">
        <v>3299</v>
      </c>
      <c r="H95" s="288">
        <v>46012</v>
      </c>
      <c r="I95" s="308">
        <v>0.66666666666666663</v>
      </c>
      <c r="J95" s="286" t="s">
        <v>3586</v>
      </c>
      <c r="K95" s="249" t="s">
        <v>3023</v>
      </c>
      <c r="L95" s="241" t="s">
        <v>3073</v>
      </c>
      <c r="M95" s="242" t="str">
        <f>VLOOKUP(LO_Logfile[[#This Row],[Material Name]],Sheet2!B:D,2,0)</f>
        <v>ZTE2001</v>
      </c>
      <c r="N95" s="317" t="s">
        <v>20</v>
      </c>
      <c r="O95" s="286">
        <v>1500</v>
      </c>
      <c r="P95" s="286"/>
      <c r="Q95" s="286" t="s">
        <v>4834</v>
      </c>
      <c r="R95" s="286"/>
      <c r="S95" s="286"/>
      <c r="T95" s="286"/>
      <c r="U95" s="286" t="s">
        <v>3258</v>
      </c>
      <c r="V95" s="286">
        <v>0</v>
      </c>
      <c r="W95" s="286" t="s">
        <v>3337</v>
      </c>
      <c r="X95" s="286" t="s">
        <v>3338</v>
      </c>
      <c r="Y95" s="259" t="s">
        <v>4834</v>
      </c>
      <c r="Z95" s="272"/>
      <c r="AA95" s="259"/>
      <c r="AB95" s="29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95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95" s="540" t="str">
        <f>LO_Logfile[[#This Row],[Material Name]]&amp;"_"&amp;LO_Logfile[[#This Row],[Qty]]</f>
        <v>ADSS 24C_1500</v>
      </c>
      <c r="AE95" s="540" t="e">
        <f>VLOOKUP(LO_Logfile[[#This Row],[looK]],MANUAL!F:F,1,0)</f>
        <v>#N/A</v>
      </c>
      <c r="AF95" s="542" t="str">
        <f>LO_Logfile[[#This Row],[Material Name]]&amp;LO_Logfile[[#This Row],[Qty]]&amp;"_"&amp;LO_Logfile[[#This Row],[In-Out Qty]]</f>
        <v>ADSS 24C1500_1</v>
      </c>
      <c r="AG95" s="552" t="str">
        <f>VLOOKUP(LO_Logfile[[#This Row],[Material Name]]&amp;LO_Logfile[[#This Row],[Qty]]&amp;"_"&amp;-2+LO_Logfile[[#This Row],[In-Out Qty]],AF:AF,1,0)</f>
        <v>ADSS 24C1500_-1</v>
      </c>
    </row>
    <row r="96" spans="1:33" ht="14.5">
      <c r="A96" s="292" t="str">
        <f t="shared" si="2"/>
        <v>092</v>
      </c>
      <c r="B96" s="297" t="str" cm="1">
        <f t="array" ref="B9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A-044-500m</v>
      </c>
      <c r="C96" s="286">
        <v>2</v>
      </c>
      <c r="D96" s="287" t="s">
        <v>49</v>
      </c>
      <c r="E96" s="287" t="s">
        <v>4775</v>
      </c>
      <c r="F96" s="287" t="s">
        <v>3295</v>
      </c>
      <c r="G96" s="287" t="s">
        <v>3299</v>
      </c>
      <c r="H96" s="288">
        <v>46015</v>
      </c>
      <c r="I96" s="289">
        <v>0.33333333333333331</v>
      </c>
      <c r="J96" s="286" t="s">
        <v>4963</v>
      </c>
      <c r="K96" s="249" t="s">
        <v>3023</v>
      </c>
      <c r="L96" s="241" t="s">
        <v>3073</v>
      </c>
      <c r="M96" s="242" t="str">
        <f>VLOOKUP(LO_Logfile[[#This Row],[Material Name]],Sheet2!B:D,2,0)</f>
        <v>ZTE2001</v>
      </c>
      <c r="N96" s="317" t="s">
        <v>20</v>
      </c>
      <c r="O96" s="286">
        <v>500</v>
      </c>
      <c r="P96" s="286" t="s">
        <v>4785</v>
      </c>
      <c r="Q96" s="286" t="s">
        <v>4786</v>
      </c>
      <c r="R96" s="286"/>
      <c r="S96" s="286"/>
      <c r="T96" s="286"/>
      <c r="U96" s="286" t="s">
        <v>3258</v>
      </c>
      <c r="V96" s="286">
        <v>0</v>
      </c>
      <c r="W96" s="286" t="s">
        <v>3337</v>
      </c>
      <c r="X96" s="286" t="s">
        <v>3338</v>
      </c>
      <c r="Y96" s="259" t="s">
        <v>4774</v>
      </c>
      <c r="Z96" s="286"/>
      <c r="AA96" s="259"/>
      <c r="AB96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96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96" s="540" t="str">
        <f>LO_Logfile[[#This Row],[Material Name]]&amp;"_"&amp;LO_Logfile[[#This Row],[Qty]]</f>
        <v>ADSS 24C_500</v>
      </c>
      <c r="AE96" s="540" t="str">
        <f>VLOOKUP(LO_Logfile[[#This Row],[looK]],MANUAL!F:F,1,0)</f>
        <v>ADSS 24C_500</v>
      </c>
      <c r="AF96" s="540" t="str">
        <f>LO_Logfile[[#This Row],[Material Name]]&amp;LO_Logfile[[#This Row],[Qty]]&amp;"_"&amp;LO_Logfile[[#This Row],[In-Out Qty]]</f>
        <v>ADSS 24C500_-1</v>
      </c>
      <c r="AG96" s="553" t="e">
        <f>VLOOKUP(LO_Logfile[[#This Row],[Material Name]]&amp;LO_Logfile[[#This Row],[Qty]]&amp;"_"&amp;-2+LO_Logfile[[#This Row],[In-Out Qty]],AF:AF,1,0)</f>
        <v>#N/A</v>
      </c>
    </row>
    <row r="97" spans="1:33" ht="14.5">
      <c r="A97" s="292" t="str">
        <f t="shared" si="2"/>
        <v>093</v>
      </c>
      <c r="B97" s="546" t="str" cm="1">
        <f t="array" ref="B9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A-045-1500m</v>
      </c>
      <c r="C97" s="286">
        <v>1</v>
      </c>
      <c r="D97" s="287" t="s">
        <v>49</v>
      </c>
      <c r="E97" s="287" t="s">
        <v>4775</v>
      </c>
      <c r="F97" s="287" t="s">
        <v>3295</v>
      </c>
      <c r="G97" s="287" t="s">
        <v>3299</v>
      </c>
      <c r="H97" s="288">
        <v>46015</v>
      </c>
      <c r="I97" s="289">
        <v>0.33333333333333331</v>
      </c>
      <c r="J97" s="286" t="s">
        <v>4963</v>
      </c>
      <c r="K97" s="249" t="s">
        <v>3023</v>
      </c>
      <c r="L97" s="241" t="s">
        <v>3073</v>
      </c>
      <c r="M97" s="242" t="str">
        <f>VLOOKUP(LO_Logfile[[#This Row],[Material Name]],Sheet2!B:D,2,0)</f>
        <v>ZTE2001</v>
      </c>
      <c r="N97" s="317" t="s">
        <v>20</v>
      </c>
      <c r="O97" s="286">
        <v>1500</v>
      </c>
      <c r="P97" s="286" t="s">
        <v>4785</v>
      </c>
      <c r="Q97" s="286" t="s">
        <v>4786</v>
      </c>
      <c r="R97" s="286"/>
      <c r="S97" s="286"/>
      <c r="T97" s="286"/>
      <c r="U97" s="286" t="s">
        <v>3258</v>
      </c>
      <c r="V97" s="286">
        <v>0</v>
      </c>
      <c r="W97" s="286" t="s">
        <v>3337</v>
      </c>
      <c r="X97" s="286" t="s">
        <v>3338</v>
      </c>
      <c r="Y97" s="259" t="s">
        <v>4773</v>
      </c>
      <c r="Z97" s="272"/>
      <c r="AA97" s="259"/>
      <c r="AB97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97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97" s="540" t="str">
        <f>LO_Logfile[[#This Row],[Material Name]]&amp;"_"&amp;LO_Logfile[[#This Row],[Qty]]</f>
        <v>ADSS 24C_1500</v>
      </c>
      <c r="AE97" s="540" t="e">
        <f>VLOOKUP(LO_Logfile[[#This Row],[looK]],MANUAL!F:F,1,0)</f>
        <v>#N/A</v>
      </c>
      <c r="AF97" s="542" t="str">
        <f>LO_Logfile[[#This Row],[Material Name]]&amp;LO_Logfile[[#This Row],[Qty]]&amp;"_"&amp;LO_Logfile[[#This Row],[In-Out Qty]]</f>
        <v>ADSS 24C1500_-1</v>
      </c>
      <c r="AG97" s="552" t="e">
        <f>VLOOKUP(LO_Logfile[[#This Row],[Material Name]]&amp;LO_Logfile[[#This Row],[Qty]]&amp;"_"&amp;-2+LO_Logfile[[#This Row],[In-Out Qty]],AF:AF,1,0)</f>
        <v>#N/A</v>
      </c>
    </row>
    <row r="98" spans="1:33" ht="14.5">
      <c r="A98" s="292" t="str">
        <f t="shared" si="2"/>
        <v>094</v>
      </c>
      <c r="B98" s="546" t="str" cm="1">
        <f t="array" ref="B9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A-046-215m</v>
      </c>
      <c r="C98" s="286">
        <v>1</v>
      </c>
      <c r="D98" s="287" t="s">
        <v>49</v>
      </c>
      <c r="E98" s="287" t="s">
        <v>4784</v>
      </c>
      <c r="F98" s="287" t="s">
        <v>3295</v>
      </c>
      <c r="G98" s="287" t="s">
        <v>3299</v>
      </c>
      <c r="H98" s="288">
        <v>46035</v>
      </c>
      <c r="I98" s="289">
        <v>0.43888888888888888</v>
      </c>
      <c r="J98" s="286" t="s">
        <v>4963</v>
      </c>
      <c r="K98" s="249" t="s">
        <v>3023</v>
      </c>
      <c r="L98" s="241" t="s">
        <v>3073</v>
      </c>
      <c r="M98" s="242" t="str">
        <f>VLOOKUP(LO_Logfile[[#This Row],[Material Name]],Sheet2!B:D,2,0)</f>
        <v>ZTE2001</v>
      </c>
      <c r="N98" s="317" t="s">
        <v>20</v>
      </c>
      <c r="O98" s="286">
        <v>215</v>
      </c>
      <c r="P98" s="286" t="s">
        <v>4785</v>
      </c>
      <c r="Q98" s="286" t="s">
        <v>4786</v>
      </c>
      <c r="R98" s="286"/>
      <c r="S98" s="286"/>
      <c r="T98" s="286" t="s">
        <v>39</v>
      </c>
      <c r="U98" s="286" t="s">
        <v>3258</v>
      </c>
      <c r="V98" s="286">
        <v>0</v>
      </c>
      <c r="W98" s="286" t="s">
        <v>3337</v>
      </c>
      <c r="X98" s="286" t="s">
        <v>3338</v>
      </c>
      <c r="Y98" s="259"/>
      <c r="Z98" s="272"/>
      <c r="AA98" s="259" t="s">
        <v>4438</v>
      </c>
      <c r="AB98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98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98" s="540" t="str">
        <f>LO_Logfile[[#This Row],[Material Name]]&amp;"_"&amp;LO_Logfile[[#This Row],[Qty]]</f>
        <v>ADSS 24C_215</v>
      </c>
      <c r="AE98" s="540" t="e">
        <f>VLOOKUP(LO_Logfile[[#This Row],[looK]],MANUAL!F:F,1,0)</f>
        <v>#N/A</v>
      </c>
      <c r="AF98" s="542" t="str">
        <f>LO_Logfile[[#This Row],[Material Name]]&amp;LO_Logfile[[#This Row],[Qty]]&amp;"_"&amp;LO_Logfile[[#This Row],[In-Out Qty]]</f>
        <v>ADSS 24C215_-1</v>
      </c>
      <c r="AG98" s="554" t="e">
        <f>VLOOKUP(LO_Logfile[[#This Row],[Material Name]]&amp;LO_Logfile[[#This Row],[Qty]]&amp;"_"&amp;-2+LO_Logfile[[#This Row],[In-Out Qty]],AF:AF,1,0)</f>
        <v>#N/A</v>
      </c>
    </row>
    <row r="99" spans="1:33" ht="14.5">
      <c r="A99" s="292" t="str">
        <f t="shared" si="2"/>
        <v>095</v>
      </c>
      <c r="B99" s="546" t="str" cm="1">
        <f t="array" ref="B9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E-010-275m</v>
      </c>
      <c r="C99" s="286">
        <v>1</v>
      </c>
      <c r="D99" s="287" t="s">
        <v>49</v>
      </c>
      <c r="E99" s="287" t="s">
        <v>4824</v>
      </c>
      <c r="F99" s="287" t="s">
        <v>3295</v>
      </c>
      <c r="G99" s="287" t="s">
        <v>3299</v>
      </c>
      <c r="H99" s="288">
        <v>46045</v>
      </c>
      <c r="I99" s="289">
        <v>0.69097222222222221</v>
      </c>
      <c r="J99" s="286" t="s">
        <v>4963</v>
      </c>
      <c r="K99" s="249" t="s">
        <v>3023</v>
      </c>
      <c r="L99" s="241" t="s">
        <v>3074</v>
      </c>
      <c r="M99" s="242" t="str">
        <f>VLOOKUP(LO_Logfile[[#This Row],[Material Name]],Sheet2!B:D,2,0)</f>
        <v>ZTE2002</v>
      </c>
      <c r="N99" s="317" t="s">
        <v>20</v>
      </c>
      <c r="O99" s="286">
        <v>275</v>
      </c>
      <c r="P99" s="287" t="s">
        <v>4813</v>
      </c>
      <c r="Q99" s="287" t="s">
        <v>4815</v>
      </c>
      <c r="R99" s="287" t="s">
        <v>4820</v>
      </c>
      <c r="S99" s="287" t="s">
        <v>4819</v>
      </c>
      <c r="T99" s="286"/>
      <c r="U99" s="286" t="s">
        <v>3258</v>
      </c>
      <c r="V99" s="286" t="s">
        <v>4811</v>
      </c>
      <c r="W99" s="286" t="s">
        <v>3337</v>
      </c>
      <c r="X99" s="286" t="s">
        <v>3338</v>
      </c>
      <c r="Y99" s="259"/>
      <c r="Z99" s="255"/>
      <c r="AA99" s="259" t="s">
        <v>4825</v>
      </c>
      <c r="AB99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99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99" s="540" t="str">
        <f>LO_Logfile[[#This Row],[Material Name]]&amp;"_"&amp;LO_Logfile[[#This Row],[Qty]]</f>
        <v>ADSS 36C_275</v>
      </c>
      <c r="AE99" s="540" t="e">
        <f>VLOOKUP(LO_Logfile[[#This Row],[looK]],MANUAL!F:F,1,0)</f>
        <v>#N/A</v>
      </c>
      <c r="AF99" s="542" t="str">
        <f>LO_Logfile[[#This Row],[Material Name]]&amp;LO_Logfile[[#This Row],[Qty]]&amp;"_"&amp;LO_Logfile[[#This Row],[In-Out Qty]]</f>
        <v>ADSS 36C275_-1</v>
      </c>
      <c r="AG99" s="554" t="e">
        <f>VLOOKUP(LO_Logfile[[#This Row],[Material Name]]&amp;LO_Logfile[[#This Row],[Qty]]&amp;"_"&amp;-2+LO_Logfile[[#This Row],[In-Out Qty]],AF:AF,1,0)</f>
        <v>#N/A</v>
      </c>
    </row>
    <row r="100" spans="1:33" ht="14.5">
      <c r="A100" s="292" t="str">
        <f t="shared" si="2"/>
        <v>096</v>
      </c>
      <c r="B100" s="297" t="str" cm="1">
        <f t="array" ref="B10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D-008-150m</v>
      </c>
      <c r="C100" s="286">
        <v>1</v>
      </c>
      <c r="D100" s="286" t="s">
        <v>49</v>
      </c>
      <c r="E100" s="286" t="s">
        <v>4831</v>
      </c>
      <c r="F100" s="286" t="s">
        <v>3295</v>
      </c>
      <c r="G100" s="286" t="s">
        <v>3299</v>
      </c>
      <c r="H100" s="307">
        <v>46071</v>
      </c>
      <c r="I100" s="308">
        <v>0.67421296296296296</v>
      </c>
      <c r="J100" s="286" t="s">
        <v>4963</v>
      </c>
      <c r="K100" s="249" t="s">
        <v>3023</v>
      </c>
      <c r="L100" s="241" t="s">
        <v>3077</v>
      </c>
      <c r="M100" s="242" t="str">
        <f>VLOOKUP(LO_Logfile[[#This Row],[Material Name]],Sheet2!B:D,2,0)</f>
        <v>ZTE2004</v>
      </c>
      <c r="N100" s="317" t="s">
        <v>20</v>
      </c>
      <c r="O100" s="286">
        <v>150</v>
      </c>
      <c r="P100" s="286" t="s">
        <v>2142</v>
      </c>
      <c r="Q100" s="286" t="s">
        <v>2143</v>
      </c>
      <c r="R100" s="286"/>
      <c r="S100" s="286"/>
      <c r="T100" s="286"/>
      <c r="U100" s="286"/>
      <c r="V100" s="286"/>
      <c r="W100" s="286"/>
      <c r="X100" s="286"/>
      <c r="Y100" s="259"/>
      <c r="Z100" s="249" t="s">
        <v>4968</v>
      </c>
      <c r="AA100" s="259"/>
      <c r="AB100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00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100" s="540" t="str">
        <f>LO_Logfile[[#This Row],[Material Name]]&amp;"_"&amp;LO_Logfile[[#This Row],[Qty]]</f>
        <v>ADSS 144C_150</v>
      </c>
      <c r="AE100" s="540" t="str">
        <f>VLOOKUP(LO_Logfile[[#This Row],[looK]],MANUAL!F:F,1,0)</f>
        <v>ADSS 144C_150</v>
      </c>
      <c r="AF100" s="540" t="str">
        <f>LO_Logfile[[#This Row],[Material Name]]&amp;LO_Logfile[[#This Row],[Qty]]&amp;"_"&amp;LO_Logfile[[#This Row],[In-Out Qty]]</f>
        <v>ADSS 144C150_-1</v>
      </c>
      <c r="AG100" s="551" t="e">
        <f>VLOOKUP(LO_Logfile[[#This Row],[Material Name]]&amp;LO_Logfile[[#This Row],[Qty]]&amp;"_"&amp;-2+LO_Logfile[[#This Row],[In-Out Qty]],AF:AF,1,0)</f>
        <v>#N/A</v>
      </c>
    </row>
    <row r="101" spans="1:33" ht="14.5">
      <c r="A101" s="292" t="str">
        <f t="shared" ref="A101:A132" si="3">TEXT(ROW(A101)-ROW($A$4),"000")</f>
        <v>097</v>
      </c>
      <c r="B101" s="546" t="str" cm="1">
        <f t="array" ref="B10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A-047-1500m</v>
      </c>
      <c r="C101" s="286">
        <v>1</v>
      </c>
      <c r="D101" s="287" t="s">
        <v>49</v>
      </c>
      <c r="E101" s="287" t="s">
        <v>4833</v>
      </c>
      <c r="F101" s="287" t="s">
        <v>3295</v>
      </c>
      <c r="G101" s="287" t="s">
        <v>3299</v>
      </c>
      <c r="H101" s="288">
        <v>46090</v>
      </c>
      <c r="I101" s="289">
        <v>0.33333333333333331</v>
      </c>
      <c r="J101" s="286" t="s">
        <v>4963</v>
      </c>
      <c r="K101" s="249" t="s">
        <v>3023</v>
      </c>
      <c r="L101" s="241" t="s">
        <v>3073</v>
      </c>
      <c r="M101" s="242" t="str">
        <f>VLOOKUP(LO_Logfile[[#This Row],[Material Name]],Sheet2!B:D,2,0)</f>
        <v>ZTE2001</v>
      </c>
      <c r="N101" s="317" t="s">
        <v>20</v>
      </c>
      <c r="O101" s="286">
        <v>1500</v>
      </c>
      <c r="P101" s="286" t="s">
        <v>4835</v>
      </c>
      <c r="Q101" s="286" t="s">
        <v>4836</v>
      </c>
      <c r="R101" s="286"/>
      <c r="S101" s="286"/>
      <c r="T101" s="286"/>
      <c r="U101" s="286" t="s">
        <v>3258</v>
      </c>
      <c r="V101" s="286">
        <v>0</v>
      </c>
      <c r="W101" s="286" t="s">
        <v>3337</v>
      </c>
      <c r="X101" s="286" t="s">
        <v>3338</v>
      </c>
      <c r="Y101" s="259"/>
      <c r="Z101" s="286"/>
      <c r="AA101" s="259"/>
      <c r="AB101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01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101" s="540" t="str">
        <f>LO_Logfile[[#This Row],[Material Name]]&amp;"_"&amp;LO_Logfile[[#This Row],[Qty]]</f>
        <v>ADSS 24C_1500</v>
      </c>
      <c r="AE101" s="540" t="e">
        <f>VLOOKUP(LO_Logfile[[#This Row],[looK]],MANUAL!F:F,1,0)</f>
        <v>#N/A</v>
      </c>
      <c r="AF101" s="542" t="str">
        <f>LO_Logfile[[#This Row],[Material Name]]&amp;LO_Logfile[[#This Row],[Qty]]&amp;"_"&amp;LO_Logfile[[#This Row],[In-Out Qty]]</f>
        <v>ADSS 24C1500_-1</v>
      </c>
      <c r="AG101" s="552" t="e">
        <f>VLOOKUP(LO_Logfile[[#This Row],[Material Name]]&amp;LO_Logfile[[#This Row],[Qty]]&amp;"_"&amp;-2+LO_Logfile[[#This Row],[In-Out Qty]],AF:AF,1,0)</f>
        <v>#N/A</v>
      </c>
    </row>
    <row r="102" spans="1:33" ht="14.5">
      <c r="A102" s="268" t="str">
        <f t="shared" si="3"/>
        <v>098</v>
      </c>
      <c r="B102" s="545" t="str" cm="1">
        <f t="array" ref="B10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E-011-1000m</v>
      </c>
      <c r="C102" s="255">
        <v>1</v>
      </c>
      <c r="D102" s="270" t="s">
        <v>49</v>
      </c>
      <c r="E102" s="270" t="s">
        <v>4858</v>
      </c>
      <c r="F102" s="270" t="s">
        <v>3295</v>
      </c>
      <c r="G102" s="270" t="s">
        <v>3299</v>
      </c>
      <c r="H102" s="271">
        <v>46091</v>
      </c>
      <c r="I102" s="257">
        <v>0.33333333333333331</v>
      </c>
      <c r="J102" s="255" t="s">
        <v>4963</v>
      </c>
      <c r="K102" s="249" t="s">
        <v>3023</v>
      </c>
      <c r="L102" s="241" t="s">
        <v>3074</v>
      </c>
      <c r="M102" s="242" t="str">
        <f>VLOOKUP(LO_Logfile[[#This Row],[Material Name]],Sheet2!B:D,2,0)</f>
        <v>ZTE2002</v>
      </c>
      <c r="N102" s="316" t="s">
        <v>20</v>
      </c>
      <c r="O102" s="255">
        <v>1000</v>
      </c>
      <c r="P102" s="255" t="s">
        <v>4835</v>
      </c>
      <c r="Q102" s="255" t="s">
        <v>4836</v>
      </c>
      <c r="R102" s="255"/>
      <c r="S102" s="255"/>
      <c r="T102" s="255"/>
      <c r="U102" s="255"/>
      <c r="V102" s="255"/>
      <c r="W102" s="255"/>
      <c r="X102" s="255"/>
      <c r="Y102" s="258"/>
      <c r="Z102" s="272"/>
      <c r="AA102" s="259"/>
      <c r="AB102" s="273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02" s="27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02" s="540" t="str">
        <f>LO_Logfile[[#This Row],[Material Name]]&amp;"_"&amp;LO_Logfile[[#This Row],[Qty]]</f>
        <v>ADSS 36C_1000</v>
      </c>
      <c r="AE102" s="540" t="e">
        <f>VLOOKUP(LO_Logfile[[#This Row],[looK]],MANUAL!F:F,1,0)</f>
        <v>#N/A</v>
      </c>
      <c r="AF102" s="542" t="str">
        <f>LO_Logfile[[#This Row],[Material Name]]&amp;LO_Logfile[[#This Row],[Qty]]&amp;"_"&amp;LO_Logfile[[#This Row],[In-Out Qty]]</f>
        <v>ADSS 36C1000_-1</v>
      </c>
      <c r="AG102" s="552" t="e">
        <f>VLOOKUP(LO_Logfile[[#This Row],[Material Name]]&amp;LO_Logfile[[#This Row],[Qty]]&amp;"_"&amp;-2+LO_Logfile[[#This Row],[In-Out Qty]],AF:AF,1,0)</f>
        <v>#N/A</v>
      </c>
    </row>
    <row r="103" spans="1:33" ht="14.5">
      <c r="A103" s="292" t="str">
        <f t="shared" si="3"/>
        <v>099</v>
      </c>
      <c r="B103" s="297" t="str" cm="1">
        <f t="array" ref="B10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A-048-350m</v>
      </c>
      <c r="C103" s="286"/>
      <c r="D103" s="287" t="s">
        <v>49</v>
      </c>
      <c r="E103" s="287" t="s">
        <v>4838</v>
      </c>
      <c r="F103" s="287" t="s">
        <v>3295</v>
      </c>
      <c r="G103" s="287" t="s">
        <v>3299</v>
      </c>
      <c r="H103" s="288">
        <v>46095</v>
      </c>
      <c r="I103" s="289">
        <v>0.79166666666666663</v>
      </c>
      <c r="J103" s="286" t="s">
        <v>4963</v>
      </c>
      <c r="K103" s="249" t="s">
        <v>3023</v>
      </c>
      <c r="L103" s="241" t="s">
        <v>3073</v>
      </c>
      <c r="M103" s="242" t="str">
        <f>VLOOKUP(LO_Logfile[[#This Row],[Material Name]],Sheet2!B:D,2,0)</f>
        <v>ZTE2001</v>
      </c>
      <c r="N103" s="317" t="s">
        <v>20</v>
      </c>
      <c r="O103" s="287">
        <v>350</v>
      </c>
      <c r="P103" s="287" t="s">
        <v>4841</v>
      </c>
      <c r="Q103" s="287" t="s">
        <v>4842</v>
      </c>
      <c r="R103" s="286"/>
      <c r="S103" s="286"/>
      <c r="T103" s="286"/>
      <c r="U103" s="286" t="s">
        <v>3258</v>
      </c>
      <c r="V103" s="286">
        <v>0</v>
      </c>
      <c r="W103" s="286" t="s">
        <v>3337</v>
      </c>
      <c r="X103" s="286" t="s">
        <v>3338</v>
      </c>
      <c r="Y103" s="259"/>
      <c r="Z103" s="272"/>
      <c r="AA103" s="259"/>
      <c r="AB103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03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103" s="540" t="str">
        <f>LO_Logfile[[#This Row],[Material Name]]&amp;"_"&amp;LO_Logfile[[#This Row],[Qty]]</f>
        <v>ADSS 24C_350</v>
      </c>
      <c r="AE103" s="540" t="str">
        <f>VLOOKUP(LO_Logfile[[#This Row],[looK]],MANUAL!F:F,1,0)</f>
        <v>ADSS 24C_350</v>
      </c>
      <c r="AF103" s="540" t="str">
        <f>LO_Logfile[[#This Row],[Material Name]]&amp;LO_Logfile[[#This Row],[Qty]]&amp;"_"&amp;LO_Logfile[[#This Row],[In-Out Qty]]</f>
        <v>ADSS 24C350_-1</v>
      </c>
      <c r="AG103" s="551" t="e">
        <f>VLOOKUP(LO_Logfile[[#This Row],[Material Name]]&amp;LO_Logfile[[#This Row],[Qty]]&amp;"_"&amp;-2+LO_Logfile[[#This Row],[In-Out Qty]],AF:AF,1,0)</f>
        <v>#N/A</v>
      </c>
    </row>
    <row r="104" spans="1:33" ht="14.5">
      <c r="A104" s="292" t="str">
        <f t="shared" si="3"/>
        <v>100</v>
      </c>
      <c r="B104" s="546" t="str" cm="1">
        <f t="array" ref="B10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A-049-1000m</v>
      </c>
      <c r="C104" s="286"/>
      <c r="D104" s="286" t="s">
        <v>48</v>
      </c>
      <c r="E104" s="287" t="s">
        <v>4844</v>
      </c>
      <c r="F104" s="270" t="s">
        <v>3295</v>
      </c>
      <c r="G104" s="270" t="s">
        <v>3299</v>
      </c>
      <c r="H104" s="271">
        <v>46097</v>
      </c>
      <c r="I104" s="257">
        <v>0.79166666666666663</v>
      </c>
      <c r="J104" s="255" t="s">
        <v>3586</v>
      </c>
      <c r="K104" s="249" t="s">
        <v>3023</v>
      </c>
      <c r="L104" s="241" t="s">
        <v>3073</v>
      </c>
      <c r="M104" s="242" t="str">
        <f>VLOOKUP(LO_Logfile[[#This Row],[Material Name]],Sheet2!B:D,2,0)</f>
        <v>ZTE2001</v>
      </c>
      <c r="N104" s="317" t="s">
        <v>20</v>
      </c>
      <c r="O104" s="287">
        <v>1000</v>
      </c>
      <c r="P104" s="270" t="s">
        <v>4839</v>
      </c>
      <c r="Q104" s="270" t="s">
        <v>4840</v>
      </c>
      <c r="R104" s="286"/>
      <c r="S104" s="286"/>
      <c r="T104" s="286"/>
      <c r="U104" s="286" t="s">
        <v>3258</v>
      </c>
      <c r="V104" s="286">
        <v>0</v>
      </c>
      <c r="W104" s="286" t="s">
        <v>3337</v>
      </c>
      <c r="X104" s="286" t="s">
        <v>3338</v>
      </c>
      <c r="Y104" s="259"/>
      <c r="Z104" s="272"/>
      <c r="AA104" s="259"/>
      <c r="AB104" s="29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04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04" s="540" t="str">
        <f>LO_Logfile[[#This Row],[Material Name]]&amp;"_"&amp;LO_Logfile[[#This Row],[Qty]]</f>
        <v>ADSS 24C_1000</v>
      </c>
      <c r="AE104" s="540" t="e">
        <f>VLOOKUP(LO_Logfile[[#This Row],[looK]],MANUAL!F:F,1,0)</f>
        <v>#N/A</v>
      </c>
      <c r="AF104" s="542" t="str">
        <f>LO_Logfile[[#This Row],[Material Name]]&amp;LO_Logfile[[#This Row],[Qty]]&amp;"_"&amp;LO_Logfile[[#This Row],[In-Out Qty]]</f>
        <v>ADSS 24C1000_1</v>
      </c>
      <c r="AG104" s="552" t="str">
        <f>VLOOKUP(LO_Logfile[[#This Row],[Material Name]]&amp;LO_Logfile[[#This Row],[Qty]]&amp;"_"&amp;-2+LO_Logfile[[#This Row],[In-Out Qty]],AF:AF,1,0)</f>
        <v>ADSS 24C1000_-1</v>
      </c>
    </row>
    <row r="105" spans="1:33" ht="14.5">
      <c r="A105" s="292" t="str">
        <f t="shared" si="3"/>
        <v>101</v>
      </c>
      <c r="B105" s="297" t="str" cm="1">
        <f t="array" ref="B10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P74-003-1</v>
      </c>
      <c r="C105" s="286"/>
      <c r="D105" s="286" t="s">
        <v>49</v>
      </c>
      <c r="E105" s="287" t="s">
        <v>4845</v>
      </c>
      <c r="F105" s="286" t="s">
        <v>3295</v>
      </c>
      <c r="G105" s="286" t="s">
        <v>3299</v>
      </c>
      <c r="H105" s="271">
        <v>46113</v>
      </c>
      <c r="I105" s="257">
        <v>0.79166666666666663</v>
      </c>
      <c r="J105" s="255" t="s">
        <v>4963</v>
      </c>
      <c r="K105" s="249" t="s">
        <v>3023</v>
      </c>
      <c r="L105" s="241" t="s">
        <v>3069</v>
      </c>
      <c r="M105" s="242" t="str">
        <f>VLOOKUP(LO_Logfile[[#This Row],[Material Name]],Sheet2!B:D,2,0)</f>
        <v>ZTE1001</v>
      </c>
      <c r="N105" s="317" t="s">
        <v>19</v>
      </c>
      <c r="O105" s="286">
        <v>1</v>
      </c>
      <c r="P105" s="255"/>
      <c r="Q105" s="255"/>
      <c r="R105" s="286"/>
      <c r="S105" s="286"/>
      <c r="T105" s="286"/>
      <c r="U105" s="286"/>
      <c r="V105" s="286"/>
      <c r="W105" s="286"/>
      <c r="X105" s="286"/>
      <c r="Y105" s="259" t="s">
        <v>4857</v>
      </c>
      <c r="Z105" s="272"/>
      <c r="AA105" s="259"/>
      <c r="AB105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05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/>
      </c>
      <c r="AD105" s="540" t="str">
        <f>LO_Logfile[[#This Row],[Material Name]]&amp;"_"&amp;LO_Logfile[[#This Row],[Qty]]</f>
        <v>Pole 7M 4"_1</v>
      </c>
      <c r="AE105" s="540" t="e">
        <f>VLOOKUP(LO_Logfile[[#This Row],[looK]],MANUAL!F:F,1,0)</f>
        <v>#N/A</v>
      </c>
      <c r="AF105" s="542" t="str">
        <f>LO_Logfile[[#This Row],[Material Name]]&amp;LO_Logfile[[#This Row],[Qty]]&amp;"_"&amp;LO_Logfile[[#This Row],[In-Out Qty]]</f>
        <v>Pole 7M 4"1_-1</v>
      </c>
      <c r="AG105" s="552" t="e">
        <f>VLOOKUP(LO_Logfile[[#This Row],[Material Name]]&amp;LO_Logfile[[#This Row],[Qty]]&amp;"_"&amp;-2+LO_Logfile[[#This Row],[In-Out Qty]],AF:AF,1,0)</f>
        <v>#N/A</v>
      </c>
    </row>
    <row r="106" spans="1:33" ht="14.5">
      <c r="A106" s="298" t="str">
        <f t="shared" si="3"/>
        <v>102</v>
      </c>
      <c r="B106" s="299" t="str" cm="1">
        <f t="array" ref="B10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A-050-114m</v>
      </c>
      <c r="C106" s="293"/>
      <c r="D106" s="293" t="s">
        <v>48</v>
      </c>
      <c r="E106" s="250" t="s">
        <v>4848</v>
      </c>
      <c r="F106" s="250" t="s">
        <v>3295</v>
      </c>
      <c r="G106" s="250" t="s">
        <v>3299</v>
      </c>
      <c r="H106" s="276">
        <v>46133</v>
      </c>
      <c r="I106" s="240">
        <v>0.79166666666666663</v>
      </c>
      <c r="J106" s="262" t="s">
        <v>3586</v>
      </c>
      <c r="K106" s="249" t="s">
        <v>4432</v>
      </c>
      <c r="L106" s="241" t="s">
        <v>3073</v>
      </c>
      <c r="M106" s="242" t="str">
        <f>VLOOKUP(LO_Logfile[[#This Row],[Material Name]],Sheet2!B:D,2,0)</f>
        <v>ZTE2001</v>
      </c>
      <c r="N106" s="315" t="s">
        <v>20</v>
      </c>
      <c r="O106" s="262">
        <f>798-684</f>
        <v>114</v>
      </c>
      <c r="P106" s="262"/>
      <c r="Q106" s="262"/>
      <c r="R106" s="265"/>
      <c r="S106" s="266"/>
      <c r="T106" s="267"/>
      <c r="U106" s="267"/>
      <c r="V106" s="293"/>
      <c r="W106" s="293"/>
      <c r="X106" s="293"/>
      <c r="Y106" s="266"/>
      <c r="Z106" s="267"/>
      <c r="AA106" s="267" t="s">
        <v>4860</v>
      </c>
      <c r="AB106" s="3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06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106" s="540" t="str">
        <f>LO_Logfile[[#This Row],[Material Name]]&amp;"_"&amp;LO_Logfile[[#This Row],[Qty]]</f>
        <v>ADSS 24C_114</v>
      </c>
      <c r="AE106" s="540" t="str">
        <f>VLOOKUP(LO_Logfile[[#This Row],[looK]],MANUAL!F:F,1,0)</f>
        <v>ADSS 24C_114</v>
      </c>
      <c r="AF106" s="540" t="str">
        <f>LO_Logfile[[#This Row],[Material Name]]&amp;LO_Logfile[[#This Row],[Qty]]&amp;"_"&amp;LO_Logfile[[#This Row],[In-Out Qty]]</f>
        <v>ADSS 24C114_1</v>
      </c>
      <c r="AG106" s="552" t="e">
        <f>VLOOKUP(LO_Logfile[[#This Row],[Material Name]]&amp;LO_Logfile[[#This Row],[Qty]]&amp;"_"&amp;-2+LO_Logfile[[#This Row],[In-Out Qty]],AF:AF,1,0)</f>
        <v>#N/A</v>
      </c>
    </row>
    <row r="107" spans="1:33" ht="14.5">
      <c r="A107" s="298" t="str">
        <f t="shared" si="3"/>
        <v>103</v>
      </c>
      <c r="B107" s="299" t="str" cm="1">
        <f t="array" ref="B10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A-051-125m</v>
      </c>
      <c r="C107" s="293"/>
      <c r="D107" s="293" t="s">
        <v>48</v>
      </c>
      <c r="E107" s="250" t="s">
        <v>4848</v>
      </c>
      <c r="F107" s="250" t="s">
        <v>3295</v>
      </c>
      <c r="G107" s="250" t="s">
        <v>3299</v>
      </c>
      <c r="H107" s="276">
        <v>46133</v>
      </c>
      <c r="I107" s="240">
        <v>0.79166666666666663</v>
      </c>
      <c r="J107" s="262" t="s">
        <v>3586</v>
      </c>
      <c r="K107" s="249" t="s">
        <v>4432</v>
      </c>
      <c r="L107" s="241" t="s">
        <v>3073</v>
      </c>
      <c r="M107" s="242" t="str">
        <f>VLOOKUP(LO_Logfile[[#This Row],[Material Name]],Sheet2!B:D,2,0)</f>
        <v>ZTE2001</v>
      </c>
      <c r="N107" s="318" t="s">
        <v>20</v>
      </c>
      <c r="O107" s="293">
        <v>125</v>
      </c>
      <c r="P107" s="262"/>
      <c r="Q107" s="262"/>
      <c r="R107" s="293"/>
      <c r="S107" s="293"/>
      <c r="T107" s="293"/>
      <c r="U107" s="293"/>
      <c r="V107" s="293"/>
      <c r="W107" s="293"/>
      <c r="X107" s="293"/>
      <c r="Y107" s="266"/>
      <c r="Z107" s="267"/>
      <c r="AA107" s="267" t="s">
        <v>4859</v>
      </c>
      <c r="AB107" s="3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07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107" s="540" t="str">
        <f>LO_Logfile[[#This Row],[Material Name]]&amp;"_"&amp;LO_Logfile[[#This Row],[Qty]]</f>
        <v>ADSS 24C_125</v>
      </c>
      <c r="AE107" s="540" t="str">
        <f>VLOOKUP(LO_Logfile[[#This Row],[looK]],MANUAL!F:F,1,0)</f>
        <v>ADSS 24C_125</v>
      </c>
      <c r="AF107" s="540" t="str">
        <f>LO_Logfile[[#This Row],[Material Name]]&amp;LO_Logfile[[#This Row],[Qty]]&amp;"_"&amp;LO_Logfile[[#This Row],[In-Out Qty]]</f>
        <v>ADSS 24C125_1</v>
      </c>
      <c r="AG107" s="551" t="e">
        <f>VLOOKUP(LO_Logfile[[#This Row],[Material Name]]&amp;LO_Logfile[[#This Row],[Qty]]&amp;"_"&amp;-2+LO_Logfile[[#This Row],[In-Out Qty]],AF:AF,1,0)</f>
        <v>#N/A</v>
      </c>
    </row>
    <row r="108" spans="1:33" ht="14.5">
      <c r="A108" s="298" t="str">
        <f t="shared" si="3"/>
        <v>104</v>
      </c>
      <c r="B108" s="299" t="str" cm="1">
        <f t="array" ref="B10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A-052-162m</v>
      </c>
      <c r="C108" s="293"/>
      <c r="D108" s="262" t="s">
        <v>48</v>
      </c>
      <c r="E108" s="250" t="s">
        <v>4848</v>
      </c>
      <c r="F108" s="250" t="s">
        <v>3295</v>
      </c>
      <c r="G108" s="250" t="s">
        <v>3299</v>
      </c>
      <c r="H108" s="276">
        <v>46133</v>
      </c>
      <c r="I108" s="240">
        <v>0.79166666666666663</v>
      </c>
      <c r="J108" s="262" t="s">
        <v>3586</v>
      </c>
      <c r="K108" s="221" t="s">
        <v>4432</v>
      </c>
      <c r="L108" s="241" t="s">
        <v>3073</v>
      </c>
      <c r="M108" s="242" t="str">
        <f>VLOOKUP(LO_Logfile[[#This Row],[Material Name]],Sheet2!B:D,2,0)</f>
        <v>ZTE2001</v>
      </c>
      <c r="N108" s="315" t="s">
        <v>20</v>
      </c>
      <c r="O108" s="262">
        <f>496-334</f>
        <v>162</v>
      </c>
      <c r="P108" s="262"/>
      <c r="Q108" s="262"/>
      <c r="R108" s="262"/>
      <c r="S108" s="293"/>
      <c r="T108" s="293"/>
      <c r="U108" s="293"/>
      <c r="V108" s="293"/>
      <c r="W108" s="293"/>
      <c r="X108" s="293"/>
      <c r="Y108" s="266"/>
      <c r="Z108" s="262"/>
      <c r="AA108" s="267" t="s">
        <v>4861</v>
      </c>
      <c r="AB108" s="3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08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108" s="540" t="str">
        <f>LO_Logfile[[#This Row],[Material Name]]&amp;"_"&amp;LO_Logfile[[#This Row],[Qty]]</f>
        <v>ADSS 24C_162</v>
      </c>
      <c r="AE108" s="540" t="str">
        <f>VLOOKUP(LO_Logfile[[#This Row],[looK]],MANUAL!F:F,1,0)</f>
        <v>ADSS 24C_162</v>
      </c>
      <c r="AF108" s="540" t="str">
        <f>LO_Logfile[[#This Row],[Material Name]]&amp;LO_Logfile[[#This Row],[Qty]]&amp;"_"&amp;LO_Logfile[[#This Row],[In-Out Qty]]</f>
        <v>ADSS 24C162_1</v>
      </c>
      <c r="AG108" s="553" t="e">
        <f>VLOOKUP(LO_Logfile[[#This Row],[Material Name]]&amp;LO_Logfile[[#This Row],[Qty]]&amp;"_"&amp;-2+LO_Logfile[[#This Row],[In-Out Qty]],AF:AF,1,0)</f>
        <v>#N/A</v>
      </c>
    </row>
    <row r="109" spans="1:33" ht="14.5">
      <c r="A109" s="298" t="str">
        <f t="shared" si="3"/>
        <v>105</v>
      </c>
      <c r="B109" s="299" t="str" cm="1">
        <f t="array" ref="B10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A-053-68m</v>
      </c>
      <c r="C109" s="293"/>
      <c r="D109" s="293" t="s">
        <v>48</v>
      </c>
      <c r="E109" s="250" t="s">
        <v>4848</v>
      </c>
      <c r="F109" s="227" t="s">
        <v>3295</v>
      </c>
      <c r="G109" s="227" t="s">
        <v>3299</v>
      </c>
      <c r="H109" s="276">
        <v>46133</v>
      </c>
      <c r="I109" s="240">
        <v>0.79166666666666663</v>
      </c>
      <c r="J109" s="262" t="s">
        <v>3586</v>
      </c>
      <c r="K109" s="221" t="s">
        <v>4432</v>
      </c>
      <c r="L109" s="241" t="s">
        <v>3073</v>
      </c>
      <c r="M109" s="242" t="str">
        <f>VLOOKUP(LO_Logfile[[#This Row],[Material Name]],Sheet2!B:D,2,0)</f>
        <v>ZTE2001</v>
      </c>
      <c r="N109" s="315" t="s">
        <v>20</v>
      </c>
      <c r="O109" s="262">
        <v>68</v>
      </c>
      <c r="P109" s="262"/>
      <c r="Q109" s="262"/>
      <c r="R109" s="293"/>
      <c r="S109" s="293"/>
      <c r="T109" s="293"/>
      <c r="U109" s="293"/>
      <c r="V109" s="293"/>
      <c r="W109" s="293"/>
      <c r="X109" s="293"/>
      <c r="Y109" s="266"/>
      <c r="Z109" s="262"/>
      <c r="AA109" s="267" t="s">
        <v>4863</v>
      </c>
      <c r="AB109" s="3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09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09" s="540" t="str">
        <f>LO_Logfile[[#This Row],[Material Name]]&amp;"_"&amp;LO_Logfile[[#This Row],[Qty]]</f>
        <v>ADSS 24C_68</v>
      </c>
      <c r="AE109" s="540" t="str">
        <f>VLOOKUP(LO_Logfile[[#This Row],[looK]],MANUAL!F:F,1,0)</f>
        <v>ADSS 24C_68</v>
      </c>
      <c r="AF109" s="540" t="str">
        <f>LO_Logfile[[#This Row],[Material Name]]&amp;LO_Logfile[[#This Row],[Qty]]&amp;"_"&amp;LO_Logfile[[#This Row],[In-Out Qty]]</f>
        <v>ADSS 24C68_1</v>
      </c>
      <c r="AG109" s="553" t="e">
        <f>VLOOKUP(LO_Logfile[[#This Row],[Material Name]]&amp;LO_Logfile[[#This Row],[Qty]]&amp;"_"&amp;-2+LO_Logfile[[#This Row],[In-Out Qty]],AF:AF,1,0)</f>
        <v>#N/A</v>
      </c>
    </row>
    <row r="110" spans="1:33" ht="14.5">
      <c r="A110" s="274" t="str">
        <f t="shared" si="3"/>
        <v>106</v>
      </c>
      <c r="B110" s="548" t="str" cm="1">
        <f t="array" ref="B11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A-054-79m</v>
      </c>
      <c r="C110" s="262"/>
      <c r="D110" s="262" t="s">
        <v>48</v>
      </c>
      <c r="E110" s="227" t="s">
        <v>4848</v>
      </c>
      <c r="F110" s="227" t="s">
        <v>3295</v>
      </c>
      <c r="G110" s="227" t="s">
        <v>3299</v>
      </c>
      <c r="H110" s="276">
        <v>46133</v>
      </c>
      <c r="I110" s="240">
        <v>0.79166666666666663</v>
      </c>
      <c r="J110" s="262" t="s">
        <v>3586</v>
      </c>
      <c r="K110" s="221" t="s">
        <v>4432</v>
      </c>
      <c r="L110" s="241" t="s">
        <v>3073</v>
      </c>
      <c r="M110" s="242" t="str">
        <f>VLOOKUP(LO_Logfile[[#This Row],[Material Name]],Sheet2!B:D,2,0)</f>
        <v>ZTE2001</v>
      </c>
      <c r="N110" s="315" t="s">
        <v>20</v>
      </c>
      <c r="O110" s="262">
        <f>530-451</f>
        <v>79</v>
      </c>
      <c r="P110" s="262"/>
      <c r="Q110" s="262"/>
      <c r="R110" s="262"/>
      <c r="S110" s="262"/>
      <c r="T110" s="262"/>
      <c r="U110" s="262"/>
      <c r="V110" s="262"/>
      <c r="W110" s="262"/>
      <c r="X110" s="262"/>
      <c r="Y110" s="265"/>
      <c r="Z110" s="293"/>
      <c r="AA110" s="266" t="s">
        <v>4862</v>
      </c>
      <c r="AB110" s="27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10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10" s="540" t="str">
        <f>LO_Logfile[[#This Row],[Material Name]]&amp;"_"&amp;LO_Logfile[[#This Row],[Qty]]</f>
        <v>ADSS 24C_79</v>
      </c>
      <c r="AE110" s="540" t="e">
        <f>VLOOKUP(LO_Logfile[[#This Row],[looK]],MANUAL!F:F,1,0)</f>
        <v>#N/A</v>
      </c>
      <c r="AF110" s="540" t="str">
        <f>LO_Logfile[[#This Row],[Material Name]]&amp;LO_Logfile[[#This Row],[Qty]]&amp;"_"&amp;LO_Logfile[[#This Row],[In-Out Qty]]</f>
        <v>ADSS 24C79_1</v>
      </c>
      <c r="AG110" s="554" t="e">
        <f>VLOOKUP(LO_Logfile[[#This Row],[Material Name]]&amp;LO_Logfile[[#This Row],[Qty]]&amp;"_"&amp;-2+LO_Logfile[[#This Row],[In-Out Qty]],AF:AF,1,0)</f>
        <v>#N/A</v>
      </c>
    </row>
    <row r="111" spans="1:33" ht="14.5">
      <c r="A111" s="268" t="str">
        <f t="shared" si="3"/>
        <v>107</v>
      </c>
      <c r="B111" s="545" t="str" cm="1">
        <f t="array" ref="B11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A-055-185m</v>
      </c>
      <c r="C111" s="255"/>
      <c r="D111" s="255" t="s">
        <v>48</v>
      </c>
      <c r="E111" s="270" t="s">
        <v>4848</v>
      </c>
      <c r="F111" s="270" t="s">
        <v>3295</v>
      </c>
      <c r="G111" s="270" t="s">
        <v>3299</v>
      </c>
      <c r="H111" s="271">
        <v>46133</v>
      </c>
      <c r="I111" s="257">
        <v>0.79166666666666663</v>
      </c>
      <c r="J111" s="255" t="s">
        <v>3586</v>
      </c>
      <c r="K111" s="221" t="s">
        <v>3023</v>
      </c>
      <c r="L111" s="241" t="s">
        <v>3073</v>
      </c>
      <c r="M111" s="242" t="str">
        <f>VLOOKUP(LO_Logfile[[#This Row],[Material Name]],Sheet2!B:D,2,0)</f>
        <v>ZTE2001</v>
      </c>
      <c r="N111" s="316" t="s">
        <v>20</v>
      </c>
      <c r="O111" s="255">
        <v>185</v>
      </c>
      <c r="P111" s="255"/>
      <c r="Q111" s="255"/>
      <c r="R111" s="255"/>
      <c r="S111" s="255"/>
      <c r="T111" s="255"/>
      <c r="U111" s="255"/>
      <c r="V111" s="255"/>
      <c r="W111" s="255"/>
      <c r="X111" s="255"/>
      <c r="Y111" s="258"/>
      <c r="Z111" s="286"/>
      <c r="AA111" s="259" t="s">
        <v>4864</v>
      </c>
      <c r="AB111" s="27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11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111" s="540" t="str">
        <f>LO_Logfile[[#This Row],[Material Name]]&amp;"_"&amp;LO_Logfile[[#This Row],[Qty]]</f>
        <v>ADSS 24C_185</v>
      </c>
      <c r="AE111" s="540" t="e">
        <f>VLOOKUP(LO_Logfile[[#This Row],[looK]],MANUAL!F:F,1,0)</f>
        <v>#N/A</v>
      </c>
      <c r="AF111" s="540" t="str">
        <f>LO_Logfile[[#This Row],[Material Name]]&amp;LO_Logfile[[#This Row],[Qty]]&amp;"_"&amp;LO_Logfile[[#This Row],[In-Out Qty]]</f>
        <v>ADSS 24C185_1</v>
      </c>
      <c r="AG111" s="554" t="str">
        <f>VLOOKUP(LO_Logfile[[#This Row],[Material Name]]&amp;LO_Logfile[[#This Row],[Qty]]&amp;"_"&amp;-2+LO_Logfile[[#This Row],[In-Out Qty]],AF:AF,1,0)</f>
        <v>ADSS 24C185_-1</v>
      </c>
    </row>
    <row r="112" spans="1:33" ht="14.5">
      <c r="A112" s="268" t="str">
        <f t="shared" si="3"/>
        <v>108</v>
      </c>
      <c r="B112" s="545" t="str" cm="1">
        <f t="array" ref="B11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A-056-1000m</v>
      </c>
      <c r="C112" s="255"/>
      <c r="D112" s="270" t="s">
        <v>49</v>
      </c>
      <c r="E112" s="270" t="s">
        <v>4845</v>
      </c>
      <c r="F112" s="270" t="s">
        <v>3295</v>
      </c>
      <c r="G112" s="270" t="s">
        <v>3299</v>
      </c>
      <c r="H112" s="271">
        <v>46133</v>
      </c>
      <c r="I112" s="257">
        <v>0.79166666666666663</v>
      </c>
      <c r="J112" s="255" t="s">
        <v>4963</v>
      </c>
      <c r="K112" s="221" t="s">
        <v>3023</v>
      </c>
      <c r="L112" s="241" t="s">
        <v>3073</v>
      </c>
      <c r="M112" s="242" t="str">
        <f>VLOOKUP(LO_Logfile[[#This Row],[Material Name]],Sheet2!B:D,2,0)</f>
        <v>ZTE2001</v>
      </c>
      <c r="N112" s="316" t="s">
        <v>20</v>
      </c>
      <c r="O112" s="270">
        <v>1000</v>
      </c>
      <c r="P112" s="270" t="s">
        <v>4847</v>
      </c>
      <c r="Q112" s="270" t="s">
        <v>4846</v>
      </c>
      <c r="R112" s="255"/>
      <c r="S112" s="255"/>
      <c r="T112" s="255"/>
      <c r="U112" s="255" t="s">
        <v>3258</v>
      </c>
      <c r="V112" s="255">
        <v>0</v>
      </c>
      <c r="W112" s="255" t="s">
        <v>3337</v>
      </c>
      <c r="X112" s="255" t="s">
        <v>3338</v>
      </c>
      <c r="Y112" s="258"/>
      <c r="Z112" s="286"/>
      <c r="AA112" s="259"/>
      <c r="AB112" s="273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12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12" s="540" t="str">
        <f>LO_Logfile[[#This Row],[Material Name]]&amp;"_"&amp;LO_Logfile[[#This Row],[Qty]]</f>
        <v>ADSS 24C_1000</v>
      </c>
      <c r="AE112" s="540" t="e">
        <f>VLOOKUP(LO_Logfile[[#This Row],[looK]],MANUAL!F:F,1,0)</f>
        <v>#N/A</v>
      </c>
      <c r="AF112" s="542" t="str">
        <f>LO_Logfile[[#This Row],[Material Name]]&amp;LO_Logfile[[#This Row],[Qty]]&amp;"_"&amp;LO_Logfile[[#This Row],[In-Out Qty]]</f>
        <v>ADSS 24C1000_-1</v>
      </c>
      <c r="AG112" s="552" t="e">
        <f>VLOOKUP(LO_Logfile[[#This Row],[Material Name]]&amp;LO_Logfile[[#This Row],[Qty]]&amp;"_"&amp;-2+LO_Logfile[[#This Row],[In-Out Qty]],AF:AF,1,0)</f>
        <v>#N/A</v>
      </c>
    </row>
    <row r="113" spans="1:33" ht="14.5">
      <c r="A113" s="268" t="str">
        <f t="shared" si="3"/>
        <v>109</v>
      </c>
      <c r="B113" s="269" t="str" cm="1">
        <f t="array" ref="B11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A-057-500m</v>
      </c>
      <c r="C113" s="255"/>
      <c r="D113" s="270" t="s">
        <v>49</v>
      </c>
      <c r="E113" s="270" t="s">
        <v>4897</v>
      </c>
      <c r="F113" s="270" t="s">
        <v>3295</v>
      </c>
      <c r="G113" s="270" t="s">
        <v>3299</v>
      </c>
      <c r="H113" s="271">
        <v>46134</v>
      </c>
      <c r="I113" s="257">
        <v>0.79166666666666663</v>
      </c>
      <c r="J113" s="255" t="s">
        <v>4963</v>
      </c>
      <c r="K113" s="221" t="s">
        <v>3023</v>
      </c>
      <c r="L113" s="241" t="s">
        <v>3073</v>
      </c>
      <c r="M113" s="242" t="str">
        <f>VLOOKUP(LO_Logfile[[#This Row],[Material Name]],Sheet2!B:D,2,0)</f>
        <v>ZTE2001</v>
      </c>
      <c r="N113" s="316" t="s">
        <v>20</v>
      </c>
      <c r="O113" s="270">
        <v>500</v>
      </c>
      <c r="P113" s="270" t="s">
        <v>4847</v>
      </c>
      <c r="Q113" s="270" t="s">
        <v>4846</v>
      </c>
      <c r="R113" s="255"/>
      <c r="S113" s="255"/>
      <c r="T113" s="255"/>
      <c r="U113" s="255" t="s">
        <v>3258</v>
      </c>
      <c r="V113" s="255">
        <v>0</v>
      </c>
      <c r="W113" s="255" t="s">
        <v>3337</v>
      </c>
      <c r="X113" s="255" t="s">
        <v>3338</v>
      </c>
      <c r="Y113" s="258"/>
      <c r="Z113" s="286"/>
      <c r="AA113" s="259"/>
      <c r="AB113" s="273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13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113" s="540" t="str">
        <f>LO_Logfile[[#This Row],[Material Name]]&amp;"_"&amp;LO_Logfile[[#This Row],[Qty]]</f>
        <v>ADSS 24C_500</v>
      </c>
      <c r="AE113" s="540" t="str">
        <f>VLOOKUP(LO_Logfile[[#This Row],[looK]],MANUAL!F:F,1,0)</f>
        <v>ADSS 24C_500</v>
      </c>
      <c r="AF113" s="540" t="str">
        <f>LO_Logfile[[#This Row],[Material Name]]&amp;LO_Logfile[[#This Row],[Qty]]&amp;"_"&amp;LO_Logfile[[#This Row],[In-Out Qty]]</f>
        <v>ADSS 24C500_-1</v>
      </c>
      <c r="AG113" s="551" t="e">
        <f>VLOOKUP(LO_Logfile[[#This Row],[Material Name]]&amp;LO_Logfile[[#This Row],[Qty]]&amp;"_"&amp;-2+LO_Logfile[[#This Row],[In-Out Qty]],AF:AF,1,0)</f>
        <v>#N/A</v>
      </c>
    </row>
    <row r="114" spans="1:33" ht="14.5">
      <c r="A114" s="292" t="str">
        <f t="shared" si="3"/>
        <v>110</v>
      </c>
      <c r="B114" s="546" t="str" cm="1">
        <f t="array" ref="B11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A-058-185m</v>
      </c>
      <c r="C114" s="286"/>
      <c r="D114" s="270" t="s">
        <v>49</v>
      </c>
      <c r="E114" s="270" t="s">
        <v>4897</v>
      </c>
      <c r="F114" s="287" t="s">
        <v>3295</v>
      </c>
      <c r="G114" s="287" t="s">
        <v>3299</v>
      </c>
      <c r="H114" s="271">
        <v>46134</v>
      </c>
      <c r="I114" s="257">
        <v>0.79166666666666663</v>
      </c>
      <c r="J114" s="286" t="s">
        <v>4963</v>
      </c>
      <c r="K114" s="221" t="s">
        <v>3023</v>
      </c>
      <c r="L114" s="241" t="s">
        <v>3073</v>
      </c>
      <c r="M114" s="333" t="str">
        <f>VLOOKUP(LO_Logfile[[#This Row],[Material Name]],Sheet2!B:D,2,0)</f>
        <v>ZTE2001</v>
      </c>
      <c r="N114" s="316" t="s">
        <v>20</v>
      </c>
      <c r="O114" s="287">
        <v>185</v>
      </c>
      <c r="P114" s="287" t="s">
        <v>4847</v>
      </c>
      <c r="Q114" s="287" t="s">
        <v>4846</v>
      </c>
      <c r="R114" s="286"/>
      <c r="S114" s="286"/>
      <c r="T114" s="286"/>
      <c r="U114" s="286" t="s">
        <v>3258</v>
      </c>
      <c r="V114" s="286">
        <v>0</v>
      </c>
      <c r="W114" s="286" t="s">
        <v>3337</v>
      </c>
      <c r="X114" s="286" t="s">
        <v>3338</v>
      </c>
      <c r="Y114" s="259"/>
      <c r="Z114" s="286"/>
      <c r="AA114" s="259"/>
      <c r="AB114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14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114" s="540" t="str">
        <f>LO_Logfile[[#This Row],[Material Name]]&amp;"_"&amp;LO_Logfile[[#This Row],[Qty]]</f>
        <v>ADSS 24C_185</v>
      </c>
      <c r="AE114" s="540" t="e">
        <f>VLOOKUP(LO_Logfile[[#This Row],[looK]],MANUAL!F:F,1,0)</f>
        <v>#N/A</v>
      </c>
      <c r="AF114" s="540" t="str">
        <f>LO_Logfile[[#This Row],[Material Name]]&amp;LO_Logfile[[#This Row],[Qty]]&amp;"_"&amp;LO_Logfile[[#This Row],[In-Out Qty]]</f>
        <v>ADSS 24C185_-1</v>
      </c>
      <c r="AG114" s="554" t="e">
        <f>VLOOKUP(LO_Logfile[[#This Row],[Material Name]]&amp;LO_Logfile[[#This Row],[Qty]]&amp;"_"&amp;-2+LO_Logfile[[#This Row],[In-Out Qty]],AF:AF,1,0)</f>
        <v>#N/A</v>
      </c>
    </row>
    <row r="115" spans="1:33" ht="14.5">
      <c r="A115" s="304" t="str">
        <f t="shared" si="3"/>
        <v>111</v>
      </c>
      <c r="B115" s="546" t="str" cm="1">
        <f t="array" ref="B11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A-059-1300m</v>
      </c>
      <c r="C115" s="249"/>
      <c r="D115" s="221" t="s">
        <v>48</v>
      </c>
      <c r="E115" s="221" t="s">
        <v>5349</v>
      </c>
      <c r="F115" s="287" t="s">
        <v>3295</v>
      </c>
      <c r="G115" s="287" t="s">
        <v>3299</v>
      </c>
      <c r="H115" s="282">
        <v>46165</v>
      </c>
      <c r="I115" s="223">
        <v>0.33333333333333331</v>
      </c>
      <c r="J115" s="249" t="s">
        <v>3295</v>
      </c>
      <c r="K115" s="221" t="s">
        <v>3023</v>
      </c>
      <c r="L115" s="241" t="s">
        <v>3073</v>
      </c>
      <c r="M115" s="469" t="s">
        <v>4</v>
      </c>
      <c r="N115" s="314" t="s">
        <v>20</v>
      </c>
      <c r="O115" s="249">
        <v>1300</v>
      </c>
      <c r="P115" s="249" t="s">
        <v>4870</v>
      </c>
      <c r="Q115" s="249" t="s">
        <v>4871</v>
      </c>
      <c r="R115" s="249"/>
      <c r="S115" s="249" t="s">
        <v>5039</v>
      </c>
      <c r="T115" s="249"/>
      <c r="U115" s="249"/>
      <c r="V115" s="249"/>
      <c r="W115" s="249"/>
      <c r="X115" s="249"/>
      <c r="Y115" s="296"/>
      <c r="Z115" s="250" t="s">
        <v>5039</v>
      </c>
      <c r="AA115" s="296"/>
      <c r="AB115" s="30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15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15" s="540" t="str">
        <f>LO_Logfile[[#This Row],[Material Name]]&amp;"_"&amp;LO_Logfile[[#This Row],[Qty]]</f>
        <v>ADSS 24C_1300</v>
      </c>
      <c r="AE115" s="540" t="e">
        <f>VLOOKUP(LO_Logfile[[#This Row],[looK]],MANUAL!F:F,1,0)</f>
        <v>#N/A</v>
      </c>
      <c r="AF115" s="540" t="str">
        <f>LO_Logfile[[#This Row],[Material Name]]&amp;LO_Logfile[[#This Row],[Qty]]&amp;"_"&amp;LO_Logfile[[#This Row],[In-Out Qty]]</f>
        <v>ADSS 24C1300_1</v>
      </c>
      <c r="AG115" s="552" t="str">
        <f>VLOOKUP(LO_Logfile[[#This Row],[Material Name]]&amp;LO_Logfile[[#This Row],[Qty]]&amp;"_"&amp;-2+LO_Logfile[[#This Row],[In-Out Qty]],AF:AF,1,0)</f>
        <v>ADSS 24C1300_-1</v>
      </c>
    </row>
    <row r="116" spans="1:33" ht="14.5">
      <c r="A116" s="298" t="str">
        <f t="shared" si="3"/>
        <v>112</v>
      </c>
      <c r="B116" s="299" t="str" cm="1">
        <f t="array" ref="B11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A-060-300m</v>
      </c>
      <c r="C116" s="293"/>
      <c r="D116" s="293" t="s">
        <v>48</v>
      </c>
      <c r="E116" s="250" t="s">
        <v>4907</v>
      </c>
      <c r="F116" s="250" t="s">
        <v>3295</v>
      </c>
      <c r="G116" s="250" t="s">
        <v>3299</v>
      </c>
      <c r="H116" s="303">
        <v>46193</v>
      </c>
      <c r="I116" s="251">
        <v>0.33333333333333331</v>
      </c>
      <c r="J116" s="293" t="s">
        <v>3586</v>
      </c>
      <c r="K116" s="249" t="s">
        <v>3023</v>
      </c>
      <c r="L116" s="241" t="s">
        <v>3073</v>
      </c>
      <c r="M116" s="333" t="str">
        <f>VLOOKUP(LO_Logfile[[#This Row],[Material Name]],Sheet2!B:D,2,0)</f>
        <v>ZTE2001</v>
      </c>
      <c r="N116" s="315" t="s">
        <v>20</v>
      </c>
      <c r="O116" s="293">
        <v>300</v>
      </c>
      <c r="P116" s="293" t="s">
        <v>4898</v>
      </c>
      <c r="Q116" s="293" t="s">
        <v>4900</v>
      </c>
      <c r="R116" s="293"/>
      <c r="S116" s="293"/>
      <c r="T116" s="293"/>
      <c r="U116" s="286" t="s">
        <v>3258</v>
      </c>
      <c r="V116" s="286">
        <v>0</v>
      </c>
      <c r="W116" s="286" t="s">
        <v>3337</v>
      </c>
      <c r="X116" s="286" t="s">
        <v>3338</v>
      </c>
      <c r="Y116" s="266"/>
      <c r="Z116" s="293"/>
      <c r="AA116" s="266"/>
      <c r="AB116" s="3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16" s="3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116" s="540" t="str">
        <f>LO_Logfile[[#This Row],[Material Name]]&amp;"_"&amp;LO_Logfile[[#This Row],[Qty]]</f>
        <v>ADSS 24C_300</v>
      </c>
      <c r="AE116" s="540" t="str">
        <f>VLOOKUP(LO_Logfile[[#This Row],[looK]],MANUAL!F:F,1,0)</f>
        <v>ADSS 24C_300</v>
      </c>
      <c r="AF116" s="540" t="str">
        <f>LO_Logfile[[#This Row],[Material Name]]&amp;LO_Logfile[[#This Row],[Qty]]&amp;"_"&amp;LO_Logfile[[#This Row],[In-Out Qty]]</f>
        <v>ADSS 24C300_1</v>
      </c>
      <c r="AG116" s="553" t="e">
        <f>VLOOKUP(LO_Logfile[[#This Row],[Material Name]]&amp;LO_Logfile[[#This Row],[Qty]]&amp;"_"&amp;-2+LO_Logfile[[#This Row],[In-Out Qty]],AF:AF,1,0)</f>
        <v>#N/A</v>
      </c>
    </row>
    <row r="117" spans="1:33" ht="14.5">
      <c r="A117" s="274" t="str">
        <f t="shared" si="3"/>
        <v>113</v>
      </c>
      <c r="B117" s="548" t="str" cm="1">
        <f t="array" ref="B11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A-061-850m</v>
      </c>
      <c r="C117" s="262"/>
      <c r="D117" s="250" t="s">
        <v>49</v>
      </c>
      <c r="E117" s="250" t="s">
        <v>4906</v>
      </c>
      <c r="F117" s="250" t="s">
        <v>3295</v>
      </c>
      <c r="G117" s="250" t="s">
        <v>3299</v>
      </c>
      <c r="H117" s="303">
        <v>46193</v>
      </c>
      <c r="I117" s="251">
        <v>0.33333333333333331</v>
      </c>
      <c r="J117" s="250" t="s">
        <v>3295</v>
      </c>
      <c r="K117" s="249" t="s">
        <v>3023</v>
      </c>
      <c r="L117" s="241" t="s">
        <v>3073</v>
      </c>
      <c r="M117" s="242" t="str">
        <f>VLOOKUP(LO_Logfile[[#This Row],[Material Name]],Sheet2!B:D,2,0)</f>
        <v>ZTE2001</v>
      </c>
      <c r="N117" s="315" t="s">
        <v>20</v>
      </c>
      <c r="O117" s="262">
        <v>850</v>
      </c>
      <c r="P117" s="293" t="s">
        <v>4898</v>
      </c>
      <c r="Q117" s="293" t="s">
        <v>4900</v>
      </c>
      <c r="R117" s="293"/>
      <c r="S117" s="293"/>
      <c r="T117" s="293"/>
      <c r="U117" s="286" t="s">
        <v>3258</v>
      </c>
      <c r="V117" s="286">
        <v>0</v>
      </c>
      <c r="W117" s="286" t="s">
        <v>3337</v>
      </c>
      <c r="X117" s="286" t="s">
        <v>3338</v>
      </c>
      <c r="Y117" s="266"/>
      <c r="Z117" s="293"/>
      <c r="AA117" s="266"/>
      <c r="AB117" s="277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17" s="27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117" s="540" t="str">
        <f>LO_Logfile[[#This Row],[Material Name]]&amp;"_"&amp;LO_Logfile[[#This Row],[Qty]]</f>
        <v>ADSS 24C_850</v>
      </c>
      <c r="AE117" s="540" t="e">
        <f>VLOOKUP(LO_Logfile[[#This Row],[looK]],MANUAL!F:F,1,0)</f>
        <v>#N/A</v>
      </c>
      <c r="AF117" s="540" t="str">
        <f>LO_Logfile[[#This Row],[Material Name]]&amp;LO_Logfile[[#This Row],[Qty]]&amp;"_"&amp;LO_Logfile[[#This Row],[In-Out Qty]]</f>
        <v>ADSS 24C850_-1</v>
      </c>
      <c r="AG117" s="554" t="e">
        <f>VLOOKUP(LO_Logfile[[#This Row],[Material Name]]&amp;LO_Logfile[[#This Row],[Qty]]&amp;"_"&amp;-2+LO_Logfile[[#This Row],[In-Out Qty]],AF:AF,1,0)</f>
        <v>#N/A</v>
      </c>
    </row>
    <row r="118" spans="1:33" ht="14.5">
      <c r="A118" s="292" t="str">
        <f t="shared" si="3"/>
        <v>114</v>
      </c>
      <c r="B118" s="546" t="str" cm="1">
        <f t="array" ref="B11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E-012-1375m</v>
      </c>
      <c r="C118" s="286"/>
      <c r="D118" s="287" t="s">
        <v>49</v>
      </c>
      <c r="E118" s="287" t="s">
        <v>4906</v>
      </c>
      <c r="F118" s="287" t="s">
        <v>3295</v>
      </c>
      <c r="G118" s="287" t="s">
        <v>3299</v>
      </c>
      <c r="H118" s="288">
        <v>46193</v>
      </c>
      <c r="I118" s="289">
        <v>0.33333333333333331</v>
      </c>
      <c r="J118" s="270" t="s">
        <v>3295</v>
      </c>
      <c r="K118" s="249" t="s">
        <v>3023</v>
      </c>
      <c r="L118" s="241" t="s">
        <v>3074</v>
      </c>
      <c r="M118" s="333" t="str">
        <f>VLOOKUP(LO_Logfile[[#This Row],[Material Name]],Sheet2!B:D,2,0)</f>
        <v>ZTE2002</v>
      </c>
      <c r="N118" s="317" t="s">
        <v>20</v>
      </c>
      <c r="O118" s="286">
        <v>1375</v>
      </c>
      <c r="P118" s="255" t="s">
        <v>4898</v>
      </c>
      <c r="Q118" s="255" t="s">
        <v>4900</v>
      </c>
      <c r="R118" s="258"/>
      <c r="S118" s="259"/>
      <c r="T118" s="272"/>
      <c r="U118" s="272"/>
      <c r="V118" s="286"/>
      <c r="W118" s="286"/>
      <c r="X118" s="286"/>
      <c r="Y118" s="259"/>
      <c r="Z118" s="272"/>
      <c r="AA118" s="259"/>
      <c r="AB118" s="291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18" s="29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18" s="540" t="str">
        <f>LO_Logfile[[#This Row],[Material Name]]&amp;"_"&amp;LO_Logfile[[#This Row],[Qty]]</f>
        <v>ADSS 36C_1375</v>
      </c>
      <c r="AE118" s="540" t="e">
        <f>VLOOKUP(LO_Logfile[[#This Row],[looK]],MANUAL!F:F,1,0)</f>
        <v>#N/A</v>
      </c>
      <c r="AF118" s="540" t="str">
        <f>LO_Logfile[[#This Row],[Material Name]]&amp;LO_Logfile[[#This Row],[Qty]]&amp;"_"&amp;LO_Logfile[[#This Row],[In-Out Qty]]</f>
        <v>ADSS 36C1375_-1</v>
      </c>
      <c r="AG118" s="552" t="e">
        <f>VLOOKUP(LO_Logfile[[#This Row],[Material Name]]&amp;LO_Logfile[[#This Row],[Qty]]&amp;"_"&amp;-2+LO_Logfile[[#This Row],[In-Out Qty]],AF:AF,1,0)</f>
        <v>#N/A</v>
      </c>
    </row>
    <row r="119" spans="1:33" ht="14.5">
      <c r="A119" s="304" t="str">
        <f t="shared" si="3"/>
        <v>115</v>
      </c>
      <c r="B119" s="546" t="str" cm="1">
        <f t="array" ref="B11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A-062-1000m</v>
      </c>
      <c r="C119" s="249"/>
      <c r="D119" s="249" t="s">
        <v>49</v>
      </c>
      <c r="E119" s="249" t="s">
        <v>4906</v>
      </c>
      <c r="F119" s="287" t="s">
        <v>3295</v>
      </c>
      <c r="G119" s="287" t="s">
        <v>3299</v>
      </c>
      <c r="H119" s="288">
        <v>46193</v>
      </c>
      <c r="I119" s="289">
        <v>0.33333333333333331</v>
      </c>
      <c r="J119" s="286" t="s">
        <v>4963</v>
      </c>
      <c r="K119" s="249" t="s">
        <v>3023</v>
      </c>
      <c r="L119" s="241" t="s">
        <v>3073</v>
      </c>
      <c r="M119" s="333" t="str">
        <f>VLOOKUP(LO_Logfile[[#This Row],[Material Name]],Sheet2!B:D,2,0)</f>
        <v>ZTE2001</v>
      </c>
      <c r="N119" s="316" t="s">
        <v>20</v>
      </c>
      <c r="O119" s="469">
        <v>1000</v>
      </c>
      <c r="P119" s="470" t="s">
        <v>4898</v>
      </c>
      <c r="Q119" s="249" t="s">
        <v>4900</v>
      </c>
      <c r="R119" s="249"/>
      <c r="S119" s="249" t="s">
        <v>5039</v>
      </c>
      <c r="T119" s="249"/>
      <c r="U119" s="249"/>
      <c r="V119" s="249"/>
      <c r="W119" s="249"/>
      <c r="X119" s="249"/>
      <c r="Y119" s="296"/>
      <c r="Z119" s="320" t="s">
        <v>5039</v>
      </c>
      <c r="AA119" s="296"/>
      <c r="AB119" s="30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19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19" s="540" t="str">
        <f>LO_Logfile[[#This Row],[Material Name]]&amp;"_"&amp;LO_Logfile[[#This Row],[Qty]]</f>
        <v>ADSS 24C_1000</v>
      </c>
      <c r="AE119" s="540" t="e">
        <f>VLOOKUP(LO_Logfile[[#This Row],[looK]],MANUAL!F:F,1,0)</f>
        <v>#N/A</v>
      </c>
      <c r="AF119" s="540" t="str">
        <f>LO_Logfile[[#This Row],[Material Name]]&amp;LO_Logfile[[#This Row],[Qty]]&amp;"_"&amp;LO_Logfile[[#This Row],[In-Out Qty]]</f>
        <v>ADSS 24C1000_-1</v>
      </c>
      <c r="AG119" s="552" t="e">
        <f>VLOOKUP(LO_Logfile[[#This Row],[Material Name]]&amp;LO_Logfile[[#This Row],[Qty]]&amp;"_"&amp;-2+LO_Logfile[[#This Row],[In-Out Qty]],AF:AF,1,0)</f>
        <v>#N/A</v>
      </c>
    </row>
    <row r="120" spans="1:33" ht="14.5">
      <c r="A120" s="304" t="str">
        <f t="shared" si="3"/>
        <v>116</v>
      </c>
      <c r="B120" s="546" t="str" cm="1">
        <f t="array" ref="B12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A-063-1300m</v>
      </c>
      <c r="C120" s="249"/>
      <c r="D120" s="293" t="s">
        <v>48</v>
      </c>
      <c r="E120" s="250" t="s">
        <v>4936</v>
      </c>
      <c r="F120" s="250" t="s">
        <v>3295</v>
      </c>
      <c r="G120" s="250" t="s">
        <v>3299</v>
      </c>
      <c r="H120" s="303">
        <v>46202</v>
      </c>
      <c r="I120" s="251">
        <v>0.33333333333333331</v>
      </c>
      <c r="J120" s="293" t="s">
        <v>3586</v>
      </c>
      <c r="K120" s="249" t="s">
        <v>3023</v>
      </c>
      <c r="L120" s="241" t="s">
        <v>3073</v>
      </c>
      <c r="M120" s="333" t="str">
        <f>VLOOKUP(LO_Logfile[[#This Row],[Material Name]],Sheet2!B:D,2,0)</f>
        <v>ZTE2001</v>
      </c>
      <c r="N120" s="318" t="s">
        <v>20</v>
      </c>
      <c r="O120" s="293">
        <v>1300</v>
      </c>
      <c r="P120" s="293" t="s">
        <v>4902</v>
      </c>
      <c r="Q120" s="293" t="s">
        <v>4903</v>
      </c>
      <c r="R120" s="249"/>
      <c r="S120" s="249"/>
      <c r="T120" s="249"/>
      <c r="U120" s="286" t="s">
        <v>3258</v>
      </c>
      <c r="V120" s="286" t="s">
        <v>4811</v>
      </c>
      <c r="W120" s="286" t="s">
        <v>3337</v>
      </c>
      <c r="X120" s="286" t="s">
        <v>3338</v>
      </c>
      <c r="Y120" s="471" t="s">
        <v>5116</v>
      </c>
      <c r="Z120" s="320" t="s">
        <v>5040</v>
      </c>
      <c r="AA120" s="296" t="s">
        <v>5115</v>
      </c>
      <c r="AB120" s="30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20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20" s="540" t="str">
        <f>LO_Logfile[[#This Row],[Material Name]]&amp;"_"&amp;LO_Logfile[[#This Row],[Qty]]</f>
        <v>ADSS 24C_1300</v>
      </c>
      <c r="AE120" s="540" t="e">
        <f>VLOOKUP(LO_Logfile[[#This Row],[looK]],MANUAL!F:F,1,0)</f>
        <v>#N/A</v>
      </c>
      <c r="AF120" s="540" t="str">
        <f>LO_Logfile[[#This Row],[Material Name]]&amp;LO_Logfile[[#This Row],[Qty]]&amp;"_"&amp;LO_Logfile[[#This Row],[In-Out Qty]]</f>
        <v>ADSS 24C1300_1</v>
      </c>
      <c r="AG120" s="552" t="str">
        <f>VLOOKUP(LO_Logfile[[#This Row],[Material Name]]&amp;LO_Logfile[[#This Row],[Qty]]&amp;"_"&amp;-2+LO_Logfile[[#This Row],[In-Out Qty]],AF:AF,1,0)</f>
        <v>ADSS 24C1300_-1</v>
      </c>
    </row>
    <row r="121" spans="1:33" ht="14.5">
      <c r="A121" s="304" t="str">
        <f t="shared" si="3"/>
        <v>117</v>
      </c>
      <c r="B121" s="546" t="str" cm="1">
        <f t="array" ref="B12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B-028-300m</v>
      </c>
      <c r="C121" s="249"/>
      <c r="D121" s="250" t="s">
        <v>48</v>
      </c>
      <c r="E121" s="250" t="s">
        <v>4938</v>
      </c>
      <c r="F121" s="250" t="s">
        <v>3295</v>
      </c>
      <c r="G121" s="250" t="s">
        <v>3299</v>
      </c>
      <c r="H121" s="303">
        <v>46203</v>
      </c>
      <c r="I121" s="251">
        <v>0.33333333333333331</v>
      </c>
      <c r="J121" s="293" t="s">
        <v>3586</v>
      </c>
      <c r="K121" s="249" t="s">
        <v>3023</v>
      </c>
      <c r="L121" s="241" t="s">
        <v>3075</v>
      </c>
      <c r="M121" s="333" t="str">
        <f>VLOOKUP(LO_Logfile[[#This Row],[Material Name]],Sheet2!B:D,2,0)</f>
        <v>ZTE2003</v>
      </c>
      <c r="N121" s="252" t="s">
        <v>20</v>
      </c>
      <c r="O121" s="250">
        <v>300</v>
      </c>
      <c r="P121" s="250" t="s">
        <v>4902</v>
      </c>
      <c r="Q121" s="250" t="s">
        <v>4903</v>
      </c>
      <c r="R121" s="249"/>
      <c r="S121" s="249"/>
      <c r="T121" s="249"/>
      <c r="U121" s="286" t="s">
        <v>3258</v>
      </c>
      <c r="V121" s="286" t="s">
        <v>4811</v>
      </c>
      <c r="W121" s="286" t="s">
        <v>3337</v>
      </c>
      <c r="X121" s="286" t="s">
        <v>3338</v>
      </c>
      <c r="Y121" s="296" t="s">
        <v>5117</v>
      </c>
      <c r="Z121" s="320" t="s">
        <v>5094</v>
      </c>
      <c r="AA121" s="296"/>
      <c r="AB121" s="30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21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121" s="540" t="str">
        <f>LO_Logfile[[#This Row],[Material Name]]&amp;"_"&amp;LO_Logfile[[#This Row],[Qty]]</f>
        <v>ADSS 48C_300</v>
      </c>
      <c r="AE121" s="540" t="e">
        <f>VLOOKUP(LO_Logfile[[#This Row],[looK]],MANUAL!F:F,1,0)</f>
        <v>#N/A</v>
      </c>
      <c r="AF121" s="540" t="str">
        <f>LO_Logfile[[#This Row],[Material Name]]&amp;LO_Logfile[[#This Row],[Qty]]&amp;"_"&amp;LO_Logfile[[#This Row],[In-Out Qty]]</f>
        <v>ADSS 48C300_1</v>
      </c>
      <c r="AG121" s="554" t="e">
        <f>VLOOKUP(LO_Logfile[[#This Row],[Material Name]]&amp;LO_Logfile[[#This Row],[Qty]]&amp;"_"&amp;-2+LO_Logfile[[#This Row],[In-Out Qty]],AF:AF,1,0)</f>
        <v>#N/A</v>
      </c>
    </row>
    <row r="122" spans="1:33" ht="14.5">
      <c r="A122" s="304" t="str">
        <f t="shared" si="3"/>
        <v>118</v>
      </c>
      <c r="B122" s="305" t="str" cm="1">
        <f t="array" ref="B12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A-064-1900m</v>
      </c>
      <c r="C122" s="249"/>
      <c r="D122" s="250" t="s">
        <v>48</v>
      </c>
      <c r="E122" s="250" t="s">
        <v>5129</v>
      </c>
      <c r="F122" s="250" t="s">
        <v>3295</v>
      </c>
      <c r="G122" s="250" t="s">
        <v>3299</v>
      </c>
      <c r="H122" s="303">
        <v>46212</v>
      </c>
      <c r="I122" s="251">
        <v>0.25</v>
      </c>
      <c r="J122" s="293" t="s">
        <v>3586</v>
      </c>
      <c r="K122" s="250" t="s">
        <v>3023</v>
      </c>
      <c r="L122" s="241" t="s">
        <v>3073</v>
      </c>
      <c r="M122" s="242" t="str">
        <f>VLOOKUP(LO_Logfile[[#This Row],[Material Name]],Sheet2!B:D,2,0)</f>
        <v>ZTE2001</v>
      </c>
      <c r="N122" s="252" t="s">
        <v>20</v>
      </c>
      <c r="O122" s="333">
        <v>1900</v>
      </c>
      <c r="P122" s="249" t="s">
        <v>5122</v>
      </c>
      <c r="Q122" s="249" t="s">
        <v>5125</v>
      </c>
      <c r="R122" s="249"/>
      <c r="S122" s="249"/>
      <c r="T122" s="249"/>
      <c r="U122" s="286" t="s">
        <v>3258</v>
      </c>
      <c r="V122" s="286" t="s">
        <v>4811</v>
      </c>
      <c r="W122" s="286" t="s">
        <v>3337</v>
      </c>
      <c r="X122" s="286" t="s">
        <v>3338</v>
      </c>
      <c r="Y122" s="296"/>
      <c r="Z122" s="335" t="s">
        <v>5130</v>
      </c>
      <c r="AA122" s="296"/>
      <c r="AB122" s="30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22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  <c r="AD122" s="540" t="str">
        <f>LO_Logfile[[#This Row],[Material Name]]&amp;"_"&amp;LO_Logfile[[#This Row],[Qty]]</f>
        <v>ADSS 24C_1900</v>
      </c>
      <c r="AE122" s="540" t="str">
        <f>VLOOKUP(LO_Logfile[[#This Row],[looK]],MANUAL!F:F,1,0)</f>
        <v>ADSS 24C_1900</v>
      </c>
      <c r="AF122" s="540" t="str">
        <f>LO_Logfile[[#This Row],[Material Name]]&amp;LO_Logfile[[#This Row],[Qty]]&amp;"_"&amp;LO_Logfile[[#This Row],[In-Out Qty]]</f>
        <v>ADSS 24C1900_1</v>
      </c>
      <c r="AG122" s="553" t="e">
        <f>VLOOKUP(LO_Logfile[[#This Row],[Material Name]]&amp;LO_Logfile[[#This Row],[Qty]]&amp;"_"&amp;-2+LO_Logfile[[#This Row],[In-Out Qty]],AF:AF,1,0)</f>
        <v>#N/A</v>
      </c>
    </row>
    <row r="123" spans="1:33" ht="14.5">
      <c r="A123" s="304" t="str">
        <f t="shared" si="3"/>
        <v>119</v>
      </c>
      <c r="B123" s="546" t="str" cm="1">
        <f t="array" ref="B12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A-065-1300m</v>
      </c>
      <c r="C123" s="249"/>
      <c r="D123" s="250" t="s">
        <v>49</v>
      </c>
      <c r="E123" s="250" t="s">
        <v>5126</v>
      </c>
      <c r="F123" s="250" t="s">
        <v>3295</v>
      </c>
      <c r="G123" s="250" t="s">
        <v>3299</v>
      </c>
      <c r="H123" s="303">
        <v>46214</v>
      </c>
      <c r="I123" s="251">
        <v>0.25</v>
      </c>
      <c r="J123" s="250" t="s">
        <v>3295</v>
      </c>
      <c r="K123" s="250" t="s">
        <v>3023</v>
      </c>
      <c r="L123" s="241" t="s">
        <v>3073</v>
      </c>
      <c r="M123" s="333" t="str">
        <f>VLOOKUP(LO_Logfile[[#This Row],[Material Name]],Sheet2!B:D,2,0)</f>
        <v>ZTE2001</v>
      </c>
      <c r="N123" s="318" t="s">
        <v>20</v>
      </c>
      <c r="O123" s="293">
        <v>1300</v>
      </c>
      <c r="P123" s="250" t="s">
        <v>5122</v>
      </c>
      <c r="Q123" s="250" t="s">
        <v>5125</v>
      </c>
      <c r="R123" s="249"/>
      <c r="S123" s="249"/>
      <c r="T123" s="249"/>
      <c r="U123" s="286" t="s">
        <v>3258</v>
      </c>
      <c r="V123" s="286" t="s">
        <v>4811</v>
      </c>
      <c r="W123" s="286" t="s">
        <v>3337</v>
      </c>
      <c r="X123" s="286" t="s">
        <v>3338</v>
      </c>
      <c r="Y123" s="296"/>
      <c r="Z123" s="221" t="s">
        <v>5040</v>
      </c>
      <c r="AA123" s="296"/>
      <c r="AB123" s="30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23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23" s="540" t="str">
        <f>LO_Logfile[[#This Row],[Material Name]]&amp;"_"&amp;LO_Logfile[[#This Row],[Qty]]</f>
        <v>ADSS 24C_1300</v>
      </c>
      <c r="AE123" s="540" t="e">
        <f>VLOOKUP(LO_Logfile[[#This Row],[looK]],MANUAL!F:F,1,0)</f>
        <v>#N/A</v>
      </c>
      <c r="AF123" s="540" t="str">
        <f>LO_Logfile[[#This Row],[Material Name]]&amp;LO_Logfile[[#This Row],[Qty]]&amp;"_"&amp;LO_Logfile[[#This Row],[In-Out Qty]]</f>
        <v>ADSS 24C1300_-1</v>
      </c>
      <c r="AG123" s="552" t="e">
        <f>VLOOKUP(LO_Logfile[[#This Row],[Material Name]]&amp;LO_Logfile[[#This Row],[Qty]]&amp;"_"&amp;-2+LO_Logfile[[#This Row],[In-Out Qty]],AF:AF,1,0)</f>
        <v>#N/A</v>
      </c>
    </row>
    <row r="124" spans="1:33" ht="14.5">
      <c r="A124" s="304" t="str">
        <f t="shared" si="3"/>
        <v>120</v>
      </c>
      <c r="B124" s="305" t="str" cm="1">
        <f t="array" ref="B12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A-066-500m</v>
      </c>
      <c r="C124" s="249"/>
      <c r="D124" s="250" t="s">
        <v>48</v>
      </c>
      <c r="E124" s="250" t="s">
        <v>5359</v>
      </c>
      <c r="F124" s="250" t="s">
        <v>3295</v>
      </c>
      <c r="G124" s="250" t="s">
        <v>3299</v>
      </c>
      <c r="H124" s="303">
        <v>46221</v>
      </c>
      <c r="I124" s="251">
        <v>0.25</v>
      </c>
      <c r="J124" s="293" t="s">
        <v>3586</v>
      </c>
      <c r="K124" s="250" t="s">
        <v>3023</v>
      </c>
      <c r="L124" s="252" t="s">
        <v>3073</v>
      </c>
      <c r="M124" s="536" t="str">
        <f>VLOOKUP(LO_Logfile[[#This Row],[Material Name]],Sheet2!B:D,2,0)</f>
        <v>ZTE2001</v>
      </c>
      <c r="N124" s="252" t="s">
        <v>20</v>
      </c>
      <c r="O124" s="333">
        <v>500</v>
      </c>
      <c r="P124" s="249" t="s">
        <v>5352</v>
      </c>
      <c r="Q124" s="249" t="s">
        <v>5353</v>
      </c>
      <c r="R124" s="249"/>
      <c r="S124" s="249"/>
      <c r="T124" s="249"/>
      <c r="U124" s="249"/>
      <c r="V124" s="249"/>
      <c r="W124" s="249"/>
      <c r="X124" s="249"/>
      <c r="Y124" s="296"/>
      <c r="Z124" s="319" t="s">
        <v>5355</v>
      </c>
      <c r="AA124" s="296"/>
      <c r="AB124" s="30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24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124" s="540" t="str">
        <f>LO_Logfile[[#This Row],[Material Name]]&amp;"_"&amp;LO_Logfile[[#This Row],[Qty]]</f>
        <v>ADSS 24C_500</v>
      </c>
      <c r="AE124" s="540" t="str">
        <f>VLOOKUP(LO_Logfile[[#This Row],[looK]],MANUAL!F:F,1,0)</f>
        <v>ADSS 24C_500</v>
      </c>
      <c r="AF124" s="540" t="str">
        <f>LO_Logfile[[#This Row],[Material Name]]&amp;LO_Logfile[[#This Row],[Qty]]&amp;"_"&amp;LO_Logfile[[#This Row],[In-Out Qty]]</f>
        <v>ADSS 24C500_1</v>
      </c>
      <c r="AG124" s="553" t="str">
        <f>VLOOKUP(LO_Logfile[[#This Row],[Material Name]]&amp;LO_Logfile[[#This Row],[Qty]]&amp;"_"&amp;-2+LO_Logfile[[#This Row],[In-Out Qty]],AF:AF,1,0)</f>
        <v>ADSS 24C500_-1</v>
      </c>
    </row>
    <row r="125" spans="1:33" ht="14.5">
      <c r="A125" s="280" t="str">
        <f t="shared" si="3"/>
        <v>121</v>
      </c>
      <c r="B125" s="281" t="str" cm="1">
        <f t="array" ref="B12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B-029-800m</v>
      </c>
      <c r="C125" s="221"/>
      <c r="D125" s="293" t="s">
        <v>48</v>
      </c>
      <c r="E125" s="293" t="s">
        <v>5376</v>
      </c>
      <c r="F125" s="293" t="s">
        <v>3295</v>
      </c>
      <c r="G125" s="293" t="s">
        <v>3299</v>
      </c>
      <c r="H125" s="300">
        <v>46235</v>
      </c>
      <c r="I125" s="301">
        <v>0.44097222222222221</v>
      </c>
      <c r="J125" s="293" t="s">
        <v>3586</v>
      </c>
      <c r="K125" s="221" t="s">
        <v>4432</v>
      </c>
      <c r="L125" s="221" t="s">
        <v>3075</v>
      </c>
      <c r="M125" s="309" t="str">
        <f>VLOOKUP(LO_Logfile[[#This Row],[Material Name]],Sheet2!B:D,2,0)</f>
        <v>ZTE2003</v>
      </c>
      <c r="N125" s="315" t="s">
        <v>20</v>
      </c>
      <c r="O125" s="221">
        <v>800</v>
      </c>
      <c r="P125" s="221"/>
      <c r="Q125" s="221"/>
      <c r="R125" s="221"/>
      <c r="S125" s="221"/>
      <c r="T125" s="221"/>
      <c r="U125" s="221"/>
      <c r="V125" s="221"/>
      <c r="W125" s="221"/>
      <c r="X125" s="221"/>
      <c r="Y125" s="284"/>
      <c r="Z125" s="319"/>
      <c r="AA125" s="296"/>
      <c r="AB125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25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125" s="552" t="str">
        <f>LO_Logfile[[#This Row],[Material Name]]&amp;"_"&amp;LO_Logfile[[#This Row],[Qty]]</f>
        <v>ADSS 48C_800</v>
      </c>
      <c r="AE125" s="552" t="str">
        <f>VLOOKUP(LO_Logfile[[#This Row],[looK]],MANUAL!F:F,1,0)</f>
        <v>ADSS 48C_800</v>
      </c>
      <c r="AF125" s="552" t="str">
        <f>LO_Logfile[[#This Row],[Material Name]]&amp;LO_Logfile[[#This Row],[Qty]]&amp;"_"&amp;LO_Logfile[[#This Row],[In-Out Qty]]</f>
        <v>ADSS 48C800_1</v>
      </c>
      <c r="AG125" s="552" t="e">
        <f>VLOOKUP(LO_Logfile[[#This Row],[Material Name]]&amp;LO_Logfile[[#This Row],[Qty]]&amp;"_"&amp;-2+LO_Logfile[[#This Row],[In-Out Qty]],AF:AF,1,0)</f>
        <v>#N/A</v>
      </c>
    </row>
    <row r="126" spans="1:33" ht="14.5">
      <c r="A126" s="280" t="str">
        <f t="shared" si="3"/>
        <v>122</v>
      </c>
      <c r="B126" s="281" t="str" cm="1">
        <f t="array" ref="B12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B-030-750m</v>
      </c>
      <c r="C126" s="221"/>
      <c r="D126" s="293" t="s">
        <v>48</v>
      </c>
      <c r="E126" s="293" t="s">
        <v>5376</v>
      </c>
      <c r="F126" s="293" t="s">
        <v>3295</v>
      </c>
      <c r="G126" s="293" t="s">
        <v>3299</v>
      </c>
      <c r="H126" s="300">
        <v>46235</v>
      </c>
      <c r="I126" s="301">
        <v>0.44097222222222221</v>
      </c>
      <c r="J126" s="293" t="s">
        <v>3586</v>
      </c>
      <c r="K126" s="221" t="s">
        <v>4432</v>
      </c>
      <c r="L126" s="221" t="s">
        <v>3075</v>
      </c>
      <c r="M126" s="309" t="str">
        <f>VLOOKUP(LO_Logfile[[#This Row],[Material Name]],Sheet2!B:D,2,0)</f>
        <v>ZTE2003</v>
      </c>
      <c r="N126" s="315" t="s">
        <v>20</v>
      </c>
      <c r="O126" s="221">
        <v>750</v>
      </c>
      <c r="P126" s="221"/>
      <c r="Q126" s="221"/>
      <c r="R126" s="221"/>
      <c r="S126" s="221"/>
      <c r="T126" s="221"/>
      <c r="U126" s="221"/>
      <c r="V126" s="221"/>
      <c r="W126" s="221"/>
      <c r="X126" s="221"/>
      <c r="Y126" s="284"/>
      <c r="Z126" s="319"/>
      <c r="AA126" s="296"/>
      <c r="AB126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26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126" s="552" t="str">
        <f>LO_Logfile[[#This Row],[Material Name]]&amp;"_"&amp;LO_Logfile[[#This Row],[Qty]]</f>
        <v>ADSS 48C_750</v>
      </c>
      <c r="AE126" s="552" t="str">
        <f>VLOOKUP(LO_Logfile[[#This Row],[looK]],MANUAL!F:F,1,0)</f>
        <v>ADSS 48C_750</v>
      </c>
      <c r="AF126" s="552" t="str">
        <f>LO_Logfile[[#This Row],[Material Name]]&amp;LO_Logfile[[#This Row],[Qty]]&amp;"_"&amp;LO_Logfile[[#This Row],[In-Out Qty]]</f>
        <v>ADSS 48C750_1</v>
      </c>
      <c r="AG126" s="552" t="e">
        <f>VLOOKUP(LO_Logfile[[#This Row],[Material Name]]&amp;LO_Logfile[[#This Row],[Qty]]&amp;"_"&amp;-2+LO_Logfile[[#This Row],[In-Out Qty]],AF:AF,1,0)</f>
        <v>#N/A</v>
      </c>
    </row>
    <row r="127" spans="1:33" ht="14.5">
      <c r="A127" s="280" t="str">
        <f t="shared" si="3"/>
        <v>123</v>
      </c>
      <c r="B127" s="281" t="str" cm="1">
        <f t="array" ref="B12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E-013-550m</v>
      </c>
      <c r="C127" s="221"/>
      <c r="D127" s="293" t="s">
        <v>48</v>
      </c>
      <c r="E127" s="293" t="s">
        <v>5376</v>
      </c>
      <c r="F127" s="293" t="s">
        <v>3295</v>
      </c>
      <c r="G127" s="293" t="s">
        <v>3299</v>
      </c>
      <c r="H127" s="300">
        <v>46235</v>
      </c>
      <c r="I127" s="301">
        <v>0.44097222222222221</v>
      </c>
      <c r="J127" s="293" t="s">
        <v>3586</v>
      </c>
      <c r="K127" s="221" t="s">
        <v>4432</v>
      </c>
      <c r="L127" s="221" t="s">
        <v>3074</v>
      </c>
      <c r="M127" s="309" t="str">
        <f>VLOOKUP(LO_Logfile[[#This Row],[Material Name]],Sheet2!B:D,2,0)</f>
        <v>ZTE2002</v>
      </c>
      <c r="N127" s="315" t="s">
        <v>20</v>
      </c>
      <c r="O127" s="221">
        <v>550</v>
      </c>
      <c r="P127" s="221"/>
      <c r="Q127" s="221"/>
      <c r="R127" s="221"/>
      <c r="S127" s="221"/>
      <c r="T127" s="221"/>
      <c r="U127" s="221"/>
      <c r="V127" s="221"/>
      <c r="W127" s="221"/>
      <c r="X127" s="221"/>
      <c r="Y127" s="284"/>
      <c r="Z127" s="319"/>
      <c r="AA127" s="296"/>
      <c r="AB127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27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  <c r="AD127" s="552" t="str">
        <f>LO_Logfile[[#This Row],[Material Name]]&amp;"_"&amp;LO_Logfile[[#This Row],[Qty]]</f>
        <v>ADSS 36C_550</v>
      </c>
      <c r="AE127" s="552" t="str">
        <f>VLOOKUP(LO_Logfile[[#This Row],[looK]],MANUAL!F:F,1,0)</f>
        <v>ADSS 36C_550</v>
      </c>
      <c r="AF127" s="552" t="str">
        <f>LO_Logfile[[#This Row],[Material Name]]&amp;LO_Logfile[[#This Row],[Qty]]&amp;"_"&amp;LO_Logfile[[#This Row],[In-Out Qty]]</f>
        <v>ADSS 36C550_1</v>
      </c>
      <c r="AG127" s="552" t="e">
        <f>VLOOKUP(LO_Logfile[[#This Row],[Material Name]]&amp;LO_Logfile[[#This Row],[Qty]]&amp;"_"&amp;-2+LO_Logfile[[#This Row],[In-Out Qty]],AF:AF,1,0)</f>
        <v>#N/A</v>
      </c>
    </row>
    <row r="128" spans="1:33" ht="14.5">
      <c r="A128" s="280" t="str">
        <f t="shared" si="3"/>
        <v>124</v>
      </c>
      <c r="B128" s="281" t="str" cm="1">
        <f t="array" ref="B12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B-031-400m</v>
      </c>
      <c r="C128" s="221"/>
      <c r="D128" s="293" t="s">
        <v>48</v>
      </c>
      <c r="E128" s="293" t="s">
        <v>5376</v>
      </c>
      <c r="F128" s="293" t="s">
        <v>3295</v>
      </c>
      <c r="G128" s="293" t="s">
        <v>3299</v>
      </c>
      <c r="H128" s="300">
        <v>46235</v>
      </c>
      <c r="I128" s="301">
        <v>0.44097222222222221</v>
      </c>
      <c r="J128" s="293" t="s">
        <v>3586</v>
      </c>
      <c r="K128" s="221" t="s">
        <v>4432</v>
      </c>
      <c r="L128" s="221" t="s">
        <v>3075</v>
      </c>
      <c r="M128" s="309" t="str">
        <f>VLOOKUP(LO_Logfile[[#This Row],[Material Name]],Sheet2!B:D,2,0)</f>
        <v>ZTE2003</v>
      </c>
      <c r="N128" s="315" t="s">
        <v>20</v>
      </c>
      <c r="O128" s="221">
        <v>400</v>
      </c>
      <c r="P128" s="221"/>
      <c r="Q128" s="221"/>
      <c r="R128" s="221"/>
      <c r="S128" s="221"/>
      <c r="T128" s="221"/>
      <c r="U128" s="221"/>
      <c r="V128" s="221"/>
      <c r="W128" s="221"/>
      <c r="X128" s="221"/>
      <c r="Y128" s="284"/>
      <c r="Z128" s="319"/>
      <c r="AA128" s="296"/>
      <c r="AB128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28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128" s="552" t="str">
        <f>LO_Logfile[[#This Row],[Material Name]]&amp;"_"&amp;LO_Logfile[[#This Row],[Qty]]</f>
        <v>ADSS 48C_400</v>
      </c>
      <c r="AE128" s="552" t="str">
        <f>VLOOKUP(LO_Logfile[[#This Row],[looK]],MANUAL!F:F,1,0)</f>
        <v>ADSS 48C_400</v>
      </c>
      <c r="AF128" s="552" t="str">
        <f>LO_Logfile[[#This Row],[Material Name]]&amp;LO_Logfile[[#This Row],[Qty]]&amp;"_"&amp;LO_Logfile[[#This Row],[In-Out Qty]]</f>
        <v>ADSS 48C400_1</v>
      </c>
      <c r="AG128" s="552" t="e">
        <f>VLOOKUP(LO_Logfile[[#This Row],[Material Name]]&amp;LO_Logfile[[#This Row],[Qty]]&amp;"_"&amp;-2+LO_Logfile[[#This Row],[In-Out Qty]],AF:AF,1,0)</f>
        <v>#N/A</v>
      </c>
    </row>
    <row r="129" spans="1:33" ht="14.5">
      <c r="A129" s="280" t="str">
        <f t="shared" si="3"/>
        <v>125</v>
      </c>
      <c r="B129" s="281" t="str" cm="1">
        <f t="array" ref="B12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D-009-365m</v>
      </c>
      <c r="C129" s="221"/>
      <c r="D129" s="293" t="s">
        <v>48</v>
      </c>
      <c r="E129" s="293" t="s">
        <v>5376</v>
      </c>
      <c r="F129" s="293" t="s">
        <v>3295</v>
      </c>
      <c r="G129" s="293" t="s">
        <v>3299</v>
      </c>
      <c r="H129" s="300">
        <v>46235</v>
      </c>
      <c r="I129" s="301">
        <v>0.44097222222222221</v>
      </c>
      <c r="J129" s="293" t="s">
        <v>3586</v>
      </c>
      <c r="K129" s="221" t="s">
        <v>4432</v>
      </c>
      <c r="L129" s="221" t="s">
        <v>3077</v>
      </c>
      <c r="M129" s="309" t="str">
        <f>VLOOKUP(LO_Logfile[[#This Row],[Material Name]],Sheet2!B:D,2,0)</f>
        <v>ZTE2004</v>
      </c>
      <c r="N129" s="315" t="s">
        <v>20</v>
      </c>
      <c r="O129" s="221">
        <v>365</v>
      </c>
      <c r="P129" s="221"/>
      <c r="Q129" s="221"/>
      <c r="R129" s="221"/>
      <c r="S129" s="221"/>
      <c r="T129" s="221"/>
      <c r="U129" s="221"/>
      <c r="V129" s="221"/>
      <c r="W129" s="221"/>
      <c r="X129" s="221"/>
      <c r="Y129" s="284"/>
      <c r="Z129" s="319"/>
      <c r="AA129" s="296"/>
      <c r="AB129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29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129" s="552" t="str">
        <f>LO_Logfile[[#This Row],[Material Name]]&amp;"_"&amp;LO_Logfile[[#This Row],[Qty]]</f>
        <v>ADSS 144C_365</v>
      </c>
      <c r="AE129" s="552" t="str">
        <f>VLOOKUP(LO_Logfile[[#This Row],[looK]],MANUAL!F:F,1,0)</f>
        <v>ADSS 144C_365</v>
      </c>
      <c r="AF129" s="552" t="str">
        <f>LO_Logfile[[#This Row],[Material Name]]&amp;LO_Logfile[[#This Row],[Qty]]&amp;"_"&amp;LO_Logfile[[#This Row],[In-Out Qty]]</f>
        <v>ADSS 144C365_1</v>
      </c>
      <c r="AG129" s="552" t="e">
        <f>VLOOKUP(LO_Logfile[[#This Row],[Material Name]]&amp;LO_Logfile[[#This Row],[Qty]]&amp;"_"&amp;-2+LO_Logfile[[#This Row],[In-Out Qty]],AF:AF,1,0)</f>
        <v>#N/A</v>
      </c>
    </row>
    <row r="130" spans="1:33" ht="14.5">
      <c r="A130" s="280" t="str">
        <f t="shared" si="3"/>
        <v>126</v>
      </c>
      <c r="B130" s="281" t="str" cm="1">
        <f t="array" ref="B13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A-067-290m</v>
      </c>
      <c r="C130" s="221"/>
      <c r="D130" s="293" t="s">
        <v>48</v>
      </c>
      <c r="E130" s="293" t="s">
        <v>5376</v>
      </c>
      <c r="F130" s="293" t="s">
        <v>3295</v>
      </c>
      <c r="G130" s="293" t="s">
        <v>3299</v>
      </c>
      <c r="H130" s="300">
        <v>46235</v>
      </c>
      <c r="I130" s="301">
        <v>0.44097222222222221</v>
      </c>
      <c r="J130" s="293" t="s">
        <v>3586</v>
      </c>
      <c r="K130" s="221" t="s">
        <v>4432</v>
      </c>
      <c r="L130" s="221" t="s">
        <v>3073</v>
      </c>
      <c r="M130" s="309" t="str">
        <f>VLOOKUP(LO_Logfile[[#This Row],[Material Name]],Sheet2!B:D,2,0)</f>
        <v>ZTE2001</v>
      </c>
      <c r="N130" s="315" t="s">
        <v>20</v>
      </c>
      <c r="O130" s="221">
        <v>290</v>
      </c>
      <c r="P130" s="221"/>
      <c r="Q130" s="221"/>
      <c r="R130" s="221"/>
      <c r="S130" s="221"/>
      <c r="T130" s="221"/>
      <c r="U130" s="221"/>
      <c r="V130" s="221"/>
      <c r="W130" s="221"/>
      <c r="X130" s="221"/>
      <c r="Y130" s="284"/>
      <c r="Z130" s="319"/>
      <c r="AA130" s="296"/>
      <c r="AB130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30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130" s="552" t="str">
        <f>LO_Logfile[[#This Row],[Material Name]]&amp;"_"&amp;LO_Logfile[[#This Row],[Qty]]</f>
        <v>ADSS 24C_290</v>
      </c>
      <c r="AE130" s="552" t="str">
        <f>VLOOKUP(LO_Logfile[[#This Row],[looK]],MANUAL!F:F,1,0)</f>
        <v>ADSS 24C_290</v>
      </c>
      <c r="AF130" s="552" t="str">
        <f>LO_Logfile[[#This Row],[Material Name]]&amp;LO_Logfile[[#This Row],[Qty]]&amp;"_"&amp;LO_Logfile[[#This Row],[In-Out Qty]]</f>
        <v>ADSS 24C290_1</v>
      </c>
      <c r="AG130" s="552" t="e">
        <f>VLOOKUP(LO_Logfile[[#This Row],[Material Name]]&amp;LO_Logfile[[#This Row],[Qty]]&amp;"_"&amp;-2+LO_Logfile[[#This Row],[In-Out Qty]],AF:AF,1,0)</f>
        <v>#N/A</v>
      </c>
    </row>
    <row r="131" spans="1:33" ht="14.5">
      <c r="A131" s="280" t="str">
        <f t="shared" si="3"/>
        <v>127</v>
      </c>
      <c r="B131" s="281" t="str" cm="1">
        <f t="array" ref="B13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A-068-200m</v>
      </c>
      <c r="C131" s="221"/>
      <c r="D131" s="293" t="s">
        <v>48</v>
      </c>
      <c r="E131" s="293" t="s">
        <v>5376</v>
      </c>
      <c r="F131" s="293" t="s">
        <v>3295</v>
      </c>
      <c r="G131" s="293" t="s">
        <v>3299</v>
      </c>
      <c r="H131" s="300">
        <v>46235</v>
      </c>
      <c r="I131" s="301">
        <v>0.44097222222222221</v>
      </c>
      <c r="J131" s="293" t="s">
        <v>3586</v>
      </c>
      <c r="K131" s="221" t="s">
        <v>4432</v>
      </c>
      <c r="L131" s="221" t="s">
        <v>3073</v>
      </c>
      <c r="M131" s="309" t="str">
        <f>VLOOKUP(LO_Logfile[[#This Row],[Material Name]],Sheet2!B:D,2,0)</f>
        <v>ZTE2001</v>
      </c>
      <c r="N131" s="315" t="s">
        <v>20</v>
      </c>
      <c r="O131" s="221">
        <v>200</v>
      </c>
      <c r="P131" s="221"/>
      <c r="Q131" s="221"/>
      <c r="R131" s="221"/>
      <c r="S131" s="221"/>
      <c r="T131" s="221"/>
      <c r="U131" s="221"/>
      <c r="V131" s="221"/>
      <c r="W131" s="221"/>
      <c r="X131" s="221"/>
      <c r="Y131" s="284"/>
      <c r="Z131" s="319"/>
      <c r="AA131" s="296"/>
      <c r="AB131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31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  <c r="AD131" s="552" t="str">
        <f>LO_Logfile[[#This Row],[Material Name]]&amp;"_"&amp;LO_Logfile[[#This Row],[Qty]]</f>
        <v>ADSS 24C_200</v>
      </c>
      <c r="AE131" s="552" t="str">
        <f>VLOOKUP(LO_Logfile[[#This Row],[looK]],MANUAL!F:F,1,0)</f>
        <v>ADSS 24C_200</v>
      </c>
      <c r="AF131" s="552" t="str">
        <f>LO_Logfile[[#This Row],[Material Name]]&amp;LO_Logfile[[#This Row],[Qty]]&amp;"_"&amp;LO_Logfile[[#This Row],[In-Out Qty]]</f>
        <v>ADSS 24C200_1</v>
      </c>
      <c r="AG131" s="552" t="e">
        <f>VLOOKUP(LO_Logfile[[#This Row],[Material Name]]&amp;LO_Logfile[[#This Row],[Qty]]&amp;"_"&amp;-2+LO_Logfile[[#This Row],[In-Out Qty]],AF:AF,1,0)</f>
        <v>#N/A</v>
      </c>
    </row>
    <row r="132" spans="1:33" ht="14.5">
      <c r="A132" s="280" t="str">
        <f t="shared" si="3"/>
        <v>128</v>
      </c>
      <c r="B132" s="281" t="str" cm="1">
        <f t="array" ref="B13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E-014-116m</v>
      </c>
      <c r="C132" s="221"/>
      <c r="D132" s="293" t="s">
        <v>48</v>
      </c>
      <c r="E132" s="293" t="s">
        <v>5376</v>
      </c>
      <c r="F132" s="293" t="s">
        <v>3295</v>
      </c>
      <c r="G132" s="293" t="s">
        <v>3299</v>
      </c>
      <c r="H132" s="300">
        <v>46235</v>
      </c>
      <c r="I132" s="301">
        <v>0.44097222222222221</v>
      </c>
      <c r="J132" s="293" t="s">
        <v>3586</v>
      </c>
      <c r="K132" s="221" t="s">
        <v>4432</v>
      </c>
      <c r="L132" s="221" t="s">
        <v>3074</v>
      </c>
      <c r="M132" s="309" t="str">
        <f>VLOOKUP(LO_Logfile[[#This Row],[Material Name]],Sheet2!B:D,2,0)</f>
        <v>ZTE2002</v>
      </c>
      <c r="N132" s="315" t="s">
        <v>20</v>
      </c>
      <c r="O132" s="221">
        <v>116</v>
      </c>
      <c r="P132" s="221"/>
      <c r="Q132" s="221"/>
      <c r="R132" s="221"/>
      <c r="S132" s="221"/>
      <c r="T132" s="221"/>
      <c r="U132" s="221"/>
      <c r="V132" s="221"/>
      <c r="W132" s="221"/>
      <c r="X132" s="221"/>
      <c r="Y132" s="284"/>
      <c r="Z132" s="319"/>
      <c r="AA132" s="296"/>
      <c r="AB132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32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  <c r="AD132" s="552" t="str">
        <f>LO_Logfile[[#This Row],[Material Name]]&amp;"_"&amp;LO_Logfile[[#This Row],[Qty]]</f>
        <v>ADSS 36C_116</v>
      </c>
      <c r="AE132" s="552" t="str">
        <f>VLOOKUP(LO_Logfile[[#This Row],[looK]],MANUAL!F:F,1,0)</f>
        <v>ADSS 36C_116</v>
      </c>
      <c r="AF132" s="552" t="str">
        <f>LO_Logfile[[#This Row],[Material Name]]&amp;LO_Logfile[[#This Row],[Qty]]&amp;"_"&amp;LO_Logfile[[#This Row],[In-Out Qty]]</f>
        <v>ADSS 36C116_1</v>
      </c>
      <c r="AG132" s="552" t="e">
        <f>VLOOKUP(LO_Logfile[[#This Row],[Material Name]]&amp;LO_Logfile[[#This Row],[Qty]]&amp;"_"&amp;-2+LO_Logfile[[#This Row],[In-Out Qty]],AF:AF,1,0)</f>
        <v>#N/A</v>
      </c>
    </row>
    <row r="133" spans="1:33" ht="14.5">
      <c r="A133" s="280" t="str">
        <f t="shared" ref="A133:A145" si="4">TEXT(ROW(A133)-ROW($A$4),"000")</f>
        <v>129</v>
      </c>
      <c r="B133" s="281" t="str" cm="1">
        <f t="array" ref="B13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A-069-95m</v>
      </c>
      <c r="C133" s="221"/>
      <c r="D133" s="293" t="s">
        <v>48</v>
      </c>
      <c r="E133" s="293" t="s">
        <v>5376</v>
      </c>
      <c r="F133" s="293" t="s">
        <v>3295</v>
      </c>
      <c r="G133" s="293" t="s">
        <v>3299</v>
      </c>
      <c r="H133" s="300">
        <v>46235</v>
      </c>
      <c r="I133" s="301">
        <v>0.44097222222222221</v>
      </c>
      <c r="J133" s="293" t="s">
        <v>3586</v>
      </c>
      <c r="K133" s="221" t="s">
        <v>4432</v>
      </c>
      <c r="L133" s="221" t="s">
        <v>3073</v>
      </c>
      <c r="M133" s="309" t="str">
        <f>VLOOKUP(LO_Logfile[[#This Row],[Material Name]],Sheet2!B:D,2,0)</f>
        <v>ZTE2001</v>
      </c>
      <c r="N133" s="315" t="s">
        <v>20</v>
      </c>
      <c r="O133" s="221">
        <v>95</v>
      </c>
      <c r="P133" s="221"/>
      <c r="Q133" s="221"/>
      <c r="R133" s="221"/>
      <c r="S133" s="221"/>
      <c r="T133" s="221"/>
      <c r="U133" s="221"/>
      <c r="V133" s="221"/>
      <c r="W133" s="221"/>
      <c r="X133" s="221"/>
      <c r="Y133" s="284"/>
      <c r="Z133" s="319"/>
      <c r="AA133" s="296"/>
      <c r="AB133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33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33" s="552" t="str">
        <f>LO_Logfile[[#This Row],[Material Name]]&amp;"_"&amp;LO_Logfile[[#This Row],[Qty]]</f>
        <v>ADSS 24C_95</v>
      </c>
      <c r="AE133" s="552" t="str">
        <f>VLOOKUP(LO_Logfile[[#This Row],[looK]],MANUAL!F:F,1,0)</f>
        <v>ADSS 24C_95</v>
      </c>
      <c r="AF133" s="552" t="str">
        <f>LO_Logfile[[#This Row],[Material Name]]&amp;LO_Logfile[[#This Row],[Qty]]&amp;"_"&amp;LO_Logfile[[#This Row],[In-Out Qty]]</f>
        <v>ADSS 24C95_1</v>
      </c>
      <c r="AG133" s="552" t="e">
        <f>VLOOKUP(LO_Logfile[[#This Row],[Material Name]]&amp;LO_Logfile[[#This Row],[Qty]]&amp;"_"&amp;-2+LO_Logfile[[#This Row],[In-Out Qty]],AF:AF,1,0)</f>
        <v>#N/A</v>
      </c>
    </row>
    <row r="134" spans="1:33" ht="14.5">
      <c r="A134" s="280" t="str">
        <f t="shared" si="4"/>
        <v>130</v>
      </c>
      <c r="B134" s="281" t="str" cm="1">
        <f t="array" ref="B13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A-070-80m</v>
      </c>
      <c r="C134" s="221"/>
      <c r="D134" s="293" t="s">
        <v>48</v>
      </c>
      <c r="E134" s="293" t="s">
        <v>5376</v>
      </c>
      <c r="F134" s="293" t="s">
        <v>3295</v>
      </c>
      <c r="G134" s="293" t="s">
        <v>3299</v>
      </c>
      <c r="H134" s="300">
        <v>46235</v>
      </c>
      <c r="I134" s="301">
        <v>0.44097222222222221</v>
      </c>
      <c r="J134" s="293" t="s">
        <v>3586</v>
      </c>
      <c r="K134" s="221" t="s">
        <v>4432</v>
      </c>
      <c r="L134" s="221" t="s">
        <v>3073</v>
      </c>
      <c r="M134" s="309" t="str">
        <f>VLOOKUP(LO_Logfile[[#This Row],[Material Name]],Sheet2!B:D,2,0)</f>
        <v>ZTE2001</v>
      </c>
      <c r="N134" s="315" t="s">
        <v>20</v>
      </c>
      <c r="O134" s="221">
        <v>80</v>
      </c>
      <c r="P134" s="221"/>
      <c r="Q134" s="221"/>
      <c r="R134" s="221"/>
      <c r="S134" s="221"/>
      <c r="T134" s="221"/>
      <c r="U134" s="221"/>
      <c r="V134" s="221"/>
      <c r="W134" s="221"/>
      <c r="X134" s="221"/>
      <c r="Y134" s="284"/>
      <c r="Z134" s="319"/>
      <c r="AA134" s="296"/>
      <c r="AB134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34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34" s="552" t="str">
        <f>LO_Logfile[[#This Row],[Material Name]]&amp;"_"&amp;LO_Logfile[[#This Row],[Qty]]</f>
        <v>ADSS 24C_80</v>
      </c>
      <c r="AE134" s="552" t="str">
        <f>VLOOKUP(LO_Logfile[[#This Row],[looK]],MANUAL!F:F,1,0)</f>
        <v>ADSS 24C_80</v>
      </c>
      <c r="AF134" s="552" t="str">
        <f>LO_Logfile[[#This Row],[Material Name]]&amp;LO_Logfile[[#This Row],[Qty]]&amp;"_"&amp;LO_Logfile[[#This Row],[In-Out Qty]]</f>
        <v>ADSS 24C80_1</v>
      </c>
      <c r="AG134" s="552" t="e">
        <f>VLOOKUP(LO_Logfile[[#This Row],[Material Name]]&amp;LO_Logfile[[#This Row],[Qty]]&amp;"_"&amp;-2+LO_Logfile[[#This Row],[In-Out Qty]],AF:AF,1,0)</f>
        <v>#N/A</v>
      </c>
    </row>
    <row r="135" spans="1:33" ht="14.5">
      <c r="A135" s="280" t="str">
        <f t="shared" si="4"/>
        <v>131</v>
      </c>
      <c r="B135" s="281" t="str" cm="1">
        <f t="array" ref="B13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B-032-70m</v>
      </c>
      <c r="C135" s="221"/>
      <c r="D135" s="293" t="s">
        <v>48</v>
      </c>
      <c r="E135" s="293" t="s">
        <v>5376</v>
      </c>
      <c r="F135" s="293" t="s">
        <v>3295</v>
      </c>
      <c r="G135" s="293" t="s">
        <v>3299</v>
      </c>
      <c r="H135" s="300">
        <v>46235</v>
      </c>
      <c r="I135" s="301">
        <v>0.44097222222222221</v>
      </c>
      <c r="J135" s="293" t="s">
        <v>3586</v>
      </c>
      <c r="K135" s="221" t="s">
        <v>4432</v>
      </c>
      <c r="L135" s="221" t="s">
        <v>3075</v>
      </c>
      <c r="M135" s="309" t="str">
        <f>VLOOKUP(LO_Logfile[[#This Row],[Material Name]],Sheet2!B:D,2,0)</f>
        <v>ZTE2003</v>
      </c>
      <c r="N135" s="315" t="s">
        <v>20</v>
      </c>
      <c r="O135" s="221">
        <v>70</v>
      </c>
      <c r="P135" s="221"/>
      <c r="Q135" s="221"/>
      <c r="R135" s="221"/>
      <c r="S135" s="221"/>
      <c r="T135" s="221"/>
      <c r="U135" s="221"/>
      <c r="V135" s="221"/>
      <c r="W135" s="221"/>
      <c r="X135" s="221"/>
      <c r="Y135" s="284"/>
      <c r="Z135" s="319"/>
      <c r="AA135" s="296"/>
      <c r="AB135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35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35" s="552" t="str">
        <f>LO_Logfile[[#This Row],[Material Name]]&amp;"_"&amp;LO_Logfile[[#This Row],[Qty]]</f>
        <v>ADSS 48C_70</v>
      </c>
      <c r="AE135" s="552" t="str">
        <f>VLOOKUP(LO_Logfile[[#This Row],[looK]],MANUAL!F:F,1,0)</f>
        <v>ADSS 48C_70</v>
      </c>
      <c r="AF135" s="552" t="str">
        <f>LO_Logfile[[#This Row],[Material Name]]&amp;LO_Logfile[[#This Row],[Qty]]&amp;"_"&amp;LO_Logfile[[#This Row],[In-Out Qty]]</f>
        <v>ADSS 48C70_1</v>
      </c>
      <c r="AG135" s="552" t="e">
        <f>VLOOKUP(LO_Logfile[[#This Row],[Material Name]]&amp;LO_Logfile[[#This Row],[Qty]]&amp;"_"&amp;-2+LO_Logfile[[#This Row],[In-Out Qty]],AF:AF,1,0)</f>
        <v>#N/A</v>
      </c>
    </row>
    <row r="136" spans="1:33" ht="14.5">
      <c r="A136" s="280" t="str">
        <f t="shared" si="4"/>
        <v>132</v>
      </c>
      <c r="B136" s="281" t="str" cm="1">
        <f t="array" ref="B13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D-010-60m</v>
      </c>
      <c r="C136" s="221"/>
      <c r="D136" s="293" t="s">
        <v>48</v>
      </c>
      <c r="E136" s="293" t="s">
        <v>5376</v>
      </c>
      <c r="F136" s="293" t="s">
        <v>3295</v>
      </c>
      <c r="G136" s="293" t="s">
        <v>3299</v>
      </c>
      <c r="H136" s="300">
        <v>46235</v>
      </c>
      <c r="I136" s="301">
        <v>0.44097222222222221</v>
      </c>
      <c r="J136" s="293" t="s">
        <v>3586</v>
      </c>
      <c r="K136" s="221" t="s">
        <v>4432</v>
      </c>
      <c r="L136" s="221" t="s">
        <v>3077</v>
      </c>
      <c r="M136" s="309" t="str">
        <f>VLOOKUP(LO_Logfile[[#This Row],[Material Name]],Sheet2!B:D,2,0)</f>
        <v>ZTE2004</v>
      </c>
      <c r="N136" s="315" t="s">
        <v>20</v>
      </c>
      <c r="O136" s="221">
        <v>60</v>
      </c>
      <c r="P136" s="221"/>
      <c r="Q136" s="221"/>
      <c r="R136" s="221"/>
      <c r="S136" s="221"/>
      <c r="T136" s="221"/>
      <c r="U136" s="221"/>
      <c r="V136" s="221"/>
      <c r="W136" s="221"/>
      <c r="X136" s="221"/>
      <c r="Y136" s="284"/>
      <c r="Z136" s="319"/>
      <c r="AA136" s="296"/>
      <c r="AB136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36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36" s="552" t="str">
        <f>LO_Logfile[[#This Row],[Material Name]]&amp;"_"&amp;LO_Logfile[[#This Row],[Qty]]</f>
        <v>ADSS 144C_60</v>
      </c>
      <c r="AE136" s="552" t="str">
        <f>VLOOKUP(LO_Logfile[[#This Row],[looK]],MANUAL!F:F,1,0)</f>
        <v>ADSS 144C_60</v>
      </c>
      <c r="AF136" s="552" t="str">
        <f>LO_Logfile[[#This Row],[Material Name]]&amp;LO_Logfile[[#This Row],[Qty]]&amp;"_"&amp;LO_Logfile[[#This Row],[In-Out Qty]]</f>
        <v>ADSS 144C60_1</v>
      </c>
      <c r="AG136" s="552" t="e">
        <f>VLOOKUP(LO_Logfile[[#This Row],[Material Name]]&amp;LO_Logfile[[#This Row],[Qty]]&amp;"_"&amp;-2+LO_Logfile[[#This Row],[In-Out Qty]],AF:AF,1,0)</f>
        <v>#N/A</v>
      </c>
    </row>
    <row r="137" spans="1:33" ht="14.5">
      <c r="A137" s="280" t="str">
        <f t="shared" si="4"/>
        <v>133</v>
      </c>
      <c r="B137" s="281" t="str" cm="1">
        <f t="array" ref="B13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B-033-60m</v>
      </c>
      <c r="C137" s="221"/>
      <c r="D137" s="293" t="s">
        <v>48</v>
      </c>
      <c r="E137" s="293" t="s">
        <v>5376</v>
      </c>
      <c r="F137" s="293" t="s">
        <v>3295</v>
      </c>
      <c r="G137" s="293" t="s">
        <v>3299</v>
      </c>
      <c r="H137" s="300">
        <v>46235</v>
      </c>
      <c r="I137" s="301">
        <v>0.44097222222222221</v>
      </c>
      <c r="J137" s="293" t="s">
        <v>3586</v>
      </c>
      <c r="K137" s="221" t="s">
        <v>4432</v>
      </c>
      <c r="L137" s="221" t="s">
        <v>3075</v>
      </c>
      <c r="M137" s="309" t="str">
        <f>VLOOKUP(LO_Logfile[[#This Row],[Material Name]],Sheet2!B:D,2,0)</f>
        <v>ZTE2003</v>
      </c>
      <c r="N137" s="315" t="s">
        <v>20</v>
      </c>
      <c r="O137" s="221">
        <v>60</v>
      </c>
      <c r="P137" s="221"/>
      <c r="Q137" s="221"/>
      <c r="R137" s="221"/>
      <c r="S137" s="221"/>
      <c r="T137" s="221"/>
      <c r="U137" s="221"/>
      <c r="V137" s="221"/>
      <c r="W137" s="221"/>
      <c r="X137" s="221"/>
      <c r="Y137" s="284"/>
      <c r="Z137" s="319"/>
      <c r="AA137" s="296"/>
      <c r="AB137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37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37" s="552" t="str">
        <f>LO_Logfile[[#This Row],[Material Name]]&amp;"_"&amp;LO_Logfile[[#This Row],[Qty]]</f>
        <v>ADSS 48C_60</v>
      </c>
      <c r="AE137" s="552" t="str">
        <f>VLOOKUP(LO_Logfile[[#This Row],[looK]],MANUAL!F:F,1,0)</f>
        <v>ADSS 48C_60</v>
      </c>
      <c r="AF137" s="552" t="str">
        <f>LO_Logfile[[#This Row],[Material Name]]&amp;LO_Logfile[[#This Row],[Qty]]&amp;"_"&amp;LO_Logfile[[#This Row],[In-Out Qty]]</f>
        <v>ADSS 48C60_1</v>
      </c>
      <c r="AG137" s="552" t="e">
        <f>VLOOKUP(LO_Logfile[[#This Row],[Material Name]]&amp;LO_Logfile[[#This Row],[Qty]]&amp;"_"&amp;-2+LO_Logfile[[#This Row],[In-Out Qty]],AF:AF,1,0)</f>
        <v>#N/A</v>
      </c>
    </row>
    <row r="138" spans="1:33" ht="14.5">
      <c r="A138" s="280" t="str">
        <f t="shared" si="4"/>
        <v>134</v>
      </c>
      <c r="B138" s="281" t="str" cm="1">
        <f t="array" ref="B13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B-034-58m</v>
      </c>
      <c r="C138" s="221"/>
      <c r="D138" s="293" t="s">
        <v>48</v>
      </c>
      <c r="E138" s="293" t="s">
        <v>5376</v>
      </c>
      <c r="F138" s="293" t="s">
        <v>3295</v>
      </c>
      <c r="G138" s="293" t="s">
        <v>3299</v>
      </c>
      <c r="H138" s="300">
        <v>46235</v>
      </c>
      <c r="I138" s="301">
        <v>0.44097222222222221</v>
      </c>
      <c r="J138" s="293" t="s">
        <v>3586</v>
      </c>
      <c r="K138" s="221" t="s">
        <v>4432</v>
      </c>
      <c r="L138" s="221" t="s">
        <v>3075</v>
      </c>
      <c r="M138" s="309" t="str">
        <f>VLOOKUP(LO_Logfile[[#This Row],[Material Name]],Sheet2!B:D,2,0)</f>
        <v>ZTE2003</v>
      </c>
      <c r="N138" s="315" t="s">
        <v>20</v>
      </c>
      <c r="O138" s="221">
        <v>58</v>
      </c>
      <c r="P138" s="221"/>
      <c r="Q138" s="221"/>
      <c r="R138" s="221"/>
      <c r="S138" s="221"/>
      <c r="T138" s="221"/>
      <c r="U138" s="221"/>
      <c r="V138" s="221"/>
      <c r="W138" s="221"/>
      <c r="X138" s="221"/>
      <c r="Y138" s="284"/>
      <c r="Z138" s="319"/>
      <c r="AA138" s="296"/>
      <c r="AB138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38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38" s="552" t="str">
        <f>LO_Logfile[[#This Row],[Material Name]]&amp;"_"&amp;LO_Logfile[[#This Row],[Qty]]</f>
        <v>ADSS 48C_58</v>
      </c>
      <c r="AE138" s="552" t="str">
        <f>VLOOKUP(LO_Logfile[[#This Row],[looK]],MANUAL!F:F,1,0)</f>
        <v>ADSS 48C_58</v>
      </c>
      <c r="AF138" s="552" t="str">
        <f>LO_Logfile[[#This Row],[Material Name]]&amp;LO_Logfile[[#This Row],[Qty]]&amp;"_"&amp;LO_Logfile[[#This Row],[In-Out Qty]]</f>
        <v>ADSS 48C58_1</v>
      </c>
      <c r="AG138" s="552" t="e">
        <f>VLOOKUP(LO_Logfile[[#This Row],[Material Name]]&amp;LO_Logfile[[#This Row],[Qty]]&amp;"_"&amp;-2+LO_Logfile[[#This Row],[In-Out Qty]],AF:AF,1,0)</f>
        <v>#N/A</v>
      </c>
    </row>
    <row r="139" spans="1:33" ht="14.5">
      <c r="A139" s="280" t="str">
        <f t="shared" si="4"/>
        <v>135</v>
      </c>
      <c r="B139" s="281" t="str" cm="1">
        <f t="array" ref="B13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B-035-58m</v>
      </c>
      <c r="C139" s="221"/>
      <c r="D139" s="293" t="s">
        <v>48</v>
      </c>
      <c r="E139" s="293" t="s">
        <v>5376</v>
      </c>
      <c r="F139" s="293" t="s">
        <v>3295</v>
      </c>
      <c r="G139" s="293" t="s">
        <v>3299</v>
      </c>
      <c r="H139" s="300">
        <v>46235</v>
      </c>
      <c r="I139" s="301">
        <v>0.44097222222222221</v>
      </c>
      <c r="J139" s="293" t="s">
        <v>3586</v>
      </c>
      <c r="K139" s="221" t="s">
        <v>4432</v>
      </c>
      <c r="L139" s="221" t="s">
        <v>3075</v>
      </c>
      <c r="M139" s="309" t="str">
        <f>VLOOKUP(LO_Logfile[[#This Row],[Material Name]],Sheet2!B:D,2,0)</f>
        <v>ZTE2003</v>
      </c>
      <c r="N139" s="315" t="s">
        <v>20</v>
      </c>
      <c r="O139" s="221">
        <v>58</v>
      </c>
      <c r="P139" s="221"/>
      <c r="Q139" s="221"/>
      <c r="R139" s="221"/>
      <c r="S139" s="221"/>
      <c r="T139" s="221"/>
      <c r="U139" s="221"/>
      <c r="V139" s="221"/>
      <c r="W139" s="221"/>
      <c r="X139" s="221"/>
      <c r="Y139" s="284"/>
      <c r="Z139" s="319"/>
      <c r="AA139" s="296"/>
      <c r="AB139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39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39" s="552" t="str">
        <f>LO_Logfile[[#This Row],[Material Name]]&amp;"_"&amp;LO_Logfile[[#This Row],[Qty]]</f>
        <v>ADSS 48C_58</v>
      </c>
      <c r="AE139" s="552" t="str">
        <f>VLOOKUP(LO_Logfile[[#This Row],[looK]],MANUAL!F:F,1,0)</f>
        <v>ADSS 48C_58</v>
      </c>
      <c r="AF139" s="552" t="str">
        <f>LO_Logfile[[#This Row],[Material Name]]&amp;LO_Logfile[[#This Row],[Qty]]&amp;"_"&amp;LO_Logfile[[#This Row],[In-Out Qty]]</f>
        <v>ADSS 48C58_1</v>
      </c>
      <c r="AG139" s="552" t="e">
        <f>VLOOKUP(LO_Logfile[[#This Row],[Material Name]]&amp;LO_Logfile[[#This Row],[Qty]]&amp;"_"&amp;-2+LO_Logfile[[#This Row],[In-Out Qty]],AF:AF,1,0)</f>
        <v>#N/A</v>
      </c>
    </row>
    <row r="140" spans="1:33" ht="14.5">
      <c r="A140" s="280" t="str">
        <f t="shared" si="4"/>
        <v>136</v>
      </c>
      <c r="B140" s="281" t="str" cm="1">
        <f t="array" ref="B14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A-071-52m</v>
      </c>
      <c r="C140" s="221"/>
      <c r="D140" s="293" t="s">
        <v>48</v>
      </c>
      <c r="E140" s="293" t="s">
        <v>5376</v>
      </c>
      <c r="F140" s="293" t="s">
        <v>3295</v>
      </c>
      <c r="G140" s="293" t="s">
        <v>3299</v>
      </c>
      <c r="H140" s="300">
        <v>46235</v>
      </c>
      <c r="I140" s="301">
        <v>0.44097222222222221</v>
      </c>
      <c r="J140" s="293" t="s">
        <v>3586</v>
      </c>
      <c r="K140" s="221" t="s">
        <v>4432</v>
      </c>
      <c r="L140" s="221" t="s">
        <v>3073</v>
      </c>
      <c r="M140" s="309" t="str">
        <f>VLOOKUP(LO_Logfile[[#This Row],[Material Name]],Sheet2!B:D,2,0)</f>
        <v>ZTE2001</v>
      </c>
      <c r="N140" s="315" t="s">
        <v>20</v>
      </c>
      <c r="O140" s="221">
        <v>52</v>
      </c>
      <c r="P140" s="221"/>
      <c r="Q140" s="221"/>
      <c r="R140" s="221"/>
      <c r="S140" s="221"/>
      <c r="T140" s="221"/>
      <c r="U140" s="221"/>
      <c r="V140" s="221"/>
      <c r="W140" s="221"/>
      <c r="X140" s="221"/>
      <c r="Y140" s="284"/>
      <c r="Z140" s="319"/>
      <c r="AA140" s="296"/>
      <c r="AB140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40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40" s="552" t="str">
        <f>LO_Logfile[[#This Row],[Material Name]]&amp;"_"&amp;LO_Logfile[[#This Row],[Qty]]</f>
        <v>ADSS 24C_52</v>
      </c>
      <c r="AE140" s="552" t="str">
        <f>VLOOKUP(LO_Logfile[[#This Row],[looK]],MANUAL!F:F,1,0)</f>
        <v>ADSS 24C_52</v>
      </c>
      <c r="AF140" s="552" t="str">
        <f>LO_Logfile[[#This Row],[Material Name]]&amp;LO_Logfile[[#This Row],[Qty]]&amp;"_"&amp;LO_Logfile[[#This Row],[In-Out Qty]]</f>
        <v>ADSS 24C52_1</v>
      </c>
      <c r="AG140" s="552" t="e">
        <f>VLOOKUP(LO_Logfile[[#This Row],[Material Name]]&amp;LO_Logfile[[#This Row],[Qty]]&amp;"_"&amp;-2+LO_Logfile[[#This Row],[In-Out Qty]],AF:AF,1,0)</f>
        <v>#N/A</v>
      </c>
    </row>
    <row r="141" spans="1:33" ht="14.5">
      <c r="A141" s="280" t="str">
        <f t="shared" si="4"/>
        <v>137</v>
      </c>
      <c r="B141" s="281" t="str" cm="1">
        <f t="array" ref="B14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A-072-48m</v>
      </c>
      <c r="C141" s="221"/>
      <c r="D141" s="293" t="s">
        <v>48</v>
      </c>
      <c r="E141" s="293" t="s">
        <v>5376</v>
      </c>
      <c r="F141" s="293" t="s">
        <v>3295</v>
      </c>
      <c r="G141" s="293" t="s">
        <v>3299</v>
      </c>
      <c r="H141" s="300">
        <v>46235</v>
      </c>
      <c r="I141" s="301">
        <v>0.44097222222222221</v>
      </c>
      <c r="J141" s="293" t="s">
        <v>3586</v>
      </c>
      <c r="K141" s="221" t="s">
        <v>4432</v>
      </c>
      <c r="L141" s="221" t="s">
        <v>3073</v>
      </c>
      <c r="M141" s="309" t="str">
        <f>VLOOKUP(LO_Logfile[[#This Row],[Material Name]],Sheet2!B:D,2,0)</f>
        <v>ZTE2001</v>
      </c>
      <c r="N141" s="315" t="s">
        <v>20</v>
      </c>
      <c r="O141" s="221">
        <v>48</v>
      </c>
      <c r="P141" s="221"/>
      <c r="Q141" s="221"/>
      <c r="R141" s="221"/>
      <c r="S141" s="221"/>
      <c r="T141" s="221"/>
      <c r="U141" s="221"/>
      <c r="V141" s="221"/>
      <c r="W141" s="221"/>
      <c r="X141" s="221"/>
      <c r="Y141" s="284"/>
      <c r="Z141" s="319"/>
      <c r="AA141" s="296"/>
      <c r="AB141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41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41" s="552" t="str">
        <f>LO_Logfile[[#This Row],[Material Name]]&amp;"_"&amp;LO_Logfile[[#This Row],[Qty]]</f>
        <v>ADSS 24C_48</v>
      </c>
      <c r="AE141" s="552" t="str">
        <f>VLOOKUP(LO_Logfile[[#This Row],[looK]],MANUAL!F:F,1,0)</f>
        <v>ADSS 24C_48</v>
      </c>
      <c r="AF141" s="552" t="str">
        <f>LO_Logfile[[#This Row],[Material Name]]&amp;LO_Logfile[[#This Row],[Qty]]&amp;"_"&amp;LO_Logfile[[#This Row],[In-Out Qty]]</f>
        <v>ADSS 24C48_1</v>
      </c>
      <c r="AG141" s="552" t="e">
        <f>VLOOKUP(LO_Logfile[[#This Row],[Material Name]]&amp;LO_Logfile[[#This Row],[Qty]]&amp;"_"&amp;-2+LO_Logfile[[#This Row],[In-Out Qty]],AF:AF,1,0)</f>
        <v>#N/A</v>
      </c>
    </row>
    <row r="142" spans="1:33" ht="14.5">
      <c r="A142" s="280" t="str">
        <f t="shared" si="4"/>
        <v>138</v>
      </c>
      <c r="B142" s="281" t="str" cm="1">
        <f t="array" ref="B14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B-036-35m</v>
      </c>
      <c r="C142" s="221"/>
      <c r="D142" s="293" t="s">
        <v>48</v>
      </c>
      <c r="E142" s="293" t="s">
        <v>5376</v>
      </c>
      <c r="F142" s="293" t="s">
        <v>3295</v>
      </c>
      <c r="G142" s="293" t="s">
        <v>3299</v>
      </c>
      <c r="H142" s="300">
        <v>46235</v>
      </c>
      <c r="I142" s="301">
        <v>0.44097222222222221</v>
      </c>
      <c r="J142" s="293" t="s">
        <v>3586</v>
      </c>
      <c r="K142" s="221" t="s">
        <v>4432</v>
      </c>
      <c r="L142" s="221" t="s">
        <v>3075</v>
      </c>
      <c r="M142" s="309" t="str">
        <f>VLOOKUP(LO_Logfile[[#This Row],[Material Name]],Sheet2!B:D,2,0)</f>
        <v>ZTE2003</v>
      </c>
      <c r="N142" s="315" t="s">
        <v>20</v>
      </c>
      <c r="O142" s="221">
        <v>35</v>
      </c>
      <c r="P142" s="221"/>
      <c r="Q142" s="221"/>
      <c r="R142" s="221"/>
      <c r="S142" s="221"/>
      <c r="T142" s="221"/>
      <c r="U142" s="221"/>
      <c r="V142" s="221"/>
      <c r="W142" s="221"/>
      <c r="X142" s="221"/>
      <c r="Y142" s="284"/>
      <c r="Z142" s="319"/>
      <c r="AA142" s="296"/>
      <c r="AB142" s="28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42" s="28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42" s="552" t="str">
        <f>LO_Logfile[[#This Row],[Material Name]]&amp;"_"&amp;LO_Logfile[[#This Row],[Qty]]</f>
        <v>ADSS 48C_35</v>
      </c>
      <c r="AE142" s="552" t="str">
        <f>VLOOKUP(LO_Logfile[[#This Row],[looK]],MANUAL!F:F,1,0)</f>
        <v>ADSS 48C_35</v>
      </c>
      <c r="AF142" s="552" t="str">
        <f>LO_Logfile[[#This Row],[Material Name]]&amp;LO_Logfile[[#This Row],[Qty]]&amp;"_"&amp;LO_Logfile[[#This Row],[In-Out Qty]]</f>
        <v>ADSS 48C35_1</v>
      </c>
      <c r="AG142" s="552" t="e">
        <f>VLOOKUP(LO_Logfile[[#This Row],[Material Name]]&amp;LO_Logfile[[#This Row],[Qty]]&amp;"_"&amp;-2+LO_Logfile[[#This Row],[In-Out Qty]],AF:AF,1,0)</f>
        <v>#N/A</v>
      </c>
    </row>
    <row r="143" spans="1:33" ht="14.5">
      <c r="A143" s="304" t="str">
        <f t="shared" si="4"/>
        <v>139</v>
      </c>
      <c r="B143" s="305" t="str" cm="1">
        <f t="array" ref="B14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B-037-18m</v>
      </c>
      <c r="C143" s="249"/>
      <c r="D143" s="293" t="s">
        <v>48</v>
      </c>
      <c r="E143" s="293" t="s">
        <v>5376</v>
      </c>
      <c r="F143" s="293" t="s">
        <v>3295</v>
      </c>
      <c r="G143" s="293" t="s">
        <v>3299</v>
      </c>
      <c r="H143" s="300">
        <v>46235</v>
      </c>
      <c r="I143" s="301">
        <v>0.44097222222222221</v>
      </c>
      <c r="J143" s="293" t="s">
        <v>3586</v>
      </c>
      <c r="K143" s="221" t="s">
        <v>4432</v>
      </c>
      <c r="L143" s="249" t="s">
        <v>3075</v>
      </c>
      <c r="M143" s="469" t="str">
        <f>VLOOKUP(LO_Logfile[[#This Row],[Material Name]],Sheet2!B:D,2,0)</f>
        <v>ZTE2003</v>
      </c>
      <c r="N143" s="315" t="s">
        <v>20</v>
      </c>
      <c r="O143" s="249">
        <v>18</v>
      </c>
      <c r="P143" s="249"/>
      <c r="Q143" s="249"/>
      <c r="R143" s="249"/>
      <c r="S143" s="249"/>
      <c r="T143" s="249"/>
      <c r="U143" s="249"/>
      <c r="V143" s="249"/>
      <c r="W143" s="249"/>
      <c r="X143" s="249"/>
      <c r="Y143" s="296"/>
      <c r="Z143" s="319"/>
      <c r="AA143" s="296"/>
      <c r="AB143" s="30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43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  <c r="AD143" s="555" t="str">
        <f>LO_Logfile[[#This Row],[Material Name]]&amp;"_"&amp;LO_Logfile[[#This Row],[Qty]]</f>
        <v>ADSS 48C_18</v>
      </c>
      <c r="AE143" s="555" t="str">
        <f>VLOOKUP(LO_Logfile[[#This Row],[looK]],MANUAL!F:F,1,0)</f>
        <v>ADSS 48C_18</v>
      </c>
      <c r="AF143" s="555" t="str">
        <f>LO_Logfile[[#This Row],[Material Name]]&amp;LO_Logfile[[#This Row],[Qty]]&amp;"_"&amp;LO_Logfile[[#This Row],[In-Out Qty]]</f>
        <v>ADSS 48C18_1</v>
      </c>
      <c r="AG143" s="555" t="e">
        <f>VLOOKUP(LO_Logfile[[#This Row],[Material Name]]&amp;LO_Logfile[[#This Row],[Qty]]&amp;"_"&amp;-2+LO_Logfile[[#This Row],[In-Out Qty]],AF:AF,1,0)</f>
        <v>#N/A</v>
      </c>
    </row>
    <row r="144" spans="1:33" ht="14.5">
      <c r="A144" s="349" t="str">
        <f t="shared" si="4"/>
        <v>140</v>
      </c>
      <c r="B144" s="350" t="str" cm="1">
        <f t="array" ref="B14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B-038-1000m</v>
      </c>
      <c r="C144" s="286"/>
      <c r="D144" s="286" t="s">
        <v>48</v>
      </c>
      <c r="E144" s="286" t="s">
        <v>4446</v>
      </c>
      <c r="F144" s="249" t="s">
        <v>3295</v>
      </c>
      <c r="G144" s="249" t="s">
        <v>3299</v>
      </c>
      <c r="H144" s="307">
        <v>45345</v>
      </c>
      <c r="I144" s="289">
        <v>0.79166666666666663</v>
      </c>
      <c r="J144" s="286" t="s">
        <v>3586</v>
      </c>
      <c r="K144" s="249" t="s">
        <v>3023</v>
      </c>
      <c r="L144" s="241" t="s">
        <v>3075</v>
      </c>
      <c r="M144" s="333" t="str">
        <f>VLOOKUP(LO_Logfile[[#This Row],[Material Name]],Sheet2!B:D,2,0)</f>
        <v>ZTE2003</v>
      </c>
      <c r="N144" s="317" t="s">
        <v>20</v>
      </c>
      <c r="O144" s="286">
        <v>1000</v>
      </c>
      <c r="P144" s="286" t="s">
        <v>921</v>
      </c>
      <c r="Q144" s="286" t="s">
        <v>922</v>
      </c>
      <c r="R144" s="286"/>
      <c r="S144" s="286"/>
      <c r="T144" s="286"/>
      <c r="U144" s="286"/>
      <c r="V144" s="286"/>
      <c r="W144" s="286"/>
      <c r="X144" s="286"/>
      <c r="Y144" s="259" t="s">
        <v>4447</v>
      </c>
      <c r="Z144" s="272"/>
      <c r="AA144" s="259" t="s">
        <v>4447</v>
      </c>
      <c r="AB144" s="28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C144" s="28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44" s="541" t="str">
        <f>LO_Logfile[[#This Row],[Material Name]]&amp;"_"&amp;LO_Logfile[[#This Row],[Qty]]</f>
        <v>ADSS 48C_1000</v>
      </c>
      <c r="AE144" s="541" t="str">
        <f>VLOOKUP(LO_Logfile[[#This Row],[looK]],MANUAL!F:F,1,0)</f>
        <v>ADSS 48C_1000</v>
      </c>
      <c r="AF144" s="540" t="str">
        <f>LO_Logfile[[#This Row],[Material Name]]&amp;LO_Logfile[[#This Row],[Qty]]&amp;"_"&amp;LO_Logfile[[#This Row],[In-Out Qty]]</f>
        <v>ADSS 48C1000_1</v>
      </c>
      <c r="AG144" s="553" t="e">
        <f>VLOOKUP(LO_Logfile[[#This Row],[Material Name]]&amp;LO_Logfile[[#This Row],[Qty]]&amp;"_"&amp;-2+LO_Logfile[[#This Row],[In-Out Qty]],AF:AF,1,0)</f>
        <v>#N/A</v>
      </c>
    </row>
    <row r="145" spans="1:33" ht="14.5">
      <c r="A145" s="304" t="str">
        <f t="shared" si="4"/>
        <v>141</v>
      </c>
      <c r="B145" s="305" t="str" cm="1">
        <f t="array" ref="B14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A-073-1000m</v>
      </c>
      <c r="C145" s="249"/>
      <c r="D145" s="249" t="s">
        <v>49</v>
      </c>
      <c r="E145" s="249" t="s">
        <v>5378</v>
      </c>
      <c r="F145" s="249" t="s">
        <v>3295</v>
      </c>
      <c r="G145" s="249" t="s">
        <v>3299</v>
      </c>
      <c r="H145" s="468">
        <v>45326</v>
      </c>
      <c r="I145" s="251">
        <v>0.25</v>
      </c>
      <c r="J145" s="262" t="s">
        <v>3586</v>
      </c>
      <c r="K145" s="249" t="s">
        <v>3023</v>
      </c>
      <c r="L145" s="241" t="s">
        <v>3073</v>
      </c>
      <c r="M145" s="476" t="str">
        <f>VLOOKUP(LO_Logfile[[#This Row],[Material Name]],Sheet2!B:D,2,0)</f>
        <v>ZTE2001</v>
      </c>
      <c r="N145" s="316" t="s">
        <v>20</v>
      </c>
      <c r="O145" s="286">
        <v>1000</v>
      </c>
      <c r="P145" s="249" t="s">
        <v>925</v>
      </c>
      <c r="Q145" s="249" t="s">
        <v>926</v>
      </c>
      <c r="R145" s="249"/>
      <c r="S145" s="249"/>
      <c r="T145" s="249"/>
      <c r="U145" s="249"/>
      <c r="V145" s="249"/>
      <c r="W145" s="249"/>
      <c r="X145" s="249"/>
      <c r="Y145" s="296"/>
      <c r="Z145" s="319" t="s">
        <v>5090</v>
      </c>
      <c r="AA145" s="296"/>
      <c r="AB145" s="30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C145" s="30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  <c r="AD145" s="555" t="str">
        <f>LO_Logfile[[#This Row],[Material Name]]&amp;"_"&amp;LO_Logfile[[#This Row],[Qty]]</f>
        <v>ADSS 24C_1000</v>
      </c>
      <c r="AE145" s="555" t="e">
        <f>VLOOKUP(LO_Logfile[[#This Row],[looK]],MANUAL!F:F,1,0)</f>
        <v>#N/A</v>
      </c>
      <c r="AF145" s="555" t="str">
        <f>LO_Logfile[[#This Row],[Material Name]]&amp;LO_Logfile[[#This Row],[Qty]]&amp;"_"&amp;LO_Logfile[[#This Row],[In-Out Qty]]</f>
        <v>ADSS 24C1000_-1</v>
      </c>
      <c r="AG145" s="555" t="e">
        <f>VLOOKUP(LO_Logfile[[#This Row],[Material Name]]&amp;LO_Logfile[[#This Row],[Qty]]&amp;"_"&amp;-2+LO_Logfile[[#This Row],[In-Out Qty]],AF:AF,1,0)</f>
        <v>#N/A</v>
      </c>
    </row>
  </sheetData>
  <phoneticPr fontId="20" type="noConversion"/>
  <conditionalFormatting sqref="O119 O1:O2 O91:O93 O95 O97:O98 O101 O104 O107 O110:O114 O122:O123 O125:O143 O146:O1048576 O4:O82">
    <cfRule type="duplicateValues" dxfId="153" priority="115"/>
  </conditionalFormatting>
  <conditionalFormatting sqref="O83">
    <cfRule type="duplicateValues" dxfId="152" priority="114"/>
  </conditionalFormatting>
  <conditionalFormatting sqref="O87">
    <cfRule type="duplicateValues" dxfId="151" priority="113"/>
  </conditionalFormatting>
  <conditionalFormatting sqref="L88">
    <cfRule type="containsText" dxfId="150" priority="111" operator="containsText" text="48C">
      <formula>NOT(ISERROR(SEARCH("48C",L88)))</formula>
    </cfRule>
    <cfRule type="containsText" dxfId="149" priority="112" operator="containsText" text="24C">
      <formula>NOT(ISERROR(SEARCH("24C",L88)))</formula>
    </cfRule>
  </conditionalFormatting>
  <conditionalFormatting sqref="O89:O90">
    <cfRule type="duplicateValues" dxfId="148" priority="108"/>
  </conditionalFormatting>
  <conditionalFormatting sqref="L94">
    <cfRule type="containsText" dxfId="147" priority="106" operator="containsText" text="48C">
      <formula>NOT(ISERROR(SEARCH("48C",L94)))</formula>
    </cfRule>
    <cfRule type="containsText" dxfId="146" priority="107" operator="containsText" text="24C">
      <formula>NOT(ISERROR(SEARCH("24C",L94)))</formula>
    </cfRule>
  </conditionalFormatting>
  <conditionalFormatting sqref="D94">
    <cfRule type="containsText" dxfId="145" priority="104" operator="containsText" text="IN">
      <formula>NOT(ISERROR(SEARCH("IN",D94)))</formula>
    </cfRule>
    <cfRule type="containsText" dxfId="144" priority="105" operator="containsText" text="OUT">
      <formula>NOT(ISERROR(SEARCH("OUT",D94)))</formula>
    </cfRule>
  </conditionalFormatting>
  <conditionalFormatting sqref="D97:D98 D110:D112 D114 D119 D122:D123 D1:D2 D146:D1048576 D4:D95">
    <cfRule type="containsText" dxfId="143" priority="102" operator="containsText" text="IN">
      <formula>NOT(ISERROR(SEARCH("IN",D1)))</formula>
    </cfRule>
    <cfRule type="containsText" dxfId="142" priority="103" operator="containsText" text="out">
      <formula>NOT(ISERROR(SEARCH("out",D1)))</formula>
    </cfRule>
  </conditionalFormatting>
  <conditionalFormatting sqref="O96">
    <cfRule type="duplicateValues" dxfId="141" priority="101"/>
  </conditionalFormatting>
  <conditionalFormatting sqref="D96">
    <cfRule type="containsText" dxfId="140" priority="99" operator="containsText" text="IN">
      <formula>NOT(ISERROR(SEARCH("IN",D96)))</formula>
    </cfRule>
    <cfRule type="containsText" dxfId="139" priority="100" operator="containsText" text="out">
      <formula>NOT(ISERROR(SEARCH("out",D96)))</formula>
    </cfRule>
  </conditionalFormatting>
  <conditionalFormatting sqref="D99">
    <cfRule type="containsText" dxfId="138" priority="97" operator="containsText" text="IN">
      <formula>NOT(ISERROR(SEARCH("IN",D99)))</formula>
    </cfRule>
    <cfRule type="containsText" dxfId="137" priority="98" operator="containsText" text="OUT">
      <formula>NOT(ISERROR(SEARCH("OUT",D99)))</formula>
    </cfRule>
  </conditionalFormatting>
  <conditionalFormatting sqref="D100">
    <cfRule type="containsText" dxfId="136" priority="95" operator="containsText" text="IN">
      <formula>NOT(ISERROR(SEARCH("IN",D100)))</formula>
    </cfRule>
    <cfRule type="containsText" dxfId="135" priority="96" operator="containsText" text="OUT">
      <formula>NOT(ISERROR(SEARCH("OUT",D100)))</formula>
    </cfRule>
  </conditionalFormatting>
  <conditionalFormatting sqref="O100">
    <cfRule type="duplicateValues" dxfId="134" priority="92"/>
  </conditionalFormatting>
  <conditionalFormatting sqref="D101">
    <cfRule type="containsText" dxfId="133" priority="90" operator="containsText" text="IN">
      <formula>NOT(ISERROR(SEARCH("IN",D101)))</formula>
    </cfRule>
    <cfRule type="containsText" dxfId="132" priority="91" operator="containsText" text="OUT">
      <formula>NOT(ISERROR(SEARCH("OUT",D101)))</formula>
    </cfRule>
  </conditionalFormatting>
  <conditionalFormatting sqref="O102:O103">
    <cfRule type="duplicateValues" dxfId="131" priority="89"/>
  </conditionalFormatting>
  <conditionalFormatting sqref="D102:D103">
    <cfRule type="containsText" dxfId="130" priority="87" operator="containsText" text="IN">
      <formula>NOT(ISERROR(SEARCH("IN",D102)))</formula>
    </cfRule>
    <cfRule type="containsText" dxfId="129" priority="88" operator="containsText" text="out">
      <formula>NOT(ISERROR(SEARCH("out",D102)))</formula>
    </cfRule>
  </conditionalFormatting>
  <conditionalFormatting sqref="D104">
    <cfRule type="containsText" dxfId="128" priority="85" operator="containsText" text="IN">
      <formula>NOT(ISERROR(SEARCH("IN",D104)))</formula>
    </cfRule>
    <cfRule type="containsText" dxfId="127" priority="86" operator="containsText" text="out">
      <formula>NOT(ISERROR(SEARCH("out",D104)))</formula>
    </cfRule>
  </conditionalFormatting>
  <conditionalFormatting sqref="P104:Q104">
    <cfRule type="duplicateValues" dxfId="126" priority="81"/>
  </conditionalFormatting>
  <conditionalFormatting sqref="P104">
    <cfRule type="duplicateValues" dxfId="125" priority="82"/>
  </conditionalFormatting>
  <conditionalFormatting sqref="P104">
    <cfRule type="duplicateValues" dxfId="124" priority="83"/>
  </conditionalFormatting>
  <conditionalFormatting sqref="Q104">
    <cfRule type="duplicateValues" dxfId="123" priority="84"/>
  </conditionalFormatting>
  <conditionalFormatting sqref="D105">
    <cfRule type="containsText" dxfId="122" priority="79" operator="containsText" text="IN">
      <formula>NOT(ISERROR(SEARCH("IN",D105)))</formula>
    </cfRule>
    <cfRule type="containsText" dxfId="121" priority="80" operator="containsText" text="out">
      <formula>NOT(ISERROR(SEARCH("out",D105)))</formula>
    </cfRule>
  </conditionalFormatting>
  <conditionalFormatting sqref="O105">
    <cfRule type="duplicateValues" dxfId="120" priority="78"/>
  </conditionalFormatting>
  <conditionalFormatting sqref="P105:Q105">
    <cfRule type="duplicateValues" dxfId="119" priority="74"/>
  </conditionalFormatting>
  <conditionalFormatting sqref="P105">
    <cfRule type="duplicateValues" dxfId="118" priority="75"/>
  </conditionalFormatting>
  <conditionalFormatting sqref="P105">
    <cfRule type="duplicateValues" dxfId="117" priority="76"/>
  </conditionalFormatting>
  <conditionalFormatting sqref="Q105">
    <cfRule type="duplicateValues" dxfId="116" priority="77"/>
  </conditionalFormatting>
  <conditionalFormatting sqref="D106">
    <cfRule type="containsText" dxfId="115" priority="72" operator="containsText" text="IN">
      <formula>NOT(ISERROR(SEARCH("IN",D106)))</formula>
    </cfRule>
    <cfRule type="containsText" dxfId="114" priority="73" operator="containsText" text="out">
      <formula>NOT(ISERROR(SEARCH("out",D106)))</formula>
    </cfRule>
  </conditionalFormatting>
  <conditionalFormatting sqref="O106">
    <cfRule type="duplicateValues" dxfId="113" priority="71"/>
  </conditionalFormatting>
  <conditionalFormatting sqref="D107">
    <cfRule type="containsText" dxfId="112" priority="69" operator="containsText" text="IN">
      <formula>NOT(ISERROR(SEARCH("IN",D107)))</formula>
    </cfRule>
    <cfRule type="containsText" dxfId="111" priority="70" operator="containsText" text="out">
      <formula>NOT(ISERROR(SEARCH("out",D107)))</formula>
    </cfRule>
  </conditionalFormatting>
  <conditionalFormatting sqref="P107:Q107">
    <cfRule type="duplicateValues" dxfId="110" priority="65"/>
  </conditionalFormatting>
  <conditionalFormatting sqref="P107">
    <cfRule type="duplicateValues" dxfId="109" priority="66"/>
  </conditionalFormatting>
  <conditionalFormatting sqref="P107">
    <cfRule type="duplicateValues" dxfId="108" priority="67"/>
  </conditionalFormatting>
  <conditionalFormatting sqref="Q107">
    <cfRule type="duplicateValues" dxfId="107" priority="68"/>
  </conditionalFormatting>
  <conditionalFormatting sqref="D108">
    <cfRule type="containsText" dxfId="106" priority="61" operator="containsText" text="IN">
      <formula>NOT(ISERROR(SEARCH("IN",D108)))</formula>
    </cfRule>
    <cfRule type="containsText" dxfId="105" priority="62" operator="containsText" text="out">
      <formula>NOT(ISERROR(SEARCH("out",D108)))</formula>
    </cfRule>
  </conditionalFormatting>
  <conditionalFormatting sqref="L108">
    <cfRule type="containsText" dxfId="104" priority="59" operator="containsText" text="48C">
      <formula>NOT(ISERROR(SEARCH("48C",L108)))</formula>
    </cfRule>
    <cfRule type="containsText" dxfId="103" priority="60" operator="containsText" text="24C">
      <formula>NOT(ISERROR(SEARCH("24C",L108)))</formula>
    </cfRule>
  </conditionalFormatting>
  <conditionalFormatting sqref="D109">
    <cfRule type="containsText" dxfId="102" priority="56" operator="containsText" text="IN">
      <formula>NOT(ISERROR(SEARCH("IN",D109)))</formula>
    </cfRule>
    <cfRule type="containsText" dxfId="101" priority="57" operator="containsText" text="out">
      <formula>NOT(ISERROR(SEARCH("out",D109)))</formula>
    </cfRule>
  </conditionalFormatting>
  <conditionalFormatting sqref="L5:L144">
    <cfRule type="containsText" dxfId="100" priority="52" operator="containsText" text="48C">
      <formula>NOT(ISERROR(SEARCH("48C",L5)))</formula>
    </cfRule>
    <cfRule type="containsText" dxfId="99" priority="53" operator="containsText" text="24C">
      <formula>NOT(ISERROR(SEARCH("24C",L5)))</formula>
    </cfRule>
  </conditionalFormatting>
  <conditionalFormatting sqref="D115">
    <cfRule type="containsText" dxfId="98" priority="49" operator="containsText" text="IN">
      <formula>NOT(ISERROR(SEARCH("IN",D115)))</formula>
    </cfRule>
    <cfRule type="containsText" dxfId="97" priority="50" operator="containsText" text="out">
      <formula>NOT(ISERROR(SEARCH("out",D115)))</formula>
    </cfRule>
  </conditionalFormatting>
  <conditionalFormatting sqref="O115">
    <cfRule type="duplicateValues" dxfId="96" priority="48"/>
  </conditionalFormatting>
  <conditionalFormatting sqref="D113">
    <cfRule type="containsText" dxfId="95" priority="46" operator="containsText" text="IN">
      <formula>NOT(ISERROR(SEARCH("IN",D113)))</formula>
    </cfRule>
    <cfRule type="containsText" dxfId="94" priority="47" operator="containsText" text="out">
      <formula>NOT(ISERROR(SEARCH("out",D113)))</formula>
    </cfRule>
  </conditionalFormatting>
  <conditionalFormatting sqref="O116:O117">
    <cfRule type="duplicateValues" dxfId="93" priority="45"/>
  </conditionalFormatting>
  <conditionalFormatting sqref="D116">
    <cfRule type="containsText" dxfId="92" priority="43" operator="containsText" text="IN">
      <formula>NOT(ISERROR(SEARCH("IN",D116)))</formula>
    </cfRule>
    <cfRule type="containsText" dxfId="91" priority="44" operator="containsText" text="out">
      <formula>NOT(ISERROR(SEARCH("out",D116)))</formula>
    </cfRule>
  </conditionalFormatting>
  <conditionalFormatting sqref="D117">
    <cfRule type="containsText" dxfId="90" priority="41" operator="containsText" text="IN">
      <formula>NOT(ISERROR(SEARCH("IN",D117)))</formula>
    </cfRule>
    <cfRule type="containsText" dxfId="89" priority="42" operator="containsText" text="out">
      <formula>NOT(ISERROR(SEARCH("out",D117)))</formula>
    </cfRule>
  </conditionalFormatting>
  <conditionalFormatting sqref="O118">
    <cfRule type="duplicateValues" dxfId="88" priority="40"/>
  </conditionalFormatting>
  <conditionalFormatting sqref="D118">
    <cfRule type="containsText" dxfId="87" priority="38" operator="containsText" text="IN">
      <formula>NOT(ISERROR(SEARCH("IN",D118)))</formula>
    </cfRule>
    <cfRule type="containsText" dxfId="86" priority="39" operator="containsText" text="out">
      <formula>NOT(ISERROR(SEARCH("out",D118)))</formula>
    </cfRule>
  </conditionalFormatting>
  <conditionalFormatting sqref="P118:Q118">
    <cfRule type="duplicateValues" dxfId="85" priority="34"/>
  </conditionalFormatting>
  <conditionalFormatting sqref="P118">
    <cfRule type="duplicateValues" dxfId="84" priority="35"/>
  </conditionalFormatting>
  <conditionalFormatting sqref="P118">
    <cfRule type="duplicateValues" dxfId="83" priority="36"/>
  </conditionalFormatting>
  <conditionalFormatting sqref="Q118">
    <cfRule type="duplicateValues" dxfId="82" priority="37"/>
  </conditionalFormatting>
  <conditionalFormatting sqref="Z108">
    <cfRule type="containsText" dxfId="81" priority="33" operator="containsText" text="ADSS">
      <formula>NOT(ISERROR(SEARCH("ADSS",Z108)))</formula>
    </cfRule>
  </conditionalFormatting>
  <conditionalFormatting sqref="Z109">
    <cfRule type="containsText" dxfId="80" priority="32" operator="containsText" text="ADSS">
      <formula>NOT(ISERROR(SEARCH("ADSS",Z109)))</formula>
    </cfRule>
  </conditionalFormatting>
  <conditionalFormatting sqref="O120">
    <cfRule type="duplicateValues" dxfId="79" priority="31"/>
  </conditionalFormatting>
  <conditionalFormatting sqref="D120">
    <cfRule type="containsText" dxfId="78" priority="29" operator="containsText" text="IN">
      <formula>NOT(ISERROR(SEARCH("IN",D120)))</formula>
    </cfRule>
    <cfRule type="containsText" dxfId="77" priority="30" operator="containsText" text="out">
      <formula>NOT(ISERROR(SEARCH("out",D120)))</formula>
    </cfRule>
  </conditionalFormatting>
  <conditionalFormatting sqref="O121">
    <cfRule type="duplicateValues" dxfId="76" priority="28"/>
  </conditionalFormatting>
  <conditionalFormatting sqref="D121">
    <cfRule type="containsText" dxfId="75" priority="26" operator="containsText" text="IN">
      <formula>NOT(ISERROR(SEARCH("IN",D121)))</formula>
    </cfRule>
    <cfRule type="containsText" dxfId="74" priority="27" operator="containsText" text="out">
      <formula>NOT(ISERROR(SEARCH("out",D121)))</formula>
    </cfRule>
  </conditionalFormatting>
  <conditionalFormatting sqref="Q122">
    <cfRule type="duplicateValues" dxfId="73" priority="25"/>
  </conditionalFormatting>
  <conditionalFormatting sqref="Z122">
    <cfRule type="containsText" dxfId="72" priority="23" operator="containsText" text="24C">
      <formula>NOT(ISERROR(SEARCH("24C",Z122)))</formula>
    </cfRule>
    <cfRule type="containsText" dxfId="71" priority="24" operator="containsText" text="48C">
      <formula>NOT(ISERROR(SEARCH("48C",Z122)))</formula>
    </cfRule>
  </conditionalFormatting>
  <conditionalFormatting sqref="Z123">
    <cfRule type="containsText" dxfId="70" priority="21" operator="containsText" text="24C">
      <formula>NOT(ISERROR(SEARCH("24C",Z123)))</formula>
    </cfRule>
    <cfRule type="containsText" dxfId="69" priority="22" operator="containsText" text="48C">
      <formula>NOT(ISERROR(SEARCH("48C",Z123)))</formula>
    </cfRule>
  </conditionalFormatting>
  <conditionalFormatting sqref="O124">
    <cfRule type="duplicateValues" dxfId="68" priority="20"/>
  </conditionalFormatting>
  <conditionalFormatting sqref="D124">
    <cfRule type="containsText" dxfId="67" priority="18" operator="containsText" text="IN">
      <formula>NOT(ISERROR(SEARCH("IN",D124)))</formula>
    </cfRule>
    <cfRule type="containsText" dxfId="66" priority="19" operator="containsText" text="out">
      <formula>NOT(ISERROR(SEARCH("out",D124)))</formula>
    </cfRule>
  </conditionalFormatting>
  <conditionalFormatting sqref="L124">
    <cfRule type="containsText" dxfId="65" priority="16" operator="containsText" text="48C">
      <formula>NOT(ISERROR(SEARCH("48C",L124)))</formula>
    </cfRule>
    <cfRule type="containsText" dxfId="64" priority="17" operator="containsText" text="24C">
      <formula>NOT(ISERROR(SEARCH("24C",L124)))</formula>
    </cfRule>
  </conditionalFormatting>
  <conditionalFormatting sqref="Q124">
    <cfRule type="duplicateValues" dxfId="63" priority="15"/>
  </conditionalFormatting>
  <conditionalFormatting sqref="D125">
    <cfRule type="containsText" dxfId="62" priority="13" operator="containsText" text="IN">
      <formula>NOT(ISERROR(SEARCH("IN",D125)))</formula>
    </cfRule>
    <cfRule type="containsText" dxfId="61" priority="14" operator="containsText" text="out">
      <formula>NOT(ISERROR(SEARCH("out",D125)))</formula>
    </cfRule>
  </conditionalFormatting>
  <conditionalFormatting sqref="D126:D143">
    <cfRule type="containsText" dxfId="60" priority="11" operator="containsText" text="IN">
      <formula>NOT(ISERROR(SEARCH("IN",D126)))</formula>
    </cfRule>
    <cfRule type="containsText" dxfId="59" priority="12" operator="containsText" text="out">
      <formula>NOT(ISERROR(SEARCH("out",D126)))</formula>
    </cfRule>
  </conditionalFormatting>
  <conditionalFormatting sqref="O144">
    <cfRule type="duplicateValues" dxfId="58" priority="10"/>
  </conditionalFormatting>
  <conditionalFormatting sqref="D144">
    <cfRule type="containsText" dxfId="57" priority="8" operator="containsText" text="IN">
      <formula>NOT(ISERROR(SEARCH("IN",D144)))</formula>
    </cfRule>
    <cfRule type="containsText" dxfId="56" priority="9" operator="containsText" text="out">
      <formula>NOT(ISERROR(SEARCH("out",D144)))</formula>
    </cfRule>
  </conditionalFormatting>
  <conditionalFormatting sqref="L144">
    <cfRule type="containsText" dxfId="55" priority="6" operator="containsText" text="48C">
      <formula>NOT(ISERROR(SEARCH("48C",L144)))</formula>
    </cfRule>
    <cfRule type="containsText" dxfId="54" priority="7" operator="containsText" text="24C">
      <formula>NOT(ISERROR(SEARCH("24C",L144)))</formula>
    </cfRule>
  </conditionalFormatting>
  <conditionalFormatting sqref="D145">
    <cfRule type="containsText" dxfId="53" priority="4" operator="containsText" text="IN">
      <formula>NOT(ISERROR(SEARCH("IN",D145)))</formula>
    </cfRule>
    <cfRule type="containsText" dxfId="52" priority="5" operator="containsText" text="out">
      <formula>NOT(ISERROR(SEARCH("out",D145)))</formula>
    </cfRule>
  </conditionalFormatting>
  <conditionalFormatting sqref="O145">
    <cfRule type="duplicateValues" dxfId="51" priority="3"/>
  </conditionalFormatting>
  <conditionalFormatting sqref="L145">
    <cfRule type="containsText" dxfId="50" priority="1" operator="containsText" text="48C">
      <formula>NOT(ISERROR(SEARCH("48C",L145)))</formula>
    </cfRule>
    <cfRule type="containsText" dxfId="49" priority="2" operator="containsText" text="24C">
      <formula>NOT(ISERROR(SEARCH("24C",L145)))</formula>
    </cfRule>
  </conditionalFormatting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9BC9C32-EE89-4CB4-BC9A-F9BAB4CB68DF}">
          <x14:formula1>
            <xm:f>DV!$C$10:$C$55</xm:f>
          </x14:formula1>
          <xm:sqref>D45:D70 D72:D83 D85 D87 D89:D90 D96 D102:D109 D113 D116:D118 D120:D121 D5:D43 D144:D145</xm:sqref>
        </x14:dataValidation>
        <x14:dataValidation type="list" allowBlank="1" showInputMessage="1" showErrorMessage="1" xr:uid="{C268E291-CC61-4871-A2D8-F726ECF7E6DF}">
          <x14:formula1>
            <xm:f>DV!$C$10:$C$31</xm:f>
          </x14:formula1>
          <xm:sqref>D44 D84 D86 D88 D94 D99:D101</xm:sqref>
        </x14:dataValidation>
        <x14:dataValidation type="list" allowBlank="1" showInputMessage="1" showErrorMessage="1" xr:uid="{E6C92817-90B7-4970-9B5E-FB16056F646B}">
          <x14:formula1>
            <xm:f>DV!$P$10:$P$55</xm:f>
          </x14:formula1>
          <xm:sqref>U106 U118 Z87 Z70:Z84 Z18:Z24 Z26:Z59 Z61:Z68 Z5:Z16 Z102:Z107 Z115:Z121</xm:sqref>
        </x14:dataValidation>
        <x14:dataValidation type="list" allowBlank="1" showInputMessage="1" showErrorMessage="1" xr:uid="{F2CD96D2-FEC9-4D02-BBBC-D4671D0E0BD3}">
          <x14:formula1>
            <xm:f>DV!$E$10:$E$55</xm:f>
          </x14:formula1>
          <xm:sqref>F116:F118 F120:F145 F5:F103</xm:sqref>
        </x14:dataValidation>
        <x14:dataValidation type="list" allowBlank="1" showInputMessage="1" showErrorMessage="1" xr:uid="{209C420B-8FBD-42F1-AFB4-DF92A1170840}">
          <x14:formula1>
            <xm:f>DV!$F$10:$F$55</xm:f>
          </x14:formula1>
          <xm:sqref>G116:G118 G120:G145 G5:G103</xm:sqref>
        </x14:dataValidation>
        <x14:dataValidation type="list" allowBlank="1" showInputMessage="1" showErrorMessage="1" xr:uid="{D17DA3BE-4C23-4321-9A26-F4912B90949D}">
          <x14:formula1>
            <xm:f>Sum_WH!$E$5:$E$53</xm:f>
          </x14:formula1>
          <xm:sqref>L5:L121 L144:L145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1DC87-A9DB-471F-9CBB-6B5488949FAD}">
  <sheetPr codeName="Sheet13">
    <tabColor rgb="FFFFFF00"/>
  </sheetPr>
  <dimension ref="A1"/>
  <sheetViews>
    <sheetView workbookViewId="0">
      <selection activeCell="K27" sqref="K27"/>
    </sheetView>
  </sheetViews>
  <sheetFormatPr defaultRowHeight="14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73AA9-12BF-4529-87FD-2827B6B0C9D7}">
  <sheetPr codeName="Sheet7"/>
  <dimension ref="A1:I35"/>
  <sheetViews>
    <sheetView topLeftCell="A28" zoomScale="85" zoomScaleNormal="85" workbookViewId="0">
      <selection activeCell="I10" sqref="I10"/>
    </sheetView>
  </sheetViews>
  <sheetFormatPr defaultRowHeight="14"/>
  <cols>
    <col min="1" max="1" width="7.5" customWidth="1"/>
    <col min="2" max="2" width="20.1640625" customWidth="1"/>
    <col min="3" max="3" width="31.6640625" customWidth="1"/>
    <col min="4" max="4" width="8.08203125" customWidth="1"/>
    <col min="5" max="5" width="10.9140625" customWidth="1"/>
    <col min="6" max="6" width="38.08203125" customWidth="1"/>
    <col min="9" max="9" width="32.6640625" customWidth="1"/>
  </cols>
  <sheetData>
    <row r="1" spans="1:9" ht="14.5" thickBot="1"/>
    <row r="2" spans="1:9" ht="24.65" customHeight="1" thickBot="1">
      <c r="A2" s="587" t="s">
        <v>59</v>
      </c>
      <c r="B2" s="587"/>
      <c r="C2" s="584" t="s">
        <v>3272</v>
      </c>
      <c r="D2" s="585"/>
      <c r="E2" s="585"/>
      <c r="F2" s="586"/>
    </row>
    <row r="3" spans="1:9" ht="8" customHeight="1">
      <c r="A3" s="86"/>
      <c r="B3" s="86"/>
      <c r="C3" s="84"/>
    </row>
    <row r="4" spans="1:9" ht="18" customHeight="1">
      <c r="A4" s="588" t="s">
        <v>57</v>
      </c>
      <c r="B4" s="589"/>
      <c r="C4" s="100" t="e">
        <f>IF($C$2="","-",INDEX(Logfile_S[Transaction  Type],MATCH($C$2,Logfile_S[Nota No.],0)))</f>
        <v>#N/A</v>
      </c>
      <c r="E4" s="93" t="s">
        <v>52</v>
      </c>
      <c r="F4" s="87" t="e">
        <f>IF($C$2="","-",INDEX(Logfile_S[ID Card],MATCH($C$2,Logfile_S[Nota No.],0)))</f>
        <v>#N/A</v>
      </c>
    </row>
    <row r="5" spans="1:9">
      <c r="A5" s="582" t="s">
        <v>23</v>
      </c>
      <c r="B5" s="583"/>
      <c r="C5" s="87" t="e">
        <f>IF($C$2="","-",INDEX(Logfile_S[WH GCI],MATCH($C$2,Logfile_S[Nota No.],0)))</f>
        <v>#N/A</v>
      </c>
      <c r="E5" s="93" t="s">
        <v>53</v>
      </c>
      <c r="F5" s="87" t="e">
        <f>IF($C$2="","-",INDEX(Logfile_S[Car Plate],MATCH($C$2,Logfile_S[Nota No.],0)))</f>
        <v>#N/A</v>
      </c>
    </row>
    <row r="6" spans="1:9">
      <c r="A6" s="582" t="s">
        <v>56</v>
      </c>
      <c r="B6" s="583"/>
      <c r="C6" s="87" t="e">
        <f>IF($C$2="","-",INDEX(Logfile_S[PIC Warehouse],MATCH($C$2,Logfile_S[Nota No.],0)))</f>
        <v>#N/A</v>
      </c>
      <c r="E6" s="94" t="s">
        <v>3179</v>
      </c>
      <c r="F6" s="88" t="s">
        <v>3181</v>
      </c>
    </row>
    <row r="7" spans="1:9" ht="14.4" customHeight="1">
      <c r="A7" s="582" t="s">
        <v>54</v>
      </c>
      <c r="B7" s="583"/>
      <c r="C7" s="89" t="e">
        <f>IF($C$2="","-",INDEX(Logfile_S[Date],MATCH($C$2,Logfile_S[Nota No.],0)))</f>
        <v>#N/A</v>
      </c>
      <c r="E7" s="94" t="s">
        <v>3180</v>
      </c>
      <c r="F7" s="88" t="s">
        <v>3182</v>
      </c>
    </row>
    <row r="8" spans="1:9">
      <c r="A8" s="582" t="s">
        <v>42</v>
      </c>
      <c r="B8" s="583"/>
      <c r="C8" s="90" t="e">
        <f>IF($C$2="","-",INDEX(Logfile_S[Time],MATCH($C$2,Logfile_S[Nota No.],0)))</f>
        <v>#N/A</v>
      </c>
    </row>
    <row r="9" spans="1:9">
      <c r="A9" s="582" t="s">
        <v>32</v>
      </c>
      <c r="B9" s="583"/>
      <c r="C9" s="87" t="e">
        <f>IF($C$2="","-",INDEX(Logfile_S[Site Name],MATCH($C$2,Logfile_S[Nota No.],0)))</f>
        <v>#N/A</v>
      </c>
    </row>
    <row r="10" spans="1:9">
      <c r="A10" s="582" t="s">
        <v>3018</v>
      </c>
      <c r="B10" s="583"/>
      <c r="C10" s="87" t="e">
        <f>IF($C$2="","-",INDEX(Logfile_S[PIC Delivery],MATCH($C$2,Logfile_S[Nota No.],0)))</f>
        <v>#N/A</v>
      </c>
    </row>
    <row r="11" spans="1:9">
      <c r="A11" s="582" t="s">
        <v>51</v>
      </c>
      <c r="B11" s="583"/>
      <c r="C11" s="87" t="e">
        <f>IF($C$2="","-",INDEX(Logfile_S[Vendor Supplier],MATCH($C$2,Logfile_S[Nota No.],0)))</f>
        <v>#N/A</v>
      </c>
      <c r="I11" s="83" t="e">
        <f>CONCATENATE("*",C4,"*")</f>
        <v>#N/A</v>
      </c>
    </row>
    <row r="12" spans="1:9" ht="8" customHeight="1">
      <c r="I12" s="91" t="s">
        <v>3183</v>
      </c>
    </row>
    <row r="13" spans="1:9" ht="24" customHeight="1">
      <c r="A13" s="85" t="s">
        <v>3178</v>
      </c>
      <c r="B13" s="85" t="s">
        <v>30</v>
      </c>
      <c r="C13" s="85" t="s">
        <v>27</v>
      </c>
      <c r="D13" s="85" t="s">
        <v>17</v>
      </c>
      <c r="E13" s="85" t="s">
        <v>35</v>
      </c>
      <c r="F13" s="92" t="s">
        <v>36</v>
      </c>
      <c r="I13" t="e">
        <f>CONCATENATE("Tgl : ",TEXT($C$7,"dd/mmm/yy"))</f>
        <v>#N/A</v>
      </c>
    </row>
    <row r="14" spans="1:9">
      <c r="A14" s="95" t="str" cm="1">
        <f t="array" ref="A14">_xlfn._xlws.FILTER(Logfile_S[Line_ID],Logfile_S[Nota No.]=$C$2,"-")</f>
        <v>-</v>
      </c>
      <c r="B14" s="96" t="str" cm="1">
        <f t="array" ref="B14">_xlfn._xlws.FILTER(Logfile_S[Type Material],Logfile_S[Nota No.]=$C$2,"-")</f>
        <v>-</v>
      </c>
      <c r="C14" s="96" t="str" cm="1">
        <f t="array" ref="C14">_xlfn._xlws.FILTER(Logfile_S[Material Name],Logfile_S[Nota No.]=$C$2,"-")</f>
        <v>-</v>
      </c>
      <c r="D14" s="95" t="str" cm="1">
        <f t="array" ref="D14">_xlfn._xlws.FILTER(Logfile_S[Unit],Logfile_S[Nota No.]=$C$2,"-")</f>
        <v>-</v>
      </c>
      <c r="E14" s="95" t="str" cm="1">
        <f t="array" ref="E14">_xlfn._xlws.FILTER(Logfile_S[Qty],Logfile_S[Nota No.]=$C$2,"-")</f>
        <v>-</v>
      </c>
      <c r="F14" s="96" t="str" cm="1">
        <f t="array" ref="F14">_xlfn._xlws.FILTER(Logfile_S[Remarks],Logfile_S[Nota No.]=$C$2,"-")</f>
        <v>-</v>
      </c>
      <c r="I14" t="e">
        <f>CONCATENATE("Jam : ",TEXT($C$8,"hh:mm"))</f>
        <v>#N/A</v>
      </c>
    </row>
    <row r="15" spans="1:9">
      <c r="A15" s="97"/>
      <c r="B15" s="98"/>
      <c r="C15" s="98"/>
      <c r="D15" s="97"/>
      <c r="E15" s="97"/>
      <c r="F15" s="98"/>
      <c r="I15" t="e">
        <f>CONCATENATE("- WH : ",$C$5)</f>
        <v>#N/A</v>
      </c>
    </row>
    <row r="16" spans="1:9">
      <c r="A16" s="97"/>
      <c r="B16" s="98"/>
      <c r="C16" s="98"/>
      <c r="D16" s="97"/>
      <c r="E16" s="97"/>
      <c r="F16" s="98"/>
      <c r="I16" t="e">
        <f>CONCATENATE("- Petugas WH : ",$C$6)</f>
        <v>#N/A</v>
      </c>
    </row>
    <row r="17" spans="1:9">
      <c r="A17" s="97"/>
      <c r="B17" s="98"/>
      <c r="C17" s="98"/>
      <c r="D17" s="97"/>
      <c r="E17" s="97"/>
      <c r="F17" s="98"/>
      <c r="I17" t="str">
        <f>CONCATENATE("- Waspang : ",$F$6)</f>
        <v>- Waspang : Catur</v>
      </c>
    </row>
    <row r="18" spans="1:9">
      <c r="A18" s="97"/>
      <c r="B18" s="98"/>
      <c r="C18" s="98"/>
      <c r="D18" s="97"/>
      <c r="E18" s="97"/>
      <c r="F18" s="98"/>
      <c r="I18" t="e">
        <f>CONCATENATE("- Pic Delivery : ",$C$10)</f>
        <v>#N/A</v>
      </c>
    </row>
    <row r="19" spans="1:9">
      <c r="A19" s="97"/>
      <c r="B19" s="98"/>
      <c r="C19" s="98"/>
      <c r="D19" s="97"/>
      <c r="E19" s="97"/>
      <c r="F19" s="98"/>
      <c r="I19" t="e">
        <f>CONCATENATE("- Vendor/Supplier : ",$C$11)</f>
        <v>#N/A</v>
      </c>
    </row>
    <row r="20" spans="1:9">
      <c r="A20" s="97"/>
      <c r="B20" s="98"/>
      <c r="C20" s="98"/>
      <c r="D20" s="97"/>
      <c r="E20" s="97"/>
      <c r="F20" s="98"/>
      <c r="I20" t="e">
        <f>CONCATENATE("- No.KTP : ",$F$4)</f>
        <v>#N/A</v>
      </c>
    </row>
    <row r="21" spans="1:9">
      <c r="A21" s="97"/>
      <c r="B21" s="98"/>
      <c r="C21" s="98"/>
      <c r="D21" s="98"/>
      <c r="E21" s="98"/>
      <c r="F21" s="98"/>
      <c r="I21" t="e">
        <f>CONCATENATE("- Car Plate : ",$F$5)</f>
        <v>#N/A</v>
      </c>
    </row>
    <row r="22" spans="1:9">
      <c r="A22" s="97"/>
      <c r="B22" s="98"/>
      <c r="C22" s="98"/>
      <c r="D22" s="98"/>
      <c r="E22" s="98"/>
      <c r="F22" s="98"/>
      <c r="I22" t="str">
        <f>CONCATENATE("- Jenis Mobil : ",$F$7)</f>
        <v>- Jenis Mobil : Gran Max</v>
      </c>
    </row>
    <row r="23" spans="1:9">
      <c r="A23" s="97"/>
      <c r="B23" s="98"/>
      <c r="C23" s="98"/>
      <c r="D23" s="98"/>
      <c r="E23" s="98"/>
      <c r="F23" s="98"/>
      <c r="I23" t="e">
        <f>CONCATENATE("- Site Name : ",$C$9)</f>
        <v>#N/A</v>
      </c>
    </row>
    <row r="24" spans="1:9">
      <c r="A24" s="97"/>
      <c r="B24" s="98"/>
      <c r="C24" s="98"/>
      <c r="D24" s="98"/>
      <c r="E24" s="98"/>
      <c r="F24" s="98"/>
      <c r="I24" s="83" t="str">
        <f>CONCATENATE("*",B13,"/",C13,"/",E13,"*")</f>
        <v>*Type Material/Material Name/Qty*</v>
      </c>
    </row>
    <row r="25" spans="1:9">
      <c r="A25" s="95"/>
      <c r="B25" s="96"/>
      <c r="C25" s="96"/>
      <c r="D25" s="95"/>
      <c r="E25" s="95"/>
      <c r="F25" s="98"/>
      <c r="I25" t="str">
        <f>CONCATENATE("- ",$B14,"/",$C14,"/",$E14," ",$D14)</f>
        <v>- -/-/- -</v>
      </c>
    </row>
    <row r="26" spans="1:9">
      <c r="A26" s="97"/>
      <c r="B26" s="98"/>
      <c r="C26" s="98"/>
      <c r="D26" s="97"/>
      <c r="E26" s="97"/>
      <c r="F26" s="98"/>
      <c r="I26" t="str">
        <f t="shared" ref="I26:I35" si="0">CONCATENATE("- ",$B15,"/",$C15,"/",$E15," ",$D15)</f>
        <v xml:space="preserve">- // </v>
      </c>
    </row>
    <row r="27" spans="1:9">
      <c r="A27" s="97"/>
      <c r="B27" s="98"/>
      <c r="C27" s="98"/>
      <c r="D27" s="97"/>
      <c r="E27" s="97"/>
      <c r="F27" s="98"/>
      <c r="I27" t="str">
        <f t="shared" si="0"/>
        <v xml:space="preserve">- // </v>
      </c>
    </row>
    <row r="28" spans="1:9">
      <c r="A28" s="97"/>
      <c r="B28" s="98"/>
      <c r="C28" s="98"/>
      <c r="D28" s="97"/>
      <c r="E28" s="97"/>
      <c r="F28" s="98"/>
      <c r="I28" t="str">
        <f t="shared" si="0"/>
        <v xml:space="preserve">- // </v>
      </c>
    </row>
    <row r="29" spans="1:9">
      <c r="A29" s="97"/>
      <c r="B29" s="98"/>
      <c r="C29" s="98"/>
      <c r="D29" s="97"/>
      <c r="E29" s="97"/>
      <c r="F29" s="98"/>
      <c r="I29" t="str">
        <f t="shared" si="0"/>
        <v xml:space="preserve">- // </v>
      </c>
    </row>
    <row r="30" spans="1:9">
      <c r="A30" s="97"/>
      <c r="B30" s="98"/>
      <c r="C30" s="98"/>
      <c r="D30" s="97"/>
      <c r="E30" s="97"/>
      <c r="F30" s="98"/>
      <c r="I30" t="str">
        <f t="shared" si="0"/>
        <v xml:space="preserve">- // </v>
      </c>
    </row>
    <row r="31" spans="1:9">
      <c r="A31" s="99"/>
      <c r="B31" s="99"/>
      <c r="C31" s="99"/>
      <c r="D31" s="99"/>
      <c r="E31" s="99"/>
      <c r="F31" s="99"/>
      <c r="I31" t="str">
        <f t="shared" si="0"/>
        <v xml:space="preserve">- // </v>
      </c>
    </row>
    <row r="32" spans="1:9">
      <c r="I32" t="str">
        <f t="shared" si="0"/>
        <v xml:space="preserve">- // </v>
      </c>
    </row>
    <row r="33" spans="9:9">
      <c r="I33" t="str">
        <f t="shared" si="0"/>
        <v xml:space="preserve">- // </v>
      </c>
    </row>
    <row r="34" spans="9:9">
      <c r="I34" t="str">
        <f t="shared" si="0"/>
        <v xml:space="preserve">- // </v>
      </c>
    </row>
    <row r="35" spans="9:9">
      <c r="I35" t="str">
        <f t="shared" si="0"/>
        <v xml:space="preserve">- // </v>
      </c>
    </row>
  </sheetData>
  <mergeCells count="10">
    <mergeCell ref="A9:B9"/>
    <mergeCell ref="A10:B10"/>
    <mergeCell ref="A11:B11"/>
    <mergeCell ref="C2:F2"/>
    <mergeCell ref="A2:B2"/>
    <mergeCell ref="A4:B4"/>
    <mergeCell ref="A5:B5"/>
    <mergeCell ref="A6:B6"/>
    <mergeCell ref="A7:B7"/>
    <mergeCell ref="A8:B8"/>
  </mergeCells>
  <dataValidations count="1">
    <dataValidation type="list" allowBlank="1" showInputMessage="1" showErrorMessage="1" sqref="C2:F2" xr:uid="{2760EB09-E670-46B5-86F3-5CB98086840B}">
      <formula1>Logfile_Nota_No</formula1>
    </dataValidation>
  </dataValidations>
  <pageMargins left="0.47244094488188981" right="0.35433070866141736" top="0.55118110236220474" bottom="0.35433070866141736" header="0.31496062992125984" footer="0.31496062992125984"/>
  <pageSetup paperSize="9" orientation="landscape" r:id="rId1"/>
  <colBreaks count="1" manualBreakCount="1">
    <brk id="6" max="1048575" man="1"/>
  </colBreaks>
  <ignoredErrors>
    <ignoredError sqref="I19" 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9F83F-A6E5-4C04-88B7-714FDB507C11}">
  <sheetPr codeName="Sheet18"/>
  <dimension ref="A1:C50"/>
  <sheetViews>
    <sheetView topLeftCell="A19" workbookViewId="0">
      <selection activeCell="B11" sqref="B11"/>
    </sheetView>
  </sheetViews>
  <sheetFormatPr defaultRowHeight="14"/>
  <cols>
    <col min="1" max="1" width="8.4140625" bestFit="1" customWidth="1"/>
    <col min="2" max="2" width="30.9140625" bestFit="1" customWidth="1"/>
  </cols>
  <sheetData>
    <row r="1" spans="1:3" ht="28">
      <c r="A1" s="186" t="s">
        <v>28</v>
      </c>
      <c r="B1" s="186" t="s">
        <v>27</v>
      </c>
      <c r="C1" t="str">
        <f t="shared" ref="C1:C32" si="0">A1</f>
        <v>Material Code</v>
      </c>
    </row>
    <row r="2" spans="1:3">
      <c r="A2" s="189" t="s">
        <v>3118</v>
      </c>
      <c r="B2" s="185" t="s">
        <v>3087</v>
      </c>
      <c r="C2" t="str">
        <f t="shared" si="0"/>
        <v>GCI1001</v>
      </c>
    </row>
    <row r="3" spans="1:3">
      <c r="A3" s="187" t="s">
        <v>3119</v>
      </c>
      <c r="B3" s="191" t="s">
        <v>3088</v>
      </c>
      <c r="C3" t="str">
        <f t="shared" si="0"/>
        <v>GCI1002</v>
      </c>
    </row>
    <row r="4" spans="1:3">
      <c r="A4" s="189" t="s">
        <v>3120</v>
      </c>
      <c r="B4" s="185" t="s">
        <v>3089</v>
      </c>
      <c r="C4" t="str">
        <f t="shared" si="0"/>
        <v>GCI1003</v>
      </c>
    </row>
    <row r="5" spans="1:3">
      <c r="A5" s="187" t="s">
        <v>3121</v>
      </c>
      <c r="B5" s="191" t="s">
        <v>3090</v>
      </c>
      <c r="C5" t="str">
        <f t="shared" si="0"/>
        <v>GCI1004</v>
      </c>
    </row>
    <row r="6" spans="1:3">
      <c r="A6" s="189" t="s">
        <v>3122</v>
      </c>
      <c r="B6" s="185" t="s">
        <v>3091</v>
      </c>
      <c r="C6" t="str">
        <f t="shared" si="0"/>
        <v>GCI1005</v>
      </c>
    </row>
    <row r="7" spans="1:3">
      <c r="A7" s="193" t="s">
        <v>3123</v>
      </c>
      <c r="B7" s="191" t="s">
        <v>3092</v>
      </c>
      <c r="C7" t="str">
        <f t="shared" si="0"/>
        <v>GCI1006</v>
      </c>
    </row>
    <row r="8" spans="1:3">
      <c r="A8" s="192" t="s">
        <v>3124</v>
      </c>
      <c r="B8" s="185" t="s">
        <v>3093</v>
      </c>
      <c r="C8" t="str">
        <f t="shared" si="0"/>
        <v>GCI1007</v>
      </c>
    </row>
    <row r="9" spans="1:3">
      <c r="A9" s="187" t="s">
        <v>3125</v>
      </c>
      <c r="B9" s="191" t="s">
        <v>3094</v>
      </c>
      <c r="C9" t="str">
        <f t="shared" si="0"/>
        <v>GCI1008</v>
      </c>
    </row>
    <row r="10" spans="1:3">
      <c r="A10" s="189" t="s">
        <v>3126</v>
      </c>
      <c r="B10" s="341" t="s">
        <v>5137</v>
      </c>
      <c r="C10" t="str">
        <f t="shared" si="0"/>
        <v>GCI1009</v>
      </c>
    </row>
    <row r="11" spans="1:3">
      <c r="A11" s="339" t="s">
        <v>3127</v>
      </c>
      <c r="B11" s="340" t="s">
        <v>5136</v>
      </c>
      <c r="C11" t="str">
        <f t="shared" si="0"/>
        <v>GCI1010</v>
      </c>
    </row>
    <row r="12" spans="1:3">
      <c r="A12" s="189" t="s">
        <v>3128</v>
      </c>
      <c r="B12" s="185" t="s">
        <v>3097</v>
      </c>
      <c r="C12" t="str">
        <f t="shared" si="0"/>
        <v>GCI1011</v>
      </c>
    </row>
    <row r="13" spans="1:3">
      <c r="A13" s="187" t="s">
        <v>3129</v>
      </c>
      <c r="B13" s="191" t="s">
        <v>3098</v>
      </c>
      <c r="C13" t="str">
        <f t="shared" si="0"/>
        <v>GCI1012</v>
      </c>
    </row>
    <row r="14" spans="1:3">
      <c r="A14" s="189" t="s">
        <v>3130</v>
      </c>
      <c r="B14" s="185" t="s">
        <v>3099</v>
      </c>
      <c r="C14" t="str">
        <f t="shared" si="0"/>
        <v>GCI1013</v>
      </c>
    </row>
    <row r="15" spans="1:3">
      <c r="A15" s="339" t="s">
        <v>3131</v>
      </c>
      <c r="B15" s="191" t="s">
        <v>3096</v>
      </c>
      <c r="C15" t="str">
        <f t="shared" si="0"/>
        <v>GCI1014</v>
      </c>
    </row>
    <row r="16" spans="1:3">
      <c r="A16" s="189" t="s">
        <v>3132</v>
      </c>
      <c r="B16" s="185" t="s">
        <v>3101</v>
      </c>
      <c r="C16" t="str">
        <f t="shared" si="0"/>
        <v>GCI1015</v>
      </c>
    </row>
    <row r="17" spans="1:3">
      <c r="A17" s="187" t="s">
        <v>3133</v>
      </c>
      <c r="B17" s="191" t="s">
        <v>3102</v>
      </c>
      <c r="C17" t="str">
        <f t="shared" si="0"/>
        <v>GCI1016</v>
      </c>
    </row>
    <row r="18" spans="1:3">
      <c r="A18" s="192" t="s">
        <v>3136</v>
      </c>
      <c r="B18" s="338" t="s">
        <v>3105</v>
      </c>
      <c r="C18" t="str">
        <f t="shared" si="0"/>
        <v>GCI1017</v>
      </c>
    </row>
    <row r="19" spans="1:3">
      <c r="A19" s="187" t="s">
        <v>3137</v>
      </c>
      <c r="B19" s="191" t="s">
        <v>3106</v>
      </c>
      <c r="C19" t="str">
        <f t="shared" si="0"/>
        <v>GCI1018</v>
      </c>
    </row>
    <row r="20" spans="1:3">
      <c r="A20" s="189" t="s">
        <v>3138</v>
      </c>
      <c r="B20" s="185" t="s">
        <v>3107</v>
      </c>
      <c r="C20" t="str">
        <f t="shared" si="0"/>
        <v>GCI1019</v>
      </c>
    </row>
    <row r="21" spans="1:3">
      <c r="A21" s="187" t="s">
        <v>3139</v>
      </c>
      <c r="B21" s="191" t="s">
        <v>3108</v>
      </c>
      <c r="C21" t="str">
        <f t="shared" si="0"/>
        <v>GCI1020</v>
      </c>
    </row>
    <row r="22" spans="1:3">
      <c r="A22" s="189" t="s">
        <v>3222</v>
      </c>
      <c r="B22" s="345" t="s">
        <v>3442</v>
      </c>
      <c r="C22" t="str">
        <f t="shared" si="0"/>
        <v>GCI1021</v>
      </c>
    </row>
    <row r="23" spans="1:3">
      <c r="A23" s="189" t="s">
        <v>3134</v>
      </c>
      <c r="B23" s="185" t="s">
        <v>3103</v>
      </c>
      <c r="C23" t="str">
        <f t="shared" si="0"/>
        <v>GCI2013</v>
      </c>
    </row>
    <row r="24" spans="1:3">
      <c r="A24" s="187" t="s">
        <v>3135</v>
      </c>
      <c r="B24" s="191" t="s">
        <v>3104</v>
      </c>
      <c r="C24" t="str">
        <f t="shared" si="0"/>
        <v>GCI2014</v>
      </c>
    </row>
    <row r="25" spans="1:3">
      <c r="A25" s="187" t="s">
        <v>0</v>
      </c>
      <c r="B25" s="188" t="s">
        <v>3069</v>
      </c>
      <c r="C25" t="str">
        <f t="shared" si="0"/>
        <v>ZTE1001</v>
      </c>
    </row>
    <row r="26" spans="1:3">
      <c r="A26" s="189" t="s">
        <v>1</v>
      </c>
      <c r="B26" s="190" t="s">
        <v>3070</v>
      </c>
      <c r="C26" t="str">
        <f t="shared" si="0"/>
        <v>ZTE1002</v>
      </c>
    </row>
    <row r="27" spans="1:3">
      <c r="A27" s="189" t="s">
        <v>2</v>
      </c>
      <c r="B27" s="190" t="s">
        <v>3071</v>
      </c>
      <c r="C27" t="str">
        <f t="shared" si="0"/>
        <v>ZTE1003</v>
      </c>
    </row>
    <row r="28" spans="1:3">
      <c r="A28" s="187" t="s">
        <v>3</v>
      </c>
      <c r="B28" s="188" t="s">
        <v>3072</v>
      </c>
      <c r="C28" t="str">
        <f t="shared" si="0"/>
        <v>ZTE1004</v>
      </c>
    </row>
    <row r="29" spans="1:3">
      <c r="A29" s="189" t="s">
        <v>4523</v>
      </c>
      <c r="B29" s="190" t="s">
        <v>4524</v>
      </c>
      <c r="C29" t="str">
        <f t="shared" si="0"/>
        <v>ZTE1005</v>
      </c>
    </row>
    <row r="30" spans="1:3">
      <c r="A30" s="187" t="s">
        <v>4644</v>
      </c>
      <c r="B30" s="188" t="s">
        <v>4645</v>
      </c>
      <c r="C30" t="str">
        <f t="shared" si="0"/>
        <v>ZTE1006</v>
      </c>
    </row>
    <row r="31" spans="1:3">
      <c r="A31" s="187" t="s">
        <v>4732</v>
      </c>
      <c r="B31" s="191" t="s">
        <v>4731</v>
      </c>
      <c r="C31" t="str">
        <f t="shared" si="0"/>
        <v>ZTE1007</v>
      </c>
    </row>
    <row r="32" spans="1:3">
      <c r="A32" s="189" t="s">
        <v>4</v>
      </c>
      <c r="B32" s="190" t="s">
        <v>3073</v>
      </c>
      <c r="C32" t="str">
        <f t="shared" si="0"/>
        <v>ZTE2001</v>
      </c>
    </row>
    <row r="33" spans="1:3">
      <c r="A33" s="187" t="s">
        <v>3109</v>
      </c>
      <c r="B33" s="188" t="s">
        <v>3074</v>
      </c>
      <c r="C33" t="str">
        <f t="shared" ref="C33:C50" si="1">A33</f>
        <v>ZTE2002</v>
      </c>
    </row>
    <row r="34" spans="1:3">
      <c r="A34" s="189" t="s">
        <v>5</v>
      </c>
      <c r="B34" s="190" t="s">
        <v>3075</v>
      </c>
      <c r="C34" t="str">
        <f t="shared" si="1"/>
        <v>ZTE2003</v>
      </c>
    </row>
    <row r="35" spans="1:3">
      <c r="A35" s="189" t="s">
        <v>11</v>
      </c>
      <c r="B35" s="185" t="s">
        <v>3077</v>
      </c>
      <c r="C35" t="str">
        <f t="shared" si="1"/>
        <v>ZTE2004</v>
      </c>
    </row>
    <row r="36" spans="1:3">
      <c r="A36" s="187" t="s">
        <v>6</v>
      </c>
      <c r="B36" s="191" t="s">
        <v>14</v>
      </c>
      <c r="C36" t="str">
        <f t="shared" si="1"/>
        <v>ZTE2005</v>
      </c>
    </row>
    <row r="37" spans="1:3">
      <c r="A37" s="189" t="s">
        <v>7</v>
      </c>
      <c r="B37" s="185" t="s">
        <v>15</v>
      </c>
      <c r="C37" t="str">
        <f t="shared" si="1"/>
        <v>ZTE2006</v>
      </c>
    </row>
    <row r="38" spans="1:3">
      <c r="A38" s="187" t="s">
        <v>3110</v>
      </c>
      <c r="B38" s="191" t="s">
        <v>3078</v>
      </c>
      <c r="C38" t="str">
        <f t="shared" si="1"/>
        <v>ZTE2007</v>
      </c>
    </row>
    <row r="39" spans="1:3">
      <c r="A39" s="189" t="s">
        <v>8</v>
      </c>
      <c r="B39" s="185" t="s">
        <v>13</v>
      </c>
      <c r="C39" t="str">
        <f t="shared" si="1"/>
        <v>ZTE2008</v>
      </c>
    </row>
    <row r="40" spans="1:3">
      <c r="A40" s="187" t="s">
        <v>3111</v>
      </c>
      <c r="B40" s="191" t="s">
        <v>3079</v>
      </c>
      <c r="C40" t="str">
        <f t="shared" si="1"/>
        <v>ZTE2009</v>
      </c>
    </row>
    <row r="41" spans="1:3">
      <c r="A41" s="189" t="s">
        <v>9</v>
      </c>
      <c r="B41" s="185" t="s">
        <v>3080</v>
      </c>
      <c r="C41" t="str">
        <f t="shared" si="1"/>
        <v>ZTE2010</v>
      </c>
    </row>
    <row r="42" spans="1:3">
      <c r="A42" s="187" t="s">
        <v>3112</v>
      </c>
      <c r="B42" s="191" t="s">
        <v>3081</v>
      </c>
      <c r="C42" t="str">
        <f t="shared" si="1"/>
        <v>ZTE2011</v>
      </c>
    </row>
    <row r="43" spans="1:3">
      <c r="A43" s="189" t="s">
        <v>3113</v>
      </c>
      <c r="B43" s="185" t="s">
        <v>3082</v>
      </c>
      <c r="C43" t="str">
        <f t="shared" si="1"/>
        <v>ZTE2012</v>
      </c>
    </row>
    <row r="44" spans="1:3">
      <c r="A44" s="187" t="s">
        <v>10</v>
      </c>
      <c r="B44" s="191" t="s">
        <v>3076</v>
      </c>
      <c r="C44" t="str">
        <f t="shared" si="1"/>
        <v>ZTE2013</v>
      </c>
    </row>
    <row r="45" spans="1:3">
      <c r="A45" s="187" t="s">
        <v>3145</v>
      </c>
      <c r="B45" s="191" t="s">
        <v>3144</v>
      </c>
      <c r="C45" t="str">
        <f t="shared" si="1"/>
        <v>ZTE2014</v>
      </c>
    </row>
    <row r="46" spans="1:3">
      <c r="A46" s="189" t="s">
        <v>3114</v>
      </c>
      <c r="B46" s="185" t="s">
        <v>3083</v>
      </c>
      <c r="C46" t="str">
        <f t="shared" si="1"/>
        <v>ZTE2015</v>
      </c>
    </row>
    <row r="47" spans="1:3">
      <c r="A47" s="187" t="s">
        <v>3115</v>
      </c>
      <c r="B47" s="191" t="s">
        <v>3084</v>
      </c>
      <c r="C47" t="str">
        <f t="shared" si="1"/>
        <v>ZTE2016</v>
      </c>
    </row>
    <row r="48" spans="1:3">
      <c r="A48" s="189" t="s">
        <v>3116</v>
      </c>
      <c r="B48" s="185" t="s">
        <v>3085</v>
      </c>
      <c r="C48" t="str">
        <f t="shared" si="1"/>
        <v>ZTE2017</v>
      </c>
    </row>
    <row r="49" spans="1:3">
      <c r="A49" s="187" t="s">
        <v>3117</v>
      </c>
      <c r="B49" s="191" t="s">
        <v>3086</v>
      </c>
      <c r="C49" t="str">
        <f t="shared" si="1"/>
        <v>ZTE2018</v>
      </c>
    </row>
    <row r="50" spans="1:3">
      <c r="A50" s="187" t="s">
        <v>12</v>
      </c>
      <c r="B50" s="191" t="s">
        <v>16</v>
      </c>
      <c r="C50" t="str">
        <f t="shared" si="1"/>
        <v>ZTE2020</v>
      </c>
    </row>
  </sheetData>
  <autoFilter ref="A1:C1" xr:uid="{B0E9F83F-A6E5-4C04-88B7-714FDB507C11}">
    <sortState xmlns:xlrd2="http://schemas.microsoft.com/office/spreadsheetml/2017/richdata2" ref="A2:C50">
      <sortCondition ref="A1"/>
    </sortState>
  </autoFilter>
  <conditionalFormatting sqref="A2:A3 A5:A50">
    <cfRule type="duplicateValues" dxfId="48" priority="2"/>
  </conditionalFormatting>
  <conditionalFormatting sqref="A4">
    <cfRule type="duplicateValues" dxfId="47" priority="1"/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F77D4-E062-4BD2-8D6D-DD29AD294171}">
  <dimension ref="A1:AC81"/>
  <sheetViews>
    <sheetView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0" sqref="A30"/>
    </sheetView>
  </sheetViews>
  <sheetFormatPr defaultColWidth="8.83203125" defaultRowHeight="14.5"/>
  <cols>
    <col min="1" max="1" width="18.83203125" style="353" bestFit="1" customWidth="1"/>
    <col min="2" max="2" width="8.83203125" style="353"/>
    <col min="3" max="3" width="9" style="353" customWidth="1"/>
    <col min="4" max="4" width="3" style="353" customWidth="1"/>
    <col min="5" max="5" width="11.33203125" style="354" customWidth="1"/>
    <col min="6" max="6" width="7.58203125" style="353" bestFit="1" customWidth="1"/>
    <col min="7" max="7" width="11.33203125" style="355" bestFit="1" customWidth="1"/>
    <col min="8" max="8" width="9.5" style="353" bestFit="1" customWidth="1"/>
    <col min="9" max="9" width="8.4140625" style="356" bestFit="1" customWidth="1"/>
    <col min="10" max="10" width="10" style="353" bestFit="1" customWidth="1"/>
    <col min="11" max="11" width="5.4140625" style="353" bestFit="1" customWidth="1"/>
    <col min="12" max="12" width="9" style="353" bestFit="1" customWidth="1"/>
    <col min="13" max="13" width="9" style="356" customWidth="1"/>
    <col min="14" max="16" width="8.83203125" style="353"/>
    <col min="17" max="17" width="8.83203125" style="356"/>
    <col min="18" max="21" width="8.83203125" style="357"/>
    <col min="22" max="22" width="15.83203125" style="353" bestFit="1" customWidth="1"/>
    <col min="23" max="23" width="14.08203125" style="353" bestFit="1" customWidth="1"/>
    <col min="24" max="16384" width="8.83203125" style="353"/>
  </cols>
  <sheetData>
    <row r="1" spans="1:29">
      <c r="E1" s="354">
        <f>SUBTOTAL(9,Table4[[#All],[Qty Inbound]])</f>
        <v>230082</v>
      </c>
      <c r="I1" s="356">
        <f>SUBTOTAL(9,Table4[[#All],[leftover]])</f>
        <v>103904</v>
      </c>
      <c r="M1" s="356">
        <f>SUBTOTAL(9,Table4[[#All],[leftover2]])</f>
        <v>53451</v>
      </c>
      <c r="Q1" s="356">
        <f>SUBTOTAL(9,Table4[[#All],[leftover3]])</f>
        <v>46024</v>
      </c>
    </row>
    <row r="2" spans="1:29" ht="14">
      <c r="A2" s="358" t="s">
        <v>5145</v>
      </c>
      <c r="B2" s="359" t="s">
        <v>5146</v>
      </c>
      <c r="C2" s="359" t="s">
        <v>5147</v>
      </c>
      <c r="D2" s="359" t="s">
        <v>5148</v>
      </c>
      <c r="E2" s="360" t="s">
        <v>5149</v>
      </c>
      <c r="F2" s="359" t="s">
        <v>5150</v>
      </c>
      <c r="G2" s="361" t="s">
        <v>5151</v>
      </c>
      <c r="H2" s="359" t="s">
        <v>5152</v>
      </c>
      <c r="I2" s="362" t="s">
        <v>5153</v>
      </c>
      <c r="J2" s="359" t="s">
        <v>5154</v>
      </c>
      <c r="K2" s="359" t="s">
        <v>5155</v>
      </c>
      <c r="L2" s="359" t="s">
        <v>5156</v>
      </c>
      <c r="M2" s="363" t="s">
        <v>5157</v>
      </c>
      <c r="N2" s="359" t="s">
        <v>5158</v>
      </c>
      <c r="O2" s="359" t="s">
        <v>5159</v>
      </c>
      <c r="P2" s="359" t="s">
        <v>5160</v>
      </c>
      <c r="Q2" s="362" t="s">
        <v>5161</v>
      </c>
      <c r="R2" s="359" t="s">
        <v>5162</v>
      </c>
      <c r="S2" s="359" t="s">
        <v>5163</v>
      </c>
      <c r="T2" s="359" t="s">
        <v>5164</v>
      </c>
      <c r="U2" s="364" t="s">
        <v>5165</v>
      </c>
      <c r="V2" s="359" t="s">
        <v>5166</v>
      </c>
      <c r="W2" s="359" t="s">
        <v>5167</v>
      </c>
      <c r="X2" s="359" t="s">
        <v>5168</v>
      </c>
    </row>
    <row r="3" spans="1:29" s="378" customFormat="1" ht="14">
      <c r="A3" s="365" t="str">
        <f t="shared" ref="A3:A34" si="0">"C_"&amp;B3&amp;"_MLG_"&amp;C3&amp;"_"&amp;D3</f>
        <v>C_ADSS 24C_MLG_45142_1</v>
      </c>
      <c r="B3" s="366" t="s">
        <v>3073</v>
      </c>
      <c r="C3" s="367">
        <v>45142</v>
      </c>
      <c r="D3" s="368">
        <v>1</v>
      </c>
      <c r="E3" s="369">
        <v>3000</v>
      </c>
      <c r="F3" s="370">
        <v>45148</v>
      </c>
      <c r="G3" s="371">
        <v>1279</v>
      </c>
      <c r="H3" s="366" t="s">
        <v>5169</v>
      </c>
      <c r="I3" s="372">
        <f t="shared" ref="I3:I12" si="1">E3-G3</f>
        <v>1721</v>
      </c>
      <c r="J3" s="370">
        <v>45173</v>
      </c>
      <c r="K3" s="366">
        <v>795</v>
      </c>
      <c r="L3" s="366" t="s">
        <v>5170</v>
      </c>
      <c r="M3" s="373">
        <f t="shared" ref="M3:M34" si="2">I3-K3</f>
        <v>926</v>
      </c>
      <c r="N3" s="370">
        <v>45465</v>
      </c>
      <c r="O3" s="366">
        <v>610</v>
      </c>
      <c r="P3" s="374" t="s">
        <v>5171</v>
      </c>
      <c r="Q3" s="373">
        <f t="shared" ref="Q3:Q34" si="3">M3-O3</f>
        <v>316</v>
      </c>
      <c r="R3" s="370">
        <v>45173</v>
      </c>
      <c r="S3" s="375">
        <v>0</v>
      </c>
      <c r="T3" s="375" t="s">
        <v>5172</v>
      </c>
      <c r="U3" s="376">
        <f t="shared" ref="U3:U34" si="4">Q3-S3</f>
        <v>316</v>
      </c>
      <c r="V3" s="37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45173_ADSS 24C_926</v>
      </c>
      <c r="W3" s="374" t="str">
        <f>Table4[[#This Row],[date out4]]&amp;"_"&amp;Table4[[#This Row],[Core]]&amp;"_"&amp;Table4[[#This Row],[leftover4]]</f>
        <v>45173_ADSS 24C_316</v>
      </c>
      <c r="X3" s="377" t="str">
        <f>IF(Table4[[#This Row],[Date Inbound]]&gt;Table4[[#This Row],[date1]],"INV","")</f>
        <v/>
      </c>
      <c r="AA3" s="378">
        <v>3000</v>
      </c>
      <c r="AC3" s="378">
        <v>1219</v>
      </c>
    </row>
    <row r="4" spans="1:29" s="378" customFormat="1" ht="14">
      <c r="A4" s="381" t="str">
        <f t="shared" si="0"/>
        <v>C_ADSS 48C_MLG_45142_1</v>
      </c>
      <c r="B4" s="382" t="s">
        <v>3075</v>
      </c>
      <c r="C4" s="383">
        <v>45142</v>
      </c>
      <c r="D4" s="384">
        <v>1</v>
      </c>
      <c r="E4" s="385">
        <v>3000</v>
      </c>
      <c r="F4" s="386">
        <v>45148</v>
      </c>
      <c r="G4" s="387">
        <v>2110</v>
      </c>
      <c r="H4" s="396" t="s">
        <v>5169</v>
      </c>
      <c r="I4" s="389">
        <f t="shared" si="1"/>
        <v>890</v>
      </c>
      <c r="J4" s="386">
        <v>45165</v>
      </c>
      <c r="K4" s="382"/>
      <c r="L4" s="382"/>
      <c r="M4" s="390">
        <f t="shared" si="2"/>
        <v>890</v>
      </c>
      <c r="N4" s="382"/>
      <c r="O4" s="382"/>
      <c r="P4" s="382"/>
      <c r="Q4" s="389">
        <f t="shared" si="3"/>
        <v>890</v>
      </c>
      <c r="R4" s="391"/>
      <c r="S4" s="391"/>
      <c r="T4" s="391"/>
      <c r="U4" s="391">
        <f t="shared" si="4"/>
        <v>890</v>
      </c>
      <c r="V4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45165_ADSS 48C_890</v>
      </c>
      <c r="W4" s="382" t="str">
        <f>Table4[[#This Row],[date out4]]&amp;"_"&amp;Table4[[#This Row],[Core]]&amp;"_"&amp;Table4[[#This Row],[leftover4]]</f>
        <v>_ADSS 48C_890</v>
      </c>
      <c r="X4" s="392" t="str">
        <f>IF(Table4[[#This Row],[Date Inbound]]&gt;Table4[[#This Row],[date1]],"INV","")</f>
        <v/>
      </c>
      <c r="AA4" s="378">
        <v>609</v>
      </c>
      <c r="AC4" s="378">
        <v>795</v>
      </c>
    </row>
    <row r="5" spans="1:29" s="378" customFormat="1" ht="14">
      <c r="A5" s="381" t="str">
        <f t="shared" si="0"/>
        <v>C_ADSS 48C_MLG_45170_1</v>
      </c>
      <c r="B5" s="382" t="s">
        <v>3075</v>
      </c>
      <c r="C5" s="383">
        <v>45170</v>
      </c>
      <c r="D5" s="384">
        <v>1</v>
      </c>
      <c r="E5" s="385">
        <v>3000</v>
      </c>
      <c r="F5" s="386">
        <v>45173</v>
      </c>
      <c r="G5" s="387">
        <f>605+1267</f>
        <v>1872</v>
      </c>
      <c r="H5" s="396" t="s">
        <v>5219</v>
      </c>
      <c r="I5" s="389">
        <f t="shared" si="1"/>
        <v>1128</v>
      </c>
      <c r="J5" s="382"/>
      <c r="K5" s="382"/>
      <c r="L5" s="382" t="s">
        <v>3266</v>
      </c>
      <c r="M5" s="390">
        <f t="shared" si="2"/>
        <v>1128</v>
      </c>
      <c r="N5" s="382"/>
      <c r="O5" s="382"/>
      <c r="P5" s="382"/>
      <c r="Q5" s="389">
        <f t="shared" si="3"/>
        <v>1128</v>
      </c>
      <c r="R5" s="391"/>
      <c r="S5" s="391"/>
      <c r="T5" s="391"/>
      <c r="U5" s="391">
        <f t="shared" si="4"/>
        <v>1128</v>
      </c>
      <c r="V5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45173_ADSS 48C_1128</v>
      </c>
      <c r="W5" s="382" t="str">
        <f>Table4[[#This Row],[date out4]]&amp;"_"&amp;Table4[[#This Row],[Core]]&amp;"_"&amp;Table4[[#This Row],[leftover4]]</f>
        <v>_ADSS 48C_1128</v>
      </c>
      <c r="X5" s="392" t="str">
        <f>IF(Table4[[#This Row],[Date Inbound]]&gt;Table4[[#This Row],[date1]],"INV","")</f>
        <v/>
      </c>
      <c r="AA5" s="378">
        <f>AA3-AA4</f>
        <v>2391</v>
      </c>
      <c r="AC5" s="378">
        <f>SUM(AC3:AC4)</f>
        <v>2014</v>
      </c>
    </row>
    <row r="6" spans="1:29" s="378" customFormat="1" ht="14">
      <c r="A6" s="381" t="str">
        <f t="shared" si="0"/>
        <v>C_ADSS 48C_MLG_45184_1</v>
      </c>
      <c r="B6" s="381" t="s">
        <v>3075</v>
      </c>
      <c r="C6" s="383">
        <v>45184</v>
      </c>
      <c r="D6" s="464">
        <v>1</v>
      </c>
      <c r="E6" s="465">
        <v>1250</v>
      </c>
      <c r="F6" s="386">
        <v>45487</v>
      </c>
      <c r="G6" s="466">
        <v>860</v>
      </c>
      <c r="H6" s="382" t="s">
        <v>5239</v>
      </c>
      <c r="I6" s="389">
        <f t="shared" si="1"/>
        <v>390</v>
      </c>
      <c r="J6" s="386">
        <v>45487</v>
      </c>
      <c r="K6" s="382">
        <v>390</v>
      </c>
      <c r="L6" s="382" t="s">
        <v>5239</v>
      </c>
      <c r="M6" s="390">
        <f t="shared" si="2"/>
        <v>0</v>
      </c>
      <c r="N6" s="382"/>
      <c r="O6" s="382"/>
      <c r="P6" s="382"/>
      <c r="Q6" s="389">
        <f t="shared" si="3"/>
        <v>0</v>
      </c>
      <c r="R6" s="391"/>
      <c r="S6" s="391"/>
      <c r="T6" s="391"/>
      <c r="U6" s="391">
        <f t="shared" si="4"/>
        <v>0</v>
      </c>
      <c r="V6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45487_ADSS 48C_390</v>
      </c>
      <c r="W6" s="382" t="str">
        <f>Table4[[#This Row],[date out4]]&amp;"_"&amp;Table4[[#This Row],[Core]]&amp;"_"&amp;Table4[[#This Row],[leftover4]]</f>
        <v>_ADSS 48C_0</v>
      </c>
      <c r="X6" s="392" t="str">
        <f>IF(Table4[[#This Row],[Date Inbound]]&gt;Table4[[#This Row],[date1]],"INV","")</f>
        <v/>
      </c>
      <c r="AA6" s="378">
        <v>610</v>
      </c>
      <c r="AC6" s="378">
        <v>2582</v>
      </c>
    </row>
    <row r="7" spans="1:29" s="378" customFormat="1" ht="14">
      <c r="A7" s="429" t="str">
        <f t="shared" si="0"/>
        <v>C_ADSS 48C_MLG_45184_1</v>
      </c>
      <c r="B7" s="430" t="s">
        <v>3075</v>
      </c>
      <c r="C7" s="440">
        <v>45184</v>
      </c>
      <c r="D7" s="432">
        <v>1</v>
      </c>
      <c r="E7" s="441">
        <v>890</v>
      </c>
      <c r="F7" s="434"/>
      <c r="G7" s="442"/>
      <c r="H7" s="430"/>
      <c r="I7" s="436">
        <f t="shared" si="1"/>
        <v>890</v>
      </c>
      <c r="J7" s="430"/>
      <c r="K7" s="430"/>
      <c r="L7" s="430"/>
      <c r="M7" s="435">
        <f t="shared" si="2"/>
        <v>890</v>
      </c>
      <c r="N7" s="430"/>
      <c r="O7" s="430"/>
      <c r="P7" s="430"/>
      <c r="Q7" s="436">
        <f t="shared" si="3"/>
        <v>890</v>
      </c>
      <c r="R7" s="437"/>
      <c r="S7" s="437"/>
      <c r="T7" s="437"/>
      <c r="U7" s="437">
        <f t="shared" si="4"/>
        <v>890</v>
      </c>
      <c r="V7" s="430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_ADSS 48C_890</v>
      </c>
      <c r="W7" s="430" t="str">
        <f>Table4[[#This Row],[date out4]]&amp;"_"&amp;Table4[[#This Row],[Core]]&amp;"_"&amp;Table4[[#This Row],[leftover4]]</f>
        <v>_ADSS 48C_890</v>
      </c>
      <c r="X7" s="438" t="str">
        <f>IF(Table4[[#This Row],[Date Inbound]]&gt;Table4[[#This Row],[date1]],"INV","")</f>
        <v>INV</v>
      </c>
      <c r="AA7" s="378">
        <f>AA5-AA6</f>
        <v>1781</v>
      </c>
      <c r="AC7" s="378">
        <f>AC6-AC5</f>
        <v>568</v>
      </c>
    </row>
    <row r="8" spans="1:29" ht="14">
      <c r="A8" s="381" t="str">
        <f t="shared" si="0"/>
        <v>C_ADSS 48C_MLG_45185_1</v>
      </c>
      <c r="B8" s="382" t="s">
        <v>3075</v>
      </c>
      <c r="C8" s="383">
        <v>45185</v>
      </c>
      <c r="D8" s="384">
        <v>1</v>
      </c>
      <c r="E8" s="385">
        <v>3000</v>
      </c>
      <c r="F8" s="386">
        <v>45193</v>
      </c>
      <c r="G8" s="387">
        <v>387</v>
      </c>
      <c r="H8" s="423" t="s">
        <v>5220</v>
      </c>
      <c r="I8" s="389">
        <f t="shared" si="1"/>
        <v>2613</v>
      </c>
      <c r="J8" s="386">
        <v>45211</v>
      </c>
      <c r="K8" s="388">
        <v>2613</v>
      </c>
      <c r="L8" s="388" t="s">
        <v>5221</v>
      </c>
      <c r="M8" s="390">
        <f t="shared" si="2"/>
        <v>0</v>
      </c>
      <c r="N8" s="382"/>
      <c r="O8" s="382"/>
      <c r="P8" s="382"/>
      <c r="Q8" s="389">
        <f t="shared" si="3"/>
        <v>0</v>
      </c>
      <c r="R8" s="391"/>
      <c r="S8" s="391"/>
      <c r="T8" s="391"/>
      <c r="U8" s="391">
        <f t="shared" si="4"/>
        <v>0</v>
      </c>
      <c r="V8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45193_ADSS 48C_2613</v>
      </c>
      <c r="W8" s="382" t="str">
        <f>Table4[[#This Row],[date out4]]&amp;"_"&amp;Table4[[#This Row],[Core]]&amp;"_"&amp;Table4[[#This Row],[leftover4]]</f>
        <v>_ADSS 48C_0</v>
      </c>
      <c r="X8" s="392" t="str">
        <f>IF(Table4[[#This Row],[Date Inbound]]&gt;Table4[[#This Row],[date1]],"INV","")</f>
        <v/>
      </c>
      <c r="AA8" s="353">
        <v>805</v>
      </c>
      <c r="AC8" s="353">
        <f>AC7-158</f>
        <v>410</v>
      </c>
    </row>
    <row r="9" spans="1:29" s="395" customFormat="1" ht="14">
      <c r="A9" s="365" t="str">
        <f t="shared" si="0"/>
        <v>C_ADSS 24C_MLG_45188_1</v>
      </c>
      <c r="B9" s="366" t="s">
        <v>3073</v>
      </c>
      <c r="C9" s="367">
        <v>45188</v>
      </c>
      <c r="D9" s="368">
        <v>1</v>
      </c>
      <c r="E9" s="369">
        <v>3000</v>
      </c>
      <c r="F9" s="370">
        <v>45194</v>
      </c>
      <c r="G9" s="379">
        <v>1100</v>
      </c>
      <c r="H9" s="366" t="s">
        <v>5173</v>
      </c>
      <c r="I9" s="372">
        <f t="shared" si="1"/>
        <v>1900</v>
      </c>
      <c r="J9" s="370">
        <v>45195</v>
      </c>
      <c r="K9" s="366">
        <v>1900</v>
      </c>
      <c r="L9" s="366" t="s">
        <v>5173</v>
      </c>
      <c r="M9" s="373">
        <f t="shared" si="2"/>
        <v>0</v>
      </c>
      <c r="N9" s="366"/>
      <c r="O9" s="366"/>
      <c r="P9" s="366"/>
      <c r="Q9" s="372">
        <f t="shared" si="3"/>
        <v>0</v>
      </c>
      <c r="R9" s="380"/>
      <c r="S9" s="380"/>
      <c r="T9" s="380"/>
      <c r="U9" s="380">
        <f t="shared" si="4"/>
        <v>0</v>
      </c>
      <c r="V9" s="366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45194_ADSS 24C_1900</v>
      </c>
      <c r="W9" s="366" t="str">
        <f>Table4[[#This Row],[date out4]]&amp;"_"&amp;Table4[[#This Row],[Core]]&amp;"_"&amp;Table4[[#This Row],[leftover4]]</f>
        <v>_ADSS 24C_0</v>
      </c>
      <c r="X9" s="377" t="str">
        <f>IF(Table4[[#This Row],[Date Inbound]]&gt;Table4[[#This Row],[date1]],"INV","")</f>
        <v/>
      </c>
      <c r="AA9" s="395">
        <f>AA7-AA8</f>
        <v>976</v>
      </c>
    </row>
    <row r="10" spans="1:29" ht="14">
      <c r="A10" s="365" t="str">
        <f t="shared" si="0"/>
        <v>C_ADSS 24C_MLG_45189_1</v>
      </c>
      <c r="B10" s="366" t="s">
        <v>3073</v>
      </c>
      <c r="C10" s="367">
        <v>45189</v>
      </c>
      <c r="D10" s="368">
        <v>1</v>
      </c>
      <c r="E10" s="369">
        <v>3000</v>
      </c>
      <c r="F10" s="370">
        <v>45193</v>
      </c>
      <c r="G10" s="371">
        <v>1235</v>
      </c>
      <c r="H10" s="366" t="s">
        <v>5174</v>
      </c>
      <c r="I10" s="372">
        <f t="shared" si="1"/>
        <v>1765</v>
      </c>
      <c r="J10" s="370">
        <v>45200</v>
      </c>
      <c r="K10" s="379">
        <v>1550</v>
      </c>
      <c r="L10" s="366" t="s">
        <v>5173</v>
      </c>
      <c r="M10" s="373">
        <f t="shared" si="2"/>
        <v>215</v>
      </c>
      <c r="N10" s="366"/>
      <c r="O10" s="366"/>
      <c r="P10" s="366"/>
      <c r="Q10" s="372">
        <f t="shared" si="3"/>
        <v>215</v>
      </c>
      <c r="R10" s="380"/>
      <c r="S10" s="380"/>
      <c r="T10" s="380"/>
      <c r="U10" s="380">
        <f t="shared" si="4"/>
        <v>215</v>
      </c>
      <c r="V10" s="366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45200_ADSS 24C_215</v>
      </c>
      <c r="W10" s="366" t="str">
        <f>Table4[[#This Row],[date out4]]&amp;"_"&amp;Table4[[#This Row],[Core]]&amp;"_"&amp;Table4[[#This Row],[leftover4]]</f>
        <v>_ADSS 24C_215</v>
      </c>
      <c r="X10" s="377" t="str">
        <f>IF(Table4[[#This Row],[Date Inbound]]&gt;Table4[[#This Row],[date1]],"INV","")</f>
        <v/>
      </c>
      <c r="AA10" s="353">
        <v>418</v>
      </c>
    </row>
    <row r="11" spans="1:29" ht="14">
      <c r="A11" s="365" t="str">
        <f t="shared" si="0"/>
        <v>C_ADSS 24C_MLG_45195_1</v>
      </c>
      <c r="B11" s="366" t="s">
        <v>3073</v>
      </c>
      <c r="C11" s="367">
        <v>45195</v>
      </c>
      <c r="D11" s="366">
        <v>1</v>
      </c>
      <c r="E11" s="366">
        <v>3000</v>
      </c>
      <c r="F11" s="370">
        <v>45200</v>
      </c>
      <c r="G11" s="366">
        <v>2065</v>
      </c>
      <c r="H11" s="366" t="s">
        <v>5173</v>
      </c>
      <c r="I11" s="372">
        <f t="shared" si="1"/>
        <v>935</v>
      </c>
      <c r="J11" s="370"/>
      <c r="K11" s="366"/>
      <c r="L11" s="366"/>
      <c r="M11" s="373">
        <f t="shared" si="2"/>
        <v>935</v>
      </c>
      <c r="N11" s="366"/>
      <c r="O11" s="366"/>
      <c r="P11" s="366"/>
      <c r="Q11" s="372">
        <f t="shared" si="3"/>
        <v>935</v>
      </c>
      <c r="R11" s="380"/>
      <c r="S11" s="380"/>
      <c r="T11" s="380"/>
      <c r="U11" s="380">
        <f t="shared" si="4"/>
        <v>935</v>
      </c>
      <c r="V11" s="366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45200_ADSS 24C_935</v>
      </c>
      <c r="W11" s="366" t="str">
        <f>Table4[[#This Row],[date out4]]&amp;"_"&amp;Table4[[#This Row],[Core]]&amp;"_"&amp;Table4[[#This Row],[leftover4]]</f>
        <v>_ADSS 24C_935</v>
      </c>
      <c r="X11" s="377" t="str">
        <f>IF(Table4[[#This Row],[Date Inbound]]&gt;Table4[[#This Row],[date1]],"INV","")</f>
        <v/>
      </c>
      <c r="AA11" s="353">
        <f>AA9-AA10</f>
        <v>558</v>
      </c>
    </row>
    <row r="12" spans="1:29" ht="14">
      <c r="A12" s="381" t="str">
        <f t="shared" si="0"/>
        <v>C_ADSS 48C_MLG_45195_1</v>
      </c>
      <c r="B12" s="382" t="s">
        <v>3075</v>
      </c>
      <c r="C12" s="383">
        <v>45195</v>
      </c>
      <c r="D12" s="384">
        <v>1</v>
      </c>
      <c r="E12" s="385">
        <v>3000</v>
      </c>
      <c r="F12" s="386">
        <v>45196</v>
      </c>
      <c r="G12" s="402">
        <v>1679</v>
      </c>
      <c r="H12" s="388" t="s">
        <v>5221</v>
      </c>
      <c r="I12" s="389">
        <f t="shared" si="1"/>
        <v>1321</v>
      </c>
      <c r="J12" s="386">
        <v>45196</v>
      </c>
      <c r="K12" s="402">
        <v>1321</v>
      </c>
      <c r="L12" s="388" t="s">
        <v>5222</v>
      </c>
      <c r="M12" s="390">
        <f t="shared" si="2"/>
        <v>0</v>
      </c>
      <c r="N12" s="382"/>
      <c r="O12" s="382"/>
      <c r="P12" s="382"/>
      <c r="Q12" s="389">
        <f t="shared" si="3"/>
        <v>0</v>
      </c>
      <c r="R12" s="391"/>
      <c r="S12" s="391"/>
      <c r="T12" s="391"/>
      <c r="U12" s="391">
        <f t="shared" si="4"/>
        <v>0</v>
      </c>
      <c r="V12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45196_ADSS 48C_1321</v>
      </c>
      <c r="W12" s="382" t="str">
        <f>Table4[[#This Row],[date out4]]&amp;"_"&amp;Table4[[#This Row],[Core]]&amp;"_"&amp;Table4[[#This Row],[leftover4]]</f>
        <v>_ADSS 48C_0</v>
      </c>
      <c r="X12" s="392" t="str">
        <f>IF(Table4[[#This Row],[Date Inbound]]&gt;Table4[[#This Row],[date1]],"INV","")</f>
        <v/>
      </c>
      <c r="AA12" s="353">
        <v>158</v>
      </c>
    </row>
    <row r="13" spans="1:29" ht="14">
      <c r="A13" s="381" t="str">
        <f t="shared" si="0"/>
        <v>C_ADSS 48C_MLG_45195_1</v>
      </c>
      <c r="B13" s="382" t="s">
        <v>3075</v>
      </c>
      <c r="C13" s="383">
        <v>45195</v>
      </c>
      <c r="D13" s="384">
        <v>1</v>
      </c>
      <c r="E13" s="385">
        <v>3000</v>
      </c>
      <c r="F13" s="386">
        <v>45196</v>
      </c>
      <c r="G13" s="387">
        <v>3000</v>
      </c>
      <c r="H13" s="423" t="s">
        <v>5223</v>
      </c>
      <c r="I13" s="389"/>
      <c r="J13" s="382"/>
      <c r="K13" s="382"/>
      <c r="L13" s="382"/>
      <c r="M13" s="390">
        <f t="shared" si="2"/>
        <v>0</v>
      </c>
      <c r="N13" s="382"/>
      <c r="O13" s="382"/>
      <c r="P13" s="382"/>
      <c r="Q13" s="389">
        <f t="shared" si="3"/>
        <v>0</v>
      </c>
      <c r="R13" s="391"/>
      <c r="S13" s="391"/>
      <c r="T13" s="391"/>
      <c r="U13" s="391">
        <f t="shared" si="4"/>
        <v>0</v>
      </c>
      <c r="V13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45196_ADSS 48C_</v>
      </c>
      <c r="W13" s="382" t="str">
        <f>Table4[[#This Row],[date out4]]&amp;"_"&amp;Table4[[#This Row],[Core]]&amp;"_"&amp;Table4[[#This Row],[leftover4]]</f>
        <v>_ADSS 48C_0</v>
      </c>
      <c r="X13" s="392" t="str">
        <f>IF(Table4[[#This Row],[Date Inbound]]&gt;Table4[[#This Row],[date1]],"INV","")</f>
        <v/>
      </c>
      <c r="AA13" s="353">
        <f>AA11-AA12</f>
        <v>400</v>
      </c>
    </row>
    <row r="14" spans="1:29" ht="14">
      <c r="A14" s="365" t="str">
        <f t="shared" si="0"/>
        <v>C_ADSS 24C_MLG_45213_1</v>
      </c>
      <c r="B14" s="366" t="s">
        <v>3073</v>
      </c>
      <c r="C14" s="367">
        <v>45213</v>
      </c>
      <c r="D14" s="368">
        <v>1</v>
      </c>
      <c r="E14" s="369">
        <v>3000</v>
      </c>
      <c r="F14" s="370">
        <v>45218</v>
      </c>
      <c r="G14" s="371">
        <v>1260</v>
      </c>
      <c r="H14" s="366" t="s">
        <v>5175</v>
      </c>
      <c r="I14" s="372">
        <f t="shared" ref="I14:I45" si="5">E14-G14</f>
        <v>1740</v>
      </c>
      <c r="J14" s="370">
        <v>45218</v>
      </c>
      <c r="K14" s="366">
        <v>684</v>
      </c>
      <c r="L14" s="366" t="s">
        <v>5176</v>
      </c>
      <c r="M14" s="373">
        <f t="shared" si="2"/>
        <v>1056</v>
      </c>
      <c r="N14" s="370">
        <v>45218</v>
      </c>
      <c r="O14" s="366">
        <v>772</v>
      </c>
      <c r="P14" s="366" t="s">
        <v>5175</v>
      </c>
      <c r="Q14" s="372">
        <f t="shared" si="3"/>
        <v>284</v>
      </c>
      <c r="R14" s="380"/>
      <c r="S14" s="380"/>
      <c r="T14" s="380"/>
      <c r="U14" s="380">
        <f t="shared" si="4"/>
        <v>284</v>
      </c>
      <c r="V14" s="366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45218_ADSS 24C_1056</v>
      </c>
      <c r="W14" s="366" t="str">
        <f>Table4[[#This Row],[date out4]]&amp;"_"&amp;Table4[[#This Row],[Core]]&amp;"_"&amp;Table4[[#This Row],[leftover4]]</f>
        <v>_ADSS 24C_284</v>
      </c>
      <c r="X14" s="377" t="str">
        <f>IF(Table4[[#This Row],[Date Inbound]]&gt;Table4[[#This Row],[date1]],"INV","")</f>
        <v/>
      </c>
    </row>
    <row r="15" spans="1:29" ht="14">
      <c r="A15" s="381" t="str">
        <f t="shared" si="0"/>
        <v>C_ADSS 24C_MLG_45213_1</v>
      </c>
      <c r="B15" s="382" t="s">
        <v>3073</v>
      </c>
      <c r="C15" s="383">
        <v>45213</v>
      </c>
      <c r="D15" s="384">
        <v>1</v>
      </c>
      <c r="E15" s="385">
        <v>3000</v>
      </c>
      <c r="F15" s="386">
        <v>45222</v>
      </c>
      <c r="G15" s="387">
        <v>1800</v>
      </c>
      <c r="H15" s="388" t="s">
        <v>5177</v>
      </c>
      <c r="I15" s="389">
        <f t="shared" si="5"/>
        <v>1200</v>
      </c>
      <c r="J15" s="386">
        <v>45222</v>
      </c>
      <c r="K15" s="382">
        <v>1200</v>
      </c>
      <c r="L15" s="388" t="s">
        <v>5178</v>
      </c>
      <c r="M15" s="390">
        <f t="shared" si="2"/>
        <v>0</v>
      </c>
      <c r="N15" s="382"/>
      <c r="O15" s="382"/>
      <c r="P15" s="382"/>
      <c r="Q15" s="389">
        <f t="shared" si="3"/>
        <v>0</v>
      </c>
      <c r="R15" s="391"/>
      <c r="S15" s="391"/>
      <c r="T15" s="391"/>
      <c r="U15" s="391">
        <f t="shared" si="4"/>
        <v>0</v>
      </c>
      <c r="V15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45222_ADSS 24C_1200</v>
      </c>
      <c r="W15" s="382" t="str">
        <f>Table4[[#This Row],[date out4]]&amp;"_"&amp;Table4[[#This Row],[Core]]&amp;"_"&amp;Table4[[#This Row],[leftover4]]</f>
        <v>_ADSS 24C_0</v>
      </c>
      <c r="X15" s="392" t="str">
        <f>IF(Table4[[#This Row],[Date Inbound]]&gt;Table4[[#This Row],[date1]],"INV","")</f>
        <v/>
      </c>
    </row>
    <row r="16" spans="1:29" ht="14">
      <c r="A16" s="381" t="str">
        <f t="shared" si="0"/>
        <v>C_ADSS 24C_MLG_45213_1</v>
      </c>
      <c r="B16" s="382" t="s">
        <v>3073</v>
      </c>
      <c r="C16" s="383">
        <v>45213</v>
      </c>
      <c r="D16" s="384">
        <v>1</v>
      </c>
      <c r="E16" s="385">
        <v>3000</v>
      </c>
      <c r="F16" s="386">
        <v>45222</v>
      </c>
      <c r="G16" s="393">
        <v>1650</v>
      </c>
      <c r="H16" s="388" t="s">
        <v>5178</v>
      </c>
      <c r="I16" s="389">
        <f t="shared" si="5"/>
        <v>1350</v>
      </c>
      <c r="J16" s="386">
        <v>45222</v>
      </c>
      <c r="K16" s="382">
        <v>650</v>
      </c>
      <c r="L16" s="388" t="s">
        <v>5179</v>
      </c>
      <c r="M16" s="390">
        <f t="shared" si="2"/>
        <v>700</v>
      </c>
      <c r="N16" s="386">
        <v>45328</v>
      </c>
      <c r="O16" s="394">
        <v>300</v>
      </c>
      <c r="P16" s="382" t="s">
        <v>3286</v>
      </c>
      <c r="Q16" s="389">
        <f t="shared" si="3"/>
        <v>400</v>
      </c>
      <c r="R16" s="391"/>
      <c r="S16" s="391"/>
      <c r="T16" s="391"/>
      <c r="U16" s="391">
        <f t="shared" si="4"/>
        <v>400</v>
      </c>
      <c r="V16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45222_ADSS 24C_700</v>
      </c>
      <c r="W16" s="382" t="str">
        <f>Table4[[#This Row],[date out4]]&amp;"_"&amp;Table4[[#This Row],[Core]]&amp;"_"&amp;Table4[[#This Row],[leftover4]]</f>
        <v>_ADSS 24C_400</v>
      </c>
      <c r="X16" s="392" t="str">
        <f>IF(Table4[[#This Row],[Date Inbound]]&gt;Table4[[#This Row],[date1]],"INV","")</f>
        <v/>
      </c>
    </row>
    <row r="17" spans="1:24" ht="14">
      <c r="A17" s="381" t="str">
        <f t="shared" si="0"/>
        <v>C_ADSS 48C_MLG_45213_1</v>
      </c>
      <c r="B17" s="382" t="s">
        <v>3075</v>
      </c>
      <c r="C17" s="383">
        <v>45213</v>
      </c>
      <c r="D17" s="384">
        <v>1</v>
      </c>
      <c r="E17" s="385">
        <v>3000</v>
      </c>
      <c r="F17" s="386">
        <v>45221</v>
      </c>
      <c r="G17" s="424">
        <v>1739</v>
      </c>
      <c r="H17" s="423" t="s">
        <v>5176</v>
      </c>
      <c r="I17" s="389">
        <f t="shared" si="5"/>
        <v>1261</v>
      </c>
      <c r="J17" s="382"/>
      <c r="K17" s="382"/>
      <c r="L17" s="382"/>
      <c r="M17" s="390">
        <f t="shared" si="2"/>
        <v>1261</v>
      </c>
      <c r="N17" s="382"/>
      <c r="O17" s="382"/>
      <c r="P17" s="382"/>
      <c r="Q17" s="389">
        <f t="shared" si="3"/>
        <v>1261</v>
      </c>
      <c r="R17" s="391"/>
      <c r="S17" s="391"/>
      <c r="T17" s="391"/>
      <c r="U17" s="391">
        <f t="shared" si="4"/>
        <v>1261</v>
      </c>
      <c r="V17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45221_ADSS 48C_1261</v>
      </c>
      <c r="W17" s="382" t="str">
        <f>Table4[[#This Row],[date out4]]&amp;"_"&amp;Table4[[#This Row],[Core]]&amp;"_"&amp;Table4[[#This Row],[leftover4]]</f>
        <v>_ADSS 48C_1261</v>
      </c>
      <c r="X17" s="392" t="str">
        <f>IF(Table4[[#This Row],[Date Inbound]]&gt;Table4[[#This Row],[date1]],"INV","")</f>
        <v/>
      </c>
    </row>
    <row r="18" spans="1:24" s="408" customFormat="1" ht="14">
      <c r="A18" s="381" t="str">
        <f t="shared" si="0"/>
        <v>C_ADSS 48C_MLG_45213_1</v>
      </c>
      <c r="B18" s="382" t="s">
        <v>3075</v>
      </c>
      <c r="C18" s="383">
        <v>45213</v>
      </c>
      <c r="D18" s="384">
        <v>1</v>
      </c>
      <c r="E18" s="385">
        <v>3000</v>
      </c>
      <c r="F18" s="386">
        <v>45224</v>
      </c>
      <c r="G18" s="387">
        <v>2600</v>
      </c>
      <c r="H18" s="388" t="s">
        <v>5178</v>
      </c>
      <c r="I18" s="389">
        <f t="shared" si="5"/>
        <v>400</v>
      </c>
      <c r="J18" s="386">
        <v>45343</v>
      </c>
      <c r="K18" s="382">
        <v>400</v>
      </c>
      <c r="L18" s="382" t="s">
        <v>5187</v>
      </c>
      <c r="M18" s="390">
        <f t="shared" si="2"/>
        <v>0</v>
      </c>
      <c r="N18" s="382"/>
      <c r="O18" s="382"/>
      <c r="P18" s="382"/>
      <c r="Q18" s="389">
        <f t="shared" si="3"/>
        <v>0</v>
      </c>
      <c r="R18" s="391"/>
      <c r="S18" s="391"/>
      <c r="T18" s="391"/>
      <c r="U18" s="391">
        <f t="shared" si="4"/>
        <v>0</v>
      </c>
      <c r="V18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45224_ADSS 48C_400</v>
      </c>
      <c r="W18" s="382" t="str">
        <f>Table4[[#This Row],[date out4]]&amp;"_"&amp;Table4[[#This Row],[Core]]&amp;"_"&amp;Table4[[#This Row],[leftover4]]</f>
        <v>_ADSS 48C_0</v>
      </c>
      <c r="X18" s="392" t="str">
        <f>IF(Table4[[#This Row],[Date Inbound]]&gt;Table4[[#This Row],[date1]],"INV","")</f>
        <v/>
      </c>
    </row>
    <row r="19" spans="1:24" ht="14">
      <c r="A19" s="381" t="str">
        <f t="shared" si="0"/>
        <v>C_ADSS 24C_MLG_45245_1</v>
      </c>
      <c r="B19" s="382" t="s">
        <v>3073</v>
      </c>
      <c r="C19" s="383">
        <v>45245</v>
      </c>
      <c r="D19" s="384">
        <v>1</v>
      </c>
      <c r="E19" s="385">
        <v>3000</v>
      </c>
      <c r="F19" s="386">
        <v>45255</v>
      </c>
      <c r="G19" s="387">
        <v>1000</v>
      </c>
      <c r="H19" s="388" t="s">
        <v>5180</v>
      </c>
      <c r="I19" s="389">
        <f t="shared" si="5"/>
        <v>2000</v>
      </c>
      <c r="J19" s="382"/>
      <c r="K19" s="382"/>
      <c r="L19" s="382"/>
      <c r="M19" s="390">
        <f t="shared" si="2"/>
        <v>2000</v>
      </c>
      <c r="N19" s="382"/>
      <c r="O19" s="382"/>
      <c r="P19" s="382"/>
      <c r="Q19" s="389">
        <f t="shared" si="3"/>
        <v>2000</v>
      </c>
      <c r="R19" s="391"/>
      <c r="S19" s="391"/>
      <c r="T19" s="391"/>
      <c r="U19" s="391">
        <f t="shared" si="4"/>
        <v>2000</v>
      </c>
      <c r="V19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45255_ADSS 24C_2000</v>
      </c>
      <c r="W19" s="382" t="str">
        <f>Table4[[#This Row],[date out4]]&amp;"_"&amp;Table4[[#This Row],[Core]]&amp;"_"&amp;Table4[[#This Row],[leftover4]]</f>
        <v>_ADSS 24C_2000</v>
      </c>
      <c r="X19" s="392" t="str">
        <f>IF(Table4[[#This Row],[Date Inbound]]&gt;Table4[[#This Row],[date1]],"INV","")</f>
        <v/>
      </c>
    </row>
    <row r="20" spans="1:24" ht="14">
      <c r="A20" s="381" t="str">
        <f t="shared" si="0"/>
        <v>C_ADSS 48C_MLG_45245_1</v>
      </c>
      <c r="B20" s="382" t="s">
        <v>3075</v>
      </c>
      <c r="C20" s="383">
        <v>45245</v>
      </c>
      <c r="D20" s="384">
        <v>1</v>
      </c>
      <c r="E20" s="385">
        <v>3000</v>
      </c>
      <c r="F20" s="386">
        <v>45255</v>
      </c>
      <c r="G20" s="387">
        <v>1804</v>
      </c>
      <c r="H20" s="388" t="s">
        <v>5180</v>
      </c>
      <c r="I20" s="389">
        <f t="shared" si="5"/>
        <v>1196</v>
      </c>
      <c r="J20" s="386">
        <v>45345</v>
      </c>
      <c r="K20" s="382">
        <v>1196</v>
      </c>
      <c r="L20" s="382" t="s">
        <v>5224</v>
      </c>
      <c r="M20" s="390">
        <f t="shared" si="2"/>
        <v>0</v>
      </c>
      <c r="N20" s="382"/>
      <c r="O20" s="382"/>
      <c r="P20" s="382"/>
      <c r="Q20" s="389">
        <f t="shared" si="3"/>
        <v>0</v>
      </c>
      <c r="R20" s="391"/>
      <c r="S20" s="391"/>
      <c r="T20" s="391"/>
      <c r="U20" s="391">
        <f t="shared" si="4"/>
        <v>0</v>
      </c>
      <c r="V20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45255_ADSS 48C_1196</v>
      </c>
      <c r="W20" s="382" t="str">
        <f>Table4[[#This Row],[date out4]]&amp;"_"&amp;Table4[[#This Row],[Core]]&amp;"_"&amp;Table4[[#This Row],[leftover4]]</f>
        <v>_ADSS 48C_0</v>
      </c>
      <c r="X20" s="392" t="str">
        <f>IF(Table4[[#This Row],[Date Inbound]]&gt;Table4[[#This Row],[date1]],"INV","")</f>
        <v/>
      </c>
    </row>
    <row r="21" spans="1:24" ht="14">
      <c r="A21" s="381" t="str">
        <f t="shared" si="0"/>
        <v>C_ADSS 48C_MLG_45256_1</v>
      </c>
      <c r="B21" s="382" t="s">
        <v>3075</v>
      </c>
      <c r="C21" s="383">
        <v>45256</v>
      </c>
      <c r="D21" s="384">
        <v>1</v>
      </c>
      <c r="E21" s="385">
        <v>1559</v>
      </c>
      <c r="F21" s="386">
        <v>45258</v>
      </c>
      <c r="G21" s="425">
        <v>1559</v>
      </c>
      <c r="H21" s="388" t="s">
        <v>5180</v>
      </c>
      <c r="I21" s="389">
        <f t="shared" si="5"/>
        <v>0</v>
      </c>
      <c r="J21" s="382"/>
      <c r="K21" s="382"/>
      <c r="L21" s="382"/>
      <c r="M21" s="390">
        <f t="shared" si="2"/>
        <v>0</v>
      </c>
      <c r="N21" s="382"/>
      <c r="O21" s="382"/>
      <c r="P21" s="382"/>
      <c r="Q21" s="389">
        <f t="shared" si="3"/>
        <v>0</v>
      </c>
      <c r="R21" s="391"/>
      <c r="S21" s="391"/>
      <c r="T21" s="391"/>
      <c r="U21" s="391">
        <f t="shared" si="4"/>
        <v>0</v>
      </c>
      <c r="V21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45258_ADSS 48C_0</v>
      </c>
      <c r="W21" s="382" t="str">
        <f>Table4[[#This Row],[date out4]]&amp;"_"&amp;Table4[[#This Row],[Core]]&amp;"_"&amp;Table4[[#This Row],[leftover4]]</f>
        <v>_ADSS 48C_0</v>
      </c>
      <c r="X21" s="392" t="str">
        <f>IF(Table4[[#This Row],[Date Inbound]]&gt;Table4[[#This Row],[date1]],"INV","")</f>
        <v/>
      </c>
    </row>
    <row r="22" spans="1:24" ht="14">
      <c r="A22" s="381" t="str">
        <f t="shared" si="0"/>
        <v>C_ADSS 24C_MLG_45286_1</v>
      </c>
      <c r="B22" s="382" t="s">
        <v>3073</v>
      </c>
      <c r="C22" s="383">
        <v>45286</v>
      </c>
      <c r="D22" s="384">
        <v>1</v>
      </c>
      <c r="E22" s="385">
        <v>3000</v>
      </c>
      <c r="F22" s="386">
        <v>45286</v>
      </c>
      <c r="G22" s="387">
        <v>2300</v>
      </c>
      <c r="H22" s="382" t="s">
        <v>5181</v>
      </c>
      <c r="I22" s="389">
        <f t="shared" si="5"/>
        <v>700</v>
      </c>
      <c r="J22" s="382"/>
      <c r="K22" s="382"/>
      <c r="L22" s="382"/>
      <c r="M22" s="390">
        <f t="shared" si="2"/>
        <v>700</v>
      </c>
      <c r="N22" s="382"/>
      <c r="O22" s="382"/>
      <c r="P22" s="382"/>
      <c r="Q22" s="389">
        <f t="shared" si="3"/>
        <v>700</v>
      </c>
      <c r="R22" s="391"/>
      <c r="S22" s="391"/>
      <c r="T22" s="391"/>
      <c r="U22" s="391">
        <f t="shared" si="4"/>
        <v>700</v>
      </c>
      <c r="V22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45286_ADSS 24C_700</v>
      </c>
      <c r="W22" s="382" t="str">
        <f>Table4[[#This Row],[date out4]]&amp;"_"&amp;Table4[[#This Row],[Core]]&amp;"_"&amp;Table4[[#This Row],[leftover4]]</f>
        <v>_ADSS 24C_700</v>
      </c>
      <c r="X22" s="392" t="str">
        <f>IF(Table4[[#This Row],[Date Inbound]]&gt;Table4[[#This Row],[date1]],"INV","")</f>
        <v/>
      </c>
    </row>
    <row r="23" spans="1:24" ht="14">
      <c r="A23" s="381" t="str">
        <f t="shared" si="0"/>
        <v>C_ADSS 24C_MLG_45287_1</v>
      </c>
      <c r="B23" s="382" t="s">
        <v>3073</v>
      </c>
      <c r="C23" s="383">
        <v>45287</v>
      </c>
      <c r="D23" s="384">
        <v>1</v>
      </c>
      <c r="E23" s="385">
        <v>3000</v>
      </c>
      <c r="F23" s="383">
        <v>45287</v>
      </c>
      <c r="G23" s="387">
        <v>3000</v>
      </c>
      <c r="H23" s="382" t="s">
        <v>3266</v>
      </c>
      <c r="I23" s="389">
        <f t="shared" si="5"/>
        <v>0</v>
      </c>
      <c r="J23" s="382"/>
      <c r="K23" s="382"/>
      <c r="L23" s="382"/>
      <c r="M23" s="390">
        <f t="shared" si="2"/>
        <v>0</v>
      </c>
      <c r="N23" s="382"/>
      <c r="O23" s="382"/>
      <c r="P23" s="382"/>
      <c r="Q23" s="389">
        <f t="shared" si="3"/>
        <v>0</v>
      </c>
      <c r="R23" s="391"/>
      <c r="S23" s="391"/>
      <c r="T23" s="391"/>
      <c r="U23" s="391">
        <f t="shared" si="4"/>
        <v>0</v>
      </c>
      <c r="V23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45287_ADSS 24C_0</v>
      </c>
      <c r="W23" s="382" t="str">
        <f>Table4[[#This Row],[date out4]]&amp;"_"&amp;Table4[[#This Row],[Core]]&amp;"_"&amp;Table4[[#This Row],[leftover4]]</f>
        <v>_ADSS 24C_0</v>
      </c>
      <c r="X23" s="392" t="str">
        <f>IF(Table4[[#This Row],[Date Inbound]]&gt;Table4[[#This Row],[date1]],"INV","")</f>
        <v/>
      </c>
    </row>
    <row r="24" spans="1:24" ht="14">
      <c r="A24" s="381" t="str">
        <f t="shared" si="0"/>
        <v>C_ADSS 24C_MLG_45287_2</v>
      </c>
      <c r="B24" s="382" t="s">
        <v>3073</v>
      </c>
      <c r="C24" s="383">
        <v>45287</v>
      </c>
      <c r="D24" s="384">
        <v>2</v>
      </c>
      <c r="E24" s="385">
        <v>3000</v>
      </c>
      <c r="F24" s="386">
        <v>45294</v>
      </c>
      <c r="G24" s="387">
        <v>3000</v>
      </c>
      <c r="H24" s="382" t="s">
        <v>5182</v>
      </c>
      <c r="I24" s="389">
        <f t="shared" si="5"/>
        <v>0</v>
      </c>
      <c r="J24" s="382"/>
      <c r="K24" s="382"/>
      <c r="L24" s="382"/>
      <c r="M24" s="390">
        <f t="shared" si="2"/>
        <v>0</v>
      </c>
      <c r="N24" s="382"/>
      <c r="O24" s="382"/>
      <c r="P24" s="382"/>
      <c r="Q24" s="389">
        <f t="shared" si="3"/>
        <v>0</v>
      </c>
      <c r="R24" s="391"/>
      <c r="S24" s="391"/>
      <c r="T24" s="391"/>
      <c r="U24" s="391">
        <f t="shared" si="4"/>
        <v>0</v>
      </c>
      <c r="V24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45294_ADSS 24C_0</v>
      </c>
      <c r="W24" s="382" t="str">
        <f>Table4[[#This Row],[date out4]]&amp;"_"&amp;Table4[[#This Row],[Core]]&amp;"_"&amp;Table4[[#This Row],[leftover4]]</f>
        <v>_ADSS 24C_0</v>
      </c>
      <c r="X24" s="392" t="str">
        <f>IF(Table4[[#This Row],[Date Inbound]]&gt;Table4[[#This Row],[date1]],"INV","")</f>
        <v/>
      </c>
    </row>
    <row r="25" spans="1:24" s="421" customFormat="1" ht="14">
      <c r="A25" s="381" t="str">
        <f t="shared" si="0"/>
        <v>C_ADSS 24C_MLG_45287_3</v>
      </c>
      <c r="B25" s="382" t="s">
        <v>3073</v>
      </c>
      <c r="C25" s="383">
        <v>45287</v>
      </c>
      <c r="D25" s="384">
        <v>3</v>
      </c>
      <c r="E25" s="385">
        <v>3000</v>
      </c>
      <c r="F25" s="386">
        <v>45294</v>
      </c>
      <c r="G25" s="387">
        <v>3000</v>
      </c>
      <c r="H25" s="382" t="s">
        <v>5182</v>
      </c>
      <c r="I25" s="389">
        <f t="shared" si="5"/>
        <v>0</v>
      </c>
      <c r="J25" s="382"/>
      <c r="K25" s="382"/>
      <c r="L25" s="382"/>
      <c r="M25" s="390">
        <f t="shared" si="2"/>
        <v>0</v>
      </c>
      <c r="N25" s="382"/>
      <c r="O25" s="382"/>
      <c r="P25" s="382"/>
      <c r="Q25" s="389">
        <f t="shared" si="3"/>
        <v>0</v>
      </c>
      <c r="R25" s="391"/>
      <c r="S25" s="391"/>
      <c r="T25" s="391"/>
      <c r="U25" s="391">
        <f t="shared" si="4"/>
        <v>0</v>
      </c>
      <c r="V25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45294_ADSS 24C_0</v>
      </c>
      <c r="W25" s="382" t="str">
        <f>Table4[[#This Row],[date out4]]&amp;"_"&amp;Table4[[#This Row],[Core]]&amp;"_"&amp;Table4[[#This Row],[leftover4]]</f>
        <v>_ADSS 24C_0</v>
      </c>
      <c r="X25" s="392" t="str">
        <f>IF(Table4[[#This Row],[Date Inbound]]&gt;Table4[[#This Row],[date1]],"INV","")</f>
        <v/>
      </c>
    </row>
    <row r="26" spans="1:24" s="421" customFormat="1" ht="22.5" customHeight="1">
      <c r="A26" s="381" t="str">
        <f t="shared" si="0"/>
        <v>C_ADSS 24C_MLG_45307_1</v>
      </c>
      <c r="B26" s="382" t="s">
        <v>3073</v>
      </c>
      <c r="C26" s="383">
        <v>45307</v>
      </c>
      <c r="D26" s="384">
        <v>1</v>
      </c>
      <c r="E26" s="385">
        <v>3000</v>
      </c>
      <c r="F26" s="386">
        <v>45311</v>
      </c>
      <c r="G26" s="387">
        <v>2150</v>
      </c>
      <c r="H26" s="396" t="s">
        <v>5172</v>
      </c>
      <c r="I26" s="389">
        <f t="shared" si="5"/>
        <v>850</v>
      </c>
      <c r="J26" s="382"/>
      <c r="K26" s="382"/>
      <c r="L26" s="382"/>
      <c r="M26" s="390">
        <f t="shared" si="2"/>
        <v>850</v>
      </c>
      <c r="N26" s="382"/>
      <c r="O26" s="382"/>
      <c r="P26" s="382"/>
      <c r="Q26" s="389">
        <f t="shared" si="3"/>
        <v>850</v>
      </c>
      <c r="R26" s="391"/>
      <c r="S26" s="391"/>
      <c r="T26" s="391"/>
      <c r="U26" s="391">
        <f t="shared" si="4"/>
        <v>850</v>
      </c>
      <c r="V26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45311_ADSS 24C_850</v>
      </c>
      <c r="W26" s="382" t="str">
        <f>Table4[[#This Row],[date out4]]&amp;"_"&amp;Table4[[#This Row],[Core]]&amp;"_"&amp;Table4[[#This Row],[leftover4]]</f>
        <v>_ADSS 24C_850</v>
      </c>
      <c r="X26" s="392" t="str">
        <f>IF(Table4[[#This Row],[Date Inbound]]&gt;Table4[[#This Row],[date1]],"INV","")</f>
        <v/>
      </c>
    </row>
    <row r="27" spans="1:24" ht="22.5" customHeight="1">
      <c r="A27" s="381" t="str">
        <f t="shared" si="0"/>
        <v>C_ADSS 24C_MLG_45307_2</v>
      </c>
      <c r="B27" s="382" t="s">
        <v>3073</v>
      </c>
      <c r="C27" s="383">
        <v>45307</v>
      </c>
      <c r="D27" s="384">
        <v>2</v>
      </c>
      <c r="E27" s="385">
        <v>3000</v>
      </c>
      <c r="F27" s="386">
        <v>45317</v>
      </c>
      <c r="G27" s="387">
        <v>1265</v>
      </c>
      <c r="H27" s="382" t="s">
        <v>5183</v>
      </c>
      <c r="I27" s="389">
        <f t="shared" si="5"/>
        <v>1735</v>
      </c>
      <c r="J27" s="386">
        <v>45317</v>
      </c>
      <c r="K27" s="382">
        <v>735</v>
      </c>
      <c r="L27" s="382" t="s">
        <v>5183</v>
      </c>
      <c r="M27" s="390">
        <f t="shared" si="2"/>
        <v>1000</v>
      </c>
      <c r="N27" s="386">
        <v>45331</v>
      </c>
      <c r="O27" s="382">
        <v>1000</v>
      </c>
      <c r="P27" s="382" t="s">
        <v>5184</v>
      </c>
      <c r="Q27" s="389">
        <f t="shared" si="3"/>
        <v>0</v>
      </c>
      <c r="R27" s="391"/>
      <c r="S27" s="391"/>
      <c r="T27" s="391"/>
      <c r="U27" s="391">
        <f t="shared" si="4"/>
        <v>0</v>
      </c>
      <c r="V27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45317_ADSS 24C_1000</v>
      </c>
      <c r="W27" s="382" t="str">
        <f>Table4[[#This Row],[date out4]]&amp;"_"&amp;Table4[[#This Row],[Core]]&amp;"_"&amp;Table4[[#This Row],[leftover4]]</f>
        <v>_ADSS 24C_0</v>
      </c>
      <c r="X27" s="392" t="str">
        <f>IF(Table4[[#This Row],[Date Inbound]]&gt;Table4[[#This Row],[date1]],"INV","")</f>
        <v/>
      </c>
    </row>
    <row r="28" spans="1:24" ht="22.5" customHeight="1">
      <c r="A28" s="381" t="str">
        <f t="shared" si="0"/>
        <v>C_ADSS 48C_MLG_45307_2</v>
      </c>
      <c r="B28" s="382" t="s">
        <v>3075</v>
      </c>
      <c r="C28" s="383">
        <v>45307</v>
      </c>
      <c r="D28" s="384">
        <v>2</v>
      </c>
      <c r="E28" s="385">
        <v>3000</v>
      </c>
      <c r="F28" s="386">
        <v>45310</v>
      </c>
      <c r="G28" s="387">
        <v>1850</v>
      </c>
      <c r="H28" s="396" t="s">
        <v>5172</v>
      </c>
      <c r="I28" s="389">
        <f t="shared" si="5"/>
        <v>1150</v>
      </c>
      <c r="J28" s="386">
        <v>45310</v>
      </c>
      <c r="K28" s="382">
        <v>700</v>
      </c>
      <c r="L28" s="396" t="s">
        <v>5172</v>
      </c>
      <c r="M28" s="390">
        <f t="shared" si="2"/>
        <v>450</v>
      </c>
      <c r="N28" s="386">
        <v>45310</v>
      </c>
      <c r="O28" s="382">
        <v>450</v>
      </c>
      <c r="P28" s="396" t="s">
        <v>5172</v>
      </c>
      <c r="Q28" s="389">
        <f t="shared" si="3"/>
        <v>0</v>
      </c>
      <c r="R28" s="391"/>
      <c r="S28" s="391"/>
      <c r="T28" s="391"/>
      <c r="U28" s="391">
        <f t="shared" si="4"/>
        <v>0</v>
      </c>
      <c r="V28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45310_ADSS 48C_450</v>
      </c>
      <c r="W28" s="382" t="str">
        <f>Table4[[#This Row],[date out4]]&amp;"_"&amp;Table4[[#This Row],[Core]]&amp;"_"&amp;Table4[[#This Row],[leftover4]]</f>
        <v>_ADSS 48C_0</v>
      </c>
      <c r="X28" s="392" t="str">
        <f>IF(Table4[[#This Row],[Date Inbound]]&gt;Table4[[#This Row],[date1]],"INV","")</f>
        <v/>
      </c>
    </row>
    <row r="29" spans="1:24" ht="14">
      <c r="A29" s="381" t="str">
        <f t="shared" si="0"/>
        <v>C_ADSS 48C_MLG_45307_1</v>
      </c>
      <c r="B29" s="382" t="s">
        <v>3075</v>
      </c>
      <c r="C29" s="383">
        <v>45307</v>
      </c>
      <c r="D29" s="384">
        <v>1</v>
      </c>
      <c r="E29" s="385">
        <v>3000</v>
      </c>
      <c r="F29" s="386">
        <v>45312</v>
      </c>
      <c r="G29" s="387">
        <v>1380</v>
      </c>
      <c r="H29" s="396" t="s">
        <v>5172</v>
      </c>
      <c r="I29" s="389">
        <f t="shared" si="5"/>
        <v>1620</v>
      </c>
      <c r="J29" s="409">
        <v>45313</v>
      </c>
      <c r="K29" s="382">
        <v>1620</v>
      </c>
      <c r="L29" s="382" t="s">
        <v>5185</v>
      </c>
      <c r="M29" s="390">
        <f t="shared" si="2"/>
        <v>0</v>
      </c>
      <c r="N29" s="382"/>
      <c r="O29" s="382"/>
      <c r="P29" s="382"/>
      <c r="Q29" s="389">
        <f t="shared" si="3"/>
        <v>0</v>
      </c>
      <c r="R29" s="391"/>
      <c r="S29" s="391"/>
      <c r="T29" s="391"/>
      <c r="U29" s="391">
        <f t="shared" si="4"/>
        <v>0</v>
      </c>
      <c r="V29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45312_ADSS 48C_1620</v>
      </c>
      <c r="W29" s="382" t="str">
        <f>Table4[[#This Row],[date out4]]&amp;"_"&amp;Table4[[#This Row],[Core]]&amp;"_"&amp;Table4[[#This Row],[leftover4]]</f>
        <v>_ADSS 48C_0</v>
      </c>
      <c r="X29" s="392" t="str">
        <f>IF(Table4[[#This Row],[Date Inbound]]&gt;Table4[[#This Row],[date1]],"INV","")</f>
        <v/>
      </c>
    </row>
    <row r="30" spans="1:24" ht="14">
      <c r="A30" s="381" t="str">
        <f t="shared" si="0"/>
        <v>C_ADSS 24C_MLG_45312_1</v>
      </c>
      <c r="B30" s="382" t="s">
        <v>3073</v>
      </c>
      <c r="C30" s="383">
        <v>45312</v>
      </c>
      <c r="D30" s="384">
        <v>1</v>
      </c>
      <c r="E30" s="385">
        <v>1550</v>
      </c>
      <c r="F30" s="386">
        <v>45313</v>
      </c>
      <c r="G30" s="387">
        <v>1550</v>
      </c>
      <c r="H30" s="382" t="s">
        <v>5185</v>
      </c>
      <c r="I30" s="389">
        <f t="shared" si="5"/>
        <v>0</v>
      </c>
      <c r="J30" s="382"/>
      <c r="K30" s="382"/>
      <c r="L30" s="382"/>
      <c r="M30" s="390">
        <f t="shared" si="2"/>
        <v>0</v>
      </c>
      <c r="N30" s="382"/>
      <c r="O30" s="382"/>
      <c r="P30" s="382"/>
      <c r="Q30" s="389">
        <f t="shared" si="3"/>
        <v>0</v>
      </c>
      <c r="R30" s="391"/>
      <c r="S30" s="391"/>
      <c r="T30" s="391"/>
      <c r="U30" s="391">
        <f t="shared" si="4"/>
        <v>0</v>
      </c>
      <c r="V30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45313_ADSS 24C_0</v>
      </c>
      <c r="W30" s="382" t="str">
        <f>Table4[[#This Row],[date out4]]&amp;"_"&amp;Table4[[#This Row],[Core]]&amp;"_"&amp;Table4[[#This Row],[leftover4]]</f>
        <v>_ADSS 24C_0</v>
      </c>
      <c r="X30" s="392" t="str">
        <f>IF(Table4[[#This Row],[Date Inbound]]&gt;Table4[[#This Row],[date1]],"INV","")</f>
        <v/>
      </c>
    </row>
    <row r="31" spans="1:24" ht="14">
      <c r="A31" s="381" t="str">
        <f t="shared" si="0"/>
        <v>C_ADSS 48C_MLG_45314_1</v>
      </c>
      <c r="B31" s="382" t="s">
        <v>3075</v>
      </c>
      <c r="C31" s="383">
        <v>45314</v>
      </c>
      <c r="D31" s="384">
        <v>1</v>
      </c>
      <c r="E31" s="385">
        <v>2554</v>
      </c>
      <c r="F31" s="386">
        <v>45314</v>
      </c>
      <c r="G31" s="387">
        <v>2010</v>
      </c>
      <c r="H31" s="382" t="s">
        <v>5185</v>
      </c>
      <c r="I31" s="389">
        <f t="shared" si="5"/>
        <v>544</v>
      </c>
      <c r="J31" s="386">
        <v>45437</v>
      </c>
      <c r="K31" s="382">
        <v>544</v>
      </c>
      <c r="L31" s="382" t="s">
        <v>5200</v>
      </c>
      <c r="M31" s="390">
        <f t="shared" si="2"/>
        <v>0</v>
      </c>
      <c r="N31" s="382"/>
      <c r="O31" s="382"/>
      <c r="P31" s="382"/>
      <c r="Q31" s="389">
        <f t="shared" si="3"/>
        <v>0</v>
      </c>
      <c r="R31" s="391"/>
      <c r="S31" s="391"/>
      <c r="T31" s="391"/>
      <c r="U31" s="391">
        <f t="shared" si="4"/>
        <v>0</v>
      </c>
      <c r="V31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45314_ADSS 48C_544</v>
      </c>
      <c r="W31" s="382" t="str">
        <f>Table4[[#This Row],[date out4]]&amp;"_"&amp;Table4[[#This Row],[Core]]&amp;"_"&amp;Table4[[#This Row],[leftover4]]</f>
        <v>_ADSS 48C_0</v>
      </c>
      <c r="X31" s="392" t="str">
        <f>IF(Table4[[#This Row],[Date Inbound]]&gt;Table4[[#This Row],[date1]],"INV","")</f>
        <v/>
      </c>
    </row>
    <row r="32" spans="1:24" ht="14">
      <c r="A32" s="397" t="str">
        <f t="shared" si="0"/>
        <v>C_ADSS 24C_MLG_45337_1</v>
      </c>
      <c r="B32" s="394" t="s">
        <v>3073</v>
      </c>
      <c r="C32" s="398">
        <v>45337</v>
      </c>
      <c r="D32" s="399">
        <v>1</v>
      </c>
      <c r="E32" s="400">
        <v>3000</v>
      </c>
      <c r="F32" s="401">
        <v>45338</v>
      </c>
      <c r="G32" s="402">
        <v>1050</v>
      </c>
      <c r="H32" s="394" t="s">
        <v>5186</v>
      </c>
      <c r="I32" s="403">
        <f t="shared" si="5"/>
        <v>1950</v>
      </c>
      <c r="J32" s="404">
        <v>45343</v>
      </c>
      <c r="K32" s="394">
        <v>1950</v>
      </c>
      <c r="L32" s="394" t="s">
        <v>5187</v>
      </c>
      <c r="M32" s="405">
        <f t="shared" si="2"/>
        <v>0</v>
      </c>
      <c r="N32" s="394"/>
      <c r="O32" s="394"/>
      <c r="P32" s="394"/>
      <c r="Q32" s="403">
        <f t="shared" si="3"/>
        <v>0</v>
      </c>
      <c r="R32" s="406"/>
      <c r="S32" s="406"/>
      <c r="T32" s="406"/>
      <c r="U32" s="406">
        <f t="shared" si="4"/>
        <v>0</v>
      </c>
      <c r="V32" s="39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45338_ADSS 24C_1950</v>
      </c>
      <c r="W32" s="394" t="str">
        <f>Table4[[#This Row],[date out4]]&amp;"_"&amp;Table4[[#This Row],[Core]]&amp;"_"&amp;Table4[[#This Row],[leftover4]]</f>
        <v>_ADSS 24C_0</v>
      </c>
      <c r="X32" s="407" t="str">
        <f>IF(Table4[[#This Row],[Date Inbound]]&gt;Table4[[#This Row],[date1]],"INV","")</f>
        <v/>
      </c>
    </row>
    <row r="33" spans="1:24" ht="14">
      <c r="A33" s="381" t="str">
        <f t="shared" si="0"/>
        <v>C_ADSS 48C_MLG_45337_1</v>
      </c>
      <c r="B33" s="382" t="s">
        <v>3075</v>
      </c>
      <c r="C33" s="383">
        <v>45337</v>
      </c>
      <c r="D33" s="384">
        <v>1</v>
      </c>
      <c r="E33" s="385">
        <v>3000</v>
      </c>
      <c r="F33" s="386">
        <v>45344</v>
      </c>
      <c r="G33" s="387">
        <v>1670</v>
      </c>
      <c r="H33" s="382" t="s">
        <v>5187</v>
      </c>
      <c r="I33" s="389">
        <f t="shared" si="5"/>
        <v>1330</v>
      </c>
      <c r="J33" s="386">
        <v>45379</v>
      </c>
      <c r="K33" s="382">
        <v>1330</v>
      </c>
      <c r="L33" s="382" t="s">
        <v>5225</v>
      </c>
      <c r="M33" s="390">
        <f t="shared" si="2"/>
        <v>0</v>
      </c>
      <c r="N33" s="382"/>
      <c r="O33" s="382"/>
      <c r="P33" s="382"/>
      <c r="Q33" s="389">
        <f t="shared" si="3"/>
        <v>0</v>
      </c>
      <c r="R33" s="391"/>
      <c r="S33" s="391"/>
      <c r="T33" s="391"/>
      <c r="U33" s="391">
        <f t="shared" si="4"/>
        <v>0</v>
      </c>
      <c r="V33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45344_ADSS 48C_1330</v>
      </c>
      <c r="W33" s="382" t="str">
        <f>Table4[[#This Row],[date out4]]&amp;"_"&amp;Table4[[#This Row],[Core]]&amp;"_"&amp;Table4[[#This Row],[leftover4]]</f>
        <v>_ADSS 48C_0</v>
      </c>
      <c r="X33" s="392" t="str">
        <f>IF(Table4[[#This Row],[Date Inbound]]&gt;Table4[[#This Row],[date1]],"INV","")</f>
        <v/>
      </c>
    </row>
    <row r="34" spans="1:24" ht="14">
      <c r="A34" s="381" t="str">
        <f t="shared" si="0"/>
        <v>C_ADSS 48C_MLG_45337_2</v>
      </c>
      <c r="B34" s="382" t="s">
        <v>3075</v>
      </c>
      <c r="C34" s="383">
        <v>45337</v>
      </c>
      <c r="D34" s="384">
        <v>2</v>
      </c>
      <c r="E34" s="385">
        <v>3000</v>
      </c>
      <c r="F34" s="386">
        <v>45345</v>
      </c>
      <c r="G34" s="387">
        <v>2100</v>
      </c>
      <c r="H34" s="382" t="s">
        <v>5224</v>
      </c>
      <c r="I34" s="389">
        <f t="shared" si="5"/>
        <v>900</v>
      </c>
      <c r="J34" s="382"/>
      <c r="K34" s="382"/>
      <c r="L34" s="382"/>
      <c r="M34" s="390">
        <f t="shared" si="2"/>
        <v>900</v>
      </c>
      <c r="N34" s="382"/>
      <c r="O34" s="382"/>
      <c r="P34" s="382"/>
      <c r="Q34" s="389">
        <f t="shared" si="3"/>
        <v>900</v>
      </c>
      <c r="R34" s="391"/>
      <c r="S34" s="391"/>
      <c r="T34" s="391"/>
      <c r="U34" s="391">
        <f t="shared" si="4"/>
        <v>900</v>
      </c>
      <c r="V34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45345_ADSS 48C_900</v>
      </c>
      <c r="W34" s="382" t="str">
        <f>Table4[[#This Row],[date out4]]&amp;"_"&amp;Table4[[#This Row],[Core]]&amp;"_"&amp;Table4[[#This Row],[leftover4]]</f>
        <v>_ADSS 48C_900</v>
      </c>
      <c r="X34" s="392" t="str">
        <f>IF(Table4[[#This Row],[Date Inbound]]&gt;Table4[[#This Row],[date1]],"INV","")</f>
        <v/>
      </c>
    </row>
    <row r="35" spans="1:24" ht="14">
      <c r="A35" s="381" t="str">
        <f t="shared" ref="A35:A66" si="6">"C_"&amp;B35&amp;"_MLG_"&amp;C35&amp;"_"&amp;D35</f>
        <v>C_ADSS 48C_MLG_45345_1</v>
      </c>
      <c r="B35" s="382" t="s">
        <v>3075</v>
      </c>
      <c r="C35" s="383">
        <v>45345</v>
      </c>
      <c r="D35" s="384">
        <v>1</v>
      </c>
      <c r="E35" s="385">
        <v>3000</v>
      </c>
      <c r="F35" s="386">
        <v>45345</v>
      </c>
      <c r="G35" s="387">
        <v>2050</v>
      </c>
      <c r="H35" s="382" t="s">
        <v>5224</v>
      </c>
      <c r="I35" s="389">
        <f t="shared" si="5"/>
        <v>950</v>
      </c>
      <c r="J35" s="382"/>
      <c r="K35" s="382"/>
      <c r="L35" s="382"/>
      <c r="M35" s="390">
        <f t="shared" ref="M35:M66" si="7">I35-K35</f>
        <v>950</v>
      </c>
      <c r="N35" s="382"/>
      <c r="O35" s="382"/>
      <c r="P35" s="382"/>
      <c r="Q35" s="389">
        <f t="shared" ref="Q35:Q66" si="8">M35-O35</f>
        <v>950</v>
      </c>
      <c r="R35" s="391"/>
      <c r="S35" s="391"/>
      <c r="T35" s="391"/>
      <c r="U35" s="391">
        <f t="shared" ref="U35:U66" si="9">Q35-S35</f>
        <v>950</v>
      </c>
      <c r="V35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45345_ADSS 48C_950</v>
      </c>
      <c r="W35" s="382" t="str">
        <f>Table4[[#This Row],[date out4]]&amp;"_"&amp;Table4[[#This Row],[Core]]&amp;"_"&amp;Table4[[#This Row],[leftover4]]</f>
        <v>_ADSS 48C_950</v>
      </c>
      <c r="X35" s="392" t="str">
        <f>IF(Table4[[#This Row],[Date Inbound]]&gt;Table4[[#This Row],[date1]],"INV","")</f>
        <v/>
      </c>
    </row>
    <row r="36" spans="1:24" ht="14">
      <c r="A36" s="381" t="str">
        <f t="shared" si="6"/>
        <v>C_ADSS 48C_MLG_45345_2</v>
      </c>
      <c r="B36" s="382" t="s">
        <v>3075</v>
      </c>
      <c r="C36" s="383">
        <v>45345</v>
      </c>
      <c r="D36" s="384">
        <v>2</v>
      </c>
      <c r="E36" s="385">
        <v>3000</v>
      </c>
      <c r="F36" s="386">
        <v>45345</v>
      </c>
      <c r="G36" s="387">
        <v>2000</v>
      </c>
      <c r="H36" s="382" t="s">
        <v>5224</v>
      </c>
      <c r="I36" s="389">
        <f t="shared" si="5"/>
        <v>1000</v>
      </c>
      <c r="J36" s="386">
        <v>45405</v>
      </c>
      <c r="K36" s="382">
        <v>1000</v>
      </c>
      <c r="L36" s="382" t="s">
        <v>5199</v>
      </c>
      <c r="M36" s="390">
        <f t="shared" si="7"/>
        <v>0</v>
      </c>
      <c r="N36" s="382"/>
      <c r="O36" s="382"/>
      <c r="P36" s="382"/>
      <c r="Q36" s="389">
        <f t="shared" si="8"/>
        <v>0</v>
      </c>
      <c r="R36" s="391"/>
      <c r="S36" s="391"/>
      <c r="T36" s="391"/>
      <c r="U36" s="391">
        <f t="shared" si="9"/>
        <v>0</v>
      </c>
      <c r="V36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45345_ADSS 48C_1000</v>
      </c>
      <c r="W36" s="382" t="str">
        <f>Table4[[#This Row],[date out4]]&amp;"_"&amp;Table4[[#This Row],[Core]]&amp;"_"&amp;Table4[[#This Row],[leftover4]]</f>
        <v>_ADSS 48C_0</v>
      </c>
      <c r="X36" s="392" t="str">
        <f>IF(Table4[[#This Row],[Date Inbound]]&gt;Table4[[#This Row],[date1]],"INV","")</f>
        <v/>
      </c>
    </row>
    <row r="37" spans="1:24" ht="14">
      <c r="A37" s="381" t="str">
        <f t="shared" si="6"/>
        <v>C_ADSS 48C_MLG_45351_1</v>
      </c>
      <c r="B37" s="382" t="s">
        <v>3075</v>
      </c>
      <c r="C37" s="383">
        <v>45351</v>
      </c>
      <c r="D37" s="384">
        <v>1</v>
      </c>
      <c r="E37" s="385">
        <v>3000</v>
      </c>
      <c r="F37" s="386">
        <v>45372</v>
      </c>
      <c r="G37" s="426">
        <v>3000</v>
      </c>
      <c r="H37" s="382" t="s">
        <v>3314</v>
      </c>
      <c r="I37" s="389">
        <f t="shared" si="5"/>
        <v>0</v>
      </c>
      <c r="J37" s="382"/>
      <c r="K37" s="382"/>
      <c r="L37" s="382"/>
      <c r="M37" s="390">
        <f t="shared" si="7"/>
        <v>0</v>
      </c>
      <c r="N37" s="382"/>
      <c r="O37" s="382"/>
      <c r="P37" s="382"/>
      <c r="Q37" s="389">
        <f t="shared" si="8"/>
        <v>0</v>
      </c>
      <c r="R37" s="391"/>
      <c r="S37" s="391"/>
      <c r="T37" s="391"/>
      <c r="U37" s="391">
        <f t="shared" si="9"/>
        <v>0</v>
      </c>
      <c r="V37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45372_ADSS 48C_0</v>
      </c>
      <c r="W37" s="382" t="str">
        <f>Table4[[#This Row],[date out4]]&amp;"_"&amp;Table4[[#This Row],[Core]]&amp;"_"&amp;Table4[[#This Row],[leftover4]]</f>
        <v>_ADSS 48C_0</v>
      </c>
      <c r="X37" s="392" t="str">
        <f>IF(Table4[[#This Row],[Date Inbound]]&gt;Table4[[#This Row],[date1]],"INV","")</f>
        <v/>
      </c>
    </row>
    <row r="38" spans="1:24" s="408" customFormat="1" ht="14">
      <c r="A38" s="381" t="str">
        <f t="shared" si="6"/>
        <v>C_ADSS 48C_MLG_45351_1</v>
      </c>
      <c r="B38" s="382" t="s">
        <v>3075</v>
      </c>
      <c r="C38" s="383">
        <v>45351</v>
      </c>
      <c r="D38" s="384">
        <v>1</v>
      </c>
      <c r="E38" s="385">
        <v>3000</v>
      </c>
      <c r="F38" s="386">
        <v>45372</v>
      </c>
      <c r="G38" s="426">
        <v>3000</v>
      </c>
      <c r="H38" s="382" t="s">
        <v>3314</v>
      </c>
      <c r="I38" s="389">
        <f t="shared" si="5"/>
        <v>0</v>
      </c>
      <c r="J38" s="382"/>
      <c r="K38" s="382"/>
      <c r="L38" s="382"/>
      <c r="M38" s="390">
        <f t="shared" si="7"/>
        <v>0</v>
      </c>
      <c r="N38" s="382"/>
      <c r="O38" s="382"/>
      <c r="P38" s="382"/>
      <c r="Q38" s="389">
        <f t="shared" si="8"/>
        <v>0</v>
      </c>
      <c r="R38" s="391"/>
      <c r="S38" s="391"/>
      <c r="T38" s="391"/>
      <c r="U38" s="391">
        <f t="shared" si="9"/>
        <v>0</v>
      </c>
      <c r="V38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45372_ADSS 48C_0</v>
      </c>
      <c r="W38" s="382" t="str">
        <f>Table4[[#This Row],[date out4]]&amp;"_"&amp;Table4[[#This Row],[Core]]&amp;"_"&amp;Table4[[#This Row],[leftover4]]</f>
        <v>_ADSS 48C_0</v>
      </c>
      <c r="X38" s="392" t="str">
        <f>IF(Table4[[#This Row],[Date Inbound]]&gt;Table4[[#This Row],[date1]],"INV","")</f>
        <v/>
      </c>
    </row>
    <row r="39" spans="1:24" ht="14">
      <c r="A39" s="381" t="str">
        <f t="shared" si="6"/>
        <v>C_ADSS 24C_MLG_45352_1</v>
      </c>
      <c r="B39" s="382" t="s">
        <v>3073</v>
      </c>
      <c r="C39" s="383">
        <v>45352</v>
      </c>
      <c r="D39" s="384">
        <v>1</v>
      </c>
      <c r="E39" s="385">
        <v>3000</v>
      </c>
      <c r="F39" s="422">
        <v>45358</v>
      </c>
      <c r="G39" s="387">
        <v>3000</v>
      </c>
      <c r="H39" s="382" t="s">
        <v>5188</v>
      </c>
      <c r="I39" s="389">
        <f t="shared" si="5"/>
        <v>0</v>
      </c>
      <c r="J39" s="382"/>
      <c r="K39" s="382"/>
      <c r="L39" s="382"/>
      <c r="M39" s="390">
        <f t="shared" si="7"/>
        <v>0</v>
      </c>
      <c r="N39" s="382"/>
      <c r="O39" s="382"/>
      <c r="P39" s="382"/>
      <c r="Q39" s="389">
        <f t="shared" si="8"/>
        <v>0</v>
      </c>
      <c r="R39" s="391"/>
      <c r="S39" s="391"/>
      <c r="T39" s="391"/>
      <c r="U39" s="391">
        <f t="shared" si="9"/>
        <v>0</v>
      </c>
      <c r="V39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45358_ADSS 24C_0</v>
      </c>
      <c r="W39" s="382" t="str">
        <f>Table4[[#This Row],[date out4]]&amp;"_"&amp;Table4[[#This Row],[Core]]&amp;"_"&amp;Table4[[#This Row],[leftover4]]</f>
        <v>_ADSS 24C_0</v>
      </c>
      <c r="X39" s="392" t="str">
        <f>IF(Table4[[#This Row],[Date Inbound]]&gt;Table4[[#This Row],[date1]],"INV","")</f>
        <v/>
      </c>
    </row>
    <row r="40" spans="1:24" ht="14">
      <c r="A40" s="381" t="str">
        <f t="shared" si="6"/>
        <v>C_ADSS 24C_MLG_45352_2</v>
      </c>
      <c r="B40" s="382" t="s">
        <v>3073</v>
      </c>
      <c r="C40" s="383">
        <v>45352</v>
      </c>
      <c r="D40" s="384">
        <v>2</v>
      </c>
      <c r="E40" s="385">
        <v>3000</v>
      </c>
      <c r="F40" s="386">
        <v>45358</v>
      </c>
      <c r="G40" s="387">
        <v>3000</v>
      </c>
      <c r="H40" s="382" t="s">
        <v>5188</v>
      </c>
      <c r="I40" s="389">
        <f t="shared" si="5"/>
        <v>0</v>
      </c>
      <c r="J40" s="382"/>
      <c r="K40" s="382"/>
      <c r="L40" s="382"/>
      <c r="M40" s="390">
        <f t="shared" si="7"/>
        <v>0</v>
      </c>
      <c r="N40" s="382"/>
      <c r="O40" s="382"/>
      <c r="P40" s="382"/>
      <c r="Q40" s="389">
        <f t="shared" si="8"/>
        <v>0</v>
      </c>
      <c r="R40" s="391"/>
      <c r="S40" s="391"/>
      <c r="T40" s="391"/>
      <c r="U40" s="391">
        <f t="shared" si="9"/>
        <v>0</v>
      </c>
      <c r="V40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45358_ADSS 24C_0</v>
      </c>
      <c r="W40" s="382" t="str">
        <f>Table4[[#This Row],[date out4]]&amp;"_"&amp;Table4[[#This Row],[Core]]&amp;"_"&amp;Table4[[#This Row],[leftover4]]</f>
        <v>_ADSS 24C_0</v>
      </c>
      <c r="X40" s="392" t="str">
        <f>IF(Table4[[#This Row],[Date Inbound]]&gt;Table4[[#This Row],[date1]],"INV","")</f>
        <v/>
      </c>
    </row>
    <row r="41" spans="1:24" ht="14">
      <c r="A41" s="381" t="str">
        <f t="shared" si="6"/>
        <v>C_ADSS 48C_MLG_45352_1</v>
      </c>
      <c r="B41" s="382" t="s">
        <v>3075</v>
      </c>
      <c r="C41" s="383">
        <v>45352</v>
      </c>
      <c r="D41" s="384">
        <v>1</v>
      </c>
      <c r="E41" s="385">
        <v>3000</v>
      </c>
      <c r="F41" s="386">
        <v>45366</v>
      </c>
      <c r="G41" s="387">
        <v>2680</v>
      </c>
      <c r="H41" s="382" t="s">
        <v>5191</v>
      </c>
      <c r="I41" s="389">
        <f t="shared" si="5"/>
        <v>320</v>
      </c>
      <c r="J41" s="382"/>
      <c r="K41" s="382"/>
      <c r="L41" s="382"/>
      <c r="M41" s="390">
        <f t="shared" si="7"/>
        <v>320</v>
      </c>
      <c r="N41" s="382"/>
      <c r="O41" s="382"/>
      <c r="P41" s="382"/>
      <c r="Q41" s="389">
        <f t="shared" si="8"/>
        <v>320</v>
      </c>
      <c r="R41" s="391"/>
      <c r="S41" s="391"/>
      <c r="T41" s="391"/>
      <c r="U41" s="391">
        <f t="shared" si="9"/>
        <v>320</v>
      </c>
      <c r="V41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45366_ADSS 48C_320</v>
      </c>
      <c r="W41" s="382" t="str">
        <f>Table4[[#This Row],[date out4]]&amp;"_"&amp;Table4[[#This Row],[Core]]&amp;"_"&amp;Table4[[#This Row],[leftover4]]</f>
        <v>_ADSS 48C_320</v>
      </c>
      <c r="X41" s="392" t="str">
        <f>IF(Table4[[#This Row],[Date Inbound]]&gt;Table4[[#This Row],[date1]],"INV","")</f>
        <v/>
      </c>
    </row>
    <row r="42" spans="1:24" ht="14">
      <c r="A42" s="381" t="str">
        <f t="shared" si="6"/>
        <v>C_ADSS 48C_MLG_45352_3</v>
      </c>
      <c r="B42" s="382" t="s">
        <v>3075</v>
      </c>
      <c r="C42" s="383">
        <v>45352</v>
      </c>
      <c r="D42" s="384">
        <v>3</v>
      </c>
      <c r="E42" s="385">
        <v>3000</v>
      </c>
      <c r="F42" s="386">
        <v>45404</v>
      </c>
      <c r="G42" s="387">
        <v>1450</v>
      </c>
      <c r="H42" s="382" t="s">
        <v>5197</v>
      </c>
      <c r="I42" s="389">
        <f t="shared" si="5"/>
        <v>1550</v>
      </c>
      <c r="J42" s="409">
        <v>45487</v>
      </c>
      <c r="K42" s="382">
        <v>500</v>
      </c>
      <c r="L42" s="382" t="s">
        <v>5226</v>
      </c>
      <c r="M42" s="390">
        <f t="shared" si="7"/>
        <v>1050</v>
      </c>
      <c r="N42" s="409">
        <v>45491</v>
      </c>
      <c r="O42" s="382">
        <v>1050</v>
      </c>
      <c r="P42" s="382" t="s">
        <v>5227</v>
      </c>
      <c r="Q42" s="389">
        <f t="shared" si="8"/>
        <v>0</v>
      </c>
      <c r="R42" s="391"/>
      <c r="S42" s="391"/>
      <c r="T42" s="391"/>
      <c r="U42" s="391">
        <f t="shared" si="9"/>
        <v>0</v>
      </c>
      <c r="V42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45487_ADSS 48C_1050</v>
      </c>
      <c r="W42" s="382" t="str">
        <f>Table4[[#This Row],[date out4]]&amp;"_"&amp;Table4[[#This Row],[Core]]&amp;"_"&amp;Table4[[#This Row],[leftover4]]</f>
        <v>_ADSS 48C_0</v>
      </c>
      <c r="X42" s="392" t="str">
        <f>IF(Table4[[#This Row],[Date Inbound]]&gt;Table4[[#This Row],[date1]],"INV","")</f>
        <v/>
      </c>
    </row>
    <row r="43" spans="1:24" ht="14">
      <c r="A43" s="381" t="str">
        <f t="shared" si="6"/>
        <v>C_ADSS 48C_MLG_45352_2</v>
      </c>
      <c r="B43" s="382" t="s">
        <v>3075</v>
      </c>
      <c r="C43" s="383">
        <v>45352</v>
      </c>
      <c r="D43" s="384">
        <v>2</v>
      </c>
      <c r="E43" s="385">
        <v>3000</v>
      </c>
      <c r="F43" s="386">
        <v>45439</v>
      </c>
      <c r="G43" s="387">
        <v>1000</v>
      </c>
      <c r="H43" s="382" t="s">
        <v>5228</v>
      </c>
      <c r="I43" s="389">
        <f t="shared" si="5"/>
        <v>2000</v>
      </c>
      <c r="J43" s="386">
        <v>45439</v>
      </c>
      <c r="K43" s="382">
        <v>1600</v>
      </c>
      <c r="L43" s="382" t="s">
        <v>5229</v>
      </c>
      <c r="M43" s="390">
        <f t="shared" si="7"/>
        <v>400</v>
      </c>
      <c r="N43" s="409">
        <v>45534</v>
      </c>
      <c r="O43" s="382">
        <v>400</v>
      </c>
      <c r="P43" s="382" t="s">
        <v>5230</v>
      </c>
      <c r="Q43" s="389">
        <f t="shared" si="8"/>
        <v>0</v>
      </c>
      <c r="R43" s="391"/>
      <c r="S43" s="391"/>
      <c r="T43" s="391"/>
      <c r="U43" s="391">
        <f t="shared" si="9"/>
        <v>0</v>
      </c>
      <c r="V43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45439_ADSS 48C_400</v>
      </c>
      <c r="W43" s="382" t="str">
        <f>Table4[[#This Row],[date out4]]&amp;"_"&amp;Table4[[#This Row],[Core]]&amp;"_"&amp;Table4[[#This Row],[leftover4]]</f>
        <v>_ADSS 48C_0</v>
      </c>
      <c r="X43" s="392" t="str">
        <f>IF(Table4[[#This Row],[Date Inbound]]&gt;Table4[[#This Row],[date1]],"INV","")</f>
        <v/>
      </c>
    </row>
    <row r="44" spans="1:24" ht="14">
      <c r="A44" s="381" t="str">
        <f t="shared" si="6"/>
        <v>C_ADSS 24C_MLG_45370_1</v>
      </c>
      <c r="B44" s="382" t="s">
        <v>3073</v>
      </c>
      <c r="C44" s="383">
        <v>45370</v>
      </c>
      <c r="D44" s="384">
        <v>1</v>
      </c>
      <c r="E44" s="385">
        <v>3000</v>
      </c>
      <c r="F44" s="386">
        <v>45386</v>
      </c>
      <c r="G44" s="387">
        <v>2100</v>
      </c>
      <c r="H44" s="382" t="s">
        <v>5189</v>
      </c>
      <c r="I44" s="389">
        <f t="shared" si="5"/>
        <v>900</v>
      </c>
      <c r="J44" s="386">
        <v>45400</v>
      </c>
      <c r="K44" s="382">
        <v>900</v>
      </c>
      <c r="L44" s="382" t="s">
        <v>5190</v>
      </c>
      <c r="M44" s="390">
        <f t="shared" si="7"/>
        <v>0</v>
      </c>
      <c r="N44" s="382"/>
      <c r="O44" s="382"/>
      <c r="P44" s="382"/>
      <c r="Q44" s="389">
        <f t="shared" si="8"/>
        <v>0</v>
      </c>
      <c r="R44" s="391"/>
      <c r="S44" s="391"/>
      <c r="T44" s="391"/>
      <c r="U44" s="391">
        <f t="shared" si="9"/>
        <v>0</v>
      </c>
      <c r="V44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45386_ADSS 24C_900</v>
      </c>
      <c r="W44" s="382" t="str">
        <f>Table4[[#This Row],[date out4]]&amp;"_"&amp;Table4[[#This Row],[Core]]&amp;"_"&amp;Table4[[#This Row],[leftover4]]</f>
        <v>_ADSS 24C_0</v>
      </c>
      <c r="X44" s="392" t="str">
        <f>IF(Table4[[#This Row],[Date Inbound]]&gt;Table4[[#This Row],[date1]],"INV","")</f>
        <v/>
      </c>
    </row>
    <row r="45" spans="1:24" ht="14">
      <c r="A45" s="381" t="str">
        <f t="shared" si="6"/>
        <v>C_ADSS 24C_MLG_45374_1</v>
      </c>
      <c r="B45" s="382" t="s">
        <v>3073</v>
      </c>
      <c r="C45" s="383">
        <v>45374</v>
      </c>
      <c r="D45" s="384">
        <v>1</v>
      </c>
      <c r="E45" s="385">
        <v>3000</v>
      </c>
      <c r="F45" s="386">
        <v>45374</v>
      </c>
      <c r="G45" s="387">
        <v>1420</v>
      </c>
      <c r="H45" s="382" t="s">
        <v>5191</v>
      </c>
      <c r="I45" s="389">
        <f t="shared" si="5"/>
        <v>1580</v>
      </c>
      <c r="J45" s="386">
        <v>45374</v>
      </c>
      <c r="K45" s="382">
        <v>1380</v>
      </c>
      <c r="L45" s="382" t="s">
        <v>5192</v>
      </c>
      <c r="M45" s="390">
        <f t="shared" si="7"/>
        <v>200</v>
      </c>
      <c r="N45" s="386">
        <v>45465</v>
      </c>
      <c r="O45" s="382">
        <v>200</v>
      </c>
      <c r="P45" s="382" t="s">
        <v>5171</v>
      </c>
      <c r="Q45" s="389">
        <f t="shared" si="8"/>
        <v>0</v>
      </c>
      <c r="R45" s="391"/>
      <c r="S45" s="391"/>
      <c r="T45" s="391"/>
      <c r="U45" s="391">
        <f t="shared" si="9"/>
        <v>0</v>
      </c>
      <c r="V45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45374_ADSS 24C_200</v>
      </c>
      <c r="W45" s="382" t="str">
        <f>Table4[[#This Row],[date out4]]&amp;"_"&amp;Table4[[#This Row],[Core]]&amp;"_"&amp;Table4[[#This Row],[leftover4]]</f>
        <v>_ADSS 24C_0</v>
      </c>
      <c r="X45" s="392" t="str">
        <f>IF(Table4[[#This Row],[Date Inbound]]&gt;Table4[[#This Row],[date1]],"INV","")</f>
        <v/>
      </c>
    </row>
    <row r="46" spans="1:24" ht="14">
      <c r="A46" s="381" t="str">
        <f t="shared" si="6"/>
        <v>C_ADSS 24C_MLG_45374_1</v>
      </c>
      <c r="B46" s="382" t="s">
        <v>3073</v>
      </c>
      <c r="C46" s="383">
        <v>45374</v>
      </c>
      <c r="D46" s="384">
        <v>1</v>
      </c>
      <c r="E46" s="385">
        <v>3000</v>
      </c>
      <c r="F46" s="386">
        <v>45374</v>
      </c>
      <c r="G46" s="387">
        <v>1080</v>
      </c>
      <c r="H46" s="382" t="s">
        <v>5193</v>
      </c>
      <c r="I46" s="389">
        <f t="shared" ref="I46:I81" si="10">E46-G46</f>
        <v>1920</v>
      </c>
      <c r="J46" s="386">
        <v>45374</v>
      </c>
      <c r="K46" s="382">
        <v>1050</v>
      </c>
      <c r="L46" s="382" t="s">
        <v>5194</v>
      </c>
      <c r="M46" s="390">
        <f t="shared" si="7"/>
        <v>870</v>
      </c>
      <c r="N46" s="386">
        <v>45374</v>
      </c>
      <c r="O46" s="382">
        <v>870</v>
      </c>
      <c r="P46" s="382" t="s">
        <v>5195</v>
      </c>
      <c r="Q46" s="389">
        <f t="shared" si="8"/>
        <v>0</v>
      </c>
      <c r="R46" s="391"/>
      <c r="S46" s="391"/>
      <c r="T46" s="391"/>
      <c r="U46" s="391">
        <f t="shared" si="9"/>
        <v>0</v>
      </c>
      <c r="V46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45374_ADSS 24C_870</v>
      </c>
      <c r="W46" s="382" t="str">
        <f>Table4[[#This Row],[date out4]]&amp;"_"&amp;Table4[[#This Row],[Core]]&amp;"_"&amp;Table4[[#This Row],[leftover4]]</f>
        <v>_ADSS 24C_0</v>
      </c>
      <c r="X46" s="392" t="str">
        <f>IF(Table4[[#This Row],[Date Inbound]]&gt;Table4[[#This Row],[date1]],"INV","")</f>
        <v/>
      </c>
    </row>
    <row r="47" spans="1:24" ht="14">
      <c r="A47" s="381" t="str">
        <f t="shared" si="6"/>
        <v>C_ADSS 24C_MLG_45383_1</v>
      </c>
      <c r="B47" s="382" t="s">
        <v>3073</v>
      </c>
      <c r="C47" s="383">
        <v>45383</v>
      </c>
      <c r="D47" s="384">
        <v>1</v>
      </c>
      <c r="E47" s="385">
        <v>1879</v>
      </c>
      <c r="F47" s="409">
        <v>45383</v>
      </c>
      <c r="G47" s="387">
        <v>679</v>
      </c>
      <c r="H47" s="382" t="s">
        <v>5193</v>
      </c>
      <c r="I47" s="389">
        <f t="shared" si="10"/>
        <v>1200</v>
      </c>
      <c r="J47" s="386">
        <v>45434</v>
      </c>
      <c r="K47" s="382">
        <v>750</v>
      </c>
      <c r="L47" s="382" t="s">
        <v>5196</v>
      </c>
      <c r="M47" s="390">
        <f t="shared" si="7"/>
        <v>450</v>
      </c>
      <c r="N47" s="382"/>
      <c r="O47" s="382"/>
      <c r="P47" s="382"/>
      <c r="Q47" s="389">
        <f t="shared" si="8"/>
        <v>450</v>
      </c>
      <c r="R47" s="391"/>
      <c r="S47" s="391"/>
      <c r="T47" s="391"/>
      <c r="U47" s="391">
        <f t="shared" si="9"/>
        <v>450</v>
      </c>
      <c r="V47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45434_ADSS 24C_450</v>
      </c>
      <c r="W47" s="382" t="str">
        <f>Table4[[#This Row],[date out4]]&amp;"_"&amp;Table4[[#This Row],[Core]]&amp;"_"&amp;Table4[[#This Row],[leftover4]]</f>
        <v>_ADSS 24C_450</v>
      </c>
      <c r="X47" s="392" t="str">
        <f>IF(Table4[[#This Row],[Date Inbound]]&gt;Table4[[#This Row],[date1]],"INV","")</f>
        <v/>
      </c>
    </row>
    <row r="48" spans="1:24" ht="14">
      <c r="A48" s="410" t="str">
        <f t="shared" si="6"/>
        <v>C_ADSS 24C_MLG_45401_2</v>
      </c>
      <c r="B48" s="411" t="s">
        <v>3073</v>
      </c>
      <c r="C48" s="412">
        <v>45401</v>
      </c>
      <c r="D48" s="413">
        <v>2</v>
      </c>
      <c r="E48" s="414">
        <v>4000</v>
      </c>
      <c r="F48" s="415">
        <v>45405</v>
      </c>
      <c r="G48" s="416">
        <v>3300</v>
      </c>
      <c r="H48" s="411" t="s">
        <v>5197</v>
      </c>
      <c r="I48" s="417">
        <f t="shared" si="10"/>
        <v>700</v>
      </c>
      <c r="J48" s="411"/>
      <c r="K48" s="411"/>
      <c r="L48" s="411"/>
      <c r="M48" s="418">
        <f t="shared" si="7"/>
        <v>700</v>
      </c>
      <c r="N48" s="411"/>
      <c r="O48" s="411"/>
      <c r="P48" s="411"/>
      <c r="Q48" s="417">
        <f t="shared" si="8"/>
        <v>700</v>
      </c>
      <c r="R48" s="419"/>
      <c r="S48" s="419"/>
      <c r="T48" s="419"/>
      <c r="U48" s="419">
        <f t="shared" si="9"/>
        <v>700</v>
      </c>
      <c r="V48" s="411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45405_ADSS 24C_700</v>
      </c>
      <c r="W48" s="411" t="str">
        <f>Table4[[#This Row],[date out4]]&amp;"_"&amp;Table4[[#This Row],[Core]]&amp;"_"&amp;Table4[[#This Row],[leftover4]]</f>
        <v>_ADSS 24C_700</v>
      </c>
      <c r="X48" s="420" t="str">
        <f>IF(Table4[[#This Row],[Date Inbound]]&gt;Table4[[#This Row],[date1]],"INV","")</f>
        <v/>
      </c>
    </row>
    <row r="49" spans="1:24" ht="14">
      <c r="A49" s="410" t="str">
        <f t="shared" si="6"/>
        <v>C_ADSS 24C_MLG_45401_1</v>
      </c>
      <c r="B49" s="411" t="s">
        <v>3073</v>
      </c>
      <c r="C49" s="412">
        <v>45401</v>
      </c>
      <c r="D49" s="413">
        <v>1</v>
      </c>
      <c r="E49" s="414">
        <v>4000</v>
      </c>
      <c r="F49" s="415">
        <v>45433</v>
      </c>
      <c r="G49" s="416">
        <v>1950</v>
      </c>
      <c r="H49" s="411" t="s">
        <v>5198</v>
      </c>
      <c r="I49" s="417">
        <f t="shared" si="10"/>
        <v>2050</v>
      </c>
      <c r="J49" s="415">
        <v>45405</v>
      </c>
      <c r="K49" s="411">
        <v>1000</v>
      </c>
      <c r="L49" s="411" t="s">
        <v>5199</v>
      </c>
      <c r="M49" s="418">
        <f t="shared" si="7"/>
        <v>1050</v>
      </c>
      <c r="N49" s="411"/>
      <c r="O49" s="411"/>
      <c r="P49" s="411"/>
      <c r="Q49" s="417">
        <f t="shared" si="8"/>
        <v>1050</v>
      </c>
      <c r="R49" s="419"/>
      <c r="S49" s="419"/>
      <c r="T49" s="419"/>
      <c r="U49" s="419">
        <f t="shared" si="9"/>
        <v>1050</v>
      </c>
      <c r="V49" s="411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45405_ADSS 24C_1050</v>
      </c>
      <c r="W49" s="411" t="str">
        <f>Table4[[#This Row],[date out4]]&amp;"_"&amp;Table4[[#This Row],[Core]]&amp;"_"&amp;Table4[[#This Row],[leftover4]]</f>
        <v>_ADSS 24C_1050</v>
      </c>
      <c r="X49" s="420" t="str">
        <f>IF(Table4[[#This Row],[Date Inbound]]&gt;Table4[[#This Row],[date1]],"INV","")</f>
        <v/>
      </c>
    </row>
    <row r="50" spans="1:24" ht="14">
      <c r="A50" s="381" t="str">
        <f t="shared" si="6"/>
        <v>C_ADSS 24C_MLG_45432_1</v>
      </c>
      <c r="B50" s="382" t="s">
        <v>3073</v>
      </c>
      <c r="C50" s="383">
        <v>45432</v>
      </c>
      <c r="D50" s="384">
        <v>1</v>
      </c>
      <c r="E50" s="385">
        <v>3000</v>
      </c>
      <c r="F50" s="386">
        <v>45437</v>
      </c>
      <c r="G50" s="387">
        <v>2000</v>
      </c>
      <c r="H50" s="382" t="s">
        <v>5200</v>
      </c>
      <c r="I50" s="389">
        <f t="shared" si="10"/>
        <v>1000</v>
      </c>
      <c r="J50" s="386">
        <v>45437</v>
      </c>
      <c r="K50" s="382">
        <v>1000</v>
      </c>
      <c r="L50" s="382" t="s">
        <v>5200</v>
      </c>
      <c r="M50" s="390">
        <f t="shared" si="7"/>
        <v>0</v>
      </c>
      <c r="N50" s="382"/>
      <c r="O50" s="382"/>
      <c r="P50" s="382"/>
      <c r="Q50" s="389">
        <f t="shared" si="8"/>
        <v>0</v>
      </c>
      <c r="R50" s="391"/>
      <c r="S50" s="391"/>
      <c r="T50" s="391"/>
      <c r="U50" s="391">
        <f t="shared" si="9"/>
        <v>0</v>
      </c>
      <c r="V50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45437_ADSS 24C_1000</v>
      </c>
      <c r="W50" s="382" t="str">
        <f>Table4[[#This Row],[date out4]]&amp;"_"&amp;Table4[[#This Row],[Core]]&amp;"_"&amp;Table4[[#This Row],[leftover4]]</f>
        <v>_ADSS 24C_0</v>
      </c>
      <c r="X50" s="392" t="str">
        <f>IF(Table4[[#This Row],[Date Inbound]]&gt;Table4[[#This Row],[date1]],"INV","")</f>
        <v/>
      </c>
    </row>
    <row r="51" spans="1:24" ht="14">
      <c r="A51" s="381" t="str">
        <f t="shared" si="6"/>
        <v>C_ADSS 24C_MLG_45432_1</v>
      </c>
      <c r="B51" s="382" t="s">
        <v>3073</v>
      </c>
      <c r="C51" s="383">
        <v>45432</v>
      </c>
      <c r="D51" s="384">
        <v>1</v>
      </c>
      <c r="E51" s="385">
        <v>3000</v>
      </c>
      <c r="F51" s="386">
        <v>45442</v>
      </c>
      <c r="G51" s="387">
        <v>1100</v>
      </c>
      <c r="H51" s="382" t="s">
        <v>5201</v>
      </c>
      <c r="I51" s="389">
        <f t="shared" si="10"/>
        <v>1900</v>
      </c>
      <c r="J51" s="409">
        <v>45442</v>
      </c>
      <c r="K51" s="382">
        <v>1050</v>
      </c>
      <c r="L51" s="382" t="s">
        <v>5202</v>
      </c>
      <c r="M51" s="390">
        <f t="shared" si="7"/>
        <v>850</v>
      </c>
      <c r="N51" s="386">
        <v>45485</v>
      </c>
      <c r="O51" s="382">
        <v>850</v>
      </c>
      <c r="P51" s="382" t="s">
        <v>5203</v>
      </c>
      <c r="Q51" s="389">
        <f t="shared" si="8"/>
        <v>0</v>
      </c>
      <c r="R51" s="391"/>
      <c r="S51" s="391"/>
      <c r="T51" s="391"/>
      <c r="U51" s="391">
        <f t="shared" si="9"/>
        <v>0</v>
      </c>
      <c r="V51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45442_ADSS 24C_850</v>
      </c>
      <c r="W51" s="382" t="str">
        <f>Table4[[#This Row],[date out4]]&amp;"_"&amp;Table4[[#This Row],[Core]]&amp;"_"&amp;Table4[[#This Row],[leftover4]]</f>
        <v>_ADSS 24C_0</v>
      </c>
      <c r="X51" s="392" t="str">
        <f>IF(Table4[[#This Row],[Date Inbound]]&gt;Table4[[#This Row],[date1]],"INV","")</f>
        <v/>
      </c>
    </row>
    <row r="52" spans="1:24" ht="14">
      <c r="A52" s="381" t="str">
        <f t="shared" si="6"/>
        <v>C_ADSS 48C_MLG_45433_1</v>
      </c>
      <c r="B52" s="382" t="s">
        <v>3075</v>
      </c>
      <c r="C52" s="383">
        <v>45433</v>
      </c>
      <c r="D52" s="384">
        <v>1</v>
      </c>
      <c r="E52" s="385">
        <v>3000</v>
      </c>
      <c r="F52" s="386">
        <v>45439</v>
      </c>
      <c r="G52" s="387">
        <v>600</v>
      </c>
      <c r="H52" s="382" t="s">
        <v>5231</v>
      </c>
      <c r="I52" s="389">
        <f t="shared" si="10"/>
        <v>2400</v>
      </c>
      <c r="J52" s="386">
        <v>45439</v>
      </c>
      <c r="K52" s="382">
        <v>2400</v>
      </c>
      <c r="L52" s="382" t="s">
        <v>5232</v>
      </c>
      <c r="M52" s="390">
        <f t="shared" si="7"/>
        <v>0</v>
      </c>
      <c r="N52" s="382"/>
      <c r="O52" s="382"/>
      <c r="P52" s="382"/>
      <c r="Q52" s="389">
        <f t="shared" si="8"/>
        <v>0</v>
      </c>
      <c r="R52" s="391"/>
      <c r="S52" s="391"/>
      <c r="T52" s="391"/>
      <c r="U52" s="391">
        <f t="shared" si="9"/>
        <v>0</v>
      </c>
      <c r="V52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45439_ADSS 48C_2400</v>
      </c>
      <c r="W52" s="382" t="str">
        <f>Table4[[#This Row],[date out4]]&amp;"_"&amp;Table4[[#This Row],[Core]]&amp;"_"&amp;Table4[[#This Row],[leftover4]]</f>
        <v>_ADSS 48C_0</v>
      </c>
      <c r="X52" s="392" t="str">
        <f>IF(Table4[[#This Row],[Date Inbound]]&gt;Table4[[#This Row],[date1]],"INV","")</f>
        <v/>
      </c>
    </row>
    <row r="53" spans="1:24" ht="14">
      <c r="A53" s="381" t="str">
        <f t="shared" si="6"/>
        <v>C_ADSS 48C_MLG_45444_3</v>
      </c>
      <c r="B53" s="382" t="s">
        <v>3075</v>
      </c>
      <c r="C53" s="427">
        <v>45444</v>
      </c>
      <c r="D53" s="384">
        <v>3</v>
      </c>
      <c r="E53" s="428">
        <v>3000</v>
      </c>
      <c r="F53" s="386">
        <v>45444</v>
      </c>
      <c r="G53" s="387">
        <v>2750</v>
      </c>
      <c r="H53" s="382" t="s">
        <v>5233</v>
      </c>
      <c r="I53" s="389">
        <f t="shared" si="10"/>
        <v>250</v>
      </c>
      <c r="J53" s="382"/>
      <c r="K53" s="382"/>
      <c r="L53" s="382"/>
      <c r="M53" s="390">
        <f t="shared" si="7"/>
        <v>250</v>
      </c>
      <c r="N53" s="382"/>
      <c r="O53" s="382"/>
      <c r="P53" s="382"/>
      <c r="Q53" s="389">
        <f t="shared" si="8"/>
        <v>250</v>
      </c>
      <c r="R53" s="391"/>
      <c r="S53" s="391"/>
      <c r="T53" s="391"/>
      <c r="U53" s="391">
        <f t="shared" si="9"/>
        <v>250</v>
      </c>
      <c r="V53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45444_ADSS 48C_250</v>
      </c>
      <c r="W53" s="382" t="str">
        <f>Table4[[#This Row],[date out4]]&amp;"_"&amp;Table4[[#This Row],[Core]]&amp;"_"&amp;Table4[[#This Row],[leftover4]]</f>
        <v>_ADSS 48C_250</v>
      </c>
      <c r="X53" s="392" t="str">
        <f>IF(Table4[[#This Row],[Date Inbound]]&gt;Table4[[#This Row],[date1]],"INV","")</f>
        <v/>
      </c>
    </row>
    <row r="54" spans="1:24" ht="14">
      <c r="A54" s="381" t="str">
        <f t="shared" si="6"/>
        <v>C_ADSS 48C_MLG_45444_1</v>
      </c>
      <c r="B54" s="382" t="s">
        <v>3075</v>
      </c>
      <c r="C54" s="427">
        <v>45444</v>
      </c>
      <c r="D54" s="384">
        <v>1</v>
      </c>
      <c r="E54" s="428">
        <v>3000</v>
      </c>
      <c r="F54" s="386">
        <v>45465</v>
      </c>
      <c r="G54" s="387">
        <v>1700</v>
      </c>
      <c r="H54" s="382" t="s">
        <v>5234</v>
      </c>
      <c r="I54" s="389">
        <f t="shared" si="10"/>
        <v>1300</v>
      </c>
      <c r="J54" s="382"/>
      <c r="K54" s="382"/>
      <c r="L54" s="382"/>
      <c r="M54" s="390">
        <f t="shared" si="7"/>
        <v>1300</v>
      </c>
      <c r="N54" s="382"/>
      <c r="O54" s="382"/>
      <c r="P54" s="382"/>
      <c r="Q54" s="389">
        <f t="shared" si="8"/>
        <v>1300</v>
      </c>
      <c r="R54" s="391"/>
      <c r="S54" s="391"/>
      <c r="T54" s="391"/>
      <c r="U54" s="391">
        <f t="shared" si="9"/>
        <v>1300</v>
      </c>
      <c r="V54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45465_ADSS 48C_1300</v>
      </c>
      <c r="W54" s="382" t="str">
        <f>Table4[[#This Row],[date out4]]&amp;"_"&amp;Table4[[#This Row],[Core]]&amp;"_"&amp;Table4[[#This Row],[leftover4]]</f>
        <v>_ADSS 48C_1300</v>
      </c>
      <c r="X54" s="392" t="str">
        <f>IF(Table4[[#This Row],[Date Inbound]]&gt;Table4[[#This Row],[date1]],"INV","")</f>
        <v/>
      </c>
    </row>
    <row r="55" spans="1:24" ht="14">
      <c r="A55" s="429" t="str">
        <f t="shared" si="6"/>
        <v>C_ADSS 48C_MLG_45444_2</v>
      </c>
      <c r="B55" s="430" t="s">
        <v>3075</v>
      </c>
      <c r="C55" s="431">
        <v>45444</v>
      </c>
      <c r="D55" s="432">
        <v>2</v>
      </c>
      <c r="E55" s="433">
        <v>3000</v>
      </c>
      <c r="F55" s="386">
        <v>45465</v>
      </c>
      <c r="G55" s="387">
        <v>1700</v>
      </c>
      <c r="H55" s="382" t="s">
        <v>5235</v>
      </c>
      <c r="I55" s="389">
        <f t="shared" si="10"/>
        <v>1300</v>
      </c>
      <c r="J55" s="434"/>
      <c r="K55" s="430"/>
      <c r="L55" s="430"/>
      <c r="M55" s="435">
        <f t="shared" si="7"/>
        <v>1300</v>
      </c>
      <c r="N55" s="430"/>
      <c r="O55" s="430"/>
      <c r="P55" s="430"/>
      <c r="Q55" s="436">
        <f t="shared" si="8"/>
        <v>1300</v>
      </c>
      <c r="R55" s="437"/>
      <c r="S55" s="437"/>
      <c r="T55" s="437"/>
      <c r="U55" s="437">
        <f t="shared" si="9"/>
        <v>1300</v>
      </c>
      <c r="V55" s="430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45465_ADSS 48C_1300</v>
      </c>
      <c r="W55" s="430" t="str">
        <f>Table4[[#This Row],[date out4]]&amp;"_"&amp;Table4[[#This Row],[Core]]&amp;"_"&amp;Table4[[#This Row],[leftover4]]</f>
        <v>_ADSS 48C_1300</v>
      </c>
      <c r="X55" s="438" t="str">
        <f>IF(Table4[[#This Row],[Date Inbound]]&gt;Table4[[#This Row],[date1]],"INV","")</f>
        <v/>
      </c>
    </row>
    <row r="56" spans="1:24" ht="14">
      <c r="A56" s="381" t="str">
        <f t="shared" si="6"/>
        <v>C_ADSS 24C_MLG_45448_2</v>
      </c>
      <c r="B56" s="382" t="s">
        <v>3073</v>
      </c>
      <c r="C56" s="383">
        <v>45448</v>
      </c>
      <c r="D56" s="384">
        <v>2</v>
      </c>
      <c r="E56" s="385">
        <v>3000</v>
      </c>
      <c r="F56" s="386">
        <v>45448</v>
      </c>
      <c r="G56" s="387">
        <v>1200</v>
      </c>
      <c r="H56" s="382" t="s">
        <v>5204</v>
      </c>
      <c r="I56" s="389">
        <f t="shared" si="10"/>
        <v>1800</v>
      </c>
      <c r="J56" s="386">
        <v>45448</v>
      </c>
      <c r="K56" s="382">
        <v>1800</v>
      </c>
      <c r="L56" s="382" t="s">
        <v>5205</v>
      </c>
      <c r="M56" s="390">
        <f t="shared" si="7"/>
        <v>0</v>
      </c>
      <c r="N56" s="382"/>
      <c r="O56" s="382"/>
      <c r="P56" s="382"/>
      <c r="Q56" s="389">
        <f t="shared" si="8"/>
        <v>0</v>
      </c>
      <c r="R56" s="391"/>
      <c r="S56" s="391"/>
      <c r="T56" s="391"/>
      <c r="U56" s="391">
        <f t="shared" si="9"/>
        <v>0</v>
      </c>
      <c r="V56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45448_ADSS 24C_1800</v>
      </c>
      <c r="W56" s="382" t="str">
        <f>Table4[[#This Row],[date out4]]&amp;"_"&amp;Table4[[#This Row],[Core]]&amp;"_"&amp;Table4[[#This Row],[leftover4]]</f>
        <v>_ADSS 24C_0</v>
      </c>
      <c r="X56" s="392" t="str">
        <f>IF(Table4[[#This Row],[Date Inbound]]&gt;Table4[[#This Row],[date1]],"INV","")</f>
        <v/>
      </c>
    </row>
    <row r="57" spans="1:24" ht="14">
      <c r="A57" s="381" t="str">
        <f t="shared" si="6"/>
        <v>C_ADSS 24C_MLG_45448_1</v>
      </c>
      <c r="B57" s="382" t="s">
        <v>3073</v>
      </c>
      <c r="C57" s="383">
        <v>45448</v>
      </c>
      <c r="D57" s="384">
        <v>1</v>
      </c>
      <c r="E57" s="385">
        <v>3000</v>
      </c>
      <c r="F57" s="386">
        <v>45448</v>
      </c>
      <c r="G57" s="387">
        <v>600</v>
      </c>
      <c r="H57" s="382" t="s">
        <v>5204</v>
      </c>
      <c r="I57" s="389">
        <f t="shared" si="10"/>
        <v>2400</v>
      </c>
      <c r="J57" s="409">
        <v>45462</v>
      </c>
      <c r="K57" s="382">
        <v>2400</v>
      </c>
      <c r="L57" s="382" t="s">
        <v>3397</v>
      </c>
      <c r="M57" s="390">
        <f t="shared" si="7"/>
        <v>0</v>
      </c>
      <c r="N57" s="382"/>
      <c r="O57" s="382"/>
      <c r="P57" s="382"/>
      <c r="Q57" s="389">
        <f t="shared" si="8"/>
        <v>0</v>
      </c>
      <c r="R57" s="391"/>
      <c r="S57" s="391"/>
      <c r="T57" s="391"/>
      <c r="U57" s="391">
        <f t="shared" si="9"/>
        <v>0</v>
      </c>
      <c r="V57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45448_ADSS 24C_2400</v>
      </c>
      <c r="W57" s="382" t="str">
        <f>Table4[[#This Row],[date out4]]&amp;"_"&amp;Table4[[#This Row],[Core]]&amp;"_"&amp;Table4[[#This Row],[leftover4]]</f>
        <v>_ADSS 24C_0</v>
      </c>
      <c r="X57" s="392" t="str">
        <f>IF(Table4[[#This Row],[Date Inbound]]&gt;Table4[[#This Row],[date1]],"INV","")</f>
        <v/>
      </c>
    </row>
    <row r="58" spans="1:24" ht="14">
      <c r="A58" s="381" t="str">
        <f t="shared" si="6"/>
        <v>C_ADSS 24C_MLG_45462_1</v>
      </c>
      <c r="B58" s="382" t="s">
        <v>3073</v>
      </c>
      <c r="C58" s="383">
        <v>45462</v>
      </c>
      <c r="D58" s="384">
        <v>1</v>
      </c>
      <c r="E58" s="385">
        <v>2400</v>
      </c>
      <c r="F58" s="386">
        <v>45463</v>
      </c>
      <c r="G58" s="387">
        <v>560</v>
      </c>
      <c r="H58" s="382" t="s">
        <v>5206</v>
      </c>
      <c r="I58" s="389">
        <f t="shared" si="10"/>
        <v>1840</v>
      </c>
      <c r="J58" s="409">
        <v>45477</v>
      </c>
      <c r="K58" s="382">
        <v>1280</v>
      </c>
      <c r="L58" s="382" t="s">
        <v>5207</v>
      </c>
      <c r="M58" s="390">
        <f t="shared" si="7"/>
        <v>560</v>
      </c>
      <c r="N58" s="382"/>
      <c r="O58" s="382"/>
      <c r="P58" s="382"/>
      <c r="Q58" s="389">
        <f t="shared" si="8"/>
        <v>560</v>
      </c>
      <c r="R58" s="391"/>
      <c r="S58" s="391"/>
      <c r="T58" s="391"/>
      <c r="U58" s="391">
        <f t="shared" si="9"/>
        <v>560</v>
      </c>
      <c r="V58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45477_ADSS 24C_560</v>
      </c>
      <c r="W58" s="382" t="str">
        <f>Table4[[#This Row],[date out4]]&amp;"_"&amp;Table4[[#This Row],[Core]]&amp;"_"&amp;Table4[[#This Row],[leftover4]]</f>
        <v>_ADSS 24C_560</v>
      </c>
      <c r="X58" s="392" t="str">
        <f>IF(Table4[[#This Row],[Date Inbound]]&gt;Table4[[#This Row],[date1]],"INV","")</f>
        <v/>
      </c>
    </row>
    <row r="59" spans="1:24" ht="14">
      <c r="A59" s="381" t="str">
        <f t="shared" si="6"/>
        <v>C_ADSS 48C_MLG_45467_1</v>
      </c>
      <c r="B59" s="382" t="s">
        <v>3075</v>
      </c>
      <c r="C59" s="383">
        <v>45467</v>
      </c>
      <c r="D59" s="384">
        <v>1</v>
      </c>
      <c r="E59" s="385">
        <v>3000</v>
      </c>
      <c r="F59" s="386"/>
      <c r="G59" s="387"/>
      <c r="H59" s="382"/>
      <c r="I59" s="389">
        <f t="shared" si="10"/>
        <v>3000</v>
      </c>
      <c r="J59" s="382"/>
      <c r="K59" s="382"/>
      <c r="L59" s="382"/>
      <c r="M59" s="390">
        <f t="shared" si="7"/>
        <v>3000</v>
      </c>
      <c r="N59" s="382"/>
      <c r="O59" s="382"/>
      <c r="P59" s="382"/>
      <c r="Q59" s="389">
        <f t="shared" si="8"/>
        <v>3000</v>
      </c>
      <c r="R59" s="391"/>
      <c r="S59" s="391"/>
      <c r="T59" s="391"/>
      <c r="U59" s="391">
        <f t="shared" si="9"/>
        <v>3000</v>
      </c>
      <c r="V59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_ADSS 48C_3000</v>
      </c>
      <c r="W59" s="382" t="str">
        <f>Table4[[#This Row],[date out4]]&amp;"_"&amp;Table4[[#This Row],[Core]]&amp;"_"&amp;Table4[[#This Row],[leftover4]]</f>
        <v>_ADSS 48C_3000</v>
      </c>
      <c r="X59" s="392" t="str">
        <f>IF(Table4[[#This Row],[Date Inbound]]&gt;Table4[[#This Row],[date1]],"INV","")</f>
        <v>INV</v>
      </c>
    </row>
    <row r="60" spans="1:24" ht="14">
      <c r="A60" s="381" t="str">
        <f t="shared" si="6"/>
        <v>C_ADSS 24C_MLG_45468_1</v>
      </c>
      <c r="B60" s="382" t="s">
        <v>3073</v>
      </c>
      <c r="C60" s="383">
        <v>45468</v>
      </c>
      <c r="D60" s="384">
        <v>1</v>
      </c>
      <c r="E60" s="385">
        <v>3000</v>
      </c>
      <c r="F60" s="386">
        <v>45500</v>
      </c>
      <c r="G60" s="387">
        <v>850</v>
      </c>
      <c r="H60" s="382" t="s">
        <v>5208</v>
      </c>
      <c r="I60" s="389">
        <f t="shared" si="10"/>
        <v>2150</v>
      </c>
      <c r="J60" s="382"/>
      <c r="K60" s="382"/>
      <c r="L60" s="382"/>
      <c r="M60" s="390">
        <f t="shared" si="7"/>
        <v>2150</v>
      </c>
      <c r="N60" s="382"/>
      <c r="O60" s="382"/>
      <c r="P60" s="382"/>
      <c r="Q60" s="389">
        <f t="shared" si="8"/>
        <v>2150</v>
      </c>
      <c r="R60" s="391"/>
      <c r="S60" s="391"/>
      <c r="T60" s="391"/>
      <c r="U60" s="391">
        <f t="shared" si="9"/>
        <v>2150</v>
      </c>
      <c r="V60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45500_ADSS 24C_2150</v>
      </c>
      <c r="W60" s="382" t="str">
        <f>Table4[[#This Row],[date out4]]&amp;"_"&amp;Table4[[#This Row],[Core]]&amp;"_"&amp;Table4[[#This Row],[leftover4]]</f>
        <v>_ADSS 24C_2150</v>
      </c>
      <c r="X60" s="392" t="str">
        <f>IF(Table4[[#This Row],[Date Inbound]]&gt;Table4[[#This Row],[date1]],"INV","")</f>
        <v/>
      </c>
    </row>
    <row r="61" spans="1:24" ht="14">
      <c r="A61" s="397" t="str">
        <f t="shared" si="6"/>
        <v>C_ADSS 48C_MLG_45468_2</v>
      </c>
      <c r="B61" s="394" t="s">
        <v>3075</v>
      </c>
      <c r="C61" s="398">
        <v>45468</v>
      </c>
      <c r="D61" s="399">
        <v>2</v>
      </c>
      <c r="E61" s="400">
        <v>3000</v>
      </c>
      <c r="F61" s="401">
        <v>45470</v>
      </c>
      <c r="G61" s="439">
        <v>1375</v>
      </c>
      <c r="H61" s="394" t="s">
        <v>5236</v>
      </c>
      <c r="I61" s="403">
        <f t="shared" si="10"/>
        <v>1625</v>
      </c>
      <c r="J61" s="401">
        <v>45470</v>
      </c>
      <c r="K61" s="394">
        <v>1500</v>
      </c>
      <c r="L61" s="394" t="s">
        <v>5237</v>
      </c>
      <c r="M61" s="405">
        <f t="shared" si="7"/>
        <v>125</v>
      </c>
      <c r="N61" s="401">
        <v>45470</v>
      </c>
      <c r="O61" s="394">
        <v>125</v>
      </c>
      <c r="P61" s="394" t="s">
        <v>5226</v>
      </c>
      <c r="Q61" s="403">
        <f t="shared" si="8"/>
        <v>0</v>
      </c>
      <c r="R61" s="406"/>
      <c r="S61" s="406"/>
      <c r="T61" s="406"/>
      <c r="U61" s="406">
        <f t="shared" si="9"/>
        <v>0</v>
      </c>
      <c r="V61" s="39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45470_ADSS 48C_125</v>
      </c>
      <c r="W61" s="394" t="str">
        <f>Table4[[#This Row],[date out4]]&amp;"_"&amp;Table4[[#This Row],[Core]]&amp;"_"&amp;Table4[[#This Row],[leftover4]]</f>
        <v>_ADSS 48C_0</v>
      </c>
      <c r="X61" s="407" t="str">
        <f>IF(Table4[[#This Row],[Date Inbound]]&gt;Table4[[#This Row],[date1]],"INV","")</f>
        <v/>
      </c>
    </row>
    <row r="62" spans="1:24" ht="14">
      <c r="A62" s="397" t="str">
        <f t="shared" si="6"/>
        <v>C_ADSS 48C_MLG_45468_1</v>
      </c>
      <c r="B62" s="394" t="s">
        <v>3075</v>
      </c>
      <c r="C62" s="398">
        <v>45468</v>
      </c>
      <c r="D62" s="399">
        <v>1</v>
      </c>
      <c r="E62" s="400">
        <v>3000</v>
      </c>
      <c r="F62" s="401">
        <v>45470</v>
      </c>
      <c r="G62" s="439">
        <v>1025</v>
      </c>
      <c r="H62" s="394" t="s">
        <v>5236</v>
      </c>
      <c r="I62" s="403">
        <f t="shared" si="10"/>
        <v>1975</v>
      </c>
      <c r="J62" s="401">
        <v>45470</v>
      </c>
      <c r="K62" s="394">
        <v>1700</v>
      </c>
      <c r="L62" s="394" t="s">
        <v>5237</v>
      </c>
      <c r="M62" s="405">
        <f t="shared" si="7"/>
        <v>275</v>
      </c>
      <c r="N62" s="404">
        <v>45533</v>
      </c>
      <c r="O62" s="394">
        <v>275</v>
      </c>
      <c r="P62" s="394" t="s">
        <v>5238</v>
      </c>
      <c r="Q62" s="403">
        <f t="shared" si="8"/>
        <v>0</v>
      </c>
      <c r="R62" s="406"/>
      <c r="S62" s="406"/>
      <c r="T62" s="406"/>
      <c r="U62" s="406">
        <f t="shared" si="9"/>
        <v>0</v>
      </c>
      <c r="V62" s="39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45470_ADSS 48C_275</v>
      </c>
      <c r="W62" s="394" t="str">
        <f>Table4[[#This Row],[date out4]]&amp;"_"&amp;Table4[[#This Row],[Core]]&amp;"_"&amp;Table4[[#This Row],[leftover4]]</f>
        <v>_ADSS 48C_0</v>
      </c>
      <c r="X62" s="407" t="str">
        <f>IF(Table4[[#This Row],[Date Inbound]]&gt;Table4[[#This Row],[date1]],"INV","")</f>
        <v/>
      </c>
    </row>
    <row r="63" spans="1:24" ht="14">
      <c r="A63" s="381" t="str">
        <f t="shared" si="6"/>
        <v>C_ADSS 48C_MLG_45468_3</v>
      </c>
      <c r="B63" s="382" t="s">
        <v>3075</v>
      </c>
      <c r="C63" s="383">
        <v>45468</v>
      </c>
      <c r="D63" s="384">
        <v>3</v>
      </c>
      <c r="E63" s="385">
        <v>3000</v>
      </c>
      <c r="F63" s="386"/>
      <c r="G63" s="387"/>
      <c r="H63" s="382"/>
      <c r="I63" s="389">
        <f t="shared" si="10"/>
        <v>3000</v>
      </c>
      <c r="J63" s="382"/>
      <c r="K63" s="382"/>
      <c r="L63" s="382"/>
      <c r="M63" s="390">
        <f t="shared" si="7"/>
        <v>3000</v>
      </c>
      <c r="N63" s="382"/>
      <c r="O63" s="382"/>
      <c r="P63" s="382"/>
      <c r="Q63" s="389">
        <f t="shared" si="8"/>
        <v>3000</v>
      </c>
      <c r="R63" s="391"/>
      <c r="S63" s="391"/>
      <c r="T63" s="391"/>
      <c r="U63" s="391">
        <f t="shared" si="9"/>
        <v>3000</v>
      </c>
      <c r="V63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_ADSS 48C_3000</v>
      </c>
      <c r="W63" s="382" t="str">
        <f>Table4[[#This Row],[date out4]]&amp;"_"&amp;Table4[[#This Row],[Core]]&amp;"_"&amp;Table4[[#This Row],[leftover4]]</f>
        <v>_ADSS 48C_3000</v>
      </c>
      <c r="X63" s="392" t="str">
        <f>IF(Table4[[#This Row],[Date Inbound]]&gt;Table4[[#This Row],[date1]],"INV","")</f>
        <v>INV</v>
      </c>
    </row>
    <row r="64" spans="1:24" ht="14">
      <c r="A64" s="381" t="str">
        <f t="shared" si="6"/>
        <v>C_ADSS 24C_MLG_45481_1</v>
      </c>
      <c r="B64" s="382" t="s">
        <v>3073</v>
      </c>
      <c r="C64" s="383">
        <v>45481</v>
      </c>
      <c r="D64" s="384">
        <v>1</v>
      </c>
      <c r="E64" s="385">
        <v>3000</v>
      </c>
      <c r="F64" s="386">
        <v>45485</v>
      </c>
      <c r="G64" s="387">
        <v>775</v>
      </c>
      <c r="H64" s="382" t="s">
        <v>5209</v>
      </c>
      <c r="I64" s="389">
        <f t="shared" si="10"/>
        <v>2225</v>
      </c>
      <c r="J64" s="386">
        <v>45524</v>
      </c>
      <c r="K64" s="382">
        <v>1700</v>
      </c>
      <c r="L64" s="382" t="s">
        <v>5210</v>
      </c>
      <c r="M64" s="390">
        <f t="shared" si="7"/>
        <v>525</v>
      </c>
      <c r="N64" s="386">
        <v>45527</v>
      </c>
      <c r="O64" s="382">
        <v>525</v>
      </c>
      <c r="P64" s="382" t="s">
        <v>5211</v>
      </c>
      <c r="Q64" s="389">
        <f t="shared" si="8"/>
        <v>0</v>
      </c>
      <c r="R64" s="391"/>
      <c r="S64" s="391"/>
      <c r="T64" s="391"/>
      <c r="U64" s="391">
        <f t="shared" si="9"/>
        <v>0</v>
      </c>
      <c r="V64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45524_ADSS 24C_525</v>
      </c>
      <c r="W64" s="382" t="str">
        <f>Table4[[#This Row],[date out4]]&amp;"_"&amp;Table4[[#This Row],[Core]]&amp;"_"&amp;Table4[[#This Row],[leftover4]]</f>
        <v>_ADSS 24C_0</v>
      </c>
      <c r="X64" s="392" t="str">
        <f>IF(Table4[[#This Row],[Date Inbound]]&gt;Table4[[#This Row],[date1]],"INV","")</f>
        <v/>
      </c>
    </row>
    <row r="65" spans="1:24" ht="14">
      <c r="A65" s="381" t="str">
        <f t="shared" si="6"/>
        <v>C_ADSS 48C_MLG_45481_1</v>
      </c>
      <c r="B65" s="382" t="s">
        <v>3075</v>
      </c>
      <c r="C65" s="383">
        <v>45481</v>
      </c>
      <c r="D65" s="384">
        <v>1</v>
      </c>
      <c r="E65" s="385">
        <v>3000</v>
      </c>
      <c r="F65" s="386">
        <v>45500</v>
      </c>
      <c r="G65" s="387">
        <v>2150</v>
      </c>
      <c r="H65" s="382" t="s">
        <v>5208</v>
      </c>
      <c r="I65" s="389">
        <f t="shared" si="10"/>
        <v>850</v>
      </c>
      <c r="J65" s="382"/>
      <c r="K65" s="382"/>
      <c r="L65" s="382"/>
      <c r="M65" s="390">
        <f t="shared" si="7"/>
        <v>850</v>
      </c>
      <c r="N65" s="382"/>
      <c r="O65" s="382"/>
      <c r="P65" s="382"/>
      <c r="Q65" s="389">
        <f t="shared" si="8"/>
        <v>850</v>
      </c>
      <c r="R65" s="391"/>
      <c r="S65" s="391"/>
      <c r="T65" s="391"/>
      <c r="U65" s="391">
        <f t="shared" si="9"/>
        <v>850</v>
      </c>
      <c r="V65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45500_ADSS 48C_850</v>
      </c>
      <c r="W65" s="382" t="str">
        <f>Table4[[#This Row],[date out4]]&amp;"_"&amp;Table4[[#This Row],[Core]]&amp;"_"&amp;Table4[[#This Row],[leftover4]]</f>
        <v>_ADSS 48C_850</v>
      </c>
      <c r="X65" s="392" t="str">
        <f>IF(Table4[[#This Row],[Date Inbound]]&gt;Table4[[#This Row],[date1]],"INV","")</f>
        <v/>
      </c>
    </row>
    <row r="66" spans="1:24" ht="14">
      <c r="A66" s="381" t="str">
        <f t="shared" si="6"/>
        <v>C_ADSS 24C_MLG_45496_1</v>
      </c>
      <c r="B66" s="382" t="s">
        <v>3073</v>
      </c>
      <c r="C66" s="383">
        <v>45496</v>
      </c>
      <c r="D66" s="384">
        <v>1</v>
      </c>
      <c r="E66" s="385">
        <v>3000</v>
      </c>
      <c r="F66" s="386">
        <v>45500</v>
      </c>
      <c r="G66" s="387">
        <v>1250</v>
      </c>
      <c r="H66" s="382" t="s">
        <v>5208</v>
      </c>
      <c r="I66" s="389">
        <f t="shared" si="10"/>
        <v>1750</v>
      </c>
      <c r="J66" s="409">
        <v>45500</v>
      </c>
      <c r="K66" s="382">
        <v>900</v>
      </c>
      <c r="L66" s="382" t="s">
        <v>5208</v>
      </c>
      <c r="M66" s="390">
        <f t="shared" si="7"/>
        <v>850</v>
      </c>
      <c r="N66" s="382"/>
      <c r="O66" s="382"/>
      <c r="P66" s="382"/>
      <c r="Q66" s="389">
        <f t="shared" si="8"/>
        <v>850</v>
      </c>
      <c r="R66" s="391"/>
      <c r="S66" s="391"/>
      <c r="T66" s="391"/>
      <c r="U66" s="391">
        <f t="shared" si="9"/>
        <v>850</v>
      </c>
      <c r="V66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45500_ADSS 24C_850</v>
      </c>
      <c r="W66" s="382" t="str">
        <f>Table4[[#This Row],[date out4]]&amp;"_"&amp;Table4[[#This Row],[Core]]&amp;"_"&amp;Table4[[#This Row],[leftover4]]</f>
        <v>_ADSS 24C_850</v>
      </c>
      <c r="X66" s="392" t="str">
        <f>IF(Table4[[#This Row],[Date Inbound]]&gt;Table4[[#This Row],[date1]],"INV","")</f>
        <v/>
      </c>
    </row>
    <row r="67" spans="1:24" ht="14">
      <c r="A67" s="381" t="str">
        <f t="shared" ref="A67:A81" si="11">"C_"&amp;B67&amp;"_MLG_"&amp;C67&amp;"_"&amp;D67</f>
        <v>C_ADSS 24C_MLG_45496_2</v>
      </c>
      <c r="B67" s="382" t="s">
        <v>3073</v>
      </c>
      <c r="C67" s="383">
        <v>45496</v>
      </c>
      <c r="D67" s="384">
        <v>2</v>
      </c>
      <c r="E67" s="385">
        <v>3000</v>
      </c>
      <c r="F67" s="386">
        <v>45503</v>
      </c>
      <c r="G67" s="387">
        <v>950</v>
      </c>
      <c r="H67" s="382" t="s">
        <v>5208</v>
      </c>
      <c r="I67" s="389">
        <f t="shared" si="10"/>
        <v>2050</v>
      </c>
      <c r="J67" s="386">
        <v>45503</v>
      </c>
      <c r="K67" s="382">
        <v>700</v>
      </c>
      <c r="L67" s="382" t="s">
        <v>5208</v>
      </c>
      <c r="M67" s="390">
        <f t="shared" ref="M67:M81" si="12">I67-K67</f>
        <v>1350</v>
      </c>
      <c r="N67" s="386"/>
      <c r="O67" s="382"/>
      <c r="P67" s="382"/>
      <c r="Q67" s="389">
        <f t="shared" ref="Q67:Q81" si="13">M67-O67</f>
        <v>1350</v>
      </c>
      <c r="R67" s="391"/>
      <c r="S67" s="391"/>
      <c r="T67" s="391"/>
      <c r="U67" s="391">
        <f t="shared" ref="U67:U81" si="14">Q67-S67</f>
        <v>1350</v>
      </c>
      <c r="V67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45503_ADSS 24C_1350</v>
      </c>
      <c r="W67" s="382" t="str">
        <f>Table4[[#This Row],[date out4]]&amp;"_"&amp;Table4[[#This Row],[Core]]&amp;"_"&amp;Table4[[#This Row],[leftover4]]</f>
        <v>_ADSS 24C_1350</v>
      </c>
      <c r="X67" s="392" t="str">
        <f>IF(Table4[[#This Row],[Date Inbound]]&gt;Table4[[#This Row],[date1]],"INV","")</f>
        <v/>
      </c>
    </row>
    <row r="68" spans="1:24" ht="14">
      <c r="A68" s="381" t="str">
        <f t="shared" si="11"/>
        <v>C_ADSS 48C_MLG_45496_1</v>
      </c>
      <c r="B68" s="382" t="s">
        <v>3075</v>
      </c>
      <c r="C68" s="383">
        <v>45496</v>
      </c>
      <c r="D68" s="384">
        <v>1</v>
      </c>
      <c r="E68" s="385">
        <v>3000</v>
      </c>
      <c r="F68" s="386">
        <v>45500</v>
      </c>
      <c r="G68" s="387">
        <v>1060</v>
      </c>
      <c r="H68" s="382" t="s">
        <v>5208</v>
      </c>
      <c r="I68" s="389">
        <f t="shared" si="10"/>
        <v>1940</v>
      </c>
      <c r="J68" s="386">
        <v>45533</v>
      </c>
      <c r="K68" s="382">
        <v>1940</v>
      </c>
      <c r="L68" s="382" t="s">
        <v>5213</v>
      </c>
      <c r="M68" s="390">
        <f t="shared" si="12"/>
        <v>0</v>
      </c>
      <c r="N68" s="382"/>
      <c r="O68" s="382"/>
      <c r="P68" s="382"/>
      <c r="Q68" s="389">
        <f t="shared" si="13"/>
        <v>0</v>
      </c>
      <c r="R68" s="391"/>
      <c r="S68" s="391"/>
      <c r="T68" s="391"/>
      <c r="U68" s="391">
        <f t="shared" si="14"/>
        <v>0</v>
      </c>
      <c r="V68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45500_ADSS 48C_1940</v>
      </c>
      <c r="W68" s="382" t="str">
        <f>Table4[[#This Row],[date out4]]&amp;"_"&amp;Table4[[#This Row],[Core]]&amp;"_"&amp;Table4[[#This Row],[leftover4]]</f>
        <v>_ADSS 48C_0</v>
      </c>
      <c r="X68" s="392" t="str">
        <f>IF(Table4[[#This Row],[Date Inbound]]&gt;Table4[[#This Row],[date1]],"INV","")</f>
        <v/>
      </c>
    </row>
    <row r="69" spans="1:24" ht="14">
      <c r="A69" s="381" t="str">
        <f t="shared" si="11"/>
        <v>C_ADSS 24C_MLG_45526_1</v>
      </c>
      <c r="B69" s="382" t="s">
        <v>3073</v>
      </c>
      <c r="C69" s="383">
        <v>45526</v>
      </c>
      <c r="D69" s="384">
        <v>1</v>
      </c>
      <c r="E69" s="385">
        <v>3000</v>
      </c>
      <c r="F69" s="386">
        <v>45527</v>
      </c>
      <c r="G69" s="387">
        <v>3000</v>
      </c>
      <c r="H69" s="382" t="s">
        <v>5212</v>
      </c>
      <c r="I69" s="389">
        <f t="shared" si="10"/>
        <v>0</v>
      </c>
      <c r="J69" s="382"/>
      <c r="K69" s="382"/>
      <c r="L69" s="382"/>
      <c r="M69" s="390">
        <f t="shared" si="12"/>
        <v>0</v>
      </c>
      <c r="N69" s="382"/>
      <c r="O69" s="382"/>
      <c r="P69" s="382"/>
      <c r="Q69" s="389">
        <f t="shared" si="13"/>
        <v>0</v>
      </c>
      <c r="R69" s="391"/>
      <c r="S69" s="391"/>
      <c r="T69" s="391"/>
      <c r="U69" s="391">
        <f t="shared" si="14"/>
        <v>0</v>
      </c>
      <c r="V69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45527_ADSS 24C_0</v>
      </c>
      <c r="W69" s="382" t="str">
        <f>Table4[[#This Row],[date out4]]&amp;"_"&amp;Table4[[#This Row],[Core]]&amp;"_"&amp;Table4[[#This Row],[leftover4]]</f>
        <v>_ADSS 24C_0</v>
      </c>
      <c r="X69" s="392" t="str">
        <f>IF(Table4[[#This Row],[Date Inbound]]&gt;Table4[[#This Row],[date1]],"INV","")</f>
        <v/>
      </c>
    </row>
    <row r="70" spans="1:24" s="408" customFormat="1" ht="14">
      <c r="A70" s="381" t="str">
        <f t="shared" si="11"/>
        <v>C_ADSS 24C_MLG_45526_2</v>
      </c>
      <c r="B70" s="382" t="s">
        <v>3073</v>
      </c>
      <c r="C70" s="383">
        <v>45526</v>
      </c>
      <c r="D70" s="384">
        <v>2</v>
      </c>
      <c r="E70" s="385">
        <v>3000</v>
      </c>
      <c r="F70" s="386">
        <v>45532</v>
      </c>
      <c r="G70" s="382">
        <v>1350</v>
      </c>
      <c r="H70" s="382" t="s">
        <v>5213</v>
      </c>
      <c r="I70" s="389">
        <f t="shared" si="10"/>
        <v>1650</v>
      </c>
      <c r="J70" s="382"/>
      <c r="K70" s="382"/>
      <c r="L70" s="382"/>
      <c r="M70" s="390">
        <f t="shared" si="12"/>
        <v>1650</v>
      </c>
      <c r="N70" s="382"/>
      <c r="O70" s="382"/>
      <c r="P70" s="382"/>
      <c r="Q70" s="389">
        <f t="shared" si="13"/>
        <v>1650</v>
      </c>
      <c r="R70" s="391"/>
      <c r="S70" s="391"/>
      <c r="T70" s="391"/>
      <c r="U70" s="391">
        <f t="shared" si="14"/>
        <v>1650</v>
      </c>
      <c r="V70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45532_ADSS 24C_1650</v>
      </c>
      <c r="W70" s="382" t="str">
        <f>Table4[[#This Row],[date out4]]&amp;"_"&amp;Table4[[#This Row],[Core]]&amp;"_"&amp;Table4[[#This Row],[leftover4]]</f>
        <v>_ADSS 24C_1650</v>
      </c>
      <c r="X70" s="392" t="str">
        <f>IF(Table4[[#This Row],[Date Inbound]]&gt;Table4[[#This Row],[date1]],"INV","")</f>
        <v/>
      </c>
    </row>
    <row r="71" spans="1:24" s="408" customFormat="1" ht="14">
      <c r="A71" s="381" t="str">
        <f t="shared" si="11"/>
        <v>C_ADSS 24C_MLG_45526_3</v>
      </c>
      <c r="B71" s="382" t="s">
        <v>3073</v>
      </c>
      <c r="C71" s="383">
        <v>45526</v>
      </c>
      <c r="D71" s="384">
        <v>3</v>
      </c>
      <c r="E71" s="385">
        <v>3000</v>
      </c>
      <c r="F71" s="386">
        <v>45538</v>
      </c>
      <c r="G71" s="387">
        <v>975</v>
      </c>
      <c r="H71" s="382" t="s">
        <v>5214</v>
      </c>
      <c r="I71" s="389">
        <f t="shared" si="10"/>
        <v>2025</v>
      </c>
      <c r="J71" s="386">
        <v>45553</v>
      </c>
      <c r="K71" s="382">
        <v>975</v>
      </c>
      <c r="L71" s="382" t="s">
        <v>5215</v>
      </c>
      <c r="M71" s="390">
        <f t="shared" si="12"/>
        <v>1050</v>
      </c>
      <c r="N71" s="382"/>
      <c r="O71" s="382"/>
      <c r="P71" s="382"/>
      <c r="Q71" s="389">
        <f t="shared" si="13"/>
        <v>1050</v>
      </c>
      <c r="R71" s="391"/>
      <c r="S71" s="391"/>
      <c r="T71" s="391"/>
      <c r="U71" s="391">
        <f t="shared" si="14"/>
        <v>1050</v>
      </c>
      <c r="V71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45553_ADSS 24C_1050</v>
      </c>
      <c r="W71" s="382" t="str">
        <f>Table4[[#This Row],[date out4]]&amp;"_"&amp;Table4[[#This Row],[Core]]&amp;"_"&amp;Table4[[#This Row],[leftover4]]</f>
        <v>_ADSS 24C_1050</v>
      </c>
      <c r="X71" s="392" t="str">
        <f>IF(Table4[[#This Row],[Date Inbound]]&gt;Table4[[#This Row],[date1]],"INV","")</f>
        <v/>
      </c>
    </row>
    <row r="72" spans="1:24" ht="14">
      <c r="A72" s="381" t="str">
        <f t="shared" si="11"/>
        <v>C_ADSS 48C_MLG_45526_1</v>
      </c>
      <c r="B72" s="382" t="s">
        <v>3075</v>
      </c>
      <c r="C72" s="383">
        <v>45526</v>
      </c>
      <c r="D72" s="384">
        <v>1</v>
      </c>
      <c r="E72" s="385">
        <v>3000</v>
      </c>
      <c r="F72" s="386">
        <v>45527</v>
      </c>
      <c r="G72" s="387">
        <v>2125</v>
      </c>
      <c r="H72" s="382" t="s">
        <v>5210</v>
      </c>
      <c r="I72" s="389">
        <f t="shared" si="10"/>
        <v>875</v>
      </c>
      <c r="J72" s="382"/>
      <c r="K72" s="382"/>
      <c r="L72" s="382"/>
      <c r="M72" s="390">
        <f t="shared" si="12"/>
        <v>875</v>
      </c>
      <c r="N72" s="382"/>
      <c r="O72" s="382"/>
      <c r="P72" s="382"/>
      <c r="Q72" s="389">
        <f t="shared" si="13"/>
        <v>875</v>
      </c>
      <c r="R72" s="391"/>
      <c r="S72" s="391"/>
      <c r="T72" s="391"/>
      <c r="U72" s="391">
        <f t="shared" si="14"/>
        <v>875</v>
      </c>
      <c r="V72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45527_ADSS 48C_875</v>
      </c>
      <c r="W72" s="382" t="str">
        <f>Table4[[#This Row],[date out4]]&amp;"_"&amp;Table4[[#This Row],[Core]]&amp;"_"&amp;Table4[[#This Row],[leftover4]]</f>
        <v>_ADSS 48C_875</v>
      </c>
      <c r="X72" s="392" t="str">
        <f>IF(Table4[[#This Row],[Date Inbound]]&gt;Table4[[#This Row],[date1]],"INV","")</f>
        <v/>
      </c>
    </row>
    <row r="73" spans="1:24" ht="14">
      <c r="A73" s="381" t="str">
        <f t="shared" si="11"/>
        <v>C_ADSS 48C_MLG_45526_2</v>
      </c>
      <c r="B73" s="382" t="s">
        <v>3075</v>
      </c>
      <c r="C73" s="383">
        <v>45526</v>
      </c>
      <c r="D73" s="384">
        <v>2</v>
      </c>
      <c r="E73" s="385">
        <v>3000</v>
      </c>
      <c r="F73" s="386">
        <v>45533</v>
      </c>
      <c r="G73" s="387">
        <v>1400</v>
      </c>
      <c r="H73" s="382" t="s">
        <v>5213</v>
      </c>
      <c r="I73" s="389">
        <f t="shared" si="10"/>
        <v>1600</v>
      </c>
      <c r="J73" s="382"/>
      <c r="K73" s="382"/>
      <c r="L73" s="382"/>
      <c r="M73" s="390">
        <f t="shared" si="12"/>
        <v>1600</v>
      </c>
      <c r="N73" s="382"/>
      <c r="O73" s="382"/>
      <c r="P73" s="382"/>
      <c r="Q73" s="389">
        <f t="shared" si="13"/>
        <v>1600</v>
      </c>
      <c r="R73" s="391"/>
      <c r="S73" s="391"/>
      <c r="T73" s="391"/>
      <c r="U73" s="391">
        <f t="shared" si="14"/>
        <v>1600</v>
      </c>
      <c r="V73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45533_ADSS 48C_1600</v>
      </c>
      <c r="W73" s="382" t="str">
        <f>Table4[[#This Row],[date out4]]&amp;"_"&amp;Table4[[#This Row],[Core]]&amp;"_"&amp;Table4[[#This Row],[leftover4]]</f>
        <v>_ADSS 48C_1600</v>
      </c>
      <c r="X73" s="392" t="str">
        <f>IF(Table4[[#This Row],[Date Inbound]]&gt;Table4[[#This Row],[date1]],"INV","")</f>
        <v/>
      </c>
    </row>
    <row r="74" spans="1:24" ht="14">
      <c r="A74" s="381" t="str">
        <f t="shared" si="11"/>
        <v>C_ADSS 24C_MLG_45532_2</v>
      </c>
      <c r="B74" s="382" t="s">
        <v>3073</v>
      </c>
      <c r="C74" s="383">
        <v>45532</v>
      </c>
      <c r="D74" s="384">
        <v>2</v>
      </c>
      <c r="E74" s="385">
        <v>3000</v>
      </c>
      <c r="F74" s="386">
        <v>45535</v>
      </c>
      <c r="G74" s="387">
        <v>1500</v>
      </c>
      <c r="H74" s="382" t="s">
        <v>5216</v>
      </c>
      <c r="I74" s="389">
        <f t="shared" si="10"/>
        <v>1500</v>
      </c>
      <c r="J74" s="386">
        <v>45535</v>
      </c>
      <c r="K74" s="382">
        <v>900</v>
      </c>
      <c r="L74" s="382" t="s">
        <v>5217</v>
      </c>
      <c r="M74" s="390">
        <f t="shared" si="12"/>
        <v>600</v>
      </c>
      <c r="N74" s="382"/>
      <c r="O74" s="382"/>
      <c r="P74" s="382"/>
      <c r="Q74" s="389">
        <f t="shared" si="13"/>
        <v>600</v>
      </c>
      <c r="R74" s="391"/>
      <c r="S74" s="391"/>
      <c r="T74" s="391"/>
      <c r="U74" s="391">
        <f t="shared" si="14"/>
        <v>600</v>
      </c>
      <c r="V74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45535_ADSS 24C_600</v>
      </c>
      <c r="W74" s="382" t="str">
        <f>Table4[[#This Row],[date out4]]&amp;"_"&amp;Table4[[#This Row],[Core]]&amp;"_"&amp;Table4[[#This Row],[leftover4]]</f>
        <v>_ADSS 24C_600</v>
      </c>
      <c r="X74" s="392" t="str">
        <f>IF(Table4[[#This Row],[Date Inbound]]&gt;Table4[[#This Row],[date1]],"INV","")</f>
        <v/>
      </c>
    </row>
    <row r="75" spans="1:24" s="408" customFormat="1" ht="14">
      <c r="A75" s="381" t="str">
        <f t="shared" si="11"/>
        <v>C_ADSS 24C_MLG_45532_1</v>
      </c>
      <c r="B75" s="382" t="s">
        <v>3073</v>
      </c>
      <c r="C75" s="383">
        <v>45532</v>
      </c>
      <c r="D75" s="384">
        <v>1</v>
      </c>
      <c r="E75" s="385">
        <v>3000</v>
      </c>
      <c r="F75" s="386">
        <v>45540</v>
      </c>
      <c r="G75" s="387">
        <v>1025</v>
      </c>
      <c r="H75" s="382" t="s">
        <v>5218</v>
      </c>
      <c r="I75" s="389">
        <f t="shared" si="10"/>
        <v>1975</v>
      </c>
      <c r="J75" s="386">
        <v>45553</v>
      </c>
      <c r="K75" s="382">
        <v>1975</v>
      </c>
      <c r="L75" s="382" t="s">
        <v>5215</v>
      </c>
      <c r="M75" s="390">
        <f t="shared" si="12"/>
        <v>0</v>
      </c>
      <c r="N75" s="382"/>
      <c r="O75" s="382"/>
      <c r="P75" s="382"/>
      <c r="Q75" s="389">
        <f t="shared" si="13"/>
        <v>0</v>
      </c>
      <c r="R75" s="391"/>
      <c r="S75" s="391"/>
      <c r="T75" s="391"/>
      <c r="U75" s="391">
        <f t="shared" si="14"/>
        <v>0</v>
      </c>
      <c r="V75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45540_ADSS 24C_1975</v>
      </c>
      <c r="W75" s="382" t="str">
        <f>Table4[[#This Row],[date out4]]&amp;"_"&amp;Table4[[#This Row],[Core]]&amp;"_"&amp;Table4[[#This Row],[leftover4]]</f>
        <v>_ADSS 24C_0</v>
      </c>
      <c r="X75" s="392" t="str">
        <f>IF(Table4[[#This Row],[Date Inbound]]&gt;Table4[[#This Row],[date1]],"INV","")</f>
        <v/>
      </c>
    </row>
    <row r="76" spans="1:24" ht="14">
      <c r="A76" s="381" t="str">
        <f t="shared" si="11"/>
        <v>C_ADSS 48C_MLG_45532_1</v>
      </c>
      <c r="B76" s="382" t="s">
        <v>3075</v>
      </c>
      <c r="C76" s="383">
        <v>45532</v>
      </c>
      <c r="D76" s="384">
        <v>1</v>
      </c>
      <c r="E76" s="385">
        <v>3000</v>
      </c>
      <c r="F76" s="386">
        <v>45534</v>
      </c>
      <c r="G76" s="387">
        <v>2525</v>
      </c>
      <c r="H76" s="382" t="s">
        <v>5240</v>
      </c>
      <c r="I76" s="389">
        <f t="shared" si="10"/>
        <v>475</v>
      </c>
      <c r="J76" s="409">
        <v>45538</v>
      </c>
      <c r="K76" s="382">
        <v>475</v>
      </c>
      <c r="L76" s="382" t="s">
        <v>5241</v>
      </c>
      <c r="M76" s="390">
        <f t="shared" si="12"/>
        <v>0</v>
      </c>
      <c r="N76" s="382"/>
      <c r="O76" s="382"/>
      <c r="P76" s="382"/>
      <c r="Q76" s="389">
        <f t="shared" si="13"/>
        <v>0</v>
      </c>
      <c r="R76" s="391"/>
      <c r="S76" s="391"/>
      <c r="T76" s="391"/>
      <c r="U76" s="391">
        <f t="shared" si="14"/>
        <v>0</v>
      </c>
      <c r="V76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45534_ADSS 48C_475</v>
      </c>
      <c r="W76" s="382" t="str">
        <f>Table4[[#This Row],[date out4]]&amp;"_"&amp;Table4[[#This Row],[Core]]&amp;"_"&amp;Table4[[#This Row],[leftover4]]</f>
        <v>_ADSS 48C_0</v>
      </c>
      <c r="X76" s="392" t="str">
        <f>IF(Table4[[#This Row],[Date Inbound]]&gt;Table4[[#This Row],[date1]],"INV","")</f>
        <v/>
      </c>
    </row>
    <row r="77" spans="1:24" ht="14">
      <c r="A77" s="381" t="str">
        <f t="shared" si="11"/>
        <v>C_ADSS 48C_MLG_45532_2</v>
      </c>
      <c r="B77" s="382" t="s">
        <v>3075</v>
      </c>
      <c r="C77" s="383">
        <v>45532</v>
      </c>
      <c r="D77" s="384">
        <v>2</v>
      </c>
      <c r="E77" s="385">
        <v>3000</v>
      </c>
      <c r="F77" s="386">
        <v>45536</v>
      </c>
      <c r="G77" s="387">
        <v>1850</v>
      </c>
      <c r="H77" s="382" t="s">
        <v>5242</v>
      </c>
      <c r="I77" s="389">
        <f t="shared" si="10"/>
        <v>1150</v>
      </c>
      <c r="J77" s="382"/>
      <c r="K77" s="382"/>
      <c r="L77" s="382"/>
      <c r="M77" s="390">
        <f t="shared" si="12"/>
        <v>1150</v>
      </c>
      <c r="N77" s="382"/>
      <c r="O77" s="382"/>
      <c r="P77" s="382"/>
      <c r="Q77" s="389">
        <f t="shared" si="13"/>
        <v>1150</v>
      </c>
      <c r="R77" s="391"/>
      <c r="S77" s="391"/>
      <c r="T77" s="391"/>
      <c r="U77" s="391">
        <f t="shared" si="14"/>
        <v>1150</v>
      </c>
      <c r="V77" s="382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45536_ADSS 48C_1150</v>
      </c>
      <c r="W77" s="382" t="str">
        <f>Table4[[#This Row],[date out4]]&amp;"_"&amp;Table4[[#This Row],[Core]]&amp;"_"&amp;Table4[[#This Row],[leftover4]]</f>
        <v>_ADSS 48C_1150</v>
      </c>
      <c r="X77" s="392" t="str">
        <f>IF(Table4[[#This Row],[Date Inbound]]&gt;Table4[[#This Row],[date1]],"INV","")</f>
        <v/>
      </c>
    </row>
    <row r="78" spans="1:24" ht="14">
      <c r="A78" s="443" t="str">
        <f t="shared" si="11"/>
        <v>C_ADSS 48C_MLG_45532_3</v>
      </c>
      <c r="B78" s="444" t="s">
        <v>3075</v>
      </c>
      <c r="C78" s="445">
        <v>45532</v>
      </c>
      <c r="D78" s="446">
        <v>3</v>
      </c>
      <c r="E78" s="447">
        <v>3000</v>
      </c>
      <c r="F78" s="422">
        <v>45542</v>
      </c>
      <c r="G78" s="448">
        <v>1750</v>
      </c>
      <c r="H78" s="444" t="s">
        <v>5243</v>
      </c>
      <c r="I78" s="449">
        <f t="shared" si="10"/>
        <v>1250</v>
      </c>
      <c r="J78" s="444"/>
      <c r="K78" s="444"/>
      <c r="L78" s="444"/>
      <c r="M78" s="450">
        <f t="shared" si="12"/>
        <v>1250</v>
      </c>
      <c r="N78" s="444"/>
      <c r="O78" s="444"/>
      <c r="P78" s="444"/>
      <c r="Q78" s="449">
        <f t="shared" si="13"/>
        <v>1250</v>
      </c>
      <c r="R78" s="451"/>
      <c r="S78" s="451"/>
      <c r="T78" s="451"/>
      <c r="U78" s="451">
        <f t="shared" si="14"/>
        <v>1250</v>
      </c>
      <c r="V78" s="444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45542_ADSS 48C_1250</v>
      </c>
      <c r="W78" s="444" t="str">
        <f>Table4[[#This Row],[date out4]]&amp;"_"&amp;Table4[[#This Row],[Core]]&amp;"_"&amp;Table4[[#This Row],[leftover4]]</f>
        <v>_ADSS 48C_1250</v>
      </c>
      <c r="X78" s="392" t="str">
        <f>IF(Table4[[#This Row],[Date Inbound]]&gt;Table4[[#This Row],[date1]],"INV","")</f>
        <v/>
      </c>
    </row>
    <row r="79" spans="1:24" ht="14">
      <c r="A79" s="381" t="str">
        <f t="shared" si="11"/>
        <v>C_ADSS 24C_MLG_45555_1</v>
      </c>
      <c r="B79" s="382" t="s">
        <v>3073</v>
      </c>
      <c r="C79" s="383">
        <v>45555</v>
      </c>
      <c r="D79" s="452">
        <v>1</v>
      </c>
      <c r="E79" s="447">
        <v>3000</v>
      </c>
      <c r="F79" s="453"/>
      <c r="G79" s="454"/>
      <c r="H79" s="455"/>
      <c r="I79" s="456">
        <f t="shared" si="10"/>
        <v>3000</v>
      </c>
      <c r="J79" s="381"/>
      <c r="K79" s="382"/>
      <c r="L79" s="455"/>
      <c r="M79" s="390">
        <f t="shared" si="12"/>
        <v>3000</v>
      </c>
      <c r="N79" s="381"/>
      <c r="O79" s="382"/>
      <c r="P79" s="455"/>
      <c r="Q79" s="389">
        <f t="shared" si="13"/>
        <v>3000</v>
      </c>
      <c r="R79" s="457"/>
      <c r="S79" s="391"/>
      <c r="T79" s="391"/>
      <c r="U79" s="391">
        <f t="shared" si="14"/>
        <v>3000</v>
      </c>
      <c r="V79" s="381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_ADSS 24C_3000</v>
      </c>
      <c r="W79" s="382" t="str">
        <f>Table4[[#This Row],[date out4]]&amp;"_"&amp;Table4[[#This Row],[Core]]&amp;"_"&amp;Table4[[#This Row],[leftover4]]</f>
        <v>_ADSS 24C_3000</v>
      </c>
      <c r="X79" s="392" t="str">
        <f>IF(Table4[[#This Row],[Date Inbound]]&gt;Table4[[#This Row],[date1]],"INV","")</f>
        <v>INV</v>
      </c>
    </row>
    <row r="80" spans="1:24" ht="14">
      <c r="A80" s="381" t="str">
        <f t="shared" si="11"/>
        <v>C_ADSS 48C_MLG_45555_1</v>
      </c>
      <c r="B80" s="382" t="s">
        <v>3075</v>
      </c>
      <c r="C80" s="383">
        <v>45555</v>
      </c>
      <c r="D80" s="452">
        <v>1</v>
      </c>
      <c r="E80" s="447">
        <v>3000</v>
      </c>
      <c r="F80" s="453"/>
      <c r="G80" s="454"/>
      <c r="H80" s="455"/>
      <c r="I80" s="456">
        <f t="shared" si="10"/>
        <v>3000</v>
      </c>
      <c r="J80" s="381"/>
      <c r="K80" s="382"/>
      <c r="L80" s="455"/>
      <c r="M80" s="390">
        <f t="shared" si="12"/>
        <v>3000</v>
      </c>
      <c r="N80" s="381"/>
      <c r="O80" s="382"/>
      <c r="P80" s="455"/>
      <c r="Q80" s="389">
        <f t="shared" si="13"/>
        <v>3000</v>
      </c>
      <c r="R80" s="457"/>
      <c r="S80" s="391"/>
      <c r="T80" s="391"/>
      <c r="U80" s="391">
        <f t="shared" si="14"/>
        <v>3000</v>
      </c>
      <c r="V80" s="381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_ADSS 48C_3000</v>
      </c>
      <c r="W80" s="382" t="str">
        <f>Table4[[#This Row],[date out4]]&amp;"_"&amp;Table4[[#This Row],[Core]]&amp;"_"&amp;Table4[[#This Row],[leftover4]]</f>
        <v>_ADSS 48C_3000</v>
      </c>
      <c r="X80" s="392" t="str">
        <f>IF(Table4[[#This Row],[Date Inbound]]&gt;Table4[[#This Row],[date1]],"INV","")</f>
        <v>INV</v>
      </c>
    </row>
    <row r="81" spans="1:24" ht="14">
      <c r="A81" s="443" t="str">
        <f t="shared" si="11"/>
        <v>C_ADSS 48C_MLG_45555_2</v>
      </c>
      <c r="B81" s="382" t="s">
        <v>3075</v>
      </c>
      <c r="C81" s="445">
        <v>45555</v>
      </c>
      <c r="D81" s="458">
        <v>2</v>
      </c>
      <c r="E81" s="447">
        <v>3000</v>
      </c>
      <c r="F81" s="459"/>
      <c r="G81" s="460"/>
      <c r="H81" s="461"/>
      <c r="I81" s="462">
        <f t="shared" si="10"/>
        <v>3000</v>
      </c>
      <c r="J81" s="443"/>
      <c r="K81" s="444"/>
      <c r="L81" s="461"/>
      <c r="M81" s="450">
        <f t="shared" si="12"/>
        <v>3000</v>
      </c>
      <c r="N81" s="443"/>
      <c r="O81" s="444"/>
      <c r="P81" s="461"/>
      <c r="Q81" s="449">
        <f t="shared" si="13"/>
        <v>3000</v>
      </c>
      <c r="R81" s="463"/>
      <c r="S81" s="451"/>
      <c r="T81" s="451"/>
      <c r="U81" s="451">
        <f t="shared" si="14"/>
        <v>3000</v>
      </c>
      <c r="V81" s="443" t="str">
        <f>IF(OR(Table4[[#This Row],[date out 2]]="",Table4[[#This Row],[leftover2]]=0),Table4[[#This Row],[date1]]&amp;"_"&amp;Table4[[#This Row],[Core]]&amp;"_"&amp;Table4[[#This Row],[leftover]],Table4[[#This Row],[date out 2]]&amp;"_"&amp;Table4[[#This Row],[Core]]&amp;"_"&amp;Table4[[#This Row],[leftover2]])</f>
        <v>_ADSS 48C_3000</v>
      </c>
      <c r="W81" s="444" t="str">
        <f>Table4[[#This Row],[date out4]]&amp;"_"&amp;Table4[[#This Row],[Core]]&amp;"_"&amp;Table4[[#This Row],[leftover4]]</f>
        <v>_ADSS 48C_3000</v>
      </c>
      <c r="X81" s="392" t="str">
        <f>IF(Table4[[#This Row],[Date Inbound]]&gt;Table4[[#This Row],[date1]],"INV","")</f>
        <v>INV</v>
      </c>
    </row>
  </sheetData>
  <conditionalFormatting sqref="B1:B5 B7:B1048576">
    <cfRule type="containsText" dxfId="46" priority="3" operator="containsText" text="48">
      <formula>NOT(ISERROR(SEARCH("48",B1)))</formula>
    </cfRule>
    <cfRule type="containsText" dxfId="45" priority="4" operator="containsText" text="24">
      <formula>NOT(ISERROR(SEARCH("24",B1)))</formula>
    </cfRule>
    <cfRule type="iconSet" priority="7">
      <iconSet iconSet="3Arrows">
        <cfvo type="percent" val="0"/>
        <cfvo type="percent" val="33"/>
        <cfvo type="percent" val="67"/>
      </iconSet>
    </cfRule>
  </conditionalFormatting>
  <conditionalFormatting sqref="I56:U56 K55:U55 I24:U30 O23:U23 K23:M23 I22:I23 K22:U22 I45:M45 O45:U45 I44:U44 I71:U74 I69:I70 K69:U69 O70:U70 K42:U43 I58:U68 I57 M57:U57 I54:U54 K53:M53 O53:U53 I1:U2 I4:U5 I3:M3 O3:Q3 S3:U3 I18:U19 I17 K17:U17 I21:U21 I20 K20:U20 I32:U35 I31 K31:U31 I37:U41 I36 K36:U36 I46:U51 I55 I42:I43 I52:I53 K52:U52 I12:U14 I16:K16 M16:U16 M8:U8 I7:U7 I6:K6 M6:U6 I8:K11 M10:U11 M9 O9 Q9:U9 I15:M15 O15:U15 I76:U1048576 I75 K75:U75 K70:M70">
    <cfRule type="cellIs" dxfId="44" priority="6" operator="equal">
      <formula>0</formula>
    </cfRule>
  </conditionalFormatting>
  <conditionalFormatting sqref="F24:G24">
    <cfRule type="cellIs" dxfId="43" priority="5" operator="equal">
      <formula>0</formula>
    </cfRule>
  </conditionalFormatting>
  <conditionalFormatting sqref="K57:L57">
    <cfRule type="cellIs" dxfId="42" priority="2" operator="equal">
      <formula>0</formula>
    </cfRule>
  </conditionalFormatting>
  <conditionalFormatting sqref="F71:H71">
    <cfRule type="cellIs" dxfId="41" priority="1" operator="equal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2632D-AF9D-41D0-AA49-0C0008696A16}">
  <dimension ref="A3:H11"/>
  <sheetViews>
    <sheetView zoomScale="85" zoomScaleNormal="85" workbookViewId="0">
      <selection activeCell="D6" sqref="D6"/>
    </sheetView>
  </sheetViews>
  <sheetFormatPr defaultRowHeight="14"/>
  <cols>
    <col min="1" max="1" width="29.9140625" bestFit="1" customWidth="1"/>
    <col min="2" max="2" width="17.08203125" bestFit="1" customWidth="1"/>
    <col min="3" max="3" width="11.58203125" bestFit="1" customWidth="1"/>
    <col min="4" max="4" width="15.58203125" bestFit="1" customWidth="1"/>
    <col min="5" max="5" width="18.6640625" bestFit="1" customWidth="1"/>
    <col min="6" max="6" width="11.6640625" bestFit="1" customWidth="1"/>
    <col min="7" max="7" width="11.58203125" bestFit="1" customWidth="1"/>
    <col min="8" max="8" width="11.6640625" bestFit="1" customWidth="1"/>
    <col min="9" max="9" width="11.4140625" bestFit="1" customWidth="1"/>
    <col min="10" max="10" width="11.33203125" bestFit="1" customWidth="1"/>
    <col min="11" max="11" width="14.58203125" bestFit="1" customWidth="1"/>
    <col min="12" max="12" width="11.58203125" bestFit="1" customWidth="1"/>
    <col min="13" max="13" width="13.6640625" bestFit="1" customWidth="1"/>
    <col min="14" max="14" width="9.33203125" bestFit="1" customWidth="1"/>
    <col min="15" max="15" width="11.33203125" bestFit="1" customWidth="1"/>
    <col min="16" max="16" width="13.08203125" bestFit="1" customWidth="1"/>
    <col min="17" max="17" width="15.08203125" bestFit="1" customWidth="1"/>
    <col min="18" max="18" width="14.58203125" bestFit="1" customWidth="1"/>
    <col min="19" max="19" width="11" bestFit="1" customWidth="1"/>
  </cols>
  <sheetData>
    <row r="3" spans="1:8">
      <c r="A3" s="124" t="s">
        <v>3633</v>
      </c>
      <c r="B3" s="124" t="s">
        <v>4522</v>
      </c>
    </row>
    <row r="4" spans="1:8">
      <c r="B4" t="s">
        <v>4432</v>
      </c>
      <c r="E4" t="s">
        <v>3023</v>
      </c>
    </row>
    <row r="5" spans="1:8">
      <c r="B5" t="s">
        <v>3073</v>
      </c>
      <c r="C5" t="s">
        <v>3075</v>
      </c>
      <c r="E5" t="s">
        <v>3073</v>
      </c>
      <c r="G5" t="s">
        <v>3075</v>
      </c>
    </row>
    <row r="6" spans="1:8">
      <c r="A6" s="124" t="s">
        <v>3621</v>
      </c>
      <c r="B6" t="s">
        <v>48</v>
      </c>
      <c r="C6" t="s">
        <v>48</v>
      </c>
      <c r="D6" t="s">
        <v>3388</v>
      </c>
      <c r="E6" t="s">
        <v>48</v>
      </c>
      <c r="F6" t="s">
        <v>49</v>
      </c>
      <c r="G6" t="s">
        <v>48</v>
      </c>
      <c r="H6" t="s">
        <v>49</v>
      </c>
    </row>
    <row r="7" spans="1:8">
      <c r="A7" s="558" t="s">
        <v>85</v>
      </c>
      <c r="B7" s="174">
        <v>1721</v>
      </c>
      <c r="C7" s="174">
        <v>895</v>
      </c>
      <c r="D7" s="174">
        <v>895</v>
      </c>
      <c r="E7" s="174">
        <v>3000</v>
      </c>
      <c r="F7" s="174">
        <v>3000</v>
      </c>
      <c r="G7" s="174">
        <v>3000</v>
      </c>
      <c r="H7" s="174">
        <v>3000</v>
      </c>
    </row>
    <row r="11" spans="1:8">
      <c r="C11">
        <f>3000-4300</f>
        <v>-1300</v>
      </c>
      <c r="E11">
        <f>3000-300</f>
        <v>2700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8C475-3836-4F7B-833C-64BF1BE9E78B}">
  <sheetPr codeName="Sheet19">
    <tabColor rgb="FFFFC000"/>
  </sheetPr>
  <dimension ref="A1:AC2711"/>
  <sheetViews>
    <sheetView zoomScale="85" zoomScaleNormal="85" workbookViewId="0">
      <pane xSplit="3" ySplit="4" topLeftCell="I64" activePane="bottomRight" state="frozen"/>
      <selection pane="topRight" activeCell="D1" sqref="D1"/>
      <selection pane="bottomLeft" activeCell="A5" sqref="A5"/>
      <selection pane="bottomRight" activeCell="Y70" sqref="Y70"/>
    </sheetView>
  </sheetViews>
  <sheetFormatPr defaultColWidth="8.9140625" defaultRowHeight="14" outlineLevelCol="1"/>
  <cols>
    <col min="1" max="1" width="4.1640625" style="3" customWidth="1"/>
    <col min="2" max="2" width="6" style="3" customWidth="1"/>
    <col min="3" max="3" width="13.9140625" style="3" customWidth="1"/>
    <col min="4" max="4" width="18.5" style="3" bestFit="1" customWidth="1"/>
    <col min="5" max="5" width="14.5" style="3" hidden="1" customWidth="1"/>
    <col min="6" max="6" width="15.1640625" style="3" hidden="1" customWidth="1"/>
    <col min="7" max="7" width="11" style="3" customWidth="1"/>
    <col min="8" max="8" width="11.58203125" style="3" customWidth="1"/>
    <col min="9" max="9" width="6.58203125" style="3" customWidth="1" outlineLevel="1"/>
    <col min="10" max="10" width="9.83203125" style="3" customWidth="1" outlineLevel="1"/>
    <col min="11" max="11" width="8.9140625" style="3" customWidth="1" outlineLevel="1"/>
    <col min="12" max="12" width="6.83203125" style="3" customWidth="1" outlineLevel="1"/>
    <col min="13" max="13" width="5.4140625" style="3" customWidth="1" outlineLevel="1"/>
    <col min="14" max="14" width="8.5" style="3" customWidth="1" outlineLevel="1"/>
    <col min="15" max="15" width="18.5" style="3" customWidth="1" outlineLevel="1"/>
    <col min="16" max="16" width="30" style="3" customWidth="1" outlineLevel="1"/>
    <col min="17" max="17" width="18.5" style="3" hidden="1" customWidth="1" outlineLevel="1"/>
    <col min="18" max="18" width="23" style="3" hidden="1" customWidth="1" outlineLevel="1"/>
    <col min="19" max="19" width="19" style="3" hidden="1" customWidth="1" outlineLevel="1"/>
    <col min="20" max="20" width="21.4140625" style="3" hidden="1" customWidth="1" outlineLevel="1"/>
    <col min="21" max="21" width="16.5" style="3" hidden="1" customWidth="1" outlineLevel="1"/>
    <col min="22" max="22" width="21.1640625" style="3" hidden="1" customWidth="1" outlineLevel="1"/>
    <col min="23" max="23" width="17.9140625" style="3" hidden="1" customWidth="1" outlineLevel="1"/>
    <col min="24" max="24" width="17.6640625" style="3" customWidth="1"/>
    <col min="25" max="25" width="21.6640625" style="3" customWidth="1"/>
    <col min="26" max="26" width="28.08203125" style="3" customWidth="1"/>
    <col min="27" max="27" width="8.9140625" style="196"/>
    <col min="28" max="16384" width="8.9140625" style="3"/>
  </cols>
  <sheetData>
    <row r="1" spans="1:29" ht="15.5">
      <c r="A1" s="1" t="s">
        <v>58</v>
      </c>
      <c r="P1" s="3">
        <v>3000</v>
      </c>
      <c r="X1" s="3">
        <v>3000</v>
      </c>
    </row>
    <row r="2" spans="1:29">
      <c r="P2" s="3">
        <v>2602</v>
      </c>
      <c r="X2" s="3">
        <v>1149</v>
      </c>
    </row>
    <row r="3" spans="1:29" ht="14.5">
      <c r="P3" s="3">
        <f>P1-P2</f>
        <v>398</v>
      </c>
      <c r="X3" s="3">
        <f>X1-X2</f>
        <v>1851</v>
      </c>
      <c r="Y3" s="344" t="e">
        <f>"H-"&amp;Logfile_S12[[#This Row],[Material Name]]&amp;"-"&amp;YEAR(Logfile_S12[[#This Row],[Date]])&amp;MONTH(Logfile_S12[[#This Row],[Date]])&amp;DAY(Logfile_S12[[#This Row],[Date]])&amp;"-01"</f>
        <v>#VALUE!</v>
      </c>
    </row>
    <row r="4" spans="1:29" s="2" customFormat="1" ht="38" customHeight="1">
      <c r="A4" s="216" t="s">
        <v>18</v>
      </c>
      <c r="B4" s="217" t="s">
        <v>3178</v>
      </c>
      <c r="C4" s="218" t="s">
        <v>57</v>
      </c>
      <c r="D4" s="217" t="s">
        <v>59</v>
      </c>
      <c r="E4" s="217" t="s">
        <v>23</v>
      </c>
      <c r="F4" s="217" t="s">
        <v>56</v>
      </c>
      <c r="G4" s="217" t="s">
        <v>54</v>
      </c>
      <c r="H4" s="217" t="s">
        <v>42</v>
      </c>
      <c r="I4" s="217" t="s">
        <v>3025</v>
      </c>
      <c r="J4" s="217" t="s">
        <v>30</v>
      </c>
      <c r="K4" s="217" t="s">
        <v>27</v>
      </c>
      <c r="L4" s="217" t="s">
        <v>28</v>
      </c>
      <c r="M4" s="217" t="s">
        <v>17</v>
      </c>
      <c r="N4" s="217" t="s">
        <v>35</v>
      </c>
      <c r="O4" s="217" t="s">
        <v>31</v>
      </c>
      <c r="P4" s="217" t="s">
        <v>32</v>
      </c>
      <c r="Q4" s="217" t="s">
        <v>33</v>
      </c>
      <c r="R4" s="217" t="s">
        <v>34</v>
      </c>
      <c r="S4" s="217" t="s">
        <v>22</v>
      </c>
      <c r="T4" s="217" t="s">
        <v>3018</v>
      </c>
      <c r="U4" s="217" t="s">
        <v>51</v>
      </c>
      <c r="V4" s="217" t="s">
        <v>52</v>
      </c>
      <c r="W4" s="217" t="s">
        <v>53</v>
      </c>
      <c r="X4" s="219" t="s">
        <v>36</v>
      </c>
      <c r="Y4" s="217" t="s">
        <v>4945</v>
      </c>
      <c r="Z4" s="217" t="s">
        <v>5108</v>
      </c>
      <c r="AA4" s="329" t="s">
        <v>5118</v>
      </c>
      <c r="AB4" s="217" t="s">
        <v>5119</v>
      </c>
      <c r="AC4" s="217" t="s">
        <v>5143</v>
      </c>
    </row>
    <row r="5" spans="1:29" ht="14.5" hidden="1">
      <c r="A5" s="220" t="str">
        <f t="shared" ref="A5:A68" si="0">TEXT(ROW(A5)-ROW($A$4),"000")</f>
        <v>001</v>
      </c>
      <c r="B5" s="221"/>
      <c r="C5" s="221" t="s">
        <v>48</v>
      </c>
      <c r="D5" s="221" t="s">
        <v>3922</v>
      </c>
      <c r="E5" s="221" t="s">
        <v>3295</v>
      </c>
      <c r="F5" s="221" t="s">
        <v>3299</v>
      </c>
      <c r="G5" s="222">
        <v>45337</v>
      </c>
      <c r="H5" s="223">
        <v>15.291666666666666</v>
      </c>
      <c r="I5" s="221" t="s">
        <v>37</v>
      </c>
      <c r="J5" s="221" t="s">
        <v>3023</v>
      </c>
      <c r="K5" s="224" t="s">
        <v>3080</v>
      </c>
      <c r="L5" s="225" t="str">
        <f>VLOOKUP(Logfile_S12[[#This Row],[Material Name]],Sheet2!B:C,2,0)</f>
        <v>ZTE2010</v>
      </c>
      <c r="M5" s="225" t="str">
        <f>_xlfn.XLOOKUP(Logfile_S12[[#This Row],[Material Name]],Sum_WH!E:E,Sum_WH!F:F,"",0)</f>
        <v>Pcs</v>
      </c>
      <c r="N5" s="221">
        <v>3</v>
      </c>
      <c r="O5" s="221" t="s">
        <v>911</v>
      </c>
      <c r="P5" s="221" t="s">
        <v>912</v>
      </c>
      <c r="Q5" s="221" t="s">
        <v>913</v>
      </c>
      <c r="R5" s="221" t="s">
        <v>914</v>
      </c>
      <c r="S5" s="221"/>
      <c r="T5" s="221"/>
      <c r="U5" s="221"/>
      <c r="V5" s="221"/>
      <c r="W5" s="221"/>
      <c r="X5" s="221"/>
      <c r="Y5" s="227"/>
      <c r="Z5" s="226" t="str">
        <f t="shared" ref="Z5:Z50" si="1">P5</f>
        <v>Bandulan RW 08 Sukun</v>
      </c>
      <c r="AA5" s="330">
        <f>VLOOKUP(Logfile_S12[[#This Row],[DO number]],DO_DB!G:I,3,0)</f>
        <v>45337</v>
      </c>
      <c r="AB5" s="331" t="b">
        <f>EXACT(Logfile_S12[[#This Row],[date pick]],Logfile_S12[[#This Row],[Date]])</f>
        <v>1</v>
      </c>
      <c r="AC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" spans="1:29" ht="14.5" hidden="1">
      <c r="A6" s="220" t="str">
        <f t="shared" si="0"/>
        <v>002</v>
      </c>
      <c r="B6" s="221"/>
      <c r="C6" s="221" t="s">
        <v>48</v>
      </c>
      <c r="D6" s="221" t="s">
        <v>3924</v>
      </c>
      <c r="E6" s="221" t="s">
        <v>3295</v>
      </c>
      <c r="F6" s="221" t="s">
        <v>3299</v>
      </c>
      <c r="G6" s="222">
        <v>45337</v>
      </c>
      <c r="H6" s="223">
        <v>15.291666666666666</v>
      </c>
      <c r="I6" s="221" t="s">
        <v>37</v>
      </c>
      <c r="J6" s="221" t="s">
        <v>3023</v>
      </c>
      <c r="K6" s="224" t="s">
        <v>3080</v>
      </c>
      <c r="L6" s="225" t="str">
        <f>VLOOKUP(Logfile_S12[[#This Row],[Material Name]],Sheet2!B:C,2,0)</f>
        <v>ZTE2010</v>
      </c>
      <c r="M6" s="225" t="str">
        <f>_xlfn.XLOOKUP(Logfile_S12[[#This Row],[Material Name]],Sum_WH!E:E,Sum_WH!F:F,"",0)</f>
        <v>Pcs</v>
      </c>
      <c r="N6" s="221">
        <v>6</v>
      </c>
      <c r="O6" s="221" t="s">
        <v>921</v>
      </c>
      <c r="P6" s="221" t="s">
        <v>922</v>
      </c>
      <c r="Q6" s="221" t="s">
        <v>929</v>
      </c>
      <c r="R6" s="221" t="s">
        <v>930</v>
      </c>
      <c r="S6" s="221"/>
      <c r="T6" s="221"/>
      <c r="U6" s="221"/>
      <c r="V6" s="221"/>
      <c r="W6" s="221"/>
      <c r="X6" s="221"/>
      <c r="Y6" s="227"/>
      <c r="Z6" s="227" t="str">
        <f t="shared" si="1"/>
        <v>Bumiayu RW 03 Kedungkandang</v>
      </c>
      <c r="AA6" s="276">
        <f>VLOOKUP(Logfile_S12[[#This Row],[DO number]],DO_DB!G:I,3,0)</f>
        <v>45337</v>
      </c>
      <c r="AB6" s="331" t="b">
        <f>EXACT(Logfile_S12[[#This Row],[date pick]],Logfile_S12[[#This Row],[Date]])</f>
        <v>1</v>
      </c>
      <c r="AC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" spans="1:29" ht="14.5" hidden="1">
      <c r="A7" s="220" t="str">
        <f t="shared" si="0"/>
        <v>003</v>
      </c>
      <c r="B7" s="221"/>
      <c r="C7" s="221" t="s">
        <v>48</v>
      </c>
      <c r="D7" s="221" t="s">
        <v>3960</v>
      </c>
      <c r="E7" s="221" t="s">
        <v>3295</v>
      </c>
      <c r="F7" s="221" t="s">
        <v>3299</v>
      </c>
      <c r="G7" s="222">
        <v>45351</v>
      </c>
      <c r="H7" s="223">
        <v>15.291666666666666</v>
      </c>
      <c r="I7" s="221" t="s">
        <v>37</v>
      </c>
      <c r="J7" s="221" t="s">
        <v>3023</v>
      </c>
      <c r="K7" s="224" t="s">
        <v>3080</v>
      </c>
      <c r="L7" s="225" t="str">
        <f>VLOOKUP(Logfile_S12[[#This Row],[Material Name]],Sheet2!B:C,2,0)</f>
        <v>ZTE2010</v>
      </c>
      <c r="M7" s="225" t="str">
        <f>_xlfn.XLOOKUP(Logfile_S12[[#This Row],[Material Name]],Sum_WH!E:E,Sum_WH!F:F,"",0)</f>
        <v>Pcs</v>
      </c>
      <c r="N7" s="221">
        <v>3</v>
      </c>
      <c r="O7" s="221" t="s">
        <v>1013</v>
      </c>
      <c r="P7" s="221" t="s">
        <v>1014</v>
      </c>
      <c r="Q7" s="221" t="s">
        <v>1015</v>
      </c>
      <c r="R7" s="221" t="s">
        <v>1016</v>
      </c>
      <c r="S7" s="221"/>
      <c r="T7" s="221"/>
      <c r="U7" s="221"/>
      <c r="V7" s="221"/>
      <c r="W7" s="221"/>
      <c r="X7" s="221"/>
      <c r="Y7" s="227"/>
      <c r="Z7" s="227" t="str">
        <f t="shared" si="1"/>
        <v>Bumiayu RW 05 Kedungkandang</v>
      </c>
      <c r="AA7" s="276">
        <f>VLOOKUP(Logfile_S12[[#This Row],[DO number]],DO_DB!G:I,3,0)</f>
        <v>45351</v>
      </c>
      <c r="AB7" s="331" t="b">
        <f>EXACT(Logfile_S12[[#This Row],[date pick]],Logfile_S12[[#This Row],[Date]])</f>
        <v>1</v>
      </c>
      <c r="AC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" spans="1:29" ht="14.5" hidden="1">
      <c r="A8" s="220" t="str">
        <f t="shared" si="0"/>
        <v>004</v>
      </c>
      <c r="B8" s="221"/>
      <c r="C8" s="221" t="s">
        <v>49</v>
      </c>
      <c r="D8" s="221" t="s">
        <v>3959</v>
      </c>
      <c r="E8" s="221" t="s">
        <v>3295</v>
      </c>
      <c r="F8" s="221" t="s">
        <v>3299</v>
      </c>
      <c r="G8" s="222">
        <v>45351</v>
      </c>
      <c r="H8" s="223">
        <v>0.55555555555555558</v>
      </c>
      <c r="I8" s="221" t="s">
        <v>4916</v>
      </c>
      <c r="J8" s="221" t="s">
        <v>3023</v>
      </c>
      <c r="K8" s="224" t="s">
        <v>3080</v>
      </c>
      <c r="L8" s="225" t="str">
        <f>VLOOKUP(Logfile_S12[[#This Row],[Material Name]],Sheet2!B:C,2,0)</f>
        <v>ZTE2010</v>
      </c>
      <c r="M8" s="225" t="str">
        <f>_xlfn.XLOOKUP(Logfile_S12[[#This Row],[Material Name]],Sum_WH!E:E,Sum_WH!F:F,"",0)</f>
        <v>Pcs</v>
      </c>
      <c r="N8" s="221">
        <v>3</v>
      </c>
      <c r="O8" s="221" t="s">
        <v>1013</v>
      </c>
      <c r="P8" s="221" t="s">
        <v>1014</v>
      </c>
      <c r="Q8" s="221"/>
      <c r="R8" s="221"/>
      <c r="S8" s="221"/>
      <c r="T8" s="221" t="s">
        <v>3231</v>
      </c>
      <c r="U8" s="221" t="s">
        <v>3228</v>
      </c>
      <c r="V8" s="221" t="s">
        <v>3232</v>
      </c>
      <c r="W8" s="221" t="s">
        <v>3246</v>
      </c>
      <c r="X8" s="221"/>
      <c r="Y8" s="227"/>
      <c r="Z8" s="227" t="str">
        <f t="shared" si="1"/>
        <v>Bumiayu RW 05 Kedungkandang</v>
      </c>
      <c r="AA8" s="276" t="e">
        <f>VLOOKUP(Logfile_S12[[#This Row],[DO number]],DO_DB!G:I,3,0)</f>
        <v>#N/A</v>
      </c>
      <c r="AB8" s="331" t="e">
        <f>EXACT(Logfile_S12[[#This Row],[date pick]],Logfile_S12[[#This Row],[Date]])</f>
        <v>#N/A</v>
      </c>
      <c r="AC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" spans="1:29" ht="14.5" hidden="1">
      <c r="A9" s="220" t="str">
        <f t="shared" si="0"/>
        <v>005</v>
      </c>
      <c r="B9" s="221"/>
      <c r="C9" s="221" t="s">
        <v>48</v>
      </c>
      <c r="D9" s="221" t="s">
        <v>3965</v>
      </c>
      <c r="E9" s="221" t="s">
        <v>3295</v>
      </c>
      <c r="F9" s="221" t="s">
        <v>3299</v>
      </c>
      <c r="G9" s="222">
        <v>45352</v>
      </c>
      <c r="H9" s="223">
        <v>15.291666666666666</v>
      </c>
      <c r="I9" s="221" t="s">
        <v>37</v>
      </c>
      <c r="J9" s="221" t="s">
        <v>3023</v>
      </c>
      <c r="K9" s="224" t="s">
        <v>3080</v>
      </c>
      <c r="L9" s="225" t="str">
        <f>VLOOKUP(Logfile_S12[[#This Row],[Material Name]],Sheet2!B:C,2,0)</f>
        <v>ZTE2010</v>
      </c>
      <c r="M9" s="225" t="str">
        <f>_xlfn.XLOOKUP(Logfile_S12[[#This Row],[Material Name]],Sum_WH!E:E,Sum_WH!F:F,"",0)</f>
        <v>Pcs</v>
      </c>
      <c r="N9" s="221">
        <v>14</v>
      </c>
      <c r="O9" s="221"/>
      <c r="P9" s="221"/>
      <c r="Q9" s="221">
        <v>0</v>
      </c>
      <c r="R9" s="221">
        <v>0</v>
      </c>
      <c r="S9" s="221"/>
      <c r="T9" s="221"/>
      <c r="U9" s="221"/>
      <c r="V9" s="221"/>
      <c r="W9" s="221"/>
      <c r="X9" s="221"/>
      <c r="Y9" s="227"/>
      <c r="Z9" s="227">
        <f t="shared" si="1"/>
        <v>0</v>
      </c>
      <c r="AA9" s="276" t="e">
        <f>VLOOKUP(Logfile_S12[[#This Row],[DO number]],DO_DB!G:I,3,0)</f>
        <v>#N/A</v>
      </c>
      <c r="AB9" s="331" t="e">
        <f>EXACT(Logfile_S12[[#This Row],[date pick]],Logfile_S12[[#This Row],[Date]])</f>
        <v>#N/A</v>
      </c>
      <c r="AC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" spans="1:29" ht="14.5" hidden="1">
      <c r="A10" s="220" t="str">
        <f t="shared" si="0"/>
        <v>006</v>
      </c>
      <c r="B10" s="221"/>
      <c r="C10" s="221" t="s">
        <v>3388</v>
      </c>
      <c r="D10" s="221" t="s">
        <v>4878</v>
      </c>
      <c r="E10" s="221" t="s">
        <v>3295</v>
      </c>
      <c r="F10" s="221" t="s">
        <v>3299</v>
      </c>
      <c r="G10" s="222">
        <v>45359</v>
      </c>
      <c r="H10" s="223">
        <v>0.43611111111111112</v>
      </c>
      <c r="I10" s="221" t="s">
        <v>4916</v>
      </c>
      <c r="J10" s="221" t="s">
        <v>3023</v>
      </c>
      <c r="K10" s="224" t="s">
        <v>3080</v>
      </c>
      <c r="L10" s="225" t="str">
        <f>VLOOKUP(Logfile_S12[[#This Row],[Material Name]],Sheet2!B:C,2,0)</f>
        <v>ZTE2010</v>
      </c>
      <c r="M10" s="225" t="str">
        <f>_xlfn.XLOOKUP(Logfile_S12[[#This Row],[Material Name]],Sum_WH!E:E,Sum_WH!F:F,"",0)</f>
        <v>Pcs</v>
      </c>
      <c r="N10" s="221">
        <v>14</v>
      </c>
      <c r="O10" s="221" t="s">
        <v>3314</v>
      </c>
      <c r="P10" s="221" t="s">
        <v>3223</v>
      </c>
      <c r="Q10" s="221"/>
      <c r="R10" s="221"/>
      <c r="S10" s="221"/>
      <c r="T10" s="221" t="s">
        <v>3231</v>
      </c>
      <c r="U10" s="221" t="s">
        <v>3228</v>
      </c>
      <c r="V10" s="221" t="s">
        <v>3232</v>
      </c>
      <c r="W10" s="221" t="s">
        <v>3246</v>
      </c>
      <c r="X10" s="221"/>
      <c r="Y10" s="227"/>
      <c r="Z10" s="227" t="str">
        <f t="shared" si="1"/>
        <v>Transfer Gudang</v>
      </c>
      <c r="AA10" s="276" t="e">
        <f>VLOOKUP(Logfile_S12[[#This Row],[DO number]],DO_DB!G:I,3,0)</f>
        <v>#N/A</v>
      </c>
      <c r="AB10" s="331" t="e">
        <f>EXACT(Logfile_S12[[#This Row],[date pick]],Logfile_S12[[#This Row],[Date]])</f>
        <v>#N/A</v>
      </c>
      <c r="AC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1" spans="1:29" ht="14.5" hidden="1">
      <c r="A11" s="220" t="str">
        <f t="shared" si="0"/>
        <v>007</v>
      </c>
      <c r="B11" s="221"/>
      <c r="C11" s="221" t="s">
        <v>3313</v>
      </c>
      <c r="D11" s="221" t="s">
        <v>3981</v>
      </c>
      <c r="E11" s="221" t="s">
        <v>3295</v>
      </c>
      <c r="F11" s="221" t="s">
        <v>3299</v>
      </c>
      <c r="G11" s="222">
        <v>45370</v>
      </c>
      <c r="H11" s="223">
        <v>15.291666666666666</v>
      </c>
      <c r="I11" s="221" t="s">
        <v>37</v>
      </c>
      <c r="J11" s="221" t="s">
        <v>3023</v>
      </c>
      <c r="K11" s="224" t="s">
        <v>3080</v>
      </c>
      <c r="L11" s="225" t="str">
        <f>VLOOKUP(Logfile_S12[[#This Row],[Material Name]],Sheet2!B:C,2,0)</f>
        <v>ZTE2010</v>
      </c>
      <c r="M11" s="225" t="str">
        <f>_xlfn.XLOOKUP(Logfile_S12[[#This Row],[Material Name]],Sum_WH!E:E,Sum_WH!F:F,"",0)</f>
        <v>Pcs</v>
      </c>
      <c r="N11" s="221">
        <v>3</v>
      </c>
      <c r="O11" s="221" t="s">
        <v>3314</v>
      </c>
      <c r="P11" s="221">
        <v>0</v>
      </c>
      <c r="Q11" s="221">
        <v>0</v>
      </c>
      <c r="R11" s="221">
        <v>0</v>
      </c>
      <c r="S11" s="221"/>
      <c r="T11" s="221"/>
      <c r="U11" s="221"/>
      <c r="V11" s="221"/>
      <c r="W11" s="221"/>
      <c r="X11" s="221" t="s">
        <v>3147</v>
      </c>
      <c r="Y11" s="227"/>
      <c r="Z11" s="227">
        <f t="shared" si="1"/>
        <v>0</v>
      </c>
      <c r="AA11" s="276" t="e">
        <f>VLOOKUP(Logfile_S12[[#This Row],[DO number]],DO_DB!G:I,3,0)</f>
        <v>#N/A</v>
      </c>
      <c r="AB11" s="331" t="e">
        <f>EXACT(Logfile_S12[[#This Row],[date pick]],Logfile_S12[[#This Row],[Date]])</f>
        <v>#N/A</v>
      </c>
      <c r="AC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" spans="1:29" ht="14.5" hidden="1">
      <c r="A12" s="220" t="str">
        <f t="shared" si="0"/>
        <v>008</v>
      </c>
      <c r="B12" s="221"/>
      <c r="C12" s="221" t="s">
        <v>3313</v>
      </c>
      <c r="D12" s="221" t="s">
        <v>3981</v>
      </c>
      <c r="E12" s="221" t="s">
        <v>3295</v>
      </c>
      <c r="F12" s="221" t="s">
        <v>3299</v>
      </c>
      <c r="G12" s="222">
        <v>45370</v>
      </c>
      <c r="H12" s="223">
        <v>15.291666666666666</v>
      </c>
      <c r="I12" s="221" t="s">
        <v>37</v>
      </c>
      <c r="J12" s="221" t="s">
        <v>3023</v>
      </c>
      <c r="K12" s="224" t="s">
        <v>3080</v>
      </c>
      <c r="L12" s="225" t="str">
        <f>VLOOKUP(Logfile_S12[[#This Row],[Material Name]],Sheet2!B:C,2,0)</f>
        <v>ZTE2010</v>
      </c>
      <c r="M12" s="225" t="str">
        <f>_xlfn.XLOOKUP(Logfile_S12[[#This Row],[Material Name]],Sum_WH!E:E,Sum_WH!F:F,"",0)</f>
        <v>Pcs</v>
      </c>
      <c r="N12" s="221">
        <v>6</v>
      </c>
      <c r="O12" s="221" t="s">
        <v>3314</v>
      </c>
      <c r="P12" s="221">
        <v>0</v>
      </c>
      <c r="Q12" s="221">
        <v>0</v>
      </c>
      <c r="R12" s="221">
        <v>0</v>
      </c>
      <c r="S12" s="221"/>
      <c r="T12" s="221"/>
      <c r="U12" s="221"/>
      <c r="V12" s="221"/>
      <c r="W12" s="221"/>
      <c r="X12" s="221" t="s">
        <v>3147</v>
      </c>
      <c r="Y12" s="227"/>
      <c r="Z12" s="227">
        <f t="shared" si="1"/>
        <v>0</v>
      </c>
      <c r="AA12" s="276" t="e">
        <f>VLOOKUP(Logfile_S12[[#This Row],[DO number]],DO_DB!G:I,3,0)</f>
        <v>#N/A</v>
      </c>
      <c r="AB12" s="331" t="e">
        <f>EXACT(Logfile_S12[[#This Row],[date pick]],Logfile_S12[[#This Row],[Date]])</f>
        <v>#N/A</v>
      </c>
      <c r="AC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" spans="1:29" ht="14.5" hidden="1">
      <c r="A13" s="220" t="str">
        <f t="shared" si="0"/>
        <v>009</v>
      </c>
      <c r="B13" s="221"/>
      <c r="C13" s="221" t="s">
        <v>49</v>
      </c>
      <c r="D13" s="221" t="s">
        <v>3989</v>
      </c>
      <c r="E13" s="221" t="s">
        <v>3295</v>
      </c>
      <c r="F13" s="221" t="s">
        <v>3299</v>
      </c>
      <c r="G13" s="222">
        <v>45376</v>
      </c>
      <c r="H13" s="223">
        <v>0.43611111111111112</v>
      </c>
      <c r="I13" s="221" t="s">
        <v>4916</v>
      </c>
      <c r="J13" s="221" t="s">
        <v>3023</v>
      </c>
      <c r="K13" s="224" t="s">
        <v>3080</v>
      </c>
      <c r="L13" s="225" t="str">
        <f>VLOOKUP(Logfile_S12[[#This Row],[Material Name]],Sheet2!B:C,2,0)</f>
        <v>ZTE2010</v>
      </c>
      <c r="M13" s="225" t="str">
        <f>_xlfn.XLOOKUP(Logfile_S12[[#This Row],[Material Name]],Sum_WH!E:E,Sum_WH!F:F,"",0)</f>
        <v>Pcs</v>
      </c>
      <c r="N13" s="221">
        <v>2</v>
      </c>
      <c r="O13" s="221" t="s">
        <v>1103</v>
      </c>
      <c r="P13" s="221" t="s">
        <v>1104</v>
      </c>
      <c r="Q13" s="221"/>
      <c r="R13" s="221"/>
      <c r="S13" s="221"/>
      <c r="T13" s="221" t="s">
        <v>3231</v>
      </c>
      <c r="U13" s="221">
        <v>0</v>
      </c>
      <c r="V13" s="221" t="s">
        <v>3232</v>
      </c>
      <c r="W13" s="221" t="s">
        <v>3246</v>
      </c>
      <c r="X13" s="221"/>
      <c r="Y13" s="227"/>
      <c r="Z13" s="227" t="str">
        <f t="shared" si="1"/>
        <v>Dalisodo RW 04 Wagir</v>
      </c>
      <c r="AA13" s="276" t="e">
        <f>VLOOKUP(Logfile_S12[[#This Row],[DO number]],DO_DB!G:I,3,0)</f>
        <v>#N/A</v>
      </c>
      <c r="AB13" s="331" t="e">
        <f>EXACT(Logfile_S12[[#This Row],[date pick]],Logfile_S12[[#This Row],[Date]])</f>
        <v>#N/A</v>
      </c>
      <c r="AC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" spans="1:29" ht="14.5" hidden="1">
      <c r="A14" s="220" t="str">
        <f t="shared" si="0"/>
        <v>010</v>
      </c>
      <c r="B14" s="221"/>
      <c r="C14" s="221" t="s">
        <v>49</v>
      </c>
      <c r="D14" s="221" t="s">
        <v>3989</v>
      </c>
      <c r="E14" s="221" t="s">
        <v>3295</v>
      </c>
      <c r="F14" s="221" t="s">
        <v>3299</v>
      </c>
      <c r="G14" s="222">
        <v>45376</v>
      </c>
      <c r="H14" s="223">
        <v>0.43611111111111112</v>
      </c>
      <c r="I14" s="221" t="s">
        <v>4916</v>
      </c>
      <c r="J14" s="221" t="s">
        <v>3023</v>
      </c>
      <c r="K14" s="224" t="s">
        <v>3080</v>
      </c>
      <c r="L14" s="225" t="str">
        <f>VLOOKUP(Logfile_S12[[#This Row],[Material Name]],Sheet2!B:C,2,0)</f>
        <v>ZTE2010</v>
      </c>
      <c r="M14" s="225" t="str">
        <f>_xlfn.XLOOKUP(Logfile_S12[[#This Row],[Material Name]],Sum_WH!E:E,Sum_WH!F:F,"",0)</f>
        <v>Pcs</v>
      </c>
      <c r="N14" s="221">
        <v>3</v>
      </c>
      <c r="O14" s="221" t="s">
        <v>1161</v>
      </c>
      <c r="P14" s="221" t="s">
        <v>1162</v>
      </c>
      <c r="Q14" s="221"/>
      <c r="R14" s="221"/>
      <c r="S14" s="221"/>
      <c r="T14" s="221" t="s">
        <v>3231</v>
      </c>
      <c r="U14" s="221">
        <v>0</v>
      </c>
      <c r="V14" s="221" t="s">
        <v>3232</v>
      </c>
      <c r="W14" s="221" t="s">
        <v>3246</v>
      </c>
      <c r="X14" s="221"/>
      <c r="Y14" s="227"/>
      <c r="Z14" s="227" t="str">
        <f t="shared" si="1"/>
        <v>Tunjungtirto RW 01 Singosari</v>
      </c>
      <c r="AA14" s="276" t="e">
        <f>VLOOKUP(Logfile_S12[[#This Row],[DO number]],DO_DB!G:I,3,0)</f>
        <v>#N/A</v>
      </c>
      <c r="AB14" s="331" t="e">
        <f>EXACT(Logfile_S12[[#This Row],[date pick]],Logfile_S12[[#This Row],[Date]])</f>
        <v>#N/A</v>
      </c>
      <c r="AC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" spans="1:29" ht="14.5" hidden="1">
      <c r="A15" s="220" t="str">
        <f t="shared" si="0"/>
        <v>011</v>
      </c>
      <c r="B15" s="221"/>
      <c r="C15" s="221" t="s">
        <v>49</v>
      </c>
      <c r="D15" s="221" t="s">
        <v>4006</v>
      </c>
      <c r="E15" s="221" t="s">
        <v>3295</v>
      </c>
      <c r="F15" s="221" t="s">
        <v>3299</v>
      </c>
      <c r="G15" s="222">
        <v>45387</v>
      </c>
      <c r="H15" s="223">
        <v>0.43611111111111112</v>
      </c>
      <c r="I15" s="221" t="s">
        <v>4916</v>
      </c>
      <c r="J15" s="221" t="s">
        <v>3023</v>
      </c>
      <c r="K15" s="224" t="s">
        <v>3080</v>
      </c>
      <c r="L15" s="225" t="str">
        <f>VLOOKUP(Logfile_S12[[#This Row],[Material Name]],Sheet2!B:C,2,0)</f>
        <v>ZTE2010</v>
      </c>
      <c r="M15" s="225" t="str">
        <f>_xlfn.XLOOKUP(Logfile_S12[[#This Row],[Material Name]],Sum_WH!E:E,Sum_WH!F:F,"",0)</f>
        <v>Pcs</v>
      </c>
      <c r="N15" s="221">
        <v>5</v>
      </c>
      <c r="O15" s="221" t="s">
        <v>1099</v>
      </c>
      <c r="P15" s="221" t="s">
        <v>1100</v>
      </c>
      <c r="Q15" s="221"/>
      <c r="R15" s="221"/>
      <c r="S15" s="221"/>
      <c r="T15" s="221" t="s">
        <v>3231</v>
      </c>
      <c r="U15" s="221">
        <v>0</v>
      </c>
      <c r="V15" s="221" t="s">
        <v>3232</v>
      </c>
      <c r="W15" s="221" t="s">
        <v>3246</v>
      </c>
      <c r="X15" s="221"/>
      <c r="Y15" s="227"/>
      <c r="Z15" s="227" t="str">
        <f t="shared" si="1"/>
        <v>Dalisodo RW 03 Wagir</v>
      </c>
      <c r="AA15" s="276" t="e">
        <f>VLOOKUP(Logfile_S12[[#This Row],[DO number]],DO_DB!G:I,3,0)</f>
        <v>#N/A</v>
      </c>
      <c r="AB15" s="331" t="e">
        <f>EXACT(Logfile_S12[[#This Row],[date pick]],Logfile_S12[[#This Row],[Date]])</f>
        <v>#N/A</v>
      </c>
      <c r="AC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" spans="1:29" ht="14.5" hidden="1">
      <c r="A16" s="220" t="str">
        <f t="shared" si="0"/>
        <v>012</v>
      </c>
      <c r="B16" s="221"/>
      <c r="C16" s="221" t="s">
        <v>49</v>
      </c>
      <c r="D16" s="221" t="s">
        <v>4013</v>
      </c>
      <c r="E16" s="221" t="s">
        <v>3295</v>
      </c>
      <c r="F16" s="221" t="s">
        <v>3299</v>
      </c>
      <c r="G16" s="222">
        <v>45401</v>
      </c>
      <c r="H16" s="223">
        <v>0.72291666666666676</v>
      </c>
      <c r="I16" s="221" t="s">
        <v>4916</v>
      </c>
      <c r="J16" s="221" t="s">
        <v>3023</v>
      </c>
      <c r="K16" s="224" t="s">
        <v>3080</v>
      </c>
      <c r="L16" s="225" t="str">
        <f>VLOOKUP(Logfile_S12[[#This Row],[Material Name]],Sheet2!B:C,2,0)</f>
        <v>ZTE2010</v>
      </c>
      <c r="M16" s="225" t="str">
        <f>_xlfn.XLOOKUP(Logfile_S12[[#This Row],[Material Name]],Sum_WH!E:E,Sum_WH!F:F,"",0)</f>
        <v>Pcs</v>
      </c>
      <c r="N16" s="221">
        <v>1</v>
      </c>
      <c r="O16" s="221" t="s">
        <v>1155</v>
      </c>
      <c r="P16" s="221" t="s">
        <v>1156</v>
      </c>
      <c r="Q16" s="221"/>
      <c r="R16" s="221"/>
      <c r="S16" s="221"/>
      <c r="T16" s="221" t="s">
        <v>3231</v>
      </c>
      <c r="U16" s="221">
        <v>0</v>
      </c>
      <c r="V16" s="221" t="s">
        <v>3232</v>
      </c>
      <c r="W16" s="221" t="s">
        <v>3246</v>
      </c>
      <c r="X16" s="221"/>
      <c r="Y16" s="227"/>
      <c r="Z16" s="227" t="str">
        <f t="shared" si="1"/>
        <v>Tanjungtirto RW 05 Singosari</v>
      </c>
      <c r="AA16" s="276" t="e">
        <f>VLOOKUP(Logfile_S12[[#This Row],[DO number]],DO_DB!G:I,3,0)</f>
        <v>#N/A</v>
      </c>
      <c r="AB16" s="331" t="e">
        <f>EXACT(Logfile_S12[[#This Row],[date pick]],Logfile_S12[[#This Row],[Date]])</f>
        <v>#N/A</v>
      </c>
      <c r="AC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" spans="1:29" ht="14.5" hidden="1">
      <c r="A17" s="220" t="str">
        <f t="shared" si="0"/>
        <v>013</v>
      </c>
      <c r="B17" s="221"/>
      <c r="C17" s="221" t="s">
        <v>3388</v>
      </c>
      <c r="D17" s="221" t="s">
        <v>4879</v>
      </c>
      <c r="E17" s="221" t="s">
        <v>3295</v>
      </c>
      <c r="F17" s="221" t="s">
        <v>3299</v>
      </c>
      <c r="G17" s="222">
        <v>45401</v>
      </c>
      <c r="H17" s="223">
        <v>0.72291666666666676</v>
      </c>
      <c r="I17" s="221" t="s">
        <v>4916</v>
      </c>
      <c r="J17" s="221" t="s">
        <v>3023</v>
      </c>
      <c r="K17" s="224" t="s">
        <v>3080</v>
      </c>
      <c r="L17" s="225" t="str">
        <f>VLOOKUP(Logfile_S12[[#This Row],[Material Name]],Sheet2!B:C,2,0)</f>
        <v>ZTE2010</v>
      </c>
      <c r="M17" s="225" t="str">
        <f>_xlfn.XLOOKUP(Logfile_S12[[#This Row],[Material Name]],Sum_WH!E:E,Sum_WH!F:F,"",0)</f>
        <v>Pcs</v>
      </c>
      <c r="N17" s="221">
        <v>1</v>
      </c>
      <c r="O17" s="221" t="s">
        <v>3314</v>
      </c>
      <c r="P17" s="221" t="s">
        <v>3223</v>
      </c>
      <c r="Q17" s="221"/>
      <c r="R17" s="221"/>
      <c r="S17" s="221"/>
      <c r="T17" s="221" t="s">
        <v>3231</v>
      </c>
      <c r="U17" s="221">
        <v>0</v>
      </c>
      <c r="V17" s="221" t="s">
        <v>3232</v>
      </c>
      <c r="W17" s="221" t="s">
        <v>3246</v>
      </c>
      <c r="X17" s="221" t="s">
        <v>3207</v>
      </c>
      <c r="Y17" s="227"/>
      <c r="Z17" s="227" t="str">
        <f t="shared" si="1"/>
        <v>Transfer Gudang</v>
      </c>
      <c r="AA17" s="276" t="e">
        <f>VLOOKUP(Logfile_S12[[#This Row],[DO number]],DO_DB!G:I,3,0)</f>
        <v>#N/A</v>
      </c>
      <c r="AB17" s="331" t="e">
        <f>EXACT(Logfile_S12[[#This Row],[date pick]],Logfile_S12[[#This Row],[Date]])</f>
        <v>#N/A</v>
      </c>
      <c r="AC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8" spans="1:29" ht="14.5" hidden="1">
      <c r="A18" s="220" t="str">
        <f t="shared" si="0"/>
        <v>014</v>
      </c>
      <c r="B18" s="221"/>
      <c r="C18" s="221" t="s">
        <v>3313</v>
      </c>
      <c r="D18" s="221" t="s">
        <v>4019</v>
      </c>
      <c r="E18" s="221" t="s">
        <v>3295</v>
      </c>
      <c r="F18" s="221" t="s">
        <v>3299</v>
      </c>
      <c r="G18" s="222">
        <v>45404</v>
      </c>
      <c r="H18" s="223">
        <v>15.291666666666666</v>
      </c>
      <c r="I18" s="221" t="s">
        <v>37</v>
      </c>
      <c r="J18" s="221" t="s">
        <v>3023</v>
      </c>
      <c r="K18" s="224" t="s">
        <v>3080</v>
      </c>
      <c r="L18" s="225" t="str">
        <f>VLOOKUP(Logfile_S12[[#This Row],[Material Name]],Sheet2!B:C,2,0)</f>
        <v>ZTE2010</v>
      </c>
      <c r="M18" s="225" t="str">
        <f>_xlfn.XLOOKUP(Logfile_S12[[#This Row],[Material Name]],Sum_WH!E:E,Sum_WH!F:F,"",0)</f>
        <v>Pcs</v>
      </c>
      <c r="N18" s="221">
        <v>9</v>
      </c>
      <c r="O18" s="221" t="s">
        <v>3314</v>
      </c>
      <c r="P18" s="221">
        <v>0</v>
      </c>
      <c r="Q18" s="221">
        <v>0</v>
      </c>
      <c r="R18" s="221">
        <v>0</v>
      </c>
      <c r="S18" s="221"/>
      <c r="T18" s="221"/>
      <c r="U18" s="221"/>
      <c r="V18" s="221"/>
      <c r="W18" s="221"/>
      <c r="X18" s="221" t="s">
        <v>3147</v>
      </c>
      <c r="Y18" s="227"/>
      <c r="Z18" s="227">
        <f t="shared" si="1"/>
        <v>0</v>
      </c>
      <c r="AA18" s="276" t="e">
        <f>VLOOKUP(Logfile_S12[[#This Row],[DO number]],DO_DB!G:I,3,0)</f>
        <v>#N/A</v>
      </c>
      <c r="AB18" s="331" t="e">
        <f>EXACT(Logfile_S12[[#This Row],[date pick]],Logfile_S12[[#This Row],[Date]])</f>
        <v>#N/A</v>
      </c>
      <c r="AC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" spans="1:29" ht="14.5" hidden="1">
      <c r="A19" s="220" t="str">
        <f t="shared" si="0"/>
        <v>015</v>
      </c>
      <c r="B19" s="221"/>
      <c r="C19" s="221" t="s">
        <v>49</v>
      </c>
      <c r="D19" s="221" t="s">
        <v>4025</v>
      </c>
      <c r="E19" s="221" t="s">
        <v>3295</v>
      </c>
      <c r="F19" s="221" t="s">
        <v>3299</v>
      </c>
      <c r="G19" s="222">
        <v>45406</v>
      </c>
      <c r="H19" s="223">
        <v>0.41666666666666669</v>
      </c>
      <c r="I19" s="221" t="s">
        <v>4916</v>
      </c>
      <c r="J19" s="221" t="s">
        <v>3023</v>
      </c>
      <c r="K19" s="224" t="s">
        <v>3080</v>
      </c>
      <c r="L19" s="225" t="str">
        <f>VLOOKUP(Logfile_S12[[#This Row],[Material Name]],Sheet2!B:C,2,0)</f>
        <v>ZTE2010</v>
      </c>
      <c r="M19" s="225" t="str">
        <f>_xlfn.XLOOKUP(Logfile_S12[[#This Row],[Material Name]],Sum_WH!E:E,Sum_WH!F:F,"",0)</f>
        <v>Pcs</v>
      </c>
      <c r="N19" s="221">
        <v>9</v>
      </c>
      <c r="O19" s="221" t="s">
        <v>1081</v>
      </c>
      <c r="P19" s="221" t="s">
        <v>3370</v>
      </c>
      <c r="Q19" s="221"/>
      <c r="R19" s="221"/>
      <c r="S19" s="221"/>
      <c r="T19" s="221" t="s">
        <v>3356</v>
      </c>
      <c r="U19" s="221" t="s">
        <v>3228</v>
      </c>
      <c r="V19" s="221" t="s">
        <v>3357</v>
      </c>
      <c r="W19" s="221" t="s">
        <v>3358</v>
      </c>
      <c r="X19" s="221"/>
      <c r="Y19" s="227"/>
      <c r="Z19" s="227" t="str">
        <f t="shared" si="1"/>
        <v>Pandan Landung RW 05 Wagir</v>
      </c>
      <c r="AA19" s="276" t="e">
        <f>VLOOKUP(Logfile_S12[[#This Row],[DO number]],DO_DB!G:I,3,0)</f>
        <v>#N/A</v>
      </c>
      <c r="AB19" s="331" t="e">
        <f>EXACT(Logfile_S12[[#This Row],[date pick]],Logfile_S12[[#This Row],[Date]])</f>
        <v>#N/A</v>
      </c>
      <c r="AC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" spans="1:29" ht="14.5" hidden="1">
      <c r="A20" s="220" t="str">
        <f t="shared" si="0"/>
        <v>016</v>
      </c>
      <c r="B20" s="221"/>
      <c r="C20" s="221" t="s">
        <v>3313</v>
      </c>
      <c r="D20" s="221" t="s">
        <v>4053</v>
      </c>
      <c r="E20" s="221" t="s">
        <v>3295</v>
      </c>
      <c r="F20" s="221" t="s">
        <v>3299</v>
      </c>
      <c r="G20" s="222">
        <v>45433</v>
      </c>
      <c r="H20" s="223">
        <v>15.291666666666666</v>
      </c>
      <c r="I20" s="221" t="s">
        <v>37</v>
      </c>
      <c r="J20" s="221" t="s">
        <v>3023</v>
      </c>
      <c r="K20" s="224" t="s">
        <v>3080</v>
      </c>
      <c r="L20" s="225" t="str">
        <f>VLOOKUP(Logfile_S12[[#This Row],[Material Name]],Sheet2!B:C,2,0)</f>
        <v>ZTE2010</v>
      </c>
      <c r="M20" s="225" t="str">
        <f>_xlfn.XLOOKUP(Logfile_S12[[#This Row],[Material Name]],Sum_WH!E:E,Sum_WH!F:F,"",0)</f>
        <v>Pcs</v>
      </c>
      <c r="N20" s="221">
        <v>9</v>
      </c>
      <c r="O20" s="221" t="s">
        <v>3314</v>
      </c>
      <c r="P20" s="221">
        <v>0</v>
      </c>
      <c r="Q20" s="221">
        <v>0</v>
      </c>
      <c r="R20" s="221">
        <v>0</v>
      </c>
      <c r="S20" s="221"/>
      <c r="T20" s="221"/>
      <c r="U20" s="221"/>
      <c r="V20" s="221"/>
      <c r="W20" s="221"/>
      <c r="X20" s="221" t="s">
        <v>3147</v>
      </c>
      <c r="Y20" s="227"/>
      <c r="Z20" s="227">
        <f t="shared" si="1"/>
        <v>0</v>
      </c>
      <c r="AA20" s="276" t="e">
        <f>VLOOKUP(Logfile_S12[[#This Row],[DO number]],DO_DB!G:I,3,0)</f>
        <v>#N/A</v>
      </c>
      <c r="AB20" s="331" t="e">
        <f>EXACT(Logfile_S12[[#This Row],[date pick]],Logfile_S12[[#This Row],[Date]])</f>
        <v>#N/A</v>
      </c>
      <c r="AC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" spans="1:29" ht="14.5" hidden="1">
      <c r="A21" s="220" t="str">
        <f t="shared" si="0"/>
        <v>017</v>
      </c>
      <c r="B21" s="221"/>
      <c r="C21" s="221" t="s">
        <v>49</v>
      </c>
      <c r="D21" s="221" t="s">
        <v>4058</v>
      </c>
      <c r="E21" s="221" t="s">
        <v>3295</v>
      </c>
      <c r="F21" s="221" t="s">
        <v>3299</v>
      </c>
      <c r="G21" s="222">
        <v>45435</v>
      </c>
      <c r="H21" s="223">
        <v>0.47361111111111115</v>
      </c>
      <c r="I21" s="221" t="s">
        <v>4916</v>
      </c>
      <c r="J21" s="221" t="s">
        <v>3023</v>
      </c>
      <c r="K21" s="224" t="s">
        <v>3080</v>
      </c>
      <c r="L21" s="225" t="str">
        <f>VLOOKUP(Logfile_S12[[#This Row],[Material Name]],Sheet2!B:C,2,0)</f>
        <v>ZTE2010</v>
      </c>
      <c r="M21" s="225" t="str">
        <f>_xlfn.XLOOKUP(Logfile_S12[[#This Row],[Material Name]],Sum_WH!E:E,Sum_WH!F:F,"",0)</f>
        <v>Pcs</v>
      </c>
      <c r="N21" s="221">
        <v>2</v>
      </c>
      <c r="O21" s="221" t="s">
        <v>1405</v>
      </c>
      <c r="P21" s="221" t="s">
        <v>1406</v>
      </c>
      <c r="Q21" s="221"/>
      <c r="R21" s="221"/>
      <c r="S21" s="221"/>
      <c r="T21" s="221" t="s">
        <v>3231</v>
      </c>
      <c r="U21" s="221">
        <v>0</v>
      </c>
      <c r="V21" s="221" t="s">
        <v>3232</v>
      </c>
      <c r="W21" s="221" t="s">
        <v>3246</v>
      </c>
      <c r="X21" s="221"/>
      <c r="Y21" s="227"/>
      <c r="Z21" s="227" t="str">
        <f t="shared" si="1"/>
        <v>Lawang RW 06 Malang</v>
      </c>
      <c r="AA21" s="276" t="e">
        <f>VLOOKUP(Logfile_S12[[#This Row],[DO number]],DO_DB!G:I,3,0)</f>
        <v>#N/A</v>
      </c>
      <c r="AB21" s="331" t="e">
        <f>EXACT(Logfile_S12[[#This Row],[date pick]],Logfile_S12[[#This Row],[Date]])</f>
        <v>#N/A</v>
      </c>
      <c r="AC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" spans="1:29" ht="14.5" hidden="1">
      <c r="A22" s="220" t="str">
        <f t="shared" si="0"/>
        <v>018</v>
      </c>
      <c r="B22" s="221"/>
      <c r="C22" s="221" t="s">
        <v>49</v>
      </c>
      <c r="D22" s="221" t="s">
        <v>4061</v>
      </c>
      <c r="E22" s="221" t="s">
        <v>3295</v>
      </c>
      <c r="F22" s="221" t="s">
        <v>3299</v>
      </c>
      <c r="G22" s="222">
        <v>45437</v>
      </c>
      <c r="H22" s="223">
        <v>0.47361111111111115</v>
      </c>
      <c r="I22" s="221" t="s">
        <v>4916</v>
      </c>
      <c r="J22" s="221" t="s">
        <v>3023</v>
      </c>
      <c r="K22" s="224" t="s">
        <v>3080</v>
      </c>
      <c r="L22" s="225" t="str">
        <f>VLOOKUP(Logfile_S12[[#This Row],[Material Name]],Sheet2!B:C,2,0)</f>
        <v>ZTE2010</v>
      </c>
      <c r="M22" s="225" t="str">
        <f>_xlfn.XLOOKUP(Logfile_S12[[#This Row],[Material Name]],Sum_WH!E:E,Sum_WH!F:F,"",0)</f>
        <v>Pcs</v>
      </c>
      <c r="N22" s="221">
        <v>2</v>
      </c>
      <c r="O22" s="221" t="s">
        <v>1469</v>
      </c>
      <c r="P22" s="221" t="s">
        <v>1470</v>
      </c>
      <c r="Q22" s="221"/>
      <c r="R22" s="221"/>
      <c r="S22" s="221"/>
      <c r="T22" s="221" t="s">
        <v>3231</v>
      </c>
      <c r="U22" s="221">
        <v>0</v>
      </c>
      <c r="V22" s="221" t="s">
        <v>3232</v>
      </c>
      <c r="W22" s="221" t="s">
        <v>3246</v>
      </c>
      <c r="X22" s="221"/>
      <c r="Y22" s="227"/>
      <c r="Z22" s="227" t="str">
        <f t="shared" si="1"/>
        <v>Dusun Klaseman Kucur</v>
      </c>
      <c r="AA22" s="276" t="e">
        <f>VLOOKUP(Logfile_S12[[#This Row],[DO number]],DO_DB!G:I,3,0)</f>
        <v>#N/A</v>
      </c>
      <c r="AB22" s="331" t="e">
        <f>EXACT(Logfile_S12[[#This Row],[date pick]],Logfile_S12[[#This Row],[Date]])</f>
        <v>#N/A</v>
      </c>
      <c r="AC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" spans="1:29" ht="14.5" hidden="1">
      <c r="A23" s="220" t="str">
        <f t="shared" si="0"/>
        <v>019</v>
      </c>
      <c r="B23" s="221"/>
      <c r="C23" s="221" t="s">
        <v>49</v>
      </c>
      <c r="D23" s="221" t="s">
        <v>4066</v>
      </c>
      <c r="E23" s="221" t="s">
        <v>3295</v>
      </c>
      <c r="F23" s="221" t="s">
        <v>3299</v>
      </c>
      <c r="G23" s="222">
        <v>45440</v>
      </c>
      <c r="H23" s="223">
        <v>0.53125</v>
      </c>
      <c r="I23" s="221" t="s">
        <v>4916</v>
      </c>
      <c r="J23" s="221" t="s">
        <v>3023</v>
      </c>
      <c r="K23" s="224" t="s">
        <v>3080</v>
      </c>
      <c r="L23" s="225" t="str">
        <f>VLOOKUP(Logfile_S12[[#This Row],[Material Name]],Sheet2!B:C,2,0)</f>
        <v>ZTE2010</v>
      </c>
      <c r="M23" s="225" t="str">
        <f>_xlfn.XLOOKUP(Logfile_S12[[#This Row],[Material Name]],Sum_WH!E:E,Sum_WH!F:F,"",0)</f>
        <v>Pcs</v>
      </c>
      <c r="N23" s="221">
        <v>2</v>
      </c>
      <c r="O23" s="221" t="s">
        <v>1493</v>
      </c>
      <c r="P23" s="221" t="s">
        <v>1494</v>
      </c>
      <c r="Q23" s="221"/>
      <c r="R23" s="221"/>
      <c r="S23" s="221"/>
      <c r="T23" s="221" t="s">
        <v>3356</v>
      </c>
      <c r="U23" s="221" t="s">
        <v>3228</v>
      </c>
      <c r="V23" s="221" t="s">
        <v>3357</v>
      </c>
      <c r="W23" s="221" t="s">
        <v>3358</v>
      </c>
      <c r="X23" s="221"/>
      <c r="Y23" s="227"/>
      <c r="Z23" s="227" t="str">
        <f t="shared" si="1"/>
        <v>Dusun Krajan Kucur</v>
      </c>
      <c r="AA23" s="276" t="e">
        <f>VLOOKUP(Logfile_S12[[#This Row],[DO number]],DO_DB!G:I,3,0)</f>
        <v>#N/A</v>
      </c>
      <c r="AB23" s="331" t="e">
        <f>EXACT(Logfile_S12[[#This Row],[date pick]],Logfile_S12[[#This Row],[Date]])</f>
        <v>#N/A</v>
      </c>
      <c r="AC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" spans="1:29" ht="14.5" hidden="1">
      <c r="A24" s="220" t="str">
        <f t="shared" si="0"/>
        <v>020</v>
      </c>
      <c r="B24" s="221"/>
      <c r="C24" s="221" t="s">
        <v>3388</v>
      </c>
      <c r="D24" s="221" t="s">
        <v>4880</v>
      </c>
      <c r="E24" s="221" t="s">
        <v>3295</v>
      </c>
      <c r="F24" s="221" t="s">
        <v>3299</v>
      </c>
      <c r="G24" s="222">
        <v>45442</v>
      </c>
      <c r="H24" s="223">
        <v>0.47916666666666669</v>
      </c>
      <c r="I24" s="221" t="s">
        <v>4916</v>
      </c>
      <c r="J24" s="221" t="s">
        <v>3023</v>
      </c>
      <c r="K24" s="224" t="s">
        <v>3080</v>
      </c>
      <c r="L24" s="225" t="str">
        <f>VLOOKUP(Logfile_S12[[#This Row],[Material Name]],Sheet2!B:C,2,0)</f>
        <v>ZTE2010</v>
      </c>
      <c r="M24" s="225" t="str">
        <f>_xlfn.XLOOKUP(Logfile_S12[[#This Row],[Material Name]],Sum_WH!E:E,Sum_WH!F:F,"",0)</f>
        <v>Pcs</v>
      </c>
      <c r="N24" s="221">
        <v>2</v>
      </c>
      <c r="O24" s="221" t="s">
        <v>3314</v>
      </c>
      <c r="P24" s="221" t="s">
        <v>3223</v>
      </c>
      <c r="Q24" s="221"/>
      <c r="R24" s="221"/>
      <c r="S24" s="221"/>
      <c r="T24" s="221" t="s">
        <v>3258</v>
      </c>
      <c r="U24" s="221" t="s">
        <v>3228</v>
      </c>
      <c r="V24" s="221" t="s">
        <v>3337</v>
      </c>
      <c r="W24" s="221" t="s">
        <v>3338</v>
      </c>
      <c r="X24" s="221" t="s">
        <v>3207</v>
      </c>
      <c r="Y24" s="227"/>
      <c r="Z24" s="227" t="str">
        <f t="shared" si="1"/>
        <v>Transfer Gudang</v>
      </c>
      <c r="AA24" s="276" t="e">
        <f>VLOOKUP(Logfile_S12[[#This Row],[DO number]],DO_DB!G:I,3,0)</f>
        <v>#N/A</v>
      </c>
      <c r="AB24" s="331" t="e">
        <f>EXACT(Logfile_S12[[#This Row],[date pick]],Logfile_S12[[#This Row],[Date]])</f>
        <v>#N/A</v>
      </c>
      <c r="AC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25" spans="1:29" ht="14.5" hidden="1">
      <c r="A25" s="220" t="str">
        <f t="shared" si="0"/>
        <v>021</v>
      </c>
      <c r="B25" s="221"/>
      <c r="C25" s="221" t="s">
        <v>49</v>
      </c>
      <c r="D25" s="221" t="s">
        <v>4086</v>
      </c>
      <c r="E25" s="221" t="s">
        <v>3295</v>
      </c>
      <c r="F25" s="221" t="s">
        <v>3299</v>
      </c>
      <c r="G25" s="222">
        <v>45454</v>
      </c>
      <c r="H25" s="223">
        <v>0.58402777777777781</v>
      </c>
      <c r="I25" s="221" t="s">
        <v>4916</v>
      </c>
      <c r="J25" s="221" t="s">
        <v>3023</v>
      </c>
      <c r="K25" s="224" t="s">
        <v>3080</v>
      </c>
      <c r="L25" s="225" t="str">
        <f>VLOOKUP(Logfile_S12[[#This Row],[Material Name]],Sheet2!B:C,2,0)</f>
        <v>ZTE2010</v>
      </c>
      <c r="M25" s="225" t="str">
        <f>_xlfn.XLOOKUP(Logfile_S12[[#This Row],[Material Name]],Sum_WH!E:E,Sum_WH!F:F,"",0)</f>
        <v>Pcs</v>
      </c>
      <c r="N25" s="221">
        <v>2</v>
      </c>
      <c r="O25" s="221" t="s">
        <v>1465</v>
      </c>
      <c r="P25" s="221" t="s">
        <v>1466</v>
      </c>
      <c r="Q25" s="221"/>
      <c r="R25" s="221"/>
      <c r="S25" s="221"/>
      <c r="T25" s="221" t="s">
        <v>3411</v>
      </c>
      <c r="U25" s="221">
        <v>0</v>
      </c>
      <c r="V25" s="221">
        <v>0</v>
      </c>
      <c r="W25" s="221" t="s">
        <v>3412</v>
      </c>
      <c r="X25" s="221" t="s">
        <v>3207</v>
      </c>
      <c r="Y25" s="227"/>
      <c r="Z25" s="227" t="str">
        <f t="shared" si="1"/>
        <v>Dusun Klampok Kucur</v>
      </c>
      <c r="AA25" s="276" t="e">
        <f>VLOOKUP(Logfile_S12[[#This Row],[DO number]],DO_DB!G:I,3,0)</f>
        <v>#N/A</v>
      </c>
      <c r="AB25" s="331" t="e">
        <f>EXACT(Logfile_S12[[#This Row],[date pick]],Logfile_S12[[#This Row],[Date]])</f>
        <v>#N/A</v>
      </c>
      <c r="AC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" spans="1:29" ht="14.5" hidden="1">
      <c r="A26" s="220" t="str">
        <f t="shared" si="0"/>
        <v>022</v>
      </c>
      <c r="B26" s="221"/>
      <c r="C26" s="221" t="s">
        <v>49</v>
      </c>
      <c r="D26" s="221" t="s">
        <v>4086</v>
      </c>
      <c r="E26" s="221" t="s">
        <v>3295</v>
      </c>
      <c r="F26" s="221" t="s">
        <v>3299</v>
      </c>
      <c r="G26" s="222">
        <v>45454</v>
      </c>
      <c r="H26" s="223">
        <v>0.58402777777777781</v>
      </c>
      <c r="I26" s="221" t="s">
        <v>4916</v>
      </c>
      <c r="J26" s="221" t="s">
        <v>3023</v>
      </c>
      <c r="K26" s="224" t="s">
        <v>3080</v>
      </c>
      <c r="L26" s="225" t="str">
        <f>VLOOKUP(Logfile_S12[[#This Row],[Material Name]],Sheet2!B:C,2,0)</f>
        <v>ZTE2010</v>
      </c>
      <c r="M26" s="225" t="str">
        <f>_xlfn.XLOOKUP(Logfile_S12[[#This Row],[Material Name]],Sum_WH!E:E,Sum_WH!F:F,"",0)</f>
        <v>Pcs</v>
      </c>
      <c r="N26" s="221">
        <v>3</v>
      </c>
      <c r="O26" s="221" t="s">
        <v>1473</v>
      </c>
      <c r="P26" s="221" t="s">
        <v>1474</v>
      </c>
      <c r="Q26" s="221"/>
      <c r="R26" s="221"/>
      <c r="S26" s="221"/>
      <c r="T26" s="221" t="s">
        <v>3411</v>
      </c>
      <c r="U26" s="221">
        <v>0</v>
      </c>
      <c r="V26" s="221">
        <v>0</v>
      </c>
      <c r="W26" s="221" t="s">
        <v>3412</v>
      </c>
      <c r="X26" s="221" t="s">
        <v>3207</v>
      </c>
      <c r="Y26" s="227"/>
      <c r="Z26" s="227" t="str">
        <f t="shared" si="1"/>
        <v>Dusun Sumber Bendo Kucur</v>
      </c>
      <c r="AA26" s="276" t="e">
        <f>VLOOKUP(Logfile_S12[[#This Row],[DO number]],DO_DB!G:I,3,0)</f>
        <v>#N/A</v>
      </c>
      <c r="AB26" s="331" t="e">
        <f>EXACT(Logfile_S12[[#This Row],[date pick]],Logfile_S12[[#This Row],[Date]])</f>
        <v>#N/A</v>
      </c>
      <c r="AC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" spans="1:29" ht="14.5" hidden="1">
      <c r="A27" s="220" t="str">
        <f t="shared" si="0"/>
        <v>023</v>
      </c>
      <c r="B27" s="221"/>
      <c r="C27" s="221" t="s">
        <v>3313</v>
      </c>
      <c r="D27" s="221" t="s">
        <v>4095</v>
      </c>
      <c r="E27" s="221" t="s">
        <v>3295</v>
      </c>
      <c r="F27" s="221" t="s">
        <v>3299</v>
      </c>
      <c r="G27" s="222">
        <v>45463</v>
      </c>
      <c r="H27" s="223">
        <v>15.291666666666666</v>
      </c>
      <c r="I27" s="221" t="s">
        <v>37</v>
      </c>
      <c r="J27" s="221" t="s">
        <v>3023</v>
      </c>
      <c r="K27" s="224" t="s">
        <v>3080</v>
      </c>
      <c r="L27" s="225" t="str">
        <f>VLOOKUP(Logfile_S12[[#This Row],[Material Name]],Sheet2!B:C,2,0)</f>
        <v>ZTE2010</v>
      </c>
      <c r="M27" s="225" t="str">
        <f>_xlfn.XLOOKUP(Logfile_S12[[#This Row],[Material Name]],Sum_WH!E:E,Sum_WH!F:F,"",0)</f>
        <v>Pcs</v>
      </c>
      <c r="N27" s="221">
        <v>12</v>
      </c>
      <c r="O27" s="221" t="s">
        <v>3314</v>
      </c>
      <c r="P27" s="221">
        <v>0</v>
      </c>
      <c r="Q27" s="221">
        <v>0</v>
      </c>
      <c r="R27" s="221">
        <v>0</v>
      </c>
      <c r="S27" s="221"/>
      <c r="T27" s="221"/>
      <c r="U27" s="221"/>
      <c r="V27" s="221"/>
      <c r="W27" s="221"/>
      <c r="X27" s="221" t="s">
        <v>3147</v>
      </c>
      <c r="Y27" s="227"/>
      <c r="Z27" s="227">
        <f t="shared" si="1"/>
        <v>0</v>
      </c>
      <c r="AA27" s="276" t="e">
        <f>VLOOKUP(Logfile_S12[[#This Row],[DO number]],DO_DB!G:I,3,0)</f>
        <v>#N/A</v>
      </c>
      <c r="AB27" s="331" t="e">
        <f>EXACT(Logfile_S12[[#This Row],[date pick]],Logfile_S12[[#This Row],[Date]])</f>
        <v>#N/A</v>
      </c>
      <c r="AC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8" spans="1:29" ht="14.5" hidden="1">
      <c r="A28" s="220" t="str">
        <f t="shared" si="0"/>
        <v>024</v>
      </c>
      <c r="B28" s="221"/>
      <c r="C28" s="221" t="s">
        <v>3313</v>
      </c>
      <c r="D28" s="221" t="s">
        <v>4102</v>
      </c>
      <c r="E28" s="221" t="s">
        <v>3295</v>
      </c>
      <c r="F28" s="221" t="s">
        <v>3299</v>
      </c>
      <c r="G28" s="222">
        <v>45468</v>
      </c>
      <c r="H28" s="223">
        <v>15.291666666666666</v>
      </c>
      <c r="I28" s="221" t="s">
        <v>37</v>
      </c>
      <c r="J28" s="221" t="s">
        <v>3023</v>
      </c>
      <c r="K28" s="224" t="s">
        <v>3080</v>
      </c>
      <c r="L28" s="225" t="str">
        <f>VLOOKUP(Logfile_S12[[#This Row],[Material Name]],Sheet2!B:C,2,0)</f>
        <v>ZTE2010</v>
      </c>
      <c r="M28" s="225" t="str">
        <f>_xlfn.XLOOKUP(Logfile_S12[[#This Row],[Material Name]],Sum_WH!E:E,Sum_WH!F:F,"",0)</f>
        <v>Pcs</v>
      </c>
      <c r="N28" s="221">
        <v>3</v>
      </c>
      <c r="O28" s="221" t="s">
        <v>3314</v>
      </c>
      <c r="P28" s="221">
        <v>0</v>
      </c>
      <c r="Q28" s="221">
        <v>0</v>
      </c>
      <c r="R28" s="221">
        <v>0</v>
      </c>
      <c r="S28" s="221"/>
      <c r="T28" s="221"/>
      <c r="U28" s="221"/>
      <c r="V28" s="221"/>
      <c r="W28" s="221"/>
      <c r="X28" s="221" t="s">
        <v>3147</v>
      </c>
      <c r="Y28" s="227"/>
      <c r="Z28" s="227">
        <f t="shared" si="1"/>
        <v>0</v>
      </c>
      <c r="AA28" s="276" t="e">
        <f>VLOOKUP(Logfile_S12[[#This Row],[DO number]],DO_DB!G:I,3,0)</f>
        <v>#N/A</v>
      </c>
      <c r="AB28" s="331" t="e">
        <f>EXACT(Logfile_S12[[#This Row],[date pick]],Logfile_S12[[#This Row],[Date]])</f>
        <v>#N/A</v>
      </c>
      <c r="AC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9" spans="1:29" ht="14.5" hidden="1">
      <c r="A29" s="220" t="str">
        <f t="shared" si="0"/>
        <v>025</v>
      </c>
      <c r="B29" s="221"/>
      <c r="C29" s="221" t="s">
        <v>3388</v>
      </c>
      <c r="D29" s="221" t="s">
        <v>4882</v>
      </c>
      <c r="E29" s="221" t="s">
        <v>3295</v>
      </c>
      <c r="F29" s="221" t="s">
        <v>3299</v>
      </c>
      <c r="G29" s="222">
        <v>45468</v>
      </c>
      <c r="H29" s="223">
        <v>0.53749999999999998</v>
      </c>
      <c r="I29" s="221" t="s">
        <v>4916</v>
      </c>
      <c r="J29" s="221" t="s">
        <v>3023</v>
      </c>
      <c r="K29" s="224" t="s">
        <v>3080</v>
      </c>
      <c r="L29" s="225" t="str">
        <f>VLOOKUP(Logfile_S12[[#This Row],[Material Name]],Sheet2!B:C,2,0)</f>
        <v>ZTE2010</v>
      </c>
      <c r="M29" s="225" t="str">
        <f>_xlfn.XLOOKUP(Logfile_S12[[#This Row],[Material Name]],Sum_WH!E:E,Sum_WH!F:F,"",0)</f>
        <v>Pcs</v>
      </c>
      <c r="N29" s="221">
        <v>2</v>
      </c>
      <c r="O29" s="221" t="s">
        <v>3314</v>
      </c>
      <c r="P29" s="221" t="s">
        <v>3223</v>
      </c>
      <c r="Q29" s="221"/>
      <c r="R29" s="221"/>
      <c r="S29" s="221"/>
      <c r="T29" s="221" t="s">
        <v>3258</v>
      </c>
      <c r="U29" s="221" t="s">
        <v>3228</v>
      </c>
      <c r="V29" s="221" t="s">
        <v>3337</v>
      </c>
      <c r="W29" s="221" t="s">
        <v>3338</v>
      </c>
      <c r="X29" s="221" t="s">
        <v>3207</v>
      </c>
      <c r="Y29" s="227"/>
      <c r="Z29" s="227" t="str">
        <f t="shared" si="1"/>
        <v>Transfer Gudang</v>
      </c>
      <c r="AA29" s="276" t="e">
        <f>VLOOKUP(Logfile_S12[[#This Row],[DO number]],DO_DB!G:I,3,0)</f>
        <v>#N/A</v>
      </c>
      <c r="AB29" s="331" t="e">
        <f>EXACT(Logfile_S12[[#This Row],[date pick]],Logfile_S12[[#This Row],[Date]])</f>
        <v>#N/A</v>
      </c>
      <c r="AC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30" spans="1:29" ht="14.5" hidden="1">
      <c r="A30" s="220" t="str">
        <f t="shared" si="0"/>
        <v>026</v>
      </c>
      <c r="B30" s="221"/>
      <c r="C30" s="221" t="s">
        <v>3388</v>
      </c>
      <c r="D30" s="221" t="s">
        <v>4883</v>
      </c>
      <c r="E30" s="221" t="s">
        <v>3295</v>
      </c>
      <c r="F30" s="221" t="s">
        <v>3299</v>
      </c>
      <c r="G30" s="222">
        <v>45469</v>
      </c>
      <c r="H30" s="223">
        <v>0.8847222222222223</v>
      </c>
      <c r="I30" s="221" t="s">
        <v>4916</v>
      </c>
      <c r="J30" s="221" t="s">
        <v>3023</v>
      </c>
      <c r="K30" s="224" t="s">
        <v>3080</v>
      </c>
      <c r="L30" s="225" t="str">
        <f>VLOOKUP(Logfile_S12[[#This Row],[Material Name]],Sheet2!B:C,2,0)</f>
        <v>ZTE2010</v>
      </c>
      <c r="M30" s="225" t="str">
        <f>_xlfn.XLOOKUP(Logfile_S12[[#This Row],[Material Name]],Sum_WH!E:E,Sum_WH!F:F,"",0)</f>
        <v>Pcs</v>
      </c>
      <c r="N30" s="221">
        <v>3</v>
      </c>
      <c r="O30" s="221" t="s">
        <v>3314</v>
      </c>
      <c r="P30" s="221" t="s">
        <v>3223</v>
      </c>
      <c r="Q30" s="221"/>
      <c r="R30" s="221"/>
      <c r="S30" s="221"/>
      <c r="T30" s="221" t="s">
        <v>3471</v>
      </c>
      <c r="U30" s="221">
        <v>0</v>
      </c>
      <c r="V30" s="221" t="s">
        <v>3472</v>
      </c>
      <c r="W30" s="221" t="s">
        <v>3473</v>
      </c>
      <c r="X30" s="221" t="s">
        <v>3207</v>
      </c>
      <c r="Y30" s="227"/>
      <c r="Z30" s="227" t="str">
        <f t="shared" si="1"/>
        <v>Transfer Gudang</v>
      </c>
      <c r="AA30" s="276" t="e">
        <f>VLOOKUP(Logfile_S12[[#This Row],[DO number]],DO_DB!G:I,3,0)</f>
        <v>#N/A</v>
      </c>
      <c r="AB30" s="331" t="e">
        <f>EXACT(Logfile_S12[[#This Row],[date pick]],Logfile_S12[[#This Row],[Date]])</f>
        <v>#N/A</v>
      </c>
      <c r="AC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31" spans="1:29" ht="14.5" hidden="1">
      <c r="A31" s="220" t="str">
        <f t="shared" si="0"/>
        <v>027</v>
      </c>
      <c r="B31" s="221"/>
      <c r="C31" s="221" t="s">
        <v>3388</v>
      </c>
      <c r="D31" s="221" t="s">
        <v>4884</v>
      </c>
      <c r="E31" s="221" t="s">
        <v>3295</v>
      </c>
      <c r="F31" s="221" t="s">
        <v>3299</v>
      </c>
      <c r="G31" s="222">
        <v>45483</v>
      </c>
      <c r="H31" s="223">
        <v>0.40277777777777779</v>
      </c>
      <c r="I31" s="221" t="s">
        <v>4916</v>
      </c>
      <c r="J31" s="221" t="s">
        <v>3023</v>
      </c>
      <c r="K31" s="224" t="s">
        <v>3080</v>
      </c>
      <c r="L31" s="225" t="str">
        <f>VLOOKUP(Logfile_S12[[#This Row],[Material Name]],Sheet2!B:C,2,0)</f>
        <v>ZTE2010</v>
      </c>
      <c r="M31" s="225" t="str">
        <f>_xlfn.XLOOKUP(Logfile_S12[[#This Row],[Material Name]],Sum_WH!E:E,Sum_WH!F:F,"",0)</f>
        <v>Pcs</v>
      </c>
      <c r="N31" s="221">
        <v>4</v>
      </c>
      <c r="O31" s="221" t="s">
        <v>3314</v>
      </c>
      <c r="P31" s="221" t="s">
        <v>3223</v>
      </c>
      <c r="Q31" s="221"/>
      <c r="R31" s="221"/>
      <c r="S31" s="221"/>
      <c r="T31" s="221" t="s">
        <v>3231</v>
      </c>
      <c r="U31" s="221">
        <v>0</v>
      </c>
      <c r="V31" s="221" t="s">
        <v>3232</v>
      </c>
      <c r="W31" s="221" t="s">
        <v>3254</v>
      </c>
      <c r="X31" s="221" t="s">
        <v>3207</v>
      </c>
      <c r="Y31" s="227"/>
      <c r="Z31" s="227" t="str">
        <f t="shared" si="1"/>
        <v>Transfer Gudang</v>
      </c>
      <c r="AA31" s="276" t="e">
        <f>VLOOKUP(Logfile_S12[[#This Row],[DO number]],DO_DB!G:I,3,0)</f>
        <v>#N/A</v>
      </c>
      <c r="AB31" s="331" t="e">
        <f>EXACT(Logfile_S12[[#This Row],[date pick]],Logfile_S12[[#This Row],[Date]])</f>
        <v>#N/A</v>
      </c>
      <c r="AC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32" spans="1:29" ht="14.5" hidden="1">
      <c r="A32" s="220" t="str">
        <f t="shared" si="0"/>
        <v>028</v>
      </c>
      <c r="B32" s="221"/>
      <c r="C32" s="221" t="s">
        <v>3388</v>
      </c>
      <c r="D32" s="221" t="s">
        <v>4885</v>
      </c>
      <c r="E32" s="221" t="s">
        <v>3295</v>
      </c>
      <c r="F32" s="221" t="s">
        <v>3299</v>
      </c>
      <c r="G32" s="222">
        <v>45483</v>
      </c>
      <c r="H32" s="223">
        <v>0.65347222222222223</v>
      </c>
      <c r="I32" s="221" t="s">
        <v>4916</v>
      </c>
      <c r="J32" s="221" t="s">
        <v>3023</v>
      </c>
      <c r="K32" s="224" t="s">
        <v>3080</v>
      </c>
      <c r="L32" s="225" t="str">
        <f>VLOOKUP(Logfile_S12[[#This Row],[Material Name]],Sheet2!B:C,2,0)</f>
        <v>ZTE2010</v>
      </c>
      <c r="M32" s="225" t="str">
        <f>_xlfn.XLOOKUP(Logfile_S12[[#This Row],[Material Name]],Sum_WH!E:E,Sum_WH!F:F,"",0)</f>
        <v>Pcs</v>
      </c>
      <c r="N32" s="221">
        <v>4</v>
      </c>
      <c r="O32" s="221" t="s">
        <v>3314</v>
      </c>
      <c r="P32" s="221" t="s">
        <v>3223</v>
      </c>
      <c r="Q32" s="221"/>
      <c r="R32" s="221"/>
      <c r="S32" s="221"/>
      <c r="T32" s="221" t="s">
        <v>3471</v>
      </c>
      <c r="U32" s="221">
        <v>0</v>
      </c>
      <c r="V32" s="221" t="s">
        <v>3472</v>
      </c>
      <c r="W32" s="221" t="s">
        <v>3473</v>
      </c>
      <c r="X32" s="221" t="s">
        <v>3207</v>
      </c>
      <c r="Y32" s="227"/>
      <c r="Z32" s="227" t="str">
        <f t="shared" si="1"/>
        <v>Transfer Gudang</v>
      </c>
      <c r="AA32" s="276" t="e">
        <f>VLOOKUP(Logfile_S12[[#This Row],[DO number]],DO_DB!G:I,3,0)</f>
        <v>#N/A</v>
      </c>
      <c r="AB32" s="331" t="e">
        <f>EXACT(Logfile_S12[[#This Row],[date pick]],Logfile_S12[[#This Row],[Date]])</f>
        <v>#N/A</v>
      </c>
      <c r="AC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33" spans="1:29" ht="14.5" hidden="1">
      <c r="A33" s="220" t="str">
        <f t="shared" si="0"/>
        <v>029</v>
      </c>
      <c r="B33" s="221"/>
      <c r="C33" s="221" t="s">
        <v>3388</v>
      </c>
      <c r="D33" s="221" t="s">
        <v>4886</v>
      </c>
      <c r="E33" s="221" t="s">
        <v>3295</v>
      </c>
      <c r="F33" s="221" t="s">
        <v>3299</v>
      </c>
      <c r="G33" s="222">
        <v>45487</v>
      </c>
      <c r="H33" s="223">
        <v>0.67222222222222228</v>
      </c>
      <c r="I33" s="221" t="s">
        <v>4916</v>
      </c>
      <c r="J33" s="221" t="s">
        <v>3023</v>
      </c>
      <c r="K33" s="224" t="s">
        <v>3080</v>
      </c>
      <c r="L33" s="225" t="str">
        <f>VLOOKUP(Logfile_S12[[#This Row],[Material Name]],Sheet2!B:C,2,0)</f>
        <v>ZTE2010</v>
      </c>
      <c r="M33" s="225" t="str">
        <f>_xlfn.XLOOKUP(Logfile_S12[[#This Row],[Material Name]],Sum_WH!E:E,Sum_WH!F:F,"",0)</f>
        <v>Pcs</v>
      </c>
      <c r="N33" s="221">
        <v>2</v>
      </c>
      <c r="O33" s="221" t="s">
        <v>3314</v>
      </c>
      <c r="P33" s="221" t="s">
        <v>3223</v>
      </c>
      <c r="Q33" s="221"/>
      <c r="R33" s="221"/>
      <c r="S33" s="221"/>
      <c r="T33" s="221" t="s">
        <v>3258</v>
      </c>
      <c r="U33" s="221" t="s">
        <v>3228</v>
      </c>
      <c r="V33" s="221" t="s">
        <v>3337</v>
      </c>
      <c r="W33" s="221" t="s">
        <v>3338</v>
      </c>
      <c r="X33" s="221" t="s">
        <v>3207</v>
      </c>
      <c r="Y33" s="227"/>
      <c r="Z33" s="227" t="str">
        <f t="shared" si="1"/>
        <v>Transfer Gudang</v>
      </c>
      <c r="AA33" s="276" t="e">
        <f>VLOOKUP(Logfile_S12[[#This Row],[DO number]],DO_DB!G:I,3,0)</f>
        <v>#N/A</v>
      </c>
      <c r="AB33" s="331" t="e">
        <f>EXACT(Logfile_S12[[#This Row],[date pick]],Logfile_S12[[#This Row],[Date]])</f>
        <v>#N/A</v>
      </c>
      <c r="AC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34" spans="1:29" ht="14.5" hidden="1">
      <c r="A34" s="220" t="str">
        <f t="shared" si="0"/>
        <v>030</v>
      </c>
      <c r="B34" s="221"/>
      <c r="C34" s="221" t="s">
        <v>3313</v>
      </c>
      <c r="D34" s="221" t="s">
        <v>4125</v>
      </c>
      <c r="E34" s="221" t="s">
        <v>3295</v>
      </c>
      <c r="F34" s="221" t="s">
        <v>3299</v>
      </c>
      <c r="G34" s="222">
        <v>45496</v>
      </c>
      <c r="H34" s="223">
        <v>15.291666666666666</v>
      </c>
      <c r="I34" s="221" t="s">
        <v>37</v>
      </c>
      <c r="J34" s="221" t="s">
        <v>3023</v>
      </c>
      <c r="K34" s="224" t="s">
        <v>3080</v>
      </c>
      <c r="L34" s="225" t="str">
        <f>VLOOKUP(Logfile_S12[[#This Row],[Material Name]],Sheet2!B:C,2,0)</f>
        <v>ZTE2010</v>
      </c>
      <c r="M34" s="225" t="str">
        <f>_xlfn.XLOOKUP(Logfile_S12[[#This Row],[Material Name]],Sum_WH!E:E,Sum_WH!F:F,"",0)</f>
        <v>Pcs</v>
      </c>
      <c r="N34" s="221">
        <v>6</v>
      </c>
      <c r="O34" s="221" t="s">
        <v>3314</v>
      </c>
      <c r="P34" s="221">
        <v>0</v>
      </c>
      <c r="Q34" s="221">
        <v>0</v>
      </c>
      <c r="R34" s="221">
        <v>0</v>
      </c>
      <c r="S34" s="221"/>
      <c r="T34" s="221"/>
      <c r="U34" s="221"/>
      <c r="V34" s="221"/>
      <c r="W34" s="221"/>
      <c r="X34" s="221" t="s">
        <v>3147</v>
      </c>
      <c r="Y34" s="227"/>
      <c r="Z34" s="227">
        <f t="shared" si="1"/>
        <v>0</v>
      </c>
      <c r="AA34" s="276" t="e">
        <f>VLOOKUP(Logfile_S12[[#This Row],[DO number]],DO_DB!G:I,3,0)</f>
        <v>#N/A</v>
      </c>
      <c r="AB34" s="331" t="e">
        <f>EXACT(Logfile_S12[[#This Row],[date pick]],Logfile_S12[[#This Row],[Date]])</f>
        <v>#N/A</v>
      </c>
      <c r="AC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5" spans="1:29" ht="14.5" hidden="1">
      <c r="A35" s="220" t="str">
        <f t="shared" si="0"/>
        <v>031</v>
      </c>
      <c r="B35" s="221"/>
      <c r="C35" s="221" t="s">
        <v>3313</v>
      </c>
      <c r="D35" s="221" t="s">
        <v>4169</v>
      </c>
      <c r="E35" s="221" t="s">
        <v>3295</v>
      </c>
      <c r="F35" s="221" t="s">
        <v>3299</v>
      </c>
      <c r="G35" s="222">
        <v>45526</v>
      </c>
      <c r="H35" s="223">
        <v>15.291666666666666</v>
      </c>
      <c r="I35" s="221" t="s">
        <v>37</v>
      </c>
      <c r="J35" s="221" t="s">
        <v>3023</v>
      </c>
      <c r="K35" s="224" t="s">
        <v>3080</v>
      </c>
      <c r="L35" s="225" t="str">
        <f>VLOOKUP(Logfile_S12[[#This Row],[Material Name]],Sheet2!B:C,2,0)</f>
        <v>ZTE2010</v>
      </c>
      <c r="M35" s="225" t="str">
        <f>_xlfn.XLOOKUP(Logfile_S12[[#This Row],[Material Name]],Sum_WH!E:E,Sum_WH!F:F,"",0)</f>
        <v>Pcs</v>
      </c>
      <c r="N35" s="221">
        <v>15</v>
      </c>
      <c r="O35" s="221" t="s">
        <v>3314</v>
      </c>
      <c r="P35" s="221">
        <v>0</v>
      </c>
      <c r="Q35" s="221">
        <v>0</v>
      </c>
      <c r="R35" s="221">
        <v>0</v>
      </c>
      <c r="S35" s="221"/>
      <c r="T35" s="221"/>
      <c r="U35" s="221"/>
      <c r="V35" s="221"/>
      <c r="W35" s="221"/>
      <c r="X35" s="221" t="s">
        <v>3147</v>
      </c>
      <c r="Y35" s="227"/>
      <c r="Z35" s="227">
        <f t="shared" si="1"/>
        <v>0</v>
      </c>
      <c r="AA35" s="276" t="e">
        <f>VLOOKUP(Logfile_S12[[#This Row],[DO number]],DO_DB!G:I,3,0)</f>
        <v>#N/A</v>
      </c>
      <c r="AB35" s="331" t="e">
        <f>EXACT(Logfile_S12[[#This Row],[date pick]],Logfile_S12[[#This Row],[Date]])</f>
        <v>#N/A</v>
      </c>
      <c r="AC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6" spans="1:29" ht="14.5" hidden="1">
      <c r="A36" s="220" t="str">
        <f t="shared" si="0"/>
        <v>032</v>
      </c>
      <c r="B36" s="221"/>
      <c r="C36" s="221" t="s">
        <v>3388</v>
      </c>
      <c r="D36" s="221" t="s">
        <v>4888</v>
      </c>
      <c r="E36" s="221" t="s">
        <v>3295</v>
      </c>
      <c r="F36" s="221" t="s">
        <v>3299</v>
      </c>
      <c r="G36" s="222">
        <v>45531</v>
      </c>
      <c r="H36" s="223">
        <v>0.64861111111111114</v>
      </c>
      <c r="I36" s="221" t="s">
        <v>4916</v>
      </c>
      <c r="J36" s="221" t="s">
        <v>3023</v>
      </c>
      <c r="K36" s="224" t="s">
        <v>3080</v>
      </c>
      <c r="L36" s="225" t="str">
        <f>VLOOKUP(Logfile_S12[[#This Row],[Material Name]],Sheet2!B:C,2,0)</f>
        <v>ZTE2010</v>
      </c>
      <c r="M36" s="225" t="str">
        <f>_xlfn.XLOOKUP(Logfile_S12[[#This Row],[Material Name]],Sum_WH!E:E,Sum_WH!F:F,"",0)</f>
        <v>Pcs</v>
      </c>
      <c r="N36" s="221">
        <v>2</v>
      </c>
      <c r="O36" s="221" t="s">
        <v>3314</v>
      </c>
      <c r="P36" s="221" t="s">
        <v>3223</v>
      </c>
      <c r="Q36" s="221"/>
      <c r="R36" s="221"/>
      <c r="S36" s="221"/>
      <c r="T36" s="221" t="s">
        <v>3471</v>
      </c>
      <c r="U36" s="221">
        <v>0</v>
      </c>
      <c r="V36" s="221" t="s">
        <v>3472</v>
      </c>
      <c r="W36" s="221" t="s">
        <v>3473</v>
      </c>
      <c r="X36" s="221" t="s">
        <v>3207</v>
      </c>
      <c r="Y36" s="227"/>
      <c r="Z36" s="227" t="str">
        <f t="shared" si="1"/>
        <v>Transfer Gudang</v>
      </c>
      <c r="AA36" s="276" t="e">
        <f>VLOOKUP(Logfile_S12[[#This Row],[DO number]],DO_DB!G:I,3,0)</f>
        <v>#N/A</v>
      </c>
      <c r="AB36" s="331" t="e">
        <f>EXACT(Logfile_S12[[#This Row],[date pick]],Logfile_S12[[#This Row],[Date]])</f>
        <v>#N/A</v>
      </c>
      <c r="AC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37" spans="1:29" ht="14.5" hidden="1">
      <c r="A37" s="220" t="str">
        <f t="shared" si="0"/>
        <v>033</v>
      </c>
      <c r="B37" s="221"/>
      <c r="C37" s="221" t="s">
        <v>3313</v>
      </c>
      <c r="D37" s="221" t="s">
        <v>4184</v>
      </c>
      <c r="E37" s="221" t="s">
        <v>3295</v>
      </c>
      <c r="F37" s="221" t="s">
        <v>3299</v>
      </c>
      <c r="G37" s="222">
        <v>45532</v>
      </c>
      <c r="H37" s="223">
        <v>15.291666666666666</v>
      </c>
      <c r="I37" s="221" t="s">
        <v>37</v>
      </c>
      <c r="J37" s="221" t="s">
        <v>3023</v>
      </c>
      <c r="K37" s="224" t="s">
        <v>3080</v>
      </c>
      <c r="L37" s="225" t="str">
        <f>VLOOKUP(Logfile_S12[[#This Row],[Material Name]],Sheet2!B:C,2,0)</f>
        <v>ZTE2010</v>
      </c>
      <c r="M37" s="225" t="str">
        <f>_xlfn.XLOOKUP(Logfile_S12[[#This Row],[Material Name]],Sum_WH!E:E,Sum_WH!F:F,"",0)</f>
        <v>Pcs</v>
      </c>
      <c r="N37" s="221">
        <v>10</v>
      </c>
      <c r="O37" s="221" t="s">
        <v>3314</v>
      </c>
      <c r="P37" s="221">
        <v>0</v>
      </c>
      <c r="Q37" s="221">
        <v>0</v>
      </c>
      <c r="R37" s="221">
        <v>0</v>
      </c>
      <c r="S37" s="221"/>
      <c r="T37" s="221"/>
      <c r="U37" s="221"/>
      <c r="V37" s="221"/>
      <c r="W37" s="221"/>
      <c r="X37" s="221" t="s">
        <v>3147</v>
      </c>
      <c r="Y37" s="227"/>
      <c r="Z37" s="227">
        <f t="shared" si="1"/>
        <v>0</v>
      </c>
      <c r="AA37" s="276" t="e">
        <f>VLOOKUP(Logfile_S12[[#This Row],[DO number]],DO_DB!G:I,3,0)</f>
        <v>#N/A</v>
      </c>
      <c r="AB37" s="331" t="e">
        <f>EXACT(Logfile_S12[[#This Row],[date pick]],Logfile_S12[[#This Row],[Date]])</f>
        <v>#N/A</v>
      </c>
      <c r="AC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8" spans="1:29" ht="14.5" hidden="1">
      <c r="A38" s="220" t="str">
        <f t="shared" si="0"/>
        <v>034</v>
      </c>
      <c r="B38" s="221"/>
      <c r="C38" s="221" t="s">
        <v>3388</v>
      </c>
      <c r="D38" s="221" t="s">
        <v>4889</v>
      </c>
      <c r="E38" s="221" t="s">
        <v>3295</v>
      </c>
      <c r="F38" s="221" t="s">
        <v>3299</v>
      </c>
      <c r="G38" s="222">
        <v>45532</v>
      </c>
      <c r="H38" s="223">
        <v>0.47847222222222224</v>
      </c>
      <c r="I38" s="221" t="s">
        <v>4916</v>
      </c>
      <c r="J38" s="221" t="s">
        <v>3023</v>
      </c>
      <c r="K38" s="224" t="s">
        <v>3080</v>
      </c>
      <c r="L38" s="225" t="str">
        <f>VLOOKUP(Logfile_S12[[#This Row],[Material Name]],Sheet2!B:C,2,0)</f>
        <v>ZTE2010</v>
      </c>
      <c r="M38" s="225" t="str">
        <f>_xlfn.XLOOKUP(Logfile_S12[[#This Row],[Material Name]],Sum_WH!E:E,Sum_WH!F:F,"",0)</f>
        <v>Pcs</v>
      </c>
      <c r="N38" s="221">
        <v>4</v>
      </c>
      <c r="O38" s="221" t="s">
        <v>3314</v>
      </c>
      <c r="P38" s="221" t="s">
        <v>3223</v>
      </c>
      <c r="Q38" s="221"/>
      <c r="R38" s="221"/>
      <c r="S38" s="221"/>
      <c r="T38" s="221" t="s">
        <v>3471</v>
      </c>
      <c r="U38" s="221">
        <v>0</v>
      </c>
      <c r="V38" s="221" t="s">
        <v>3472</v>
      </c>
      <c r="W38" s="221" t="s">
        <v>3473</v>
      </c>
      <c r="X38" s="221" t="s">
        <v>3207</v>
      </c>
      <c r="Y38" s="227"/>
      <c r="Z38" s="227" t="str">
        <f t="shared" si="1"/>
        <v>Transfer Gudang</v>
      </c>
      <c r="AA38" s="276" t="e">
        <f>VLOOKUP(Logfile_S12[[#This Row],[DO number]],DO_DB!G:I,3,0)</f>
        <v>#N/A</v>
      </c>
      <c r="AB38" s="331" t="e">
        <f>EXACT(Logfile_S12[[#This Row],[date pick]],Logfile_S12[[#This Row],[Date]])</f>
        <v>#N/A</v>
      </c>
      <c r="AC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39" spans="1:29" ht="14.5" hidden="1">
      <c r="A39" s="220" t="str">
        <f t="shared" si="0"/>
        <v>035</v>
      </c>
      <c r="B39" s="221"/>
      <c r="C39" s="221" t="s">
        <v>3388</v>
      </c>
      <c r="D39" s="221" t="s">
        <v>4890</v>
      </c>
      <c r="E39" s="221" t="s">
        <v>3295</v>
      </c>
      <c r="F39" s="221" t="s">
        <v>3299</v>
      </c>
      <c r="G39" s="222">
        <v>45535</v>
      </c>
      <c r="H39" s="223">
        <v>0.52083333333333337</v>
      </c>
      <c r="I39" s="221" t="s">
        <v>4916</v>
      </c>
      <c r="J39" s="221" t="s">
        <v>3023</v>
      </c>
      <c r="K39" s="224" t="s">
        <v>3080</v>
      </c>
      <c r="L39" s="225" t="str">
        <f>VLOOKUP(Logfile_S12[[#This Row],[Material Name]],Sheet2!B:C,2,0)</f>
        <v>ZTE2010</v>
      </c>
      <c r="M39" s="225" t="str">
        <f>_xlfn.XLOOKUP(Logfile_S12[[#This Row],[Material Name]],Sum_WH!E:E,Sum_WH!F:F,"",0)</f>
        <v>Pcs</v>
      </c>
      <c r="N39" s="221">
        <v>6</v>
      </c>
      <c r="O39" s="221" t="s">
        <v>3314</v>
      </c>
      <c r="P39" s="221" t="s">
        <v>3223</v>
      </c>
      <c r="Q39" s="221"/>
      <c r="R39" s="221"/>
      <c r="S39" s="221"/>
      <c r="T39" s="221" t="s">
        <v>3244</v>
      </c>
      <c r="U39" s="221">
        <v>0</v>
      </c>
      <c r="V39" s="221" t="s">
        <v>3248</v>
      </c>
      <c r="W39" s="221" t="s">
        <v>3252</v>
      </c>
      <c r="X39" s="221" t="s">
        <v>3207</v>
      </c>
      <c r="Y39" s="227"/>
      <c r="Z39" s="227" t="str">
        <f t="shared" si="1"/>
        <v>Transfer Gudang</v>
      </c>
      <c r="AA39" s="276" t="e">
        <f>VLOOKUP(Logfile_S12[[#This Row],[DO number]],DO_DB!G:I,3,0)</f>
        <v>#N/A</v>
      </c>
      <c r="AB39" s="331" t="e">
        <f>EXACT(Logfile_S12[[#This Row],[date pick]],Logfile_S12[[#This Row],[Date]])</f>
        <v>#N/A</v>
      </c>
      <c r="AC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40" spans="1:29" ht="14.5" hidden="1">
      <c r="A40" s="220" t="str">
        <f t="shared" si="0"/>
        <v>036</v>
      </c>
      <c r="B40" s="221"/>
      <c r="C40" s="221" t="s">
        <v>3388</v>
      </c>
      <c r="D40" s="221" t="s">
        <v>4891</v>
      </c>
      <c r="E40" s="221" t="s">
        <v>3295</v>
      </c>
      <c r="F40" s="221" t="s">
        <v>3299</v>
      </c>
      <c r="G40" s="222">
        <v>45536</v>
      </c>
      <c r="H40" s="223">
        <v>8.1944444444444445E-2</v>
      </c>
      <c r="I40" s="221" t="s">
        <v>4916</v>
      </c>
      <c r="J40" s="221" t="s">
        <v>3023</v>
      </c>
      <c r="K40" s="224" t="s">
        <v>3080</v>
      </c>
      <c r="L40" s="225" t="str">
        <f>VLOOKUP(Logfile_S12[[#This Row],[Material Name]],Sheet2!B:C,2,0)</f>
        <v>ZTE2010</v>
      </c>
      <c r="M40" s="225" t="str">
        <f>_xlfn.XLOOKUP(Logfile_S12[[#This Row],[Material Name]],Sum_WH!E:E,Sum_WH!F:F,"",0)</f>
        <v>Pcs</v>
      </c>
      <c r="N40" s="221">
        <v>5</v>
      </c>
      <c r="O40" s="221" t="s">
        <v>3314</v>
      </c>
      <c r="P40" s="221" t="s">
        <v>3223</v>
      </c>
      <c r="Q40" s="221"/>
      <c r="R40" s="221"/>
      <c r="S40" s="221"/>
      <c r="T40" s="221" t="s">
        <v>3231</v>
      </c>
      <c r="U40" s="221">
        <v>0</v>
      </c>
      <c r="V40" s="221" t="s">
        <v>3232</v>
      </c>
      <c r="W40" s="221" t="s">
        <v>3254</v>
      </c>
      <c r="X40" s="221" t="s">
        <v>3207</v>
      </c>
      <c r="Y40" s="227"/>
      <c r="Z40" s="227" t="str">
        <f t="shared" si="1"/>
        <v>Transfer Gudang</v>
      </c>
      <c r="AA40" s="276" t="e">
        <f>VLOOKUP(Logfile_S12[[#This Row],[DO number]],DO_DB!G:I,3,0)</f>
        <v>#N/A</v>
      </c>
      <c r="AB40" s="331" t="e">
        <f>EXACT(Logfile_S12[[#This Row],[date pick]],Logfile_S12[[#This Row],[Date]])</f>
        <v>#N/A</v>
      </c>
      <c r="AC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41" spans="1:29" ht="14.5" hidden="1">
      <c r="A41" s="220" t="str">
        <f t="shared" si="0"/>
        <v>037</v>
      </c>
      <c r="B41" s="221"/>
      <c r="C41" s="221" t="s">
        <v>3388</v>
      </c>
      <c r="D41" s="221" t="s">
        <v>4892</v>
      </c>
      <c r="E41" s="221" t="s">
        <v>3295</v>
      </c>
      <c r="F41" s="221" t="s">
        <v>3299</v>
      </c>
      <c r="G41" s="222">
        <v>45540</v>
      </c>
      <c r="H41" s="223">
        <v>8.1944444444444445E-2</v>
      </c>
      <c r="I41" s="221" t="s">
        <v>4916</v>
      </c>
      <c r="J41" s="221" t="s">
        <v>3023</v>
      </c>
      <c r="K41" s="224" t="s">
        <v>3080</v>
      </c>
      <c r="L41" s="225" t="str">
        <f>VLOOKUP(Logfile_S12[[#This Row],[Material Name]],Sheet2!B:C,2,0)</f>
        <v>ZTE2010</v>
      </c>
      <c r="M41" s="225" t="str">
        <f>_xlfn.XLOOKUP(Logfile_S12[[#This Row],[Material Name]],Sum_WH!E:E,Sum_WH!F:F,"",0)</f>
        <v>Pcs</v>
      </c>
      <c r="N41" s="221">
        <v>3</v>
      </c>
      <c r="O41" s="221" t="s">
        <v>3314</v>
      </c>
      <c r="P41" s="221" t="s">
        <v>3223</v>
      </c>
      <c r="Q41" s="221"/>
      <c r="R41" s="221"/>
      <c r="S41" s="221"/>
      <c r="T41" s="221" t="s">
        <v>3231</v>
      </c>
      <c r="U41" s="221">
        <v>0</v>
      </c>
      <c r="V41" s="221" t="s">
        <v>3232</v>
      </c>
      <c r="W41" s="221" t="s">
        <v>3254</v>
      </c>
      <c r="X41" s="221" t="s">
        <v>3207</v>
      </c>
      <c r="Y41" s="227"/>
      <c r="Z41" s="227" t="str">
        <f t="shared" si="1"/>
        <v>Transfer Gudang</v>
      </c>
      <c r="AA41" s="276" t="e">
        <f>VLOOKUP(Logfile_S12[[#This Row],[DO number]],DO_DB!G:I,3,0)</f>
        <v>#N/A</v>
      </c>
      <c r="AB41" s="331" t="e">
        <f>EXACT(Logfile_S12[[#This Row],[date pick]],Logfile_S12[[#This Row],[Date]])</f>
        <v>#N/A</v>
      </c>
      <c r="AC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42" spans="1:29" ht="14.5" hidden="1">
      <c r="A42" s="220" t="str">
        <f t="shared" si="0"/>
        <v>038</v>
      </c>
      <c r="B42" s="221"/>
      <c r="C42" s="221" t="s">
        <v>3313</v>
      </c>
      <c r="D42" s="221" t="s">
        <v>4227</v>
      </c>
      <c r="E42" s="221" t="s">
        <v>3295</v>
      </c>
      <c r="F42" s="221" t="s">
        <v>3299</v>
      </c>
      <c r="G42" s="222">
        <v>45555</v>
      </c>
      <c r="H42" s="223">
        <v>15.291666666666666</v>
      </c>
      <c r="I42" s="221" t="s">
        <v>37</v>
      </c>
      <c r="J42" s="221" t="s">
        <v>3023</v>
      </c>
      <c r="K42" s="224" t="s">
        <v>3080</v>
      </c>
      <c r="L42" s="225" t="str">
        <f>VLOOKUP(Logfile_S12[[#This Row],[Material Name]],Sheet2!B:C,2,0)</f>
        <v>ZTE2010</v>
      </c>
      <c r="M42" s="225" t="str">
        <f>_xlfn.XLOOKUP(Logfile_S12[[#This Row],[Material Name]],Sum_WH!E:E,Sum_WH!F:F,"",0)</f>
        <v>Pcs</v>
      </c>
      <c r="N42" s="221">
        <v>4</v>
      </c>
      <c r="O42" s="221" t="s">
        <v>3314</v>
      </c>
      <c r="P42" s="221">
        <v>0</v>
      </c>
      <c r="Q42" s="221">
        <v>0</v>
      </c>
      <c r="R42" s="221">
        <v>0</v>
      </c>
      <c r="S42" s="221"/>
      <c r="T42" s="221"/>
      <c r="U42" s="221"/>
      <c r="V42" s="221"/>
      <c r="W42" s="221"/>
      <c r="X42" s="221" t="s">
        <v>3147</v>
      </c>
      <c r="Y42" s="227"/>
      <c r="Z42" s="227">
        <f t="shared" si="1"/>
        <v>0</v>
      </c>
      <c r="AA42" s="276" t="e">
        <f>VLOOKUP(Logfile_S12[[#This Row],[DO number]],DO_DB!G:I,3,0)</f>
        <v>#N/A</v>
      </c>
      <c r="AB42" s="331" t="e">
        <f>EXACT(Logfile_S12[[#This Row],[date pick]],Logfile_S12[[#This Row],[Date]])</f>
        <v>#N/A</v>
      </c>
      <c r="AC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3" spans="1:29" ht="14.5" hidden="1">
      <c r="A43" s="220" t="str">
        <f t="shared" si="0"/>
        <v>039</v>
      </c>
      <c r="B43" s="221"/>
      <c r="C43" s="221" t="s">
        <v>3388</v>
      </c>
      <c r="D43" s="221" t="s">
        <v>4893</v>
      </c>
      <c r="E43" s="221" t="s">
        <v>3295</v>
      </c>
      <c r="F43" s="221" t="s">
        <v>3299</v>
      </c>
      <c r="G43" s="222">
        <v>45561</v>
      </c>
      <c r="H43" s="223">
        <v>0.79027777777777775</v>
      </c>
      <c r="I43" s="221" t="s">
        <v>4916</v>
      </c>
      <c r="J43" s="221" t="s">
        <v>3023</v>
      </c>
      <c r="K43" s="224" t="s">
        <v>3080</v>
      </c>
      <c r="L43" s="225" t="str">
        <f>VLOOKUP(Logfile_S12[[#This Row],[Material Name]],Sheet2!B:C,2,0)</f>
        <v>ZTE2010</v>
      </c>
      <c r="M43" s="225" t="str">
        <f>_xlfn.XLOOKUP(Logfile_S12[[#This Row],[Material Name]],Sum_WH!E:E,Sum_WH!F:F,"",0)</f>
        <v>Pcs</v>
      </c>
      <c r="N43" s="221">
        <v>5</v>
      </c>
      <c r="O43" s="221" t="s">
        <v>3314</v>
      </c>
      <c r="P43" s="221" t="s">
        <v>3223</v>
      </c>
      <c r="Q43" s="221"/>
      <c r="R43" s="221"/>
      <c r="S43" s="221"/>
      <c r="T43" s="221" t="s">
        <v>3474</v>
      </c>
      <c r="U43" s="221">
        <v>0</v>
      </c>
      <c r="V43" s="221" t="s">
        <v>3475</v>
      </c>
      <c r="W43" s="221" t="s">
        <v>3476</v>
      </c>
      <c r="X43" s="221" t="s">
        <v>3207</v>
      </c>
      <c r="Y43" s="227"/>
      <c r="Z43" s="227" t="str">
        <f t="shared" si="1"/>
        <v>Transfer Gudang</v>
      </c>
      <c r="AA43" s="276" t="e">
        <f>VLOOKUP(Logfile_S12[[#This Row],[DO number]],DO_DB!G:I,3,0)</f>
        <v>#N/A</v>
      </c>
      <c r="AB43" s="331" t="e">
        <f>EXACT(Logfile_S12[[#This Row],[date pick]],Logfile_S12[[#This Row],[Date]])</f>
        <v>#N/A</v>
      </c>
      <c r="AC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44" spans="1:29" ht="14.5" hidden="1">
      <c r="A44" s="220" t="str">
        <f t="shared" si="0"/>
        <v>040</v>
      </c>
      <c r="B44" s="221"/>
      <c r="C44" s="221" t="s">
        <v>3388</v>
      </c>
      <c r="D44" s="221" t="s">
        <v>4244</v>
      </c>
      <c r="E44" s="221" t="s">
        <v>3295</v>
      </c>
      <c r="F44" s="221" t="s">
        <v>3299</v>
      </c>
      <c r="G44" s="222">
        <v>45565</v>
      </c>
      <c r="H44" s="223">
        <v>0.73263888888888884</v>
      </c>
      <c r="I44" s="221" t="s">
        <v>4922</v>
      </c>
      <c r="J44" s="221" t="s">
        <v>3023</v>
      </c>
      <c r="K44" s="224" t="s">
        <v>3080</v>
      </c>
      <c r="L44" s="225" t="str">
        <f>VLOOKUP(Logfile_S12[[#This Row],[Material Name]],Sheet2!B:C,2,0)</f>
        <v>ZTE2010</v>
      </c>
      <c r="M44" s="225" t="str">
        <f>_xlfn.XLOOKUP(Logfile_S12[[#This Row],[Material Name]],Sum_WH!E:E,Sum_WH!F:F,"",0)</f>
        <v>Pcs</v>
      </c>
      <c r="N44" s="221">
        <v>2</v>
      </c>
      <c r="O44" s="221" t="s">
        <v>3314</v>
      </c>
      <c r="P44" s="221" t="s">
        <v>3223</v>
      </c>
      <c r="Q44" s="221"/>
      <c r="R44" s="221"/>
      <c r="S44" s="221"/>
      <c r="T44" s="221" t="s">
        <v>3247</v>
      </c>
      <c r="U44" s="221">
        <v>0</v>
      </c>
      <c r="V44" s="221" t="s">
        <v>3375</v>
      </c>
      <c r="W44" s="221" t="s">
        <v>3376</v>
      </c>
      <c r="X44" s="221" t="s">
        <v>3477</v>
      </c>
      <c r="Y44" s="227"/>
      <c r="Z44" s="227" t="str">
        <f t="shared" si="1"/>
        <v>Transfer Gudang</v>
      </c>
      <c r="AA44" s="276" t="e">
        <f>VLOOKUP(Logfile_S12[[#This Row],[DO number]],DO_DB!G:I,3,0)</f>
        <v>#N/A</v>
      </c>
      <c r="AB44" s="331" t="e">
        <f>EXACT(Logfile_S12[[#This Row],[date pick]],Logfile_S12[[#This Row],[Date]])</f>
        <v>#N/A</v>
      </c>
      <c r="AC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45" spans="1:29" ht="14.5" hidden="1">
      <c r="A45" s="220" t="str">
        <f t="shared" si="0"/>
        <v>041</v>
      </c>
      <c r="B45" s="221"/>
      <c r="C45" s="221" t="s">
        <v>3388</v>
      </c>
      <c r="D45" s="221" t="s">
        <v>4894</v>
      </c>
      <c r="E45" s="221" t="s">
        <v>3295</v>
      </c>
      <c r="F45" s="221" t="s">
        <v>3299</v>
      </c>
      <c r="G45" s="222">
        <v>45570</v>
      </c>
      <c r="H45" s="223">
        <v>0.79027777777777775</v>
      </c>
      <c r="I45" s="221" t="s">
        <v>4916</v>
      </c>
      <c r="J45" s="221" t="s">
        <v>3023</v>
      </c>
      <c r="K45" s="224" t="s">
        <v>3080</v>
      </c>
      <c r="L45" s="225" t="str">
        <f>VLOOKUP(Logfile_S12[[#This Row],[Material Name]],Sheet2!B:C,2,0)</f>
        <v>ZTE2010</v>
      </c>
      <c r="M45" s="225" t="str">
        <f>_xlfn.XLOOKUP(Logfile_S12[[#This Row],[Material Name]],Sum_WH!E:E,Sum_WH!F:F,"",0)</f>
        <v>Pcs</v>
      </c>
      <c r="N45" s="221">
        <v>3</v>
      </c>
      <c r="O45" s="221" t="s">
        <v>3314</v>
      </c>
      <c r="P45" s="221" t="s">
        <v>3223</v>
      </c>
      <c r="Q45" s="221"/>
      <c r="R45" s="221"/>
      <c r="S45" s="221"/>
      <c r="T45" s="221" t="s">
        <v>3356</v>
      </c>
      <c r="U45" s="221">
        <v>0</v>
      </c>
      <c r="V45" s="221" t="s">
        <v>3357</v>
      </c>
      <c r="W45" s="221" t="s">
        <v>3358</v>
      </c>
      <c r="X45" s="221" t="s">
        <v>3207</v>
      </c>
      <c r="Y45" s="227"/>
      <c r="Z45" s="227" t="str">
        <f t="shared" si="1"/>
        <v>Transfer Gudang</v>
      </c>
      <c r="AA45" s="276" t="e">
        <f>VLOOKUP(Logfile_S12[[#This Row],[DO number]],DO_DB!G:I,3,0)</f>
        <v>#N/A</v>
      </c>
      <c r="AB45" s="331" t="e">
        <f>EXACT(Logfile_S12[[#This Row],[date pick]],Logfile_S12[[#This Row],[Date]])</f>
        <v>#N/A</v>
      </c>
      <c r="AC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46" spans="1:29" ht="14.5" hidden="1">
      <c r="A46" s="220" t="str">
        <f t="shared" si="0"/>
        <v>042</v>
      </c>
      <c r="B46" s="221"/>
      <c r="C46" s="221" t="s">
        <v>49</v>
      </c>
      <c r="D46" s="221" t="s">
        <v>4273</v>
      </c>
      <c r="E46" s="221" t="s">
        <v>3295</v>
      </c>
      <c r="F46" s="221" t="s">
        <v>3299</v>
      </c>
      <c r="G46" s="222">
        <v>45604</v>
      </c>
      <c r="H46" s="223">
        <v>0.57152777777777775</v>
      </c>
      <c r="I46" s="221" t="s">
        <v>4916</v>
      </c>
      <c r="J46" s="221" t="s">
        <v>3023</v>
      </c>
      <c r="K46" s="224" t="s">
        <v>3080</v>
      </c>
      <c r="L46" s="225" t="str">
        <f>VLOOKUP(Logfile_S12[[#This Row],[Material Name]],Sheet2!B:C,2,0)</f>
        <v>ZTE2010</v>
      </c>
      <c r="M46" s="225" t="str">
        <f>_xlfn.XLOOKUP(Logfile_S12[[#This Row],[Material Name]],Sum_WH!E:E,Sum_WH!F:F,"",0)</f>
        <v>Pcs</v>
      </c>
      <c r="N46" s="221">
        <v>2</v>
      </c>
      <c r="O46" s="221" t="s">
        <v>1395</v>
      </c>
      <c r="P46" s="221" t="s">
        <v>1396</v>
      </c>
      <c r="Q46" s="221"/>
      <c r="R46" s="221"/>
      <c r="S46" s="221"/>
      <c r="T46" s="221" t="s">
        <v>3231</v>
      </c>
      <c r="U46" s="221">
        <v>0</v>
      </c>
      <c r="V46" s="221" t="s">
        <v>3232</v>
      </c>
      <c r="W46" s="221" t="s">
        <v>3254</v>
      </c>
      <c r="X46" s="221"/>
      <c r="Y46" s="227"/>
      <c r="Z46" s="227" t="str">
        <f t="shared" si="1"/>
        <v>Candirenggo RW 10 Singosari</v>
      </c>
      <c r="AA46" s="276" t="e">
        <f>VLOOKUP(Logfile_S12[[#This Row],[DO number]],DO_DB!G:I,3,0)</f>
        <v>#N/A</v>
      </c>
      <c r="AB46" s="331" t="e">
        <f>EXACT(Logfile_S12[[#This Row],[date pick]],Logfile_S12[[#This Row],[Date]])</f>
        <v>#N/A</v>
      </c>
      <c r="AC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7" spans="1:29" ht="14.5" hidden="1">
      <c r="A47" s="220" t="str">
        <f t="shared" si="0"/>
        <v>043</v>
      </c>
      <c r="B47" s="221"/>
      <c r="C47" s="221" t="s">
        <v>49</v>
      </c>
      <c r="D47" s="221" t="s">
        <v>4285</v>
      </c>
      <c r="E47" s="221" t="s">
        <v>3295</v>
      </c>
      <c r="F47" s="221" t="s">
        <v>3299</v>
      </c>
      <c r="G47" s="222">
        <v>45620</v>
      </c>
      <c r="H47" s="223">
        <v>0.79027777777777775</v>
      </c>
      <c r="I47" s="221" t="s">
        <v>4916</v>
      </c>
      <c r="J47" s="221" t="s">
        <v>3023</v>
      </c>
      <c r="K47" s="224" t="s">
        <v>3080</v>
      </c>
      <c r="L47" s="225" t="str">
        <f>VLOOKUP(Logfile_S12[[#This Row],[Material Name]],Sheet2!B:C,2,0)</f>
        <v>ZTE2010</v>
      </c>
      <c r="M47" s="225" t="str">
        <f>_xlfn.XLOOKUP(Logfile_S12[[#This Row],[Material Name]],Sum_WH!E:E,Sum_WH!F:F,"",0)</f>
        <v>Pcs</v>
      </c>
      <c r="N47" s="221">
        <v>2</v>
      </c>
      <c r="O47" s="221" t="s">
        <v>2520</v>
      </c>
      <c r="P47" s="221" t="s">
        <v>2521</v>
      </c>
      <c r="Q47" s="221"/>
      <c r="R47" s="221"/>
      <c r="S47" s="221"/>
      <c r="T47" s="221" t="s">
        <v>3231</v>
      </c>
      <c r="U47" s="221">
        <v>0</v>
      </c>
      <c r="V47" s="221" t="s">
        <v>3232</v>
      </c>
      <c r="W47" s="221" t="s">
        <v>3254</v>
      </c>
      <c r="X47" s="221"/>
      <c r="Y47" s="227"/>
      <c r="Z47" s="227" t="str">
        <f t="shared" si="1"/>
        <v>Perumahan Bukit Lawang Indah Malang</v>
      </c>
      <c r="AA47" s="276" t="e">
        <f>VLOOKUP(Logfile_S12[[#This Row],[DO number]],DO_DB!G:I,3,0)</f>
        <v>#N/A</v>
      </c>
      <c r="AB47" s="331" t="e">
        <f>EXACT(Logfile_S12[[#This Row],[date pick]],Logfile_S12[[#This Row],[Date]])</f>
        <v>#N/A</v>
      </c>
      <c r="AC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8" spans="1:29" ht="14.5" hidden="1">
      <c r="A48" s="220" t="str">
        <f t="shared" si="0"/>
        <v>044</v>
      </c>
      <c r="B48" s="221"/>
      <c r="C48" s="221" t="s">
        <v>49</v>
      </c>
      <c r="D48" s="221" t="s">
        <v>4286</v>
      </c>
      <c r="E48" s="221" t="s">
        <v>3295</v>
      </c>
      <c r="F48" s="221" t="s">
        <v>3299</v>
      </c>
      <c r="G48" s="222">
        <v>45621</v>
      </c>
      <c r="H48" s="223">
        <v>0.79027777777777775</v>
      </c>
      <c r="I48" s="221" t="s">
        <v>4916</v>
      </c>
      <c r="J48" s="221" t="s">
        <v>3023</v>
      </c>
      <c r="K48" s="224" t="s">
        <v>3080</v>
      </c>
      <c r="L48" s="225" t="str">
        <f>VLOOKUP(Logfile_S12[[#This Row],[Material Name]],Sheet2!B:C,2,0)</f>
        <v>ZTE2010</v>
      </c>
      <c r="M48" s="225" t="str">
        <f>_xlfn.XLOOKUP(Logfile_S12[[#This Row],[Material Name]],Sum_WH!E:E,Sum_WH!F:F,"",0)</f>
        <v>Pcs</v>
      </c>
      <c r="N48" s="221">
        <v>1</v>
      </c>
      <c r="O48" s="221" t="s">
        <v>2520</v>
      </c>
      <c r="P48" s="221" t="s">
        <v>2521</v>
      </c>
      <c r="Q48" s="221"/>
      <c r="R48" s="221"/>
      <c r="S48" s="221"/>
      <c r="T48" s="221" t="s">
        <v>3471</v>
      </c>
      <c r="U48" s="221">
        <v>0</v>
      </c>
      <c r="V48" s="221" t="s">
        <v>3472</v>
      </c>
      <c r="W48" s="221" t="s">
        <v>3473</v>
      </c>
      <c r="X48" s="221"/>
      <c r="Y48" s="227"/>
      <c r="Z48" s="227" t="str">
        <f t="shared" si="1"/>
        <v>Perumahan Bukit Lawang Indah Malang</v>
      </c>
      <c r="AA48" s="276" t="e">
        <f>VLOOKUP(Logfile_S12[[#This Row],[DO number]],DO_DB!G:I,3,0)</f>
        <v>#N/A</v>
      </c>
      <c r="AB48" s="331" t="e">
        <f>EXACT(Logfile_S12[[#This Row],[date pick]],Logfile_S12[[#This Row],[Date]])</f>
        <v>#N/A</v>
      </c>
      <c r="AC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9" spans="1:29" ht="14.5" hidden="1">
      <c r="A49" s="228" t="str">
        <f t="shared" si="0"/>
        <v>045</v>
      </c>
      <c r="B49" s="229">
        <v>2</v>
      </c>
      <c r="C49" s="230" t="s">
        <v>48</v>
      </c>
      <c r="D49" s="230" t="s">
        <v>4848</v>
      </c>
      <c r="E49" s="230" t="s">
        <v>3295</v>
      </c>
      <c r="F49" s="230" t="s">
        <v>3299</v>
      </c>
      <c r="G49" s="231">
        <v>46134</v>
      </c>
      <c r="H49" s="232">
        <v>0.25</v>
      </c>
      <c r="I49" s="229" t="s">
        <v>37</v>
      </c>
      <c r="J49" s="229" t="s">
        <v>3023</v>
      </c>
      <c r="K49" s="233" t="s">
        <v>3080</v>
      </c>
      <c r="L49" s="234" t="str">
        <f>VLOOKUP(Logfile_S12[[#This Row],[Material Name]],Sheet2!B:C,2,0)</f>
        <v>ZTE2010</v>
      </c>
      <c r="M49" s="234" t="s">
        <v>19</v>
      </c>
      <c r="N49" s="230">
        <v>9</v>
      </c>
      <c r="O49" s="230" t="s">
        <v>4429</v>
      </c>
      <c r="P49" s="230" t="s">
        <v>4429</v>
      </c>
      <c r="Q49" s="230"/>
      <c r="R49" s="230"/>
      <c r="S49" s="230"/>
      <c r="T49" s="230"/>
      <c r="U49" s="230"/>
      <c r="V49" s="230"/>
      <c r="W49" s="230"/>
      <c r="X49" s="230" t="s">
        <v>4429</v>
      </c>
      <c r="Y49" s="227"/>
      <c r="Z49" s="227" t="str">
        <f t="shared" si="1"/>
        <v>ADJUSTMENT</v>
      </c>
      <c r="AA49" s="276" t="e">
        <f>VLOOKUP(Logfile_S12[[#This Row],[DO number]],DO_DB!G:I,3,0)</f>
        <v>#N/A</v>
      </c>
      <c r="AB49" s="331" t="e">
        <f>EXACT(Logfile_S12[[#This Row],[date pick]],Logfile_S12[[#This Row],[Date]])</f>
        <v>#N/A</v>
      </c>
      <c r="AC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0" spans="1:29" ht="14.5" hidden="1">
      <c r="A50" s="220" t="str">
        <f t="shared" si="0"/>
        <v>046</v>
      </c>
      <c r="B50" s="221">
        <v>1</v>
      </c>
      <c r="C50" s="221" t="s">
        <v>48</v>
      </c>
      <c r="D50" s="221" t="s">
        <v>3678</v>
      </c>
      <c r="E50" s="221" t="s">
        <v>3295</v>
      </c>
      <c r="F50" s="221" t="s">
        <v>3299</v>
      </c>
      <c r="G50" s="222">
        <v>45142</v>
      </c>
      <c r="H50" s="223">
        <v>15.291666666666666</v>
      </c>
      <c r="I50" s="221" t="s">
        <v>37</v>
      </c>
      <c r="J50" s="221" t="s">
        <v>3023</v>
      </c>
      <c r="K50" s="224" t="s">
        <v>3073</v>
      </c>
      <c r="L50" s="225" t="str">
        <f>VLOOKUP(Logfile_S12[[#This Row],[Material Name]],Sheet2!B:C,2,0)</f>
        <v>ZTE2001</v>
      </c>
      <c r="M50" s="225" t="str">
        <f>_xlfn.XLOOKUP(Logfile_S12[[#This Row],[Material Name]],Sum_WH!E:E,Sum_WH!F:F,"",0)</f>
        <v>Meter</v>
      </c>
      <c r="N50" s="221">
        <v>3000</v>
      </c>
      <c r="O50" s="221" t="s">
        <v>84</v>
      </c>
      <c r="P50" s="221" t="s">
        <v>85</v>
      </c>
      <c r="Q50" s="221" t="s">
        <v>86</v>
      </c>
      <c r="R50" s="221" t="s">
        <v>87</v>
      </c>
      <c r="S50" s="221"/>
      <c r="T50" s="221"/>
      <c r="U50" s="221"/>
      <c r="V50" s="221"/>
      <c r="W50" s="221"/>
      <c r="X50" s="235"/>
      <c r="Y50" s="236" t="s">
        <v>4946</v>
      </c>
      <c r="Z50" s="227" t="str">
        <f t="shared" si="1"/>
        <v>Perumahan Bumi Podo Rukun Dau</v>
      </c>
      <c r="AA50" s="276">
        <f>VLOOKUP(Logfile_S12[[#This Row],[DO number]],DO_DB!G:I,3,0)</f>
        <v>45142</v>
      </c>
      <c r="AB50" s="331" t="b">
        <f>EXACT(Logfile_S12[[#This Row],[date pick]],Logfile_S12[[#This Row],[Date]])</f>
        <v>1</v>
      </c>
      <c r="AC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24C-202384-01</v>
      </c>
    </row>
    <row r="51" spans="1:29" ht="14.5">
      <c r="A51" s="237" t="str">
        <f t="shared" si="0"/>
        <v>047</v>
      </c>
      <c r="B51" s="221"/>
      <c r="C51" s="227" t="s">
        <v>48</v>
      </c>
      <c r="D51" s="227" t="s">
        <v>4439</v>
      </c>
      <c r="E51" s="227" t="s">
        <v>3295</v>
      </c>
      <c r="F51" s="227" t="s">
        <v>3299</v>
      </c>
      <c r="G51" s="239">
        <v>45261</v>
      </c>
      <c r="H51" s="240">
        <v>0.79166666666666663</v>
      </c>
      <c r="I51" s="227" t="s">
        <v>3586</v>
      </c>
      <c r="J51" s="482" t="s">
        <v>4432</v>
      </c>
      <c r="K51" s="241" t="s">
        <v>3075</v>
      </c>
      <c r="L51" s="225" t="str">
        <f>VLOOKUP(Logfile_S12[[#This Row],[Material Name]],Sheet2!B:C,2,0)</f>
        <v>ZTE2003</v>
      </c>
      <c r="M51" s="242" t="s">
        <v>20</v>
      </c>
      <c r="N51" s="227">
        <v>115</v>
      </c>
      <c r="O51" s="227" t="s">
        <v>222</v>
      </c>
      <c r="P51" s="227" t="s">
        <v>223</v>
      </c>
      <c r="Q51" s="227"/>
      <c r="R51" s="227"/>
      <c r="S51" s="227"/>
      <c r="T51" s="227"/>
      <c r="U51" s="227"/>
      <c r="V51" s="227"/>
      <c r="W51" s="227"/>
      <c r="X51" s="227" t="s">
        <v>3604</v>
      </c>
      <c r="Y51" s="238" t="s">
        <v>5297</v>
      </c>
      <c r="Z51" s="238" t="s">
        <v>4440</v>
      </c>
      <c r="AA51" s="276" t="e">
        <f>VLOOKUP(Logfile_S12[[#This Row],[DO number]],DO_DB!G:I,3,0)</f>
        <v>#N/A</v>
      </c>
      <c r="AB51" s="332" t="e">
        <f>EXACT(Logfile_S12[[#This Row],[date pick]],Logfile_S12[[#This Row],[Date]])</f>
        <v>#N/A</v>
      </c>
      <c r="AC51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OUTBOUND_B-015-115m</v>
      </c>
    </row>
    <row r="52" spans="1:29" ht="14.5" hidden="1">
      <c r="A52" s="237" t="str">
        <f t="shared" si="0"/>
        <v>048</v>
      </c>
      <c r="B52" s="221"/>
      <c r="C52" s="227" t="s">
        <v>48</v>
      </c>
      <c r="D52" s="227" t="s">
        <v>4959</v>
      </c>
      <c r="E52" s="227" t="s">
        <v>3295</v>
      </c>
      <c r="F52" s="227" t="s">
        <v>3299</v>
      </c>
      <c r="G52" s="239">
        <v>45148</v>
      </c>
      <c r="H52" s="240">
        <v>15.692638888888888</v>
      </c>
      <c r="I52" s="227" t="s">
        <v>3586</v>
      </c>
      <c r="J52" s="482" t="s">
        <v>4432</v>
      </c>
      <c r="K52" s="241" t="s">
        <v>3073</v>
      </c>
      <c r="L52" s="225" t="str">
        <f>VLOOKUP(Logfile_S12[[#This Row],[Material Name]],Sheet2!B:C,2,0)</f>
        <v>ZTE2001</v>
      </c>
      <c r="M52" s="242" t="s">
        <v>20</v>
      </c>
      <c r="N52" s="227">
        <v>1721</v>
      </c>
      <c r="O52" s="227" t="s">
        <v>84</v>
      </c>
      <c r="P52" s="227" t="s">
        <v>85</v>
      </c>
      <c r="Q52" s="227"/>
      <c r="R52" s="227"/>
      <c r="S52" s="227"/>
      <c r="T52" s="227" t="s">
        <v>3305</v>
      </c>
      <c r="U52" s="227" t="s">
        <v>3228</v>
      </c>
      <c r="V52" s="227" t="s">
        <v>3306</v>
      </c>
      <c r="W52" s="227" t="s">
        <v>3307</v>
      </c>
      <c r="X52" s="227" t="s">
        <v>3483</v>
      </c>
      <c r="Y52" s="238" t="s">
        <v>4946</v>
      </c>
      <c r="Z52" s="238" t="str">
        <f>P52</f>
        <v>Perumahan Bumi Podo Rukun Dau</v>
      </c>
      <c r="AA52" s="276" t="e">
        <f>VLOOKUP(Logfile_S12[[#This Row],[DO number]],DO_DB!G:I,3,0)</f>
        <v>#N/A</v>
      </c>
      <c r="AB52" s="332" t="e">
        <f>EXACT(Logfile_S12[[#This Row],[date pick]],Logfile_S12[[#This Row],[Date]])</f>
        <v>#N/A</v>
      </c>
      <c r="AC5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24C-202384-01</v>
      </c>
    </row>
    <row r="53" spans="1:29" ht="14.5" hidden="1">
      <c r="A53" s="220" t="str">
        <f t="shared" si="0"/>
        <v>049</v>
      </c>
      <c r="B53" s="221"/>
      <c r="C53" s="221" t="s">
        <v>49</v>
      </c>
      <c r="D53" s="221" t="s">
        <v>3684</v>
      </c>
      <c r="E53" s="221" t="s">
        <v>3295</v>
      </c>
      <c r="F53" s="221" t="s">
        <v>3299</v>
      </c>
      <c r="G53" s="222">
        <v>45148</v>
      </c>
      <c r="H53" s="223">
        <v>15.692638888888888</v>
      </c>
      <c r="I53" s="221" t="s">
        <v>4916</v>
      </c>
      <c r="J53" s="221" t="s">
        <v>3023</v>
      </c>
      <c r="K53" s="224" t="s">
        <v>3073</v>
      </c>
      <c r="L53" s="225" t="str">
        <f>VLOOKUP(Logfile_S12[[#This Row],[Material Name]],Sheet2!B:C,2,0)</f>
        <v>ZTE2001</v>
      </c>
      <c r="M53" s="225" t="str">
        <f>_xlfn.XLOOKUP(Logfile_S12[[#This Row],[Material Name]],Sum_WH!E:E,Sum_WH!F:F,"",0)</f>
        <v>Meter</v>
      </c>
      <c r="N53" s="221">
        <v>3000</v>
      </c>
      <c r="O53" s="221" t="s">
        <v>84</v>
      </c>
      <c r="P53" s="221" t="s">
        <v>85</v>
      </c>
      <c r="Q53" s="221"/>
      <c r="R53" s="221"/>
      <c r="S53" s="221"/>
      <c r="T53" s="221" t="s">
        <v>3305</v>
      </c>
      <c r="U53" s="221" t="s">
        <v>3228</v>
      </c>
      <c r="V53" s="221" t="s">
        <v>3306</v>
      </c>
      <c r="W53" s="221" t="s">
        <v>3307</v>
      </c>
      <c r="X53" s="235" t="s">
        <v>3483</v>
      </c>
      <c r="Y53" s="236" t="s">
        <v>4946</v>
      </c>
      <c r="Z53" s="227" t="str">
        <f>P53</f>
        <v>Perumahan Bumi Podo Rukun Dau</v>
      </c>
      <c r="AA53" s="276" t="e">
        <f>VLOOKUP(Logfile_S12[[#This Row],[DO number]],DO_DB!G:I,3,0)</f>
        <v>#N/A</v>
      </c>
      <c r="AB53" s="331" t="e">
        <f>EXACT(Logfile_S12[[#This Row],[date pick]],Logfile_S12[[#This Row],[Date]])</f>
        <v>#N/A</v>
      </c>
      <c r="AC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24C-202384-01</v>
      </c>
    </row>
    <row r="54" spans="1:29" ht="14.5">
      <c r="A54" s="237" t="str">
        <f t="shared" si="0"/>
        <v>050</v>
      </c>
      <c r="B54" s="221"/>
      <c r="C54" s="227" t="s">
        <v>48</v>
      </c>
      <c r="D54" s="227" t="s">
        <v>4439</v>
      </c>
      <c r="E54" s="227" t="s">
        <v>3295</v>
      </c>
      <c r="F54" s="227" t="s">
        <v>3299</v>
      </c>
      <c r="G54" s="239">
        <v>45261</v>
      </c>
      <c r="H54" s="240">
        <v>0.79166666666666663</v>
      </c>
      <c r="I54" s="227" t="s">
        <v>3586</v>
      </c>
      <c r="J54" s="482" t="s">
        <v>4432</v>
      </c>
      <c r="K54" s="241" t="s">
        <v>3075</v>
      </c>
      <c r="L54" s="225" t="str">
        <f>VLOOKUP(Logfile_S12[[#This Row],[Material Name]],Sheet2!B:C,2,0)</f>
        <v>ZTE2003</v>
      </c>
      <c r="M54" s="242" t="s">
        <v>20</v>
      </c>
      <c r="N54" s="227">
        <v>65</v>
      </c>
      <c r="O54" s="227" t="s">
        <v>222</v>
      </c>
      <c r="P54" s="227" t="s">
        <v>223</v>
      </c>
      <c r="Q54" s="227"/>
      <c r="R54" s="227"/>
      <c r="S54" s="227"/>
      <c r="T54" s="227"/>
      <c r="U54" s="227"/>
      <c r="V54" s="227"/>
      <c r="W54" s="227"/>
      <c r="X54" s="227" t="s">
        <v>3605</v>
      </c>
      <c r="Y54" s="238" t="s">
        <v>5298</v>
      </c>
      <c r="Z54" s="238" t="s">
        <v>4441</v>
      </c>
      <c r="AA54" s="276" t="e">
        <f>VLOOKUP(Logfile_S12[[#This Row],[DO number]],DO_DB!G:I,3,0)</f>
        <v>#N/A</v>
      </c>
      <c r="AB54" s="332" t="e">
        <f>EXACT(Logfile_S12[[#This Row],[date pick]],Logfile_S12[[#This Row],[Date]])</f>
        <v>#N/A</v>
      </c>
      <c r="AC5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OUTBOUND_B-016-65m</v>
      </c>
    </row>
    <row r="55" spans="1:29" ht="14.5">
      <c r="A55" s="220" t="str">
        <f t="shared" si="0"/>
        <v>051</v>
      </c>
      <c r="B55" s="221"/>
      <c r="C55" s="221" t="s">
        <v>48</v>
      </c>
      <c r="D55" s="221" t="s">
        <v>3754</v>
      </c>
      <c r="E55" s="221" t="s">
        <v>3295</v>
      </c>
      <c r="F55" s="221" t="s">
        <v>3299</v>
      </c>
      <c r="G55" s="222">
        <v>45213</v>
      </c>
      <c r="H55" s="223">
        <v>15.291666666666666</v>
      </c>
      <c r="I55" s="221" t="s">
        <v>37</v>
      </c>
      <c r="J55" s="221" t="s">
        <v>3023</v>
      </c>
      <c r="K55" s="224" t="s">
        <v>3075</v>
      </c>
      <c r="L55" s="225" t="str">
        <f>VLOOKUP(Logfile_S12[[#This Row],[Material Name]],Sheet2!B:C,2,0)</f>
        <v>ZTE2003</v>
      </c>
      <c r="M55" s="225" t="str">
        <f>_xlfn.XLOOKUP(Logfile_S12[[#This Row],[Material Name]],Sum_WH!E:E,Sum_WH!F:F,"",0)</f>
        <v>Meter</v>
      </c>
      <c r="N55" s="221">
        <v>3000</v>
      </c>
      <c r="O55" s="221" t="s">
        <v>328</v>
      </c>
      <c r="P55" s="221" t="s">
        <v>329</v>
      </c>
      <c r="Q55" s="221" t="s">
        <v>330</v>
      </c>
      <c r="R55" s="221" t="s">
        <v>331</v>
      </c>
      <c r="S55" s="221"/>
      <c r="T55" s="221"/>
      <c r="U55" s="221"/>
      <c r="V55" s="221"/>
      <c r="W55" s="221"/>
      <c r="X55" s="221"/>
      <c r="Y55" s="227" t="s">
        <v>5054</v>
      </c>
      <c r="Z55" s="227" t="str">
        <f>P55</f>
        <v>Sukodadi RW 01 Wagir</v>
      </c>
      <c r="AA55" s="276">
        <f>VLOOKUP(Logfile_S12[[#This Row],[DO number]],DO_DB!G:I,3,0)</f>
        <v>45213</v>
      </c>
      <c r="AB55" s="331" t="b">
        <f>EXACT(Logfile_S12[[#This Row],[date pick]],Logfile_S12[[#This Row],[Date]])</f>
        <v>1</v>
      </c>
      <c r="AC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48C-20231014-01</v>
      </c>
    </row>
    <row r="56" spans="1:29" ht="14.5">
      <c r="A56" s="220" t="str">
        <f t="shared" si="0"/>
        <v>052</v>
      </c>
      <c r="B56" s="221"/>
      <c r="C56" s="221" t="s">
        <v>49</v>
      </c>
      <c r="D56" s="221" t="s">
        <v>3797</v>
      </c>
      <c r="E56" s="221" t="s">
        <v>3295</v>
      </c>
      <c r="F56" s="221" t="s">
        <v>3299</v>
      </c>
      <c r="G56" s="222">
        <v>45224</v>
      </c>
      <c r="H56" s="223">
        <v>0.52083333333333337</v>
      </c>
      <c r="I56" s="221" t="s">
        <v>4916</v>
      </c>
      <c r="J56" s="221" t="s">
        <v>3023</v>
      </c>
      <c r="K56" s="224" t="s">
        <v>3075</v>
      </c>
      <c r="L56" s="225" t="str">
        <f>VLOOKUP(Logfile_S12[[#This Row],[Material Name]],Sheet2!B:C,2,0)</f>
        <v>ZTE2003</v>
      </c>
      <c r="M56" s="225" t="str">
        <f>_xlfn.XLOOKUP(Logfile_S12[[#This Row],[Material Name]],Sum_WH!E:E,Sum_WH!F:F,"",0)</f>
        <v>Meter</v>
      </c>
      <c r="N56" s="221">
        <v>3000</v>
      </c>
      <c r="O56" s="221" t="s">
        <v>328</v>
      </c>
      <c r="P56" s="221" t="s">
        <v>329</v>
      </c>
      <c r="Q56" s="221"/>
      <c r="R56" s="221"/>
      <c r="S56" s="221"/>
      <c r="T56" s="221" t="s">
        <v>3346</v>
      </c>
      <c r="U56" s="221" t="s">
        <v>3332</v>
      </c>
      <c r="V56" s="221" t="s">
        <v>3347</v>
      </c>
      <c r="W56" s="221" t="s">
        <v>3387</v>
      </c>
      <c r="X56" s="221"/>
      <c r="Y56" s="227" t="s">
        <v>5054</v>
      </c>
      <c r="Z56" s="227" t="str">
        <f>P56</f>
        <v>Sukodadi RW 01 Wagir</v>
      </c>
      <c r="AA56" s="276" t="e">
        <f>VLOOKUP(Logfile_S12[[#This Row],[DO number]],DO_DB!G:I,3,0)</f>
        <v>#N/A</v>
      </c>
      <c r="AB56" s="331" t="e">
        <f>EXACT(Logfile_S12[[#This Row],[date pick]],Logfile_S12[[#This Row],[Date]])</f>
        <v>#N/A</v>
      </c>
      <c r="AC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48C-20231014-01</v>
      </c>
    </row>
    <row r="57" spans="1:29" ht="14.5">
      <c r="A57" s="220" t="str">
        <f t="shared" si="0"/>
        <v>053</v>
      </c>
      <c r="B57" s="221"/>
      <c r="C57" s="221" t="s">
        <v>48</v>
      </c>
      <c r="D57" s="221" t="s">
        <v>3754</v>
      </c>
      <c r="E57" s="221" t="s">
        <v>3295</v>
      </c>
      <c r="F57" s="221" t="s">
        <v>3299</v>
      </c>
      <c r="G57" s="222">
        <v>45213</v>
      </c>
      <c r="H57" s="223">
        <v>15.291666666666666</v>
      </c>
      <c r="I57" s="221" t="s">
        <v>37</v>
      </c>
      <c r="J57" s="221" t="s">
        <v>3023</v>
      </c>
      <c r="K57" s="224" t="s">
        <v>3075</v>
      </c>
      <c r="L57" s="225" t="str">
        <f>VLOOKUP(Logfile_S12[[#This Row],[Material Name]],Sheet2!B:C,2,0)</f>
        <v>ZTE2003</v>
      </c>
      <c r="M57" s="225" t="str">
        <f>_xlfn.XLOOKUP(Logfile_S12[[#This Row],[Material Name]],Sum_WH!E:E,Sum_WH!F:F,"",0)</f>
        <v>Meter</v>
      </c>
      <c r="N57" s="221">
        <v>3000</v>
      </c>
      <c r="O57" s="221" t="s">
        <v>340</v>
      </c>
      <c r="P57" s="221" t="s">
        <v>341</v>
      </c>
      <c r="Q57" s="221" t="s">
        <v>342</v>
      </c>
      <c r="R57" s="221" t="s">
        <v>343</v>
      </c>
      <c r="S57" s="221"/>
      <c r="T57" s="221"/>
      <c r="U57" s="221"/>
      <c r="V57" s="221"/>
      <c r="W57" s="221"/>
      <c r="X57" s="221"/>
      <c r="Y57" s="227" t="s">
        <v>5055</v>
      </c>
      <c r="Z57" s="227" t="str">
        <f>P57</f>
        <v>Jedong RW 08 Wagir</v>
      </c>
      <c r="AA57" s="276">
        <f>VLOOKUP(Logfile_S12[[#This Row],[DO number]],DO_DB!G:I,3,0)</f>
        <v>45213</v>
      </c>
      <c r="AB57" s="331" t="b">
        <f>EXACT(Logfile_S12[[#This Row],[date pick]],Logfile_S12[[#This Row],[Date]])</f>
        <v>1</v>
      </c>
      <c r="AC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48C-20231014-02</v>
      </c>
    </row>
    <row r="58" spans="1:29" ht="14.5" hidden="1">
      <c r="A58" s="237" t="str">
        <f t="shared" si="0"/>
        <v>054</v>
      </c>
      <c r="B58" s="221"/>
      <c r="C58" s="227" t="s">
        <v>48</v>
      </c>
      <c r="D58" s="227" t="s">
        <v>4434</v>
      </c>
      <c r="E58" s="227" t="s">
        <v>3295</v>
      </c>
      <c r="F58" s="227" t="s">
        <v>3299</v>
      </c>
      <c r="G58" s="239">
        <v>45173</v>
      </c>
      <c r="H58" s="240">
        <v>0.69236111111111109</v>
      </c>
      <c r="I58" s="227" t="s">
        <v>3586</v>
      </c>
      <c r="J58" s="482" t="s">
        <v>4432</v>
      </c>
      <c r="K58" s="241" t="s">
        <v>3073</v>
      </c>
      <c r="L58" s="225" t="str">
        <f>VLOOKUP(Logfile_S12[[#This Row],[Material Name]],Sheet2!B:C,2,0)</f>
        <v>ZTE2001</v>
      </c>
      <c r="M58" s="242" t="s">
        <v>20</v>
      </c>
      <c r="N58" s="227">
        <v>60</v>
      </c>
      <c r="O58" s="227" t="s">
        <v>150</v>
      </c>
      <c r="P58" s="227" t="s">
        <v>151</v>
      </c>
      <c r="Q58" s="227"/>
      <c r="R58" s="227"/>
      <c r="S58" s="227"/>
      <c r="T58" s="227"/>
      <c r="U58" s="227"/>
      <c r="V58" s="227"/>
      <c r="W58" s="227"/>
      <c r="X58" s="227" t="s">
        <v>3608</v>
      </c>
      <c r="Y58" s="238" t="s">
        <v>4946</v>
      </c>
      <c r="Z58" s="238" t="s">
        <v>4435</v>
      </c>
      <c r="AA58" s="276" t="e">
        <f>VLOOKUP(Logfile_S12[[#This Row],[DO number]],DO_DB!G:I,3,0)</f>
        <v>#N/A</v>
      </c>
      <c r="AB58" s="332" t="e">
        <f>EXACT(Logfile_S12[[#This Row],[date pick]],Logfile_S12[[#This Row],[Date]])</f>
        <v>#N/A</v>
      </c>
      <c r="AC58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24C-202384-01</v>
      </c>
    </row>
    <row r="59" spans="1:29" ht="14.5" hidden="1">
      <c r="A59" s="237" t="str">
        <f t="shared" si="0"/>
        <v>055</v>
      </c>
      <c r="B59" s="221"/>
      <c r="C59" s="227" t="s">
        <v>49</v>
      </c>
      <c r="D59" s="227" t="s">
        <v>3696</v>
      </c>
      <c r="E59" s="227" t="s">
        <v>3295</v>
      </c>
      <c r="F59" s="227" t="s">
        <v>3299</v>
      </c>
      <c r="G59" s="239">
        <v>45173</v>
      </c>
      <c r="H59" s="240">
        <v>0.69236111111111109</v>
      </c>
      <c r="I59" s="227" t="s">
        <v>3586</v>
      </c>
      <c r="J59" s="482" t="s">
        <v>4432</v>
      </c>
      <c r="K59" s="241" t="s">
        <v>3073</v>
      </c>
      <c r="L59" s="225" t="str">
        <f>VLOOKUP(Logfile_S12[[#This Row],[Material Name]],Sheet2!B:C,2,0)</f>
        <v>ZTE2001</v>
      </c>
      <c r="M59" s="242" t="s">
        <v>20</v>
      </c>
      <c r="N59" s="227">
        <v>1721</v>
      </c>
      <c r="O59" s="227" t="s">
        <v>150</v>
      </c>
      <c r="P59" s="227" t="s">
        <v>151</v>
      </c>
      <c r="Q59" s="227"/>
      <c r="R59" s="227"/>
      <c r="S59" s="227"/>
      <c r="T59" s="227"/>
      <c r="U59" s="227"/>
      <c r="V59" s="227"/>
      <c r="W59" s="227"/>
      <c r="X59" s="227"/>
      <c r="Y59" s="238" t="s">
        <v>4946</v>
      </c>
      <c r="Z59" s="238" t="str">
        <f>P59</f>
        <v>Mulyorejo RW 04 Sukun</v>
      </c>
      <c r="AA59" s="276" t="e">
        <f>VLOOKUP(Logfile_S12[[#This Row],[DO number]],DO_DB!G:I,3,0)</f>
        <v>#N/A</v>
      </c>
      <c r="AB59" s="332" t="e">
        <f>EXACT(Logfile_S12[[#This Row],[date pick]],Logfile_S12[[#This Row],[Date]])</f>
        <v>#N/A</v>
      </c>
      <c r="AC5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24C-202384-01</v>
      </c>
    </row>
    <row r="60" spans="1:29" ht="14.5" hidden="1">
      <c r="A60" s="237" t="str">
        <f t="shared" si="0"/>
        <v>056</v>
      </c>
      <c r="B60" s="221"/>
      <c r="C60" s="227" t="s">
        <v>48</v>
      </c>
      <c r="D60" s="227" t="s">
        <v>4964</v>
      </c>
      <c r="E60" s="227" t="s">
        <v>3295</v>
      </c>
      <c r="F60" s="227" t="s">
        <v>3299</v>
      </c>
      <c r="G60" s="239">
        <v>45173</v>
      </c>
      <c r="H60" s="240">
        <v>0.69236111111111109</v>
      </c>
      <c r="I60" s="227" t="s">
        <v>3586</v>
      </c>
      <c r="J60" s="482" t="s">
        <v>4432</v>
      </c>
      <c r="K60" s="241" t="s">
        <v>3073</v>
      </c>
      <c r="L60" s="225" t="str">
        <f>VLOOKUP(Logfile_S12[[#This Row],[Material Name]],Sheet2!B:C,2,0)</f>
        <v>ZTE2001</v>
      </c>
      <c r="M60" s="242" t="s">
        <v>20</v>
      </c>
      <c r="N60" s="227">
        <v>926</v>
      </c>
      <c r="O60" s="227" t="s">
        <v>150</v>
      </c>
      <c r="P60" s="227" t="s">
        <v>151</v>
      </c>
      <c r="Q60" s="227"/>
      <c r="R60" s="227"/>
      <c r="S60" s="227"/>
      <c r="T60" s="227"/>
      <c r="U60" s="227"/>
      <c r="V60" s="227"/>
      <c r="W60" s="227"/>
      <c r="X60" s="227"/>
      <c r="Y60" s="238" t="s">
        <v>4946</v>
      </c>
      <c r="Z60" s="238" t="str">
        <f>P60</f>
        <v>Mulyorejo RW 04 Sukun</v>
      </c>
      <c r="AA60" s="276" t="e">
        <f>VLOOKUP(Logfile_S12[[#This Row],[DO number]],DO_DB!G:I,3,0)</f>
        <v>#N/A</v>
      </c>
      <c r="AB60" s="332" t="e">
        <f>EXACT(Logfile_S12[[#This Row],[date pick]],Logfile_S12[[#This Row],[Date]])</f>
        <v>#N/A</v>
      </c>
      <c r="AC60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24C-202384-01</v>
      </c>
    </row>
    <row r="61" spans="1:29" ht="14.5" hidden="1">
      <c r="A61" s="237" t="str">
        <f t="shared" si="0"/>
        <v>057</v>
      </c>
      <c r="B61" s="221"/>
      <c r="C61" s="227" t="s">
        <v>48</v>
      </c>
      <c r="D61" s="227" t="s">
        <v>4431</v>
      </c>
      <c r="E61" s="227" t="s">
        <v>3295</v>
      </c>
      <c r="F61" s="227" t="s">
        <v>3299</v>
      </c>
      <c r="G61" s="239">
        <v>45173</v>
      </c>
      <c r="H61" s="240">
        <v>0.79166666666666663</v>
      </c>
      <c r="I61" s="227" t="s">
        <v>3586</v>
      </c>
      <c r="J61" s="482" t="s">
        <v>4432</v>
      </c>
      <c r="K61" s="241" t="s">
        <v>3073</v>
      </c>
      <c r="L61" s="225" t="str">
        <f>VLOOKUP(Logfile_S12[[#This Row],[Material Name]],Sheet2!B:C,2,0)</f>
        <v>ZTE2001</v>
      </c>
      <c r="M61" s="242" t="s">
        <v>20</v>
      </c>
      <c r="N61" s="227">
        <v>158</v>
      </c>
      <c r="O61" s="227" t="s">
        <v>150</v>
      </c>
      <c r="P61" s="227" t="s">
        <v>151</v>
      </c>
      <c r="Q61" s="227"/>
      <c r="R61" s="227"/>
      <c r="S61" s="227"/>
      <c r="T61" s="227"/>
      <c r="U61" s="227"/>
      <c r="V61" s="227"/>
      <c r="W61" s="227"/>
      <c r="X61" s="227" t="s">
        <v>3606</v>
      </c>
      <c r="Y61" s="238" t="s">
        <v>5284</v>
      </c>
      <c r="Z61" s="238" t="s">
        <v>4433</v>
      </c>
      <c r="AA61" s="276" t="e">
        <f>VLOOKUP(Logfile_S12[[#This Row],[DO number]],DO_DB!G:I,3,0)</f>
        <v>#N/A</v>
      </c>
      <c r="AB61" s="332" t="e">
        <f>EXACT(Logfile_S12[[#This Row],[date pick]],Logfile_S12[[#This Row],[Date]])</f>
        <v>#N/A</v>
      </c>
      <c r="AC61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OUTBOUND_A-019-158m</v>
      </c>
    </row>
    <row r="62" spans="1:29" ht="14.5" hidden="1">
      <c r="A62" s="237" t="str">
        <f t="shared" si="0"/>
        <v>058</v>
      </c>
      <c r="B62" s="221"/>
      <c r="C62" s="227" t="s">
        <v>48</v>
      </c>
      <c r="D62" s="227" t="s">
        <v>4431</v>
      </c>
      <c r="E62" s="227" t="s">
        <v>3295</v>
      </c>
      <c r="F62" s="227" t="s">
        <v>3299</v>
      </c>
      <c r="G62" s="239">
        <v>45173</v>
      </c>
      <c r="H62" s="240">
        <v>0.79166666666666663</v>
      </c>
      <c r="I62" s="227" t="s">
        <v>3586</v>
      </c>
      <c r="J62" s="482" t="s">
        <v>4432</v>
      </c>
      <c r="K62" s="241" t="s">
        <v>3073</v>
      </c>
      <c r="L62" s="225" t="str">
        <f>VLOOKUP(Logfile_S12[[#This Row],[Material Name]],Sheet2!B:C,2,0)</f>
        <v>ZTE2001</v>
      </c>
      <c r="M62" s="242" t="s">
        <v>20</v>
      </c>
      <c r="N62" s="227">
        <v>418</v>
      </c>
      <c r="O62" s="227" t="s">
        <v>150</v>
      </c>
      <c r="P62" s="227" t="s">
        <v>151</v>
      </c>
      <c r="Q62" s="227"/>
      <c r="R62" s="227"/>
      <c r="S62" s="227"/>
      <c r="T62" s="227"/>
      <c r="U62" s="227"/>
      <c r="V62" s="227"/>
      <c r="W62" s="227"/>
      <c r="X62" s="227"/>
      <c r="Y62" s="238" t="s">
        <v>5285</v>
      </c>
      <c r="Z62" s="238" t="str">
        <f>P62</f>
        <v>Mulyorejo RW 04 Sukun</v>
      </c>
      <c r="AA62" s="276" t="e">
        <f>VLOOKUP(Logfile_S12[[#This Row],[DO number]],DO_DB!G:I,3,0)</f>
        <v>#N/A</v>
      </c>
      <c r="AB62" s="332" t="e">
        <f>EXACT(Logfile_S12[[#This Row],[date pick]],Logfile_S12[[#This Row],[Date]])</f>
        <v>#N/A</v>
      </c>
      <c r="AC6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OUTBOUND_A-020-418m</v>
      </c>
    </row>
    <row r="63" spans="1:29" ht="14.5" hidden="1">
      <c r="A63" s="237" t="str">
        <f t="shared" si="0"/>
        <v>059</v>
      </c>
      <c r="B63" s="221"/>
      <c r="C63" s="227" t="s">
        <v>48</v>
      </c>
      <c r="D63" s="227" t="s">
        <v>4434</v>
      </c>
      <c r="E63" s="227" t="s">
        <v>3295</v>
      </c>
      <c r="F63" s="227" t="s">
        <v>3299</v>
      </c>
      <c r="G63" s="239">
        <v>45173</v>
      </c>
      <c r="H63" s="240">
        <v>0.69236111111111109</v>
      </c>
      <c r="I63" s="227" t="s">
        <v>3586</v>
      </c>
      <c r="J63" s="482" t="s">
        <v>4432</v>
      </c>
      <c r="K63" s="241" t="s">
        <v>3073</v>
      </c>
      <c r="L63" s="225" t="str">
        <f>VLOOKUP(Logfile_S12[[#This Row],[Material Name]],Sheet2!B:C,2,0)</f>
        <v>ZTE2001</v>
      </c>
      <c r="M63" s="242" t="s">
        <v>20</v>
      </c>
      <c r="N63" s="227">
        <v>55</v>
      </c>
      <c r="O63" s="227" t="s">
        <v>150</v>
      </c>
      <c r="P63" s="227" t="s">
        <v>151</v>
      </c>
      <c r="Q63" s="227"/>
      <c r="R63" s="227"/>
      <c r="S63" s="227"/>
      <c r="T63" s="227"/>
      <c r="U63" s="227"/>
      <c r="V63" s="227"/>
      <c r="W63" s="227"/>
      <c r="X63" s="227" t="s">
        <v>3609</v>
      </c>
      <c r="Y63" s="238" t="s">
        <v>5286</v>
      </c>
      <c r="Z63" s="238" t="s">
        <v>4436</v>
      </c>
      <c r="AA63" s="276" t="e">
        <f>VLOOKUP(Logfile_S12[[#This Row],[DO number]],DO_DB!G:I,3,0)</f>
        <v>#N/A</v>
      </c>
      <c r="AB63" s="332" t="e">
        <f>EXACT(Logfile_S12[[#This Row],[date pick]],Logfile_S12[[#This Row],[Date]])</f>
        <v>#N/A</v>
      </c>
      <c r="AC6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OUTBOUND_A-021-55m</v>
      </c>
    </row>
    <row r="64" spans="1:29" ht="14.5">
      <c r="A64" s="220" t="str">
        <f t="shared" si="0"/>
        <v>060</v>
      </c>
      <c r="B64" s="221"/>
      <c r="C64" s="221" t="s">
        <v>48</v>
      </c>
      <c r="D64" s="221" t="s">
        <v>3806</v>
      </c>
      <c r="E64" s="221" t="s">
        <v>3295</v>
      </c>
      <c r="F64" s="221" t="s">
        <v>3299</v>
      </c>
      <c r="G64" s="222">
        <v>45245</v>
      </c>
      <c r="H64" s="223">
        <v>15.291666666666666</v>
      </c>
      <c r="I64" s="221" t="s">
        <v>37</v>
      </c>
      <c r="J64" s="221" t="s">
        <v>3023</v>
      </c>
      <c r="K64" s="224" t="s">
        <v>3075</v>
      </c>
      <c r="L64" s="225" t="str">
        <f>VLOOKUP(Logfile_S12[[#This Row],[Material Name]],Sheet2!B:C,2,0)</f>
        <v>ZTE2003</v>
      </c>
      <c r="M64" s="225" t="str">
        <f>_xlfn.XLOOKUP(Logfile_S12[[#This Row],[Material Name]],Sum_WH!E:E,Sum_WH!F:F,"",0)</f>
        <v>Meter</v>
      </c>
      <c r="N64" s="221">
        <v>3000</v>
      </c>
      <c r="O64" s="221" t="s">
        <v>468</v>
      </c>
      <c r="P64" s="221" t="s">
        <v>469</v>
      </c>
      <c r="Q64" s="221" t="s">
        <v>540</v>
      </c>
      <c r="R64" s="221" t="s">
        <v>541</v>
      </c>
      <c r="S64" s="221"/>
      <c r="T64" s="221"/>
      <c r="U64" s="221"/>
      <c r="V64" s="221"/>
      <c r="W64" s="221"/>
      <c r="X64" s="221"/>
      <c r="Y64" s="227" t="s">
        <v>5056</v>
      </c>
      <c r="Z64" s="227" t="str">
        <f t="shared" ref="Z64:Z81" si="2">P64</f>
        <v>Jedong RW 07 Wagir</v>
      </c>
      <c r="AA64" s="276">
        <f>VLOOKUP(Logfile_S12[[#This Row],[DO number]],DO_DB!G:I,3,0)</f>
        <v>45245</v>
      </c>
      <c r="AB64" s="331" t="b">
        <f>EXACT(Logfile_S12[[#This Row],[date pick]],Logfile_S12[[#This Row],[Date]])</f>
        <v>1</v>
      </c>
      <c r="AC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48C-20231115-01</v>
      </c>
    </row>
    <row r="65" spans="1:29" ht="14.5">
      <c r="A65" s="220" t="str">
        <f t="shared" si="0"/>
        <v>061</v>
      </c>
      <c r="B65" s="221"/>
      <c r="C65" s="221" t="s">
        <v>49</v>
      </c>
      <c r="D65" s="221" t="s">
        <v>3813</v>
      </c>
      <c r="E65" s="221" t="s">
        <v>3295</v>
      </c>
      <c r="F65" s="221" t="s">
        <v>3299</v>
      </c>
      <c r="G65" s="222">
        <v>45255</v>
      </c>
      <c r="H65" s="223">
        <v>0.37916666666666665</v>
      </c>
      <c r="I65" s="221" t="s">
        <v>4916</v>
      </c>
      <c r="J65" s="221" t="s">
        <v>3023</v>
      </c>
      <c r="K65" s="224" t="s">
        <v>3075</v>
      </c>
      <c r="L65" s="225" t="str">
        <f>VLOOKUP(Logfile_S12[[#This Row],[Material Name]],Sheet2!B:C,2,0)</f>
        <v>ZTE2003</v>
      </c>
      <c r="M65" s="225" t="str">
        <f>_xlfn.XLOOKUP(Logfile_S12[[#This Row],[Material Name]],Sum_WH!E:E,Sum_WH!F:F,"",0)</f>
        <v>Meter</v>
      </c>
      <c r="N65" s="221">
        <v>3000</v>
      </c>
      <c r="O65" s="221" t="s">
        <v>468</v>
      </c>
      <c r="P65" s="221" t="s">
        <v>469</v>
      </c>
      <c r="Q65" s="221"/>
      <c r="R65" s="221"/>
      <c r="S65" s="221"/>
      <c r="T65" s="221" t="s">
        <v>3346</v>
      </c>
      <c r="U65" s="221" t="s">
        <v>3332</v>
      </c>
      <c r="V65" s="221" t="s">
        <v>3347</v>
      </c>
      <c r="W65" s="221" t="s">
        <v>3334</v>
      </c>
      <c r="X65" s="221"/>
      <c r="Y65" s="227" t="s">
        <v>5056</v>
      </c>
      <c r="Z65" s="227" t="str">
        <f t="shared" si="2"/>
        <v>Jedong RW 07 Wagir</v>
      </c>
      <c r="AA65" s="276" t="e">
        <f>VLOOKUP(Logfile_S12[[#This Row],[DO number]],DO_DB!G:I,3,0)</f>
        <v>#N/A</v>
      </c>
      <c r="AB65" s="331" t="e">
        <f>EXACT(Logfile_S12[[#This Row],[date pick]],Logfile_S12[[#This Row],[Date]])</f>
        <v>#N/A</v>
      </c>
      <c r="AC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48C-20231115-01</v>
      </c>
    </row>
    <row r="66" spans="1:29" ht="14.5">
      <c r="A66" s="237" t="str">
        <f t="shared" si="0"/>
        <v>062</v>
      </c>
      <c r="B66" s="221"/>
      <c r="C66" s="227" t="s">
        <v>3313</v>
      </c>
      <c r="D66" s="227" t="s">
        <v>5250</v>
      </c>
      <c r="E66" s="227" t="s">
        <v>3295</v>
      </c>
      <c r="F66" s="227" t="s">
        <v>3299</v>
      </c>
      <c r="G66" s="239">
        <v>45256</v>
      </c>
      <c r="H66" s="240">
        <v>0.25</v>
      </c>
      <c r="I66" s="227" t="s">
        <v>3586</v>
      </c>
      <c r="J66" s="482" t="s">
        <v>4432</v>
      </c>
      <c r="K66" s="241" t="s">
        <v>3075</v>
      </c>
      <c r="L66" s="225" t="str">
        <f>VLOOKUP(Logfile_S12[[#This Row],[Material Name]],Sheet2!B:C,2,0)</f>
        <v>ZTE2003</v>
      </c>
      <c r="M66" s="242" t="s">
        <v>20</v>
      </c>
      <c r="N66" s="227">
        <v>1559</v>
      </c>
      <c r="O66" s="227"/>
      <c r="P66" s="227"/>
      <c r="Q66" s="227"/>
      <c r="R66" s="227"/>
      <c r="S66" s="227"/>
      <c r="T66" s="227"/>
      <c r="U66" s="227"/>
      <c r="V66" s="227"/>
      <c r="W66" s="227"/>
      <c r="X66" s="227"/>
      <c r="Y66" s="238" t="s">
        <v>5245</v>
      </c>
      <c r="Z66" s="238">
        <f t="shared" si="2"/>
        <v>0</v>
      </c>
      <c r="AA66" s="276" t="e">
        <f>VLOOKUP(Logfile_S12[[#This Row],[DO number]],DO_DB!G:I,3,0)</f>
        <v>#N/A</v>
      </c>
      <c r="AB66" s="332" t="e">
        <f>EXACT(Logfile_S12[[#This Row],[date pick]],Logfile_S12[[#This Row],[Date]])</f>
        <v>#N/A</v>
      </c>
      <c r="AC6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48C-20231126-01</v>
      </c>
    </row>
    <row r="67" spans="1:29" ht="14.5">
      <c r="A67" s="220" t="str">
        <f t="shared" si="0"/>
        <v>063</v>
      </c>
      <c r="B67" s="221">
        <v>2</v>
      </c>
      <c r="C67" s="221" t="s">
        <v>48</v>
      </c>
      <c r="D67" s="221" t="s">
        <v>3678</v>
      </c>
      <c r="E67" s="221" t="s">
        <v>3295</v>
      </c>
      <c r="F67" s="221" t="s">
        <v>3299</v>
      </c>
      <c r="G67" s="222">
        <v>45142</v>
      </c>
      <c r="H67" s="223">
        <v>15.291666666666666</v>
      </c>
      <c r="I67" s="221" t="s">
        <v>37</v>
      </c>
      <c r="J67" s="221" t="s">
        <v>3023</v>
      </c>
      <c r="K67" s="224" t="s">
        <v>3075</v>
      </c>
      <c r="L67" s="225" t="str">
        <f>VLOOKUP(Logfile_S12[[#This Row],[Material Name]],Sheet2!B:C,2,0)</f>
        <v>ZTE2003</v>
      </c>
      <c r="M67" s="225" t="str">
        <f>_xlfn.XLOOKUP(Logfile_S12[[#This Row],[Material Name]],Sum_WH!E:E,Sum_WH!F:F,"",0)</f>
        <v>Meter</v>
      </c>
      <c r="N67" s="221">
        <v>3000</v>
      </c>
      <c r="O67" s="221" t="s">
        <v>84</v>
      </c>
      <c r="P67" s="221" t="s">
        <v>85</v>
      </c>
      <c r="Q67" s="221" t="s">
        <v>86</v>
      </c>
      <c r="R67" s="221" t="s">
        <v>87</v>
      </c>
      <c r="S67" s="221"/>
      <c r="T67" s="221"/>
      <c r="U67" s="221"/>
      <c r="V67" s="221"/>
      <c r="W67" s="221"/>
      <c r="X67" s="235"/>
      <c r="Y67" s="236" t="s">
        <v>4957</v>
      </c>
      <c r="Z67" s="227" t="str">
        <f t="shared" si="2"/>
        <v>Perumahan Bumi Podo Rukun Dau</v>
      </c>
      <c r="AA67" s="276">
        <f>VLOOKUP(Logfile_S12[[#This Row],[DO number]],DO_DB!G:I,3,0)</f>
        <v>45142</v>
      </c>
      <c r="AB67" s="331" t="b">
        <f>EXACT(Logfile_S12[[#This Row],[date pick]],Logfile_S12[[#This Row],[Date]])</f>
        <v>1</v>
      </c>
      <c r="AC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48C-202384-01</v>
      </c>
    </row>
    <row r="68" spans="1:29" ht="14.5">
      <c r="A68" s="237" t="str">
        <f t="shared" si="0"/>
        <v>064</v>
      </c>
      <c r="B68" s="221"/>
      <c r="C68" s="227" t="s">
        <v>48</v>
      </c>
      <c r="D68" s="227" t="s">
        <v>4959</v>
      </c>
      <c r="E68" s="227" t="s">
        <v>3295</v>
      </c>
      <c r="F68" s="227" t="s">
        <v>3299</v>
      </c>
      <c r="G68" s="239">
        <v>45148</v>
      </c>
      <c r="H68" s="240">
        <v>15.692638888888888</v>
      </c>
      <c r="I68" s="227" t="s">
        <v>3586</v>
      </c>
      <c r="J68" s="482" t="s">
        <v>4432</v>
      </c>
      <c r="K68" s="241" t="s">
        <v>3075</v>
      </c>
      <c r="L68" s="225" t="str">
        <f>VLOOKUP(Logfile_S12[[#This Row],[Material Name]],Sheet2!B:C,2,0)</f>
        <v>ZTE2003</v>
      </c>
      <c r="M68" s="242" t="s">
        <v>20</v>
      </c>
      <c r="N68" s="227">
        <v>895</v>
      </c>
      <c r="O68" s="227" t="s">
        <v>84</v>
      </c>
      <c r="P68" s="227" t="s">
        <v>85</v>
      </c>
      <c r="Q68" s="227"/>
      <c r="R68" s="227"/>
      <c r="S68" s="227"/>
      <c r="T68" s="227" t="s">
        <v>3305</v>
      </c>
      <c r="U68" s="227" t="s">
        <v>3228</v>
      </c>
      <c r="V68" s="227" t="s">
        <v>3306</v>
      </c>
      <c r="W68" s="227" t="s">
        <v>3307</v>
      </c>
      <c r="X68" s="227">
        <v>890</v>
      </c>
      <c r="Y68" s="238" t="s">
        <v>4957</v>
      </c>
      <c r="Z68" s="238" t="str">
        <f t="shared" si="2"/>
        <v>Perumahan Bumi Podo Rukun Dau</v>
      </c>
      <c r="AA68" s="276" t="e">
        <f>VLOOKUP(Logfile_S12[[#This Row],[DO number]],DO_DB!G:I,3,0)</f>
        <v>#N/A</v>
      </c>
      <c r="AB68" s="332" t="e">
        <f>EXACT(Logfile_S12[[#This Row],[date pick]],Logfile_S12[[#This Row],[Date]])</f>
        <v>#N/A</v>
      </c>
      <c r="AC68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48C-202384-01</v>
      </c>
    </row>
    <row r="69" spans="1:29" ht="14.5">
      <c r="A69" s="220" t="str">
        <f t="shared" ref="A69:A132" si="3">TEXT(ROW(A69)-ROW($A$4),"000")</f>
        <v>065</v>
      </c>
      <c r="B69" s="221"/>
      <c r="C69" s="221" t="s">
        <v>49</v>
      </c>
      <c r="D69" s="221" t="s">
        <v>3684</v>
      </c>
      <c r="E69" s="221" t="s">
        <v>3295</v>
      </c>
      <c r="F69" s="221" t="s">
        <v>3299</v>
      </c>
      <c r="G69" s="222">
        <v>45148</v>
      </c>
      <c r="H69" s="223">
        <v>15.692638888888888</v>
      </c>
      <c r="I69" s="221" t="s">
        <v>4916</v>
      </c>
      <c r="J69" s="221" t="s">
        <v>3023</v>
      </c>
      <c r="K69" s="224" t="s">
        <v>3075</v>
      </c>
      <c r="L69" s="225" t="str">
        <f>VLOOKUP(Logfile_S12[[#This Row],[Material Name]],Sheet2!B:C,2,0)</f>
        <v>ZTE2003</v>
      </c>
      <c r="M69" s="225" t="str">
        <f>_xlfn.XLOOKUP(Logfile_S12[[#This Row],[Material Name]],Sum_WH!E:E,Sum_WH!F:F,"",0)</f>
        <v>Meter</v>
      </c>
      <c r="N69" s="221">
        <v>3000</v>
      </c>
      <c r="O69" s="221" t="s">
        <v>84</v>
      </c>
      <c r="P69" s="221" t="s">
        <v>85</v>
      </c>
      <c r="Q69" s="221"/>
      <c r="R69" s="221"/>
      <c r="S69" s="221"/>
      <c r="T69" s="221" t="s">
        <v>3305</v>
      </c>
      <c r="U69" s="221" t="s">
        <v>3228</v>
      </c>
      <c r="V69" s="221" t="s">
        <v>3306</v>
      </c>
      <c r="W69" s="221" t="s">
        <v>3307</v>
      </c>
      <c r="X69" s="235">
        <v>890</v>
      </c>
      <c r="Y69" s="236" t="s">
        <v>4957</v>
      </c>
      <c r="Z69" s="227" t="str">
        <f t="shared" si="2"/>
        <v>Perumahan Bumi Podo Rukun Dau</v>
      </c>
      <c r="AA69" s="276" t="e">
        <f>VLOOKUP(Logfile_S12[[#This Row],[DO number]],DO_DB!G:I,3,0)</f>
        <v>#N/A</v>
      </c>
      <c r="AB69" s="331" t="e">
        <f>EXACT(Logfile_S12[[#This Row],[date pick]],Logfile_S12[[#This Row],[Date]])</f>
        <v>#N/A</v>
      </c>
      <c r="AC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48C-202384-01</v>
      </c>
    </row>
    <row r="70" spans="1:29" ht="14.5">
      <c r="A70" s="237" t="str">
        <f t="shared" si="3"/>
        <v>066</v>
      </c>
      <c r="B70" s="221"/>
      <c r="C70" s="227" t="s">
        <v>3388</v>
      </c>
      <c r="D70" s="227" t="s">
        <v>4960</v>
      </c>
      <c r="E70" s="227" t="s">
        <v>3295</v>
      </c>
      <c r="F70" s="227" t="s">
        <v>3299</v>
      </c>
      <c r="G70" s="239">
        <v>45165</v>
      </c>
      <c r="H70" s="240">
        <v>15.692638888888888</v>
      </c>
      <c r="I70" s="227" t="s">
        <v>3586</v>
      </c>
      <c r="J70" s="482" t="s">
        <v>4432</v>
      </c>
      <c r="K70" s="241" t="s">
        <v>3075</v>
      </c>
      <c r="L70" s="225" t="str">
        <f>VLOOKUP(Logfile_S12[[#This Row],[Material Name]],Sheet2!B:C,2,0)</f>
        <v>ZTE2003</v>
      </c>
      <c r="M70" s="242" t="s">
        <v>20</v>
      </c>
      <c r="N70" s="227">
        <v>895</v>
      </c>
      <c r="O70" s="227" t="s">
        <v>84</v>
      </c>
      <c r="P70" s="227" t="s">
        <v>85</v>
      </c>
      <c r="Q70" s="227"/>
      <c r="R70" s="227"/>
      <c r="S70" s="227"/>
      <c r="T70" s="227" t="s">
        <v>4961</v>
      </c>
      <c r="U70" s="227"/>
      <c r="V70" s="227"/>
      <c r="W70" s="227"/>
      <c r="X70" s="227">
        <v>890</v>
      </c>
      <c r="Y70" s="238" t="s">
        <v>4957</v>
      </c>
      <c r="Z70" s="238" t="str">
        <f t="shared" si="2"/>
        <v>Perumahan Bumi Podo Rukun Dau</v>
      </c>
      <c r="AA70" s="276" t="e">
        <f>VLOOKUP(Logfile_S12[[#This Row],[DO number]],DO_DB!G:I,3,0)</f>
        <v>#N/A</v>
      </c>
      <c r="AB70" s="332" t="e">
        <f>EXACT(Logfile_S12[[#This Row],[date pick]],Logfile_S12[[#This Row],[Date]])</f>
        <v>#N/A</v>
      </c>
      <c r="AC70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OUT_H-ADSS 48C-202384-01</v>
      </c>
    </row>
    <row r="71" spans="1:29" ht="14.5" hidden="1">
      <c r="A71" s="220" t="str">
        <f t="shared" si="3"/>
        <v>067</v>
      </c>
      <c r="B71" s="221"/>
      <c r="C71" s="221" t="s">
        <v>48</v>
      </c>
      <c r="D71" s="221" t="s">
        <v>3709</v>
      </c>
      <c r="E71" s="221" t="s">
        <v>3295</v>
      </c>
      <c r="F71" s="221" t="s">
        <v>3299</v>
      </c>
      <c r="G71" s="222">
        <v>45188</v>
      </c>
      <c r="H71" s="223">
        <v>15.291666666666666</v>
      </c>
      <c r="I71" s="221" t="s">
        <v>37</v>
      </c>
      <c r="J71" s="221" t="s">
        <v>3023</v>
      </c>
      <c r="K71" s="224" t="s">
        <v>3073</v>
      </c>
      <c r="L71" s="225" t="str">
        <f>VLOOKUP(Logfile_S12[[#This Row],[Material Name]],Sheet2!B:C,2,0)</f>
        <v>ZTE2001</v>
      </c>
      <c r="M71" s="225" t="str">
        <f>_xlfn.XLOOKUP(Logfile_S12[[#This Row],[Material Name]],Sum_WH!E:E,Sum_WH!F:F,"",0)</f>
        <v>Meter</v>
      </c>
      <c r="N71" s="221">
        <v>3000</v>
      </c>
      <c r="O71" s="221" t="s">
        <v>180</v>
      </c>
      <c r="P71" s="221" t="s">
        <v>181</v>
      </c>
      <c r="Q71" s="221" t="s">
        <v>182</v>
      </c>
      <c r="R71" s="221" t="s">
        <v>183</v>
      </c>
      <c r="S71" s="221"/>
      <c r="T71" s="221"/>
      <c r="U71" s="221"/>
      <c r="V71" s="221"/>
      <c r="W71" s="221"/>
      <c r="X71" s="221"/>
      <c r="Y71" s="227" t="s">
        <v>4955</v>
      </c>
      <c r="Z71" s="227" t="str">
        <f t="shared" si="2"/>
        <v>Mulyorejo RW 06 Sukun</v>
      </c>
      <c r="AA71" s="276">
        <f>VLOOKUP(Logfile_S12[[#This Row],[DO number]],DO_DB!G:I,3,0)</f>
        <v>45188</v>
      </c>
      <c r="AB71" s="331" t="b">
        <f>EXACT(Logfile_S12[[#This Row],[date pick]],Logfile_S12[[#This Row],[Date]])</f>
        <v>1</v>
      </c>
      <c r="AC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24C-2023919-01</v>
      </c>
    </row>
    <row r="72" spans="1:29" ht="14.5" hidden="1">
      <c r="A72" s="220" t="str">
        <f t="shared" si="3"/>
        <v>068</v>
      </c>
      <c r="B72" s="221"/>
      <c r="C72" s="221" t="s">
        <v>48</v>
      </c>
      <c r="D72" s="221" t="s">
        <v>3710</v>
      </c>
      <c r="E72" s="221" t="s">
        <v>3295</v>
      </c>
      <c r="F72" s="221" t="s">
        <v>3299</v>
      </c>
      <c r="G72" s="222">
        <v>45189</v>
      </c>
      <c r="H72" s="223">
        <v>15.291666666666666</v>
      </c>
      <c r="I72" s="221" t="s">
        <v>37</v>
      </c>
      <c r="J72" s="221" t="s">
        <v>3023</v>
      </c>
      <c r="K72" s="224" t="s">
        <v>3073</v>
      </c>
      <c r="L72" s="225" t="str">
        <f>VLOOKUP(Logfile_S12[[#This Row],[Material Name]],Sheet2!B:C,2,0)</f>
        <v>ZTE2001</v>
      </c>
      <c r="M72" s="225" t="str">
        <f>_xlfn.XLOOKUP(Logfile_S12[[#This Row],[Material Name]],Sum_WH!E:E,Sum_WH!F:F,"",0)</f>
        <v>Meter</v>
      </c>
      <c r="N72" s="221">
        <v>3000</v>
      </c>
      <c r="O72" s="221" t="s">
        <v>222</v>
      </c>
      <c r="P72" s="221" t="s">
        <v>223</v>
      </c>
      <c r="Q72" s="221" t="s">
        <v>224</v>
      </c>
      <c r="R72" s="221" t="s">
        <v>225</v>
      </c>
      <c r="S72" s="221"/>
      <c r="T72" s="221"/>
      <c r="U72" s="221"/>
      <c r="V72" s="221"/>
      <c r="W72" s="221"/>
      <c r="X72" s="221"/>
      <c r="Y72" s="236" t="s">
        <v>4956</v>
      </c>
      <c r="Z72" s="227" t="str">
        <f t="shared" si="2"/>
        <v>Puncak Dieng Exlusif</v>
      </c>
      <c r="AA72" s="276">
        <f>VLOOKUP(Logfile_S12[[#This Row],[DO number]],DO_DB!G:I,3,0)</f>
        <v>45189</v>
      </c>
      <c r="AB72" s="331" t="b">
        <f>EXACT(Logfile_S12[[#This Row],[date pick]],Logfile_S12[[#This Row],[Date]])</f>
        <v>1</v>
      </c>
      <c r="AC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24C-2023920-01</v>
      </c>
    </row>
    <row r="73" spans="1:29" ht="14.5" hidden="1">
      <c r="A73" s="237" t="str">
        <f t="shared" si="3"/>
        <v>069</v>
      </c>
      <c r="B73" s="221"/>
      <c r="C73" s="227" t="s">
        <v>48</v>
      </c>
      <c r="D73" s="227" t="s">
        <v>5109</v>
      </c>
      <c r="E73" s="227" t="s">
        <v>3295</v>
      </c>
      <c r="F73" s="227" t="s">
        <v>3299</v>
      </c>
      <c r="G73" s="239">
        <v>45193</v>
      </c>
      <c r="H73" s="240">
        <v>0.31666666666666665</v>
      </c>
      <c r="I73" s="227" t="s">
        <v>3586</v>
      </c>
      <c r="J73" s="482" t="s">
        <v>4432</v>
      </c>
      <c r="K73" s="241" t="s">
        <v>3073</v>
      </c>
      <c r="L73" s="225" t="str">
        <f>VLOOKUP(Logfile_S12[[#This Row],[Material Name]],Sheet2!B:C,2,0)</f>
        <v>ZTE2001</v>
      </c>
      <c r="M73" s="242" t="s">
        <v>20</v>
      </c>
      <c r="N73" s="227">
        <v>1765</v>
      </c>
      <c r="O73" s="227" t="s">
        <v>180</v>
      </c>
      <c r="P73" s="227" t="s">
        <v>181</v>
      </c>
      <c r="Q73" s="227"/>
      <c r="R73" s="227"/>
      <c r="S73" s="227"/>
      <c r="T73" s="227" t="s">
        <v>3322</v>
      </c>
      <c r="U73" s="227" t="s">
        <v>3323</v>
      </c>
      <c r="V73" s="227" t="s">
        <v>3324</v>
      </c>
      <c r="W73" s="227" t="s">
        <v>3386</v>
      </c>
      <c r="X73" s="227" t="s">
        <v>3484</v>
      </c>
      <c r="Y73" s="238" t="s">
        <v>4955</v>
      </c>
      <c r="Z73" s="238" t="str">
        <f t="shared" si="2"/>
        <v>Mulyorejo RW 06 Sukun</v>
      </c>
      <c r="AA73" s="276" t="e">
        <f>VLOOKUP(Logfile_S12[[#This Row],[DO number]],DO_DB!G:I,3,0)</f>
        <v>#N/A</v>
      </c>
      <c r="AB73" s="332" t="e">
        <f>EXACT(Logfile_S12[[#This Row],[date pick]],Logfile_S12[[#This Row],[Date]])</f>
        <v>#N/A</v>
      </c>
      <c r="AC7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24C-2023919-01</v>
      </c>
    </row>
    <row r="74" spans="1:29" ht="14.5" hidden="1">
      <c r="A74" s="220" t="str">
        <f t="shared" si="3"/>
        <v>070</v>
      </c>
      <c r="B74" s="221"/>
      <c r="C74" s="221" t="s">
        <v>49</v>
      </c>
      <c r="D74" s="221" t="s">
        <v>3721</v>
      </c>
      <c r="E74" s="221" t="s">
        <v>3295</v>
      </c>
      <c r="F74" s="221" t="s">
        <v>3299</v>
      </c>
      <c r="G74" s="222">
        <v>45193</v>
      </c>
      <c r="H74" s="223">
        <v>0.31666666666666665</v>
      </c>
      <c r="I74" s="221" t="s">
        <v>4916</v>
      </c>
      <c r="J74" s="221" t="s">
        <v>3023</v>
      </c>
      <c r="K74" s="224" t="s">
        <v>3073</v>
      </c>
      <c r="L74" s="225" t="str">
        <f>VLOOKUP(Logfile_S12[[#This Row],[Material Name]],Sheet2!B:C,2,0)</f>
        <v>ZTE2001</v>
      </c>
      <c r="M74" s="225" t="str">
        <f>_xlfn.XLOOKUP(Logfile_S12[[#This Row],[Material Name]],Sum_WH!E:E,Sum_WH!F:F,"",0)</f>
        <v>Meter</v>
      </c>
      <c r="N74" s="221">
        <v>3000</v>
      </c>
      <c r="O74" s="221" t="s">
        <v>180</v>
      </c>
      <c r="P74" s="221" t="s">
        <v>181</v>
      </c>
      <c r="Q74" s="221"/>
      <c r="R74" s="221"/>
      <c r="S74" s="221"/>
      <c r="T74" s="221" t="s">
        <v>3322</v>
      </c>
      <c r="U74" s="221" t="s">
        <v>3323</v>
      </c>
      <c r="V74" s="221" t="s">
        <v>3324</v>
      </c>
      <c r="W74" s="221" t="s">
        <v>3386</v>
      </c>
      <c r="X74" s="221" t="s">
        <v>3484</v>
      </c>
      <c r="Y74" s="227" t="s">
        <v>4955</v>
      </c>
      <c r="Z74" s="227" t="str">
        <f t="shared" si="2"/>
        <v>Mulyorejo RW 06 Sukun</v>
      </c>
      <c r="AA74" s="276" t="e">
        <f>VLOOKUP(Logfile_S12[[#This Row],[DO number]],DO_DB!G:I,3,0)</f>
        <v>#N/A</v>
      </c>
      <c r="AB74" s="331" t="e">
        <f>EXACT(Logfile_S12[[#This Row],[date pick]],Logfile_S12[[#This Row],[Date]])</f>
        <v>#N/A</v>
      </c>
      <c r="AC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24C-2023919-01</v>
      </c>
    </row>
    <row r="75" spans="1:29" ht="14.5">
      <c r="A75" s="237" t="str">
        <f t="shared" si="3"/>
        <v>071</v>
      </c>
      <c r="B75" s="221"/>
      <c r="C75" s="227" t="s">
        <v>3313</v>
      </c>
      <c r="D75" s="227" t="s">
        <v>5253</v>
      </c>
      <c r="E75" s="227" t="s">
        <v>3295</v>
      </c>
      <c r="F75" s="227" t="s">
        <v>3299</v>
      </c>
      <c r="G75" s="239">
        <v>45184</v>
      </c>
      <c r="H75" s="240">
        <v>0.25</v>
      </c>
      <c r="I75" s="227" t="s">
        <v>3586</v>
      </c>
      <c r="J75" s="482" t="s">
        <v>4432</v>
      </c>
      <c r="K75" s="241" t="s">
        <v>3075</v>
      </c>
      <c r="L75" s="225" t="str">
        <f>VLOOKUP(Logfile_S12[[#This Row],[Material Name]],Sheet2!B:C,2,0)</f>
        <v>ZTE2003</v>
      </c>
      <c r="M75" s="242" t="s">
        <v>20</v>
      </c>
      <c r="N75" s="227">
        <v>895</v>
      </c>
      <c r="O75" s="227"/>
      <c r="P75" s="227"/>
      <c r="Q75" s="227"/>
      <c r="R75" s="227"/>
      <c r="S75" s="227"/>
      <c r="T75" s="227"/>
      <c r="U75" s="227"/>
      <c r="V75" s="227"/>
      <c r="W75" s="227"/>
      <c r="X75" s="227"/>
      <c r="Y75" s="238" t="s">
        <v>4957</v>
      </c>
      <c r="Z75" s="238">
        <f t="shared" si="2"/>
        <v>0</v>
      </c>
      <c r="AA75" s="276" t="e">
        <f>VLOOKUP(Logfile_S12[[#This Row],[DO number]],DO_DB!G:I,3,0)</f>
        <v>#N/A</v>
      </c>
      <c r="AB75" s="332" t="e">
        <f>EXACT(Logfile_S12[[#This Row],[date pick]],Logfile_S12[[#This Row],[Date]])</f>
        <v>#N/A</v>
      </c>
      <c r="AC75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48C-202384-01</v>
      </c>
    </row>
    <row r="76" spans="1:29" ht="14.5" hidden="1">
      <c r="A76" s="220" t="str">
        <f t="shared" si="3"/>
        <v>072</v>
      </c>
      <c r="B76" s="221"/>
      <c r="C76" s="221" t="s">
        <v>49</v>
      </c>
      <c r="D76" s="221" t="s">
        <v>3722</v>
      </c>
      <c r="E76" s="221" t="s">
        <v>3295</v>
      </c>
      <c r="F76" s="221" t="s">
        <v>3299</v>
      </c>
      <c r="G76" s="222">
        <v>45194</v>
      </c>
      <c r="H76" s="223">
        <v>0.27083333333333331</v>
      </c>
      <c r="I76" s="221" t="s">
        <v>4916</v>
      </c>
      <c r="J76" s="221" t="s">
        <v>3023</v>
      </c>
      <c r="K76" s="224" t="s">
        <v>3073</v>
      </c>
      <c r="L76" s="225" t="str">
        <f>VLOOKUP(Logfile_S12[[#This Row],[Material Name]],Sheet2!B:C,2,0)</f>
        <v>ZTE2001</v>
      </c>
      <c r="M76" s="225" t="str">
        <f>_xlfn.XLOOKUP(Logfile_S12[[#This Row],[Material Name]],Sum_WH!E:E,Sum_WH!F:F,"",0)</f>
        <v>Meter</v>
      </c>
      <c r="N76" s="221">
        <v>3000</v>
      </c>
      <c r="O76" s="221" t="s">
        <v>222</v>
      </c>
      <c r="P76" s="221" t="s">
        <v>223</v>
      </c>
      <c r="Q76" s="221"/>
      <c r="R76" s="221"/>
      <c r="S76" s="221"/>
      <c r="T76" s="221" t="s">
        <v>3322</v>
      </c>
      <c r="U76" s="221" t="s">
        <v>3323</v>
      </c>
      <c r="V76" s="221" t="s">
        <v>3324</v>
      </c>
      <c r="W76" s="221" t="s">
        <v>3325</v>
      </c>
      <c r="X76" s="235" t="s">
        <v>3723</v>
      </c>
      <c r="Y76" s="236" t="s">
        <v>4956</v>
      </c>
      <c r="Z76" s="227" t="str">
        <f t="shared" si="2"/>
        <v>Puncak Dieng Exlusif</v>
      </c>
      <c r="AA76" s="276" t="e">
        <f>VLOOKUP(Logfile_S12[[#This Row],[DO number]],DO_DB!G:I,3,0)</f>
        <v>#N/A</v>
      </c>
      <c r="AB76" s="331" t="e">
        <f>EXACT(Logfile_S12[[#This Row],[date pick]],Logfile_S12[[#This Row],[Date]])</f>
        <v>#N/A</v>
      </c>
      <c r="AC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24C-2023920-01</v>
      </c>
    </row>
    <row r="77" spans="1:29" ht="14.5" hidden="1">
      <c r="A77" s="220" t="str">
        <f t="shared" si="3"/>
        <v>073</v>
      </c>
      <c r="B77" s="221"/>
      <c r="C77" s="221" t="s">
        <v>48</v>
      </c>
      <c r="D77" s="221" t="s">
        <v>3724</v>
      </c>
      <c r="E77" s="221" t="s">
        <v>3295</v>
      </c>
      <c r="F77" s="221" t="s">
        <v>3299</v>
      </c>
      <c r="G77" s="222">
        <v>45195</v>
      </c>
      <c r="H77" s="223">
        <v>15.291666666666666</v>
      </c>
      <c r="I77" s="221" t="s">
        <v>37</v>
      </c>
      <c r="J77" s="221" t="s">
        <v>3023</v>
      </c>
      <c r="K77" s="224" t="s">
        <v>3073</v>
      </c>
      <c r="L77" s="225" t="str">
        <f>VLOOKUP(Logfile_S12[[#This Row],[Material Name]],Sheet2!B:C,2,0)</f>
        <v>ZTE2001</v>
      </c>
      <c r="M77" s="225" t="str">
        <f>_xlfn.XLOOKUP(Logfile_S12[[#This Row],[Material Name]],Sum_WH!E:E,Sum_WH!F:F,"",0)</f>
        <v>Meter</v>
      </c>
      <c r="N77" s="221">
        <v>3000</v>
      </c>
      <c r="O77" s="221" t="s">
        <v>172</v>
      </c>
      <c r="P77" s="221" t="s">
        <v>3319</v>
      </c>
      <c r="Q77" s="221" t="s">
        <v>236</v>
      </c>
      <c r="R77" s="221" t="s">
        <v>237</v>
      </c>
      <c r="S77" s="221"/>
      <c r="T77" s="221"/>
      <c r="U77" s="221"/>
      <c r="V77" s="221"/>
      <c r="W77" s="221"/>
      <c r="X77" s="221"/>
      <c r="Y77" s="227" t="s">
        <v>4986</v>
      </c>
      <c r="Z77" s="227" t="str">
        <f t="shared" si="2"/>
        <v>Pandan Landung RW 03 Wagir</v>
      </c>
      <c r="AA77" s="276">
        <f>VLOOKUP(Logfile_S12[[#This Row],[DO number]],DO_DB!G:I,3,0)</f>
        <v>45195</v>
      </c>
      <c r="AB77" s="331" t="b">
        <f>EXACT(Logfile_S12[[#This Row],[date pick]],Logfile_S12[[#This Row],[Date]])</f>
        <v>1</v>
      </c>
      <c r="AC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24C-2023926-01</v>
      </c>
    </row>
    <row r="78" spans="1:29" ht="14.5">
      <c r="A78" s="220" t="str">
        <f t="shared" si="3"/>
        <v>074</v>
      </c>
      <c r="B78" s="221"/>
      <c r="C78" s="221" t="s">
        <v>48</v>
      </c>
      <c r="D78" s="221" t="s">
        <v>3692</v>
      </c>
      <c r="E78" s="221" t="s">
        <v>3295</v>
      </c>
      <c r="F78" s="221" t="s">
        <v>3299</v>
      </c>
      <c r="G78" s="222">
        <v>45170</v>
      </c>
      <c r="H78" s="223">
        <v>15.291666666666666</v>
      </c>
      <c r="I78" s="221" t="s">
        <v>37</v>
      </c>
      <c r="J78" s="221" t="s">
        <v>3023</v>
      </c>
      <c r="K78" s="224" t="s">
        <v>3075</v>
      </c>
      <c r="L78" s="225" t="str">
        <f>VLOOKUP(Logfile_S12[[#This Row],[Material Name]],Sheet2!B:C,2,0)</f>
        <v>ZTE2003</v>
      </c>
      <c r="M78" s="225" t="str">
        <f>_xlfn.XLOOKUP(Logfile_S12[[#This Row],[Material Name]],Sum_WH!E:E,Sum_WH!F:F,"",0)</f>
        <v>Meter</v>
      </c>
      <c r="N78" s="221">
        <v>3000</v>
      </c>
      <c r="O78" s="221" t="s">
        <v>150</v>
      </c>
      <c r="P78" s="221" t="s">
        <v>151</v>
      </c>
      <c r="Q78" s="221" t="s">
        <v>154</v>
      </c>
      <c r="R78" s="221" t="s">
        <v>155</v>
      </c>
      <c r="S78" s="221"/>
      <c r="T78" s="221"/>
      <c r="U78" s="221"/>
      <c r="V78" s="221"/>
      <c r="W78" s="221"/>
      <c r="X78" s="235"/>
      <c r="Y78" s="236" t="s">
        <v>4958</v>
      </c>
      <c r="Z78" s="227" t="str">
        <f t="shared" si="2"/>
        <v>Mulyorejo RW 04 Sukun</v>
      </c>
      <c r="AA78" s="276">
        <f>VLOOKUP(Logfile_S12[[#This Row],[DO number]],DO_DB!G:I,3,0)</f>
        <v>45170</v>
      </c>
      <c r="AB78" s="331" t="b">
        <f>EXACT(Logfile_S12[[#This Row],[date pick]],Logfile_S12[[#This Row],[Date]])</f>
        <v>1</v>
      </c>
      <c r="AC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48C-202391-01</v>
      </c>
    </row>
    <row r="79" spans="1:29" ht="14.5">
      <c r="A79" s="237" t="str">
        <f t="shared" si="3"/>
        <v>075</v>
      </c>
      <c r="B79" s="221"/>
      <c r="C79" s="227" t="s">
        <v>48</v>
      </c>
      <c r="D79" s="227" t="s">
        <v>4964</v>
      </c>
      <c r="E79" s="227" t="s">
        <v>3295</v>
      </c>
      <c r="F79" s="227" t="s">
        <v>3299</v>
      </c>
      <c r="G79" s="239">
        <v>45173</v>
      </c>
      <c r="H79" s="240">
        <v>0.69236111111111109</v>
      </c>
      <c r="I79" s="227" t="s">
        <v>3586</v>
      </c>
      <c r="J79" s="482" t="s">
        <v>4432</v>
      </c>
      <c r="K79" s="241" t="s">
        <v>3075</v>
      </c>
      <c r="L79" s="225" t="str">
        <f>VLOOKUP(Logfile_S12[[#This Row],[Material Name]],Sheet2!B:C,2,0)</f>
        <v>ZTE2003</v>
      </c>
      <c r="M79" s="242" t="s">
        <v>20</v>
      </c>
      <c r="N79" s="227">
        <v>2395</v>
      </c>
      <c r="O79" s="227" t="s">
        <v>150</v>
      </c>
      <c r="P79" s="227" t="s">
        <v>151</v>
      </c>
      <c r="Q79" s="227"/>
      <c r="R79" s="227"/>
      <c r="S79" s="227"/>
      <c r="T79" s="227"/>
      <c r="U79" s="227"/>
      <c r="V79" s="227"/>
      <c r="W79" s="227"/>
      <c r="X79" s="227"/>
      <c r="Y79" s="238" t="s">
        <v>4958</v>
      </c>
      <c r="Z79" s="238" t="str">
        <f t="shared" si="2"/>
        <v>Mulyorejo RW 04 Sukun</v>
      </c>
      <c r="AA79" s="276" t="e">
        <f>VLOOKUP(Logfile_S12[[#This Row],[DO number]],DO_DB!G:I,3,0)</f>
        <v>#N/A</v>
      </c>
      <c r="AB79" s="332" t="e">
        <f>EXACT(Logfile_S12[[#This Row],[date pick]],Logfile_S12[[#This Row],[Date]])</f>
        <v>#N/A</v>
      </c>
      <c r="AC7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48C-202391-01</v>
      </c>
    </row>
    <row r="80" spans="1:29" ht="14.5">
      <c r="A80" s="237" t="str">
        <f t="shared" si="3"/>
        <v>076</v>
      </c>
      <c r="B80" s="221"/>
      <c r="C80" s="227" t="s">
        <v>49</v>
      </c>
      <c r="D80" s="227" t="s">
        <v>3696</v>
      </c>
      <c r="E80" s="227" t="s">
        <v>3295</v>
      </c>
      <c r="F80" s="227" t="s">
        <v>3299</v>
      </c>
      <c r="G80" s="239">
        <v>45173</v>
      </c>
      <c r="H80" s="240">
        <v>0.69236111111111109</v>
      </c>
      <c r="I80" s="227" t="s">
        <v>3586</v>
      </c>
      <c r="J80" s="482" t="s">
        <v>4432</v>
      </c>
      <c r="K80" s="241" t="s">
        <v>3075</v>
      </c>
      <c r="L80" s="225" t="str">
        <f>VLOOKUP(Logfile_S12[[#This Row],[Material Name]],Sheet2!B:C,2,0)</f>
        <v>ZTE2003</v>
      </c>
      <c r="M80" s="242" t="s">
        <v>20</v>
      </c>
      <c r="N80" s="227">
        <v>2395</v>
      </c>
      <c r="O80" s="227" t="s">
        <v>150</v>
      </c>
      <c r="P80" s="227" t="s">
        <v>151</v>
      </c>
      <c r="Q80" s="227"/>
      <c r="R80" s="227"/>
      <c r="S80" s="227"/>
      <c r="T80" s="227"/>
      <c r="U80" s="227"/>
      <c r="V80" s="227"/>
      <c r="W80" s="227"/>
      <c r="X80" s="227"/>
      <c r="Y80" s="238" t="s">
        <v>4958</v>
      </c>
      <c r="Z80" s="238" t="str">
        <f t="shared" si="2"/>
        <v>Mulyorejo RW 04 Sukun</v>
      </c>
      <c r="AA80" s="276" t="e">
        <f>VLOOKUP(Logfile_S12[[#This Row],[DO number]],DO_DB!G:I,3,0)</f>
        <v>#N/A</v>
      </c>
      <c r="AB80" s="332" t="e">
        <f>EXACT(Logfile_S12[[#This Row],[date pick]],Logfile_S12[[#This Row],[Date]])</f>
        <v>#N/A</v>
      </c>
      <c r="AC80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48C-202391-01</v>
      </c>
    </row>
    <row r="81" spans="1:29" ht="14.5">
      <c r="A81" s="237" t="str">
        <f t="shared" si="3"/>
        <v>077</v>
      </c>
      <c r="B81" s="221"/>
      <c r="C81" s="227" t="s">
        <v>48</v>
      </c>
      <c r="D81" s="227" t="s">
        <v>4964</v>
      </c>
      <c r="E81" s="227" t="s">
        <v>3295</v>
      </c>
      <c r="F81" s="227" t="s">
        <v>3299</v>
      </c>
      <c r="G81" s="239">
        <v>45173</v>
      </c>
      <c r="H81" s="240">
        <v>0.69236111111111109</v>
      </c>
      <c r="I81" s="227" t="s">
        <v>3586</v>
      </c>
      <c r="J81" s="482" t="s">
        <v>4432</v>
      </c>
      <c r="K81" s="241" t="s">
        <v>3075</v>
      </c>
      <c r="L81" s="225" t="str">
        <f>VLOOKUP(Logfile_S12[[#This Row],[Material Name]],Sheet2!B:C,2,0)</f>
        <v>ZTE2003</v>
      </c>
      <c r="M81" s="242" t="s">
        <v>20</v>
      </c>
      <c r="N81" s="227">
        <v>1128</v>
      </c>
      <c r="O81" s="227" t="s">
        <v>150</v>
      </c>
      <c r="P81" s="227" t="s">
        <v>151</v>
      </c>
      <c r="Q81" s="227"/>
      <c r="R81" s="227"/>
      <c r="S81" s="227"/>
      <c r="T81" s="227"/>
      <c r="U81" s="227"/>
      <c r="V81" s="227"/>
      <c r="W81" s="227"/>
      <c r="X81" s="227"/>
      <c r="Y81" s="238" t="s">
        <v>4958</v>
      </c>
      <c r="Z81" s="238" t="str">
        <f t="shared" si="2"/>
        <v>Mulyorejo RW 04 Sukun</v>
      </c>
      <c r="AA81" s="276" t="e">
        <f>VLOOKUP(Logfile_S12[[#This Row],[DO number]],DO_DB!G:I,3,0)</f>
        <v>#N/A</v>
      </c>
      <c r="AB81" s="332" t="e">
        <f>EXACT(Logfile_S12[[#This Row],[date pick]],Logfile_S12[[#This Row],[Date]])</f>
        <v>#N/A</v>
      </c>
      <c r="AC81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48C-202391-01</v>
      </c>
    </row>
    <row r="82" spans="1:29" ht="14.5" hidden="1">
      <c r="A82" s="237" t="str">
        <f t="shared" si="3"/>
        <v>078</v>
      </c>
      <c r="B82" s="221"/>
      <c r="C82" s="227" t="s">
        <v>48</v>
      </c>
      <c r="D82" s="227" t="s">
        <v>4437</v>
      </c>
      <c r="E82" s="227" t="s">
        <v>3295</v>
      </c>
      <c r="F82" s="227" t="s">
        <v>3299</v>
      </c>
      <c r="G82" s="239">
        <v>45200</v>
      </c>
      <c r="H82" s="240">
        <v>0.27083333333333331</v>
      </c>
      <c r="I82" s="227" t="s">
        <v>3586</v>
      </c>
      <c r="J82" s="482" t="s">
        <v>4432</v>
      </c>
      <c r="K82" s="241" t="s">
        <v>3073</v>
      </c>
      <c r="L82" s="225" t="str">
        <f>VLOOKUP(Logfile_S12[[#This Row],[Material Name]],Sheet2!B:C,2,0)</f>
        <v>ZTE2001</v>
      </c>
      <c r="M82" s="242" t="s">
        <v>20</v>
      </c>
      <c r="N82" s="227">
        <v>215</v>
      </c>
      <c r="O82" s="227" t="s">
        <v>222</v>
      </c>
      <c r="P82" s="227" t="s">
        <v>223</v>
      </c>
      <c r="Q82" s="227"/>
      <c r="R82" s="227"/>
      <c r="S82" s="227"/>
      <c r="T82" s="227" t="s">
        <v>3322</v>
      </c>
      <c r="U82" s="227"/>
      <c r="V82" s="227"/>
      <c r="W82" s="227"/>
      <c r="X82" s="227" t="s">
        <v>3607</v>
      </c>
      <c r="Y82" s="238" t="s">
        <v>4955</v>
      </c>
      <c r="Z82" s="238" t="s">
        <v>4438</v>
      </c>
      <c r="AA82" s="276" t="e">
        <f>VLOOKUP(Logfile_S12[[#This Row],[DO number]],DO_DB!G:I,3,0)</f>
        <v>#N/A</v>
      </c>
      <c r="AB82" s="332" t="e">
        <f>EXACT(Logfile_S12[[#This Row],[date pick]],Logfile_S12[[#This Row],[Date]])</f>
        <v>#N/A</v>
      </c>
      <c r="AC8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24C-2023919-01</v>
      </c>
    </row>
    <row r="83" spans="1:29" ht="14.5" hidden="1">
      <c r="A83" s="237" t="str">
        <f t="shared" si="3"/>
        <v>079</v>
      </c>
      <c r="B83" s="221"/>
      <c r="C83" s="227" t="s">
        <v>49</v>
      </c>
      <c r="D83" s="227" t="s">
        <v>5110</v>
      </c>
      <c r="E83" s="227" t="s">
        <v>3295</v>
      </c>
      <c r="F83" s="227" t="s">
        <v>3299</v>
      </c>
      <c r="G83" s="239">
        <v>45200</v>
      </c>
      <c r="H83" s="240">
        <v>0.27083333333333331</v>
      </c>
      <c r="I83" s="227" t="s">
        <v>3586</v>
      </c>
      <c r="J83" s="482" t="s">
        <v>4432</v>
      </c>
      <c r="K83" s="241" t="s">
        <v>3073</v>
      </c>
      <c r="L83" s="225" t="str">
        <f>VLOOKUP(Logfile_S12[[#This Row],[Material Name]],Sheet2!B:C,2,0)</f>
        <v>ZTE2001</v>
      </c>
      <c r="M83" s="242" t="s">
        <v>20</v>
      </c>
      <c r="N83" s="227">
        <v>1765</v>
      </c>
      <c r="O83" s="227" t="s">
        <v>222</v>
      </c>
      <c r="P83" s="227" t="s">
        <v>223</v>
      </c>
      <c r="Q83" s="227"/>
      <c r="R83" s="227"/>
      <c r="S83" s="227"/>
      <c r="T83" s="227" t="s">
        <v>3322</v>
      </c>
      <c r="U83" s="227" t="s">
        <v>3323</v>
      </c>
      <c r="V83" s="227" t="s">
        <v>3324</v>
      </c>
      <c r="W83" s="227" t="s">
        <v>3386</v>
      </c>
      <c r="X83" s="227" t="s">
        <v>3607</v>
      </c>
      <c r="Y83" s="238" t="s">
        <v>4955</v>
      </c>
      <c r="Z83" s="238" t="s">
        <v>4438</v>
      </c>
      <c r="AA83" s="276" t="e">
        <f>VLOOKUP(Logfile_S12[[#This Row],[DO number]],DO_DB!G:I,3,0)</f>
        <v>#N/A</v>
      </c>
      <c r="AB83" s="332" t="e">
        <f>EXACT(Logfile_S12[[#This Row],[date pick]],Logfile_S12[[#This Row],[Date]])</f>
        <v>#N/A</v>
      </c>
      <c r="AC8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24C-2023919-01</v>
      </c>
    </row>
    <row r="84" spans="1:29" ht="14.5" hidden="1">
      <c r="A84" s="237" t="str">
        <f t="shared" si="3"/>
        <v>080</v>
      </c>
      <c r="B84" s="221"/>
      <c r="C84" s="227" t="s">
        <v>48</v>
      </c>
      <c r="D84" s="227" t="s">
        <v>5138</v>
      </c>
      <c r="E84" s="227" t="s">
        <v>3295</v>
      </c>
      <c r="F84" s="227" t="s">
        <v>3299</v>
      </c>
      <c r="G84" s="239">
        <v>45200</v>
      </c>
      <c r="H84" s="240">
        <v>0.27083333333333331</v>
      </c>
      <c r="I84" s="227" t="s">
        <v>3586</v>
      </c>
      <c r="J84" s="482" t="s">
        <v>4432</v>
      </c>
      <c r="K84" s="241" t="s">
        <v>3073</v>
      </c>
      <c r="L84" s="225" t="str">
        <f>VLOOKUP(Logfile_S12[[#This Row],[Material Name]],Sheet2!B:C,2,0)</f>
        <v>ZTE2001</v>
      </c>
      <c r="M84" s="242" t="s">
        <v>20</v>
      </c>
      <c r="N84" s="227">
        <v>935</v>
      </c>
      <c r="O84" s="227" t="s">
        <v>222</v>
      </c>
      <c r="P84" s="227" t="s">
        <v>223</v>
      </c>
      <c r="Q84" s="227"/>
      <c r="R84" s="227"/>
      <c r="S84" s="227"/>
      <c r="T84" s="227"/>
      <c r="U84" s="227"/>
      <c r="V84" s="227"/>
      <c r="W84" s="227"/>
      <c r="X84" s="227"/>
      <c r="Y84" s="238" t="s">
        <v>4986</v>
      </c>
      <c r="Z84" s="238" t="str">
        <f t="shared" ref="Z84:Z128" si="4">P84</f>
        <v>Puncak Dieng Exlusif</v>
      </c>
      <c r="AA84" s="276" t="e">
        <f>VLOOKUP(Logfile_S12[[#This Row],[DO number]],DO_DB!G:I,3,0)</f>
        <v>#N/A</v>
      </c>
      <c r="AB84" s="332" t="e">
        <f>EXACT(Logfile_S12[[#This Row],[date pick]],Logfile_S12[[#This Row],[Date]])</f>
        <v>#N/A</v>
      </c>
      <c r="AC8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24C-2023926-01</v>
      </c>
    </row>
    <row r="85" spans="1:29" ht="14.5" hidden="1">
      <c r="A85" s="220" t="str">
        <f t="shared" si="3"/>
        <v>081</v>
      </c>
      <c r="B85" s="221"/>
      <c r="C85" s="221" t="s">
        <v>49</v>
      </c>
      <c r="D85" s="221" t="s">
        <v>3734</v>
      </c>
      <c r="E85" s="221" t="s">
        <v>3295</v>
      </c>
      <c r="F85" s="221" t="s">
        <v>3299</v>
      </c>
      <c r="G85" s="222">
        <v>45200</v>
      </c>
      <c r="H85" s="223">
        <v>0.27083333333333331</v>
      </c>
      <c r="I85" s="221" t="s">
        <v>4916</v>
      </c>
      <c r="J85" s="221" t="s">
        <v>3023</v>
      </c>
      <c r="K85" s="224" t="s">
        <v>3073</v>
      </c>
      <c r="L85" s="225" t="str">
        <f>VLOOKUP(Logfile_S12[[#This Row],[Material Name]],Sheet2!B:C,2,0)</f>
        <v>ZTE2001</v>
      </c>
      <c r="M85" s="225" t="str">
        <f>_xlfn.XLOOKUP(Logfile_S12[[#This Row],[Material Name]],Sum_WH!E:E,Sum_WH!F:F,"",0)</f>
        <v>Meter</v>
      </c>
      <c r="N85" s="221">
        <v>3000</v>
      </c>
      <c r="O85" s="221" t="s">
        <v>222</v>
      </c>
      <c r="P85" s="221" t="s">
        <v>223</v>
      </c>
      <c r="Q85" s="221"/>
      <c r="R85" s="221"/>
      <c r="S85" s="221"/>
      <c r="T85" s="221" t="s">
        <v>3322</v>
      </c>
      <c r="U85" s="221" t="s">
        <v>3323</v>
      </c>
      <c r="V85" s="221" t="s">
        <v>3324</v>
      </c>
      <c r="W85" s="221" t="s">
        <v>3386</v>
      </c>
      <c r="X85" s="221" t="s">
        <v>3485</v>
      </c>
      <c r="Y85" s="227" t="s">
        <v>4986</v>
      </c>
      <c r="Z85" s="227" t="str">
        <f t="shared" si="4"/>
        <v>Puncak Dieng Exlusif</v>
      </c>
      <c r="AA85" s="276" t="e">
        <f>VLOOKUP(Logfile_S12[[#This Row],[DO number]],DO_DB!G:I,3,0)</f>
        <v>#N/A</v>
      </c>
      <c r="AB85" s="331" t="e">
        <f>EXACT(Logfile_S12[[#This Row],[date pick]],Logfile_S12[[#This Row],[Date]])</f>
        <v>#N/A</v>
      </c>
      <c r="AC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24C-2023926-01</v>
      </c>
    </row>
    <row r="86" spans="1:29" ht="14.5">
      <c r="A86" s="220" t="str">
        <f t="shared" si="3"/>
        <v>082</v>
      </c>
      <c r="B86" s="221"/>
      <c r="C86" s="221" t="s">
        <v>49</v>
      </c>
      <c r="D86" s="221" t="s">
        <v>3696</v>
      </c>
      <c r="E86" s="221" t="s">
        <v>3295</v>
      </c>
      <c r="F86" s="221" t="s">
        <v>3299</v>
      </c>
      <c r="G86" s="222">
        <v>45173</v>
      </c>
      <c r="H86" s="223">
        <v>0.69236111111111109</v>
      </c>
      <c r="I86" s="221" t="s">
        <v>4916</v>
      </c>
      <c r="J86" s="221" t="s">
        <v>3023</v>
      </c>
      <c r="K86" s="224" t="s">
        <v>3075</v>
      </c>
      <c r="L86" s="225" t="str">
        <f>VLOOKUP(Logfile_S12[[#This Row],[Material Name]],Sheet2!B:C,2,0)</f>
        <v>ZTE2003</v>
      </c>
      <c r="M86" s="225" t="str">
        <f>_xlfn.XLOOKUP(Logfile_S12[[#This Row],[Material Name]],Sum_WH!E:E,Sum_WH!F:F,"",0)</f>
        <v>Meter</v>
      </c>
      <c r="N86" s="221">
        <v>3000</v>
      </c>
      <c r="O86" s="221" t="s">
        <v>150</v>
      </c>
      <c r="P86" s="221" t="s">
        <v>151</v>
      </c>
      <c r="Q86" s="221"/>
      <c r="R86" s="221"/>
      <c r="S86" s="221"/>
      <c r="T86" s="221" t="s">
        <v>3309</v>
      </c>
      <c r="U86" s="221" t="s">
        <v>3228</v>
      </c>
      <c r="V86" s="221" t="s">
        <v>3310</v>
      </c>
      <c r="W86" s="221" t="s">
        <v>3311</v>
      </c>
      <c r="X86" s="235" t="s">
        <v>3521</v>
      </c>
      <c r="Y86" s="236" t="s">
        <v>4958</v>
      </c>
      <c r="Z86" s="227" t="str">
        <f t="shared" si="4"/>
        <v>Mulyorejo RW 04 Sukun</v>
      </c>
      <c r="AA86" s="276" t="e">
        <f>VLOOKUP(Logfile_S12[[#This Row],[DO number]],DO_DB!G:I,3,0)</f>
        <v>#N/A</v>
      </c>
      <c r="AB86" s="331" t="e">
        <f>EXACT(Logfile_S12[[#This Row],[date pick]],Logfile_S12[[#This Row],[Date]])</f>
        <v>#N/A</v>
      </c>
      <c r="AC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48C-202391-01</v>
      </c>
    </row>
    <row r="87" spans="1:29" ht="14.5" hidden="1">
      <c r="A87" s="220" t="str">
        <f t="shared" si="3"/>
        <v>083</v>
      </c>
      <c r="B87" s="221"/>
      <c r="C87" s="221" t="s">
        <v>48</v>
      </c>
      <c r="D87" s="221" t="s">
        <v>3754</v>
      </c>
      <c r="E87" s="221" t="s">
        <v>3295</v>
      </c>
      <c r="F87" s="221" t="s">
        <v>3299</v>
      </c>
      <c r="G87" s="222">
        <v>45213</v>
      </c>
      <c r="H87" s="223">
        <v>15.291666666666666</v>
      </c>
      <c r="I87" s="221" t="s">
        <v>37</v>
      </c>
      <c r="J87" s="221" t="s">
        <v>3023</v>
      </c>
      <c r="K87" s="224" t="s">
        <v>3073</v>
      </c>
      <c r="L87" s="225" t="str">
        <f>VLOOKUP(Logfile_S12[[#This Row],[Material Name]],Sheet2!B:C,2,0)</f>
        <v>ZTE2001</v>
      </c>
      <c r="M87" s="225" t="str">
        <f>_xlfn.XLOOKUP(Logfile_S12[[#This Row],[Material Name]],Sum_WH!E:E,Sum_WH!F:F,"",0)</f>
        <v>Meter</v>
      </c>
      <c r="N87" s="221">
        <v>3000</v>
      </c>
      <c r="O87" s="221" t="s">
        <v>324</v>
      </c>
      <c r="P87" s="221" t="s">
        <v>325</v>
      </c>
      <c r="Q87" s="221" t="s">
        <v>326</v>
      </c>
      <c r="R87" s="221" t="s">
        <v>327</v>
      </c>
      <c r="S87" s="221"/>
      <c r="T87" s="221"/>
      <c r="U87" s="221"/>
      <c r="V87" s="221"/>
      <c r="W87" s="221"/>
      <c r="X87" s="221"/>
      <c r="Y87" s="227" t="s">
        <v>4989</v>
      </c>
      <c r="Z87" s="227" t="str">
        <f t="shared" si="4"/>
        <v>Jedong RW 09 Wagir</v>
      </c>
      <c r="AA87" s="276">
        <f>VLOOKUP(Logfile_S12[[#This Row],[DO number]],DO_DB!G:I,3,0)</f>
        <v>45213</v>
      </c>
      <c r="AB87" s="331" t="b">
        <f>EXACT(Logfile_S12[[#This Row],[date pick]],Logfile_S12[[#This Row],[Date]])</f>
        <v>1</v>
      </c>
      <c r="AC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24C-20231014-03</v>
      </c>
    </row>
    <row r="88" spans="1:29" ht="14.5" hidden="1">
      <c r="A88" s="220" t="str">
        <f t="shared" si="3"/>
        <v>084</v>
      </c>
      <c r="B88" s="221"/>
      <c r="C88" s="221" t="s">
        <v>48</v>
      </c>
      <c r="D88" s="221" t="s">
        <v>3754</v>
      </c>
      <c r="E88" s="221" t="s">
        <v>3295</v>
      </c>
      <c r="F88" s="221" t="s">
        <v>3299</v>
      </c>
      <c r="G88" s="222">
        <v>45213</v>
      </c>
      <c r="H88" s="223">
        <v>15.291666666666666</v>
      </c>
      <c r="I88" s="221" t="s">
        <v>37</v>
      </c>
      <c r="J88" s="221" t="s">
        <v>3023</v>
      </c>
      <c r="K88" s="224" t="s">
        <v>3073</v>
      </c>
      <c r="L88" s="225" t="str">
        <f>VLOOKUP(Logfile_S12[[#This Row],[Material Name]],Sheet2!B:C,2,0)</f>
        <v>ZTE2001</v>
      </c>
      <c r="M88" s="225" t="str">
        <f>_xlfn.XLOOKUP(Logfile_S12[[#This Row],[Material Name]],Sum_WH!E:E,Sum_WH!F:F,"",0)</f>
        <v>Meter</v>
      </c>
      <c r="N88" s="221">
        <v>3000</v>
      </c>
      <c r="O88" s="221" t="s">
        <v>336</v>
      </c>
      <c r="P88" s="221" t="s">
        <v>337</v>
      </c>
      <c r="Q88" s="221" t="s">
        <v>338</v>
      </c>
      <c r="R88" s="221" t="s">
        <v>339</v>
      </c>
      <c r="S88" s="221"/>
      <c r="T88" s="221"/>
      <c r="U88" s="221"/>
      <c r="V88" s="221"/>
      <c r="W88" s="221"/>
      <c r="X88" s="221"/>
      <c r="Y88" s="227" t="s">
        <v>4988</v>
      </c>
      <c r="Z88" s="227" t="str">
        <f t="shared" si="4"/>
        <v>Sidorahayu RW 02 Wagir</v>
      </c>
      <c r="AA88" s="276">
        <f>VLOOKUP(Logfile_S12[[#This Row],[DO number]],DO_DB!G:I,3,0)</f>
        <v>45213</v>
      </c>
      <c r="AB88" s="331" t="b">
        <f>EXACT(Logfile_S12[[#This Row],[date pick]],Logfile_S12[[#This Row],[Date]])</f>
        <v>1</v>
      </c>
      <c r="AC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24C-20231014-02</v>
      </c>
    </row>
    <row r="89" spans="1:29" ht="14.5" hidden="1">
      <c r="A89" s="220" t="str">
        <f t="shared" si="3"/>
        <v>085</v>
      </c>
      <c r="B89" s="221"/>
      <c r="C89" s="221" t="s">
        <v>48</v>
      </c>
      <c r="D89" s="221" t="s">
        <v>3754</v>
      </c>
      <c r="E89" s="221" t="s">
        <v>3295</v>
      </c>
      <c r="F89" s="221" t="s">
        <v>3299</v>
      </c>
      <c r="G89" s="222">
        <v>45213</v>
      </c>
      <c r="H89" s="223">
        <v>15.291666666666666</v>
      </c>
      <c r="I89" s="221" t="s">
        <v>37</v>
      </c>
      <c r="J89" s="221" t="s">
        <v>3023</v>
      </c>
      <c r="K89" s="224" t="s">
        <v>3073</v>
      </c>
      <c r="L89" s="225" t="str">
        <f>VLOOKUP(Logfile_S12[[#This Row],[Material Name]],Sheet2!B:C,2,0)</f>
        <v>ZTE2001</v>
      </c>
      <c r="M89" s="225" t="str">
        <f>_xlfn.XLOOKUP(Logfile_S12[[#This Row],[Material Name]],Sum_WH!E:E,Sum_WH!F:F,"",0)</f>
        <v>Meter</v>
      </c>
      <c r="N89" s="221">
        <v>3000</v>
      </c>
      <c r="O89" s="221" t="s">
        <v>328</v>
      </c>
      <c r="P89" s="221" t="s">
        <v>329</v>
      </c>
      <c r="Q89" s="221" t="s">
        <v>330</v>
      </c>
      <c r="R89" s="221" t="s">
        <v>331</v>
      </c>
      <c r="S89" s="221"/>
      <c r="T89" s="221"/>
      <c r="U89" s="221"/>
      <c r="V89" s="221"/>
      <c r="W89" s="221"/>
      <c r="X89" s="221"/>
      <c r="Y89" s="227" t="s">
        <v>4987</v>
      </c>
      <c r="Z89" s="227" t="str">
        <f t="shared" si="4"/>
        <v>Sukodadi RW 01 Wagir</v>
      </c>
      <c r="AA89" s="276">
        <f>VLOOKUP(Logfile_S12[[#This Row],[DO number]],DO_DB!G:I,3,0)</f>
        <v>45213</v>
      </c>
      <c r="AB89" s="331" t="b">
        <f>EXACT(Logfile_S12[[#This Row],[date pick]],Logfile_S12[[#This Row],[Date]])</f>
        <v>1</v>
      </c>
      <c r="AC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24C-20231014-01</v>
      </c>
    </row>
    <row r="90" spans="1:29" ht="14.5">
      <c r="A90" s="237" t="str">
        <f t="shared" si="3"/>
        <v>086</v>
      </c>
      <c r="B90" s="221"/>
      <c r="C90" s="227" t="s">
        <v>3313</v>
      </c>
      <c r="D90" s="227" t="s">
        <v>5253</v>
      </c>
      <c r="E90" s="227" t="s">
        <v>3295</v>
      </c>
      <c r="F90" s="227" t="s">
        <v>3299</v>
      </c>
      <c r="G90" s="239">
        <v>45184</v>
      </c>
      <c r="H90" s="240">
        <v>0.25</v>
      </c>
      <c r="I90" s="227" t="s">
        <v>3586</v>
      </c>
      <c r="J90" s="482" t="s">
        <v>4432</v>
      </c>
      <c r="K90" s="241" t="s">
        <v>3075</v>
      </c>
      <c r="L90" s="225" t="str">
        <f>VLOOKUP(Logfile_S12[[#This Row],[Material Name]],Sheet2!B:C,2,0)</f>
        <v>ZTE2003</v>
      </c>
      <c r="M90" s="242" t="s">
        <v>20</v>
      </c>
      <c r="N90" s="227">
        <v>1250</v>
      </c>
      <c r="O90" s="227"/>
      <c r="P90" s="227"/>
      <c r="Q90" s="227"/>
      <c r="R90" s="227"/>
      <c r="S90" s="227"/>
      <c r="T90" s="227"/>
      <c r="U90" s="227"/>
      <c r="V90" s="227"/>
      <c r="W90" s="227"/>
      <c r="X90" s="227"/>
      <c r="Y90" s="238" t="s">
        <v>5249</v>
      </c>
      <c r="Z90" s="238">
        <f t="shared" si="4"/>
        <v>0</v>
      </c>
      <c r="AA90" s="276" t="e">
        <f>VLOOKUP(Logfile_S12[[#This Row],[DO number]],DO_DB!G:I,3,0)</f>
        <v>#N/A</v>
      </c>
      <c r="AB90" s="332" t="e">
        <f>EXACT(Logfile_S12[[#This Row],[date pick]],Logfile_S12[[#This Row],[Date]])</f>
        <v>#N/A</v>
      </c>
      <c r="AC90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48C-2023915-01</v>
      </c>
    </row>
    <row r="91" spans="1:29" ht="14.5">
      <c r="A91" s="220" t="str">
        <f t="shared" si="3"/>
        <v>087</v>
      </c>
      <c r="B91" s="221"/>
      <c r="C91" s="221" t="s">
        <v>48</v>
      </c>
      <c r="D91" s="221" t="s">
        <v>3708</v>
      </c>
      <c r="E91" s="221" t="s">
        <v>3295</v>
      </c>
      <c r="F91" s="221" t="s">
        <v>3299</v>
      </c>
      <c r="G91" s="222">
        <v>45185</v>
      </c>
      <c r="H91" s="223">
        <v>15.291666666666666</v>
      </c>
      <c r="I91" s="221" t="s">
        <v>37</v>
      </c>
      <c r="J91" s="221" t="s">
        <v>3023</v>
      </c>
      <c r="K91" s="224" t="s">
        <v>3075</v>
      </c>
      <c r="L91" s="225" t="str">
        <f>VLOOKUP(Logfile_S12[[#This Row],[Material Name]],Sheet2!B:C,2,0)</f>
        <v>ZTE2003</v>
      </c>
      <c r="M91" s="225" t="str">
        <f>_xlfn.XLOOKUP(Logfile_S12[[#This Row],[Material Name]],Sum_WH!E:E,Sum_WH!F:F,"",0)</f>
        <v>Meter</v>
      </c>
      <c r="N91" s="221">
        <v>3000</v>
      </c>
      <c r="O91" s="221" t="s">
        <v>164</v>
      </c>
      <c r="P91" s="221" t="s">
        <v>3320</v>
      </c>
      <c r="Q91" s="221" t="s">
        <v>166</v>
      </c>
      <c r="R91" s="221" t="s">
        <v>167</v>
      </c>
      <c r="S91" s="221"/>
      <c r="T91" s="221"/>
      <c r="U91" s="221"/>
      <c r="V91" s="221"/>
      <c r="W91" s="221"/>
      <c r="X91" s="221"/>
      <c r="Y91" s="227" t="s">
        <v>5051</v>
      </c>
      <c r="Z91" s="227" t="str">
        <f t="shared" si="4"/>
        <v>Pandan Landung RW 04 Wagir</v>
      </c>
      <c r="AA91" s="276">
        <f>VLOOKUP(Logfile_S12[[#This Row],[DO number]],DO_DB!G:I,3,0)</f>
        <v>45185</v>
      </c>
      <c r="AB91" s="331" t="b">
        <f>EXACT(Logfile_S12[[#This Row],[date pick]],Logfile_S12[[#This Row],[Date]])</f>
        <v>1</v>
      </c>
      <c r="AC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48C-2023916-01</v>
      </c>
    </row>
    <row r="92" spans="1:29" ht="14.5" hidden="1">
      <c r="A92" s="237" t="str">
        <f t="shared" si="3"/>
        <v>088</v>
      </c>
      <c r="B92" s="221"/>
      <c r="C92" s="227" t="s">
        <v>49</v>
      </c>
      <c r="D92" s="227" t="s">
        <v>3768</v>
      </c>
      <c r="E92" s="227" t="s">
        <v>3295</v>
      </c>
      <c r="F92" s="227" t="s">
        <v>3299</v>
      </c>
      <c r="G92" s="239">
        <v>45218</v>
      </c>
      <c r="H92" s="240">
        <v>0.33263888888888887</v>
      </c>
      <c r="I92" s="227" t="s">
        <v>3586</v>
      </c>
      <c r="J92" s="482" t="s">
        <v>4432</v>
      </c>
      <c r="K92" s="241" t="s">
        <v>3073</v>
      </c>
      <c r="L92" s="225" t="str">
        <f>VLOOKUP(Logfile_S12[[#This Row],[Material Name]],Sheet2!B:C,2,0)</f>
        <v>ZTE2001</v>
      </c>
      <c r="M92" s="242" t="s">
        <v>20</v>
      </c>
      <c r="N92" s="227">
        <v>684</v>
      </c>
      <c r="O92" s="227" t="s">
        <v>340</v>
      </c>
      <c r="P92" s="227" t="s">
        <v>341</v>
      </c>
      <c r="Q92" s="227"/>
      <c r="R92" s="227"/>
      <c r="S92" s="227"/>
      <c r="T92" s="227"/>
      <c r="U92" s="227"/>
      <c r="V92" s="227"/>
      <c r="W92" s="227"/>
      <c r="X92" s="227"/>
      <c r="Y92" s="238" t="s">
        <v>4989</v>
      </c>
      <c r="Z92" s="238" t="str">
        <f t="shared" si="4"/>
        <v>Jedong RW 08 Wagir</v>
      </c>
      <c r="AA92" s="276" t="e">
        <f>VLOOKUP(Logfile_S12[[#This Row],[DO number]],DO_DB!G:I,3,0)</f>
        <v>#N/A</v>
      </c>
      <c r="AB92" s="332" t="e">
        <f>EXACT(Logfile_S12[[#This Row],[date pick]],Logfile_S12[[#This Row],[Date]])</f>
        <v>#N/A</v>
      </c>
      <c r="AC9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24C-20231014-03</v>
      </c>
    </row>
    <row r="93" spans="1:29" ht="14.5" hidden="1">
      <c r="A93" s="237" t="str">
        <f t="shared" si="3"/>
        <v>089</v>
      </c>
      <c r="B93" s="221"/>
      <c r="C93" s="227" t="s">
        <v>48</v>
      </c>
      <c r="D93" s="227" t="s">
        <v>5114</v>
      </c>
      <c r="E93" s="227" t="s">
        <v>3295</v>
      </c>
      <c r="F93" s="227" t="s">
        <v>3299</v>
      </c>
      <c r="G93" s="239">
        <v>45218</v>
      </c>
      <c r="H93" s="240">
        <v>0.33263888888888887</v>
      </c>
      <c r="I93" s="227" t="s">
        <v>3586</v>
      </c>
      <c r="J93" s="482" t="s">
        <v>4432</v>
      </c>
      <c r="K93" s="241" t="s">
        <v>3073</v>
      </c>
      <c r="L93" s="225" t="str">
        <f>VLOOKUP(Logfile_S12[[#This Row],[Material Name]],Sheet2!B:C,2,0)</f>
        <v>ZTE2001</v>
      </c>
      <c r="M93" s="242" t="s">
        <v>20</v>
      </c>
      <c r="N93" s="227">
        <v>1740</v>
      </c>
      <c r="O93" s="227" t="s">
        <v>324</v>
      </c>
      <c r="P93" s="227" t="s">
        <v>325</v>
      </c>
      <c r="Q93" s="227"/>
      <c r="R93" s="227"/>
      <c r="S93" s="227"/>
      <c r="T93" s="227" t="s">
        <v>3322</v>
      </c>
      <c r="U93" s="227" t="s">
        <v>3323</v>
      </c>
      <c r="V93" s="227" t="s">
        <v>3324</v>
      </c>
      <c r="W93" s="227" t="s">
        <v>3325</v>
      </c>
      <c r="X93" s="227" t="s">
        <v>3486</v>
      </c>
      <c r="Y93" s="238" t="s">
        <v>4989</v>
      </c>
      <c r="Z93" s="238" t="str">
        <f t="shared" si="4"/>
        <v>Jedong RW 09 Wagir</v>
      </c>
      <c r="AA93" s="276" t="e">
        <f>VLOOKUP(Logfile_S12[[#This Row],[DO number]],DO_DB!G:I,3,0)</f>
        <v>#N/A</v>
      </c>
      <c r="AB93" s="332" t="e">
        <f>EXACT(Logfile_S12[[#This Row],[date pick]],Logfile_S12[[#This Row],[Date]])</f>
        <v>#N/A</v>
      </c>
      <c r="AC9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24C-20231014-03</v>
      </c>
    </row>
    <row r="94" spans="1:29" ht="14.5" hidden="1">
      <c r="A94" s="237" t="str">
        <f t="shared" si="3"/>
        <v>090</v>
      </c>
      <c r="B94" s="221"/>
      <c r="C94" s="227" t="s">
        <v>49</v>
      </c>
      <c r="D94" s="227" t="s">
        <v>3768</v>
      </c>
      <c r="E94" s="227" t="s">
        <v>3295</v>
      </c>
      <c r="F94" s="227" t="s">
        <v>3299</v>
      </c>
      <c r="G94" s="239">
        <v>45218</v>
      </c>
      <c r="H94" s="240">
        <v>0.33263888888888887</v>
      </c>
      <c r="I94" s="227" t="s">
        <v>3586</v>
      </c>
      <c r="J94" s="482" t="s">
        <v>4432</v>
      </c>
      <c r="K94" s="241" t="s">
        <v>3073</v>
      </c>
      <c r="L94" s="225" t="str">
        <f>VLOOKUP(Logfile_S12[[#This Row],[Material Name]],Sheet2!B:C,2,0)</f>
        <v>ZTE2001</v>
      </c>
      <c r="M94" s="242" t="s">
        <v>20</v>
      </c>
      <c r="N94" s="227">
        <v>772</v>
      </c>
      <c r="O94" s="227" t="s">
        <v>324</v>
      </c>
      <c r="P94" s="227" t="s">
        <v>325</v>
      </c>
      <c r="Q94" s="227" t="s">
        <v>3486</v>
      </c>
      <c r="R94" s="227" t="s">
        <v>5142</v>
      </c>
      <c r="S94" s="227"/>
      <c r="T94" s="227" t="s">
        <v>4989</v>
      </c>
      <c r="U94" s="227"/>
      <c r="V94" s="227"/>
      <c r="W94" s="227"/>
      <c r="X94" s="227"/>
      <c r="Y94" s="238" t="s">
        <v>4989</v>
      </c>
      <c r="Z94" s="238" t="str">
        <f t="shared" si="4"/>
        <v>Jedong RW 09 Wagir</v>
      </c>
      <c r="AA94" s="276" t="e">
        <f>VLOOKUP(Logfile_S12[[#This Row],[DO number]],DO_DB!G:I,3,0)</f>
        <v>#N/A</v>
      </c>
      <c r="AB94" s="332" t="e">
        <f>EXACT(Logfile_S12[[#This Row],[date pick]],Logfile_S12[[#This Row],[Date]])</f>
        <v>#N/A</v>
      </c>
      <c r="AC9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24C-20231014-03</v>
      </c>
    </row>
    <row r="95" spans="1:29" ht="14.5" hidden="1">
      <c r="A95" s="220" t="str">
        <f t="shared" si="3"/>
        <v>091</v>
      </c>
      <c r="B95" s="221"/>
      <c r="C95" s="221" t="s">
        <v>49</v>
      </c>
      <c r="D95" s="221" t="s">
        <v>3768</v>
      </c>
      <c r="E95" s="221" t="s">
        <v>3295</v>
      </c>
      <c r="F95" s="221" t="s">
        <v>3299</v>
      </c>
      <c r="G95" s="222">
        <v>45218</v>
      </c>
      <c r="H95" s="223">
        <v>0.33263888888888887</v>
      </c>
      <c r="I95" s="221" t="s">
        <v>4916</v>
      </c>
      <c r="J95" s="221" t="s">
        <v>3023</v>
      </c>
      <c r="K95" s="224" t="s">
        <v>3073</v>
      </c>
      <c r="L95" s="225" t="str">
        <f>VLOOKUP(Logfile_S12[[#This Row],[Material Name]],Sheet2!B:C,2,0)</f>
        <v>ZTE2001</v>
      </c>
      <c r="M95" s="225" t="str">
        <f>_xlfn.XLOOKUP(Logfile_S12[[#This Row],[Material Name]],Sum_WH!E:E,Sum_WH!F:F,"",0)</f>
        <v>Meter</v>
      </c>
      <c r="N95" s="221">
        <v>3000</v>
      </c>
      <c r="O95" s="221" t="s">
        <v>324</v>
      </c>
      <c r="P95" s="221" t="s">
        <v>325</v>
      </c>
      <c r="Q95" s="221"/>
      <c r="R95" s="221"/>
      <c r="S95" s="221"/>
      <c r="T95" s="221" t="s">
        <v>3322</v>
      </c>
      <c r="U95" s="221" t="s">
        <v>3323</v>
      </c>
      <c r="V95" s="221" t="s">
        <v>3324</v>
      </c>
      <c r="W95" s="221" t="s">
        <v>3325</v>
      </c>
      <c r="X95" s="221" t="s">
        <v>3486</v>
      </c>
      <c r="Y95" s="227" t="s">
        <v>4989</v>
      </c>
      <c r="Z95" s="227" t="str">
        <f t="shared" si="4"/>
        <v>Jedong RW 09 Wagir</v>
      </c>
      <c r="AA95" s="276" t="e">
        <f>VLOOKUP(Logfile_S12[[#This Row],[DO number]],DO_DB!G:I,3,0)</f>
        <v>#N/A</v>
      </c>
      <c r="AB95" s="331" t="e">
        <f>EXACT(Logfile_S12[[#This Row],[date pick]],Logfile_S12[[#This Row],[Date]])</f>
        <v>#N/A</v>
      </c>
      <c r="AC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24C-20231014-03</v>
      </c>
    </row>
    <row r="96" spans="1:29" ht="14.5" hidden="1">
      <c r="A96" s="237" t="str">
        <f t="shared" si="3"/>
        <v>092</v>
      </c>
      <c r="B96" s="221"/>
      <c r="C96" s="227" t="s">
        <v>48</v>
      </c>
      <c r="D96" s="227" t="s">
        <v>5144</v>
      </c>
      <c r="E96" s="227" t="s">
        <v>3295</v>
      </c>
      <c r="F96" s="227" t="s">
        <v>3299</v>
      </c>
      <c r="G96" s="239">
        <v>45222</v>
      </c>
      <c r="H96" s="240">
        <v>0.34652777777777777</v>
      </c>
      <c r="I96" s="227" t="s">
        <v>3586</v>
      </c>
      <c r="J96" s="482" t="s">
        <v>4432</v>
      </c>
      <c r="K96" s="241" t="s">
        <v>3073</v>
      </c>
      <c r="L96" s="225" t="str">
        <f>VLOOKUP(Logfile_S12[[#This Row],[Material Name]],Sheet2!B:C,2,0)</f>
        <v>ZTE2001</v>
      </c>
      <c r="M96" s="242" t="s">
        <v>20</v>
      </c>
      <c r="N96" s="227">
        <v>1350</v>
      </c>
      <c r="O96" s="227" t="s">
        <v>332</v>
      </c>
      <c r="P96" s="227" t="s">
        <v>337</v>
      </c>
      <c r="Q96" s="227" t="s">
        <v>3793</v>
      </c>
      <c r="R96" s="227"/>
      <c r="S96" s="227"/>
      <c r="T96" s="227"/>
      <c r="U96" s="227"/>
      <c r="V96" s="227"/>
      <c r="W96" s="227"/>
      <c r="X96" s="227"/>
      <c r="Y96" s="238" t="s">
        <v>4988</v>
      </c>
      <c r="Z96" s="238" t="str">
        <f t="shared" si="4"/>
        <v>Sidorahayu RW 02 Wagir</v>
      </c>
      <c r="AA96" s="276" t="e">
        <f>VLOOKUP(Logfile_S12[[#This Row],[DO number]],DO_DB!G:I,3,0)</f>
        <v>#N/A</v>
      </c>
      <c r="AB96" s="332" t="e">
        <f>EXACT(Logfile_S12[[#This Row],[date pick]],Logfile_S12[[#This Row],[Date]])</f>
        <v>#N/A</v>
      </c>
      <c r="AC9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24C-20231014-02</v>
      </c>
    </row>
    <row r="97" spans="1:29" ht="14.5" hidden="1">
      <c r="A97" s="237" t="str">
        <f t="shared" si="3"/>
        <v>093</v>
      </c>
      <c r="B97" s="221"/>
      <c r="C97" s="227" t="s">
        <v>49</v>
      </c>
      <c r="D97" s="227" t="s">
        <v>3792</v>
      </c>
      <c r="E97" s="227" t="s">
        <v>3295</v>
      </c>
      <c r="F97" s="227" t="s">
        <v>3299</v>
      </c>
      <c r="G97" s="239">
        <v>45222</v>
      </c>
      <c r="H97" s="240">
        <v>0.34652777777777777</v>
      </c>
      <c r="I97" s="227" t="s">
        <v>3586</v>
      </c>
      <c r="J97" s="482" t="s">
        <v>4432</v>
      </c>
      <c r="K97" s="241" t="s">
        <v>3073</v>
      </c>
      <c r="L97" s="225" t="str">
        <f>VLOOKUP(Logfile_S12[[#This Row],[Material Name]],Sheet2!B:C,2,0)</f>
        <v>ZTE2001</v>
      </c>
      <c r="M97" s="242" t="s">
        <v>20</v>
      </c>
      <c r="N97" s="227">
        <v>650</v>
      </c>
      <c r="O97" s="227" t="s">
        <v>332</v>
      </c>
      <c r="P97" s="227" t="s">
        <v>337</v>
      </c>
      <c r="Q97" s="227"/>
      <c r="R97" s="227"/>
      <c r="S97" s="227"/>
      <c r="T97" s="227"/>
      <c r="U97" s="227"/>
      <c r="V97" s="227"/>
      <c r="W97" s="227"/>
      <c r="X97" s="227"/>
      <c r="Y97" s="238" t="s">
        <v>4988</v>
      </c>
      <c r="Z97" s="238" t="str">
        <f t="shared" si="4"/>
        <v>Sidorahayu RW 02 Wagir</v>
      </c>
      <c r="AA97" s="276" t="e">
        <f>VLOOKUP(Logfile_S12[[#This Row],[DO number]],DO_DB!G:I,3,0)</f>
        <v>#N/A</v>
      </c>
      <c r="AB97" s="332" t="e">
        <f>EXACT(Logfile_S12[[#This Row],[date pick]],Logfile_S12[[#This Row],[Date]])</f>
        <v>#N/A</v>
      </c>
      <c r="AC97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24C-20231014-02</v>
      </c>
    </row>
    <row r="98" spans="1:29" ht="14.5" hidden="1">
      <c r="A98" s="220" t="str">
        <f t="shared" si="3"/>
        <v>094</v>
      </c>
      <c r="B98" s="221"/>
      <c r="C98" s="221" t="s">
        <v>49</v>
      </c>
      <c r="D98" s="221" t="s">
        <v>3792</v>
      </c>
      <c r="E98" s="221" t="s">
        <v>3295</v>
      </c>
      <c r="F98" s="221" t="s">
        <v>3299</v>
      </c>
      <c r="G98" s="222">
        <v>45222</v>
      </c>
      <c r="H98" s="223">
        <v>0.34652777777777777</v>
      </c>
      <c r="I98" s="221" t="s">
        <v>4916</v>
      </c>
      <c r="J98" s="221" t="s">
        <v>3023</v>
      </c>
      <c r="K98" s="224" t="s">
        <v>3073</v>
      </c>
      <c r="L98" s="225" t="str">
        <f>VLOOKUP(Logfile_S12[[#This Row],[Material Name]],Sheet2!B:C,2,0)</f>
        <v>ZTE2001</v>
      </c>
      <c r="M98" s="225" t="str">
        <f>_xlfn.XLOOKUP(Logfile_S12[[#This Row],[Material Name]],Sum_WH!E:E,Sum_WH!F:F,"",0)</f>
        <v>Meter</v>
      </c>
      <c r="N98" s="221">
        <v>3000</v>
      </c>
      <c r="O98" s="221" t="s">
        <v>332</v>
      </c>
      <c r="P98" s="221" t="s">
        <v>337</v>
      </c>
      <c r="Q98" s="221"/>
      <c r="R98" s="221"/>
      <c r="S98" s="221"/>
      <c r="T98" s="221" t="s">
        <v>3487</v>
      </c>
      <c r="U98" s="221" t="s">
        <v>3332</v>
      </c>
      <c r="V98" s="221" t="s">
        <v>3488</v>
      </c>
      <c r="W98" s="221" t="s">
        <v>3489</v>
      </c>
      <c r="X98" s="221" t="s">
        <v>3793</v>
      </c>
      <c r="Y98" s="227" t="s">
        <v>4988</v>
      </c>
      <c r="Z98" s="227" t="str">
        <f t="shared" si="4"/>
        <v>Sidorahayu RW 02 Wagir</v>
      </c>
      <c r="AA98" s="276" t="e">
        <f>VLOOKUP(Logfile_S12[[#This Row],[DO number]],DO_DB!G:I,3,0)</f>
        <v>#N/A</v>
      </c>
      <c r="AB98" s="331" t="e">
        <f>EXACT(Logfile_S12[[#This Row],[date pick]],Logfile_S12[[#This Row],[Date]])</f>
        <v>#N/A</v>
      </c>
      <c r="AC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24C-20231014-02</v>
      </c>
    </row>
    <row r="99" spans="1:29" ht="14.5" hidden="1">
      <c r="A99" s="220" t="str">
        <f t="shared" si="3"/>
        <v>095</v>
      </c>
      <c r="B99" s="221"/>
      <c r="C99" s="221" t="s">
        <v>49</v>
      </c>
      <c r="D99" s="221" t="s">
        <v>3790</v>
      </c>
      <c r="E99" s="221" t="s">
        <v>3295</v>
      </c>
      <c r="F99" s="221" t="s">
        <v>3299</v>
      </c>
      <c r="G99" s="222">
        <v>45222</v>
      </c>
      <c r="H99" s="223">
        <v>0.34652777777777777</v>
      </c>
      <c r="I99" s="221" t="s">
        <v>4916</v>
      </c>
      <c r="J99" s="221" t="s">
        <v>3023</v>
      </c>
      <c r="K99" s="224" t="s">
        <v>3073</v>
      </c>
      <c r="L99" s="225" t="str">
        <f>VLOOKUP(Logfile_S12[[#This Row],[Material Name]],Sheet2!B:C,2,0)</f>
        <v>ZTE2001</v>
      </c>
      <c r="M99" s="225" t="str">
        <f>_xlfn.XLOOKUP(Logfile_S12[[#This Row],[Material Name]],Sum_WH!E:E,Sum_WH!F:F,"",0)</f>
        <v>Meter</v>
      </c>
      <c r="N99" s="221">
        <v>3000</v>
      </c>
      <c r="O99" s="221" t="s">
        <v>328</v>
      </c>
      <c r="P99" s="221" t="s">
        <v>329</v>
      </c>
      <c r="Q99" s="221"/>
      <c r="R99" s="221"/>
      <c r="S99" s="221"/>
      <c r="T99" s="221" t="s">
        <v>3487</v>
      </c>
      <c r="U99" s="221" t="s">
        <v>3332</v>
      </c>
      <c r="V99" s="221" t="s">
        <v>3488</v>
      </c>
      <c r="W99" s="221" t="s">
        <v>3489</v>
      </c>
      <c r="X99" s="221" t="s">
        <v>3791</v>
      </c>
      <c r="Y99" s="227" t="s">
        <v>4987</v>
      </c>
      <c r="Z99" s="227" t="str">
        <f t="shared" si="4"/>
        <v>Sukodadi RW 01 Wagir</v>
      </c>
      <c r="AA99" s="276" t="e">
        <f>VLOOKUP(Logfile_S12[[#This Row],[DO number]],DO_DB!G:I,3,0)</f>
        <v>#N/A</v>
      </c>
      <c r="AB99" s="331" t="e">
        <f>EXACT(Logfile_S12[[#This Row],[date pick]],Logfile_S12[[#This Row],[Date]])</f>
        <v>#N/A</v>
      </c>
      <c r="AC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24C-20231014-01</v>
      </c>
    </row>
    <row r="100" spans="1:29" ht="14.5">
      <c r="A100" s="220" t="str">
        <f t="shared" si="3"/>
        <v>096</v>
      </c>
      <c r="B100" s="221"/>
      <c r="C100" s="221" t="s">
        <v>49</v>
      </c>
      <c r="D100" s="221" t="s">
        <v>3750</v>
      </c>
      <c r="E100" s="221" t="s">
        <v>3295</v>
      </c>
      <c r="F100" s="221" t="s">
        <v>3299</v>
      </c>
      <c r="G100" s="222">
        <v>45211</v>
      </c>
      <c r="H100" s="223">
        <v>0.52083333333333337</v>
      </c>
      <c r="I100" s="221" t="s">
        <v>4916</v>
      </c>
      <c r="J100" s="221" t="s">
        <v>3023</v>
      </c>
      <c r="K100" s="224" t="s">
        <v>3075</v>
      </c>
      <c r="L100" s="225" t="str">
        <f>VLOOKUP(Logfile_S12[[#This Row],[Material Name]],Sheet2!B:C,2,0)</f>
        <v>ZTE2003</v>
      </c>
      <c r="M100" s="225" t="str">
        <f>_xlfn.XLOOKUP(Logfile_S12[[#This Row],[Material Name]],Sum_WH!E:E,Sum_WH!F:F,"",0)</f>
        <v>Meter</v>
      </c>
      <c r="N100" s="221">
        <v>3000</v>
      </c>
      <c r="O100" s="221" t="s">
        <v>164</v>
      </c>
      <c r="P100" s="221" t="s">
        <v>3320</v>
      </c>
      <c r="Q100" s="221"/>
      <c r="R100" s="221"/>
      <c r="S100" s="221"/>
      <c r="T100" s="221" t="s">
        <v>3346</v>
      </c>
      <c r="U100" s="221" t="s">
        <v>3323</v>
      </c>
      <c r="V100" s="221" t="s">
        <v>3347</v>
      </c>
      <c r="W100" s="221" t="s">
        <v>3387</v>
      </c>
      <c r="X100" s="221"/>
      <c r="Y100" s="227" t="s">
        <v>5051</v>
      </c>
      <c r="Z100" s="227" t="str">
        <f t="shared" si="4"/>
        <v>Pandan Landung RW 04 Wagir</v>
      </c>
      <c r="AA100" s="276" t="e">
        <f>VLOOKUP(Logfile_S12[[#This Row],[DO number]],DO_DB!G:I,3,0)</f>
        <v>#N/A</v>
      </c>
      <c r="AB100" s="331" t="e">
        <f>EXACT(Logfile_S12[[#This Row],[date pick]],Logfile_S12[[#This Row],[Date]])</f>
        <v>#N/A</v>
      </c>
      <c r="AC1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48C-2023916-01</v>
      </c>
    </row>
    <row r="101" spans="1:29" ht="14.5" hidden="1">
      <c r="A101" s="220" t="str">
        <f t="shared" si="3"/>
        <v>097</v>
      </c>
      <c r="B101" s="221"/>
      <c r="C101" s="221" t="s">
        <v>48</v>
      </c>
      <c r="D101" s="221" t="s">
        <v>3806</v>
      </c>
      <c r="E101" s="221" t="s">
        <v>3295</v>
      </c>
      <c r="F101" s="221" t="s">
        <v>3299</v>
      </c>
      <c r="G101" s="222">
        <v>45245</v>
      </c>
      <c r="H101" s="223">
        <v>15.291666666666666</v>
      </c>
      <c r="I101" s="221" t="s">
        <v>37</v>
      </c>
      <c r="J101" s="221" t="s">
        <v>3023</v>
      </c>
      <c r="K101" s="224" t="s">
        <v>3073</v>
      </c>
      <c r="L101" s="225" t="str">
        <f>VLOOKUP(Logfile_S12[[#This Row],[Material Name]],Sheet2!B:C,2,0)</f>
        <v>ZTE2001</v>
      </c>
      <c r="M101" s="225" t="str">
        <f>_xlfn.XLOOKUP(Logfile_S12[[#This Row],[Material Name]],Sum_WH!E:E,Sum_WH!F:F,"",0)</f>
        <v>Meter</v>
      </c>
      <c r="N101" s="221">
        <v>3000</v>
      </c>
      <c r="O101" s="221" t="s">
        <v>468</v>
      </c>
      <c r="P101" s="221" t="s">
        <v>469</v>
      </c>
      <c r="Q101" s="221" t="s">
        <v>540</v>
      </c>
      <c r="R101" s="221" t="s">
        <v>541</v>
      </c>
      <c r="S101" s="221"/>
      <c r="T101" s="221"/>
      <c r="U101" s="221"/>
      <c r="V101" s="221"/>
      <c r="W101" s="221"/>
      <c r="X101" s="221"/>
      <c r="Y101" s="227" t="s">
        <v>4990</v>
      </c>
      <c r="Z101" s="227" t="str">
        <f t="shared" si="4"/>
        <v>Jedong RW 07 Wagir</v>
      </c>
      <c r="AA101" s="276">
        <f>VLOOKUP(Logfile_S12[[#This Row],[DO number]],DO_DB!G:I,3,0)</f>
        <v>45245</v>
      </c>
      <c r="AB101" s="331" t="b">
        <f>EXACT(Logfile_S12[[#This Row],[date pick]],Logfile_S12[[#This Row],[Date]])</f>
        <v>1</v>
      </c>
      <c r="AC1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24C-20231115-01</v>
      </c>
    </row>
    <row r="102" spans="1:29" ht="14.5">
      <c r="A102" s="220" t="str">
        <f t="shared" si="3"/>
        <v>098</v>
      </c>
      <c r="B102" s="221"/>
      <c r="C102" s="221" t="s">
        <v>48</v>
      </c>
      <c r="D102" s="221" t="s">
        <v>3724</v>
      </c>
      <c r="E102" s="221" t="s">
        <v>3295</v>
      </c>
      <c r="F102" s="221" t="s">
        <v>3299</v>
      </c>
      <c r="G102" s="222">
        <v>45195</v>
      </c>
      <c r="H102" s="223">
        <v>15.291666666666666</v>
      </c>
      <c r="I102" s="221" t="s">
        <v>37</v>
      </c>
      <c r="J102" s="221" t="s">
        <v>3023</v>
      </c>
      <c r="K102" s="224" t="s">
        <v>3075</v>
      </c>
      <c r="L102" s="225" t="str">
        <f>VLOOKUP(Logfile_S12[[#This Row],[Material Name]],Sheet2!B:C,2,0)</f>
        <v>ZTE2003</v>
      </c>
      <c r="M102" s="225" t="str">
        <f>_xlfn.XLOOKUP(Logfile_S12[[#This Row],[Material Name]],Sum_WH!E:E,Sum_WH!F:F,"",0)</f>
        <v>Meter</v>
      </c>
      <c r="N102" s="221">
        <v>3000</v>
      </c>
      <c r="O102" s="221" t="s">
        <v>222</v>
      </c>
      <c r="P102" s="221" t="s">
        <v>223</v>
      </c>
      <c r="Q102" s="221" t="s">
        <v>238</v>
      </c>
      <c r="R102" s="221" t="s">
        <v>239</v>
      </c>
      <c r="S102" s="221"/>
      <c r="T102" s="221"/>
      <c r="U102" s="221"/>
      <c r="V102" s="221"/>
      <c r="W102" s="221"/>
      <c r="X102" s="221"/>
      <c r="Y102" s="227" t="s">
        <v>5052</v>
      </c>
      <c r="Z102" s="227" t="str">
        <f t="shared" si="4"/>
        <v>Puncak Dieng Exlusif</v>
      </c>
      <c r="AA102" s="276">
        <f>VLOOKUP(Logfile_S12[[#This Row],[DO number]],DO_DB!G:I,3,0)</f>
        <v>45195</v>
      </c>
      <c r="AB102" s="331" t="b">
        <f>EXACT(Logfile_S12[[#This Row],[date pick]],Logfile_S12[[#This Row],[Date]])</f>
        <v>1</v>
      </c>
      <c r="AC1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48C-2023926-01</v>
      </c>
    </row>
    <row r="103" spans="1:29" ht="14.5" hidden="1">
      <c r="A103" s="220" t="str">
        <f t="shared" si="3"/>
        <v>099</v>
      </c>
      <c r="B103" s="221"/>
      <c r="C103" s="221" t="s">
        <v>49</v>
      </c>
      <c r="D103" s="221" t="s">
        <v>3815</v>
      </c>
      <c r="E103" s="221" t="s">
        <v>3295</v>
      </c>
      <c r="F103" s="221" t="s">
        <v>3299</v>
      </c>
      <c r="G103" s="222">
        <v>45255</v>
      </c>
      <c r="H103" s="223">
        <v>0.37916666666666665</v>
      </c>
      <c r="I103" s="221" t="s">
        <v>4916</v>
      </c>
      <c r="J103" s="221" t="s">
        <v>3023</v>
      </c>
      <c r="K103" s="224" t="s">
        <v>3073</v>
      </c>
      <c r="L103" s="225" t="str">
        <f>VLOOKUP(Logfile_S12[[#This Row],[Material Name]],Sheet2!B:C,2,0)</f>
        <v>ZTE2001</v>
      </c>
      <c r="M103" s="225" t="str">
        <f>_xlfn.XLOOKUP(Logfile_S12[[#This Row],[Material Name]],Sum_WH!E:E,Sum_WH!F:F,"",0)</f>
        <v>Meter</v>
      </c>
      <c r="N103" s="221">
        <v>3000</v>
      </c>
      <c r="O103" s="221" t="s">
        <v>468</v>
      </c>
      <c r="P103" s="221" t="s">
        <v>469</v>
      </c>
      <c r="Q103" s="221"/>
      <c r="R103" s="221"/>
      <c r="S103" s="221"/>
      <c r="T103" s="221" t="s">
        <v>3346</v>
      </c>
      <c r="U103" s="221" t="s">
        <v>3332</v>
      </c>
      <c r="V103" s="221" t="s">
        <v>3347</v>
      </c>
      <c r="W103" s="221" t="s">
        <v>3334</v>
      </c>
      <c r="X103" s="221"/>
      <c r="Y103" s="227"/>
      <c r="Z103" s="227" t="str">
        <f t="shared" si="4"/>
        <v>Jedong RW 07 Wagir</v>
      </c>
      <c r="AA103" s="276" t="e">
        <f>VLOOKUP(Logfile_S12[[#This Row],[DO number]],DO_DB!G:I,3,0)</f>
        <v>#N/A</v>
      </c>
      <c r="AB103" s="331" t="e">
        <f>EXACT(Logfile_S12[[#This Row],[date pick]],Logfile_S12[[#This Row],[Date]])</f>
        <v>#N/A</v>
      </c>
      <c r="AC1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4" spans="1:29" ht="14.5">
      <c r="A104" s="220" t="str">
        <f t="shared" si="3"/>
        <v>100</v>
      </c>
      <c r="B104" s="221"/>
      <c r="C104" s="221" t="s">
        <v>49</v>
      </c>
      <c r="D104" s="221" t="s">
        <v>3728</v>
      </c>
      <c r="E104" s="221" t="s">
        <v>3295</v>
      </c>
      <c r="F104" s="221" t="s">
        <v>3299</v>
      </c>
      <c r="G104" s="222">
        <v>45196</v>
      </c>
      <c r="H104" s="223">
        <v>0.27569444444444446</v>
      </c>
      <c r="I104" s="221" t="s">
        <v>4916</v>
      </c>
      <c r="J104" s="221" t="s">
        <v>3023</v>
      </c>
      <c r="K104" s="224" t="s">
        <v>3075</v>
      </c>
      <c r="L104" s="225" t="str">
        <f>VLOOKUP(Logfile_S12[[#This Row],[Material Name]],Sheet2!B:C,2,0)</f>
        <v>ZTE2003</v>
      </c>
      <c r="M104" s="225" t="str">
        <f>_xlfn.XLOOKUP(Logfile_S12[[#This Row],[Material Name]],Sum_WH!E:E,Sum_WH!F:F,"",0)</f>
        <v>Meter</v>
      </c>
      <c r="N104" s="221">
        <v>3000</v>
      </c>
      <c r="O104" s="221" t="s">
        <v>222</v>
      </c>
      <c r="P104" s="221" t="s">
        <v>223</v>
      </c>
      <c r="Q104" s="221"/>
      <c r="R104" s="221"/>
      <c r="S104" s="221"/>
      <c r="T104" s="221" t="s">
        <v>3522</v>
      </c>
      <c r="U104" s="221" t="s">
        <v>3323</v>
      </c>
      <c r="V104" s="221" t="s">
        <v>3324</v>
      </c>
      <c r="W104" s="221" t="s">
        <v>3386</v>
      </c>
      <c r="X104" s="221"/>
      <c r="Y104" s="227" t="s">
        <v>5052</v>
      </c>
      <c r="Z104" s="227" t="str">
        <f t="shared" si="4"/>
        <v>Puncak Dieng Exlusif</v>
      </c>
      <c r="AA104" s="276" t="e">
        <f>VLOOKUP(Logfile_S12[[#This Row],[DO number]],DO_DB!G:I,3,0)</f>
        <v>#N/A</v>
      </c>
      <c r="AB104" s="331" t="e">
        <f>EXACT(Logfile_S12[[#This Row],[date pick]],Logfile_S12[[#This Row],[Date]])</f>
        <v>#N/A</v>
      </c>
      <c r="AC1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48C-2023926-01</v>
      </c>
    </row>
    <row r="105" spans="1:29" ht="14.5">
      <c r="A105" s="220" t="str">
        <f t="shared" si="3"/>
        <v>101</v>
      </c>
      <c r="B105" s="221"/>
      <c r="C105" s="221" t="s">
        <v>48</v>
      </c>
      <c r="D105" s="221" t="s">
        <v>3724</v>
      </c>
      <c r="E105" s="221" t="s">
        <v>3295</v>
      </c>
      <c r="F105" s="221" t="s">
        <v>3299</v>
      </c>
      <c r="G105" s="222">
        <v>45195</v>
      </c>
      <c r="H105" s="223">
        <v>15.291666666666666</v>
      </c>
      <c r="I105" s="221" t="s">
        <v>37</v>
      </c>
      <c r="J105" s="221" t="s">
        <v>3023</v>
      </c>
      <c r="K105" s="224" t="s">
        <v>3075</v>
      </c>
      <c r="L105" s="225" t="str">
        <f>VLOOKUP(Logfile_S12[[#This Row],[Material Name]],Sheet2!B:C,2,0)</f>
        <v>ZTE2003</v>
      </c>
      <c r="M105" s="225" t="str">
        <f>_xlfn.XLOOKUP(Logfile_S12[[#This Row],[Material Name]],Sum_WH!E:E,Sum_WH!F:F,"",0)</f>
        <v>Meter</v>
      </c>
      <c r="N105" s="221">
        <v>3000</v>
      </c>
      <c r="O105" s="221" t="s">
        <v>222</v>
      </c>
      <c r="P105" s="221" t="s">
        <v>223</v>
      </c>
      <c r="Q105" s="221" t="s">
        <v>238</v>
      </c>
      <c r="R105" s="221" t="s">
        <v>239</v>
      </c>
      <c r="S105" s="221"/>
      <c r="T105" s="221"/>
      <c r="U105" s="221"/>
      <c r="V105" s="221"/>
      <c r="W105" s="221"/>
      <c r="X105" s="221"/>
      <c r="Y105" s="227" t="s">
        <v>5053</v>
      </c>
      <c r="Z105" s="227" t="str">
        <f t="shared" si="4"/>
        <v>Puncak Dieng Exlusif</v>
      </c>
      <c r="AA105" s="276">
        <f>VLOOKUP(Logfile_S12[[#This Row],[DO number]],DO_DB!G:I,3,0)</f>
        <v>45195</v>
      </c>
      <c r="AB105" s="331" t="b">
        <f>EXACT(Logfile_S12[[#This Row],[date pick]],Logfile_S12[[#This Row],[Date]])</f>
        <v>1</v>
      </c>
      <c r="AC1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48C-2023926-02</v>
      </c>
    </row>
    <row r="106" spans="1:29" ht="14.5">
      <c r="A106" s="220" t="str">
        <f t="shared" si="3"/>
        <v>102</v>
      </c>
      <c r="B106" s="221"/>
      <c r="C106" s="221" t="s">
        <v>49</v>
      </c>
      <c r="D106" s="221" t="s">
        <v>3720</v>
      </c>
      <c r="E106" s="221" t="s">
        <v>3295</v>
      </c>
      <c r="F106" s="221" t="s">
        <v>3299</v>
      </c>
      <c r="G106" s="222">
        <v>45193</v>
      </c>
      <c r="H106" s="223">
        <v>0.67013888888888884</v>
      </c>
      <c r="I106" s="221" t="s">
        <v>4916</v>
      </c>
      <c r="J106" s="221" t="s">
        <v>3023</v>
      </c>
      <c r="K106" s="224" t="s">
        <v>3075</v>
      </c>
      <c r="L106" s="225" t="str">
        <f>VLOOKUP(Logfile_S12[[#This Row],[Material Name]],Sheet2!B:C,2,0)</f>
        <v>ZTE2003</v>
      </c>
      <c r="M106" s="225" t="str">
        <f>_xlfn.XLOOKUP(Logfile_S12[[#This Row],[Material Name]],Sum_WH!E:E,Sum_WH!F:F,"",0)</f>
        <v>Meter</v>
      </c>
      <c r="N106" s="221">
        <v>3000</v>
      </c>
      <c r="O106" s="221" t="s">
        <v>180</v>
      </c>
      <c r="P106" s="221" t="s">
        <v>181</v>
      </c>
      <c r="Q106" s="221"/>
      <c r="R106" s="221"/>
      <c r="S106" s="221"/>
      <c r="T106" s="221" t="s">
        <v>3322</v>
      </c>
      <c r="U106" s="221" t="s">
        <v>3323</v>
      </c>
      <c r="V106" s="221" t="s">
        <v>3324</v>
      </c>
      <c r="W106" s="221" t="s">
        <v>3386</v>
      </c>
      <c r="X106" s="221"/>
      <c r="Y106" s="227"/>
      <c r="Z106" s="227" t="str">
        <f t="shared" si="4"/>
        <v>Mulyorejo RW 06 Sukun</v>
      </c>
      <c r="AA106" s="276" t="e">
        <f>VLOOKUP(Logfile_S12[[#This Row],[DO number]],DO_DB!G:I,3,0)</f>
        <v>#N/A</v>
      </c>
      <c r="AB106" s="331" t="e">
        <f>EXACT(Logfile_S12[[#This Row],[date pick]],Logfile_S12[[#This Row],[Date]])</f>
        <v>#N/A</v>
      </c>
      <c r="AC1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7" spans="1:29" ht="14.5">
      <c r="A107" s="220" t="str">
        <f t="shared" si="3"/>
        <v>103</v>
      </c>
      <c r="B107" s="221"/>
      <c r="C107" s="221" t="s">
        <v>49</v>
      </c>
      <c r="D107" s="221" t="s">
        <v>3730</v>
      </c>
      <c r="E107" s="221" t="s">
        <v>3295</v>
      </c>
      <c r="F107" s="221" t="s">
        <v>3299</v>
      </c>
      <c r="G107" s="222">
        <v>45196</v>
      </c>
      <c r="H107" s="223">
        <v>0.52083333333333337</v>
      </c>
      <c r="I107" s="221" t="s">
        <v>4916</v>
      </c>
      <c r="J107" s="221" t="s">
        <v>3023</v>
      </c>
      <c r="K107" s="224" t="s">
        <v>3075</v>
      </c>
      <c r="L107" s="225" t="str">
        <f>VLOOKUP(Logfile_S12[[#This Row],[Material Name]],Sheet2!B:C,2,0)</f>
        <v>ZTE2003</v>
      </c>
      <c r="M107" s="225" t="str">
        <f>_xlfn.XLOOKUP(Logfile_S12[[#This Row],[Material Name]],Sum_WH!E:E,Sum_WH!F:F,"",0)</f>
        <v>Meter</v>
      </c>
      <c r="N107" s="221">
        <v>3000</v>
      </c>
      <c r="O107" s="221" t="s">
        <v>172</v>
      </c>
      <c r="P107" s="221" t="s">
        <v>3319</v>
      </c>
      <c r="Q107" s="221"/>
      <c r="R107" s="221"/>
      <c r="S107" s="221"/>
      <c r="T107" s="221" t="s">
        <v>3346</v>
      </c>
      <c r="U107" s="221" t="s">
        <v>3323</v>
      </c>
      <c r="V107" s="221" t="s">
        <v>3347</v>
      </c>
      <c r="W107" s="221" t="s">
        <v>3387</v>
      </c>
      <c r="X107" s="221"/>
      <c r="Y107" s="227"/>
      <c r="Z107" s="227" t="str">
        <f t="shared" si="4"/>
        <v>Pandan Landung RW 03 Wagir</v>
      </c>
      <c r="AA107" s="276" t="e">
        <f>VLOOKUP(Logfile_S12[[#This Row],[DO number]],DO_DB!G:I,3,0)</f>
        <v>#N/A</v>
      </c>
      <c r="AB107" s="331" t="e">
        <f>EXACT(Logfile_S12[[#This Row],[date pick]],Logfile_S12[[#This Row],[Date]])</f>
        <v>#N/A</v>
      </c>
      <c r="AC1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8" spans="1:29" ht="14.5" hidden="1">
      <c r="A108" s="237" t="str">
        <f t="shared" si="3"/>
        <v>104</v>
      </c>
      <c r="B108" s="221"/>
      <c r="C108" s="227" t="s">
        <v>48</v>
      </c>
      <c r="D108" s="227" t="s">
        <v>5106</v>
      </c>
      <c r="E108" s="227" t="s">
        <v>3295</v>
      </c>
      <c r="F108" s="227" t="s">
        <v>3299</v>
      </c>
      <c r="G108" s="239">
        <v>45286</v>
      </c>
      <c r="H108" s="240">
        <v>0.3923611111111111</v>
      </c>
      <c r="I108" s="227" t="s">
        <v>3586</v>
      </c>
      <c r="J108" s="482" t="s">
        <v>4432</v>
      </c>
      <c r="K108" s="241" t="s">
        <v>3073</v>
      </c>
      <c r="L108" s="225" t="str">
        <f>VLOOKUP(Logfile_S12[[#This Row],[Material Name]],Sheet2!B:C,2,0)</f>
        <v>ZTE2001</v>
      </c>
      <c r="M108" s="242" t="s">
        <v>20</v>
      </c>
      <c r="N108" s="227">
        <v>700</v>
      </c>
      <c r="O108" s="227" t="s">
        <v>732</v>
      </c>
      <c r="P108" s="227" t="s">
        <v>733</v>
      </c>
      <c r="Q108" s="227"/>
      <c r="R108" s="227"/>
      <c r="S108" s="227"/>
      <c r="T108" s="227" t="s">
        <v>3258</v>
      </c>
      <c r="U108" s="227" t="s">
        <v>3228</v>
      </c>
      <c r="V108" s="227" t="s">
        <v>3337</v>
      </c>
      <c r="W108" s="227" t="s">
        <v>3338</v>
      </c>
      <c r="X108" s="227" t="s">
        <v>3848</v>
      </c>
      <c r="Y108" s="238" t="s">
        <v>5090</v>
      </c>
      <c r="Z108" s="238" t="str">
        <f t="shared" si="4"/>
        <v>Sitirejo RW 01 Wagir</v>
      </c>
      <c r="AA108" s="276" t="e">
        <f>VLOOKUP(Logfile_S12[[#This Row],[DO number]],DO_DB!G:I,3,0)</f>
        <v>#N/A</v>
      </c>
      <c r="AB108" s="332" t="e">
        <f>EXACT(Logfile_S12[[#This Row],[date pick]],Logfile_S12[[#This Row],[Date]])</f>
        <v>#N/A</v>
      </c>
      <c r="AC108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24C-20231226-01</v>
      </c>
    </row>
    <row r="109" spans="1:29" ht="14.5" hidden="1">
      <c r="A109" s="220" t="str">
        <f t="shared" si="3"/>
        <v>105</v>
      </c>
      <c r="B109" s="221"/>
      <c r="C109" s="221" t="s">
        <v>3429</v>
      </c>
      <c r="D109" s="221" t="s">
        <v>3845</v>
      </c>
      <c r="E109" s="221" t="s">
        <v>3295</v>
      </c>
      <c r="F109" s="221" t="s">
        <v>3299</v>
      </c>
      <c r="G109" s="222">
        <v>45286</v>
      </c>
      <c r="H109" s="223">
        <v>15.291666666666666</v>
      </c>
      <c r="I109" s="221" t="s">
        <v>3193</v>
      </c>
      <c r="J109" s="221" t="s">
        <v>3023</v>
      </c>
      <c r="K109" s="224" t="s">
        <v>3073</v>
      </c>
      <c r="L109" s="225" t="str">
        <f>VLOOKUP(Logfile_S12[[#This Row],[Material Name]],Sheet2!B:C,2,0)</f>
        <v>ZTE2001</v>
      </c>
      <c r="M109" s="225" t="str">
        <f>_xlfn.XLOOKUP(Logfile_S12[[#This Row],[Material Name]],Sum_WH!E:E,Sum_WH!F:F,"",0)</f>
        <v>Meter</v>
      </c>
      <c r="N109" s="221">
        <v>3000</v>
      </c>
      <c r="O109" s="221" t="s">
        <v>4925</v>
      </c>
      <c r="P109" s="221" t="s">
        <v>3266</v>
      </c>
      <c r="Q109" s="221" t="s">
        <v>3490</v>
      </c>
      <c r="R109" s="221">
        <v>0</v>
      </c>
      <c r="S109" s="221"/>
      <c r="T109" s="221" t="s">
        <v>3258</v>
      </c>
      <c r="U109" s="221" t="s">
        <v>3228</v>
      </c>
      <c r="V109" s="221" t="s">
        <v>3337</v>
      </c>
      <c r="W109" s="221" t="s">
        <v>3338</v>
      </c>
      <c r="X109" s="221" t="s">
        <v>3491</v>
      </c>
      <c r="Y109" s="236" t="s">
        <v>5090</v>
      </c>
      <c r="Z109" s="227" t="str">
        <f t="shared" si="4"/>
        <v>YPTT</v>
      </c>
      <c r="AA109" s="276" t="e">
        <f>VLOOKUP(Logfile_S12[[#This Row],[DO number]],DO_DB!G:I,3,0)</f>
        <v>#N/A</v>
      </c>
      <c r="AB109" s="331" t="e">
        <f>EXACT(Logfile_S12[[#This Row],[date pick]],Logfile_S12[[#This Row],[Date]])</f>
        <v>#N/A</v>
      </c>
      <c r="AC1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24C-20231226-01</v>
      </c>
    </row>
    <row r="110" spans="1:29" ht="14.5" hidden="1">
      <c r="A110" s="220" t="str">
        <f t="shared" si="3"/>
        <v>106</v>
      </c>
      <c r="B110" s="221"/>
      <c r="C110" s="221" t="s">
        <v>49</v>
      </c>
      <c r="D110" s="221" t="s">
        <v>3847</v>
      </c>
      <c r="E110" s="221" t="s">
        <v>3295</v>
      </c>
      <c r="F110" s="221" t="s">
        <v>3299</v>
      </c>
      <c r="G110" s="222">
        <v>45286</v>
      </c>
      <c r="H110" s="223">
        <v>0.3923611111111111</v>
      </c>
      <c r="I110" s="221" t="s">
        <v>4916</v>
      </c>
      <c r="J110" s="221" t="s">
        <v>3023</v>
      </c>
      <c r="K110" s="224" t="s">
        <v>3073</v>
      </c>
      <c r="L110" s="225" t="str">
        <f>VLOOKUP(Logfile_S12[[#This Row],[Material Name]],Sheet2!B:C,2,0)</f>
        <v>ZTE2001</v>
      </c>
      <c r="M110" s="225" t="str">
        <f>_xlfn.XLOOKUP(Logfile_S12[[#This Row],[Material Name]],Sum_WH!E:E,Sum_WH!F:F,"",0)</f>
        <v>Meter</v>
      </c>
      <c r="N110" s="221">
        <v>3000</v>
      </c>
      <c r="O110" s="221" t="s">
        <v>732</v>
      </c>
      <c r="P110" s="221" t="s">
        <v>733</v>
      </c>
      <c r="Q110" s="221"/>
      <c r="R110" s="221"/>
      <c r="S110" s="221"/>
      <c r="T110" s="221" t="s">
        <v>3258</v>
      </c>
      <c r="U110" s="221" t="s">
        <v>3228</v>
      </c>
      <c r="V110" s="221" t="s">
        <v>3337</v>
      </c>
      <c r="W110" s="221" t="s">
        <v>3338</v>
      </c>
      <c r="X110" s="221" t="s">
        <v>3848</v>
      </c>
      <c r="Y110" s="236" t="s">
        <v>5090</v>
      </c>
      <c r="Z110" s="227" t="str">
        <f t="shared" si="4"/>
        <v>Sitirejo RW 01 Wagir</v>
      </c>
      <c r="AA110" s="276" t="e">
        <f>VLOOKUP(Logfile_S12[[#This Row],[DO number]],DO_DB!G:I,3,0)</f>
        <v>#N/A</v>
      </c>
      <c r="AB110" s="331" t="e">
        <f>EXACT(Logfile_S12[[#This Row],[date pick]],Logfile_S12[[#This Row],[Date]])</f>
        <v>#N/A</v>
      </c>
      <c r="AC1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24C-20231226-01</v>
      </c>
    </row>
    <row r="111" spans="1:29" ht="14.5" hidden="1">
      <c r="A111" s="220" t="str">
        <f t="shared" si="3"/>
        <v>107</v>
      </c>
      <c r="B111" s="221"/>
      <c r="C111" s="221" t="s">
        <v>3449</v>
      </c>
      <c r="D111" s="221" t="s">
        <v>3850</v>
      </c>
      <c r="E111" s="221" t="s">
        <v>3295</v>
      </c>
      <c r="F111" s="221" t="s">
        <v>3299</v>
      </c>
      <c r="G111" s="222">
        <v>45287</v>
      </c>
      <c r="H111" s="223">
        <v>0.33333333333333331</v>
      </c>
      <c r="I111" s="221" t="s">
        <v>3193</v>
      </c>
      <c r="J111" s="221" t="s">
        <v>3023</v>
      </c>
      <c r="K111" s="224" t="s">
        <v>3073</v>
      </c>
      <c r="L111" s="225" t="str">
        <f>VLOOKUP(Logfile_S12[[#This Row],[Material Name]],Sheet2!B:C,2,0)</f>
        <v>ZTE2001</v>
      </c>
      <c r="M111" s="225" t="str">
        <f>_xlfn.XLOOKUP(Logfile_S12[[#This Row],[Material Name]],Sum_WH!E:E,Sum_WH!F:F,"",0)</f>
        <v>Meter</v>
      </c>
      <c r="N111" s="221">
        <v>3000</v>
      </c>
      <c r="O111" s="221" t="s">
        <v>4925</v>
      </c>
      <c r="P111" s="221" t="s">
        <v>3266</v>
      </c>
      <c r="Q111" s="221"/>
      <c r="R111" s="221"/>
      <c r="S111" s="221"/>
      <c r="T111" s="221" t="s">
        <v>3492</v>
      </c>
      <c r="U111" s="221">
        <v>0</v>
      </c>
      <c r="V111" s="221">
        <v>0</v>
      </c>
      <c r="W111" s="221">
        <v>0</v>
      </c>
      <c r="X111" s="221" t="s">
        <v>3493</v>
      </c>
      <c r="Y111" s="227"/>
      <c r="Z111" s="227" t="str">
        <f t="shared" si="4"/>
        <v>YPTT</v>
      </c>
      <c r="AA111" s="276" t="e">
        <f>VLOOKUP(Logfile_S12[[#This Row],[DO number]],DO_DB!G:I,3,0)</f>
        <v>#N/A</v>
      </c>
      <c r="AB111" s="331" t="e">
        <f>EXACT(Logfile_S12[[#This Row],[date pick]],Logfile_S12[[#This Row],[Date]])</f>
        <v>#N/A</v>
      </c>
      <c r="AC1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12" spans="1:29" ht="14.5" hidden="1">
      <c r="A112" s="220" t="str">
        <f t="shared" si="3"/>
        <v>108</v>
      </c>
      <c r="B112" s="221"/>
      <c r="C112" s="221" t="s">
        <v>48</v>
      </c>
      <c r="D112" s="221" t="s">
        <v>3849</v>
      </c>
      <c r="E112" s="221" t="s">
        <v>3295</v>
      </c>
      <c r="F112" s="221" t="s">
        <v>3299</v>
      </c>
      <c r="G112" s="222">
        <v>45287</v>
      </c>
      <c r="H112" s="223">
        <v>15.291666666666666</v>
      </c>
      <c r="I112" s="221" t="s">
        <v>37</v>
      </c>
      <c r="J112" s="221" t="s">
        <v>3023</v>
      </c>
      <c r="K112" s="224" t="s">
        <v>3073</v>
      </c>
      <c r="L112" s="225" t="str">
        <f>VLOOKUP(Logfile_S12[[#This Row],[Material Name]],Sheet2!B:C,2,0)</f>
        <v>ZTE2001</v>
      </c>
      <c r="M112" s="225" t="str">
        <f>_xlfn.XLOOKUP(Logfile_S12[[#This Row],[Material Name]],Sum_WH!E:E,Sum_WH!F:F,"",0)</f>
        <v>Meter</v>
      </c>
      <c r="N112" s="227">
        <v>3000</v>
      </c>
      <c r="O112" s="221" t="s">
        <v>742</v>
      </c>
      <c r="P112" s="221" t="s">
        <v>743</v>
      </c>
      <c r="Q112" s="221"/>
      <c r="R112" s="221"/>
      <c r="S112" s="221"/>
      <c r="T112" s="221"/>
      <c r="U112" s="221"/>
      <c r="V112" s="221"/>
      <c r="W112" s="221"/>
      <c r="X112" s="221" t="s">
        <v>3217</v>
      </c>
      <c r="Y112" s="236" t="s">
        <v>4991</v>
      </c>
      <c r="Z112" s="227" t="str">
        <f t="shared" si="4"/>
        <v>Baturetno RW 03 Singosari</v>
      </c>
      <c r="AA112" s="276" t="e">
        <f>VLOOKUP(Logfile_S12[[#This Row],[DO number]],DO_DB!G:I,3,0)</f>
        <v>#N/A</v>
      </c>
      <c r="AB112" s="331" t="e">
        <f>EXACT(Logfile_S12[[#This Row],[date pick]],Logfile_S12[[#This Row],[Date]])</f>
        <v>#N/A</v>
      </c>
      <c r="AC1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24C-20231227-01</v>
      </c>
    </row>
    <row r="113" spans="1:29" ht="14.5" hidden="1">
      <c r="A113" s="237" t="str">
        <f t="shared" si="3"/>
        <v>109</v>
      </c>
      <c r="B113" s="221"/>
      <c r="C113" s="221" t="s">
        <v>48</v>
      </c>
      <c r="D113" s="221" t="s">
        <v>3849</v>
      </c>
      <c r="E113" s="221" t="s">
        <v>3295</v>
      </c>
      <c r="F113" s="221" t="s">
        <v>3299</v>
      </c>
      <c r="G113" s="222">
        <v>45287</v>
      </c>
      <c r="H113" s="223">
        <v>15.291666666666666</v>
      </c>
      <c r="I113" s="221" t="s">
        <v>37</v>
      </c>
      <c r="J113" s="221" t="s">
        <v>3023</v>
      </c>
      <c r="K113" s="224" t="s">
        <v>3073</v>
      </c>
      <c r="L113" s="225" t="str">
        <f>VLOOKUP(Logfile_S12[[#This Row],[Material Name]],Sheet2!B:C,2,0)</f>
        <v>ZTE2001</v>
      </c>
      <c r="M113" s="225" t="str">
        <f>_xlfn.XLOOKUP(Logfile_S12[[#This Row],[Material Name]],Sum_WH!E:E,Sum_WH!F:F,"",0)</f>
        <v>Meter</v>
      </c>
      <c r="N113" s="227">
        <v>3000</v>
      </c>
      <c r="O113" s="221" t="s">
        <v>742</v>
      </c>
      <c r="P113" s="221" t="s">
        <v>743</v>
      </c>
      <c r="Q113" s="227"/>
      <c r="R113" s="227"/>
      <c r="S113" s="227"/>
      <c r="T113" s="227"/>
      <c r="U113" s="227"/>
      <c r="V113" s="227"/>
      <c r="W113" s="227"/>
      <c r="X113" s="227"/>
      <c r="Y113" s="243" t="s">
        <v>4992</v>
      </c>
      <c r="Z113" s="227" t="str">
        <f t="shared" si="4"/>
        <v>Baturetno RW 03 Singosari</v>
      </c>
      <c r="AA113" s="276" t="e">
        <f>VLOOKUP(Logfile_S12[[#This Row],[DO number]],DO_DB!G:I,3,0)</f>
        <v>#N/A</v>
      </c>
      <c r="AB113" s="331" t="e">
        <f>EXACT(Logfile_S12[[#This Row],[date pick]],Logfile_S12[[#This Row],[Date]])</f>
        <v>#N/A</v>
      </c>
      <c r="AC1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24C-20231227-02</v>
      </c>
    </row>
    <row r="114" spans="1:29" ht="14.5" hidden="1">
      <c r="A114" s="237" t="str">
        <f t="shared" si="3"/>
        <v>110</v>
      </c>
      <c r="B114" s="221"/>
      <c r="C114" s="221" t="s">
        <v>48</v>
      </c>
      <c r="D114" s="221" t="s">
        <v>3849</v>
      </c>
      <c r="E114" s="221" t="s">
        <v>3295</v>
      </c>
      <c r="F114" s="221" t="s">
        <v>3299</v>
      </c>
      <c r="G114" s="222">
        <v>45287</v>
      </c>
      <c r="H114" s="223">
        <v>15.291666666666666</v>
      </c>
      <c r="I114" s="221" t="s">
        <v>37</v>
      </c>
      <c r="J114" s="221" t="s">
        <v>3023</v>
      </c>
      <c r="K114" s="224" t="s">
        <v>3073</v>
      </c>
      <c r="L114" s="225" t="str">
        <f>VLOOKUP(Logfile_S12[[#This Row],[Material Name]],Sheet2!B:C,2,0)</f>
        <v>ZTE2001</v>
      </c>
      <c r="M114" s="225" t="str">
        <f>_xlfn.XLOOKUP(Logfile_S12[[#This Row],[Material Name]],Sum_WH!E:E,Sum_WH!F:F,"",0)</f>
        <v>Meter</v>
      </c>
      <c r="N114" s="227">
        <v>3000</v>
      </c>
      <c r="O114" s="221" t="s">
        <v>742</v>
      </c>
      <c r="P114" s="221" t="s">
        <v>743</v>
      </c>
      <c r="Q114" s="227"/>
      <c r="R114" s="227"/>
      <c r="S114" s="227"/>
      <c r="T114" s="227"/>
      <c r="U114" s="227"/>
      <c r="V114" s="227"/>
      <c r="W114" s="227"/>
      <c r="X114" s="227"/>
      <c r="Y114" s="243" t="s">
        <v>4993</v>
      </c>
      <c r="Z114" s="227" t="str">
        <f t="shared" si="4"/>
        <v>Baturetno RW 03 Singosari</v>
      </c>
      <c r="AA114" s="276" t="e">
        <f>VLOOKUP(Logfile_S12[[#This Row],[DO number]],DO_DB!G:I,3,0)</f>
        <v>#N/A</v>
      </c>
      <c r="AB114" s="331" t="e">
        <f>EXACT(Logfile_S12[[#This Row],[date pick]],Logfile_S12[[#This Row],[Date]])</f>
        <v>#N/A</v>
      </c>
      <c r="AC1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24C-20231227-03</v>
      </c>
    </row>
    <row r="115" spans="1:29" ht="14.5" hidden="1">
      <c r="A115" s="220" t="str">
        <f t="shared" si="3"/>
        <v>111</v>
      </c>
      <c r="B115" s="221"/>
      <c r="C115" s="221" t="s">
        <v>3388</v>
      </c>
      <c r="D115" s="221" t="s">
        <v>3853</v>
      </c>
      <c r="E115" s="221" t="s">
        <v>3295</v>
      </c>
      <c r="F115" s="221" t="s">
        <v>3299</v>
      </c>
      <c r="G115" s="222">
        <v>45294</v>
      </c>
      <c r="H115" s="223">
        <v>0.89374999999999993</v>
      </c>
      <c r="I115" s="221" t="s">
        <v>4920</v>
      </c>
      <c r="J115" s="221" t="s">
        <v>3023</v>
      </c>
      <c r="K115" s="224" t="s">
        <v>3073</v>
      </c>
      <c r="L115" s="225" t="str">
        <f>VLOOKUP(Logfile_S12[[#This Row],[Material Name]],Sheet2!B:C,2,0)</f>
        <v>ZTE2001</v>
      </c>
      <c r="M115" s="225" t="str">
        <f>_xlfn.XLOOKUP(Logfile_S12[[#This Row],[Material Name]],Sum_WH!E:E,Sum_WH!F:F,"",0)</f>
        <v>Meter</v>
      </c>
      <c r="N115" s="221">
        <v>3000</v>
      </c>
      <c r="O115" s="221" t="s">
        <v>3314</v>
      </c>
      <c r="P115" s="221" t="s">
        <v>3494</v>
      </c>
      <c r="Q115" s="221"/>
      <c r="R115" s="221"/>
      <c r="S115" s="221"/>
      <c r="T115" s="221" t="s">
        <v>3495</v>
      </c>
      <c r="U115" s="221">
        <v>0</v>
      </c>
      <c r="V115" s="221">
        <v>0</v>
      </c>
      <c r="W115" s="221" t="s">
        <v>3353</v>
      </c>
      <c r="X115" s="221" t="s">
        <v>3496</v>
      </c>
      <c r="Y115" s="236" t="s">
        <v>4992</v>
      </c>
      <c r="Z115" s="227" t="str">
        <f t="shared" si="4"/>
        <v>Transfer Gudang TO KEDIRI</v>
      </c>
      <c r="AA115" s="276" t="e">
        <f>VLOOKUP(Logfile_S12[[#This Row],[DO number]],DO_DB!G:I,3,0)</f>
        <v>#N/A</v>
      </c>
      <c r="AB115" s="331" t="e">
        <f>EXACT(Logfile_S12[[#This Row],[date pick]],Logfile_S12[[#This Row],[Date]])</f>
        <v>#N/A</v>
      </c>
      <c r="AC1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OUT_H-ADSS 24C-20231227-02</v>
      </c>
    </row>
    <row r="116" spans="1:29" ht="14.5" hidden="1">
      <c r="A116" s="237" t="str">
        <f t="shared" si="3"/>
        <v>112</v>
      </c>
      <c r="B116" s="221"/>
      <c r="C116" s="221" t="s">
        <v>3388</v>
      </c>
      <c r="D116" s="221" t="s">
        <v>3853</v>
      </c>
      <c r="E116" s="221" t="s">
        <v>3295</v>
      </c>
      <c r="F116" s="221" t="s">
        <v>3299</v>
      </c>
      <c r="G116" s="222">
        <v>45294</v>
      </c>
      <c r="H116" s="223">
        <v>0.89374999999999993</v>
      </c>
      <c r="I116" s="221" t="s">
        <v>4920</v>
      </c>
      <c r="J116" s="221" t="s">
        <v>3023</v>
      </c>
      <c r="K116" s="224" t="s">
        <v>3073</v>
      </c>
      <c r="L116" s="225" t="str">
        <f>VLOOKUP(Logfile_S12[[#This Row],[Material Name]],Sheet2!B:C,2,0)</f>
        <v>ZTE2001</v>
      </c>
      <c r="M116" s="225" t="str">
        <f>_xlfn.XLOOKUP(Logfile_S12[[#This Row],[Material Name]],Sum_WH!E:E,Sum_WH!F:F,"",0)</f>
        <v>Meter</v>
      </c>
      <c r="N116" s="221">
        <v>3000</v>
      </c>
      <c r="O116" s="221" t="s">
        <v>3314</v>
      </c>
      <c r="P116" s="221" t="s">
        <v>3494</v>
      </c>
      <c r="Q116" s="221"/>
      <c r="R116" s="227"/>
      <c r="S116" s="227"/>
      <c r="T116" s="221" t="s">
        <v>3495</v>
      </c>
      <c r="U116" s="221">
        <v>0</v>
      </c>
      <c r="V116" s="221">
        <v>0</v>
      </c>
      <c r="W116" s="221" t="s">
        <v>3353</v>
      </c>
      <c r="X116" s="221" t="s">
        <v>3496</v>
      </c>
      <c r="Y116" s="243" t="s">
        <v>4993</v>
      </c>
      <c r="Z116" s="227" t="str">
        <f t="shared" si="4"/>
        <v>Transfer Gudang TO KEDIRI</v>
      </c>
      <c r="AA116" s="276" t="e">
        <f>VLOOKUP(Logfile_S12[[#This Row],[DO number]],DO_DB!G:I,3,0)</f>
        <v>#N/A</v>
      </c>
      <c r="AB116" s="331" t="e">
        <f>EXACT(Logfile_S12[[#This Row],[date pick]],Logfile_S12[[#This Row],[Date]])</f>
        <v>#N/A</v>
      </c>
      <c r="AC1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OUT_H-ADSS 24C-20231227-03</v>
      </c>
    </row>
    <row r="117" spans="1:29" ht="14.5" hidden="1">
      <c r="A117" s="220" t="str">
        <f t="shared" si="3"/>
        <v>113</v>
      </c>
      <c r="B117" s="221"/>
      <c r="C117" s="221" t="s">
        <v>48</v>
      </c>
      <c r="D117" s="221" t="s">
        <v>3863</v>
      </c>
      <c r="E117" s="221" t="s">
        <v>3295</v>
      </c>
      <c r="F117" s="221" t="s">
        <v>3299</v>
      </c>
      <c r="G117" s="222">
        <v>45307</v>
      </c>
      <c r="H117" s="223">
        <v>15.291666666666666</v>
      </c>
      <c r="I117" s="221" t="s">
        <v>37</v>
      </c>
      <c r="J117" s="221" t="s">
        <v>3023</v>
      </c>
      <c r="K117" s="224" t="s">
        <v>3073</v>
      </c>
      <c r="L117" s="225" t="str">
        <f>VLOOKUP(Logfile_S12[[#This Row],[Material Name]],Sheet2!B:C,2,0)</f>
        <v>ZTE2001</v>
      </c>
      <c r="M117" s="225" t="str">
        <f>_xlfn.XLOOKUP(Logfile_S12[[#This Row],[Material Name]],Sum_WH!E:E,Sum_WH!F:F,"",0)</f>
        <v>Meter</v>
      </c>
      <c r="N117" s="227">
        <v>3000</v>
      </c>
      <c r="O117" s="221" t="s">
        <v>828</v>
      </c>
      <c r="P117" s="221" t="s">
        <v>829</v>
      </c>
      <c r="Q117" s="221" t="s">
        <v>852</v>
      </c>
      <c r="R117" s="221" t="s">
        <v>853</v>
      </c>
      <c r="S117" s="221"/>
      <c r="T117" s="221"/>
      <c r="U117" s="221"/>
      <c r="V117" s="221"/>
      <c r="W117" s="221"/>
      <c r="X117" s="221" t="s">
        <v>3217</v>
      </c>
      <c r="Y117" s="227" t="s">
        <v>4947</v>
      </c>
      <c r="Z117" s="227" t="str">
        <f t="shared" si="4"/>
        <v>Perumahan Pondok Mutiara Malang</v>
      </c>
      <c r="AA117" s="276">
        <f>VLOOKUP(Logfile_S12[[#This Row],[DO number]],DO_DB!G:I,3,0)</f>
        <v>45307</v>
      </c>
      <c r="AB117" s="331" t="b">
        <f>EXACT(Logfile_S12[[#This Row],[date pick]],Logfile_S12[[#This Row],[Date]])</f>
        <v>1</v>
      </c>
      <c r="AC1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24C-2024116-01</v>
      </c>
    </row>
    <row r="118" spans="1:29" ht="14.5" hidden="1">
      <c r="A118" s="237" t="str">
        <f t="shared" si="3"/>
        <v>114</v>
      </c>
      <c r="B118" s="221"/>
      <c r="C118" s="227" t="s">
        <v>48</v>
      </c>
      <c r="D118" s="227" t="s">
        <v>3863</v>
      </c>
      <c r="E118" s="227" t="s">
        <v>3295</v>
      </c>
      <c r="F118" s="227" t="s">
        <v>3299</v>
      </c>
      <c r="G118" s="239">
        <v>45307</v>
      </c>
      <c r="H118" s="240">
        <v>15.291666666666666</v>
      </c>
      <c r="I118" s="227" t="s">
        <v>37</v>
      </c>
      <c r="J118" s="227" t="s">
        <v>3023</v>
      </c>
      <c r="K118" s="241" t="s">
        <v>3073</v>
      </c>
      <c r="L118" s="225" t="str">
        <f>VLOOKUP(Logfile_S12[[#This Row],[Material Name]],Sheet2!B:C,2,0)</f>
        <v>ZTE2001</v>
      </c>
      <c r="M118" s="242" t="s">
        <v>20</v>
      </c>
      <c r="N118" s="227">
        <v>3000</v>
      </c>
      <c r="O118" s="227" t="s">
        <v>828</v>
      </c>
      <c r="P118" s="227" t="s">
        <v>829</v>
      </c>
      <c r="Q118" s="227" t="s">
        <v>852</v>
      </c>
      <c r="R118" s="227" t="s">
        <v>853</v>
      </c>
      <c r="S118" s="227"/>
      <c r="T118" s="227"/>
      <c r="U118" s="227"/>
      <c r="V118" s="227"/>
      <c r="W118" s="227"/>
      <c r="X118" s="227" t="s">
        <v>3217</v>
      </c>
      <c r="Y118" s="227" t="s">
        <v>4994</v>
      </c>
      <c r="Z118" s="227" t="str">
        <f t="shared" si="4"/>
        <v>Perumahan Pondok Mutiara Malang</v>
      </c>
      <c r="AA118" s="276">
        <f>VLOOKUP(Logfile_S12[[#This Row],[DO number]],DO_DB!G:I,3,0)</f>
        <v>45307</v>
      </c>
      <c r="AB118" s="331" t="b">
        <f>EXACT(Logfile_S12[[#This Row],[date pick]],Logfile_S12[[#This Row],[Date]])</f>
        <v>1</v>
      </c>
      <c r="AC1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24C-2024116-02</v>
      </c>
    </row>
    <row r="119" spans="1:29" ht="14.5" hidden="1">
      <c r="A119" s="220" t="str">
        <f t="shared" si="3"/>
        <v>115</v>
      </c>
      <c r="B119" s="221"/>
      <c r="C119" s="221" t="s">
        <v>48</v>
      </c>
      <c r="D119" s="221" t="s">
        <v>3863</v>
      </c>
      <c r="E119" s="221" t="s">
        <v>3295</v>
      </c>
      <c r="F119" s="221" t="s">
        <v>3299</v>
      </c>
      <c r="G119" s="222">
        <v>45307</v>
      </c>
      <c r="H119" s="223">
        <v>15.291666666666666</v>
      </c>
      <c r="I119" s="221" t="s">
        <v>37</v>
      </c>
      <c r="J119" s="221" t="s">
        <v>3023</v>
      </c>
      <c r="K119" s="224" t="s">
        <v>3075</v>
      </c>
      <c r="L119" s="225" t="str">
        <f>VLOOKUP(Logfile_S12[[#This Row],[Material Name]],Sheet2!B:C,2,0)</f>
        <v>ZTE2003</v>
      </c>
      <c r="M119" s="225" t="str">
        <f>_xlfn.XLOOKUP(Logfile_S12[[#This Row],[Material Name]],Sum_WH!E:E,Sum_WH!F:F,"",0)</f>
        <v>Meter</v>
      </c>
      <c r="N119" s="221">
        <v>3000</v>
      </c>
      <c r="O119" s="221" t="s">
        <v>828</v>
      </c>
      <c r="P119" s="221" t="s">
        <v>829</v>
      </c>
      <c r="Q119" s="221" t="s">
        <v>852</v>
      </c>
      <c r="R119" s="221" t="s">
        <v>853</v>
      </c>
      <c r="S119" s="221"/>
      <c r="T119" s="221"/>
      <c r="U119" s="221"/>
      <c r="V119" s="221"/>
      <c r="W119" s="221"/>
      <c r="X119" s="221" t="s">
        <v>3217</v>
      </c>
      <c r="Y119" s="227" t="s">
        <v>5057</v>
      </c>
      <c r="Z119" s="227" t="str">
        <f t="shared" si="4"/>
        <v>Perumahan Pondok Mutiara Malang</v>
      </c>
      <c r="AA119" s="276">
        <f>VLOOKUP(Logfile_S12[[#This Row],[DO number]],DO_DB!G:I,3,0)</f>
        <v>45307</v>
      </c>
      <c r="AB119" s="331" t="b">
        <f>EXACT(Logfile_S12[[#This Row],[date pick]],Logfile_S12[[#This Row],[Date]])</f>
        <v>1</v>
      </c>
      <c r="AC1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48C-2024116-01</v>
      </c>
    </row>
    <row r="120" spans="1:29" ht="14.5" hidden="1">
      <c r="A120" s="220" t="str">
        <f t="shared" si="3"/>
        <v>116</v>
      </c>
      <c r="B120" s="221"/>
      <c r="C120" s="221" t="s">
        <v>48</v>
      </c>
      <c r="D120" s="221" t="s">
        <v>3863</v>
      </c>
      <c r="E120" s="221" t="s">
        <v>3295</v>
      </c>
      <c r="F120" s="221" t="s">
        <v>3299</v>
      </c>
      <c r="G120" s="222">
        <v>45307</v>
      </c>
      <c r="H120" s="223">
        <v>15.291666666666666</v>
      </c>
      <c r="I120" s="221" t="s">
        <v>37</v>
      </c>
      <c r="J120" s="221" t="s">
        <v>3023</v>
      </c>
      <c r="K120" s="224" t="s">
        <v>3075</v>
      </c>
      <c r="L120" s="225" t="str">
        <f>VLOOKUP(Logfile_S12[[#This Row],[Material Name]],Sheet2!B:C,2,0)</f>
        <v>ZTE2003</v>
      </c>
      <c r="M120" s="225" t="str">
        <f>_xlfn.XLOOKUP(Logfile_S12[[#This Row],[Material Name]],Sum_WH!E:E,Sum_WH!F:F,"",0)</f>
        <v>Meter</v>
      </c>
      <c r="N120" s="221">
        <v>3000</v>
      </c>
      <c r="O120" s="221" t="s">
        <v>838</v>
      </c>
      <c r="P120" s="221" t="s">
        <v>3361</v>
      </c>
      <c r="Q120" s="221" t="s">
        <v>842</v>
      </c>
      <c r="R120" s="221" t="s">
        <v>843</v>
      </c>
      <c r="S120" s="221"/>
      <c r="T120" s="221"/>
      <c r="U120" s="221"/>
      <c r="V120" s="221"/>
      <c r="W120" s="221"/>
      <c r="X120" s="221"/>
      <c r="Y120" s="227" t="s">
        <v>5058</v>
      </c>
      <c r="Z120" s="227" t="str">
        <f t="shared" si="4"/>
        <v>TAMANHARJO RW 04 SINGOSARI</v>
      </c>
      <c r="AA120" s="276">
        <f>VLOOKUP(Logfile_S12[[#This Row],[DO number]],DO_DB!G:I,3,0)</f>
        <v>45307</v>
      </c>
      <c r="AB120" s="331" t="b">
        <f>EXACT(Logfile_S12[[#This Row],[date pick]],Logfile_S12[[#This Row],[Date]])</f>
        <v>1</v>
      </c>
      <c r="AC1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48C-2024116-02</v>
      </c>
    </row>
    <row r="121" spans="1:29" ht="14.5" hidden="1">
      <c r="A121" s="220" t="str">
        <f t="shared" si="3"/>
        <v>117</v>
      </c>
      <c r="B121" s="221"/>
      <c r="C121" s="221" t="s">
        <v>48</v>
      </c>
      <c r="D121" s="221" t="s">
        <v>3863</v>
      </c>
      <c r="E121" s="221" t="s">
        <v>3295</v>
      </c>
      <c r="F121" s="221" t="s">
        <v>3299</v>
      </c>
      <c r="G121" s="222">
        <v>45307</v>
      </c>
      <c r="H121" s="223">
        <v>15.291666666666666</v>
      </c>
      <c r="I121" s="221" t="s">
        <v>37</v>
      </c>
      <c r="J121" s="221" t="s">
        <v>3023</v>
      </c>
      <c r="K121" s="224" t="s">
        <v>3076</v>
      </c>
      <c r="L121" s="225" t="str">
        <f>VLOOKUP(Logfile_S12[[#This Row],[Material Name]],Sheet2!B:C,2,0)</f>
        <v>ZTE2013</v>
      </c>
      <c r="M121" s="225" t="str">
        <f>_xlfn.XLOOKUP(Logfile_S12[[#This Row],[Material Name]],Sum_WH!E:E,Sum_WH!F:F,"",0)</f>
        <v>Meter</v>
      </c>
      <c r="N121" s="221">
        <v>3000</v>
      </c>
      <c r="O121" s="221" t="s">
        <v>834</v>
      </c>
      <c r="P121" s="221" t="s">
        <v>3335</v>
      </c>
      <c r="Q121" s="221" t="s">
        <v>848</v>
      </c>
      <c r="R121" s="221" t="s">
        <v>849</v>
      </c>
      <c r="S121" s="221"/>
      <c r="T121" s="221"/>
      <c r="U121" s="221"/>
      <c r="V121" s="221"/>
      <c r="W121" s="221"/>
      <c r="X121" s="221" t="s">
        <v>3217</v>
      </c>
      <c r="Y121" s="227" t="s">
        <v>4966</v>
      </c>
      <c r="Z121" s="227" t="str">
        <f t="shared" si="4"/>
        <v>HUBFEEDER BATURETNO RW 02</v>
      </c>
      <c r="AA121" s="276">
        <f>VLOOKUP(Logfile_S12[[#This Row],[DO number]],DO_DB!G:I,3,0)</f>
        <v>45307</v>
      </c>
      <c r="AB121" s="331" t="b">
        <f>EXACT(Logfile_S12[[#This Row],[date pick]],Logfile_S12[[#This Row],[Date]])</f>
        <v>1</v>
      </c>
      <c r="AC1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96C-2024116-01</v>
      </c>
    </row>
    <row r="122" spans="1:29" ht="14.5" hidden="1">
      <c r="A122" s="237" t="str">
        <f t="shared" si="3"/>
        <v>118</v>
      </c>
      <c r="B122" s="221"/>
      <c r="C122" s="221" t="s">
        <v>48</v>
      </c>
      <c r="D122" s="221" t="s">
        <v>3863</v>
      </c>
      <c r="E122" s="221" t="s">
        <v>3295</v>
      </c>
      <c r="F122" s="221" t="s">
        <v>3299</v>
      </c>
      <c r="G122" s="222">
        <v>45307</v>
      </c>
      <c r="H122" s="223">
        <v>15.291666666666666</v>
      </c>
      <c r="I122" s="221" t="s">
        <v>37</v>
      </c>
      <c r="J122" s="221" t="s">
        <v>3023</v>
      </c>
      <c r="K122" s="224" t="s">
        <v>3076</v>
      </c>
      <c r="L122" s="225" t="str">
        <f>VLOOKUP(Logfile_S12[[#This Row],[Material Name]],Sheet2!B:C,2,0)</f>
        <v>ZTE2013</v>
      </c>
      <c r="M122" s="225" t="str">
        <f>_xlfn.XLOOKUP(Logfile_S12[[#This Row],[Material Name]],Sum_WH!E:E,Sum_WH!F:F,"",0)</f>
        <v>Meter</v>
      </c>
      <c r="N122" s="221">
        <v>3000</v>
      </c>
      <c r="O122" s="221" t="s">
        <v>834</v>
      </c>
      <c r="P122" s="221" t="s">
        <v>3335</v>
      </c>
      <c r="Q122" s="221" t="s">
        <v>848</v>
      </c>
      <c r="R122" s="221" t="s">
        <v>849</v>
      </c>
      <c r="S122" s="227"/>
      <c r="T122" s="227"/>
      <c r="U122" s="227"/>
      <c r="V122" s="227"/>
      <c r="W122" s="227"/>
      <c r="X122" s="227"/>
      <c r="Y122" s="238" t="s">
        <v>4967</v>
      </c>
      <c r="Z122" s="227" t="str">
        <f t="shared" si="4"/>
        <v>HUBFEEDER BATURETNO RW 02</v>
      </c>
      <c r="AA122" s="276">
        <f>VLOOKUP(Logfile_S12[[#This Row],[DO number]],DO_DB!G:I,3,0)</f>
        <v>45307</v>
      </c>
      <c r="AB122" s="331" t="b">
        <f>EXACT(Logfile_S12[[#This Row],[date pick]],Logfile_S12[[#This Row],[Date]])</f>
        <v>1</v>
      </c>
      <c r="AC1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96C-2024116-02</v>
      </c>
    </row>
    <row r="123" spans="1:29" ht="14.5" hidden="1">
      <c r="A123" s="220" t="str">
        <f t="shared" si="3"/>
        <v>119</v>
      </c>
      <c r="B123" s="221"/>
      <c r="C123" s="221" t="s">
        <v>49</v>
      </c>
      <c r="D123" s="221" t="s">
        <v>3877</v>
      </c>
      <c r="E123" s="221" t="s">
        <v>3295</v>
      </c>
      <c r="F123" s="221" t="s">
        <v>3299</v>
      </c>
      <c r="G123" s="222">
        <v>45310</v>
      </c>
      <c r="H123" s="223">
        <v>0.35416666666666669</v>
      </c>
      <c r="I123" s="221" t="s">
        <v>4916</v>
      </c>
      <c r="J123" s="221" t="s">
        <v>3023</v>
      </c>
      <c r="K123" s="224" t="s">
        <v>3075</v>
      </c>
      <c r="L123" s="225" t="str">
        <f>VLOOKUP(Logfile_S12[[#This Row],[Material Name]],Sheet2!B:C,2,0)</f>
        <v>ZTE2003</v>
      </c>
      <c r="M123" s="225" t="str">
        <f>_xlfn.XLOOKUP(Logfile_S12[[#This Row],[Material Name]],Sum_WH!E:E,Sum_WH!F:F,"",0)</f>
        <v>Meter</v>
      </c>
      <c r="N123" s="221">
        <v>3000</v>
      </c>
      <c r="O123" s="221" t="s">
        <v>828</v>
      </c>
      <c r="P123" s="221" t="s">
        <v>829</v>
      </c>
      <c r="Q123" s="221"/>
      <c r="R123" s="221"/>
      <c r="S123" s="221"/>
      <c r="T123" s="221" t="s">
        <v>3339</v>
      </c>
      <c r="U123" s="221" t="s">
        <v>3228</v>
      </c>
      <c r="V123" s="221" t="s">
        <v>3340</v>
      </c>
      <c r="W123" s="221" t="s">
        <v>3245</v>
      </c>
      <c r="X123" s="221"/>
      <c r="Y123" s="227"/>
      <c r="Z123" s="227" t="str">
        <f t="shared" si="4"/>
        <v>Perumahan Pondok Mutiara Malang</v>
      </c>
      <c r="AA123" s="276" t="e">
        <f>VLOOKUP(Logfile_S12[[#This Row],[DO number]],DO_DB!G:I,3,0)</f>
        <v>#N/A</v>
      </c>
      <c r="AB123" s="331" t="e">
        <f>EXACT(Logfile_S12[[#This Row],[date pick]],Logfile_S12[[#This Row],[Date]])</f>
        <v>#N/A</v>
      </c>
      <c r="AC1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4" spans="1:29" ht="14.5" hidden="1">
      <c r="A124" s="220" t="str">
        <f t="shared" si="3"/>
        <v>120</v>
      </c>
      <c r="B124" s="221"/>
      <c r="C124" s="221" t="s">
        <v>49</v>
      </c>
      <c r="D124" s="221" t="s">
        <v>3879</v>
      </c>
      <c r="E124" s="221" t="s">
        <v>3295</v>
      </c>
      <c r="F124" s="221" t="s">
        <v>3299</v>
      </c>
      <c r="G124" s="222">
        <v>45310</v>
      </c>
      <c r="H124" s="223">
        <v>0.73333333333333339</v>
      </c>
      <c r="I124" s="221" t="s">
        <v>4916</v>
      </c>
      <c r="J124" s="221" t="s">
        <v>3023</v>
      </c>
      <c r="K124" s="224" t="s">
        <v>3076</v>
      </c>
      <c r="L124" s="225" t="str">
        <f>VLOOKUP(Logfile_S12[[#This Row],[Material Name]],Sheet2!B:C,2,0)</f>
        <v>ZTE2013</v>
      </c>
      <c r="M124" s="225" t="str">
        <f>_xlfn.XLOOKUP(Logfile_S12[[#This Row],[Material Name]],Sum_WH!E:E,Sum_WH!F:F,"",0)</f>
        <v>Meter</v>
      </c>
      <c r="N124" s="221">
        <v>3000</v>
      </c>
      <c r="O124" s="221" t="s">
        <v>834</v>
      </c>
      <c r="P124" s="221" t="s">
        <v>3335</v>
      </c>
      <c r="Q124" s="221"/>
      <c r="R124" s="221"/>
      <c r="S124" s="221"/>
      <c r="T124" s="221" t="s">
        <v>3258</v>
      </c>
      <c r="U124" s="221" t="s">
        <v>3228</v>
      </c>
      <c r="V124" s="221" t="s">
        <v>3337</v>
      </c>
      <c r="W124" s="221" t="s">
        <v>3338</v>
      </c>
      <c r="X124" s="221"/>
      <c r="Y124" s="227" t="s">
        <v>4966</v>
      </c>
      <c r="Z124" s="227" t="str">
        <f t="shared" si="4"/>
        <v>HUBFEEDER BATURETNO RW 02</v>
      </c>
      <c r="AA124" s="276" t="e">
        <f>VLOOKUP(Logfile_S12[[#This Row],[DO number]],DO_DB!G:I,3,0)</f>
        <v>#N/A</v>
      </c>
      <c r="AB124" s="331" t="e">
        <f>EXACT(Logfile_S12[[#This Row],[date pick]],Logfile_S12[[#This Row],[Date]])</f>
        <v>#N/A</v>
      </c>
      <c r="AC1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96C-2024116-01</v>
      </c>
    </row>
    <row r="125" spans="1:29" ht="14.5" hidden="1">
      <c r="A125" s="220" t="str">
        <f t="shared" si="3"/>
        <v>121</v>
      </c>
      <c r="B125" s="221"/>
      <c r="C125" s="221" t="s">
        <v>49</v>
      </c>
      <c r="D125" s="221" t="s">
        <v>3882</v>
      </c>
      <c r="E125" s="221" t="s">
        <v>3295</v>
      </c>
      <c r="F125" s="221" t="s">
        <v>3299</v>
      </c>
      <c r="G125" s="222">
        <v>45311</v>
      </c>
      <c r="H125" s="223">
        <v>0.34583333333333338</v>
      </c>
      <c r="I125" s="221" t="s">
        <v>4916</v>
      </c>
      <c r="J125" s="221" t="s">
        <v>3023</v>
      </c>
      <c r="K125" s="224" t="s">
        <v>3073</v>
      </c>
      <c r="L125" s="225" t="str">
        <f>VLOOKUP(Logfile_S12[[#This Row],[Material Name]],Sheet2!B:C,2,0)</f>
        <v>ZTE2001</v>
      </c>
      <c r="M125" s="225" t="str">
        <f>_xlfn.XLOOKUP(Logfile_S12[[#This Row],[Material Name]],Sum_WH!E:E,Sum_WH!F:F,"",0)</f>
        <v>Meter</v>
      </c>
      <c r="N125" s="221">
        <v>3000</v>
      </c>
      <c r="O125" s="221" t="s">
        <v>828</v>
      </c>
      <c r="P125" s="221" t="s">
        <v>829</v>
      </c>
      <c r="Q125" s="221"/>
      <c r="R125" s="221"/>
      <c r="S125" s="221"/>
      <c r="T125" s="221" t="s">
        <v>3339</v>
      </c>
      <c r="U125" s="221" t="s">
        <v>3228</v>
      </c>
      <c r="V125" s="221" t="s">
        <v>3340</v>
      </c>
      <c r="W125" s="221" t="s">
        <v>3245</v>
      </c>
      <c r="X125" s="221" t="s">
        <v>3497</v>
      </c>
      <c r="Y125" s="227"/>
      <c r="Z125" s="227" t="str">
        <f t="shared" si="4"/>
        <v>Perumahan Pondok Mutiara Malang</v>
      </c>
      <c r="AA125" s="276" t="e">
        <f>VLOOKUP(Logfile_S12[[#This Row],[DO number]],DO_DB!G:I,3,0)</f>
        <v>#N/A</v>
      </c>
      <c r="AB125" s="331" t="e">
        <f>EXACT(Logfile_S12[[#This Row],[date pick]],Logfile_S12[[#This Row],[Date]])</f>
        <v>#N/A</v>
      </c>
      <c r="AC1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6" spans="1:29" ht="14.5" hidden="1">
      <c r="A126" s="237" t="str">
        <f t="shared" si="3"/>
        <v>122</v>
      </c>
      <c r="B126" s="221"/>
      <c r="C126" s="227" t="s">
        <v>49</v>
      </c>
      <c r="D126" s="227" t="s">
        <v>4965</v>
      </c>
      <c r="E126" s="227" t="s">
        <v>3295</v>
      </c>
      <c r="F126" s="227" t="s">
        <v>3299</v>
      </c>
      <c r="G126" s="239">
        <v>45311</v>
      </c>
      <c r="H126" s="240">
        <v>0.79166666666666663</v>
      </c>
      <c r="I126" s="227" t="s">
        <v>3586</v>
      </c>
      <c r="J126" s="482" t="s">
        <v>4432</v>
      </c>
      <c r="K126" s="241" t="s">
        <v>3073</v>
      </c>
      <c r="L126" s="225" t="str">
        <f>VLOOKUP(Logfile_S12[[#This Row],[Material Name]],Sheet2!B:C,2,0)</f>
        <v>ZTE2001</v>
      </c>
      <c r="M126" s="242" t="s">
        <v>20</v>
      </c>
      <c r="N126" s="227">
        <v>418</v>
      </c>
      <c r="O126" s="227" t="s">
        <v>828</v>
      </c>
      <c r="P126" s="227" t="s">
        <v>829</v>
      </c>
      <c r="Q126" s="227"/>
      <c r="R126" s="227"/>
      <c r="S126" s="227"/>
      <c r="T126" s="227"/>
      <c r="U126" s="227"/>
      <c r="V126" s="227"/>
      <c r="W126" s="227"/>
      <c r="X126" s="227"/>
      <c r="Y126" s="238" t="s">
        <v>5296</v>
      </c>
      <c r="Z126" s="238" t="str">
        <f t="shared" si="4"/>
        <v>Perumahan Pondok Mutiara Malang</v>
      </c>
      <c r="AA126" s="276" t="e">
        <f>VLOOKUP(Logfile_S12[[#This Row],[DO number]],DO_DB!G:I,3,0)</f>
        <v>#N/A</v>
      </c>
      <c r="AB126" s="332" t="e">
        <f>EXACT(Logfile_S12[[#This Row],[date pick]],Logfile_S12[[#This Row],[Date]])</f>
        <v>#N/A</v>
      </c>
      <c r="AC12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OUTBOUND_A-033-418m</v>
      </c>
    </row>
    <row r="127" spans="1:29" ht="14.5" hidden="1">
      <c r="A127" s="220" t="str">
        <f t="shared" si="3"/>
        <v>123</v>
      </c>
      <c r="B127" s="221"/>
      <c r="C127" s="221" t="s">
        <v>49</v>
      </c>
      <c r="D127" s="221" t="s">
        <v>3884</v>
      </c>
      <c r="E127" s="221" t="s">
        <v>3295</v>
      </c>
      <c r="F127" s="221" t="s">
        <v>3299</v>
      </c>
      <c r="G127" s="222">
        <v>45312</v>
      </c>
      <c r="H127" s="223">
        <v>0.35694444444444445</v>
      </c>
      <c r="I127" s="221" t="s">
        <v>4916</v>
      </c>
      <c r="J127" s="221" t="s">
        <v>3023</v>
      </c>
      <c r="K127" s="224" t="s">
        <v>3073</v>
      </c>
      <c r="L127" s="225" t="str">
        <f>VLOOKUP(Logfile_S12[[#This Row],[Material Name]],Sheet2!B:C,2,0)</f>
        <v>ZTE2001</v>
      </c>
      <c r="M127" s="225" t="str">
        <f>_xlfn.XLOOKUP(Logfile_S12[[#This Row],[Material Name]],Sum_WH!E:E,Sum_WH!F:F,"",0)</f>
        <v>Meter</v>
      </c>
      <c r="N127" s="221">
        <v>3000</v>
      </c>
      <c r="O127" s="221" t="s">
        <v>828</v>
      </c>
      <c r="P127" s="221" t="s">
        <v>829</v>
      </c>
      <c r="Q127" s="221"/>
      <c r="R127" s="221"/>
      <c r="S127" s="221"/>
      <c r="T127" s="221" t="s">
        <v>3339</v>
      </c>
      <c r="U127" s="221" t="s">
        <v>3228</v>
      </c>
      <c r="V127" s="221" t="s">
        <v>3340</v>
      </c>
      <c r="W127" s="221" t="s">
        <v>3245</v>
      </c>
      <c r="X127" s="221" t="s">
        <v>3498</v>
      </c>
      <c r="Y127" s="227"/>
      <c r="Z127" s="227" t="str">
        <f t="shared" si="4"/>
        <v>Perumahan Pondok Mutiara Malang</v>
      </c>
      <c r="AA127" s="276" t="e">
        <f>VLOOKUP(Logfile_S12[[#This Row],[DO number]],DO_DB!G:I,3,0)</f>
        <v>#N/A</v>
      </c>
      <c r="AB127" s="331" t="e">
        <f>EXACT(Logfile_S12[[#This Row],[date pick]],Logfile_S12[[#This Row],[Date]])</f>
        <v>#N/A</v>
      </c>
      <c r="AC1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8" spans="1:29" ht="14.5" hidden="1">
      <c r="A128" s="220" t="str">
        <f t="shared" si="3"/>
        <v>124</v>
      </c>
      <c r="B128" s="221"/>
      <c r="C128" s="221" t="s">
        <v>49</v>
      </c>
      <c r="D128" s="221" t="s">
        <v>3883</v>
      </c>
      <c r="E128" s="221" t="s">
        <v>3295</v>
      </c>
      <c r="F128" s="221" t="s">
        <v>3299</v>
      </c>
      <c r="G128" s="222">
        <v>45312</v>
      </c>
      <c r="H128" s="223">
        <v>0.35694444444444445</v>
      </c>
      <c r="I128" s="221" t="s">
        <v>4916</v>
      </c>
      <c r="J128" s="221" t="s">
        <v>3023</v>
      </c>
      <c r="K128" s="224" t="s">
        <v>3075</v>
      </c>
      <c r="L128" s="225" t="str">
        <f>VLOOKUP(Logfile_S12[[#This Row],[Material Name]],Sheet2!B:C,2,0)</f>
        <v>ZTE2003</v>
      </c>
      <c r="M128" s="225" t="str">
        <f>_xlfn.XLOOKUP(Logfile_S12[[#This Row],[Material Name]],Sum_WH!E:E,Sum_WH!F:F,"",0)</f>
        <v>Meter</v>
      </c>
      <c r="N128" s="221">
        <v>3000</v>
      </c>
      <c r="O128" s="221" t="s">
        <v>828</v>
      </c>
      <c r="P128" s="221" t="s">
        <v>829</v>
      </c>
      <c r="Q128" s="221"/>
      <c r="R128" s="221"/>
      <c r="S128" s="221"/>
      <c r="T128" s="221" t="s">
        <v>3339</v>
      </c>
      <c r="U128" s="221" t="s">
        <v>3228</v>
      </c>
      <c r="V128" s="221" t="s">
        <v>3340</v>
      </c>
      <c r="W128" s="221" t="s">
        <v>3245</v>
      </c>
      <c r="X128" s="221"/>
      <c r="Y128" s="227"/>
      <c r="Z128" s="227" t="str">
        <f t="shared" si="4"/>
        <v>Perumahan Pondok Mutiara Malang</v>
      </c>
      <c r="AA128" s="276" t="e">
        <f>VLOOKUP(Logfile_S12[[#This Row],[DO number]],DO_DB!G:I,3,0)</f>
        <v>#N/A</v>
      </c>
      <c r="AB128" s="331" t="e">
        <f>EXACT(Logfile_S12[[#This Row],[date pick]],Logfile_S12[[#This Row],[Date]])</f>
        <v>#N/A</v>
      </c>
      <c r="AC1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9" spans="1:29" ht="14.5" hidden="1">
      <c r="A129" s="237" t="str">
        <f t="shared" si="3"/>
        <v>125</v>
      </c>
      <c r="B129" s="221"/>
      <c r="C129" s="227" t="s">
        <v>48</v>
      </c>
      <c r="D129" s="227" t="s">
        <v>4442</v>
      </c>
      <c r="E129" s="227" t="s">
        <v>3295</v>
      </c>
      <c r="F129" s="227" t="s">
        <v>3299</v>
      </c>
      <c r="G129" s="239">
        <v>45313</v>
      </c>
      <c r="H129" s="240">
        <v>0.3840277777777778</v>
      </c>
      <c r="I129" s="227" t="s">
        <v>3586</v>
      </c>
      <c r="J129" s="482" t="s">
        <v>4432</v>
      </c>
      <c r="K129" s="241" t="s">
        <v>3076</v>
      </c>
      <c r="L129" s="225" t="str">
        <f>VLOOKUP(Logfile_S12[[#This Row],[Material Name]],Sheet2!B:C,2,0)</f>
        <v>ZTE2013</v>
      </c>
      <c r="M129" s="242" t="s">
        <v>20</v>
      </c>
      <c r="N129" s="227">
        <v>1750</v>
      </c>
      <c r="O129" s="227" t="s">
        <v>834</v>
      </c>
      <c r="P129" s="227" t="s">
        <v>3335</v>
      </c>
      <c r="Q129" s="227"/>
      <c r="R129" s="227"/>
      <c r="S129" s="227"/>
      <c r="T129" s="227" t="s">
        <v>3258</v>
      </c>
      <c r="U129" s="227" t="s">
        <v>3228</v>
      </c>
      <c r="V129" s="227" t="s">
        <v>3337</v>
      </c>
      <c r="W129" s="227" t="s">
        <v>3338</v>
      </c>
      <c r="X129" s="227" t="s">
        <v>4443</v>
      </c>
      <c r="Y129" s="238" t="s">
        <v>4967</v>
      </c>
      <c r="Z129" s="238" t="s">
        <v>4443</v>
      </c>
      <c r="AA129" s="276" t="e">
        <f>VLOOKUP(Logfile_S12[[#This Row],[DO number]],DO_DB!G:I,3,0)</f>
        <v>#N/A</v>
      </c>
      <c r="AB129" s="332" t="e">
        <f>EXACT(Logfile_S12[[#This Row],[date pick]],Logfile_S12[[#This Row],[Date]])</f>
        <v>#N/A</v>
      </c>
      <c r="AC12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96C-2024116-02</v>
      </c>
    </row>
    <row r="130" spans="1:29" ht="14.5" hidden="1">
      <c r="A130" s="220" t="str">
        <f t="shared" si="3"/>
        <v>126</v>
      </c>
      <c r="B130" s="221"/>
      <c r="C130" s="221" t="s">
        <v>49</v>
      </c>
      <c r="D130" s="221" t="s">
        <v>3885</v>
      </c>
      <c r="E130" s="221" t="s">
        <v>3295</v>
      </c>
      <c r="F130" s="221" t="s">
        <v>3299</v>
      </c>
      <c r="G130" s="222">
        <v>45313</v>
      </c>
      <c r="H130" s="223">
        <v>0.3840277777777778</v>
      </c>
      <c r="I130" s="221" t="s">
        <v>4916</v>
      </c>
      <c r="J130" s="221" t="s">
        <v>3023</v>
      </c>
      <c r="K130" s="224" t="s">
        <v>3076</v>
      </c>
      <c r="L130" s="225" t="str">
        <f>VLOOKUP(Logfile_S12[[#This Row],[Material Name]],Sheet2!B:C,2,0)</f>
        <v>ZTE2013</v>
      </c>
      <c r="M130" s="225" t="str">
        <f>_xlfn.XLOOKUP(Logfile_S12[[#This Row],[Material Name]],Sum_WH!E:E,Sum_WH!F:F,"",0)</f>
        <v>Meter</v>
      </c>
      <c r="N130" s="221">
        <v>3000</v>
      </c>
      <c r="O130" s="221" t="s">
        <v>834</v>
      </c>
      <c r="P130" s="221" t="s">
        <v>3335</v>
      </c>
      <c r="Q130" s="221"/>
      <c r="R130" s="221"/>
      <c r="S130" s="221"/>
      <c r="T130" s="221" t="s">
        <v>3258</v>
      </c>
      <c r="U130" s="221" t="s">
        <v>3228</v>
      </c>
      <c r="V130" s="221" t="s">
        <v>3337</v>
      </c>
      <c r="W130" s="221" t="s">
        <v>3338</v>
      </c>
      <c r="X130" s="221" t="s">
        <v>3523</v>
      </c>
      <c r="Y130" s="227" t="s">
        <v>4967</v>
      </c>
      <c r="Z130" s="227" t="str">
        <f t="shared" ref="Z130:Z136" si="5">P130</f>
        <v>HUBFEEDER BATURETNO RW 02</v>
      </c>
      <c r="AA130" s="276" t="e">
        <f>VLOOKUP(Logfile_S12[[#This Row],[DO number]],DO_DB!G:I,3,0)</f>
        <v>#N/A</v>
      </c>
      <c r="AB130" s="331" t="e">
        <f>EXACT(Logfile_S12[[#This Row],[date pick]],Logfile_S12[[#This Row],[Date]])</f>
        <v>#N/A</v>
      </c>
      <c r="AC1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96C-2024116-02</v>
      </c>
    </row>
    <row r="131" spans="1:29" ht="14.5" hidden="1">
      <c r="A131" s="237" t="str">
        <f t="shared" si="3"/>
        <v>127</v>
      </c>
      <c r="B131" s="221"/>
      <c r="C131" s="227" t="s">
        <v>3313</v>
      </c>
      <c r="D131" s="227" t="s">
        <v>5251</v>
      </c>
      <c r="E131" s="227" t="s">
        <v>3295</v>
      </c>
      <c r="F131" s="227" t="s">
        <v>3299</v>
      </c>
      <c r="G131" s="239">
        <v>45314</v>
      </c>
      <c r="H131" s="240">
        <v>0.25</v>
      </c>
      <c r="I131" s="227" t="s">
        <v>3586</v>
      </c>
      <c r="J131" s="482" t="s">
        <v>4432</v>
      </c>
      <c r="K131" s="241" t="s">
        <v>3075</v>
      </c>
      <c r="L131" s="225" t="str">
        <f>VLOOKUP(Logfile_S12[[#This Row],[Material Name]],Sheet2!B:C,2,0)</f>
        <v>ZTE2003</v>
      </c>
      <c r="M131" s="242" t="s">
        <v>20</v>
      </c>
      <c r="N131" s="227">
        <v>2554</v>
      </c>
      <c r="O131" s="227"/>
      <c r="P131" s="227"/>
      <c r="Q131" s="227"/>
      <c r="R131" s="227"/>
      <c r="S131" s="227"/>
      <c r="T131" s="227"/>
      <c r="U131" s="227"/>
      <c r="V131" s="227"/>
      <c r="W131" s="227"/>
      <c r="X131" s="227"/>
      <c r="Y131" s="238" t="s">
        <v>5246</v>
      </c>
      <c r="Z131" s="238">
        <f t="shared" si="5"/>
        <v>0</v>
      </c>
      <c r="AA131" s="276" t="e">
        <f>VLOOKUP(Logfile_S12[[#This Row],[DO number]],DO_DB!G:I,3,0)</f>
        <v>#N/A</v>
      </c>
      <c r="AB131" s="332" t="e">
        <f>EXACT(Logfile_S12[[#This Row],[date pick]],Logfile_S12[[#This Row],[Date]])</f>
        <v>#N/A</v>
      </c>
      <c r="AC131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48C-2024123-01</v>
      </c>
    </row>
    <row r="132" spans="1:29" ht="14.5" hidden="1">
      <c r="A132" s="220" t="str">
        <f t="shared" si="3"/>
        <v>128</v>
      </c>
      <c r="B132" s="221"/>
      <c r="C132" s="221" t="s">
        <v>49</v>
      </c>
      <c r="D132" s="221" t="s">
        <v>3905</v>
      </c>
      <c r="E132" s="221" t="s">
        <v>3295</v>
      </c>
      <c r="F132" s="221" t="s">
        <v>3299</v>
      </c>
      <c r="G132" s="222">
        <v>45317</v>
      </c>
      <c r="H132" s="223">
        <v>0.40902777777777777</v>
      </c>
      <c r="I132" s="221" t="s">
        <v>4916</v>
      </c>
      <c r="J132" s="221" t="s">
        <v>3023</v>
      </c>
      <c r="K132" s="224" t="s">
        <v>3073</v>
      </c>
      <c r="L132" s="225" t="str">
        <f>VLOOKUP(Logfile_S12[[#This Row],[Material Name]],Sheet2!B:C,2,0)</f>
        <v>ZTE2001</v>
      </c>
      <c r="M132" s="225" t="str">
        <f>_xlfn.XLOOKUP(Logfile_S12[[#This Row],[Material Name]],Sum_WH!E:E,Sum_WH!F:F,"",0)</f>
        <v>Meter</v>
      </c>
      <c r="N132" s="221">
        <v>3000</v>
      </c>
      <c r="O132" s="221" t="s">
        <v>738</v>
      </c>
      <c r="P132" s="221" t="s">
        <v>3392</v>
      </c>
      <c r="Q132" s="221"/>
      <c r="R132" s="221"/>
      <c r="S132" s="221"/>
      <c r="T132" s="221" t="s">
        <v>3258</v>
      </c>
      <c r="U132" s="221" t="s">
        <v>3228</v>
      </c>
      <c r="V132" s="221" t="s">
        <v>3337</v>
      </c>
      <c r="W132" s="221" t="s">
        <v>3338</v>
      </c>
      <c r="X132" s="221" t="s">
        <v>3610</v>
      </c>
      <c r="Y132" s="227"/>
      <c r="Z132" s="227" t="str">
        <f t="shared" si="5"/>
        <v xml:space="preserve">Baturetno RW 02 Singosari </v>
      </c>
      <c r="AA132" s="276" t="e">
        <f>VLOOKUP(Logfile_S12[[#This Row],[DO number]],DO_DB!G:I,3,0)</f>
        <v>#N/A</v>
      </c>
      <c r="AB132" s="331" t="e">
        <f>EXACT(Logfile_S12[[#This Row],[date pick]],Logfile_S12[[#This Row],[Date]])</f>
        <v>#N/A</v>
      </c>
      <c r="AC1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3" spans="1:29" ht="14.5" hidden="1">
      <c r="A133" s="220" t="str">
        <f t="shared" ref="A133:A196" si="6">TEXT(ROW(A133)-ROW($A$4),"000")</f>
        <v>129</v>
      </c>
      <c r="B133" s="221"/>
      <c r="C133" s="221" t="s">
        <v>48</v>
      </c>
      <c r="D133" s="221" t="s">
        <v>3922</v>
      </c>
      <c r="E133" s="221" t="s">
        <v>3295</v>
      </c>
      <c r="F133" s="221" t="s">
        <v>3299</v>
      </c>
      <c r="G133" s="222">
        <v>45337</v>
      </c>
      <c r="H133" s="223">
        <v>15.291666666666666</v>
      </c>
      <c r="I133" s="221" t="s">
        <v>37</v>
      </c>
      <c r="J133" s="221" t="s">
        <v>3023</v>
      </c>
      <c r="K133" s="224" t="s">
        <v>3073</v>
      </c>
      <c r="L133" s="225" t="str">
        <f>VLOOKUP(Logfile_S12[[#This Row],[Material Name]],Sheet2!B:C,2,0)</f>
        <v>ZTE2001</v>
      </c>
      <c r="M133" s="225" t="str">
        <f>_xlfn.XLOOKUP(Logfile_S12[[#This Row],[Material Name]],Sum_WH!E:E,Sum_WH!F:F,"",0)</f>
        <v>Meter</v>
      </c>
      <c r="N133" s="221">
        <v>3000</v>
      </c>
      <c r="O133" s="221" t="s">
        <v>921</v>
      </c>
      <c r="P133" s="221" t="s">
        <v>922</v>
      </c>
      <c r="Q133" s="221" t="s">
        <v>929</v>
      </c>
      <c r="R133" s="221" t="s">
        <v>930</v>
      </c>
      <c r="S133" s="221"/>
      <c r="T133" s="221"/>
      <c r="U133" s="221"/>
      <c r="V133" s="221"/>
      <c r="W133" s="221"/>
      <c r="X133" s="221"/>
      <c r="Y133" s="227" t="s">
        <v>4995</v>
      </c>
      <c r="Z133" s="227" t="str">
        <f t="shared" si="5"/>
        <v>Bumiayu RW 03 Kedungkandang</v>
      </c>
      <c r="AA133" s="276">
        <f>VLOOKUP(Logfile_S12[[#This Row],[DO number]],DO_DB!G:I,3,0)</f>
        <v>45337</v>
      </c>
      <c r="AB133" s="331" t="b">
        <f>EXACT(Logfile_S12[[#This Row],[date pick]],Logfile_S12[[#This Row],[Date]])</f>
        <v>1</v>
      </c>
      <c r="AC1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24C-2024215-01</v>
      </c>
    </row>
    <row r="134" spans="1:29" ht="14.5" hidden="1">
      <c r="A134" s="220" t="str">
        <f t="shared" si="6"/>
        <v>130</v>
      </c>
      <c r="B134" s="221"/>
      <c r="C134" s="221" t="s">
        <v>48</v>
      </c>
      <c r="D134" s="221" t="s">
        <v>3922</v>
      </c>
      <c r="E134" s="221" t="s">
        <v>3295</v>
      </c>
      <c r="F134" s="221" t="s">
        <v>3299</v>
      </c>
      <c r="G134" s="222">
        <v>45337</v>
      </c>
      <c r="H134" s="223">
        <v>15.291666666666666</v>
      </c>
      <c r="I134" s="221" t="s">
        <v>37</v>
      </c>
      <c r="J134" s="221" t="s">
        <v>3023</v>
      </c>
      <c r="K134" s="224" t="s">
        <v>3075</v>
      </c>
      <c r="L134" s="225" t="str">
        <f>VLOOKUP(Logfile_S12[[#This Row],[Material Name]],Sheet2!B:C,2,0)</f>
        <v>ZTE2003</v>
      </c>
      <c r="M134" s="225" t="str">
        <f>_xlfn.XLOOKUP(Logfile_S12[[#This Row],[Material Name]],Sum_WH!E:E,Sum_WH!F:F,"",0)</f>
        <v>Meter</v>
      </c>
      <c r="N134" s="221">
        <v>3000</v>
      </c>
      <c r="O134" s="221" t="s">
        <v>921</v>
      </c>
      <c r="P134" s="221" t="s">
        <v>922</v>
      </c>
      <c r="Q134" s="221" t="s">
        <v>929</v>
      </c>
      <c r="R134" s="221" t="s">
        <v>930</v>
      </c>
      <c r="S134" s="221"/>
      <c r="T134" s="221"/>
      <c r="U134" s="221"/>
      <c r="V134" s="221"/>
      <c r="W134" s="221"/>
      <c r="X134" s="221"/>
      <c r="Y134" s="227" t="s">
        <v>5059</v>
      </c>
      <c r="Z134" s="227" t="str">
        <f t="shared" si="5"/>
        <v>Bumiayu RW 03 Kedungkandang</v>
      </c>
      <c r="AA134" s="276">
        <f>VLOOKUP(Logfile_S12[[#This Row],[DO number]],DO_DB!G:I,3,0)</f>
        <v>45337</v>
      </c>
      <c r="AB134" s="331" t="b">
        <f>EXACT(Logfile_S12[[#This Row],[date pick]],Logfile_S12[[#This Row],[Date]])</f>
        <v>1</v>
      </c>
      <c r="AC1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48C-2024215-01</v>
      </c>
    </row>
    <row r="135" spans="1:29" ht="14.5" hidden="1">
      <c r="A135" s="237" t="str">
        <f t="shared" si="6"/>
        <v>131</v>
      </c>
      <c r="B135" s="221"/>
      <c r="C135" s="221" t="s">
        <v>48</v>
      </c>
      <c r="D135" s="221" t="s">
        <v>3922</v>
      </c>
      <c r="E135" s="221" t="s">
        <v>3295</v>
      </c>
      <c r="F135" s="221" t="s">
        <v>3299</v>
      </c>
      <c r="G135" s="222">
        <v>45337</v>
      </c>
      <c r="H135" s="223">
        <v>15.291666666666666</v>
      </c>
      <c r="I135" s="221" t="s">
        <v>37</v>
      </c>
      <c r="J135" s="221" t="s">
        <v>3023</v>
      </c>
      <c r="K135" s="224" t="s">
        <v>3075</v>
      </c>
      <c r="L135" s="225" t="str">
        <f>VLOOKUP(Logfile_S12[[#This Row],[Material Name]],Sheet2!B:C,2,0)</f>
        <v>ZTE2003</v>
      </c>
      <c r="M135" s="225" t="str">
        <f>_xlfn.XLOOKUP(Logfile_S12[[#This Row],[Material Name]],Sum_WH!E:E,Sum_WH!F:F,"",0)</f>
        <v>Meter</v>
      </c>
      <c r="N135" s="221">
        <v>3000</v>
      </c>
      <c r="O135" s="221" t="s">
        <v>921</v>
      </c>
      <c r="P135" s="221" t="s">
        <v>922</v>
      </c>
      <c r="Q135" s="221" t="s">
        <v>929</v>
      </c>
      <c r="R135" s="221" t="s">
        <v>930</v>
      </c>
      <c r="S135" s="227"/>
      <c r="T135" s="227"/>
      <c r="U135" s="227"/>
      <c r="V135" s="227"/>
      <c r="W135" s="227"/>
      <c r="X135" s="227"/>
      <c r="Y135" s="238" t="s">
        <v>5060</v>
      </c>
      <c r="Z135" s="227" t="str">
        <f t="shared" si="5"/>
        <v>Bumiayu RW 03 Kedungkandang</v>
      </c>
      <c r="AA135" s="276">
        <f>VLOOKUP(Logfile_S12[[#This Row],[DO number]],DO_DB!G:I,3,0)</f>
        <v>45337</v>
      </c>
      <c r="AB135" s="331" t="b">
        <f>EXACT(Logfile_S12[[#This Row],[date pick]],Logfile_S12[[#This Row],[Date]])</f>
        <v>1</v>
      </c>
      <c r="AC1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48C-2024215-02</v>
      </c>
    </row>
    <row r="136" spans="1:29" ht="14.5" hidden="1">
      <c r="A136" s="220" t="str">
        <f t="shared" si="6"/>
        <v>132</v>
      </c>
      <c r="B136" s="221"/>
      <c r="C136" s="221" t="s">
        <v>49</v>
      </c>
      <c r="D136" s="221" t="s">
        <v>3927</v>
      </c>
      <c r="E136" s="221" t="s">
        <v>3295</v>
      </c>
      <c r="F136" s="221" t="s">
        <v>3299</v>
      </c>
      <c r="G136" s="222">
        <v>45338</v>
      </c>
      <c r="H136" s="223">
        <v>0.54236111111111118</v>
      </c>
      <c r="I136" s="221" t="s">
        <v>4916</v>
      </c>
      <c r="J136" s="221" t="s">
        <v>3023</v>
      </c>
      <c r="K136" s="224" t="s">
        <v>3073</v>
      </c>
      <c r="L136" s="225" t="str">
        <f>VLOOKUP(Logfile_S12[[#This Row],[Material Name]],Sheet2!B:C,2,0)</f>
        <v>ZTE2001</v>
      </c>
      <c r="M136" s="225" t="str">
        <f>_xlfn.XLOOKUP(Logfile_S12[[#This Row],[Material Name]],Sum_WH!E:E,Sum_WH!F:F,"",0)</f>
        <v>Meter</v>
      </c>
      <c r="N136" s="221">
        <v>3000</v>
      </c>
      <c r="O136" s="221" t="s">
        <v>911</v>
      </c>
      <c r="P136" s="221" t="s">
        <v>912</v>
      </c>
      <c r="Q136" s="221"/>
      <c r="R136" s="221"/>
      <c r="S136" s="221"/>
      <c r="T136" s="221" t="s">
        <v>3258</v>
      </c>
      <c r="U136" s="221" t="s">
        <v>3228</v>
      </c>
      <c r="V136" s="221" t="s">
        <v>3337</v>
      </c>
      <c r="W136" s="221" t="s">
        <v>3338</v>
      </c>
      <c r="X136" s="221"/>
      <c r="Y136" s="227"/>
      <c r="Z136" s="227" t="str">
        <f t="shared" si="5"/>
        <v>Bandulan RW 08 Sukun</v>
      </c>
      <c r="AA136" s="276" t="e">
        <f>VLOOKUP(Logfile_S12[[#This Row],[DO number]],DO_DB!G:I,3,0)</f>
        <v>#N/A</v>
      </c>
      <c r="AB136" s="331" t="e">
        <f>EXACT(Logfile_S12[[#This Row],[date pick]],Logfile_S12[[#This Row],[Date]])</f>
        <v>#N/A</v>
      </c>
      <c r="AC1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7" spans="1:29" ht="14.5" hidden="1">
      <c r="A137" s="237" t="str">
        <f t="shared" si="6"/>
        <v>133</v>
      </c>
      <c r="B137" s="221"/>
      <c r="C137" s="227" t="s">
        <v>48</v>
      </c>
      <c r="D137" s="227" t="s">
        <v>4444</v>
      </c>
      <c r="E137" s="227" t="s">
        <v>3295</v>
      </c>
      <c r="F137" s="227" t="s">
        <v>3299</v>
      </c>
      <c r="G137" s="239">
        <v>45344</v>
      </c>
      <c r="H137" s="240">
        <v>0.79166666666666663</v>
      </c>
      <c r="I137" s="227" t="s">
        <v>3586</v>
      </c>
      <c r="J137" s="482" t="s">
        <v>4432</v>
      </c>
      <c r="K137" s="241" t="s">
        <v>3073</v>
      </c>
      <c r="L137" s="225" t="str">
        <f>VLOOKUP(Logfile_S12[[#This Row],[Material Name]],Sheet2!B:C,2,0)</f>
        <v>ZTE2001</v>
      </c>
      <c r="M137" s="242" t="s">
        <v>20</v>
      </c>
      <c r="N137" s="227">
        <v>300</v>
      </c>
      <c r="O137" s="227"/>
      <c r="P137" s="227"/>
      <c r="Q137" s="227"/>
      <c r="R137" s="227"/>
      <c r="S137" s="227"/>
      <c r="T137" s="227"/>
      <c r="U137" s="227"/>
      <c r="V137" s="227"/>
      <c r="W137" s="227"/>
      <c r="X137" s="227" t="s">
        <v>3611</v>
      </c>
      <c r="Y137" s="238" t="s">
        <v>5311</v>
      </c>
      <c r="Z137" s="238" t="s">
        <v>4445</v>
      </c>
      <c r="AA137" s="276" t="e">
        <f>VLOOKUP(Logfile_S12[[#This Row],[DO number]],DO_DB!G:I,3,0)</f>
        <v>#N/A</v>
      </c>
      <c r="AB137" s="332" t="e">
        <f>EXACT(Logfile_S12[[#This Row],[date pick]],Logfile_S12[[#This Row],[Date]])</f>
        <v>#N/A</v>
      </c>
      <c r="AC137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OUTBOUND_A-052-300m</v>
      </c>
    </row>
    <row r="138" spans="1:29" ht="14.5" hidden="1">
      <c r="A138" s="220" t="str">
        <f t="shared" si="6"/>
        <v>134</v>
      </c>
      <c r="B138" s="221"/>
      <c r="C138" s="221" t="s">
        <v>49</v>
      </c>
      <c r="D138" s="221" t="s">
        <v>3940</v>
      </c>
      <c r="E138" s="221" t="s">
        <v>3295</v>
      </c>
      <c r="F138" s="221" t="s">
        <v>3299</v>
      </c>
      <c r="G138" s="222">
        <v>45344</v>
      </c>
      <c r="H138" s="223">
        <v>0.63541666666666663</v>
      </c>
      <c r="I138" s="221" t="s">
        <v>4916</v>
      </c>
      <c r="J138" s="221" t="s">
        <v>3023</v>
      </c>
      <c r="K138" s="224" t="s">
        <v>3075</v>
      </c>
      <c r="L138" s="225" t="str">
        <f>VLOOKUP(Logfile_S12[[#This Row],[Material Name]],Sheet2!B:C,2,0)</f>
        <v>ZTE2003</v>
      </c>
      <c r="M138" s="225" t="str">
        <f>_xlfn.XLOOKUP(Logfile_S12[[#This Row],[Material Name]],Sum_WH!E:E,Sum_WH!F:F,"",0)</f>
        <v>Meter</v>
      </c>
      <c r="N138" s="221">
        <v>3000</v>
      </c>
      <c r="O138" s="221" t="s">
        <v>838</v>
      </c>
      <c r="P138" s="221" t="s">
        <v>3361</v>
      </c>
      <c r="Q138" s="221"/>
      <c r="R138" s="221"/>
      <c r="S138" s="221"/>
      <c r="T138" s="221" t="s">
        <v>3258</v>
      </c>
      <c r="U138" s="221" t="s">
        <v>3228</v>
      </c>
      <c r="V138" s="221" t="s">
        <v>3337</v>
      </c>
      <c r="W138" s="221" t="s">
        <v>3338</v>
      </c>
      <c r="X138" s="221" t="s">
        <v>3546</v>
      </c>
      <c r="Y138" s="227"/>
      <c r="Z138" s="227" t="str">
        <f t="shared" ref="Z138:Z143" si="7">P138</f>
        <v>TAMANHARJO RW 04 SINGOSARI</v>
      </c>
      <c r="AA138" s="276" t="e">
        <f>VLOOKUP(Logfile_S12[[#This Row],[DO number]],DO_DB!G:I,3,0)</f>
        <v>#N/A</v>
      </c>
      <c r="AB138" s="331" t="e">
        <f>EXACT(Logfile_S12[[#This Row],[date pick]],Logfile_S12[[#This Row],[Date]])</f>
        <v>#N/A</v>
      </c>
      <c r="AC1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9" spans="1:29" ht="14.5" hidden="1">
      <c r="A139" s="220" t="str">
        <f t="shared" si="6"/>
        <v>135</v>
      </c>
      <c r="B139" s="221"/>
      <c r="C139" s="221" t="s">
        <v>3429</v>
      </c>
      <c r="D139" s="221" t="s">
        <v>3944</v>
      </c>
      <c r="E139" s="221" t="s">
        <v>3295</v>
      </c>
      <c r="F139" s="221" t="s">
        <v>3299</v>
      </c>
      <c r="G139" s="222">
        <v>45345</v>
      </c>
      <c r="H139" s="223">
        <v>15.291666666666666</v>
      </c>
      <c r="I139" s="221" t="s">
        <v>3193</v>
      </c>
      <c r="J139" s="221" t="s">
        <v>3023</v>
      </c>
      <c r="K139" s="224" t="s">
        <v>3075</v>
      </c>
      <c r="L139" s="225" t="str">
        <f>VLOOKUP(Logfile_S12[[#This Row],[Material Name]],Sheet2!B:C,2,0)</f>
        <v>ZTE2003</v>
      </c>
      <c r="M139" s="225" t="str">
        <f>_xlfn.XLOOKUP(Logfile_S12[[#This Row],[Material Name]],Sum_WH!E:E,Sum_WH!F:F,"",0)</f>
        <v>Meter</v>
      </c>
      <c r="N139" s="221">
        <v>3000</v>
      </c>
      <c r="O139" s="221" t="s">
        <v>4926</v>
      </c>
      <c r="P139" s="221" t="s">
        <v>3478</v>
      </c>
      <c r="Q139" s="221" t="s">
        <v>3547</v>
      </c>
      <c r="R139" s="221">
        <v>0</v>
      </c>
      <c r="S139" s="221"/>
      <c r="T139" s="221"/>
      <c r="U139" s="221"/>
      <c r="V139" s="221"/>
      <c r="W139" s="221"/>
      <c r="X139" s="221" t="s">
        <v>3479</v>
      </c>
      <c r="Y139" s="227" t="s">
        <v>5093</v>
      </c>
      <c r="Z139" s="227" t="str">
        <f t="shared" si="7"/>
        <v>MORASHA</v>
      </c>
      <c r="AA139" s="276" t="e">
        <f>VLOOKUP(Logfile_S12[[#This Row],[DO number]],DO_DB!G:I,3,0)</f>
        <v>#N/A</v>
      </c>
      <c r="AB139" s="331" t="e">
        <f>EXACT(Logfile_S12[[#This Row],[date pick]],Logfile_S12[[#This Row],[Date]])</f>
        <v>#N/A</v>
      </c>
      <c r="AC1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48C-2024223-01</v>
      </c>
    </row>
    <row r="140" spans="1:29" ht="14.5" hidden="1">
      <c r="A140" s="237" t="str">
        <f t="shared" si="6"/>
        <v>136</v>
      </c>
      <c r="B140" s="221"/>
      <c r="C140" s="221" t="s">
        <v>3429</v>
      </c>
      <c r="D140" s="221" t="s">
        <v>3944</v>
      </c>
      <c r="E140" s="221" t="s">
        <v>3295</v>
      </c>
      <c r="F140" s="221" t="s">
        <v>3299</v>
      </c>
      <c r="G140" s="222">
        <v>45345</v>
      </c>
      <c r="H140" s="223">
        <v>15.291666666666666</v>
      </c>
      <c r="I140" s="221" t="s">
        <v>3193</v>
      </c>
      <c r="J140" s="221" t="s">
        <v>3023</v>
      </c>
      <c r="K140" s="224" t="s">
        <v>3075</v>
      </c>
      <c r="L140" s="225" t="str">
        <f>VLOOKUP(Logfile_S12[[#This Row],[Material Name]],Sheet2!B:C,2,0)</f>
        <v>ZTE2003</v>
      </c>
      <c r="M140" s="225" t="s">
        <v>20</v>
      </c>
      <c r="N140" s="221">
        <v>3000</v>
      </c>
      <c r="O140" s="221" t="s">
        <v>4926</v>
      </c>
      <c r="P140" s="221" t="s">
        <v>3478</v>
      </c>
      <c r="Q140" s="221" t="s">
        <v>3547</v>
      </c>
      <c r="R140" s="221">
        <v>0</v>
      </c>
      <c r="S140" s="227"/>
      <c r="T140" s="227"/>
      <c r="U140" s="227"/>
      <c r="V140" s="227"/>
      <c r="W140" s="227"/>
      <c r="X140" s="227"/>
      <c r="Y140" s="238" t="s">
        <v>5260</v>
      </c>
      <c r="Z140" s="227" t="str">
        <f t="shared" si="7"/>
        <v>MORASHA</v>
      </c>
      <c r="AA140" s="276" t="e">
        <f>VLOOKUP(Logfile_S12[[#This Row],[DO number]],DO_DB!G:I,3,0)</f>
        <v>#N/A</v>
      </c>
      <c r="AB140" s="331" t="e">
        <f>EXACT(Logfile_S12[[#This Row],[date pick]],Logfile_S12[[#This Row],[Date]])</f>
        <v>#N/A</v>
      </c>
      <c r="AC1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48C-2024223-02</v>
      </c>
    </row>
    <row r="141" spans="1:29" ht="14.5" hidden="1">
      <c r="A141" s="220" t="str">
        <f t="shared" si="6"/>
        <v>137</v>
      </c>
      <c r="B141" s="221"/>
      <c r="C141" s="221" t="s">
        <v>49</v>
      </c>
      <c r="D141" s="221" t="s">
        <v>3946</v>
      </c>
      <c r="E141" s="221" t="s">
        <v>3295</v>
      </c>
      <c r="F141" s="221" t="s">
        <v>3299</v>
      </c>
      <c r="G141" s="222">
        <v>45345</v>
      </c>
      <c r="H141" s="223">
        <v>0.78263888888888899</v>
      </c>
      <c r="I141" s="221" t="s">
        <v>4916</v>
      </c>
      <c r="J141" s="221" t="s">
        <v>3023</v>
      </c>
      <c r="K141" s="224" t="s">
        <v>3075</v>
      </c>
      <c r="L141" s="225" t="str">
        <f>VLOOKUP(Logfile_S12[[#This Row],[Material Name]],Sheet2!B:C,2,0)</f>
        <v>ZTE2003</v>
      </c>
      <c r="M141" s="225" t="str">
        <f>_xlfn.XLOOKUP(Logfile_S12[[#This Row],[Material Name]],Sum_WH!E:E,Sum_WH!F:F,"",0)</f>
        <v>Meter</v>
      </c>
      <c r="N141" s="221">
        <v>3000</v>
      </c>
      <c r="O141" s="221" t="s">
        <v>921</v>
      </c>
      <c r="P141" s="221" t="s">
        <v>922</v>
      </c>
      <c r="Q141" s="221"/>
      <c r="R141" s="221"/>
      <c r="S141" s="221"/>
      <c r="T141" s="221" t="s">
        <v>3363</v>
      </c>
      <c r="U141" s="221" t="s">
        <v>3228</v>
      </c>
      <c r="V141" s="221" t="s">
        <v>3364</v>
      </c>
      <c r="W141" s="221" t="s">
        <v>3365</v>
      </c>
      <c r="X141" s="221" t="s">
        <v>3551</v>
      </c>
      <c r="Y141" s="227"/>
      <c r="Z141" s="227" t="str">
        <f t="shared" si="7"/>
        <v>Bumiayu RW 03 Kedungkandang</v>
      </c>
      <c r="AA141" s="276" t="e">
        <f>VLOOKUP(Logfile_S12[[#This Row],[DO number]],DO_DB!G:I,3,0)</f>
        <v>#N/A</v>
      </c>
      <c r="AB141" s="331" t="e">
        <f>EXACT(Logfile_S12[[#This Row],[date pick]],Logfile_S12[[#This Row],[Date]])</f>
        <v>#N/A</v>
      </c>
      <c r="AC1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2" spans="1:29" ht="14.5" hidden="1">
      <c r="A142" s="220" t="str">
        <f t="shared" si="6"/>
        <v>138</v>
      </c>
      <c r="B142" s="221"/>
      <c r="C142" s="221" t="s">
        <v>49</v>
      </c>
      <c r="D142" s="221" t="s">
        <v>3948</v>
      </c>
      <c r="E142" s="221" t="s">
        <v>3295</v>
      </c>
      <c r="F142" s="221" t="s">
        <v>3299</v>
      </c>
      <c r="G142" s="222">
        <v>45345</v>
      </c>
      <c r="H142" s="223">
        <v>0.86597222222222225</v>
      </c>
      <c r="I142" s="221" t="s">
        <v>4916</v>
      </c>
      <c r="J142" s="221" t="s">
        <v>3023</v>
      </c>
      <c r="K142" s="224" t="s">
        <v>3075</v>
      </c>
      <c r="L142" s="225" t="str">
        <f>VLOOKUP(Logfile_S12[[#This Row],[Material Name]],Sheet2!B:C,2,0)</f>
        <v>ZTE2003</v>
      </c>
      <c r="M142" s="225" t="str">
        <f>_xlfn.XLOOKUP(Logfile_S12[[#This Row],[Material Name]],Sum_WH!E:E,Sum_WH!F:F,"",0)</f>
        <v>Meter</v>
      </c>
      <c r="N142" s="221">
        <v>3000</v>
      </c>
      <c r="O142" s="221" t="s">
        <v>921</v>
      </c>
      <c r="P142" s="221" t="s">
        <v>922</v>
      </c>
      <c r="Q142" s="221"/>
      <c r="R142" s="221"/>
      <c r="S142" s="221"/>
      <c r="T142" s="221" t="s">
        <v>3363</v>
      </c>
      <c r="U142" s="221" t="s">
        <v>3228</v>
      </c>
      <c r="V142" s="221" t="s">
        <v>3364</v>
      </c>
      <c r="W142" s="221" t="s">
        <v>3365</v>
      </c>
      <c r="X142" s="221" t="s">
        <v>3549</v>
      </c>
      <c r="Y142" s="227"/>
      <c r="Z142" s="227" t="str">
        <f t="shared" si="7"/>
        <v>Bumiayu RW 03 Kedungkandang</v>
      </c>
      <c r="AA142" s="276" t="e">
        <f>VLOOKUP(Logfile_S12[[#This Row],[DO number]],DO_DB!G:I,3,0)</f>
        <v>#N/A</v>
      </c>
      <c r="AB142" s="331" t="e">
        <f>EXACT(Logfile_S12[[#This Row],[date pick]],Logfile_S12[[#This Row],[Date]])</f>
        <v>#N/A</v>
      </c>
      <c r="AC1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3" spans="1:29" ht="14.5" hidden="1">
      <c r="A143" s="237" t="str">
        <f t="shared" si="6"/>
        <v>139</v>
      </c>
      <c r="B143" s="221"/>
      <c r="C143" s="221" t="s">
        <v>49</v>
      </c>
      <c r="D143" s="221" t="s">
        <v>3948</v>
      </c>
      <c r="E143" s="221" t="s">
        <v>3295</v>
      </c>
      <c r="F143" s="221" t="s">
        <v>3299</v>
      </c>
      <c r="G143" s="222">
        <v>45345</v>
      </c>
      <c r="H143" s="223">
        <v>0.86597222222222225</v>
      </c>
      <c r="I143" s="221" t="s">
        <v>4916</v>
      </c>
      <c r="J143" s="221" t="s">
        <v>3023</v>
      </c>
      <c r="K143" s="224" t="s">
        <v>3075</v>
      </c>
      <c r="L143" s="225" t="str">
        <f>VLOOKUP(Logfile_S12[[#This Row],[Material Name]],Sheet2!B:C,2,0)</f>
        <v>ZTE2003</v>
      </c>
      <c r="M143" s="225" t="str">
        <f>_xlfn.XLOOKUP(Logfile_S12[[#This Row],[Material Name]],Sum_WH!E:E,Sum_WH!F:F,"",0)</f>
        <v>Meter</v>
      </c>
      <c r="N143" s="221">
        <v>3000</v>
      </c>
      <c r="O143" s="221" t="s">
        <v>921</v>
      </c>
      <c r="P143" s="221" t="s">
        <v>922</v>
      </c>
      <c r="Q143" s="221"/>
      <c r="R143" s="227"/>
      <c r="S143" s="227"/>
      <c r="T143" s="221" t="s">
        <v>3363</v>
      </c>
      <c r="U143" s="221" t="s">
        <v>3228</v>
      </c>
      <c r="V143" s="221" t="s">
        <v>3364</v>
      </c>
      <c r="W143" s="221" t="s">
        <v>3365</v>
      </c>
      <c r="X143" s="221" t="s">
        <v>3549</v>
      </c>
      <c r="Y143" s="238"/>
      <c r="Z143" s="227" t="str">
        <f t="shared" si="7"/>
        <v>Bumiayu RW 03 Kedungkandang</v>
      </c>
      <c r="AA143" s="276" t="e">
        <f>VLOOKUP(Logfile_S12[[#This Row],[DO number]],DO_DB!G:I,3,0)</f>
        <v>#N/A</v>
      </c>
      <c r="AB143" s="331" t="e">
        <f>EXACT(Logfile_S12[[#This Row],[date pick]],Logfile_S12[[#This Row],[Date]])</f>
        <v>#N/A</v>
      </c>
      <c r="AC1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4" spans="1:29" ht="14.5" hidden="1">
      <c r="A144" s="237" t="str">
        <f t="shared" si="6"/>
        <v>140</v>
      </c>
      <c r="B144" s="221"/>
      <c r="C144" s="227" t="s">
        <v>48</v>
      </c>
      <c r="D144" s="227" t="s">
        <v>4446</v>
      </c>
      <c r="E144" s="227" t="s">
        <v>3295</v>
      </c>
      <c r="F144" s="227" t="s">
        <v>3299</v>
      </c>
      <c r="G144" s="239">
        <v>45345</v>
      </c>
      <c r="H144" s="240">
        <v>0.79166666666666663</v>
      </c>
      <c r="I144" s="227" t="s">
        <v>3586</v>
      </c>
      <c r="J144" s="482" t="s">
        <v>4432</v>
      </c>
      <c r="K144" s="241" t="s">
        <v>3075</v>
      </c>
      <c r="L144" s="225" t="str">
        <f>VLOOKUP(Logfile_S12[[#This Row],[Material Name]],Sheet2!B:C,2,0)</f>
        <v>ZTE2003</v>
      </c>
      <c r="M144" s="242" t="s">
        <v>20</v>
      </c>
      <c r="N144" s="227">
        <v>1000</v>
      </c>
      <c r="O144" s="227" t="s">
        <v>921</v>
      </c>
      <c r="P144" s="227" t="s">
        <v>922</v>
      </c>
      <c r="Q144" s="227"/>
      <c r="R144" s="227"/>
      <c r="S144" s="227"/>
      <c r="T144" s="227"/>
      <c r="U144" s="227"/>
      <c r="V144" s="227"/>
      <c r="W144" s="227"/>
      <c r="X144" s="227" t="s">
        <v>4447</v>
      </c>
      <c r="Y144" s="238" t="s">
        <v>5262</v>
      </c>
      <c r="Z144" s="238" t="s">
        <v>4447</v>
      </c>
      <c r="AA144" s="276" t="e">
        <f>VLOOKUP(Logfile_S12[[#This Row],[DO number]],DO_DB!G:I,3,0)</f>
        <v>#N/A</v>
      </c>
      <c r="AB144" s="332" t="e">
        <f>EXACT(Logfile_S12[[#This Row],[date pick]],Logfile_S12[[#This Row],[Date]])</f>
        <v>#N/A</v>
      </c>
      <c r="AC14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OUTBOUND_B-001-1000m</v>
      </c>
    </row>
    <row r="145" spans="1:29" ht="14.5" hidden="1">
      <c r="A145" s="220" t="str">
        <f t="shared" si="6"/>
        <v>141</v>
      </c>
      <c r="B145" s="221"/>
      <c r="C145" s="221" t="s">
        <v>48</v>
      </c>
      <c r="D145" s="221" t="s">
        <v>3958</v>
      </c>
      <c r="E145" s="221" t="s">
        <v>3295</v>
      </c>
      <c r="F145" s="221" t="s">
        <v>3299</v>
      </c>
      <c r="G145" s="222">
        <v>45351</v>
      </c>
      <c r="H145" s="223">
        <v>15.291666666666666</v>
      </c>
      <c r="I145" s="221" t="s">
        <v>37</v>
      </c>
      <c r="J145" s="221" t="s">
        <v>3023</v>
      </c>
      <c r="K145" s="224" t="s">
        <v>3075</v>
      </c>
      <c r="L145" s="225" t="str">
        <f>VLOOKUP(Logfile_S12[[#This Row],[Material Name]],Sheet2!B:C,2,0)</f>
        <v>ZTE2003</v>
      </c>
      <c r="M145" s="225" t="str">
        <f>_xlfn.XLOOKUP(Logfile_S12[[#This Row],[Material Name]],Sum_WH!E:E,Sum_WH!F:F,"",0)</f>
        <v>Meter</v>
      </c>
      <c r="N145" s="221">
        <v>3000</v>
      </c>
      <c r="O145" s="221" t="s">
        <v>921</v>
      </c>
      <c r="P145" s="221" t="s">
        <v>922</v>
      </c>
      <c r="Q145" s="221" t="s">
        <v>929</v>
      </c>
      <c r="R145" s="221" t="s">
        <v>930</v>
      </c>
      <c r="S145" s="221"/>
      <c r="T145" s="221"/>
      <c r="U145" s="221"/>
      <c r="V145" s="221"/>
      <c r="W145" s="221"/>
      <c r="X145" s="221"/>
      <c r="Y145" s="227" t="s">
        <v>5061</v>
      </c>
      <c r="Z145" s="227" t="str">
        <f t="shared" ref="Z145:Z176" si="8">P145</f>
        <v>Bumiayu RW 03 Kedungkandang</v>
      </c>
      <c r="AA145" s="276">
        <f>VLOOKUP(Logfile_S12[[#This Row],[DO number]],DO_DB!G:I,3,0)</f>
        <v>45337</v>
      </c>
      <c r="AB145" s="331" t="b">
        <f>EXACT(Logfile_S12[[#This Row],[date pick]],Logfile_S12[[#This Row],[Date]])</f>
        <v>0</v>
      </c>
      <c r="AC1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48C-2024229-01</v>
      </c>
    </row>
    <row r="146" spans="1:29" ht="14.5" hidden="1">
      <c r="A146" s="220" t="str">
        <f t="shared" si="6"/>
        <v>142</v>
      </c>
      <c r="B146" s="221"/>
      <c r="C146" s="221" t="s">
        <v>48</v>
      </c>
      <c r="D146" s="221" t="s">
        <v>3958</v>
      </c>
      <c r="E146" s="221" t="s">
        <v>3295</v>
      </c>
      <c r="F146" s="221" t="s">
        <v>3299</v>
      </c>
      <c r="G146" s="222">
        <v>45351</v>
      </c>
      <c r="H146" s="223">
        <v>15.291666666666666</v>
      </c>
      <c r="I146" s="221" t="s">
        <v>37</v>
      </c>
      <c r="J146" s="221" t="s">
        <v>3023</v>
      </c>
      <c r="K146" s="224" t="s">
        <v>3075</v>
      </c>
      <c r="L146" s="225" t="str">
        <f>VLOOKUP(Logfile_S12[[#This Row],[Material Name]],Sheet2!B:C,2,0)</f>
        <v>ZTE2003</v>
      </c>
      <c r="M146" s="225" t="str">
        <f>_xlfn.XLOOKUP(Logfile_S12[[#This Row],[Material Name]],Sum_WH!E:E,Sum_WH!F:F,"",0)</f>
        <v>Meter</v>
      </c>
      <c r="N146" s="221">
        <v>3000</v>
      </c>
      <c r="O146" s="221" t="s">
        <v>1013</v>
      </c>
      <c r="P146" s="221" t="s">
        <v>1014</v>
      </c>
      <c r="Q146" s="221" t="s">
        <v>1015</v>
      </c>
      <c r="R146" s="221" t="s">
        <v>1016</v>
      </c>
      <c r="S146" s="221"/>
      <c r="T146" s="221"/>
      <c r="U146" s="221"/>
      <c r="V146" s="221"/>
      <c r="W146" s="221"/>
      <c r="X146" s="221"/>
      <c r="Y146" s="227" t="s">
        <v>5062</v>
      </c>
      <c r="Z146" s="227" t="str">
        <f t="shared" si="8"/>
        <v>Bumiayu RW 05 Kedungkandang</v>
      </c>
      <c r="AA146" s="276">
        <f>VLOOKUP(Logfile_S12[[#This Row],[DO number]],DO_DB!G:I,3,0)</f>
        <v>45351</v>
      </c>
      <c r="AB146" s="331" t="b">
        <f>EXACT(Logfile_S12[[#This Row],[date pick]],Logfile_S12[[#This Row],[Date]])</f>
        <v>1</v>
      </c>
      <c r="AC1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48C-2024229-02</v>
      </c>
    </row>
    <row r="147" spans="1:29" ht="14.5" hidden="1">
      <c r="A147" s="220" t="str">
        <f t="shared" si="6"/>
        <v>143</v>
      </c>
      <c r="B147" s="221"/>
      <c r="C147" s="221" t="s">
        <v>48</v>
      </c>
      <c r="D147" s="221" t="s">
        <v>3961</v>
      </c>
      <c r="E147" s="221" t="s">
        <v>3295</v>
      </c>
      <c r="F147" s="221" t="s">
        <v>3299</v>
      </c>
      <c r="G147" s="222">
        <v>45352</v>
      </c>
      <c r="H147" s="223">
        <v>15.291666666666666</v>
      </c>
      <c r="I147" s="221" t="s">
        <v>37</v>
      </c>
      <c r="J147" s="221" t="s">
        <v>3023</v>
      </c>
      <c r="K147" s="224" t="s">
        <v>3073</v>
      </c>
      <c r="L147" s="225" t="str">
        <f>VLOOKUP(Logfile_S12[[#This Row],[Material Name]],Sheet2!B:C,2,0)</f>
        <v>ZTE2001</v>
      </c>
      <c r="M147" s="225" t="str">
        <f>_xlfn.XLOOKUP(Logfile_S12[[#This Row],[Material Name]],Sum_WH!E:E,Sum_WH!F:F,"",0)</f>
        <v>Meter</v>
      </c>
      <c r="N147" s="227">
        <v>3000</v>
      </c>
      <c r="O147" s="221" t="s">
        <v>1099</v>
      </c>
      <c r="P147" s="221" t="s">
        <v>1100</v>
      </c>
      <c r="Q147" s="221" t="s">
        <v>1209</v>
      </c>
      <c r="R147" s="221" t="s">
        <v>1210</v>
      </c>
      <c r="S147" s="221"/>
      <c r="T147" s="221"/>
      <c r="U147" s="221"/>
      <c r="V147" s="221"/>
      <c r="W147" s="221"/>
      <c r="X147" s="221"/>
      <c r="Y147" s="236" t="s">
        <v>4948</v>
      </c>
      <c r="Z147" s="227" t="str">
        <f t="shared" si="8"/>
        <v>Dalisodo RW 03 Wagir</v>
      </c>
      <c r="AA147" s="276">
        <f>VLOOKUP(Logfile_S12[[#This Row],[DO number]],DO_DB!G:I,3,0)</f>
        <v>45374</v>
      </c>
      <c r="AB147" s="331" t="b">
        <f>EXACT(Logfile_S12[[#This Row],[date pick]],Logfile_S12[[#This Row],[Date]])</f>
        <v>0</v>
      </c>
      <c r="AC1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24C-202431-01</v>
      </c>
    </row>
    <row r="148" spans="1:29" ht="14.5" hidden="1">
      <c r="A148" s="237" t="str">
        <f t="shared" si="6"/>
        <v>144</v>
      </c>
      <c r="B148" s="221"/>
      <c r="C148" s="227" t="s">
        <v>48</v>
      </c>
      <c r="D148" s="227" t="s">
        <v>3961</v>
      </c>
      <c r="E148" s="227" t="s">
        <v>3295</v>
      </c>
      <c r="F148" s="227" t="s">
        <v>3299</v>
      </c>
      <c r="G148" s="239">
        <v>45352</v>
      </c>
      <c r="H148" s="240">
        <v>15.291666666666666</v>
      </c>
      <c r="I148" s="227" t="s">
        <v>37</v>
      </c>
      <c r="J148" s="227" t="s">
        <v>3023</v>
      </c>
      <c r="K148" s="241" t="s">
        <v>3073</v>
      </c>
      <c r="L148" s="225" t="str">
        <f>VLOOKUP(Logfile_S12[[#This Row],[Material Name]],Sheet2!B:C,2,0)</f>
        <v>ZTE2001</v>
      </c>
      <c r="M148" s="242" t="s">
        <v>20</v>
      </c>
      <c r="N148" s="227">
        <v>3000</v>
      </c>
      <c r="O148" s="227" t="s">
        <v>1099</v>
      </c>
      <c r="P148" s="227" t="s">
        <v>1100</v>
      </c>
      <c r="Q148" s="227" t="s">
        <v>1209</v>
      </c>
      <c r="R148" s="227" t="s">
        <v>1210</v>
      </c>
      <c r="S148" s="227"/>
      <c r="T148" s="227"/>
      <c r="U148" s="227"/>
      <c r="V148" s="227"/>
      <c r="W148" s="227"/>
      <c r="X148" s="227"/>
      <c r="Y148" s="236" t="s">
        <v>4996</v>
      </c>
      <c r="Z148" s="227" t="str">
        <f t="shared" si="8"/>
        <v>Dalisodo RW 03 Wagir</v>
      </c>
      <c r="AA148" s="276">
        <f>VLOOKUP(Logfile_S12[[#This Row],[DO number]],DO_DB!G:I,3,0)</f>
        <v>45374</v>
      </c>
      <c r="AB148" s="331" t="b">
        <f>EXACT(Logfile_S12[[#This Row],[date pick]],Logfile_S12[[#This Row],[Date]])</f>
        <v>0</v>
      </c>
      <c r="AC1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24C-202431-02</v>
      </c>
    </row>
    <row r="149" spans="1:29" ht="14.5" hidden="1">
      <c r="A149" s="220" t="str">
        <f t="shared" si="6"/>
        <v>145</v>
      </c>
      <c r="B149" s="221"/>
      <c r="C149" s="221" t="s">
        <v>49</v>
      </c>
      <c r="D149" s="221" t="s">
        <v>3963</v>
      </c>
      <c r="E149" s="221" t="s">
        <v>3295</v>
      </c>
      <c r="F149" s="221" t="s">
        <v>3299</v>
      </c>
      <c r="G149" s="222">
        <v>45352</v>
      </c>
      <c r="H149" s="223">
        <v>0.39097222222222222</v>
      </c>
      <c r="I149" s="221" t="s">
        <v>4916</v>
      </c>
      <c r="J149" s="221" t="s">
        <v>3023</v>
      </c>
      <c r="K149" s="224" t="s">
        <v>3075</v>
      </c>
      <c r="L149" s="225" t="str">
        <f>VLOOKUP(Logfile_S12[[#This Row],[Material Name]],Sheet2!B:C,2,0)</f>
        <v>ZTE2003</v>
      </c>
      <c r="M149" s="225" t="str">
        <f>_xlfn.XLOOKUP(Logfile_S12[[#This Row],[Material Name]],Sum_WH!E:E,Sum_WH!F:F,"",0)</f>
        <v>Meter</v>
      </c>
      <c r="N149" s="221">
        <v>3000</v>
      </c>
      <c r="O149" s="221" t="s">
        <v>1013</v>
      </c>
      <c r="P149" s="221" t="s">
        <v>1014</v>
      </c>
      <c r="Q149" s="221"/>
      <c r="R149" s="221"/>
      <c r="S149" s="221"/>
      <c r="T149" s="221" t="s">
        <v>3258</v>
      </c>
      <c r="U149" s="221" t="s">
        <v>3228</v>
      </c>
      <c r="V149" s="221" t="s">
        <v>3337</v>
      </c>
      <c r="W149" s="221" t="s">
        <v>3365</v>
      </c>
      <c r="X149" s="221" t="s">
        <v>3553</v>
      </c>
      <c r="Y149" s="227"/>
      <c r="Z149" s="227" t="str">
        <f t="shared" si="8"/>
        <v>Bumiayu RW 05 Kedungkandang</v>
      </c>
      <c r="AA149" s="276" t="e">
        <f>VLOOKUP(Logfile_S12[[#This Row],[DO number]],DO_DB!G:I,3,0)</f>
        <v>#N/A</v>
      </c>
      <c r="AB149" s="331" t="e">
        <f>EXACT(Logfile_S12[[#This Row],[date pick]],Logfile_S12[[#This Row],[Date]])</f>
        <v>#N/A</v>
      </c>
      <c r="AC1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0" spans="1:29" ht="14.5" hidden="1">
      <c r="A150" s="220" t="str">
        <f t="shared" si="6"/>
        <v>146</v>
      </c>
      <c r="B150" s="221"/>
      <c r="C150" s="221" t="s">
        <v>3313</v>
      </c>
      <c r="D150" s="221" t="s">
        <v>3962</v>
      </c>
      <c r="E150" s="221" t="s">
        <v>3295</v>
      </c>
      <c r="F150" s="221" t="s">
        <v>3299</v>
      </c>
      <c r="G150" s="222">
        <v>45352</v>
      </c>
      <c r="H150" s="223">
        <v>15.291666666666666</v>
      </c>
      <c r="I150" s="221" t="s">
        <v>37</v>
      </c>
      <c r="J150" s="221" t="s">
        <v>3023</v>
      </c>
      <c r="K150" s="224" t="s">
        <v>3075</v>
      </c>
      <c r="L150" s="225" t="str">
        <f>VLOOKUP(Logfile_S12[[#This Row],[Material Name]],Sheet2!B:C,2,0)</f>
        <v>ZTE2003</v>
      </c>
      <c r="M150" s="225" t="str">
        <f>_xlfn.XLOOKUP(Logfile_S12[[#This Row],[Material Name]],Sum_WH!E:E,Sum_WH!F:F,"",0)</f>
        <v>Meter</v>
      </c>
      <c r="N150" s="221">
        <v>3000</v>
      </c>
      <c r="O150" s="221" t="s">
        <v>3314</v>
      </c>
      <c r="P150" s="221">
        <v>0</v>
      </c>
      <c r="Q150" s="221">
        <v>0</v>
      </c>
      <c r="R150" s="221" t="s">
        <v>3147</v>
      </c>
      <c r="S150" s="221"/>
      <c r="T150" s="221"/>
      <c r="U150" s="221"/>
      <c r="V150" s="221"/>
      <c r="W150" s="221"/>
      <c r="X150" s="221"/>
      <c r="Y150" s="227" t="s">
        <v>5098</v>
      </c>
      <c r="Z150" s="227">
        <f t="shared" si="8"/>
        <v>0</v>
      </c>
      <c r="AA150" s="276" t="e">
        <f>VLOOKUP(Logfile_S12[[#This Row],[DO number]],DO_DB!G:I,3,0)</f>
        <v>#N/A</v>
      </c>
      <c r="AB150" s="331" t="e">
        <f>EXACT(Logfile_S12[[#This Row],[date pick]],Logfile_S12[[#This Row],[Date]])</f>
        <v>#N/A</v>
      </c>
      <c r="AC1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48C-202431-01</v>
      </c>
    </row>
    <row r="151" spans="1:29" ht="14.5" hidden="1">
      <c r="A151" s="237" t="str">
        <f t="shared" si="6"/>
        <v>147</v>
      </c>
      <c r="B151" s="221"/>
      <c r="C151" s="221" t="s">
        <v>3313</v>
      </c>
      <c r="D151" s="221" t="s">
        <v>3962</v>
      </c>
      <c r="E151" s="221" t="s">
        <v>3295</v>
      </c>
      <c r="F151" s="221" t="s">
        <v>3299</v>
      </c>
      <c r="G151" s="222">
        <v>45352</v>
      </c>
      <c r="H151" s="223">
        <v>15.291666666666666</v>
      </c>
      <c r="I151" s="221" t="s">
        <v>37</v>
      </c>
      <c r="J151" s="221" t="s">
        <v>3023</v>
      </c>
      <c r="K151" s="224" t="s">
        <v>3075</v>
      </c>
      <c r="L151" s="225" t="str">
        <f>VLOOKUP(Logfile_S12[[#This Row],[Material Name]],Sheet2!B:C,2,0)</f>
        <v>ZTE2003</v>
      </c>
      <c r="M151" s="225" t="str">
        <f>_xlfn.XLOOKUP(Logfile_S12[[#This Row],[Material Name]],Sum_WH!E:E,Sum_WH!F:F,"",0)</f>
        <v>Meter</v>
      </c>
      <c r="N151" s="221">
        <v>3000</v>
      </c>
      <c r="O151" s="221" t="s">
        <v>3314</v>
      </c>
      <c r="P151" s="221">
        <v>0</v>
      </c>
      <c r="Q151" s="221">
        <v>0</v>
      </c>
      <c r="R151" s="221" t="s">
        <v>3147</v>
      </c>
      <c r="S151" s="227"/>
      <c r="T151" s="227"/>
      <c r="U151" s="227"/>
      <c r="V151" s="227"/>
      <c r="W151" s="227"/>
      <c r="X151" s="227"/>
      <c r="Y151" s="238" t="s">
        <v>5099</v>
      </c>
      <c r="Z151" s="227">
        <f t="shared" si="8"/>
        <v>0</v>
      </c>
      <c r="AA151" s="276" t="e">
        <f>VLOOKUP(Logfile_S12[[#This Row],[DO number]],DO_DB!G:I,3,0)</f>
        <v>#N/A</v>
      </c>
      <c r="AB151" s="331" t="e">
        <f>EXACT(Logfile_S12[[#This Row],[date pick]],Logfile_S12[[#This Row],[Date]])</f>
        <v>#N/A</v>
      </c>
      <c r="AC1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48C-202431-02</v>
      </c>
    </row>
    <row r="152" spans="1:29" ht="14.5" hidden="1">
      <c r="A152" s="237" t="str">
        <f t="shared" si="6"/>
        <v>148</v>
      </c>
      <c r="B152" s="221"/>
      <c r="C152" s="221" t="s">
        <v>3313</v>
      </c>
      <c r="D152" s="221" t="s">
        <v>3962</v>
      </c>
      <c r="E152" s="221" t="s">
        <v>3295</v>
      </c>
      <c r="F152" s="221" t="s">
        <v>3299</v>
      </c>
      <c r="G152" s="222">
        <v>45352</v>
      </c>
      <c r="H152" s="223">
        <v>15.291666666666666</v>
      </c>
      <c r="I152" s="221" t="s">
        <v>37</v>
      </c>
      <c r="J152" s="221" t="s">
        <v>3023</v>
      </c>
      <c r="K152" s="224" t="s">
        <v>3075</v>
      </c>
      <c r="L152" s="225" t="str">
        <f>VLOOKUP(Logfile_S12[[#This Row],[Material Name]],Sheet2!B:C,2,0)</f>
        <v>ZTE2003</v>
      </c>
      <c r="M152" s="225" t="str">
        <f>_xlfn.XLOOKUP(Logfile_S12[[#This Row],[Material Name]],Sum_WH!E:E,Sum_WH!F:F,"",0)</f>
        <v>Meter</v>
      </c>
      <c r="N152" s="221">
        <v>3000</v>
      </c>
      <c r="O152" s="221" t="s">
        <v>3314</v>
      </c>
      <c r="P152" s="221">
        <v>0</v>
      </c>
      <c r="Q152" s="221">
        <v>0</v>
      </c>
      <c r="R152" s="221" t="s">
        <v>3147</v>
      </c>
      <c r="S152" s="227"/>
      <c r="T152" s="227"/>
      <c r="U152" s="227"/>
      <c r="V152" s="227"/>
      <c r="W152" s="227"/>
      <c r="X152" s="227"/>
      <c r="Y152" s="238" t="s">
        <v>5100</v>
      </c>
      <c r="Z152" s="227">
        <f t="shared" si="8"/>
        <v>0</v>
      </c>
      <c r="AA152" s="276" t="e">
        <f>VLOOKUP(Logfile_S12[[#This Row],[DO number]],DO_DB!G:I,3,0)</f>
        <v>#N/A</v>
      </c>
      <c r="AB152" s="331" t="e">
        <f>EXACT(Logfile_S12[[#This Row],[date pick]],Logfile_S12[[#This Row],[Date]])</f>
        <v>#N/A</v>
      </c>
      <c r="AC1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48C-202431-03</v>
      </c>
    </row>
    <row r="153" spans="1:29" ht="14.5" hidden="1">
      <c r="A153" s="220" t="str">
        <f t="shared" si="6"/>
        <v>149</v>
      </c>
      <c r="B153" s="221"/>
      <c r="C153" s="221" t="s">
        <v>3388</v>
      </c>
      <c r="D153" s="221" t="s">
        <v>3975</v>
      </c>
      <c r="E153" s="221" t="s">
        <v>3295</v>
      </c>
      <c r="F153" s="221" t="s">
        <v>3299</v>
      </c>
      <c r="G153" s="222">
        <v>45358</v>
      </c>
      <c r="H153" s="223">
        <v>0.87569444444444444</v>
      </c>
      <c r="I153" s="221" t="s">
        <v>4918</v>
      </c>
      <c r="J153" s="221" t="s">
        <v>3023</v>
      </c>
      <c r="K153" s="224" t="s">
        <v>3073</v>
      </c>
      <c r="L153" s="225" t="str">
        <f>VLOOKUP(Logfile_S12[[#This Row],[Material Name]],Sheet2!B:C,2,0)</f>
        <v>ZTE2001</v>
      </c>
      <c r="M153" s="225" t="str">
        <f>_xlfn.XLOOKUP(Logfile_S12[[#This Row],[Material Name]],Sum_WH!E:E,Sum_WH!F:F,"",0)</f>
        <v>Meter</v>
      </c>
      <c r="N153" s="221">
        <v>3000</v>
      </c>
      <c r="O153" s="221" t="s">
        <v>3314</v>
      </c>
      <c r="P153" s="221" t="s">
        <v>3499</v>
      </c>
      <c r="Q153" s="221"/>
      <c r="R153" s="221"/>
      <c r="S153" s="221"/>
      <c r="T153" s="221" t="s">
        <v>3500</v>
      </c>
      <c r="U153" s="221">
        <v>0</v>
      </c>
      <c r="V153" s="221">
        <v>0</v>
      </c>
      <c r="W153" s="221">
        <v>0</v>
      </c>
      <c r="X153" s="221" t="s">
        <v>3501</v>
      </c>
      <c r="Y153" s="236" t="s">
        <v>4948</v>
      </c>
      <c r="Z153" s="227" t="str">
        <f t="shared" si="8"/>
        <v>Transfer Gudang TO GRESIK</v>
      </c>
      <c r="AA153" s="276" t="e">
        <f>VLOOKUP(Logfile_S12[[#This Row],[DO number]],DO_DB!G:I,3,0)</f>
        <v>#N/A</v>
      </c>
      <c r="AB153" s="331" t="e">
        <f>EXACT(Logfile_S12[[#This Row],[date pick]],Logfile_S12[[#This Row],[Date]])</f>
        <v>#N/A</v>
      </c>
      <c r="AC1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OUT_H-ADSS 24C-202431-01</v>
      </c>
    </row>
    <row r="154" spans="1:29" ht="14.5" hidden="1">
      <c r="A154" s="237" t="str">
        <f t="shared" si="6"/>
        <v>150</v>
      </c>
      <c r="B154" s="221"/>
      <c r="C154" s="221" t="s">
        <v>3388</v>
      </c>
      <c r="D154" s="221" t="s">
        <v>3975</v>
      </c>
      <c r="E154" s="221" t="s">
        <v>3295</v>
      </c>
      <c r="F154" s="221" t="s">
        <v>3299</v>
      </c>
      <c r="G154" s="222">
        <v>45358</v>
      </c>
      <c r="H154" s="223">
        <v>0.87569444444444444</v>
      </c>
      <c r="I154" s="221" t="s">
        <v>4918</v>
      </c>
      <c r="J154" s="221" t="s">
        <v>3023</v>
      </c>
      <c r="K154" s="224" t="s">
        <v>3073</v>
      </c>
      <c r="L154" s="225" t="str">
        <f>VLOOKUP(Logfile_S12[[#This Row],[Material Name]],Sheet2!B:C,2,0)</f>
        <v>ZTE2001</v>
      </c>
      <c r="M154" s="225" t="str">
        <f>_xlfn.XLOOKUP(Logfile_S12[[#This Row],[Material Name]],Sum_WH!E:E,Sum_WH!F:F,"",0)</f>
        <v>Meter</v>
      </c>
      <c r="N154" s="221">
        <v>3000</v>
      </c>
      <c r="O154" s="221" t="s">
        <v>3314</v>
      </c>
      <c r="P154" s="221" t="s">
        <v>3499</v>
      </c>
      <c r="Q154" s="221"/>
      <c r="R154" s="227"/>
      <c r="S154" s="227"/>
      <c r="T154" s="221" t="s">
        <v>3500</v>
      </c>
      <c r="U154" s="221">
        <v>0</v>
      </c>
      <c r="V154" s="221">
        <v>0</v>
      </c>
      <c r="W154" s="221">
        <v>0</v>
      </c>
      <c r="X154" s="221" t="s">
        <v>3501</v>
      </c>
      <c r="Y154" s="243" t="s">
        <v>4996</v>
      </c>
      <c r="Z154" s="227" t="str">
        <f t="shared" si="8"/>
        <v>Transfer Gudang TO GRESIK</v>
      </c>
      <c r="AA154" s="276" t="e">
        <f>VLOOKUP(Logfile_S12[[#This Row],[DO number]],DO_DB!G:I,3,0)</f>
        <v>#N/A</v>
      </c>
      <c r="AB154" s="331" t="e">
        <f>EXACT(Logfile_S12[[#This Row],[date pick]],Logfile_S12[[#This Row],[Date]])</f>
        <v>#N/A</v>
      </c>
      <c r="AC1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OUT_H-ADSS 24C-202431-02</v>
      </c>
    </row>
    <row r="155" spans="1:29" ht="14.5" hidden="1">
      <c r="A155" s="220" t="str">
        <f t="shared" si="6"/>
        <v>151</v>
      </c>
      <c r="B155" s="221"/>
      <c r="C155" s="221" t="s">
        <v>49</v>
      </c>
      <c r="D155" s="221" t="s">
        <v>3978</v>
      </c>
      <c r="E155" s="221" t="s">
        <v>3295</v>
      </c>
      <c r="F155" s="221" t="s">
        <v>3299</v>
      </c>
      <c r="G155" s="222">
        <v>45366</v>
      </c>
      <c r="H155" s="223">
        <v>0.71666666666666667</v>
      </c>
      <c r="I155" s="221" t="s">
        <v>4916</v>
      </c>
      <c r="J155" s="221" t="s">
        <v>3023</v>
      </c>
      <c r="K155" s="224" t="s">
        <v>3075</v>
      </c>
      <c r="L155" s="225" t="str">
        <f>VLOOKUP(Logfile_S12[[#This Row],[Material Name]],Sheet2!B:C,2,0)</f>
        <v>ZTE2003</v>
      </c>
      <c r="M155" s="225" t="str">
        <f>_xlfn.XLOOKUP(Logfile_S12[[#This Row],[Material Name]],Sum_WH!E:E,Sum_WH!F:F,"",0)</f>
        <v>Meter</v>
      </c>
      <c r="N155" s="221">
        <v>3000</v>
      </c>
      <c r="O155" s="221" t="s">
        <v>1087</v>
      </c>
      <c r="P155" s="221" t="s">
        <v>1088</v>
      </c>
      <c r="Q155" s="221"/>
      <c r="R155" s="221"/>
      <c r="S155" s="221"/>
      <c r="T155" s="221" t="s">
        <v>3258</v>
      </c>
      <c r="U155" s="221" t="s">
        <v>3228</v>
      </c>
      <c r="V155" s="221" t="s">
        <v>3337</v>
      </c>
      <c r="W155" s="221" t="s">
        <v>3338</v>
      </c>
      <c r="X155" s="221">
        <v>320</v>
      </c>
      <c r="Y155" s="227"/>
      <c r="Z155" s="227" t="str">
        <f t="shared" si="8"/>
        <v>Dalisodo RW 01 Wagir</v>
      </c>
      <c r="AA155" s="276" t="e">
        <f>VLOOKUP(Logfile_S12[[#This Row],[DO number]],DO_DB!G:I,3,0)</f>
        <v>#N/A</v>
      </c>
      <c r="AB155" s="331" t="e">
        <f>EXACT(Logfile_S12[[#This Row],[date pick]],Logfile_S12[[#This Row],[Date]])</f>
        <v>#N/A</v>
      </c>
      <c r="AC1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6" spans="1:29" ht="14.5" hidden="1">
      <c r="A156" s="220" t="str">
        <f t="shared" si="6"/>
        <v>152</v>
      </c>
      <c r="B156" s="221"/>
      <c r="C156" s="221" t="s">
        <v>48</v>
      </c>
      <c r="D156" s="221" t="s">
        <v>3980</v>
      </c>
      <c r="E156" s="221" t="s">
        <v>3295</v>
      </c>
      <c r="F156" s="221" t="s">
        <v>3299</v>
      </c>
      <c r="G156" s="222">
        <v>45370</v>
      </c>
      <c r="H156" s="223">
        <v>15.291666666666666</v>
      </c>
      <c r="I156" s="221" t="s">
        <v>37</v>
      </c>
      <c r="J156" s="221" t="s">
        <v>3023</v>
      </c>
      <c r="K156" s="224" t="s">
        <v>3073</v>
      </c>
      <c r="L156" s="225" t="str">
        <f>VLOOKUP(Logfile_S12[[#This Row],[Material Name]],Sheet2!B:C,2,0)</f>
        <v>ZTE2001</v>
      </c>
      <c r="M156" s="225" t="str">
        <f>_xlfn.XLOOKUP(Logfile_S12[[#This Row],[Material Name]],Sum_WH!E:E,Sum_WH!F:F,"",0)</f>
        <v>Meter</v>
      </c>
      <c r="N156" s="221">
        <v>3000</v>
      </c>
      <c r="O156" s="221" t="s">
        <v>1151</v>
      </c>
      <c r="P156" s="221" t="s">
        <v>1152</v>
      </c>
      <c r="Q156" s="221" t="s">
        <v>1153</v>
      </c>
      <c r="R156" s="221" t="s">
        <v>1154</v>
      </c>
      <c r="S156" s="221"/>
      <c r="T156" s="221"/>
      <c r="U156" s="221"/>
      <c r="V156" s="221"/>
      <c r="W156" s="221"/>
      <c r="X156" s="221"/>
      <c r="Y156" s="227" t="s">
        <v>4997</v>
      </c>
      <c r="Z156" s="227" t="str">
        <f t="shared" si="8"/>
        <v>Tunjungtirto RW 08 Singosari</v>
      </c>
      <c r="AA156" s="276">
        <f>VLOOKUP(Logfile_S12[[#This Row],[DO number]],DO_DB!G:I,3,0)</f>
        <v>45370</v>
      </c>
      <c r="AB156" s="331" t="b">
        <f>EXACT(Logfile_S12[[#This Row],[date pick]],Logfile_S12[[#This Row],[Date]])</f>
        <v>1</v>
      </c>
      <c r="AC1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24C-2024319-01</v>
      </c>
    </row>
    <row r="157" spans="1:29" ht="14.5" hidden="1">
      <c r="A157" s="220" t="str">
        <f t="shared" si="6"/>
        <v>153</v>
      </c>
      <c r="B157" s="221"/>
      <c r="C157" s="221" t="s">
        <v>3313</v>
      </c>
      <c r="D157" s="221" t="s">
        <v>3981</v>
      </c>
      <c r="E157" s="221" t="s">
        <v>3295</v>
      </c>
      <c r="F157" s="221" t="s">
        <v>3299</v>
      </c>
      <c r="G157" s="222">
        <v>45370</v>
      </c>
      <c r="H157" s="223">
        <v>15.291666666666666</v>
      </c>
      <c r="I157" s="221" t="s">
        <v>37</v>
      </c>
      <c r="J157" s="221" t="s">
        <v>3023</v>
      </c>
      <c r="K157" s="224" t="s">
        <v>3075</v>
      </c>
      <c r="L157" s="225" t="str">
        <f>VLOOKUP(Logfile_S12[[#This Row],[Material Name]],Sheet2!B:C,2,0)</f>
        <v>ZTE2003</v>
      </c>
      <c r="M157" s="225" t="str">
        <f>_xlfn.XLOOKUP(Logfile_S12[[#This Row],[Material Name]],Sum_WH!E:E,Sum_WH!F:F,"",0)</f>
        <v>Meter</v>
      </c>
      <c r="N157" s="221">
        <v>3000</v>
      </c>
      <c r="O157" s="221" t="s">
        <v>3314</v>
      </c>
      <c r="P157" s="221">
        <v>0</v>
      </c>
      <c r="Q157" s="221">
        <v>0</v>
      </c>
      <c r="R157" s="221" t="s">
        <v>3147</v>
      </c>
      <c r="S157" s="221"/>
      <c r="T157" s="221"/>
      <c r="U157" s="221"/>
      <c r="V157" s="221"/>
      <c r="W157" s="221"/>
      <c r="X157" s="221"/>
      <c r="Y157" s="227" t="s">
        <v>5101</v>
      </c>
      <c r="Z157" s="227">
        <f t="shared" si="8"/>
        <v>0</v>
      </c>
      <c r="AA157" s="276" t="e">
        <f>VLOOKUP(Logfile_S12[[#This Row],[DO number]],DO_DB!G:I,3,0)</f>
        <v>#N/A</v>
      </c>
      <c r="AB157" s="331" t="e">
        <f>EXACT(Logfile_S12[[#This Row],[date pick]],Logfile_S12[[#This Row],[Date]])</f>
        <v>#N/A</v>
      </c>
      <c r="AC1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48C-2024319-01</v>
      </c>
    </row>
    <row r="158" spans="1:29" s="202" customFormat="1" ht="14.5" hidden="1">
      <c r="A158" s="220" t="str">
        <f t="shared" si="6"/>
        <v>154</v>
      </c>
      <c r="B158" s="221"/>
      <c r="C158" s="221" t="s">
        <v>3388</v>
      </c>
      <c r="D158" s="221" t="s">
        <v>3984</v>
      </c>
      <c r="E158" s="221" t="s">
        <v>3295</v>
      </c>
      <c r="F158" s="221" t="s">
        <v>3299</v>
      </c>
      <c r="G158" s="222">
        <v>45372</v>
      </c>
      <c r="H158" s="223">
        <v>0.87569444444444444</v>
      </c>
      <c r="I158" s="221" t="s">
        <v>4916</v>
      </c>
      <c r="J158" s="221" t="s">
        <v>3023</v>
      </c>
      <c r="K158" s="224" t="s">
        <v>3075</v>
      </c>
      <c r="L158" s="225" t="str">
        <f>VLOOKUP(Logfile_S12[[#This Row],[Material Name]],Sheet2!B:C,2,0)</f>
        <v>ZTE2003</v>
      </c>
      <c r="M158" s="225" t="str">
        <f>_xlfn.XLOOKUP(Logfile_S12[[#This Row],[Material Name]],Sum_WH!E:E,Sum_WH!F:F,"",0)</f>
        <v>Meter</v>
      </c>
      <c r="N158" s="221">
        <v>3000</v>
      </c>
      <c r="O158" s="221">
        <v>0</v>
      </c>
      <c r="P158" s="221" t="s">
        <v>3223</v>
      </c>
      <c r="Q158" s="221"/>
      <c r="R158" s="221"/>
      <c r="S158" s="221"/>
      <c r="T158" s="221" t="s">
        <v>3500</v>
      </c>
      <c r="U158" s="221">
        <v>0</v>
      </c>
      <c r="V158" s="221">
        <v>0</v>
      </c>
      <c r="W158" s="221">
        <v>0</v>
      </c>
      <c r="X158" s="221"/>
      <c r="Y158" s="227"/>
      <c r="Z158" s="227" t="str">
        <f t="shared" si="8"/>
        <v>Transfer Gudang</v>
      </c>
      <c r="AA158" s="276" t="e">
        <f>VLOOKUP(Logfile_S12[[#This Row],[DO number]],DO_DB!G:I,3,0)</f>
        <v>#N/A</v>
      </c>
      <c r="AB158" s="331" t="e">
        <f>EXACT(Logfile_S12[[#This Row],[date pick]],Logfile_S12[[#This Row],[Date]])</f>
        <v>#N/A</v>
      </c>
      <c r="AC1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59" spans="1:29" ht="14.5" hidden="1">
      <c r="A159" s="237" t="str">
        <f t="shared" si="6"/>
        <v>155</v>
      </c>
      <c r="B159" s="221"/>
      <c r="C159" s="221" t="s">
        <v>3388</v>
      </c>
      <c r="D159" s="221" t="s">
        <v>3984</v>
      </c>
      <c r="E159" s="221" t="s">
        <v>3295</v>
      </c>
      <c r="F159" s="221" t="s">
        <v>3299</v>
      </c>
      <c r="G159" s="222">
        <v>45372</v>
      </c>
      <c r="H159" s="223">
        <v>0.87569444444444444</v>
      </c>
      <c r="I159" s="221" t="s">
        <v>4916</v>
      </c>
      <c r="J159" s="221" t="s">
        <v>3023</v>
      </c>
      <c r="K159" s="224" t="s">
        <v>3075</v>
      </c>
      <c r="L159" s="225" t="str">
        <f>VLOOKUP(Logfile_S12[[#This Row],[Material Name]],Sheet2!B:C,2,0)</f>
        <v>ZTE2003</v>
      </c>
      <c r="M159" s="225" t="str">
        <f>_xlfn.XLOOKUP(Logfile_S12[[#This Row],[Material Name]],Sum_WH!E:E,Sum_WH!F:F,"",0)</f>
        <v>Meter</v>
      </c>
      <c r="N159" s="221">
        <v>3000</v>
      </c>
      <c r="O159" s="221">
        <v>0</v>
      </c>
      <c r="P159" s="221" t="s">
        <v>3223</v>
      </c>
      <c r="Q159" s="221"/>
      <c r="R159" s="227"/>
      <c r="S159" s="227"/>
      <c r="T159" s="221" t="s">
        <v>3500</v>
      </c>
      <c r="U159" s="221">
        <v>0</v>
      </c>
      <c r="V159" s="221">
        <v>0</v>
      </c>
      <c r="W159" s="221">
        <v>0</v>
      </c>
      <c r="X159" s="221"/>
      <c r="Y159" s="238"/>
      <c r="Z159" s="227" t="str">
        <f t="shared" si="8"/>
        <v>Transfer Gudang</v>
      </c>
      <c r="AA159" s="276" t="e">
        <f>VLOOKUP(Logfile_S12[[#This Row],[DO number]],DO_DB!G:I,3,0)</f>
        <v>#N/A</v>
      </c>
      <c r="AB159" s="331" t="e">
        <f>EXACT(Logfile_S12[[#This Row],[date pick]],Logfile_S12[[#This Row],[Date]])</f>
        <v>#N/A</v>
      </c>
      <c r="AC1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60" spans="1:29" ht="14.5" hidden="1">
      <c r="A160" s="220" t="str">
        <f t="shared" si="6"/>
        <v>156</v>
      </c>
      <c r="B160" s="221"/>
      <c r="C160" s="221" t="s">
        <v>48</v>
      </c>
      <c r="D160" s="221" t="s">
        <v>3986</v>
      </c>
      <c r="E160" s="221" t="s">
        <v>3295</v>
      </c>
      <c r="F160" s="221" t="s">
        <v>3299</v>
      </c>
      <c r="G160" s="222">
        <v>45374</v>
      </c>
      <c r="H160" s="223">
        <v>15.291666666666666</v>
      </c>
      <c r="I160" s="221" t="s">
        <v>37</v>
      </c>
      <c r="J160" s="221" t="s">
        <v>3023</v>
      </c>
      <c r="K160" s="224" t="s">
        <v>3073</v>
      </c>
      <c r="L160" s="225" t="str">
        <f>VLOOKUP(Logfile_S12[[#This Row],[Material Name]],Sheet2!B:C,2,0)</f>
        <v>ZTE2001</v>
      </c>
      <c r="M160" s="225" t="str">
        <f>_xlfn.XLOOKUP(Logfile_S12[[#This Row],[Material Name]],Sum_WH!E:E,Sum_WH!F:F,"",0)</f>
        <v>Meter</v>
      </c>
      <c r="N160" s="221">
        <v>3000</v>
      </c>
      <c r="O160" s="221" t="s">
        <v>1099</v>
      </c>
      <c r="P160" s="221" t="s">
        <v>1100</v>
      </c>
      <c r="Q160" s="221" t="s">
        <v>1209</v>
      </c>
      <c r="R160" s="221" t="s">
        <v>1210</v>
      </c>
      <c r="S160" s="221"/>
      <c r="T160" s="221"/>
      <c r="U160" s="221"/>
      <c r="V160" s="221"/>
      <c r="W160" s="221"/>
      <c r="X160" s="221"/>
      <c r="Y160" s="227" t="s">
        <v>4998</v>
      </c>
      <c r="Z160" s="227" t="str">
        <f t="shared" si="8"/>
        <v>Dalisodo RW 03 Wagir</v>
      </c>
      <c r="AA160" s="276">
        <f>VLOOKUP(Logfile_S12[[#This Row],[DO number]],DO_DB!G:I,3,0)</f>
        <v>45374</v>
      </c>
      <c r="AB160" s="331" t="b">
        <f>EXACT(Logfile_S12[[#This Row],[date pick]],Logfile_S12[[#This Row],[Date]])</f>
        <v>1</v>
      </c>
      <c r="AC1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24C-2024323-01</v>
      </c>
    </row>
    <row r="161" spans="1:29" ht="14.5" hidden="1">
      <c r="A161" s="220" t="str">
        <f t="shared" si="6"/>
        <v>157</v>
      </c>
      <c r="B161" s="221"/>
      <c r="C161" s="221" t="s">
        <v>48</v>
      </c>
      <c r="D161" s="221" t="s">
        <v>3986</v>
      </c>
      <c r="E161" s="221" t="s">
        <v>3295</v>
      </c>
      <c r="F161" s="221" t="s">
        <v>3299</v>
      </c>
      <c r="G161" s="222">
        <v>45374</v>
      </c>
      <c r="H161" s="223">
        <v>15.291666666666666</v>
      </c>
      <c r="I161" s="221" t="s">
        <v>37</v>
      </c>
      <c r="J161" s="221" t="s">
        <v>3023</v>
      </c>
      <c r="K161" s="224" t="s">
        <v>3073</v>
      </c>
      <c r="L161" s="225" t="str">
        <f>VLOOKUP(Logfile_S12[[#This Row],[Material Name]],Sheet2!B:C,2,0)</f>
        <v>ZTE2001</v>
      </c>
      <c r="M161" s="225" t="str">
        <f>_xlfn.XLOOKUP(Logfile_S12[[#This Row],[Material Name]],Sum_WH!E:E,Sum_WH!F:F,"",0)</f>
        <v>Meter</v>
      </c>
      <c r="N161" s="221">
        <v>3000</v>
      </c>
      <c r="O161" s="221" t="s">
        <v>1109</v>
      </c>
      <c r="P161" s="221" t="s">
        <v>1110</v>
      </c>
      <c r="Q161" s="221" t="s">
        <v>1211</v>
      </c>
      <c r="R161" s="221" t="s">
        <v>1212</v>
      </c>
      <c r="S161" s="221"/>
      <c r="T161" s="221"/>
      <c r="U161" s="221"/>
      <c r="V161" s="221"/>
      <c r="W161" s="221"/>
      <c r="X161" s="221"/>
      <c r="Y161" s="227" t="s">
        <v>4999</v>
      </c>
      <c r="Z161" s="227" t="str">
        <f t="shared" si="8"/>
        <v>Dalisodo RW 05 Wagir</v>
      </c>
      <c r="AA161" s="276">
        <f>VLOOKUP(Logfile_S12[[#This Row],[DO number]],DO_DB!G:I,3,0)</f>
        <v>45374</v>
      </c>
      <c r="AB161" s="331" t="b">
        <f>EXACT(Logfile_S12[[#This Row],[date pick]],Logfile_S12[[#This Row],[Date]])</f>
        <v>1</v>
      </c>
      <c r="AC1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24C-2024323-02</v>
      </c>
    </row>
    <row r="162" spans="1:29" ht="14.5" hidden="1">
      <c r="A162" s="220" t="str">
        <f t="shared" si="6"/>
        <v>158</v>
      </c>
      <c r="B162" s="221"/>
      <c r="C162" s="221" t="s">
        <v>49</v>
      </c>
      <c r="D162" s="221" t="s">
        <v>3988</v>
      </c>
      <c r="E162" s="221" t="s">
        <v>3295</v>
      </c>
      <c r="F162" s="221" t="s">
        <v>3299</v>
      </c>
      <c r="G162" s="222">
        <v>45374</v>
      </c>
      <c r="H162" s="223">
        <v>0.76666666666666661</v>
      </c>
      <c r="I162" s="221" t="s">
        <v>4916</v>
      </c>
      <c r="J162" s="221" t="s">
        <v>3023</v>
      </c>
      <c r="K162" s="224" t="s">
        <v>3073</v>
      </c>
      <c r="L162" s="225" t="str">
        <f>VLOOKUP(Logfile_S12[[#This Row],[Material Name]],Sheet2!B:C,2,0)</f>
        <v>ZTE2001</v>
      </c>
      <c r="M162" s="225" t="str">
        <f>_xlfn.XLOOKUP(Logfile_S12[[#This Row],[Material Name]],Sum_WH!E:E,Sum_WH!F:F,"",0)</f>
        <v>Meter</v>
      </c>
      <c r="N162" s="221">
        <v>3000</v>
      </c>
      <c r="O162" s="221" t="s">
        <v>1087</v>
      </c>
      <c r="P162" s="221" t="s">
        <v>1088</v>
      </c>
      <c r="Q162" s="221"/>
      <c r="R162" s="221"/>
      <c r="S162" s="221"/>
      <c r="T162" s="221" t="s">
        <v>3258</v>
      </c>
      <c r="U162" s="221" t="s">
        <v>3228</v>
      </c>
      <c r="V162" s="221" t="s">
        <v>3337</v>
      </c>
      <c r="W162" s="221" t="s">
        <v>3338</v>
      </c>
      <c r="X162" s="221"/>
      <c r="Y162" s="227"/>
      <c r="Z162" s="227" t="str">
        <f t="shared" si="8"/>
        <v>Dalisodo RW 01 Wagir</v>
      </c>
      <c r="AA162" s="276" t="e">
        <f>VLOOKUP(Logfile_S12[[#This Row],[DO number]],DO_DB!G:I,3,0)</f>
        <v>#N/A</v>
      </c>
      <c r="AB162" s="331" t="e">
        <f>EXACT(Logfile_S12[[#This Row],[date pick]],Logfile_S12[[#This Row],[Date]])</f>
        <v>#N/A</v>
      </c>
      <c r="AC1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3" spans="1:29" ht="14.5" hidden="1">
      <c r="A163" s="237" t="str">
        <f t="shared" si="6"/>
        <v>159</v>
      </c>
      <c r="B163" s="221"/>
      <c r="C163" s="221" t="s">
        <v>49</v>
      </c>
      <c r="D163" s="221" t="s">
        <v>3988</v>
      </c>
      <c r="E163" s="221" t="s">
        <v>3295</v>
      </c>
      <c r="F163" s="221" t="s">
        <v>3299</v>
      </c>
      <c r="G163" s="222">
        <v>45374</v>
      </c>
      <c r="H163" s="223">
        <v>0.76666666666666661</v>
      </c>
      <c r="I163" s="221" t="s">
        <v>4916</v>
      </c>
      <c r="J163" s="221" t="s">
        <v>3023</v>
      </c>
      <c r="K163" s="224" t="s">
        <v>3073</v>
      </c>
      <c r="L163" s="225" t="str">
        <f>VLOOKUP(Logfile_S12[[#This Row],[Material Name]],Sheet2!B:C,2,0)</f>
        <v>ZTE2001</v>
      </c>
      <c r="M163" s="225" t="str">
        <f>_xlfn.XLOOKUP(Logfile_S12[[#This Row],[Material Name]],Sum_WH!E:E,Sum_WH!F:F,"",0)</f>
        <v>Meter</v>
      </c>
      <c r="N163" s="221">
        <v>3000</v>
      </c>
      <c r="O163" s="221" t="s">
        <v>1087</v>
      </c>
      <c r="P163" s="221" t="s">
        <v>1088</v>
      </c>
      <c r="Q163" s="221"/>
      <c r="R163" s="227"/>
      <c r="S163" s="227"/>
      <c r="T163" s="221" t="s">
        <v>3258</v>
      </c>
      <c r="U163" s="221" t="s">
        <v>3228</v>
      </c>
      <c r="V163" s="221" t="s">
        <v>3337</v>
      </c>
      <c r="W163" s="221" t="s">
        <v>3338</v>
      </c>
      <c r="X163" s="221"/>
      <c r="Y163" s="238"/>
      <c r="Z163" s="227" t="str">
        <f t="shared" si="8"/>
        <v>Dalisodo RW 01 Wagir</v>
      </c>
      <c r="AA163" s="276" t="e">
        <f>VLOOKUP(Logfile_S12[[#This Row],[DO number]],DO_DB!G:I,3,0)</f>
        <v>#N/A</v>
      </c>
      <c r="AB163" s="331" t="e">
        <f>EXACT(Logfile_S12[[#This Row],[date pick]],Logfile_S12[[#This Row],[Date]])</f>
        <v>#N/A</v>
      </c>
      <c r="AC1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4" spans="1:29" ht="14.5" hidden="1">
      <c r="A164" s="237" t="str">
        <f t="shared" si="6"/>
        <v>160</v>
      </c>
      <c r="B164" s="221"/>
      <c r="C164" s="227" t="s">
        <v>3313</v>
      </c>
      <c r="D164" s="227" t="s">
        <v>5252</v>
      </c>
      <c r="E164" s="227" t="s">
        <v>3295</v>
      </c>
      <c r="F164" s="227" t="s">
        <v>3299</v>
      </c>
      <c r="G164" s="239">
        <v>45381</v>
      </c>
      <c r="H164" s="240">
        <v>0.25</v>
      </c>
      <c r="I164" s="227" t="s">
        <v>3586</v>
      </c>
      <c r="J164" s="482" t="s">
        <v>4432</v>
      </c>
      <c r="K164" s="241" t="s">
        <v>3073</v>
      </c>
      <c r="L164" s="225" t="str">
        <f>VLOOKUP(Logfile_S12[[#This Row],[Material Name]],Sheet2!B:C,2,0)</f>
        <v>ZTE2001</v>
      </c>
      <c r="M164" s="242" t="s">
        <v>20</v>
      </c>
      <c r="N164" s="227">
        <v>1879</v>
      </c>
      <c r="O164" s="227"/>
      <c r="P164" s="227"/>
      <c r="Q164" s="227"/>
      <c r="R164" s="227"/>
      <c r="S164" s="227"/>
      <c r="T164" s="227"/>
      <c r="U164" s="227"/>
      <c r="V164" s="227"/>
      <c r="W164" s="227"/>
      <c r="X164" s="227"/>
      <c r="Y164" s="238" t="s">
        <v>5247</v>
      </c>
      <c r="Z164" s="238">
        <f t="shared" si="8"/>
        <v>0</v>
      </c>
      <c r="AA164" s="276" t="e">
        <f>VLOOKUP(Logfile_S12[[#This Row],[DO number]],DO_DB!G:I,3,0)</f>
        <v>#N/A</v>
      </c>
      <c r="AB164" s="332" t="e">
        <f>EXACT(Logfile_S12[[#This Row],[date pick]],Logfile_S12[[#This Row],[Date]])</f>
        <v>#N/A</v>
      </c>
      <c r="AC16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24C-2024330-01</v>
      </c>
    </row>
    <row r="165" spans="1:29" ht="14.5" hidden="1">
      <c r="A165" s="220" t="str">
        <f t="shared" si="6"/>
        <v>161</v>
      </c>
      <c r="B165" s="221"/>
      <c r="C165" s="221" t="s">
        <v>3313</v>
      </c>
      <c r="D165" s="221" t="s">
        <v>4002</v>
      </c>
      <c r="E165" s="221" t="s">
        <v>3295</v>
      </c>
      <c r="F165" s="221" t="s">
        <v>3299</v>
      </c>
      <c r="G165" s="222">
        <v>45385</v>
      </c>
      <c r="H165" s="223">
        <v>15.291666666666666</v>
      </c>
      <c r="I165" s="221" t="s">
        <v>37</v>
      </c>
      <c r="J165" s="221" t="s">
        <v>3023</v>
      </c>
      <c r="K165" s="224" t="s">
        <v>3077</v>
      </c>
      <c r="L165" s="225" t="str">
        <f>VLOOKUP(Logfile_S12[[#This Row],[Material Name]],Sheet2!B:C,2,0)</f>
        <v>ZTE2004</v>
      </c>
      <c r="M165" s="225" t="str">
        <f>_xlfn.XLOOKUP(Logfile_S12[[#This Row],[Material Name]],Sum_WH!E:E,Sum_WH!F:F,"",0)</f>
        <v>Meter</v>
      </c>
      <c r="N165" s="221">
        <v>3000</v>
      </c>
      <c r="O165" s="221" t="s">
        <v>3314</v>
      </c>
      <c r="P165" s="221">
        <v>0</v>
      </c>
      <c r="Q165" s="221">
        <v>0</v>
      </c>
      <c r="R165" s="221" t="s">
        <v>3147</v>
      </c>
      <c r="S165" s="221"/>
      <c r="T165" s="221"/>
      <c r="U165" s="221"/>
      <c r="V165" s="221"/>
      <c r="W165" s="221"/>
      <c r="X165" s="221"/>
      <c r="Y165" s="236" t="s">
        <v>4968</v>
      </c>
      <c r="Z165" s="227">
        <f t="shared" si="8"/>
        <v>0</v>
      </c>
      <c r="AA165" s="276" t="e">
        <f>VLOOKUP(Logfile_S12[[#This Row],[DO number]],DO_DB!G:I,3,0)</f>
        <v>#N/A</v>
      </c>
      <c r="AB165" s="331" t="e">
        <f>EXACT(Logfile_S12[[#This Row],[date pick]],Logfile_S12[[#This Row],[Date]])</f>
        <v>#N/A</v>
      </c>
      <c r="AC1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144C-202443-01</v>
      </c>
    </row>
    <row r="166" spans="1:29" ht="14.5" hidden="1">
      <c r="A166" s="237" t="str">
        <f t="shared" si="6"/>
        <v>162</v>
      </c>
      <c r="B166" s="221"/>
      <c r="C166" s="221" t="s">
        <v>3313</v>
      </c>
      <c r="D166" s="221" t="s">
        <v>4002</v>
      </c>
      <c r="E166" s="221" t="s">
        <v>3295</v>
      </c>
      <c r="F166" s="221" t="s">
        <v>3299</v>
      </c>
      <c r="G166" s="222">
        <v>45385</v>
      </c>
      <c r="H166" s="223">
        <v>15.291666666666666</v>
      </c>
      <c r="I166" s="221" t="s">
        <v>37</v>
      </c>
      <c r="J166" s="221" t="s">
        <v>3023</v>
      </c>
      <c r="K166" s="224" t="s">
        <v>3077</v>
      </c>
      <c r="L166" s="225" t="str">
        <f>VLOOKUP(Logfile_S12[[#This Row],[Material Name]],Sheet2!B:C,2,0)</f>
        <v>ZTE2004</v>
      </c>
      <c r="M166" s="225" t="s">
        <v>20</v>
      </c>
      <c r="N166" s="221">
        <v>3000</v>
      </c>
      <c r="O166" s="221" t="s">
        <v>3314</v>
      </c>
      <c r="P166" s="221">
        <v>0</v>
      </c>
      <c r="Q166" s="221">
        <v>0</v>
      </c>
      <c r="R166" s="221" t="s">
        <v>3147</v>
      </c>
      <c r="S166" s="227"/>
      <c r="T166" s="227"/>
      <c r="U166" s="227"/>
      <c r="V166" s="227"/>
      <c r="W166" s="227"/>
      <c r="X166" s="227"/>
      <c r="Y166" s="243" t="s">
        <v>4969</v>
      </c>
      <c r="Z166" s="227">
        <f t="shared" si="8"/>
        <v>0</v>
      </c>
      <c r="AA166" s="276" t="e">
        <f>VLOOKUP(Logfile_S12[[#This Row],[DO number]],DO_DB!G:I,3,0)</f>
        <v>#N/A</v>
      </c>
      <c r="AB166" s="331" t="e">
        <f>EXACT(Logfile_S12[[#This Row],[date pick]],Logfile_S12[[#This Row],[Date]])</f>
        <v>#N/A</v>
      </c>
      <c r="AC1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144C-202443-02</v>
      </c>
    </row>
    <row r="167" spans="1:29" ht="14.5" hidden="1">
      <c r="A167" s="220" t="str">
        <f t="shared" si="6"/>
        <v>163</v>
      </c>
      <c r="B167" s="221"/>
      <c r="C167" s="221" t="s">
        <v>49</v>
      </c>
      <c r="D167" s="221" t="s">
        <v>4005</v>
      </c>
      <c r="E167" s="221" t="s">
        <v>3295</v>
      </c>
      <c r="F167" s="221" t="s">
        <v>3299</v>
      </c>
      <c r="G167" s="222">
        <v>45386</v>
      </c>
      <c r="H167" s="223">
        <v>0.65208333333333335</v>
      </c>
      <c r="I167" s="221" t="s">
        <v>4916</v>
      </c>
      <c r="J167" s="221" t="s">
        <v>3023</v>
      </c>
      <c r="K167" s="224" t="s">
        <v>3073</v>
      </c>
      <c r="L167" s="225" t="str">
        <f>VLOOKUP(Logfile_S12[[#This Row],[Material Name]],Sheet2!B:C,2,0)</f>
        <v>ZTE2001</v>
      </c>
      <c r="M167" s="225" t="str">
        <f>_xlfn.XLOOKUP(Logfile_S12[[#This Row],[Material Name]],Sum_WH!E:E,Sum_WH!F:F,"",0)</f>
        <v>Meter</v>
      </c>
      <c r="N167" s="221">
        <v>3000</v>
      </c>
      <c r="O167" s="221" t="s">
        <v>1151</v>
      </c>
      <c r="P167" s="221" t="s">
        <v>1152</v>
      </c>
      <c r="Q167" s="221"/>
      <c r="R167" s="221"/>
      <c r="S167" s="221"/>
      <c r="T167" s="221" t="s">
        <v>3363</v>
      </c>
      <c r="U167" s="221" t="s">
        <v>3228</v>
      </c>
      <c r="V167" s="221" t="s">
        <v>3364</v>
      </c>
      <c r="W167" s="221" t="s">
        <v>3365</v>
      </c>
      <c r="X167" s="221"/>
      <c r="Y167" s="227"/>
      <c r="Z167" s="227" t="str">
        <f t="shared" si="8"/>
        <v>Tunjungtirto RW 08 Singosari</v>
      </c>
      <c r="AA167" s="276" t="e">
        <f>VLOOKUP(Logfile_S12[[#This Row],[DO number]],DO_DB!G:I,3,0)</f>
        <v>#N/A</v>
      </c>
      <c r="AB167" s="331" t="e">
        <f>EXACT(Logfile_S12[[#This Row],[date pick]],Logfile_S12[[#This Row],[Date]])</f>
        <v>#N/A</v>
      </c>
      <c r="AC1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8" spans="1:29" ht="14.5" hidden="1">
      <c r="A168" s="220" t="str">
        <f t="shared" si="6"/>
        <v>164</v>
      </c>
      <c r="B168" s="221"/>
      <c r="C168" s="221" t="s">
        <v>3429</v>
      </c>
      <c r="D168" s="221" t="s">
        <v>4010</v>
      </c>
      <c r="E168" s="221" t="s">
        <v>3295</v>
      </c>
      <c r="F168" s="221" t="s">
        <v>3299</v>
      </c>
      <c r="G168" s="222">
        <v>45401</v>
      </c>
      <c r="H168" s="223">
        <v>15.291666666666666</v>
      </c>
      <c r="I168" s="221" t="s">
        <v>3193</v>
      </c>
      <c r="J168" s="221" t="s">
        <v>3023</v>
      </c>
      <c r="K168" s="224" t="s">
        <v>3073</v>
      </c>
      <c r="L168" s="225" t="str">
        <f>VLOOKUP(Logfile_S12[[#This Row],[Material Name]],Sheet2!B:C,2,0)</f>
        <v>ZTE2001</v>
      </c>
      <c r="M168" s="225" t="str">
        <f>_xlfn.XLOOKUP(Logfile_S12[[#This Row],[Material Name]],Sum_WH!E:E,Sum_WH!F:F,"",0)</f>
        <v>Meter</v>
      </c>
      <c r="N168" s="221">
        <v>4000</v>
      </c>
      <c r="O168" s="221" t="s">
        <v>4011</v>
      </c>
      <c r="P168" s="221" t="s">
        <v>3502</v>
      </c>
      <c r="Q168" s="221">
        <v>0</v>
      </c>
      <c r="R168" s="221" t="s">
        <v>3147</v>
      </c>
      <c r="S168" s="221"/>
      <c r="T168" s="221"/>
      <c r="U168" s="221"/>
      <c r="V168" s="221"/>
      <c r="W168" s="221"/>
      <c r="X168" s="221" t="s">
        <v>3502</v>
      </c>
      <c r="Y168" s="236" t="s">
        <v>5091</v>
      </c>
      <c r="Z168" s="227" t="str">
        <f t="shared" si="8"/>
        <v>FH 2 HASBEL @4000</v>
      </c>
      <c r="AA168" s="276" t="e">
        <f>VLOOKUP(Logfile_S12[[#This Row],[DO number]],DO_DB!G:I,3,0)</f>
        <v>#N/A</v>
      </c>
      <c r="AB168" s="331" t="e">
        <f>EXACT(Logfile_S12[[#This Row],[date pick]],Logfile_S12[[#This Row],[Date]])</f>
        <v>#N/A</v>
      </c>
      <c r="AC1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24C-2024419-01</v>
      </c>
    </row>
    <row r="169" spans="1:29" ht="14.5" hidden="1">
      <c r="A169" s="237" t="str">
        <f t="shared" si="6"/>
        <v>165</v>
      </c>
      <c r="B169" s="221"/>
      <c r="C169" s="221" t="s">
        <v>3429</v>
      </c>
      <c r="D169" s="221" t="s">
        <v>4010</v>
      </c>
      <c r="E169" s="221" t="s">
        <v>3295</v>
      </c>
      <c r="F169" s="221" t="s">
        <v>3299</v>
      </c>
      <c r="G169" s="222">
        <v>45401</v>
      </c>
      <c r="H169" s="223">
        <v>15.291666666666666</v>
      </c>
      <c r="I169" s="221" t="s">
        <v>3193</v>
      </c>
      <c r="J169" s="221" t="s">
        <v>3023</v>
      </c>
      <c r="K169" s="224" t="s">
        <v>3073</v>
      </c>
      <c r="L169" s="225" t="str">
        <f>VLOOKUP(Logfile_S12[[#This Row],[Material Name]],Sheet2!B:C,2,0)</f>
        <v>ZTE2001</v>
      </c>
      <c r="M169" s="225" t="str">
        <f>_xlfn.XLOOKUP(Logfile_S12[[#This Row],[Material Name]],Sum_WH!E:E,Sum_WH!F:F,"",0)</f>
        <v>Meter</v>
      </c>
      <c r="N169" s="221">
        <v>4000</v>
      </c>
      <c r="O169" s="221" t="s">
        <v>4011</v>
      </c>
      <c r="P169" s="221" t="s">
        <v>3502</v>
      </c>
      <c r="Q169" s="227"/>
      <c r="R169" s="227"/>
      <c r="S169" s="227"/>
      <c r="T169" s="227"/>
      <c r="U169" s="227"/>
      <c r="V169" s="227"/>
      <c r="W169" s="227"/>
      <c r="X169" s="227"/>
      <c r="Y169" s="238" t="s">
        <v>5092</v>
      </c>
      <c r="Z169" s="227" t="str">
        <f t="shared" si="8"/>
        <v>FH 2 HASBEL @4000</v>
      </c>
      <c r="AA169" s="276" t="e">
        <f>VLOOKUP(Logfile_S12[[#This Row],[DO number]],DO_DB!G:I,3,0)</f>
        <v>#N/A</v>
      </c>
      <c r="AB169" s="331" t="e">
        <f>EXACT(Logfile_S12[[#This Row],[date pick]],Logfile_S12[[#This Row],[Date]])</f>
        <v>#N/A</v>
      </c>
      <c r="AC1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24C-2024419-02</v>
      </c>
    </row>
    <row r="170" spans="1:29" ht="14.5" hidden="1">
      <c r="A170" s="220" t="str">
        <f t="shared" si="6"/>
        <v>166</v>
      </c>
      <c r="B170" s="221"/>
      <c r="C170" s="221" t="s">
        <v>49</v>
      </c>
      <c r="D170" s="221" t="s">
        <v>4017</v>
      </c>
      <c r="E170" s="221" t="s">
        <v>3295</v>
      </c>
      <c r="F170" s="221" t="s">
        <v>3299</v>
      </c>
      <c r="G170" s="222">
        <v>45404</v>
      </c>
      <c r="H170" s="223">
        <v>0.77430555555555547</v>
      </c>
      <c r="I170" s="221" t="s">
        <v>4916</v>
      </c>
      <c r="J170" s="221" t="s">
        <v>3023</v>
      </c>
      <c r="K170" s="224" t="s">
        <v>3075</v>
      </c>
      <c r="L170" s="225" t="str">
        <f>VLOOKUP(Logfile_S12[[#This Row],[Material Name]],Sheet2!B:C,2,0)</f>
        <v>ZTE2003</v>
      </c>
      <c r="M170" s="225" t="str">
        <f>_xlfn.XLOOKUP(Logfile_S12[[#This Row],[Material Name]],Sum_WH!E:E,Sum_WH!F:F,"",0)</f>
        <v>Meter</v>
      </c>
      <c r="N170" s="221">
        <v>3000</v>
      </c>
      <c r="O170" s="221" t="s">
        <v>1081</v>
      </c>
      <c r="P170" s="221" t="s">
        <v>4018</v>
      </c>
      <c r="Q170" s="221"/>
      <c r="R170" s="221"/>
      <c r="S170" s="221"/>
      <c r="T170" s="221" t="s">
        <v>3258</v>
      </c>
      <c r="U170" s="221" t="s">
        <v>3228</v>
      </c>
      <c r="V170" s="221" t="s">
        <v>3337</v>
      </c>
      <c r="W170" s="221" t="s">
        <v>3338</v>
      </c>
      <c r="X170" s="221"/>
      <c r="Y170" s="227"/>
      <c r="Z170" s="227" t="str">
        <f t="shared" si="8"/>
        <v>Pandan Landung RW 01 Wagir</v>
      </c>
      <c r="AA170" s="276" t="e">
        <f>VLOOKUP(Logfile_S12[[#This Row],[DO number]],DO_DB!G:I,3,0)</f>
        <v>#N/A</v>
      </c>
      <c r="AB170" s="331" t="e">
        <f>EXACT(Logfile_S12[[#This Row],[date pick]],Logfile_S12[[#This Row],[Date]])</f>
        <v>#N/A</v>
      </c>
      <c r="AC1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1" spans="1:29" ht="14.5" hidden="1">
      <c r="A171" s="220" t="str">
        <f t="shared" si="6"/>
        <v>167</v>
      </c>
      <c r="B171" s="221"/>
      <c r="C171" s="221" t="s">
        <v>49</v>
      </c>
      <c r="D171" s="221" t="s">
        <v>4024</v>
      </c>
      <c r="E171" s="221" t="s">
        <v>3295</v>
      </c>
      <c r="F171" s="221" t="s">
        <v>3299</v>
      </c>
      <c r="G171" s="222">
        <v>45405</v>
      </c>
      <c r="H171" s="223">
        <v>0.71666666666666667</v>
      </c>
      <c r="I171" s="221" t="s">
        <v>4916</v>
      </c>
      <c r="J171" s="221" t="s">
        <v>3023</v>
      </c>
      <c r="K171" s="224" t="s">
        <v>3073</v>
      </c>
      <c r="L171" s="225" t="str">
        <f>VLOOKUP(Logfile_S12[[#This Row],[Material Name]],Sheet2!B:C,2,0)</f>
        <v>ZTE2001</v>
      </c>
      <c r="M171" s="225" t="str">
        <f>_xlfn.XLOOKUP(Logfile_S12[[#This Row],[Material Name]],Sum_WH!E:E,Sum_WH!F:F,"",0)</f>
        <v>Meter</v>
      </c>
      <c r="N171" s="221">
        <v>4000</v>
      </c>
      <c r="O171" s="221" t="s">
        <v>1295</v>
      </c>
      <c r="P171" s="221" t="s">
        <v>1296</v>
      </c>
      <c r="Q171" s="221"/>
      <c r="R171" s="221"/>
      <c r="S171" s="221"/>
      <c r="T171" s="221" t="s">
        <v>3258</v>
      </c>
      <c r="U171" s="221" t="s">
        <v>3228</v>
      </c>
      <c r="V171" s="221" t="s">
        <v>3337</v>
      </c>
      <c r="W171" s="221" t="s">
        <v>3338</v>
      </c>
      <c r="X171" s="221" t="s">
        <v>3503</v>
      </c>
      <c r="Y171" s="227"/>
      <c r="Z171" s="227" t="str">
        <f t="shared" si="8"/>
        <v>Pandanlandung RW 01 Wagir</v>
      </c>
      <c r="AA171" s="276" t="e">
        <f>VLOOKUP(Logfile_S12[[#This Row],[DO number]],DO_DB!G:I,3,0)</f>
        <v>#N/A</v>
      </c>
      <c r="AB171" s="331" t="e">
        <f>EXACT(Logfile_S12[[#This Row],[date pick]],Logfile_S12[[#This Row],[Date]])</f>
        <v>#N/A</v>
      </c>
      <c r="AC1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2" spans="1:29" ht="14.5" hidden="1">
      <c r="A172" s="237" t="str">
        <f t="shared" si="6"/>
        <v>168</v>
      </c>
      <c r="B172" s="221"/>
      <c r="C172" s="227" t="s">
        <v>48</v>
      </c>
      <c r="D172" s="227" t="s">
        <v>4985</v>
      </c>
      <c r="E172" s="227" t="s">
        <v>3295</v>
      </c>
      <c r="F172" s="227" t="s">
        <v>3299</v>
      </c>
      <c r="G172" s="239">
        <v>45424</v>
      </c>
      <c r="H172" s="240">
        <v>0.8125</v>
      </c>
      <c r="I172" s="227" t="s">
        <v>3586</v>
      </c>
      <c r="J172" s="482" t="s">
        <v>4432</v>
      </c>
      <c r="K172" s="241" t="s">
        <v>3077</v>
      </c>
      <c r="L172" s="225" t="str">
        <f>VLOOKUP(Logfile_S12[[#This Row],[Material Name]],Sheet2!B:C,2,0)</f>
        <v>ZTE2004</v>
      </c>
      <c r="M172" s="242" t="s">
        <v>20</v>
      </c>
      <c r="N172" s="227">
        <v>150</v>
      </c>
      <c r="O172" s="227" t="s">
        <v>1967</v>
      </c>
      <c r="P172" s="227" t="s">
        <v>3396</v>
      </c>
      <c r="Q172" s="227"/>
      <c r="R172" s="227"/>
      <c r="S172" s="227"/>
      <c r="T172" s="227" t="s">
        <v>3258</v>
      </c>
      <c r="U172" s="227" t="s">
        <v>3228</v>
      </c>
      <c r="V172" s="227" t="s">
        <v>3337</v>
      </c>
      <c r="W172" s="227" t="s">
        <v>3338</v>
      </c>
      <c r="X172" s="227"/>
      <c r="Y172" s="238" t="s">
        <v>4968</v>
      </c>
      <c r="Z172" s="238" t="str">
        <f t="shared" si="8"/>
        <v>HUBFEEDER DALISODO</v>
      </c>
      <c r="AA172" s="276" t="e">
        <f>VLOOKUP(Logfile_S12[[#This Row],[DO number]],DO_DB!G:I,3,0)</f>
        <v>#N/A</v>
      </c>
      <c r="AB172" s="332" t="e">
        <f>EXACT(Logfile_S12[[#This Row],[date pick]],Logfile_S12[[#This Row],[Date]])</f>
        <v>#N/A</v>
      </c>
      <c r="AC17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144C-202443-01</v>
      </c>
    </row>
    <row r="173" spans="1:29" ht="14.5" hidden="1">
      <c r="A173" s="220" t="str">
        <f t="shared" si="6"/>
        <v>169</v>
      </c>
      <c r="B173" s="221"/>
      <c r="C173" s="221" t="s">
        <v>49</v>
      </c>
      <c r="D173" s="221" t="s">
        <v>4040</v>
      </c>
      <c r="E173" s="221" t="s">
        <v>3295</v>
      </c>
      <c r="F173" s="221" t="s">
        <v>3299</v>
      </c>
      <c r="G173" s="222">
        <v>45424</v>
      </c>
      <c r="H173" s="223">
        <v>0.8125</v>
      </c>
      <c r="I173" s="221" t="s">
        <v>4916</v>
      </c>
      <c r="J173" s="221" t="s">
        <v>3023</v>
      </c>
      <c r="K173" s="224" t="s">
        <v>3077</v>
      </c>
      <c r="L173" s="225" t="str">
        <f>VLOOKUP(Logfile_S12[[#This Row],[Material Name]],Sheet2!B:C,2,0)</f>
        <v>ZTE2004</v>
      </c>
      <c r="M173" s="225" t="str">
        <f>_xlfn.XLOOKUP(Logfile_S12[[#This Row],[Material Name]],Sum_WH!E:E,Sum_WH!F:F,"",0)</f>
        <v>Meter</v>
      </c>
      <c r="N173" s="221">
        <v>3000</v>
      </c>
      <c r="O173" s="221" t="s">
        <v>1967</v>
      </c>
      <c r="P173" s="221" t="s">
        <v>3396</v>
      </c>
      <c r="Q173" s="221"/>
      <c r="R173" s="221"/>
      <c r="S173" s="221"/>
      <c r="T173" s="221" t="s">
        <v>3258</v>
      </c>
      <c r="U173" s="221" t="s">
        <v>3228</v>
      </c>
      <c r="V173" s="221" t="s">
        <v>3337</v>
      </c>
      <c r="W173" s="221" t="s">
        <v>3338</v>
      </c>
      <c r="X173" s="221"/>
      <c r="Y173" s="236" t="s">
        <v>4968</v>
      </c>
      <c r="Z173" s="227" t="str">
        <f t="shared" si="8"/>
        <v>HUBFEEDER DALISODO</v>
      </c>
      <c r="AA173" s="276" t="e">
        <f>VLOOKUP(Logfile_S12[[#This Row],[DO number]],DO_DB!G:I,3,0)</f>
        <v>#N/A</v>
      </c>
      <c r="AB173" s="331" t="e">
        <f>EXACT(Logfile_S12[[#This Row],[date pick]],Logfile_S12[[#This Row],[Date]])</f>
        <v>#N/A</v>
      </c>
      <c r="AC1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144C-202443-01</v>
      </c>
    </row>
    <row r="174" spans="1:29" ht="14.5" hidden="1">
      <c r="A174" s="220" t="str">
        <f t="shared" si="6"/>
        <v>170</v>
      </c>
      <c r="B174" s="221"/>
      <c r="C174" s="221" t="s">
        <v>49</v>
      </c>
      <c r="D174" s="221" t="s">
        <v>4041</v>
      </c>
      <c r="E174" s="221" t="s">
        <v>3295</v>
      </c>
      <c r="F174" s="221" t="s">
        <v>3299</v>
      </c>
      <c r="G174" s="222">
        <v>45426</v>
      </c>
      <c r="H174" s="223">
        <v>0.58958333333333335</v>
      </c>
      <c r="I174" s="221" t="s">
        <v>4916</v>
      </c>
      <c r="J174" s="221" t="s">
        <v>3023</v>
      </c>
      <c r="K174" s="224" t="s">
        <v>3077</v>
      </c>
      <c r="L174" s="225" t="str">
        <f>VLOOKUP(Logfile_S12[[#This Row],[Material Name]],Sheet2!B:C,2,0)</f>
        <v>ZTE2004</v>
      </c>
      <c r="M174" s="225" t="str">
        <f>_xlfn.XLOOKUP(Logfile_S12[[#This Row],[Material Name]],Sum_WH!E:E,Sum_WH!F:F,"",0)</f>
        <v>Meter</v>
      </c>
      <c r="N174" s="221">
        <v>3000</v>
      </c>
      <c r="O174" s="221" t="s">
        <v>1967</v>
      </c>
      <c r="P174" s="221" t="s">
        <v>3396</v>
      </c>
      <c r="Q174" s="221"/>
      <c r="R174" s="221"/>
      <c r="S174" s="221"/>
      <c r="T174" s="221" t="s">
        <v>3258</v>
      </c>
      <c r="U174" s="221" t="s">
        <v>3228</v>
      </c>
      <c r="V174" s="221" t="s">
        <v>3337</v>
      </c>
      <c r="W174" s="221" t="s">
        <v>3338</v>
      </c>
      <c r="X174" s="221"/>
      <c r="Y174" s="236" t="s">
        <v>4969</v>
      </c>
      <c r="Z174" s="227" t="str">
        <f t="shared" si="8"/>
        <v>HUBFEEDER DALISODO</v>
      </c>
      <c r="AA174" s="276" t="e">
        <f>VLOOKUP(Logfile_S12[[#This Row],[DO number]],DO_DB!G:I,3,0)</f>
        <v>#N/A</v>
      </c>
      <c r="AB174" s="331" t="e">
        <f>EXACT(Logfile_S12[[#This Row],[date pick]],Logfile_S12[[#This Row],[Date]])</f>
        <v>#N/A</v>
      </c>
      <c r="AC1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144C-202443-02</v>
      </c>
    </row>
    <row r="175" spans="1:29" ht="14.5" hidden="1">
      <c r="A175" s="220" t="str">
        <f t="shared" si="6"/>
        <v>171</v>
      </c>
      <c r="B175" s="221"/>
      <c r="C175" s="221" t="s">
        <v>48</v>
      </c>
      <c r="D175" s="221" t="s">
        <v>4048</v>
      </c>
      <c r="E175" s="221" t="s">
        <v>3295</v>
      </c>
      <c r="F175" s="221" t="s">
        <v>3299</v>
      </c>
      <c r="G175" s="222">
        <v>45432</v>
      </c>
      <c r="H175" s="223">
        <v>15.291666666666666</v>
      </c>
      <c r="I175" s="221" t="s">
        <v>37</v>
      </c>
      <c r="J175" s="221" t="s">
        <v>3023</v>
      </c>
      <c r="K175" s="224" t="s">
        <v>3073</v>
      </c>
      <c r="L175" s="225" t="str">
        <f>VLOOKUP(Logfile_S12[[#This Row],[Material Name]],Sheet2!B:C,2,0)</f>
        <v>ZTE2001</v>
      </c>
      <c r="M175" s="225" t="str">
        <f>_xlfn.XLOOKUP(Logfile_S12[[#This Row],[Material Name]],Sum_WH!E:E,Sum_WH!F:F,"",0)</f>
        <v>Meter</v>
      </c>
      <c r="N175" s="221">
        <v>3000</v>
      </c>
      <c r="O175" s="221" t="s">
        <v>1391</v>
      </c>
      <c r="P175" s="221" t="s">
        <v>1392</v>
      </c>
      <c r="Q175" s="221" t="s">
        <v>1393</v>
      </c>
      <c r="R175" s="221" t="s">
        <v>1394</v>
      </c>
      <c r="S175" s="221"/>
      <c r="T175" s="221"/>
      <c r="U175" s="221"/>
      <c r="V175" s="221"/>
      <c r="W175" s="221"/>
      <c r="X175" s="221"/>
      <c r="Y175" s="227" t="s">
        <v>5000</v>
      </c>
      <c r="Z175" s="227" t="str">
        <f t="shared" si="8"/>
        <v>Klampok RW 01 Singosari</v>
      </c>
      <c r="AA175" s="276">
        <f>VLOOKUP(Logfile_S12[[#This Row],[DO number]],DO_DB!G:I,3,0)</f>
        <v>45432</v>
      </c>
      <c r="AB175" s="331" t="b">
        <f>EXACT(Logfile_S12[[#This Row],[date pick]],Logfile_S12[[#This Row],[Date]])</f>
        <v>1</v>
      </c>
      <c r="AC1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24C-2024520-01</v>
      </c>
    </row>
    <row r="176" spans="1:29" ht="14.5" hidden="1">
      <c r="A176" s="220" t="str">
        <f t="shared" si="6"/>
        <v>172</v>
      </c>
      <c r="B176" s="221"/>
      <c r="C176" s="221" t="s">
        <v>48</v>
      </c>
      <c r="D176" s="221" t="s">
        <v>4048</v>
      </c>
      <c r="E176" s="221" t="s">
        <v>3295</v>
      </c>
      <c r="F176" s="221" t="s">
        <v>3299</v>
      </c>
      <c r="G176" s="222">
        <v>45432</v>
      </c>
      <c r="H176" s="223">
        <v>15.291666666666666</v>
      </c>
      <c r="I176" s="221" t="s">
        <v>37</v>
      </c>
      <c r="J176" s="221" t="s">
        <v>3023</v>
      </c>
      <c r="K176" s="224" t="s">
        <v>3073</v>
      </c>
      <c r="L176" s="225" t="str">
        <f>VLOOKUP(Logfile_S12[[#This Row],[Material Name]],Sheet2!B:C,2,0)</f>
        <v>ZTE2001</v>
      </c>
      <c r="M176" s="225" t="str">
        <f>_xlfn.XLOOKUP(Logfile_S12[[#This Row],[Material Name]],Sum_WH!E:E,Sum_WH!F:F,"",0)</f>
        <v>Meter</v>
      </c>
      <c r="N176" s="221">
        <v>3000</v>
      </c>
      <c r="O176" s="221" t="s">
        <v>1405</v>
      </c>
      <c r="P176" s="221" t="s">
        <v>1406</v>
      </c>
      <c r="Q176" s="221" t="s">
        <v>1411</v>
      </c>
      <c r="R176" s="221" t="s">
        <v>1412</v>
      </c>
      <c r="S176" s="221"/>
      <c r="T176" s="221"/>
      <c r="U176" s="221"/>
      <c r="V176" s="221"/>
      <c r="W176" s="221"/>
      <c r="X176" s="221"/>
      <c r="Y176" s="227" t="s">
        <v>5001</v>
      </c>
      <c r="Z176" s="227" t="str">
        <f t="shared" si="8"/>
        <v>Lawang RW 06 Malang</v>
      </c>
      <c r="AA176" s="276">
        <f>VLOOKUP(Logfile_S12[[#This Row],[DO number]],DO_DB!G:I,3,0)</f>
        <v>45432</v>
      </c>
      <c r="AB176" s="331" t="b">
        <f>EXACT(Logfile_S12[[#This Row],[date pick]],Logfile_S12[[#This Row],[Date]])</f>
        <v>1</v>
      </c>
      <c r="AC1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24C-2024520-02</v>
      </c>
    </row>
    <row r="177" spans="1:29" ht="14.5" hidden="1">
      <c r="A177" s="220" t="str">
        <f t="shared" si="6"/>
        <v>173</v>
      </c>
      <c r="B177" s="221"/>
      <c r="C177" s="221" t="s">
        <v>49</v>
      </c>
      <c r="D177" s="221" t="s">
        <v>4055</v>
      </c>
      <c r="E177" s="221" t="s">
        <v>3295</v>
      </c>
      <c r="F177" s="221" t="s">
        <v>3299</v>
      </c>
      <c r="G177" s="222">
        <v>45433</v>
      </c>
      <c r="H177" s="223">
        <v>0.37708333333333338</v>
      </c>
      <c r="I177" s="221" t="s">
        <v>4916</v>
      </c>
      <c r="J177" s="221" t="s">
        <v>3023</v>
      </c>
      <c r="K177" s="224" t="s">
        <v>3073</v>
      </c>
      <c r="L177" s="225" t="str">
        <f>VLOOKUP(Logfile_S12[[#This Row],[Material Name]],Sheet2!B:C,2,0)</f>
        <v>ZTE2001</v>
      </c>
      <c r="M177" s="225" t="str">
        <f>_xlfn.XLOOKUP(Logfile_S12[[#This Row],[Material Name]],Sum_WH!E:E,Sum_WH!F:F,"",0)</f>
        <v>Meter</v>
      </c>
      <c r="N177" s="221">
        <v>4000</v>
      </c>
      <c r="O177" s="221" t="s">
        <v>1405</v>
      </c>
      <c r="P177" s="221" t="s">
        <v>1406</v>
      </c>
      <c r="Q177" s="221"/>
      <c r="R177" s="221"/>
      <c r="S177" s="221"/>
      <c r="T177" s="221" t="s">
        <v>3258</v>
      </c>
      <c r="U177" s="221" t="s">
        <v>3228</v>
      </c>
      <c r="V177" s="221" t="s">
        <v>3337</v>
      </c>
      <c r="W177" s="221" t="s">
        <v>3338</v>
      </c>
      <c r="X177" s="221" t="s">
        <v>3504</v>
      </c>
      <c r="Y177" s="236" t="s">
        <v>5091</v>
      </c>
      <c r="Z177" s="227" t="str">
        <f t="shared" ref="Z177:Z202" si="9">P177</f>
        <v>Lawang RW 06 Malang</v>
      </c>
      <c r="AA177" s="276" t="e">
        <f>VLOOKUP(Logfile_S12[[#This Row],[DO number]],DO_DB!G:I,3,0)</f>
        <v>#N/A</v>
      </c>
      <c r="AB177" s="331" t="e">
        <f>EXACT(Logfile_S12[[#This Row],[date pick]],Logfile_S12[[#This Row],[Date]])</f>
        <v>#N/A</v>
      </c>
      <c r="AC1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24C-2024419-01</v>
      </c>
    </row>
    <row r="178" spans="1:29" ht="14.5" hidden="1">
      <c r="A178" s="220" t="str">
        <f t="shared" si="6"/>
        <v>174</v>
      </c>
      <c r="B178" s="221"/>
      <c r="C178" s="221" t="s">
        <v>3313</v>
      </c>
      <c r="D178" s="221" t="s">
        <v>4051</v>
      </c>
      <c r="E178" s="221" t="s">
        <v>3295</v>
      </c>
      <c r="F178" s="221" t="s">
        <v>3299</v>
      </c>
      <c r="G178" s="222">
        <v>45433</v>
      </c>
      <c r="H178" s="223">
        <v>15.291666666666666</v>
      </c>
      <c r="I178" s="221" t="s">
        <v>37</v>
      </c>
      <c r="J178" s="221" t="s">
        <v>3023</v>
      </c>
      <c r="K178" s="224" t="s">
        <v>3075</v>
      </c>
      <c r="L178" s="225" t="str">
        <f>VLOOKUP(Logfile_S12[[#This Row],[Material Name]],Sheet2!B:C,2,0)</f>
        <v>ZTE2003</v>
      </c>
      <c r="M178" s="225" t="str">
        <f>_xlfn.XLOOKUP(Logfile_S12[[#This Row],[Material Name]],Sum_WH!E:E,Sum_WH!F:F,"",0)</f>
        <v>Meter</v>
      </c>
      <c r="N178" s="221">
        <v>3000</v>
      </c>
      <c r="O178" s="221" t="s">
        <v>3314</v>
      </c>
      <c r="P178" s="221">
        <v>0</v>
      </c>
      <c r="Q178" s="221">
        <v>0</v>
      </c>
      <c r="R178" s="221" t="s">
        <v>3147</v>
      </c>
      <c r="S178" s="221"/>
      <c r="T178" s="221"/>
      <c r="U178" s="221"/>
      <c r="V178" s="221"/>
      <c r="W178" s="221"/>
      <c r="X178" s="221"/>
      <c r="Y178" s="227" t="s">
        <v>5102</v>
      </c>
      <c r="Z178" s="227">
        <f t="shared" si="9"/>
        <v>0</v>
      </c>
      <c r="AA178" s="276" t="e">
        <f>VLOOKUP(Logfile_S12[[#This Row],[DO number]],DO_DB!G:I,3,0)</f>
        <v>#N/A</v>
      </c>
      <c r="AB178" s="331" t="e">
        <f>EXACT(Logfile_S12[[#This Row],[date pick]],Logfile_S12[[#This Row],[Date]])</f>
        <v>#N/A</v>
      </c>
      <c r="AC1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48C-2024521-01</v>
      </c>
    </row>
    <row r="179" spans="1:29" ht="14.5" hidden="1">
      <c r="A179" s="220" t="str">
        <f t="shared" si="6"/>
        <v>175</v>
      </c>
      <c r="B179" s="221"/>
      <c r="C179" s="221" t="s">
        <v>49</v>
      </c>
      <c r="D179" s="221" t="s">
        <v>4064</v>
      </c>
      <c r="E179" s="221" t="s">
        <v>3295</v>
      </c>
      <c r="F179" s="221" t="s">
        <v>3299</v>
      </c>
      <c r="G179" s="222">
        <v>45437</v>
      </c>
      <c r="H179" s="223">
        <v>0.40277777777777773</v>
      </c>
      <c r="I179" s="221" t="s">
        <v>4916</v>
      </c>
      <c r="J179" s="221" t="s">
        <v>3023</v>
      </c>
      <c r="K179" s="224" t="s">
        <v>3073</v>
      </c>
      <c r="L179" s="225" t="str">
        <f>VLOOKUP(Logfile_S12[[#This Row],[Material Name]],Sheet2!B:C,2,0)</f>
        <v>ZTE2001</v>
      </c>
      <c r="M179" s="225" t="str">
        <f>_xlfn.XLOOKUP(Logfile_S12[[#This Row],[Material Name]],Sum_WH!E:E,Sum_WH!F:F,"",0)</f>
        <v>Meter</v>
      </c>
      <c r="N179" s="221">
        <v>3000</v>
      </c>
      <c r="O179" s="221" t="s">
        <v>1469</v>
      </c>
      <c r="P179" s="221" t="s">
        <v>1470</v>
      </c>
      <c r="Q179" s="221"/>
      <c r="R179" s="221"/>
      <c r="S179" s="221"/>
      <c r="T179" s="221" t="s">
        <v>3258</v>
      </c>
      <c r="U179" s="221" t="s">
        <v>3228</v>
      </c>
      <c r="V179" s="221" t="s">
        <v>3337</v>
      </c>
      <c r="W179" s="221" t="s">
        <v>3338</v>
      </c>
      <c r="X179" s="221" t="s">
        <v>3505</v>
      </c>
      <c r="Y179" s="227"/>
      <c r="Z179" s="227" t="str">
        <f t="shared" si="9"/>
        <v>Dusun Klaseman Kucur</v>
      </c>
      <c r="AA179" s="276" t="e">
        <f>VLOOKUP(Logfile_S12[[#This Row],[DO number]],DO_DB!G:I,3,0)</f>
        <v>#N/A</v>
      </c>
      <c r="AB179" s="331" t="e">
        <f>EXACT(Logfile_S12[[#This Row],[date pick]],Logfile_S12[[#This Row],[Date]])</f>
        <v>#N/A</v>
      </c>
      <c r="AC1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0" spans="1:29" ht="14.5" hidden="1">
      <c r="A180" s="220" t="str">
        <f t="shared" si="6"/>
        <v>176</v>
      </c>
      <c r="B180" s="221"/>
      <c r="C180" s="221" t="s">
        <v>49</v>
      </c>
      <c r="D180" s="221" t="s">
        <v>4065</v>
      </c>
      <c r="E180" s="221" t="s">
        <v>3295</v>
      </c>
      <c r="F180" s="221" t="s">
        <v>3299</v>
      </c>
      <c r="G180" s="222">
        <v>45439</v>
      </c>
      <c r="H180" s="223">
        <v>0.79166666666666663</v>
      </c>
      <c r="I180" s="221" t="s">
        <v>4916</v>
      </c>
      <c r="J180" s="221" t="s">
        <v>3023</v>
      </c>
      <c r="K180" s="224" t="s">
        <v>3073</v>
      </c>
      <c r="L180" s="225" t="str">
        <f>VLOOKUP(Logfile_S12[[#This Row],[Material Name]],Sheet2!B:C,2,0)</f>
        <v>ZTE2001</v>
      </c>
      <c r="M180" s="225" t="str">
        <f>_xlfn.XLOOKUP(Logfile_S12[[#This Row],[Material Name]],Sum_WH!E:E,Sum_WH!F:F,"",0)</f>
        <v>Meter</v>
      </c>
      <c r="N180" s="221">
        <v>3000</v>
      </c>
      <c r="O180" s="221" t="s">
        <v>1493</v>
      </c>
      <c r="P180" s="221" t="s">
        <v>1494</v>
      </c>
      <c r="Q180" s="221"/>
      <c r="R180" s="221"/>
      <c r="S180" s="221"/>
      <c r="T180" s="221" t="s">
        <v>3258</v>
      </c>
      <c r="U180" s="221" t="s">
        <v>3228</v>
      </c>
      <c r="V180" s="221" t="s">
        <v>3337</v>
      </c>
      <c r="W180" s="221" t="s">
        <v>3338</v>
      </c>
      <c r="X180" s="221" t="s">
        <v>3612</v>
      </c>
      <c r="Y180" s="227"/>
      <c r="Z180" s="227" t="str">
        <f t="shared" si="9"/>
        <v>Dusun Krajan Kucur</v>
      </c>
      <c r="AA180" s="276" t="e">
        <f>VLOOKUP(Logfile_S12[[#This Row],[DO number]],DO_DB!G:I,3,0)</f>
        <v>#N/A</v>
      </c>
      <c r="AB180" s="331" t="e">
        <f>EXACT(Logfile_S12[[#This Row],[date pick]],Logfile_S12[[#This Row],[Date]])</f>
        <v>#N/A</v>
      </c>
      <c r="AC1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1" spans="1:29" ht="14.5" hidden="1">
      <c r="A181" s="220" t="str">
        <f t="shared" si="6"/>
        <v>177</v>
      </c>
      <c r="B181" s="221"/>
      <c r="C181" s="221" t="s">
        <v>49</v>
      </c>
      <c r="D181" s="221" t="s">
        <v>4065</v>
      </c>
      <c r="E181" s="221" t="s">
        <v>3295</v>
      </c>
      <c r="F181" s="221" t="s">
        <v>3299</v>
      </c>
      <c r="G181" s="222">
        <v>45439</v>
      </c>
      <c r="H181" s="223">
        <v>0.79166666666666663</v>
      </c>
      <c r="I181" s="221" t="s">
        <v>4916</v>
      </c>
      <c r="J181" s="221" t="s">
        <v>3023</v>
      </c>
      <c r="K181" s="224" t="s">
        <v>3075</v>
      </c>
      <c r="L181" s="225" t="str">
        <f>VLOOKUP(Logfile_S12[[#This Row],[Material Name]],Sheet2!B:C,2,0)</f>
        <v>ZTE2003</v>
      </c>
      <c r="M181" s="225" t="str">
        <f>_xlfn.XLOOKUP(Logfile_S12[[#This Row],[Material Name]],Sum_WH!E:E,Sum_WH!F:F,"",0)</f>
        <v>Meter</v>
      </c>
      <c r="N181" s="221">
        <v>3000</v>
      </c>
      <c r="O181" s="221" t="s">
        <v>1493</v>
      </c>
      <c r="P181" s="221" t="s">
        <v>1474</v>
      </c>
      <c r="Q181" s="221"/>
      <c r="R181" s="221"/>
      <c r="S181" s="221"/>
      <c r="T181" s="221" t="s">
        <v>3258</v>
      </c>
      <c r="U181" s="221" t="s">
        <v>3228</v>
      </c>
      <c r="V181" s="221" t="s">
        <v>3337</v>
      </c>
      <c r="W181" s="221" t="s">
        <v>3338</v>
      </c>
      <c r="X181" s="221" t="s">
        <v>3556</v>
      </c>
      <c r="Y181" s="227"/>
      <c r="Z181" s="227" t="str">
        <f t="shared" si="9"/>
        <v>Dusun Sumber Bendo Kucur</v>
      </c>
      <c r="AA181" s="276" t="e">
        <f>VLOOKUP(Logfile_S12[[#This Row],[DO number]],DO_DB!G:I,3,0)</f>
        <v>#N/A</v>
      </c>
      <c r="AB181" s="331" t="e">
        <f>EXACT(Logfile_S12[[#This Row],[date pick]],Logfile_S12[[#This Row],[Date]])</f>
        <v>#N/A</v>
      </c>
      <c r="AC1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2" spans="1:29" ht="14.5" hidden="1">
      <c r="A182" s="220" t="str">
        <f t="shared" si="6"/>
        <v>178</v>
      </c>
      <c r="B182" s="221"/>
      <c r="C182" s="221" t="s">
        <v>49</v>
      </c>
      <c r="D182" s="221" t="s">
        <v>4065</v>
      </c>
      <c r="E182" s="221" t="s">
        <v>3295</v>
      </c>
      <c r="F182" s="221" t="s">
        <v>3299</v>
      </c>
      <c r="G182" s="222">
        <v>45439</v>
      </c>
      <c r="H182" s="223">
        <v>0.79166666666666663</v>
      </c>
      <c r="I182" s="221" t="s">
        <v>4916</v>
      </c>
      <c r="J182" s="221" t="s">
        <v>3023</v>
      </c>
      <c r="K182" s="224" t="s">
        <v>3075</v>
      </c>
      <c r="L182" s="225" t="str">
        <f>VLOOKUP(Logfile_S12[[#This Row],[Material Name]],Sheet2!B:C,2,0)</f>
        <v>ZTE2003</v>
      </c>
      <c r="M182" s="225" t="str">
        <f>_xlfn.XLOOKUP(Logfile_S12[[#This Row],[Material Name]],Sum_WH!E:E,Sum_WH!F:F,"",0)</f>
        <v>Meter</v>
      </c>
      <c r="N182" s="221">
        <v>3000</v>
      </c>
      <c r="O182" s="221" t="s">
        <v>1493</v>
      </c>
      <c r="P182" s="221" t="s">
        <v>1494</v>
      </c>
      <c r="Q182" s="221"/>
      <c r="R182" s="221"/>
      <c r="S182" s="221"/>
      <c r="T182" s="221" t="s">
        <v>3258</v>
      </c>
      <c r="U182" s="221" t="s">
        <v>3228</v>
      </c>
      <c r="V182" s="221" t="s">
        <v>3337</v>
      </c>
      <c r="W182" s="221" t="s">
        <v>3338</v>
      </c>
      <c r="X182" s="221" t="s">
        <v>3557</v>
      </c>
      <c r="Y182" s="227"/>
      <c r="Z182" s="227" t="str">
        <f t="shared" si="9"/>
        <v>Dusun Krajan Kucur</v>
      </c>
      <c r="AA182" s="276" t="e">
        <f>VLOOKUP(Logfile_S12[[#This Row],[DO number]],DO_DB!G:I,3,0)</f>
        <v>#N/A</v>
      </c>
      <c r="AB182" s="331" t="e">
        <f>EXACT(Logfile_S12[[#This Row],[date pick]],Logfile_S12[[#This Row],[Date]])</f>
        <v>#N/A</v>
      </c>
      <c r="AC1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3" spans="1:29" ht="14.5" hidden="1">
      <c r="A183" s="220" t="str">
        <f t="shared" si="6"/>
        <v>179</v>
      </c>
      <c r="B183" s="221"/>
      <c r="C183" s="221" t="s">
        <v>49</v>
      </c>
      <c r="D183" s="221" t="s">
        <v>4068</v>
      </c>
      <c r="E183" s="221" t="s">
        <v>3295</v>
      </c>
      <c r="F183" s="221" t="s">
        <v>3299</v>
      </c>
      <c r="G183" s="222">
        <v>45442</v>
      </c>
      <c r="H183" s="223">
        <v>0.47916666666666669</v>
      </c>
      <c r="I183" s="221" t="s">
        <v>4916</v>
      </c>
      <c r="J183" s="221" t="s">
        <v>3023</v>
      </c>
      <c r="K183" s="224" t="s">
        <v>3073</v>
      </c>
      <c r="L183" s="225" t="str">
        <f>VLOOKUP(Logfile_S12[[#This Row],[Material Name]],Sheet2!B:C,2,0)</f>
        <v>ZTE2001</v>
      </c>
      <c r="M183" s="225" t="str">
        <f>_xlfn.XLOOKUP(Logfile_S12[[#This Row],[Material Name]],Sum_WH!E:E,Sum_WH!F:F,"",0)</f>
        <v>Meter</v>
      </c>
      <c r="N183" s="221">
        <v>3000</v>
      </c>
      <c r="O183" s="221" t="s">
        <v>1477</v>
      </c>
      <c r="P183" s="221" t="s">
        <v>1478</v>
      </c>
      <c r="Q183" s="221"/>
      <c r="R183" s="221"/>
      <c r="S183" s="221"/>
      <c r="T183" s="221" t="s">
        <v>3258</v>
      </c>
      <c r="U183" s="221" t="s">
        <v>3228</v>
      </c>
      <c r="V183" s="221" t="s">
        <v>3337</v>
      </c>
      <c r="W183" s="221" t="s">
        <v>3338</v>
      </c>
      <c r="X183" s="221" t="s">
        <v>3506</v>
      </c>
      <c r="Y183" s="227"/>
      <c r="Z183" s="227" t="str">
        <f t="shared" si="9"/>
        <v>Dusun Ketohan Kucur</v>
      </c>
      <c r="AA183" s="276" t="e">
        <f>VLOOKUP(Logfile_S12[[#This Row],[DO number]],DO_DB!G:I,3,0)</f>
        <v>#N/A</v>
      </c>
      <c r="AB183" s="331" t="e">
        <f>EXACT(Logfile_S12[[#This Row],[date pick]],Logfile_S12[[#This Row],[Date]])</f>
        <v>#N/A</v>
      </c>
      <c r="AC1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4" spans="1:29" ht="14.5" hidden="1">
      <c r="A184" s="220" t="str">
        <f t="shared" si="6"/>
        <v>180</v>
      </c>
      <c r="B184" s="221"/>
      <c r="C184" s="221" t="s">
        <v>49</v>
      </c>
      <c r="D184" s="221" t="s">
        <v>4068</v>
      </c>
      <c r="E184" s="221" t="s">
        <v>3295</v>
      </c>
      <c r="F184" s="221" t="s">
        <v>3299</v>
      </c>
      <c r="G184" s="222">
        <v>45442</v>
      </c>
      <c r="H184" s="223">
        <v>0.47916666666666669</v>
      </c>
      <c r="I184" s="221" t="s">
        <v>4916</v>
      </c>
      <c r="J184" s="221" t="s">
        <v>3023</v>
      </c>
      <c r="K184" s="224" t="s">
        <v>3075</v>
      </c>
      <c r="L184" s="225" t="str">
        <f>VLOOKUP(Logfile_S12[[#This Row],[Material Name]],Sheet2!B:C,2,0)</f>
        <v>ZTE2003</v>
      </c>
      <c r="M184" s="225" t="str">
        <f>_xlfn.XLOOKUP(Logfile_S12[[#This Row],[Material Name]],Sum_WH!E:E,Sum_WH!F:F,"",0)</f>
        <v>Meter</v>
      </c>
      <c r="N184" s="221">
        <v>3000</v>
      </c>
      <c r="O184" s="221" t="s">
        <v>1465</v>
      </c>
      <c r="P184" s="221" t="s">
        <v>1466</v>
      </c>
      <c r="Q184" s="221"/>
      <c r="R184" s="221"/>
      <c r="S184" s="221"/>
      <c r="T184" s="221" t="s">
        <v>3258</v>
      </c>
      <c r="U184" s="221" t="s">
        <v>3228</v>
      </c>
      <c r="V184" s="221" t="s">
        <v>3337</v>
      </c>
      <c r="W184" s="221" t="s">
        <v>3338</v>
      </c>
      <c r="X184" s="221" t="s">
        <v>3562</v>
      </c>
      <c r="Y184" s="227"/>
      <c r="Z184" s="227" t="str">
        <f t="shared" si="9"/>
        <v>Dusun Klampok Kucur</v>
      </c>
      <c r="AA184" s="276" t="e">
        <f>VLOOKUP(Logfile_S12[[#This Row],[DO number]],DO_DB!G:I,3,0)</f>
        <v>#N/A</v>
      </c>
      <c r="AB184" s="331" t="e">
        <f>EXACT(Logfile_S12[[#This Row],[date pick]],Logfile_S12[[#This Row],[Date]])</f>
        <v>#N/A</v>
      </c>
      <c r="AC1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5" spans="1:29" ht="14.5" hidden="1">
      <c r="A185" s="220" t="str">
        <f t="shared" si="6"/>
        <v>181</v>
      </c>
      <c r="B185" s="221"/>
      <c r="C185" s="221" t="s">
        <v>48</v>
      </c>
      <c r="D185" s="221" t="s">
        <v>4070</v>
      </c>
      <c r="E185" s="221" t="s">
        <v>3295</v>
      </c>
      <c r="F185" s="221" t="s">
        <v>3299</v>
      </c>
      <c r="G185" s="222">
        <v>45443</v>
      </c>
      <c r="H185" s="223">
        <v>15.291666666666666</v>
      </c>
      <c r="I185" s="221" t="s">
        <v>37</v>
      </c>
      <c r="J185" s="221" t="s">
        <v>3023</v>
      </c>
      <c r="K185" s="224" t="s">
        <v>3075</v>
      </c>
      <c r="L185" s="225" t="str">
        <f>VLOOKUP(Logfile_S12[[#This Row],[Material Name]],Sheet2!B:C,2,0)</f>
        <v>ZTE2003</v>
      </c>
      <c r="M185" s="225" t="str">
        <f>_xlfn.XLOOKUP(Logfile_S12[[#This Row],[Material Name]],Sum_WH!E:E,Sum_WH!F:F,"",0)</f>
        <v>Meter</v>
      </c>
      <c r="N185" s="221">
        <v>3000</v>
      </c>
      <c r="O185" s="221" t="s">
        <v>1465</v>
      </c>
      <c r="P185" s="221" t="s">
        <v>1466</v>
      </c>
      <c r="Q185" s="221" t="s">
        <v>1467</v>
      </c>
      <c r="R185" s="221" t="s">
        <v>1468</v>
      </c>
      <c r="S185" s="221"/>
      <c r="T185" s="221"/>
      <c r="U185" s="221"/>
      <c r="V185" s="221"/>
      <c r="W185" s="221"/>
      <c r="X185" s="221"/>
      <c r="Y185" s="227" t="s">
        <v>5063</v>
      </c>
      <c r="Z185" s="227" t="str">
        <f t="shared" si="9"/>
        <v>Dusun Klampok Kucur</v>
      </c>
      <c r="AA185" s="276">
        <f>VLOOKUP(Logfile_S12[[#This Row],[DO number]],DO_DB!G:I,3,0)</f>
        <v>45443</v>
      </c>
      <c r="AB185" s="331" t="b">
        <f>EXACT(Logfile_S12[[#This Row],[date pick]],Logfile_S12[[#This Row],[Date]])</f>
        <v>1</v>
      </c>
      <c r="AC1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48C-202461-01</v>
      </c>
    </row>
    <row r="186" spans="1:29" ht="14.5" hidden="1">
      <c r="A186" s="237" t="str">
        <f t="shared" si="6"/>
        <v>182</v>
      </c>
      <c r="B186" s="221"/>
      <c r="C186" s="221" t="s">
        <v>48</v>
      </c>
      <c r="D186" s="221" t="s">
        <v>4070</v>
      </c>
      <c r="E186" s="221" t="s">
        <v>3295</v>
      </c>
      <c r="F186" s="221" t="s">
        <v>3299</v>
      </c>
      <c r="G186" s="222">
        <v>45443</v>
      </c>
      <c r="H186" s="223">
        <v>15.291666666666666</v>
      </c>
      <c r="I186" s="221" t="s">
        <v>37</v>
      </c>
      <c r="J186" s="221" t="s">
        <v>3023</v>
      </c>
      <c r="K186" s="224" t="s">
        <v>3075</v>
      </c>
      <c r="L186" s="225" t="str">
        <f>VLOOKUP(Logfile_S12[[#This Row],[Material Name]],Sheet2!B:C,2,0)</f>
        <v>ZTE2003</v>
      </c>
      <c r="M186" s="225" t="str">
        <f>_xlfn.XLOOKUP(Logfile_S12[[#This Row],[Material Name]],Sum_WH!E:E,Sum_WH!F:F,"",0)</f>
        <v>Meter</v>
      </c>
      <c r="N186" s="221">
        <v>3000</v>
      </c>
      <c r="O186" s="221" t="s">
        <v>1465</v>
      </c>
      <c r="P186" s="221" t="s">
        <v>1466</v>
      </c>
      <c r="Q186" s="221" t="s">
        <v>1467</v>
      </c>
      <c r="R186" s="221" t="s">
        <v>1468</v>
      </c>
      <c r="S186" s="227"/>
      <c r="T186" s="227"/>
      <c r="U186" s="227"/>
      <c r="V186" s="227"/>
      <c r="W186" s="227"/>
      <c r="X186" s="227"/>
      <c r="Y186" s="238" t="s">
        <v>5064</v>
      </c>
      <c r="Z186" s="227" t="str">
        <f t="shared" si="9"/>
        <v>Dusun Klampok Kucur</v>
      </c>
      <c r="AA186" s="276">
        <f>VLOOKUP(Logfile_S12[[#This Row],[DO number]],DO_DB!G:I,3,0)</f>
        <v>45443</v>
      </c>
      <c r="AB186" s="331" t="b">
        <f>EXACT(Logfile_S12[[#This Row],[date pick]],Logfile_S12[[#This Row],[Date]])</f>
        <v>1</v>
      </c>
      <c r="AC1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48C-202461-02</v>
      </c>
    </row>
    <row r="187" spans="1:29" ht="14.5" hidden="1">
      <c r="A187" s="220" t="str">
        <f t="shared" si="6"/>
        <v>183</v>
      </c>
      <c r="B187" s="221"/>
      <c r="C187" s="221" t="s">
        <v>3313</v>
      </c>
      <c r="D187" s="221" t="s">
        <v>4069</v>
      </c>
      <c r="E187" s="221" t="s">
        <v>3295</v>
      </c>
      <c r="F187" s="221" t="s">
        <v>3299</v>
      </c>
      <c r="G187" s="222">
        <v>45444</v>
      </c>
      <c r="H187" s="223">
        <v>15.291666666666666</v>
      </c>
      <c r="I187" s="221" t="s">
        <v>37</v>
      </c>
      <c r="J187" s="221" t="s">
        <v>3023</v>
      </c>
      <c r="K187" s="224" t="s">
        <v>3075</v>
      </c>
      <c r="L187" s="225" t="str">
        <f>VLOOKUP(Logfile_S12[[#This Row],[Material Name]],Sheet2!B:C,2,0)</f>
        <v>ZTE2003</v>
      </c>
      <c r="M187" s="225" t="str">
        <f>_xlfn.XLOOKUP(Logfile_S12[[#This Row],[Material Name]],Sum_WH!E:E,Sum_WH!F:F,"",0)</f>
        <v>Meter</v>
      </c>
      <c r="N187" s="221">
        <v>3000</v>
      </c>
      <c r="O187" s="221" t="s">
        <v>1465</v>
      </c>
      <c r="P187" s="221" t="s">
        <v>1466</v>
      </c>
      <c r="Q187" s="221">
        <v>0</v>
      </c>
      <c r="R187" s="221" t="s">
        <v>3147</v>
      </c>
      <c r="S187" s="221"/>
      <c r="T187" s="221"/>
      <c r="U187" s="221"/>
      <c r="V187" s="221"/>
      <c r="W187" s="221"/>
      <c r="X187" s="221"/>
      <c r="Y187" s="227" t="s">
        <v>5259</v>
      </c>
      <c r="Z187" s="227" t="str">
        <f t="shared" si="9"/>
        <v>Dusun Klampok Kucur</v>
      </c>
      <c r="AA187" s="276" t="e">
        <f>VLOOKUP(Logfile_S12[[#This Row],[DO number]],DO_DB!G:I,3,0)</f>
        <v>#N/A</v>
      </c>
      <c r="AB187" s="331" t="e">
        <f>EXACT(Logfile_S12[[#This Row],[date pick]],Logfile_S12[[#This Row],[Date]])</f>
        <v>#N/A</v>
      </c>
      <c r="AC1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48C-202461-03</v>
      </c>
    </row>
    <row r="188" spans="1:29" ht="14.5" hidden="1">
      <c r="A188" s="220" t="str">
        <f t="shared" si="6"/>
        <v>184</v>
      </c>
      <c r="B188" s="221"/>
      <c r="C188" s="221" t="s">
        <v>48</v>
      </c>
      <c r="D188" s="221" t="s">
        <v>4073</v>
      </c>
      <c r="E188" s="221" t="s">
        <v>3295</v>
      </c>
      <c r="F188" s="221" t="s">
        <v>3299</v>
      </c>
      <c r="G188" s="222">
        <v>45448</v>
      </c>
      <c r="H188" s="223">
        <v>15.291666666666666</v>
      </c>
      <c r="I188" s="221" t="s">
        <v>37</v>
      </c>
      <c r="J188" s="221" t="s">
        <v>3023</v>
      </c>
      <c r="K188" s="224" t="s">
        <v>3073</v>
      </c>
      <c r="L188" s="225" t="str">
        <f>VLOOKUP(Logfile_S12[[#This Row],[Material Name]],Sheet2!B:C,2,0)</f>
        <v>ZTE2001</v>
      </c>
      <c r="M188" s="225" t="str">
        <f>_xlfn.XLOOKUP(Logfile_S12[[#This Row],[Material Name]],Sum_WH!E:E,Sum_WH!F:F,"",0)</f>
        <v>Meter</v>
      </c>
      <c r="N188" s="227">
        <v>3000</v>
      </c>
      <c r="O188" s="221" t="s">
        <v>1485</v>
      </c>
      <c r="P188" s="221" t="s">
        <v>3538</v>
      </c>
      <c r="Q188" s="221"/>
      <c r="R188" s="221"/>
      <c r="S188" s="221"/>
      <c r="T188" s="221"/>
      <c r="U188" s="221"/>
      <c r="V188" s="221"/>
      <c r="W188" s="221"/>
      <c r="X188" s="221"/>
      <c r="Y188" s="227" t="s">
        <v>4949</v>
      </c>
      <c r="Z188" s="227" t="str">
        <f t="shared" si="9"/>
        <v>Dusun Godehan RW 10 Kucur</v>
      </c>
      <c r="AA188" s="276" t="e">
        <f>VLOOKUP(Logfile_S12[[#This Row],[DO number]],DO_DB!G:I,3,0)</f>
        <v>#N/A</v>
      </c>
      <c r="AB188" s="331" t="e">
        <f>EXACT(Logfile_S12[[#This Row],[date pick]],Logfile_S12[[#This Row],[Date]])</f>
        <v>#N/A</v>
      </c>
      <c r="AC1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24C-202465-01</v>
      </c>
    </row>
    <row r="189" spans="1:29" ht="14.5" hidden="1">
      <c r="A189" s="237" t="str">
        <f t="shared" si="6"/>
        <v>185</v>
      </c>
      <c r="B189" s="221"/>
      <c r="C189" s="227" t="s">
        <v>48</v>
      </c>
      <c r="D189" s="227" t="s">
        <v>4073</v>
      </c>
      <c r="E189" s="227" t="s">
        <v>3295</v>
      </c>
      <c r="F189" s="227" t="s">
        <v>3299</v>
      </c>
      <c r="G189" s="239">
        <v>45448</v>
      </c>
      <c r="H189" s="240">
        <v>15.291666666666666</v>
      </c>
      <c r="I189" s="227" t="s">
        <v>37</v>
      </c>
      <c r="J189" s="227" t="s">
        <v>3023</v>
      </c>
      <c r="K189" s="241" t="s">
        <v>3073</v>
      </c>
      <c r="L189" s="225" t="str">
        <f>VLOOKUP(Logfile_S12[[#This Row],[Material Name]],Sheet2!B:C,2,0)</f>
        <v>ZTE2001</v>
      </c>
      <c r="M189" s="242" t="s">
        <v>20</v>
      </c>
      <c r="N189" s="227">
        <v>3000</v>
      </c>
      <c r="O189" s="227" t="s">
        <v>1485</v>
      </c>
      <c r="P189" s="227" t="s">
        <v>3538</v>
      </c>
      <c r="Q189" s="227"/>
      <c r="R189" s="227"/>
      <c r="S189" s="227"/>
      <c r="T189" s="227"/>
      <c r="U189" s="227"/>
      <c r="V189" s="227"/>
      <c r="W189" s="227"/>
      <c r="X189" s="227"/>
      <c r="Y189" s="227" t="s">
        <v>5002</v>
      </c>
      <c r="Z189" s="227" t="str">
        <f t="shared" si="9"/>
        <v>Dusun Godehan RW 10 Kucur</v>
      </c>
      <c r="AA189" s="276" t="e">
        <f>VLOOKUP(Logfile_S12[[#This Row],[DO number]],DO_DB!G:I,3,0)</f>
        <v>#N/A</v>
      </c>
      <c r="AB189" s="331" t="e">
        <f>EXACT(Logfile_S12[[#This Row],[date pick]],Logfile_S12[[#This Row],[Date]])</f>
        <v>#N/A</v>
      </c>
      <c r="AC1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24C-202465-02</v>
      </c>
    </row>
    <row r="190" spans="1:29" ht="14.5" hidden="1">
      <c r="A190" s="220" t="str">
        <f t="shared" si="6"/>
        <v>186</v>
      </c>
      <c r="B190" s="221"/>
      <c r="C190" s="221" t="s">
        <v>49</v>
      </c>
      <c r="D190" s="221" t="s">
        <v>4080</v>
      </c>
      <c r="E190" s="221" t="s">
        <v>3295</v>
      </c>
      <c r="F190" s="221" t="s">
        <v>3299</v>
      </c>
      <c r="G190" s="222">
        <v>45448</v>
      </c>
      <c r="H190" s="223">
        <v>0.74375000000000002</v>
      </c>
      <c r="I190" s="221" t="s">
        <v>4916</v>
      </c>
      <c r="J190" s="221" t="s">
        <v>3023</v>
      </c>
      <c r="K190" s="224" t="s">
        <v>3073</v>
      </c>
      <c r="L190" s="225" t="str">
        <f>VLOOKUP(Logfile_S12[[#This Row],[Material Name]],Sheet2!B:C,2,0)</f>
        <v>ZTE2001</v>
      </c>
      <c r="M190" s="225" t="str">
        <f>_xlfn.XLOOKUP(Logfile_S12[[#This Row],[Material Name]],Sum_WH!E:E,Sum_WH!F:F,"",0)</f>
        <v>Meter</v>
      </c>
      <c r="N190" s="221">
        <v>3000</v>
      </c>
      <c r="O190" s="221" t="s">
        <v>1473</v>
      </c>
      <c r="P190" s="221" t="s">
        <v>1474</v>
      </c>
      <c r="Q190" s="221"/>
      <c r="R190" s="221"/>
      <c r="S190" s="221"/>
      <c r="T190" s="221" t="s">
        <v>3258</v>
      </c>
      <c r="U190" s="221" t="s">
        <v>3228</v>
      </c>
      <c r="V190" s="221" t="s">
        <v>3337</v>
      </c>
      <c r="W190" s="221" t="s">
        <v>3507</v>
      </c>
      <c r="X190" s="221"/>
      <c r="Y190" s="227"/>
      <c r="Z190" s="227" t="str">
        <f t="shared" si="9"/>
        <v>Dusun Sumber Bendo Kucur</v>
      </c>
      <c r="AA190" s="276" t="e">
        <f>VLOOKUP(Logfile_S12[[#This Row],[DO number]],DO_DB!G:I,3,0)</f>
        <v>#N/A</v>
      </c>
      <c r="AB190" s="331" t="e">
        <f>EXACT(Logfile_S12[[#This Row],[date pick]],Logfile_S12[[#This Row],[Date]])</f>
        <v>#N/A</v>
      </c>
      <c r="AC1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1" spans="1:29" ht="14.5" hidden="1">
      <c r="A191" s="220" t="str">
        <f t="shared" si="6"/>
        <v>187</v>
      </c>
      <c r="B191" s="221"/>
      <c r="C191" s="221" t="s">
        <v>49</v>
      </c>
      <c r="D191" s="221" t="s">
        <v>4080</v>
      </c>
      <c r="E191" s="221" t="s">
        <v>3295</v>
      </c>
      <c r="F191" s="221" t="s">
        <v>3299</v>
      </c>
      <c r="G191" s="222">
        <v>45448</v>
      </c>
      <c r="H191" s="223">
        <v>0.74375000000000002</v>
      </c>
      <c r="I191" s="221" t="s">
        <v>4916</v>
      </c>
      <c r="J191" s="221" t="s">
        <v>3023</v>
      </c>
      <c r="K191" s="224" t="s">
        <v>3073</v>
      </c>
      <c r="L191" s="225" t="str">
        <f>VLOOKUP(Logfile_S12[[#This Row],[Material Name]],Sheet2!B:C,2,0)</f>
        <v>ZTE2001</v>
      </c>
      <c r="M191" s="225" t="str">
        <f>_xlfn.XLOOKUP(Logfile_S12[[#This Row],[Material Name]],Sum_WH!E:E,Sum_WH!F:F,"",0)</f>
        <v>Meter</v>
      </c>
      <c r="N191" s="221">
        <v>3000</v>
      </c>
      <c r="O191" s="221" t="s">
        <v>1481</v>
      </c>
      <c r="P191" s="221" t="s">
        <v>3508</v>
      </c>
      <c r="Q191" s="221"/>
      <c r="R191" s="221"/>
      <c r="S191" s="221"/>
      <c r="T191" s="221" t="s">
        <v>3258</v>
      </c>
      <c r="U191" s="221" t="s">
        <v>3228</v>
      </c>
      <c r="V191" s="221" t="s">
        <v>3337</v>
      </c>
      <c r="W191" s="221" t="s">
        <v>3507</v>
      </c>
      <c r="X191" s="221"/>
      <c r="Y191" s="227"/>
      <c r="Z191" s="227" t="str">
        <f t="shared" si="9"/>
        <v>Dusun Turi Kucur</v>
      </c>
      <c r="AA191" s="276" t="e">
        <f>VLOOKUP(Logfile_S12[[#This Row],[DO number]],DO_DB!G:I,3,0)</f>
        <v>#N/A</v>
      </c>
      <c r="AB191" s="331" t="e">
        <f>EXACT(Logfile_S12[[#This Row],[date pick]],Logfile_S12[[#This Row],[Date]])</f>
        <v>#N/A</v>
      </c>
      <c r="AC1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2" spans="1:29" ht="14.5" hidden="1">
      <c r="A192" s="220" t="str">
        <f t="shared" si="6"/>
        <v>188</v>
      </c>
      <c r="B192" s="221"/>
      <c r="C192" s="221" t="s">
        <v>3449</v>
      </c>
      <c r="D192" s="221" t="s">
        <v>4076</v>
      </c>
      <c r="E192" s="221" t="s">
        <v>3295</v>
      </c>
      <c r="F192" s="221" t="s">
        <v>3299</v>
      </c>
      <c r="G192" s="222">
        <v>45448</v>
      </c>
      <c r="H192" s="223">
        <v>0.74375000000000002</v>
      </c>
      <c r="I192" s="221" t="s">
        <v>3193</v>
      </c>
      <c r="J192" s="221" t="s">
        <v>3023</v>
      </c>
      <c r="K192" s="224" t="s">
        <v>3075</v>
      </c>
      <c r="L192" s="225" t="str">
        <f>VLOOKUP(Logfile_S12[[#This Row],[Material Name]],Sheet2!B:C,2,0)</f>
        <v>ZTE2003</v>
      </c>
      <c r="M192" s="225" t="str">
        <f>_xlfn.XLOOKUP(Logfile_S12[[#This Row],[Material Name]],Sum_WH!E:E,Sum_WH!F:F,"",0)</f>
        <v>Meter</v>
      </c>
      <c r="N192" s="221">
        <v>3000</v>
      </c>
      <c r="O192" s="221" t="s">
        <v>4926</v>
      </c>
      <c r="P192" s="221" t="s">
        <v>3478</v>
      </c>
      <c r="Q192" s="221"/>
      <c r="R192" s="221"/>
      <c r="S192" s="221"/>
      <c r="T192" s="221" t="s">
        <v>3258</v>
      </c>
      <c r="U192" s="221" t="s">
        <v>3228</v>
      </c>
      <c r="V192" s="221" t="s">
        <v>3337</v>
      </c>
      <c r="W192" s="221" t="s">
        <v>3507</v>
      </c>
      <c r="X192" s="221" t="s">
        <v>3563</v>
      </c>
      <c r="Y192" s="227"/>
      <c r="Z192" s="227" t="str">
        <f t="shared" si="9"/>
        <v>MORASHA</v>
      </c>
      <c r="AA192" s="276" t="e">
        <f>VLOOKUP(Logfile_S12[[#This Row],[DO number]],DO_DB!G:I,3,0)</f>
        <v>#N/A</v>
      </c>
      <c r="AB192" s="331" t="e">
        <f>EXACT(Logfile_S12[[#This Row],[date pick]],Logfile_S12[[#This Row],[Date]])</f>
        <v>#N/A</v>
      </c>
      <c r="AC1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93" spans="1:29" ht="14.5" hidden="1">
      <c r="A193" s="237" t="str">
        <f t="shared" si="6"/>
        <v>189</v>
      </c>
      <c r="B193" s="221"/>
      <c r="C193" s="221" t="s">
        <v>3449</v>
      </c>
      <c r="D193" s="221" t="s">
        <v>4076</v>
      </c>
      <c r="E193" s="221" t="s">
        <v>3295</v>
      </c>
      <c r="F193" s="221" t="s">
        <v>3299</v>
      </c>
      <c r="G193" s="222">
        <v>45448</v>
      </c>
      <c r="H193" s="223">
        <v>0.74375000000000002</v>
      </c>
      <c r="I193" s="221" t="s">
        <v>3193</v>
      </c>
      <c r="J193" s="221" t="s">
        <v>3023</v>
      </c>
      <c r="K193" s="224" t="s">
        <v>3075</v>
      </c>
      <c r="L193" s="225" t="str">
        <f>VLOOKUP(Logfile_S12[[#This Row],[Material Name]],Sheet2!B:C,2,0)</f>
        <v>ZTE2003</v>
      </c>
      <c r="M193" s="225" t="str">
        <f>_xlfn.XLOOKUP(Logfile_S12[[#This Row],[Material Name]],Sum_WH!E:E,Sum_WH!F:F,"",0)</f>
        <v>Meter</v>
      </c>
      <c r="N193" s="221">
        <v>3000</v>
      </c>
      <c r="O193" s="221" t="s">
        <v>4926</v>
      </c>
      <c r="P193" s="221" t="s">
        <v>3478</v>
      </c>
      <c r="Q193" s="221"/>
      <c r="R193" s="227"/>
      <c r="S193" s="227"/>
      <c r="T193" s="221" t="s">
        <v>3258</v>
      </c>
      <c r="U193" s="221" t="s">
        <v>3228</v>
      </c>
      <c r="V193" s="221" t="s">
        <v>3337</v>
      </c>
      <c r="W193" s="221" t="s">
        <v>3507</v>
      </c>
      <c r="X193" s="221" t="s">
        <v>3563</v>
      </c>
      <c r="Y193" s="238"/>
      <c r="Z193" s="227" t="str">
        <f t="shared" si="9"/>
        <v>MORASHA</v>
      </c>
      <c r="AA193" s="276" t="e">
        <f>VLOOKUP(Logfile_S12[[#This Row],[DO number]],DO_DB!G:I,3,0)</f>
        <v>#N/A</v>
      </c>
      <c r="AB193" s="331" t="e">
        <f>EXACT(Logfile_S12[[#This Row],[date pick]],Logfile_S12[[#This Row],[Date]])</f>
        <v>#N/A</v>
      </c>
      <c r="AC1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94" spans="1:29" ht="14.5" hidden="1">
      <c r="A194" s="237" t="str">
        <f t="shared" si="6"/>
        <v>190</v>
      </c>
      <c r="B194" s="221"/>
      <c r="C194" s="227" t="s">
        <v>48</v>
      </c>
      <c r="D194" s="227" t="s">
        <v>5255</v>
      </c>
      <c r="E194" s="227" t="s">
        <v>3295</v>
      </c>
      <c r="F194" s="227" t="s">
        <v>3299</v>
      </c>
      <c r="G194" s="239">
        <v>45462</v>
      </c>
      <c r="H194" s="240">
        <v>0.25</v>
      </c>
      <c r="I194" s="227" t="s">
        <v>3586</v>
      </c>
      <c r="J194" s="482" t="s">
        <v>4432</v>
      </c>
      <c r="K194" s="241" t="s">
        <v>3073</v>
      </c>
      <c r="L194" s="225" t="str">
        <f>VLOOKUP(Logfile_S12[[#This Row],[Material Name]],Sheet2!B:C,2,0)</f>
        <v>ZTE2001</v>
      </c>
      <c r="M194" s="242" t="s">
        <v>20</v>
      </c>
      <c r="N194" s="227">
        <v>2400</v>
      </c>
      <c r="O194" s="227"/>
      <c r="P194" s="227" t="s">
        <v>5256</v>
      </c>
      <c r="Q194" s="227"/>
      <c r="R194" s="227"/>
      <c r="S194" s="227"/>
      <c r="T194" s="227"/>
      <c r="U194" s="227"/>
      <c r="V194" s="227"/>
      <c r="W194" s="227"/>
      <c r="X194" s="227" t="s">
        <v>5256</v>
      </c>
      <c r="Y194" s="238" t="s">
        <v>5248</v>
      </c>
      <c r="Z194" s="238" t="str">
        <f t="shared" si="9"/>
        <v>Sisa sumberbendo</v>
      </c>
      <c r="AA194" s="276" t="e">
        <f>VLOOKUP(Logfile_S12[[#This Row],[DO number]],DO_DB!G:I,3,0)</f>
        <v>#N/A</v>
      </c>
      <c r="AB194" s="332" t="e">
        <f>EXACT(Logfile_S12[[#This Row],[date pick]],Logfile_S12[[#This Row],[Date]])</f>
        <v>#N/A</v>
      </c>
      <c r="AC19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24C-2024619-01</v>
      </c>
    </row>
    <row r="195" spans="1:29" ht="14.5" hidden="1">
      <c r="A195" s="237" t="str">
        <f t="shared" si="6"/>
        <v>191</v>
      </c>
      <c r="B195" s="221"/>
      <c r="C195" s="227" t="s">
        <v>49</v>
      </c>
      <c r="D195" s="227" t="s">
        <v>5140</v>
      </c>
      <c r="E195" s="227" t="s">
        <v>3295</v>
      </c>
      <c r="F195" s="227" t="s">
        <v>3299</v>
      </c>
      <c r="G195" s="239">
        <v>45465</v>
      </c>
      <c r="H195" s="240">
        <v>0.69236111111111109</v>
      </c>
      <c r="I195" s="227" t="s">
        <v>3586</v>
      </c>
      <c r="J195" s="482" t="s">
        <v>4432</v>
      </c>
      <c r="K195" s="241" t="s">
        <v>3073</v>
      </c>
      <c r="L195" s="225" t="str">
        <f>VLOOKUP(Logfile_S12[[#This Row],[Material Name]],Sheet2!B:C,2,0)</f>
        <v>ZTE2001</v>
      </c>
      <c r="M195" s="242" t="s">
        <v>20</v>
      </c>
      <c r="N195" s="227">
        <v>926</v>
      </c>
      <c r="O195" s="227" t="s">
        <v>1689</v>
      </c>
      <c r="P195" s="227" t="s">
        <v>1690</v>
      </c>
      <c r="Q195" s="227"/>
      <c r="R195" s="227"/>
      <c r="S195" s="227"/>
      <c r="T195" s="227"/>
      <c r="U195" s="227"/>
      <c r="V195" s="227"/>
      <c r="W195" s="227"/>
      <c r="X195" s="227"/>
      <c r="Y195" s="238" t="s">
        <v>4946</v>
      </c>
      <c r="Z195" s="238" t="str">
        <f t="shared" si="9"/>
        <v>Kebonagung RW 13 Pakisaji</v>
      </c>
      <c r="AA195" s="276" t="e">
        <f>VLOOKUP(Logfile_S12[[#This Row],[DO number]],DO_DB!G:I,3,0)</f>
        <v>#N/A</v>
      </c>
      <c r="AB195" s="332" t="e">
        <f>EXACT(Logfile_S12[[#This Row],[date pick]],Logfile_S12[[#This Row],[Date]])</f>
        <v>#N/A</v>
      </c>
      <c r="AC195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24C-202384-01</v>
      </c>
    </row>
    <row r="196" spans="1:29" ht="14.5" hidden="1">
      <c r="A196" s="237" t="str">
        <f t="shared" si="6"/>
        <v>192</v>
      </c>
      <c r="B196" s="221"/>
      <c r="C196" s="227" t="s">
        <v>48</v>
      </c>
      <c r="D196" s="227" t="s">
        <v>5141</v>
      </c>
      <c r="E196" s="227" t="s">
        <v>3295</v>
      </c>
      <c r="F196" s="227" t="s">
        <v>3299</v>
      </c>
      <c r="G196" s="239">
        <v>45465</v>
      </c>
      <c r="H196" s="240">
        <v>0.69236111111111109</v>
      </c>
      <c r="I196" s="227" t="s">
        <v>3586</v>
      </c>
      <c r="J196" s="482" t="s">
        <v>4432</v>
      </c>
      <c r="K196" s="241" t="s">
        <v>3073</v>
      </c>
      <c r="L196" s="225" t="str">
        <f>VLOOKUP(Logfile_S12[[#This Row],[Material Name]],Sheet2!B:C,2,0)</f>
        <v>ZTE2001</v>
      </c>
      <c r="M196" s="242" t="s">
        <v>20</v>
      </c>
      <c r="N196" s="227">
        <v>316</v>
      </c>
      <c r="O196" s="227" t="s">
        <v>1689</v>
      </c>
      <c r="P196" s="227" t="s">
        <v>1690</v>
      </c>
      <c r="Q196" s="227"/>
      <c r="R196" s="227"/>
      <c r="S196" s="227"/>
      <c r="T196" s="227"/>
      <c r="U196" s="227"/>
      <c r="V196" s="227"/>
      <c r="W196" s="227"/>
      <c r="X196" s="227"/>
      <c r="Y196" s="238" t="s">
        <v>4946</v>
      </c>
      <c r="Z196" s="238" t="str">
        <f t="shared" si="9"/>
        <v>Kebonagung RW 13 Pakisaji</v>
      </c>
      <c r="AA196" s="276" t="e">
        <f>VLOOKUP(Logfile_S12[[#This Row],[DO number]],DO_DB!G:I,3,0)</f>
        <v>#N/A</v>
      </c>
      <c r="AB196" s="332" t="e">
        <f>EXACT(Logfile_S12[[#This Row],[date pick]],Logfile_S12[[#This Row],[Date]])</f>
        <v>#N/A</v>
      </c>
      <c r="AC19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24C-202384-01</v>
      </c>
    </row>
    <row r="197" spans="1:29" ht="14.5" hidden="1">
      <c r="A197" s="220" t="str">
        <f t="shared" ref="A197:A260" si="10">TEXT(ROW(A197)-ROW($A$4),"000")</f>
        <v>193</v>
      </c>
      <c r="B197" s="221"/>
      <c r="C197" s="221" t="s">
        <v>49</v>
      </c>
      <c r="D197" s="221" t="s">
        <v>4097</v>
      </c>
      <c r="E197" s="221" t="s">
        <v>3295</v>
      </c>
      <c r="F197" s="221" t="s">
        <v>3299</v>
      </c>
      <c r="G197" s="222">
        <v>45465</v>
      </c>
      <c r="H197" s="223">
        <v>0.62569444444444444</v>
      </c>
      <c r="I197" s="221" t="s">
        <v>4916</v>
      </c>
      <c r="J197" s="221" t="s">
        <v>3023</v>
      </c>
      <c r="K197" s="224" t="s">
        <v>3075</v>
      </c>
      <c r="L197" s="225" t="str">
        <f>VLOOKUP(Logfile_S12[[#This Row],[Material Name]],Sheet2!B:C,2,0)</f>
        <v>ZTE2003</v>
      </c>
      <c r="M197" s="225" t="str">
        <f>_xlfn.XLOOKUP(Logfile_S12[[#This Row],[Material Name]],Sum_WH!E:E,Sum_WH!F:F,"",0)</f>
        <v>Meter</v>
      </c>
      <c r="N197" s="221">
        <v>3000</v>
      </c>
      <c r="O197" s="221" t="s">
        <v>1689</v>
      </c>
      <c r="P197" s="221" t="s">
        <v>1690</v>
      </c>
      <c r="Q197" s="221"/>
      <c r="R197" s="221"/>
      <c r="S197" s="221"/>
      <c r="T197" s="221" t="s">
        <v>3258</v>
      </c>
      <c r="U197" s="221" t="s">
        <v>3228</v>
      </c>
      <c r="V197" s="221" t="s">
        <v>3337</v>
      </c>
      <c r="W197" s="221" t="s">
        <v>3338</v>
      </c>
      <c r="X197" s="221" t="s">
        <v>3564</v>
      </c>
      <c r="Y197" s="227"/>
      <c r="Z197" s="227" t="str">
        <f t="shared" si="9"/>
        <v>Kebonagung RW 13 Pakisaji</v>
      </c>
      <c r="AA197" s="276" t="e">
        <f>VLOOKUP(Logfile_S12[[#This Row],[DO number]],DO_DB!G:I,3,0)</f>
        <v>#N/A</v>
      </c>
      <c r="AB197" s="331" t="e">
        <f>EXACT(Logfile_S12[[#This Row],[date pick]],Logfile_S12[[#This Row],[Date]])</f>
        <v>#N/A</v>
      </c>
      <c r="AC1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8" spans="1:29" ht="14.5" hidden="1">
      <c r="A198" s="220" t="str">
        <f t="shared" si="10"/>
        <v>194</v>
      </c>
      <c r="B198" s="221"/>
      <c r="C198" s="221" t="s">
        <v>48</v>
      </c>
      <c r="D198" s="221" t="s">
        <v>4098</v>
      </c>
      <c r="E198" s="221" t="s">
        <v>3295</v>
      </c>
      <c r="F198" s="221" t="s">
        <v>3299</v>
      </c>
      <c r="G198" s="222">
        <v>45467</v>
      </c>
      <c r="H198" s="223">
        <v>15.291666666666666</v>
      </c>
      <c r="I198" s="221" t="s">
        <v>37</v>
      </c>
      <c r="J198" s="221" t="s">
        <v>3023</v>
      </c>
      <c r="K198" s="224" t="s">
        <v>3075</v>
      </c>
      <c r="L198" s="225" t="str">
        <f>VLOOKUP(Logfile_S12[[#This Row],[Material Name]],Sheet2!B:C,2,0)</f>
        <v>ZTE2003</v>
      </c>
      <c r="M198" s="225" t="str">
        <f>_xlfn.XLOOKUP(Logfile_S12[[#This Row],[Material Name]],Sum_WH!E:E,Sum_WH!F:F,"",0)</f>
        <v>Meter</v>
      </c>
      <c r="N198" s="221">
        <v>3000</v>
      </c>
      <c r="O198" s="221" t="s">
        <v>1689</v>
      </c>
      <c r="P198" s="221" t="s">
        <v>1690</v>
      </c>
      <c r="Q198" s="221" t="s">
        <v>1691</v>
      </c>
      <c r="R198" s="221" t="s">
        <v>1692</v>
      </c>
      <c r="S198" s="221"/>
      <c r="T198" s="221"/>
      <c r="U198" s="221"/>
      <c r="V198" s="221"/>
      <c r="W198" s="221"/>
      <c r="X198" s="221"/>
      <c r="Y198" s="227" t="s">
        <v>5065</v>
      </c>
      <c r="Z198" s="227" t="str">
        <f t="shared" si="9"/>
        <v>Kebonagung RW 13 Pakisaji</v>
      </c>
      <c r="AA198" s="276">
        <f>VLOOKUP(Logfile_S12[[#This Row],[DO number]],DO_DB!G:I,3,0)</f>
        <v>45467</v>
      </c>
      <c r="AB198" s="331" t="b">
        <f>EXACT(Logfile_S12[[#This Row],[date pick]],Logfile_S12[[#This Row],[Date]])</f>
        <v>1</v>
      </c>
      <c r="AC1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48C-2024624-01</v>
      </c>
    </row>
    <row r="199" spans="1:29" ht="14.5" hidden="1">
      <c r="A199" s="220" t="str">
        <f t="shared" si="10"/>
        <v>195</v>
      </c>
      <c r="B199" s="221"/>
      <c r="C199" s="221" t="s">
        <v>48</v>
      </c>
      <c r="D199" s="221" t="s">
        <v>4099</v>
      </c>
      <c r="E199" s="221" t="s">
        <v>3295</v>
      </c>
      <c r="F199" s="221" t="s">
        <v>3299</v>
      </c>
      <c r="G199" s="222">
        <v>45468</v>
      </c>
      <c r="H199" s="223">
        <v>15.291666666666666</v>
      </c>
      <c r="I199" s="221" t="s">
        <v>37</v>
      </c>
      <c r="J199" s="221" t="s">
        <v>3023</v>
      </c>
      <c r="K199" s="224" t="s">
        <v>3073</v>
      </c>
      <c r="L199" s="225" t="str">
        <f>VLOOKUP(Logfile_S12[[#This Row],[Material Name]],Sheet2!B:C,2,0)</f>
        <v>ZTE2001</v>
      </c>
      <c r="M199" s="225" t="str">
        <f>_xlfn.XLOOKUP(Logfile_S12[[#This Row],[Material Name]],Sum_WH!E:E,Sum_WH!F:F,"",0)</f>
        <v>Meter</v>
      </c>
      <c r="N199" s="221">
        <v>3000</v>
      </c>
      <c r="O199" s="221"/>
      <c r="P199" s="221"/>
      <c r="Q199" s="221">
        <v>0</v>
      </c>
      <c r="R199" s="221">
        <v>0</v>
      </c>
      <c r="S199" s="221"/>
      <c r="T199" s="221"/>
      <c r="U199" s="221"/>
      <c r="V199" s="221"/>
      <c r="W199" s="221"/>
      <c r="X199" s="221"/>
      <c r="Y199" s="227" t="s">
        <v>5003</v>
      </c>
      <c r="Z199" s="227">
        <f t="shared" si="9"/>
        <v>0</v>
      </c>
      <c r="AA199" s="276" t="e">
        <f>VLOOKUP(Logfile_S12[[#This Row],[DO number]],DO_DB!G:I,3,0)</f>
        <v>#N/A</v>
      </c>
      <c r="AB199" s="331" t="e">
        <f>EXACT(Logfile_S12[[#This Row],[date pick]],Logfile_S12[[#This Row],[Date]])</f>
        <v>#N/A</v>
      </c>
      <c r="AC1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24C-2024625-01</v>
      </c>
    </row>
    <row r="200" spans="1:29" ht="14.5" hidden="1">
      <c r="A200" s="220" t="str">
        <f t="shared" si="10"/>
        <v>196</v>
      </c>
      <c r="B200" s="221"/>
      <c r="C200" s="221" t="s">
        <v>3313</v>
      </c>
      <c r="D200" s="221" t="s">
        <v>4100</v>
      </c>
      <c r="E200" s="221" t="s">
        <v>3295</v>
      </c>
      <c r="F200" s="221" t="s">
        <v>3299</v>
      </c>
      <c r="G200" s="222">
        <v>45468</v>
      </c>
      <c r="H200" s="223">
        <v>15.291666666666666</v>
      </c>
      <c r="I200" s="221" t="s">
        <v>37</v>
      </c>
      <c r="J200" s="221" t="s">
        <v>3023</v>
      </c>
      <c r="K200" s="224" t="s">
        <v>3075</v>
      </c>
      <c r="L200" s="225" t="str">
        <f>VLOOKUP(Logfile_S12[[#This Row],[Material Name]],Sheet2!B:C,2,0)</f>
        <v>ZTE2003</v>
      </c>
      <c r="M200" s="225" t="str">
        <f>_xlfn.XLOOKUP(Logfile_S12[[#This Row],[Material Name]],Sum_WH!E:E,Sum_WH!F:F,"",0)</f>
        <v>Meter</v>
      </c>
      <c r="N200" s="221">
        <v>3000</v>
      </c>
      <c r="O200" s="221" t="s">
        <v>3314</v>
      </c>
      <c r="P200" s="221">
        <v>0</v>
      </c>
      <c r="Q200" s="221">
        <v>0</v>
      </c>
      <c r="R200" s="221" t="s">
        <v>3147</v>
      </c>
      <c r="S200" s="221"/>
      <c r="T200" s="221"/>
      <c r="U200" s="221"/>
      <c r="V200" s="221"/>
      <c r="W200" s="221"/>
      <c r="X200" s="221"/>
      <c r="Y200" s="227" t="s">
        <v>5103</v>
      </c>
      <c r="Z200" s="227">
        <f t="shared" si="9"/>
        <v>0</v>
      </c>
      <c r="AA200" s="276" t="e">
        <f>VLOOKUP(Logfile_S12[[#This Row],[DO number]],DO_DB!G:I,3,0)</f>
        <v>#N/A</v>
      </c>
      <c r="AB200" s="331" t="e">
        <f>EXACT(Logfile_S12[[#This Row],[date pick]],Logfile_S12[[#This Row],[Date]])</f>
        <v>#N/A</v>
      </c>
      <c r="AC2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48C-2024625-01</v>
      </c>
    </row>
    <row r="201" spans="1:29" ht="14.5" hidden="1">
      <c r="A201" s="237" t="str">
        <f t="shared" si="10"/>
        <v>197</v>
      </c>
      <c r="B201" s="221"/>
      <c r="C201" s="221" t="s">
        <v>3313</v>
      </c>
      <c r="D201" s="221" t="s">
        <v>4100</v>
      </c>
      <c r="E201" s="221" t="s">
        <v>3295</v>
      </c>
      <c r="F201" s="221" t="s">
        <v>3299</v>
      </c>
      <c r="G201" s="222">
        <v>45468</v>
      </c>
      <c r="H201" s="223">
        <v>15.291666666666666</v>
      </c>
      <c r="I201" s="221" t="s">
        <v>37</v>
      </c>
      <c r="J201" s="221" t="s">
        <v>3023</v>
      </c>
      <c r="K201" s="224" t="s">
        <v>3075</v>
      </c>
      <c r="L201" s="225" t="str">
        <f>VLOOKUP(Logfile_S12[[#This Row],[Material Name]],Sheet2!B:C,2,0)</f>
        <v>ZTE2003</v>
      </c>
      <c r="M201" s="225" t="str">
        <f>_xlfn.XLOOKUP(Logfile_S12[[#This Row],[Material Name]],Sum_WH!E:E,Sum_WH!F:F,"",0)</f>
        <v>Meter</v>
      </c>
      <c r="N201" s="221">
        <v>3000</v>
      </c>
      <c r="O201" s="221" t="s">
        <v>3314</v>
      </c>
      <c r="P201" s="221">
        <v>0</v>
      </c>
      <c r="Q201" s="221">
        <v>0</v>
      </c>
      <c r="R201" s="221" t="s">
        <v>3147</v>
      </c>
      <c r="S201" s="227"/>
      <c r="T201" s="227"/>
      <c r="U201" s="227"/>
      <c r="V201" s="227"/>
      <c r="W201" s="227"/>
      <c r="X201" s="227"/>
      <c r="Y201" s="238" t="s">
        <v>5104</v>
      </c>
      <c r="Z201" s="227">
        <f t="shared" si="9"/>
        <v>0</v>
      </c>
      <c r="AA201" s="276" t="e">
        <f>VLOOKUP(Logfile_S12[[#This Row],[DO number]],DO_DB!G:I,3,0)</f>
        <v>#N/A</v>
      </c>
      <c r="AB201" s="331" t="e">
        <f>EXACT(Logfile_S12[[#This Row],[date pick]],Logfile_S12[[#This Row],[Date]])</f>
        <v>#N/A</v>
      </c>
      <c r="AC2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48C-2024625-02</v>
      </c>
    </row>
    <row r="202" spans="1:29" ht="14.5" hidden="1">
      <c r="A202" s="237" t="str">
        <f t="shared" si="10"/>
        <v>198</v>
      </c>
      <c r="B202" s="221"/>
      <c r="C202" s="221" t="s">
        <v>3313</v>
      </c>
      <c r="D202" s="221" t="s">
        <v>4100</v>
      </c>
      <c r="E202" s="221" t="s">
        <v>3295</v>
      </c>
      <c r="F202" s="221" t="s">
        <v>3299</v>
      </c>
      <c r="G202" s="222">
        <v>45468</v>
      </c>
      <c r="H202" s="223">
        <v>15.291666666666666</v>
      </c>
      <c r="I202" s="221" t="s">
        <v>37</v>
      </c>
      <c r="J202" s="221" t="s">
        <v>3023</v>
      </c>
      <c r="K202" s="224" t="s">
        <v>3075</v>
      </c>
      <c r="L202" s="225" t="str">
        <f>VLOOKUP(Logfile_S12[[#This Row],[Material Name]],Sheet2!B:C,2,0)</f>
        <v>ZTE2003</v>
      </c>
      <c r="M202" s="225" t="str">
        <f>_xlfn.XLOOKUP(Logfile_S12[[#This Row],[Material Name]],Sum_WH!E:E,Sum_WH!F:F,"",0)</f>
        <v>Meter</v>
      </c>
      <c r="N202" s="221">
        <v>3000</v>
      </c>
      <c r="O202" s="221" t="s">
        <v>3314</v>
      </c>
      <c r="P202" s="221">
        <v>0</v>
      </c>
      <c r="Q202" s="221">
        <v>0</v>
      </c>
      <c r="R202" s="221" t="s">
        <v>3147</v>
      </c>
      <c r="S202" s="227"/>
      <c r="T202" s="227"/>
      <c r="U202" s="227"/>
      <c r="V202" s="227"/>
      <c r="W202" s="227"/>
      <c r="X202" s="227"/>
      <c r="Y202" s="238" t="s">
        <v>5105</v>
      </c>
      <c r="Z202" s="227">
        <f t="shared" si="9"/>
        <v>0</v>
      </c>
      <c r="AA202" s="276" t="e">
        <f>VLOOKUP(Logfile_S12[[#This Row],[DO number]],DO_DB!G:I,3,0)</f>
        <v>#N/A</v>
      </c>
      <c r="AB202" s="331" t="e">
        <f>EXACT(Logfile_S12[[#This Row],[date pick]],Logfile_S12[[#This Row],[Date]])</f>
        <v>#N/A</v>
      </c>
      <c r="AC2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48C-2024625-03</v>
      </c>
    </row>
    <row r="203" spans="1:29" ht="14.5" hidden="1">
      <c r="A203" s="237" t="str">
        <f t="shared" si="10"/>
        <v>199</v>
      </c>
      <c r="B203" s="221"/>
      <c r="C203" s="227" t="s">
        <v>48</v>
      </c>
      <c r="D203" s="227" t="s">
        <v>4448</v>
      </c>
      <c r="E203" s="227" t="s">
        <v>3295</v>
      </c>
      <c r="F203" s="227" t="s">
        <v>3299</v>
      </c>
      <c r="G203" s="239">
        <v>45468</v>
      </c>
      <c r="H203" s="240">
        <v>0.79166666666666663</v>
      </c>
      <c r="I203" s="227" t="s">
        <v>3586</v>
      </c>
      <c r="J203" s="482" t="s">
        <v>4432</v>
      </c>
      <c r="K203" s="241" t="s">
        <v>3075</v>
      </c>
      <c r="L203" s="225" t="str">
        <f>VLOOKUP(Logfile_S12[[#This Row],[Material Name]],Sheet2!B:C,2,0)</f>
        <v>ZTE2003</v>
      </c>
      <c r="M203" s="242" t="s">
        <v>20</v>
      </c>
      <c r="N203" s="227">
        <v>700</v>
      </c>
      <c r="O203" s="227" t="s">
        <v>1683</v>
      </c>
      <c r="P203" s="227" t="s">
        <v>1684</v>
      </c>
      <c r="Q203" s="227"/>
      <c r="R203" s="227"/>
      <c r="S203" s="227"/>
      <c r="T203" s="227" t="s">
        <v>3258</v>
      </c>
      <c r="U203" s="227" t="s">
        <v>3228</v>
      </c>
      <c r="V203" s="227" t="s">
        <v>3337</v>
      </c>
      <c r="W203" s="227" t="s">
        <v>3338</v>
      </c>
      <c r="X203" s="227" t="s">
        <v>3614</v>
      </c>
      <c r="Y203" s="238" t="s">
        <v>5282</v>
      </c>
      <c r="Z203" s="238" t="s">
        <v>3614</v>
      </c>
      <c r="AA203" s="276" t="e">
        <f>VLOOKUP(Logfile_S12[[#This Row],[DO number]],DO_DB!G:I,3,0)</f>
        <v>#N/A</v>
      </c>
      <c r="AB203" s="332" t="e">
        <f>EXACT(Logfile_S12[[#This Row],[date pick]],Logfile_S12[[#This Row],[Date]])</f>
        <v>#N/A</v>
      </c>
      <c r="AC20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OUTBOUND_B-005-700m</v>
      </c>
    </row>
    <row r="204" spans="1:29" ht="14.5" hidden="1">
      <c r="A204" s="220" t="str">
        <f t="shared" si="10"/>
        <v>200</v>
      </c>
      <c r="B204" s="221"/>
      <c r="C204" s="221" t="s">
        <v>49</v>
      </c>
      <c r="D204" s="221" t="s">
        <v>4106</v>
      </c>
      <c r="E204" s="221" t="s">
        <v>3295</v>
      </c>
      <c r="F204" s="221" t="s">
        <v>3299</v>
      </c>
      <c r="G204" s="222">
        <v>45470</v>
      </c>
      <c r="H204" s="223">
        <v>0.53680555555555554</v>
      </c>
      <c r="I204" s="221" t="s">
        <v>4916</v>
      </c>
      <c r="J204" s="221" t="s">
        <v>3023</v>
      </c>
      <c r="K204" s="224" t="s">
        <v>3075</v>
      </c>
      <c r="L204" s="225" t="str">
        <f>VLOOKUP(Logfile_S12[[#This Row],[Material Name]],Sheet2!B:C,2,0)</f>
        <v>ZTE2003</v>
      </c>
      <c r="M204" s="225" t="str">
        <f>_xlfn.XLOOKUP(Logfile_S12[[#This Row],[Material Name]],Sum_WH!E:E,Sum_WH!F:F,"",0)</f>
        <v>Meter</v>
      </c>
      <c r="N204" s="221">
        <v>3000</v>
      </c>
      <c r="O204" s="221" t="s">
        <v>1721</v>
      </c>
      <c r="P204" s="221" t="s">
        <v>1722</v>
      </c>
      <c r="Q204" s="221"/>
      <c r="R204" s="221"/>
      <c r="S204" s="221"/>
      <c r="T204" s="221" t="s">
        <v>3258</v>
      </c>
      <c r="U204" s="221" t="s">
        <v>3228</v>
      </c>
      <c r="V204" s="221" t="s">
        <v>3337</v>
      </c>
      <c r="W204" s="221" t="s">
        <v>3338</v>
      </c>
      <c r="X204" s="221">
        <v>2875</v>
      </c>
      <c r="Y204" s="227"/>
      <c r="Z204" s="227" t="str">
        <f t="shared" ref="Z204:Z248" si="11">P204</f>
        <v>Perumahan Perumnas Talangagung I Malang</v>
      </c>
      <c r="AA204" s="276" t="e">
        <f>VLOOKUP(Logfile_S12[[#This Row],[DO number]],DO_DB!G:I,3,0)</f>
        <v>#N/A</v>
      </c>
      <c r="AB204" s="331" t="e">
        <f>EXACT(Logfile_S12[[#This Row],[date pick]],Logfile_S12[[#This Row],[Date]])</f>
        <v>#N/A</v>
      </c>
      <c r="AC2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5" spans="1:29" ht="14.5" hidden="1">
      <c r="A205" s="220" t="str">
        <f t="shared" si="10"/>
        <v>201</v>
      </c>
      <c r="B205" s="221"/>
      <c r="C205" s="221" t="s">
        <v>49</v>
      </c>
      <c r="D205" s="221" t="s">
        <v>4106</v>
      </c>
      <c r="E205" s="221" t="s">
        <v>3295</v>
      </c>
      <c r="F205" s="221" t="s">
        <v>3299</v>
      </c>
      <c r="G205" s="222">
        <v>45470</v>
      </c>
      <c r="H205" s="223">
        <v>0.53680555555555554</v>
      </c>
      <c r="I205" s="221" t="s">
        <v>4916</v>
      </c>
      <c r="J205" s="221" t="s">
        <v>3023</v>
      </c>
      <c r="K205" s="224" t="s">
        <v>3075</v>
      </c>
      <c r="L205" s="225" t="str">
        <f>VLOOKUP(Logfile_S12[[#This Row],[Material Name]],Sheet2!B:C,2,0)</f>
        <v>ZTE2003</v>
      </c>
      <c r="M205" s="225" t="str">
        <f>_xlfn.XLOOKUP(Logfile_S12[[#This Row],[Material Name]],Sum_WH!E:E,Sum_WH!F:F,"",0)</f>
        <v>Meter</v>
      </c>
      <c r="N205" s="221">
        <v>3000</v>
      </c>
      <c r="O205" s="221" t="s">
        <v>1705</v>
      </c>
      <c r="P205" s="221" t="s">
        <v>1706</v>
      </c>
      <c r="Q205" s="221"/>
      <c r="R205" s="221"/>
      <c r="S205" s="221"/>
      <c r="T205" s="221" t="s">
        <v>3258</v>
      </c>
      <c r="U205" s="221" t="s">
        <v>3228</v>
      </c>
      <c r="V205" s="221" t="s">
        <v>3337</v>
      </c>
      <c r="W205" s="221" t="s">
        <v>3338</v>
      </c>
      <c r="X205" s="221">
        <v>2725</v>
      </c>
      <c r="Y205" s="227"/>
      <c r="Z205" s="227" t="str">
        <f t="shared" si="11"/>
        <v>Perumahan Kepanjen Permai II</v>
      </c>
      <c r="AA205" s="276" t="e">
        <f>VLOOKUP(Logfile_S12[[#This Row],[DO number]],DO_DB!G:I,3,0)</f>
        <v>#N/A</v>
      </c>
      <c r="AB205" s="331" t="e">
        <f>EXACT(Logfile_S12[[#This Row],[date pick]],Logfile_S12[[#This Row],[Date]])</f>
        <v>#N/A</v>
      </c>
      <c r="AC2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6" spans="1:29" ht="14.5" hidden="1">
      <c r="A206" s="220" t="str">
        <f t="shared" si="10"/>
        <v>202</v>
      </c>
      <c r="B206" s="221"/>
      <c r="C206" s="221" t="s">
        <v>48</v>
      </c>
      <c r="D206" s="221" t="s">
        <v>4113</v>
      </c>
      <c r="E206" s="221" t="s">
        <v>3295</v>
      </c>
      <c r="F206" s="221" t="s">
        <v>3299</v>
      </c>
      <c r="G206" s="222">
        <v>45481</v>
      </c>
      <c r="H206" s="223">
        <v>15.291666666666666</v>
      </c>
      <c r="I206" s="221" t="s">
        <v>37</v>
      </c>
      <c r="J206" s="221" t="s">
        <v>3023</v>
      </c>
      <c r="K206" s="224" t="s">
        <v>3073</v>
      </c>
      <c r="L206" s="225" t="str">
        <f>VLOOKUP(Logfile_S12[[#This Row],[Material Name]],Sheet2!B:C,2,0)</f>
        <v>ZTE2001</v>
      </c>
      <c r="M206" s="225" t="str">
        <f>_xlfn.XLOOKUP(Logfile_S12[[#This Row],[Material Name]],Sum_WH!E:E,Sum_WH!F:F,"",0)</f>
        <v>Meter</v>
      </c>
      <c r="N206" s="221">
        <v>3000</v>
      </c>
      <c r="O206" s="221"/>
      <c r="P206" s="221"/>
      <c r="Q206" s="221">
        <v>0</v>
      </c>
      <c r="R206" s="221">
        <v>0</v>
      </c>
      <c r="S206" s="221"/>
      <c r="T206" s="221"/>
      <c r="U206" s="221"/>
      <c r="V206" s="221"/>
      <c r="W206" s="221"/>
      <c r="X206" s="221"/>
      <c r="Y206" s="227" t="s">
        <v>5004</v>
      </c>
      <c r="Z206" s="227">
        <f t="shared" si="11"/>
        <v>0</v>
      </c>
      <c r="AA206" s="276" t="e">
        <f>VLOOKUP(Logfile_S12[[#This Row],[DO number]],DO_DB!G:I,3,0)</f>
        <v>#N/A</v>
      </c>
      <c r="AB206" s="331" t="e">
        <f>EXACT(Logfile_S12[[#This Row],[date pick]],Logfile_S12[[#This Row],[Date]])</f>
        <v>#N/A</v>
      </c>
      <c r="AC2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24C-202478-01</v>
      </c>
    </row>
    <row r="207" spans="1:29" ht="14.5" hidden="1">
      <c r="A207" s="220" t="str">
        <f t="shared" si="10"/>
        <v>203</v>
      </c>
      <c r="B207" s="221"/>
      <c r="C207" s="221" t="s">
        <v>48</v>
      </c>
      <c r="D207" s="221" t="s">
        <v>4113</v>
      </c>
      <c r="E207" s="221" t="s">
        <v>3295</v>
      </c>
      <c r="F207" s="221" t="s">
        <v>3299</v>
      </c>
      <c r="G207" s="222">
        <v>45481</v>
      </c>
      <c r="H207" s="223">
        <v>15.291666666666666</v>
      </c>
      <c r="I207" s="221" t="s">
        <v>37</v>
      </c>
      <c r="J207" s="221" t="s">
        <v>3023</v>
      </c>
      <c r="K207" s="224" t="s">
        <v>3075</v>
      </c>
      <c r="L207" s="225" t="str">
        <f>VLOOKUP(Logfile_S12[[#This Row],[Material Name]],Sheet2!B:C,2,0)</f>
        <v>ZTE2003</v>
      </c>
      <c r="M207" s="225" t="str">
        <f>_xlfn.XLOOKUP(Logfile_S12[[#This Row],[Material Name]],Sum_WH!E:E,Sum_WH!F:F,"",0)</f>
        <v>Meter</v>
      </c>
      <c r="N207" s="221">
        <v>3000</v>
      </c>
      <c r="O207" s="221" t="s">
        <v>1705</v>
      </c>
      <c r="P207" s="221" t="s">
        <v>1706</v>
      </c>
      <c r="Q207" s="221" t="s">
        <v>1715</v>
      </c>
      <c r="R207" s="221" t="s">
        <v>1716</v>
      </c>
      <c r="S207" s="221"/>
      <c r="T207" s="221"/>
      <c r="U207" s="221"/>
      <c r="V207" s="221"/>
      <c r="W207" s="221"/>
      <c r="X207" s="221"/>
      <c r="Y207" s="227" t="s">
        <v>5066</v>
      </c>
      <c r="Z207" s="227" t="str">
        <f t="shared" si="11"/>
        <v>Perumahan Kepanjen Permai II</v>
      </c>
      <c r="AA207" s="276">
        <f>VLOOKUP(Logfile_S12[[#This Row],[DO number]],DO_DB!G:I,3,0)</f>
        <v>45481</v>
      </c>
      <c r="AB207" s="331" t="b">
        <f>EXACT(Logfile_S12[[#This Row],[date pick]],Logfile_S12[[#This Row],[Date]])</f>
        <v>1</v>
      </c>
      <c r="AC2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48C-202478-01</v>
      </c>
    </row>
    <row r="208" spans="1:29" ht="14.5" hidden="1">
      <c r="A208" s="220" t="str">
        <f t="shared" si="10"/>
        <v>204</v>
      </c>
      <c r="B208" s="221"/>
      <c r="C208" s="221" t="s">
        <v>49</v>
      </c>
      <c r="D208" s="221" t="s">
        <v>4117</v>
      </c>
      <c r="E208" s="221" t="s">
        <v>3295</v>
      </c>
      <c r="F208" s="221" t="s">
        <v>3299</v>
      </c>
      <c r="G208" s="222">
        <v>45485</v>
      </c>
      <c r="H208" s="223">
        <v>0.4</v>
      </c>
      <c r="I208" s="221" t="s">
        <v>4916</v>
      </c>
      <c r="J208" s="221" t="s">
        <v>3023</v>
      </c>
      <c r="K208" s="224" t="s">
        <v>3073</v>
      </c>
      <c r="L208" s="225" t="str">
        <f>VLOOKUP(Logfile_S12[[#This Row],[Material Name]],Sheet2!B:C,2,0)</f>
        <v>ZTE2001</v>
      </c>
      <c r="M208" s="225" t="str">
        <f>_xlfn.XLOOKUP(Logfile_S12[[#This Row],[Material Name]],Sum_WH!E:E,Sum_WH!F:F,"",0)</f>
        <v>Meter</v>
      </c>
      <c r="N208" s="221">
        <v>3000</v>
      </c>
      <c r="O208" s="221" t="s">
        <v>2001</v>
      </c>
      <c r="P208" s="221" t="s">
        <v>2002</v>
      </c>
      <c r="Q208" s="221"/>
      <c r="R208" s="221"/>
      <c r="S208" s="221"/>
      <c r="T208" s="221" t="s">
        <v>3258</v>
      </c>
      <c r="U208" s="221" t="s">
        <v>3228</v>
      </c>
      <c r="V208" s="221" t="s">
        <v>3337</v>
      </c>
      <c r="W208" s="221" t="s">
        <v>3338</v>
      </c>
      <c r="X208" s="221"/>
      <c r="Y208" s="227"/>
      <c r="Z208" s="227" t="str">
        <f t="shared" si="11"/>
        <v>Ngenep RW 04 Karang Ploso</v>
      </c>
      <c r="AA208" s="276" t="e">
        <f>VLOOKUP(Logfile_S12[[#This Row],[DO number]],DO_DB!G:I,3,0)</f>
        <v>#N/A</v>
      </c>
      <c r="AB208" s="331" t="e">
        <f>EXACT(Logfile_S12[[#This Row],[date pick]],Logfile_S12[[#This Row],[Date]])</f>
        <v>#N/A</v>
      </c>
      <c r="AC2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9" spans="1:29" ht="14.5" hidden="1">
      <c r="A209" s="237" t="str">
        <f t="shared" si="10"/>
        <v>205</v>
      </c>
      <c r="B209" s="221"/>
      <c r="C209" s="227" t="s">
        <v>49</v>
      </c>
      <c r="D209" s="227" t="s">
        <v>5257</v>
      </c>
      <c r="E209" s="227" t="s">
        <v>3295</v>
      </c>
      <c r="F209" s="227" t="s">
        <v>3299</v>
      </c>
      <c r="G209" s="239">
        <v>45487</v>
      </c>
      <c r="H209" s="240">
        <v>0.25</v>
      </c>
      <c r="I209" s="227" t="s">
        <v>3586</v>
      </c>
      <c r="J209" s="482" t="s">
        <v>4432</v>
      </c>
      <c r="K209" s="241" t="s">
        <v>3075</v>
      </c>
      <c r="L209" s="225" t="str">
        <f>VLOOKUP(Logfile_S12[[#This Row],[Material Name]],Sheet2!B:C,2,0)</f>
        <v>ZTE2003</v>
      </c>
      <c r="M209" s="242" t="s">
        <v>20</v>
      </c>
      <c r="N209" s="227">
        <v>1250</v>
      </c>
      <c r="O209" s="227" t="s">
        <v>1705</v>
      </c>
      <c r="P209" s="227" t="s">
        <v>1706</v>
      </c>
      <c r="Q209" s="227"/>
      <c r="R209" s="227"/>
      <c r="S209" s="227"/>
      <c r="T209" s="227" t="s">
        <v>5249</v>
      </c>
      <c r="U209" s="227"/>
      <c r="V209" s="227"/>
      <c r="W209" s="227"/>
      <c r="X209" s="227"/>
      <c r="Y209" s="238" t="s">
        <v>5249</v>
      </c>
      <c r="Z209" s="238" t="str">
        <f t="shared" si="11"/>
        <v>Perumahan Kepanjen Permai II</v>
      </c>
      <c r="AA209" s="276" t="e">
        <f>VLOOKUP(Logfile_S12[[#This Row],[DO number]],DO_DB!G:I,3,0)</f>
        <v>#N/A</v>
      </c>
      <c r="AB209" s="332" t="e">
        <f>EXACT(Logfile_S12[[#This Row],[date pick]],Logfile_S12[[#This Row],[Date]])</f>
        <v>#N/A</v>
      </c>
      <c r="AC20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48C-2023915-01</v>
      </c>
    </row>
    <row r="210" spans="1:29" ht="14.5" hidden="1">
      <c r="A210" s="220" t="str">
        <f t="shared" si="10"/>
        <v>206</v>
      </c>
      <c r="B210" s="221"/>
      <c r="C210" s="221" t="s">
        <v>3429</v>
      </c>
      <c r="D210" s="221" t="s">
        <v>4121</v>
      </c>
      <c r="E210" s="221" t="s">
        <v>3295</v>
      </c>
      <c r="F210" s="221" t="s">
        <v>3299</v>
      </c>
      <c r="G210" s="222">
        <v>45495</v>
      </c>
      <c r="H210" s="223">
        <v>15.291666666666666</v>
      </c>
      <c r="I210" s="221" t="s">
        <v>3193</v>
      </c>
      <c r="J210" s="221" t="s">
        <v>3023</v>
      </c>
      <c r="K210" s="224" t="s">
        <v>3077</v>
      </c>
      <c r="L210" s="225" t="str">
        <f>VLOOKUP(Logfile_S12[[#This Row],[Material Name]],Sheet2!B:C,2,0)</f>
        <v>ZTE2004</v>
      </c>
      <c r="M210" s="225" t="str">
        <f>_xlfn.XLOOKUP(Logfile_S12[[#This Row],[Material Name]],Sum_WH!E:E,Sum_WH!F:F,"",0)</f>
        <v>Meter</v>
      </c>
      <c r="N210" s="221">
        <v>3000</v>
      </c>
      <c r="O210" s="221" t="s">
        <v>4926</v>
      </c>
      <c r="P210" s="221" t="s">
        <v>3478</v>
      </c>
      <c r="Q210" s="221">
        <v>0</v>
      </c>
      <c r="R210" s="221">
        <v>0</v>
      </c>
      <c r="S210" s="221"/>
      <c r="T210" s="221"/>
      <c r="U210" s="221"/>
      <c r="V210" s="221"/>
      <c r="W210" s="221"/>
      <c r="X210" s="221" t="s">
        <v>3479</v>
      </c>
      <c r="Y210" s="236" t="s">
        <v>4970</v>
      </c>
      <c r="Z210" s="227" t="str">
        <f t="shared" si="11"/>
        <v>MORASHA</v>
      </c>
      <c r="AA210" s="276" t="e">
        <f>VLOOKUP(Logfile_S12[[#This Row],[DO number]],DO_DB!G:I,3,0)</f>
        <v>#N/A</v>
      </c>
      <c r="AB210" s="331" t="e">
        <f>EXACT(Logfile_S12[[#This Row],[date pick]],Logfile_S12[[#This Row],[Date]])</f>
        <v>#N/A</v>
      </c>
      <c r="AC2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144C-2024722-01</v>
      </c>
    </row>
    <row r="211" spans="1:29" ht="14.5" hidden="1">
      <c r="A211" s="237" t="str">
        <f t="shared" si="10"/>
        <v>207</v>
      </c>
      <c r="B211" s="221"/>
      <c r="C211" s="221" t="s">
        <v>3429</v>
      </c>
      <c r="D211" s="221" t="s">
        <v>4121</v>
      </c>
      <c r="E211" s="221" t="s">
        <v>3295</v>
      </c>
      <c r="F211" s="221" t="s">
        <v>3299</v>
      </c>
      <c r="G211" s="222">
        <v>45495</v>
      </c>
      <c r="H211" s="223">
        <v>15.291666666666666</v>
      </c>
      <c r="I211" s="221" t="s">
        <v>3193</v>
      </c>
      <c r="J211" s="221" t="s">
        <v>3023</v>
      </c>
      <c r="K211" s="224" t="s">
        <v>3077</v>
      </c>
      <c r="L211" s="225" t="str">
        <f>VLOOKUP(Logfile_S12[[#This Row],[Material Name]],Sheet2!B:C,2,0)</f>
        <v>ZTE2004</v>
      </c>
      <c r="M211" s="225" t="s">
        <v>20</v>
      </c>
      <c r="N211" s="221">
        <v>3000</v>
      </c>
      <c r="O211" s="221" t="s">
        <v>4926</v>
      </c>
      <c r="P211" s="221" t="s">
        <v>3478</v>
      </c>
      <c r="Q211" s="221">
        <v>0</v>
      </c>
      <c r="R211" s="221">
        <v>0</v>
      </c>
      <c r="S211" s="227"/>
      <c r="T211" s="227"/>
      <c r="U211" s="227"/>
      <c r="V211" s="227"/>
      <c r="W211" s="227"/>
      <c r="X211" s="227"/>
      <c r="Y211" s="243" t="s">
        <v>4971</v>
      </c>
      <c r="Z211" s="227" t="str">
        <f t="shared" si="11"/>
        <v>MORASHA</v>
      </c>
      <c r="AA211" s="276" t="e">
        <f>VLOOKUP(Logfile_S12[[#This Row],[DO number]],DO_DB!G:I,3,0)</f>
        <v>#N/A</v>
      </c>
      <c r="AB211" s="331" t="e">
        <f>EXACT(Logfile_S12[[#This Row],[date pick]],Logfile_S12[[#This Row],[Date]])</f>
        <v>#N/A</v>
      </c>
      <c r="AC2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144C-2024722-02</v>
      </c>
    </row>
    <row r="212" spans="1:29" ht="14.5" hidden="1">
      <c r="A212" s="237" t="str">
        <f t="shared" si="10"/>
        <v>208</v>
      </c>
      <c r="B212" s="221"/>
      <c r="C212" s="227" t="s">
        <v>48</v>
      </c>
      <c r="D212" s="227" t="s">
        <v>4976</v>
      </c>
      <c r="E212" s="227" t="s">
        <v>3295</v>
      </c>
      <c r="F212" s="227" t="s">
        <v>3299</v>
      </c>
      <c r="G212" s="239">
        <v>45496</v>
      </c>
      <c r="H212" s="240">
        <v>0.29166666666666669</v>
      </c>
      <c r="I212" s="227" t="s">
        <v>3586</v>
      </c>
      <c r="J212" s="482" t="s">
        <v>4432</v>
      </c>
      <c r="K212" s="241" t="s">
        <v>3077</v>
      </c>
      <c r="L212" s="225" t="str">
        <f>VLOOKUP(Logfile_S12[[#This Row],[Material Name]],Sheet2!B:C,2,0)</f>
        <v>ZTE2004</v>
      </c>
      <c r="M212" s="242" t="s">
        <v>20</v>
      </c>
      <c r="N212" s="227">
        <v>1500</v>
      </c>
      <c r="O212" s="227" t="s">
        <v>1799</v>
      </c>
      <c r="P212" s="227" t="s">
        <v>3398</v>
      </c>
      <c r="Q212" s="227"/>
      <c r="R212" s="227"/>
      <c r="S212" s="227"/>
      <c r="T212" s="227" t="s">
        <v>3258</v>
      </c>
      <c r="U212" s="227" t="s">
        <v>3228</v>
      </c>
      <c r="V212" s="227" t="s">
        <v>3337</v>
      </c>
      <c r="W212" s="227" t="s">
        <v>3338</v>
      </c>
      <c r="X212" s="227" t="s">
        <v>4975</v>
      </c>
      <c r="Y212" s="238" t="s">
        <v>4971</v>
      </c>
      <c r="Z212" s="238" t="str">
        <f t="shared" si="11"/>
        <v>HUBFEEDER KEPANJEN TO JATIKERTO</v>
      </c>
      <c r="AA212" s="276" t="e">
        <f>VLOOKUP(Logfile_S12[[#This Row],[DO number]],DO_DB!G:I,3,0)</f>
        <v>#N/A</v>
      </c>
      <c r="AB212" s="332" t="e">
        <f>EXACT(Logfile_S12[[#This Row],[date pick]],Logfile_S12[[#This Row],[Date]])</f>
        <v>#N/A</v>
      </c>
      <c r="AC21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144C-2024722-02</v>
      </c>
    </row>
    <row r="213" spans="1:29" ht="14.5" hidden="1">
      <c r="A213" s="220" t="str">
        <f t="shared" si="10"/>
        <v>209</v>
      </c>
      <c r="B213" s="221"/>
      <c r="C213" s="221" t="s">
        <v>49</v>
      </c>
      <c r="D213" s="221" t="s">
        <v>4123</v>
      </c>
      <c r="E213" s="221" t="s">
        <v>3295</v>
      </c>
      <c r="F213" s="221" t="s">
        <v>3299</v>
      </c>
      <c r="G213" s="222">
        <v>45496</v>
      </c>
      <c r="H213" s="223">
        <v>0.29166666666666669</v>
      </c>
      <c r="I213" s="221" t="s">
        <v>4916</v>
      </c>
      <c r="J213" s="221" t="s">
        <v>3023</v>
      </c>
      <c r="K213" s="224" t="s">
        <v>3077</v>
      </c>
      <c r="L213" s="225" t="str">
        <f>VLOOKUP(Logfile_S12[[#This Row],[Material Name]],Sheet2!B:C,2,0)</f>
        <v>ZTE2004</v>
      </c>
      <c r="M213" s="225" t="str">
        <f>_xlfn.XLOOKUP(Logfile_S12[[#This Row],[Material Name]],Sum_WH!E:E,Sum_WH!F:F,"",0)</f>
        <v>Meter</v>
      </c>
      <c r="N213" s="221">
        <v>3000</v>
      </c>
      <c r="O213" s="221" t="s">
        <v>1799</v>
      </c>
      <c r="P213" s="221" t="s">
        <v>3398</v>
      </c>
      <c r="Q213" s="221"/>
      <c r="R213" s="221"/>
      <c r="S213" s="221"/>
      <c r="T213" s="221" t="s">
        <v>3258</v>
      </c>
      <c r="U213" s="221" t="s">
        <v>3228</v>
      </c>
      <c r="V213" s="221" t="s">
        <v>3337</v>
      </c>
      <c r="W213" s="221" t="s">
        <v>3338</v>
      </c>
      <c r="X213" s="221"/>
      <c r="Y213" s="236" t="s">
        <v>4970</v>
      </c>
      <c r="Z213" s="227" t="str">
        <f t="shared" si="11"/>
        <v>HUBFEEDER KEPANJEN TO JATIKERTO</v>
      </c>
      <c r="AA213" s="276" t="e">
        <f>VLOOKUP(Logfile_S12[[#This Row],[DO number]],DO_DB!G:I,3,0)</f>
        <v>#N/A</v>
      </c>
      <c r="AB213" s="331" t="e">
        <f>EXACT(Logfile_S12[[#This Row],[date pick]],Logfile_S12[[#This Row],[Date]])</f>
        <v>#N/A</v>
      </c>
      <c r="AC2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144C-2024722-01</v>
      </c>
    </row>
    <row r="214" spans="1:29" ht="14.5" hidden="1">
      <c r="A214" s="237" t="str">
        <f t="shared" si="10"/>
        <v>210</v>
      </c>
      <c r="B214" s="221"/>
      <c r="C214" s="221" t="s">
        <v>49</v>
      </c>
      <c r="D214" s="221" t="s">
        <v>4123</v>
      </c>
      <c r="E214" s="221" t="s">
        <v>3295</v>
      </c>
      <c r="F214" s="221" t="s">
        <v>3299</v>
      </c>
      <c r="G214" s="222">
        <v>45496</v>
      </c>
      <c r="H214" s="223">
        <v>0.29166666666666669</v>
      </c>
      <c r="I214" s="221" t="s">
        <v>4916</v>
      </c>
      <c r="J214" s="221" t="s">
        <v>3023</v>
      </c>
      <c r="K214" s="224" t="s">
        <v>3077</v>
      </c>
      <c r="L214" s="225" t="str">
        <f>VLOOKUP(Logfile_S12[[#This Row],[Material Name]],Sheet2!B:C,2,0)</f>
        <v>ZTE2004</v>
      </c>
      <c r="M214" s="225" t="str">
        <f>_xlfn.XLOOKUP(Logfile_S12[[#This Row],[Material Name]],Sum_WH!E:E,Sum_WH!F:F,"",0)</f>
        <v>Meter</v>
      </c>
      <c r="N214" s="221">
        <v>3000</v>
      </c>
      <c r="O214" s="221" t="s">
        <v>1799</v>
      </c>
      <c r="P214" s="221" t="s">
        <v>3398</v>
      </c>
      <c r="Q214" s="221"/>
      <c r="R214" s="227"/>
      <c r="S214" s="227"/>
      <c r="T214" s="221" t="s">
        <v>3258</v>
      </c>
      <c r="U214" s="221" t="s">
        <v>3228</v>
      </c>
      <c r="V214" s="221" t="s">
        <v>3337</v>
      </c>
      <c r="W214" s="221" t="s">
        <v>3338</v>
      </c>
      <c r="X214" s="221" t="s">
        <v>4975</v>
      </c>
      <c r="Y214" s="243" t="s">
        <v>4971</v>
      </c>
      <c r="Z214" s="227" t="str">
        <f t="shared" si="11"/>
        <v>HUBFEEDER KEPANJEN TO JATIKERTO</v>
      </c>
      <c r="AA214" s="276" t="e">
        <f>VLOOKUP(Logfile_S12[[#This Row],[DO number]],DO_DB!G:I,3,0)</f>
        <v>#N/A</v>
      </c>
      <c r="AB214" s="331" t="e">
        <f>EXACT(Logfile_S12[[#This Row],[date pick]],Logfile_S12[[#This Row],[Date]])</f>
        <v>#N/A</v>
      </c>
      <c r="AC2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144C-2024722-02</v>
      </c>
    </row>
    <row r="215" spans="1:29" ht="14.5" hidden="1">
      <c r="A215" s="237" t="str">
        <f t="shared" si="10"/>
        <v>211</v>
      </c>
      <c r="B215" s="221"/>
      <c r="C215" s="227" t="s">
        <v>48</v>
      </c>
      <c r="D215" s="227" t="s">
        <v>4122</v>
      </c>
      <c r="E215" s="227" t="s">
        <v>3295</v>
      </c>
      <c r="F215" s="227" t="s">
        <v>3299</v>
      </c>
      <c r="G215" s="239">
        <v>45496</v>
      </c>
      <c r="H215" s="240">
        <v>15.291666666666666</v>
      </c>
      <c r="I215" s="227" t="s">
        <v>37</v>
      </c>
      <c r="J215" s="227" t="s">
        <v>3023</v>
      </c>
      <c r="K215" s="241" t="s">
        <v>3073</v>
      </c>
      <c r="L215" s="225" t="str">
        <f>VLOOKUP(Logfile_S12[[#This Row],[Material Name]],Sheet2!B:C,2,0)</f>
        <v>ZTE2001</v>
      </c>
      <c r="M215" s="242" t="s">
        <v>20</v>
      </c>
      <c r="N215" s="227">
        <v>3000</v>
      </c>
      <c r="O215" s="227"/>
      <c r="P215" s="227"/>
      <c r="Q215" s="227">
        <v>0</v>
      </c>
      <c r="R215" s="227">
        <v>0</v>
      </c>
      <c r="S215" s="227"/>
      <c r="T215" s="227"/>
      <c r="U215" s="227"/>
      <c r="V215" s="227"/>
      <c r="W215" s="227"/>
      <c r="X215" s="227"/>
      <c r="Y215" s="227" t="s">
        <v>4950</v>
      </c>
      <c r="Z215" s="227">
        <f t="shared" si="11"/>
        <v>0</v>
      </c>
      <c r="AA215" s="276" t="e">
        <f>VLOOKUP(Logfile_S12[[#This Row],[DO number]],DO_DB!G:I,3,0)</f>
        <v>#N/A</v>
      </c>
      <c r="AB215" s="331" t="e">
        <f>EXACT(Logfile_S12[[#This Row],[date pick]],Logfile_S12[[#This Row],[Date]])</f>
        <v>#N/A</v>
      </c>
      <c r="AC2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24C-2024723-01</v>
      </c>
    </row>
    <row r="216" spans="1:29" ht="14.5" hidden="1">
      <c r="A216" s="220" t="str">
        <f t="shared" si="10"/>
        <v>212</v>
      </c>
      <c r="B216" s="221"/>
      <c r="C216" s="221" t="s">
        <v>48</v>
      </c>
      <c r="D216" s="221" t="s">
        <v>4122</v>
      </c>
      <c r="E216" s="221" t="s">
        <v>3295</v>
      </c>
      <c r="F216" s="221" t="s">
        <v>3299</v>
      </c>
      <c r="G216" s="222">
        <v>45496</v>
      </c>
      <c r="H216" s="223">
        <v>15.291666666666666</v>
      </c>
      <c r="I216" s="221" t="s">
        <v>37</v>
      </c>
      <c r="J216" s="221" t="s">
        <v>3023</v>
      </c>
      <c r="K216" s="224" t="s">
        <v>3073</v>
      </c>
      <c r="L216" s="225" t="str">
        <f>VLOOKUP(Logfile_S12[[#This Row],[Material Name]],Sheet2!B:C,2,0)</f>
        <v>ZTE2001</v>
      </c>
      <c r="M216" s="225" t="str">
        <f>_xlfn.XLOOKUP(Logfile_S12[[#This Row],[Material Name]],Sum_WH!E:E,Sum_WH!F:F,"",0)</f>
        <v>Meter</v>
      </c>
      <c r="N216" s="227">
        <v>3000</v>
      </c>
      <c r="O216" s="221"/>
      <c r="P216" s="221"/>
      <c r="Q216" s="221">
        <v>0</v>
      </c>
      <c r="R216" s="221">
        <v>0</v>
      </c>
      <c r="S216" s="221"/>
      <c r="T216" s="221"/>
      <c r="U216" s="221"/>
      <c r="V216" s="221"/>
      <c r="W216" s="221"/>
      <c r="X216" s="221"/>
      <c r="Y216" s="227" t="s">
        <v>5005</v>
      </c>
      <c r="Z216" s="227">
        <f t="shared" si="11"/>
        <v>0</v>
      </c>
      <c r="AA216" s="276" t="e">
        <f>VLOOKUP(Logfile_S12[[#This Row],[DO number]],DO_DB!G:I,3,0)</f>
        <v>#N/A</v>
      </c>
      <c r="AB216" s="331" t="e">
        <f>EXACT(Logfile_S12[[#This Row],[date pick]],Logfile_S12[[#This Row],[Date]])</f>
        <v>#N/A</v>
      </c>
      <c r="AC2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24C-2024723-02</v>
      </c>
    </row>
    <row r="217" spans="1:29" ht="14.5" hidden="1">
      <c r="A217" s="220" t="str">
        <f t="shared" si="10"/>
        <v>213</v>
      </c>
      <c r="B217" s="221"/>
      <c r="C217" s="221" t="s">
        <v>48</v>
      </c>
      <c r="D217" s="221" t="s">
        <v>4122</v>
      </c>
      <c r="E217" s="221" t="s">
        <v>3295</v>
      </c>
      <c r="F217" s="221" t="s">
        <v>3299</v>
      </c>
      <c r="G217" s="222">
        <v>45496</v>
      </c>
      <c r="H217" s="223">
        <v>15.291666666666666</v>
      </c>
      <c r="I217" s="221" t="s">
        <v>37</v>
      </c>
      <c r="J217" s="221" t="s">
        <v>3023</v>
      </c>
      <c r="K217" s="224" t="s">
        <v>3075</v>
      </c>
      <c r="L217" s="225" t="str">
        <f>VLOOKUP(Logfile_S12[[#This Row],[Material Name]],Sheet2!B:C,2,0)</f>
        <v>ZTE2003</v>
      </c>
      <c r="M217" s="225" t="str">
        <f>_xlfn.XLOOKUP(Logfile_S12[[#This Row],[Material Name]],Sum_WH!E:E,Sum_WH!F:F,"",0)</f>
        <v>Meter</v>
      </c>
      <c r="N217" s="221">
        <v>3000</v>
      </c>
      <c r="O217" s="221" t="s">
        <v>1803</v>
      </c>
      <c r="P217" s="221" t="s">
        <v>1804</v>
      </c>
      <c r="Q217" s="221" t="s">
        <v>1805</v>
      </c>
      <c r="R217" s="221" t="s">
        <v>1806</v>
      </c>
      <c r="S217" s="221"/>
      <c r="T217" s="221"/>
      <c r="U217" s="221"/>
      <c r="V217" s="221"/>
      <c r="W217" s="221"/>
      <c r="X217" s="221"/>
      <c r="Y217" s="227" t="s">
        <v>5067</v>
      </c>
      <c r="Z217" s="227" t="str">
        <f t="shared" si="11"/>
        <v>Dusun Langlang IV Singosari</v>
      </c>
      <c r="AA217" s="276">
        <f>VLOOKUP(Logfile_S12[[#This Row],[DO number]],DO_DB!G:I,3,0)</f>
        <v>45496</v>
      </c>
      <c r="AB217" s="331" t="b">
        <f>EXACT(Logfile_S12[[#This Row],[date pick]],Logfile_S12[[#This Row],[Date]])</f>
        <v>1</v>
      </c>
      <c r="AC2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48C-2024723-01</v>
      </c>
    </row>
    <row r="218" spans="1:29" ht="14.5" hidden="1">
      <c r="A218" s="220" t="str">
        <f t="shared" si="10"/>
        <v>214</v>
      </c>
      <c r="B218" s="221"/>
      <c r="C218" s="221" t="s">
        <v>49</v>
      </c>
      <c r="D218" s="221" t="s">
        <v>4132</v>
      </c>
      <c r="E218" s="221" t="s">
        <v>3295</v>
      </c>
      <c r="F218" s="221" t="s">
        <v>3299</v>
      </c>
      <c r="G218" s="222">
        <v>45500</v>
      </c>
      <c r="H218" s="223">
        <v>0.62847222222222221</v>
      </c>
      <c r="I218" s="221" t="s">
        <v>4916</v>
      </c>
      <c r="J218" s="221" t="s">
        <v>3023</v>
      </c>
      <c r="K218" s="224" t="s">
        <v>3073</v>
      </c>
      <c r="L218" s="225" t="str">
        <f>VLOOKUP(Logfile_S12[[#This Row],[Material Name]],Sheet2!B:C,2,0)</f>
        <v>ZTE2001</v>
      </c>
      <c r="M218" s="225" t="str">
        <f>_xlfn.XLOOKUP(Logfile_S12[[#This Row],[Material Name]],Sum_WH!E:E,Sum_WH!F:F,"",0)</f>
        <v>Meter</v>
      </c>
      <c r="N218" s="221">
        <v>3000</v>
      </c>
      <c r="O218" s="221" t="s">
        <v>1803</v>
      </c>
      <c r="P218" s="221" t="s">
        <v>1804</v>
      </c>
      <c r="Q218" s="221"/>
      <c r="R218" s="221"/>
      <c r="S218" s="221"/>
      <c r="T218" s="221" t="s">
        <v>3258</v>
      </c>
      <c r="U218" s="221" t="s">
        <v>3228</v>
      </c>
      <c r="V218" s="221" t="s">
        <v>3337</v>
      </c>
      <c r="W218" s="221" t="s">
        <v>3338</v>
      </c>
      <c r="X218" s="221" t="s">
        <v>3509</v>
      </c>
      <c r="Y218" s="227"/>
      <c r="Z218" s="227" t="str">
        <f t="shared" si="11"/>
        <v>Dusun Langlang IV Singosari</v>
      </c>
      <c r="AA218" s="276" t="e">
        <f>VLOOKUP(Logfile_S12[[#This Row],[DO number]],DO_DB!G:I,3,0)</f>
        <v>#N/A</v>
      </c>
      <c r="AB218" s="331" t="e">
        <f>EXACT(Logfile_S12[[#This Row],[date pick]],Logfile_S12[[#This Row],[Date]])</f>
        <v>#N/A</v>
      </c>
      <c r="AC2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9" spans="1:29" ht="14.5" hidden="1">
      <c r="A219" s="220" t="str">
        <f t="shared" si="10"/>
        <v>215</v>
      </c>
      <c r="B219" s="221"/>
      <c r="C219" s="221" t="s">
        <v>49</v>
      </c>
      <c r="D219" s="221" t="s">
        <v>4132</v>
      </c>
      <c r="E219" s="221" t="s">
        <v>3295</v>
      </c>
      <c r="F219" s="221" t="s">
        <v>3299</v>
      </c>
      <c r="G219" s="222">
        <v>45500</v>
      </c>
      <c r="H219" s="223">
        <v>0.62847222222222221</v>
      </c>
      <c r="I219" s="221" t="s">
        <v>4916</v>
      </c>
      <c r="J219" s="221" t="s">
        <v>3023</v>
      </c>
      <c r="K219" s="224" t="s">
        <v>3075</v>
      </c>
      <c r="L219" s="225" t="str">
        <f>VLOOKUP(Logfile_S12[[#This Row],[Material Name]],Sheet2!B:C,2,0)</f>
        <v>ZTE2003</v>
      </c>
      <c r="M219" s="225" t="str">
        <f>_xlfn.XLOOKUP(Logfile_S12[[#This Row],[Material Name]],Sum_WH!E:E,Sum_WH!F:F,"",0)</f>
        <v>Meter</v>
      </c>
      <c r="N219" s="221">
        <v>3000</v>
      </c>
      <c r="O219" s="221" t="s">
        <v>1803</v>
      </c>
      <c r="P219" s="221" t="s">
        <v>1804</v>
      </c>
      <c r="Q219" s="221"/>
      <c r="R219" s="221"/>
      <c r="S219" s="221"/>
      <c r="T219" s="221" t="s">
        <v>3258</v>
      </c>
      <c r="U219" s="221" t="s">
        <v>3228</v>
      </c>
      <c r="V219" s="221" t="s">
        <v>3337</v>
      </c>
      <c r="W219" s="221" t="s">
        <v>3338</v>
      </c>
      <c r="X219" s="221" t="s">
        <v>3207</v>
      </c>
      <c r="Y219" s="227"/>
      <c r="Z219" s="227" t="str">
        <f t="shared" si="11"/>
        <v>Dusun Langlang IV Singosari</v>
      </c>
      <c r="AA219" s="276" t="e">
        <f>VLOOKUP(Logfile_S12[[#This Row],[DO number]],DO_DB!G:I,3,0)</f>
        <v>#N/A</v>
      </c>
      <c r="AB219" s="331" t="e">
        <f>EXACT(Logfile_S12[[#This Row],[date pick]],Logfile_S12[[#This Row],[Date]])</f>
        <v>#N/A</v>
      </c>
      <c r="AC2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0" spans="1:29" ht="14.5" hidden="1">
      <c r="A220" s="220" t="str">
        <f t="shared" si="10"/>
        <v>216</v>
      </c>
      <c r="B220" s="221"/>
      <c r="C220" s="221" t="s">
        <v>3449</v>
      </c>
      <c r="D220" s="221" t="s">
        <v>4136</v>
      </c>
      <c r="E220" s="221" t="s">
        <v>3295</v>
      </c>
      <c r="F220" s="221" t="s">
        <v>3299</v>
      </c>
      <c r="G220" s="222">
        <v>45503</v>
      </c>
      <c r="H220" s="223">
        <v>0.75</v>
      </c>
      <c r="I220" s="221" t="s">
        <v>3193</v>
      </c>
      <c r="J220" s="221" t="s">
        <v>3023</v>
      </c>
      <c r="K220" s="224" t="s">
        <v>3077</v>
      </c>
      <c r="L220" s="225" t="str">
        <f>VLOOKUP(Logfile_S12[[#This Row],[Material Name]],Sheet2!B:C,2,0)</f>
        <v>ZTE2004</v>
      </c>
      <c r="M220" s="225" t="str">
        <f>_xlfn.XLOOKUP(Logfile_S12[[#This Row],[Material Name]],Sum_WH!E:E,Sum_WH!F:F,"",0)</f>
        <v>Meter</v>
      </c>
      <c r="N220" s="221">
        <v>3000</v>
      </c>
      <c r="O220" s="221" t="s">
        <v>4926</v>
      </c>
      <c r="P220" s="221" t="s">
        <v>3478</v>
      </c>
      <c r="Q220" s="221"/>
      <c r="R220" s="221"/>
      <c r="S220" s="221"/>
      <c r="T220" s="221" t="s">
        <v>3244</v>
      </c>
      <c r="U220" s="221">
        <v>0</v>
      </c>
      <c r="V220" s="221" t="s">
        <v>3248</v>
      </c>
      <c r="W220" s="221" t="s">
        <v>3252</v>
      </c>
      <c r="X220" s="221" t="s">
        <v>3480</v>
      </c>
      <c r="Y220" s="236" t="s">
        <v>4972</v>
      </c>
      <c r="Z220" s="227" t="str">
        <f t="shared" si="11"/>
        <v>MORASHA</v>
      </c>
      <c r="AA220" s="276" t="e">
        <f>VLOOKUP(Logfile_S12[[#This Row],[DO number]],DO_DB!G:I,3,0)</f>
        <v>#N/A</v>
      </c>
      <c r="AB220" s="331" t="e">
        <f>EXACT(Logfile_S12[[#This Row],[date pick]],Logfile_S12[[#This Row],[Date]])</f>
        <v>#N/A</v>
      </c>
      <c r="AC2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OUT_H-ADSS 144C-2024730-01</v>
      </c>
    </row>
    <row r="221" spans="1:29" ht="14.5" hidden="1">
      <c r="A221" s="237" t="str">
        <f t="shared" si="10"/>
        <v>217</v>
      </c>
      <c r="B221" s="221"/>
      <c r="C221" s="221" t="s">
        <v>3449</v>
      </c>
      <c r="D221" s="221" t="s">
        <v>4136</v>
      </c>
      <c r="E221" s="221" t="s">
        <v>3295</v>
      </c>
      <c r="F221" s="221" t="s">
        <v>3299</v>
      </c>
      <c r="G221" s="222">
        <v>45503</v>
      </c>
      <c r="H221" s="223">
        <v>0.75</v>
      </c>
      <c r="I221" s="221" t="s">
        <v>3193</v>
      </c>
      <c r="J221" s="221" t="s">
        <v>3023</v>
      </c>
      <c r="K221" s="224" t="s">
        <v>3077</v>
      </c>
      <c r="L221" s="225" t="str">
        <f>VLOOKUP(Logfile_S12[[#This Row],[Material Name]],Sheet2!B:C,2,0)</f>
        <v>ZTE2004</v>
      </c>
      <c r="M221" s="225" t="str">
        <f>_xlfn.XLOOKUP(Logfile_S12[[#This Row],[Material Name]],Sum_WH!E:E,Sum_WH!F:F,"",0)</f>
        <v>Meter</v>
      </c>
      <c r="N221" s="221">
        <v>3000</v>
      </c>
      <c r="O221" s="221" t="s">
        <v>4926</v>
      </c>
      <c r="P221" s="221" t="s">
        <v>3478</v>
      </c>
      <c r="Q221" s="221"/>
      <c r="R221" s="227"/>
      <c r="S221" s="227"/>
      <c r="T221" s="221" t="s">
        <v>3244</v>
      </c>
      <c r="U221" s="221">
        <v>0</v>
      </c>
      <c r="V221" s="221" t="s">
        <v>3248</v>
      </c>
      <c r="W221" s="221" t="s">
        <v>3252</v>
      </c>
      <c r="X221" s="221" t="s">
        <v>3480</v>
      </c>
      <c r="Y221" s="243" t="s">
        <v>4973</v>
      </c>
      <c r="Z221" s="227" t="str">
        <f t="shared" si="11"/>
        <v>MORASHA</v>
      </c>
      <c r="AA221" s="276" t="e">
        <f>VLOOKUP(Logfile_S12[[#This Row],[DO number]],DO_DB!G:I,3,0)</f>
        <v>#N/A</v>
      </c>
      <c r="AB221" s="331" t="e">
        <f>EXACT(Logfile_S12[[#This Row],[date pick]],Logfile_S12[[#This Row],[Date]])</f>
        <v>#N/A</v>
      </c>
      <c r="AC2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OUT_H-ADSS 144C-2024730-02</v>
      </c>
    </row>
    <row r="222" spans="1:29" ht="14.5" hidden="1">
      <c r="A222" s="220" t="str">
        <f t="shared" si="10"/>
        <v>218</v>
      </c>
      <c r="B222" s="221"/>
      <c r="C222" s="221" t="s">
        <v>48</v>
      </c>
      <c r="D222" s="221" t="s">
        <v>4134</v>
      </c>
      <c r="E222" s="221" t="s">
        <v>3295</v>
      </c>
      <c r="F222" s="221" t="s">
        <v>3299</v>
      </c>
      <c r="G222" s="222">
        <v>45503</v>
      </c>
      <c r="H222" s="223">
        <v>15.291666666666666</v>
      </c>
      <c r="I222" s="221" t="s">
        <v>37</v>
      </c>
      <c r="J222" s="221" t="s">
        <v>3023</v>
      </c>
      <c r="K222" s="224" t="s">
        <v>3077</v>
      </c>
      <c r="L222" s="225" t="str">
        <f>VLOOKUP(Logfile_S12[[#This Row],[Material Name]],Sheet2!B:C,2,0)</f>
        <v>ZTE2004</v>
      </c>
      <c r="M222" s="225" t="str">
        <f>_xlfn.XLOOKUP(Logfile_S12[[#This Row],[Material Name]],Sum_WH!E:E,Sum_WH!F:F,"",0)</f>
        <v>Meter</v>
      </c>
      <c r="N222" s="221">
        <v>3000</v>
      </c>
      <c r="O222" s="221" t="s">
        <v>1807</v>
      </c>
      <c r="P222" s="221" t="s">
        <v>1808</v>
      </c>
      <c r="Q222" s="221">
        <v>0</v>
      </c>
      <c r="R222" s="221">
        <v>0</v>
      </c>
      <c r="S222" s="221"/>
      <c r="T222" s="221"/>
      <c r="U222" s="221"/>
      <c r="V222" s="221"/>
      <c r="W222" s="221"/>
      <c r="X222" s="221"/>
      <c r="Y222" s="236" t="s">
        <v>4972</v>
      </c>
      <c r="Z222" s="227" t="str">
        <f t="shared" si="11"/>
        <v>Hub Feeder Segment 1 OLT Singosari to Girimoyo</v>
      </c>
      <c r="AA222" s="276" t="e">
        <f>VLOOKUP(Logfile_S12[[#This Row],[DO number]],DO_DB!G:I,3,0)</f>
        <v>#N/A</v>
      </c>
      <c r="AB222" s="331" t="e">
        <f>EXACT(Logfile_S12[[#This Row],[date pick]],Logfile_S12[[#This Row],[Date]])</f>
        <v>#N/A</v>
      </c>
      <c r="AC2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144C-2024730-01</v>
      </c>
    </row>
    <row r="223" spans="1:29" ht="14.5" hidden="1">
      <c r="A223" s="237" t="str">
        <f t="shared" si="10"/>
        <v>219</v>
      </c>
      <c r="B223" s="221"/>
      <c r="C223" s="221" t="s">
        <v>48</v>
      </c>
      <c r="D223" s="221" t="s">
        <v>4134</v>
      </c>
      <c r="E223" s="221" t="s">
        <v>3295</v>
      </c>
      <c r="F223" s="221" t="s">
        <v>3299</v>
      </c>
      <c r="G223" s="222">
        <v>45503</v>
      </c>
      <c r="H223" s="223">
        <v>15.291666666666666</v>
      </c>
      <c r="I223" s="221" t="s">
        <v>37</v>
      </c>
      <c r="J223" s="221" t="s">
        <v>3023</v>
      </c>
      <c r="K223" s="224" t="s">
        <v>3077</v>
      </c>
      <c r="L223" s="225" t="str">
        <f>VLOOKUP(Logfile_S12[[#This Row],[Material Name]],Sheet2!B:C,2,0)</f>
        <v>ZTE2004</v>
      </c>
      <c r="M223" s="225" t="str">
        <f>_xlfn.XLOOKUP(Logfile_S12[[#This Row],[Material Name]],Sum_WH!E:E,Sum_WH!F:F,"",0)</f>
        <v>Meter</v>
      </c>
      <c r="N223" s="221">
        <v>3000</v>
      </c>
      <c r="O223" s="221" t="s">
        <v>1807</v>
      </c>
      <c r="P223" s="221" t="s">
        <v>1808</v>
      </c>
      <c r="Q223" s="227"/>
      <c r="R223" s="227"/>
      <c r="S223" s="227"/>
      <c r="T223" s="227"/>
      <c r="U223" s="227"/>
      <c r="V223" s="227"/>
      <c r="W223" s="227"/>
      <c r="X223" s="227"/>
      <c r="Y223" s="243" t="s">
        <v>4973</v>
      </c>
      <c r="Z223" s="227" t="str">
        <f t="shared" si="11"/>
        <v>Hub Feeder Segment 1 OLT Singosari to Girimoyo</v>
      </c>
      <c r="AA223" s="276" t="e">
        <f>VLOOKUP(Logfile_S12[[#This Row],[DO number]],DO_DB!G:I,3,0)</f>
        <v>#N/A</v>
      </c>
      <c r="AB223" s="331" t="e">
        <f>EXACT(Logfile_S12[[#This Row],[date pick]],Logfile_S12[[#This Row],[Date]])</f>
        <v>#N/A</v>
      </c>
      <c r="AC2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144C-2024730-02</v>
      </c>
    </row>
    <row r="224" spans="1:29" ht="14.5" hidden="1">
      <c r="A224" s="237" t="str">
        <f t="shared" si="10"/>
        <v>220</v>
      </c>
      <c r="B224" s="221"/>
      <c r="C224" s="221" t="s">
        <v>48</v>
      </c>
      <c r="D224" s="221" t="s">
        <v>4134</v>
      </c>
      <c r="E224" s="221" t="s">
        <v>3295</v>
      </c>
      <c r="F224" s="221" t="s">
        <v>3299</v>
      </c>
      <c r="G224" s="222">
        <v>45503</v>
      </c>
      <c r="H224" s="223">
        <v>15.291666666666666</v>
      </c>
      <c r="I224" s="221" t="s">
        <v>37</v>
      </c>
      <c r="J224" s="221" t="s">
        <v>3023</v>
      </c>
      <c r="K224" s="224" t="s">
        <v>3077</v>
      </c>
      <c r="L224" s="225" t="str">
        <f>VLOOKUP(Logfile_S12[[#This Row],[Material Name]],Sheet2!B:C,2,0)</f>
        <v>ZTE2004</v>
      </c>
      <c r="M224" s="225" t="str">
        <f>_xlfn.XLOOKUP(Logfile_S12[[#This Row],[Material Name]],Sum_WH!E:E,Sum_WH!F:F,"",0)</f>
        <v>Meter</v>
      </c>
      <c r="N224" s="221">
        <v>3000</v>
      </c>
      <c r="O224" s="221" t="s">
        <v>1807</v>
      </c>
      <c r="P224" s="221" t="s">
        <v>1808</v>
      </c>
      <c r="Q224" s="227"/>
      <c r="R224" s="227"/>
      <c r="S224" s="227"/>
      <c r="T224" s="227"/>
      <c r="U224" s="227"/>
      <c r="V224" s="227"/>
      <c r="W224" s="227"/>
      <c r="X224" s="227"/>
      <c r="Y224" s="243" t="s">
        <v>4974</v>
      </c>
      <c r="Z224" s="227" t="str">
        <f t="shared" si="11"/>
        <v>Hub Feeder Segment 1 OLT Singosari to Girimoyo</v>
      </c>
      <c r="AA224" s="276" t="e">
        <f>VLOOKUP(Logfile_S12[[#This Row],[DO number]],DO_DB!G:I,3,0)</f>
        <v>#N/A</v>
      </c>
      <c r="AB224" s="331" t="e">
        <f>EXACT(Logfile_S12[[#This Row],[date pick]],Logfile_S12[[#This Row],[Date]])</f>
        <v>#N/A</v>
      </c>
      <c r="AC2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144C-2024730-03</v>
      </c>
    </row>
    <row r="225" spans="1:29" ht="14.5" hidden="1">
      <c r="A225" s="220" t="str">
        <f t="shared" si="10"/>
        <v>221</v>
      </c>
      <c r="B225" s="221"/>
      <c r="C225" s="221" t="s">
        <v>49</v>
      </c>
      <c r="D225" s="221" t="s">
        <v>4137</v>
      </c>
      <c r="E225" s="221" t="s">
        <v>3295</v>
      </c>
      <c r="F225" s="221" t="s">
        <v>3299</v>
      </c>
      <c r="G225" s="222">
        <v>45503</v>
      </c>
      <c r="H225" s="223">
        <v>0.43333333333333335</v>
      </c>
      <c r="I225" s="221" t="s">
        <v>4916</v>
      </c>
      <c r="J225" s="221" t="s">
        <v>3023</v>
      </c>
      <c r="K225" s="224" t="s">
        <v>3073</v>
      </c>
      <c r="L225" s="225" t="str">
        <f>VLOOKUP(Logfile_S12[[#This Row],[Material Name]],Sheet2!B:C,2,0)</f>
        <v>ZTE2001</v>
      </c>
      <c r="M225" s="225" t="str">
        <f>_xlfn.XLOOKUP(Logfile_S12[[#This Row],[Material Name]],Sum_WH!E:E,Sum_WH!F:F,"",0)</f>
        <v>Meter</v>
      </c>
      <c r="N225" s="221">
        <v>3000</v>
      </c>
      <c r="O225" s="221" t="s">
        <v>1803</v>
      </c>
      <c r="P225" s="221" t="s">
        <v>1804</v>
      </c>
      <c r="Q225" s="221"/>
      <c r="R225" s="221"/>
      <c r="S225" s="221"/>
      <c r="T225" s="221" t="s">
        <v>3258</v>
      </c>
      <c r="U225" s="221" t="s">
        <v>3228</v>
      </c>
      <c r="V225" s="221" t="s">
        <v>3337</v>
      </c>
      <c r="W225" s="221" t="s">
        <v>3338</v>
      </c>
      <c r="X225" s="221" t="s">
        <v>3510</v>
      </c>
      <c r="Y225" s="227"/>
      <c r="Z225" s="227" t="str">
        <f t="shared" si="11"/>
        <v>Dusun Langlang IV Singosari</v>
      </c>
      <c r="AA225" s="276" t="e">
        <f>VLOOKUP(Logfile_S12[[#This Row],[DO number]],DO_DB!G:I,3,0)</f>
        <v>#N/A</v>
      </c>
      <c r="AB225" s="331" t="e">
        <f>EXACT(Logfile_S12[[#This Row],[date pick]],Logfile_S12[[#This Row],[Date]])</f>
        <v>#N/A</v>
      </c>
      <c r="AC2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6" spans="1:29" ht="14.5" hidden="1">
      <c r="A226" s="220" t="str">
        <f t="shared" si="10"/>
        <v>222</v>
      </c>
      <c r="B226" s="221"/>
      <c r="C226" s="221" t="s">
        <v>49</v>
      </c>
      <c r="D226" s="221" t="s">
        <v>4135</v>
      </c>
      <c r="E226" s="221" t="s">
        <v>3295</v>
      </c>
      <c r="F226" s="221" t="s">
        <v>3299</v>
      </c>
      <c r="G226" s="222">
        <v>45503</v>
      </c>
      <c r="H226" s="223">
        <v>0.43333333333333335</v>
      </c>
      <c r="I226" s="221" t="s">
        <v>4916</v>
      </c>
      <c r="J226" s="221" t="s">
        <v>3023</v>
      </c>
      <c r="K226" s="224" t="s">
        <v>3075</v>
      </c>
      <c r="L226" s="225" t="str">
        <f>VLOOKUP(Logfile_S12[[#This Row],[Material Name]],Sheet2!B:C,2,0)</f>
        <v>ZTE2003</v>
      </c>
      <c r="M226" s="225" t="str">
        <f>_xlfn.XLOOKUP(Logfile_S12[[#This Row],[Material Name]],Sum_WH!E:E,Sum_WH!F:F,"",0)</f>
        <v>Meter</v>
      </c>
      <c r="N226" s="221">
        <v>3000</v>
      </c>
      <c r="O226" s="221" t="s">
        <v>1803</v>
      </c>
      <c r="P226" s="221" t="s">
        <v>1804</v>
      </c>
      <c r="Q226" s="221"/>
      <c r="R226" s="221"/>
      <c r="S226" s="221"/>
      <c r="T226" s="221" t="s">
        <v>3258</v>
      </c>
      <c r="U226" s="221" t="s">
        <v>3228</v>
      </c>
      <c r="V226" s="221" t="s">
        <v>3337</v>
      </c>
      <c r="W226" s="221" t="s">
        <v>3338</v>
      </c>
      <c r="X226" s="221" t="s">
        <v>3207</v>
      </c>
      <c r="Y226" s="227"/>
      <c r="Z226" s="227" t="str">
        <f t="shared" si="11"/>
        <v>Dusun Langlang IV Singosari</v>
      </c>
      <c r="AA226" s="276" t="e">
        <f>VLOOKUP(Logfile_S12[[#This Row],[DO number]],DO_DB!G:I,3,0)</f>
        <v>#N/A</v>
      </c>
      <c r="AB226" s="331" t="e">
        <f>EXACT(Logfile_S12[[#This Row],[date pick]],Logfile_S12[[#This Row],[Date]])</f>
        <v>#N/A</v>
      </c>
      <c r="AC2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7" spans="1:29" ht="14.5" hidden="1">
      <c r="A227" s="237" t="str">
        <f t="shared" si="10"/>
        <v>223</v>
      </c>
      <c r="B227" s="221"/>
      <c r="C227" s="227" t="s">
        <v>49</v>
      </c>
      <c r="D227" s="227" t="s">
        <v>4147</v>
      </c>
      <c r="E227" s="227" t="s">
        <v>3295</v>
      </c>
      <c r="F227" s="227" t="s">
        <v>3299</v>
      </c>
      <c r="G227" s="239">
        <v>45508</v>
      </c>
      <c r="H227" s="240">
        <v>0.74444444444444446</v>
      </c>
      <c r="I227" s="227" t="s">
        <v>3586</v>
      </c>
      <c r="J227" s="482" t="s">
        <v>4432</v>
      </c>
      <c r="K227" s="241" t="s">
        <v>3077</v>
      </c>
      <c r="L227" s="225" t="str">
        <f>VLOOKUP(Logfile_S12[[#This Row],[Material Name]],Sheet2!B:C,2,0)</f>
        <v>ZTE2004</v>
      </c>
      <c r="M227" s="242" t="s">
        <v>20</v>
      </c>
      <c r="N227" s="227">
        <v>1500</v>
      </c>
      <c r="O227" s="227" t="s">
        <v>1807</v>
      </c>
      <c r="P227" s="227" t="s">
        <v>3399</v>
      </c>
      <c r="Q227" s="227"/>
      <c r="R227" s="227"/>
      <c r="S227" s="227"/>
      <c r="T227" s="227" t="s">
        <v>3244</v>
      </c>
      <c r="U227" s="227">
        <v>0</v>
      </c>
      <c r="V227" s="227" t="s">
        <v>3248</v>
      </c>
      <c r="W227" s="227" t="s">
        <v>3252</v>
      </c>
      <c r="X227" s="227"/>
      <c r="Y227" s="238" t="s">
        <v>4971</v>
      </c>
      <c r="Z227" s="238" t="str">
        <f t="shared" si="11"/>
        <v>HUBFEEDER TIRTASANI TO GIRIMOYO</v>
      </c>
      <c r="AA227" s="276" t="e">
        <f>VLOOKUP(Logfile_S12[[#This Row],[DO number]],DO_DB!G:I,3,0)</f>
        <v>#N/A</v>
      </c>
      <c r="AB227" s="332" t="e">
        <f>EXACT(Logfile_S12[[#This Row],[date pick]],Logfile_S12[[#This Row],[Date]])</f>
        <v>#N/A</v>
      </c>
      <c r="AC227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144C-2024722-02</v>
      </c>
    </row>
    <row r="228" spans="1:29" ht="14.5" hidden="1">
      <c r="A228" s="220" t="str">
        <f t="shared" si="10"/>
        <v>224</v>
      </c>
      <c r="B228" s="221"/>
      <c r="C228" s="221" t="s">
        <v>49</v>
      </c>
      <c r="D228" s="221" t="s">
        <v>4147</v>
      </c>
      <c r="E228" s="221" t="s">
        <v>3295</v>
      </c>
      <c r="F228" s="221" t="s">
        <v>3299</v>
      </c>
      <c r="G228" s="222">
        <v>45508</v>
      </c>
      <c r="H228" s="223">
        <v>0.74444444444444446</v>
      </c>
      <c r="I228" s="221" t="s">
        <v>4916</v>
      </c>
      <c r="J228" s="221" t="s">
        <v>3023</v>
      </c>
      <c r="K228" s="224" t="s">
        <v>3077</v>
      </c>
      <c r="L228" s="225" t="str">
        <f>VLOOKUP(Logfile_S12[[#This Row],[Material Name]],Sheet2!B:C,2,0)</f>
        <v>ZTE2004</v>
      </c>
      <c r="M228" s="225" t="str">
        <f>_xlfn.XLOOKUP(Logfile_S12[[#This Row],[Material Name]],Sum_WH!E:E,Sum_WH!F:F,"",0)</f>
        <v>Meter</v>
      </c>
      <c r="N228" s="221">
        <v>3000</v>
      </c>
      <c r="O228" s="221" t="s">
        <v>1807</v>
      </c>
      <c r="P228" s="221" t="s">
        <v>3399</v>
      </c>
      <c r="Q228" s="221"/>
      <c r="R228" s="221"/>
      <c r="S228" s="221"/>
      <c r="T228" s="221" t="s">
        <v>3244</v>
      </c>
      <c r="U228" s="221" t="s">
        <v>3228</v>
      </c>
      <c r="V228" s="221" t="s">
        <v>3248</v>
      </c>
      <c r="W228" s="221" t="s">
        <v>3252</v>
      </c>
      <c r="X228" s="221"/>
      <c r="Y228" s="236" t="s">
        <v>4974</v>
      </c>
      <c r="Z228" s="227" t="str">
        <f t="shared" si="11"/>
        <v>HUBFEEDER TIRTASANI TO GIRIMOYO</v>
      </c>
      <c r="AA228" s="276" t="e">
        <f>VLOOKUP(Logfile_S12[[#This Row],[DO number]],DO_DB!G:I,3,0)</f>
        <v>#N/A</v>
      </c>
      <c r="AB228" s="331" t="e">
        <f>EXACT(Logfile_S12[[#This Row],[date pick]],Logfile_S12[[#This Row],[Date]])</f>
        <v>#N/A</v>
      </c>
      <c r="AC2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144C-2024730-03</v>
      </c>
    </row>
    <row r="229" spans="1:29" ht="14.5" hidden="1">
      <c r="A229" s="220" t="str">
        <f t="shared" si="10"/>
        <v>225</v>
      </c>
      <c r="B229" s="221"/>
      <c r="C229" s="221" t="s">
        <v>48</v>
      </c>
      <c r="D229" s="221" t="s">
        <v>4166</v>
      </c>
      <c r="E229" s="221" t="s">
        <v>3295</v>
      </c>
      <c r="F229" s="221" t="s">
        <v>3299</v>
      </c>
      <c r="G229" s="222">
        <v>45526</v>
      </c>
      <c r="H229" s="223">
        <v>15.291666666666666</v>
      </c>
      <c r="I229" s="221" t="s">
        <v>37</v>
      </c>
      <c r="J229" s="221" t="s">
        <v>3023</v>
      </c>
      <c r="K229" s="224" t="s">
        <v>3073</v>
      </c>
      <c r="L229" s="225" t="str">
        <f>VLOOKUP(Logfile_S12[[#This Row],[Material Name]],Sheet2!B:C,2,0)</f>
        <v>ZTE2001</v>
      </c>
      <c r="M229" s="225" t="str">
        <f>_xlfn.XLOOKUP(Logfile_S12[[#This Row],[Material Name]],Sum_WH!E:E,Sum_WH!F:F,"",0)</f>
        <v>Meter</v>
      </c>
      <c r="N229" s="227">
        <v>3000</v>
      </c>
      <c r="O229" s="221"/>
      <c r="P229" s="221"/>
      <c r="Q229" s="221">
        <v>0</v>
      </c>
      <c r="R229" s="221">
        <v>0</v>
      </c>
      <c r="S229" s="221"/>
      <c r="T229" s="221"/>
      <c r="U229" s="221"/>
      <c r="V229" s="221"/>
      <c r="W229" s="221"/>
      <c r="X229" s="221"/>
      <c r="Y229" s="227" t="s">
        <v>5006</v>
      </c>
      <c r="Z229" s="227">
        <f t="shared" si="11"/>
        <v>0</v>
      </c>
      <c r="AA229" s="276" t="e">
        <f>VLOOKUP(Logfile_S12[[#This Row],[DO number]],DO_DB!G:I,3,0)</f>
        <v>#N/A</v>
      </c>
      <c r="AB229" s="331" t="e">
        <f>EXACT(Logfile_S12[[#This Row],[date pick]],Logfile_S12[[#This Row],[Date]])</f>
        <v>#N/A</v>
      </c>
      <c r="AC2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24C-2024822-01</v>
      </c>
    </row>
    <row r="230" spans="1:29" ht="14.5" hidden="1">
      <c r="A230" s="237" t="str">
        <f t="shared" si="10"/>
        <v>226</v>
      </c>
      <c r="B230" s="221"/>
      <c r="C230" s="221" t="s">
        <v>48</v>
      </c>
      <c r="D230" s="221" t="s">
        <v>4166</v>
      </c>
      <c r="E230" s="221" t="s">
        <v>3295</v>
      </c>
      <c r="F230" s="221" t="s">
        <v>3299</v>
      </c>
      <c r="G230" s="222">
        <v>45526</v>
      </c>
      <c r="H230" s="223">
        <v>15.291666666666666</v>
      </c>
      <c r="I230" s="221" t="s">
        <v>37</v>
      </c>
      <c r="J230" s="221" t="s">
        <v>3023</v>
      </c>
      <c r="K230" s="224" t="s">
        <v>3073</v>
      </c>
      <c r="L230" s="225" t="str">
        <f>VLOOKUP(Logfile_S12[[#This Row],[Material Name]],Sheet2!B:C,2,0)</f>
        <v>ZTE2001</v>
      </c>
      <c r="M230" s="225" t="str">
        <f>_xlfn.XLOOKUP(Logfile_S12[[#This Row],[Material Name]],Sum_WH!E:E,Sum_WH!F:F,"",0)</f>
        <v>Meter</v>
      </c>
      <c r="N230" s="227">
        <v>3000</v>
      </c>
      <c r="O230" s="221"/>
      <c r="P230" s="221"/>
      <c r="Q230" s="227"/>
      <c r="R230" s="227"/>
      <c r="S230" s="227"/>
      <c r="T230" s="227"/>
      <c r="U230" s="227"/>
      <c r="V230" s="227"/>
      <c r="W230" s="227"/>
      <c r="X230" s="227"/>
      <c r="Y230" s="238" t="s">
        <v>5007</v>
      </c>
      <c r="Z230" s="227">
        <f t="shared" si="11"/>
        <v>0</v>
      </c>
      <c r="AA230" s="276" t="e">
        <f>VLOOKUP(Logfile_S12[[#This Row],[DO number]],DO_DB!G:I,3,0)</f>
        <v>#N/A</v>
      </c>
      <c r="AB230" s="331" t="e">
        <f>EXACT(Logfile_S12[[#This Row],[date pick]],Logfile_S12[[#This Row],[Date]])</f>
        <v>#N/A</v>
      </c>
      <c r="AC2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24C-2024822-02</v>
      </c>
    </row>
    <row r="231" spans="1:29" ht="14.5" hidden="1">
      <c r="A231" s="237" t="str">
        <f t="shared" si="10"/>
        <v>227</v>
      </c>
      <c r="B231" s="221"/>
      <c r="C231" s="221" t="s">
        <v>48</v>
      </c>
      <c r="D231" s="221" t="s">
        <v>4166</v>
      </c>
      <c r="E231" s="221" t="s">
        <v>3295</v>
      </c>
      <c r="F231" s="221" t="s">
        <v>3299</v>
      </c>
      <c r="G231" s="222">
        <v>45526</v>
      </c>
      <c r="H231" s="223">
        <v>15.291666666666666</v>
      </c>
      <c r="I231" s="221" t="s">
        <v>37</v>
      </c>
      <c r="J231" s="221" t="s">
        <v>3023</v>
      </c>
      <c r="K231" s="224" t="s">
        <v>3073</v>
      </c>
      <c r="L231" s="225" t="str">
        <f>VLOOKUP(Logfile_S12[[#This Row],[Material Name]],Sheet2!B:C,2,0)</f>
        <v>ZTE2001</v>
      </c>
      <c r="M231" s="225" t="str">
        <f>_xlfn.XLOOKUP(Logfile_S12[[#This Row],[Material Name]],Sum_WH!E:E,Sum_WH!F:F,"",0)</f>
        <v>Meter</v>
      </c>
      <c r="N231" s="227">
        <v>3000</v>
      </c>
      <c r="O231" s="221"/>
      <c r="P231" s="221"/>
      <c r="Q231" s="227"/>
      <c r="R231" s="227"/>
      <c r="S231" s="227"/>
      <c r="T231" s="227"/>
      <c r="U231" s="227"/>
      <c r="V231" s="227"/>
      <c r="W231" s="227"/>
      <c r="X231" s="227"/>
      <c r="Y231" s="238" t="s">
        <v>5008</v>
      </c>
      <c r="Z231" s="227">
        <f t="shared" si="11"/>
        <v>0</v>
      </c>
      <c r="AA231" s="276" t="e">
        <f>VLOOKUP(Logfile_S12[[#This Row],[DO number]],DO_DB!G:I,3,0)</f>
        <v>#N/A</v>
      </c>
      <c r="AB231" s="331" t="e">
        <f>EXACT(Logfile_S12[[#This Row],[date pick]],Logfile_S12[[#This Row],[Date]])</f>
        <v>#N/A</v>
      </c>
      <c r="AC2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24C-2024822-03</v>
      </c>
    </row>
    <row r="232" spans="1:29" ht="14.5" hidden="1">
      <c r="A232" s="237" t="str">
        <f t="shared" si="10"/>
        <v>228</v>
      </c>
      <c r="B232" s="221"/>
      <c r="C232" s="227" t="s">
        <v>48</v>
      </c>
      <c r="D232" s="227" t="s">
        <v>4166</v>
      </c>
      <c r="E232" s="227" t="s">
        <v>3295</v>
      </c>
      <c r="F232" s="227" t="s">
        <v>3299</v>
      </c>
      <c r="G232" s="239">
        <v>45526</v>
      </c>
      <c r="H232" s="240">
        <v>15.291666666666666</v>
      </c>
      <c r="I232" s="227" t="s">
        <v>37</v>
      </c>
      <c r="J232" s="227" t="s">
        <v>3023</v>
      </c>
      <c r="K232" s="241" t="s">
        <v>3075</v>
      </c>
      <c r="L232" s="225" t="str">
        <f>VLOOKUP(Logfile_S12[[#This Row],[Material Name]],Sheet2!B:C,2,0)</f>
        <v>ZTE2003</v>
      </c>
      <c r="M232" s="242" t="str">
        <f>_xlfn.XLOOKUP(Logfile_S12[[#This Row],[Material Name]],Sum_WH!E:E,Sum_WH!F:F,"",0)</f>
        <v>Meter</v>
      </c>
      <c r="N232" s="227">
        <v>3000</v>
      </c>
      <c r="O232" s="227" t="s">
        <v>1929</v>
      </c>
      <c r="P232" s="227" t="s">
        <v>1930</v>
      </c>
      <c r="Q232" s="221" t="s">
        <v>1931</v>
      </c>
      <c r="R232" s="221" t="s">
        <v>1932</v>
      </c>
      <c r="S232" s="227"/>
      <c r="T232" s="227"/>
      <c r="U232" s="227"/>
      <c r="V232" s="227"/>
      <c r="W232" s="227"/>
      <c r="X232" s="227"/>
      <c r="Y232" s="227" t="s">
        <v>5068</v>
      </c>
      <c r="Z232" s="227" t="str">
        <f t="shared" si="11"/>
        <v>Dusun Krajan Sumbersekar</v>
      </c>
      <c r="AA232" s="276">
        <f>VLOOKUP(Logfile_S12[[#This Row],[DO number]],DO_DB!G:I,3,0)</f>
        <v>45526</v>
      </c>
      <c r="AB232" s="331" t="b">
        <f>EXACT(Logfile_S12[[#This Row],[date pick]],Logfile_S12[[#This Row],[Date]])</f>
        <v>1</v>
      </c>
      <c r="AC2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48C-2024822-01</v>
      </c>
    </row>
    <row r="233" spans="1:29" ht="14.5" hidden="1">
      <c r="A233" s="220" t="str">
        <f t="shared" si="10"/>
        <v>229</v>
      </c>
      <c r="B233" s="221"/>
      <c r="C233" s="221" t="s">
        <v>48</v>
      </c>
      <c r="D233" s="221" t="s">
        <v>4166</v>
      </c>
      <c r="E233" s="221" t="s">
        <v>3295</v>
      </c>
      <c r="F233" s="221" t="s">
        <v>3299</v>
      </c>
      <c r="G233" s="222">
        <v>45526</v>
      </c>
      <c r="H233" s="223">
        <v>15.291666666666666</v>
      </c>
      <c r="I233" s="221" t="s">
        <v>37</v>
      </c>
      <c r="J233" s="221" t="s">
        <v>3023</v>
      </c>
      <c r="K233" s="224" t="s">
        <v>3075</v>
      </c>
      <c r="L233" s="225" t="str">
        <f>VLOOKUP(Logfile_S12[[#This Row],[Material Name]],Sheet2!B:C,2,0)</f>
        <v>ZTE2003</v>
      </c>
      <c r="M233" s="225" t="str">
        <f>_xlfn.XLOOKUP(Logfile_S12[[#This Row],[Material Name]],Sum_WH!E:E,Sum_WH!F:F,"",0)</f>
        <v>Meter</v>
      </c>
      <c r="N233" s="221">
        <v>3000</v>
      </c>
      <c r="O233" s="221" t="s">
        <v>1911</v>
      </c>
      <c r="P233" s="221" t="s">
        <v>1912</v>
      </c>
      <c r="Q233" s="221" t="s">
        <v>1915</v>
      </c>
      <c r="R233" s="221" t="s">
        <v>1916</v>
      </c>
      <c r="S233" s="221"/>
      <c r="T233" s="221"/>
      <c r="U233" s="221"/>
      <c r="V233" s="221"/>
      <c r="W233" s="221"/>
      <c r="X233" s="221"/>
      <c r="Y233" s="227" t="s">
        <v>5069</v>
      </c>
      <c r="Z233" s="227" t="str">
        <f t="shared" si="11"/>
        <v>Dilem RW 03 Kepanjen</v>
      </c>
      <c r="AA233" s="276">
        <f>VLOOKUP(Logfile_S12[[#This Row],[DO number]],DO_DB!G:I,3,0)</f>
        <v>45526</v>
      </c>
      <c r="AB233" s="331" t="b">
        <f>EXACT(Logfile_S12[[#This Row],[date pick]],Logfile_S12[[#This Row],[Date]])</f>
        <v>1</v>
      </c>
      <c r="AC2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48C-2024822-02</v>
      </c>
    </row>
    <row r="234" spans="1:29" ht="14.5" hidden="1">
      <c r="A234" s="220" t="str">
        <f t="shared" si="10"/>
        <v>230</v>
      </c>
      <c r="B234" s="221"/>
      <c r="C234" s="221" t="s">
        <v>49</v>
      </c>
      <c r="D234" s="221" t="s">
        <v>4174</v>
      </c>
      <c r="E234" s="221" t="s">
        <v>3295</v>
      </c>
      <c r="F234" s="221" t="s">
        <v>3299</v>
      </c>
      <c r="G234" s="222">
        <v>45527</v>
      </c>
      <c r="H234" s="223">
        <v>0.46736111111111112</v>
      </c>
      <c r="I234" s="221" t="s">
        <v>4916</v>
      </c>
      <c r="J234" s="221" t="s">
        <v>3023</v>
      </c>
      <c r="K234" s="224" t="s">
        <v>3073</v>
      </c>
      <c r="L234" s="225" t="str">
        <f>VLOOKUP(Logfile_S12[[#This Row],[Material Name]],Sheet2!B:C,2,0)</f>
        <v>ZTE2001</v>
      </c>
      <c r="M234" s="225" t="str">
        <f>_xlfn.XLOOKUP(Logfile_S12[[#This Row],[Material Name]],Sum_WH!E:E,Sum_WH!F:F,"",0)</f>
        <v>Meter</v>
      </c>
      <c r="N234" s="221">
        <v>3000</v>
      </c>
      <c r="O234" s="221" t="s">
        <v>1911</v>
      </c>
      <c r="P234" s="221" t="s">
        <v>1912</v>
      </c>
      <c r="Q234" s="221"/>
      <c r="R234" s="221"/>
      <c r="S234" s="221"/>
      <c r="T234" s="221" t="s">
        <v>3258</v>
      </c>
      <c r="U234" s="221" t="s">
        <v>3228</v>
      </c>
      <c r="V234" s="221" t="s">
        <v>3337</v>
      </c>
      <c r="W234" s="221" t="s">
        <v>3338</v>
      </c>
      <c r="X234" s="221"/>
      <c r="Y234" s="227"/>
      <c r="Z234" s="227" t="str">
        <f t="shared" si="11"/>
        <v>Dilem RW 03 Kepanjen</v>
      </c>
      <c r="AA234" s="276" t="e">
        <f>VLOOKUP(Logfile_S12[[#This Row],[DO number]],DO_DB!G:I,3,0)</f>
        <v>#N/A</v>
      </c>
      <c r="AB234" s="331" t="e">
        <f>EXACT(Logfile_S12[[#This Row],[date pick]],Logfile_S12[[#This Row],[Date]])</f>
        <v>#N/A</v>
      </c>
      <c r="AC2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5" spans="1:29" ht="14.5" hidden="1">
      <c r="A235" s="220" t="str">
        <f t="shared" si="10"/>
        <v>231</v>
      </c>
      <c r="B235" s="221"/>
      <c r="C235" s="221" t="s">
        <v>3388</v>
      </c>
      <c r="D235" s="221" t="s">
        <v>4887</v>
      </c>
      <c r="E235" s="221" t="s">
        <v>3295</v>
      </c>
      <c r="F235" s="221" t="s">
        <v>3299</v>
      </c>
      <c r="G235" s="222">
        <v>45527</v>
      </c>
      <c r="H235" s="223">
        <v>0.79097222222222219</v>
      </c>
      <c r="I235" s="221" t="s">
        <v>4916</v>
      </c>
      <c r="J235" s="221" t="s">
        <v>3023</v>
      </c>
      <c r="K235" s="224" t="s">
        <v>3075</v>
      </c>
      <c r="L235" s="225" t="str">
        <f>VLOOKUP(Logfile_S12[[#This Row],[Material Name]],Sheet2!B:C,2,0)</f>
        <v>ZTE2003</v>
      </c>
      <c r="M235" s="225" t="str">
        <f>_xlfn.XLOOKUP(Logfile_S12[[#This Row],[Material Name]],Sum_WH!E:E,Sum_WH!F:F,"",0)</f>
        <v>Meter</v>
      </c>
      <c r="N235" s="221">
        <v>3000</v>
      </c>
      <c r="O235" s="221" t="s">
        <v>1391</v>
      </c>
      <c r="P235" s="221" t="s">
        <v>3223</v>
      </c>
      <c r="Q235" s="221"/>
      <c r="R235" s="221"/>
      <c r="S235" s="221"/>
      <c r="T235" s="221" t="s">
        <v>3244</v>
      </c>
      <c r="U235" s="221">
        <v>0</v>
      </c>
      <c r="V235" s="221" t="s">
        <v>3248</v>
      </c>
      <c r="W235" s="221" t="s">
        <v>3252</v>
      </c>
      <c r="X235" s="221" t="s">
        <v>3207</v>
      </c>
      <c r="Y235" s="227"/>
      <c r="Z235" s="227" t="str">
        <f t="shared" si="11"/>
        <v>Transfer Gudang</v>
      </c>
      <c r="AA235" s="276" t="e">
        <f>VLOOKUP(Logfile_S12[[#This Row],[DO number]],DO_DB!G:I,3,0)</f>
        <v>#N/A</v>
      </c>
      <c r="AB235" s="331" t="e">
        <f>EXACT(Logfile_S12[[#This Row],[date pick]],Logfile_S12[[#This Row],[Date]])</f>
        <v>#N/A</v>
      </c>
      <c r="AC2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236" spans="1:29" ht="14.5" hidden="1">
      <c r="A236" s="220" t="str">
        <f t="shared" si="10"/>
        <v>232</v>
      </c>
      <c r="B236" s="221"/>
      <c r="C236" s="221" t="s">
        <v>3429</v>
      </c>
      <c r="D236" s="221" t="s">
        <v>4175</v>
      </c>
      <c r="E236" s="221" t="s">
        <v>3295</v>
      </c>
      <c r="F236" s="221" t="s">
        <v>3299</v>
      </c>
      <c r="G236" s="222">
        <v>45530</v>
      </c>
      <c r="H236" s="223">
        <v>15.291666666666666</v>
      </c>
      <c r="I236" s="221" t="s">
        <v>3193</v>
      </c>
      <c r="J236" s="221" t="s">
        <v>3023</v>
      </c>
      <c r="K236" s="224" t="s">
        <v>3077</v>
      </c>
      <c r="L236" s="225" t="str">
        <f>VLOOKUP(Logfile_S12[[#This Row],[Material Name]],Sheet2!B:C,2,0)</f>
        <v>ZTE2004</v>
      </c>
      <c r="M236" s="225" t="str">
        <f>_xlfn.XLOOKUP(Logfile_S12[[#This Row],[Material Name]],Sum_WH!E:E,Sum_WH!F:F,"",0)</f>
        <v>Meter</v>
      </c>
      <c r="N236" s="221">
        <v>3000</v>
      </c>
      <c r="O236" s="221" t="s">
        <v>4928</v>
      </c>
      <c r="P236" s="221" t="s">
        <v>3430</v>
      </c>
      <c r="Q236" s="221">
        <v>0</v>
      </c>
      <c r="R236" s="221">
        <v>0</v>
      </c>
      <c r="S236" s="221"/>
      <c r="T236" s="221"/>
      <c r="U236" s="221"/>
      <c r="V236" s="221"/>
      <c r="W236" s="221"/>
      <c r="X236" s="221" t="s">
        <v>3481</v>
      </c>
      <c r="Y236" s="236" t="s">
        <v>4977</v>
      </c>
      <c r="Z236" s="227" t="str">
        <f t="shared" si="11"/>
        <v>MIDGO</v>
      </c>
      <c r="AA236" s="276" t="e">
        <f>VLOOKUP(Logfile_S12[[#This Row],[DO number]],DO_DB!G:I,3,0)</f>
        <v>#N/A</v>
      </c>
      <c r="AB236" s="331" t="e">
        <f>EXACT(Logfile_S12[[#This Row],[date pick]],Logfile_S12[[#This Row],[Date]])</f>
        <v>#N/A</v>
      </c>
      <c r="AC2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144C-2024826-01</v>
      </c>
    </row>
    <row r="237" spans="1:29" ht="14.5" hidden="1">
      <c r="A237" s="220" t="str">
        <f t="shared" si="10"/>
        <v>233</v>
      </c>
      <c r="B237" s="221"/>
      <c r="C237" s="221" t="s">
        <v>48</v>
      </c>
      <c r="D237" s="221" t="s">
        <v>4176</v>
      </c>
      <c r="E237" s="221" t="s">
        <v>3295</v>
      </c>
      <c r="F237" s="221" t="s">
        <v>3299</v>
      </c>
      <c r="G237" s="222">
        <v>45531</v>
      </c>
      <c r="H237" s="223">
        <v>15.291666666666666</v>
      </c>
      <c r="I237" s="221" t="s">
        <v>37</v>
      </c>
      <c r="J237" s="221" t="s">
        <v>3023</v>
      </c>
      <c r="K237" s="224" t="s">
        <v>3077</v>
      </c>
      <c r="L237" s="225" t="str">
        <f>VLOOKUP(Logfile_S12[[#This Row],[Material Name]],Sheet2!B:C,2,0)</f>
        <v>ZTE2004</v>
      </c>
      <c r="M237" s="225" t="str">
        <f>_xlfn.XLOOKUP(Logfile_S12[[#This Row],[Material Name]],Sum_WH!E:E,Sum_WH!F:F,"",0)</f>
        <v>Meter</v>
      </c>
      <c r="N237" s="221">
        <v>3000</v>
      </c>
      <c r="O237" s="221" t="s">
        <v>1967</v>
      </c>
      <c r="P237" s="221" t="s">
        <v>1968</v>
      </c>
      <c r="Q237" s="221">
        <v>0</v>
      </c>
      <c r="R237" s="221">
        <v>0</v>
      </c>
      <c r="S237" s="221"/>
      <c r="T237" s="221"/>
      <c r="U237" s="221"/>
      <c r="V237" s="221"/>
      <c r="W237" s="221"/>
      <c r="X237" s="221"/>
      <c r="Y237" s="236" t="s">
        <v>4978</v>
      </c>
      <c r="Z237" s="227" t="str">
        <f t="shared" si="11"/>
        <v>HUBFEEDER DALISODO WAGIR MALANG</v>
      </c>
      <c r="AA237" s="276" t="e">
        <f>VLOOKUP(Logfile_S12[[#This Row],[DO number]],DO_DB!G:I,3,0)</f>
        <v>#N/A</v>
      </c>
      <c r="AB237" s="331" t="e">
        <f>EXACT(Logfile_S12[[#This Row],[date pick]],Logfile_S12[[#This Row],[Date]])</f>
        <v>#N/A</v>
      </c>
      <c r="AC2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144C-2024827-01</v>
      </c>
    </row>
    <row r="238" spans="1:29" ht="14.5" hidden="1">
      <c r="A238" s="237" t="str">
        <f t="shared" si="10"/>
        <v>234</v>
      </c>
      <c r="B238" s="221"/>
      <c r="C238" s="221" t="s">
        <v>48</v>
      </c>
      <c r="D238" s="221" t="s">
        <v>4176</v>
      </c>
      <c r="E238" s="221" t="s">
        <v>3295</v>
      </c>
      <c r="F238" s="221" t="s">
        <v>3299</v>
      </c>
      <c r="G238" s="222">
        <v>45531</v>
      </c>
      <c r="H238" s="223">
        <v>15.291666666666666</v>
      </c>
      <c r="I238" s="221" t="s">
        <v>37</v>
      </c>
      <c r="J238" s="221" t="s">
        <v>3023</v>
      </c>
      <c r="K238" s="224" t="s">
        <v>3077</v>
      </c>
      <c r="L238" s="225" t="str">
        <f>VLOOKUP(Logfile_S12[[#This Row],[Material Name]],Sheet2!B:C,2,0)</f>
        <v>ZTE2004</v>
      </c>
      <c r="M238" s="225" t="str">
        <f>_xlfn.XLOOKUP(Logfile_S12[[#This Row],[Material Name]],Sum_WH!E:E,Sum_WH!F:F,"",0)</f>
        <v>Meter</v>
      </c>
      <c r="N238" s="221">
        <v>3000</v>
      </c>
      <c r="O238" s="221" t="s">
        <v>1967</v>
      </c>
      <c r="P238" s="221" t="s">
        <v>1968</v>
      </c>
      <c r="Q238" s="227"/>
      <c r="R238" s="227"/>
      <c r="S238" s="227"/>
      <c r="T238" s="227"/>
      <c r="U238" s="227"/>
      <c r="V238" s="227"/>
      <c r="W238" s="227"/>
      <c r="X238" s="227"/>
      <c r="Y238" s="243" t="s">
        <v>4979</v>
      </c>
      <c r="Z238" s="227" t="str">
        <f t="shared" si="11"/>
        <v>HUBFEEDER DALISODO WAGIR MALANG</v>
      </c>
      <c r="AA238" s="276" t="e">
        <f>VLOOKUP(Logfile_S12[[#This Row],[DO number]],DO_DB!G:I,3,0)</f>
        <v>#N/A</v>
      </c>
      <c r="AB238" s="331" t="e">
        <f>EXACT(Logfile_S12[[#This Row],[date pick]],Logfile_S12[[#This Row],[Date]])</f>
        <v>#N/A</v>
      </c>
      <c r="AC2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144C-2024827-02</v>
      </c>
    </row>
    <row r="239" spans="1:29" ht="14.5" hidden="1">
      <c r="A239" s="220" t="str">
        <f t="shared" si="10"/>
        <v>235</v>
      </c>
      <c r="B239" s="221"/>
      <c r="C239" s="221" t="s">
        <v>48</v>
      </c>
      <c r="D239" s="221" t="s">
        <v>4181</v>
      </c>
      <c r="E239" s="221" t="s">
        <v>3295</v>
      </c>
      <c r="F239" s="221" t="s">
        <v>3299</v>
      </c>
      <c r="G239" s="222">
        <v>45531</v>
      </c>
      <c r="H239" s="223">
        <v>15.291666666666666</v>
      </c>
      <c r="I239" s="221" t="s">
        <v>37</v>
      </c>
      <c r="J239" s="221" t="s">
        <v>3023</v>
      </c>
      <c r="K239" s="224" t="s">
        <v>3073</v>
      </c>
      <c r="L239" s="225" t="str">
        <f>VLOOKUP(Logfile_S12[[#This Row],[Material Name]],Sheet2!B:C,2,0)</f>
        <v>ZTE2001</v>
      </c>
      <c r="M239" s="225" t="str">
        <f>_xlfn.XLOOKUP(Logfile_S12[[#This Row],[Material Name]],Sum_WH!E:E,Sum_WH!F:F,"",0)</f>
        <v>Meter</v>
      </c>
      <c r="N239" s="227">
        <v>3000</v>
      </c>
      <c r="O239" s="221"/>
      <c r="P239" s="221"/>
      <c r="Q239" s="221">
        <v>0</v>
      </c>
      <c r="R239" s="221">
        <v>0</v>
      </c>
      <c r="S239" s="221"/>
      <c r="T239" s="221"/>
      <c r="U239" s="221"/>
      <c r="V239" s="221"/>
      <c r="W239" s="221"/>
      <c r="X239" s="221"/>
      <c r="Y239" s="236" t="s">
        <v>4951</v>
      </c>
      <c r="Z239" s="227">
        <f t="shared" si="11"/>
        <v>0</v>
      </c>
      <c r="AA239" s="276" t="e">
        <f>VLOOKUP(Logfile_S12[[#This Row],[DO number]],DO_DB!G:I,3,0)</f>
        <v>#N/A</v>
      </c>
      <c r="AB239" s="331" t="e">
        <f>EXACT(Logfile_S12[[#This Row],[date pick]],Logfile_S12[[#This Row],[Date]])</f>
        <v>#N/A</v>
      </c>
      <c r="AC2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24C-2024827-01</v>
      </c>
    </row>
    <row r="240" spans="1:29" ht="14.5" hidden="1">
      <c r="A240" s="237" t="str">
        <f t="shared" si="10"/>
        <v>236</v>
      </c>
      <c r="B240" s="221"/>
      <c r="C240" s="227" t="s">
        <v>48</v>
      </c>
      <c r="D240" s="227" t="s">
        <v>4181</v>
      </c>
      <c r="E240" s="227" t="s">
        <v>3295</v>
      </c>
      <c r="F240" s="227" t="s">
        <v>3299</v>
      </c>
      <c r="G240" s="239">
        <v>45531</v>
      </c>
      <c r="H240" s="240">
        <v>15.291666666666666</v>
      </c>
      <c r="I240" s="227" t="s">
        <v>37</v>
      </c>
      <c r="J240" s="227" t="s">
        <v>3023</v>
      </c>
      <c r="K240" s="241" t="s">
        <v>3073</v>
      </c>
      <c r="L240" s="225" t="str">
        <f>VLOOKUP(Logfile_S12[[#This Row],[Material Name]],Sheet2!B:C,2,0)</f>
        <v>ZTE2001</v>
      </c>
      <c r="M240" s="242" t="s">
        <v>20</v>
      </c>
      <c r="N240" s="227">
        <v>3000</v>
      </c>
      <c r="O240" s="227"/>
      <c r="P240" s="227"/>
      <c r="Q240" s="227">
        <v>0</v>
      </c>
      <c r="R240" s="227">
        <v>0</v>
      </c>
      <c r="S240" s="227"/>
      <c r="T240" s="227"/>
      <c r="U240" s="227"/>
      <c r="V240" s="227"/>
      <c r="W240" s="227"/>
      <c r="X240" s="227"/>
      <c r="Y240" s="227" t="s">
        <v>5009</v>
      </c>
      <c r="Z240" s="227">
        <f t="shared" si="11"/>
        <v>0</v>
      </c>
      <c r="AA240" s="276" t="e">
        <f>VLOOKUP(Logfile_S12[[#This Row],[DO number]],DO_DB!G:I,3,0)</f>
        <v>#N/A</v>
      </c>
      <c r="AB240" s="331" t="e">
        <f>EXACT(Logfile_S12[[#This Row],[date pick]],Logfile_S12[[#This Row],[Date]])</f>
        <v>#N/A</v>
      </c>
      <c r="AC2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24C-2024827-02</v>
      </c>
    </row>
    <row r="241" spans="1:29" ht="14.5" hidden="1">
      <c r="A241" s="220" t="str">
        <f t="shared" si="10"/>
        <v>237</v>
      </c>
      <c r="B241" s="221"/>
      <c r="C241" s="221" t="s">
        <v>48</v>
      </c>
      <c r="D241" s="221" t="s">
        <v>4181</v>
      </c>
      <c r="E241" s="221" t="s">
        <v>3295</v>
      </c>
      <c r="F241" s="221" t="s">
        <v>3299</v>
      </c>
      <c r="G241" s="222">
        <v>45531</v>
      </c>
      <c r="H241" s="223">
        <v>15.291666666666666</v>
      </c>
      <c r="I241" s="221" t="s">
        <v>37</v>
      </c>
      <c r="J241" s="221" t="s">
        <v>3023</v>
      </c>
      <c r="K241" s="224" t="s">
        <v>3075</v>
      </c>
      <c r="L241" s="225" t="str">
        <f>VLOOKUP(Logfile_S12[[#This Row],[Material Name]],Sheet2!B:C,2,0)</f>
        <v>ZTE2003</v>
      </c>
      <c r="M241" s="225" t="str">
        <f>_xlfn.XLOOKUP(Logfile_S12[[#This Row],[Material Name]],Sum_WH!E:E,Sum_WH!F:F,"",0)</f>
        <v>Meter</v>
      </c>
      <c r="N241" s="221">
        <v>3000</v>
      </c>
      <c r="O241" s="221" t="s">
        <v>1951</v>
      </c>
      <c r="P241" s="221" t="s">
        <v>1952</v>
      </c>
      <c r="Q241" s="221" t="s">
        <v>2011</v>
      </c>
      <c r="R241" s="221" t="s">
        <v>2012</v>
      </c>
      <c r="S241" s="221"/>
      <c r="T241" s="221"/>
      <c r="U241" s="221"/>
      <c r="V241" s="221"/>
      <c r="W241" s="221"/>
      <c r="X241" s="221"/>
      <c r="Y241" s="227" t="s">
        <v>5070</v>
      </c>
      <c r="Z241" s="227" t="str">
        <f t="shared" si="11"/>
        <v>Sengguruh RW 01 Malang</v>
      </c>
      <c r="AA241" s="276">
        <f>VLOOKUP(Logfile_S12[[#This Row],[DO number]],DO_DB!G:I,3,0)</f>
        <v>45531</v>
      </c>
      <c r="AB241" s="331" t="b">
        <f>EXACT(Logfile_S12[[#This Row],[date pick]],Logfile_S12[[#This Row],[Date]])</f>
        <v>1</v>
      </c>
      <c r="AC2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48C-2024828-01</v>
      </c>
    </row>
    <row r="242" spans="1:29" ht="14.5" hidden="1">
      <c r="A242" s="237" t="str">
        <f t="shared" si="10"/>
        <v>238</v>
      </c>
      <c r="B242" s="221"/>
      <c r="C242" s="221" t="s">
        <v>48</v>
      </c>
      <c r="D242" s="221" t="s">
        <v>4181</v>
      </c>
      <c r="E242" s="221" t="s">
        <v>3295</v>
      </c>
      <c r="F242" s="221" t="s">
        <v>3299</v>
      </c>
      <c r="G242" s="222">
        <v>45531</v>
      </c>
      <c r="H242" s="223">
        <v>15.291666666666666</v>
      </c>
      <c r="I242" s="221" t="s">
        <v>37</v>
      </c>
      <c r="J242" s="221" t="s">
        <v>3023</v>
      </c>
      <c r="K242" s="224" t="s">
        <v>3075</v>
      </c>
      <c r="L242" s="225" t="str">
        <f>VLOOKUP(Logfile_S12[[#This Row],[Material Name]],Sheet2!B:C,2,0)</f>
        <v>ZTE2003</v>
      </c>
      <c r="M242" s="225" t="str">
        <f>_xlfn.XLOOKUP(Logfile_S12[[#This Row],[Material Name]],Sum_WH!E:E,Sum_WH!F:F,"",0)</f>
        <v>Meter</v>
      </c>
      <c r="N242" s="221">
        <v>3000</v>
      </c>
      <c r="O242" s="221" t="s">
        <v>1951</v>
      </c>
      <c r="P242" s="221" t="s">
        <v>1952</v>
      </c>
      <c r="Q242" s="221" t="s">
        <v>2011</v>
      </c>
      <c r="R242" s="221" t="s">
        <v>2012</v>
      </c>
      <c r="S242" s="227"/>
      <c r="T242" s="227"/>
      <c r="U242" s="227"/>
      <c r="V242" s="227"/>
      <c r="W242" s="227"/>
      <c r="X242" s="227"/>
      <c r="Y242" s="238" t="s">
        <v>5071</v>
      </c>
      <c r="Z242" s="227" t="str">
        <f t="shared" si="11"/>
        <v>Sengguruh RW 01 Malang</v>
      </c>
      <c r="AA242" s="276">
        <f>VLOOKUP(Logfile_S12[[#This Row],[DO number]],DO_DB!G:I,3,0)</f>
        <v>45531</v>
      </c>
      <c r="AB242" s="331" t="b">
        <f>EXACT(Logfile_S12[[#This Row],[date pick]],Logfile_S12[[#This Row],[Date]])</f>
        <v>1</v>
      </c>
      <c r="AC2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48C-2024828-02</v>
      </c>
    </row>
    <row r="243" spans="1:29" ht="14.5" hidden="1">
      <c r="A243" s="237" t="str">
        <f t="shared" si="10"/>
        <v>239</v>
      </c>
      <c r="B243" s="221"/>
      <c r="C243" s="221" t="s">
        <v>48</v>
      </c>
      <c r="D243" s="221" t="s">
        <v>4181</v>
      </c>
      <c r="E243" s="221" t="s">
        <v>3295</v>
      </c>
      <c r="F243" s="221" t="s">
        <v>3299</v>
      </c>
      <c r="G243" s="222">
        <v>45531</v>
      </c>
      <c r="H243" s="223">
        <v>15.291666666666666</v>
      </c>
      <c r="I243" s="221" t="s">
        <v>37</v>
      </c>
      <c r="J243" s="221" t="s">
        <v>3023</v>
      </c>
      <c r="K243" s="224" t="s">
        <v>3075</v>
      </c>
      <c r="L243" s="225" t="str">
        <f>VLOOKUP(Logfile_S12[[#This Row],[Material Name]],Sheet2!B:C,2,0)</f>
        <v>ZTE2003</v>
      </c>
      <c r="M243" s="225" t="str">
        <f>_xlfn.XLOOKUP(Logfile_S12[[#This Row],[Material Name]],Sum_WH!E:E,Sum_WH!F:F,"",0)</f>
        <v>Meter</v>
      </c>
      <c r="N243" s="221">
        <v>3000</v>
      </c>
      <c r="O243" s="221" t="s">
        <v>1951</v>
      </c>
      <c r="P243" s="221" t="s">
        <v>1952</v>
      </c>
      <c r="Q243" s="221" t="s">
        <v>2011</v>
      </c>
      <c r="R243" s="221" t="s">
        <v>2012</v>
      </c>
      <c r="S243" s="227"/>
      <c r="T243" s="227"/>
      <c r="U243" s="227"/>
      <c r="V243" s="227"/>
      <c r="W243" s="227"/>
      <c r="X243" s="227"/>
      <c r="Y243" s="238" t="s">
        <v>5072</v>
      </c>
      <c r="Z243" s="227" t="str">
        <f t="shared" si="11"/>
        <v>Sengguruh RW 01 Malang</v>
      </c>
      <c r="AA243" s="276">
        <f>VLOOKUP(Logfile_S12[[#This Row],[DO number]],DO_DB!G:I,3,0)</f>
        <v>45531</v>
      </c>
      <c r="AB243" s="331" t="b">
        <f>EXACT(Logfile_S12[[#This Row],[date pick]],Logfile_S12[[#This Row],[Date]])</f>
        <v>1</v>
      </c>
      <c r="AC2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48C-2024828-03</v>
      </c>
    </row>
    <row r="244" spans="1:29" ht="14.5" hidden="1">
      <c r="A244" s="220" t="str">
        <f t="shared" si="10"/>
        <v>240</v>
      </c>
      <c r="B244" s="221"/>
      <c r="C244" s="221" t="s">
        <v>49</v>
      </c>
      <c r="D244" s="221" t="s">
        <v>4187</v>
      </c>
      <c r="E244" s="221" t="s">
        <v>3295</v>
      </c>
      <c r="F244" s="221" t="s">
        <v>3299</v>
      </c>
      <c r="G244" s="222">
        <v>45533</v>
      </c>
      <c r="H244" s="223">
        <v>0.34652777777777777</v>
      </c>
      <c r="I244" s="221" t="s">
        <v>4916</v>
      </c>
      <c r="J244" s="221" t="s">
        <v>3023</v>
      </c>
      <c r="K244" s="224" t="s">
        <v>3075</v>
      </c>
      <c r="L244" s="225" t="str">
        <f>VLOOKUP(Logfile_S12[[#This Row],[Material Name]],Sheet2!B:C,2,0)</f>
        <v>ZTE2003</v>
      </c>
      <c r="M244" s="225" t="str">
        <f>_xlfn.XLOOKUP(Logfile_S12[[#This Row],[Material Name]],Sum_WH!E:E,Sum_WH!F:F,"",0)</f>
        <v>Meter</v>
      </c>
      <c r="N244" s="221">
        <v>3000</v>
      </c>
      <c r="O244" s="221" t="s">
        <v>1929</v>
      </c>
      <c r="P244" s="221" t="s">
        <v>1930</v>
      </c>
      <c r="Q244" s="221"/>
      <c r="R244" s="221"/>
      <c r="S244" s="221"/>
      <c r="T244" s="221" t="s">
        <v>3244</v>
      </c>
      <c r="U244" s="221" t="s">
        <v>3228</v>
      </c>
      <c r="V244" s="221" t="s">
        <v>3248</v>
      </c>
      <c r="W244" s="221" t="s">
        <v>3252</v>
      </c>
      <c r="X244" s="221" t="s">
        <v>3565</v>
      </c>
      <c r="Y244" s="227"/>
      <c r="Z244" s="227" t="str">
        <f t="shared" si="11"/>
        <v>Dusun Krajan Sumbersekar</v>
      </c>
      <c r="AA244" s="276" t="e">
        <f>VLOOKUP(Logfile_S12[[#This Row],[DO number]],DO_DB!G:I,3,0)</f>
        <v>#N/A</v>
      </c>
      <c r="AB244" s="331" t="e">
        <f>EXACT(Logfile_S12[[#This Row],[date pick]],Logfile_S12[[#This Row],[Date]])</f>
        <v>#N/A</v>
      </c>
      <c r="AC2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5" spans="1:29" ht="14.5" hidden="1">
      <c r="A245" s="220" t="str">
        <f t="shared" si="10"/>
        <v>241</v>
      </c>
      <c r="B245" s="221"/>
      <c r="C245" s="221" t="s">
        <v>49</v>
      </c>
      <c r="D245" s="221" t="s">
        <v>4189</v>
      </c>
      <c r="E245" s="221" t="s">
        <v>3295</v>
      </c>
      <c r="F245" s="221" t="s">
        <v>3299</v>
      </c>
      <c r="G245" s="222">
        <v>45534</v>
      </c>
      <c r="H245" s="223">
        <v>0.61527777777777781</v>
      </c>
      <c r="I245" s="221" t="s">
        <v>4916</v>
      </c>
      <c r="J245" s="221" t="s">
        <v>3023</v>
      </c>
      <c r="K245" s="224" t="s">
        <v>3077</v>
      </c>
      <c r="L245" s="225" t="str">
        <f>VLOOKUP(Logfile_S12[[#This Row],[Material Name]],Sheet2!B:C,2,0)</f>
        <v>ZTE2004</v>
      </c>
      <c r="M245" s="225" t="str">
        <f>_xlfn.XLOOKUP(Logfile_S12[[#This Row],[Material Name]],Sum_WH!E:E,Sum_WH!F:F,"",0)</f>
        <v>Meter</v>
      </c>
      <c r="N245" s="221">
        <v>3000</v>
      </c>
      <c r="O245" s="221" t="s">
        <v>2142</v>
      </c>
      <c r="P245" s="221" t="s">
        <v>3400</v>
      </c>
      <c r="Q245" s="221"/>
      <c r="R245" s="221"/>
      <c r="S245" s="221"/>
      <c r="T245" s="221" t="s">
        <v>3244</v>
      </c>
      <c r="U245" s="221" t="s">
        <v>3228</v>
      </c>
      <c r="V245" s="221" t="s">
        <v>3248</v>
      </c>
      <c r="W245" s="221" t="s">
        <v>3252</v>
      </c>
      <c r="X245" s="221"/>
      <c r="Y245" s="236" t="s">
        <v>4977</v>
      </c>
      <c r="Z245" s="227" t="str">
        <f t="shared" si="11"/>
        <v>HUBFEEDER DINOYO SUMBERSEKAR</v>
      </c>
      <c r="AA245" s="276" t="e">
        <f>VLOOKUP(Logfile_S12[[#This Row],[DO number]],DO_DB!G:I,3,0)</f>
        <v>#N/A</v>
      </c>
      <c r="AB245" s="331" t="e">
        <f>EXACT(Logfile_S12[[#This Row],[date pick]],Logfile_S12[[#This Row],[Date]])</f>
        <v>#N/A</v>
      </c>
      <c r="AC2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144C-2024826-01</v>
      </c>
    </row>
    <row r="246" spans="1:29" ht="14.5" hidden="1">
      <c r="A246" s="237" t="str">
        <f t="shared" si="10"/>
        <v>242</v>
      </c>
      <c r="B246" s="221"/>
      <c r="C246" s="221" t="s">
        <v>49</v>
      </c>
      <c r="D246" s="221" t="s">
        <v>4189</v>
      </c>
      <c r="E246" s="221" t="s">
        <v>3295</v>
      </c>
      <c r="F246" s="221" t="s">
        <v>3299</v>
      </c>
      <c r="G246" s="222">
        <v>45534</v>
      </c>
      <c r="H246" s="223">
        <v>0.61527777777777781</v>
      </c>
      <c r="I246" s="221" t="s">
        <v>4916</v>
      </c>
      <c r="J246" s="221" t="s">
        <v>3023</v>
      </c>
      <c r="K246" s="224" t="s">
        <v>3077</v>
      </c>
      <c r="L246" s="225" t="str">
        <f>VLOOKUP(Logfile_S12[[#This Row],[Material Name]],Sheet2!B:C,2,0)</f>
        <v>ZTE2004</v>
      </c>
      <c r="M246" s="225" t="str">
        <f>_xlfn.XLOOKUP(Logfile_S12[[#This Row],[Material Name]],Sum_WH!E:E,Sum_WH!F:F,"",0)</f>
        <v>Meter</v>
      </c>
      <c r="N246" s="221">
        <v>3000</v>
      </c>
      <c r="O246" s="221" t="s">
        <v>2142</v>
      </c>
      <c r="P246" s="221" t="s">
        <v>3400</v>
      </c>
      <c r="Q246" s="221"/>
      <c r="R246" s="227"/>
      <c r="S246" s="227"/>
      <c r="T246" s="221" t="s">
        <v>3244</v>
      </c>
      <c r="U246" s="221" t="s">
        <v>3228</v>
      </c>
      <c r="V246" s="221" t="s">
        <v>3248</v>
      </c>
      <c r="W246" s="221" t="s">
        <v>3252</v>
      </c>
      <c r="X246" s="221"/>
      <c r="Y246" s="243" t="s">
        <v>4978</v>
      </c>
      <c r="Z246" s="227" t="str">
        <f t="shared" si="11"/>
        <v>HUBFEEDER DINOYO SUMBERSEKAR</v>
      </c>
      <c r="AA246" s="276" t="e">
        <f>VLOOKUP(Logfile_S12[[#This Row],[DO number]],DO_DB!G:I,3,0)</f>
        <v>#N/A</v>
      </c>
      <c r="AB246" s="331" t="e">
        <f>EXACT(Logfile_S12[[#This Row],[date pick]],Logfile_S12[[#This Row],[Date]])</f>
        <v>#N/A</v>
      </c>
      <c r="AC2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144C-2024827-01</v>
      </c>
    </row>
    <row r="247" spans="1:29" ht="14.5" hidden="1">
      <c r="A247" s="220" t="str">
        <f t="shared" si="10"/>
        <v>243</v>
      </c>
      <c r="B247" s="221"/>
      <c r="C247" s="221" t="s">
        <v>49</v>
      </c>
      <c r="D247" s="221" t="s">
        <v>4188</v>
      </c>
      <c r="E247" s="221" t="s">
        <v>3295</v>
      </c>
      <c r="F247" s="221" t="s">
        <v>3299</v>
      </c>
      <c r="G247" s="222">
        <v>45534</v>
      </c>
      <c r="H247" s="223">
        <v>0.27569444444444446</v>
      </c>
      <c r="I247" s="221" t="s">
        <v>4916</v>
      </c>
      <c r="J247" s="221" t="s">
        <v>3023</v>
      </c>
      <c r="K247" s="224" t="s">
        <v>3075</v>
      </c>
      <c r="L247" s="225" t="str">
        <f>VLOOKUP(Logfile_S12[[#This Row],[Material Name]],Sheet2!B:C,2,0)</f>
        <v>ZTE2003</v>
      </c>
      <c r="M247" s="225" t="str">
        <f>_xlfn.XLOOKUP(Logfile_S12[[#This Row],[Material Name]],Sum_WH!E:E,Sum_WH!F:F,"",0)</f>
        <v>Meter</v>
      </c>
      <c r="N247" s="221">
        <v>3000</v>
      </c>
      <c r="O247" s="221" t="s">
        <v>1951</v>
      </c>
      <c r="P247" s="221" t="s">
        <v>3374</v>
      </c>
      <c r="Q247" s="221"/>
      <c r="R247" s="221"/>
      <c r="S247" s="221"/>
      <c r="T247" s="221" t="s">
        <v>3258</v>
      </c>
      <c r="U247" s="221" t="s">
        <v>3228</v>
      </c>
      <c r="V247" s="221" t="s">
        <v>3337</v>
      </c>
      <c r="W247" s="221" t="s">
        <v>3338</v>
      </c>
      <c r="X247" s="221" t="s">
        <v>3566</v>
      </c>
      <c r="Y247" s="227"/>
      <c r="Z247" s="227" t="str">
        <f t="shared" si="11"/>
        <v>SENGGURUH RW 01 MALANG</v>
      </c>
      <c r="AA247" s="276" t="e">
        <f>VLOOKUP(Logfile_S12[[#This Row],[DO number]],DO_DB!G:I,3,0)</f>
        <v>#N/A</v>
      </c>
      <c r="AB247" s="331" t="e">
        <f>EXACT(Logfile_S12[[#This Row],[date pick]],Logfile_S12[[#This Row],[Date]])</f>
        <v>#N/A</v>
      </c>
      <c r="AC2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8" spans="1:29" ht="14.5" hidden="1">
      <c r="A248" s="220" t="str">
        <f t="shared" si="10"/>
        <v>244</v>
      </c>
      <c r="B248" s="221"/>
      <c r="C248" s="221" t="s">
        <v>49</v>
      </c>
      <c r="D248" s="221" t="s">
        <v>4191</v>
      </c>
      <c r="E248" s="221" t="s">
        <v>3295</v>
      </c>
      <c r="F248" s="221" t="s">
        <v>3299</v>
      </c>
      <c r="G248" s="222">
        <v>45535</v>
      </c>
      <c r="H248" s="223">
        <v>0.41388888888888886</v>
      </c>
      <c r="I248" s="221" t="s">
        <v>4916</v>
      </c>
      <c r="J248" s="221" t="s">
        <v>3023</v>
      </c>
      <c r="K248" s="224" t="s">
        <v>3077</v>
      </c>
      <c r="L248" s="225" t="str">
        <f>VLOOKUP(Logfile_S12[[#This Row],[Material Name]],Sheet2!B:C,2,0)</f>
        <v>ZTE2004</v>
      </c>
      <c r="M248" s="225" t="str">
        <f>_xlfn.XLOOKUP(Logfile_S12[[#This Row],[Material Name]],Sum_WH!E:E,Sum_WH!F:F,"",0)</f>
        <v>Meter</v>
      </c>
      <c r="N248" s="221">
        <v>3000</v>
      </c>
      <c r="O248" s="221" t="s">
        <v>2142</v>
      </c>
      <c r="P248" s="221" t="s">
        <v>3400</v>
      </c>
      <c r="Q248" s="221"/>
      <c r="R248" s="221"/>
      <c r="S248" s="221"/>
      <c r="T248" s="221" t="s">
        <v>3244</v>
      </c>
      <c r="U248" s="221" t="s">
        <v>3228</v>
      </c>
      <c r="V248" s="221" t="s">
        <v>3248</v>
      </c>
      <c r="W248" s="221" t="s">
        <v>3252</v>
      </c>
      <c r="X248" s="221"/>
      <c r="Y248" s="236" t="s">
        <v>4979</v>
      </c>
      <c r="Z248" s="227" t="str">
        <f t="shared" si="11"/>
        <v>HUBFEEDER DINOYO SUMBERSEKAR</v>
      </c>
      <c r="AA248" s="276" t="e">
        <f>VLOOKUP(Logfile_S12[[#This Row],[DO number]],DO_DB!G:I,3,0)</f>
        <v>#N/A</v>
      </c>
      <c r="AB248" s="331" t="e">
        <f>EXACT(Logfile_S12[[#This Row],[date pick]],Logfile_S12[[#This Row],[Date]])</f>
        <v>#N/A</v>
      </c>
      <c r="AC2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144C-2024827-02</v>
      </c>
    </row>
    <row r="249" spans="1:29" ht="14.5" hidden="1">
      <c r="A249" s="237" t="str">
        <f t="shared" si="10"/>
        <v>245</v>
      </c>
      <c r="B249" s="221"/>
      <c r="C249" s="227" t="s">
        <v>48</v>
      </c>
      <c r="D249" s="227" t="s">
        <v>5120</v>
      </c>
      <c r="E249" s="227" t="s">
        <v>3295</v>
      </c>
      <c r="F249" s="227" t="s">
        <v>3299</v>
      </c>
      <c r="G249" s="239">
        <v>45535</v>
      </c>
      <c r="H249" s="240">
        <v>0.51180555555555551</v>
      </c>
      <c r="I249" s="227" t="s">
        <v>3586</v>
      </c>
      <c r="J249" s="482" t="s">
        <v>4432</v>
      </c>
      <c r="K249" s="241" t="s">
        <v>3073</v>
      </c>
      <c r="L249" s="225" t="str">
        <f>VLOOKUP(Logfile_S12[[#This Row],[Material Name]],Sheet2!B:C,2,0)</f>
        <v>ZTE2001</v>
      </c>
      <c r="M249" s="242" t="s">
        <v>20</v>
      </c>
      <c r="N249" s="227">
        <v>600</v>
      </c>
      <c r="O249" s="227" t="s">
        <v>1951</v>
      </c>
      <c r="P249" s="227" t="s">
        <v>3374</v>
      </c>
      <c r="Q249" s="227"/>
      <c r="R249" s="227"/>
      <c r="S249" s="227"/>
      <c r="T249" s="227" t="s">
        <v>3258</v>
      </c>
      <c r="U249" s="227" t="s">
        <v>3228</v>
      </c>
      <c r="V249" s="227" t="s">
        <v>3337</v>
      </c>
      <c r="W249" s="227" t="s">
        <v>3338</v>
      </c>
      <c r="X249" s="227" t="s">
        <v>3511</v>
      </c>
      <c r="Y249" s="238" t="s">
        <v>4951</v>
      </c>
      <c r="Z249" s="238" t="s">
        <v>3374</v>
      </c>
      <c r="AA249" s="276" t="e">
        <f>VLOOKUP(Logfile_S12[[#This Row],[DO number]],DO_DB!G:I,3,0)</f>
        <v>#N/A</v>
      </c>
      <c r="AB249" s="332" t="e">
        <f>EXACT(Logfile_S12[[#This Row],[date pick]],Logfile_S12[[#This Row],[Date]])</f>
        <v>#N/A</v>
      </c>
      <c r="AC24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24C-2024827-01</v>
      </c>
    </row>
    <row r="250" spans="1:29" ht="14.5" hidden="1">
      <c r="A250" s="220" t="str">
        <f t="shared" si="10"/>
        <v>246</v>
      </c>
      <c r="B250" s="221"/>
      <c r="C250" s="221" t="s">
        <v>49</v>
      </c>
      <c r="D250" s="221" t="s">
        <v>4195</v>
      </c>
      <c r="E250" s="221" t="s">
        <v>3295</v>
      </c>
      <c r="F250" s="221" t="s">
        <v>3299</v>
      </c>
      <c r="G250" s="222">
        <v>45535</v>
      </c>
      <c r="H250" s="223">
        <v>0.51180555555555551</v>
      </c>
      <c r="I250" s="221" t="s">
        <v>4916</v>
      </c>
      <c r="J250" s="221" t="s">
        <v>3023</v>
      </c>
      <c r="K250" s="224" t="s">
        <v>3073</v>
      </c>
      <c r="L250" s="225" t="str">
        <f>VLOOKUP(Logfile_S12[[#This Row],[Material Name]],Sheet2!B:C,2,0)</f>
        <v>ZTE2001</v>
      </c>
      <c r="M250" s="225" t="str">
        <f>_xlfn.XLOOKUP(Logfile_S12[[#This Row],[Material Name]],Sum_WH!E:E,Sum_WH!F:F,"",0)</f>
        <v>Meter</v>
      </c>
      <c r="N250" s="221">
        <v>3000</v>
      </c>
      <c r="O250" s="221" t="s">
        <v>1951</v>
      </c>
      <c r="P250" s="221" t="s">
        <v>3374</v>
      </c>
      <c r="Q250" s="221"/>
      <c r="R250" s="221"/>
      <c r="S250" s="221"/>
      <c r="T250" s="221" t="s">
        <v>3258</v>
      </c>
      <c r="U250" s="221" t="s">
        <v>3228</v>
      </c>
      <c r="V250" s="221" t="s">
        <v>3337</v>
      </c>
      <c r="W250" s="221" t="s">
        <v>3338</v>
      </c>
      <c r="X250" s="221" t="s">
        <v>3511</v>
      </c>
      <c r="Y250" s="236" t="s">
        <v>4951</v>
      </c>
      <c r="Z250" s="227" t="str">
        <f t="shared" ref="Z250:Z255" si="12">P250</f>
        <v>SENGGURUH RW 01 MALANG</v>
      </c>
      <c r="AA250" s="276" t="e">
        <f>VLOOKUP(Logfile_S12[[#This Row],[DO number]],DO_DB!G:I,3,0)</f>
        <v>#N/A</v>
      </c>
      <c r="AB250" s="331" t="e">
        <f>EXACT(Logfile_S12[[#This Row],[date pick]],Logfile_S12[[#This Row],[Date]])</f>
        <v>#N/A</v>
      </c>
      <c r="AC2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24C-2024827-01</v>
      </c>
    </row>
    <row r="251" spans="1:29" ht="14.5" hidden="1">
      <c r="A251" s="220" t="str">
        <f t="shared" si="10"/>
        <v>247</v>
      </c>
      <c r="B251" s="221"/>
      <c r="C251" s="221" t="s">
        <v>49</v>
      </c>
      <c r="D251" s="221" t="s">
        <v>4197</v>
      </c>
      <c r="E251" s="221" t="s">
        <v>3295</v>
      </c>
      <c r="F251" s="221" t="s">
        <v>3299</v>
      </c>
      <c r="G251" s="222">
        <v>45536</v>
      </c>
      <c r="H251" s="223">
        <v>0.59513888888888888</v>
      </c>
      <c r="I251" s="221" t="s">
        <v>4916</v>
      </c>
      <c r="J251" s="221" t="s">
        <v>3023</v>
      </c>
      <c r="K251" s="224" t="s">
        <v>3075</v>
      </c>
      <c r="L251" s="225" t="str">
        <f>VLOOKUP(Logfile_S12[[#This Row],[Material Name]],Sheet2!B:C,2,0)</f>
        <v>ZTE2003</v>
      </c>
      <c r="M251" s="225" t="str">
        <f>_xlfn.XLOOKUP(Logfile_S12[[#This Row],[Material Name]],Sum_WH!E:E,Sum_WH!F:F,"",0)</f>
        <v>Meter</v>
      </c>
      <c r="N251" s="221">
        <v>3000</v>
      </c>
      <c r="O251" s="221" t="s">
        <v>1951</v>
      </c>
      <c r="P251" s="221" t="s">
        <v>3374</v>
      </c>
      <c r="Q251" s="221"/>
      <c r="R251" s="221"/>
      <c r="S251" s="221"/>
      <c r="T251" s="221" t="s">
        <v>3258</v>
      </c>
      <c r="U251" s="221" t="s">
        <v>3228</v>
      </c>
      <c r="V251" s="221" t="s">
        <v>3337</v>
      </c>
      <c r="W251" s="221" t="s">
        <v>3338</v>
      </c>
      <c r="X251" s="221" t="s">
        <v>3567</v>
      </c>
      <c r="Y251" s="227"/>
      <c r="Z251" s="227" t="str">
        <f t="shared" si="12"/>
        <v>SENGGURUH RW 01 MALANG</v>
      </c>
      <c r="AA251" s="276" t="e">
        <f>VLOOKUP(Logfile_S12[[#This Row],[DO number]],DO_DB!G:I,3,0)</f>
        <v>#N/A</v>
      </c>
      <c r="AB251" s="331" t="e">
        <f>EXACT(Logfile_S12[[#This Row],[date pick]],Logfile_S12[[#This Row],[Date]])</f>
        <v>#N/A</v>
      </c>
      <c r="AC2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2" spans="1:29" ht="14.5" hidden="1">
      <c r="A252" s="220" t="str">
        <f t="shared" si="10"/>
        <v>248</v>
      </c>
      <c r="B252" s="221"/>
      <c r="C252" s="221" t="s">
        <v>49</v>
      </c>
      <c r="D252" s="221" t="s">
        <v>4201</v>
      </c>
      <c r="E252" s="221" t="s">
        <v>3295</v>
      </c>
      <c r="F252" s="221" t="s">
        <v>3299</v>
      </c>
      <c r="G252" s="222">
        <v>45538</v>
      </c>
      <c r="H252" s="223">
        <v>0.59513888888888888</v>
      </c>
      <c r="I252" s="221" t="s">
        <v>4916</v>
      </c>
      <c r="J252" s="221" t="s">
        <v>3023</v>
      </c>
      <c r="K252" s="224" t="s">
        <v>3073</v>
      </c>
      <c r="L252" s="225" t="str">
        <f>VLOOKUP(Logfile_S12[[#This Row],[Material Name]],Sheet2!B:C,2,0)</f>
        <v>ZTE2001</v>
      </c>
      <c r="M252" s="225" t="str">
        <f>_xlfn.XLOOKUP(Logfile_S12[[#This Row],[Material Name]],Sum_WH!E:E,Sum_WH!F:F,"",0)</f>
        <v>Meter</v>
      </c>
      <c r="N252" s="221">
        <v>3000</v>
      </c>
      <c r="O252" s="221" t="s">
        <v>1955</v>
      </c>
      <c r="P252" s="221" t="s">
        <v>3512</v>
      </c>
      <c r="Q252" s="221"/>
      <c r="R252" s="221"/>
      <c r="S252" s="221"/>
      <c r="T252" s="221" t="s">
        <v>3258</v>
      </c>
      <c r="U252" s="221" t="s">
        <v>3228</v>
      </c>
      <c r="V252" s="221" t="s">
        <v>3337</v>
      </c>
      <c r="W252" s="221" t="s">
        <v>3338</v>
      </c>
      <c r="X252" s="221">
        <v>1025</v>
      </c>
      <c r="Y252" s="227"/>
      <c r="Z252" s="227" t="str">
        <f t="shared" si="12"/>
        <v>SENGGURUH RW 02 MALANG</v>
      </c>
      <c r="AA252" s="276" t="e">
        <f>VLOOKUP(Logfile_S12[[#This Row],[DO number]],DO_DB!G:I,3,0)</f>
        <v>#N/A</v>
      </c>
      <c r="AB252" s="331" t="e">
        <f>EXACT(Logfile_S12[[#This Row],[date pick]],Logfile_S12[[#This Row],[Date]])</f>
        <v>#N/A</v>
      </c>
      <c r="AC2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3" spans="1:29" ht="14.5" hidden="1">
      <c r="A253" s="220" t="str">
        <f t="shared" si="10"/>
        <v>249</v>
      </c>
      <c r="B253" s="221"/>
      <c r="C253" s="221" t="s">
        <v>49</v>
      </c>
      <c r="D253" s="221" t="s">
        <v>4208</v>
      </c>
      <c r="E253" s="221" t="s">
        <v>3295</v>
      </c>
      <c r="F253" s="221" t="s">
        <v>3299</v>
      </c>
      <c r="G253" s="222">
        <v>45540</v>
      </c>
      <c r="H253" s="223">
        <v>0.59513888888888888</v>
      </c>
      <c r="I253" s="221" t="s">
        <v>4916</v>
      </c>
      <c r="J253" s="221" t="s">
        <v>3023</v>
      </c>
      <c r="K253" s="224" t="s">
        <v>3073</v>
      </c>
      <c r="L253" s="225" t="str">
        <f>VLOOKUP(Logfile_S12[[#This Row],[Material Name]],Sheet2!B:C,2,0)</f>
        <v>ZTE2001</v>
      </c>
      <c r="M253" s="225" t="str">
        <f>_xlfn.XLOOKUP(Logfile_S12[[#This Row],[Material Name]],Sum_WH!E:E,Sum_WH!F:F,"",0)</f>
        <v>Meter</v>
      </c>
      <c r="N253" s="221">
        <v>3000</v>
      </c>
      <c r="O253" s="221" t="s">
        <v>2025</v>
      </c>
      <c r="P253" s="221" t="s">
        <v>2026</v>
      </c>
      <c r="Q253" s="221"/>
      <c r="R253" s="221"/>
      <c r="S253" s="221"/>
      <c r="T253" s="221" t="s">
        <v>3244</v>
      </c>
      <c r="U253" s="221" t="s">
        <v>3228</v>
      </c>
      <c r="V253" s="221" t="s">
        <v>3248</v>
      </c>
      <c r="W253" s="221" t="s">
        <v>3252</v>
      </c>
      <c r="X253" s="221" t="s">
        <v>3513</v>
      </c>
      <c r="Y253" s="227"/>
      <c r="Z253" s="227" t="str">
        <f t="shared" si="12"/>
        <v>NGENEP UTARA RW 03 MALANG</v>
      </c>
      <c r="AA253" s="276" t="e">
        <f>VLOOKUP(Logfile_S12[[#This Row],[DO number]],DO_DB!G:I,3,0)</f>
        <v>#N/A</v>
      </c>
      <c r="AB253" s="331" t="e">
        <f>EXACT(Logfile_S12[[#This Row],[date pick]],Logfile_S12[[#This Row],[Date]])</f>
        <v>#N/A</v>
      </c>
      <c r="AC2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4" spans="1:29" ht="14.5" hidden="1">
      <c r="A254" s="220" t="str">
        <f t="shared" si="10"/>
        <v>250</v>
      </c>
      <c r="B254" s="221"/>
      <c r="C254" s="221" t="s">
        <v>49</v>
      </c>
      <c r="D254" s="221" t="s">
        <v>4207</v>
      </c>
      <c r="E254" s="221" t="s">
        <v>3295</v>
      </c>
      <c r="F254" s="221" t="s">
        <v>3299</v>
      </c>
      <c r="G254" s="222">
        <v>45540</v>
      </c>
      <c r="H254" s="223">
        <v>0.42152777777777778</v>
      </c>
      <c r="I254" s="221" t="s">
        <v>4916</v>
      </c>
      <c r="J254" s="221" t="s">
        <v>3023</v>
      </c>
      <c r="K254" s="224" t="s">
        <v>3073</v>
      </c>
      <c r="L254" s="225" t="str">
        <f>VLOOKUP(Logfile_S12[[#This Row],[Material Name]],Sheet2!B:C,2,0)</f>
        <v>ZTE2001</v>
      </c>
      <c r="M254" s="225" t="str">
        <f>_xlfn.XLOOKUP(Logfile_S12[[#This Row],[Material Name]],Sum_WH!E:E,Sum_WH!F:F,"",0)</f>
        <v>Meter</v>
      </c>
      <c r="N254" s="221">
        <v>3000</v>
      </c>
      <c r="O254" s="221" t="s">
        <v>1955</v>
      </c>
      <c r="P254" s="221" t="s">
        <v>3512</v>
      </c>
      <c r="Q254" s="221"/>
      <c r="R254" s="221"/>
      <c r="S254" s="221"/>
      <c r="T254" s="221" t="s">
        <v>3258</v>
      </c>
      <c r="U254" s="221" t="s">
        <v>3228</v>
      </c>
      <c r="V254" s="221" t="s">
        <v>3337</v>
      </c>
      <c r="W254" s="221" t="s">
        <v>3338</v>
      </c>
      <c r="X254" s="221" t="s">
        <v>3514</v>
      </c>
      <c r="Y254" s="227"/>
      <c r="Z254" s="227" t="str">
        <f t="shared" si="12"/>
        <v>SENGGURUH RW 02 MALANG</v>
      </c>
      <c r="AA254" s="276" t="e">
        <f>VLOOKUP(Logfile_S12[[#This Row],[DO number]],DO_DB!G:I,3,0)</f>
        <v>#N/A</v>
      </c>
      <c r="AB254" s="331" t="e">
        <f>EXACT(Logfile_S12[[#This Row],[date pick]],Logfile_S12[[#This Row],[Date]])</f>
        <v>#N/A</v>
      </c>
      <c r="AC2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5" spans="1:29" ht="14.5" hidden="1">
      <c r="A255" s="220" t="str">
        <f t="shared" si="10"/>
        <v>251</v>
      </c>
      <c r="B255" s="221"/>
      <c r="C255" s="221" t="s">
        <v>49</v>
      </c>
      <c r="D255" s="221" t="s">
        <v>4214</v>
      </c>
      <c r="E255" s="221" t="s">
        <v>3295</v>
      </c>
      <c r="F255" s="221" t="s">
        <v>3299</v>
      </c>
      <c r="G255" s="222">
        <v>45542</v>
      </c>
      <c r="H255" s="223">
        <v>0.34513888888888888</v>
      </c>
      <c r="I255" s="221" t="s">
        <v>4916</v>
      </c>
      <c r="J255" s="221" t="s">
        <v>3023</v>
      </c>
      <c r="K255" s="224" t="s">
        <v>3075</v>
      </c>
      <c r="L255" s="225" t="str">
        <f>VLOOKUP(Logfile_S12[[#This Row],[Material Name]],Sheet2!B:C,2,0)</f>
        <v>ZTE2003</v>
      </c>
      <c r="M255" s="225" t="str">
        <f>_xlfn.XLOOKUP(Logfile_S12[[#This Row],[Material Name]],Sum_WH!E:E,Sum_WH!F:F,"",0)</f>
        <v>Meter</v>
      </c>
      <c r="N255" s="221">
        <v>3000</v>
      </c>
      <c r="O255" s="221" t="s">
        <v>1959</v>
      </c>
      <c r="P255" s="221" t="s">
        <v>3539</v>
      </c>
      <c r="Q255" s="221"/>
      <c r="R255" s="221"/>
      <c r="S255" s="221"/>
      <c r="T255" s="221" t="s">
        <v>3258</v>
      </c>
      <c r="U255" s="221" t="s">
        <v>3228</v>
      </c>
      <c r="V255" s="221" t="s">
        <v>3337</v>
      </c>
      <c r="W255" s="221" t="s">
        <v>3338</v>
      </c>
      <c r="X255" s="221" t="s">
        <v>3568</v>
      </c>
      <c r="Y255" s="227"/>
      <c r="Z255" s="227" t="str">
        <f t="shared" si="12"/>
        <v>SENGGURUH RW 03 MALANG</v>
      </c>
      <c r="AA255" s="276" t="e">
        <f>VLOOKUP(Logfile_S12[[#This Row],[DO number]],DO_DB!G:I,3,0)</f>
        <v>#N/A</v>
      </c>
      <c r="AB255" s="331" t="e">
        <f>EXACT(Logfile_S12[[#This Row],[date pick]],Logfile_S12[[#This Row],[Date]])</f>
        <v>#N/A</v>
      </c>
      <c r="AC2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6" spans="1:29" ht="14.5" hidden="1">
      <c r="A256" s="237" t="str">
        <f t="shared" si="10"/>
        <v>252</v>
      </c>
      <c r="B256" s="221"/>
      <c r="C256" s="227" t="s">
        <v>3313</v>
      </c>
      <c r="D256" s="227" t="s">
        <v>4449</v>
      </c>
      <c r="E256" s="227" t="s">
        <v>3295</v>
      </c>
      <c r="F256" s="227" t="s">
        <v>3299</v>
      </c>
      <c r="G256" s="239">
        <v>45554</v>
      </c>
      <c r="H256" s="240">
        <v>0.79166666666666663</v>
      </c>
      <c r="I256" s="227" t="s">
        <v>3586</v>
      </c>
      <c r="J256" s="482" t="s">
        <v>4432</v>
      </c>
      <c r="K256" s="241" t="s">
        <v>3073</v>
      </c>
      <c r="L256" s="225" t="str">
        <f>VLOOKUP(Logfile_S12[[#This Row],[Material Name]],Sheet2!B:C,2,0)</f>
        <v>ZTE2001</v>
      </c>
      <c r="M256" s="242" t="s">
        <v>20</v>
      </c>
      <c r="N256" s="227">
        <v>62</v>
      </c>
      <c r="O256" s="227">
        <v>0</v>
      </c>
      <c r="P256" s="227" t="s">
        <v>3613</v>
      </c>
      <c r="Q256" s="227"/>
      <c r="R256" s="227"/>
      <c r="S256" s="227"/>
      <c r="T256" s="227"/>
      <c r="U256" s="227"/>
      <c r="V256" s="227"/>
      <c r="W256" s="227"/>
      <c r="X256" s="227" t="s">
        <v>4451</v>
      </c>
      <c r="Y256" s="238" t="s">
        <v>5274</v>
      </c>
      <c r="Z256" s="238" t="s">
        <v>4451</v>
      </c>
      <c r="AA256" s="276" t="e">
        <f>VLOOKUP(Logfile_S12[[#This Row],[DO number]],DO_DB!G:I,3,0)</f>
        <v>#N/A</v>
      </c>
      <c r="AB256" s="332" t="e">
        <f>EXACT(Logfile_S12[[#This Row],[date pick]],Logfile_S12[[#This Row],[Date]])</f>
        <v>#N/A</v>
      </c>
      <c r="AC25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OUTBOUND_A-005-62m</v>
      </c>
    </row>
    <row r="257" spans="1:29" ht="14.5" hidden="1">
      <c r="A257" s="237" t="str">
        <f t="shared" si="10"/>
        <v>253</v>
      </c>
      <c r="B257" s="221"/>
      <c r="C257" s="227" t="s">
        <v>3313</v>
      </c>
      <c r="D257" s="227" t="s">
        <v>4449</v>
      </c>
      <c r="E257" s="227" t="s">
        <v>3295</v>
      </c>
      <c r="F257" s="227" t="s">
        <v>3299</v>
      </c>
      <c r="G257" s="239">
        <v>45554</v>
      </c>
      <c r="H257" s="240">
        <v>0.79166666666666663</v>
      </c>
      <c r="I257" s="227" t="s">
        <v>3586</v>
      </c>
      <c r="J257" s="482" t="s">
        <v>4432</v>
      </c>
      <c r="K257" s="241" t="s">
        <v>3073</v>
      </c>
      <c r="L257" s="225" t="str">
        <f>VLOOKUP(Logfile_S12[[#This Row],[Material Name]],Sheet2!B:C,2,0)</f>
        <v>ZTE2001</v>
      </c>
      <c r="M257" s="242" t="s">
        <v>20</v>
      </c>
      <c r="N257" s="227">
        <v>87</v>
      </c>
      <c r="O257" s="227">
        <v>0</v>
      </c>
      <c r="P257" s="227" t="s">
        <v>3613</v>
      </c>
      <c r="Q257" s="227"/>
      <c r="R257" s="227"/>
      <c r="S257" s="227"/>
      <c r="T257" s="227"/>
      <c r="U257" s="227"/>
      <c r="V257" s="227"/>
      <c r="W257" s="227"/>
      <c r="X257" s="227" t="s">
        <v>4450</v>
      </c>
      <c r="Y257" s="238" t="s">
        <v>5275</v>
      </c>
      <c r="Z257" s="238" t="s">
        <v>4450</v>
      </c>
      <c r="AA257" s="276" t="e">
        <f>VLOOKUP(Logfile_S12[[#This Row],[DO number]],DO_DB!G:I,3,0)</f>
        <v>#N/A</v>
      </c>
      <c r="AB257" s="332" t="e">
        <f>EXACT(Logfile_S12[[#This Row],[date pick]],Logfile_S12[[#This Row],[Date]])</f>
        <v>#N/A</v>
      </c>
      <c r="AC257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OUTBOUND_A-006-87m</v>
      </c>
    </row>
    <row r="258" spans="1:29" ht="14.5" hidden="1">
      <c r="A258" s="237" t="str">
        <f t="shared" si="10"/>
        <v>254</v>
      </c>
      <c r="B258" s="221"/>
      <c r="C258" s="227" t="s">
        <v>3313</v>
      </c>
      <c r="D258" s="227" t="s">
        <v>4449</v>
      </c>
      <c r="E258" s="227" t="s">
        <v>3295</v>
      </c>
      <c r="F258" s="227" t="s">
        <v>3299</v>
      </c>
      <c r="G258" s="239">
        <v>45554</v>
      </c>
      <c r="H258" s="240">
        <v>0.79166666666666663</v>
      </c>
      <c r="I258" s="227" t="s">
        <v>3586</v>
      </c>
      <c r="J258" s="482" t="s">
        <v>4432</v>
      </c>
      <c r="K258" s="241" t="s">
        <v>3075</v>
      </c>
      <c r="L258" s="225" t="str">
        <f>VLOOKUP(Logfile_S12[[#This Row],[Material Name]],Sheet2!B:C,2,0)</f>
        <v>ZTE2003</v>
      </c>
      <c r="M258" s="242" t="s">
        <v>20</v>
      </c>
      <c r="N258" s="227">
        <v>64</v>
      </c>
      <c r="O258" s="227">
        <v>0</v>
      </c>
      <c r="P258" s="227" t="s">
        <v>3613</v>
      </c>
      <c r="Q258" s="227"/>
      <c r="R258" s="227"/>
      <c r="S258" s="227"/>
      <c r="T258" s="227"/>
      <c r="U258" s="227"/>
      <c r="V258" s="227"/>
      <c r="W258" s="227"/>
      <c r="X258" s="227" t="s">
        <v>4452</v>
      </c>
      <c r="Y258" s="238" t="s">
        <v>5276</v>
      </c>
      <c r="Z258" s="238" t="s">
        <v>4452</v>
      </c>
      <c r="AA258" s="276" t="e">
        <f>VLOOKUP(Logfile_S12[[#This Row],[DO number]],DO_DB!G:I,3,0)</f>
        <v>#N/A</v>
      </c>
      <c r="AB258" s="332" t="e">
        <f>EXACT(Logfile_S12[[#This Row],[date pick]],Logfile_S12[[#This Row],[Date]])</f>
        <v>#N/A</v>
      </c>
      <c r="AC258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OUTBOUND_B-003-64m</v>
      </c>
    </row>
    <row r="259" spans="1:29" ht="14.5" hidden="1">
      <c r="A259" s="220" t="str">
        <f t="shared" si="10"/>
        <v>255</v>
      </c>
      <c r="B259" s="221"/>
      <c r="C259" s="221" t="s">
        <v>48</v>
      </c>
      <c r="D259" s="221" t="s">
        <v>4225</v>
      </c>
      <c r="E259" s="221" t="s">
        <v>3295</v>
      </c>
      <c r="F259" s="221" t="s">
        <v>3299</v>
      </c>
      <c r="G259" s="222">
        <v>45555</v>
      </c>
      <c r="H259" s="223">
        <v>15.291666666666666</v>
      </c>
      <c r="I259" s="221" t="s">
        <v>37</v>
      </c>
      <c r="J259" s="221" t="s">
        <v>3023</v>
      </c>
      <c r="K259" s="224" t="s">
        <v>3077</v>
      </c>
      <c r="L259" s="225" t="str">
        <f>VLOOKUP(Logfile_S12[[#This Row],[Material Name]],Sheet2!B:C,2,0)</f>
        <v>ZTE2004</v>
      </c>
      <c r="M259" s="225" t="str">
        <f>_xlfn.XLOOKUP(Logfile_S12[[#This Row],[Material Name]],Sum_WH!E:E,Sum_WH!F:F,"",0)</f>
        <v>Meter</v>
      </c>
      <c r="N259" s="221">
        <v>3000</v>
      </c>
      <c r="O259" s="221" t="s">
        <v>2142</v>
      </c>
      <c r="P259" s="221" t="s">
        <v>4475</v>
      </c>
      <c r="Q259" s="221">
        <v>0</v>
      </c>
      <c r="R259" s="221">
        <v>0</v>
      </c>
      <c r="S259" s="221"/>
      <c r="T259" s="221"/>
      <c r="U259" s="221"/>
      <c r="V259" s="221"/>
      <c r="W259" s="221"/>
      <c r="X259" s="221"/>
      <c r="Y259" s="236" t="s">
        <v>4980</v>
      </c>
      <c r="Z259" s="227" t="str">
        <f t="shared" ref="Z259:Z279" si="13">P259</f>
        <v>Main Feeder - OLT Smart Malang   Segment 8 to Sumbersekar</v>
      </c>
      <c r="AA259" s="276" t="e">
        <f>VLOOKUP(Logfile_S12[[#This Row],[DO number]],DO_DB!G:I,3,0)</f>
        <v>#N/A</v>
      </c>
      <c r="AB259" s="331" t="e">
        <f>EXACT(Logfile_S12[[#This Row],[date pick]],Logfile_S12[[#This Row],[Date]])</f>
        <v>#N/A</v>
      </c>
      <c r="AC2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144C-2024920-01</v>
      </c>
    </row>
    <row r="260" spans="1:29" ht="14.5" hidden="1">
      <c r="A260" s="237" t="str">
        <f t="shared" si="10"/>
        <v>256</v>
      </c>
      <c r="B260" s="221"/>
      <c r="C260" s="221" t="s">
        <v>48</v>
      </c>
      <c r="D260" s="221" t="s">
        <v>4225</v>
      </c>
      <c r="E260" s="221" t="s">
        <v>3295</v>
      </c>
      <c r="F260" s="221" t="s">
        <v>3299</v>
      </c>
      <c r="G260" s="222">
        <v>45555</v>
      </c>
      <c r="H260" s="223">
        <v>15.291666666666666</v>
      </c>
      <c r="I260" s="221" t="s">
        <v>37</v>
      </c>
      <c r="J260" s="221" t="s">
        <v>3023</v>
      </c>
      <c r="K260" s="224" t="s">
        <v>3077</v>
      </c>
      <c r="L260" s="225" t="str">
        <f>VLOOKUP(Logfile_S12[[#This Row],[Material Name]],Sheet2!B:C,2,0)</f>
        <v>ZTE2004</v>
      </c>
      <c r="M260" s="225" t="str">
        <f>_xlfn.XLOOKUP(Logfile_S12[[#This Row],[Material Name]],Sum_WH!E:E,Sum_WH!F:F,"",0)</f>
        <v>Meter</v>
      </c>
      <c r="N260" s="221">
        <v>3000</v>
      </c>
      <c r="O260" s="221" t="s">
        <v>2142</v>
      </c>
      <c r="P260" s="221" t="s">
        <v>4475</v>
      </c>
      <c r="Q260" s="227"/>
      <c r="R260" s="227"/>
      <c r="S260" s="227"/>
      <c r="T260" s="227"/>
      <c r="U260" s="227"/>
      <c r="V260" s="227"/>
      <c r="W260" s="227"/>
      <c r="X260" s="227"/>
      <c r="Y260" s="243" t="s">
        <v>4981</v>
      </c>
      <c r="Z260" s="227" t="str">
        <f t="shared" si="13"/>
        <v>Main Feeder - OLT Smart Malang   Segment 8 to Sumbersekar</v>
      </c>
      <c r="AA260" s="276" t="e">
        <f>VLOOKUP(Logfile_S12[[#This Row],[DO number]],DO_DB!G:I,3,0)</f>
        <v>#N/A</v>
      </c>
      <c r="AB260" s="331" t="e">
        <f>EXACT(Logfile_S12[[#This Row],[date pick]],Logfile_S12[[#This Row],[Date]])</f>
        <v>#N/A</v>
      </c>
      <c r="AC2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144C-2024920-02</v>
      </c>
    </row>
    <row r="261" spans="1:29" ht="14.5" hidden="1">
      <c r="A261" s="220" t="str">
        <f t="shared" ref="A261:A324" si="14">TEXT(ROW(A261)-ROW($A$4),"000")</f>
        <v>257</v>
      </c>
      <c r="B261" s="221"/>
      <c r="C261" s="221" t="s">
        <v>48</v>
      </c>
      <c r="D261" s="221" t="s">
        <v>4225</v>
      </c>
      <c r="E261" s="221" t="s">
        <v>3295</v>
      </c>
      <c r="F261" s="221" t="s">
        <v>3299</v>
      </c>
      <c r="G261" s="222">
        <v>45555</v>
      </c>
      <c r="H261" s="223">
        <v>15.291666666666666</v>
      </c>
      <c r="I261" s="221" t="s">
        <v>37</v>
      </c>
      <c r="J261" s="221" t="s">
        <v>3023</v>
      </c>
      <c r="K261" s="224" t="s">
        <v>3073</v>
      </c>
      <c r="L261" s="225" t="str">
        <f>VLOOKUP(Logfile_S12[[#This Row],[Material Name]],Sheet2!B:C,2,0)</f>
        <v>ZTE2001</v>
      </c>
      <c r="M261" s="225" t="str">
        <f>_xlfn.XLOOKUP(Logfile_S12[[#This Row],[Material Name]],Sum_WH!E:E,Sum_WH!F:F,"",0)</f>
        <v>Meter</v>
      </c>
      <c r="N261" s="221">
        <v>3000</v>
      </c>
      <c r="O261" s="221"/>
      <c r="P261" s="221"/>
      <c r="Q261" s="221">
        <v>0</v>
      </c>
      <c r="R261" s="221">
        <v>0</v>
      </c>
      <c r="S261" s="221"/>
      <c r="T261" s="221"/>
      <c r="U261" s="221"/>
      <c r="V261" s="221"/>
      <c r="W261" s="221"/>
      <c r="X261" s="221"/>
      <c r="Y261" s="227" t="s">
        <v>5010</v>
      </c>
      <c r="Z261" s="227">
        <f t="shared" si="13"/>
        <v>0</v>
      </c>
      <c r="AA261" s="276" t="e">
        <f>VLOOKUP(Logfile_S12[[#This Row],[DO number]],DO_DB!G:I,3,0)</f>
        <v>#N/A</v>
      </c>
      <c r="AB261" s="331" t="e">
        <f>EXACT(Logfile_S12[[#This Row],[date pick]],Logfile_S12[[#This Row],[Date]])</f>
        <v>#N/A</v>
      </c>
      <c r="AC2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24C-2024920-01</v>
      </c>
    </row>
    <row r="262" spans="1:29" ht="14.5" hidden="1">
      <c r="A262" s="237" t="str">
        <f t="shared" si="14"/>
        <v>258</v>
      </c>
      <c r="B262" s="221"/>
      <c r="C262" s="221" t="s">
        <v>48</v>
      </c>
      <c r="D262" s="221" t="s">
        <v>4225</v>
      </c>
      <c r="E262" s="221" t="s">
        <v>3295</v>
      </c>
      <c r="F262" s="221" t="s">
        <v>3299</v>
      </c>
      <c r="G262" s="222">
        <v>45555</v>
      </c>
      <c r="H262" s="223">
        <v>15.291666666666666</v>
      </c>
      <c r="I262" s="221" t="s">
        <v>37</v>
      </c>
      <c r="J262" s="221" t="s">
        <v>3023</v>
      </c>
      <c r="K262" s="224" t="s">
        <v>3075</v>
      </c>
      <c r="L262" s="225" t="str">
        <f>VLOOKUP(Logfile_S12[[#This Row],[Material Name]],Sheet2!B:C,2,0)</f>
        <v>ZTE2003</v>
      </c>
      <c r="M262" s="225" t="str">
        <f>_xlfn.XLOOKUP(Logfile_S12[[#This Row],[Material Name]],Sum_WH!E:E,Sum_WH!F:F,"",0)</f>
        <v>Meter</v>
      </c>
      <c r="N262" s="221">
        <v>3000</v>
      </c>
      <c r="O262" s="221" t="s">
        <v>2166</v>
      </c>
      <c r="P262" s="221" t="s">
        <v>2167</v>
      </c>
      <c r="Q262" s="221" t="s">
        <v>2170</v>
      </c>
      <c r="R262" s="221" t="s">
        <v>2171</v>
      </c>
      <c r="S262" s="227"/>
      <c r="T262" s="227"/>
      <c r="U262" s="227"/>
      <c r="V262" s="227"/>
      <c r="W262" s="227"/>
      <c r="X262" s="227"/>
      <c r="Y262" s="238" t="s">
        <v>5073</v>
      </c>
      <c r="Z262" s="227" t="str">
        <f t="shared" si="13"/>
        <v>Dusun Mojosari Ngenep</v>
      </c>
      <c r="AA262" s="276">
        <f>VLOOKUP(Logfile_S12[[#This Row],[DO number]],DO_DB!G:I,3,0)</f>
        <v>45555</v>
      </c>
      <c r="AB262" s="331" t="b">
        <f>EXACT(Logfile_S12[[#This Row],[date pick]],Logfile_S12[[#This Row],[Date]])</f>
        <v>1</v>
      </c>
      <c r="AC2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48C-2024920-01</v>
      </c>
    </row>
    <row r="263" spans="1:29" ht="14.5" hidden="1">
      <c r="A263" s="220" t="str">
        <f t="shared" si="14"/>
        <v>259</v>
      </c>
      <c r="B263" s="221"/>
      <c r="C263" s="221" t="s">
        <v>48</v>
      </c>
      <c r="D263" s="221" t="s">
        <v>4225</v>
      </c>
      <c r="E263" s="221" t="s">
        <v>3295</v>
      </c>
      <c r="F263" s="221" t="s">
        <v>3299</v>
      </c>
      <c r="G263" s="222">
        <v>45555</v>
      </c>
      <c r="H263" s="223">
        <v>15.291666666666666</v>
      </c>
      <c r="I263" s="221" t="s">
        <v>37</v>
      </c>
      <c r="J263" s="221" t="s">
        <v>3023</v>
      </c>
      <c r="K263" s="224" t="s">
        <v>3075</v>
      </c>
      <c r="L263" s="225" t="str">
        <f>VLOOKUP(Logfile_S12[[#This Row],[Material Name]],Sheet2!B:C,2,0)</f>
        <v>ZTE2003</v>
      </c>
      <c r="M263" s="225" t="str">
        <f>_xlfn.XLOOKUP(Logfile_S12[[#This Row],[Material Name]],Sum_WH!E:E,Sum_WH!F:F,"",0)</f>
        <v>Meter</v>
      </c>
      <c r="N263" s="221">
        <v>3000</v>
      </c>
      <c r="O263" s="221" t="s">
        <v>2166</v>
      </c>
      <c r="P263" s="221" t="s">
        <v>2167</v>
      </c>
      <c r="Q263" s="221" t="s">
        <v>2170</v>
      </c>
      <c r="R263" s="221" t="s">
        <v>2171</v>
      </c>
      <c r="S263" s="221"/>
      <c r="T263" s="221"/>
      <c r="U263" s="221"/>
      <c r="V263" s="221"/>
      <c r="W263" s="221"/>
      <c r="X263" s="221"/>
      <c r="Y263" s="227" t="s">
        <v>5074</v>
      </c>
      <c r="Z263" s="227" t="str">
        <f t="shared" si="13"/>
        <v>Dusun Mojosari Ngenep</v>
      </c>
      <c r="AA263" s="276">
        <f>VLOOKUP(Logfile_S12[[#This Row],[DO number]],DO_DB!G:I,3,0)</f>
        <v>45555</v>
      </c>
      <c r="AB263" s="331" t="b">
        <f>EXACT(Logfile_S12[[#This Row],[date pick]],Logfile_S12[[#This Row],[Date]])</f>
        <v>1</v>
      </c>
      <c r="AC2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48C-2024920-02</v>
      </c>
    </row>
    <row r="264" spans="1:29" ht="14.5" hidden="1">
      <c r="A264" s="220" t="str">
        <f t="shared" si="14"/>
        <v>260</v>
      </c>
      <c r="B264" s="221"/>
      <c r="C264" s="221" t="s">
        <v>49</v>
      </c>
      <c r="D264" s="221" t="s">
        <v>4229</v>
      </c>
      <c r="E264" s="221" t="s">
        <v>3295</v>
      </c>
      <c r="F264" s="221" t="s">
        <v>3299</v>
      </c>
      <c r="G264" s="222">
        <v>45556</v>
      </c>
      <c r="H264" s="223">
        <v>0.71527777777777779</v>
      </c>
      <c r="I264" s="221" t="s">
        <v>4916</v>
      </c>
      <c r="J264" s="221" t="s">
        <v>3023</v>
      </c>
      <c r="K264" s="224" t="s">
        <v>3077</v>
      </c>
      <c r="L264" s="225" t="str">
        <f>VLOOKUP(Logfile_S12[[#This Row],[Material Name]],Sheet2!B:C,2,0)</f>
        <v>ZTE2004</v>
      </c>
      <c r="M264" s="225" t="str">
        <f>_xlfn.XLOOKUP(Logfile_S12[[#This Row],[Material Name]],Sum_WH!E:E,Sum_WH!F:F,"",0)</f>
        <v>Meter</v>
      </c>
      <c r="N264" s="221">
        <v>3000</v>
      </c>
      <c r="O264" s="221" t="s">
        <v>2142</v>
      </c>
      <c r="P264" s="221" t="s">
        <v>3400</v>
      </c>
      <c r="Q264" s="221"/>
      <c r="R264" s="221"/>
      <c r="S264" s="221"/>
      <c r="T264" s="221" t="s">
        <v>3363</v>
      </c>
      <c r="U264" s="221" t="s">
        <v>3228</v>
      </c>
      <c r="V264" s="221" t="s">
        <v>3364</v>
      </c>
      <c r="W264" s="221" t="s">
        <v>3365</v>
      </c>
      <c r="X264" s="221" t="s">
        <v>3207</v>
      </c>
      <c r="Y264" s="236" t="s">
        <v>4980</v>
      </c>
      <c r="Z264" s="227" t="str">
        <f t="shared" si="13"/>
        <v>HUBFEEDER DINOYO SUMBERSEKAR</v>
      </c>
      <c r="AA264" s="276" t="e">
        <f>VLOOKUP(Logfile_S12[[#This Row],[DO number]],DO_DB!G:I,3,0)</f>
        <v>#N/A</v>
      </c>
      <c r="AB264" s="331" t="e">
        <f>EXACT(Logfile_S12[[#This Row],[date pick]],Logfile_S12[[#This Row],[Date]])</f>
        <v>#N/A</v>
      </c>
      <c r="AC2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144C-2024920-01</v>
      </c>
    </row>
    <row r="265" spans="1:29" ht="14.5" hidden="1">
      <c r="A265" s="220" t="str">
        <f t="shared" si="14"/>
        <v>261</v>
      </c>
      <c r="B265" s="221"/>
      <c r="C265" s="221" t="s">
        <v>49</v>
      </c>
      <c r="D265" s="221" t="s">
        <v>4239</v>
      </c>
      <c r="E265" s="221" t="s">
        <v>3295</v>
      </c>
      <c r="F265" s="221" t="s">
        <v>3299</v>
      </c>
      <c r="G265" s="222">
        <v>45561</v>
      </c>
      <c r="H265" s="223">
        <v>0.64097222222222228</v>
      </c>
      <c r="I265" s="221" t="s">
        <v>4916</v>
      </c>
      <c r="J265" s="221" t="s">
        <v>3023</v>
      </c>
      <c r="K265" s="224" t="s">
        <v>3073</v>
      </c>
      <c r="L265" s="225" t="str">
        <f>VLOOKUP(Logfile_S12[[#This Row],[Material Name]],Sheet2!B:C,2,0)</f>
        <v>ZTE2001</v>
      </c>
      <c r="M265" s="225" t="str">
        <f>_xlfn.XLOOKUP(Logfile_S12[[#This Row],[Material Name]],Sum_WH!E:E,Sum_WH!F:F,"",0)</f>
        <v>Meter</v>
      </c>
      <c r="N265" s="221">
        <v>3000</v>
      </c>
      <c r="O265" s="221" t="s">
        <v>2166</v>
      </c>
      <c r="P265" s="221" t="s">
        <v>2167</v>
      </c>
      <c r="Q265" s="221"/>
      <c r="R265" s="221"/>
      <c r="S265" s="221"/>
      <c r="T265" s="221" t="s">
        <v>3247</v>
      </c>
      <c r="U265" s="221" t="s">
        <v>3247</v>
      </c>
      <c r="V265" s="221" t="s">
        <v>3375</v>
      </c>
      <c r="W265" s="221" t="s">
        <v>3376</v>
      </c>
      <c r="X265" s="221"/>
      <c r="Y265" s="227"/>
      <c r="Z265" s="227" t="str">
        <f t="shared" si="13"/>
        <v>Dusun Mojosari Ngenep</v>
      </c>
      <c r="AA265" s="276" t="e">
        <f>VLOOKUP(Logfile_S12[[#This Row],[DO number]],DO_DB!G:I,3,0)</f>
        <v>#N/A</v>
      </c>
      <c r="AB265" s="331" t="e">
        <f>EXACT(Logfile_S12[[#This Row],[date pick]],Logfile_S12[[#This Row],[Date]])</f>
        <v>#N/A</v>
      </c>
      <c r="AC2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6" spans="1:29" ht="14.5" hidden="1">
      <c r="A266" s="220" t="str">
        <f t="shared" si="14"/>
        <v>262</v>
      </c>
      <c r="B266" s="221"/>
      <c r="C266" s="221" t="s">
        <v>49</v>
      </c>
      <c r="D266" s="221" t="s">
        <v>4239</v>
      </c>
      <c r="E266" s="221" t="s">
        <v>3295</v>
      </c>
      <c r="F266" s="221" t="s">
        <v>3299</v>
      </c>
      <c r="G266" s="222">
        <v>45561</v>
      </c>
      <c r="H266" s="223">
        <v>0.64097222222222228</v>
      </c>
      <c r="I266" s="221" t="s">
        <v>4916</v>
      </c>
      <c r="J266" s="221" t="s">
        <v>3023</v>
      </c>
      <c r="K266" s="224" t="s">
        <v>3073</v>
      </c>
      <c r="L266" s="225" t="str">
        <f>VLOOKUP(Logfile_S12[[#This Row],[Material Name]],Sheet2!B:C,2,0)</f>
        <v>ZTE2001</v>
      </c>
      <c r="M266" s="225" t="str">
        <f>_xlfn.XLOOKUP(Logfile_S12[[#This Row],[Material Name]],Sum_WH!E:E,Sum_WH!F:F,"",0)</f>
        <v>Meter</v>
      </c>
      <c r="N266" s="221">
        <v>3000</v>
      </c>
      <c r="O266" s="221" t="s">
        <v>2160</v>
      </c>
      <c r="P266" s="221" t="s">
        <v>2161</v>
      </c>
      <c r="Q266" s="221"/>
      <c r="R266" s="221"/>
      <c r="S266" s="221"/>
      <c r="T266" s="221" t="s">
        <v>3247</v>
      </c>
      <c r="U266" s="221" t="s">
        <v>3247</v>
      </c>
      <c r="V266" s="221" t="s">
        <v>3375</v>
      </c>
      <c r="W266" s="221" t="s">
        <v>3376</v>
      </c>
      <c r="X266" s="221"/>
      <c r="Y266" s="227"/>
      <c r="Z266" s="227" t="str">
        <f t="shared" si="13"/>
        <v>Ngenep RW 10 Malang</v>
      </c>
      <c r="AA266" s="276" t="e">
        <f>VLOOKUP(Logfile_S12[[#This Row],[DO number]],DO_DB!G:I,3,0)</f>
        <v>#N/A</v>
      </c>
      <c r="AB266" s="331" t="e">
        <f>EXACT(Logfile_S12[[#This Row],[date pick]],Logfile_S12[[#This Row],[Date]])</f>
        <v>#N/A</v>
      </c>
      <c r="AC2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7" spans="1:29" ht="14.5" hidden="1">
      <c r="A267" s="220" t="str">
        <f t="shared" si="14"/>
        <v>263</v>
      </c>
      <c r="B267" s="221"/>
      <c r="C267" s="221" t="s">
        <v>49</v>
      </c>
      <c r="D267" s="221" t="s">
        <v>4234</v>
      </c>
      <c r="E267" s="221" t="s">
        <v>3295</v>
      </c>
      <c r="F267" s="221" t="s">
        <v>3299</v>
      </c>
      <c r="G267" s="222">
        <v>45561</v>
      </c>
      <c r="H267" s="223">
        <v>0.68125000000000002</v>
      </c>
      <c r="I267" s="221" t="s">
        <v>4916</v>
      </c>
      <c r="J267" s="221" t="s">
        <v>3023</v>
      </c>
      <c r="K267" s="224" t="s">
        <v>3075</v>
      </c>
      <c r="L267" s="225" t="str">
        <f>VLOOKUP(Logfile_S12[[#This Row],[Material Name]],Sheet2!B:C,2,0)</f>
        <v>ZTE2003</v>
      </c>
      <c r="M267" s="225" t="str">
        <f>_xlfn.XLOOKUP(Logfile_S12[[#This Row],[Material Name]],Sum_WH!E:E,Sum_WH!F:F,"",0)</f>
        <v>Meter</v>
      </c>
      <c r="N267" s="221">
        <v>3000</v>
      </c>
      <c r="O267" s="221" t="s">
        <v>2166</v>
      </c>
      <c r="P267" s="221" t="s">
        <v>2167</v>
      </c>
      <c r="Q267" s="221"/>
      <c r="R267" s="221"/>
      <c r="S267" s="221"/>
      <c r="T267" s="221" t="s">
        <v>3247</v>
      </c>
      <c r="U267" s="221" t="s">
        <v>3247</v>
      </c>
      <c r="V267" s="221" t="s">
        <v>3375</v>
      </c>
      <c r="W267" s="221" t="s">
        <v>3376</v>
      </c>
      <c r="X267" s="221"/>
      <c r="Y267" s="227"/>
      <c r="Z267" s="227" t="str">
        <f t="shared" si="13"/>
        <v>Dusun Mojosari Ngenep</v>
      </c>
      <c r="AA267" s="276" t="e">
        <f>VLOOKUP(Logfile_S12[[#This Row],[DO number]],DO_DB!G:I,3,0)</f>
        <v>#N/A</v>
      </c>
      <c r="AB267" s="331" t="e">
        <f>EXACT(Logfile_S12[[#This Row],[date pick]],Logfile_S12[[#This Row],[Date]])</f>
        <v>#N/A</v>
      </c>
      <c r="AC2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8" spans="1:29" ht="14.5" hidden="1">
      <c r="A268" s="220" t="str">
        <f t="shared" si="14"/>
        <v>264</v>
      </c>
      <c r="B268" s="221"/>
      <c r="C268" s="221" t="s">
        <v>49</v>
      </c>
      <c r="D268" s="221" t="s">
        <v>4250</v>
      </c>
      <c r="E268" s="221" t="s">
        <v>3295</v>
      </c>
      <c r="F268" s="221" t="s">
        <v>3299</v>
      </c>
      <c r="G268" s="222">
        <v>45583</v>
      </c>
      <c r="H268" s="223">
        <v>0.38194444444444442</v>
      </c>
      <c r="I268" s="221" t="s">
        <v>4916</v>
      </c>
      <c r="J268" s="221" t="s">
        <v>3023</v>
      </c>
      <c r="K268" s="224" t="s">
        <v>3077</v>
      </c>
      <c r="L268" s="225" t="str">
        <f>VLOOKUP(Logfile_S12[[#This Row],[Material Name]],Sheet2!B:C,2,0)</f>
        <v>ZTE2004</v>
      </c>
      <c r="M268" s="225" t="str">
        <f>_xlfn.XLOOKUP(Logfile_S12[[#This Row],[Material Name]],Sum_WH!E:E,Sum_WH!F:F,"",0)</f>
        <v>Meter</v>
      </c>
      <c r="N268" s="221">
        <v>3000</v>
      </c>
      <c r="O268" s="221" t="s">
        <v>2322</v>
      </c>
      <c r="P268" s="221" t="s">
        <v>3403</v>
      </c>
      <c r="Q268" s="221"/>
      <c r="R268" s="221"/>
      <c r="S268" s="221"/>
      <c r="T268" s="221" t="s">
        <v>3404</v>
      </c>
      <c r="U268" s="221" t="s">
        <v>5107</v>
      </c>
      <c r="V268" s="221" t="s">
        <v>3405</v>
      </c>
      <c r="W268" s="221" t="s">
        <v>3406</v>
      </c>
      <c r="X268" s="221"/>
      <c r="Y268" s="236" t="s">
        <v>4981</v>
      </c>
      <c r="Z268" s="227" t="str">
        <f t="shared" si="13"/>
        <v>Mainfeeder Singosari Segment 3</v>
      </c>
      <c r="AA268" s="276" t="e">
        <f>VLOOKUP(Logfile_S12[[#This Row],[DO number]],DO_DB!G:I,3,0)</f>
        <v>#N/A</v>
      </c>
      <c r="AB268" s="331" t="e">
        <f>EXACT(Logfile_S12[[#This Row],[date pick]],Logfile_S12[[#This Row],[Date]])</f>
        <v>#N/A</v>
      </c>
      <c r="AC2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144C-2024920-02</v>
      </c>
    </row>
    <row r="269" spans="1:29" ht="14.5" hidden="1">
      <c r="A269" s="220" t="str">
        <f t="shared" si="14"/>
        <v>265</v>
      </c>
      <c r="B269" s="221"/>
      <c r="C269" s="221" t="s">
        <v>48</v>
      </c>
      <c r="D269" s="221" t="s">
        <v>4252</v>
      </c>
      <c r="E269" s="221" t="s">
        <v>3295</v>
      </c>
      <c r="F269" s="221" t="s">
        <v>3299</v>
      </c>
      <c r="G269" s="222">
        <v>45588</v>
      </c>
      <c r="H269" s="223">
        <v>15.291666666666666</v>
      </c>
      <c r="I269" s="221" t="s">
        <v>37</v>
      </c>
      <c r="J269" s="221" t="s">
        <v>3023</v>
      </c>
      <c r="K269" s="224" t="s">
        <v>3077</v>
      </c>
      <c r="L269" s="225" t="str">
        <f>VLOOKUP(Logfile_S12[[#This Row],[Material Name]],Sheet2!B:C,2,0)</f>
        <v>ZTE2004</v>
      </c>
      <c r="M269" s="225" t="str">
        <f>_xlfn.XLOOKUP(Logfile_S12[[#This Row],[Material Name]],Sum_WH!E:E,Sum_WH!F:F,"",0)</f>
        <v>Meter</v>
      </c>
      <c r="N269" s="221">
        <v>3000</v>
      </c>
      <c r="O269" s="221" t="s">
        <v>2322</v>
      </c>
      <c r="P269" s="221" t="s">
        <v>3403</v>
      </c>
      <c r="Q269" s="221" t="s">
        <v>2324</v>
      </c>
      <c r="R269" s="221" t="s">
        <v>2325</v>
      </c>
      <c r="S269" s="221"/>
      <c r="T269" s="221"/>
      <c r="U269" s="221"/>
      <c r="V269" s="221"/>
      <c r="W269" s="221"/>
      <c r="X269" s="221"/>
      <c r="Y269" s="236" t="s">
        <v>4982</v>
      </c>
      <c r="Z269" s="227" t="str">
        <f t="shared" si="13"/>
        <v>Mainfeeder Singosari Segment 3</v>
      </c>
      <c r="AA269" s="276">
        <f>VLOOKUP(Logfile_S12[[#This Row],[DO number]],DO_DB!G:I,3,0)</f>
        <v>45588</v>
      </c>
      <c r="AB269" s="331" t="b">
        <f>EXACT(Logfile_S12[[#This Row],[date pick]],Logfile_S12[[#This Row],[Date]])</f>
        <v>1</v>
      </c>
      <c r="AC2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144C-20241023-01</v>
      </c>
    </row>
    <row r="270" spans="1:29" ht="14.5" hidden="1">
      <c r="A270" s="237" t="str">
        <f t="shared" si="14"/>
        <v>266</v>
      </c>
      <c r="B270" s="221"/>
      <c r="C270" s="221" t="s">
        <v>48</v>
      </c>
      <c r="D270" s="221" t="s">
        <v>4252</v>
      </c>
      <c r="E270" s="221" t="s">
        <v>3295</v>
      </c>
      <c r="F270" s="221" t="s">
        <v>3299</v>
      </c>
      <c r="G270" s="222">
        <v>45588</v>
      </c>
      <c r="H270" s="223">
        <v>15.291666666666666</v>
      </c>
      <c r="I270" s="221" t="s">
        <v>37</v>
      </c>
      <c r="J270" s="221" t="s">
        <v>3023</v>
      </c>
      <c r="K270" s="224" t="s">
        <v>3077</v>
      </c>
      <c r="L270" s="225" t="str">
        <f>VLOOKUP(Logfile_S12[[#This Row],[Material Name]],Sheet2!B:C,2,0)</f>
        <v>ZTE2004</v>
      </c>
      <c r="M270" s="225" t="str">
        <f>_xlfn.XLOOKUP(Logfile_S12[[#This Row],[Material Name]],Sum_WH!E:E,Sum_WH!F:F,"",0)</f>
        <v>Meter</v>
      </c>
      <c r="N270" s="221">
        <v>3000</v>
      </c>
      <c r="O270" s="221" t="s">
        <v>2322</v>
      </c>
      <c r="P270" s="221" t="s">
        <v>3403</v>
      </c>
      <c r="Q270" s="221" t="s">
        <v>2324</v>
      </c>
      <c r="R270" s="221" t="s">
        <v>2325</v>
      </c>
      <c r="S270" s="227"/>
      <c r="T270" s="227"/>
      <c r="U270" s="227"/>
      <c r="V270" s="227"/>
      <c r="W270" s="227"/>
      <c r="X270" s="227"/>
      <c r="Y270" s="243" t="s">
        <v>4983</v>
      </c>
      <c r="Z270" s="227" t="str">
        <f t="shared" si="13"/>
        <v>Mainfeeder Singosari Segment 3</v>
      </c>
      <c r="AA270" s="276">
        <f>VLOOKUP(Logfile_S12[[#This Row],[DO number]],DO_DB!G:I,3,0)</f>
        <v>45588</v>
      </c>
      <c r="AB270" s="331" t="b">
        <f>EXACT(Logfile_S12[[#This Row],[date pick]],Logfile_S12[[#This Row],[Date]])</f>
        <v>1</v>
      </c>
      <c r="AC2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144C-20241023-02</v>
      </c>
    </row>
    <row r="271" spans="1:29" ht="14.5" hidden="1">
      <c r="A271" s="220" t="str">
        <f t="shared" si="14"/>
        <v>267</v>
      </c>
      <c r="B271" s="221"/>
      <c r="C271" s="221" t="s">
        <v>49</v>
      </c>
      <c r="D271" s="221" t="s">
        <v>4256</v>
      </c>
      <c r="E271" s="221" t="s">
        <v>3295</v>
      </c>
      <c r="F271" s="221" t="s">
        <v>3299</v>
      </c>
      <c r="G271" s="222">
        <v>45590</v>
      </c>
      <c r="H271" s="223">
        <v>0.79791666666666672</v>
      </c>
      <c r="I271" s="221" t="s">
        <v>4916</v>
      </c>
      <c r="J271" s="221" t="s">
        <v>3023</v>
      </c>
      <c r="K271" s="224" t="s">
        <v>3077</v>
      </c>
      <c r="L271" s="225" t="str">
        <f>VLOOKUP(Logfile_S12[[#This Row],[Material Name]],Sheet2!B:C,2,0)</f>
        <v>ZTE2004</v>
      </c>
      <c r="M271" s="225" t="str">
        <f>_xlfn.XLOOKUP(Logfile_S12[[#This Row],[Material Name]],Sum_WH!E:E,Sum_WH!F:F,"",0)</f>
        <v>Meter</v>
      </c>
      <c r="N271" s="221">
        <v>3000</v>
      </c>
      <c r="O271" s="221" t="s">
        <v>2354</v>
      </c>
      <c r="P271" s="221" t="s">
        <v>3407</v>
      </c>
      <c r="Q271" s="221"/>
      <c r="R271" s="221"/>
      <c r="S271" s="221"/>
      <c r="T271" s="221" t="s">
        <v>3404</v>
      </c>
      <c r="U271" s="221" t="s">
        <v>5107</v>
      </c>
      <c r="V271" s="221" t="s">
        <v>3405</v>
      </c>
      <c r="W271" s="221" t="s">
        <v>3406</v>
      </c>
      <c r="X271" s="221"/>
      <c r="Y271" s="236" t="s">
        <v>4982</v>
      </c>
      <c r="Z271" s="227" t="str">
        <f t="shared" si="13"/>
        <v>HUBFEEDER KLAMPOK</v>
      </c>
      <c r="AA271" s="276" t="e">
        <f>VLOOKUP(Logfile_S12[[#This Row],[DO number]],DO_DB!G:I,3,0)</f>
        <v>#N/A</v>
      </c>
      <c r="AB271" s="331" t="e">
        <f>EXACT(Logfile_S12[[#This Row],[date pick]],Logfile_S12[[#This Row],[Date]])</f>
        <v>#N/A</v>
      </c>
      <c r="AC2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144C-20241023-01</v>
      </c>
    </row>
    <row r="272" spans="1:29" ht="14.5" hidden="1">
      <c r="A272" s="220" t="str">
        <f t="shared" si="14"/>
        <v>268</v>
      </c>
      <c r="B272" s="221"/>
      <c r="C272" s="221" t="s">
        <v>49</v>
      </c>
      <c r="D272" s="221" t="s">
        <v>4257</v>
      </c>
      <c r="E272" s="221" t="s">
        <v>3295</v>
      </c>
      <c r="F272" s="221" t="s">
        <v>3299</v>
      </c>
      <c r="G272" s="222">
        <v>45593</v>
      </c>
      <c r="H272" s="223">
        <v>0.38194444444444442</v>
      </c>
      <c r="I272" s="221" t="s">
        <v>4916</v>
      </c>
      <c r="J272" s="221" t="s">
        <v>3023</v>
      </c>
      <c r="K272" s="224" t="s">
        <v>3077</v>
      </c>
      <c r="L272" s="225" t="str">
        <f>VLOOKUP(Logfile_S12[[#This Row],[Material Name]],Sheet2!B:C,2,0)</f>
        <v>ZTE2004</v>
      </c>
      <c r="M272" s="225" t="str">
        <f>_xlfn.XLOOKUP(Logfile_S12[[#This Row],[Material Name]],Sum_WH!E:E,Sum_WH!F:F,"",0)</f>
        <v>Meter</v>
      </c>
      <c r="N272" s="221">
        <v>3000</v>
      </c>
      <c r="O272" s="221" t="s">
        <v>2322</v>
      </c>
      <c r="P272" s="221" t="s">
        <v>3403</v>
      </c>
      <c r="Q272" s="221"/>
      <c r="R272" s="221"/>
      <c r="S272" s="221"/>
      <c r="T272" s="221" t="s">
        <v>3404</v>
      </c>
      <c r="U272" s="221" t="s">
        <v>5107</v>
      </c>
      <c r="V272" s="221" t="s">
        <v>3405</v>
      </c>
      <c r="W272" s="221" t="s">
        <v>3406</v>
      </c>
      <c r="X272" s="221"/>
      <c r="Y272" s="236" t="s">
        <v>4983</v>
      </c>
      <c r="Z272" s="227" t="str">
        <f t="shared" si="13"/>
        <v>Mainfeeder Singosari Segment 3</v>
      </c>
      <c r="AA272" s="276" t="e">
        <f>VLOOKUP(Logfile_S12[[#This Row],[DO number]],DO_DB!G:I,3,0)</f>
        <v>#N/A</v>
      </c>
      <c r="AB272" s="331" t="e">
        <f>EXACT(Logfile_S12[[#This Row],[date pick]],Logfile_S12[[#This Row],[Date]])</f>
        <v>#N/A</v>
      </c>
      <c r="AC2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144C-20241023-02</v>
      </c>
    </row>
    <row r="273" spans="1:29" ht="14.5" hidden="1">
      <c r="A273" s="220" t="str">
        <f t="shared" si="14"/>
        <v>269</v>
      </c>
      <c r="B273" s="221"/>
      <c r="C273" s="221" t="s">
        <v>48</v>
      </c>
      <c r="D273" s="221" t="s">
        <v>4272</v>
      </c>
      <c r="E273" s="221" t="s">
        <v>3295</v>
      </c>
      <c r="F273" s="221" t="s">
        <v>3299</v>
      </c>
      <c r="G273" s="222">
        <v>45602</v>
      </c>
      <c r="H273" s="223">
        <v>15.291666666666666</v>
      </c>
      <c r="I273" s="221" t="s">
        <v>37</v>
      </c>
      <c r="J273" s="221" t="s">
        <v>3023</v>
      </c>
      <c r="K273" s="224" t="s">
        <v>3077</v>
      </c>
      <c r="L273" s="225" t="str">
        <f>VLOOKUP(Logfile_S12[[#This Row],[Material Name]],Sheet2!B:C,2,0)</f>
        <v>ZTE2004</v>
      </c>
      <c r="M273" s="225" t="str">
        <f>_xlfn.XLOOKUP(Logfile_S12[[#This Row],[Material Name]],Sum_WH!E:E,Sum_WH!F:F,"",0)</f>
        <v>Meter</v>
      </c>
      <c r="N273" s="221">
        <v>3000</v>
      </c>
      <c r="O273" s="221" t="s">
        <v>2354</v>
      </c>
      <c r="P273" s="221" t="s">
        <v>3407</v>
      </c>
      <c r="Q273" s="221" t="s">
        <v>2366</v>
      </c>
      <c r="R273" s="221" t="s">
        <v>2367</v>
      </c>
      <c r="S273" s="221"/>
      <c r="T273" s="221"/>
      <c r="U273" s="221"/>
      <c r="V273" s="221"/>
      <c r="W273" s="221"/>
      <c r="X273" s="221"/>
      <c r="Y273" s="227" t="s">
        <v>4984</v>
      </c>
      <c r="Z273" s="227" t="str">
        <f t="shared" si="13"/>
        <v>HUBFEEDER KLAMPOK</v>
      </c>
      <c r="AA273" s="276">
        <f>VLOOKUP(Logfile_S12[[#This Row],[DO number]],DO_DB!G:I,3,0)</f>
        <v>45602</v>
      </c>
      <c r="AB273" s="331" t="b">
        <f>EXACT(Logfile_S12[[#This Row],[date pick]],Logfile_S12[[#This Row],[Date]])</f>
        <v>1</v>
      </c>
      <c r="AC2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144C-2024117-01</v>
      </c>
    </row>
    <row r="274" spans="1:29" ht="14.5" hidden="1">
      <c r="A274" s="220" t="str">
        <f t="shared" si="14"/>
        <v>270</v>
      </c>
      <c r="B274" s="221"/>
      <c r="C274" s="221" t="s">
        <v>48</v>
      </c>
      <c r="D274" s="221" t="s">
        <v>4272</v>
      </c>
      <c r="E274" s="221" t="s">
        <v>3295</v>
      </c>
      <c r="F274" s="221" t="s">
        <v>3299</v>
      </c>
      <c r="G274" s="222">
        <v>45602</v>
      </c>
      <c r="H274" s="223">
        <v>15.291666666666666</v>
      </c>
      <c r="I274" s="221" t="s">
        <v>37</v>
      </c>
      <c r="J274" s="221" t="s">
        <v>3023</v>
      </c>
      <c r="K274" s="224" t="s">
        <v>3073</v>
      </c>
      <c r="L274" s="225" t="str">
        <f>VLOOKUP(Logfile_S12[[#This Row],[Material Name]],Sheet2!B:C,2,0)</f>
        <v>ZTE2001</v>
      </c>
      <c r="M274" s="225" t="str">
        <f>_xlfn.XLOOKUP(Logfile_S12[[#This Row],[Material Name]],Sum_WH!E:E,Sum_WH!F:F,"",0)</f>
        <v>Meter</v>
      </c>
      <c r="N274" s="221">
        <v>3000</v>
      </c>
      <c r="O274" s="221" t="s">
        <v>2350</v>
      </c>
      <c r="P274" s="221" t="s">
        <v>3470</v>
      </c>
      <c r="Q274" s="221" t="s">
        <v>2358</v>
      </c>
      <c r="R274" s="221" t="s">
        <v>2359</v>
      </c>
      <c r="S274" s="221"/>
      <c r="T274" s="221"/>
      <c r="U274" s="221"/>
      <c r="V274" s="221"/>
      <c r="W274" s="221"/>
      <c r="X274" s="221"/>
      <c r="Y274" s="227" t="s">
        <v>5012</v>
      </c>
      <c r="Z274" s="227" t="str">
        <f t="shared" si="13"/>
        <v>Kalirejo RW 13 Lawang</v>
      </c>
      <c r="AA274" s="276">
        <f>VLOOKUP(Logfile_S12[[#This Row],[DO number]],DO_DB!G:I,3,0)</f>
        <v>45602</v>
      </c>
      <c r="AB274" s="331" t="b">
        <f>EXACT(Logfile_S12[[#This Row],[date pick]],Logfile_S12[[#This Row],[Date]])</f>
        <v>1</v>
      </c>
      <c r="AC2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24C-2024117-02</v>
      </c>
    </row>
    <row r="275" spans="1:29" ht="14.5" hidden="1">
      <c r="A275" s="220" t="str">
        <f t="shared" si="14"/>
        <v>271</v>
      </c>
      <c r="B275" s="221"/>
      <c r="C275" s="221" t="s">
        <v>48</v>
      </c>
      <c r="D275" s="221" t="s">
        <v>4272</v>
      </c>
      <c r="E275" s="221" t="s">
        <v>3295</v>
      </c>
      <c r="F275" s="221" t="s">
        <v>3299</v>
      </c>
      <c r="G275" s="222">
        <v>45602</v>
      </c>
      <c r="H275" s="223">
        <v>15.291666666666666</v>
      </c>
      <c r="I275" s="221" t="s">
        <v>37</v>
      </c>
      <c r="J275" s="221" t="s">
        <v>3023</v>
      </c>
      <c r="K275" s="224" t="s">
        <v>3073</v>
      </c>
      <c r="L275" s="225" t="str">
        <f>VLOOKUP(Logfile_S12[[#This Row],[Material Name]],Sheet2!B:C,2,0)</f>
        <v>ZTE2001</v>
      </c>
      <c r="M275" s="225" t="str">
        <f>_xlfn.XLOOKUP(Logfile_S12[[#This Row],[Material Name]],Sum_WH!E:E,Sum_WH!F:F,"",0)</f>
        <v>Meter</v>
      </c>
      <c r="N275" s="221">
        <v>3000</v>
      </c>
      <c r="O275" s="221" t="s">
        <v>2360</v>
      </c>
      <c r="P275" s="221" t="s">
        <v>2361</v>
      </c>
      <c r="Q275" s="221" t="s">
        <v>2362</v>
      </c>
      <c r="R275" s="221" t="s">
        <v>2363</v>
      </c>
      <c r="S275" s="221"/>
      <c r="T275" s="221"/>
      <c r="U275" s="221"/>
      <c r="V275" s="221"/>
      <c r="W275" s="221"/>
      <c r="X275" s="221"/>
      <c r="Y275" s="227" t="s">
        <v>5011</v>
      </c>
      <c r="Z275" s="227" t="str">
        <f t="shared" si="13"/>
        <v>Tambakasri RW 02 Tajinan</v>
      </c>
      <c r="AA275" s="276">
        <f>VLOOKUP(Logfile_S12[[#This Row],[DO number]],DO_DB!G:I,3,0)</f>
        <v>45602</v>
      </c>
      <c r="AB275" s="331" t="b">
        <f>EXACT(Logfile_S12[[#This Row],[date pick]],Logfile_S12[[#This Row],[Date]])</f>
        <v>1</v>
      </c>
      <c r="AC2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24C-2024117-01</v>
      </c>
    </row>
    <row r="276" spans="1:29" ht="14.5" hidden="1">
      <c r="A276" s="220" t="str">
        <f t="shared" si="14"/>
        <v>272</v>
      </c>
      <c r="B276" s="221"/>
      <c r="C276" s="221" t="s">
        <v>48</v>
      </c>
      <c r="D276" s="221" t="s">
        <v>4272</v>
      </c>
      <c r="E276" s="221" t="s">
        <v>3295</v>
      </c>
      <c r="F276" s="221" t="s">
        <v>3299</v>
      </c>
      <c r="G276" s="222">
        <v>45602</v>
      </c>
      <c r="H276" s="223">
        <v>15.291666666666666</v>
      </c>
      <c r="I276" s="221" t="s">
        <v>37</v>
      </c>
      <c r="J276" s="221" t="s">
        <v>3023</v>
      </c>
      <c r="K276" s="224" t="s">
        <v>3075</v>
      </c>
      <c r="L276" s="225" t="str">
        <f>VLOOKUP(Logfile_S12[[#This Row],[Material Name]],Sheet2!B:C,2,0)</f>
        <v>ZTE2003</v>
      </c>
      <c r="M276" s="225" t="str">
        <f>_xlfn.XLOOKUP(Logfile_S12[[#This Row],[Material Name]],Sum_WH!E:E,Sum_WH!F:F,"",0)</f>
        <v>Meter</v>
      </c>
      <c r="N276" s="221">
        <v>3000</v>
      </c>
      <c r="O276" s="221" t="s">
        <v>2350</v>
      </c>
      <c r="P276" s="221" t="s">
        <v>3470</v>
      </c>
      <c r="Q276" s="221" t="s">
        <v>2358</v>
      </c>
      <c r="R276" s="221" t="s">
        <v>2359</v>
      </c>
      <c r="S276" s="221"/>
      <c r="T276" s="221"/>
      <c r="U276" s="221"/>
      <c r="V276" s="221"/>
      <c r="W276" s="221"/>
      <c r="X276" s="221"/>
      <c r="Y276" s="227" t="s">
        <v>5075</v>
      </c>
      <c r="Z276" s="227" t="str">
        <f t="shared" si="13"/>
        <v>Kalirejo RW 13 Lawang</v>
      </c>
      <c r="AA276" s="276">
        <f>VLOOKUP(Logfile_S12[[#This Row],[DO number]],DO_DB!G:I,3,0)</f>
        <v>45602</v>
      </c>
      <c r="AB276" s="331" t="b">
        <f>EXACT(Logfile_S12[[#This Row],[date pick]],Logfile_S12[[#This Row],[Date]])</f>
        <v>1</v>
      </c>
      <c r="AC2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48C-2024117-01</v>
      </c>
    </row>
    <row r="277" spans="1:29" ht="14.5" hidden="1">
      <c r="A277" s="237" t="str">
        <f t="shared" si="14"/>
        <v>273</v>
      </c>
      <c r="B277" s="221"/>
      <c r="C277" s="221" t="s">
        <v>48</v>
      </c>
      <c r="D277" s="221" t="s">
        <v>4272</v>
      </c>
      <c r="E277" s="221" t="s">
        <v>3295</v>
      </c>
      <c r="F277" s="221" t="s">
        <v>3299</v>
      </c>
      <c r="G277" s="222">
        <v>45602</v>
      </c>
      <c r="H277" s="223">
        <v>15.291666666666666</v>
      </c>
      <c r="I277" s="221" t="s">
        <v>37</v>
      </c>
      <c r="J277" s="221" t="s">
        <v>3023</v>
      </c>
      <c r="K277" s="224" t="s">
        <v>3075</v>
      </c>
      <c r="L277" s="225" t="str">
        <f>VLOOKUP(Logfile_S12[[#This Row],[Material Name]],Sheet2!B:C,2,0)</f>
        <v>ZTE2003</v>
      </c>
      <c r="M277" s="225" t="str">
        <f>_xlfn.XLOOKUP(Logfile_S12[[#This Row],[Material Name]],Sum_WH!E:E,Sum_WH!F:F,"",0)</f>
        <v>Meter</v>
      </c>
      <c r="N277" s="221">
        <v>3000</v>
      </c>
      <c r="O277" s="221" t="s">
        <v>2350</v>
      </c>
      <c r="P277" s="221" t="s">
        <v>3470</v>
      </c>
      <c r="Q277" s="221" t="s">
        <v>2358</v>
      </c>
      <c r="R277" s="221" t="s">
        <v>2359</v>
      </c>
      <c r="S277" s="227"/>
      <c r="T277" s="227"/>
      <c r="U277" s="227"/>
      <c r="V277" s="227"/>
      <c r="W277" s="227"/>
      <c r="X277" s="227"/>
      <c r="Y277" s="238" t="s">
        <v>5076</v>
      </c>
      <c r="Z277" s="227" t="str">
        <f t="shared" si="13"/>
        <v>Kalirejo RW 13 Lawang</v>
      </c>
      <c r="AA277" s="276">
        <f>VLOOKUP(Logfile_S12[[#This Row],[DO number]],DO_DB!G:I,3,0)</f>
        <v>45602</v>
      </c>
      <c r="AB277" s="331" t="b">
        <f>EXACT(Logfile_S12[[#This Row],[date pick]],Logfile_S12[[#This Row],[Date]])</f>
        <v>1</v>
      </c>
      <c r="AC2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48C-2024117-02</v>
      </c>
    </row>
    <row r="278" spans="1:29" ht="14.5" hidden="1">
      <c r="A278" s="220" t="str">
        <f t="shared" si="14"/>
        <v>274</v>
      </c>
      <c r="B278" s="221"/>
      <c r="C278" s="221" t="s">
        <v>3388</v>
      </c>
      <c r="D278" s="221" t="s">
        <v>4279</v>
      </c>
      <c r="E278" s="221" t="s">
        <v>3295</v>
      </c>
      <c r="F278" s="221" t="s">
        <v>3299</v>
      </c>
      <c r="G278" s="222">
        <v>45616</v>
      </c>
      <c r="H278" s="223">
        <v>0.92361111111111116</v>
      </c>
      <c r="I278" s="221" t="s">
        <v>4920</v>
      </c>
      <c r="J278" s="221" t="s">
        <v>3023</v>
      </c>
      <c r="K278" s="224" t="s">
        <v>3075</v>
      </c>
      <c r="L278" s="225" t="str">
        <f>VLOOKUP(Logfile_S12[[#This Row],[Material Name]],Sheet2!B:C,2,0)</f>
        <v>ZTE2003</v>
      </c>
      <c r="M278" s="225" t="str">
        <f>_xlfn.XLOOKUP(Logfile_S12[[#This Row],[Material Name]],Sum_WH!E:E,Sum_WH!F:F,"",0)</f>
        <v>Meter</v>
      </c>
      <c r="N278" s="221">
        <v>3000</v>
      </c>
      <c r="O278" s="221" t="s">
        <v>3146</v>
      </c>
      <c r="P278" s="221" t="s">
        <v>92</v>
      </c>
      <c r="Q278" s="221"/>
      <c r="R278" s="221"/>
      <c r="S278" s="221"/>
      <c r="T278" s="221" t="s">
        <v>3569</v>
      </c>
      <c r="U278" s="221">
        <v>0</v>
      </c>
      <c r="V278" s="221" t="s">
        <v>3303</v>
      </c>
      <c r="W278" s="221" t="s">
        <v>3253</v>
      </c>
      <c r="X278" s="221"/>
      <c r="Y278" s="227"/>
      <c r="Z278" s="227" t="str">
        <f t="shared" si="13"/>
        <v>Kediri</v>
      </c>
      <c r="AA278" s="276" t="e">
        <f>VLOOKUP(Logfile_S12[[#This Row],[DO number]],DO_DB!G:I,3,0)</f>
        <v>#N/A</v>
      </c>
      <c r="AB278" s="331" t="e">
        <f>EXACT(Logfile_S12[[#This Row],[date pick]],Logfile_S12[[#This Row],[Date]])</f>
        <v>#N/A</v>
      </c>
      <c r="AC2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279" spans="1:29" ht="14.5" hidden="1">
      <c r="A279" s="220" t="str">
        <f t="shared" si="14"/>
        <v>275</v>
      </c>
      <c r="B279" s="221"/>
      <c r="C279" s="221" t="s">
        <v>49</v>
      </c>
      <c r="D279" s="221" t="s">
        <v>4282</v>
      </c>
      <c r="E279" s="221" t="s">
        <v>3295</v>
      </c>
      <c r="F279" s="221" t="s">
        <v>3299</v>
      </c>
      <c r="G279" s="222">
        <v>45617</v>
      </c>
      <c r="H279" s="223">
        <v>0.58819444444444446</v>
      </c>
      <c r="I279" s="221" t="s">
        <v>4916</v>
      </c>
      <c r="J279" s="221" t="s">
        <v>3023</v>
      </c>
      <c r="K279" s="224" t="s">
        <v>3073</v>
      </c>
      <c r="L279" s="225" t="str">
        <f>VLOOKUP(Logfile_S12[[#This Row],[Material Name]],Sheet2!B:C,2,0)</f>
        <v>ZTE2001</v>
      </c>
      <c r="M279" s="225" t="str">
        <f>_xlfn.XLOOKUP(Logfile_S12[[#This Row],[Material Name]],Sum_WH!E:E,Sum_WH!F:F,"",0)</f>
        <v>Meter</v>
      </c>
      <c r="N279" s="221">
        <v>3000</v>
      </c>
      <c r="O279" s="221" t="s">
        <v>2350</v>
      </c>
      <c r="P279" s="221" t="s">
        <v>3409</v>
      </c>
      <c r="Q279" s="221"/>
      <c r="R279" s="221"/>
      <c r="S279" s="221"/>
      <c r="T279" s="221" t="s">
        <v>3258</v>
      </c>
      <c r="U279" s="221" t="s">
        <v>5107</v>
      </c>
      <c r="V279" s="221" t="s">
        <v>3337</v>
      </c>
      <c r="W279" s="221" t="s">
        <v>3338</v>
      </c>
      <c r="X279" s="221"/>
      <c r="Y279" s="227"/>
      <c r="Z279" s="227" t="str">
        <f t="shared" si="13"/>
        <v>Kalirejo RW 13 Lawang Malang</v>
      </c>
      <c r="AA279" s="276" t="e">
        <f>VLOOKUP(Logfile_S12[[#This Row],[DO number]],DO_DB!G:I,3,0)</f>
        <v>#N/A</v>
      </c>
      <c r="AB279" s="331" t="e">
        <f>EXACT(Logfile_S12[[#This Row],[date pick]],Logfile_S12[[#This Row],[Date]])</f>
        <v>#N/A</v>
      </c>
      <c r="AC2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80" spans="1:29" ht="14.5" hidden="1">
      <c r="A280" s="237" t="str">
        <f t="shared" si="14"/>
        <v>276</v>
      </c>
      <c r="B280" s="221"/>
      <c r="C280" s="227" t="s">
        <v>48</v>
      </c>
      <c r="D280" s="227" t="s">
        <v>4453</v>
      </c>
      <c r="E280" s="227" t="s">
        <v>3295</v>
      </c>
      <c r="F280" s="227" t="s">
        <v>3299</v>
      </c>
      <c r="G280" s="239">
        <v>45617</v>
      </c>
      <c r="H280" s="240">
        <v>0.44097222222222221</v>
      </c>
      <c r="I280" s="227" t="s">
        <v>3586</v>
      </c>
      <c r="J280" s="482" t="s">
        <v>4432</v>
      </c>
      <c r="K280" s="241" t="s">
        <v>3073</v>
      </c>
      <c r="L280" s="225" t="str">
        <f>VLOOKUP(Logfile_S12[[#This Row],[Material Name]],Sheet2!B:C,2,0)</f>
        <v>ZTE2001</v>
      </c>
      <c r="M280" s="242" t="s">
        <v>20</v>
      </c>
      <c r="N280" s="227">
        <v>350</v>
      </c>
      <c r="O280" s="227"/>
      <c r="P280" s="227"/>
      <c r="Q280" s="227"/>
      <c r="R280" s="227"/>
      <c r="S280" s="227"/>
      <c r="T280" s="227"/>
      <c r="U280" s="227"/>
      <c r="V280" s="227"/>
      <c r="W280" s="227"/>
      <c r="X280" s="227"/>
      <c r="Y280" s="238" t="s">
        <v>5312</v>
      </c>
      <c r="Z280" s="238" t="s">
        <v>4455</v>
      </c>
      <c r="AA280" s="276" t="e">
        <f>VLOOKUP(Logfile_S12[[#This Row],[DO number]],DO_DB!G:I,3,0)</f>
        <v>#N/A</v>
      </c>
      <c r="AB280" s="332" t="e">
        <f>EXACT(Logfile_S12[[#This Row],[date pick]],Logfile_S12[[#This Row],[Date]])</f>
        <v>#N/A</v>
      </c>
      <c r="AC280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OUTBOUND_A-054-350m</v>
      </c>
    </row>
    <row r="281" spans="1:29" ht="14.5" hidden="1">
      <c r="A281" s="220" t="str">
        <f t="shared" si="14"/>
        <v>277</v>
      </c>
      <c r="B281" s="221"/>
      <c r="C281" s="221" t="s">
        <v>49</v>
      </c>
      <c r="D281" s="221" t="s">
        <v>4280</v>
      </c>
      <c r="E281" s="221" t="s">
        <v>3295</v>
      </c>
      <c r="F281" s="221" t="s">
        <v>3299</v>
      </c>
      <c r="G281" s="222">
        <v>45617</v>
      </c>
      <c r="H281" s="223">
        <v>0.44097222222222221</v>
      </c>
      <c r="I281" s="221" t="s">
        <v>4916</v>
      </c>
      <c r="J281" s="221" t="s">
        <v>3023</v>
      </c>
      <c r="K281" s="224" t="s">
        <v>3075</v>
      </c>
      <c r="L281" s="225" t="str">
        <f>VLOOKUP(Logfile_S12[[#This Row],[Material Name]],Sheet2!B:C,2,0)</f>
        <v>ZTE2003</v>
      </c>
      <c r="M281" s="225" t="str">
        <f>_xlfn.XLOOKUP(Logfile_S12[[#This Row],[Material Name]],Sum_WH!E:E,Sum_WH!F:F,"",0)</f>
        <v>Meter</v>
      </c>
      <c r="N281" s="221">
        <v>3000</v>
      </c>
      <c r="O281" s="221" t="s">
        <v>2013</v>
      </c>
      <c r="P281" s="221" t="s">
        <v>2014</v>
      </c>
      <c r="Q281" s="221"/>
      <c r="R281" s="221"/>
      <c r="S281" s="221"/>
      <c r="T281" s="221" t="s">
        <v>3420</v>
      </c>
      <c r="U281" s="221" t="s">
        <v>3247</v>
      </c>
      <c r="V281" s="221" t="s">
        <v>3421</v>
      </c>
      <c r="W281" s="221" t="s">
        <v>3256</v>
      </c>
      <c r="X281" s="221" t="s">
        <v>4281</v>
      </c>
      <c r="Y281" s="227"/>
      <c r="Z281" s="227" t="str">
        <f>P281</f>
        <v>Perumahan Panca Garden</v>
      </c>
      <c r="AA281" s="276" t="e">
        <f>VLOOKUP(Logfile_S12[[#This Row],[DO number]],DO_DB!G:I,3,0)</f>
        <v>#N/A</v>
      </c>
      <c r="AB281" s="331" t="e">
        <f>EXACT(Logfile_S12[[#This Row],[date pick]],Logfile_S12[[#This Row],[Date]])</f>
        <v>#N/A</v>
      </c>
      <c r="AC2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82" spans="1:29" ht="14.5" hidden="1">
      <c r="A282" s="237" t="str">
        <f t="shared" si="14"/>
        <v>278</v>
      </c>
      <c r="B282" s="221"/>
      <c r="C282" s="227" t="s">
        <v>48</v>
      </c>
      <c r="D282" s="227" t="s">
        <v>4453</v>
      </c>
      <c r="E282" s="227" t="s">
        <v>3295</v>
      </c>
      <c r="F282" s="227" t="s">
        <v>3299</v>
      </c>
      <c r="G282" s="239">
        <v>45617</v>
      </c>
      <c r="H282" s="240">
        <v>0.44097222222222221</v>
      </c>
      <c r="I282" s="227" t="s">
        <v>3586</v>
      </c>
      <c r="J282" s="482" t="s">
        <v>4432</v>
      </c>
      <c r="K282" s="241" t="s">
        <v>3075</v>
      </c>
      <c r="L282" s="225" t="str">
        <f>VLOOKUP(Logfile_S12[[#This Row],[Material Name]],Sheet2!B:C,2,0)</f>
        <v>ZTE2003</v>
      </c>
      <c r="M282" s="242" t="s">
        <v>20</v>
      </c>
      <c r="N282" s="227">
        <v>995</v>
      </c>
      <c r="O282" s="227" t="s">
        <v>2013</v>
      </c>
      <c r="P282" s="227" t="s">
        <v>2014</v>
      </c>
      <c r="Q282" s="227"/>
      <c r="R282" s="227"/>
      <c r="S282" s="227"/>
      <c r="T282" s="227" t="s">
        <v>3420</v>
      </c>
      <c r="U282" s="227">
        <v>0</v>
      </c>
      <c r="V282" s="227" t="s">
        <v>3421</v>
      </c>
      <c r="W282" s="227" t="s">
        <v>3256</v>
      </c>
      <c r="X282" s="227" t="s">
        <v>4281</v>
      </c>
      <c r="Y282" s="238" t="s">
        <v>5295</v>
      </c>
      <c r="Z282" s="238" t="s">
        <v>4454</v>
      </c>
      <c r="AA282" s="276" t="e">
        <f>VLOOKUP(Logfile_S12[[#This Row],[DO number]],DO_DB!G:I,3,0)</f>
        <v>#N/A</v>
      </c>
      <c r="AB282" s="332" t="e">
        <f>EXACT(Logfile_S12[[#This Row],[date pick]],Logfile_S12[[#This Row],[Date]])</f>
        <v>#N/A</v>
      </c>
      <c r="AC28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OUTBOUND_B-014-995m</v>
      </c>
    </row>
    <row r="283" spans="1:29" ht="14.5" hidden="1">
      <c r="A283" s="220" t="str">
        <f t="shared" si="14"/>
        <v>279</v>
      </c>
      <c r="B283" s="221"/>
      <c r="C283" s="221" t="s">
        <v>49</v>
      </c>
      <c r="D283" s="221" t="s">
        <v>4283</v>
      </c>
      <c r="E283" s="221" t="s">
        <v>3295</v>
      </c>
      <c r="F283" s="221" t="s">
        <v>3299</v>
      </c>
      <c r="G283" s="222">
        <v>45618</v>
      </c>
      <c r="H283" s="223">
        <v>0.39583333333333331</v>
      </c>
      <c r="I283" s="221" t="s">
        <v>4916</v>
      </c>
      <c r="J283" s="221" t="s">
        <v>3023</v>
      </c>
      <c r="K283" s="224" t="s">
        <v>3075</v>
      </c>
      <c r="L283" s="225" t="str">
        <f>VLOOKUP(Logfile_S12[[#This Row],[Material Name]],Sheet2!B:C,2,0)</f>
        <v>ZTE2003</v>
      </c>
      <c r="M283" s="225" t="str">
        <f>_xlfn.XLOOKUP(Logfile_S12[[#This Row],[Material Name]],Sum_WH!E:E,Sum_WH!F:F,"",0)</f>
        <v>Meter</v>
      </c>
      <c r="N283" s="221">
        <v>3000</v>
      </c>
      <c r="O283" s="221" t="s">
        <v>2520</v>
      </c>
      <c r="P283" s="221" t="s">
        <v>2521</v>
      </c>
      <c r="Q283" s="221"/>
      <c r="R283" s="221"/>
      <c r="S283" s="221"/>
      <c r="T283" s="221" t="s">
        <v>3258</v>
      </c>
      <c r="U283" s="221" t="s">
        <v>5107</v>
      </c>
      <c r="V283" s="221" t="s">
        <v>3337</v>
      </c>
      <c r="W283" s="221" t="s">
        <v>3338</v>
      </c>
      <c r="X283" s="221"/>
      <c r="Y283" s="227"/>
      <c r="Z283" s="227" t="str">
        <f t="shared" ref="Z283:Z302" si="15">P283</f>
        <v>Perumahan Bukit Lawang Indah Malang</v>
      </c>
      <c r="AA283" s="276" t="e">
        <f>VLOOKUP(Logfile_S12[[#This Row],[DO number]],DO_DB!G:I,3,0)</f>
        <v>#N/A</v>
      </c>
      <c r="AB283" s="331" t="e">
        <f>EXACT(Logfile_S12[[#This Row],[date pick]],Logfile_S12[[#This Row],[Date]])</f>
        <v>#N/A</v>
      </c>
      <c r="AC2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84" spans="1:29" ht="14.5" hidden="1">
      <c r="A284" s="220" t="str">
        <f t="shared" si="14"/>
        <v>280</v>
      </c>
      <c r="B284" s="221"/>
      <c r="C284" s="221" t="s">
        <v>48</v>
      </c>
      <c r="D284" s="221" t="s">
        <v>4288</v>
      </c>
      <c r="E284" s="221" t="s">
        <v>3295</v>
      </c>
      <c r="F284" s="221" t="s">
        <v>3299</v>
      </c>
      <c r="G284" s="222">
        <v>45622</v>
      </c>
      <c r="H284" s="223">
        <v>15.291666666666666</v>
      </c>
      <c r="I284" s="221" t="s">
        <v>37</v>
      </c>
      <c r="J284" s="221" t="s">
        <v>3023</v>
      </c>
      <c r="K284" s="224" t="s">
        <v>3073</v>
      </c>
      <c r="L284" s="225" t="str">
        <f>VLOOKUP(Logfile_S12[[#This Row],[Material Name]],Sheet2!B:C,2,0)</f>
        <v>ZTE2001</v>
      </c>
      <c r="M284" s="225" t="str">
        <f>_xlfn.XLOOKUP(Logfile_S12[[#This Row],[Material Name]],Sum_WH!E:E,Sum_WH!F:F,"",0)</f>
        <v>Meter</v>
      </c>
      <c r="N284" s="221">
        <v>3000</v>
      </c>
      <c r="O284" s="221" t="s">
        <v>2502</v>
      </c>
      <c r="P284" s="221" t="s">
        <v>2503</v>
      </c>
      <c r="Q284" s="221" t="s">
        <v>2506</v>
      </c>
      <c r="R284" s="221" t="s">
        <v>2507</v>
      </c>
      <c r="S284" s="221"/>
      <c r="T284" s="221"/>
      <c r="U284" s="221"/>
      <c r="V284" s="221"/>
      <c r="W284" s="221"/>
      <c r="X284" s="221"/>
      <c r="Y284" s="227" t="s">
        <v>5014</v>
      </c>
      <c r="Z284" s="227" t="str">
        <f t="shared" si="15"/>
        <v>Bedali RW 03 Kromengan</v>
      </c>
      <c r="AA284" s="276">
        <f>VLOOKUP(Logfile_S12[[#This Row],[DO number]],DO_DB!G:I,3,0)</f>
        <v>45622</v>
      </c>
      <c r="AB284" s="331" t="b">
        <f>EXACT(Logfile_S12[[#This Row],[date pick]],Logfile_S12[[#This Row],[Date]])</f>
        <v>1</v>
      </c>
      <c r="AC2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24C-20241126-02</v>
      </c>
    </row>
    <row r="285" spans="1:29" ht="14.5" hidden="1">
      <c r="A285" s="220" t="str">
        <f t="shared" si="14"/>
        <v>281</v>
      </c>
      <c r="B285" s="221"/>
      <c r="C285" s="221" t="s">
        <v>48</v>
      </c>
      <c r="D285" s="221" t="s">
        <v>4288</v>
      </c>
      <c r="E285" s="221" t="s">
        <v>3295</v>
      </c>
      <c r="F285" s="221" t="s">
        <v>3299</v>
      </c>
      <c r="G285" s="222">
        <v>45622</v>
      </c>
      <c r="H285" s="223">
        <v>15.291666666666666</v>
      </c>
      <c r="I285" s="221" t="s">
        <v>37</v>
      </c>
      <c r="J285" s="221" t="s">
        <v>3023</v>
      </c>
      <c r="K285" s="224" t="s">
        <v>3073</v>
      </c>
      <c r="L285" s="225" t="str">
        <f>VLOOKUP(Logfile_S12[[#This Row],[Material Name]],Sheet2!B:C,2,0)</f>
        <v>ZTE2001</v>
      </c>
      <c r="M285" s="225" t="str">
        <f>_xlfn.XLOOKUP(Logfile_S12[[#This Row],[Material Name]],Sum_WH!E:E,Sum_WH!F:F,"",0)</f>
        <v>Meter</v>
      </c>
      <c r="N285" s="221">
        <v>3000</v>
      </c>
      <c r="O285" s="221" t="s">
        <v>2508</v>
      </c>
      <c r="P285" s="221" t="s">
        <v>2509</v>
      </c>
      <c r="Q285" s="221" t="s">
        <v>2512</v>
      </c>
      <c r="R285" s="221" t="s">
        <v>2513</v>
      </c>
      <c r="S285" s="221"/>
      <c r="T285" s="221"/>
      <c r="U285" s="221"/>
      <c r="V285" s="221"/>
      <c r="W285" s="221"/>
      <c r="X285" s="221"/>
      <c r="Y285" s="227" t="s">
        <v>5015</v>
      </c>
      <c r="Z285" s="227" t="str">
        <f t="shared" si="15"/>
        <v>BEDALI RW 04 MALANG</v>
      </c>
      <c r="AA285" s="276">
        <f>VLOOKUP(Logfile_S12[[#This Row],[DO number]],DO_DB!G:I,3,0)</f>
        <v>45622</v>
      </c>
      <c r="AB285" s="331" t="b">
        <f>EXACT(Logfile_S12[[#This Row],[date pick]],Logfile_S12[[#This Row],[Date]])</f>
        <v>1</v>
      </c>
      <c r="AC2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24C-20241126-03</v>
      </c>
    </row>
    <row r="286" spans="1:29" ht="14.5" hidden="1">
      <c r="A286" s="220" t="str">
        <f t="shared" si="14"/>
        <v>282</v>
      </c>
      <c r="B286" s="221"/>
      <c r="C286" s="221" t="s">
        <v>48</v>
      </c>
      <c r="D286" s="221" t="s">
        <v>4288</v>
      </c>
      <c r="E286" s="221" t="s">
        <v>3295</v>
      </c>
      <c r="F286" s="221" t="s">
        <v>3299</v>
      </c>
      <c r="G286" s="222">
        <v>45622</v>
      </c>
      <c r="H286" s="223">
        <v>15.291666666666666</v>
      </c>
      <c r="I286" s="221" t="s">
        <v>37</v>
      </c>
      <c r="J286" s="221" t="s">
        <v>3023</v>
      </c>
      <c r="K286" s="224" t="s">
        <v>3073</v>
      </c>
      <c r="L286" s="225" t="str">
        <f>VLOOKUP(Logfile_S12[[#This Row],[Material Name]],Sheet2!B:C,2,0)</f>
        <v>ZTE2001</v>
      </c>
      <c r="M286" s="225" t="str">
        <f>_xlfn.XLOOKUP(Logfile_S12[[#This Row],[Material Name]],Sum_WH!E:E,Sum_WH!F:F,"",0)</f>
        <v>Meter</v>
      </c>
      <c r="N286" s="221">
        <v>3000</v>
      </c>
      <c r="O286" s="221" t="s">
        <v>2514</v>
      </c>
      <c r="P286" s="221" t="s">
        <v>2515</v>
      </c>
      <c r="Q286" s="221" t="s">
        <v>2518</v>
      </c>
      <c r="R286" s="221" t="s">
        <v>2519</v>
      </c>
      <c r="S286" s="221"/>
      <c r="T286" s="221"/>
      <c r="U286" s="221"/>
      <c r="V286" s="221"/>
      <c r="W286" s="221"/>
      <c r="X286" s="221"/>
      <c r="Y286" s="227" t="s">
        <v>5013</v>
      </c>
      <c r="Z286" s="227" t="str">
        <f t="shared" si="15"/>
        <v>Bedali RW 05 Kromengan</v>
      </c>
      <c r="AA286" s="276">
        <f>VLOOKUP(Logfile_S12[[#This Row],[DO number]],DO_DB!G:I,3,0)</f>
        <v>45622</v>
      </c>
      <c r="AB286" s="331" t="b">
        <f>EXACT(Logfile_S12[[#This Row],[date pick]],Logfile_S12[[#This Row],[Date]])</f>
        <v>1</v>
      </c>
      <c r="AC2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24C-20241126-01</v>
      </c>
    </row>
    <row r="287" spans="1:29" ht="14.5" hidden="1">
      <c r="A287" s="220" t="str">
        <f t="shared" si="14"/>
        <v>283</v>
      </c>
      <c r="B287" s="221"/>
      <c r="C287" s="221" t="s">
        <v>49</v>
      </c>
      <c r="D287" s="221" t="s">
        <v>4292</v>
      </c>
      <c r="E287" s="221" t="s">
        <v>3295</v>
      </c>
      <c r="F287" s="221" t="s">
        <v>3299</v>
      </c>
      <c r="G287" s="222">
        <v>45622</v>
      </c>
      <c r="H287" s="223">
        <v>0.39583333333333331</v>
      </c>
      <c r="I287" s="221" t="s">
        <v>4916</v>
      </c>
      <c r="J287" s="221" t="s">
        <v>3023</v>
      </c>
      <c r="K287" s="224" t="s">
        <v>3073</v>
      </c>
      <c r="L287" s="225" t="str">
        <f>VLOOKUP(Logfile_S12[[#This Row],[Material Name]],Sheet2!B:C,2,0)</f>
        <v>ZTE2001</v>
      </c>
      <c r="M287" s="225" t="str">
        <f>_xlfn.XLOOKUP(Logfile_S12[[#This Row],[Material Name]],Sum_WH!E:E,Sum_WH!F:F,"",0)</f>
        <v>Meter</v>
      </c>
      <c r="N287" s="221">
        <v>3000</v>
      </c>
      <c r="O287" s="221" t="s">
        <v>2502</v>
      </c>
      <c r="P287" s="221" t="s">
        <v>2503</v>
      </c>
      <c r="Q287" s="221"/>
      <c r="R287" s="221"/>
      <c r="S287" s="221"/>
      <c r="T287" s="221" t="s">
        <v>3258</v>
      </c>
      <c r="U287" s="221" t="s">
        <v>5107</v>
      </c>
      <c r="V287" s="221" t="s">
        <v>3337</v>
      </c>
      <c r="W287" s="221" t="s">
        <v>3338</v>
      </c>
      <c r="X287" s="221"/>
      <c r="Y287" s="227"/>
      <c r="Z287" s="227" t="str">
        <f t="shared" si="15"/>
        <v>Bedali RW 03 Kromengan</v>
      </c>
      <c r="AA287" s="276" t="e">
        <f>VLOOKUP(Logfile_S12[[#This Row],[DO number]],DO_DB!G:I,3,0)</f>
        <v>#N/A</v>
      </c>
      <c r="AB287" s="331" t="e">
        <f>EXACT(Logfile_S12[[#This Row],[date pick]],Logfile_S12[[#This Row],[Date]])</f>
        <v>#N/A</v>
      </c>
      <c r="AC2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88" spans="1:29" ht="14.5" hidden="1">
      <c r="A288" s="220" t="str">
        <f t="shared" si="14"/>
        <v>284</v>
      </c>
      <c r="B288" s="221"/>
      <c r="C288" s="221" t="s">
        <v>48</v>
      </c>
      <c r="D288" s="221" t="s">
        <v>4288</v>
      </c>
      <c r="E288" s="221" t="s">
        <v>3295</v>
      </c>
      <c r="F288" s="221" t="s">
        <v>3299</v>
      </c>
      <c r="G288" s="222">
        <v>45622</v>
      </c>
      <c r="H288" s="223">
        <v>15.291666666666666</v>
      </c>
      <c r="I288" s="221" t="s">
        <v>37</v>
      </c>
      <c r="J288" s="221" t="s">
        <v>3023</v>
      </c>
      <c r="K288" s="224" t="s">
        <v>3075</v>
      </c>
      <c r="L288" s="225" t="str">
        <f>VLOOKUP(Logfile_S12[[#This Row],[Material Name]],Sheet2!B:C,2,0)</f>
        <v>ZTE2003</v>
      </c>
      <c r="M288" s="225" t="str">
        <f>_xlfn.XLOOKUP(Logfile_S12[[#This Row],[Material Name]],Sum_WH!E:E,Sum_WH!F:F,"",0)</f>
        <v>Meter</v>
      </c>
      <c r="N288" s="221">
        <v>3000</v>
      </c>
      <c r="O288" s="221" t="s">
        <v>2508</v>
      </c>
      <c r="P288" s="221" t="s">
        <v>3468</v>
      </c>
      <c r="Q288" s="221" t="s">
        <v>2512</v>
      </c>
      <c r="R288" s="221" t="s">
        <v>2513</v>
      </c>
      <c r="S288" s="221"/>
      <c r="T288" s="221"/>
      <c r="U288" s="221"/>
      <c r="V288" s="221"/>
      <c r="W288" s="221"/>
      <c r="X288" s="221"/>
      <c r="Y288" s="227" t="s">
        <v>5077</v>
      </c>
      <c r="Z288" s="227" t="str">
        <f t="shared" si="15"/>
        <v>Bedali RW 04 Kromengan</v>
      </c>
      <c r="AA288" s="276">
        <f>VLOOKUP(Logfile_S12[[#This Row],[DO number]],DO_DB!G:I,3,0)</f>
        <v>45622</v>
      </c>
      <c r="AB288" s="331" t="b">
        <f>EXACT(Logfile_S12[[#This Row],[date pick]],Logfile_S12[[#This Row],[Date]])</f>
        <v>1</v>
      </c>
      <c r="AC2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48C-20241126-01</v>
      </c>
    </row>
    <row r="289" spans="1:29" ht="14.5" hidden="1">
      <c r="A289" s="220" t="str">
        <f t="shared" si="14"/>
        <v>285</v>
      </c>
      <c r="B289" s="221"/>
      <c r="C289" s="221" t="s">
        <v>48</v>
      </c>
      <c r="D289" s="221" t="s">
        <v>4288</v>
      </c>
      <c r="E289" s="221" t="s">
        <v>3295</v>
      </c>
      <c r="F289" s="221" t="s">
        <v>3299</v>
      </c>
      <c r="G289" s="222">
        <v>45622</v>
      </c>
      <c r="H289" s="223">
        <v>15.291666666666666</v>
      </c>
      <c r="I289" s="221" t="s">
        <v>37</v>
      </c>
      <c r="J289" s="221" t="s">
        <v>3023</v>
      </c>
      <c r="K289" s="224" t="s">
        <v>3075</v>
      </c>
      <c r="L289" s="225" t="str">
        <f>VLOOKUP(Logfile_S12[[#This Row],[Material Name]],Sheet2!B:C,2,0)</f>
        <v>ZTE2003</v>
      </c>
      <c r="M289" s="225" t="str">
        <f>_xlfn.XLOOKUP(Logfile_S12[[#This Row],[Material Name]],Sum_WH!E:E,Sum_WH!F:F,"",0)</f>
        <v>Meter</v>
      </c>
      <c r="N289" s="221">
        <v>3000</v>
      </c>
      <c r="O289" s="221" t="s">
        <v>2520</v>
      </c>
      <c r="P289" s="221" t="s">
        <v>3469</v>
      </c>
      <c r="Q289" s="221" t="s">
        <v>2524</v>
      </c>
      <c r="R289" s="221" t="s">
        <v>2525</v>
      </c>
      <c r="S289" s="221"/>
      <c r="T289" s="221"/>
      <c r="U289" s="221"/>
      <c r="V289" s="221"/>
      <c r="W289" s="221"/>
      <c r="X289" s="221"/>
      <c r="Y289" s="227" t="s">
        <v>5078</v>
      </c>
      <c r="Z289" s="227" t="str">
        <f t="shared" si="15"/>
        <v>Perumahan Bukit Lawang Indah Malang</v>
      </c>
      <c r="AA289" s="276">
        <f>VLOOKUP(Logfile_S12[[#This Row],[DO number]],DO_DB!G:I,3,0)</f>
        <v>45622</v>
      </c>
      <c r="AB289" s="331" t="b">
        <f>EXACT(Logfile_S12[[#This Row],[date pick]],Logfile_S12[[#This Row],[Date]])</f>
        <v>1</v>
      </c>
      <c r="AC2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48C-20241126-02</v>
      </c>
    </row>
    <row r="290" spans="1:29" ht="14.5" hidden="1">
      <c r="A290" s="220" t="str">
        <f t="shared" si="14"/>
        <v>286</v>
      </c>
      <c r="B290" s="221"/>
      <c r="C290" s="221" t="s">
        <v>49</v>
      </c>
      <c r="D290" s="221" t="s">
        <v>4297</v>
      </c>
      <c r="E290" s="221" t="s">
        <v>3295</v>
      </c>
      <c r="F290" s="221" t="s">
        <v>3299</v>
      </c>
      <c r="G290" s="222">
        <v>45627</v>
      </c>
      <c r="H290" s="223">
        <v>0.39583333333333331</v>
      </c>
      <c r="I290" s="221" t="s">
        <v>4916</v>
      </c>
      <c r="J290" s="221" t="s">
        <v>3023</v>
      </c>
      <c r="K290" s="224" t="s">
        <v>3073</v>
      </c>
      <c r="L290" s="225" t="str">
        <f>VLOOKUP(Logfile_S12[[#This Row],[Material Name]],Sheet2!B:C,2,0)</f>
        <v>ZTE2001</v>
      </c>
      <c r="M290" s="225" t="str">
        <f>_xlfn.XLOOKUP(Logfile_S12[[#This Row],[Material Name]],Sum_WH!E:E,Sum_WH!F:F,"",0)</f>
        <v>Meter</v>
      </c>
      <c r="N290" s="221">
        <v>3000</v>
      </c>
      <c r="O290" s="221" t="s">
        <v>2508</v>
      </c>
      <c r="P290" s="221" t="s">
        <v>2509</v>
      </c>
      <c r="Q290" s="221"/>
      <c r="R290" s="221"/>
      <c r="S290" s="221"/>
      <c r="T290" s="221" t="s">
        <v>3258</v>
      </c>
      <c r="U290" s="221" t="s">
        <v>5107</v>
      </c>
      <c r="V290" s="221" t="s">
        <v>3337</v>
      </c>
      <c r="W290" s="221" t="s">
        <v>3338</v>
      </c>
      <c r="X290" s="221"/>
      <c r="Y290" s="227"/>
      <c r="Z290" s="227" t="str">
        <f t="shared" si="15"/>
        <v>BEDALI RW 04 MALANG</v>
      </c>
      <c r="AA290" s="276" t="e">
        <f>VLOOKUP(Logfile_S12[[#This Row],[DO number]],DO_DB!G:I,3,0)</f>
        <v>#N/A</v>
      </c>
      <c r="AB290" s="331" t="e">
        <f>EXACT(Logfile_S12[[#This Row],[date pick]],Logfile_S12[[#This Row],[Date]])</f>
        <v>#N/A</v>
      </c>
      <c r="AC2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91" spans="1:29" ht="14.5" hidden="1">
      <c r="A291" s="220" t="str">
        <f t="shared" si="14"/>
        <v>287</v>
      </c>
      <c r="B291" s="221"/>
      <c r="C291" s="221" t="s">
        <v>49</v>
      </c>
      <c r="D291" s="221" t="s">
        <v>4297</v>
      </c>
      <c r="E291" s="221" t="s">
        <v>3295</v>
      </c>
      <c r="F291" s="221" t="s">
        <v>3299</v>
      </c>
      <c r="G291" s="222">
        <v>45627</v>
      </c>
      <c r="H291" s="223">
        <v>0.39583333333333331</v>
      </c>
      <c r="I291" s="221" t="s">
        <v>4916</v>
      </c>
      <c r="J291" s="221" t="s">
        <v>3023</v>
      </c>
      <c r="K291" s="224" t="s">
        <v>3073</v>
      </c>
      <c r="L291" s="225" t="str">
        <f>VLOOKUP(Logfile_S12[[#This Row],[Material Name]],Sheet2!B:C,2,0)</f>
        <v>ZTE2001</v>
      </c>
      <c r="M291" s="225" t="str">
        <f>_xlfn.XLOOKUP(Logfile_S12[[#This Row],[Material Name]],Sum_WH!E:E,Sum_WH!F:F,"",0)</f>
        <v>Meter</v>
      </c>
      <c r="N291" s="221">
        <v>3000</v>
      </c>
      <c r="O291" s="221" t="s">
        <v>2514</v>
      </c>
      <c r="P291" s="221" t="s">
        <v>2515</v>
      </c>
      <c r="Q291" s="221"/>
      <c r="R291" s="221"/>
      <c r="S291" s="221"/>
      <c r="T291" s="221" t="s">
        <v>3258</v>
      </c>
      <c r="U291" s="221" t="s">
        <v>5107</v>
      </c>
      <c r="V291" s="221" t="s">
        <v>3337</v>
      </c>
      <c r="W291" s="221" t="s">
        <v>3338</v>
      </c>
      <c r="X291" s="221"/>
      <c r="Y291" s="227"/>
      <c r="Z291" s="227" t="str">
        <f t="shared" si="15"/>
        <v>Bedali RW 05 Kromengan</v>
      </c>
      <c r="AA291" s="276" t="e">
        <f>VLOOKUP(Logfile_S12[[#This Row],[DO number]],DO_DB!G:I,3,0)</f>
        <v>#N/A</v>
      </c>
      <c r="AB291" s="331" t="e">
        <f>EXACT(Logfile_S12[[#This Row],[date pick]],Logfile_S12[[#This Row],[Date]])</f>
        <v>#N/A</v>
      </c>
      <c r="AC2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92" spans="1:29" ht="14.5" hidden="1">
      <c r="A292" s="220" t="str">
        <f t="shared" si="14"/>
        <v>288</v>
      </c>
      <c r="B292" s="221"/>
      <c r="C292" s="221" t="s">
        <v>49</v>
      </c>
      <c r="D292" s="221" t="s">
        <v>4301</v>
      </c>
      <c r="E292" s="221" t="s">
        <v>3295</v>
      </c>
      <c r="F292" s="221" t="s">
        <v>3299</v>
      </c>
      <c r="G292" s="222">
        <v>45640</v>
      </c>
      <c r="H292" s="223">
        <v>0.48541666666666666</v>
      </c>
      <c r="I292" s="221" t="s">
        <v>4916</v>
      </c>
      <c r="J292" s="221" t="s">
        <v>3023</v>
      </c>
      <c r="K292" s="224" t="s">
        <v>3073</v>
      </c>
      <c r="L292" s="225" t="str">
        <f>VLOOKUP(Logfile_S12[[#This Row],[Material Name]],Sheet2!B:C,2,0)</f>
        <v>ZTE2001</v>
      </c>
      <c r="M292" s="225" t="str">
        <f>_xlfn.XLOOKUP(Logfile_S12[[#This Row],[Material Name]],Sum_WH!E:E,Sum_WH!F:F,"",0)</f>
        <v>Meter</v>
      </c>
      <c r="N292" s="221">
        <v>3000</v>
      </c>
      <c r="O292" s="221" t="s">
        <v>2539</v>
      </c>
      <c r="P292" s="221" t="s">
        <v>2540</v>
      </c>
      <c r="Q292" s="221"/>
      <c r="R292" s="221"/>
      <c r="S292" s="221"/>
      <c r="T292" s="221" t="s">
        <v>3258</v>
      </c>
      <c r="U292" s="221" t="s">
        <v>5107</v>
      </c>
      <c r="V292" s="221" t="s">
        <v>3337</v>
      </c>
      <c r="W292" s="221" t="s">
        <v>3338</v>
      </c>
      <c r="X292" s="221" t="s">
        <v>3515</v>
      </c>
      <c r="Y292" s="227"/>
      <c r="Z292" s="227" t="str">
        <f t="shared" si="15"/>
        <v>Permanu RW 02 Pakisaji</v>
      </c>
      <c r="AA292" s="276" t="e">
        <f>VLOOKUP(Logfile_S12[[#This Row],[DO number]],DO_DB!G:I,3,0)</f>
        <v>#N/A</v>
      </c>
      <c r="AB292" s="331" t="e">
        <f>EXACT(Logfile_S12[[#This Row],[date pick]],Logfile_S12[[#This Row],[Date]])</f>
        <v>#N/A</v>
      </c>
      <c r="AC2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93" spans="1:29" ht="14.5" hidden="1">
      <c r="A293" s="220" t="str">
        <f t="shared" si="14"/>
        <v>289</v>
      </c>
      <c r="B293" s="221"/>
      <c r="C293" s="221" t="s">
        <v>48</v>
      </c>
      <c r="D293" s="221" t="s">
        <v>4305</v>
      </c>
      <c r="E293" s="221" t="s">
        <v>3295</v>
      </c>
      <c r="F293" s="221" t="s">
        <v>3299</v>
      </c>
      <c r="G293" s="222">
        <v>45643</v>
      </c>
      <c r="H293" s="223">
        <v>15.291666666666666</v>
      </c>
      <c r="I293" s="221" t="s">
        <v>37</v>
      </c>
      <c r="J293" s="221" t="s">
        <v>3023</v>
      </c>
      <c r="K293" s="224" t="s">
        <v>3073</v>
      </c>
      <c r="L293" s="225" t="str">
        <f>VLOOKUP(Logfile_S12[[#This Row],[Material Name]],Sheet2!B:C,2,0)</f>
        <v>ZTE2001</v>
      </c>
      <c r="M293" s="225" t="str">
        <f>_xlfn.XLOOKUP(Logfile_S12[[#This Row],[Material Name]],Sum_WH!E:E,Sum_WH!F:F,"",0)</f>
        <v>Meter</v>
      </c>
      <c r="N293" s="227">
        <v>3000</v>
      </c>
      <c r="O293" s="221"/>
      <c r="P293" s="221"/>
      <c r="Q293" s="221">
        <v>0</v>
      </c>
      <c r="R293" s="221">
        <v>0</v>
      </c>
      <c r="S293" s="221"/>
      <c r="T293" s="221"/>
      <c r="U293" s="221"/>
      <c r="V293" s="221"/>
      <c r="W293" s="221"/>
      <c r="X293" s="221"/>
      <c r="Y293" s="227" t="s">
        <v>4952</v>
      </c>
      <c r="Z293" s="227">
        <f t="shared" si="15"/>
        <v>0</v>
      </c>
      <c r="AA293" s="276" t="e">
        <f>VLOOKUP(Logfile_S12[[#This Row],[DO number]],DO_DB!G:I,3,0)</f>
        <v>#N/A</v>
      </c>
      <c r="AB293" s="331" t="e">
        <f>EXACT(Logfile_S12[[#This Row],[date pick]],Logfile_S12[[#This Row],[Date]])</f>
        <v>#N/A</v>
      </c>
      <c r="AC2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24C-20241217-01</v>
      </c>
    </row>
    <row r="294" spans="1:29" ht="14.5" hidden="1">
      <c r="A294" s="237" t="str">
        <f t="shared" si="14"/>
        <v>290</v>
      </c>
      <c r="B294" s="221"/>
      <c r="C294" s="227" t="s">
        <v>48</v>
      </c>
      <c r="D294" s="227" t="s">
        <v>4305</v>
      </c>
      <c r="E294" s="227" t="s">
        <v>3295</v>
      </c>
      <c r="F294" s="227" t="s">
        <v>3299</v>
      </c>
      <c r="G294" s="239">
        <v>45643</v>
      </c>
      <c r="H294" s="240">
        <v>15.291666666666666</v>
      </c>
      <c r="I294" s="227" t="s">
        <v>37</v>
      </c>
      <c r="J294" s="227" t="s">
        <v>3023</v>
      </c>
      <c r="K294" s="241" t="s">
        <v>3073</v>
      </c>
      <c r="L294" s="225" t="str">
        <f>VLOOKUP(Logfile_S12[[#This Row],[Material Name]],Sheet2!B:C,2,0)</f>
        <v>ZTE2001</v>
      </c>
      <c r="M294" s="242" t="s">
        <v>20</v>
      </c>
      <c r="N294" s="227">
        <v>3000</v>
      </c>
      <c r="O294" s="227"/>
      <c r="P294" s="227"/>
      <c r="Q294" s="227">
        <v>0</v>
      </c>
      <c r="R294" s="227">
        <v>0</v>
      </c>
      <c r="S294" s="227"/>
      <c r="T294" s="227"/>
      <c r="U294" s="227"/>
      <c r="V294" s="227"/>
      <c r="W294" s="227"/>
      <c r="X294" s="227"/>
      <c r="Y294" s="227" t="s">
        <v>5016</v>
      </c>
      <c r="Z294" s="227">
        <f t="shared" si="15"/>
        <v>0</v>
      </c>
      <c r="AA294" s="276" t="e">
        <f>VLOOKUP(Logfile_S12[[#This Row],[DO number]],DO_DB!G:I,3,0)</f>
        <v>#N/A</v>
      </c>
      <c r="AB294" s="331" t="e">
        <f>EXACT(Logfile_S12[[#This Row],[date pick]],Logfile_S12[[#This Row],[Date]])</f>
        <v>#N/A</v>
      </c>
      <c r="AC2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24C-20241217-02</v>
      </c>
    </row>
    <row r="295" spans="1:29" ht="14.5" hidden="1">
      <c r="A295" s="220" t="str">
        <f t="shared" si="14"/>
        <v>291</v>
      </c>
      <c r="B295" s="221"/>
      <c r="C295" s="221" t="s">
        <v>49</v>
      </c>
      <c r="D295" s="221" t="s">
        <v>4309</v>
      </c>
      <c r="E295" s="221" t="s">
        <v>3295</v>
      </c>
      <c r="F295" s="221" t="s">
        <v>3299</v>
      </c>
      <c r="G295" s="222">
        <v>45644</v>
      </c>
      <c r="H295" s="223">
        <v>0.87708333333333333</v>
      </c>
      <c r="I295" s="221" t="s">
        <v>4916</v>
      </c>
      <c r="J295" s="221" t="s">
        <v>3023</v>
      </c>
      <c r="K295" s="224" t="s">
        <v>3073</v>
      </c>
      <c r="L295" s="225" t="str">
        <f>VLOOKUP(Logfile_S12[[#This Row],[Material Name]],Sheet2!B:C,2,0)</f>
        <v>ZTE2001</v>
      </c>
      <c r="M295" s="225" t="str">
        <f>_xlfn.XLOOKUP(Logfile_S12[[#This Row],[Material Name]],Sum_WH!E:E,Sum_WH!F:F,"",0)</f>
        <v>Meter</v>
      </c>
      <c r="N295" s="221">
        <v>3000</v>
      </c>
      <c r="O295" s="221" t="s">
        <v>2543</v>
      </c>
      <c r="P295" s="221" t="s">
        <v>2544</v>
      </c>
      <c r="Q295" s="221"/>
      <c r="R295" s="221"/>
      <c r="S295" s="221"/>
      <c r="T295" s="221" t="s">
        <v>3258</v>
      </c>
      <c r="U295" s="221" t="s">
        <v>5107</v>
      </c>
      <c r="V295" s="221" t="s">
        <v>3337</v>
      </c>
      <c r="W295" s="221" t="s">
        <v>3338</v>
      </c>
      <c r="X295" s="221"/>
      <c r="Y295" s="227"/>
      <c r="Z295" s="227" t="str">
        <f t="shared" si="15"/>
        <v>Dusun Cupak RW 02</v>
      </c>
      <c r="AA295" s="276" t="e">
        <f>VLOOKUP(Logfile_S12[[#This Row],[DO number]],DO_DB!G:I,3,0)</f>
        <v>#N/A</v>
      </c>
      <c r="AB295" s="331" t="e">
        <f>EXACT(Logfile_S12[[#This Row],[date pick]],Logfile_S12[[#This Row],[Date]])</f>
        <v>#N/A</v>
      </c>
      <c r="AC2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96" spans="1:29" ht="14.5" hidden="1">
      <c r="A296" s="220" t="str">
        <f t="shared" si="14"/>
        <v>292</v>
      </c>
      <c r="B296" s="221"/>
      <c r="C296" s="221" t="s">
        <v>49</v>
      </c>
      <c r="D296" s="221" t="s">
        <v>4319</v>
      </c>
      <c r="E296" s="221" t="s">
        <v>3295</v>
      </c>
      <c r="F296" s="221" t="s">
        <v>3299</v>
      </c>
      <c r="G296" s="222">
        <v>45665</v>
      </c>
      <c r="H296" s="223">
        <v>0.69374999999999998</v>
      </c>
      <c r="I296" s="221" t="s">
        <v>4916</v>
      </c>
      <c r="J296" s="221" t="s">
        <v>3023</v>
      </c>
      <c r="K296" s="224" t="s">
        <v>3073</v>
      </c>
      <c r="L296" s="225" t="str">
        <f>VLOOKUP(Logfile_S12[[#This Row],[Material Name]],Sheet2!B:C,2,0)</f>
        <v>ZTE2001</v>
      </c>
      <c r="M296" s="225" t="str">
        <f>_xlfn.XLOOKUP(Logfile_S12[[#This Row],[Material Name]],Sum_WH!E:E,Sum_WH!F:F,"",0)</f>
        <v>Meter</v>
      </c>
      <c r="N296" s="221">
        <v>3000</v>
      </c>
      <c r="O296" s="221" t="s">
        <v>2360</v>
      </c>
      <c r="P296" s="221" t="s">
        <v>2361</v>
      </c>
      <c r="Q296" s="221"/>
      <c r="R296" s="221"/>
      <c r="S296" s="221"/>
      <c r="T296" s="221" t="s">
        <v>3258</v>
      </c>
      <c r="U296" s="221" t="s">
        <v>5107</v>
      </c>
      <c r="V296" s="221" t="s">
        <v>3337</v>
      </c>
      <c r="W296" s="221" t="s">
        <v>3338</v>
      </c>
      <c r="X296" s="221"/>
      <c r="Y296" s="227"/>
      <c r="Z296" s="227" t="str">
        <f t="shared" si="15"/>
        <v>Tambakasri RW 02 Tajinan</v>
      </c>
      <c r="AA296" s="276" t="e">
        <f>VLOOKUP(Logfile_S12[[#This Row],[DO number]],DO_DB!G:I,3,0)</f>
        <v>#N/A</v>
      </c>
      <c r="AB296" s="331" t="e">
        <f>EXACT(Logfile_S12[[#This Row],[date pick]],Logfile_S12[[#This Row],[Date]])</f>
        <v>#N/A</v>
      </c>
      <c r="AC2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97" spans="1:29" ht="14.5" hidden="1">
      <c r="A297" s="220" t="str">
        <f t="shared" si="14"/>
        <v>293</v>
      </c>
      <c r="B297" s="221"/>
      <c r="C297" s="221" t="s">
        <v>48</v>
      </c>
      <c r="D297" s="221" t="s">
        <v>4328</v>
      </c>
      <c r="E297" s="221" t="s">
        <v>3295</v>
      </c>
      <c r="F297" s="221" t="s">
        <v>3299</v>
      </c>
      <c r="G297" s="222">
        <v>45693</v>
      </c>
      <c r="H297" s="223">
        <v>15.291666666666666</v>
      </c>
      <c r="I297" s="221" t="s">
        <v>37</v>
      </c>
      <c r="J297" s="221" t="s">
        <v>3023</v>
      </c>
      <c r="K297" s="224" t="s">
        <v>3073</v>
      </c>
      <c r="L297" s="225" t="str">
        <f>VLOOKUP(Logfile_S12[[#This Row],[Material Name]],Sheet2!B:C,2,0)</f>
        <v>ZTE2001</v>
      </c>
      <c r="M297" s="225" t="str">
        <f>_xlfn.XLOOKUP(Logfile_S12[[#This Row],[Material Name]],Sum_WH!E:E,Sum_WH!F:F,"",0)</f>
        <v>Meter</v>
      </c>
      <c r="N297" s="221">
        <v>3000</v>
      </c>
      <c r="O297" s="221" t="s">
        <v>2633</v>
      </c>
      <c r="P297" s="221" t="s">
        <v>2634</v>
      </c>
      <c r="Q297" s="221">
        <v>0</v>
      </c>
      <c r="R297" s="221">
        <v>0</v>
      </c>
      <c r="S297" s="221"/>
      <c r="T297" s="221"/>
      <c r="U297" s="221"/>
      <c r="V297" s="221"/>
      <c r="W297" s="221"/>
      <c r="X297" s="221"/>
      <c r="Y297" s="227" t="s">
        <v>5017</v>
      </c>
      <c r="Z297" s="227" t="str">
        <f t="shared" si="15"/>
        <v>Perumahan De Wira Green View</v>
      </c>
      <c r="AA297" s="276" t="e">
        <f>VLOOKUP(Logfile_S12[[#This Row],[DO number]],DO_DB!G:I,3,0)</f>
        <v>#N/A</v>
      </c>
      <c r="AB297" s="331" t="e">
        <f>EXACT(Logfile_S12[[#This Row],[date pick]],Logfile_S12[[#This Row],[Date]])</f>
        <v>#N/A</v>
      </c>
      <c r="AC2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24C-202525-01</v>
      </c>
    </row>
    <row r="298" spans="1:29" ht="14.5" hidden="1">
      <c r="A298" s="220" t="str">
        <f t="shared" si="14"/>
        <v>294</v>
      </c>
      <c r="B298" s="221"/>
      <c r="C298" s="221" t="s">
        <v>48</v>
      </c>
      <c r="D298" s="221" t="s">
        <v>4333</v>
      </c>
      <c r="E298" s="221" t="s">
        <v>3295</v>
      </c>
      <c r="F298" s="221" t="s">
        <v>3299</v>
      </c>
      <c r="G298" s="222">
        <v>45707</v>
      </c>
      <c r="H298" s="223">
        <v>15.291666666666666</v>
      </c>
      <c r="I298" s="221" t="s">
        <v>37</v>
      </c>
      <c r="J298" s="221" t="s">
        <v>3023</v>
      </c>
      <c r="K298" s="224" t="s">
        <v>3073</v>
      </c>
      <c r="L298" s="225" t="str">
        <f>VLOOKUP(Logfile_S12[[#This Row],[Material Name]],Sheet2!B:C,2,0)</f>
        <v>ZTE2001</v>
      </c>
      <c r="M298" s="225" t="str">
        <f>_xlfn.XLOOKUP(Logfile_S12[[#This Row],[Material Name]],Sum_WH!E:E,Sum_WH!F:F,"",0)</f>
        <v>Meter</v>
      </c>
      <c r="N298" s="221">
        <v>3000</v>
      </c>
      <c r="O298" s="221" t="s">
        <v>2648</v>
      </c>
      <c r="P298" s="221" t="s">
        <v>2649</v>
      </c>
      <c r="Q298" s="221" t="s">
        <v>2652</v>
      </c>
      <c r="R298" s="221">
        <v>0</v>
      </c>
      <c r="S298" s="221"/>
      <c r="T298" s="221"/>
      <c r="U298" s="221"/>
      <c r="V298" s="221"/>
      <c r="W298" s="221"/>
      <c r="X298" s="221"/>
      <c r="Y298" s="227" t="s">
        <v>5018</v>
      </c>
      <c r="Z298" s="227" t="str">
        <f t="shared" si="15"/>
        <v>Sitirejo RW 04 Wagir</v>
      </c>
      <c r="AA298" s="276">
        <f>VLOOKUP(Logfile_S12[[#This Row],[DO number]],DO_DB!G:I,3,0)</f>
        <v>45707</v>
      </c>
      <c r="AB298" s="331" t="b">
        <f>EXACT(Logfile_S12[[#This Row],[date pick]],Logfile_S12[[#This Row],[Date]])</f>
        <v>1</v>
      </c>
      <c r="AC2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24C-2025220-01</v>
      </c>
    </row>
    <row r="299" spans="1:29" ht="14.5" hidden="1">
      <c r="A299" s="220" t="str">
        <f t="shared" si="14"/>
        <v>295</v>
      </c>
      <c r="B299" s="221"/>
      <c r="C299" s="221" t="s">
        <v>48</v>
      </c>
      <c r="D299" s="221" t="s">
        <v>4333</v>
      </c>
      <c r="E299" s="221" t="s">
        <v>3295</v>
      </c>
      <c r="F299" s="221" t="s">
        <v>3299</v>
      </c>
      <c r="G299" s="222">
        <v>45707</v>
      </c>
      <c r="H299" s="223">
        <v>15.291666666666666</v>
      </c>
      <c r="I299" s="221" t="s">
        <v>37</v>
      </c>
      <c r="J299" s="221" t="s">
        <v>3023</v>
      </c>
      <c r="K299" s="224" t="s">
        <v>3075</v>
      </c>
      <c r="L299" s="225" t="str">
        <f>VLOOKUP(Logfile_S12[[#This Row],[Material Name]],Sheet2!B:C,2,0)</f>
        <v>ZTE2003</v>
      </c>
      <c r="M299" s="225" t="str">
        <f>_xlfn.XLOOKUP(Logfile_S12[[#This Row],[Material Name]],Sum_WH!E:E,Sum_WH!F:F,"",0)</f>
        <v>Meter</v>
      </c>
      <c r="N299" s="221">
        <v>3000</v>
      </c>
      <c r="O299" s="221" t="s">
        <v>2648</v>
      </c>
      <c r="P299" s="221" t="s">
        <v>2649</v>
      </c>
      <c r="Q299" s="221" t="s">
        <v>2650</v>
      </c>
      <c r="R299" s="221">
        <v>0</v>
      </c>
      <c r="S299" s="221"/>
      <c r="T299" s="221"/>
      <c r="U299" s="221"/>
      <c r="V299" s="221"/>
      <c r="W299" s="221"/>
      <c r="X299" s="221"/>
      <c r="Y299" s="227" t="s">
        <v>5079</v>
      </c>
      <c r="Z299" s="227" t="str">
        <f t="shared" si="15"/>
        <v>Sitirejo RW 04 Wagir</v>
      </c>
      <c r="AA299" s="276">
        <f>VLOOKUP(Logfile_S12[[#This Row],[DO number]],DO_DB!G:I,3,0)</f>
        <v>45707</v>
      </c>
      <c r="AB299" s="331" t="b">
        <f>EXACT(Logfile_S12[[#This Row],[date pick]],Logfile_S12[[#This Row],[Date]])</f>
        <v>1</v>
      </c>
      <c r="AC2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48C-2025220-01</v>
      </c>
    </row>
    <row r="300" spans="1:29" ht="14.5" hidden="1">
      <c r="A300" s="220" t="str">
        <f t="shared" si="14"/>
        <v>296</v>
      </c>
      <c r="B300" s="221"/>
      <c r="C300" s="221" t="s">
        <v>49</v>
      </c>
      <c r="D300" s="221" t="s">
        <v>4336</v>
      </c>
      <c r="E300" s="221" t="s">
        <v>3295</v>
      </c>
      <c r="F300" s="221" t="s">
        <v>3299</v>
      </c>
      <c r="G300" s="222">
        <v>45708</v>
      </c>
      <c r="H300" s="223">
        <v>0.39930555555555558</v>
      </c>
      <c r="I300" s="221" t="s">
        <v>4916</v>
      </c>
      <c r="J300" s="221" t="s">
        <v>3023</v>
      </c>
      <c r="K300" s="224" t="s">
        <v>3073</v>
      </c>
      <c r="L300" s="225" t="str">
        <f>VLOOKUP(Logfile_S12[[#This Row],[Material Name]],Sheet2!B:C,2,0)</f>
        <v>ZTE2001</v>
      </c>
      <c r="M300" s="225" t="str">
        <f>_xlfn.XLOOKUP(Logfile_S12[[#This Row],[Material Name]],Sum_WH!E:E,Sum_WH!F:F,"",0)</f>
        <v>Meter</v>
      </c>
      <c r="N300" s="221">
        <v>3000</v>
      </c>
      <c r="O300" s="221" t="s">
        <v>2648</v>
      </c>
      <c r="P300" s="221" t="s">
        <v>2649</v>
      </c>
      <c r="Q300" s="221"/>
      <c r="R300" s="221"/>
      <c r="S300" s="221"/>
      <c r="T300" s="221" t="s">
        <v>3258</v>
      </c>
      <c r="U300" s="221" t="s">
        <v>5107</v>
      </c>
      <c r="V300" s="221" t="s">
        <v>3337</v>
      </c>
      <c r="W300" s="221" t="s">
        <v>3338</v>
      </c>
      <c r="X300" s="221"/>
      <c r="Y300" s="227"/>
      <c r="Z300" s="227" t="str">
        <f t="shared" si="15"/>
        <v>Sitirejo RW 04 Wagir</v>
      </c>
      <c r="AA300" s="276" t="e">
        <f>VLOOKUP(Logfile_S12[[#This Row],[DO number]],DO_DB!G:I,3,0)</f>
        <v>#N/A</v>
      </c>
      <c r="AB300" s="331" t="e">
        <f>EXACT(Logfile_S12[[#This Row],[date pick]],Logfile_S12[[#This Row],[Date]])</f>
        <v>#N/A</v>
      </c>
      <c r="AC3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01" spans="1:29" ht="14.5" hidden="1">
      <c r="A301" s="220" t="str">
        <f t="shared" si="14"/>
        <v>297</v>
      </c>
      <c r="B301" s="221"/>
      <c r="C301" s="221" t="s">
        <v>49</v>
      </c>
      <c r="D301" s="221" t="s">
        <v>4349</v>
      </c>
      <c r="E301" s="221" t="s">
        <v>3295</v>
      </c>
      <c r="F301" s="221" t="s">
        <v>3299</v>
      </c>
      <c r="G301" s="222">
        <v>45734</v>
      </c>
      <c r="H301" s="223">
        <v>0.67291666666666672</v>
      </c>
      <c r="I301" s="221" t="s">
        <v>4916</v>
      </c>
      <c r="J301" s="221" t="s">
        <v>3023</v>
      </c>
      <c r="K301" s="224" t="s">
        <v>3073</v>
      </c>
      <c r="L301" s="225" t="str">
        <f>VLOOKUP(Logfile_S12[[#This Row],[Material Name]],Sheet2!B:C,2,0)</f>
        <v>ZTE2001</v>
      </c>
      <c r="M301" s="225" t="str">
        <f>_xlfn.XLOOKUP(Logfile_S12[[#This Row],[Material Name]],Sum_WH!E:E,Sum_WH!F:F,"",0)</f>
        <v>Meter</v>
      </c>
      <c r="N301" s="221">
        <v>3000</v>
      </c>
      <c r="O301" s="221" t="s">
        <v>2668</v>
      </c>
      <c r="P301" s="221" t="s">
        <v>2669</v>
      </c>
      <c r="Q301" s="221"/>
      <c r="R301" s="221"/>
      <c r="S301" s="221"/>
      <c r="T301" s="221" t="s">
        <v>3258</v>
      </c>
      <c r="U301" s="221" t="s">
        <v>5107</v>
      </c>
      <c r="V301" s="221" t="s">
        <v>3337</v>
      </c>
      <c r="W301" s="221" t="s">
        <v>3338</v>
      </c>
      <c r="X301" s="221"/>
      <c r="Y301" s="227"/>
      <c r="Z301" s="227" t="str">
        <f t="shared" si="15"/>
        <v>Temas RW 05</v>
      </c>
      <c r="AA301" s="276" t="e">
        <f>VLOOKUP(Logfile_S12[[#This Row],[DO number]],DO_DB!G:I,3,0)</f>
        <v>#N/A</v>
      </c>
      <c r="AB301" s="331" t="e">
        <f>EXACT(Logfile_S12[[#This Row],[date pick]],Logfile_S12[[#This Row],[Date]])</f>
        <v>#N/A</v>
      </c>
      <c r="AC3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02" spans="1:29" ht="14.5" hidden="1">
      <c r="A302" s="220" t="str">
        <f t="shared" si="14"/>
        <v>298</v>
      </c>
      <c r="B302" s="221"/>
      <c r="C302" s="221" t="s">
        <v>49</v>
      </c>
      <c r="D302" s="221" t="s">
        <v>4349</v>
      </c>
      <c r="E302" s="221" t="s">
        <v>3295</v>
      </c>
      <c r="F302" s="221" t="s">
        <v>3299</v>
      </c>
      <c r="G302" s="222">
        <v>45734</v>
      </c>
      <c r="H302" s="223">
        <v>0.67291666666666672</v>
      </c>
      <c r="I302" s="221" t="s">
        <v>4916</v>
      </c>
      <c r="J302" s="221" t="s">
        <v>3023</v>
      </c>
      <c r="K302" s="224" t="s">
        <v>3075</v>
      </c>
      <c r="L302" s="225" t="str">
        <f>VLOOKUP(Logfile_S12[[#This Row],[Material Name]],Sheet2!B:C,2,0)</f>
        <v>ZTE2003</v>
      </c>
      <c r="M302" s="225" t="str">
        <f>_xlfn.XLOOKUP(Logfile_S12[[#This Row],[Material Name]],Sum_WH!E:E,Sum_WH!F:F,"",0)</f>
        <v>Meter</v>
      </c>
      <c r="N302" s="221">
        <v>3000</v>
      </c>
      <c r="O302" s="221" t="s">
        <v>2664</v>
      </c>
      <c r="P302" s="221" t="s">
        <v>2665</v>
      </c>
      <c r="Q302" s="221"/>
      <c r="R302" s="221"/>
      <c r="S302" s="221"/>
      <c r="T302" s="221" t="s">
        <v>3258</v>
      </c>
      <c r="U302" s="221" t="s">
        <v>5107</v>
      </c>
      <c r="V302" s="221" t="s">
        <v>3337</v>
      </c>
      <c r="W302" s="221" t="s">
        <v>3338</v>
      </c>
      <c r="X302" s="221"/>
      <c r="Y302" s="227"/>
      <c r="Z302" s="227" t="str">
        <f t="shared" si="15"/>
        <v>Temas RW 04</v>
      </c>
      <c r="AA302" s="276" t="e">
        <f>VLOOKUP(Logfile_S12[[#This Row],[DO number]],DO_DB!G:I,3,0)</f>
        <v>#N/A</v>
      </c>
      <c r="AB302" s="331" t="e">
        <f>EXACT(Logfile_S12[[#This Row],[date pick]],Logfile_S12[[#This Row],[Date]])</f>
        <v>#N/A</v>
      </c>
      <c r="AC3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03" spans="1:29" ht="14.5" hidden="1">
      <c r="A303" s="237" t="str">
        <f t="shared" si="14"/>
        <v>299</v>
      </c>
      <c r="B303" s="221"/>
      <c r="C303" s="227" t="s">
        <v>48</v>
      </c>
      <c r="D303" s="227" t="s">
        <v>4456</v>
      </c>
      <c r="E303" s="227" t="s">
        <v>3295</v>
      </c>
      <c r="F303" s="227" t="s">
        <v>3299</v>
      </c>
      <c r="G303" s="239">
        <v>45737</v>
      </c>
      <c r="H303" s="240">
        <v>0.78472222222222221</v>
      </c>
      <c r="I303" s="227" t="s">
        <v>3586</v>
      </c>
      <c r="J303" s="482" t="s">
        <v>4432</v>
      </c>
      <c r="K303" s="241" t="s">
        <v>3077</v>
      </c>
      <c r="L303" s="225" t="str">
        <f>VLOOKUP(Logfile_S12[[#This Row],[Material Name]],Sheet2!B:C,2,0)</f>
        <v>ZTE2004</v>
      </c>
      <c r="M303" s="242" t="s">
        <v>20</v>
      </c>
      <c r="N303" s="227">
        <v>2000</v>
      </c>
      <c r="O303" s="227" t="s">
        <v>2322</v>
      </c>
      <c r="P303" s="227" t="s">
        <v>3403</v>
      </c>
      <c r="Q303" s="227"/>
      <c r="R303" s="227"/>
      <c r="S303" s="227"/>
      <c r="T303" s="227"/>
      <c r="U303" s="227"/>
      <c r="V303" s="227"/>
      <c r="W303" s="227"/>
      <c r="X303" s="227" t="s">
        <v>4457</v>
      </c>
      <c r="Y303" s="238" t="s">
        <v>4984</v>
      </c>
      <c r="Z303" s="238" t="s">
        <v>4457</v>
      </c>
      <c r="AA303" s="276" t="e">
        <f>VLOOKUP(Logfile_S12[[#This Row],[DO number]],DO_DB!G:I,3,0)</f>
        <v>#N/A</v>
      </c>
      <c r="AB303" s="332" t="e">
        <f>EXACT(Logfile_S12[[#This Row],[date pick]],Logfile_S12[[#This Row],[Date]])</f>
        <v>#N/A</v>
      </c>
      <c r="AC30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144C-2024117-01</v>
      </c>
    </row>
    <row r="304" spans="1:29" ht="14.5" hidden="1">
      <c r="A304" s="220" t="str">
        <f t="shared" si="14"/>
        <v>300</v>
      </c>
      <c r="B304" s="221"/>
      <c r="C304" s="221" t="s">
        <v>49</v>
      </c>
      <c r="D304" s="221" t="s">
        <v>4352</v>
      </c>
      <c r="E304" s="221" t="s">
        <v>3295</v>
      </c>
      <c r="F304" s="221" t="s">
        <v>3299</v>
      </c>
      <c r="G304" s="222">
        <v>45737</v>
      </c>
      <c r="H304" s="223">
        <v>0.78472222222222221</v>
      </c>
      <c r="I304" s="221" t="s">
        <v>4916</v>
      </c>
      <c r="J304" s="221" t="s">
        <v>3023</v>
      </c>
      <c r="K304" s="224" t="s">
        <v>3077</v>
      </c>
      <c r="L304" s="225" t="str">
        <f>VLOOKUP(Logfile_S12[[#This Row],[Material Name]],Sheet2!B:C,2,0)</f>
        <v>ZTE2004</v>
      </c>
      <c r="M304" s="225" t="str">
        <f>_xlfn.XLOOKUP(Logfile_S12[[#This Row],[Material Name]],Sum_WH!E:E,Sum_WH!F:F,"",0)</f>
        <v>Meter</v>
      </c>
      <c r="N304" s="221">
        <v>3000</v>
      </c>
      <c r="O304" s="221" t="s">
        <v>2322</v>
      </c>
      <c r="P304" s="221" t="s">
        <v>3403</v>
      </c>
      <c r="Q304" s="221"/>
      <c r="R304" s="221"/>
      <c r="S304" s="221"/>
      <c r="T304" s="221" t="s">
        <v>3404</v>
      </c>
      <c r="U304" s="221" t="s">
        <v>5107</v>
      </c>
      <c r="V304" s="221" t="s">
        <v>3405</v>
      </c>
      <c r="W304" s="221" t="s">
        <v>3406</v>
      </c>
      <c r="X304" s="221" t="s">
        <v>3482</v>
      </c>
      <c r="Y304" s="227" t="s">
        <v>4984</v>
      </c>
      <c r="Z304" s="227" t="str">
        <f>P304</f>
        <v>Mainfeeder Singosari Segment 3</v>
      </c>
      <c r="AA304" s="276" t="e">
        <f>VLOOKUP(Logfile_S12[[#This Row],[DO number]],DO_DB!G:I,3,0)</f>
        <v>#N/A</v>
      </c>
      <c r="AB304" s="331" t="e">
        <f>EXACT(Logfile_S12[[#This Row],[date pick]],Logfile_S12[[#This Row],[Date]])</f>
        <v>#N/A</v>
      </c>
      <c r="AC3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144C-2024117-01</v>
      </c>
    </row>
    <row r="305" spans="1:29" ht="14.5" hidden="1">
      <c r="A305" s="237" t="str">
        <f t="shared" si="14"/>
        <v>301</v>
      </c>
      <c r="B305" s="221"/>
      <c r="C305" s="227" t="s">
        <v>48</v>
      </c>
      <c r="D305" s="227" t="s">
        <v>4456</v>
      </c>
      <c r="E305" s="227" t="s">
        <v>3295</v>
      </c>
      <c r="F305" s="227" t="s">
        <v>3299</v>
      </c>
      <c r="G305" s="239">
        <v>45737</v>
      </c>
      <c r="H305" s="240">
        <v>0.78472222222222221</v>
      </c>
      <c r="I305" s="227" t="s">
        <v>3586</v>
      </c>
      <c r="J305" s="482" t="s">
        <v>4432</v>
      </c>
      <c r="K305" s="241" t="s">
        <v>3075</v>
      </c>
      <c r="L305" s="225" t="str">
        <f>VLOOKUP(Logfile_S12[[#This Row],[Material Name]],Sheet2!B:C,2,0)</f>
        <v>ZTE2003</v>
      </c>
      <c r="M305" s="242" t="s">
        <v>20</v>
      </c>
      <c r="N305" s="227">
        <v>770</v>
      </c>
      <c r="O305" s="227"/>
      <c r="P305" s="227"/>
      <c r="Q305" s="227"/>
      <c r="R305" s="227"/>
      <c r="S305" s="227"/>
      <c r="T305" s="227"/>
      <c r="U305" s="227"/>
      <c r="V305" s="227"/>
      <c r="W305" s="227"/>
      <c r="X305" s="227"/>
      <c r="Y305" s="238" t="s">
        <v>5313</v>
      </c>
      <c r="Z305" s="238" t="s">
        <v>4458</v>
      </c>
      <c r="AA305" s="276" t="e">
        <f>VLOOKUP(Logfile_S12[[#This Row],[DO number]],DO_DB!G:I,3,0)</f>
        <v>#N/A</v>
      </c>
      <c r="AB305" s="332" t="e">
        <f>EXACT(Logfile_S12[[#This Row],[date pick]],Logfile_S12[[#This Row],[Date]])</f>
        <v>#N/A</v>
      </c>
      <c r="AC305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OUTBOUND_B-021-770m</v>
      </c>
    </row>
    <row r="306" spans="1:29" ht="14.5" hidden="1">
      <c r="A306" s="220" t="str">
        <f t="shared" si="14"/>
        <v>302</v>
      </c>
      <c r="B306" s="221"/>
      <c r="C306" s="221" t="s">
        <v>3449</v>
      </c>
      <c r="D306" s="221" t="s">
        <v>4364</v>
      </c>
      <c r="E306" s="221" t="s">
        <v>3295</v>
      </c>
      <c r="F306" s="221" t="s">
        <v>3299</v>
      </c>
      <c r="G306" s="222">
        <v>45802</v>
      </c>
      <c r="H306" s="223">
        <v>0.40069444444444446</v>
      </c>
      <c r="I306" s="221" t="s">
        <v>3193</v>
      </c>
      <c r="J306" s="221" t="s">
        <v>3023</v>
      </c>
      <c r="K306" s="224" t="s">
        <v>3075</v>
      </c>
      <c r="L306" s="225" t="str">
        <f>VLOOKUP(Logfile_S12[[#This Row],[Material Name]],Sheet2!B:C,2,0)</f>
        <v>ZTE2003</v>
      </c>
      <c r="M306" s="225" t="str">
        <f>_xlfn.XLOOKUP(Logfile_S12[[#This Row],[Material Name]],Sum_WH!E:E,Sum_WH!F:F,"",0)</f>
        <v>Meter</v>
      </c>
      <c r="N306" s="221">
        <v>3000</v>
      </c>
      <c r="O306" s="221" t="s">
        <v>4923</v>
      </c>
      <c r="P306" s="221" t="s">
        <v>3596</v>
      </c>
      <c r="Q306" s="221"/>
      <c r="R306" s="221"/>
      <c r="S306" s="221"/>
      <c r="T306" s="221" t="s">
        <v>3540</v>
      </c>
      <c r="U306" s="221">
        <v>0</v>
      </c>
      <c r="V306" s="221" t="s">
        <v>3324</v>
      </c>
      <c r="W306" s="221" t="s">
        <v>3325</v>
      </c>
      <c r="X306" s="221" t="s">
        <v>3570</v>
      </c>
      <c r="Y306" s="227"/>
      <c r="Z306" s="227" t="str">
        <f t="shared" ref="Z306:Z332" si="16">P306</f>
        <v>AIA</v>
      </c>
      <c r="AA306" s="276" t="e">
        <f>VLOOKUP(Logfile_S12[[#This Row],[DO number]],DO_DB!G:I,3,0)</f>
        <v>#N/A</v>
      </c>
      <c r="AB306" s="331" t="e">
        <f>EXACT(Logfile_S12[[#This Row],[date pick]],Logfile_S12[[#This Row],[Date]])</f>
        <v>#N/A</v>
      </c>
      <c r="AC3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307" spans="1:29" ht="14.5" hidden="1">
      <c r="A307" s="220" t="str">
        <f t="shared" si="14"/>
        <v>303</v>
      </c>
      <c r="B307" s="221"/>
      <c r="C307" s="221" t="s">
        <v>3313</v>
      </c>
      <c r="D307" s="221" t="s">
        <v>4367</v>
      </c>
      <c r="E307" s="221" t="s">
        <v>3295</v>
      </c>
      <c r="F307" s="221" t="s">
        <v>3299</v>
      </c>
      <c r="G307" s="222">
        <v>45804</v>
      </c>
      <c r="H307" s="223">
        <v>15.291666666666666</v>
      </c>
      <c r="I307" s="221" t="s">
        <v>4918</v>
      </c>
      <c r="J307" s="221" t="s">
        <v>3023</v>
      </c>
      <c r="K307" s="224" t="s">
        <v>3073</v>
      </c>
      <c r="L307" s="225" t="str">
        <f>VLOOKUP(Logfile_S12[[#This Row],[Material Name]],Sheet2!B:C,2,0)</f>
        <v>ZTE2001</v>
      </c>
      <c r="M307" s="225" t="str">
        <f>_xlfn.XLOOKUP(Logfile_S12[[#This Row],[Material Name]],Sum_WH!E:E,Sum_WH!F:F,"",0)</f>
        <v>Meter</v>
      </c>
      <c r="N307" s="221">
        <v>3000</v>
      </c>
      <c r="O307" s="221" t="s">
        <v>3314</v>
      </c>
      <c r="P307" s="221" t="s">
        <v>3384</v>
      </c>
      <c r="Q307" s="221">
        <v>0</v>
      </c>
      <c r="R307" s="221">
        <v>0</v>
      </c>
      <c r="S307" s="221"/>
      <c r="T307" s="221"/>
      <c r="U307" s="221"/>
      <c r="V307" s="221"/>
      <c r="W307" s="221"/>
      <c r="X307" s="221"/>
      <c r="Y307" s="227" t="s">
        <v>5095</v>
      </c>
      <c r="Z307" s="227" t="str">
        <f t="shared" si="16"/>
        <v>GRESIK</v>
      </c>
      <c r="AA307" s="276" t="e">
        <f>VLOOKUP(Logfile_S12[[#This Row],[DO number]],DO_DB!G:I,3,0)</f>
        <v>#N/A</v>
      </c>
      <c r="AB307" s="331" t="e">
        <f>EXACT(Logfile_S12[[#This Row],[date pick]],Logfile_S12[[#This Row],[Date]])</f>
        <v>#N/A</v>
      </c>
      <c r="AC3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24C-2025527-01</v>
      </c>
    </row>
    <row r="308" spans="1:29" ht="14.5" hidden="1">
      <c r="A308" s="237" t="str">
        <f t="shared" si="14"/>
        <v>304</v>
      </c>
      <c r="B308" s="221"/>
      <c r="C308" s="221" t="s">
        <v>48</v>
      </c>
      <c r="D308" s="221" t="s">
        <v>4371</v>
      </c>
      <c r="E308" s="221" t="s">
        <v>3295</v>
      </c>
      <c r="F308" s="221" t="s">
        <v>3299</v>
      </c>
      <c r="G308" s="222">
        <v>45820</v>
      </c>
      <c r="H308" s="223">
        <v>15.291666666666666</v>
      </c>
      <c r="I308" s="221" t="s">
        <v>37</v>
      </c>
      <c r="J308" s="221" t="s">
        <v>3023</v>
      </c>
      <c r="K308" s="224" t="s">
        <v>3075</v>
      </c>
      <c r="L308" s="225" t="str">
        <f>VLOOKUP(Logfile_S12[[#This Row],[Material Name]],Sheet2!B:C,2,0)</f>
        <v>ZTE2003</v>
      </c>
      <c r="M308" s="225" t="str">
        <f>_xlfn.XLOOKUP(Logfile_S12[[#This Row],[Material Name]],Sum_WH!E:E,Sum_WH!F:F,"",0)</f>
        <v>Meter</v>
      </c>
      <c r="N308" s="221">
        <v>1019</v>
      </c>
      <c r="O308" s="227" t="s">
        <v>2825</v>
      </c>
      <c r="P308" s="227" t="s">
        <v>2826</v>
      </c>
      <c r="Q308" s="221" t="s">
        <v>2829</v>
      </c>
      <c r="R308" s="221" t="s">
        <v>2830</v>
      </c>
      <c r="S308" s="227"/>
      <c r="T308" s="227"/>
      <c r="U308" s="227"/>
      <c r="V308" s="227"/>
      <c r="W308" s="227"/>
      <c r="X308" s="227"/>
      <c r="Y308" s="227" t="s">
        <v>5080</v>
      </c>
      <c r="Z308" s="227" t="str">
        <f t="shared" si="16"/>
        <v>ARJOWINANGUN RW 01 MALANG</v>
      </c>
      <c r="AA308" s="276">
        <f>VLOOKUP(Logfile_S12[[#This Row],[DO number]],DO_DB!G:I,3,0)</f>
        <v>45820</v>
      </c>
      <c r="AB308" s="331" t="b">
        <f>EXACT(Logfile_S12[[#This Row],[date pick]],Logfile_S12[[#This Row],[Date]])</f>
        <v>1</v>
      </c>
      <c r="AC3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48C-2025613-02</v>
      </c>
    </row>
    <row r="309" spans="1:29" ht="14.5" hidden="1">
      <c r="A309" s="237" t="str">
        <f t="shared" si="14"/>
        <v>305</v>
      </c>
      <c r="B309" s="221"/>
      <c r="C309" s="221" t="s">
        <v>48</v>
      </c>
      <c r="D309" s="221" t="s">
        <v>4371</v>
      </c>
      <c r="E309" s="221" t="s">
        <v>3295</v>
      </c>
      <c r="F309" s="221" t="s">
        <v>3299</v>
      </c>
      <c r="G309" s="222">
        <v>45820</v>
      </c>
      <c r="H309" s="223">
        <v>15.291666666666666</v>
      </c>
      <c r="I309" s="221" t="s">
        <v>37</v>
      </c>
      <c r="J309" s="221" t="s">
        <v>3023</v>
      </c>
      <c r="K309" s="224" t="s">
        <v>3075</v>
      </c>
      <c r="L309" s="225" t="str">
        <f>VLOOKUP(Logfile_S12[[#This Row],[Material Name]],Sheet2!B:C,2,0)</f>
        <v>ZTE2003</v>
      </c>
      <c r="M309" s="225" t="str">
        <f>_xlfn.XLOOKUP(Logfile_S12[[#This Row],[Material Name]],Sum_WH!E:E,Sum_WH!F:F,"",0)</f>
        <v>Meter</v>
      </c>
      <c r="N309" s="221">
        <v>3000</v>
      </c>
      <c r="O309" s="221" t="s">
        <v>2809</v>
      </c>
      <c r="P309" s="221" t="s">
        <v>2810</v>
      </c>
      <c r="Q309" s="221" t="s">
        <v>2813</v>
      </c>
      <c r="R309" s="221" t="s">
        <v>2814</v>
      </c>
      <c r="S309" s="227"/>
      <c r="T309" s="227"/>
      <c r="U309" s="227"/>
      <c r="V309" s="227"/>
      <c r="W309" s="227"/>
      <c r="X309" s="227"/>
      <c r="Y309" s="238" t="s">
        <v>5081</v>
      </c>
      <c r="Z309" s="227" t="str">
        <f t="shared" si="16"/>
        <v>BULULAWANG RW 01, 02, 03, 04, 06   MALANG</v>
      </c>
      <c r="AA309" s="276">
        <f>VLOOKUP(Logfile_S12[[#This Row],[DO number]],DO_DB!G:I,3,0)</f>
        <v>45820</v>
      </c>
      <c r="AB309" s="331" t="b">
        <f>EXACT(Logfile_S12[[#This Row],[date pick]],Logfile_S12[[#This Row],[Date]])</f>
        <v>1</v>
      </c>
      <c r="AC3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48C-2025613-01</v>
      </c>
    </row>
    <row r="310" spans="1:29" ht="14.5" hidden="1">
      <c r="A310" s="220" t="str">
        <f t="shared" si="14"/>
        <v>306</v>
      </c>
      <c r="B310" s="221"/>
      <c r="C310" s="221" t="s">
        <v>48</v>
      </c>
      <c r="D310" s="221" t="s">
        <v>4371</v>
      </c>
      <c r="E310" s="221" t="s">
        <v>3295</v>
      </c>
      <c r="F310" s="221" t="s">
        <v>3299</v>
      </c>
      <c r="G310" s="222">
        <v>45820</v>
      </c>
      <c r="H310" s="223">
        <v>15.291666666666666</v>
      </c>
      <c r="I310" s="221" t="s">
        <v>37</v>
      </c>
      <c r="J310" s="221" t="s">
        <v>3023</v>
      </c>
      <c r="K310" s="224" t="s">
        <v>3075</v>
      </c>
      <c r="L310" s="225" t="str">
        <f>VLOOKUP(Logfile_S12[[#This Row],[Material Name]],Sheet2!B:C,2,0)</f>
        <v>ZTE2003</v>
      </c>
      <c r="M310" s="225" t="str">
        <f>_xlfn.XLOOKUP(Logfile_S12[[#This Row],[Material Name]],Sum_WH!E:E,Sum_WH!F:F,"",0)</f>
        <v>Meter</v>
      </c>
      <c r="N310" s="221">
        <v>3000</v>
      </c>
      <c r="O310" s="221" t="s">
        <v>2809</v>
      </c>
      <c r="P310" s="221" t="s">
        <v>2810</v>
      </c>
      <c r="Q310" s="221" t="s">
        <v>2813</v>
      </c>
      <c r="R310" s="221" t="s">
        <v>2814</v>
      </c>
      <c r="S310" s="221"/>
      <c r="T310" s="221"/>
      <c r="U310" s="221"/>
      <c r="V310" s="221"/>
      <c r="W310" s="221"/>
      <c r="X310" s="221"/>
      <c r="Y310" s="227" t="s">
        <v>5082</v>
      </c>
      <c r="Z310" s="227" t="str">
        <f t="shared" si="16"/>
        <v>BULULAWANG RW 01, 02, 03, 04, 06   MALANG</v>
      </c>
      <c r="AA310" s="276">
        <f>VLOOKUP(Logfile_S12[[#This Row],[DO number]],DO_DB!G:I,3,0)</f>
        <v>45820</v>
      </c>
      <c r="AB310" s="331" t="b">
        <f>EXACT(Logfile_S12[[#This Row],[date pick]],Logfile_S12[[#This Row],[Date]])</f>
        <v>1</v>
      </c>
      <c r="AC3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48C-2025613-03</v>
      </c>
    </row>
    <row r="311" spans="1:29" ht="14.5" hidden="1">
      <c r="A311" s="220" t="str">
        <f t="shared" si="14"/>
        <v>307</v>
      </c>
      <c r="B311" s="221"/>
      <c r="C311" s="221" t="s">
        <v>48</v>
      </c>
      <c r="D311" s="221" t="s">
        <v>4371</v>
      </c>
      <c r="E311" s="221" t="s">
        <v>3295</v>
      </c>
      <c r="F311" s="221" t="s">
        <v>3299</v>
      </c>
      <c r="G311" s="222">
        <v>45821</v>
      </c>
      <c r="H311" s="223">
        <v>15.291666666666666</v>
      </c>
      <c r="I311" s="221" t="s">
        <v>37</v>
      </c>
      <c r="J311" s="221" t="s">
        <v>3023</v>
      </c>
      <c r="K311" s="224" t="s">
        <v>3073</v>
      </c>
      <c r="L311" s="225" t="str">
        <f>VLOOKUP(Logfile_S12[[#This Row],[Material Name]],Sheet2!B:C,2,0)</f>
        <v>ZTE2001</v>
      </c>
      <c r="M311" s="225" t="str">
        <f>_xlfn.XLOOKUP(Logfile_S12[[#This Row],[Material Name]],Sum_WH!E:E,Sum_WH!F:F,"",0)</f>
        <v>Meter</v>
      </c>
      <c r="N311" s="227">
        <v>3000</v>
      </c>
      <c r="O311" s="221"/>
      <c r="P311" s="221"/>
      <c r="Q311" s="221">
        <v>0</v>
      </c>
      <c r="R311" s="221">
        <v>0</v>
      </c>
      <c r="S311" s="221"/>
      <c r="T311" s="221"/>
      <c r="U311" s="221"/>
      <c r="V311" s="221"/>
      <c r="W311" s="221"/>
      <c r="X311" s="221"/>
      <c r="Y311" s="227" t="s">
        <v>5019</v>
      </c>
      <c r="Z311" s="227">
        <f t="shared" si="16"/>
        <v>0</v>
      </c>
      <c r="AA311" s="276" t="e">
        <f>VLOOKUP(Logfile_S12[[#This Row],[DO number]],DO_DB!G:I,3,0)</f>
        <v>#N/A</v>
      </c>
      <c r="AB311" s="331" t="e">
        <f>EXACT(Logfile_S12[[#This Row],[date pick]],Logfile_S12[[#This Row],[Date]])</f>
        <v>#N/A</v>
      </c>
      <c r="AC3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24C-2025613-01</v>
      </c>
    </row>
    <row r="312" spans="1:29" ht="14.5" hidden="1">
      <c r="A312" s="237" t="str">
        <f t="shared" si="14"/>
        <v>308</v>
      </c>
      <c r="B312" s="221"/>
      <c r="C312" s="221" t="s">
        <v>48</v>
      </c>
      <c r="D312" s="221" t="s">
        <v>4371</v>
      </c>
      <c r="E312" s="221" t="s">
        <v>3295</v>
      </c>
      <c r="F312" s="221" t="s">
        <v>3299</v>
      </c>
      <c r="G312" s="222">
        <v>45821</v>
      </c>
      <c r="H312" s="223">
        <v>15.291666666666666</v>
      </c>
      <c r="I312" s="221" t="s">
        <v>37</v>
      </c>
      <c r="J312" s="221" t="s">
        <v>3023</v>
      </c>
      <c r="K312" s="224" t="s">
        <v>3073</v>
      </c>
      <c r="L312" s="225" t="str">
        <f>VLOOKUP(Logfile_S12[[#This Row],[Material Name]],Sheet2!B:C,2,0)</f>
        <v>ZTE2001</v>
      </c>
      <c r="M312" s="225" t="str">
        <f>_xlfn.XLOOKUP(Logfile_S12[[#This Row],[Material Name]],Sum_WH!E:E,Sum_WH!F:F,"",0)</f>
        <v>Meter</v>
      </c>
      <c r="N312" s="227">
        <v>3000</v>
      </c>
      <c r="O312" s="221"/>
      <c r="P312" s="221"/>
      <c r="Q312" s="227"/>
      <c r="R312" s="227"/>
      <c r="S312" s="227"/>
      <c r="T312" s="227"/>
      <c r="U312" s="227"/>
      <c r="V312" s="227"/>
      <c r="W312" s="227"/>
      <c r="X312" s="227"/>
      <c r="Y312" s="238" t="s">
        <v>5020</v>
      </c>
      <c r="Z312" s="227">
        <f t="shared" si="16"/>
        <v>0</v>
      </c>
      <c r="AA312" s="276" t="e">
        <f>VLOOKUP(Logfile_S12[[#This Row],[DO number]],DO_DB!G:I,3,0)</f>
        <v>#N/A</v>
      </c>
      <c r="AB312" s="331" t="e">
        <f>EXACT(Logfile_S12[[#This Row],[date pick]],Logfile_S12[[#This Row],[Date]])</f>
        <v>#N/A</v>
      </c>
      <c r="AC3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24C-2025613-02</v>
      </c>
    </row>
    <row r="313" spans="1:29" ht="14.5" hidden="1">
      <c r="A313" s="237" t="str">
        <f t="shared" si="14"/>
        <v>309</v>
      </c>
      <c r="B313" s="221"/>
      <c r="C313" s="221" t="s">
        <v>48</v>
      </c>
      <c r="D313" s="221" t="s">
        <v>4371</v>
      </c>
      <c r="E313" s="221" t="s">
        <v>3295</v>
      </c>
      <c r="F313" s="221" t="s">
        <v>3299</v>
      </c>
      <c r="G313" s="222">
        <v>45821</v>
      </c>
      <c r="H313" s="223">
        <v>15.291666666666666</v>
      </c>
      <c r="I313" s="221" t="s">
        <v>37</v>
      </c>
      <c r="J313" s="221" t="s">
        <v>3023</v>
      </c>
      <c r="K313" s="224" t="s">
        <v>3073</v>
      </c>
      <c r="L313" s="225" t="str">
        <f>VLOOKUP(Logfile_S12[[#This Row],[Material Name]],Sheet2!B:C,2,0)</f>
        <v>ZTE2001</v>
      </c>
      <c r="M313" s="225" t="str">
        <f>_xlfn.XLOOKUP(Logfile_S12[[#This Row],[Material Name]],Sum_WH!E:E,Sum_WH!F:F,"",0)</f>
        <v>Meter</v>
      </c>
      <c r="N313" s="227">
        <v>3000</v>
      </c>
      <c r="O313" s="221"/>
      <c r="P313" s="221"/>
      <c r="Q313" s="227"/>
      <c r="R313" s="227"/>
      <c r="S313" s="227"/>
      <c r="T313" s="227"/>
      <c r="U313" s="227"/>
      <c r="V313" s="227"/>
      <c r="W313" s="227"/>
      <c r="X313" s="227"/>
      <c r="Y313" s="238" t="s">
        <v>5021</v>
      </c>
      <c r="Z313" s="227">
        <f t="shared" si="16"/>
        <v>0</v>
      </c>
      <c r="AA313" s="276" t="e">
        <f>VLOOKUP(Logfile_S12[[#This Row],[DO number]],DO_DB!G:I,3,0)</f>
        <v>#N/A</v>
      </c>
      <c r="AB313" s="331" t="e">
        <f>EXACT(Logfile_S12[[#This Row],[date pick]],Logfile_S12[[#This Row],[Date]])</f>
        <v>#N/A</v>
      </c>
      <c r="AC3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24C-2025613-03</v>
      </c>
    </row>
    <row r="314" spans="1:29" ht="14.5" hidden="1">
      <c r="A314" s="220" t="str">
        <f t="shared" si="14"/>
        <v>310</v>
      </c>
      <c r="B314" s="221"/>
      <c r="C314" s="221" t="s">
        <v>49</v>
      </c>
      <c r="D314" s="221" t="s">
        <v>4372</v>
      </c>
      <c r="E314" s="221" t="s">
        <v>3295</v>
      </c>
      <c r="F314" s="221" t="s">
        <v>3299</v>
      </c>
      <c r="G314" s="222">
        <v>45822</v>
      </c>
      <c r="H314" s="223">
        <v>0.5395833333333333</v>
      </c>
      <c r="I314" s="221" t="s">
        <v>4916</v>
      </c>
      <c r="J314" s="221" t="s">
        <v>3023</v>
      </c>
      <c r="K314" s="224" t="s">
        <v>3073</v>
      </c>
      <c r="L314" s="225" t="str">
        <f>VLOOKUP(Logfile_S12[[#This Row],[Material Name]],Sheet2!B:C,2,0)</f>
        <v>ZTE2001</v>
      </c>
      <c r="M314" s="225" t="str">
        <f>_xlfn.XLOOKUP(Logfile_S12[[#This Row],[Material Name]],Sum_WH!E:E,Sum_WH!F:F,"",0)</f>
        <v>Meter</v>
      </c>
      <c r="N314" s="221">
        <v>3000</v>
      </c>
      <c r="O314" s="221" t="s">
        <v>2809</v>
      </c>
      <c r="P314" s="221" t="s">
        <v>2810</v>
      </c>
      <c r="Q314" s="221"/>
      <c r="R314" s="221"/>
      <c r="S314" s="221"/>
      <c r="T314" s="221" t="s">
        <v>3258</v>
      </c>
      <c r="U314" s="221" t="s">
        <v>5107</v>
      </c>
      <c r="V314" s="221" t="s">
        <v>3337</v>
      </c>
      <c r="W314" s="221" t="s">
        <v>3338</v>
      </c>
      <c r="X314" s="221" t="s">
        <v>3516</v>
      </c>
      <c r="Y314" s="227"/>
      <c r="Z314" s="227" t="str">
        <f t="shared" si="16"/>
        <v>BULULAWANG RW 01, 02, 03, 04, 06   MALANG</v>
      </c>
      <c r="AA314" s="276" t="e">
        <f>VLOOKUP(Logfile_S12[[#This Row],[DO number]],DO_DB!G:I,3,0)</f>
        <v>#N/A</v>
      </c>
      <c r="AB314" s="331" t="e">
        <f>EXACT(Logfile_S12[[#This Row],[date pick]],Logfile_S12[[#This Row],[Date]])</f>
        <v>#N/A</v>
      </c>
      <c r="AC3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15" spans="1:29" ht="14.5" hidden="1">
      <c r="A315" s="237" t="str">
        <f t="shared" si="14"/>
        <v>311</v>
      </c>
      <c r="B315" s="221"/>
      <c r="C315" s="227" t="s">
        <v>49</v>
      </c>
      <c r="D315" s="227" t="s">
        <v>4372</v>
      </c>
      <c r="E315" s="227" t="s">
        <v>3295</v>
      </c>
      <c r="F315" s="227" t="s">
        <v>3299</v>
      </c>
      <c r="G315" s="239">
        <v>45822</v>
      </c>
      <c r="H315" s="240">
        <v>0.5395833333333333</v>
      </c>
      <c r="I315" s="227" t="s">
        <v>4916</v>
      </c>
      <c r="J315" s="227" t="s">
        <v>3023</v>
      </c>
      <c r="K315" s="241" t="s">
        <v>3075</v>
      </c>
      <c r="L315" s="225" t="str">
        <f>VLOOKUP(Logfile_S12[[#This Row],[Material Name]],Sheet2!B:C,2,0)</f>
        <v>ZTE2003</v>
      </c>
      <c r="M315" s="242" t="str">
        <f>_xlfn.XLOOKUP(Logfile_S12[[#This Row],[Material Name]],Sum_WH!E:E,Sum_WH!F:F,"",0)</f>
        <v>Meter</v>
      </c>
      <c r="N315" s="227">
        <v>1019</v>
      </c>
      <c r="O315" s="227" t="s">
        <v>2809</v>
      </c>
      <c r="P315" s="227" t="s">
        <v>2810</v>
      </c>
      <c r="Q315" s="227"/>
      <c r="R315" s="227"/>
      <c r="S315" s="227"/>
      <c r="T315" s="221" t="s">
        <v>3258</v>
      </c>
      <c r="U315" s="221" t="s">
        <v>5107</v>
      </c>
      <c r="V315" s="221" t="s">
        <v>3337</v>
      </c>
      <c r="W315" s="221" t="s">
        <v>3338</v>
      </c>
      <c r="X315" s="227"/>
      <c r="Y315" s="227"/>
      <c r="Z315" s="227" t="str">
        <f t="shared" si="16"/>
        <v>BULULAWANG RW 01, 02, 03, 04, 06   MALANG</v>
      </c>
      <c r="AA315" s="276" t="e">
        <f>VLOOKUP(Logfile_S12[[#This Row],[DO number]],DO_DB!G:I,3,0)</f>
        <v>#N/A</v>
      </c>
      <c r="AB315" s="331" t="e">
        <f>EXACT(Logfile_S12[[#This Row],[date pick]],Logfile_S12[[#This Row],[Date]])</f>
        <v>#N/A</v>
      </c>
      <c r="AC3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16" spans="1:29" ht="14.5" hidden="1">
      <c r="A316" s="220" t="str">
        <f t="shared" si="14"/>
        <v>312</v>
      </c>
      <c r="B316" s="221"/>
      <c r="C316" s="221" t="s">
        <v>49</v>
      </c>
      <c r="D316" s="221" t="s">
        <v>4372</v>
      </c>
      <c r="E316" s="221" t="s">
        <v>3295</v>
      </c>
      <c r="F316" s="221" t="s">
        <v>3299</v>
      </c>
      <c r="G316" s="222">
        <v>45822</v>
      </c>
      <c r="H316" s="223">
        <v>0.5395833333333333</v>
      </c>
      <c r="I316" s="221" t="s">
        <v>4916</v>
      </c>
      <c r="J316" s="221" t="s">
        <v>3023</v>
      </c>
      <c r="K316" s="224" t="s">
        <v>3075</v>
      </c>
      <c r="L316" s="225" t="str">
        <f>VLOOKUP(Logfile_S12[[#This Row],[Material Name]],Sheet2!B:C,2,0)</f>
        <v>ZTE2003</v>
      </c>
      <c r="M316" s="225" t="str">
        <f>_xlfn.XLOOKUP(Logfile_S12[[#This Row],[Material Name]],Sum_WH!E:E,Sum_WH!F:F,"",0)</f>
        <v>Meter</v>
      </c>
      <c r="N316" s="221">
        <v>3000</v>
      </c>
      <c r="O316" s="221" t="s">
        <v>2809</v>
      </c>
      <c r="P316" s="221" t="s">
        <v>2810</v>
      </c>
      <c r="Q316" s="221"/>
      <c r="R316" s="221"/>
      <c r="S316" s="221"/>
      <c r="T316" s="221" t="s">
        <v>3258</v>
      </c>
      <c r="U316" s="221" t="s">
        <v>5107</v>
      </c>
      <c r="V316" s="221" t="s">
        <v>3337</v>
      </c>
      <c r="W316" s="221" t="s">
        <v>3338</v>
      </c>
      <c r="X316" s="221"/>
      <c r="Y316" s="227"/>
      <c r="Z316" s="227" t="str">
        <f t="shared" si="16"/>
        <v>BULULAWANG RW 01, 02, 03, 04, 06   MALANG</v>
      </c>
      <c r="AA316" s="276" t="e">
        <f>VLOOKUP(Logfile_S12[[#This Row],[DO number]],DO_DB!G:I,3,0)</f>
        <v>#N/A</v>
      </c>
      <c r="AB316" s="331" t="e">
        <f>EXACT(Logfile_S12[[#This Row],[date pick]],Logfile_S12[[#This Row],[Date]])</f>
        <v>#N/A</v>
      </c>
      <c r="AC3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17" spans="1:29" ht="14.5" hidden="1">
      <c r="A317" s="237" t="str">
        <f t="shared" si="14"/>
        <v>313</v>
      </c>
      <c r="B317" s="221"/>
      <c r="C317" s="221" t="s">
        <v>49</v>
      </c>
      <c r="D317" s="221" t="s">
        <v>4372</v>
      </c>
      <c r="E317" s="221" t="s">
        <v>3295</v>
      </c>
      <c r="F317" s="221" t="s">
        <v>3299</v>
      </c>
      <c r="G317" s="222">
        <v>45822</v>
      </c>
      <c r="H317" s="223">
        <v>0.5395833333333333</v>
      </c>
      <c r="I317" s="221" t="s">
        <v>4916</v>
      </c>
      <c r="J317" s="221" t="s">
        <v>3023</v>
      </c>
      <c r="K317" s="224" t="s">
        <v>3075</v>
      </c>
      <c r="L317" s="225" t="str">
        <f>VLOOKUP(Logfile_S12[[#This Row],[Material Name]],Sheet2!B:C,2,0)</f>
        <v>ZTE2003</v>
      </c>
      <c r="M317" s="225" t="str">
        <f>_xlfn.XLOOKUP(Logfile_S12[[#This Row],[Material Name]],Sum_WH!E:E,Sum_WH!F:F,"",0)</f>
        <v>Meter</v>
      </c>
      <c r="N317" s="221">
        <v>3000</v>
      </c>
      <c r="O317" s="221" t="s">
        <v>2809</v>
      </c>
      <c r="P317" s="221" t="s">
        <v>2810</v>
      </c>
      <c r="Q317" s="221"/>
      <c r="R317" s="227"/>
      <c r="S317" s="227"/>
      <c r="T317" s="221" t="s">
        <v>3258</v>
      </c>
      <c r="U317" s="221" t="s">
        <v>5107</v>
      </c>
      <c r="V317" s="221" t="s">
        <v>3337</v>
      </c>
      <c r="W317" s="221" t="s">
        <v>3338</v>
      </c>
      <c r="X317" s="221"/>
      <c r="Y317" s="238"/>
      <c r="Z317" s="227" t="str">
        <f t="shared" si="16"/>
        <v>BULULAWANG RW 01, 02, 03, 04, 06   MALANG</v>
      </c>
      <c r="AA317" s="276" t="e">
        <f>VLOOKUP(Logfile_S12[[#This Row],[DO number]],DO_DB!G:I,3,0)</f>
        <v>#N/A</v>
      </c>
      <c r="AB317" s="331" t="e">
        <f>EXACT(Logfile_S12[[#This Row],[date pick]],Logfile_S12[[#This Row],[Date]])</f>
        <v>#N/A</v>
      </c>
      <c r="AC3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18" spans="1:29" ht="14.5" hidden="1">
      <c r="A318" s="220" t="str">
        <f t="shared" si="14"/>
        <v>314</v>
      </c>
      <c r="B318" s="221"/>
      <c r="C318" s="221" t="s">
        <v>48</v>
      </c>
      <c r="D318" s="221" t="s">
        <v>4374</v>
      </c>
      <c r="E318" s="221" t="s">
        <v>3295</v>
      </c>
      <c r="F318" s="221" t="s">
        <v>3299</v>
      </c>
      <c r="G318" s="222">
        <v>45825</v>
      </c>
      <c r="H318" s="223">
        <v>15.291666666666666</v>
      </c>
      <c r="I318" s="221" t="s">
        <v>37</v>
      </c>
      <c r="J318" s="221" t="s">
        <v>3023</v>
      </c>
      <c r="K318" s="224" t="s">
        <v>3075</v>
      </c>
      <c r="L318" s="225" t="str">
        <f>VLOOKUP(Logfile_S12[[#This Row],[Material Name]],Sheet2!B:C,2,0)</f>
        <v>ZTE2003</v>
      </c>
      <c r="M318" s="225" t="str">
        <f>_xlfn.XLOOKUP(Logfile_S12[[#This Row],[Material Name]],Sum_WH!E:E,Sum_WH!F:F,"",0)</f>
        <v>Meter</v>
      </c>
      <c r="N318" s="221">
        <v>3000</v>
      </c>
      <c r="O318" s="221" t="s">
        <v>2861</v>
      </c>
      <c r="P318" s="221" t="s">
        <v>2862</v>
      </c>
      <c r="Q318" s="221" t="s">
        <v>2863</v>
      </c>
      <c r="R318" s="221" t="s">
        <v>2864</v>
      </c>
      <c r="S318" s="221"/>
      <c r="T318" s="221"/>
      <c r="U318" s="221"/>
      <c r="V318" s="221"/>
      <c r="W318" s="221"/>
      <c r="X318" s="221"/>
      <c r="Y318" s="227" t="s">
        <v>5083</v>
      </c>
      <c r="Z318" s="227" t="str">
        <f t="shared" si="16"/>
        <v>DESA GADUNGAN PONCOKUSUMO MALANG</v>
      </c>
      <c r="AA318" s="276">
        <f>VLOOKUP(Logfile_S12[[#This Row],[DO number]],DO_DB!G:I,3,0)</f>
        <v>45825</v>
      </c>
      <c r="AB318" s="331" t="b">
        <f>EXACT(Logfile_S12[[#This Row],[date pick]],Logfile_S12[[#This Row],[Date]])</f>
        <v>1</v>
      </c>
      <c r="AC3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48C-2025618-01</v>
      </c>
    </row>
    <row r="319" spans="1:29" ht="14.5" hidden="1">
      <c r="A319" s="237" t="str">
        <f t="shared" si="14"/>
        <v>315</v>
      </c>
      <c r="B319" s="221"/>
      <c r="C319" s="227" t="s">
        <v>48</v>
      </c>
      <c r="D319" s="227" t="s">
        <v>4374</v>
      </c>
      <c r="E319" s="227" t="s">
        <v>3295</v>
      </c>
      <c r="F319" s="227" t="s">
        <v>3299</v>
      </c>
      <c r="G319" s="239">
        <v>45825</v>
      </c>
      <c r="H319" s="240">
        <v>15.291666666666666</v>
      </c>
      <c r="I319" s="227" t="s">
        <v>37</v>
      </c>
      <c r="J319" s="227" t="s">
        <v>3023</v>
      </c>
      <c r="K319" s="241" t="s">
        <v>3075</v>
      </c>
      <c r="L319" s="225" t="str">
        <f>VLOOKUP(Logfile_S12[[#This Row],[Material Name]],Sheet2!B:C,2,0)</f>
        <v>ZTE2003</v>
      </c>
      <c r="M319" s="242" t="str">
        <f>_xlfn.XLOOKUP(Logfile_S12[[#This Row],[Material Name]],Sum_WH!E:E,Sum_WH!F:F,"",0)</f>
        <v>Meter</v>
      </c>
      <c r="N319" s="227">
        <v>3000</v>
      </c>
      <c r="O319" s="227" t="s">
        <v>2855</v>
      </c>
      <c r="P319" s="227" t="s">
        <v>2856</v>
      </c>
      <c r="Q319" s="221" t="s">
        <v>2857</v>
      </c>
      <c r="R319" s="221" t="s">
        <v>2858</v>
      </c>
      <c r="S319" s="227"/>
      <c r="T319" s="227"/>
      <c r="U319" s="227"/>
      <c r="V319" s="227"/>
      <c r="W319" s="227"/>
      <c r="X319" s="227"/>
      <c r="Y319" s="227" t="s">
        <v>5084</v>
      </c>
      <c r="Z319" s="227" t="str">
        <f t="shared" si="16"/>
        <v>DESA KARANGANYAR KIDUL PONCOKUSUMO   MALANG</v>
      </c>
      <c r="AA319" s="276">
        <f>VLOOKUP(Logfile_S12[[#This Row],[DO number]],DO_DB!G:I,3,0)</f>
        <v>45825</v>
      </c>
      <c r="AB319" s="331" t="b">
        <f>EXACT(Logfile_S12[[#This Row],[date pick]],Logfile_S12[[#This Row],[Date]])</f>
        <v>1</v>
      </c>
      <c r="AC3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48C-2025618-02</v>
      </c>
    </row>
    <row r="320" spans="1:29" ht="14.5" hidden="1">
      <c r="A320" s="220" t="str">
        <f t="shared" si="14"/>
        <v>316</v>
      </c>
      <c r="B320" s="221"/>
      <c r="C320" s="221" t="s">
        <v>49</v>
      </c>
      <c r="D320" s="221" t="s">
        <v>4377</v>
      </c>
      <c r="E320" s="221" t="s">
        <v>3295</v>
      </c>
      <c r="F320" s="221" t="s">
        <v>3299</v>
      </c>
      <c r="G320" s="222">
        <v>45829</v>
      </c>
      <c r="H320" s="223">
        <v>0.59583333333333333</v>
      </c>
      <c r="I320" s="221" t="s">
        <v>4916</v>
      </c>
      <c r="J320" s="221" t="s">
        <v>3023</v>
      </c>
      <c r="K320" s="224" t="s">
        <v>3073</v>
      </c>
      <c r="L320" s="225" t="str">
        <f>VLOOKUP(Logfile_S12[[#This Row],[Material Name]],Sheet2!B:C,2,0)</f>
        <v>ZTE2001</v>
      </c>
      <c r="M320" s="225" t="str">
        <f>_xlfn.XLOOKUP(Logfile_S12[[#This Row],[Material Name]],Sum_WH!E:E,Sum_WH!F:F,"",0)</f>
        <v>Meter</v>
      </c>
      <c r="N320" s="221">
        <v>3000</v>
      </c>
      <c r="O320" s="221" t="s">
        <v>2851</v>
      </c>
      <c r="P320" s="221" t="s">
        <v>2852</v>
      </c>
      <c r="Q320" s="221"/>
      <c r="R320" s="221"/>
      <c r="S320" s="221"/>
      <c r="T320" s="221" t="s">
        <v>3247</v>
      </c>
      <c r="U320" s="221" t="s">
        <v>3247</v>
      </c>
      <c r="V320" s="221" t="s">
        <v>3375</v>
      </c>
      <c r="W320" s="221" t="s">
        <v>3249</v>
      </c>
      <c r="X320" s="221"/>
      <c r="Y320" s="227"/>
      <c r="Z320" s="227" t="str">
        <f t="shared" si="16"/>
        <v>DESA KRAJANI PONCOKUSUMO MALANG</v>
      </c>
      <c r="AA320" s="276" t="e">
        <f>VLOOKUP(Logfile_S12[[#This Row],[DO number]],DO_DB!G:I,3,0)</f>
        <v>#N/A</v>
      </c>
      <c r="AB320" s="331" t="e">
        <f>EXACT(Logfile_S12[[#This Row],[date pick]],Logfile_S12[[#This Row],[Date]])</f>
        <v>#N/A</v>
      </c>
      <c r="AC3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21" spans="1:29" ht="14.5" hidden="1">
      <c r="A321" s="220" t="str">
        <f t="shared" si="14"/>
        <v>317</v>
      </c>
      <c r="B321" s="221"/>
      <c r="C321" s="221" t="s">
        <v>49</v>
      </c>
      <c r="D321" s="221" t="s">
        <v>4377</v>
      </c>
      <c r="E321" s="221" t="s">
        <v>3295</v>
      </c>
      <c r="F321" s="221" t="s">
        <v>3299</v>
      </c>
      <c r="G321" s="222">
        <v>45829</v>
      </c>
      <c r="H321" s="223">
        <v>0.59583333333333333</v>
      </c>
      <c r="I321" s="221" t="s">
        <v>4916</v>
      </c>
      <c r="J321" s="221" t="s">
        <v>3023</v>
      </c>
      <c r="K321" s="224" t="s">
        <v>3073</v>
      </c>
      <c r="L321" s="225" t="str">
        <f>VLOOKUP(Logfile_S12[[#This Row],[Material Name]],Sheet2!B:C,2,0)</f>
        <v>ZTE2001</v>
      </c>
      <c r="M321" s="225" t="str">
        <f>_xlfn.XLOOKUP(Logfile_S12[[#This Row],[Material Name]],Sum_WH!E:E,Sum_WH!F:F,"",0)</f>
        <v>Meter</v>
      </c>
      <c r="N321" s="221">
        <v>3000</v>
      </c>
      <c r="O321" s="221" t="s">
        <v>2847</v>
      </c>
      <c r="P321" s="221" t="s">
        <v>2848</v>
      </c>
      <c r="Q321" s="221"/>
      <c r="R321" s="221"/>
      <c r="S321" s="221"/>
      <c r="T321" s="221" t="s">
        <v>3247</v>
      </c>
      <c r="U321" s="221" t="s">
        <v>3247</v>
      </c>
      <c r="V321" s="221" t="s">
        <v>3375</v>
      </c>
      <c r="W321" s="221" t="s">
        <v>3249</v>
      </c>
      <c r="X321" s="221"/>
      <c r="Y321" s="227"/>
      <c r="Z321" s="227" t="str">
        <f t="shared" si="16"/>
        <v>DESA PANCURAN PONCOKUSUMO MALANG</v>
      </c>
      <c r="AA321" s="276" t="e">
        <f>VLOOKUP(Logfile_S12[[#This Row],[DO number]],DO_DB!G:I,3,0)</f>
        <v>#N/A</v>
      </c>
      <c r="AB321" s="331" t="e">
        <f>EXACT(Logfile_S12[[#This Row],[date pick]],Logfile_S12[[#This Row],[Date]])</f>
        <v>#N/A</v>
      </c>
      <c r="AC3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22" spans="1:29" ht="14.5" hidden="1">
      <c r="A322" s="220" t="str">
        <f t="shared" si="14"/>
        <v>318</v>
      </c>
      <c r="B322" s="221"/>
      <c r="C322" s="221" t="s">
        <v>49</v>
      </c>
      <c r="D322" s="221" t="s">
        <v>4377</v>
      </c>
      <c r="E322" s="221" t="s">
        <v>3295</v>
      </c>
      <c r="F322" s="221" t="s">
        <v>3299</v>
      </c>
      <c r="G322" s="222">
        <v>45829</v>
      </c>
      <c r="H322" s="223">
        <v>0.59583333333333333</v>
      </c>
      <c r="I322" s="221" t="s">
        <v>4916</v>
      </c>
      <c r="J322" s="221" t="s">
        <v>3023</v>
      </c>
      <c r="K322" s="224" t="s">
        <v>3075</v>
      </c>
      <c r="L322" s="225" t="str">
        <f>VLOOKUP(Logfile_S12[[#This Row],[Material Name]],Sheet2!B:C,2,0)</f>
        <v>ZTE2003</v>
      </c>
      <c r="M322" s="225" t="str">
        <f>_xlfn.XLOOKUP(Logfile_S12[[#This Row],[Material Name]],Sum_WH!E:E,Sum_WH!F:F,"",0)</f>
        <v>Meter</v>
      </c>
      <c r="N322" s="221">
        <v>3000</v>
      </c>
      <c r="O322" s="221" t="s">
        <v>2855</v>
      </c>
      <c r="P322" s="221" t="s">
        <v>2856</v>
      </c>
      <c r="Q322" s="221"/>
      <c r="R322" s="221"/>
      <c r="S322" s="221"/>
      <c r="T322" s="221" t="s">
        <v>3247</v>
      </c>
      <c r="U322" s="221" t="s">
        <v>3247</v>
      </c>
      <c r="V322" s="221" t="s">
        <v>3375</v>
      </c>
      <c r="W322" s="221" t="s">
        <v>3249</v>
      </c>
      <c r="X322" s="221"/>
      <c r="Y322" s="227"/>
      <c r="Z322" s="227" t="str">
        <f t="shared" si="16"/>
        <v>DESA KARANGANYAR KIDUL PONCOKUSUMO   MALANG</v>
      </c>
      <c r="AA322" s="276" t="e">
        <f>VLOOKUP(Logfile_S12[[#This Row],[DO number]],DO_DB!G:I,3,0)</f>
        <v>#N/A</v>
      </c>
      <c r="AB322" s="331" t="e">
        <f>EXACT(Logfile_S12[[#This Row],[date pick]],Logfile_S12[[#This Row],[Date]])</f>
        <v>#N/A</v>
      </c>
      <c r="AC3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23" spans="1:29" ht="14.5" hidden="1">
      <c r="A323" s="220" t="str">
        <f t="shared" si="14"/>
        <v>319</v>
      </c>
      <c r="B323" s="221"/>
      <c r="C323" s="221" t="s">
        <v>49</v>
      </c>
      <c r="D323" s="221" t="s">
        <v>4384</v>
      </c>
      <c r="E323" s="221" t="s">
        <v>3295</v>
      </c>
      <c r="F323" s="221" t="s">
        <v>3299</v>
      </c>
      <c r="G323" s="222">
        <v>45832</v>
      </c>
      <c r="H323" s="223">
        <v>0.64583333333333337</v>
      </c>
      <c r="I323" s="221" t="s">
        <v>4916</v>
      </c>
      <c r="J323" s="221" t="s">
        <v>3023</v>
      </c>
      <c r="K323" s="224" t="s">
        <v>3073</v>
      </c>
      <c r="L323" s="225" t="str">
        <f>VLOOKUP(Logfile_S12[[#This Row],[Material Name]],Sheet2!B:C,2,0)</f>
        <v>ZTE2001</v>
      </c>
      <c r="M323" s="225" t="str">
        <f>_xlfn.XLOOKUP(Logfile_S12[[#This Row],[Material Name]],Sum_WH!E:E,Sum_WH!F:F,"",0)</f>
        <v>Meter</v>
      </c>
      <c r="N323" s="221">
        <v>3000</v>
      </c>
      <c r="O323" s="221" t="s">
        <v>2861</v>
      </c>
      <c r="P323" s="221" t="s">
        <v>2862</v>
      </c>
      <c r="Q323" s="221"/>
      <c r="R323" s="221"/>
      <c r="S323" s="221"/>
      <c r="T323" s="221" t="s">
        <v>3247</v>
      </c>
      <c r="U323" s="221" t="s">
        <v>3247</v>
      </c>
      <c r="V323" s="221" t="s">
        <v>3375</v>
      </c>
      <c r="W323" s="221" t="s">
        <v>3249</v>
      </c>
      <c r="X323" s="221"/>
      <c r="Y323" s="227"/>
      <c r="Z323" s="227" t="str">
        <f t="shared" si="16"/>
        <v>DESA GADUNGAN PONCOKUSUMO MALANG</v>
      </c>
      <c r="AA323" s="276" t="e">
        <f>VLOOKUP(Logfile_S12[[#This Row],[DO number]],DO_DB!G:I,3,0)</f>
        <v>#N/A</v>
      </c>
      <c r="AB323" s="331" t="e">
        <f>EXACT(Logfile_S12[[#This Row],[date pick]],Logfile_S12[[#This Row],[Date]])</f>
        <v>#N/A</v>
      </c>
      <c r="AC3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24" spans="1:29" ht="14.5" hidden="1">
      <c r="A324" s="220" t="str">
        <f t="shared" si="14"/>
        <v>320</v>
      </c>
      <c r="B324" s="221"/>
      <c r="C324" s="221" t="s">
        <v>49</v>
      </c>
      <c r="D324" s="221" t="s">
        <v>4384</v>
      </c>
      <c r="E324" s="221" t="s">
        <v>3295</v>
      </c>
      <c r="F324" s="221" t="s">
        <v>3299</v>
      </c>
      <c r="G324" s="222">
        <v>45832</v>
      </c>
      <c r="H324" s="223">
        <v>0.64583333333333337</v>
      </c>
      <c r="I324" s="221" t="s">
        <v>4916</v>
      </c>
      <c r="J324" s="221" t="s">
        <v>3023</v>
      </c>
      <c r="K324" s="224" t="s">
        <v>3073</v>
      </c>
      <c r="L324" s="225" t="str">
        <f>VLOOKUP(Logfile_S12[[#This Row],[Material Name]],Sheet2!B:C,2,0)</f>
        <v>ZTE2001</v>
      </c>
      <c r="M324" s="225" t="str">
        <f>_xlfn.XLOOKUP(Logfile_S12[[#This Row],[Material Name]],Sum_WH!E:E,Sum_WH!F:F,"",0)</f>
        <v>Meter</v>
      </c>
      <c r="N324" s="221">
        <v>3000</v>
      </c>
      <c r="O324" s="221" t="s">
        <v>2855</v>
      </c>
      <c r="P324" s="221" t="s">
        <v>2856</v>
      </c>
      <c r="Q324" s="221"/>
      <c r="R324" s="221"/>
      <c r="S324" s="221"/>
      <c r="T324" s="221" t="s">
        <v>3247</v>
      </c>
      <c r="U324" s="221" t="s">
        <v>3247</v>
      </c>
      <c r="V324" s="221" t="s">
        <v>3375</v>
      </c>
      <c r="W324" s="221" t="s">
        <v>3249</v>
      </c>
      <c r="X324" s="221"/>
      <c r="Y324" s="227"/>
      <c r="Z324" s="227" t="str">
        <f t="shared" si="16"/>
        <v>DESA KARANGANYAR KIDUL PONCOKUSUMO   MALANG</v>
      </c>
      <c r="AA324" s="276" t="e">
        <f>VLOOKUP(Logfile_S12[[#This Row],[DO number]],DO_DB!G:I,3,0)</f>
        <v>#N/A</v>
      </c>
      <c r="AB324" s="331" t="e">
        <f>EXACT(Logfile_S12[[#This Row],[date pick]],Logfile_S12[[#This Row],[Date]])</f>
        <v>#N/A</v>
      </c>
      <c r="AC3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25" spans="1:29" ht="14.5" hidden="1">
      <c r="A325" s="220" t="str">
        <f t="shared" ref="A325:A388" si="17">TEXT(ROW(A325)-ROW($A$4),"000")</f>
        <v>321</v>
      </c>
      <c r="B325" s="221"/>
      <c r="C325" s="221" t="s">
        <v>3313</v>
      </c>
      <c r="D325" s="221" t="s">
        <v>4381</v>
      </c>
      <c r="E325" s="221" t="s">
        <v>3295</v>
      </c>
      <c r="F325" s="221" t="s">
        <v>3299</v>
      </c>
      <c r="G325" s="222">
        <v>45832</v>
      </c>
      <c r="H325" s="223">
        <v>15.291666666666666</v>
      </c>
      <c r="I325" s="221" t="s">
        <v>4918</v>
      </c>
      <c r="J325" s="221" t="s">
        <v>3023</v>
      </c>
      <c r="K325" s="224" t="s">
        <v>3073</v>
      </c>
      <c r="L325" s="225" t="str">
        <f>VLOOKUP(Logfile_S12[[#This Row],[Material Name]],Sheet2!B:C,2,0)</f>
        <v>ZTE2001</v>
      </c>
      <c r="M325" s="225" t="str">
        <f>_xlfn.XLOOKUP(Logfile_S12[[#This Row],[Material Name]],Sum_WH!E:E,Sum_WH!F:F,"",0)</f>
        <v>Meter</v>
      </c>
      <c r="N325" s="227">
        <v>3000</v>
      </c>
      <c r="O325" s="221" t="s">
        <v>3314</v>
      </c>
      <c r="P325" s="221" t="s">
        <v>3384</v>
      </c>
      <c r="Q325" s="221">
        <v>0</v>
      </c>
      <c r="R325" s="221">
        <v>0</v>
      </c>
      <c r="S325" s="221"/>
      <c r="T325" s="221"/>
      <c r="U325" s="221"/>
      <c r="V325" s="221"/>
      <c r="W325" s="221"/>
      <c r="X325" s="221"/>
      <c r="Y325" s="227" t="s">
        <v>5096</v>
      </c>
      <c r="Z325" s="227" t="str">
        <f t="shared" si="16"/>
        <v>GRESIK</v>
      </c>
      <c r="AA325" s="276" t="e">
        <f>VLOOKUP(Logfile_S12[[#This Row],[DO number]],DO_DB!G:I,3,0)</f>
        <v>#N/A</v>
      </c>
      <c r="AB325" s="331" t="e">
        <f>EXACT(Logfile_S12[[#This Row],[date pick]],Logfile_S12[[#This Row],[Date]])</f>
        <v>#N/A</v>
      </c>
      <c r="AC3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24C-2025624-01</v>
      </c>
    </row>
    <row r="326" spans="1:29" ht="14.5" hidden="1">
      <c r="A326" s="237" t="str">
        <f t="shared" si="17"/>
        <v>322</v>
      </c>
      <c r="B326" s="221"/>
      <c r="C326" s="227" t="s">
        <v>3313</v>
      </c>
      <c r="D326" s="227" t="s">
        <v>4381</v>
      </c>
      <c r="E326" s="227" t="s">
        <v>3295</v>
      </c>
      <c r="F326" s="227" t="s">
        <v>3299</v>
      </c>
      <c r="G326" s="239">
        <v>45832</v>
      </c>
      <c r="H326" s="240">
        <v>15.291666666666666</v>
      </c>
      <c r="I326" s="227" t="s">
        <v>4918</v>
      </c>
      <c r="J326" s="227" t="s">
        <v>3023</v>
      </c>
      <c r="K326" s="241" t="s">
        <v>3073</v>
      </c>
      <c r="L326" s="225" t="str">
        <f>VLOOKUP(Logfile_S12[[#This Row],[Material Name]],Sheet2!B:C,2,0)</f>
        <v>ZTE2001</v>
      </c>
      <c r="M326" s="242" t="str">
        <f>_xlfn.XLOOKUP(Logfile_S12[[#This Row],[Material Name]],Sum_WH!E:E,Sum_WH!F:F,"",0)</f>
        <v>Meter</v>
      </c>
      <c r="N326" s="227">
        <v>3000</v>
      </c>
      <c r="O326" s="227" t="s">
        <v>3314</v>
      </c>
      <c r="P326" s="227" t="s">
        <v>3384</v>
      </c>
      <c r="Q326" s="227"/>
      <c r="R326" s="227"/>
      <c r="S326" s="227"/>
      <c r="T326" s="227"/>
      <c r="U326" s="227"/>
      <c r="V326" s="227"/>
      <c r="W326" s="227"/>
      <c r="X326" s="227"/>
      <c r="Y326" s="238" t="s">
        <v>5097</v>
      </c>
      <c r="Z326" s="227" t="str">
        <f t="shared" si="16"/>
        <v>GRESIK</v>
      </c>
      <c r="AA326" s="276" t="e">
        <f>VLOOKUP(Logfile_S12[[#This Row],[DO number]],DO_DB!G:I,3,0)</f>
        <v>#N/A</v>
      </c>
      <c r="AB326" s="331" t="e">
        <f>EXACT(Logfile_S12[[#This Row],[date pick]],Logfile_S12[[#This Row],[Date]])</f>
        <v>#N/A</v>
      </c>
      <c r="AC3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24C-2025624-03</v>
      </c>
    </row>
    <row r="327" spans="1:29" ht="14.5" hidden="1">
      <c r="A327" s="220" t="str">
        <f t="shared" si="17"/>
        <v>323</v>
      </c>
      <c r="B327" s="221"/>
      <c r="C327" s="221" t="s">
        <v>48</v>
      </c>
      <c r="D327" s="221" t="s">
        <v>4387</v>
      </c>
      <c r="E327" s="221" t="s">
        <v>3295</v>
      </c>
      <c r="F327" s="221" t="s">
        <v>3299</v>
      </c>
      <c r="G327" s="222">
        <v>45835</v>
      </c>
      <c r="H327" s="223">
        <v>15.291666666666666</v>
      </c>
      <c r="I327" s="221" t="s">
        <v>37</v>
      </c>
      <c r="J327" s="221" t="s">
        <v>3023</v>
      </c>
      <c r="K327" s="224" t="s">
        <v>3073</v>
      </c>
      <c r="L327" s="225" t="str">
        <f>VLOOKUP(Logfile_S12[[#This Row],[Material Name]],Sheet2!B:C,2,0)</f>
        <v>ZTE2001</v>
      </c>
      <c r="M327" s="225" t="str">
        <f>_xlfn.XLOOKUP(Logfile_S12[[#This Row],[Material Name]],Sum_WH!E:E,Sum_WH!F:F,"",0)</f>
        <v>Meter</v>
      </c>
      <c r="N327" s="221">
        <v>3000</v>
      </c>
      <c r="O327" s="221" t="s">
        <v>2861</v>
      </c>
      <c r="P327" s="221" t="s">
        <v>2862</v>
      </c>
      <c r="Q327" s="221" t="s">
        <v>2869</v>
      </c>
      <c r="R327" s="221" t="s">
        <v>2870</v>
      </c>
      <c r="S327" s="221"/>
      <c r="T327" s="221"/>
      <c r="U327" s="221"/>
      <c r="V327" s="221"/>
      <c r="W327" s="221"/>
      <c r="X327" s="221"/>
      <c r="Y327" s="227" t="s">
        <v>5022</v>
      </c>
      <c r="Z327" s="227" t="str">
        <f t="shared" si="16"/>
        <v>DESA GADUNGAN PONCOKUSUMO MALANG</v>
      </c>
      <c r="AA327" s="276">
        <f>VLOOKUP(Logfile_S12[[#This Row],[DO number]],DO_DB!G:I,3,0)</f>
        <v>45832</v>
      </c>
      <c r="AB327" s="331" t="b">
        <f>EXACT(Logfile_S12[[#This Row],[date pick]],Logfile_S12[[#This Row],[Date]])</f>
        <v>0</v>
      </c>
      <c r="AC3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24C-2025627-01</v>
      </c>
    </row>
    <row r="328" spans="1:29" ht="14.5" hidden="1">
      <c r="A328" s="220" t="str">
        <f t="shared" si="17"/>
        <v>324</v>
      </c>
      <c r="B328" s="221"/>
      <c r="C328" s="221" t="s">
        <v>49</v>
      </c>
      <c r="D328" s="221" t="s">
        <v>4389</v>
      </c>
      <c r="E328" s="221" t="s">
        <v>3295</v>
      </c>
      <c r="F328" s="221" t="s">
        <v>3299</v>
      </c>
      <c r="G328" s="222">
        <v>45835</v>
      </c>
      <c r="H328" s="223">
        <v>0.59583333333333333</v>
      </c>
      <c r="I328" s="221" t="s">
        <v>4916</v>
      </c>
      <c r="J328" s="221" t="s">
        <v>3023</v>
      </c>
      <c r="K328" s="224" t="s">
        <v>3075</v>
      </c>
      <c r="L328" s="225" t="str">
        <f>VLOOKUP(Logfile_S12[[#This Row],[Material Name]],Sheet2!B:C,2,0)</f>
        <v>ZTE2003</v>
      </c>
      <c r="M328" s="225" t="str">
        <f>_xlfn.XLOOKUP(Logfile_S12[[#This Row],[Material Name]],Sum_WH!E:E,Sum_WH!F:F,"",0)</f>
        <v>Meter</v>
      </c>
      <c r="N328" s="221">
        <v>3000</v>
      </c>
      <c r="O328" s="221" t="s">
        <v>2861</v>
      </c>
      <c r="P328" s="221" t="s">
        <v>2862</v>
      </c>
      <c r="Q328" s="221"/>
      <c r="R328" s="221"/>
      <c r="S328" s="221"/>
      <c r="T328" s="221" t="s">
        <v>3247</v>
      </c>
      <c r="U328" s="221" t="s">
        <v>3247</v>
      </c>
      <c r="V328" s="221" t="s">
        <v>3375</v>
      </c>
      <c r="W328" s="221" t="s">
        <v>3249</v>
      </c>
      <c r="X328" s="221"/>
      <c r="Y328" s="227"/>
      <c r="Z328" s="227" t="str">
        <f t="shared" si="16"/>
        <v>DESA GADUNGAN PONCOKUSUMO MALANG</v>
      </c>
      <c r="AA328" s="276" t="e">
        <f>VLOOKUP(Logfile_S12[[#This Row],[DO number]],DO_DB!G:I,3,0)</f>
        <v>#N/A</v>
      </c>
      <c r="AB328" s="331" t="e">
        <f>EXACT(Logfile_S12[[#This Row],[date pick]],Logfile_S12[[#This Row],[Date]])</f>
        <v>#N/A</v>
      </c>
      <c r="AC3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29" spans="1:29" ht="14.5" hidden="1">
      <c r="A329" s="220" t="str">
        <f t="shared" si="17"/>
        <v>325</v>
      </c>
      <c r="B329" s="221"/>
      <c r="C329" s="221" t="s">
        <v>48</v>
      </c>
      <c r="D329" s="221" t="s">
        <v>4393</v>
      </c>
      <c r="E329" s="221" t="s">
        <v>3295</v>
      </c>
      <c r="F329" s="221" t="s">
        <v>3299</v>
      </c>
      <c r="G329" s="222">
        <v>45850</v>
      </c>
      <c r="H329" s="223">
        <v>15.291666666666666</v>
      </c>
      <c r="I329" s="221" t="s">
        <v>37</v>
      </c>
      <c r="J329" s="221" t="s">
        <v>3023</v>
      </c>
      <c r="K329" s="224" t="s">
        <v>3075</v>
      </c>
      <c r="L329" s="225" t="str">
        <f>VLOOKUP(Logfile_S12[[#This Row],[Material Name]],Sheet2!B:C,2,0)</f>
        <v>ZTE2003</v>
      </c>
      <c r="M329" s="225" t="str">
        <f>_xlfn.XLOOKUP(Logfile_S12[[#This Row],[Material Name]],Sum_WH!E:E,Sum_WH!F:F,"",0)</f>
        <v>Meter</v>
      </c>
      <c r="N329" s="221">
        <v>3000</v>
      </c>
      <c r="O329" s="221" t="s">
        <v>2903</v>
      </c>
      <c r="P329" s="221" t="s">
        <v>2904</v>
      </c>
      <c r="Q329" s="221" t="s">
        <v>2907</v>
      </c>
      <c r="R329" s="221" t="s">
        <v>2908</v>
      </c>
      <c r="S329" s="221"/>
      <c r="T329" s="221"/>
      <c r="U329" s="221"/>
      <c r="V329" s="221"/>
      <c r="W329" s="221"/>
      <c r="X329" s="221"/>
      <c r="Y329" s="227" t="s">
        <v>5085</v>
      </c>
      <c r="Z329" s="227" t="str">
        <f t="shared" si="16"/>
        <v>KREBET SENGGRONG RW 04</v>
      </c>
      <c r="AA329" s="276">
        <f>VLOOKUP(Logfile_S12[[#This Row],[DO number]],DO_DB!G:I,3,0)</f>
        <v>45850</v>
      </c>
      <c r="AB329" s="331" t="b">
        <f>EXACT(Logfile_S12[[#This Row],[date pick]],Logfile_S12[[#This Row],[Date]])</f>
        <v>1</v>
      </c>
      <c r="AC3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48C-2025712-01</v>
      </c>
    </row>
    <row r="330" spans="1:29" ht="14.5" hidden="1">
      <c r="A330" s="237" t="str">
        <f t="shared" si="17"/>
        <v>326</v>
      </c>
      <c r="B330" s="221"/>
      <c r="C330" s="227" t="s">
        <v>48</v>
      </c>
      <c r="D330" s="227" t="s">
        <v>4393</v>
      </c>
      <c r="E330" s="227" t="s">
        <v>3295</v>
      </c>
      <c r="F330" s="227" t="s">
        <v>3299</v>
      </c>
      <c r="G330" s="239">
        <v>45850</v>
      </c>
      <c r="H330" s="240">
        <v>15.291666666666666</v>
      </c>
      <c r="I330" s="227" t="s">
        <v>37</v>
      </c>
      <c r="J330" s="227" t="s">
        <v>3023</v>
      </c>
      <c r="K330" s="241" t="s">
        <v>3075</v>
      </c>
      <c r="L330" s="225" t="str">
        <f>VLOOKUP(Logfile_S12[[#This Row],[Material Name]],Sheet2!B:C,2,0)</f>
        <v>ZTE2003</v>
      </c>
      <c r="M330" s="242" t="str">
        <f>_xlfn.XLOOKUP(Logfile_S12[[#This Row],[Material Name]],Sum_WH!E:E,Sum_WH!F:F,"",0)</f>
        <v>Meter</v>
      </c>
      <c r="N330" s="227">
        <v>3000</v>
      </c>
      <c r="O330" s="227" t="s">
        <v>2909</v>
      </c>
      <c r="P330" s="227" t="s">
        <v>2910</v>
      </c>
      <c r="Q330" s="221" t="s">
        <v>2913</v>
      </c>
      <c r="R330" s="221" t="s">
        <v>2914</v>
      </c>
      <c r="S330" s="227"/>
      <c r="T330" s="227"/>
      <c r="U330" s="227"/>
      <c r="V330" s="227"/>
      <c r="W330" s="227"/>
      <c r="X330" s="227"/>
      <c r="Y330" s="227" t="s">
        <v>5086</v>
      </c>
      <c r="Z330" s="227" t="str">
        <f t="shared" si="16"/>
        <v>KREBET RW 03</v>
      </c>
      <c r="AA330" s="276">
        <f>VLOOKUP(Logfile_S12[[#This Row],[DO number]],DO_DB!G:I,3,0)</f>
        <v>45850</v>
      </c>
      <c r="AB330" s="331" t="b">
        <f>EXACT(Logfile_S12[[#This Row],[date pick]],Logfile_S12[[#This Row],[Date]])</f>
        <v>1</v>
      </c>
      <c r="AC3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48C-2025712-02</v>
      </c>
    </row>
    <row r="331" spans="1:29" ht="14.5" hidden="1">
      <c r="A331" s="237" t="str">
        <f t="shared" si="17"/>
        <v>327</v>
      </c>
      <c r="B331" s="221"/>
      <c r="C331" s="227" t="s">
        <v>48</v>
      </c>
      <c r="D331" s="227" t="s">
        <v>4393</v>
      </c>
      <c r="E331" s="227" t="s">
        <v>3295</v>
      </c>
      <c r="F331" s="227" t="s">
        <v>3299</v>
      </c>
      <c r="G331" s="239">
        <v>45850</v>
      </c>
      <c r="H331" s="240">
        <v>15.291666666666666</v>
      </c>
      <c r="I331" s="227" t="s">
        <v>37</v>
      </c>
      <c r="J331" s="227" t="s">
        <v>3023</v>
      </c>
      <c r="K331" s="241" t="s">
        <v>3075</v>
      </c>
      <c r="L331" s="225" t="str">
        <f>VLOOKUP(Logfile_S12[[#This Row],[Material Name]],Sheet2!B:C,2,0)</f>
        <v>ZTE2003</v>
      </c>
      <c r="M331" s="242" t="str">
        <f>_xlfn.XLOOKUP(Logfile_S12[[#This Row],[Material Name]],Sum_WH!E:E,Sum_WH!F:F,"",0)</f>
        <v>Meter</v>
      </c>
      <c r="N331" s="227">
        <v>3000</v>
      </c>
      <c r="O331" s="227" t="s">
        <v>2915</v>
      </c>
      <c r="P331" s="227" t="s">
        <v>2916</v>
      </c>
      <c r="Q331" s="221" t="s">
        <v>2919</v>
      </c>
      <c r="R331" s="221" t="s">
        <v>2920</v>
      </c>
      <c r="S331" s="227"/>
      <c r="T331" s="227"/>
      <c r="U331" s="227"/>
      <c r="V331" s="227"/>
      <c r="W331" s="227"/>
      <c r="X331" s="227"/>
      <c r="Y331" s="227" t="s">
        <v>5087</v>
      </c>
      <c r="Z331" s="227" t="str">
        <f t="shared" si="16"/>
        <v>KREBET RW 05</v>
      </c>
      <c r="AA331" s="276">
        <f>VLOOKUP(Logfile_S12[[#This Row],[DO number]],DO_DB!G:I,3,0)</f>
        <v>45850</v>
      </c>
      <c r="AB331" s="331" t="b">
        <f>EXACT(Logfile_S12[[#This Row],[date pick]],Logfile_S12[[#This Row],[Date]])</f>
        <v>1</v>
      </c>
      <c r="AC3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48C-2025712-03</v>
      </c>
    </row>
    <row r="332" spans="1:29" ht="14.5" hidden="1">
      <c r="A332" s="220" t="str">
        <f t="shared" si="17"/>
        <v>328</v>
      </c>
      <c r="B332" s="221"/>
      <c r="C332" s="221" t="s">
        <v>49</v>
      </c>
      <c r="D332" s="221" t="s">
        <v>4395</v>
      </c>
      <c r="E332" s="221" t="s">
        <v>3295</v>
      </c>
      <c r="F332" s="221" t="s">
        <v>3299</v>
      </c>
      <c r="G332" s="222">
        <v>45856</v>
      </c>
      <c r="H332" s="223">
        <v>0.46805555555555556</v>
      </c>
      <c r="I332" s="221" t="s">
        <v>4916</v>
      </c>
      <c r="J332" s="221" t="s">
        <v>3023</v>
      </c>
      <c r="K332" s="224" t="s">
        <v>3073</v>
      </c>
      <c r="L332" s="225" t="str">
        <f>VLOOKUP(Logfile_S12[[#This Row],[Material Name]],Sheet2!B:C,2,0)</f>
        <v>ZTE2001</v>
      </c>
      <c r="M332" s="225" t="str">
        <f>_xlfn.XLOOKUP(Logfile_S12[[#This Row],[Material Name]],Sum_WH!E:E,Sum_WH!F:F,"",0)</f>
        <v>Meter</v>
      </c>
      <c r="N332" s="221">
        <v>3000</v>
      </c>
      <c r="O332" s="221" t="s">
        <v>2909</v>
      </c>
      <c r="P332" s="221" t="s">
        <v>2910</v>
      </c>
      <c r="Q332" s="221"/>
      <c r="R332" s="221"/>
      <c r="S332" s="221"/>
      <c r="T332" s="221" t="s">
        <v>3258</v>
      </c>
      <c r="U332" s="221" t="s">
        <v>5107</v>
      </c>
      <c r="V332" s="221" t="s">
        <v>3337</v>
      </c>
      <c r="W332" s="221" t="s">
        <v>3338</v>
      </c>
      <c r="X332" s="221"/>
      <c r="Y332" s="227"/>
      <c r="Z332" s="227" t="str">
        <f t="shared" si="16"/>
        <v>KREBET RW 03</v>
      </c>
      <c r="AA332" s="276" t="e">
        <f>VLOOKUP(Logfile_S12[[#This Row],[DO number]],DO_DB!G:I,3,0)</f>
        <v>#N/A</v>
      </c>
      <c r="AB332" s="331" t="e">
        <f>EXACT(Logfile_S12[[#This Row],[date pick]],Logfile_S12[[#This Row],[Date]])</f>
        <v>#N/A</v>
      </c>
      <c r="AC3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33" spans="1:29" ht="14.5" hidden="1">
      <c r="A333" s="237" t="str">
        <f t="shared" si="17"/>
        <v>329</v>
      </c>
      <c r="B333" s="221"/>
      <c r="C333" s="227" t="s">
        <v>48</v>
      </c>
      <c r="D333" s="227" t="s">
        <v>4459</v>
      </c>
      <c r="E333" s="227" t="s">
        <v>3295</v>
      </c>
      <c r="F333" s="227" t="s">
        <v>3299</v>
      </c>
      <c r="G333" s="239">
        <v>45856</v>
      </c>
      <c r="H333" s="240">
        <v>0.46805555555555556</v>
      </c>
      <c r="I333" s="227" t="s">
        <v>3586</v>
      </c>
      <c r="J333" s="482" t="s">
        <v>4432</v>
      </c>
      <c r="K333" s="241" t="s">
        <v>3073</v>
      </c>
      <c r="L333" s="225" t="str">
        <f>VLOOKUP(Logfile_S12[[#This Row],[Material Name]],Sheet2!B:C,2,0)</f>
        <v>ZTE2001</v>
      </c>
      <c r="M333" s="242" t="s">
        <v>20</v>
      </c>
      <c r="N333" s="227">
        <v>150</v>
      </c>
      <c r="O333" s="227" t="s">
        <v>2809</v>
      </c>
      <c r="P333" s="227" t="s">
        <v>2810</v>
      </c>
      <c r="Q333" s="227"/>
      <c r="R333" s="227"/>
      <c r="S333" s="227"/>
      <c r="T333" s="227" t="s">
        <v>3258</v>
      </c>
      <c r="U333" s="227"/>
      <c r="V333" s="227"/>
      <c r="W333" s="227"/>
      <c r="X333" s="227"/>
      <c r="Y333" s="238" t="s">
        <v>5261</v>
      </c>
      <c r="Z333" s="238" t="s">
        <v>4460</v>
      </c>
      <c r="AA333" s="276" t="e">
        <f>VLOOKUP(Logfile_S12[[#This Row],[DO number]],DO_DB!G:I,3,0)</f>
        <v>#N/A</v>
      </c>
      <c r="AB333" s="332" t="e">
        <f>EXACT(Logfile_S12[[#This Row],[date pick]],Logfile_S12[[#This Row],[Date]])</f>
        <v>#N/A</v>
      </c>
      <c r="AC33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OUTBOUND_A-001-150m</v>
      </c>
    </row>
    <row r="334" spans="1:29" ht="14.5" hidden="1">
      <c r="A334" s="237" t="str">
        <f t="shared" si="17"/>
        <v>330</v>
      </c>
      <c r="B334" s="221"/>
      <c r="C334" s="227" t="s">
        <v>48</v>
      </c>
      <c r="D334" s="227" t="s">
        <v>4459</v>
      </c>
      <c r="E334" s="227" t="s">
        <v>3295</v>
      </c>
      <c r="F334" s="227" t="s">
        <v>3299</v>
      </c>
      <c r="G334" s="239">
        <v>45856</v>
      </c>
      <c r="H334" s="240">
        <v>0.46805555555555556</v>
      </c>
      <c r="I334" s="227" t="s">
        <v>3586</v>
      </c>
      <c r="J334" s="482" t="s">
        <v>4432</v>
      </c>
      <c r="K334" s="241" t="s">
        <v>3073</v>
      </c>
      <c r="L334" s="225" t="str">
        <f>VLOOKUP(Logfile_S12[[#This Row],[Material Name]],Sheet2!B:C,2,0)</f>
        <v>ZTE2001</v>
      </c>
      <c r="M334" s="242" t="s">
        <v>20</v>
      </c>
      <c r="N334" s="227">
        <v>75</v>
      </c>
      <c r="O334" s="227"/>
      <c r="P334" s="227"/>
      <c r="Q334" s="227"/>
      <c r="R334" s="227"/>
      <c r="S334" s="227"/>
      <c r="T334" s="227" t="s">
        <v>3258</v>
      </c>
      <c r="U334" s="227"/>
      <c r="V334" s="227"/>
      <c r="W334" s="227"/>
      <c r="X334" s="227"/>
      <c r="Y334" s="238" t="s">
        <v>5314</v>
      </c>
      <c r="Z334" s="238" t="s">
        <v>4461</v>
      </c>
      <c r="AA334" s="276" t="e">
        <f>VLOOKUP(Logfile_S12[[#This Row],[DO number]],DO_DB!G:I,3,0)</f>
        <v>#N/A</v>
      </c>
      <c r="AB334" s="332" t="e">
        <f>EXACT(Logfile_S12[[#This Row],[date pick]],Logfile_S12[[#This Row],[Date]])</f>
        <v>#N/A</v>
      </c>
      <c r="AC33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OUTBOUND_A-055-75m</v>
      </c>
    </row>
    <row r="335" spans="1:29" ht="14.5" hidden="1">
      <c r="A335" s="237" t="str">
        <f t="shared" si="17"/>
        <v>331</v>
      </c>
      <c r="B335" s="221"/>
      <c r="C335" s="227" t="s">
        <v>48</v>
      </c>
      <c r="D335" s="227" t="s">
        <v>4459</v>
      </c>
      <c r="E335" s="227" t="s">
        <v>3295</v>
      </c>
      <c r="F335" s="227" t="s">
        <v>3299</v>
      </c>
      <c r="G335" s="239">
        <v>45856</v>
      </c>
      <c r="H335" s="240">
        <v>0.46805555555555556</v>
      </c>
      <c r="I335" s="227" t="s">
        <v>3586</v>
      </c>
      <c r="J335" s="482" t="s">
        <v>4432</v>
      </c>
      <c r="K335" s="241" t="s">
        <v>3073</v>
      </c>
      <c r="L335" s="225" t="str">
        <f>VLOOKUP(Logfile_S12[[#This Row],[Material Name]],Sheet2!B:C,2,0)</f>
        <v>ZTE2001</v>
      </c>
      <c r="M335" s="242" t="s">
        <v>20</v>
      </c>
      <c r="N335" s="227">
        <v>291</v>
      </c>
      <c r="O335" s="227"/>
      <c r="P335" s="227"/>
      <c r="Q335" s="227"/>
      <c r="R335" s="227"/>
      <c r="S335" s="227"/>
      <c r="T335" s="227" t="s">
        <v>3258</v>
      </c>
      <c r="U335" s="227"/>
      <c r="V335" s="227"/>
      <c r="W335" s="227"/>
      <c r="X335" s="227"/>
      <c r="Y335" s="238" t="s">
        <v>5315</v>
      </c>
      <c r="Z335" s="238" t="s">
        <v>4465</v>
      </c>
      <c r="AA335" s="276" t="e">
        <f>VLOOKUP(Logfile_S12[[#This Row],[DO number]],DO_DB!G:I,3,0)</f>
        <v>#N/A</v>
      </c>
      <c r="AB335" s="332" t="e">
        <f>EXACT(Logfile_S12[[#This Row],[date pick]],Logfile_S12[[#This Row],[Date]])</f>
        <v>#N/A</v>
      </c>
      <c r="AC335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OUTBOUND_A-056-291m</v>
      </c>
    </row>
    <row r="336" spans="1:29" ht="14.5" hidden="1">
      <c r="A336" s="237" t="str">
        <f t="shared" si="17"/>
        <v>332</v>
      </c>
      <c r="B336" s="221"/>
      <c r="C336" s="227" t="s">
        <v>48</v>
      </c>
      <c r="D336" s="227" t="s">
        <v>4459</v>
      </c>
      <c r="E336" s="227" t="s">
        <v>3295</v>
      </c>
      <c r="F336" s="227" t="s">
        <v>3299</v>
      </c>
      <c r="G336" s="239">
        <v>45856</v>
      </c>
      <c r="H336" s="240">
        <v>0.46805555555555556</v>
      </c>
      <c r="I336" s="227" t="s">
        <v>3586</v>
      </c>
      <c r="J336" s="482" t="s">
        <v>4432</v>
      </c>
      <c r="K336" s="241" t="s">
        <v>3075</v>
      </c>
      <c r="L336" s="225" t="str">
        <f>VLOOKUP(Logfile_S12[[#This Row],[Material Name]],Sheet2!B:C,2,0)</f>
        <v>ZTE2003</v>
      </c>
      <c r="M336" s="242" t="s">
        <v>20</v>
      </c>
      <c r="N336" s="227">
        <v>100</v>
      </c>
      <c r="O336" s="227"/>
      <c r="P336" s="227"/>
      <c r="Q336" s="227"/>
      <c r="R336" s="227"/>
      <c r="S336" s="227"/>
      <c r="T336" s="227"/>
      <c r="U336" s="227"/>
      <c r="V336" s="227"/>
      <c r="W336" s="227"/>
      <c r="X336" s="227"/>
      <c r="Y336" s="238" t="s">
        <v>5316</v>
      </c>
      <c r="Z336" s="238" t="s">
        <v>3634</v>
      </c>
      <c r="AA336" s="276" t="e">
        <f>VLOOKUP(Logfile_S12[[#This Row],[DO number]],DO_DB!G:I,3,0)</f>
        <v>#N/A</v>
      </c>
      <c r="AB336" s="332" t="e">
        <f>EXACT(Logfile_S12[[#This Row],[date pick]],Logfile_S12[[#This Row],[Date]])</f>
        <v>#N/A</v>
      </c>
      <c r="AC33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OUTBOUND_B-022-100m</v>
      </c>
    </row>
    <row r="337" spans="1:29" ht="14.5" hidden="1">
      <c r="A337" s="237" t="str">
        <f t="shared" si="17"/>
        <v>333</v>
      </c>
      <c r="B337" s="221"/>
      <c r="C337" s="227" t="s">
        <v>48</v>
      </c>
      <c r="D337" s="227" t="s">
        <v>4459</v>
      </c>
      <c r="E337" s="227" t="s">
        <v>3295</v>
      </c>
      <c r="F337" s="227" t="s">
        <v>3299</v>
      </c>
      <c r="G337" s="239">
        <v>45856</v>
      </c>
      <c r="H337" s="240">
        <v>0.46805555555555556</v>
      </c>
      <c r="I337" s="227" t="s">
        <v>3586</v>
      </c>
      <c r="J337" s="482" t="s">
        <v>4432</v>
      </c>
      <c r="K337" s="241" t="s">
        <v>3075</v>
      </c>
      <c r="L337" s="225" t="str">
        <f>VLOOKUP(Logfile_S12[[#This Row],[Material Name]],Sheet2!B:C,2,0)</f>
        <v>ZTE2003</v>
      </c>
      <c r="M337" s="242" t="s">
        <v>20</v>
      </c>
      <c r="N337" s="227">
        <v>91</v>
      </c>
      <c r="O337" s="227"/>
      <c r="P337" s="227"/>
      <c r="Q337" s="227"/>
      <c r="R337" s="227"/>
      <c r="S337" s="227"/>
      <c r="T337" s="227"/>
      <c r="U337" s="227"/>
      <c r="V337" s="227"/>
      <c r="W337" s="227"/>
      <c r="X337" s="227"/>
      <c r="Y337" s="238" t="s">
        <v>5317</v>
      </c>
      <c r="Z337" s="238" t="s">
        <v>4463</v>
      </c>
      <c r="AA337" s="276" t="e">
        <f>VLOOKUP(Logfile_S12[[#This Row],[DO number]],DO_DB!G:I,3,0)</f>
        <v>#N/A</v>
      </c>
      <c r="AB337" s="332" t="e">
        <f>EXACT(Logfile_S12[[#This Row],[date pick]],Logfile_S12[[#This Row],[Date]])</f>
        <v>#N/A</v>
      </c>
      <c r="AC337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OUTBOUND_B-023-91m</v>
      </c>
    </row>
    <row r="338" spans="1:29" ht="14.5" hidden="1">
      <c r="A338" s="237" t="str">
        <f t="shared" si="17"/>
        <v>334</v>
      </c>
      <c r="B338" s="221"/>
      <c r="C338" s="227" t="s">
        <v>48</v>
      </c>
      <c r="D338" s="227" t="s">
        <v>4459</v>
      </c>
      <c r="E338" s="227" t="s">
        <v>3295</v>
      </c>
      <c r="F338" s="227" t="s">
        <v>3299</v>
      </c>
      <c r="G338" s="239">
        <v>45856</v>
      </c>
      <c r="H338" s="240">
        <v>0.46805555555555556</v>
      </c>
      <c r="I338" s="227" t="s">
        <v>3586</v>
      </c>
      <c r="J338" s="482" t="s">
        <v>4432</v>
      </c>
      <c r="K338" s="241" t="s">
        <v>3075</v>
      </c>
      <c r="L338" s="225" t="str">
        <f>VLOOKUP(Logfile_S12[[#This Row],[Material Name]],Sheet2!B:C,2,0)</f>
        <v>ZTE2003</v>
      </c>
      <c r="M338" s="242" t="s">
        <v>20</v>
      </c>
      <c r="N338" s="227">
        <v>57</v>
      </c>
      <c r="O338" s="227"/>
      <c r="P338" s="227"/>
      <c r="Q338" s="227"/>
      <c r="R338" s="227"/>
      <c r="S338" s="227"/>
      <c r="T338" s="227" t="s">
        <v>3258</v>
      </c>
      <c r="U338" s="227"/>
      <c r="V338" s="227"/>
      <c r="W338" s="227"/>
      <c r="X338" s="227"/>
      <c r="Y338" s="238" t="s">
        <v>5318</v>
      </c>
      <c r="Z338" s="238" t="s">
        <v>4462</v>
      </c>
      <c r="AA338" s="276" t="e">
        <f>VLOOKUP(Logfile_S12[[#This Row],[DO number]],DO_DB!G:I,3,0)</f>
        <v>#N/A</v>
      </c>
      <c r="AB338" s="332" t="e">
        <f>EXACT(Logfile_S12[[#This Row],[date pick]],Logfile_S12[[#This Row],[Date]])</f>
        <v>#N/A</v>
      </c>
      <c r="AC338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OUTBOUND_B-024-57m</v>
      </c>
    </row>
    <row r="339" spans="1:29" ht="14.5" hidden="1">
      <c r="A339" s="237" t="str">
        <f t="shared" si="17"/>
        <v>335</v>
      </c>
      <c r="B339" s="221"/>
      <c r="C339" s="227" t="s">
        <v>48</v>
      </c>
      <c r="D339" s="227" t="s">
        <v>4459</v>
      </c>
      <c r="E339" s="227" t="s">
        <v>3295</v>
      </c>
      <c r="F339" s="227" t="s">
        <v>3299</v>
      </c>
      <c r="G339" s="239">
        <v>45856</v>
      </c>
      <c r="H339" s="240">
        <v>0.46805555555555556</v>
      </c>
      <c r="I339" s="227" t="s">
        <v>3586</v>
      </c>
      <c r="J339" s="482" t="s">
        <v>4432</v>
      </c>
      <c r="K339" s="241" t="s">
        <v>3075</v>
      </c>
      <c r="L339" s="225" t="str">
        <f>VLOOKUP(Logfile_S12[[#This Row],[Material Name]],Sheet2!B:C,2,0)</f>
        <v>ZTE2003</v>
      </c>
      <c r="M339" s="242" t="s">
        <v>20</v>
      </c>
      <c r="N339" s="227">
        <v>49</v>
      </c>
      <c r="O339" s="227"/>
      <c r="P339" s="227"/>
      <c r="Q339" s="227"/>
      <c r="R339" s="227"/>
      <c r="S339" s="227"/>
      <c r="T339" s="227"/>
      <c r="U339" s="227"/>
      <c r="V339" s="227"/>
      <c r="W339" s="227"/>
      <c r="X339" s="227"/>
      <c r="Y339" s="238" t="s">
        <v>5319</v>
      </c>
      <c r="Z339" s="238" t="s">
        <v>4464</v>
      </c>
      <c r="AA339" s="276" t="e">
        <f>VLOOKUP(Logfile_S12[[#This Row],[DO number]],DO_DB!G:I,3,0)</f>
        <v>#N/A</v>
      </c>
      <c r="AB339" s="332" t="e">
        <f>EXACT(Logfile_S12[[#This Row],[date pick]],Logfile_S12[[#This Row],[Date]])</f>
        <v>#N/A</v>
      </c>
      <c r="AC33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OUTBOUND_B-025-49m</v>
      </c>
    </row>
    <row r="340" spans="1:29" ht="14.5" hidden="1">
      <c r="A340" s="244" t="str">
        <f t="shared" si="17"/>
        <v>336</v>
      </c>
      <c r="B340" s="229"/>
      <c r="C340" s="229" t="s">
        <v>48</v>
      </c>
      <c r="D340" s="229" t="s">
        <v>4403</v>
      </c>
      <c r="E340" s="229" t="s">
        <v>3295</v>
      </c>
      <c r="F340" s="229" t="s">
        <v>3299</v>
      </c>
      <c r="G340" s="245">
        <v>45875</v>
      </c>
      <c r="H340" s="246">
        <v>15.291666666666666</v>
      </c>
      <c r="I340" s="229" t="s">
        <v>37</v>
      </c>
      <c r="J340" s="229" t="s">
        <v>3023</v>
      </c>
      <c r="K340" s="233" t="s">
        <v>3073</v>
      </c>
      <c r="L340" s="225" t="str">
        <f>VLOOKUP(Logfile_S12[[#This Row],[Material Name]],Sheet2!B:C,2,0)</f>
        <v>ZTE2001</v>
      </c>
      <c r="M340" s="234" t="str">
        <f>_xlfn.XLOOKUP(Logfile_S12[[#This Row],[Material Name]],Sum_WH!E:E,Sum_WH!F:F,"",0)</f>
        <v>Meter</v>
      </c>
      <c r="N340" s="229">
        <v>3000</v>
      </c>
      <c r="O340" s="229" t="s">
        <v>2996</v>
      </c>
      <c r="P340" s="229" t="s">
        <v>2997</v>
      </c>
      <c r="Q340" s="221" t="s">
        <v>2998</v>
      </c>
      <c r="R340" s="221" t="s">
        <v>2999</v>
      </c>
      <c r="S340" s="221"/>
      <c r="T340" s="221"/>
      <c r="U340" s="221"/>
      <c r="V340" s="221"/>
      <c r="W340" s="221"/>
      <c r="X340" s="229"/>
      <c r="Y340" s="227" t="s">
        <v>5024</v>
      </c>
      <c r="Z340" s="227" t="str">
        <f>P340</f>
        <v>PERMANU RW 03 MALANG</v>
      </c>
      <c r="AA340" s="276">
        <f>VLOOKUP(Logfile_S12[[#This Row],[DO number]],DO_DB!G:I,3,0)</f>
        <v>45875</v>
      </c>
      <c r="AB340" s="331" t="b">
        <f>EXACT(Logfile_S12[[#This Row],[date pick]],Logfile_S12[[#This Row],[Date]])</f>
        <v>1</v>
      </c>
      <c r="AC3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24C-202586-02</v>
      </c>
    </row>
    <row r="341" spans="1:29" ht="14.5" hidden="1">
      <c r="A341" s="237" t="str">
        <f t="shared" si="17"/>
        <v>337</v>
      </c>
      <c r="B341" s="221"/>
      <c r="C341" s="227" t="s">
        <v>48</v>
      </c>
      <c r="D341" s="227" t="s">
        <v>4403</v>
      </c>
      <c r="E341" s="227" t="s">
        <v>3295</v>
      </c>
      <c r="F341" s="227" t="s">
        <v>3299</v>
      </c>
      <c r="G341" s="239">
        <v>45875</v>
      </c>
      <c r="H341" s="240">
        <v>15.291666666666666</v>
      </c>
      <c r="I341" s="227" t="s">
        <v>37</v>
      </c>
      <c r="J341" s="227" t="s">
        <v>3023</v>
      </c>
      <c r="K341" s="241" t="s">
        <v>3073</v>
      </c>
      <c r="L341" s="225" t="str">
        <f>VLOOKUP(Logfile_S12[[#This Row],[Material Name]],Sheet2!B:C,2,0)</f>
        <v>ZTE2001</v>
      </c>
      <c r="M341" s="242" t="str">
        <f>_xlfn.XLOOKUP(Logfile_S12[[#This Row],[Material Name]],Sum_WH!E:E,Sum_WH!F:F,"",0)</f>
        <v>Meter</v>
      </c>
      <c r="N341" s="227">
        <v>1440</v>
      </c>
      <c r="O341" s="227" t="s">
        <v>2992</v>
      </c>
      <c r="P341" s="227" t="s">
        <v>2993</v>
      </c>
      <c r="Q341" s="221" t="s">
        <v>2994</v>
      </c>
      <c r="R341" s="221" t="s">
        <v>2995</v>
      </c>
      <c r="S341" s="227"/>
      <c r="T341" s="227"/>
      <c r="U341" s="227"/>
      <c r="V341" s="227"/>
      <c r="W341" s="227"/>
      <c r="X341" s="227"/>
      <c r="Y341" s="227" t="s">
        <v>5023</v>
      </c>
      <c r="Z341" s="227" t="str">
        <f>P341</f>
        <v>PERMANU RW 04 MALANG</v>
      </c>
      <c r="AA341" s="276">
        <f>VLOOKUP(Logfile_S12[[#This Row],[DO number]],DO_DB!G:I,3,0)</f>
        <v>45875</v>
      </c>
      <c r="AB341" s="331" t="b">
        <f>EXACT(Logfile_S12[[#This Row],[date pick]],Logfile_S12[[#This Row],[Date]])</f>
        <v>1</v>
      </c>
      <c r="AC3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24C-202586-01</v>
      </c>
    </row>
    <row r="342" spans="1:29" ht="14.5" hidden="1">
      <c r="A342" s="237" t="str">
        <f t="shared" si="17"/>
        <v>338</v>
      </c>
      <c r="B342" s="221"/>
      <c r="C342" s="227" t="s">
        <v>49</v>
      </c>
      <c r="D342" s="227" t="s">
        <v>4935</v>
      </c>
      <c r="E342" s="227" t="s">
        <v>3295</v>
      </c>
      <c r="F342" s="227" t="s">
        <v>3299</v>
      </c>
      <c r="G342" s="239">
        <v>45875</v>
      </c>
      <c r="H342" s="240">
        <v>15.291666666666666</v>
      </c>
      <c r="I342" s="227" t="s">
        <v>37</v>
      </c>
      <c r="J342" s="227" t="s">
        <v>3023</v>
      </c>
      <c r="K342" s="241" t="s">
        <v>3073</v>
      </c>
      <c r="L342" s="225" t="str">
        <f>VLOOKUP(Logfile_S12[[#This Row],[Material Name]],Sheet2!B:C,2,0)</f>
        <v>ZTE2001</v>
      </c>
      <c r="M342" s="242" t="str">
        <f>_xlfn.XLOOKUP(Logfile_S12[[#This Row],[Material Name]],Sum_WH!E:E,Sum_WH!F:F,"",0)</f>
        <v>Meter</v>
      </c>
      <c r="N342" s="227">
        <v>3000</v>
      </c>
      <c r="O342" s="227" t="s">
        <v>2996</v>
      </c>
      <c r="P342" s="227" t="s">
        <v>2997</v>
      </c>
      <c r="Q342" s="227"/>
      <c r="R342" s="227"/>
      <c r="S342" s="227"/>
      <c r="T342" s="221" t="s">
        <v>3258</v>
      </c>
      <c r="U342" s="221" t="s">
        <v>5107</v>
      </c>
      <c r="V342" s="221" t="s">
        <v>3337</v>
      </c>
      <c r="W342" s="227"/>
      <c r="X342" s="227"/>
      <c r="Y342" s="227"/>
      <c r="Z342" s="227" t="str">
        <f>P342</f>
        <v>PERMANU RW 03 MALANG</v>
      </c>
      <c r="AA342" s="276" t="e">
        <f>VLOOKUP(Logfile_S12[[#This Row],[DO number]],DO_DB!G:I,3,0)</f>
        <v>#N/A</v>
      </c>
      <c r="AB342" s="331" t="e">
        <f>EXACT(Logfile_S12[[#This Row],[date pick]],Logfile_S12[[#This Row],[Date]])</f>
        <v>#N/A</v>
      </c>
      <c r="AC3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43" spans="1:29" ht="14.5" hidden="1">
      <c r="A343" s="237" t="str">
        <f t="shared" si="17"/>
        <v>339</v>
      </c>
      <c r="B343" s="221"/>
      <c r="C343" s="227" t="s">
        <v>49</v>
      </c>
      <c r="D343" s="227" t="s">
        <v>4935</v>
      </c>
      <c r="E343" s="227" t="s">
        <v>3295</v>
      </c>
      <c r="F343" s="227" t="s">
        <v>3299</v>
      </c>
      <c r="G343" s="239">
        <v>45875</v>
      </c>
      <c r="H343" s="240">
        <v>15.291666666666666</v>
      </c>
      <c r="I343" s="227" t="s">
        <v>37</v>
      </c>
      <c r="J343" s="227" t="s">
        <v>3023</v>
      </c>
      <c r="K343" s="241" t="s">
        <v>3073</v>
      </c>
      <c r="L343" s="225" t="str">
        <f>VLOOKUP(Logfile_S12[[#This Row],[Material Name]],Sheet2!B:C,2,0)</f>
        <v>ZTE2001</v>
      </c>
      <c r="M343" s="242" t="str">
        <f>_xlfn.XLOOKUP(Logfile_S12[[#This Row],[Material Name]],Sum_WH!E:E,Sum_WH!F:F,"",0)</f>
        <v>Meter</v>
      </c>
      <c r="N343" s="227">
        <v>1440</v>
      </c>
      <c r="O343" s="227" t="s">
        <v>2992</v>
      </c>
      <c r="P343" s="227" t="s">
        <v>2993</v>
      </c>
      <c r="Q343" s="227"/>
      <c r="R343" s="227"/>
      <c r="S343" s="227"/>
      <c r="T343" s="221" t="s">
        <v>3258</v>
      </c>
      <c r="U343" s="221" t="s">
        <v>5107</v>
      </c>
      <c r="V343" s="221" t="s">
        <v>3337</v>
      </c>
      <c r="W343" s="227"/>
      <c r="X343" s="227"/>
      <c r="Y343" s="227"/>
      <c r="Z343" s="227" t="str">
        <f>P343</f>
        <v>PERMANU RW 04 MALANG</v>
      </c>
      <c r="AA343" s="276" t="e">
        <f>VLOOKUP(Logfile_S12[[#This Row],[DO number]],DO_DB!G:I,3,0)</f>
        <v>#N/A</v>
      </c>
      <c r="AB343" s="331" t="e">
        <f>EXACT(Logfile_S12[[#This Row],[date pick]],Logfile_S12[[#This Row],[Date]])</f>
        <v>#N/A</v>
      </c>
      <c r="AC3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44" spans="1:29" ht="14.5" hidden="1">
      <c r="A344" s="237" t="str">
        <f t="shared" si="17"/>
        <v>340</v>
      </c>
      <c r="B344" s="221"/>
      <c r="C344" s="227" t="s">
        <v>48</v>
      </c>
      <c r="D344" s="227" t="s">
        <v>4466</v>
      </c>
      <c r="E344" s="227" t="s">
        <v>3295</v>
      </c>
      <c r="F344" s="227" t="s">
        <v>3299</v>
      </c>
      <c r="G344" s="239">
        <v>45876</v>
      </c>
      <c r="H344" s="240">
        <v>0.47291666666666665</v>
      </c>
      <c r="I344" s="227" t="s">
        <v>3586</v>
      </c>
      <c r="J344" s="482" t="s">
        <v>4432</v>
      </c>
      <c r="K344" s="241" t="s">
        <v>3073</v>
      </c>
      <c r="L344" s="225" t="str">
        <f>VLOOKUP(Logfile_S12[[#This Row],[Material Name]],Sheet2!B:C,2,0)</f>
        <v>ZTE2001</v>
      </c>
      <c r="M344" s="242" t="s">
        <v>20</v>
      </c>
      <c r="N344" s="227">
        <v>500</v>
      </c>
      <c r="O344" s="227" t="s">
        <v>2996</v>
      </c>
      <c r="P344" s="227" t="s">
        <v>2997</v>
      </c>
      <c r="Q344" s="227"/>
      <c r="R344" s="227"/>
      <c r="S344" s="227"/>
      <c r="T344" s="227" t="s">
        <v>3258</v>
      </c>
      <c r="U344" s="227">
        <v>0</v>
      </c>
      <c r="V344" s="227" t="s">
        <v>3337</v>
      </c>
      <c r="W344" s="227" t="s">
        <v>3338</v>
      </c>
      <c r="X344" s="227" t="s">
        <v>4467</v>
      </c>
      <c r="Y344" s="238" t="s">
        <v>5290</v>
      </c>
      <c r="Z344" s="238" t="s">
        <v>4467</v>
      </c>
      <c r="AA344" s="276" t="e">
        <f>VLOOKUP(Logfile_S12[[#This Row],[DO number]],DO_DB!G:I,3,0)</f>
        <v>#N/A</v>
      </c>
      <c r="AB344" s="332" t="e">
        <f>EXACT(Logfile_S12[[#This Row],[date pick]],Logfile_S12[[#This Row],[Date]])</f>
        <v>#N/A</v>
      </c>
      <c r="AC34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OUTBOUND_A-029-500m</v>
      </c>
    </row>
    <row r="345" spans="1:29" ht="14.5" hidden="1">
      <c r="A345" s="237" t="str">
        <f t="shared" si="17"/>
        <v>341</v>
      </c>
      <c r="B345" s="221"/>
      <c r="C345" s="227" t="s">
        <v>48</v>
      </c>
      <c r="D345" s="227" t="s">
        <v>4466</v>
      </c>
      <c r="E345" s="227" t="s">
        <v>3295</v>
      </c>
      <c r="F345" s="227" t="s">
        <v>3299</v>
      </c>
      <c r="G345" s="239">
        <v>45876</v>
      </c>
      <c r="H345" s="240">
        <v>0.47291666666666665</v>
      </c>
      <c r="I345" s="227" t="s">
        <v>3586</v>
      </c>
      <c r="J345" s="482" t="s">
        <v>4432</v>
      </c>
      <c r="K345" s="241" t="s">
        <v>3075</v>
      </c>
      <c r="L345" s="225" t="str">
        <f>VLOOKUP(Logfile_S12[[#This Row],[Material Name]],Sheet2!B:C,2,0)</f>
        <v>ZTE2003</v>
      </c>
      <c r="M345" s="242" t="s">
        <v>20</v>
      </c>
      <c r="N345" s="227">
        <v>44</v>
      </c>
      <c r="O345" s="227"/>
      <c r="P345" s="227"/>
      <c r="Q345" s="227"/>
      <c r="R345" s="227"/>
      <c r="S345" s="227"/>
      <c r="T345" s="227"/>
      <c r="U345" s="227"/>
      <c r="V345" s="227"/>
      <c r="W345" s="227"/>
      <c r="X345" s="227"/>
      <c r="Y345" s="238" t="s">
        <v>5320</v>
      </c>
      <c r="Z345" s="238" t="s">
        <v>4468</v>
      </c>
      <c r="AA345" s="276" t="e">
        <f>VLOOKUP(Logfile_S12[[#This Row],[DO number]],DO_DB!G:I,3,0)</f>
        <v>#N/A</v>
      </c>
      <c r="AB345" s="332" t="e">
        <f>EXACT(Logfile_S12[[#This Row],[date pick]],Logfile_S12[[#This Row],[Date]])</f>
        <v>#N/A</v>
      </c>
      <c r="AC345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OUTBOUND_B-026-44m</v>
      </c>
    </row>
    <row r="346" spans="1:29" ht="14.5" hidden="1">
      <c r="A346" s="237" t="str">
        <f t="shared" si="17"/>
        <v>342</v>
      </c>
      <c r="B346" s="221"/>
      <c r="C346" s="227" t="s">
        <v>48</v>
      </c>
      <c r="D346" s="227" t="s">
        <v>4466</v>
      </c>
      <c r="E346" s="227" t="s">
        <v>3295</v>
      </c>
      <c r="F346" s="227" t="s">
        <v>3299</v>
      </c>
      <c r="G346" s="239">
        <v>45876</v>
      </c>
      <c r="H346" s="240">
        <v>0.47291666666666665</v>
      </c>
      <c r="I346" s="227" t="s">
        <v>3586</v>
      </c>
      <c r="J346" s="482" t="s">
        <v>4432</v>
      </c>
      <c r="K346" s="241" t="s">
        <v>3075</v>
      </c>
      <c r="L346" s="225" t="str">
        <f>VLOOKUP(Logfile_S12[[#This Row],[Material Name]],Sheet2!B:C,2,0)</f>
        <v>ZTE2003</v>
      </c>
      <c r="M346" s="242" t="s">
        <v>20</v>
      </c>
      <c r="N346" s="227">
        <v>4</v>
      </c>
      <c r="O346" s="227"/>
      <c r="P346" s="227"/>
      <c r="Q346" s="227"/>
      <c r="R346" s="227"/>
      <c r="S346" s="227"/>
      <c r="T346" s="227"/>
      <c r="U346" s="227"/>
      <c r="V346" s="227"/>
      <c r="W346" s="227"/>
      <c r="X346" s="227"/>
      <c r="Y346" s="238" t="s">
        <v>5321</v>
      </c>
      <c r="Z346" s="238" t="s">
        <v>4469</v>
      </c>
      <c r="AA346" s="276" t="e">
        <f>VLOOKUP(Logfile_S12[[#This Row],[DO number]],DO_DB!G:I,3,0)</f>
        <v>#N/A</v>
      </c>
      <c r="AB346" s="332" t="e">
        <f>EXACT(Logfile_S12[[#This Row],[date pick]],Logfile_S12[[#This Row],[Date]])</f>
        <v>#N/A</v>
      </c>
      <c r="AC34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OUTBOUND_B-027-4m</v>
      </c>
    </row>
    <row r="347" spans="1:29" ht="14.5" hidden="1">
      <c r="A347" s="220" t="str">
        <f t="shared" si="17"/>
        <v>343</v>
      </c>
      <c r="B347" s="221"/>
      <c r="C347" s="221" t="s">
        <v>49</v>
      </c>
      <c r="D347" s="221" t="s">
        <v>4411</v>
      </c>
      <c r="E347" s="221" t="s">
        <v>3295</v>
      </c>
      <c r="F347" s="221" t="s">
        <v>3299</v>
      </c>
      <c r="G347" s="222">
        <v>45882</v>
      </c>
      <c r="H347" s="223">
        <v>0.65069444444444446</v>
      </c>
      <c r="I347" s="221" t="s">
        <v>4916</v>
      </c>
      <c r="J347" s="221" t="s">
        <v>3023</v>
      </c>
      <c r="K347" s="224" t="s">
        <v>3075</v>
      </c>
      <c r="L347" s="225" t="str">
        <f>VLOOKUP(Logfile_S12[[#This Row],[Material Name]],Sheet2!B:C,2,0)</f>
        <v>ZTE2003</v>
      </c>
      <c r="M347" s="225" t="str">
        <f>_xlfn.XLOOKUP(Logfile_S12[[#This Row],[Material Name]],Sum_WH!E:E,Sum_WH!F:F,"",0)</f>
        <v>Meter</v>
      </c>
      <c r="N347" s="221">
        <v>3000</v>
      </c>
      <c r="O347" s="221" t="s">
        <v>2903</v>
      </c>
      <c r="P347" s="221" t="s">
        <v>2904</v>
      </c>
      <c r="Q347" s="221"/>
      <c r="R347" s="221"/>
      <c r="S347" s="221"/>
      <c r="T347" s="221" t="s">
        <v>3258</v>
      </c>
      <c r="U347" s="221" t="s">
        <v>5107</v>
      </c>
      <c r="V347" s="221" t="s">
        <v>3337</v>
      </c>
      <c r="W347" s="221" t="s">
        <v>3338</v>
      </c>
      <c r="X347" s="221"/>
      <c r="Y347" s="227"/>
      <c r="Z347" s="227" t="str">
        <f t="shared" ref="Z347:Z380" si="18">P347</f>
        <v>KREBET SENGGRONG RW 04</v>
      </c>
      <c r="AA347" s="276" t="e">
        <f>VLOOKUP(Logfile_S12[[#This Row],[DO number]],DO_DB!G:I,3,0)</f>
        <v>#N/A</v>
      </c>
      <c r="AB347" s="331" t="e">
        <f>EXACT(Logfile_S12[[#This Row],[date pick]],Logfile_S12[[#This Row],[Date]])</f>
        <v>#N/A</v>
      </c>
      <c r="AC3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48" spans="1:29" ht="14.5" hidden="1">
      <c r="A348" s="220" t="str">
        <f t="shared" si="17"/>
        <v>344</v>
      </c>
      <c r="B348" s="221"/>
      <c r="C348" s="221" t="s">
        <v>48</v>
      </c>
      <c r="D348" s="221" t="s">
        <v>4413</v>
      </c>
      <c r="E348" s="221" t="s">
        <v>3295</v>
      </c>
      <c r="F348" s="221" t="s">
        <v>3299</v>
      </c>
      <c r="G348" s="222">
        <v>45888</v>
      </c>
      <c r="H348" s="223">
        <v>15.291666666666666</v>
      </c>
      <c r="I348" s="221" t="s">
        <v>37</v>
      </c>
      <c r="J348" s="221" t="s">
        <v>3023</v>
      </c>
      <c r="K348" s="224" t="s">
        <v>3075</v>
      </c>
      <c r="L348" s="225" t="str">
        <f>VLOOKUP(Logfile_S12[[#This Row],[Material Name]],Sheet2!B:C,2,0)</f>
        <v>ZTE2003</v>
      </c>
      <c r="M348" s="225" t="str">
        <f>_xlfn.XLOOKUP(Logfile_S12[[#This Row],[Material Name]],Sum_WH!E:E,Sum_WH!F:F,"",0)</f>
        <v>Meter</v>
      </c>
      <c r="N348" s="221">
        <v>3000</v>
      </c>
      <c r="O348" s="221" t="s">
        <v>3203</v>
      </c>
      <c r="P348" s="221" t="s">
        <v>3598</v>
      </c>
      <c r="Q348" s="221" t="s">
        <v>3205</v>
      </c>
      <c r="R348" s="221" t="s">
        <v>3206</v>
      </c>
      <c r="S348" s="221"/>
      <c r="T348" s="221"/>
      <c r="U348" s="221"/>
      <c r="V348" s="221"/>
      <c r="W348" s="221"/>
      <c r="X348" s="221"/>
      <c r="Y348" s="227" t="s">
        <v>5088</v>
      </c>
      <c r="Z348" s="227" t="str">
        <f t="shared" si="18"/>
        <v>PERUMAHAN BULULAWANG PERMAI RW 02</v>
      </c>
      <c r="AA348" s="276">
        <f>VLOOKUP(Logfile_S12[[#This Row],[DO number]],DO_DB!G:I,3,0)</f>
        <v>45888</v>
      </c>
      <c r="AB348" s="331" t="b">
        <f>EXACT(Logfile_S12[[#This Row],[date pick]],Logfile_S12[[#This Row],[Date]])</f>
        <v>1</v>
      </c>
      <c r="AC3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48C-2025819-01</v>
      </c>
    </row>
    <row r="349" spans="1:29" ht="14.5" hidden="1">
      <c r="A349" s="220" t="str">
        <f t="shared" si="17"/>
        <v>345</v>
      </c>
      <c r="B349" s="221"/>
      <c r="C349" s="221" t="s">
        <v>49</v>
      </c>
      <c r="D349" s="221" t="s">
        <v>4414</v>
      </c>
      <c r="E349" s="221" t="s">
        <v>3295</v>
      </c>
      <c r="F349" s="221" t="s">
        <v>3299</v>
      </c>
      <c r="G349" s="222">
        <v>45888</v>
      </c>
      <c r="H349" s="223">
        <v>0.43819444444444444</v>
      </c>
      <c r="I349" s="221" t="s">
        <v>4916</v>
      </c>
      <c r="J349" s="221" t="s">
        <v>3023</v>
      </c>
      <c r="K349" s="224" t="s">
        <v>3075</v>
      </c>
      <c r="L349" s="225" t="str">
        <f>VLOOKUP(Logfile_S12[[#This Row],[Material Name]],Sheet2!B:C,2,0)</f>
        <v>ZTE2003</v>
      </c>
      <c r="M349" s="225" t="str">
        <f>_xlfn.XLOOKUP(Logfile_S12[[#This Row],[Material Name]],Sum_WH!E:E,Sum_WH!F:F,"",0)</f>
        <v>Meter</v>
      </c>
      <c r="N349" s="221">
        <v>3000</v>
      </c>
      <c r="O349" s="221" t="s">
        <v>3203</v>
      </c>
      <c r="P349" s="221" t="s">
        <v>3598</v>
      </c>
      <c r="Q349" s="221"/>
      <c r="R349" s="221"/>
      <c r="S349" s="221"/>
      <c r="T349" s="221" t="s">
        <v>3258</v>
      </c>
      <c r="U349" s="221" t="s">
        <v>5107</v>
      </c>
      <c r="V349" s="221" t="s">
        <v>3337</v>
      </c>
      <c r="W349" s="221" t="s">
        <v>3338</v>
      </c>
      <c r="X349" s="221"/>
      <c r="Y349" s="227"/>
      <c r="Z349" s="227" t="str">
        <f t="shared" si="18"/>
        <v>PERUMAHAN BULULAWANG PERMAI RW 02</v>
      </c>
      <c r="AA349" s="276" t="e">
        <f>VLOOKUP(Logfile_S12[[#This Row],[DO number]],DO_DB!G:I,3,0)</f>
        <v>#N/A</v>
      </c>
      <c r="AB349" s="331" t="e">
        <f>EXACT(Logfile_S12[[#This Row],[date pick]],Logfile_S12[[#This Row],[Date]])</f>
        <v>#N/A</v>
      </c>
      <c r="AC3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50" spans="1:29" ht="14.5" hidden="1">
      <c r="A350" s="220" t="str">
        <f t="shared" si="17"/>
        <v>346</v>
      </c>
      <c r="B350" s="221"/>
      <c r="C350" s="221" t="s">
        <v>48</v>
      </c>
      <c r="D350" s="221" t="s">
        <v>4423</v>
      </c>
      <c r="E350" s="221" t="s">
        <v>3295</v>
      </c>
      <c r="F350" s="221" t="s">
        <v>3299</v>
      </c>
      <c r="G350" s="222">
        <v>45899</v>
      </c>
      <c r="H350" s="223">
        <v>0.64637731481481486</v>
      </c>
      <c r="I350" s="221" t="s">
        <v>37</v>
      </c>
      <c r="J350" s="221" t="s">
        <v>3023</v>
      </c>
      <c r="K350" s="224" t="s">
        <v>3073</v>
      </c>
      <c r="L350" s="225" t="str">
        <f>VLOOKUP(Logfile_S12[[#This Row],[Material Name]],Sheet2!B:C,2,0)</f>
        <v>ZTE2001</v>
      </c>
      <c r="M350" s="225" t="str">
        <f>_xlfn.XLOOKUP(Logfile_S12[[#This Row],[Material Name]],Sum_WH!E:E,Sum_WH!F:F,"",0)</f>
        <v>Meter</v>
      </c>
      <c r="N350" s="227">
        <v>3000</v>
      </c>
      <c r="O350" s="221"/>
      <c r="P350" s="221"/>
      <c r="Q350" s="221" t="s">
        <v>3260</v>
      </c>
      <c r="R350" s="221" t="s">
        <v>3260</v>
      </c>
      <c r="S350" s="221"/>
      <c r="T350" s="221"/>
      <c r="U350" s="221"/>
      <c r="V350" s="221"/>
      <c r="W350" s="221"/>
      <c r="X350" s="221"/>
      <c r="Y350" s="227" t="s">
        <v>4953</v>
      </c>
      <c r="Z350" s="227">
        <f t="shared" si="18"/>
        <v>0</v>
      </c>
      <c r="AA350" s="276" t="e">
        <f>VLOOKUP(Logfile_S12[[#This Row],[DO number]],DO_DB!G:I,3,0)</f>
        <v>#N/A</v>
      </c>
      <c r="AB350" s="331" t="e">
        <f>EXACT(Logfile_S12[[#This Row],[date pick]],Logfile_S12[[#This Row],[Date]])</f>
        <v>#N/A</v>
      </c>
      <c r="AC3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24C-2025830-01</v>
      </c>
    </row>
    <row r="351" spans="1:29" ht="14.5" hidden="1">
      <c r="A351" s="237" t="str">
        <f t="shared" si="17"/>
        <v>347</v>
      </c>
      <c r="B351" s="221"/>
      <c r="C351" s="227" t="s">
        <v>48</v>
      </c>
      <c r="D351" s="227" t="s">
        <v>4423</v>
      </c>
      <c r="E351" s="227" t="s">
        <v>3295</v>
      </c>
      <c r="F351" s="227" t="s">
        <v>3299</v>
      </c>
      <c r="G351" s="239">
        <v>45899</v>
      </c>
      <c r="H351" s="240">
        <v>0.64637731481481486</v>
      </c>
      <c r="I351" s="227" t="s">
        <v>37</v>
      </c>
      <c r="J351" s="227" t="s">
        <v>3023</v>
      </c>
      <c r="K351" s="241" t="s">
        <v>3073</v>
      </c>
      <c r="L351" s="225" t="str">
        <f>VLOOKUP(Logfile_S12[[#This Row],[Material Name]],Sheet2!B:C,2,0)</f>
        <v>ZTE2001</v>
      </c>
      <c r="M351" s="242" t="s">
        <v>20</v>
      </c>
      <c r="N351" s="227">
        <v>3000</v>
      </c>
      <c r="O351" s="227"/>
      <c r="P351" s="227"/>
      <c r="Q351" s="227" t="s">
        <v>3260</v>
      </c>
      <c r="R351" s="227" t="s">
        <v>3260</v>
      </c>
      <c r="S351" s="227"/>
      <c r="T351" s="227"/>
      <c r="U351" s="227"/>
      <c r="V351" s="227"/>
      <c r="W351" s="227"/>
      <c r="X351" s="227"/>
      <c r="Y351" s="227" t="s">
        <v>5025</v>
      </c>
      <c r="Z351" s="227">
        <f t="shared" si="18"/>
        <v>0</v>
      </c>
      <c r="AA351" s="276" t="e">
        <f>VLOOKUP(Logfile_S12[[#This Row],[DO number]],DO_DB!G:I,3,0)</f>
        <v>#N/A</v>
      </c>
      <c r="AB351" s="331" t="e">
        <f>EXACT(Logfile_S12[[#This Row],[date pick]],Logfile_S12[[#This Row],[Date]])</f>
        <v>#N/A</v>
      </c>
      <c r="AC3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24C-2025830-02</v>
      </c>
    </row>
    <row r="352" spans="1:29" ht="14.5" hidden="1">
      <c r="A352" s="237" t="str">
        <f t="shared" si="17"/>
        <v>348</v>
      </c>
      <c r="B352" s="221"/>
      <c r="C352" s="227" t="s">
        <v>49</v>
      </c>
      <c r="D352" s="227" t="s">
        <v>4486</v>
      </c>
      <c r="E352" s="227" t="s">
        <v>3295</v>
      </c>
      <c r="F352" s="227" t="s">
        <v>3299</v>
      </c>
      <c r="G352" s="239">
        <v>45903</v>
      </c>
      <c r="H352" s="240">
        <v>0.72465277777777781</v>
      </c>
      <c r="I352" s="227" t="s">
        <v>3586</v>
      </c>
      <c r="J352" s="482" t="s">
        <v>4432</v>
      </c>
      <c r="K352" s="241" t="s">
        <v>3077</v>
      </c>
      <c r="L352" s="225" t="str">
        <f>VLOOKUP(Logfile_S12[[#This Row],[Material Name]],Sheet2!B:C,2,0)</f>
        <v>ZTE2004</v>
      </c>
      <c r="M352" s="242" t="s">
        <v>20</v>
      </c>
      <c r="N352" s="227">
        <v>575</v>
      </c>
      <c r="O352" s="227" t="s">
        <v>2142</v>
      </c>
      <c r="P352" s="227" t="s">
        <v>2143</v>
      </c>
      <c r="Q352" s="227" t="s">
        <v>2144</v>
      </c>
      <c r="R352" s="227" t="s">
        <v>2145</v>
      </c>
      <c r="S352" s="227" t="s">
        <v>39</v>
      </c>
      <c r="T352" s="227"/>
      <c r="U352" s="227"/>
      <c r="V352" s="227"/>
      <c r="W352" s="227"/>
      <c r="X352" s="227"/>
      <c r="Y352" s="238" t="s">
        <v>4984</v>
      </c>
      <c r="Z352" s="238" t="str">
        <f t="shared" si="18"/>
        <v>Main Feeder - OLT Smart Malang Segment 8 to Sumbersekar</v>
      </c>
      <c r="AA352" s="276">
        <f>VLOOKUP(Logfile_S12[[#This Row],[DO number]],DO_DB!G:I,3,0)</f>
        <v>45555</v>
      </c>
      <c r="AB352" s="332" t="b">
        <f>EXACT(Logfile_S12[[#This Row],[date pick]],Logfile_S12[[#This Row],[Date]])</f>
        <v>0</v>
      </c>
      <c r="AC35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144C-2024117-01</v>
      </c>
    </row>
    <row r="353" spans="1:29" ht="14.5" hidden="1">
      <c r="A353" s="237" t="str">
        <f t="shared" si="17"/>
        <v>349</v>
      </c>
      <c r="B353" s="221">
        <v>3</v>
      </c>
      <c r="C353" s="227" t="s">
        <v>49</v>
      </c>
      <c r="D353" s="227" t="s">
        <v>4647</v>
      </c>
      <c r="E353" s="227" t="s">
        <v>3295</v>
      </c>
      <c r="F353" s="227" t="s">
        <v>3299</v>
      </c>
      <c r="G353" s="239">
        <v>45909</v>
      </c>
      <c r="H353" s="240">
        <v>0.44420138888888888</v>
      </c>
      <c r="I353" s="227" t="s">
        <v>3295</v>
      </c>
      <c r="J353" s="227" t="s">
        <v>3023</v>
      </c>
      <c r="K353" s="241" t="s">
        <v>3073</v>
      </c>
      <c r="L353" s="225" t="str">
        <f>VLOOKUP(Logfile_S12[[#This Row],[Material Name]],Sheet2!B:C,2,0)</f>
        <v>ZTE2001</v>
      </c>
      <c r="M353" s="225" t="str">
        <f>_xlfn.XLOOKUP(Logfile_S12[[#This Row],[Material Name]],Sum_WH!E:E,Sum_WH!F:F,"",0)</f>
        <v>Meter</v>
      </c>
      <c r="N353" s="227">
        <v>3000</v>
      </c>
      <c r="O353" s="227" t="s">
        <v>3668</v>
      </c>
      <c r="P353" s="227" t="s">
        <v>3669</v>
      </c>
      <c r="Q353" s="227" t="s">
        <v>3670</v>
      </c>
      <c r="R353" s="227" t="s">
        <v>3671</v>
      </c>
      <c r="S353" s="227"/>
      <c r="T353" s="221" t="s">
        <v>3258</v>
      </c>
      <c r="U353" s="221" t="s">
        <v>5107</v>
      </c>
      <c r="V353" s="221" t="s">
        <v>3337</v>
      </c>
      <c r="W353" s="227"/>
      <c r="X353" s="227"/>
      <c r="Y353" s="227"/>
      <c r="Z353" s="227" t="str">
        <f t="shared" si="18"/>
        <v>KREBET SENGGRONG RW 03 MALANG</v>
      </c>
      <c r="AA353" s="276">
        <f>VLOOKUP(Logfile_S12[[#This Row],[DO number]],DO_DB!G:I,3,0)</f>
        <v>45896</v>
      </c>
      <c r="AB353" s="331" t="b">
        <f>EXACT(Logfile_S12[[#This Row],[date pick]],Logfile_S12[[#This Row],[Date]])</f>
        <v>0</v>
      </c>
      <c r="AC3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54" spans="1:29" ht="14.5" hidden="1">
      <c r="A354" s="237" t="str">
        <f t="shared" si="17"/>
        <v>350</v>
      </c>
      <c r="B354" s="221">
        <v>1</v>
      </c>
      <c r="C354" s="227" t="s">
        <v>49</v>
      </c>
      <c r="D354" s="227" t="s">
        <v>4648</v>
      </c>
      <c r="E354" s="227" t="s">
        <v>3295</v>
      </c>
      <c r="F354" s="227" t="s">
        <v>3299</v>
      </c>
      <c r="G354" s="239">
        <v>45910</v>
      </c>
      <c r="H354" s="240">
        <v>0.78784722222222225</v>
      </c>
      <c r="I354" s="227" t="s">
        <v>3295</v>
      </c>
      <c r="J354" s="227" t="s">
        <v>3023</v>
      </c>
      <c r="K354" s="241" t="s">
        <v>3073</v>
      </c>
      <c r="L354" s="225" t="str">
        <f>VLOOKUP(Logfile_S12[[#This Row],[Material Name]],Sheet2!B:C,2,0)</f>
        <v>ZTE2001</v>
      </c>
      <c r="M354" s="225" t="str">
        <f>_xlfn.XLOOKUP(Logfile_S12[[#This Row],[Material Name]],Sum_WH!E:E,Sum_WH!F:F,"",0)</f>
        <v>Meter</v>
      </c>
      <c r="N354" s="227">
        <v>3000</v>
      </c>
      <c r="O354" s="227" t="s">
        <v>3662</v>
      </c>
      <c r="P354" s="227" t="s">
        <v>3663</v>
      </c>
      <c r="Q354" s="227" t="s">
        <v>3664</v>
      </c>
      <c r="R354" s="227" t="s">
        <v>3665</v>
      </c>
      <c r="S354" s="227"/>
      <c r="T354" s="221" t="s">
        <v>3258</v>
      </c>
      <c r="U354" s="221" t="s">
        <v>5107</v>
      </c>
      <c r="V354" s="221" t="s">
        <v>3337</v>
      </c>
      <c r="W354" s="227"/>
      <c r="X354" s="227"/>
      <c r="Y354" s="227"/>
      <c r="Z354" s="227" t="str">
        <f t="shared" si="18"/>
        <v>KREBET SENGGRONG RW 02 MALANG</v>
      </c>
      <c r="AA354" s="276">
        <f>VLOOKUP(Logfile_S12[[#This Row],[DO number]],DO_DB!G:I,3,0)</f>
        <v>45896</v>
      </c>
      <c r="AB354" s="331" t="b">
        <f>EXACT(Logfile_S12[[#This Row],[date pick]],Logfile_S12[[#This Row],[Date]])</f>
        <v>0</v>
      </c>
      <c r="AC3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55" spans="1:29" ht="14.5" hidden="1">
      <c r="A355" s="237" t="str">
        <f t="shared" si="17"/>
        <v>351</v>
      </c>
      <c r="B355" s="221">
        <v>1</v>
      </c>
      <c r="C355" s="221" t="s">
        <v>3429</v>
      </c>
      <c r="D355" s="227" t="s">
        <v>4650</v>
      </c>
      <c r="E355" s="227" t="s">
        <v>3295</v>
      </c>
      <c r="F355" s="227" t="s">
        <v>3299</v>
      </c>
      <c r="G355" s="239">
        <v>45912</v>
      </c>
      <c r="H355" s="240">
        <v>0.40709490740740739</v>
      </c>
      <c r="I355" s="221" t="s">
        <v>3193</v>
      </c>
      <c r="J355" s="227" t="s">
        <v>3023</v>
      </c>
      <c r="K355" s="241" t="s">
        <v>3075</v>
      </c>
      <c r="L355" s="225" t="str">
        <f>VLOOKUP(Logfile_S12[[#This Row],[Material Name]],Sheet2!B:C,2,0)</f>
        <v>ZTE2003</v>
      </c>
      <c r="M355" s="225" t="str">
        <f>_xlfn.XLOOKUP(Logfile_S12[[#This Row],[Material Name]],Sum_WH!E:E,Sum_WH!F:F,"",0)</f>
        <v>Meter</v>
      </c>
      <c r="N355" s="227">
        <v>3000</v>
      </c>
      <c r="O355" s="221" t="s">
        <v>4924</v>
      </c>
      <c r="P355" s="221" t="s">
        <v>3592</v>
      </c>
      <c r="Q355" s="227" t="s">
        <v>3260</v>
      </c>
      <c r="R355" s="227" t="s">
        <v>3260</v>
      </c>
      <c r="S355" s="227"/>
      <c r="T355" s="227"/>
      <c r="U355" s="227"/>
      <c r="V355" s="227"/>
      <c r="W355" s="227"/>
      <c r="X355" s="227" t="s">
        <v>3595</v>
      </c>
      <c r="Y355" s="227" t="s">
        <v>5094</v>
      </c>
      <c r="Z355" s="227" t="str">
        <f t="shared" si="18"/>
        <v>DCIT</v>
      </c>
      <c r="AA355" s="276" t="e">
        <f>VLOOKUP(Logfile_S12[[#This Row],[DO number]],DO_DB!G:I,3,0)</f>
        <v>#N/A</v>
      </c>
      <c r="AB355" s="331" t="e">
        <f>EXACT(Logfile_S12[[#This Row],[date pick]],Logfile_S12[[#This Row],[Date]])</f>
        <v>#N/A</v>
      </c>
      <c r="AC3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48C-2025912-01</v>
      </c>
    </row>
    <row r="356" spans="1:29" ht="14.5" hidden="1">
      <c r="A356" s="237" t="str">
        <f t="shared" si="17"/>
        <v>352</v>
      </c>
      <c r="B356" s="221"/>
      <c r="C356" s="227" t="s">
        <v>49</v>
      </c>
      <c r="D356" s="227" t="s">
        <v>4647</v>
      </c>
      <c r="E356" s="227" t="s">
        <v>3295</v>
      </c>
      <c r="F356" s="227" t="s">
        <v>3299</v>
      </c>
      <c r="G356" s="239">
        <v>45920</v>
      </c>
      <c r="H356" s="240">
        <v>0.67421296296296296</v>
      </c>
      <c r="I356" s="227" t="s">
        <v>3586</v>
      </c>
      <c r="J356" s="482" t="s">
        <v>4432</v>
      </c>
      <c r="K356" s="241" t="s">
        <v>3077</v>
      </c>
      <c r="L356" s="225" t="str">
        <f>VLOOKUP(Logfile_S12[[#This Row],[Material Name]],Sheet2!B:C,2,0)</f>
        <v>ZTE2004</v>
      </c>
      <c r="M356" s="242" t="s">
        <v>20</v>
      </c>
      <c r="N356" s="227">
        <v>375</v>
      </c>
      <c r="O356" s="227" t="s">
        <v>2142</v>
      </c>
      <c r="P356" s="227" t="s">
        <v>2143</v>
      </c>
      <c r="Q356" s="227" t="s">
        <v>2144</v>
      </c>
      <c r="R356" s="227" t="s">
        <v>2145</v>
      </c>
      <c r="S356" s="227" t="s">
        <v>39</v>
      </c>
      <c r="T356" s="227" t="s">
        <v>3258</v>
      </c>
      <c r="U356" s="227">
        <v>0</v>
      </c>
      <c r="V356" s="227" t="s">
        <v>3337</v>
      </c>
      <c r="W356" s="227" t="s">
        <v>3338</v>
      </c>
      <c r="X356" s="227"/>
      <c r="Y356" s="238" t="s">
        <v>4984</v>
      </c>
      <c r="Z356" s="238" t="str">
        <f t="shared" si="18"/>
        <v>Main Feeder - OLT Smart Malang Segment 8 to Sumbersekar</v>
      </c>
      <c r="AA356" s="276">
        <f>VLOOKUP(Logfile_S12[[#This Row],[DO number]],DO_DB!G:I,3,0)</f>
        <v>45555</v>
      </c>
      <c r="AB356" s="332" t="b">
        <f>EXACT(Logfile_S12[[#This Row],[date pick]],Logfile_S12[[#This Row],[Date]])</f>
        <v>0</v>
      </c>
      <c r="AC35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144C-2024117-01</v>
      </c>
    </row>
    <row r="357" spans="1:29" ht="14.5" hidden="1">
      <c r="A357" s="237" t="str">
        <f t="shared" si="17"/>
        <v>353</v>
      </c>
      <c r="B357" s="221"/>
      <c r="C357" s="227" t="s">
        <v>49</v>
      </c>
      <c r="D357" s="227" t="s">
        <v>4648</v>
      </c>
      <c r="E357" s="227" t="s">
        <v>3295</v>
      </c>
      <c r="F357" s="227" t="s">
        <v>3299</v>
      </c>
      <c r="G357" s="239">
        <v>45920</v>
      </c>
      <c r="H357" s="240">
        <v>0.67421296296296296</v>
      </c>
      <c r="I357" s="227" t="s">
        <v>3586</v>
      </c>
      <c r="J357" s="482" t="s">
        <v>4432</v>
      </c>
      <c r="K357" s="241" t="s">
        <v>3077</v>
      </c>
      <c r="L357" s="225" t="str">
        <f>VLOOKUP(Logfile_S12[[#This Row],[Material Name]],Sheet2!B:C,2,0)</f>
        <v>ZTE2004</v>
      </c>
      <c r="M357" s="242" t="s">
        <v>20</v>
      </c>
      <c r="N357" s="227">
        <v>685</v>
      </c>
      <c r="O357" s="227" t="s">
        <v>2142</v>
      </c>
      <c r="P357" s="227" t="s">
        <v>2143</v>
      </c>
      <c r="Q357" s="227" t="s">
        <v>2144</v>
      </c>
      <c r="R357" s="227" t="s">
        <v>2145</v>
      </c>
      <c r="S357" s="227" t="s">
        <v>39</v>
      </c>
      <c r="T357" s="227" t="s">
        <v>4657</v>
      </c>
      <c r="U357" s="227"/>
      <c r="V357" s="227" t="s">
        <v>4658</v>
      </c>
      <c r="W357" s="227" t="s">
        <v>4659</v>
      </c>
      <c r="X357" s="227"/>
      <c r="Y357" s="238" t="s">
        <v>4984</v>
      </c>
      <c r="Z357" s="238" t="str">
        <f t="shared" si="18"/>
        <v>Main Feeder - OLT Smart Malang Segment 8 to Sumbersekar</v>
      </c>
      <c r="AA357" s="276">
        <f>VLOOKUP(Logfile_S12[[#This Row],[DO number]],DO_DB!G:I,3,0)</f>
        <v>45555</v>
      </c>
      <c r="AB357" s="332" t="b">
        <f>EXACT(Logfile_S12[[#This Row],[date pick]],Logfile_S12[[#This Row],[Date]])</f>
        <v>0</v>
      </c>
      <c r="AC357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144C-2024117-01</v>
      </c>
    </row>
    <row r="358" spans="1:29" ht="14.5" hidden="1">
      <c r="A358" s="237" t="str">
        <f t="shared" si="17"/>
        <v>354</v>
      </c>
      <c r="B358" s="221"/>
      <c r="C358" s="227" t="s">
        <v>49</v>
      </c>
      <c r="D358" s="227" t="s">
        <v>4661</v>
      </c>
      <c r="E358" s="227" t="s">
        <v>3295</v>
      </c>
      <c r="F358" s="227" t="s">
        <v>3299</v>
      </c>
      <c r="G358" s="239">
        <v>45946</v>
      </c>
      <c r="H358" s="240">
        <v>0.46527777777777779</v>
      </c>
      <c r="I358" s="227" t="s">
        <v>3586</v>
      </c>
      <c r="J358" s="482" t="s">
        <v>4432</v>
      </c>
      <c r="K358" s="241" t="s">
        <v>3073</v>
      </c>
      <c r="L358" s="225" t="str">
        <f>VLOOKUP(Logfile_S12[[#This Row],[Material Name]],Sheet2!B:C,2,0)</f>
        <v>ZTE2001</v>
      </c>
      <c r="M358" s="242" t="s">
        <v>20</v>
      </c>
      <c r="N358" s="227">
        <v>1150</v>
      </c>
      <c r="O358" s="227" t="s">
        <v>4595</v>
      </c>
      <c r="P358" s="227" t="s">
        <v>4662</v>
      </c>
      <c r="Q358" s="227"/>
      <c r="R358" s="227"/>
      <c r="S358" s="227" t="s">
        <v>39</v>
      </c>
      <c r="T358" s="227" t="s">
        <v>3258</v>
      </c>
      <c r="U358" s="227">
        <v>0</v>
      </c>
      <c r="V358" s="227" t="s">
        <v>3337</v>
      </c>
      <c r="W358" s="227" t="s">
        <v>3338</v>
      </c>
      <c r="X358" s="227"/>
      <c r="Y358" s="238" t="s">
        <v>5291</v>
      </c>
      <c r="Z358" s="238" t="str">
        <f t="shared" si="18"/>
        <v>Perumahan Asshofa Residence</v>
      </c>
      <c r="AA358" s="276" t="e">
        <f>VLOOKUP(Logfile_S12[[#This Row],[DO number]],DO_DB!G:I,3,0)</f>
        <v>#N/A</v>
      </c>
      <c r="AB358" s="332" t="e">
        <f>EXACT(Logfile_S12[[#This Row],[date pick]],Logfile_S12[[#This Row],[Date]])</f>
        <v>#N/A</v>
      </c>
      <c r="AC358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OUTBOUND_A-030-1150m</v>
      </c>
    </row>
    <row r="359" spans="1:29" ht="14.5" hidden="1">
      <c r="A359" s="237" t="str">
        <f t="shared" si="17"/>
        <v>355</v>
      </c>
      <c r="B359" s="221"/>
      <c r="C359" s="227" t="s">
        <v>48</v>
      </c>
      <c r="D359" s="227" t="s">
        <v>4660</v>
      </c>
      <c r="E359" s="227" t="s">
        <v>3295</v>
      </c>
      <c r="F359" s="227" t="s">
        <v>3299</v>
      </c>
      <c r="G359" s="239">
        <v>45946</v>
      </c>
      <c r="H359" s="240">
        <v>0.46527777777777779</v>
      </c>
      <c r="I359" s="227" t="s">
        <v>3586</v>
      </c>
      <c r="J359" s="482" t="s">
        <v>4432</v>
      </c>
      <c r="K359" s="241" t="s">
        <v>3073</v>
      </c>
      <c r="L359" s="225" t="str">
        <f>VLOOKUP(Logfile_S12[[#This Row],[Material Name]],Sheet2!B:C,2,0)</f>
        <v>ZTE2001</v>
      </c>
      <c r="M359" s="242" t="s">
        <v>20</v>
      </c>
      <c r="N359" s="227">
        <v>1150</v>
      </c>
      <c r="O359" s="227" t="s">
        <v>3203</v>
      </c>
      <c r="P359" s="227" t="s">
        <v>4597</v>
      </c>
      <c r="Q359" s="227"/>
      <c r="R359" s="227"/>
      <c r="S359" s="227" t="s">
        <v>39</v>
      </c>
      <c r="T359" s="227" t="s">
        <v>3258</v>
      </c>
      <c r="U359" s="227">
        <v>0</v>
      </c>
      <c r="V359" s="227" t="s">
        <v>3337</v>
      </c>
      <c r="W359" s="227" t="s">
        <v>3338</v>
      </c>
      <c r="X359" s="227"/>
      <c r="Y359" s="238" t="s">
        <v>5293</v>
      </c>
      <c r="Z359" s="238" t="str">
        <f t="shared" si="18"/>
        <v>PERUMAHAN BULULAWANG PERMAI RW 02</v>
      </c>
      <c r="AA359" s="276" t="e">
        <f>VLOOKUP(Logfile_S12[[#This Row],[DO number]],DO_DB!G:I,3,0)</f>
        <v>#N/A</v>
      </c>
      <c r="AB359" s="332" t="e">
        <f>EXACT(Logfile_S12[[#This Row],[date pick]],Logfile_S12[[#This Row],[Date]])</f>
        <v>#N/A</v>
      </c>
      <c r="AC35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OUTBOUND_A-031-1150m</v>
      </c>
    </row>
    <row r="360" spans="1:29" ht="14.5" hidden="1">
      <c r="A360" s="237" t="str">
        <f t="shared" si="17"/>
        <v>356</v>
      </c>
      <c r="B360" s="221"/>
      <c r="C360" s="227" t="s">
        <v>49</v>
      </c>
      <c r="D360" s="227" t="s">
        <v>4661</v>
      </c>
      <c r="E360" s="227" t="s">
        <v>3295</v>
      </c>
      <c r="F360" s="227" t="s">
        <v>3299</v>
      </c>
      <c r="G360" s="239">
        <v>45946</v>
      </c>
      <c r="H360" s="240">
        <v>0.46527777777777779</v>
      </c>
      <c r="I360" s="227" t="s">
        <v>3586</v>
      </c>
      <c r="J360" s="482" t="s">
        <v>4432</v>
      </c>
      <c r="K360" s="241" t="s">
        <v>3075</v>
      </c>
      <c r="L360" s="225" t="str">
        <f>VLOOKUP(Logfile_S12[[#This Row],[Material Name]],Sheet2!B:C,2,0)</f>
        <v>ZTE2003</v>
      </c>
      <c r="M360" s="242" t="s">
        <v>20</v>
      </c>
      <c r="N360" s="227">
        <v>1500</v>
      </c>
      <c r="O360" s="227" t="s">
        <v>4595</v>
      </c>
      <c r="P360" s="227" t="s">
        <v>4662</v>
      </c>
      <c r="Q360" s="227"/>
      <c r="R360" s="227"/>
      <c r="S360" s="227" t="s">
        <v>39</v>
      </c>
      <c r="T360" s="227" t="s">
        <v>3258</v>
      </c>
      <c r="U360" s="227">
        <v>0</v>
      </c>
      <c r="V360" s="227" t="s">
        <v>3337</v>
      </c>
      <c r="W360" s="227" t="s">
        <v>3338</v>
      </c>
      <c r="X360" s="227"/>
      <c r="Y360" s="238" t="s">
        <v>5292</v>
      </c>
      <c r="Z360" s="238" t="str">
        <f t="shared" si="18"/>
        <v>Perumahan Asshofa Residence</v>
      </c>
      <c r="AA360" s="276" t="e">
        <f>VLOOKUP(Logfile_S12[[#This Row],[DO number]],DO_DB!G:I,3,0)</f>
        <v>#N/A</v>
      </c>
      <c r="AB360" s="332" t="e">
        <f>EXACT(Logfile_S12[[#This Row],[date pick]],Logfile_S12[[#This Row],[Date]])</f>
        <v>#N/A</v>
      </c>
      <c r="AC360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OUTBOUND_B-009-1500m</v>
      </c>
    </row>
    <row r="361" spans="1:29" ht="14.5" hidden="1">
      <c r="A361" s="237" t="str">
        <f t="shared" si="17"/>
        <v>357</v>
      </c>
      <c r="B361" s="221"/>
      <c r="C361" s="227" t="s">
        <v>48</v>
      </c>
      <c r="D361" s="227" t="s">
        <v>4660</v>
      </c>
      <c r="E361" s="227" t="s">
        <v>3295</v>
      </c>
      <c r="F361" s="227" t="s">
        <v>3299</v>
      </c>
      <c r="G361" s="239">
        <v>45946</v>
      </c>
      <c r="H361" s="240">
        <v>0.46527777777777779</v>
      </c>
      <c r="I361" s="227" t="s">
        <v>3586</v>
      </c>
      <c r="J361" s="482" t="s">
        <v>4432</v>
      </c>
      <c r="K361" s="241" t="s">
        <v>3075</v>
      </c>
      <c r="L361" s="225" t="str">
        <f>VLOOKUP(Logfile_S12[[#This Row],[Material Name]],Sheet2!B:C,2,0)</f>
        <v>ZTE2003</v>
      </c>
      <c r="M361" s="242" t="s">
        <v>20</v>
      </c>
      <c r="N361" s="227">
        <v>1500</v>
      </c>
      <c r="O361" s="227" t="s">
        <v>3203</v>
      </c>
      <c r="P361" s="227" t="s">
        <v>4597</v>
      </c>
      <c r="Q361" s="227"/>
      <c r="R361" s="227"/>
      <c r="S361" s="227" t="s">
        <v>39</v>
      </c>
      <c r="T361" s="227" t="s">
        <v>3258</v>
      </c>
      <c r="U361" s="227">
        <v>0</v>
      </c>
      <c r="V361" s="227" t="s">
        <v>3337</v>
      </c>
      <c r="W361" s="227" t="s">
        <v>3338</v>
      </c>
      <c r="X361" s="227"/>
      <c r="Y361" s="238" t="s">
        <v>5294</v>
      </c>
      <c r="Z361" s="238" t="str">
        <f t="shared" si="18"/>
        <v>PERUMAHAN BULULAWANG PERMAI RW 02</v>
      </c>
      <c r="AA361" s="276" t="e">
        <f>VLOOKUP(Logfile_S12[[#This Row],[DO number]],DO_DB!G:I,3,0)</f>
        <v>#N/A</v>
      </c>
      <c r="AB361" s="332" t="e">
        <f>EXACT(Logfile_S12[[#This Row],[date pick]],Logfile_S12[[#This Row],[Date]])</f>
        <v>#N/A</v>
      </c>
      <c r="AC361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OUTBOUND_B-010-1500m</v>
      </c>
    </row>
    <row r="362" spans="1:29" ht="14.5" hidden="1">
      <c r="A362" s="237" t="str">
        <f t="shared" si="17"/>
        <v>358</v>
      </c>
      <c r="B362" s="221">
        <v>6</v>
      </c>
      <c r="C362" s="227" t="s">
        <v>48</v>
      </c>
      <c r="D362" s="227" t="s">
        <v>4671</v>
      </c>
      <c r="E362" s="227" t="s">
        <v>3295</v>
      </c>
      <c r="F362" s="227" t="s">
        <v>3299</v>
      </c>
      <c r="G362" s="239">
        <v>45953</v>
      </c>
      <c r="H362" s="240">
        <v>0.33333333333333331</v>
      </c>
      <c r="I362" s="227" t="s">
        <v>37</v>
      </c>
      <c r="J362" s="221" t="s">
        <v>3023</v>
      </c>
      <c r="K362" s="241" t="s">
        <v>3073</v>
      </c>
      <c r="L362" s="225" t="str">
        <f>VLOOKUP(Logfile_S12[[#This Row],[Material Name]],Sheet2!B:C,2,0)</f>
        <v>ZTE2001</v>
      </c>
      <c r="M362" s="242" t="s">
        <v>20</v>
      </c>
      <c r="N362" s="227">
        <v>3000</v>
      </c>
      <c r="O362" s="227" t="s">
        <v>4663</v>
      </c>
      <c r="P362" s="227" t="s">
        <v>4664</v>
      </c>
      <c r="Q362" s="221"/>
      <c r="R362" s="221"/>
      <c r="S362" s="227"/>
      <c r="T362" s="221" t="s">
        <v>3258</v>
      </c>
      <c r="U362" s="221">
        <v>0</v>
      </c>
      <c r="V362" s="221" t="s">
        <v>3337</v>
      </c>
      <c r="W362" s="221" t="s">
        <v>3338</v>
      </c>
      <c r="X362" s="227"/>
      <c r="Y362" s="227" t="s">
        <v>5026</v>
      </c>
      <c r="Z362" s="227" t="str">
        <f t="shared" si="18"/>
        <v>LESANPURO RW 06 MALANG</v>
      </c>
      <c r="AA362" s="276" t="e">
        <f>VLOOKUP(Logfile_S12[[#This Row],[DO number]],DO_DB!G:I,3,0)</f>
        <v>#N/A</v>
      </c>
      <c r="AB362" s="331" t="e">
        <f>EXACT(Logfile_S12[[#This Row],[date pick]],Logfile_S12[[#This Row],[Date]])</f>
        <v>#N/A</v>
      </c>
      <c r="AC3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24C-20251023-01</v>
      </c>
    </row>
    <row r="363" spans="1:29" ht="14.5" hidden="1">
      <c r="A363" s="237" t="str">
        <f t="shared" si="17"/>
        <v>359</v>
      </c>
      <c r="B363" s="221">
        <v>2</v>
      </c>
      <c r="C363" s="227" t="s">
        <v>49</v>
      </c>
      <c r="D363" s="227" t="s">
        <v>4672</v>
      </c>
      <c r="E363" s="227" t="s">
        <v>3295</v>
      </c>
      <c r="F363" s="227" t="s">
        <v>3299</v>
      </c>
      <c r="G363" s="239">
        <v>45953</v>
      </c>
      <c r="H363" s="240">
        <v>0.60763888888888884</v>
      </c>
      <c r="I363" s="227" t="s">
        <v>3295</v>
      </c>
      <c r="J363" s="221" t="s">
        <v>3023</v>
      </c>
      <c r="K363" s="241" t="s">
        <v>3073</v>
      </c>
      <c r="L363" s="225" t="str">
        <f>VLOOKUP(Logfile_S12[[#This Row],[Material Name]],Sheet2!B:C,2,0)</f>
        <v>ZTE2001</v>
      </c>
      <c r="M363" s="242" t="s">
        <v>20</v>
      </c>
      <c r="N363" s="227">
        <v>3000</v>
      </c>
      <c r="O363" s="227" t="s">
        <v>4663</v>
      </c>
      <c r="P363" s="227" t="s">
        <v>4664</v>
      </c>
      <c r="Q363" s="227"/>
      <c r="R363" s="227"/>
      <c r="S363" s="227"/>
      <c r="T363" s="221" t="s">
        <v>3258</v>
      </c>
      <c r="U363" s="221" t="s">
        <v>5107</v>
      </c>
      <c r="V363" s="221" t="s">
        <v>3337</v>
      </c>
      <c r="W363" s="221" t="s">
        <v>3338</v>
      </c>
      <c r="X363" s="227"/>
      <c r="Y363" s="227"/>
      <c r="Z363" s="227" t="str">
        <f t="shared" si="18"/>
        <v>LESANPURO RW 06 MALANG</v>
      </c>
      <c r="AA363" s="276" t="e">
        <f>VLOOKUP(Logfile_S12[[#This Row],[DO number]],DO_DB!G:I,3,0)</f>
        <v>#N/A</v>
      </c>
      <c r="AB363" s="331" t="e">
        <f>EXACT(Logfile_S12[[#This Row],[date pick]],Logfile_S12[[#This Row],[Date]])</f>
        <v>#N/A</v>
      </c>
      <c r="AC3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64" spans="1:29" ht="14.5" hidden="1">
      <c r="A364" s="237" t="str">
        <f t="shared" si="17"/>
        <v>360</v>
      </c>
      <c r="B364" s="221">
        <v>8</v>
      </c>
      <c r="C364" s="227" t="s">
        <v>48</v>
      </c>
      <c r="D364" s="227" t="s">
        <v>4675</v>
      </c>
      <c r="E364" s="227" t="s">
        <v>3295</v>
      </c>
      <c r="F364" s="227" t="s">
        <v>3299</v>
      </c>
      <c r="G364" s="239">
        <v>45955</v>
      </c>
      <c r="H364" s="240">
        <v>0.33333333333333331</v>
      </c>
      <c r="I364" s="227" t="s">
        <v>37</v>
      </c>
      <c r="J364" s="221" t="s">
        <v>3023</v>
      </c>
      <c r="K364" s="241" t="s">
        <v>3073</v>
      </c>
      <c r="L364" s="225" t="str">
        <f>VLOOKUP(Logfile_S12[[#This Row],[Material Name]],Sheet2!B:C,2,0)</f>
        <v>ZTE2001</v>
      </c>
      <c r="M364" s="242" t="s">
        <v>20</v>
      </c>
      <c r="N364" s="227">
        <v>3000</v>
      </c>
      <c r="O364" s="227" t="s">
        <v>4663</v>
      </c>
      <c r="P364" s="227" t="s">
        <v>4664</v>
      </c>
      <c r="Q364" s="221"/>
      <c r="R364" s="221"/>
      <c r="S364" s="227"/>
      <c r="T364" s="227"/>
      <c r="U364" s="227"/>
      <c r="V364" s="227"/>
      <c r="W364" s="227"/>
      <c r="X364" s="227"/>
      <c r="Y364" s="227" t="s">
        <v>4954</v>
      </c>
      <c r="Z364" s="227" t="str">
        <f t="shared" si="18"/>
        <v>LESANPURO RW 06 MALANG</v>
      </c>
      <c r="AA364" s="276" t="e">
        <f>VLOOKUP(Logfile_S12[[#This Row],[DO number]],DO_DB!G:I,3,0)</f>
        <v>#N/A</v>
      </c>
      <c r="AB364" s="331" t="e">
        <f>EXACT(Logfile_S12[[#This Row],[date pick]],Logfile_S12[[#This Row],[Date]])</f>
        <v>#N/A</v>
      </c>
      <c r="AC3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24C-20251025-01</v>
      </c>
    </row>
    <row r="365" spans="1:29" ht="14.5" hidden="1">
      <c r="A365" s="237" t="str">
        <f t="shared" si="17"/>
        <v>361</v>
      </c>
      <c r="B365" s="221">
        <v>8</v>
      </c>
      <c r="C365" s="227" t="s">
        <v>48</v>
      </c>
      <c r="D365" s="227" t="s">
        <v>4675</v>
      </c>
      <c r="E365" s="227" t="s">
        <v>3295</v>
      </c>
      <c r="F365" s="227" t="s">
        <v>3299</v>
      </c>
      <c r="G365" s="239">
        <v>45955</v>
      </c>
      <c r="H365" s="240">
        <v>0.33333333333333331</v>
      </c>
      <c r="I365" s="227" t="s">
        <v>37</v>
      </c>
      <c r="J365" s="227" t="s">
        <v>3023</v>
      </c>
      <c r="K365" s="241" t="s">
        <v>3073</v>
      </c>
      <c r="L365" s="225" t="str">
        <f>VLOOKUP(Logfile_S12[[#This Row],[Material Name]],Sheet2!B:C,2,0)</f>
        <v>ZTE2001</v>
      </c>
      <c r="M365" s="242" t="s">
        <v>20</v>
      </c>
      <c r="N365" s="227">
        <v>3000</v>
      </c>
      <c r="O365" s="227" t="s">
        <v>4663</v>
      </c>
      <c r="P365" s="227" t="s">
        <v>4664</v>
      </c>
      <c r="Q365" s="227"/>
      <c r="R365" s="227"/>
      <c r="S365" s="227"/>
      <c r="T365" s="227"/>
      <c r="U365" s="227"/>
      <c r="V365" s="227"/>
      <c r="W365" s="227"/>
      <c r="X365" s="227"/>
      <c r="Y365" s="227" t="s">
        <v>5027</v>
      </c>
      <c r="Z365" s="227" t="str">
        <f t="shared" si="18"/>
        <v>LESANPURO RW 06 MALANG</v>
      </c>
      <c r="AA365" s="276" t="e">
        <f>VLOOKUP(Logfile_S12[[#This Row],[DO number]],DO_DB!G:I,3,0)</f>
        <v>#N/A</v>
      </c>
      <c r="AB365" s="331" t="e">
        <f>EXACT(Logfile_S12[[#This Row],[date pick]],Logfile_S12[[#This Row],[Date]])</f>
        <v>#N/A</v>
      </c>
      <c r="AC3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24C-20251025-02</v>
      </c>
    </row>
    <row r="366" spans="1:29" ht="14.5" hidden="1">
      <c r="A366" s="237" t="str">
        <f t="shared" si="17"/>
        <v>362</v>
      </c>
      <c r="B366" s="221">
        <v>3</v>
      </c>
      <c r="C366" s="227" t="s">
        <v>49</v>
      </c>
      <c r="D366" s="227" t="s">
        <v>4677</v>
      </c>
      <c r="E366" s="227" t="s">
        <v>3295</v>
      </c>
      <c r="F366" s="227" t="s">
        <v>3299</v>
      </c>
      <c r="G366" s="239">
        <v>45955</v>
      </c>
      <c r="H366" s="240">
        <v>0.45833333333333331</v>
      </c>
      <c r="I366" s="227" t="s">
        <v>3295</v>
      </c>
      <c r="J366" s="221" t="s">
        <v>3023</v>
      </c>
      <c r="K366" s="241" t="s">
        <v>3073</v>
      </c>
      <c r="L366" s="225" t="str">
        <f>VLOOKUP(Logfile_S12[[#This Row],[Material Name]],Sheet2!B:C,2,0)</f>
        <v>ZTE2001</v>
      </c>
      <c r="M366" s="242" t="s">
        <v>20</v>
      </c>
      <c r="N366" s="227">
        <v>3000</v>
      </c>
      <c r="O366" s="227" t="s">
        <v>4663</v>
      </c>
      <c r="P366" s="227" t="s">
        <v>4664</v>
      </c>
      <c r="Q366" s="227"/>
      <c r="R366" s="227"/>
      <c r="S366" s="227"/>
      <c r="T366" s="221" t="s">
        <v>3258</v>
      </c>
      <c r="U366" s="221" t="s">
        <v>5107</v>
      </c>
      <c r="V366" s="221" t="s">
        <v>3337</v>
      </c>
      <c r="W366" s="221" t="s">
        <v>3338</v>
      </c>
      <c r="X366" s="227"/>
      <c r="Y366" s="227"/>
      <c r="Z366" s="227" t="str">
        <f t="shared" si="18"/>
        <v>LESANPURO RW 06 MALANG</v>
      </c>
      <c r="AA366" s="276" t="e">
        <f>VLOOKUP(Logfile_S12[[#This Row],[DO number]],DO_DB!G:I,3,0)</f>
        <v>#N/A</v>
      </c>
      <c r="AB366" s="331" t="e">
        <f>EXACT(Logfile_S12[[#This Row],[date pick]],Logfile_S12[[#This Row],[Date]])</f>
        <v>#N/A</v>
      </c>
      <c r="AC3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67" spans="1:29" ht="14.5" hidden="1">
      <c r="A367" s="237" t="str">
        <f t="shared" si="17"/>
        <v>363</v>
      </c>
      <c r="B367" s="221">
        <v>7</v>
      </c>
      <c r="C367" s="227" t="s">
        <v>49</v>
      </c>
      <c r="D367" s="227" t="s">
        <v>4677</v>
      </c>
      <c r="E367" s="227" t="s">
        <v>3295</v>
      </c>
      <c r="F367" s="227" t="s">
        <v>3299</v>
      </c>
      <c r="G367" s="239">
        <v>45955</v>
      </c>
      <c r="H367" s="240">
        <v>0.45833333333333331</v>
      </c>
      <c r="I367" s="227" t="s">
        <v>3295</v>
      </c>
      <c r="J367" s="221" t="s">
        <v>3023</v>
      </c>
      <c r="K367" s="241" t="s">
        <v>3073</v>
      </c>
      <c r="L367" s="225" t="str">
        <f>VLOOKUP(Logfile_S12[[#This Row],[Material Name]],Sheet2!B:C,2,0)</f>
        <v>ZTE2001</v>
      </c>
      <c r="M367" s="242" t="s">
        <v>20</v>
      </c>
      <c r="N367" s="227">
        <v>3000</v>
      </c>
      <c r="O367" s="247" t="s">
        <v>4687</v>
      </c>
      <c r="P367" s="224" t="s">
        <v>4599</v>
      </c>
      <c r="Q367" s="227"/>
      <c r="R367" s="227"/>
      <c r="S367" s="227"/>
      <c r="T367" s="221" t="s">
        <v>3258</v>
      </c>
      <c r="U367" s="221" t="s">
        <v>5107</v>
      </c>
      <c r="V367" s="221" t="s">
        <v>3337</v>
      </c>
      <c r="W367" s="221" t="s">
        <v>3338</v>
      </c>
      <c r="X367" s="227"/>
      <c r="Y367" s="227"/>
      <c r="Z367" s="227" t="str">
        <f t="shared" si="18"/>
        <v>MADYOPURO RW 05 MALANG</v>
      </c>
      <c r="AA367" s="276" t="e">
        <f>VLOOKUP(Logfile_S12[[#This Row],[DO number]],DO_DB!G:I,3,0)</f>
        <v>#N/A</v>
      </c>
      <c r="AB367" s="331" t="e">
        <f>EXACT(Logfile_S12[[#This Row],[date pick]],Logfile_S12[[#This Row],[Date]])</f>
        <v>#N/A</v>
      </c>
      <c r="AC3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68" spans="1:29" ht="14.5" hidden="1">
      <c r="A368" s="237" t="str">
        <f t="shared" si="17"/>
        <v>364</v>
      </c>
      <c r="B368" s="221"/>
      <c r="C368" s="227" t="s">
        <v>48</v>
      </c>
      <c r="D368" s="227" t="s">
        <v>4678</v>
      </c>
      <c r="E368" s="227" t="s">
        <v>3295</v>
      </c>
      <c r="F368" s="227" t="s">
        <v>3299</v>
      </c>
      <c r="G368" s="239">
        <v>45955</v>
      </c>
      <c r="H368" s="240">
        <v>0.66666666666666663</v>
      </c>
      <c r="I368" s="227" t="s">
        <v>3586</v>
      </c>
      <c r="J368" s="482" t="s">
        <v>4432</v>
      </c>
      <c r="K368" s="241" t="s">
        <v>3073</v>
      </c>
      <c r="L368" s="225" t="str">
        <f>VLOOKUP(Logfile_S12[[#This Row],[Material Name]],Sheet2!B:C,2,0)</f>
        <v>ZTE2001</v>
      </c>
      <c r="M368" s="242" t="s">
        <v>20</v>
      </c>
      <c r="N368" s="227">
        <v>1350</v>
      </c>
      <c r="O368" s="227" t="s">
        <v>4663</v>
      </c>
      <c r="P368" s="227" t="s">
        <v>4664</v>
      </c>
      <c r="Q368" s="227"/>
      <c r="R368" s="227"/>
      <c r="S368" s="227" t="s">
        <v>39</v>
      </c>
      <c r="T368" s="227" t="s">
        <v>3258</v>
      </c>
      <c r="U368" s="227">
        <v>0</v>
      </c>
      <c r="V368" s="227" t="s">
        <v>3337</v>
      </c>
      <c r="W368" s="227" t="s">
        <v>3338</v>
      </c>
      <c r="X368" s="227"/>
      <c r="Y368" s="238" t="s">
        <v>5280</v>
      </c>
      <c r="Z368" s="238" t="str">
        <f t="shared" si="18"/>
        <v>LESANPURO RW 06 MALANG</v>
      </c>
      <c r="AA368" s="276" t="e">
        <f>VLOOKUP(Logfile_S12[[#This Row],[DO number]],DO_DB!G:I,3,0)</f>
        <v>#N/A</v>
      </c>
      <c r="AB368" s="332" t="e">
        <f>EXACT(Logfile_S12[[#This Row],[date pick]],Logfile_S12[[#This Row],[Date]])</f>
        <v>#N/A</v>
      </c>
      <c r="AC368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OUTBOUND_A-016-1350m</v>
      </c>
    </row>
    <row r="369" spans="1:29" ht="14.5" hidden="1">
      <c r="A369" s="237" t="str">
        <f t="shared" si="17"/>
        <v>365</v>
      </c>
      <c r="B369" s="221"/>
      <c r="C369" s="227" t="s">
        <v>48</v>
      </c>
      <c r="D369" s="227" t="s">
        <v>4678</v>
      </c>
      <c r="E369" s="227" t="s">
        <v>3295</v>
      </c>
      <c r="F369" s="227" t="s">
        <v>3299</v>
      </c>
      <c r="G369" s="239">
        <v>45955</v>
      </c>
      <c r="H369" s="240">
        <v>0.66666666666666663</v>
      </c>
      <c r="I369" s="227" t="s">
        <v>3586</v>
      </c>
      <c r="J369" s="482" t="s">
        <v>4432</v>
      </c>
      <c r="K369" s="241" t="s">
        <v>3073</v>
      </c>
      <c r="L369" s="225" t="str">
        <f>VLOOKUP(Logfile_S12[[#This Row],[Material Name]],Sheet2!B:C,2,0)</f>
        <v>ZTE2001</v>
      </c>
      <c r="M369" s="242" t="s">
        <v>20</v>
      </c>
      <c r="N369" s="227">
        <v>925</v>
      </c>
      <c r="O369" s="227" t="s">
        <v>4687</v>
      </c>
      <c r="P369" s="227" t="s">
        <v>4599</v>
      </c>
      <c r="Q369" s="227"/>
      <c r="R369" s="227"/>
      <c r="S369" s="227" t="s">
        <v>39</v>
      </c>
      <c r="T369" s="227" t="s">
        <v>3258</v>
      </c>
      <c r="U369" s="227">
        <v>0</v>
      </c>
      <c r="V369" s="227" t="s">
        <v>3337</v>
      </c>
      <c r="W369" s="227" t="s">
        <v>3338</v>
      </c>
      <c r="X369" s="227"/>
      <c r="Y369" s="238" t="s">
        <v>5283</v>
      </c>
      <c r="Z369" s="238" t="str">
        <f t="shared" si="18"/>
        <v>MADYOPURO RW 05 MALANG</v>
      </c>
      <c r="AA369" s="276" t="e">
        <f>VLOOKUP(Logfile_S12[[#This Row],[DO number]],DO_DB!G:I,3,0)</f>
        <v>#N/A</v>
      </c>
      <c r="AB369" s="332" t="e">
        <f>EXACT(Logfile_S12[[#This Row],[date pick]],Logfile_S12[[#This Row],[Date]])</f>
        <v>#N/A</v>
      </c>
      <c r="AC36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OUTBOUND_A-018-925m</v>
      </c>
    </row>
    <row r="370" spans="1:29" ht="14.5" hidden="1">
      <c r="A370" s="237" t="str">
        <f t="shared" si="17"/>
        <v>366</v>
      </c>
      <c r="B370" s="221">
        <v>7</v>
      </c>
      <c r="C370" s="227" t="s">
        <v>48</v>
      </c>
      <c r="D370" s="227" t="s">
        <v>4675</v>
      </c>
      <c r="E370" s="227" t="s">
        <v>3295</v>
      </c>
      <c r="F370" s="227" t="s">
        <v>3299</v>
      </c>
      <c r="G370" s="239">
        <v>45955</v>
      </c>
      <c r="H370" s="240">
        <v>0.33333333333333331</v>
      </c>
      <c r="I370" s="227" t="s">
        <v>37</v>
      </c>
      <c r="J370" s="221" t="s">
        <v>3023</v>
      </c>
      <c r="K370" s="241" t="s">
        <v>3074</v>
      </c>
      <c r="L370" s="225" t="str">
        <f>VLOOKUP(Logfile_S12[[#This Row],[Material Name]],Sheet2!B:C,2,0)</f>
        <v>ZTE2002</v>
      </c>
      <c r="M370" s="242" t="s">
        <v>20</v>
      </c>
      <c r="N370" s="227">
        <v>3000</v>
      </c>
      <c r="O370" s="227" t="s">
        <v>4663</v>
      </c>
      <c r="P370" s="227" t="s">
        <v>4664</v>
      </c>
      <c r="Q370" s="221"/>
      <c r="R370" s="221"/>
      <c r="S370" s="227"/>
      <c r="T370" s="227"/>
      <c r="U370" s="227"/>
      <c r="V370" s="227"/>
      <c r="W370" s="227"/>
      <c r="X370" s="227"/>
      <c r="Y370" s="227" t="s">
        <v>5041</v>
      </c>
      <c r="Z370" s="227" t="str">
        <f t="shared" si="18"/>
        <v>LESANPURO RW 06 MALANG</v>
      </c>
      <c r="AA370" s="276" t="e">
        <f>VLOOKUP(Logfile_S12[[#This Row],[DO number]],DO_DB!G:I,3,0)</f>
        <v>#N/A</v>
      </c>
      <c r="AB370" s="331" t="e">
        <f>EXACT(Logfile_S12[[#This Row],[date pick]],Logfile_S12[[#This Row],[Date]])</f>
        <v>#N/A</v>
      </c>
      <c r="AC3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36C-20251025-01</v>
      </c>
    </row>
    <row r="371" spans="1:29" ht="14.5" hidden="1">
      <c r="A371" s="237" t="str">
        <f t="shared" si="17"/>
        <v>367</v>
      </c>
      <c r="B371" s="221">
        <v>6</v>
      </c>
      <c r="C371" s="227" t="s">
        <v>48</v>
      </c>
      <c r="D371" s="227" t="s">
        <v>4675</v>
      </c>
      <c r="E371" s="227" t="s">
        <v>3295</v>
      </c>
      <c r="F371" s="227" t="s">
        <v>3299</v>
      </c>
      <c r="G371" s="239">
        <v>45955</v>
      </c>
      <c r="H371" s="240">
        <v>0.33333333333333331</v>
      </c>
      <c r="I371" s="227" t="s">
        <v>37</v>
      </c>
      <c r="J371" s="221" t="s">
        <v>3023</v>
      </c>
      <c r="K371" s="241" t="s">
        <v>3075</v>
      </c>
      <c r="L371" s="225" t="str">
        <f>VLOOKUP(Logfile_S12[[#This Row],[Material Name]],Sheet2!B:C,2,0)</f>
        <v>ZTE2003</v>
      </c>
      <c r="M371" s="242" t="s">
        <v>20</v>
      </c>
      <c r="N371" s="227">
        <v>3000</v>
      </c>
      <c r="O371" s="227" t="s">
        <v>4663</v>
      </c>
      <c r="P371" s="227" t="s">
        <v>4664</v>
      </c>
      <c r="Q371" s="221"/>
      <c r="R371" s="221"/>
      <c r="S371" s="227"/>
      <c r="T371" s="227"/>
      <c r="U371" s="227"/>
      <c r="V371" s="227"/>
      <c r="W371" s="227"/>
      <c r="X371" s="227"/>
      <c r="Y371" s="227" t="s">
        <v>5089</v>
      </c>
      <c r="Z371" s="227" t="str">
        <f t="shared" si="18"/>
        <v>LESANPURO RW 06 MALANG</v>
      </c>
      <c r="AA371" s="276" t="e">
        <f>VLOOKUP(Logfile_S12[[#This Row],[DO number]],DO_DB!G:I,3,0)</f>
        <v>#N/A</v>
      </c>
      <c r="AB371" s="331" t="e">
        <f>EXACT(Logfile_S12[[#This Row],[date pick]],Logfile_S12[[#This Row],[Date]])</f>
        <v>#N/A</v>
      </c>
      <c r="AC3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48C-20251025-01</v>
      </c>
    </row>
    <row r="372" spans="1:29" ht="14.5" hidden="1">
      <c r="A372" s="237" t="str">
        <f t="shared" si="17"/>
        <v>368</v>
      </c>
      <c r="B372" s="221">
        <v>4</v>
      </c>
      <c r="C372" s="227" t="s">
        <v>49</v>
      </c>
      <c r="D372" s="227" t="s">
        <v>4683</v>
      </c>
      <c r="E372" s="227" t="s">
        <v>3295</v>
      </c>
      <c r="F372" s="227" t="s">
        <v>3299</v>
      </c>
      <c r="G372" s="239">
        <v>45967</v>
      </c>
      <c r="H372" s="240">
        <v>0.70833333333333337</v>
      </c>
      <c r="I372" s="227" t="s">
        <v>3295</v>
      </c>
      <c r="J372" s="221" t="s">
        <v>3023</v>
      </c>
      <c r="K372" s="241" t="s">
        <v>3074</v>
      </c>
      <c r="L372" s="225" t="str">
        <f>VLOOKUP(Logfile_S12[[#This Row],[Material Name]],Sheet2!B:C,2,0)</f>
        <v>ZTE2002</v>
      </c>
      <c r="M372" s="242" t="s">
        <v>20</v>
      </c>
      <c r="N372" s="227">
        <v>3000</v>
      </c>
      <c r="O372" s="227" t="s">
        <v>4692</v>
      </c>
      <c r="P372" s="227" t="s">
        <v>4693</v>
      </c>
      <c r="Q372" s="227" t="s">
        <v>3260</v>
      </c>
      <c r="R372" s="227" t="s">
        <v>3260</v>
      </c>
      <c r="S372" s="227"/>
      <c r="T372" s="221" t="s">
        <v>3258</v>
      </c>
      <c r="U372" s="221" t="s">
        <v>4811</v>
      </c>
      <c r="V372" s="221" t="s">
        <v>3337</v>
      </c>
      <c r="W372" s="221" t="s">
        <v>3338</v>
      </c>
      <c r="X372" s="227"/>
      <c r="Y372" s="227"/>
      <c r="Z372" s="227" t="str">
        <f t="shared" si="18"/>
        <v>PALAAN RW 01 SAMPAI 05 MALANG</v>
      </c>
      <c r="AA372" s="276" t="e">
        <f>VLOOKUP(Logfile_S12[[#This Row],[DO number]],DO_DB!G:I,3,0)</f>
        <v>#N/A</v>
      </c>
      <c r="AB372" s="331" t="e">
        <f>EXACT(Logfile_S12[[#This Row],[date pick]],Logfile_S12[[#This Row],[Date]])</f>
        <v>#N/A</v>
      </c>
      <c r="AC3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73" spans="1:29" ht="14.5" hidden="1">
      <c r="A373" s="237" t="str">
        <f t="shared" si="17"/>
        <v>369</v>
      </c>
      <c r="B373" s="221">
        <v>5</v>
      </c>
      <c r="C373" s="227" t="s">
        <v>49</v>
      </c>
      <c r="D373" s="227" t="s">
        <v>4683</v>
      </c>
      <c r="E373" s="227" t="s">
        <v>3295</v>
      </c>
      <c r="F373" s="227" t="s">
        <v>3299</v>
      </c>
      <c r="G373" s="239">
        <v>45967</v>
      </c>
      <c r="H373" s="240">
        <v>0.70833333333333337</v>
      </c>
      <c r="I373" s="227" t="s">
        <v>3295</v>
      </c>
      <c r="J373" s="221" t="s">
        <v>3023</v>
      </c>
      <c r="K373" s="241" t="s">
        <v>3075</v>
      </c>
      <c r="L373" s="225" t="str">
        <f>VLOOKUP(Logfile_S12[[#This Row],[Material Name]],Sheet2!B:C,2,0)</f>
        <v>ZTE2003</v>
      </c>
      <c r="M373" s="242" t="s">
        <v>20</v>
      </c>
      <c r="N373" s="227">
        <v>3000</v>
      </c>
      <c r="O373" s="227" t="s">
        <v>4692</v>
      </c>
      <c r="P373" s="227" t="s">
        <v>4693</v>
      </c>
      <c r="Q373" s="227" t="s">
        <v>3260</v>
      </c>
      <c r="R373" s="227" t="s">
        <v>3260</v>
      </c>
      <c r="S373" s="227"/>
      <c r="T373" s="221" t="s">
        <v>3258</v>
      </c>
      <c r="U373" s="221" t="s">
        <v>4811</v>
      </c>
      <c r="V373" s="221" t="s">
        <v>3337</v>
      </c>
      <c r="W373" s="221" t="s">
        <v>3338</v>
      </c>
      <c r="X373" s="227"/>
      <c r="Y373" s="227"/>
      <c r="Z373" s="227" t="str">
        <f t="shared" si="18"/>
        <v>PALAAN RW 01 SAMPAI 05 MALANG</v>
      </c>
      <c r="AA373" s="276" t="e">
        <f>VLOOKUP(Logfile_S12[[#This Row],[DO number]],DO_DB!G:I,3,0)</f>
        <v>#N/A</v>
      </c>
      <c r="AB373" s="331" t="e">
        <f>EXACT(Logfile_S12[[#This Row],[date pick]],Logfile_S12[[#This Row],[Date]])</f>
        <v>#N/A</v>
      </c>
      <c r="AC3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74" spans="1:29" ht="14.5" hidden="1">
      <c r="A374" s="237" t="str">
        <f t="shared" si="17"/>
        <v>370</v>
      </c>
      <c r="B374" s="221"/>
      <c r="C374" s="227" t="s">
        <v>49</v>
      </c>
      <c r="D374" s="227" t="s">
        <v>4685</v>
      </c>
      <c r="E374" s="227" t="s">
        <v>3295</v>
      </c>
      <c r="F374" s="227" t="s">
        <v>3299</v>
      </c>
      <c r="G374" s="239">
        <v>45970</v>
      </c>
      <c r="H374" s="240">
        <v>0.75</v>
      </c>
      <c r="I374" s="227" t="s">
        <v>3586</v>
      </c>
      <c r="J374" s="482" t="s">
        <v>4432</v>
      </c>
      <c r="K374" s="241" t="s">
        <v>3073</v>
      </c>
      <c r="L374" s="225" t="str">
        <f>VLOOKUP(Logfile_S12[[#This Row],[Material Name]],Sheet2!B:C,2,0)</f>
        <v>ZTE2001</v>
      </c>
      <c r="M374" s="242" t="s">
        <v>20</v>
      </c>
      <c r="N374" s="227">
        <v>925</v>
      </c>
      <c r="O374" s="227" t="s">
        <v>4692</v>
      </c>
      <c r="P374" s="227" t="s">
        <v>4693</v>
      </c>
      <c r="Q374" s="227"/>
      <c r="R374" s="227"/>
      <c r="S374" s="227"/>
      <c r="T374" s="227" t="s">
        <v>3258</v>
      </c>
      <c r="U374" s="227">
        <v>0</v>
      </c>
      <c r="V374" s="227" t="s">
        <v>3337</v>
      </c>
      <c r="W374" s="227" t="s">
        <v>3338</v>
      </c>
      <c r="X374" s="227"/>
      <c r="Y374" s="238" t="s">
        <v>5289</v>
      </c>
      <c r="Z374" s="238" t="str">
        <f t="shared" si="18"/>
        <v>PALAAN RW 01 SAMPAI 05 MALANG</v>
      </c>
      <c r="AA374" s="276" t="e">
        <f>VLOOKUP(Logfile_S12[[#This Row],[DO number]],DO_DB!G:I,3,0)</f>
        <v>#N/A</v>
      </c>
      <c r="AB374" s="332" t="e">
        <f>EXACT(Logfile_S12[[#This Row],[date pick]],Logfile_S12[[#This Row],[Date]])</f>
        <v>#N/A</v>
      </c>
      <c r="AC37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OUTBOUND_A-028-925m</v>
      </c>
    </row>
    <row r="375" spans="1:29" ht="14.5" hidden="1">
      <c r="A375" s="237" t="str">
        <f t="shared" si="17"/>
        <v>371</v>
      </c>
      <c r="B375" s="221">
        <v>3</v>
      </c>
      <c r="C375" s="227" t="s">
        <v>48</v>
      </c>
      <c r="D375" s="227" t="s">
        <v>4715</v>
      </c>
      <c r="E375" s="227" t="s">
        <v>3295</v>
      </c>
      <c r="F375" s="227" t="s">
        <v>3299</v>
      </c>
      <c r="G375" s="239">
        <v>45982</v>
      </c>
      <c r="H375" s="240">
        <v>0.33333333333333331</v>
      </c>
      <c r="I375" s="227" t="s">
        <v>37</v>
      </c>
      <c r="J375" s="221" t="s">
        <v>3023</v>
      </c>
      <c r="K375" s="241" t="s">
        <v>3073</v>
      </c>
      <c r="L375" s="225" t="str">
        <f>VLOOKUP(Logfile_S12[[#This Row],[Material Name]],Sheet2!B:C,2,0)</f>
        <v>ZTE2001</v>
      </c>
      <c r="M375" s="242" t="s">
        <v>20</v>
      </c>
      <c r="N375" s="227">
        <v>3000</v>
      </c>
      <c r="O375" s="227" t="s">
        <v>4692</v>
      </c>
      <c r="P375" s="227" t="s">
        <v>4693</v>
      </c>
      <c r="Q375" s="227" t="s">
        <v>4694</v>
      </c>
      <c r="R375" s="227" t="s">
        <v>4695</v>
      </c>
      <c r="S375" s="227"/>
      <c r="T375" s="227"/>
      <c r="U375" s="227"/>
      <c r="V375" s="227"/>
      <c r="W375" s="227"/>
      <c r="X375" s="227"/>
      <c r="Y375" s="227" t="s">
        <v>5028</v>
      </c>
      <c r="Z375" s="227" t="str">
        <f t="shared" si="18"/>
        <v>PALAAN RW 01 SAMPAI 05 MALANG</v>
      </c>
      <c r="AA375" s="276">
        <f>VLOOKUP(Logfile_S12[[#This Row],[DO number]],DO_DB!G:I,3,0)</f>
        <v>45955</v>
      </c>
      <c r="AB375" s="331" t="b">
        <f>EXACT(Logfile_S12[[#This Row],[date pick]],Logfile_S12[[#This Row],[Date]])</f>
        <v>0</v>
      </c>
      <c r="AC3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24C-20251121-01</v>
      </c>
    </row>
    <row r="376" spans="1:29" ht="14.5" hidden="1">
      <c r="A376" s="237" t="str">
        <f t="shared" si="17"/>
        <v>372</v>
      </c>
      <c r="B376" s="221">
        <v>4</v>
      </c>
      <c r="C376" s="227" t="s">
        <v>49</v>
      </c>
      <c r="D376" s="227" t="s">
        <v>4717</v>
      </c>
      <c r="E376" s="227" t="s">
        <v>3295</v>
      </c>
      <c r="F376" s="227" t="s">
        <v>3299</v>
      </c>
      <c r="G376" s="239">
        <v>45983</v>
      </c>
      <c r="H376" s="240">
        <v>0.54166666666666663</v>
      </c>
      <c r="I376" s="227" t="s">
        <v>3295</v>
      </c>
      <c r="J376" s="221" t="s">
        <v>3023</v>
      </c>
      <c r="K376" s="241" t="s">
        <v>3073</v>
      </c>
      <c r="L376" s="225" t="str">
        <f>VLOOKUP(Logfile_S12[[#This Row],[Material Name]],Sheet2!B:C,2,0)</f>
        <v>ZTE2001</v>
      </c>
      <c r="M376" s="242" t="s">
        <v>20</v>
      </c>
      <c r="N376" s="227">
        <v>3000</v>
      </c>
      <c r="O376" s="227" t="s">
        <v>4696</v>
      </c>
      <c r="P376" s="227" t="s">
        <v>4697</v>
      </c>
      <c r="Q376" s="227" t="s">
        <v>4698</v>
      </c>
      <c r="R376" s="227" t="s">
        <v>4699</v>
      </c>
      <c r="S376" s="227"/>
      <c r="T376" s="221" t="s">
        <v>3258</v>
      </c>
      <c r="U376" s="221" t="s">
        <v>4811</v>
      </c>
      <c r="V376" s="221" t="s">
        <v>3337</v>
      </c>
      <c r="W376" s="221" t="s">
        <v>3338</v>
      </c>
      <c r="X376" s="227"/>
      <c r="Y376" s="227"/>
      <c r="Z376" s="227" t="str">
        <f t="shared" si="18"/>
        <v>PALAAN RW 06 SAMPAI 10 MALANG</v>
      </c>
      <c r="AA376" s="276">
        <f>VLOOKUP(Logfile_S12[[#This Row],[DO number]],DO_DB!G:I,3,0)</f>
        <v>45955</v>
      </c>
      <c r="AB376" s="331" t="b">
        <f>EXACT(Logfile_S12[[#This Row],[date pick]],Logfile_S12[[#This Row],[Date]])</f>
        <v>0</v>
      </c>
      <c r="AC3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77" spans="1:29" ht="14.5" hidden="1">
      <c r="A377" s="237" t="str">
        <f t="shared" si="17"/>
        <v>373</v>
      </c>
      <c r="B377" s="221"/>
      <c r="C377" s="227" t="s">
        <v>49</v>
      </c>
      <c r="D377" s="227" t="s">
        <v>4717</v>
      </c>
      <c r="E377" s="227" t="s">
        <v>3295</v>
      </c>
      <c r="F377" s="227" t="s">
        <v>3299</v>
      </c>
      <c r="G377" s="239">
        <v>45983</v>
      </c>
      <c r="H377" s="240">
        <v>0.54166666666666663</v>
      </c>
      <c r="I377" s="227" t="s">
        <v>3586</v>
      </c>
      <c r="J377" s="482" t="s">
        <v>4432</v>
      </c>
      <c r="K377" s="241" t="s">
        <v>3073</v>
      </c>
      <c r="L377" s="225" t="str">
        <f>VLOOKUP(Logfile_S12[[#This Row],[Material Name]],Sheet2!B:C,2,0)</f>
        <v>ZTE2001</v>
      </c>
      <c r="M377" s="242" t="s">
        <v>20</v>
      </c>
      <c r="N377" s="227">
        <v>1350</v>
      </c>
      <c r="O377" s="227" t="s">
        <v>4696</v>
      </c>
      <c r="P377" s="227" t="s">
        <v>4697</v>
      </c>
      <c r="Q377" s="227"/>
      <c r="R377" s="227"/>
      <c r="S377" s="227"/>
      <c r="T377" s="227" t="s">
        <v>3258</v>
      </c>
      <c r="U377" s="227">
        <v>0</v>
      </c>
      <c r="V377" s="227" t="s">
        <v>3337</v>
      </c>
      <c r="W377" s="227" t="s">
        <v>3338</v>
      </c>
      <c r="X377" s="227"/>
      <c r="Y377" s="238" t="s">
        <v>5287</v>
      </c>
      <c r="Z377" s="238" t="str">
        <f t="shared" si="18"/>
        <v>PALAAN RW 06 SAMPAI 10 MALANG</v>
      </c>
      <c r="AA377" s="276" t="e">
        <f>VLOOKUP(Logfile_S12[[#This Row],[DO number]],DO_DB!G:I,3,0)</f>
        <v>#N/A</v>
      </c>
      <c r="AB377" s="332" t="e">
        <f>EXACT(Logfile_S12[[#This Row],[date pick]],Logfile_S12[[#This Row],[Date]])</f>
        <v>#N/A</v>
      </c>
      <c r="AC377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OUTBOUND_A-026-1350m</v>
      </c>
    </row>
    <row r="378" spans="1:29" ht="14.5" hidden="1">
      <c r="A378" s="237" t="str">
        <f t="shared" si="17"/>
        <v>374</v>
      </c>
      <c r="B378" s="221">
        <v>2</v>
      </c>
      <c r="C378" s="227" t="s">
        <v>49</v>
      </c>
      <c r="D378" s="227" t="s">
        <v>4720</v>
      </c>
      <c r="E378" s="227" t="s">
        <v>3295</v>
      </c>
      <c r="F378" s="227" t="s">
        <v>3299</v>
      </c>
      <c r="G378" s="239">
        <v>45984</v>
      </c>
      <c r="H378" s="240">
        <v>0.54166666666666663</v>
      </c>
      <c r="I378" s="227" t="s">
        <v>3295</v>
      </c>
      <c r="J378" s="221" t="s">
        <v>3023</v>
      </c>
      <c r="K378" s="241" t="s">
        <v>3075</v>
      </c>
      <c r="L378" s="225" t="str">
        <f>VLOOKUP(Logfile_S12[[#This Row],[Material Name]],Sheet2!B:C,2,0)</f>
        <v>ZTE2003</v>
      </c>
      <c r="M378" s="242" t="s">
        <v>20</v>
      </c>
      <c r="N378" s="227">
        <v>3000</v>
      </c>
      <c r="O378" s="227" t="s">
        <v>4696</v>
      </c>
      <c r="P378" s="227" t="s">
        <v>4697</v>
      </c>
      <c r="Q378" s="227" t="s">
        <v>4698</v>
      </c>
      <c r="R378" s="227" t="s">
        <v>4699</v>
      </c>
      <c r="S378" s="227"/>
      <c r="T378" s="221" t="s">
        <v>3258</v>
      </c>
      <c r="U378" s="221" t="s">
        <v>4811</v>
      </c>
      <c r="V378" s="221" t="s">
        <v>3337</v>
      </c>
      <c r="W378" s="221" t="s">
        <v>3338</v>
      </c>
      <c r="X378" s="227"/>
      <c r="Y378" s="227"/>
      <c r="Z378" s="227" t="str">
        <f t="shared" si="18"/>
        <v>PALAAN RW 06 SAMPAI 10 MALANG</v>
      </c>
      <c r="AA378" s="276">
        <f>VLOOKUP(Logfile_S12[[#This Row],[DO number]],DO_DB!G:I,3,0)</f>
        <v>45955</v>
      </c>
      <c r="AB378" s="331" t="b">
        <f>EXACT(Logfile_S12[[#This Row],[date pick]],Logfile_S12[[#This Row],[Date]])</f>
        <v>0</v>
      </c>
      <c r="AC3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79" spans="1:29" ht="14.5" hidden="1">
      <c r="A379" s="237" t="str">
        <f t="shared" si="17"/>
        <v>375</v>
      </c>
      <c r="B379" s="221"/>
      <c r="C379" s="227" t="s">
        <v>49</v>
      </c>
      <c r="D379" s="227" t="s">
        <v>4728</v>
      </c>
      <c r="E379" s="227" t="s">
        <v>3295</v>
      </c>
      <c r="F379" s="227" t="s">
        <v>3299</v>
      </c>
      <c r="G379" s="239">
        <v>45991</v>
      </c>
      <c r="H379" s="240">
        <v>0.66666666666666663</v>
      </c>
      <c r="I379" s="227" t="s">
        <v>3586</v>
      </c>
      <c r="J379" s="482" t="s">
        <v>4432</v>
      </c>
      <c r="K379" s="241" t="s">
        <v>3073</v>
      </c>
      <c r="L379" s="225" t="str">
        <f>VLOOKUP(Logfile_S12[[#This Row],[Material Name]],Sheet2!B:C,2,0)</f>
        <v>ZTE2001</v>
      </c>
      <c r="M379" s="242" t="s">
        <v>20</v>
      </c>
      <c r="N379" s="227">
        <v>175</v>
      </c>
      <c r="O379" s="227" t="s">
        <v>4663</v>
      </c>
      <c r="P379" s="227" t="s">
        <v>4664</v>
      </c>
      <c r="Q379" s="227"/>
      <c r="R379" s="227"/>
      <c r="S379" s="227" t="s">
        <v>39</v>
      </c>
      <c r="T379" s="227" t="s">
        <v>3258</v>
      </c>
      <c r="U379" s="227">
        <v>0</v>
      </c>
      <c r="V379" s="227" t="s">
        <v>3337</v>
      </c>
      <c r="W379" s="227" t="s">
        <v>3338</v>
      </c>
      <c r="X379" s="227" t="s">
        <v>4726</v>
      </c>
      <c r="Y379" s="238" t="s">
        <v>5281</v>
      </c>
      <c r="Z379" s="238" t="str">
        <f t="shared" si="18"/>
        <v>LESANPURO RW 06 MALANG</v>
      </c>
      <c r="AA379" s="276" t="e">
        <f>VLOOKUP(Logfile_S12[[#This Row],[DO number]],DO_DB!G:I,3,0)</f>
        <v>#N/A</v>
      </c>
      <c r="AB379" s="332" t="e">
        <f>EXACT(Logfile_S12[[#This Row],[date pick]],Logfile_S12[[#This Row],[Date]])</f>
        <v>#N/A</v>
      </c>
      <c r="AC37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OUTBOUND_A-017-175m</v>
      </c>
    </row>
    <row r="380" spans="1:29" ht="14.5" hidden="1">
      <c r="A380" s="237" t="str">
        <f t="shared" si="17"/>
        <v>376</v>
      </c>
      <c r="B380" s="221"/>
      <c r="C380" s="227" t="s">
        <v>48</v>
      </c>
      <c r="D380" s="227" t="s">
        <v>4727</v>
      </c>
      <c r="E380" s="227" t="s">
        <v>3295</v>
      </c>
      <c r="F380" s="227" t="s">
        <v>3299</v>
      </c>
      <c r="G380" s="239">
        <v>45991</v>
      </c>
      <c r="H380" s="240">
        <v>0.66666666666666663</v>
      </c>
      <c r="I380" s="227" t="s">
        <v>3586</v>
      </c>
      <c r="J380" s="482" t="s">
        <v>4432</v>
      </c>
      <c r="K380" s="241" t="s">
        <v>3073</v>
      </c>
      <c r="L380" s="225" t="str">
        <f>VLOOKUP(Logfile_S12[[#This Row],[Material Name]],Sheet2!B:C,2,0)</f>
        <v>ZTE2001</v>
      </c>
      <c r="M380" s="242" t="s">
        <v>20</v>
      </c>
      <c r="N380" s="227">
        <v>175</v>
      </c>
      <c r="O380" s="227" t="s">
        <v>4696</v>
      </c>
      <c r="P380" s="227" t="s">
        <v>4697</v>
      </c>
      <c r="Q380" s="227"/>
      <c r="R380" s="227"/>
      <c r="S380" s="227" t="s">
        <v>39</v>
      </c>
      <c r="T380" s="227" t="s">
        <v>3258</v>
      </c>
      <c r="U380" s="227">
        <v>0</v>
      </c>
      <c r="V380" s="227" t="s">
        <v>3337</v>
      </c>
      <c r="W380" s="227" t="s">
        <v>3338</v>
      </c>
      <c r="X380" s="227"/>
      <c r="Y380" s="238" t="s">
        <v>5288</v>
      </c>
      <c r="Z380" s="238" t="str">
        <f t="shared" si="18"/>
        <v>PALAAN RW 06 SAMPAI 10 MALANG</v>
      </c>
      <c r="AA380" s="276" t="e">
        <f>VLOOKUP(Logfile_S12[[#This Row],[DO number]],DO_DB!G:I,3,0)</f>
        <v>#N/A</v>
      </c>
      <c r="AB380" s="332" t="e">
        <f>EXACT(Logfile_S12[[#This Row],[date pick]],Logfile_S12[[#This Row],[Date]])</f>
        <v>#N/A</v>
      </c>
      <c r="AC380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OUTBOUND_A-027-175m</v>
      </c>
    </row>
    <row r="381" spans="1:29" ht="14.5" hidden="1">
      <c r="A381" s="237" t="str">
        <f t="shared" si="17"/>
        <v>377</v>
      </c>
      <c r="B381" s="221"/>
      <c r="C381" s="227" t="s">
        <v>3388</v>
      </c>
      <c r="D381" s="227" t="s">
        <v>4738</v>
      </c>
      <c r="E381" s="227" t="s">
        <v>3295</v>
      </c>
      <c r="F381" s="227" t="s">
        <v>3299</v>
      </c>
      <c r="G381" s="239">
        <v>45994</v>
      </c>
      <c r="H381" s="240">
        <v>0.76041666666666663</v>
      </c>
      <c r="I381" s="227" t="s">
        <v>3586</v>
      </c>
      <c r="J381" s="482" t="s">
        <v>4432</v>
      </c>
      <c r="K381" s="241" t="s">
        <v>3076</v>
      </c>
      <c r="L381" s="225" t="str">
        <f>VLOOKUP(Logfile_S12[[#This Row],[Material Name]],Sheet2!B:C,2,0)</f>
        <v>ZTE2013</v>
      </c>
      <c r="M381" s="242" t="s">
        <v>20</v>
      </c>
      <c r="N381" s="227">
        <v>1750</v>
      </c>
      <c r="O381" s="227"/>
      <c r="P381" s="227"/>
      <c r="Q381" s="227"/>
      <c r="R381" s="227"/>
      <c r="S381" s="227"/>
      <c r="T381" s="227"/>
      <c r="U381" s="227"/>
      <c r="V381" s="227"/>
      <c r="W381" s="227"/>
      <c r="X381" s="227"/>
      <c r="Y381" s="238" t="s">
        <v>4967</v>
      </c>
      <c r="Z381" s="238" t="s">
        <v>4443</v>
      </c>
      <c r="AA381" s="276" t="e">
        <f>VLOOKUP(Logfile_S12[[#This Row],[DO number]],DO_DB!G:I,3,0)</f>
        <v>#N/A</v>
      </c>
      <c r="AB381" s="332" t="e">
        <f>EXACT(Logfile_S12[[#This Row],[date pick]],Logfile_S12[[#This Row],[Date]])</f>
        <v>#N/A</v>
      </c>
      <c r="AC381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OUT_H-ADSS 96C-2024116-02</v>
      </c>
    </row>
    <row r="382" spans="1:29" ht="14.5" hidden="1">
      <c r="A382" s="237" t="str">
        <f t="shared" si="17"/>
        <v>378</v>
      </c>
      <c r="B382" s="221">
        <v>5</v>
      </c>
      <c r="C382" s="227" t="s">
        <v>48</v>
      </c>
      <c r="D382" s="227" t="s">
        <v>4730</v>
      </c>
      <c r="E382" s="227" t="s">
        <v>3295</v>
      </c>
      <c r="F382" s="227" t="s">
        <v>3299</v>
      </c>
      <c r="G382" s="239">
        <v>46003</v>
      </c>
      <c r="H382" s="240">
        <v>0.54166666666666663</v>
      </c>
      <c r="I382" s="227" t="s">
        <v>37</v>
      </c>
      <c r="J382" s="221" t="s">
        <v>3023</v>
      </c>
      <c r="K382" s="241" t="s">
        <v>3073</v>
      </c>
      <c r="L382" s="225" t="str">
        <f>VLOOKUP(Logfile_S12[[#This Row],[Material Name]],Sheet2!B:C,2,0)</f>
        <v>ZTE2001</v>
      </c>
      <c r="M382" s="242" t="s">
        <v>20</v>
      </c>
      <c r="N382" s="227">
        <v>3000</v>
      </c>
      <c r="O382" s="221" t="s">
        <v>4801</v>
      </c>
      <c r="P382" s="221" t="s">
        <v>4802</v>
      </c>
      <c r="Q382" s="227" t="s">
        <v>3260</v>
      </c>
      <c r="R382" s="227" t="s">
        <v>3260</v>
      </c>
      <c r="S382" s="227"/>
      <c r="T382" s="227"/>
      <c r="U382" s="227"/>
      <c r="V382" s="227"/>
      <c r="W382" s="227"/>
      <c r="X382" s="227"/>
      <c r="Y382" s="227" t="s">
        <v>5029</v>
      </c>
      <c r="Z382" s="227" t="str">
        <f t="shared" ref="Z382:Z419" si="19">P382</f>
        <v>DUSUN SIDOAYU KELURAHAN SIDEREJO MALANG</v>
      </c>
      <c r="AA382" s="276" t="e">
        <f>VLOOKUP(Logfile_S12[[#This Row],[DO number]],DO_DB!G:I,3,0)</f>
        <v>#N/A</v>
      </c>
      <c r="AB382" s="331" t="e">
        <f>EXACT(Logfile_S12[[#This Row],[date pick]],Logfile_S12[[#This Row],[Date]])</f>
        <v>#N/A</v>
      </c>
      <c r="AC3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24C-20251212-01</v>
      </c>
    </row>
    <row r="383" spans="1:29" ht="14.5" hidden="1">
      <c r="A383" s="237" t="str">
        <f t="shared" si="17"/>
        <v>379</v>
      </c>
      <c r="B383" s="221">
        <v>1</v>
      </c>
      <c r="C383" s="227" t="s">
        <v>48</v>
      </c>
      <c r="D383" s="227" t="s">
        <v>4730</v>
      </c>
      <c r="E383" s="227" t="s">
        <v>3295</v>
      </c>
      <c r="F383" s="227" t="s">
        <v>3299</v>
      </c>
      <c r="G383" s="239">
        <v>46003</v>
      </c>
      <c r="H383" s="240">
        <v>0.54166666666666663</v>
      </c>
      <c r="I383" s="227" t="s">
        <v>37</v>
      </c>
      <c r="J383" s="221" t="s">
        <v>3023</v>
      </c>
      <c r="K383" s="241" t="s">
        <v>3073</v>
      </c>
      <c r="L383" s="225" t="str">
        <f>VLOOKUP(Logfile_S12[[#This Row],[Material Name]],Sheet2!B:C,2,0)</f>
        <v>ZTE2001</v>
      </c>
      <c r="M383" s="242" t="s">
        <v>20</v>
      </c>
      <c r="N383" s="227">
        <v>3000</v>
      </c>
      <c r="O383" s="221" t="s">
        <v>4801</v>
      </c>
      <c r="P383" s="221" t="s">
        <v>4802</v>
      </c>
      <c r="Q383" s="227"/>
      <c r="R383" s="227"/>
      <c r="S383" s="227"/>
      <c r="T383" s="227"/>
      <c r="U383" s="227"/>
      <c r="V383" s="227"/>
      <c r="W383" s="227"/>
      <c r="X383" s="227"/>
      <c r="Y383" s="238" t="s">
        <v>5030</v>
      </c>
      <c r="Z383" s="227" t="str">
        <f t="shared" si="19"/>
        <v>DUSUN SIDOAYU KELURAHAN SIDEREJO MALANG</v>
      </c>
      <c r="AA383" s="276" t="e">
        <f>VLOOKUP(Logfile_S12[[#This Row],[DO number]],DO_DB!G:I,3,0)</f>
        <v>#N/A</v>
      </c>
      <c r="AB383" s="331" t="e">
        <f>EXACT(Logfile_S12[[#This Row],[date pick]],Logfile_S12[[#This Row],[Date]])</f>
        <v>#N/A</v>
      </c>
      <c r="AC3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24C-20251212-02</v>
      </c>
    </row>
    <row r="384" spans="1:29" ht="14.5" hidden="1">
      <c r="A384" s="237" t="str">
        <f t="shared" si="17"/>
        <v>380</v>
      </c>
      <c r="B384" s="221">
        <v>1</v>
      </c>
      <c r="C384" s="227" t="s">
        <v>48</v>
      </c>
      <c r="D384" s="227" t="s">
        <v>4730</v>
      </c>
      <c r="E384" s="227" t="s">
        <v>3295</v>
      </c>
      <c r="F384" s="227" t="s">
        <v>3299</v>
      </c>
      <c r="G384" s="239">
        <v>46003</v>
      </c>
      <c r="H384" s="240">
        <v>0.54166666666666663</v>
      </c>
      <c r="I384" s="227" t="s">
        <v>37</v>
      </c>
      <c r="J384" s="221" t="s">
        <v>3023</v>
      </c>
      <c r="K384" s="241" t="s">
        <v>3073</v>
      </c>
      <c r="L384" s="225" t="str">
        <f>VLOOKUP(Logfile_S12[[#This Row],[Material Name]],Sheet2!B:C,2,0)</f>
        <v>ZTE2001</v>
      </c>
      <c r="M384" s="242" t="s">
        <v>20</v>
      </c>
      <c r="N384" s="227">
        <v>3000</v>
      </c>
      <c r="O384" s="221" t="s">
        <v>4801</v>
      </c>
      <c r="P384" s="221" t="s">
        <v>4802</v>
      </c>
      <c r="Q384" s="227"/>
      <c r="R384" s="227"/>
      <c r="S384" s="227"/>
      <c r="T384" s="227"/>
      <c r="U384" s="227"/>
      <c r="V384" s="227"/>
      <c r="W384" s="227"/>
      <c r="X384" s="227"/>
      <c r="Y384" s="238" t="s">
        <v>5031</v>
      </c>
      <c r="Z384" s="227" t="str">
        <f t="shared" si="19"/>
        <v>DUSUN SIDOAYU KELURAHAN SIDEREJO MALANG</v>
      </c>
      <c r="AA384" s="276" t="e">
        <f>VLOOKUP(Logfile_S12[[#This Row],[DO number]],DO_DB!G:I,3,0)</f>
        <v>#N/A</v>
      </c>
      <c r="AB384" s="331" t="e">
        <f>EXACT(Logfile_S12[[#This Row],[date pick]],Logfile_S12[[#This Row],[Date]])</f>
        <v>#N/A</v>
      </c>
      <c r="AC3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24C-20251212-03</v>
      </c>
    </row>
    <row r="385" spans="1:29" ht="14.5" hidden="1">
      <c r="A385" s="237" t="str">
        <f t="shared" si="17"/>
        <v>381</v>
      </c>
      <c r="B385" s="221">
        <v>1</v>
      </c>
      <c r="C385" s="227" t="s">
        <v>48</v>
      </c>
      <c r="D385" s="227" t="s">
        <v>4730</v>
      </c>
      <c r="E385" s="227" t="s">
        <v>3295</v>
      </c>
      <c r="F385" s="227" t="s">
        <v>3299</v>
      </c>
      <c r="G385" s="239">
        <v>46003</v>
      </c>
      <c r="H385" s="240">
        <v>0.54166666666666663</v>
      </c>
      <c r="I385" s="227" t="s">
        <v>37</v>
      </c>
      <c r="J385" s="221" t="s">
        <v>3023</v>
      </c>
      <c r="K385" s="241" t="s">
        <v>3073</v>
      </c>
      <c r="L385" s="225" t="str">
        <f>VLOOKUP(Logfile_S12[[#This Row],[Material Name]],Sheet2!B:C,2,0)</f>
        <v>ZTE2001</v>
      </c>
      <c r="M385" s="242" t="s">
        <v>20</v>
      </c>
      <c r="N385" s="227">
        <v>3000</v>
      </c>
      <c r="O385" s="221" t="s">
        <v>4801</v>
      </c>
      <c r="P385" s="221" t="s">
        <v>4802</v>
      </c>
      <c r="Q385" s="227"/>
      <c r="R385" s="227"/>
      <c r="S385" s="227"/>
      <c r="T385" s="227"/>
      <c r="U385" s="227"/>
      <c r="V385" s="227"/>
      <c r="W385" s="227"/>
      <c r="X385" s="227"/>
      <c r="Y385" s="238" t="s">
        <v>5032</v>
      </c>
      <c r="Z385" s="227" t="str">
        <f t="shared" si="19"/>
        <v>DUSUN SIDOAYU KELURAHAN SIDEREJO MALANG</v>
      </c>
      <c r="AA385" s="276" t="e">
        <f>VLOOKUP(Logfile_S12[[#This Row],[DO number]],DO_DB!G:I,3,0)</f>
        <v>#N/A</v>
      </c>
      <c r="AB385" s="331" t="e">
        <f>EXACT(Logfile_S12[[#This Row],[date pick]],Logfile_S12[[#This Row],[Date]])</f>
        <v>#N/A</v>
      </c>
      <c r="AC3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24C-20251212-04</v>
      </c>
    </row>
    <row r="386" spans="1:29" ht="14.5" hidden="1">
      <c r="A386" s="237" t="str">
        <f t="shared" si="17"/>
        <v>382</v>
      </c>
      <c r="B386" s="221">
        <v>1</v>
      </c>
      <c r="C386" s="227" t="s">
        <v>48</v>
      </c>
      <c r="D386" s="227" t="s">
        <v>4730</v>
      </c>
      <c r="E386" s="227" t="s">
        <v>3295</v>
      </c>
      <c r="F386" s="227" t="s">
        <v>3299</v>
      </c>
      <c r="G386" s="239">
        <v>46003</v>
      </c>
      <c r="H386" s="240">
        <v>0.54166666666666663</v>
      </c>
      <c r="I386" s="227" t="s">
        <v>37</v>
      </c>
      <c r="J386" s="221" t="s">
        <v>3023</v>
      </c>
      <c r="K386" s="241" t="s">
        <v>3073</v>
      </c>
      <c r="L386" s="225" t="str">
        <f>VLOOKUP(Logfile_S12[[#This Row],[Material Name]],Sheet2!B:C,2,0)</f>
        <v>ZTE2001</v>
      </c>
      <c r="M386" s="242" t="s">
        <v>20</v>
      </c>
      <c r="N386" s="227">
        <v>3000</v>
      </c>
      <c r="O386" s="221" t="s">
        <v>4801</v>
      </c>
      <c r="P386" s="221" t="s">
        <v>4802</v>
      </c>
      <c r="Q386" s="227"/>
      <c r="R386" s="227"/>
      <c r="S386" s="227"/>
      <c r="T386" s="227"/>
      <c r="U386" s="227"/>
      <c r="V386" s="227"/>
      <c r="W386" s="227"/>
      <c r="X386" s="227"/>
      <c r="Y386" s="238" t="s">
        <v>5033</v>
      </c>
      <c r="Z386" s="227" t="str">
        <f t="shared" si="19"/>
        <v>DUSUN SIDOAYU KELURAHAN SIDEREJO MALANG</v>
      </c>
      <c r="AA386" s="276" t="e">
        <f>VLOOKUP(Logfile_S12[[#This Row],[DO number]],DO_DB!G:I,3,0)</f>
        <v>#N/A</v>
      </c>
      <c r="AB386" s="331" t="e">
        <f>EXACT(Logfile_S12[[#This Row],[date pick]],Logfile_S12[[#This Row],[Date]])</f>
        <v>#N/A</v>
      </c>
      <c r="AC3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24C-20251212-05</v>
      </c>
    </row>
    <row r="387" spans="1:29" ht="14.5" hidden="1">
      <c r="A387" s="237" t="str">
        <f t="shared" si="17"/>
        <v>383</v>
      </c>
      <c r="B387" s="221">
        <v>1</v>
      </c>
      <c r="C387" s="227" t="s">
        <v>48</v>
      </c>
      <c r="D387" s="227" t="s">
        <v>4730</v>
      </c>
      <c r="E387" s="227" t="s">
        <v>3295</v>
      </c>
      <c r="F387" s="227" t="s">
        <v>3299</v>
      </c>
      <c r="G387" s="239">
        <v>46003</v>
      </c>
      <c r="H387" s="240">
        <v>0.54166666666666663</v>
      </c>
      <c r="I387" s="227" t="s">
        <v>37</v>
      </c>
      <c r="J387" s="221" t="s">
        <v>3023</v>
      </c>
      <c r="K387" s="241" t="s">
        <v>3073</v>
      </c>
      <c r="L387" s="225" t="str">
        <f>VLOOKUP(Logfile_S12[[#This Row],[Material Name]],Sheet2!B:C,2,0)</f>
        <v>ZTE2001</v>
      </c>
      <c r="M387" s="242" t="s">
        <v>20</v>
      </c>
      <c r="N387" s="227">
        <v>3000</v>
      </c>
      <c r="O387" s="221" t="s">
        <v>4801</v>
      </c>
      <c r="P387" s="221" t="s">
        <v>4802</v>
      </c>
      <c r="Q387" s="227"/>
      <c r="R387" s="227"/>
      <c r="S387" s="227"/>
      <c r="T387" s="227"/>
      <c r="U387" s="227"/>
      <c r="V387" s="227"/>
      <c r="W387" s="227"/>
      <c r="X387" s="227"/>
      <c r="Y387" s="238" t="s">
        <v>5034</v>
      </c>
      <c r="Z387" s="227" t="str">
        <f t="shared" si="19"/>
        <v>DUSUN SIDOAYU KELURAHAN SIDEREJO MALANG</v>
      </c>
      <c r="AA387" s="276" t="e">
        <f>VLOOKUP(Logfile_S12[[#This Row],[DO number]],DO_DB!G:I,3,0)</f>
        <v>#N/A</v>
      </c>
      <c r="AB387" s="331" t="e">
        <f>EXACT(Logfile_S12[[#This Row],[date pick]],Logfile_S12[[#This Row],[Date]])</f>
        <v>#N/A</v>
      </c>
      <c r="AC3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24C-20251212-06</v>
      </c>
    </row>
    <row r="388" spans="1:29" ht="14.5" hidden="1">
      <c r="A388" s="237" t="str">
        <f t="shared" si="17"/>
        <v>384</v>
      </c>
      <c r="B388" s="221">
        <v>1</v>
      </c>
      <c r="C388" s="227" t="s">
        <v>48</v>
      </c>
      <c r="D388" s="227" t="s">
        <v>4730</v>
      </c>
      <c r="E388" s="227" t="s">
        <v>3295</v>
      </c>
      <c r="F388" s="227" t="s">
        <v>3299</v>
      </c>
      <c r="G388" s="239">
        <v>46003</v>
      </c>
      <c r="H388" s="240">
        <v>0.54166666666666663</v>
      </c>
      <c r="I388" s="227" t="s">
        <v>37</v>
      </c>
      <c r="J388" s="221" t="s">
        <v>3023</v>
      </c>
      <c r="K388" s="241" t="s">
        <v>3073</v>
      </c>
      <c r="L388" s="225" t="str">
        <f>VLOOKUP(Logfile_S12[[#This Row],[Material Name]],Sheet2!B:C,2,0)</f>
        <v>ZTE2001</v>
      </c>
      <c r="M388" s="242" t="s">
        <v>20</v>
      </c>
      <c r="N388" s="227">
        <v>3000</v>
      </c>
      <c r="O388" s="221" t="s">
        <v>4801</v>
      </c>
      <c r="P388" s="221" t="s">
        <v>4802</v>
      </c>
      <c r="Q388" s="227"/>
      <c r="R388" s="227"/>
      <c r="S388" s="227"/>
      <c r="T388" s="227"/>
      <c r="U388" s="227"/>
      <c r="V388" s="227"/>
      <c r="W388" s="227"/>
      <c r="X388" s="227"/>
      <c r="Y388" s="238" t="s">
        <v>5035</v>
      </c>
      <c r="Z388" s="227" t="str">
        <f t="shared" si="19"/>
        <v>DUSUN SIDOAYU KELURAHAN SIDEREJO MALANG</v>
      </c>
      <c r="AA388" s="276" t="e">
        <f>VLOOKUP(Logfile_S12[[#This Row],[DO number]],DO_DB!G:I,3,0)</f>
        <v>#N/A</v>
      </c>
      <c r="AB388" s="331" t="e">
        <f>EXACT(Logfile_S12[[#This Row],[date pick]],Logfile_S12[[#This Row],[Date]])</f>
        <v>#N/A</v>
      </c>
      <c r="AC3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24C-20251212-07</v>
      </c>
    </row>
    <row r="389" spans="1:29" ht="14.5" hidden="1">
      <c r="A389" s="237" t="str">
        <f t="shared" ref="A389:A452" si="20">TEXT(ROW(A389)-ROW($A$4),"000")</f>
        <v>385</v>
      </c>
      <c r="B389" s="221">
        <v>4</v>
      </c>
      <c r="C389" s="227" t="s">
        <v>48</v>
      </c>
      <c r="D389" s="227" t="s">
        <v>4730</v>
      </c>
      <c r="E389" s="227" t="s">
        <v>3295</v>
      </c>
      <c r="F389" s="227" t="s">
        <v>3299</v>
      </c>
      <c r="G389" s="239">
        <v>46003</v>
      </c>
      <c r="H389" s="240">
        <v>0.54166666666666663</v>
      </c>
      <c r="I389" s="227" t="s">
        <v>37</v>
      </c>
      <c r="J389" s="221" t="s">
        <v>3023</v>
      </c>
      <c r="K389" s="241" t="s">
        <v>3074</v>
      </c>
      <c r="L389" s="225" t="str">
        <f>VLOOKUP(Logfile_S12[[#This Row],[Material Name]],Sheet2!B:C,2,0)</f>
        <v>ZTE2002</v>
      </c>
      <c r="M389" s="242" t="s">
        <v>20</v>
      </c>
      <c r="N389" s="227">
        <v>3000</v>
      </c>
      <c r="O389" s="221" t="s">
        <v>4785</v>
      </c>
      <c r="P389" s="221" t="s">
        <v>4786</v>
      </c>
      <c r="Q389" s="227" t="s">
        <v>3260</v>
      </c>
      <c r="R389" s="227" t="s">
        <v>3260</v>
      </c>
      <c r="S389" s="227"/>
      <c r="T389" s="227"/>
      <c r="U389" s="227"/>
      <c r="V389" s="227"/>
      <c r="W389" s="227"/>
      <c r="X389" s="227"/>
      <c r="Y389" s="227" t="s">
        <v>5042</v>
      </c>
      <c r="Z389" s="227" t="str">
        <f t="shared" si="19"/>
        <v>DUSUN ARDIREJO KELURAHAN SIDEREJO MALANG</v>
      </c>
      <c r="AA389" s="276" t="e">
        <f>VLOOKUP(Logfile_S12[[#This Row],[DO number]],DO_DB!G:I,3,0)</f>
        <v>#N/A</v>
      </c>
      <c r="AB389" s="331" t="e">
        <f>EXACT(Logfile_S12[[#This Row],[date pick]],Logfile_S12[[#This Row],[Date]])</f>
        <v>#N/A</v>
      </c>
      <c r="AC3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36C-20251212-01</v>
      </c>
    </row>
    <row r="390" spans="1:29" ht="14.5" hidden="1">
      <c r="A390" s="237" t="str">
        <f t="shared" si="20"/>
        <v>386</v>
      </c>
      <c r="B390" s="221"/>
      <c r="C390" s="227" t="s">
        <v>48</v>
      </c>
      <c r="D390" s="227" t="s">
        <v>4730</v>
      </c>
      <c r="E390" s="227" t="s">
        <v>3295</v>
      </c>
      <c r="F390" s="227" t="s">
        <v>3299</v>
      </c>
      <c r="G390" s="239">
        <v>46003</v>
      </c>
      <c r="H390" s="240">
        <v>0.54166666666666663</v>
      </c>
      <c r="I390" s="227" t="s">
        <v>37</v>
      </c>
      <c r="J390" s="221" t="s">
        <v>3023</v>
      </c>
      <c r="K390" s="241" t="s">
        <v>3074</v>
      </c>
      <c r="L390" s="225" t="str">
        <f>VLOOKUP(Logfile_S12[[#This Row],[Material Name]],Sheet2!B:C,2,0)</f>
        <v>ZTE2002</v>
      </c>
      <c r="M390" s="242" t="s">
        <v>20</v>
      </c>
      <c r="N390" s="227">
        <v>3000</v>
      </c>
      <c r="O390" s="221" t="s">
        <v>4785</v>
      </c>
      <c r="P390" s="221" t="s">
        <v>4786</v>
      </c>
      <c r="Q390" s="227"/>
      <c r="R390" s="227"/>
      <c r="S390" s="227"/>
      <c r="T390" s="227"/>
      <c r="U390" s="227"/>
      <c r="V390" s="227"/>
      <c r="W390" s="227"/>
      <c r="X390" s="227"/>
      <c r="Y390" s="238" t="s">
        <v>5043</v>
      </c>
      <c r="Z390" s="227" t="str">
        <f t="shared" si="19"/>
        <v>DUSUN ARDIREJO KELURAHAN SIDEREJO MALANG</v>
      </c>
      <c r="AA390" s="276" t="e">
        <f>VLOOKUP(Logfile_S12[[#This Row],[DO number]],DO_DB!G:I,3,0)</f>
        <v>#N/A</v>
      </c>
      <c r="AB390" s="331" t="e">
        <f>EXACT(Logfile_S12[[#This Row],[date pick]],Logfile_S12[[#This Row],[Date]])</f>
        <v>#N/A</v>
      </c>
      <c r="AC3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36C-20251212-02</v>
      </c>
    </row>
    <row r="391" spans="1:29" ht="14.5" hidden="1">
      <c r="A391" s="237" t="str">
        <f t="shared" si="20"/>
        <v>387</v>
      </c>
      <c r="B391" s="221"/>
      <c r="C391" s="227" t="s">
        <v>48</v>
      </c>
      <c r="D391" s="227" t="s">
        <v>4730</v>
      </c>
      <c r="E391" s="227" t="s">
        <v>3295</v>
      </c>
      <c r="F391" s="227" t="s">
        <v>3299</v>
      </c>
      <c r="G391" s="239">
        <v>46003</v>
      </c>
      <c r="H391" s="240">
        <v>0.54166666666666663</v>
      </c>
      <c r="I391" s="227" t="s">
        <v>37</v>
      </c>
      <c r="J391" s="221" t="s">
        <v>3023</v>
      </c>
      <c r="K391" s="241" t="s">
        <v>3074</v>
      </c>
      <c r="L391" s="225" t="str">
        <f>VLOOKUP(Logfile_S12[[#This Row],[Material Name]],Sheet2!B:C,2,0)</f>
        <v>ZTE2002</v>
      </c>
      <c r="M391" s="242" t="s">
        <v>20</v>
      </c>
      <c r="N391" s="227">
        <v>3000</v>
      </c>
      <c r="O391" s="221" t="s">
        <v>4785</v>
      </c>
      <c r="P391" s="221" t="s">
        <v>4786</v>
      </c>
      <c r="Q391" s="227"/>
      <c r="R391" s="227"/>
      <c r="S391" s="227"/>
      <c r="T391" s="227"/>
      <c r="U391" s="227"/>
      <c r="V391" s="227"/>
      <c r="W391" s="227"/>
      <c r="X391" s="227"/>
      <c r="Y391" s="238" t="s">
        <v>5044</v>
      </c>
      <c r="Z391" s="227" t="str">
        <f t="shared" si="19"/>
        <v>DUSUN ARDIREJO KELURAHAN SIDEREJO MALANG</v>
      </c>
      <c r="AA391" s="276" t="e">
        <f>VLOOKUP(Logfile_S12[[#This Row],[DO number]],DO_DB!G:I,3,0)</f>
        <v>#N/A</v>
      </c>
      <c r="AB391" s="331" t="e">
        <f>EXACT(Logfile_S12[[#This Row],[date pick]],Logfile_S12[[#This Row],[Date]])</f>
        <v>#N/A</v>
      </c>
      <c r="AC3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36C-20251212-03</v>
      </c>
    </row>
    <row r="392" spans="1:29" ht="14.5" hidden="1">
      <c r="A392" s="237" t="str">
        <f t="shared" si="20"/>
        <v>388</v>
      </c>
      <c r="B392" s="221"/>
      <c r="C392" s="227" t="s">
        <v>48</v>
      </c>
      <c r="D392" s="227" t="s">
        <v>4730</v>
      </c>
      <c r="E392" s="227" t="s">
        <v>3295</v>
      </c>
      <c r="F392" s="227" t="s">
        <v>3299</v>
      </c>
      <c r="G392" s="239">
        <v>46003</v>
      </c>
      <c r="H392" s="240">
        <v>0.54166666666666663</v>
      </c>
      <c r="I392" s="227" t="s">
        <v>37</v>
      </c>
      <c r="J392" s="221" t="s">
        <v>3023</v>
      </c>
      <c r="K392" s="241" t="s">
        <v>3074</v>
      </c>
      <c r="L392" s="225" t="str">
        <f>VLOOKUP(Logfile_S12[[#This Row],[Material Name]],Sheet2!B:C,2,0)</f>
        <v>ZTE2002</v>
      </c>
      <c r="M392" s="242" t="s">
        <v>20</v>
      </c>
      <c r="N392" s="227">
        <v>3000</v>
      </c>
      <c r="O392" s="221" t="s">
        <v>4785</v>
      </c>
      <c r="P392" s="221" t="s">
        <v>4786</v>
      </c>
      <c r="Q392" s="227"/>
      <c r="R392" s="227"/>
      <c r="S392" s="227"/>
      <c r="T392" s="227"/>
      <c r="U392" s="227"/>
      <c r="V392" s="227"/>
      <c r="W392" s="227"/>
      <c r="X392" s="227"/>
      <c r="Y392" s="238" t="s">
        <v>5045</v>
      </c>
      <c r="Z392" s="227" t="str">
        <f t="shared" si="19"/>
        <v>DUSUN ARDIREJO KELURAHAN SIDEREJO MALANG</v>
      </c>
      <c r="AA392" s="276" t="e">
        <f>VLOOKUP(Logfile_S12[[#This Row],[DO number]],DO_DB!G:I,3,0)</f>
        <v>#N/A</v>
      </c>
      <c r="AB392" s="331" t="e">
        <f>EXACT(Logfile_S12[[#This Row],[date pick]],Logfile_S12[[#This Row],[Date]])</f>
        <v>#N/A</v>
      </c>
      <c r="AC3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36C-20251212-04</v>
      </c>
    </row>
    <row r="393" spans="1:29" ht="14.5" hidden="1">
      <c r="A393" s="237" t="str">
        <f t="shared" si="20"/>
        <v>389</v>
      </c>
      <c r="B393" s="221"/>
      <c r="C393" s="227" t="s">
        <v>48</v>
      </c>
      <c r="D393" s="227" t="s">
        <v>4730</v>
      </c>
      <c r="E393" s="227" t="s">
        <v>3295</v>
      </c>
      <c r="F393" s="227" t="s">
        <v>3299</v>
      </c>
      <c r="G393" s="239">
        <v>46003</v>
      </c>
      <c r="H393" s="240">
        <v>0.54166666666666663</v>
      </c>
      <c r="I393" s="227" t="s">
        <v>37</v>
      </c>
      <c r="J393" s="221" t="s">
        <v>3023</v>
      </c>
      <c r="K393" s="241" t="s">
        <v>3074</v>
      </c>
      <c r="L393" s="225" t="str">
        <f>VLOOKUP(Logfile_S12[[#This Row],[Material Name]],Sheet2!B:C,2,0)</f>
        <v>ZTE2002</v>
      </c>
      <c r="M393" s="242" t="s">
        <v>20</v>
      </c>
      <c r="N393" s="227">
        <v>3000</v>
      </c>
      <c r="O393" s="221" t="s">
        <v>4785</v>
      </c>
      <c r="P393" s="221" t="s">
        <v>4786</v>
      </c>
      <c r="Q393" s="227"/>
      <c r="R393" s="227"/>
      <c r="S393" s="227"/>
      <c r="T393" s="227"/>
      <c r="U393" s="227"/>
      <c r="V393" s="227"/>
      <c r="W393" s="227"/>
      <c r="X393" s="227"/>
      <c r="Y393" s="238" t="s">
        <v>5046</v>
      </c>
      <c r="Z393" s="227" t="str">
        <f t="shared" si="19"/>
        <v>DUSUN ARDIREJO KELURAHAN SIDEREJO MALANG</v>
      </c>
      <c r="AA393" s="276" t="e">
        <f>VLOOKUP(Logfile_S12[[#This Row],[DO number]],DO_DB!G:I,3,0)</f>
        <v>#N/A</v>
      </c>
      <c r="AB393" s="331" t="e">
        <f>EXACT(Logfile_S12[[#This Row],[date pick]],Logfile_S12[[#This Row],[Date]])</f>
        <v>#N/A</v>
      </c>
      <c r="AC3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36C-20251212-05</v>
      </c>
    </row>
    <row r="394" spans="1:29" ht="14.5" hidden="1">
      <c r="A394" s="237" t="str">
        <f t="shared" si="20"/>
        <v>390</v>
      </c>
      <c r="B394" s="221"/>
      <c r="C394" s="227" t="s">
        <v>48</v>
      </c>
      <c r="D394" s="227" t="s">
        <v>4730</v>
      </c>
      <c r="E394" s="227" t="s">
        <v>3295</v>
      </c>
      <c r="F394" s="227" t="s">
        <v>3299</v>
      </c>
      <c r="G394" s="239">
        <v>46003</v>
      </c>
      <c r="H394" s="240">
        <v>0.54166666666666663</v>
      </c>
      <c r="I394" s="227" t="s">
        <v>37</v>
      </c>
      <c r="J394" s="221" t="s">
        <v>3023</v>
      </c>
      <c r="K394" s="241" t="s">
        <v>3074</v>
      </c>
      <c r="L394" s="225" t="str">
        <f>VLOOKUP(Logfile_S12[[#This Row],[Material Name]],Sheet2!B:C,2,0)</f>
        <v>ZTE2002</v>
      </c>
      <c r="M394" s="242" t="s">
        <v>20</v>
      </c>
      <c r="N394" s="227">
        <v>3000</v>
      </c>
      <c r="O394" s="221" t="s">
        <v>4785</v>
      </c>
      <c r="P394" s="221" t="s">
        <v>4786</v>
      </c>
      <c r="Q394" s="227"/>
      <c r="R394" s="227"/>
      <c r="S394" s="227"/>
      <c r="T394" s="227"/>
      <c r="U394" s="227"/>
      <c r="V394" s="227"/>
      <c r="W394" s="227"/>
      <c r="X394" s="227"/>
      <c r="Y394" s="238" t="s">
        <v>5047</v>
      </c>
      <c r="Z394" s="227" t="str">
        <f t="shared" si="19"/>
        <v>DUSUN ARDIREJO KELURAHAN SIDEREJO MALANG</v>
      </c>
      <c r="AA394" s="276" t="e">
        <f>VLOOKUP(Logfile_S12[[#This Row],[DO number]],DO_DB!G:I,3,0)</f>
        <v>#N/A</v>
      </c>
      <c r="AB394" s="331" t="e">
        <f>EXACT(Logfile_S12[[#This Row],[date pick]],Logfile_S12[[#This Row],[Date]])</f>
        <v>#N/A</v>
      </c>
      <c r="AC3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36C-20251212-06</v>
      </c>
    </row>
    <row r="395" spans="1:29" ht="14.5" hidden="1">
      <c r="A395" s="237" t="str">
        <f t="shared" si="20"/>
        <v>391</v>
      </c>
      <c r="B395" s="221">
        <v>10</v>
      </c>
      <c r="C395" s="227" t="s">
        <v>49</v>
      </c>
      <c r="D395" s="227" t="s">
        <v>4740</v>
      </c>
      <c r="E395" s="227" t="s">
        <v>3295</v>
      </c>
      <c r="F395" s="227" t="s">
        <v>3299</v>
      </c>
      <c r="G395" s="239">
        <v>46006</v>
      </c>
      <c r="H395" s="240">
        <v>0.49305555555555558</v>
      </c>
      <c r="I395" s="227" t="s">
        <v>3295</v>
      </c>
      <c r="J395" s="221" t="s">
        <v>3023</v>
      </c>
      <c r="K395" s="241" t="s">
        <v>3074</v>
      </c>
      <c r="L395" s="225" t="str">
        <f>VLOOKUP(Logfile_S12[[#This Row],[Material Name]],Sheet2!B:C,2,0)</f>
        <v>ZTE2002</v>
      </c>
      <c r="M395" s="242" t="s">
        <v>20</v>
      </c>
      <c r="N395" s="227">
        <v>3000</v>
      </c>
      <c r="O395" s="227" t="s">
        <v>3260</v>
      </c>
      <c r="P395" s="227"/>
      <c r="Q395" s="227"/>
      <c r="R395" s="227"/>
      <c r="S395" s="227"/>
      <c r="T395" s="221" t="s">
        <v>3258</v>
      </c>
      <c r="U395" s="221" t="s">
        <v>4811</v>
      </c>
      <c r="V395" s="221" t="s">
        <v>3337</v>
      </c>
      <c r="W395" s="221" t="s">
        <v>3338</v>
      </c>
      <c r="X395" s="227"/>
      <c r="Y395" s="227"/>
      <c r="Z395" s="227">
        <f t="shared" si="19"/>
        <v>0</v>
      </c>
      <c r="AA395" s="276" t="e">
        <f>VLOOKUP(Logfile_S12[[#This Row],[DO number]],DO_DB!G:I,3,0)</f>
        <v>#N/A</v>
      </c>
      <c r="AB395" s="331" t="e">
        <f>EXACT(Logfile_S12[[#This Row],[date pick]],Logfile_S12[[#This Row],[Date]])</f>
        <v>#N/A</v>
      </c>
      <c r="AC3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96" spans="1:29" ht="14.5" hidden="1">
      <c r="A396" s="237" t="str">
        <f t="shared" si="20"/>
        <v>392</v>
      </c>
      <c r="B396" s="221"/>
      <c r="C396" s="227" t="s">
        <v>48</v>
      </c>
      <c r="D396" s="227" t="s">
        <v>4741</v>
      </c>
      <c r="E396" s="227" t="s">
        <v>3295</v>
      </c>
      <c r="F396" s="227" t="s">
        <v>3299</v>
      </c>
      <c r="G396" s="239">
        <v>46006</v>
      </c>
      <c r="H396" s="240">
        <v>0.66666666666666663</v>
      </c>
      <c r="I396" s="227" t="s">
        <v>3586</v>
      </c>
      <c r="J396" s="482" t="s">
        <v>4432</v>
      </c>
      <c r="K396" s="241" t="s">
        <v>3074</v>
      </c>
      <c r="L396" s="225" t="str">
        <f>VLOOKUP(Logfile_S12[[#This Row],[Material Name]],Sheet2!B:C,2,0)</f>
        <v>ZTE2002</v>
      </c>
      <c r="M396" s="242" t="s">
        <v>20</v>
      </c>
      <c r="N396" s="227">
        <v>1000</v>
      </c>
      <c r="O396" s="227" t="s">
        <v>4801</v>
      </c>
      <c r="P396" s="227" t="s">
        <v>4802</v>
      </c>
      <c r="Q396" s="227"/>
      <c r="R396" s="227"/>
      <c r="S396" s="227"/>
      <c r="T396" s="227"/>
      <c r="U396" s="227"/>
      <c r="V396" s="227"/>
      <c r="W396" s="227"/>
      <c r="X396" s="227" t="s">
        <v>4743</v>
      </c>
      <c r="Y396" s="238" t="s">
        <v>5265</v>
      </c>
      <c r="Z396" s="238" t="str">
        <f t="shared" si="19"/>
        <v>DUSUN SIDOAYU KELURAHAN SIDEREJO MALANG</v>
      </c>
      <c r="AA396" s="276" t="e">
        <f>VLOOKUP(Logfile_S12[[#This Row],[DO number]],DO_DB!G:I,3,0)</f>
        <v>#N/A</v>
      </c>
      <c r="AB396" s="332" t="e">
        <f>EXACT(Logfile_S12[[#This Row],[date pick]],Logfile_S12[[#This Row],[Date]])</f>
        <v>#N/A</v>
      </c>
      <c r="AC39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OUTBOUND_E-001-1000m</v>
      </c>
    </row>
    <row r="397" spans="1:29" ht="14.5" hidden="1">
      <c r="A397" s="237" t="str">
        <f t="shared" si="20"/>
        <v>393</v>
      </c>
      <c r="B397" s="221">
        <v>1</v>
      </c>
      <c r="C397" s="227" t="s">
        <v>49</v>
      </c>
      <c r="D397" s="227" t="s">
        <v>4737</v>
      </c>
      <c r="E397" s="227" t="s">
        <v>3295</v>
      </c>
      <c r="F397" s="227" t="s">
        <v>3299</v>
      </c>
      <c r="G397" s="239">
        <v>46006</v>
      </c>
      <c r="H397" s="240">
        <v>0.36805555555555558</v>
      </c>
      <c r="I397" s="227" t="s">
        <v>3295</v>
      </c>
      <c r="J397" s="221" t="s">
        <v>3023</v>
      </c>
      <c r="K397" s="241" t="s">
        <v>3075</v>
      </c>
      <c r="L397" s="225" t="str">
        <f>VLOOKUP(Logfile_S12[[#This Row],[Material Name]],Sheet2!B:C,2,0)</f>
        <v>ZTE2003</v>
      </c>
      <c r="M397" s="242" t="s">
        <v>20</v>
      </c>
      <c r="N397" s="227">
        <v>3000</v>
      </c>
      <c r="O397" s="227" t="s">
        <v>3260</v>
      </c>
      <c r="P397" s="227"/>
      <c r="Q397" s="227" t="s">
        <v>3260</v>
      </c>
      <c r="R397" s="227" t="s">
        <v>3260</v>
      </c>
      <c r="S397" s="227"/>
      <c r="T397" s="221" t="s">
        <v>3258</v>
      </c>
      <c r="U397" s="221" t="s">
        <v>4811</v>
      </c>
      <c r="V397" s="221" t="s">
        <v>3337</v>
      </c>
      <c r="W397" s="221" t="s">
        <v>3338</v>
      </c>
      <c r="X397" s="227"/>
      <c r="Y397" s="227"/>
      <c r="Z397" s="227">
        <f t="shared" si="19"/>
        <v>0</v>
      </c>
      <c r="AA397" s="276" t="e">
        <f>VLOOKUP(Logfile_S12[[#This Row],[DO number]],DO_DB!G:I,3,0)</f>
        <v>#N/A</v>
      </c>
      <c r="AB397" s="331" t="e">
        <f>EXACT(Logfile_S12[[#This Row],[date pick]],Logfile_S12[[#This Row],[Date]])</f>
        <v>#N/A</v>
      </c>
      <c r="AC3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398" spans="1:29" ht="14.5" hidden="1">
      <c r="A398" s="237" t="str">
        <f t="shared" si="20"/>
        <v>394</v>
      </c>
      <c r="B398" s="221"/>
      <c r="C398" s="227" t="s">
        <v>48</v>
      </c>
      <c r="D398" s="227" t="s">
        <v>4741</v>
      </c>
      <c r="E398" s="227" t="s">
        <v>3295</v>
      </c>
      <c r="F398" s="227" t="s">
        <v>3299</v>
      </c>
      <c r="G398" s="239">
        <v>46006</v>
      </c>
      <c r="H398" s="240">
        <v>0.66666666666666663</v>
      </c>
      <c r="I398" s="227" t="s">
        <v>3586</v>
      </c>
      <c r="J398" s="482" t="s">
        <v>4432</v>
      </c>
      <c r="K398" s="241" t="s">
        <v>3075</v>
      </c>
      <c r="L398" s="225" t="str">
        <f>VLOOKUP(Logfile_S12[[#This Row],[Material Name]],Sheet2!B:C,2,0)</f>
        <v>ZTE2003</v>
      </c>
      <c r="M398" s="242" t="s">
        <v>20</v>
      </c>
      <c r="N398" s="227">
        <v>385</v>
      </c>
      <c r="O398" s="227" t="s">
        <v>4801</v>
      </c>
      <c r="P398" s="227" t="s">
        <v>4802</v>
      </c>
      <c r="Q398" s="227"/>
      <c r="R398" s="227"/>
      <c r="S398" s="227"/>
      <c r="T398" s="227"/>
      <c r="U398" s="227"/>
      <c r="V398" s="227"/>
      <c r="W398" s="227"/>
      <c r="X398" s="227" t="s">
        <v>4742</v>
      </c>
      <c r="Y398" s="238" t="s">
        <v>5264</v>
      </c>
      <c r="Z398" s="238" t="str">
        <f t="shared" si="19"/>
        <v>DUSUN SIDOAYU KELURAHAN SIDEREJO MALANG</v>
      </c>
      <c r="AA398" s="276" t="e">
        <f>VLOOKUP(Logfile_S12[[#This Row],[DO number]],DO_DB!G:I,3,0)</f>
        <v>#N/A</v>
      </c>
      <c r="AB398" s="332" t="e">
        <f>EXACT(Logfile_S12[[#This Row],[date pick]],Logfile_S12[[#This Row],[Date]])</f>
        <v>#N/A</v>
      </c>
      <c r="AC398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OUTBOUND_B-002-385m</v>
      </c>
    </row>
    <row r="399" spans="1:29" ht="14.5" hidden="1">
      <c r="A399" s="237" t="str">
        <f t="shared" si="20"/>
        <v>395</v>
      </c>
      <c r="B399" s="221">
        <v>1</v>
      </c>
      <c r="C399" s="227" t="s">
        <v>49</v>
      </c>
      <c r="D399" s="227" t="s">
        <v>4745</v>
      </c>
      <c r="E399" s="227" t="s">
        <v>3295</v>
      </c>
      <c r="F399" s="227" t="s">
        <v>3299</v>
      </c>
      <c r="G399" s="239">
        <v>46007</v>
      </c>
      <c r="H399" s="240">
        <v>0.33333333333333331</v>
      </c>
      <c r="I399" s="227" t="s">
        <v>3295</v>
      </c>
      <c r="J399" s="221" t="s">
        <v>3023</v>
      </c>
      <c r="K399" s="241" t="s">
        <v>3074</v>
      </c>
      <c r="L399" s="225" t="str">
        <f>VLOOKUP(Logfile_S12[[#This Row],[Material Name]],Sheet2!B:C,2,0)</f>
        <v>ZTE2002</v>
      </c>
      <c r="M399" s="242" t="s">
        <v>20</v>
      </c>
      <c r="N399" s="227">
        <v>3000</v>
      </c>
      <c r="O399" s="227"/>
      <c r="P399" s="227"/>
      <c r="Q399" s="227"/>
      <c r="R399" s="227"/>
      <c r="S399" s="227"/>
      <c r="T399" s="221" t="s">
        <v>3258</v>
      </c>
      <c r="U399" s="221" t="s">
        <v>4811</v>
      </c>
      <c r="V399" s="221" t="s">
        <v>3337</v>
      </c>
      <c r="W399" s="221" t="s">
        <v>3338</v>
      </c>
      <c r="X399" s="227"/>
      <c r="Y399" s="227"/>
      <c r="Z399" s="227">
        <f t="shared" si="19"/>
        <v>0</v>
      </c>
      <c r="AA399" s="276" t="e">
        <f>VLOOKUP(Logfile_S12[[#This Row],[DO number]],DO_DB!G:I,3,0)</f>
        <v>#N/A</v>
      </c>
      <c r="AB399" s="331" t="e">
        <f>EXACT(Logfile_S12[[#This Row],[date pick]],Logfile_S12[[#This Row],[Date]])</f>
        <v>#N/A</v>
      </c>
      <c r="AC3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00" spans="1:29" ht="14.5" hidden="1">
      <c r="A400" s="237" t="str">
        <f t="shared" si="20"/>
        <v>396</v>
      </c>
      <c r="B400" s="221">
        <v>2</v>
      </c>
      <c r="C400" s="227" t="s">
        <v>49</v>
      </c>
      <c r="D400" s="227" t="s">
        <v>4745</v>
      </c>
      <c r="E400" s="227" t="s">
        <v>3295</v>
      </c>
      <c r="F400" s="227" t="s">
        <v>3299</v>
      </c>
      <c r="G400" s="239">
        <v>46007</v>
      </c>
      <c r="H400" s="240">
        <v>0.33333333333333331</v>
      </c>
      <c r="I400" s="227" t="s">
        <v>3295</v>
      </c>
      <c r="J400" s="221" t="s">
        <v>3023</v>
      </c>
      <c r="K400" s="241" t="s">
        <v>3074</v>
      </c>
      <c r="L400" s="225" t="str">
        <f>VLOOKUP(Logfile_S12[[#This Row],[Material Name]],Sheet2!B:C,2,0)</f>
        <v>ZTE2002</v>
      </c>
      <c r="M400" s="242" t="s">
        <v>20</v>
      </c>
      <c r="N400" s="227">
        <v>3000</v>
      </c>
      <c r="O400" s="227"/>
      <c r="P400" s="227"/>
      <c r="Q400" s="227"/>
      <c r="R400" s="227"/>
      <c r="S400" s="227"/>
      <c r="T400" s="221" t="s">
        <v>3258</v>
      </c>
      <c r="U400" s="221" t="s">
        <v>4811</v>
      </c>
      <c r="V400" s="221" t="s">
        <v>3337</v>
      </c>
      <c r="W400" s="221" t="s">
        <v>3338</v>
      </c>
      <c r="X400" s="227"/>
      <c r="Y400" s="227"/>
      <c r="Z400" s="227">
        <f t="shared" si="19"/>
        <v>0</v>
      </c>
      <c r="AA400" s="276" t="e">
        <f>VLOOKUP(Logfile_S12[[#This Row],[DO number]],DO_DB!G:I,3,0)</f>
        <v>#N/A</v>
      </c>
      <c r="AB400" s="331" t="e">
        <f>EXACT(Logfile_S12[[#This Row],[date pick]],Logfile_S12[[#This Row],[Date]])</f>
        <v>#N/A</v>
      </c>
      <c r="AC4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01" spans="1:29" ht="14.5" hidden="1">
      <c r="A401" s="237" t="str">
        <f t="shared" si="20"/>
        <v>397</v>
      </c>
      <c r="B401" s="221"/>
      <c r="C401" s="227" t="s">
        <v>48</v>
      </c>
      <c r="D401" s="227" t="s">
        <v>4747</v>
      </c>
      <c r="E401" s="227" t="s">
        <v>3295</v>
      </c>
      <c r="F401" s="227" t="s">
        <v>3299</v>
      </c>
      <c r="G401" s="239">
        <v>46007</v>
      </c>
      <c r="H401" s="240">
        <v>0.66666666666666663</v>
      </c>
      <c r="I401" s="227" t="s">
        <v>3586</v>
      </c>
      <c r="J401" s="482" t="s">
        <v>4432</v>
      </c>
      <c r="K401" s="241" t="s">
        <v>3074</v>
      </c>
      <c r="L401" s="225" t="str">
        <f>VLOOKUP(Logfile_S12[[#This Row],[Material Name]],Sheet2!B:C,2,0)</f>
        <v>ZTE2002</v>
      </c>
      <c r="M401" s="242" t="s">
        <v>20</v>
      </c>
      <c r="N401" s="227">
        <v>1375</v>
      </c>
      <c r="O401" s="227" t="s">
        <v>4801</v>
      </c>
      <c r="P401" s="227" t="s">
        <v>4802</v>
      </c>
      <c r="Q401" s="227"/>
      <c r="R401" s="227"/>
      <c r="S401" s="227"/>
      <c r="T401" s="227"/>
      <c r="U401" s="227"/>
      <c r="V401" s="227"/>
      <c r="W401" s="227"/>
      <c r="X401" s="227" t="s">
        <v>4750</v>
      </c>
      <c r="Y401" s="238" t="s">
        <v>5266</v>
      </c>
      <c r="Z401" s="238" t="str">
        <f t="shared" si="19"/>
        <v>DUSUN SIDOAYU KELURAHAN SIDEREJO MALANG</v>
      </c>
      <c r="AA401" s="276" t="e">
        <f>VLOOKUP(Logfile_S12[[#This Row],[DO number]],DO_DB!G:I,3,0)</f>
        <v>#N/A</v>
      </c>
      <c r="AB401" s="332" t="e">
        <f>EXACT(Logfile_S12[[#This Row],[date pick]],Logfile_S12[[#This Row],[Date]])</f>
        <v>#N/A</v>
      </c>
      <c r="AC401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OUTBOUND_E-002-1375m</v>
      </c>
    </row>
    <row r="402" spans="1:29" ht="14.5" hidden="1">
      <c r="A402" s="237" t="str">
        <f t="shared" si="20"/>
        <v>398</v>
      </c>
      <c r="B402" s="221"/>
      <c r="C402" s="227" t="s">
        <v>48</v>
      </c>
      <c r="D402" s="227" t="s">
        <v>4747</v>
      </c>
      <c r="E402" s="227" t="s">
        <v>3295</v>
      </c>
      <c r="F402" s="227" t="s">
        <v>3299</v>
      </c>
      <c r="G402" s="239">
        <v>46007</v>
      </c>
      <c r="H402" s="240">
        <v>0.66666666666666663</v>
      </c>
      <c r="I402" s="227" t="s">
        <v>3586</v>
      </c>
      <c r="J402" s="482" t="s">
        <v>4432</v>
      </c>
      <c r="K402" s="241" t="s">
        <v>3074</v>
      </c>
      <c r="L402" s="225" t="str">
        <f>VLOOKUP(Logfile_S12[[#This Row],[Material Name]],Sheet2!B:C,2,0)</f>
        <v>ZTE2002</v>
      </c>
      <c r="M402" s="242" t="s">
        <v>20</v>
      </c>
      <c r="N402" s="227">
        <v>875</v>
      </c>
      <c r="O402" s="227" t="s">
        <v>4801</v>
      </c>
      <c r="P402" s="227" t="s">
        <v>4802</v>
      </c>
      <c r="Q402" s="227"/>
      <c r="R402" s="227"/>
      <c r="S402" s="227"/>
      <c r="T402" s="227"/>
      <c r="U402" s="227"/>
      <c r="V402" s="227"/>
      <c r="W402" s="227"/>
      <c r="X402" s="227" t="s">
        <v>4751</v>
      </c>
      <c r="Y402" s="238" t="s">
        <v>5267</v>
      </c>
      <c r="Z402" s="238" t="str">
        <f t="shared" si="19"/>
        <v>DUSUN SIDOAYU KELURAHAN SIDEREJO MALANG</v>
      </c>
      <c r="AA402" s="276" t="e">
        <f>VLOOKUP(Logfile_S12[[#This Row],[DO number]],DO_DB!G:I,3,0)</f>
        <v>#N/A</v>
      </c>
      <c r="AB402" s="332" t="e">
        <f>EXACT(Logfile_S12[[#This Row],[date pick]],Logfile_S12[[#This Row],[Date]])</f>
        <v>#N/A</v>
      </c>
      <c r="AC40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OUTBOUND_E-003-875m</v>
      </c>
    </row>
    <row r="403" spans="1:29" ht="14.5" hidden="1">
      <c r="A403" s="237" t="str">
        <f t="shared" si="20"/>
        <v>399</v>
      </c>
      <c r="B403" s="221"/>
      <c r="C403" s="227" t="s">
        <v>48</v>
      </c>
      <c r="D403" s="227" t="s">
        <v>4747</v>
      </c>
      <c r="E403" s="227" t="s">
        <v>3295</v>
      </c>
      <c r="F403" s="227" t="s">
        <v>3299</v>
      </c>
      <c r="G403" s="239">
        <v>46007</v>
      </c>
      <c r="H403" s="240">
        <v>0.66666666666666663</v>
      </c>
      <c r="I403" s="227" t="s">
        <v>3586</v>
      </c>
      <c r="J403" s="482" t="s">
        <v>4432</v>
      </c>
      <c r="K403" s="241" t="s">
        <v>3074</v>
      </c>
      <c r="L403" s="225" t="str">
        <f>VLOOKUP(Logfile_S12[[#This Row],[Material Name]],Sheet2!B:C,2,0)</f>
        <v>ZTE2002</v>
      </c>
      <c r="M403" s="242" t="s">
        <v>20</v>
      </c>
      <c r="N403" s="227">
        <v>1300</v>
      </c>
      <c r="O403" s="227"/>
      <c r="P403" s="227" t="s">
        <v>4752</v>
      </c>
      <c r="Q403" s="227"/>
      <c r="R403" s="227"/>
      <c r="S403" s="227"/>
      <c r="T403" s="227"/>
      <c r="U403" s="227"/>
      <c r="V403" s="227"/>
      <c r="W403" s="227"/>
      <c r="X403" s="227" t="s">
        <v>4752</v>
      </c>
      <c r="Y403" s="238" t="s">
        <v>5309</v>
      </c>
      <c r="Z403" s="238" t="str">
        <f t="shared" si="19"/>
        <v>Sisa Palaan</v>
      </c>
      <c r="AA403" s="276" t="e">
        <f>VLOOKUP(Logfile_S12[[#This Row],[DO number]],DO_DB!G:I,3,0)</f>
        <v>#N/A</v>
      </c>
      <c r="AB403" s="332" t="e">
        <f>EXACT(Logfile_S12[[#This Row],[date pick]],Logfile_S12[[#This Row],[Date]])</f>
        <v>#N/A</v>
      </c>
      <c r="AC40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OUTBOUND_E-011-1300m</v>
      </c>
    </row>
    <row r="404" spans="1:29" ht="14.5" hidden="1">
      <c r="A404" s="237" t="str">
        <f t="shared" si="20"/>
        <v>400</v>
      </c>
      <c r="B404" s="221"/>
      <c r="C404" s="227" t="s">
        <v>48</v>
      </c>
      <c r="D404" s="227" t="s">
        <v>4848</v>
      </c>
      <c r="E404" s="227" t="s">
        <v>3295</v>
      </c>
      <c r="F404" s="227" t="s">
        <v>3299</v>
      </c>
      <c r="G404" s="239">
        <v>46007</v>
      </c>
      <c r="H404" s="240">
        <v>0.66666666666666663</v>
      </c>
      <c r="I404" s="227" t="s">
        <v>3586</v>
      </c>
      <c r="J404" s="482" t="s">
        <v>4432</v>
      </c>
      <c r="K404" s="241" t="s">
        <v>3074</v>
      </c>
      <c r="L404" s="225" t="str">
        <f>VLOOKUP(Logfile_S12[[#This Row],[Material Name]],Sheet2!B:C,2,0)</f>
        <v>ZTE2002</v>
      </c>
      <c r="M404" s="242" t="s">
        <v>20</v>
      </c>
      <c r="N404" s="227">
        <v>1100</v>
      </c>
      <c r="O404" s="227"/>
      <c r="P404" s="227"/>
      <c r="Q404" s="227"/>
      <c r="R404" s="227"/>
      <c r="S404" s="227"/>
      <c r="T404" s="227"/>
      <c r="U404" s="227"/>
      <c r="V404" s="227"/>
      <c r="W404" s="227"/>
      <c r="X404" s="227"/>
      <c r="Y404" s="238" t="s">
        <v>5322</v>
      </c>
      <c r="Z404" s="238">
        <f t="shared" si="19"/>
        <v>0</v>
      </c>
      <c r="AA404" s="276" t="e">
        <f>VLOOKUP(Logfile_S12[[#This Row],[DO number]],DO_DB!G:I,3,0)</f>
        <v>#N/A</v>
      </c>
      <c r="AB404" s="332" t="e">
        <f>EXACT(Logfile_S12[[#This Row],[date pick]],Logfile_S12[[#This Row],[Date]])</f>
        <v>#N/A</v>
      </c>
      <c r="AC40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OUTBOUND_E-012-1100m</v>
      </c>
    </row>
    <row r="405" spans="1:29" ht="14.5" hidden="1">
      <c r="A405" s="237" t="str">
        <f t="shared" si="20"/>
        <v>401</v>
      </c>
      <c r="B405" s="221">
        <v>1</v>
      </c>
      <c r="C405" s="227" t="s">
        <v>49</v>
      </c>
      <c r="D405" s="227" t="s">
        <v>4746</v>
      </c>
      <c r="E405" s="227" t="s">
        <v>3295</v>
      </c>
      <c r="F405" s="227" t="s">
        <v>3299</v>
      </c>
      <c r="G405" s="239">
        <v>46008</v>
      </c>
      <c r="H405" s="240">
        <v>0.33333333333333331</v>
      </c>
      <c r="I405" s="227" t="s">
        <v>3295</v>
      </c>
      <c r="J405" s="221" t="s">
        <v>3023</v>
      </c>
      <c r="K405" s="241" t="s">
        <v>3073</v>
      </c>
      <c r="L405" s="225" t="str">
        <f>VLOOKUP(Logfile_S12[[#This Row],[Material Name]],Sheet2!B:C,2,0)</f>
        <v>ZTE2001</v>
      </c>
      <c r="M405" s="242" t="s">
        <v>20</v>
      </c>
      <c r="N405" s="227">
        <v>3000</v>
      </c>
      <c r="O405" s="227"/>
      <c r="P405" s="227"/>
      <c r="Q405" s="227"/>
      <c r="R405" s="227"/>
      <c r="S405" s="227"/>
      <c r="T405" s="221" t="s">
        <v>3258</v>
      </c>
      <c r="U405" s="221" t="s">
        <v>4811</v>
      </c>
      <c r="V405" s="221" t="s">
        <v>3337</v>
      </c>
      <c r="W405" s="221" t="s">
        <v>3338</v>
      </c>
      <c r="X405" s="227"/>
      <c r="Y405" s="227"/>
      <c r="Z405" s="227">
        <f t="shared" si="19"/>
        <v>0</v>
      </c>
      <c r="AA405" s="276" t="e">
        <f>VLOOKUP(Logfile_S12[[#This Row],[DO number]],DO_DB!G:I,3,0)</f>
        <v>#N/A</v>
      </c>
      <c r="AB405" s="331" t="e">
        <f>EXACT(Logfile_S12[[#This Row],[date pick]],Logfile_S12[[#This Row],[Date]])</f>
        <v>#N/A</v>
      </c>
      <c r="AC4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06" spans="1:29" ht="14.5" hidden="1">
      <c r="A406" s="237" t="str">
        <f t="shared" si="20"/>
        <v>402</v>
      </c>
      <c r="B406" s="221">
        <v>2</v>
      </c>
      <c r="C406" s="227" t="s">
        <v>49</v>
      </c>
      <c r="D406" s="227" t="s">
        <v>4746</v>
      </c>
      <c r="E406" s="227" t="s">
        <v>3295</v>
      </c>
      <c r="F406" s="227" t="s">
        <v>3299</v>
      </c>
      <c r="G406" s="239">
        <v>46008</v>
      </c>
      <c r="H406" s="240">
        <v>0.33333333333333331</v>
      </c>
      <c r="I406" s="227" t="s">
        <v>3295</v>
      </c>
      <c r="J406" s="221" t="s">
        <v>3023</v>
      </c>
      <c r="K406" s="241" t="s">
        <v>3074</v>
      </c>
      <c r="L406" s="225" t="str">
        <f>VLOOKUP(Logfile_S12[[#This Row],[Material Name]],Sheet2!B:C,2,0)</f>
        <v>ZTE2002</v>
      </c>
      <c r="M406" s="242" t="s">
        <v>20</v>
      </c>
      <c r="N406" s="227">
        <v>3000</v>
      </c>
      <c r="O406" s="227"/>
      <c r="P406" s="227"/>
      <c r="Q406" s="227"/>
      <c r="R406" s="227"/>
      <c r="S406" s="227"/>
      <c r="T406" s="221" t="s">
        <v>3258</v>
      </c>
      <c r="U406" s="221" t="s">
        <v>4811</v>
      </c>
      <c r="V406" s="221" t="s">
        <v>3337</v>
      </c>
      <c r="W406" s="221" t="s">
        <v>3338</v>
      </c>
      <c r="X406" s="227"/>
      <c r="Y406" s="227"/>
      <c r="Z406" s="227">
        <f t="shared" si="19"/>
        <v>0</v>
      </c>
      <c r="AA406" s="276" t="e">
        <f>VLOOKUP(Logfile_S12[[#This Row],[DO number]],DO_DB!G:I,3,0)</f>
        <v>#N/A</v>
      </c>
      <c r="AB406" s="331" t="e">
        <f>EXACT(Logfile_S12[[#This Row],[date pick]],Logfile_S12[[#This Row],[Date]])</f>
        <v>#N/A</v>
      </c>
      <c r="AC4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07" spans="1:29" ht="14.5" hidden="1">
      <c r="A407" s="237" t="str">
        <f t="shared" si="20"/>
        <v>403</v>
      </c>
      <c r="B407" s="221"/>
      <c r="C407" s="227" t="s">
        <v>48</v>
      </c>
      <c r="D407" s="227" t="s">
        <v>4748</v>
      </c>
      <c r="E407" s="227" t="s">
        <v>3295</v>
      </c>
      <c r="F407" s="227" t="s">
        <v>3299</v>
      </c>
      <c r="G407" s="239">
        <v>46008</v>
      </c>
      <c r="H407" s="240">
        <v>0.66666666666666663</v>
      </c>
      <c r="I407" s="227" t="s">
        <v>3586</v>
      </c>
      <c r="J407" s="482" t="s">
        <v>4432</v>
      </c>
      <c r="K407" s="241" t="s">
        <v>3074</v>
      </c>
      <c r="L407" s="225" t="str">
        <f>VLOOKUP(Logfile_S12[[#This Row],[Material Name]],Sheet2!B:C,2,0)</f>
        <v>ZTE2002</v>
      </c>
      <c r="M407" s="242" t="s">
        <v>20</v>
      </c>
      <c r="N407" s="227">
        <v>1200</v>
      </c>
      <c r="O407" s="227"/>
      <c r="P407" s="227" t="s">
        <v>4753</v>
      </c>
      <c r="Q407" s="227"/>
      <c r="R407" s="227"/>
      <c r="S407" s="227"/>
      <c r="T407" s="227"/>
      <c r="U407" s="227"/>
      <c r="V407" s="227"/>
      <c r="W407" s="227"/>
      <c r="X407" s="227" t="s">
        <v>4753</v>
      </c>
      <c r="Y407" s="238" t="s">
        <v>5269</v>
      </c>
      <c r="Z407" s="238" t="str">
        <f t="shared" si="19"/>
        <v>FDT 3 Sidoayu Line C</v>
      </c>
      <c r="AA407" s="276" t="e">
        <f>VLOOKUP(Logfile_S12[[#This Row],[DO number]],DO_DB!G:I,3,0)</f>
        <v>#N/A</v>
      </c>
      <c r="AB407" s="332" t="e">
        <f>EXACT(Logfile_S12[[#This Row],[date pick]],Logfile_S12[[#This Row],[Date]])</f>
        <v>#N/A</v>
      </c>
      <c r="AC407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OUTBOUND_E-005-1200m</v>
      </c>
    </row>
    <row r="408" spans="1:29" ht="14.5" hidden="1">
      <c r="A408" s="237" t="str">
        <f t="shared" si="20"/>
        <v>404</v>
      </c>
      <c r="B408" s="221"/>
      <c r="C408" s="227" t="s">
        <v>48</v>
      </c>
      <c r="D408" s="227" t="s">
        <v>4757</v>
      </c>
      <c r="E408" s="227" t="s">
        <v>3295</v>
      </c>
      <c r="F408" s="227" t="s">
        <v>3299</v>
      </c>
      <c r="G408" s="239">
        <v>46009</v>
      </c>
      <c r="H408" s="240">
        <v>0.66666666666666663</v>
      </c>
      <c r="I408" s="227" t="s">
        <v>3586</v>
      </c>
      <c r="J408" s="482" t="s">
        <v>4432</v>
      </c>
      <c r="K408" s="241" t="s">
        <v>3073</v>
      </c>
      <c r="L408" s="225" t="str">
        <f>VLOOKUP(Logfile_S12[[#This Row],[Material Name]],Sheet2!B:C,2,0)</f>
        <v>ZTE2001</v>
      </c>
      <c r="M408" s="242" t="s">
        <v>20</v>
      </c>
      <c r="N408" s="227">
        <v>500</v>
      </c>
      <c r="O408" s="227"/>
      <c r="P408" s="227" t="s">
        <v>4758</v>
      </c>
      <c r="Q408" s="227"/>
      <c r="R408" s="227"/>
      <c r="S408" s="227"/>
      <c r="T408" s="227" t="s">
        <v>3258</v>
      </c>
      <c r="U408" s="227">
        <v>0</v>
      </c>
      <c r="V408" s="227" t="s">
        <v>3337</v>
      </c>
      <c r="W408" s="227" t="s">
        <v>3338</v>
      </c>
      <c r="X408" s="227" t="s">
        <v>4758</v>
      </c>
      <c r="Y408" s="238" t="s">
        <v>5310</v>
      </c>
      <c r="Z408" s="238" t="str">
        <f t="shared" si="19"/>
        <v>Sisa Sidoayu FDT3</v>
      </c>
      <c r="AA408" s="276" t="e">
        <f>VLOOKUP(Logfile_S12[[#This Row],[DO number]],DO_DB!G:I,3,0)</f>
        <v>#N/A</v>
      </c>
      <c r="AB408" s="332" t="e">
        <f>EXACT(Logfile_S12[[#This Row],[date pick]],Logfile_S12[[#This Row],[Date]])</f>
        <v>#N/A</v>
      </c>
      <c r="AC408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OUTBOUND_A-049-500m</v>
      </c>
    </row>
    <row r="409" spans="1:29" ht="14.5" hidden="1">
      <c r="A409" s="237" t="str">
        <f t="shared" si="20"/>
        <v>405</v>
      </c>
      <c r="B409" s="221">
        <v>3</v>
      </c>
      <c r="C409" s="227" t="s">
        <v>48</v>
      </c>
      <c r="D409" s="227" t="s">
        <v>4749</v>
      </c>
      <c r="E409" s="227" t="s">
        <v>3295</v>
      </c>
      <c r="F409" s="227" t="s">
        <v>3299</v>
      </c>
      <c r="G409" s="239">
        <v>46009</v>
      </c>
      <c r="H409" s="240">
        <v>0.54166666666666663</v>
      </c>
      <c r="I409" s="227" t="s">
        <v>37</v>
      </c>
      <c r="J409" s="221" t="s">
        <v>3023</v>
      </c>
      <c r="K409" s="241" t="s">
        <v>3074</v>
      </c>
      <c r="L409" s="225" t="str">
        <f>VLOOKUP(Logfile_S12[[#This Row],[Material Name]],Sheet2!B:C,2,0)</f>
        <v>ZTE2002</v>
      </c>
      <c r="M409" s="242" t="s">
        <v>20</v>
      </c>
      <c r="N409" s="221">
        <v>3000</v>
      </c>
      <c r="O409" s="221"/>
      <c r="P409" s="227"/>
      <c r="Q409" s="227"/>
      <c r="R409" s="227"/>
      <c r="S409" s="227"/>
      <c r="T409" s="227"/>
      <c r="U409" s="227"/>
      <c r="V409" s="227"/>
      <c r="W409" s="227"/>
      <c r="X409" s="227"/>
      <c r="Y409" s="227" t="s">
        <v>5048</v>
      </c>
      <c r="Z409" s="227">
        <f t="shared" si="19"/>
        <v>0</v>
      </c>
      <c r="AA409" s="276" t="e">
        <f>VLOOKUP(Logfile_S12[[#This Row],[DO number]],DO_DB!G:I,3,0)</f>
        <v>#N/A</v>
      </c>
      <c r="AB409" s="331" t="e">
        <f>EXACT(Logfile_S12[[#This Row],[date pick]],Logfile_S12[[#This Row],[Date]])</f>
        <v>#N/A</v>
      </c>
      <c r="AC4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36C-20251218-01</v>
      </c>
    </row>
    <row r="410" spans="1:29" ht="14.5" hidden="1">
      <c r="A410" s="237" t="str">
        <f t="shared" si="20"/>
        <v>406</v>
      </c>
      <c r="B410" s="221"/>
      <c r="C410" s="227" t="s">
        <v>48</v>
      </c>
      <c r="D410" s="227" t="s">
        <v>4749</v>
      </c>
      <c r="E410" s="227" t="s">
        <v>3295</v>
      </c>
      <c r="F410" s="227" t="s">
        <v>3299</v>
      </c>
      <c r="G410" s="239">
        <v>46009</v>
      </c>
      <c r="H410" s="240">
        <v>0.54166666666666663</v>
      </c>
      <c r="I410" s="227" t="s">
        <v>37</v>
      </c>
      <c r="J410" s="221" t="s">
        <v>3023</v>
      </c>
      <c r="K410" s="241" t="s">
        <v>3074</v>
      </c>
      <c r="L410" s="225" t="str">
        <f>VLOOKUP(Logfile_S12[[#This Row],[Material Name]],Sheet2!B:C,2,0)</f>
        <v>ZTE2002</v>
      </c>
      <c r="M410" s="242" t="s">
        <v>20</v>
      </c>
      <c r="N410" s="221">
        <v>3000</v>
      </c>
      <c r="O410" s="221"/>
      <c r="P410" s="227"/>
      <c r="Q410" s="227"/>
      <c r="R410" s="227"/>
      <c r="S410" s="227"/>
      <c r="T410" s="227"/>
      <c r="U410" s="227"/>
      <c r="V410" s="227"/>
      <c r="W410" s="227"/>
      <c r="X410" s="227"/>
      <c r="Y410" s="238" t="s">
        <v>5049</v>
      </c>
      <c r="Z410" s="227">
        <f t="shared" si="19"/>
        <v>0</v>
      </c>
      <c r="AA410" s="276" t="e">
        <f>VLOOKUP(Logfile_S12[[#This Row],[DO number]],DO_DB!G:I,3,0)</f>
        <v>#N/A</v>
      </c>
      <c r="AB410" s="331" t="e">
        <f>EXACT(Logfile_S12[[#This Row],[date pick]],Logfile_S12[[#This Row],[Date]])</f>
        <v>#N/A</v>
      </c>
      <c r="AC4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36C-20251218-02</v>
      </c>
    </row>
    <row r="411" spans="1:29" ht="14.5" hidden="1">
      <c r="A411" s="237" t="str">
        <f t="shared" si="20"/>
        <v>407</v>
      </c>
      <c r="B411" s="221">
        <v>1</v>
      </c>
      <c r="C411" s="227" t="s">
        <v>49</v>
      </c>
      <c r="D411" s="227" t="s">
        <v>4760</v>
      </c>
      <c r="E411" s="227" t="s">
        <v>3295</v>
      </c>
      <c r="F411" s="227" t="s">
        <v>3299</v>
      </c>
      <c r="G411" s="239">
        <v>46011</v>
      </c>
      <c r="H411" s="240">
        <v>0.33333333333333331</v>
      </c>
      <c r="I411" s="227" t="s">
        <v>3295</v>
      </c>
      <c r="J411" s="221" t="s">
        <v>3023</v>
      </c>
      <c r="K411" s="241" t="s">
        <v>3073</v>
      </c>
      <c r="L411" s="225" t="str">
        <f>VLOOKUP(Logfile_S12[[#This Row],[Material Name]],Sheet2!B:C,2,0)</f>
        <v>ZTE2001</v>
      </c>
      <c r="M411" s="242" t="s">
        <v>20</v>
      </c>
      <c r="N411" s="227">
        <v>3000</v>
      </c>
      <c r="O411" s="227"/>
      <c r="P411" s="227"/>
      <c r="Q411" s="227"/>
      <c r="R411" s="227"/>
      <c r="S411" s="227"/>
      <c r="T411" s="221" t="s">
        <v>3258</v>
      </c>
      <c r="U411" s="221" t="s">
        <v>4811</v>
      </c>
      <c r="V411" s="221" t="s">
        <v>3337</v>
      </c>
      <c r="W411" s="221" t="s">
        <v>3338</v>
      </c>
      <c r="X411" s="227"/>
      <c r="Y411" s="227"/>
      <c r="Z411" s="227">
        <f t="shared" si="19"/>
        <v>0</v>
      </c>
      <c r="AA411" s="276" t="e">
        <f>VLOOKUP(Logfile_S12[[#This Row],[DO number]],DO_DB!G:I,3,0)</f>
        <v>#N/A</v>
      </c>
      <c r="AB411" s="331" t="e">
        <f>EXACT(Logfile_S12[[#This Row],[date pick]],Logfile_S12[[#This Row],[Date]])</f>
        <v>#N/A</v>
      </c>
      <c r="AC4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12" spans="1:29" ht="14.5" hidden="1">
      <c r="A412" s="237" t="str">
        <f t="shared" si="20"/>
        <v>408</v>
      </c>
      <c r="B412" s="221"/>
      <c r="C412" s="227" t="s">
        <v>49</v>
      </c>
      <c r="D412" s="227" t="s">
        <v>4760</v>
      </c>
      <c r="E412" s="227" t="s">
        <v>3295</v>
      </c>
      <c r="F412" s="227" t="s">
        <v>3299</v>
      </c>
      <c r="G412" s="239">
        <v>46011</v>
      </c>
      <c r="H412" s="240">
        <v>0.33333333333333331</v>
      </c>
      <c r="I412" s="227" t="s">
        <v>3586</v>
      </c>
      <c r="J412" s="482" t="s">
        <v>4432</v>
      </c>
      <c r="K412" s="241" t="s">
        <v>3074</v>
      </c>
      <c r="L412" s="225" t="str">
        <f>VLOOKUP(Logfile_S12[[#This Row],[Material Name]],Sheet2!B:C,2,0)</f>
        <v>ZTE2002</v>
      </c>
      <c r="M412" s="242" t="s">
        <v>20</v>
      </c>
      <c r="N412" s="227">
        <v>1300</v>
      </c>
      <c r="O412" s="227" t="s">
        <v>4785</v>
      </c>
      <c r="P412" s="227" t="s">
        <v>4786</v>
      </c>
      <c r="Q412" s="227"/>
      <c r="R412" s="227"/>
      <c r="S412" s="227"/>
      <c r="T412" s="227"/>
      <c r="U412" s="227"/>
      <c r="V412" s="227"/>
      <c r="W412" s="227"/>
      <c r="X412" s="227" t="s">
        <v>4766</v>
      </c>
      <c r="Y412" s="238" t="s">
        <v>5273</v>
      </c>
      <c r="Z412" s="238" t="str">
        <f t="shared" si="19"/>
        <v>DUSUN ARDIREJO KELURAHAN SIDEREJO MALANG</v>
      </c>
      <c r="AA412" s="276" t="e">
        <f>VLOOKUP(Logfile_S12[[#This Row],[DO number]],DO_DB!G:I,3,0)</f>
        <v>#N/A</v>
      </c>
      <c r="AB412" s="332" t="e">
        <f>EXACT(Logfile_S12[[#This Row],[date pick]],Logfile_S12[[#This Row],[Date]])</f>
        <v>#N/A</v>
      </c>
      <c r="AC41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OUTBOUND_E-007-1300m</v>
      </c>
    </row>
    <row r="413" spans="1:29" ht="14.5" hidden="1">
      <c r="A413" s="237" t="str">
        <f t="shared" si="20"/>
        <v>409</v>
      </c>
      <c r="B413" s="221">
        <v>3</v>
      </c>
      <c r="C413" s="227" t="s">
        <v>48</v>
      </c>
      <c r="D413" s="227" t="s">
        <v>4761</v>
      </c>
      <c r="E413" s="227" t="s">
        <v>3295</v>
      </c>
      <c r="F413" s="227" t="s">
        <v>3299</v>
      </c>
      <c r="G413" s="239">
        <v>46012</v>
      </c>
      <c r="H413" s="240">
        <v>0.66666666666666663</v>
      </c>
      <c r="I413" s="227" t="s">
        <v>3586</v>
      </c>
      <c r="J413" s="221" t="s">
        <v>3023</v>
      </c>
      <c r="K413" s="241" t="s">
        <v>3073</v>
      </c>
      <c r="L413" s="225" t="str">
        <f>VLOOKUP(Logfile_S12[[#This Row],[Material Name]],Sheet2!B:C,2,0)</f>
        <v>ZTE2001</v>
      </c>
      <c r="M413" s="242" t="s">
        <v>20</v>
      </c>
      <c r="N413" s="227">
        <v>3000</v>
      </c>
      <c r="O413" s="221"/>
      <c r="P413" s="227" t="s">
        <v>4826</v>
      </c>
      <c r="Q413" s="227"/>
      <c r="R413" s="227"/>
      <c r="S413" s="227"/>
      <c r="T413" s="227"/>
      <c r="U413" s="227"/>
      <c r="V413" s="227"/>
      <c r="W413" s="227"/>
      <c r="X413" s="227"/>
      <c r="Y413" s="227" t="s">
        <v>5036</v>
      </c>
      <c r="Z413" s="227" t="str">
        <f t="shared" si="19"/>
        <v>FDT 3 Ardirejo Line C</v>
      </c>
      <c r="AA413" s="276" t="e">
        <f>VLOOKUP(Logfile_S12[[#This Row],[DO number]],DO_DB!G:I,3,0)</f>
        <v>#N/A</v>
      </c>
      <c r="AB413" s="331" t="e">
        <f>EXACT(Logfile_S12[[#This Row],[date pick]],Logfile_S12[[#This Row],[Date]])</f>
        <v>#N/A</v>
      </c>
      <c r="AC4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24C-20251221-01</v>
      </c>
    </row>
    <row r="414" spans="1:29" ht="14.5" hidden="1">
      <c r="A414" s="237" t="str">
        <f t="shared" si="20"/>
        <v>410</v>
      </c>
      <c r="B414" s="221">
        <v>1</v>
      </c>
      <c r="C414" s="227" t="s">
        <v>49</v>
      </c>
      <c r="D414" s="227" t="s">
        <v>4762</v>
      </c>
      <c r="E414" s="227" t="s">
        <v>3295</v>
      </c>
      <c r="F414" s="227" t="s">
        <v>3299</v>
      </c>
      <c r="G414" s="239">
        <v>46012</v>
      </c>
      <c r="H414" s="240">
        <v>0.33333333333333331</v>
      </c>
      <c r="I414" s="227" t="s">
        <v>3295</v>
      </c>
      <c r="J414" s="221" t="s">
        <v>3023</v>
      </c>
      <c r="K414" s="241" t="s">
        <v>3073</v>
      </c>
      <c r="L414" s="225" t="str">
        <f>VLOOKUP(Logfile_S12[[#This Row],[Material Name]],Sheet2!B:C,2,0)</f>
        <v>ZTE2001</v>
      </c>
      <c r="M414" s="242" t="s">
        <v>20</v>
      </c>
      <c r="N414" s="227">
        <v>3000</v>
      </c>
      <c r="O414" s="227"/>
      <c r="P414" s="227"/>
      <c r="Q414" s="227"/>
      <c r="R414" s="227"/>
      <c r="S414" s="227"/>
      <c r="T414" s="221" t="s">
        <v>3258</v>
      </c>
      <c r="U414" s="221" t="s">
        <v>4811</v>
      </c>
      <c r="V414" s="221" t="s">
        <v>3337</v>
      </c>
      <c r="W414" s="221" t="s">
        <v>3338</v>
      </c>
      <c r="X414" s="227"/>
      <c r="Y414" s="227"/>
      <c r="Z414" s="227">
        <f t="shared" si="19"/>
        <v>0</v>
      </c>
      <c r="AA414" s="276" t="e">
        <f>VLOOKUP(Logfile_S12[[#This Row],[DO number]],DO_DB!G:I,3,0)</f>
        <v>#N/A</v>
      </c>
      <c r="AB414" s="331" t="e">
        <f>EXACT(Logfile_S12[[#This Row],[date pick]],Logfile_S12[[#This Row],[Date]])</f>
        <v>#N/A</v>
      </c>
      <c r="AC4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15" spans="1:29" ht="14.5" hidden="1">
      <c r="A415" s="237" t="str">
        <f t="shared" si="20"/>
        <v>411</v>
      </c>
      <c r="B415" s="221">
        <v>1</v>
      </c>
      <c r="C415" s="227" t="s">
        <v>49</v>
      </c>
      <c r="D415" s="227" t="s">
        <v>4763</v>
      </c>
      <c r="E415" s="227" t="s">
        <v>3295</v>
      </c>
      <c r="F415" s="227" t="s">
        <v>3299</v>
      </c>
      <c r="G415" s="239">
        <v>46012</v>
      </c>
      <c r="H415" s="240">
        <v>0.33333333333333331</v>
      </c>
      <c r="I415" s="227" t="s">
        <v>3295</v>
      </c>
      <c r="J415" s="221" t="s">
        <v>3023</v>
      </c>
      <c r="K415" s="241" t="s">
        <v>3073</v>
      </c>
      <c r="L415" s="225" t="str">
        <f>VLOOKUP(Logfile_S12[[#This Row],[Material Name]],Sheet2!B:C,2,0)</f>
        <v>ZTE2001</v>
      </c>
      <c r="M415" s="242" t="s">
        <v>20</v>
      </c>
      <c r="N415" s="227">
        <v>3000</v>
      </c>
      <c r="O415" s="227"/>
      <c r="P415" s="227"/>
      <c r="Q415" s="227"/>
      <c r="R415" s="227"/>
      <c r="S415" s="227"/>
      <c r="T415" s="221" t="s">
        <v>3258</v>
      </c>
      <c r="U415" s="221" t="s">
        <v>4811</v>
      </c>
      <c r="V415" s="221" t="s">
        <v>3337</v>
      </c>
      <c r="W415" s="221" t="s">
        <v>3338</v>
      </c>
      <c r="X415" s="227"/>
      <c r="Y415" s="227"/>
      <c r="Z415" s="227">
        <f t="shared" si="19"/>
        <v>0</v>
      </c>
      <c r="AA415" s="276" t="e">
        <f>VLOOKUP(Logfile_S12[[#This Row],[DO number]],DO_DB!G:I,3,0)</f>
        <v>#N/A</v>
      </c>
      <c r="AB415" s="331" t="e">
        <f>EXACT(Logfile_S12[[#This Row],[date pick]],Logfile_S12[[#This Row],[Date]])</f>
        <v>#N/A</v>
      </c>
      <c r="AC4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16" spans="1:29" ht="14.5" hidden="1">
      <c r="A416" s="237" t="str">
        <f t="shared" si="20"/>
        <v>412</v>
      </c>
      <c r="B416" s="221"/>
      <c r="C416" s="227" t="s">
        <v>48</v>
      </c>
      <c r="D416" s="227" t="s">
        <v>4761</v>
      </c>
      <c r="E416" s="227" t="s">
        <v>3295</v>
      </c>
      <c r="F416" s="227" t="s">
        <v>3299</v>
      </c>
      <c r="G416" s="239">
        <v>46012</v>
      </c>
      <c r="H416" s="240">
        <v>0.66666666666666663</v>
      </c>
      <c r="I416" s="227" t="s">
        <v>3586</v>
      </c>
      <c r="J416" s="482" t="s">
        <v>4432</v>
      </c>
      <c r="K416" s="241" t="s">
        <v>3073</v>
      </c>
      <c r="L416" s="225" t="str">
        <f>VLOOKUP(Logfile_S12[[#This Row],[Material Name]],Sheet2!B:C,2,0)</f>
        <v>ZTE2001</v>
      </c>
      <c r="M416" s="242" t="s">
        <v>20</v>
      </c>
      <c r="N416" s="227">
        <v>1500</v>
      </c>
      <c r="O416" s="227" t="s">
        <v>4785</v>
      </c>
      <c r="P416" s="227" t="s">
        <v>4786</v>
      </c>
      <c r="Q416" s="227"/>
      <c r="R416" s="227"/>
      <c r="S416" s="227"/>
      <c r="T416" s="227" t="s">
        <v>3258</v>
      </c>
      <c r="U416" s="227">
        <v>0</v>
      </c>
      <c r="V416" s="227" t="s">
        <v>3337</v>
      </c>
      <c r="W416" s="227" t="s">
        <v>3338</v>
      </c>
      <c r="X416" s="227" t="s">
        <v>4768</v>
      </c>
      <c r="Y416" s="238" t="s">
        <v>5270</v>
      </c>
      <c r="Z416" s="238" t="str">
        <f t="shared" si="19"/>
        <v>DUSUN ARDIREJO KELURAHAN SIDEREJO MALANG</v>
      </c>
      <c r="AA416" s="276" t="e">
        <f>VLOOKUP(Logfile_S12[[#This Row],[DO number]],DO_DB!G:I,3,0)</f>
        <v>#N/A</v>
      </c>
      <c r="AB416" s="332" t="e">
        <f>EXACT(Logfile_S12[[#This Row],[date pick]],Logfile_S12[[#This Row],[Date]])</f>
        <v>#N/A</v>
      </c>
      <c r="AC41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OUTBOUND_A-003-1500m</v>
      </c>
    </row>
    <row r="417" spans="1:29" ht="14.5" hidden="1">
      <c r="A417" s="237" t="str">
        <f t="shared" si="20"/>
        <v>413</v>
      </c>
      <c r="B417" s="221"/>
      <c r="C417" s="227" t="s">
        <v>48</v>
      </c>
      <c r="D417" s="227" t="s">
        <v>4832</v>
      </c>
      <c r="E417" s="227" t="s">
        <v>3295</v>
      </c>
      <c r="F417" s="227" t="s">
        <v>3299</v>
      </c>
      <c r="G417" s="239">
        <v>46012</v>
      </c>
      <c r="H417" s="240">
        <v>0.66666666666666663</v>
      </c>
      <c r="I417" s="227" t="s">
        <v>3586</v>
      </c>
      <c r="J417" s="482" t="s">
        <v>4432</v>
      </c>
      <c r="K417" s="241" t="s">
        <v>3073</v>
      </c>
      <c r="L417" s="225" t="str">
        <f>VLOOKUP(Logfile_S12[[#This Row],[Material Name]],Sheet2!B:C,2,0)</f>
        <v>ZTE2001</v>
      </c>
      <c r="M417" s="242" t="s">
        <v>20</v>
      </c>
      <c r="N417" s="227">
        <v>1500</v>
      </c>
      <c r="O417" s="227"/>
      <c r="P417" s="227" t="s">
        <v>4834</v>
      </c>
      <c r="Q417" s="227"/>
      <c r="R417" s="227"/>
      <c r="S417" s="227"/>
      <c r="T417" s="227" t="s">
        <v>3258</v>
      </c>
      <c r="U417" s="227">
        <v>0</v>
      </c>
      <c r="V417" s="227" t="s">
        <v>3337</v>
      </c>
      <c r="W417" s="227" t="s">
        <v>3338</v>
      </c>
      <c r="X417" s="227" t="s">
        <v>4834</v>
      </c>
      <c r="Y417" s="238" t="s">
        <v>5307</v>
      </c>
      <c r="Z417" s="238" t="str">
        <f t="shared" si="19"/>
        <v>sf bonangung</v>
      </c>
      <c r="AA417" s="276" t="e">
        <f>VLOOKUP(Logfile_S12[[#This Row],[DO number]],DO_DB!G:I,3,0)</f>
        <v>#N/A</v>
      </c>
      <c r="AB417" s="332" t="e">
        <f>EXACT(Logfile_S12[[#This Row],[date pick]],Logfile_S12[[#This Row],[Date]])</f>
        <v>#N/A</v>
      </c>
      <c r="AC417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OUTBOUND_A-045-1500m</v>
      </c>
    </row>
    <row r="418" spans="1:29" ht="14.5" hidden="1">
      <c r="A418" s="237" t="str">
        <f t="shared" si="20"/>
        <v>414</v>
      </c>
      <c r="B418" s="221">
        <v>2</v>
      </c>
      <c r="C418" s="227" t="s">
        <v>49</v>
      </c>
      <c r="D418" s="227" t="s">
        <v>4762</v>
      </c>
      <c r="E418" s="227" t="s">
        <v>3295</v>
      </c>
      <c r="F418" s="227" t="s">
        <v>3299</v>
      </c>
      <c r="G418" s="239">
        <v>46012</v>
      </c>
      <c r="H418" s="240">
        <v>0.33333333333333331</v>
      </c>
      <c r="I418" s="227" t="s">
        <v>3295</v>
      </c>
      <c r="J418" s="221" t="s">
        <v>3023</v>
      </c>
      <c r="K418" s="241" t="s">
        <v>3074</v>
      </c>
      <c r="L418" s="225" t="str">
        <f>VLOOKUP(Logfile_S12[[#This Row],[Material Name]],Sheet2!B:C,2,0)</f>
        <v>ZTE2002</v>
      </c>
      <c r="M418" s="242" t="s">
        <v>20</v>
      </c>
      <c r="N418" s="227">
        <v>3000</v>
      </c>
      <c r="O418" s="227"/>
      <c r="P418" s="227"/>
      <c r="Q418" s="227"/>
      <c r="R418" s="227"/>
      <c r="S418" s="227"/>
      <c r="T418" s="221" t="s">
        <v>3258</v>
      </c>
      <c r="U418" s="221" t="s">
        <v>4811</v>
      </c>
      <c r="V418" s="221" t="s">
        <v>3337</v>
      </c>
      <c r="W418" s="221" t="s">
        <v>3338</v>
      </c>
      <c r="X418" s="227"/>
      <c r="Y418" s="227"/>
      <c r="Z418" s="227">
        <f t="shared" si="19"/>
        <v>0</v>
      </c>
      <c r="AA418" s="276" t="e">
        <f>VLOOKUP(Logfile_S12[[#This Row],[DO number]],DO_DB!G:I,3,0)</f>
        <v>#N/A</v>
      </c>
      <c r="AB418" s="331" t="e">
        <f>EXACT(Logfile_S12[[#This Row],[date pick]],Logfile_S12[[#This Row],[Date]])</f>
        <v>#N/A</v>
      </c>
      <c r="AC4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19" spans="1:29" ht="14.5" hidden="1">
      <c r="A419" s="237" t="str">
        <f t="shared" si="20"/>
        <v>415</v>
      </c>
      <c r="B419" s="221">
        <v>2</v>
      </c>
      <c r="C419" s="227" t="s">
        <v>49</v>
      </c>
      <c r="D419" s="227" t="s">
        <v>4763</v>
      </c>
      <c r="E419" s="227" t="s">
        <v>3295</v>
      </c>
      <c r="F419" s="227" t="s">
        <v>3299</v>
      </c>
      <c r="G419" s="239">
        <v>46012</v>
      </c>
      <c r="H419" s="240">
        <v>0.33333333333333331</v>
      </c>
      <c r="I419" s="227" t="s">
        <v>3295</v>
      </c>
      <c r="J419" s="221" t="s">
        <v>3023</v>
      </c>
      <c r="K419" s="241" t="s">
        <v>3074</v>
      </c>
      <c r="L419" s="225" t="str">
        <f>VLOOKUP(Logfile_S12[[#This Row],[Material Name]],Sheet2!B:C,2,0)</f>
        <v>ZTE2002</v>
      </c>
      <c r="M419" s="242" t="s">
        <v>20</v>
      </c>
      <c r="N419" s="227">
        <v>3000</v>
      </c>
      <c r="O419" s="227"/>
      <c r="P419" s="227"/>
      <c r="Q419" s="227"/>
      <c r="R419" s="227"/>
      <c r="S419" s="227"/>
      <c r="T419" s="221" t="s">
        <v>3258</v>
      </c>
      <c r="U419" s="221" t="s">
        <v>4811</v>
      </c>
      <c r="V419" s="221" t="s">
        <v>3337</v>
      </c>
      <c r="W419" s="221" t="s">
        <v>3338</v>
      </c>
      <c r="X419" s="227"/>
      <c r="Y419" s="227"/>
      <c r="Z419" s="227">
        <f t="shared" si="19"/>
        <v>0</v>
      </c>
      <c r="AA419" s="276" t="e">
        <f>VLOOKUP(Logfile_S12[[#This Row],[DO number]],DO_DB!G:I,3,0)</f>
        <v>#N/A</v>
      </c>
      <c r="AB419" s="331" t="e">
        <f>EXACT(Logfile_S12[[#This Row],[date pick]],Logfile_S12[[#This Row],[Date]])</f>
        <v>#N/A</v>
      </c>
      <c r="AC4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20" spans="1:29" ht="14.5" hidden="1">
      <c r="A420" s="237" t="str">
        <f t="shared" si="20"/>
        <v>416</v>
      </c>
      <c r="B420" s="221"/>
      <c r="C420" s="227" t="s">
        <v>48</v>
      </c>
      <c r="D420" s="227" t="s">
        <v>4761</v>
      </c>
      <c r="E420" s="227" t="s">
        <v>3295</v>
      </c>
      <c r="F420" s="227" t="s">
        <v>3299</v>
      </c>
      <c r="G420" s="239">
        <v>46012</v>
      </c>
      <c r="H420" s="240">
        <v>0.66666666666666663</v>
      </c>
      <c r="I420" s="227" t="s">
        <v>3586</v>
      </c>
      <c r="J420" s="482" t="s">
        <v>4432</v>
      </c>
      <c r="K420" s="241" t="s">
        <v>3074</v>
      </c>
      <c r="L420" s="225" t="str">
        <f>VLOOKUP(Logfile_S12[[#This Row],[Material Name]],Sheet2!B:C,2,0)</f>
        <v>ZTE2002</v>
      </c>
      <c r="M420" s="242" t="s">
        <v>20</v>
      </c>
      <c r="N420" s="227">
        <v>275</v>
      </c>
      <c r="O420" s="227" t="s">
        <v>4785</v>
      </c>
      <c r="P420" s="227" t="s">
        <v>4786</v>
      </c>
      <c r="Q420" s="227"/>
      <c r="R420" s="227"/>
      <c r="S420" s="227"/>
      <c r="T420" s="227" t="s">
        <v>3258</v>
      </c>
      <c r="U420" s="227" t="s">
        <v>4811</v>
      </c>
      <c r="V420" s="227" t="s">
        <v>3337</v>
      </c>
      <c r="W420" s="227" t="s">
        <v>3338</v>
      </c>
      <c r="X420" s="227" t="s">
        <v>4826</v>
      </c>
      <c r="Y420" s="238" t="s">
        <v>5268</v>
      </c>
      <c r="Z420" s="238" t="s">
        <v>4825</v>
      </c>
      <c r="AA420" s="276" t="e">
        <f>VLOOKUP(Logfile_S12[[#This Row],[DO number]],DO_DB!G:I,3,0)</f>
        <v>#N/A</v>
      </c>
      <c r="AB420" s="332" t="e">
        <f>EXACT(Logfile_S12[[#This Row],[date pick]],Logfile_S12[[#This Row],[Date]])</f>
        <v>#N/A</v>
      </c>
      <c r="AC420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OUTBOUND_E-004-275m</v>
      </c>
    </row>
    <row r="421" spans="1:29" ht="14.5" hidden="1">
      <c r="A421" s="237" t="str">
        <f t="shared" si="20"/>
        <v>417</v>
      </c>
      <c r="B421" s="221"/>
      <c r="C421" s="227" t="s">
        <v>48</v>
      </c>
      <c r="D421" s="227" t="s">
        <v>4761</v>
      </c>
      <c r="E421" s="227" t="s">
        <v>3295</v>
      </c>
      <c r="F421" s="227" t="s">
        <v>3299</v>
      </c>
      <c r="G421" s="239">
        <v>46012</v>
      </c>
      <c r="H421" s="240">
        <v>0.66666666666666663</v>
      </c>
      <c r="I421" s="227" t="s">
        <v>3586</v>
      </c>
      <c r="J421" s="482" t="s">
        <v>4432</v>
      </c>
      <c r="K421" s="241" t="s">
        <v>3074</v>
      </c>
      <c r="L421" s="225" t="str">
        <f>VLOOKUP(Logfile_S12[[#This Row],[Material Name]],Sheet2!B:C,2,0)</f>
        <v>ZTE2002</v>
      </c>
      <c r="M421" s="242" t="s">
        <v>20</v>
      </c>
      <c r="N421" s="227">
        <v>450</v>
      </c>
      <c r="O421" s="227" t="s">
        <v>4785</v>
      </c>
      <c r="P421" s="227" t="s">
        <v>4786</v>
      </c>
      <c r="Q421" s="227"/>
      <c r="R421" s="227"/>
      <c r="S421" s="227"/>
      <c r="T421" s="227"/>
      <c r="U421" s="227"/>
      <c r="V421" s="227"/>
      <c r="W421" s="227"/>
      <c r="X421" s="227" t="s">
        <v>4767</v>
      </c>
      <c r="Y421" s="238" t="s">
        <v>5271</v>
      </c>
      <c r="Z421" s="238" t="str">
        <f t="shared" ref="Z421:Z428" si="21">P421</f>
        <v>DUSUN ARDIREJO KELURAHAN SIDEREJO MALANG</v>
      </c>
      <c r="AA421" s="276" t="e">
        <f>VLOOKUP(Logfile_S12[[#This Row],[DO number]],DO_DB!G:I,3,0)</f>
        <v>#N/A</v>
      </c>
      <c r="AB421" s="332" t="e">
        <f>EXACT(Logfile_S12[[#This Row],[date pick]],Logfile_S12[[#This Row],[Date]])</f>
        <v>#N/A</v>
      </c>
      <c r="AC421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OUTBOUND_E-006-450m</v>
      </c>
    </row>
    <row r="422" spans="1:29" ht="14.5" hidden="1">
      <c r="A422" s="237" t="str">
        <f t="shared" si="20"/>
        <v>418</v>
      </c>
      <c r="B422" s="221">
        <v>1</v>
      </c>
      <c r="C422" s="227" t="s">
        <v>49</v>
      </c>
      <c r="D422" s="227" t="s">
        <v>4764</v>
      </c>
      <c r="E422" s="227" t="s">
        <v>3295</v>
      </c>
      <c r="F422" s="227" t="s">
        <v>3299</v>
      </c>
      <c r="G422" s="239">
        <v>46013</v>
      </c>
      <c r="H422" s="240">
        <v>0.33333333333333331</v>
      </c>
      <c r="I422" s="227" t="s">
        <v>3295</v>
      </c>
      <c r="J422" s="221" t="s">
        <v>3023</v>
      </c>
      <c r="K422" s="241" t="s">
        <v>3073</v>
      </c>
      <c r="L422" s="225" t="str">
        <f>VLOOKUP(Logfile_S12[[#This Row],[Material Name]],Sheet2!B:C,2,0)</f>
        <v>ZTE2001</v>
      </c>
      <c r="M422" s="242" t="s">
        <v>20</v>
      </c>
      <c r="N422" s="227">
        <v>3000</v>
      </c>
      <c r="O422" s="227"/>
      <c r="P422" s="227"/>
      <c r="Q422" s="227"/>
      <c r="R422" s="227"/>
      <c r="S422" s="227"/>
      <c r="T422" s="221" t="s">
        <v>3258</v>
      </c>
      <c r="U422" s="221" t="s">
        <v>4811</v>
      </c>
      <c r="V422" s="221" t="s">
        <v>3337</v>
      </c>
      <c r="W422" s="221" t="s">
        <v>3338</v>
      </c>
      <c r="X422" s="227"/>
      <c r="Y422" s="227"/>
      <c r="Z422" s="227">
        <f t="shared" si="21"/>
        <v>0</v>
      </c>
      <c r="AA422" s="276" t="e">
        <f>VLOOKUP(Logfile_S12[[#This Row],[DO number]],DO_DB!G:I,3,0)</f>
        <v>#N/A</v>
      </c>
      <c r="AB422" s="331" t="e">
        <f>EXACT(Logfile_S12[[#This Row],[date pick]],Logfile_S12[[#This Row],[Date]])</f>
        <v>#N/A</v>
      </c>
      <c r="AC4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23" spans="1:29" ht="14.5" hidden="1">
      <c r="A423" s="237" t="str">
        <f t="shared" si="20"/>
        <v>419</v>
      </c>
      <c r="B423" s="221">
        <v>2</v>
      </c>
      <c r="C423" s="227" t="s">
        <v>49</v>
      </c>
      <c r="D423" s="227" t="s">
        <v>4764</v>
      </c>
      <c r="E423" s="227" t="s">
        <v>3295</v>
      </c>
      <c r="F423" s="227" t="s">
        <v>3299</v>
      </c>
      <c r="G423" s="239">
        <v>46013</v>
      </c>
      <c r="H423" s="240">
        <v>0.33333333333333331</v>
      </c>
      <c r="I423" s="227" t="s">
        <v>3295</v>
      </c>
      <c r="J423" s="221" t="s">
        <v>3023</v>
      </c>
      <c r="K423" s="241" t="s">
        <v>3074</v>
      </c>
      <c r="L423" s="225" t="str">
        <f>VLOOKUP(Logfile_S12[[#This Row],[Material Name]],Sheet2!B:C,2,0)</f>
        <v>ZTE2002</v>
      </c>
      <c r="M423" s="242" t="s">
        <v>20</v>
      </c>
      <c r="N423" s="227">
        <v>3000</v>
      </c>
      <c r="O423" s="227"/>
      <c r="P423" s="227"/>
      <c r="Q423" s="227"/>
      <c r="R423" s="227"/>
      <c r="S423" s="227"/>
      <c r="T423" s="221" t="s">
        <v>3258</v>
      </c>
      <c r="U423" s="221" t="s">
        <v>4811</v>
      </c>
      <c r="V423" s="221" t="s">
        <v>3337</v>
      </c>
      <c r="W423" s="221" t="s">
        <v>3338</v>
      </c>
      <c r="X423" s="227"/>
      <c r="Y423" s="227"/>
      <c r="Z423" s="227">
        <f t="shared" si="21"/>
        <v>0</v>
      </c>
      <c r="AA423" s="276" t="e">
        <f>VLOOKUP(Logfile_S12[[#This Row],[DO number]],DO_DB!G:I,3,0)</f>
        <v>#N/A</v>
      </c>
      <c r="AB423" s="331" t="e">
        <f>EXACT(Logfile_S12[[#This Row],[date pick]],Logfile_S12[[#This Row],[Date]])</f>
        <v>#N/A</v>
      </c>
      <c r="AC4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24" spans="1:29" ht="14.5" hidden="1">
      <c r="A424" s="237" t="str">
        <f t="shared" si="20"/>
        <v>420</v>
      </c>
      <c r="B424" s="221"/>
      <c r="C424" s="227" t="s">
        <v>49</v>
      </c>
      <c r="D424" s="227" t="s">
        <v>4775</v>
      </c>
      <c r="E424" s="227" t="s">
        <v>3295</v>
      </c>
      <c r="F424" s="227" t="s">
        <v>3299</v>
      </c>
      <c r="G424" s="239">
        <v>46015</v>
      </c>
      <c r="H424" s="240">
        <v>0.33333333333333331</v>
      </c>
      <c r="I424" s="227" t="s">
        <v>3586</v>
      </c>
      <c r="J424" s="482" t="s">
        <v>4432</v>
      </c>
      <c r="K424" s="241" t="s">
        <v>3073</v>
      </c>
      <c r="L424" s="225" t="str">
        <f>VLOOKUP(Logfile_S12[[#This Row],[Material Name]],Sheet2!B:C,2,0)</f>
        <v>ZTE2001</v>
      </c>
      <c r="M424" s="242" t="s">
        <v>20</v>
      </c>
      <c r="N424" s="227">
        <v>1500</v>
      </c>
      <c r="O424" s="227" t="s">
        <v>4785</v>
      </c>
      <c r="P424" s="227" t="s">
        <v>4786</v>
      </c>
      <c r="Q424" s="227"/>
      <c r="R424" s="227"/>
      <c r="S424" s="227"/>
      <c r="T424" s="227" t="s">
        <v>3258</v>
      </c>
      <c r="U424" s="227">
        <v>0</v>
      </c>
      <c r="V424" s="227" t="s">
        <v>3337</v>
      </c>
      <c r="W424" s="227" t="s">
        <v>3338</v>
      </c>
      <c r="X424" s="227" t="s">
        <v>4773</v>
      </c>
      <c r="Y424" s="238" t="s">
        <v>5272</v>
      </c>
      <c r="Z424" s="238" t="str">
        <f t="shared" si="21"/>
        <v>DUSUN ARDIREJO KELURAHAN SIDEREJO MALANG</v>
      </c>
      <c r="AA424" s="276" t="e">
        <f>VLOOKUP(Logfile_S12[[#This Row],[DO number]],DO_DB!G:I,3,0)</f>
        <v>#N/A</v>
      </c>
      <c r="AB424" s="332" t="e">
        <f>EXACT(Logfile_S12[[#This Row],[date pick]],Logfile_S12[[#This Row],[Date]])</f>
        <v>#N/A</v>
      </c>
      <c r="AC42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OUTBOUND_A-004-1500m</v>
      </c>
    </row>
    <row r="425" spans="1:29" ht="14.5" hidden="1">
      <c r="A425" s="237" t="str">
        <f t="shared" si="20"/>
        <v>421</v>
      </c>
      <c r="B425" s="221"/>
      <c r="C425" s="227" t="s">
        <v>49</v>
      </c>
      <c r="D425" s="227" t="s">
        <v>4775</v>
      </c>
      <c r="E425" s="227" t="s">
        <v>3295</v>
      </c>
      <c r="F425" s="227" t="s">
        <v>3299</v>
      </c>
      <c r="G425" s="239">
        <v>46015</v>
      </c>
      <c r="H425" s="240">
        <v>0.33333333333333331</v>
      </c>
      <c r="I425" s="227" t="s">
        <v>3586</v>
      </c>
      <c r="J425" s="482" t="s">
        <v>4432</v>
      </c>
      <c r="K425" s="241" t="s">
        <v>3073</v>
      </c>
      <c r="L425" s="225" t="str">
        <f>VLOOKUP(Logfile_S12[[#This Row],[Material Name]],Sheet2!B:C,2,0)</f>
        <v>ZTE2001</v>
      </c>
      <c r="M425" s="242" t="s">
        <v>20</v>
      </c>
      <c r="N425" s="227">
        <v>500</v>
      </c>
      <c r="O425" s="227"/>
      <c r="P425" s="227" t="s">
        <v>4774</v>
      </c>
      <c r="Q425" s="227"/>
      <c r="R425" s="227"/>
      <c r="S425" s="227"/>
      <c r="T425" s="227" t="s">
        <v>3258</v>
      </c>
      <c r="U425" s="227">
        <v>0</v>
      </c>
      <c r="V425" s="227" t="s">
        <v>3337</v>
      </c>
      <c r="W425" s="227" t="s">
        <v>3338</v>
      </c>
      <c r="X425" s="227" t="s">
        <v>4774</v>
      </c>
      <c r="Y425" s="238" t="s">
        <v>5308</v>
      </c>
      <c r="Z425" s="238" t="str">
        <f t="shared" si="21"/>
        <v>SF FDT 4 ardirejo</v>
      </c>
      <c r="AA425" s="276" t="e">
        <f>VLOOKUP(Logfile_S12[[#This Row],[DO number]],DO_DB!G:I,3,0)</f>
        <v>#N/A</v>
      </c>
      <c r="AB425" s="332" t="e">
        <f>EXACT(Logfile_S12[[#This Row],[date pick]],Logfile_S12[[#This Row],[Date]])</f>
        <v>#N/A</v>
      </c>
      <c r="AC425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OUTBOUND_A-046-500m</v>
      </c>
    </row>
    <row r="426" spans="1:29" ht="14.5" hidden="1">
      <c r="A426" s="237" t="str">
        <f t="shared" si="20"/>
        <v>422</v>
      </c>
      <c r="B426" s="221">
        <v>3</v>
      </c>
      <c r="C426" s="227" t="s">
        <v>49</v>
      </c>
      <c r="D426" s="227" t="s">
        <v>4777</v>
      </c>
      <c r="E426" s="227" t="s">
        <v>3295</v>
      </c>
      <c r="F426" s="227" t="s">
        <v>3299</v>
      </c>
      <c r="G426" s="239">
        <v>46016</v>
      </c>
      <c r="H426" s="240">
        <v>0.50902777777777775</v>
      </c>
      <c r="I426" s="227" t="s">
        <v>3295</v>
      </c>
      <c r="J426" s="221" t="s">
        <v>3023</v>
      </c>
      <c r="K426" s="241" t="s">
        <v>3073</v>
      </c>
      <c r="L426" s="225" t="str">
        <f>VLOOKUP(Logfile_S12[[#This Row],[Material Name]],Sheet2!B:C,2,0)</f>
        <v>ZTE2001</v>
      </c>
      <c r="M426" s="242" t="s">
        <v>20</v>
      </c>
      <c r="N426" s="221">
        <v>3000</v>
      </c>
      <c r="O426" s="227"/>
      <c r="P426" s="227"/>
      <c r="Q426" s="227"/>
      <c r="R426" s="227"/>
      <c r="S426" s="227"/>
      <c r="T426" s="221" t="s">
        <v>3258</v>
      </c>
      <c r="U426" s="221" t="s">
        <v>4811</v>
      </c>
      <c r="V426" s="221" t="s">
        <v>3337</v>
      </c>
      <c r="W426" s="221" t="s">
        <v>3338</v>
      </c>
      <c r="X426" s="227"/>
      <c r="Y426" s="227"/>
      <c r="Z426" s="227">
        <f t="shared" si="21"/>
        <v>0</v>
      </c>
      <c r="AA426" s="276" t="e">
        <f>VLOOKUP(Logfile_S12[[#This Row],[DO number]],DO_DB!G:I,3,0)</f>
        <v>#N/A</v>
      </c>
      <c r="AB426" s="331" t="e">
        <f>EXACT(Logfile_S12[[#This Row],[date pick]],Logfile_S12[[#This Row],[Date]])</f>
        <v>#N/A</v>
      </c>
      <c r="AC4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27" spans="1:29" ht="14.5" hidden="1">
      <c r="A427" s="237" t="str">
        <f t="shared" si="20"/>
        <v>423</v>
      </c>
      <c r="B427" s="221"/>
      <c r="C427" s="227" t="s">
        <v>49</v>
      </c>
      <c r="D427" s="227" t="s">
        <v>4777</v>
      </c>
      <c r="E427" s="227" t="s">
        <v>3295</v>
      </c>
      <c r="F427" s="227" t="s">
        <v>3299</v>
      </c>
      <c r="G427" s="239">
        <v>46016</v>
      </c>
      <c r="H427" s="240">
        <v>0.50902777777777775</v>
      </c>
      <c r="I427" s="227" t="s">
        <v>3295</v>
      </c>
      <c r="J427" s="221" t="s">
        <v>3023</v>
      </c>
      <c r="K427" s="241" t="s">
        <v>3073</v>
      </c>
      <c r="L427" s="225" t="str">
        <f>VLOOKUP(Logfile_S12[[#This Row],[Material Name]],Sheet2!B:C,2,0)</f>
        <v>ZTE2001</v>
      </c>
      <c r="M427" s="242" t="s">
        <v>20</v>
      </c>
      <c r="N427" s="221">
        <v>3000</v>
      </c>
      <c r="O427" s="227"/>
      <c r="P427" s="227"/>
      <c r="Q427" s="227"/>
      <c r="R427" s="227"/>
      <c r="S427" s="227"/>
      <c r="T427" s="221" t="s">
        <v>3258</v>
      </c>
      <c r="U427" s="221" t="s">
        <v>4811</v>
      </c>
      <c r="V427" s="221" t="s">
        <v>3337</v>
      </c>
      <c r="W427" s="221" t="s">
        <v>3338</v>
      </c>
      <c r="X427" s="227"/>
      <c r="Y427" s="238"/>
      <c r="Z427" s="227">
        <f t="shared" si="21"/>
        <v>0</v>
      </c>
      <c r="AA427" s="276" t="e">
        <f>VLOOKUP(Logfile_S12[[#This Row],[DO number]],DO_DB!G:I,3,0)</f>
        <v>#N/A</v>
      </c>
      <c r="AB427" s="331" t="e">
        <f>EXACT(Logfile_S12[[#This Row],[date pick]],Logfile_S12[[#This Row],[Date]])</f>
        <v>#N/A</v>
      </c>
      <c r="AC4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28" spans="1:29" ht="14.5" hidden="1">
      <c r="A428" s="237" t="str">
        <f t="shared" si="20"/>
        <v>424</v>
      </c>
      <c r="B428" s="221">
        <v>1</v>
      </c>
      <c r="C428" s="227" t="s">
        <v>3388</v>
      </c>
      <c r="D428" s="227" t="s">
        <v>4782</v>
      </c>
      <c r="E428" s="227" t="s">
        <v>3295</v>
      </c>
      <c r="F428" s="227" t="s">
        <v>3299</v>
      </c>
      <c r="G428" s="239">
        <v>46017</v>
      </c>
      <c r="H428" s="240">
        <v>0.54166666666666663</v>
      </c>
      <c r="I428" s="227" t="s">
        <v>4929</v>
      </c>
      <c r="J428" s="221" t="s">
        <v>3023</v>
      </c>
      <c r="K428" s="241" t="s">
        <v>3075</v>
      </c>
      <c r="L428" s="225" t="str">
        <f>VLOOKUP(Logfile_S12[[#This Row],[Material Name]],Sheet2!B:C,2,0)</f>
        <v>ZTE2003</v>
      </c>
      <c r="M428" s="242" t="s">
        <v>20</v>
      </c>
      <c r="N428" s="227">
        <v>3000</v>
      </c>
      <c r="O428" s="227" t="s">
        <v>4781</v>
      </c>
      <c r="P428" s="227"/>
      <c r="Q428" s="227"/>
      <c r="R428" s="227"/>
      <c r="S428" s="227"/>
      <c r="T428" s="227"/>
      <c r="U428" s="227"/>
      <c r="V428" s="227"/>
      <c r="W428" s="227"/>
      <c r="X428" s="227"/>
      <c r="Y428" s="227"/>
      <c r="Z428" s="227">
        <f t="shared" si="21"/>
        <v>0</v>
      </c>
      <c r="AA428" s="276" t="e">
        <f>VLOOKUP(Logfile_S12[[#This Row],[DO number]],DO_DB!G:I,3,0)</f>
        <v>#N/A</v>
      </c>
      <c r="AB428" s="331" t="e">
        <f>EXACT(Logfile_S12[[#This Row],[date pick]],Logfile_S12[[#This Row],[Date]])</f>
        <v>#N/A</v>
      </c>
      <c r="AC4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429" spans="1:29" ht="14.5" hidden="1">
      <c r="A429" s="237" t="str">
        <f t="shared" si="20"/>
        <v>425</v>
      </c>
      <c r="B429" s="221"/>
      <c r="C429" s="227" t="s">
        <v>49</v>
      </c>
      <c r="D429" s="227" t="s">
        <v>4784</v>
      </c>
      <c r="E429" s="227" t="s">
        <v>3295</v>
      </c>
      <c r="F429" s="227" t="s">
        <v>3299</v>
      </c>
      <c r="G429" s="239">
        <v>46035</v>
      </c>
      <c r="H429" s="240">
        <v>0.43888888888888888</v>
      </c>
      <c r="I429" s="227" t="s">
        <v>3586</v>
      </c>
      <c r="J429" s="482" t="s">
        <v>4432</v>
      </c>
      <c r="K429" s="241" t="s">
        <v>3073</v>
      </c>
      <c r="L429" s="225" t="str">
        <f>VLOOKUP(Logfile_S12[[#This Row],[Material Name]],Sheet2!B:C,2,0)</f>
        <v>ZTE2001</v>
      </c>
      <c r="M429" s="242" t="s">
        <v>20</v>
      </c>
      <c r="N429" s="227">
        <v>215</v>
      </c>
      <c r="O429" s="227" t="s">
        <v>4785</v>
      </c>
      <c r="P429" s="227" t="s">
        <v>4786</v>
      </c>
      <c r="Q429" s="227"/>
      <c r="R429" s="227"/>
      <c r="S429" s="227" t="s">
        <v>39</v>
      </c>
      <c r="T429" s="227" t="s">
        <v>3258</v>
      </c>
      <c r="U429" s="227">
        <v>0</v>
      </c>
      <c r="V429" s="227" t="s">
        <v>3337</v>
      </c>
      <c r="W429" s="227" t="s">
        <v>3338</v>
      </c>
      <c r="X429" s="227"/>
      <c r="Y429" s="238" t="s">
        <v>5263</v>
      </c>
      <c r="Z429" s="238" t="s">
        <v>4438</v>
      </c>
      <c r="AA429" s="276" t="e">
        <f>VLOOKUP(Logfile_S12[[#This Row],[DO number]],DO_DB!G:I,3,0)</f>
        <v>#N/A</v>
      </c>
      <c r="AB429" s="332" t="e">
        <f>EXACT(Logfile_S12[[#This Row],[date pick]],Logfile_S12[[#This Row],[Date]])</f>
        <v>#N/A</v>
      </c>
      <c r="AC42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OUTBOUND_A-002-215m</v>
      </c>
    </row>
    <row r="430" spans="1:29" ht="14.5" hidden="1">
      <c r="A430" s="237" t="str">
        <f t="shared" si="20"/>
        <v>426</v>
      </c>
      <c r="B430" s="221">
        <v>7</v>
      </c>
      <c r="C430" s="227" t="s">
        <v>48</v>
      </c>
      <c r="D430" s="227" t="s">
        <v>4812</v>
      </c>
      <c r="E430" s="227" t="s">
        <v>3295</v>
      </c>
      <c r="F430" s="227" t="s">
        <v>3299</v>
      </c>
      <c r="G430" s="239">
        <v>46041</v>
      </c>
      <c r="H430" s="240">
        <v>0.25138888888888888</v>
      </c>
      <c r="I430" s="227" t="s">
        <v>37</v>
      </c>
      <c r="J430" s="221" t="s">
        <v>3023</v>
      </c>
      <c r="K430" s="241" t="s">
        <v>3074</v>
      </c>
      <c r="L430" s="225" t="str">
        <f>VLOOKUP(Logfile_S12[[#This Row],[Material Name]],Sheet2!B:C,2,0)</f>
        <v>ZTE2002</v>
      </c>
      <c r="M430" s="242" t="s">
        <v>20</v>
      </c>
      <c r="N430" s="227">
        <v>3000</v>
      </c>
      <c r="O430" s="227" t="s">
        <v>4814</v>
      </c>
      <c r="P430" s="227" t="s">
        <v>4816</v>
      </c>
      <c r="Q430" s="227" t="s">
        <v>4818</v>
      </c>
      <c r="R430" s="227" t="s">
        <v>4817</v>
      </c>
      <c r="S430" s="227"/>
      <c r="T430" s="227" t="s">
        <v>3258</v>
      </c>
      <c r="U430" s="227" t="s">
        <v>4811</v>
      </c>
      <c r="V430" s="221" t="s">
        <v>3337</v>
      </c>
      <c r="W430" s="227" t="s">
        <v>3338</v>
      </c>
      <c r="X430" s="227"/>
      <c r="Y430" s="227" t="s">
        <v>5050</v>
      </c>
      <c r="Z430" s="227" t="str">
        <f>P430</f>
        <v>Griya Kebon Agung Indah</v>
      </c>
      <c r="AA430" s="276">
        <f>VLOOKUP(Logfile_S12[[#This Row],[DO number]],DO_DB!G:I,3,0)</f>
        <v>46041</v>
      </c>
      <c r="AB430" s="331" t="b">
        <f>EXACT(Logfile_S12[[#This Row],[date pick]],Logfile_S12[[#This Row],[Date]])</f>
        <v>1</v>
      </c>
      <c r="AC4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36C-2026120-01</v>
      </c>
    </row>
    <row r="431" spans="1:29" ht="14.5" hidden="1">
      <c r="A431" s="237" t="str">
        <f t="shared" si="20"/>
        <v>427</v>
      </c>
      <c r="B431" s="221">
        <v>3</v>
      </c>
      <c r="C431" s="227" t="s">
        <v>49</v>
      </c>
      <c r="D431" s="227" t="s">
        <v>4823</v>
      </c>
      <c r="E431" s="227" t="s">
        <v>3295</v>
      </c>
      <c r="F431" s="227" t="s">
        <v>3299</v>
      </c>
      <c r="G431" s="239">
        <v>46042</v>
      </c>
      <c r="H431" s="240">
        <v>0.68888888888888899</v>
      </c>
      <c r="I431" s="227" t="s">
        <v>3295</v>
      </c>
      <c r="J431" s="221" t="s">
        <v>3023</v>
      </c>
      <c r="K431" s="241" t="s">
        <v>3073</v>
      </c>
      <c r="L431" s="225" t="str">
        <f>VLOOKUP(Logfile_S12[[#This Row],[Material Name]],Sheet2!B:C,2,0)</f>
        <v>ZTE2001</v>
      </c>
      <c r="M431" s="242" t="s">
        <v>20</v>
      </c>
      <c r="N431" s="227">
        <v>3000</v>
      </c>
      <c r="O431" s="227" t="s">
        <v>4813</v>
      </c>
      <c r="P431" s="227" t="s">
        <v>4815</v>
      </c>
      <c r="Q431" s="227" t="s">
        <v>4820</v>
      </c>
      <c r="R431" s="227" t="s">
        <v>4819</v>
      </c>
      <c r="S431" s="227"/>
      <c r="T431" s="227" t="s">
        <v>3258</v>
      </c>
      <c r="U431" s="227" t="s">
        <v>4811</v>
      </c>
      <c r="V431" s="227" t="s">
        <v>3337</v>
      </c>
      <c r="W431" s="227" t="s">
        <v>3338</v>
      </c>
      <c r="X431" s="227"/>
      <c r="Y431" s="227"/>
      <c r="Z431" s="227" t="str">
        <f>P431</f>
        <v>KEBONAGUNG RW 06 PAKISAJI</v>
      </c>
      <c r="AA431" s="276">
        <f>VLOOKUP(Logfile_S12[[#This Row],[DO number]],DO_DB!G:I,3,0)</f>
        <v>46041</v>
      </c>
      <c r="AB431" s="331" t="b">
        <f>EXACT(Logfile_S12[[#This Row],[date pick]],Logfile_S12[[#This Row],[Date]])</f>
        <v>0</v>
      </c>
      <c r="AC4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32" spans="1:29" ht="14.5" hidden="1">
      <c r="A432" s="237" t="str">
        <f t="shared" si="20"/>
        <v>428</v>
      </c>
      <c r="B432" s="221">
        <v>4</v>
      </c>
      <c r="C432" s="227" t="s">
        <v>49</v>
      </c>
      <c r="D432" s="227" t="s">
        <v>4822</v>
      </c>
      <c r="E432" s="227" t="s">
        <v>3295</v>
      </c>
      <c r="F432" s="227" t="s">
        <v>3299</v>
      </c>
      <c r="G432" s="239">
        <v>46042</v>
      </c>
      <c r="H432" s="240">
        <v>0.68888888888888899</v>
      </c>
      <c r="I432" s="227" t="s">
        <v>3295</v>
      </c>
      <c r="J432" s="221" t="s">
        <v>3023</v>
      </c>
      <c r="K432" s="241" t="s">
        <v>3074</v>
      </c>
      <c r="L432" s="225" t="str">
        <f>VLOOKUP(Logfile_S12[[#This Row],[Material Name]],Sheet2!B:C,2,0)</f>
        <v>ZTE2002</v>
      </c>
      <c r="M432" s="242" t="s">
        <v>20</v>
      </c>
      <c r="N432" s="227">
        <v>3000</v>
      </c>
      <c r="O432" s="227" t="s">
        <v>4813</v>
      </c>
      <c r="P432" s="227" t="s">
        <v>4815</v>
      </c>
      <c r="Q432" s="227" t="s">
        <v>4820</v>
      </c>
      <c r="R432" s="227" t="s">
        <v>4819</v>
      </c>
      <c r="S432" s="227"/>
      <c r="T432" s="227" t="s">
        <v>3258</v>
      </c>
      <c r="U432" s="227" t="s">
        <v>4811</v>
      </c>
      <c r="V432" s="221" t="s">
        <v>3337</v>
      </c>
      <c r="W432" s="227" t="s">
        <v>3338</v>
      </c>
      <c r="X432" s="227"/>
      <c r="Y432" s="227"/>
      <c r="Z432" s="227" t="str">
        <f>P432</f>
        <v>KEBONAGUNG RW 06 PAKISAJI</v>
      </c>
      <c r="AA432" s="276">
        <f>VLOOKUP(Logfile_S12[[#This Row],[DO number]],DO_DB!G:I,3,0)</f>
        <v>46041</v>
      </c>
      <c r="AB432" s="331" t="b">
        <f>EXACT(Logfile_S12[[#This Row],[date pick]],Logfile_S12[[#This Row],[Date]])</f>
        <v>0</v>
      </c>
      <c r="AC4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33" spans="1:29" ht="14.5" hidden="1">
      <c r="A433" s="237" t="str">
        <f t="shared" si="20"/>
        <v>429</v>
      </c>
      <c r="B433" s="221"/>
      <c r="C433" s="227" t="s">
        <v>49</v>
      </c>
      <c r="D433" s="227" t="s">
        <v>4824</v>
      </c>
      <c r="E433" s="227" t="s">
        <v>3295</v>
      </c>
      <c r="F433" s="227" t="s">
        <v>3299</v>
      </c>
      <c r="G433" s="239">
        <v>46045</v>
      </c>
      <c r="H433" s="240">
        <v>0.69097222222222221</v>
      </c>
      <c r="I433" s="227" t="s">
        <v>3586</v>
      </c>
      <c r="J433" s="482" t="s">
        <v>4432</v>
      </c>
      <c r="K433" s="241" t="s">
        <v>3074</v>
      </c>
      <c r="L433" s="225" t="str">
        <f>VLOOKUP(Logfile_S12[[#This Row],[Material Name]],Sheet2!B:C,2,0)</f>
        <v>ZTE2002</v>
      </c>
      <c r="M433" s="242" t="s">
        <v>20</v>
      </c>
      <c r="N433" s="227">
        <v>275</v>
      </c>
      <c r="O433" s="227" t="s">
        <v>4813</v>
      </c>
      <c r="P433" s="227" t="s">
        <v>4815</v>
      </c>
      <c r="Q433" s="227" t="s">
        <v>4820</v>
      </c>
      <c r="R433" s="227" t="s">
        <v>4819</v>
      </c>
      <c r="S433" s="227"/>
      <c r="T433" s="227" t="s">
        <v>3258</v>
      </c>
      <c r="U433" s="227" t="s">
        <v>4811</v>
      </c>
      <c r="V433" s="227" t="s">
        <v>3337</v>
      </c>
      <c r="W433" s="227" t="s">
        <v>3338</v>
      </c>
      <c r="X433" s="227"/>
      <c r="Y433" s="238" t="s">
        <v>5277</v>
      </c>
      <c r="Z433" s="238" t="s">
        <v>4825</v>
      </c>
      <c r="AA433" s="276">
        <f>VLOOKUP(Logfile_S12[[#This Row],[DO number]],DO_DB!G:I,3,0)</f>
        <v>46041</v>
      </c>
      <c r="AB433" s="332" t="b">
        <f>EXACT(Logfile_S12[[#This Row],[date pick]],Logfile_S12[[#This Row],[Date]])</f>
        <v>0</v>
      </c>
      <c r="AC43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OUTBOUND_E-008-275m</v>
      </c>
    </row>
    <row r="434" spans="1:29" ht="14.5" hidden="1">
      <c r="A434" s="237" t="str">
        <f t="shared" si="20"/>
        <v>430</v>
      </c>
      <c r="B434" s="221"/>
      <c r="C434" s="227" t="s">
        <v>49</v>
      </c>
      <c r="D434" s="227" t="s">
        <v>4831</v>
      </c>
      <c r="E434" s="227" t="s">
        <v>3295</v>
      </c>
      <c r="F434" s="227" t="s">
        <v>3299</v>
      </c>
      <c r="G434" s="239">
        <v>46071</v>
      </c>
      <c r="H434" s="240">
        <v>0.67421296296296296</v>
      </c>
      <c r="I434" s="227" t="s">
        <v>3586</v>
      </c>
      <c r="J434" s="482" t="s">
        <v>4432</v>
      </c>
      <c r="K434" s="241" t="s">
        <v>3077</v>
      </c>
      <c r="L434" s="225" t="str">
        <f>VLOOKUP(Logfile_S12[[#This Row],[Material Name]],Sheet2!B:C,2,0)</f>
        <v>ZTE2004</v>
      </c>
      <c r="M434" s="242" t="s">
        <v>20</v>
      </c>
      <c r="N434" s="227">
        <v>150</v>
      </c>
      <c r="O434" s="227" t="s">
        <v>2142</v>
      </c>
      <c r="P434" s="227" t="s">
        <v>2143</v>
      </c>
      <c r="Q434" s="227"/>
      <c r="R434" s="227"/>
      <c r="S434" s="227"/>
      <c r="T434" s="227"/>
      <c r="U434" s="227"/>
      <c r="V434" s="227"/>
      <c r="W434" s="227"/>
      <c r="X434" s="227"/>
      <c r="Y434" s="238" t="s">
        <v>4968</v>
      </c>
      <c r="Z434" s="238" t="str">
        <f t="shared" ref="Z434:Z441" si="22">P434</f>
        <v>Main Feeder - OLT Smart Malang Segment 8 to Sumbersekar</v>
      </c>
      <c r="AA434" s="276" t="e">
        <f>VLOOKUP(Logfile_S12[[#This Row],[DO number]],DO_DB!G:I,3,0)</f>
        <v>#N/A</v>
      </c>
      <c r="AB434" s="332" t="e">
        <f>EXACT(Logfile_S12[[#This Row],[date pick]],Logfile_S12[[#This Row],[Date]])</f>
        <v>#N/A</v>
      </c>
      <c r="AC43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144C-202443-01</v>
      </c>
    </row>
    <row r="435" spans="1:29" ht="14.5" hidden="1">
      <c r="A435" s="237" t="str">
        <f t="shared" si="20"/>
        <v>431</v>
      </c>
      <c r="B435" s="221"/>
      <c r="C435" s="227" t="s">
        <v>49</v>
      </c>
      <c r="D435" s="227" t="s">
        <v>4833</v>
      </c>
      <c r="E435" s="227" t="s">
        <v>3295</v>
      </c>
      <c r="F435" s="227" t="s">
        <v>3299</v>
      </c>
      <c r="G435" s="239">
        <v>46090</v>
      </c>
      <c r="H435" s="240">
        <v>0.33333333333333331</v>
      </c>
      <c r="I435" s="227" t="s">
        <v>3586</v>
      </c>
      <c r="J435" s="482" t="s">
        <v>4432</v>
      </c>
      <c r="K435" s="241" t="s">
        <v>3073</v>
      </c>
      <c r="L435" s="225" t="str">
        <f>VLOOKUP(Logfile_S12[[#This Row],[Material Name]],Sheet2!B:C,2,0)</f>
        <v>ZTE2001</v>
      </c>
      <c r="M435" s="242" t="s">
        <v>20</v>
      </c>
      <c r="N435" s="227">
        <v>1500</v>
      </c>
      <c r="O435" s="227" t="s">
        <v>4835</v>
      </c>
      <c r="P435" s="227" t="s">
        <v>4836</v>
      </c>
      <c r="Q435" s="227"/>
      <c r="R435" s="227"/>
      <c r="S435" s="227"/>
      <c r="T435" s="227" t="s">
        <v>3258</v>
      </c>
      <c r="U435" s="227">
        <v>0</v>
      </c>
      <c r="V435" s="227" t="s">
        <v>3337</v>
      </c>
      <c r="W435" s="227" t="s">
        <v>3338</v>
      </c>
      <c r="X435" s="227"/>
      <c r="Y435" s="238" t="s">
        <v>5278</v>
      </c>
      <c r="Z435" s="238" t="str">
        <f t="shared" si="22"/>
        <v>LESANPURO RW 01 MALANG</v>
      </c>
      <c r="AA435" s="276" t="e">
        <f>VLOOKUP(Logfile_S12[[#This Row],[DO number]],DO_DB!G:I,3,0)</f>
        <v>#N/A</v>
      </c>
      <c r="AB435" s="332" t="e">
        <f>EXACT(Logfile_S12[[#This Row],[date pick]],Logfile_S12[[#This Row],[Date]])</f>
        <v>#N/A</v>
      </c>
      <c r="AC435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OUTBOUND_A-015-1500m</v>
      </c>
    </row>
    <row r="436" spans="1:29" ht="14.5" hidden="1">
      <c r="A436" s="237" t="str">
        <f t="shared" si="20"/>
        <v>432</v>
      </c>
      <c r="B436" s="221"/>
      <c r="C436" s="227" t="s">
        <v>49</v>
      </c>
      <c r="D436" s="227" t="s">
        <v>4858</v>
      </c>
      <c r="E436" s="227" t="s">
        <v>3295</v>
      </c>
      <c r="F436" s="227" t="s">
        <v>3299</v>
      </c>
      <c r="G436" s="239">
        <v>46091</v>
      </c>
      <c r="H436" s="240">
        <v>0.33333333333333331</v>
      </c>
      <c r="I436" s="227" t="s">
        <v>3586</v>
      </c>
      <c r="J436" s="482" t="s">
        <v>4432</v>
      </c>
      <c r="K436" s="241" t="s">
        <v>3074</v>
      </c>
      <c r="L436" s="225" t="str">
        <f>VLOOKUP(Logfile_S12[[#This Row],[Material Name]],Sheet2!B:C,2,0)</f>
        <v>ZTE2002</v>
      </c>
      <c r="M436" s="242" t="s">
        <v>20</v>
      </c>
      <c r="N436" s="227">
        <v>1000</v>
      </c>
      <c r="O436" s="227" t="s">
        <v>4835</v>
      </c>
      <c r="P436" s="227" t="s">
        <v>4836</v>
      </c>
      <c r="Q436" s="227"/>
      <c r="R436" s="227"/>
      <c r="S436" s="227"/>
      <c r="T436" s="227"/>
      <c r="U436" s="227"/>
      <c r="V436" s="227"/>
      <c r="W436" s="227"/>
      <c r="X436" s="227"/>
      <c r="Y436" s="238" t="s">
        <v>5279</v>
      </c>
      <c r="Z436" s="238" t="str">
        <f t="shared" si="22"/>
        <v>LESANPURO RW 01 MALANG</v>
      </c>
      <c r="AA436" s="276" t="e">
        <f>VLOOKUP(Logfile_S12[[#This Row],[DO number]],DO_DB!G:I,3,0)</f>
        <v>#N/A</v>
      </c>
      <c r="AB436" s="332" t="e">
        <f>EXACT(Logfile_S12[[#This Row],[date pick]],Logfile_S12[[#This Row],[Date]])</f>
        <v>#N/A</v>
      </c>
      <c r="AC43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OUTBOUND_E-009-1000m</v>
      </c>
    </row>
    <row r="437" spans="1:29" ht="14.5" hidden="1">
      <c r="A437" s="237" t="str">
        <f t="shared" si="20"/>
        <v>433</v>
      </c>
      <c r="B437" s="221">
        <v>4</v>
      </c>
      <c r="C437" s="227" t="s">
        <v>48</v>
      </c>
      <c r="D437" s="227" t="s">
        <v>4837</v>
      </c>
      <c r="E437" s="227" t="s">
        <v>3295</v>
      </c>
      <c r="F437" s="227" t="s">
        <v>3299</v>
      </c>
      <c r="G437" s="239">
        <v>46093</v>
      </c>
      <c r="H437" s="240">
        <v>0.79166666666666663</v>
      </c>
      <c r="I437" s="227" t="s">
        <v>37</v>
      </c>
      <c r="J437" s="221" t="s">
        <v>3023</v>
      </c>
      <c r="K437" s="241" t="s">
        <v>3073</v>
      </c>
      <c r="L437" s="225" t="str">
        <f>VLOOKUP(Logfile_S12[[#This Row],[Material Name]],Sheet2!B:C,2,0)</f>
        <v>ZTE2001</v>
      </c>
      <c r="M437" s="242" t="s">
        <v>19</v>
      </c>
      <c r="N437" s="227">
        <v>3000</v>
      </c>
      <c r="O437" s="227" t="s">
        <v>4839</v>
      </c>
      <c r="P437" s="227" t="s">
        <v>4840</v>
      </c>
      <c r="Q437" s="221" t="s">
        <v>4851</v>
      </c>
      <c r="R437" s="221" t="s">
        <v>4854</v>
      </c>
      <c r="S437" s="227"/>
      <c r="T437" s="227"/>
      <c r="U437" s="227"/>
      <c r="V437" s="227"/>
      <c r="W437" s="227"/>
      <c r="X437" s="227"/>
      <c r="Y437" s="227" t="s">
        <v>5037</v>
      </c>
      <c r="Z437" s="227" t="str">
        <f t="shared" si="22"/>
        <v>SEKARPURO RW 05 MALANG</v>
      </c>
      <c r="AA437" s="276">
        <f>VLOOKUP(Logfile_S12[[#This Row],[DO number]],DO_DB!G:I,3,0)</f>
        <v>46093</v>
      </c>
      <c r="AB437" s="331" t="b">
        <f>EXACT(Logfile_S12[[#This Row],[date pick]],Logfile_S12[[#This Row],[Date]])</f>
        <v>1</v>
      </c>
      <c r="AC4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24C-2026313-01</v>
      </c>
    </row>
    <row r="438" spans="1:29" ht="14.5" hidden="1">
      <c r="A438" s="237" t="str">
        <f t="shared" si="20"/>
        <v>434</v>
      </c>
      <c r="B438" s="221">
        <v>4</v>
      </c>
      <c r="C438" s="227" t="s">
        <v>49</v>
      </c>
      <c r="D438" s="227" t="s">
        <v>4838</v>
      </c>
      <c r="E438" s="227" t="s">
        <v>3295</v>
      </c>
      <c r="F438" s="227" t="s">
        <v>3299</v>
      </c>
      <c r="G438" s="239">
        <v>46095</v>
      </c>
      <c r="H438" s="240">
        <v>0.79166666666666663</v>
      </c>
      <c r="I438" s="227" t="s">
        <v>3295</v>
      </c>
      <c r="J438" s="221" t="s">
        <v>3023</v>
      </c>
      <c r="K438" s="241" t="s">
        <v>3073</v>
      </c>
      <c r="L438" s="225" t="str">
        <f>VLOOKUP(Logfile_S12[[#This Row],[Material Name]],Sheet2!B:C,2,0)</f>
        <v>ZTE2001</v>
      </c>
      <c r="M438" s="242" t="s">
        <v>20</v>
      </c>
      <c r="N438" s="227">
        <v>3000</v>
      </c>
      <c r="O438" s="227" t="s">
        <v>4839</v>
      </c>
      <c r="P438" s="227" t="s">
        <v>4840</v>
      </c>
      <c r="Q438" s="227"/>
      <c r="R438" s="227"/>
      <c r="S438" s="227"/>
      <c r="T438" s="221" t="s">
        <v>3258</v>
      </c>
      <c r="U438" s="221" t="s">
        <v>4811</v>
      </c>
      <c r="V438" s="221" t="s">
        <v>3337</v>
      </c>
      <c r="W438" s="221" t="s">
        <v>3338</v>
      </c>
      <c r="X438" s="227"/>
      <c r="Y438" s="227"/>
      <c r="Z438" s="227" t="str">
        <f t="shared" si="22"/>
        <v>SEKARPURO RW 05 MALANG</v>
      </c>
      <c r="AA438" s="276" t="e">
        <f>VLOOKUP(Logfile_S12[[#This Row],[DO number]],DO_DB!G:I,3,0)</f>
        <v>#N/A</v>
      </c>
      <c r="AB438" s="331" t="e">
        <f>EXACT(Logfile_S12[[#This Row],[date pick]],Logfile_S12[[#This Row],[Date]])</f>
        <v>#N/A</v>
      </c>
      <c r="AC4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39" spans="1:29" ht="14.5" hidden="1">
      <c r="A439" s="237" t="str">
        <f t="shared" si="20"/>
        <v>435</v>
      </c>
      <c r="B439" s="221"/>
      <c r="C439" s="227" t="s">
        <v>49</v>
      </c>
      <c r="D439" s="227" t="s">
        <v>4838</v>
      </c>
      <c r="E439" s="227" t="s">
        <v>3295</v>
      </c>
      <c r="F439" s="227" t="s">
        <v>3299</v>
      </c>
      <c r="G439" s="239">
        <v>46095</v>
      </c>
      <c r="H439" s="240">
        <v>0.79166666666666663</v>
      </c>
      <c r="I439" s="227" t="s">
        <v>3586</v>
      </c>
      <c r="J439" s="482" t="s">
        <v>4432</v>
      </c>
      <c r="K439" s="241" t="s">
        <v>3073</v>
      </c>
      <c r="L439" s="225" t="str">
        <f>VLOOKUP(Logfile_S12[[#This Row],[Material Name]],Sheet2!B:C,2,0)</f>
        <v>ZTE2001</v>
      </c>
      <c r="M439" s="242" t="s">
        <v>20</v>
      </c>
      <c r="N439" s="227">
        <v>350</v>
      </c>
      <c r="O439" s="227" t="s">
        <v>4841</v>
      </c>
      <c r="P439" s="227" t="s">
        <v>4842</v>
      </c>
      <c r="Q439" s="227"/>
      <c r="R439" s="227"/>
      <c r="S439" s="227"/>
      <c r="T439" s="227" t="s">
        <v>3258</v>
      </c>
      <c r="U439" s="227">
        <v>0</v>
      </c>
      <c r="V439" s="227" t="s">
        <v>3337</v>
      </c>
      <c r="W439" s="227" t="s">
        <v>3338</v>
      </c>
      <c r="X439" s="227"/>
      <c r="Y439" s="238" t="s">
        <v>5306</v>
      </c>
      <c r="Z439" s="238" t="str">
        <f t="shared" si="22"/>
        <v>SEKARPURO RW 08 MALANG</v>
      </c>
      <c r="AA439" s="276" t="e">
        <f>VLOOKUP(Logfile_S12[[#This Row],[DO number]],DO_DB!G:I,3,0)</f>
        <v>#N/A</v>
      </c>
      <c r="AB439" s="332" t="e">
        <f>EXACT(Logfile_S12[[#This Row],[date pick]],Logfile_S12[[#This Row],[Date]])</f>
        <v>#N/A</v>
      </c>
      <c r="AC43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OUTBOUND_A-043-350m</v>
      </c>
    </row>
    <row r="440" spans="1:29" ht="14.5" hidden="1">
      <c r="A440" s="237" t="str">
        <f t="shared" si="20"/>
        <v>436</v>
      </c>
      <c r="B440" s="221"/>
      <c r="C440" s="227" t="s">
        <v>48</v>
      </c>
      <c r="D440" s="227" t="s">
        <v>4844</v>
      </c>
      <c r="E440" s="227" t="s">
        <v>3295</v>
      </c>
      <c r="F440" s="227" t="s">
        <v>3299</v>
      </c>
      <c r="G440" s="239">
        <v>46097</v>
      </c>
      <c r="H440" s="240">
        <v>0.79166666666666663</v>
      </c>
      <c r="I440" s="227" t="s">
        <v>3586</v>
      </c>
      <c r="J440" s="482" t="s">
        <v>4432</v>
      </c>
      <c r="K440" s="241" t="s">
        <v>3073</v>
      </c>
      <c r="L440" s="225" t="str">
        <f>VLOOKUP(Logfile_S12[[#This Row],[Material Name]],Sheet2!B:C,2,0)</f>
        <v>ZTE2001</v>
      </c>
      <c r="M440" s="242" t="s">
        <v>20</v>
      </c>
      <c r="N440" s="227">
        <v>1000</v>
      </c>
      <c r="O440" s="227" t="s">
        <v>4839</v>
      </c>
      <c r="P440" s="227" t="s">
        <v>4840</v>
      </c>
      <c r="Q440" s="227"/>
      <c r="R440" s="227"/>
      <c r="S440" s="227"/>
      <c r="T440" s="227" t="s">
        <v>3258</v>
      </c>
      <c r="U440" s="227">
        <v>0</v>
      </c>
      <c r="V440" s="227" t="s">
        <v>3337</v>
      </c>
      <c r="W440" s="227" t="s">
        <v>3338</v>
      </c>
      <c r="X440" s="227"/>
      <c r="Y440" s="238" t="s">
        <v>5305</v>
      </c>
      <c r="Z440" s="238" t="str">
        <f t="shared" si="22"/>
        <v>SEKARPURO RW 05 MALANG</v>
      </c>
      <c r="AA440" s="276" t="e">
        <f>VLOOKUP(Logfile_S12[[#This Row],[DO number]],DO_DB!G:I,3,0)</f>
        <v>#N/A</v>
      </c>
      <c r="AB440" s="332" t="e">
        <f>EXACT(Logfile_S12[[#This Row],[date pick]],Logfile_S12[[#This Row],[Date]])</f>
        <v>#N/A</v>
      </c>
      <c r="AC440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OUTBOUND_A-042-1000m</v>
      </c>
    </row>
    <row r="441" spans="1:29" ht="14.5" hidden="1">
      <c r="A441" s="237" t="str">
        <f t="shared" si="20"/>
        <v>437</v>
      </c>
      <c r="B441" s="221"/>
      <c r="C441" s="227" t="s">
        <v>49</v>
      </c>
      <c r="D441" s="227" t="s">
        <v>4845</v>
      </c>
      <c r="E441" s="227" t="s">
        <v>3295</v>
      </c>
      <c r="F441" s="227" t="s">
        <v>3299</v>
      </c>
      <c r="G441" s="239">
        <v>46133</v>
      </c>
      <c r="H441" s="240">
        <v>0.79166666666666663</v>
      </c>
      <c r="I441" s="227" t="s">
        <v>3586</v>
      </c>
      <c r="J441" s="482" t="s">
        <v>4432</v>
      </c>
      <c r="K441" s="241" t="s">
        <v>3073</v>
      </c>
      <c r="L441" s="225" t="str">
        <f>VLOOKUP(Logfile_S12[[#This Row],[Material Name]],Sheet2!B:C,2,0)</f>
        <v>ZTE2001</v>
      </c>
      <c r="M441" s="242" t="s">
        <v>20</v>
      </c>
      <c r="N441" s="227">
        <v>1000</v>
      </c>
      <c r="O441" s="227" t="s">
        <v>4847</v>
      </c>
      <c r="P441" s="227" t="s">
        <v>4846</v>
      </c>
      <c r="Q441" s="227"/>
      <c r="R441" s="227"/>
      <c r="S441" s="227"/>
      <c r="T441" s="227" t="s">
        <v>3258</v>
      </c>
      <c r="U441" s="227">
        <v>0</v>
      </c>
      <c r="V441" s="227" t="s">
        <v>3337</v>
      </c>
      <c r="W441" s="227" t="s">
        <v>3338</v>
      </c>
      <c r="X441" s="227"/>
      <c r="Y441" s="238" t="s">
        <v>5302</v>
      </c>
      <c r="Z441" s="238" t="str">
        <f t="shared" si="22"/>
        <v>SEKARPURO RW 04 MALANG</v>
      </c>
      <c r="AA441" s="276" t="e">
        <f>VLOOKUP(Logfile_S12[[#This Row],[DO number]],DO_DB!G:I,3,0)</f>
        <v>#N/A</v>
      </c>
      <c r="AB441" s="332" t="e">
        <f>EXACT(Logfile_S12[[#This Row],[date pick]],Logfile_S12[[#This Row],[Date]])</f>
        <v>#N/A</v>
      </c>
      <c r="AC441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OUTBOUND_A-039-1000m</v>
      </c>
    </row>
    <row r="442" spans="1:29" ht="14.5" hidden="1">
      <c r="A442" s="237" t="str">
        <f t="shared" si="20"/>
        <v>438</v>
      </c>
      <c r="B442" s="221"/>
      <c r="C442" s="227" t="s">
        <v>48</v>
      </c>
      <c r="D442" s="227" t="s">
        <v>4848</v>
      </c>
      <c r="E442" s="227" t="s">
        <v>3295</v>
      </c>
      <c r="F442" s="227" t="s">
        <v>3299</v>
      </c>
      <c r="G442" s="239">
        <v>46133</v>
      </c>
      <c r="H442" s="240">
        <v>0.79166666666666663</v>
      </c>
      <c r="I442" s="227" t="s">
        <v>3586</v>
      </c>
      <c r="J442" s="482" t="s">
        <v>4432</v>
      </c>
      <c r="K442" s="241" t="s">
        <v>3073</v>
      </c>
      <c r="L442" s="225" t="str">
        <f>VLOOKUP(Logfile_S12[[#This Row],[Material Name]],Sheet2!B:C,2,0)</f>
        <v>ZTE2001</v>
      </c>
      <c r="M442" s="242" t="s">
        <v>20</v>
      </c>
      <c r="N442" s="227">
        <v>68</v>
      </c>
      <c r="O442" s="227"/>
      <c r="P442" s="227"/>
      <c r="Q442" s="227"/>
      <c r="R442" s="227"/>
      <c r="S442" s="227"/>
      <c r="T442" s="227"/>
      <c r="U442" s="227"/>
      <c r="V442" s="227"/>
      <c r="W442" s="227"/>
      <c r="X442" s="227"/>
      <c r="Y442" s="238" t="s">
        <v>5323</v>
      </c>
      <c r="Z442" s="238" t="s">
        <v>4863</v>
      </c>
      <c r="AA442" s="276" t="e">
        <f>VLOOKUP(Logfile_S12[[#This Row],[DO number]],DO_DB!G:I,3,0)</f>
        <v>#N/A</v>
      </c>
      <c r="AB442" s="332" t="e">
        <f>EXACT(Logfile_S12[[#This Row],[date pick]],Logfile_S12[[#This Row],[Date]])</f>
        <v>#N/A</v>
      </c>
      <c r="AC44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OUTBOUND_A-057-68m</v>
      </c>
    </row>
    <row r="443" spans="1:29" ht="14.5" hidden="1">
      <c r="A443" s="237" t="str">
        <f t="shared" si="20"/>
        <v>439</v>
      </c>
      <c r="B443" s="221"/>
      <c r="C443" s="227" t="s">
        <v>48</v>
      </c>
      <c r="D443" s="227" t="s">
        <v>4848</v>
      </c>
      <c r="E443" s="227" t="s">
        <v>3295</v>
      </c>
      <c r="F443" s="227" t="s">
        <v>3299</v>
      </c>
      <c r="G443" s="239">
        <v>46133</v>
      </c>
      <c r="H443" s="240">
        <v>0.79166666666666663</v>
      </c>
      <c r="I443" s="227" t="s">
        <v>3586</v>
      </c>
      <c r="J443" s="482" t="s">
        <v>4432</v>
      </c>
      <c r="K443" s="241" t="s">
        <v>3073</v>
      </c>
      <c r="L443" s="225" t="str">
        <f>VLOOKUP(Logfile_S12[[#This Row],[Material Name]],Sheet2!B:C,2,0)</f>
        <v>ZTE2001</v>
      </c>
      <c r="M443" s="242" t="s">
        <v>20</v>
      </c>
      <c r="N443" s="227">
        <v>79</v>
      </c>
      <c r="O443" s="227"/>
      <c r="P443" s="227"/>
      <c r="Q443" s="227"/>
      <c r="R443" s="227"/>
      <c r="S443" s="227"/>
      <c r="T443" s="227"/>
      <c r="U443" s="227"/>
      <c r="V443" s="227"/>
      <c r="W443" s="227"/>
      <c r="X443" s="227"/>
      <c r="Y443" s="238" t="s">
        <v>5324</v>
      </c>
      <c r="Z443" s="238" t="s">
        <v>4862</v>
      </c>
      <c r="AA443" s="276" t="e">
        <f>VLOOKUP(Logfile_S12[[#This Row],[DO number]],DO_DB!G:I,3,0)</f>
        <v>#N/A</v>
      </c>
      <c r="AB443" s="332" t="e">
        <f>EXACT(Logfile_S12[[#This Row],[date pick]],Logfile_S12[[#This Row],[Date]])</f>
        <v>#N/A</v>
      </c>
      <c r="AC44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OUTBOUND_A-058-79m</v>
      </c>
    </row>
    <row r="444" spans="1:29" ht="14.5" hidden="1">
      <c r="A444" s="237" t="str">
        <f t="shared" si="20"/>
        <v>440</v>
      </c>
      <c r="B444" s="221"/>
      <c r="C444" s="227" t="s">
        <v>48</v>
      </c>
      <c r="D444" s="227" t="s">
        <v>4848</v>
      </c>
      <c r="E444" s="227" t="s">
        <v>3295</v>
      </c>
      <c r="F444" s="227" t="s">
        <v>3299</v>
      </c>
      <c r="G444" s="239">
        <v>46133</v>
      </c>
      <c r="H444" s="240">
        <v>0.79166666666666663</v>
      </c>
      <c r="I444" s="227" t="s">
        <v>3586</v>
      </c>
      <c r="J444" s="482" t="s">
        <v>4432</v>
      </c>
      <c r="K444" s="241" t="s">
        <v>3073</v>
      </c>
      <c r="L444" s="225" t="str">
        <f>VLOOKUP(Logfile_S12[[#This Row],[Material Name]],Sheet2!B:C,2,0)</f>
        <v>ZTE2001</v>
      </c>
      <c r="M444" s="242" t="s">
        <v>20</v>
      </c>
      <c r="N444" s="227">
        <v>114</v>
      </c>
      <c r="O444" s="227"/>
      <c r="P444" s="227"/>
      <c r="Q444" s="227"/>
      <c r="R444" s="227"/>
      <c r="S444" s="227"/>
      <c r="T444" s="227"/>
      <c r="U444" s="227"/>
      <c r="V444" s="227"/>
      <c r="W444" s="227"/>
      <c r="X444" s="227"/>
      <c r="Y444" s="238" t="s">
        <v>5325</v>
      </c>
      <c r="Z444" s="238" t="s">
        <v>4860</v>
      </c>
      <c r="AA444" s="276" t="e">
        <f>VLOOKUP(Logfile_S12[[#This Row],[DO number]],DO_DB!G:I,3,0)</f>
        <v>#N/A</v>
      </c>
      <c r="AB444" s="332" t="e">
        <f>EXACT(Logfile_S12[[#This Row],[date pick]],Logfile_S12[[#This Row],[Date]])</f>
        <v>#N/A</v>
      </c>
      <c r="AC44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OUTBOUND_A-059-114m</v>
      </c>
    </row>
    <row r="445" spans="1:29" ht="14.5" hidden="1">
      <c r="A445" s="237" t="str">
        <f t="shared" si="20"/>
        <v>441</v>
      </c>
      <c r="B445" s="221"/>
      <c r="C445" s="227" t="s">
        <v>48</v>
      </c>
      <c r="D445" s="227" t="s">
        <v>4848</v>
      </c>
      <c r="E445" s="227" t="s">
        <v>3295</v>
      </c>
      <c r="F445" s="227" t="s">
        <v>3299</v>
      </c>
      <c r="G445" s="239">
        <v>46133</v>
      </c>
      <c r="H445" s="240">
        <v>0.79166666666666663</v>
      </c>
      <c r="I445" s="227" t="s">
        <v>3586</v>
      </c>
      <c r="J445" s="482" t="s">
        <v>4432</v>
      </c>
      <c r="K445" s="241" t="s">
        <v>3073</v>
      </c>
      <c r="L445" s="225" t="str">
        <f>VLOOKUP(Logfile_S12[[#This Row],[Material Name]],Sheet2!B:C,2,0)</f>
        <v>ZTE2001</v>
      </c>
      <c r="M445" s="242" t="s">
        <v>20</v>
      </c>
      <c r="N445" s="227">
        <v>125</v>
      </c>
      <c r="O445" s="227"/>
      <c r="P445" s="227"/>
      <c r="Q445" s="227"/>
      <c r="R445" s="227"/>
      <c r="S445" s="227"/>
      <c r="T445" s="227"/>
      <c r="U445" s="227"/>
      <c r="V445" s="227"/>
      <c r="W445" s="227"/>
      <c r="X445" s="227"/>
      <c r="Y445" s="238" t="s">
        <v>5326</v>
      </c>
      <c r="Z445" s="238" t="s">
        <v>4859</v>
      </c>
      <c r="AA445" s="276" t="e">
        <f>VLOOKUP(Logfile_S12[[#This Row],[DO number]],DO_DB!G:I,3,0)</f>
        <v>#N/A</v>
      </c>
      <c r="AB445" s="332" t="e">
        <f>EXACT(Logfile_S12[[#This Row],[date pick]],Logfile_S12[[#This Row],[Date]])</f>
        <v>#N/A</v>
      </c>
      <c r="AC445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OUTBOUND_A-060-125m</v>
      </c>
    </row>
    <row r="446" spans="1:29" ht="14.5" hidden="1">
      <c r="A446" s="237" t="str">
        <f t="shared" si="20"/>
        <v>442</v>
      </c>
      <c r="B446" s="221"/>
      <c r="C446" s="227" t="s">
        <v>48</v>
      </c>
      <c r="D446" s="227" t="s">
        <v>4848</v>
      </c>
      <c r="E446" s="227" t="s">
        <v>3295</v>
      </c>
      <c r="F446" s="227" t="s">
        <v>3299</v>
      </c>
      <c r="G446" s="239">
        <v>46133</v>
      </c>
      <c r="H446" s="240">
        <v>0.79166666666666663</v>
      </c>
      <c r="I446" s="227" t="s">
        <v>3586</v>
      </c>
      <c r="J446" s="482" t="s">
        <v>4432</v>
      </c>
      <c r="K446" s="241" t="s">
        <v>3073</v>
      </c>
      <c r="L446" s="225" t="str">
        <f>VLOOKUP(Logfile_S12[[#This Row],[Material Name]],Sheet2!B:C,2,0)</f>
        <v>ZTE2001</v>
      </c>
      <c r="M446" s="242" t="s">
        <v>20</v>
      </c>
      <c r="N446" s="227">
        <v>162</v>
      </c>
      <c r="O446" s="227"/>
      <c r="P446" s="227"/>
      <c r="Q446" s="227"/>
      <c r="R446" s="227"/>
      <c r="S446" s="227"/>
      <c r="T446" s="227"/>
      <c r="U446" s="227"/>
      <c r="V446" s="227"/>
      <c r="W446" s="227"/>
      <c r="X446" s="227"/>
      <c r="Y446" s="238" t="s">
        <v>5327</v>
      </c>
      <c r="Z446" s="238" t="s">
        <v>4861</v>
      </c>
      <c r="AA446" s="276" t="e">
        <f>VLOOKUP(Logfile_S12[[#This Row],[DO number]],DO_DB!G:I,3,0)</f>
        <v>#N/A</v>
      </c>
      <c r="AB446" s="332" t="e">
        <f>EXACT(Logfile_S12[[#This Row],[date pick]],Logfile_S12[[#This Row],[Date]])</f>
        <v>#N/A</v>
      </c>
      <c r="AC446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OUTBOUND_A-061-162m</v>
      </c>
    </row>
    <row r="447" spans="1:29" ht="14.5" hidden="1">
      <c r="A447" s="237" t="str">
        <f t="shared" si="20"/>
        <v>443</v>
      </c>
      <c r="B447" s="221"/>
      <c r="C447" s="227" t="s">
        <v>48</v>
      </c>
      <c r="D447" s="227" t="s">
        <v>4848</v>
      </c>
      <c r="E447" s="227" t="s">
        <v>3295</v>
      </c>
      <c r="F447" s="227" t="s">
        <v>3299</v>
      </c>
      <c r="G447" s="239">
        <v>46133</v>
      </c>
      <c r="H447" s="240">
        <v>0.79166666666666663</v>
      </c>
      <c r="I447" s="227" t="s">
        <v>3586</v>
      </c>
      <c r="J447" s="482" t="s">
        <v>4432</v>
      </c>
      <c r="K447" s="241" t="s">
        <v>3073</v>
      </c>
      <c r="L447" s="225" t="str">
        <f>VLOOKUP(Logfile_S12[[#This Row],[Material Name]],Sheet2!B:C,2,0)</f>
        <v>ZTE2001</v>
      </c>
      <c r="M447" s="242" t="s">
        <v>20</v>
      </c>
      <c r="N447" s="227">
        <v>185</v>
      </c>
      <c r="O447" s="227"/>
      <c r="P447" s="227"/>
      <c r="Q447" s="227"/>
      <c r="R447" s="227"/>
      <c r="S447" s="227"/>
      <c r="T447" s="227"/>
      <c r="U447" s="227"/>
      <c r="V447" s="227"/>
      <c r="W447" s="227"/>
      <c r="X447" s="227"/>
      <c r="Y447" s="238" t="s">
        <v>5332</v>
      </c>
      <c r="Z447" s="238" t="s">
        <v>4864</v>
      </c>
      <c r="AA447" s="276" t="e">
        <f>VLOOKUP(Logfile_S12[[#This Row],[DO number]],DO_DB!G:I,3,0)</f>
        <v>#N/A</v>
      </c>
      <c r="AB447" s="334" t="e">
        <f>EXACT(Logfile_S12[[#This Row],[date pick]],Logfile_S12[[#This Row],[Date]])</f>
        <v>#N/A</v>
      </c>
      <c r="AC447" s="334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OUTBOUND_A-062-185m</v>
      </c>
    </row>
    <row r="448" spans="1:29" ht="14.5" hidden="1">
      <c r="A448" s="237" t="str">
        <f t="shared" si="20"/>
        <v>444</v>
      </c>
      <c r="B448" s="221"/>
      <c r="C448" s="227" t="s">
        <v>49</v>
      </c>
      <c r="D448" s="227" t="s">
        <v>4897</v>
      </c>
      <c r="E448" s="227" t="s">
        <v>3295</v>
      </c>
      <c r="F448" s="227" t="s">
        <v>3299</v>
      </c>
      <c r="G448" s="239">
        <v>46134</v>
      </c>
      <c r="H448" s="240">
        <v>0.79166666666666663</v>
      </c>
      <c r="I448" s="227" t="s">
        <v>3586</v>
      </c>
      <c r="J448" s="482" t="s">
        <v>4432</v>
      </c>
      <c r="K448" s="241" t="s">
        <v>3073</v>
      </c>
      <c r="L448" s="225" t="str">
        <f>VLOOKUP(Logfile_S12[[#This Row],[Material Name]],Sheet2!B:C,2,0)</f>
        <v>ZTE2001</v>
      </c>
      <c r="M448" s="242" t="s">
        <v>20</v>
      </c>
      <c r="N448" s="227">
        <v>185</v>
      </c>
      <c r="O448" s="227" t="s">
        <v>4847</v>
      </c>
      <c r="P448" s="227" t="s">
        <v>4846</v>
      </c>
      <c r="Q448" s="227"/>
      <c r="R448" s="227"/>
      <c r="S448" s="227"/>
      <c r="T448" s="227" t="s">
        <v>3258</v>
      </c>
      <c r="U448" s="227">
        <v>0</v>
      </c>
      <c r="V448" s="227" t="s">
        <v>3337</v>
      </c>
      <c r="W448" s="227" t="s">
        <v>3338</v>
      </c>
      <c r="X448" s="227"/>
      <c r="Y448" s="238" t="s">
        <v>5303</v>
      </c>
      <c r="Z448" s="238" t="str">
        <f t="shared" ref="Z448:Z458" si="23">P448</f>
        <v>SEKARPURO RW 04 MALANG</v>
      </c>
      <c r="AA448" s="276" t="e">
        <f>VLOOKUP(Logfile_S12[[#This Row],[DO number]],DO_DB!G:I,3,0)</f>
        <v>#N/A</v>
      </c>
      <c r="AB448" s="332" t="e">
        <f>EXACT(Logfile_S12[[#This Row],[date pick]],Logfile_S12[[#This Row],[Date]])</f>
        <v>#N/A</v>
      </c>
      <c r="AC448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OUTBOUND_A-040-185m</v>
      </c>
    </row>
    <row r="449" spans="1:29" ht="14.5" hidden="1">
      <c r="A449" s="237" t="str">
        <f t="shared" si="20"/>
        <v>445</v>
      </c>
      <c r="B449" s="221"/>
      <c r="C449" s="227" t="s">
        <v>49</v>
      </c>
      <c r="D449" s="227" t="s">
        <v>4897</v>
      </c>
      <c r="E449" s="227" t="s">
        <v>3295</v>
      </c>
      <c r="F449" s="227" t="s">
        <v>3299</v>
      </c>
      <c r="G449" s="239">
        <v>46134</v>
      </c>
      <c r="H449" s="240">
        <v>0.79166666666666663</v>
      </c>
      <c r="I449" s="227" t="s">
        <v>3586</v>
      </c>
      <c r="J449" s="482" t="s">
        <v>4432</v>
      </c>
      <c r="K449" s="241" t="s">
        <v>3073</v>
      </c>
      <c r="L449" s="225" t="str">
        <f>VLOOKUP(Logfile_S12[[#This Row],[Material Name]],Sheet2!B:C,2,0)</f>
        <v>ZTE2001</v>
      </c>
      <c r="M449" s="242" t="s">
        <v>20</v>
      </c>
      <c r="N449" s="227">
        <v>500</v>
      </c>
      <c r="O449" s="227" t="s">
        <v>4847</v>
      </c>
      <c r="P449" s="227" t="s">
        <v>4846</v>
      </c>
      <c r="Q449" s="227"/>
      <c r="R449" s="227"/>
      <c r="S449" s="227"/>
      <c r="T449" s="227" t="s">
        <v>3258</v>
      </c>
      <c r="U449" s="227">
        <v>0</v>
      </c>
      <c r="V449" s="227" t="s">
        <v>3337</v>
      </c>
      <c r="W449" s="227" t="s">
        <v>3338</v>
      </c>
      <c r="X449" s="227"/>
      <c r="Y449" s="238" t="s">
        <v>5304</v>
      </c>
      <c r="Z449" s="238" t="str">
        <f t="shared" si="23"/>
        <v>SEKARPURO RW 04 MALANG</v>
      </c>
      <c r="AA449" s="276" t="e">
        <f>VLOOKUP(Logfile_S12[[#This Row],[DO number]],DO_DB!G:I,3,0)</f>
        <v>#N/A</v>
      </c>
      <c r="AB449" s="332" t="e">
        <f>EXACT(Logfile_S12[[#This Row],[date pick]],Logfile_S12[[#This Row],[Date]])</f>
        <v>#N/A</v>
      </c>
      <c r="AC44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OUTBOUND_A-041-500m</v>
      </c>
    </row>
    <row r="450" spans="1:29" ht="14.5" hidden="1">
      <c r="A450" s="237" t="str">
        <f t="shared" si="20"/>
        <v>446</v>
      </c>
      <c r="B450" s="221">
        <v>3</v>
      </c>
      <c r="C450" s="227" t="s">
        <v>48</v>
      </c>
      <c r="D450" s="227" t="s">
        <v>4865</v>
      </c>
      <c r="E450" s="227" t="s">
        <v>3295</v>
      </c>
      <c r="F450" s="227" t="s">
        <v>3299</v>
      </c>
      <c r="G450" s="239">
        <v>46151</v>
      </c>
      <c r="H450" s="240">
        <v>0.61527777777777781</v>
      </c>
      <c r="I450" s="227" t="s">
        <v>37</v>
      </c>
      <c r="J450" s="221" t="s">
        <v>3023</v>
      </c>
      <c r="K450" s="241" t="s">
        <v>3073</v>
      </c>
      <c r="L450" s="225" t="str">
        <f>VLOOKUP(Logfile_S12[[#This Row],[Material Name]],Sheet2!B:C,2,0)</f>
        <v>ZTE2001</v>
      </c>
      <c r="M450" s="242" t="s">
        <v>20</v>
      </c>
      <c r="N450" s="227">
        <v>3000</v>
      </c>
      <c r="O450" s="221" t="s">
        <v>4866</v>
      </c>
      <c r="P450" s="221" t="s">
        <v>4867</v>
      </c>
      <c r="Q450" s="221" t="s">
        <v>4868</v>
      </c>
      <c r="R450" s="221" t="s">
        <v>4872</v>
      </c>
      <c r="S450" s="227"/>
      <c r="T450" s="227"/>
      <c r="U450" s="227"/>
      <c r="V450" s="227"/>
      <c r="W450" s="227"/>
      <c r="X450" s="227"/>
      <c r="Y450" s="227" t="s">
        <v>5038</v>
      </c>
      <c r="Z450" s="227" t="str">
        <f t="shared" si="23"/>
        <v>WONOKOYO RW 05 KEDUNGKANDANG</v>
      </c>
      <c r="AA450" s="276">
        <f>VLOOKUP(Logfile_S12[[#This Row],[DO number]],DO_DB!G:I,3,0)</f>
        <v>46151</v>
      </c>
      <c r="AB450" s="331" t="b">
        <f>EXACT(Logfile_S12[[#This Row],[date pick]],Logfile_S12[[#This Row],[Date]])</f>
        <v>1</v>
      </c>
      <c r="AC4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24C-202659-01</v>
      </c>
    </row>
    <row r="451" spans="1:29" ht="14.5" hidden="1">
      <c r="A451" s="237" t="str">
        <f t="shared" si="20"/>
        <v>447</v>
      </c>
      <c r="B451" s="221">
        <v>5</v>
      </c>
      <c r="C451" s="227" t="s">
        <v>48</v>
      </c>
      <c r="D451" s="227" t="s">
        <v>4895</v>
      </c>
      <c r="E451" s="227" t="s">
        <v>3295</v>
      </c>
      <c r="F451" s="227" t="s">
        <v>3299</v>
      </c>
      <c r="G451" s="239">
        <v>46164</v>
      </c>
      <c r="H451" s="240">
        <v>0.74236111111111114</v>
      </c>
      <c r="I451" s="227" t="s">
        <v>37</v>
      </c>
      <c r="J451" s="227" t="s">
        <v>3023</v>
      </c>
      <c r="K451" s="241" t="s">
        <v>3073</v>
      </c>
      <c r="L451" s="225" t="str">
        <f>VLOOKUP(Logfile_S12[[#This Row],[Material Name]],Sheet2!B:C,2,0)</f>
        <v>ZTE2001</v>
      </c>
      <c r="M451" s="242" t="s">
        <v>20</v>
      </c>
      <c r="N451" s="227">
        <v>3000</v>
      </c>
      <c r="O451" s="227" t="s">
        <v>4870</v>
      </c>
      <c r="P451" s="227" t="s">
        <v>4871</v>
      </c>
      <c r="Q451" s="221" t="s">
        <v>4869</v>
      </c>
      <c r="R451" s="221">
        <v>0</v>
      </c>
      <c r="S451" s="227"/>
      <c r="T451" s="227"/>
      <c r="U451" s="227"/>
      <c r="V451" s="227"/>
      <c r="W451" s="227"/>
      <c r="X451" s="227"/>
      <c r="Y451" s="227" t="s">
        <v>5039</v>
      </c>
      <c r="Z451" s="227" t="str">
        <f t="shared" si="23"/>
        <v>SUMBERSEKAR RT 07 RW 04 MALANG</v>
      </c>
      <c r="AA451" s="276">
        <f>VLOOKUP(Logfile_S12[[#This Row],[DO number]],DO_DB!G:I,3,0)</f>
        <v>46164</v>
      </c>
      <c r="AB451" s="331" t="b">
        <f>EXACT(Logfile_S12[[#This Row],[date pick]],Logfile_S12[[#This Row],[Date]])</f>
        <v>1</v>
      </c>
      <c r="AC4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24C-2026522-01</v>
      </c>
    </row>
    <row r="452" spans="1:29" ht="14.5" hidden="1">
      <c r="A452" s="237" t="str">
        <f t="shared" si="20"/>
        <v>448</v>
      </c>
      <c r="B452" s="221"/>
      <c r="C452" s="227" t="s">
        <v>49</v>
      </c>
      <c r="D452" s="227" t="s">
        <v>4906</v>
      </c>
      <c r="E452" s="227" t="s">
        <v>3295</v>
      </c>
      <c r="F452" s="227" t="s">
        <v>3299</v>
      </c>
      <c r="G452" s="239">
        <v>46193</v>
      </c>
      <c r="H452" s="240">
        <v>0.33333333333333331</v>
      </c>
      <c r="I452" s="227" t="s">
        <v>3295</v>
      </c>
      <c r="J452" s="227" t="s">
        <v>3023</v>
      </c>
      <c r="K452" s="241" t="s">
        <v>3073</v>
      </c>
      <c r="L452" s="225" t="str">
        <f>VLOOKUP(Logfile_S12[[#This Row],[Material Name]],Sheet2!B:C,2,0)</f>
        <v>ZTE2001</v>
      </c>
      <c r="M452" s="242" t="s">
        <v>20</v>
      </c>
      <c r="N452" s="227">
        <v>3000</v>
      </c>
      <c r="O452" s="221" t="s">
        <v>4898</v>
      </c>
      <c r="P452" s="221" t="s">
        <v>4900</v>
      </c>
      <c r="Q452" s="227"/>
      <c r="R452" s="227"/>
      <c r="S452" s="227"/>
      <c r="T452" s="221" t="s">
        <v>3258</v>
      </c>
      <c r="U452" s="221" t="s">
        <v>4811</v>
      </c>
      <c r="V452" s="221" t="s">
        <v>3337</v>
      </c>
      <c r="W452" s="221" t="s">
        <v>3338</v>
      </c>
      <c r="X452" s="227"/>
      <c r="Y452" s="227"/>
      <c r="Z452" s="227" t="str">
        <f t="shared" si="23"/>
        <v>RANDUANGUNG RW 04 SINGOSARI MALANG</v>
      </c>
      <c r="AA452" s="276" t="e">
        <f>VLOOKUP(Logfile_S12[[#This Row],[DO number]],DO_DB!G:I,3,0)</f>
        <v>#N/A</v>
      </c>
      <c r="AB452" s="331" t="e">
        <f>EXACT(Logfile_S12[[#This Row],[date pick]],Logfile_S12[[#This Row],[Date]])</f>
        <v>#N/A</v>
      </c>
      <c r="AC4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53" spans="1:29" ht="14.5" hidden="1">
      <c r="A453" s="237" t="str">
        <f t="shared" ref="A453:A516" si="24">TEXT(ROW(A453)-ROW($A$4),"000")</f>
        <v>449</v>
      </c>
      <c r="B453" s="221"/>
      <c r="C453" s="227" t="s">
        <v>48</v>
      </c>
      <c r="D453" s="227" t="s">
        <v>4907</v>
      </c>
      <c r="E453" s="227" t="s">
        <v>3295</v>
      </c>
      <c r="F453" s="227" t="s">
        <v>3299</v>
      </c>
      <c r="G453" s="239">
        <v>46193</v>
      </c>
      <c r="H453" s="240">
        <v>0.33333333333333331</v>
      </c>
      <c r="I453" s="227" t="s">
        <v>3586</v>
      </c>
      <c r="J453" s="482" t="s">
        <v>4432</v>
      </c>
      <c r="K453" s="241" t="s">
        <v>3073</v>
      </c>
      <c r="L453" s="225" t="str">
        <f>VLOOKUP(Logfile_S12[[#This Row],[Material Name]],Sheet2!B:C,2,0)</f>
        <v>ZTE2001</v>
      </c>
      <c r="M453" s="242" t="s">
        <v>20</v>
      </c>
      <c r="N453" s="227">
        <v>300</v>
      </c>
      <c r="O453" s="227" t="s">
        <v>4898</v>
      </c>
      <c r="P453" s="227" t="s">
        <v>4900</v>
      </c>
      <c r="Q453" s="227"/>
      <c r="R453" s="227"/>
      <c r="S453" s="227"/>
      <c r="T453" s="227" t="s">
        <v>3258</v>
      </c>
      <c r="U453" s="227">
        <v>0</v>
      </c>
      <c r="V453" s="227" t="s">
        <v>3337</v>
      </c>
      <c r="W453" s="227" t="s">
        <v>3338</v>
      </c>
      <c r="X453" s="227"/>
      <c r="Y453" s="238" t="s">
        <v>5299</v>
      </c>
      <c r="Z453" s="238" t="str">
        <f t="shared" si="23"/>
        <v>RANDUANGUNG RW 04 SINGOSARI MALANG</v>
      </c>
      <c r="AA453" s="276" t="e">
        <f>VLOOKUP(Logfile_S12[[#This Row],[DO number]],DO_DB!G:I,3,0)</f>
        <v>#N/A</v>
      </c>
      <c r="AB453" s="332" t="e">
        <f>EXACT(Logfile_S12[[#This Row],[date pick]],Logfile_S12[[#This Row],[Date]])</f>
        <v>#N/A</v>
      </c>
      <c r="AC45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OUTBOUND_A-037-300m</v>
      </c>
    </row>
    <row r="454" spans="1:29" ht="14.5" hidden="1">
      <c r="A454" s="237" t="str">
        <f t="shared" si="24"/>
        <v>450</v>
      </c>
      <c r="B454" s="221"/>
      <c r="C454" s="227" t="s">
        <v>49</v>
      </c>
      <c r="D454" s="227" t="s">
        <v>4906</v>
      </c>
      <c r="E454" s="227" t="s">
        <v>3295</v>
      </c>
      <c r="F454" s="227" t="s">
        <v>3299</v>
      </c>
      <c r="G454" s="239">
        <v>46193</v>
      </c>
      <c r="H454" s="240">
        <v>0.33333333333333331</v>
      </c>
      <c r="I454" s="227" t="s">
        <v>3586</v>
      </c>
      <c r="J454" s="482" t="s">
        <v>4432</v>
      </c>
      <c r="K454" s="241" t="s">
        <v>3073</v>
      </c>
      <c r="L454" s="225" t="str">
        <f>VLOOKUP(Logfile_S12[[#This Row],[Material Name]],Sheet2!B:C,2,0)</f>
        <v>ZTE2001</v>
      </c>
      <c r="M454" s="242" t="s">
        <v>20</v>
      </c>
      <c r="N454" s="227">
        <v>850</v>
      </c>
      <c r="O454" s="227" t="s">
        <v>4898</v>
      </c>
      <c r="P454" s="227" t="s">
        <v>4900</v>
      </c>
      <c r="Q454" s="227"/>
      <c r="R454" s="227"/>
      <c r="S454" s="227"/>
      <c r="T454" s="227" t="s">
        <v>3258</v>
      </c>
      <c r="U454" s="227">
        <v>0</v>
      </c>
      <c r="V454" s="227" t="s">
        <v>3337</v>
      </c>
      <c r="W454" s="227" t="s">
        <v>3338</v>
      </c>
      <c r="X454" s="227"/>
      <c r="Y454" s="238" t="s">
        <v>5300</v>
      </c>
      <c r="Z454" s="238" t="str">
        <f t="shared" si="23"/>
        <v>RANDUANGUNG RW 04 SINGOSARI MALANG</v>
      </c>
      <c r="AA454" s="276" t="e">
        <f>VLOOKUP(Logfile_S12[[#This Row],[DO number]],DO_DB!G:I,3,0)</f>
        <v>#N/A</v>
      </c>
      <c r="AB454" s="332" t="e">
        <f>EXACT(Logfile_S12[[#This Row],[date pick]],Logfile_S12[[#This Row],[Date]])</f>
        <v>#N/A</v>
      </c>
      <c r="AC454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OUTBOUND_A-038-850m</v>
      </c>
    </row>
    <row r="455" spans="1:29" ht="14.5" hidden="1">
      <c r="A455" s="237" t="str">
        <f t="shared" si="24"/>
        <v>451</v>
      </c>
      <c r="B455" s="221"/>
      <c r="C455" s="227" t="s">
        <v>49</v>
      </c>
      <c r="D455" s="227" t="s">
        <v>4906</v>
      </c>
      <c r="E455" s="227" t="s">
        <v>3295</v>
      </c>
      <c r="F455" s="227" t="s">
        <v>3299</v>
      </c>
      <c r="G455" s="239">
        <v>46193</v>
      </c>
      <c r="H455" s="240">
        <v>0.33333333333333331</v>
      </c>
      <c r="I455" s="227" t="s">
        <v>3586</v>
      </c>
      <c r="J455" s="482" t="s">
        <v>4432</v>
      </c>
      <c r="K455" s="241" t="s">
        <v>3074</v>
      </c>
      <c r="L455" s="225" t="str">
        <f>VLOOKUP(Logfile_S12[[#This Row],[Material Name]],Sheet2!B:C,2,0)</f>
        <v>ZTE2002</v>
      </c>
      <c r="M455" s="242" t="s">
        <v>20</v>
      </c>
      <c r="N455" s="227">
        <v>1375</v>
      </c>
      <c r="O455" s="227" t="s">
        <v>4898</v>
      </c>
      <c r="P455" s="227" t="s">
        <v>4900</v>
      </c>
      <c r="Q455" s="227"/>
      <c r="R455" s="227"/>
      <c r="S455" s="227"/>
      <c r="T455" s="227"/>
      <c r="U455" s="227"/>
      <c r="V455" s="227"/>
      <c r="W455" s="227"/>
      <c r="X455" s="227"/>
      <c r="Y455" s="238" t="s">
        <v>5301</v>
      </c>
      <c r="Z455" s="238" t="str">
        <f t="shared" si="23"/>
        <v>RANDUANGUNG RW 04 SINGOSARI MALANG</v>
      </c>
      <c r="AA455" s="276" t="e">
        <f>VLOOKUP(Logfile_S12[[#This Row],[DO number]],DO_DB!G:I,3,0)</f>
        <v>#N/A</v>
      </c>
      <c r="AB455" s="332" t="e">
        <f>EXACT(Logfile_S12[[#This Row],[date pick]],Logfile_S12[[#This Row],[Date]])</f>
        <v>#N/A</v>
      </c>
      <c r="AC455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OUTBOUND_E-010-1375m</v>
      </c>
    </row>
    <row r="456" spans="1:29" ht="14.5" hidden="1">
      <c r="A456" s="237" t="str">
        <f t="shared" si="24"/>
        <v>452</v>
      </c>
      <c r="B456" s="221">
        <v>1</v>
      </c>
      <c r="C456" s="227" t="s">
        <v>48</v>
      </c>
      <c r="D456" s="227" t="s">
        <v>4907</v>
      </c>
      <c r="E456" s="227" t="s">
        <v>3295</v>
      </c>
      <c r="F456" s="227" t="s">
        <v>3299</v>
      </c>
      <c r="G456" s="239">
        <v>46200</v>
      </c>
      <c r="H456" s="240">
        <v>0.33333333333333331</v>
      </c>
      <c r="I456" s="227" t="s">
        <v>37</v>
      </c>
      <c r="J456" s="227" t="s">
        <v>3023</v>
      </c>
      <c r="K456" s="241" t="s">
        <v>3073</v>
      </c>
      <c r="L456" s="225" t="str">
        <f>VLOOKUP(Logfile_S12[[#This Row],[Material Name]],Sheet2!B:C,2,0)</f>
        <v>ZTE2001</v>
      </c>
      <c r="M456" s="242" t="s">
        <v>20</v>
      </c>
      <c r="N456" s="227">
        <v>3000</v>
      </c>
      <c r="O456" s="221" t="s">
        <v>4902</v>
      </c>
      <c r="P456" s="221" t="s">
        <v>4903</v>
      </c>
      <c r="Q456" s="221" t="s">
        <v>4901</v>
      </c>
      <c r="R456" s="221">
        <v>0</v>
      </c>
      <c r="S456" s="227"/>
      <c r="T456" s="227"/>
      <c r="U456" s="227"/>
      <c r="V456" s="227"/>
      <c r="W456" s="227"/>
      <c r="X456" s="227"/>
      <c r="Y456" s="227" t="s">
        <v>5040</v>
      </c>
      <c r="Z456" s="227" t="str">
        <f t="shared" si="23"/>
        <v>KAMBINGAN RW 04 MALANG</v>
      </c>
      <c r="AA456" s="276">
        <f>VLOOKUP(Logfile_S12[[#This Row],[DO number]],DO_DB!G:I,3,0)</f>
        <v>46200</v>
      </c>
      <c r="AB456" s="331" t="b">
        <f>EXACT(Logfile_S12[[#This Row],[date pick]],Logfile_S12[[#This Row],[Date]])</f>
        <v>1</v>
      </c>
      <c r="AC4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24C-2026627-01</v>
      </c>
    </row>
    <row r="457" spans="1:29" ht="14.5" hidden="1">
      <c r="A457" s="237" t="str">
        <f t="shared" si="24"/>
        <v>453</v>
      </c>
      <c r="B457" s="221"/>
      <c r="C457" s="227" t="s">
        <v>49</v>
      </c>
      <c r="D457" s="227" t="s">
        <v>4913</v>
      </c>
      <c r="E457" s="227" t="s">
        <v>3295</v>
      </c>
      <c r="F457" s="227" t="s">
        <v>4909</v>
      </c>
      <c r="G457" s="239">
        <v>46200</v>
      </c>
      <c r="H457" s="240">
        <v>0.875</v>
      </c>
      <c r="I457" s="227" t="s">
        <v>3295</v>
      </c>
      <c r="J457" s="227" t="s">
        <v>3023</v>
      </c>
      <c r="K457" s="241" t="s">
        <v>3073</v>
      </c>
      <c r="L457" s="225" t="str">
        <f>VLOOKUP(Logfile_S12[[#This Row],[Material Name]],Sheet2!B:C,2,0)</f>
        <v>ZTE2001</v>
      </c>
      <c r="M457" s="242" t="s">
        <v>20</v>
      </c>
      <c r="N457" s="227">
        <v>3000</v>
      </c>
      <c r="O457" s="221" t="s">
        <v>4902</v>
      </c>
      <c r="P457" s="221" t="s">
        <v>4903</v>
      </c>
      <c r="Q457" s="227"/>
      <c r="R457" s="227"/>
      <c r="S457" s="227"/>
      <c r="T457" s="221" t="s">
        <v>3258</v>
      </c>
      <c r="U457" s="221" t="s">
        <v>4811</v>
      </c>
      <c r="V457" s="221" t="s">
        <v>3337</v>
      </c>
      <c r="W457" s="221" t="s">
        <v>3338</v>
      </c>
      <c r="X457" s="227"/>
      <c r="Y457" s="227" t="s">
        <v>5040</v>
      </c>
      <c r="Z457" s="227" t="str">
        <f t="shared" si="23"/>
        <v>KAMBINGAN RW 04 MALANG</v>
      </c>
      <c r="AA457" s="276" t="e">
        <f>VLOOKUP(Logfile_S12[[#This Row],[DO number]],DO_DB!G:I,3,0)</f>
        <v>#N/A</v>
      </c>
      <c r="AB457" s="331" t="e">
        <f>EXACT(Logfile_S12[[#This Row],[date pick]],Logfile_S12[[#This Row],[Date]])</f>
        <v>#N/A</v>
      </c>
      <c r="AC4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24C-2026627-01</v>
      </c>
    </row>
    <row r="458" spans="1:29" ht="14.5" hidden="1">
      <c r="A458" s="237" t="str">
        <f t="shared" si="24"/>
        <v>454</v>
      </c>
      <c r="B458" s="221"/>
      <c r="C458" s="227" t="s">
        <v>49</v>
      </c>
      <c r="D458" s="227" t="s">
        <v>4913</v>
      </c>
      <c r="E458" s="227" t="s">
        <v>3295</v>
      </c>
      <c r="F458" s="227" t="s">
        <v>4909</v>
      </c>
      <c r="G458" s="239">
        <v>46200</v>
      </c>
      <c r="H458" s="240">
        <v>0.875</v>
      </c>
      <c r="I458" s="227" t="s">
        <v>3295</v>
      </c>
      <c r="J458" s="227" t="s">
        <v>3023</v>
      </c>
      <c r="K458" s="241" t="s">
        <v>3075</v>
      </c>
      <c r="L458" s="225" t="str">
        <f>VLOOKUP(Logfile_S12[[#This Row],[Material Name]],Sheet2!B:C,2,0)</f>
        <v>ZTE2003</v>
      </c>
      <c r="M458" s="242" t="s">
        <v>20</v>
      </c>
      <c r="N458" s="227">
        <v>3000</v>
      </c>
      <c r="O458" s="221" t="s">
        <v>4902</v>
      </c>
      <c r="P458" s="221" t="s">
        <v>4903</v>
      </c>
      <c r="Q458" s="227"/>
      <c r="R458" s="227"/>
      <c r="S458" s="227"/>
      <c r="T458" s="221" t="s">
        <v>3258</v>
      </c>
      <c r="U458" s="221" t="s">
        <v>4811</v>
      </c>
      <c r="V458" s="221" t="s">
        <v>3337</v>
      </c>
      <c r="W458" s="221" t="s">
        <v>3338</v>
      </c>
      <c r="X458" s="227"/>
      <c r="Y458" s="227" t="s">
        <v>5094</v>
      </c>
      <c r="Z458" s="227" t="str">
        <f t="shared" si="23"/>
        <v>KAMBINGAN RW 04 MALANG</v>
      </c>
      <c r="AA458" s="276" t="e">
        <f>VLOOKUP(Logfile_S12[[#This Row],[DO number]],DO_DB!G:I,3,0)</f>
        <v>#N/A</v>
      </c>
      <c r="AB458" s="331" t="e">
        <f>EXACT(Logfile_S12[[#This Row],[date pick]],Logfile_S12[[#This Row],[Date]])</f>
        <v>#N/A</v>
      </c>
      <c r="AC4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48C-2025912-01</v>
      </c>
    </row>
    <row r="459" spans="1:29" ht="14.5" hidden="1">
      <c r="A459" s="237" t="str">
        <f t="shared" si="24"/>
        <v>455</v>
      </c>
      <c r="B459" s="221"/>
      <c r="C459" s="227" t="s">
        <v>48</v>
      </c>
      <c r="D459" s="227" t="s">
        <v>4936</v>
      </c>
      <c r="E459" s="227" t="s">
        <v>3295</v>
      </c>
      <c r="F459" s="227" t="s">
        <v>3299</v>
      </c>
      <c r="G459" s="239">
        <v>46202</v>
      </c>
      <c r="H459" s="240">
        <v>0.33333333333333331</v>
      </c>
      <c r="I459" s="227" t="s">
        <v>3586</v>
      </c>
      <c r="J459" s="482" t="s">
        <v>4432</v>
      </c>
      <c r="K459" s="241" t="s">
        <v>3073</v>
      </c>
      <c r="L459" s="225" t="str">
        <f>VLOOKUP(Logfile_S12[[#This Row],[Material Name]],Sheet2!B:C,2,0)</f>
        <v>ZTE2001</v>
      </c>
      <c r="M459" s="242" t="s">
        <v>20</v>
      </c>
      <c r="N459" s="227">
        <v>1300</v>
      </c>
      <c r="O459" s="227" t="s">
        <v>4902</v>
      </c>
      <c r="P459" s="227" t="s">
        <v>4903</v>
      </c>
      <c r="Q459" s="227"/>
      <c r="R459" s="227"/>
      <c r="S459" s="227"/>
      <c r="T459" s="227" t="s">
        <v>3258</v>
      </c>
      <c r="U459" s="227" t="s">
        <v>4811</v>
      </c>
      <c r="V459" s="227" t="s">
        <v>3337</v>
      </c>
      <c r="W459" s="227" t="s">
        <v>3338</v>
      </c>
      <c r="X459" s="227" t="s">
        <v>5116</v>
      </c>
      <c r="Y459" s="238" t="s">
        <v>5040</v>
      </c>
      <c r="Z459" s="238" t="s">
        <v>5115</v>
      </c>
      <c r="AA459" s="276" t="e">
        <f>VLOOKUP(Logfile_S12[[#This Row],[DO number]],DO_DB!G:I,3,0)</f>
        <v>#N/A</v>
      </c>
      <c r="AB459" s="332" t="e">
        <f>EXACT(Logfile_S12[[#This Row],[date pick]],Logfile_S12[[#This Row],[Date]])</f>
        <v>#N/A</v>
      </c>
      <c r="AC45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24C-2026627-01</v>
      </c>
    </row>
    <row r="460" spans="1:29" ht="14.5" hidden="1">
      <c r="A460" s="237" t="str">
        <f t="shared" si="24"/>
        <v>456</v>
      </c>
      <c r="B460" s="221"/>
      <c r="C460" s="227" t="s">
        <v>48</v>
      </c>
      <c r="D460" s="227" t="s">
        <v>4938</v>
      </c>
      <c r="E460" s="227" t="s">
        <v>3295</v>
      </c>
      <c r="F460" s="227" t="s">
        <v>3299</v>
      </c>
      <c r="G460" s="239">
        <v>46203</v>
      </c>
      <c r="H460" s="240">
        <v>0.33333333333333331</v>
      </c>
      <c r="I460" s="227" t="s">
        <v>3586</v>
      </c>
      <c r="J460" s="482" t="s">
        <v>4432</v>
      </c>
      <c r="K460" s="241" t="s">
        <v>3075</v>
      </c>
      <c r="L460" s="225" t="str">
        <f>VLOOKUP(Logfile_S12[[#This Row],[Material Name]],Sheet2!B:C,2,0)</f>
        <v>ZTE2003</v>
      </c>
      <c r="M460" s="242" t="s">
        <v>20</v>
      </c>
      <c r="N460" s="227">
        <v>300</v>
      </c>
      <c r="O460" s="227" t="s">
        <v>4902</v>
      </c>
      <c r="P460" s="227" t="s">
        <v>4903</v>
      </c>
      <c r="Q460" s="227"/>
      <c r="R460" s="227"/>
      <c r="S460" s="227"/>
      <c r="T460" s="227" t="s">
        <v>3258</v>
      </c>
      <c r="U460" s="227" t="s">
        <v>4811</v>
      </c>
      <c r="V460" s="227" t="s">
        <v>3337</v>
      </c>
      <c r="W460" s="227" t="s">
        <v>3338</v>
      </c>
      <c r="X460" s="227" t="s">
        <v>5117</v>
      </c>
      <c r="Y460" s="238" t="s">
        <v>5094</v>
      </c>
      <c r="Z460" s="238" t="str">
        <f t="shared" ref="Z460:Z523" si="25">P460</f>
        <v>KAMBINGAN RW 04 MALANG</v>
      </c>
      <c r="AA460" s="276" t="e">
        <f>VLOOKUP(Logfile_S12[[#This Row],[DO number]],DO_DB!G:I,3,0)</f>
        <v>#N/A</v>
      </c>
      <c r="AB460" s="332" t="e">
        <f>EXACT(Logfile_S12[[#This Row],[date pick]],Logfile_S12[[#This Row],[Date]])</f>
        <v>#N/A</v>
      </c>
      <c r="AC460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48C-2025912-01</v>
      </c>
    </row>
    <row r="461" spans="1:29" ht="14.5" hidden="1">
      <c r="A461" s="237" t="str">
        <f t="shared" si="24"/>
        <v>457</v>
      </c>
      <c r="B461" s="221"/>
      <c r="C461" s="227" t="s">
        <v>48</v>
      </c>
      <c r="D461" s="227" t="s">
        <v>5127</v>
      </c>
      <c r="E461" s="227" t="s">
        <v>3295</v>
      </c>
      <c r="F461" s="227" t="s">
        <v>3299</v>
      </c>
      <c r="G461" s="239">
        <v>46212</v>
      </c>
      <c r="H461" s="240">
        <v>0.25</v>
      </c>
      <c r="I461" s="227" t="s">
        <v>37</v>
      </c>
      <c r="J461" s="227" t="s">
        <v>3023</v>
      </c>
      <c r="K461" s="241" t="s">
        <v>3073</v>
      </c>
      <c r="L461" s="225" t="str">
        <f>VLOOKUP(Logfile_S12[[#This Row],[Material Name]],Sheet2!B:C,2,0)</f>
        <v>ZTE2001</v>
      </c>
      <c r="M461" s="242" t="s">
        <v>20</v>
      </c>
      <c r="N461" s="242">
        <v>3000</v>
      </c>
      <c r="O461" s="227" t="s">
        <v>5122</v>
      </c>
      <c r="P461" s="227" t="s">
        <v>5125</v>
      </c>
      <c r="Q461" s="8" t="s">
        <v>5123</v>
      </c>
      <c r="R461" s="8" t="s">
        <v>5124</v>
      </c>
      <c r="S461" s="227"/>
      <c r="T461" s="227"/>
      <c r="U461" s="227"/>
      <c r="V461" s="227"/>
      <c r="W461" s="227"/>
      <c r="X461" s="227"/>
      <c r="Y461" s="335" t="s">
        <v>5130</v>
      </c>
      <c r="Z461" s="238" t="str">
        <f t="shared" si="25"/>
        <v>KESATRIAN RW 09 MALANG</v>
      </c>
      <c r="AA461" s="276">
        <f>VLOOKUP(Logfile_S12[[#This Row],[DO number]],DO_DB!G:I,3,0)</f>
        <v>46212</v>
      </c>
      <c r="AB461" s="332" t="b">
        <f>EXACT(Logfile_S12[[#This Row],[date pick]],Logfile_S12[[#This Row],[Date]])</f>
        <v>1</v>
      </c>
      <c r="AC4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24C-202679-01</v>
      </c>
    </row>
    <row r="462" spans="1:29" ht="14.5" hidden="1">
      <c r="A462" s="237" t="str">
        <f t="shared" si="24"/>
        <v>458</v>
      </c>
      <c r="B462" s="221"/>
      <c r="C462" s="227" t="s">
        <v>48</v>
      </c>
      <c r="D462" s="227" t="s">
        <v>5129</v>
      </c>
      <c r="E462" s="227" t="s">
        <v>3295</v>
      </c>
      <c r="F462" s="227" t="s">
        <v>3299</v>
      </c>
      <c r="G462" s="239">
        <v>46212</v>
      </c>
      <c r="H462" s="240">
        <v>0.25</v>
      </c>
      <c r="I462" s="227" t="s">
        <v>3586</v>
      </c>
      <c r="J462" s="482" t="s">
        <v>4432</v>
      </c>
      <c r="K462" s="241" t="s">
        <v>3073</v>
      </c>
      <c r="L462" s="225" t="str">
        <f>VLOOKUP(Logfile_S12[[#This Row],[Material Name]],Sheet2!B:C,2,0)</f>
        <v>ZTE2001</v>
      </c>
      <c r="M462" s="242" t="s">
        <v>20</v>
      </c>
      <c r="N462" s="227">
        <v>1900</v>
      </c>
      <c r="O462" s="227" t="s">
        <v>5122</v>
      </c>
      <c r="P462" s="227" t="s">
        <v>5125</v>
      </c>
      <c r="Q462" s="227"/>
      <c r="R462" s="227"/>
      <c r="S462" s="227"/>
      <c r="T462" s="227" t="s">
        <v>3258</v>
      </c>
      <c r="U462" s="227" t="s">
        <v>4811</v>
      </c>
      <c r="V462" s="227" t="s">
        <v>3337</v>
      </c>
      <c r="W462" s="227" t="s">
        <v>3338</v>
      </c>
      <c r="X462" s="227"/>
      <c r="Y462" s="238" t="s">
        <v>5130</v>
      </c>
      <c r="Z462" s="238" t="str">
        <f t="shared" si="25"/>
        <v>KESATRIAN RW 09 MALANG</v>
      </c>
      <c r="AA462" s="276" t="e">
        <f>VLOOKUP(Logfile_S12[[#This Row],[DO number]],DO_DB!G:I,3,0)</f>
        <v>#N/A</v>
      </c>
      <c r="AB462" s="332" t="e">
        <f>EXACT(Logfile_S12[[#This Row],[date pick]],Logfile_S12[[#This Row],[Date]])</f>
        <v>#N/A</v>
      </c>
      <c r="AC46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24C-202679-01</v>
      </c>
    </row>
    <row r="463" spans="1:29" ht="14.5" hidden="1">
      <c r="A463" s="237" t="str">
        <f t="shared" si="24"/>
        <v>459</v>
      </c>
      <c r="B463" s="221"/>
      <c r="C463" s="227" t="s">
        <v>49</v>
      </c>
      <c r="D463" s="227" t="s">
        <v>5126</v>
      </c>
      <c r="E463" s="227" t="s">
        <v>3295</v>
      </c>
      <c r="F463" s="227" t="s">
        <v>3299</v>
      </c>
      <c r="G463" s="239">
        <v>46214</v>
      </c>
      <c r="H463" s="240">
        <v>0.25</v>
      </c>
      <c r="I463" s="227" t="s">
        <v>3586</v>
      </c>
      <c r="J463" s="482" t="s">
        <v>4432</v>
      </c>
      <c r="K463" s="241" t="s">
        <v>3073</v>
      </c>
      <c r="L463" s="225" t="str">
        <f>VLOOKUP(Logfile_S12[[#This Row],[Material Name]],Sheet2!B:C,2,0)</f>
        <v>ZTE2001</v>
      </c>
      <c r="M463" s="242" t="s">
        <v>20</v>
      </c>
      <c r="N463" s="227">
        <v>1300</v>
      </c>
      <c r="O463" s="227" t="s">
        <v>5122</v>
      </c>
      <c r="P463" s="227" t="s">
        <v>5125</v>
      </c>
      <c r="Q463" s="227"/>
      <c r="R463" s="227"/>
      <c r="S463" s="227"/>
      <c r="T463" s="227" t="s">
        <v>3258</v>
      </c>
      <c r="U463" s="227" t="s">
        <v>4811</v>
      </c>
      <c r="V463" s="227" t="s">
        <v>3337</v>
      </c>
      <c r="W463" s="227" t="s">
        <v>3338</v>
      </c>
      <c r="X463" s="227"/>
      <c r="Y463" s="238" t="s">
        <v>5040</v>
      </c>
      <c r="Z463" s="238" t="str">
        <f t="shared" si="25"/>
        <v>KESATRIAN RW 09 MALANG</v>
      </c>
      <c r="AA463" s="276" t="e">
        <f>VLOOKUP(Logfile_S12[[#This Row],[DO number]],DO_DB!G:I,3,0)</f>
        <v>#N/A</v>
      </c>
      <c r="AB463" s="332" t="e">
        <f>EXACT(Logfile_S12[[#This Row],[date pick]],Logfile_S12[[#This Row],[Date]])</f>
        <v>#N/A</v>
      </c>
      <c r="AC46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24C-2026627-01</v>
      </c>
    </row>
    <row r="464" spans="1:29" ht="14.5" hidden="1">
      <c r="A464" s="237" t="str">
        <f t="shared" si="24"/>
        <v>460</v>
      </c>
      <c r="B464" s="221"/>
      <c r="C464" s="227" t="s">
        <v>49</v>
      </c>
      <c r="D464" s="227" t="s">
        <v>5128</v>
      </c>
      <c r="E464" s="227" t="s">
        <v>3295</v>
      </c>
      <c r="F464" s="227" t="s">
        <v>3299</v>
      </c>
      <c r="G464" s="239">
        <v>46215</v>
      </c>
      <c r="H464" s="240">
        <v>0.25</v>
      </c>
      <c r="I464" s="227" t="s">
        <v>3295</v>
      </c>
      <c r="J464" s="227" t="s">
        <v>3023</v>
      </c>
      <c r="K464" s="241" t="s">
        <v>3073</v>
      </c>
      <c r="L464" s="225" t="str">
        <f>VLOOKUP(Logfile_S12[[#This Row],[Material Name]],Sheet2!B:C,2,0)</f>
        <v>ZTE2001</v>
      </c>
      <c r="M464" s="242" t="s">
        <v>20</v>
      </c>
      <c r="N464" s="227">
        <v>3000</v>
      </c>
      <c r="O464" s="227" t="s">
        <v>5122</v>
      </c>
      <c r="P464" s="227" t="s">
        <v>5125</v>
      </c>
      <c r="Q464" s="227"/>
      <c r="R464" s="227"/>
      <c r="S464" s="227"/>
      <c r="T464" s="227" t="s">
        <v>3258</v>
      </c>
      <c r="U464" s="227" t="s">
        <v>4811</v>
      </c>
      <c r="V464" s="227" t="s">
        <v>3337</v>
      </c>
      <c r="W464" s="227" t="s">
        <v>3338</v>
      </c>
      <c r="X464" s="227"/>
      <c r="Y464" s="335" t="s">
        <v>5130</v>
      </c>
      <c r="Z464" s="238" t="str">
        <f t="shared" si="25"/>
        <v>KESATRIAN RW 09 MALANG</v>
      </c>
      <c r="AA464" s="276" t="e">
        <f>VLOOKUP(Logfile_S12[[#This Row],[DO number]],DO_DB!G:I,3,0)</f>
        <v>#N/A</v>
      </c>
      <c r="AB464" s="334" t="e">
        <f>EXACT(Logfile_S12[[#This Row],[date pick]],Logfile_S12[[#This Row],[Date]])</f>
        <v>#N/A</v>
      </c>
      <c r="AC4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24C-202679-01</v>
      </c>
    </row>
    <row r="465" spans="1:29" ht="14.5" hidden="1">
      <c r="A465" s="220" t="str">
        <f t="shared" si="24"/>
        <v>461</v>
      </c>
      <c r="B465" s="221"/>
      <c r="C465" s="221" t="s">
        <v>48</v>
      </c>
      <c r="D465" s="221" t="s">
        <v>3688</v>
      </c>
      <c r="E465" s="221" t="s">
        <v>3295</v>
      </c>
      <c r="F465" s="221" t="s">
        <v>3299</v>
      </c>
      <c r="G465" s="222">
        <v>45154</v>
      </c>
      <c r="H465" s="223">
        <v>15.291666666666666</v>
      </c>
      <c r="I465" s="221" t="s">
        <v>38</v>
      </c>
      <c r="J465" s="221" t="s">
        <v>3024</v>
      </c>
      <c r="K465" s="224" t="s">
        <v>3098</v>
      </c>
      <c r="L465" s="225" t="str">
        <f>VLOOKUP(Logfile_S12[[#This Row],[Material Name]],Sheet2!B:C,2,0)</f>
        <v>GCI1012</v>
      </c>
      <c r="M465" s="225" t="str">
        <f>_xlfn.XLOOKUP(Logfile_S12[[#This Row],[Material Name]],Sum_WH!E:E,Sum_WH!F:F,"",0)</f>
        <v>Pcs</v>
      </c>
      <c r="N465" s="221">
        <v>153</v>
      </c>
      <c r="O465" s="221" t="s">
        <v>84</v>
      </c>
      <c r="P465" s="221" t="s">
        <v>85</v>
      </c>
      <c r="Q465" s="221">
        <v>0</v>
      </c>
      <c r="R465" s="221">
        <v>0</v>
      </c>
      <c r="S465" s="221"/>
      <c r="T465" s="221"/>
      <c r="U465" s="221"/>
      <c r="V465" s="221"/>
      <c r="W465" s="221"/>
      <c r="X465" s="221"/>
      <c r="Y465" s="227"/>
      <c r="Z465" s="227" t="str">
        <f t="shared" si="25"/>
        <v>Perumahan Bumi Podo Rukun Dau</v>
      </c>
      <c r="AA465" s="276" t="e">
        <f>VLOOKUP(Logfile_S12[[#This Row],[DO number]],DO_DB!G:I,3,0)</f>
        <v>#N/A</v>
      </c>
      <c r="AB465" s="331" t="e">
        <f>EXACT(Logfile_S12[[#This Row],[date pick]],Logfile_S12[[#This Row],[Date]])</f>
        <v>#N/A</v>
      </c>
      <c r="AC4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66" spans="1:29" ht="14.5" hidden="1">
      <c r="A466" s="220" t="str">
        <f t="shared" si="24"/>
        <v>462</v>
      </c>
      <c r="B466" s="221"/>
      <c r="C466" s="221" t="s">
        <v>49</v>
      </c>
      <c r="D466" s="221" t="s">
        <v>3687</v>
      </c>
      <c r="E466" s="221" t="s">
        <v>3295</v>
      </c>
      <c r="F466" s="221" t="s">
        <v>3299</v>
      </c>
      <c r="G466" s="222">
        <v>45154</v>
      </c>
      <c r="H466" s="223">
        <v>15.3725</v>
      </c>
      <c r="I466" s="221" t="s">
        <v>4916</v>
      </c>
      <c r="J466" s="221" t="s">
        <v>3024</v>
      </c>
      <c r="K466" s="224" t="s">
        <v>3098</v>
      </c>
      <c r="L466" s="225" t="str">
        <f>VLOOKUP(Logfile_S12[[#This Row],[Material Name]],Sheet2!B:C,2,0)</f>
        <v>GCI1012</v>
      </c>
      <c r="M466" s="225" t="str">
        <f>_xlfn.XLOOKUP(Logfile_S12[[#This Row],[Material Name]],Sum_WH!E:E,Sum_WH!F:F,"",0)</f>
        <v>Pcs</v>
      </c>
      <c r="N466" s="221">
        <v>153</v>
      </c>
      <c r="O466" s="221" t="s">
        <v>84</v>
      </c>
      <c r="P466" s="221" t="s">
        <v>85</v>
      </c>
      <c r="Q466" s="221"/>
      <c r="R466" s="221"/>
      <c r="S466" s="221"/>
      <c r="T466" s="221" t="s">
        <v>3305</v>
      </c>
      <c r="U466" s="221" t="s">
        <v>3228</v>
      </c>
      <c r="V466" s="221" t="s">
        <v>3306</v>
      </c>
      <c r="W466" s="221" t="s">
        <v>3307</v>
      </c>
      <c r="X466" s="221"/>
      <c r="Y466" s="227"/>
      <c r="Z466" s="227" t="str">
        <f t="shared" si="25"/>
        <v>Perumahan Bumi Podo Rukun Dau</v>
      </c>
      <c r="AA466" s="276" t="e">
        <f>VLOOKUP(Logfile_S12[[#This Row],[DO number]],DO_DB!G:I,3,0)</f>
        <v>#N/A</v>
      </c>
      <c r="AB466" s="331" t="e">
        <f>EXACT(Logfile_S12[[#This Row],[date pick]],Logfile_S12[[#This Row],[Date]])</f>
        <v>#N/A</v>
      </c>
      <c r="AC4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67" spans="1:29" ht="14.5" hidden="1">
      <c r="A467" s="220" t="str">
        <f t="shared" si="24"/>
        <v>463</v>
      </c>
      <c r="B467" s="221"/>
      <c r="C467" s="221" t="s">
        <v>48</v>
      </c>
      <c r="D467" s="221" t="s">
        <v>3699</v>
      </c>
      <c r="E467" s="221" t="s">
        <v>3295</v>
      </c>
      <c r="F467" s="221" t="s">
        <v>3299</v>
      </c>
      <c r="G467" s="222">
        <v>45174</v>
      </c>
      <c r="H467" s="223">
        <v>15.291666666666666</v>
      </c>
      <c r="I467" s="221" t="s">
        <v>38</v>
      </c>
      <c r="J467" s="221" t="s">
        <v>3024</v>
      </c>
      <c r="K467" s="224" t="s">
        <v>3098</v>
      </c>
      <c r="L467" s="225" t="str">
        <f>VLOOKUP(Logfile_S12[[#This Row],[Material Name]],Sheet2!B:C,2,0)</f>
        <v>GCI1012</v>
      </c>
      <c r="M467" s="225" t="str">
        <f>_xlfn.XLOOKUP(Logfile_S12[[#This Row],[Material Name]],Sum_WH!E:E,Sum_WH!F:F,"",0)</f>
        <v>Pcs</v>
      </c>
      <c r="N467" s="221">
        <v>113</v>
      </c>
      <c r="O467" s="221" t="s">
        <v>150</v>
      </c>
      <c r="P467" s="221" t="s">
        <v>151</v>
      </c>
      <c r="Q467" s="221">
        <v>0</v>
      </c>
      <c r="R467" s="221">
        <v>0</v>
      </c>
      <c r="S467" s="221"/>
      <c r="T467" s="221"/>
      <c r="U467" s="221"/>
      <c r="V467" s="221"/>
      <c r="W467" s="221"/>
      <c r="X467" s="221" t="s">
        <v>3308</v>
      </c>
      <c r="Y467" s="227"/>
      <c r="Z467" s="227" t="str">
        <f t="shared" si="25"/>
        <v>Mulyorejo RW 04 Sukun</v>
      </c>
      <c r="AA467" s="276" t="e">
        <f>VLOOKUP(Logfile_S12[[#This Row],[DO number]],DO_DB!G:I,3,0)</f>
        <v>#N/A</v>
      </c>
      <c r="AB467" s="331" t="e">
        <f>EXACT(Logfile_S12[[#This Row],[date pick]],Logfile_S12[[#This Row],[Date]])</f>
        <v>#N/A</v>
      </c>
      <c r="AC4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68" spans="1:29" ht="14.5" hidden="1">
      <c r="A468" s="220" t="str">
        <f t="shared" si="24"/>
        <v>464</v>
      </c>
      <c r="B468" s="221"/>
      <c r="C468" s="221" t="s">
        <v>49</v>
      </c>
      <c r="D468" s="221" t="s">
        <v>3698</v>
      </c>
      <c r="E468" s="221" t="s">
        <v>3295</v>
      </c>
      <c r="F468" s="221" t="s">
        <v>3299</v>
      </c>
      <c r="G468" s="222">
        <v>45174</v>
      </c>
      <c r="H468" s="223">
        <v>0.35972222222222222</v>
      </c>
      <c r="I468" s="221" t="s">
        <v>4916</v>
      </c>
      <c r="J468" s="221" t="s">
        <v>3024</v>
      </c>
      <c r="K468" s="224" t="s">
        <v>3098</v>
      </c>
      <c r="L468" s="225" t="str">
        <f>VLOOKUP(Logfile_S12[[#This Row],[Material Name]],Sheet2!B:C,2,0)</f>
        <v>GCI1012</v>
      </c>
      <c r="M468" s="225" t="str">
        <f>_xlfn.XLOOKUP(Logfile_S12[[#This Row],[Material Name]],Sum_WH!E:E,Sum_WH!F:F,"",0)</f>
        <v>Pcs</v>
      </c>
      <c r="N468" s="221">
        <v>113</v>
      </c>
      <c r="O468" s="221" t="s">
        <v>150</v>
      </c>
      <c r="P468" s="221" t="s">
        <v>151</v>
      </c>
      <c r="Q468" s="221"/>
      <c r="R468" s="221"/>
      <c r="S468" s="221"/>
      <c r="T468" s="221" t="s">
        <v>3309</v>
      </c>
      <c r="U468" s="221" t="s">
        <v>3228</v>
      </c>
      <c r="V468" s="221" t="s">
        <v>3310</v>
      </c>
      <c r="W468" s="221" t="s">
        <v>3311</v>
      </c>
      <c r="X468" s="221"/>
      <c r="Y468" s="227"/>
      <c r="Z468" s="227" t="str">
        <f t="shared" si="25"/>
        <v>Mulyorejo RW 04 Sukun</v>
      </c>
      <c r="AA468" s="276" t="e">
        <f>VLOOKUP(Logfile_S12[[#This Row],[DO number]],DO_DB!G:I,3,0)</f>
        <v>#N/A</v>
      </c>
      <c r="AB468" s="331" t="e">
        <f>EXACT(Logfile_S12[[#This Row],[date pick]],Logfile_S12[[#This Row],[Date]])</f>
        <v>#N/A</v>
      </c>
      <c r="AC4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69" spans="1:29" ht="14.5" hidden="1">
      <c r="A469" s="220" t="str">
        <f t="shared" si="24"/>
        <v>465</v>
      </c>
      <c r="B469" s="221"/>
      <c r="C469" s="221" t="s">
        <v>48</v>
      </c>
      <c r="D469" s="221" t="s">
        <v>3704</v>
      </c>
      <c r="E469" s="221" t="s">
        <v>3295</v>
      </c>
      <c r="F469" s="221" t="s">
        <v>3299</v>
      </c>
      <c r="G469" s="222">
        <v>45177</v>
      </c>
      <c r="H469" s="223">
        <v>15.291666666666666</v>
      </c>
      <c r="I469" s="221" t="s">
        <v>38</v>
      </c>
      <c r="J469" s="221" t="s">
        <v>3024</v>
      </c>
      <c r="K469" s="224" t="s">
        <v>3257</v>
      </c>
      <c r="L469" s="225" t="str">
        <f>VLOOKUP(Logfile_S12[[#This Row],[Material Name]],Sheet2!B:C,2,0)</f>
        <v>GCI1012</v>
      </c>
      <c r="M469" s="225" t="str">
        <f>_xlfn.XLOOKUP(Logfile_S12[[#This Row],[Material Name]],Sum_WH!E:E,Sum_WH!F:F,"",0)</f>
        <v>Pcs</v>
      </c>
      <c r="N469" s="221">
        <v>13</v>
      </c>
      <c r="O469" s="221" t="s">
        <v>150</v>
      </c>
      <c r="P469" s="221" t="s">
        <v>151</v>
      </c>
      <c r="Q469" s="221">
        <v>0</v>
      </c>
      <c r="R469" s="221">
        <v>0</v>
      </c>
      <c r="S469" s="221"/>
      <c r="T469" s="221"/>
      <c r="U469" s="221"/>
      <c r="V469" s="221"/>
      <c r="W469" s="221"/>
      <c r="X469" s="221" t="s">
        <v>3312</v>
      </c>
      <c r="Y469" s="227"/>
      <c r="Z469" s="227" t="str">
        <f t="shared" si="25"/>
        <v>Mulyorejo RW 04 Sukun</v>
      </c>
      <c r="AA469" s="276" t="e">
        <f>VLOOKUP(Logfile_S12[[#This Row],[DO number]],DO_DB!G:I,3,0)</f>
        <v>#N/A</v>
      </c>
      <c r="AB469" s="331" t="e">
        <f>EXACT(Logfile_S12[[#This Row],[date pick]],Logfile_S12[[#This Row],[Date]])</f>
        <v>#N/A</v>
      </c>
      <c r="AC4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70" spans="1:29" ht="14.5" hidden="1">
      <c r="A470" s="220" t="str">
        <f t="shared" si="24"/>
        <v>466</v>
      </c>
      <c r="B470" s="221"/>
      <c r="C470" s="221" t="s">
        <v>49</v>
      </c>
      <c r="D470" s="221" t="s">
        <v>3701</v>
      </c>
      <c r="E470" s="221" t="s">
        <v>3295</v>
      </c>
      <c r="F470" s="221" t="s">
        <v>3299</v>
      </c>
      <c r="G470" s="222">
        <v>45177</v>
      </c>
      <c r="H470" s="223">
        <v>0.37083333333333335</v>
      </c>
      <c r="I470" s="221" t="s">
        <v>4916</v>
      </c>
      <c r="J470" s="221" t="s">
        <v>3024</v>
      </c>
      <c r="K470" s="224" t="s">
        <v>3098</v>
      </c>
      <c r="L470" s="225" t="str">
        <f>VLOOKUP(Logfile_S12[[#This Row],[Material Name]],Sheet2!B:C,2,0)</f>
        <v>GCI1012</v>
      </c>
      <c r="M470" s="225" t="str">
        <f>_xlfn.XLOOKUP(Logfile_S12[[#This Row],[Material Name]],Sum_WH!E:E,Sum_WH!F:F,"",0)</f>
        <v>Pcs</v>
      </c>
      <c r="N470" s="221">
        <v>13</v>
      </c>
      <c r="O470" s="221" t="s">
        <v>150</v>
      </c>
      <c r="P470" s="221" t="s">
        <v>151</v>
      </c>
      <c r="Q470" s="221"/>
      <c r="R470" s="221"/>
      <c r="S470" s="221"/>
      <c r="T470" s="221" t="s">
        <v>3309</v>
      </c>
      <c r="U470" s="221" t="s">
        <v>3228</v>
      </c>
      <c r="V470" s="221" t="s">
        <v>3310</v>
      </c>
      <c r="W470" s="221" t="s">
        <v>3311</v>
      </c>
      <c r="X470" s="221"/>
      <c r="Y470" s="227"/>
      <c r="Z470" s="227" t="str">
        <f t="shared" si="25"/>
        <v>Mulyorejo RW 04 Sukun</v>
      </c>
      <c r="AA470" s="276" t="e">
        <f>VLOOKUP(Logfile_S12[[#This Row],[DO number]],DO_DB!G:I,3,0)</f>
        <v>#N/A</v>
      </c>
      <c r="AB470" s="331" t="e">
        <f>EXACT(Logfile_S12[[#This Row],[date pick]],Logfile_S12[[#This Row],[Date]])</f>
        <v>#N/A</v>
      </c>
      <c r="AC4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71" spans="1:29" ht="14.5" hidden="1">
      <c r="A471" s="220" t="str">
        <f t="shared" si="24"/>
        <v>467</v>
      </c>
      <c r="B471" s="221"/>
      <c r="C471" s="221" t="s">
        <v>3313</v>
      </c>
      <c r="D471" s="221" t="s">
        <v>3706</v>
      </c>
      <c r="E471" s="221" t="s">
        <v>3295</v>
      </c>
      <c r="F471" s="221" t="s">
        <v>3299</v>
      </c>
      <c r="G471" s="222">
        <v>45183</v>
      </c>
      <c r="H471" s="223">
        <v>15.291666666666666</v>
      </c>
      <c r="I471" s="221" t="s">
        <v>4920</v>
      </c>
      <c r="J471" s="221" t="s">
        <v>3024</v>
      </c>
      <c r="K471" s="224" t="s">
        <v>3098</v>
      </c>
      <c r="L471" s="225" t="str">
        <f>VLOOKUP(Logfile_S12[[#This Row],[Material Name]],Sheet2!B:C,2,0)</f>
        <v>GCI1012</v>
      </c>
      <c r="M471" s="225" t="str">
        <f>_xlfn.XLOOKUP(Logfile_S12[[#This Row],[Material Name]],Sum_WH!E:E,Sum_WH!F:F,"",0)</f>
        <v>Pcs</v>
      </c>
      <c r="N471" s="221">
        <v>8</v>
      </c>
      <c r="O471" s="221" t="s">
        <v>3314</v>
      </c>
      <c r="P471" s="221" t="s">
        <v>3315</v>
      </c>
      <c r="Q471" s="221">
        <v>0</v>
      </c>
      <c r="R471" s="221">
        <v>0</v>
      </c>
      <c r="S471" s="221"/>
      <c r="T471" s="221"/>
      <c r="U471" s="221"/>
      <c r="V471" s="221"/>
      <c r="W471" s="221"/>
      <c r="X471" s="221" t="s">
        <v>3316</v>
      </c>
      <c r="Y471" s="227"/>
      <c r="Z471" s="227" t="str">
        <f t="shared" si="25"/>
        <v>KEDIRI</v>
      </c>
      <c r="AA471" s="276" t="e">
        <f>VLOOKUP(Logfile_S12[[#This Row],[DO number]],DO_DB!G:I,3,0)</f>
        <v>#N/A</v>
      </c>
      <c r="AB471" s="331" t="e">
        <f>EXACT(Logfile_S12[[#This Row],[date pick]],Logfile_S12[[#This Row],[Date]])</f>
        <v>#N/A</v>
      </c>
      <c r="AC4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72" spans="1:29" ht="14.5" hidden="1">
      <c r="A472" s="220" t="str">
        <f t="shared" si="24"/>
        <v>468</v>
      </c>
      <c r="B472" s="221"/>
      <c r="C472" s="221" t="s">
        <v>48</v>
      </c>
      <c r="D472" s="221" t="s">
        <v>3727</v>
      </c>
      <c r="E472" s="221" t="s">
        <v>3295</v>
      </c>
      <c r="F472" s="221" t="s">
        <v>3299</v>
      </c>
      <c r="G472" s="222">
        <v>45195</v>
      </c>
      <c r="H472" s="223">
        <v>15.291666666666666</v>
      </c>
      <c r="I472" s="221" t="s">
        <v>38</v>
      </c>
      <c r="J472" s="221" t="s">
        <v>3024</v>
      </c>
      <c r="K472" s="224" t="s">
        <v>3098</v>
      </c>
      <c r="L472" s="225" t="str">
        <f>VLOOKUP(Logfile_S12[[#This Row],[Material Name]],Sheet2!B:C,2,0)</f>
        <v>GCI1012</v>
      </c>
      <c r="M472" s="225" t="str">
        <f>_xlfn.XLOOKUP(Logfile_S12[[#This Row],[Material Name]],Sum_WH!E:E,Sum_WH!F:F,"",0)</f>
        <v>Pcs</v>
      </c>
      <c r="N472" s="221">
        <v>384</v>
      </c>
      <c r="O472" s="221" t="s">
        <v>222</v>
      </c>
      <c r="P472" s="221" t="s">
        <v>223</v>
      </c>
      <c r="Q472" s="221">
        <v>0</v>
      </c>
      <c r="R472" s="221">
        <v>0</v>
      </c>
      <c r="S472" s="221"/>
      <c r="T472" s="221"/>
      <c r="U472" s="221"/>
      <c r="V472" s="221"/>
      <c r="W472" s="221"/>
      <c r="X472" s="221" t="s">
        <v>3317</v>
      </c>
      <c r="Y472" s="227"/>
      <c r="Z472" s="227" t="str">
        <f t="shared" si="25"/>
        <v>Puncak Dieng Exlusif</v>
      </c>
      <c r="AA472" s="276" t="e">
        <f>VLOOKUP(Logfile_S12[[#This Row],[DO number]],DO_DB!G:I,3,0)</f>
        <v>#N/A</v>
      </c>
      <c r="AB472" s="331" t="e">
        <f>EXACT(Logfile_S12[[#This Row],[date pick]],Logfile_S12[[#This Row],[Date]])</f>
        <v>#N/A</v>
      </c>
      <c r="AC4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73" spans="1:29" ht="14.5" hidden="1">
      <c r="A473" s="220" t="str">
        <f t="shared" si="24"/>
        <v>469</v>
      </c>
      <c r="B473" s="221"/>
      <c r="C473" s="221" t="s">
        <v>48</v>
      </c>
      <c r="D473" s="221" t="s">
        <v>3740</v>
      </c>
      <c r="E473" s="221" t="s">
        <v>3295</v>
      </c>
      <c r="F473" s="221" t="s">
        <v>3299</v>
      </c>
      <c r="G473" s="222">
        <v>45204</v>
      </c>
      <c r="H473" s="223">
        <v>15.291666666666666</v>
      </c>
      <c r="I473" s="221" t="s">
        <v>38</v>
      </c>
      <c r="J473" s="221" t="s">
        <v>3024</v>
      </c>
      <c r="K473" s="224" t="s">
        <v>3098</v>
      </c>
      <c r="L473" s="225" t="str">
        <f>VLOOKUP(Logfile_S12[[#This Row],[Material Name]],Sheet2!B:C,2,0)</f>
        <v>GCI1012</v>
      </c>
      <c r="M473" s="225" t="str">
        <f>_xlfn.XLOOKUP(Logfile_S12[[#This Row],[Material Name]],Sum_WH!E:E,Sum_WH!F:F,"",0)</f>
        <v>Pcs</v>
      </c>
      <c r="N473" s="221">
        <v>38</v>
      </c>
      <c r="O473" s="221" t="s">
        <v>84</v>
      </c>
      <c r="P473" s="221" t="s">
        <v>85</v>
      </c>
      <c r="Q473" s="221">
        <v>0</v>
      </c>
      <c r="R473" s="221">
        <v>0</v>
      </c>
      <c r="S473" s="221"/>
      <c r="T473" s="221"/>
      <c r="U473" s="221"/>
      <c r="V473" s="221"/>
      <c r="W473" s="221"/>
      <c r="X473" s="221" t="s">
        <v>3321</v>
      </c>
      <c r="Y473" s="227"/>
      <c r="Z473" s="227" t="str">
        <f t="shared" si="25"/>
        <v>Perumahan Bumi Podo Rukun Dau</v>
      </c>
      <c r="AA473" s="276" t="e">
        <f>VLOOKUP(Logfile_S12[[#This Row],[DO number]],DO_DB!G:I,3,0)</f>
        <v>#N/A</v>
      </c>
      <c r="AB473" s="331" t="e">
        <f>EXACT(Logfile_S12[[#This Row],[date pick]],Logfile_S12[[#This Row],[Date]])</f>
        <v>#N/A</v>
      </c>
      <c r="AC4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74" spans="1:29" ht="14.5" hidden="1">
      <c r="A474" s="220" t="str">
        <f t="shared" si="24"/>
        <v>470</v>
      </c>
      <c r="B474" s="221"/>
      <c r="C474" s="221" t="s">
        <v>48</v>
      </c>
      <c r="D474" s="221" t="s">
        <v>3740</v>
      </c>
      <c r="E474" s="221" t="s">
        <v>3295</v>
      </c>
      <c r="F474" s="221" t="s">
        <v>3299</v>
      </c>
      <c r="G474" s="222">
        <v>45204</v>
      </c>
      <c r="H474" s="223">
        <v>15.291666666666666</v>
      </c>
      <c r="I474" s="221" t="s">
        <v>38</v>
      </c>
      <c r="J474" s="221" t="s">
        <v>3024</v>
      </c>
      <c r="K474" s="224" t="s">
        <v>3098</v>
      </c>
      <c r="L474" s="225" t="str">
        <f>VLOOKUP(Logfile_S12[[#This Row],[Material Name]],Sheet2!B:C,2,0)</f>
        <v>GCI1012</v>
      </c>
      <c r="M474" s="225" t="str">
        <f>_xlfn.XLOOKUP(Logfile_S12[[#This Row],[Material Name]],Sum_WH!E:E,Sum_WH!F:F,"",0)</f>
        <v>Pcs</v>
      </c>
      <c r="N474" s="221">
        <v>60</v>
      </c>
      <c r="O474" s="221" t="s">
        <v>164</v>
      </c>
      <c r="P474" s="221" t="s">
        <v>3320</v>
      </c>
      <c r="Q474" s="221">
        <v>0</v>
      </c>
      <c r="R474" s="221">
        <v>0</v>
      </c>
      <c r="S474" s="221"/>
      <c r="T474" s="221"/>
      <c r="U474" s="221"/>
      <c r="V474" s="221"/>
      <c r="W474" s="221"/>
      <c r="X474" s="221"/>
      <c r="Y474" s="227"/>
      <c r="Z474" s="227" t="str">
        <f t="shared" si="25"/>
        <v>Pandan Landung RW 04 Wagir</v>
      </c>
      <c r="AA474" s="276" t="e">
        <f>VLOOKUP(Logfile_S12[[#This Row],[DO number]],DO_DB!G:I,3,0)</f>
        <v>#N/A</v>
      </c>
      <c r="AB474" s="331" t="e">
        <f>EXACT(Logfile_S12[[#This Row],[date pick]],Logfile_S12[[#This Row],[Date]])</f>
        <v>#N/A</v>
      </c>
      <c r="AC4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75" spans="1:29" ht="14.5" hidden="1">
      <c r="A475" s="220" t="str">
        <f t="shared" si="24"/>
        <v>471</v>
      </c>
      <c r="B475" s="221"/>
      <c r="C475" s="221" t="s">
        <v>48</v>
      </c>
      <c r="D475" s="221" t="s">
        <v>3740</v>
      </c>
      <c r="E475" s="221" t="s">
        <v>3295</v>
      </c>
      <c r="F475" s="221" t="s">
        <v>3299</v>
      </c>
      <c r="G475" s="222">
        <v>45204</v>
      </c>
      <c r="H475" s="223">
        <v>15.291666666666666</v>
      </c>
      <c r="I475" s="221" t="s">
        <v>38</v>
      </c>
      <c r="J475" s="221" t="s">
        <v>3024</v>
      </c>
      <c r="K475" s="224" t="s">
        <v>3098</v>
      </c>
      <c r="L475" s="225" t="str">
        <f>VLOOKUP(Logfile_S12[[#This Row],[Material Name]],Sheet2!B:C,2,0)</f>
        <v>GCI1012</v>
      </c>
      <c r="M475" s="225" t="str">
        <f>_xlfn.XLOOKUP(Logfile_S12[[#This Row],[Material Name]],Sum_WH!E:E,Sum_WH!F:F,"",0)</f>
        <v>Pcs</v>
      </c>
      <c r="N475" s="221">
        <v>72</v>
      </c>
      <c r="O475" s="221" t="s">
        <v>180</v>
      </c>
      <c r="P475" s="221" t="s">
        <v>181</v>
      </c>
      <c r="Q475" s="221">
        <v>0</v>
      </c>
      <c r="R475" s="221">
        <v>0</v>
      </c>
      <c r="S475" s="221"/>
      <c r="T475" s="221"/>
      <c r="U475" s="221"/>
      <c r="V475" s="221"/>
      <c r="W475" s="221"/>
      <c r="X475" s="221"/>
      <c r="Y475" s="227"/>
      <c r="Z475" s="227" t="str">
        <f t="shared" si="25"/>
        <v>Mulyorejo RW 06 Sukun</v>
      </c>
      <c r="AA475" s="276" t="e">
        <f>VLOOKUP(Logfile_S12[[#This Row],[DO number]],DO_DB!G:I,3,0)</f>
        <v>#N/A</v>
      </c>
      <c r="AB475" s="331" t="e">
        <f>EXACT(Logfile_S12[[#This Row],[date pick]],Logfile_S12[[#This Row],[Date]])</f>
        <v>#N/A</v>
      </c>
      <c r="AC4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76" spans="1:29" ht="14.5" hidden="1">
      <c r="A476" s="220" t="str">
        <f t="shared" si="24"/>
        <v>472</v>
      </c>
      <c r="B476" s="221"/>
      <c r="C476" s="221" t="s">
        <v>48</v>
      </c>
      <c r="D476" s="221" t="s">
        <v>3740</v>
      </c>
      <c r="E476" s="221" t="s">
        <v>3295</v>
      </c>
      <c r="F476" s="221" t="s">
        <v>3299</v>
      </c>
      <c r="G476" s="222">
        <v>45204</v>
      </c>
      <c r="H476" s="223">
        <v>15.291666666666666</v>
      </c>
      <c r="I476" s="221" t="s">
        <v>38</v>
      </c>
      <c r="J476" s="221" t="s">
        <v>3024</v>
      </c>
      <c r="K476" s="224" t="s">
        <v>3098</v>
      </c>
      <c r="L476" s="225" t="str">
        <f>VLOOKUP(Logfile_S12[[#This Row],[Material Name]],Sheet2!B:C,2,0)</f>
        <v>GCI1012</v>
      </c>
      <c r="M476" s="225" t="str">
        <f>_xlfn.XLOOKUP(Logfile_S12[[#This Row],[Material Name]],Sum_WH!E:E,Sum_WH!F:F,"",0)</f>
        <v>Pcs</v>
      </c>
      <c r="N476" s="221">
        <v>74</v>
      </c>
      <c r="O476" s="221" t="s">
        <v>172</v>
      </c>
      <c r="P476" s="221" t="s">
        <v>3319</v>
      </c>
      <c r="Q476" s="221">
        <v>0</v>
      </c>
      <c r="R476" s="221">
        <v>0</v>
      </c>
      <c r="S476" s="221"/>
      <c r="T476" s="221"/>
      <c r="U476" s="221"/>
      <c r="V476" s="221"/>
      <c r="W476" s="221"/>
      <c r="X476" s="221"/>
      <c r="Y476" s="227"/>
      <c r="Z476" s="227" t="str">
        <f t="shared" si="25"/>
        <v>Pandan Landung RW 03 Wagir</v>
      </c>
      <c r="AA476" s="276" t="e">
        <f>VLOOKUP(Logfile_S12[[#This Row],[DO number]],DO_DB!G:I,3,0)</f>
        <v>#N/A</v>
      </c>
      <c r="AB476" s="331" t="e">
        <f>EXACT(Logfile_S12[[#This Row],[date pick]],Logfile_S12[[#This Row],[Date]])</f>
        <v>#N/A</v>
      </c>
      <c r="AC4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77" spans="1:29" ht="14.5" hidden="1">
      <c r="A477" s="220" t="str">
        <f t="shared" si="24"/>
        <v>473</v>
      </c>
      <c r="B477" s="221"/>
      <c r="C477" s="221" t="s">
        <v>48</v>
      </c>
      <c r="D477" s="221" t="s">
        <v>3740</v>
      </c>
      <c r="E477" s="221" t="s">
        <v>3295</v>
      </c>
      <c r="F477" s="221" t="s">
        <v>3299</v>
      </c>
      <c r="G477" s="222">
        <v>45204</v>
      </c>
      <c r="H477" s="223">
        <v>15.291666666666666</v>
      </c>
      <c r="I477" s="221" t="s">
        <v>38</v>
      </c>
      <c r="J477" s="221" t="s">
        <v>3024</v>
      </c>
      <c r="K477" s="224" t="s">
        <v>3098</v>
      </c>
      <c r="L477" s="225" t="str">
        <f>VLOOKUP(Logfile_S12[[#This Row],[Material Name]],Sheet2!B:C,2,0)</f>
        <v>GCI1012</v>
      </c>
      <c r="M477" s="225" t="str">
        <f>_xlfn.XLOOKUP(Logfile_S12[[#This Row],[Material Name]],Sum_WH!E:E,Sum_WH!F:F,"",0)</f>
        <v>Pcs</v>
      </c>
      <c r="N477" s="221">
        <v>83</v>
      </c>
      <c r="O477" s="221" t="s">
        <v>222</v>
      </c>
      <c r="P477" s="221" t="s">
        <v>223</v>
      </c>
      <c r="Q477" s="221">
        <v>0</v>
      </c>
      <c r="R477" s="221">
        <v>0</v>
      </c>
      <c r="S477" s="221"/>
      <c r="T477" s="221"/>
      <c r="U477" s="221"/>
      <c r="V477" s="221"/>
      <c r="W477" s="221"/>
      <c r="X477" s="221" t="s">
        <v>3318</v>
      </c>
      <c r="Y477" s="227"/>
      <c r="Z477" s="227" t="str">
        <f t="shared" si="25"/>
        <v>Puncak Dieng Exlusif</v>
      </c>
      <c r="AA477" s="276" t="e">
        <f>VLOOKUP(Logfile_S12[[#This Row],[DO number]],DO_DB!G:I,3,0)</f>
        <v>#N/A</v>
      </c>
      <c r="AB477" s="331" t="e">
        <f>EXACT(Logfile_S12[[#This Row],[date pick]],Logfile_S12[[#This Row],[Date]])</f>
        <v>#N/A</v>
      </c>
      <c r="AC4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78" spans="1:29" ht="14.5" hidden="1">
      <c r="A478" s="220" t="str">
        <f t="shared" si="24"/>
        <v>474</v>
      </c>
      <c r="B478" s="221"/>
      <c r="C478" s="221" t="s">
        <v>49</v>
      </c>
      <c r="D478" s="221" t="s">
        <v>3741</v>
      </c>
      <c r="E478" s="221" t="s">
        <v>3295</v>
      </c>
      <c r="F478" s="221" t="s">
        <v>3299</v>
      </c>
      <c r="G478" s="222">
        <v>45205</v>
      </c>
      <c r="H478" s="223">
        <v>0.39374999999999999</v>
      </c>
      <c r="I478" s="221" t="s">
        <v>4916</v>
      </c>
      <c r="J478" s="221" t="s">
        <v>3024</v>
      </c>
      <c r="K478" s="224" t="s">
        <v>3098</v>
      </c>
      <c r="L478" s="225" t="str">
        <f>VLOOKUP(Logfile_S12[[#This Row],[Material Name]],Sheet2!B:C,2,0)</f>
        <v>GCI1012</v>
      </c>
      <c r="M478" s="225" t="str">
        <f>_xlfn.XLOOKUP(Logfile_S12[[#This Row],[Material Name]],Sum_WH!E:E,Sum_WH!F:F,"",0)</f>
        <v>Pcs</v>
      </c>
      <c r="N478" s="221">
        <v>83</v>
      </c>
      <c r="O478" s="221" t="s">
        <v>222</v>
      </c>
      <c r="P478" s="221" t="s">
        <v>223</v>
      </c>
      <c r="Q478" s="221"/>
      <c r="R478" s="221"/>
      <c r="S478" s="221"/>
      <c r="T478" s="221" t="s">
        <v>3322</v>
      </c>
      <c r="U478" s="221" t="s">
        <v>3323</v>
      </c>
      <c r="V478" s="221" t="s">
        <v>3324</v>
      </c>
      <c r="W478" s="221" t="s">
        <v>3325</v>
      </c>
      <c r="X478" s="221"/>
      <c r="Y478" s="227"/>
      <c r="Z478" s="227" t="str">
        <f t="shared" si="25"/>
        <v>Puncak Dieng Exlusif</v>
      </c>
      <c r="AA478" s="276" t="e">
        <f>VLOOKUP(Logfile_S12[[#This Row],[DO number]],DO_DB!G:I,3,0)</f>
        <v>#N/A</v>
      </c>
      <c r="AB478" s="331" t="e">
        <f>EXACT(Logfile_S12[[#This Row],[date pick]],Logfile_S12[[#This Row],[Date]])</f>
        <v>#N/A</v>
      </c>
      <c r="AC4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79" spans="1:29" ht="14.5" hidden="1">
      <c r="A479" s="220" t="str">
        <f t="shared" si="24"/>
        <v>475</v>
      </c>
      <c r="B479" s="221"/>
      <c r="C479" s="221" t="s">
        <v>49</v>
      </c>
      <c r="D479" s="221" t="s">
        <v>3741</v>
      </c>
      <c r="E479" s="221" t="s">
        <v>3295</v>
      </c>
      <c r="F479" s="221" t="s">
        <v>3299</v>
      </c>
      <c r="G479" s="222">
        <v>45205</v>
      </c>
      <c r="H479" s="223">
        <v>0.39374999999999999</v>
      </c>
      <c r="I479" s="221" t="s">
        <v>4916</v>
      </c>
      <c r="J479" s="221" t="s">
        <v>3024</v>
      </c>
      <c r="K479" s="224" t="s">
        <v>3098</v>
      </c>
      <c r="L479" s="225" t="str">
        <f>VLOOKUP(Logfile_S12[[#This Row],[Material Name]],Sheet2!B:C,2,0)</f>
        <v>GCI1012</v>
      </c>
      <c r="M479" s="225" t="str">
        <f>_xlfn.XLOOKUP(Logfile_S12[[#This Row],[Material Name]],Sum_WH!E:E,Sum_WH!F:F,"",0)</f>
        <v>Pcs</v>
      </c>
      <c r="N479" s="221">
        <v>384</v>
      </c>
      <c r="O479" s="221" t="s">
        <v>222</v>
      </c>
      <c r="P479" s="221" t="s">
        <v>223</v>
      </c>
      <c r="Q479" s="221"/>
      <c r="R479" s="221"/>
      <c r="S479" s="221"/>
      <c r="T479" s="221" t="s">
        <v>3322</v>
      </c>
      <c r="U479" s="221" t="s">
        <v>3323</v>
      </c>
      <c r="V479" s="221" t="s">
        <v>3324</v>
      </c>
      <c r="W479" s="221" t="s">
        <v>3325</v>
      </c>
      <c r="X479" s="221"/>
      <c r="Y479" s="227"/>
      <c r="Z479" s="227" t="str">
        <f t="shared" si="25"/>
        <v>Puncak Dieng Exlusif</v>
      </c>
      <c r="AA479" s="276" t="e">
        <f>VLOOKUP(Logfile_S12[[#This Row],[DO number]],DO_DB!G:I,3,0)</f>
        <v>#N/A</v>
      </c>
      <c r="AB479" s="331" t="e">
        <f>EXACT(Logfile_S12[[#This Row],[date pick]],Logfile_S12[[#This Row],[Date]])</f>
        <v>#N/A</v>
      </c>
      <c r="AC4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80" spans="1:29" ht="14.5" hidden="1">
      <c r="A480" s="220" t="str">
        <f t="shared" si="24"/>
        <v>476</v>
      </c>
      <c r="B480" s="221"/>
      <c r="C480" s="221" t="s">
        <v>49</v>
      </c>
      <c r="D480" s="221" t="s">
        <v>3752</v>
      </c>
      <c r="E480" s="221" t="s">
        <v>3295</v>
      </c>
      <c r="F480" s="221" t="s">
        <v>3299</v>
      </c>
      <c r="G480" s="222">
        <v>45211</v>
      </c>
      <c r="H480" s="223">
        <v>0.85486111111111107</v>
      </c>
      <c r="I480" s="221" t="s">
        <v>4916</v>
      </c>
      <c r="J480" s="221" t="s">
        <v>3024</v>
      </c>
      <c r="K480" s="224" t="s">
        <v>3098</v>
      </c>
      <c r="L480" s="225" t="str">
        <f>VLOOKUP(Logfile_S12[[#This Row],[Material Name]],Sheet2!B:C,2,0)</f>
        <v>GCI1012</v>
      </c>
      <c r="M480" s="225" t="str">
        <f>_xlfn.XLOOKUP(Logfile_S12[[#This Row],[Material Name]],Sum_WH!E:E,Sum_WH!F:F,"",0)</f>
        <v>Pcs</v>
      </c>
      <c r="N480" s="221">
        <v>59</v>
      </c>
      <c r="O480" s="221" t="s">
        <v>164</v>
      </c>
      <c r="P480" s="221" t="s">
        <v>3320</v>
      </c>
      <c r="Q480" s="221"/>
      <c r="R480" s="221"/>
      <c r="S480" s="221"/>
      <c r="T480" s="221" t="s">
        <v>3326</v>
      </c>
      <c r="U480" s="221">
        <v>0</v>
      </c>
      <c r="V480" s="221" t="s">
        <v>3327</v>
      </c>
      <c r="W480" s="221" t="s">
        <v>3328</v>
      </c>
      <c r="X480" s="221"/>
      <c r="Y480" s="227"/>
      <c r="Z480" s="227" t="str">
        <f t="shared" si="25"/>
        <v>Pandan Landung RW 04 Wagir</v>
      </c>
      <c r="AA480" s="276" t="e">
        <f>VLOOKUP(Logfile_S12[[#This Row],[DO number]],DO_DB!G:I,3,0)</f>
        <v>#N/A</v>
      </c>
      <c r="AB480" s="331" t="e">
        <f>EXACT(Logfile_S12[[#This Row],[date pick]],Logfile_S12[[#This Row],[Date]])</f>
        <v>#N/A</v>
      </c>
      <c r="AC4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81" spans="1:29" ht="14.5" hidden="1">
      <c r="A481" s="220" t="str">
        <f t="shared" si="24"/>
        <v>477</v>
      </c>
      <c r="B481" s="221"/>
      <c r="C481" s="221" t="s">
        <v>49</v>
      </c>
      <c r="D481" s="221" t="s">
        <v>3752</v>
      </c>
      <c r="E481" s="221" t="s">
        <v>3295</v>
      </c>
      <c r="F481" s="221" t="s">
        <v>3299</v>
      </c>
      <c r="G481" s="222">
        <v>45211</v>
      </c>
      <c r="H481" s="223">
        <v>0.85486111111111107</v>
      </c>
      <c r="I481" s="221" t="s">
        <v>4916</v>
      </c>
      <c r="J481" s="221" t="s">
        <v>3024</v>
      </c>
      <c r="K481" s="224" t="s">
        <v>3098</v>
      </c>
      <c r="L481" s="225" t="str">
        <f>VLOOKUP(Logfile_S12[[#This Row],[Material Name]],Sheet2!B:C,2,0)</f>
        <v>GCI1012</v>
      </c>
      <c r="M481" s="225" t="str">
        <f>_xlfn.XLOOKUP(Logfile_S12[[#This Row],[Material Name]],Sum_WH!E:E,Sum_WH!F:F,"",0)</f>
        <v>Pcs</v>
      </c>
      <c r="N481" s="221">
        <v>73</v>
      </c>
      <c r="O481" s="221" t="s">
        <v>172</v>
      </c>
      <c r="P481" s="221" t="s">
        <v>3319</v>
      </c>
      <c r="Q481" s="221"/>
      <c r="R481" s="221"/>
      <c r="S481" s="221"/>
      <c r="T481" s="221" t="s">
        <v>3326</v>
      </c>
      <c r="U481" s="221">
        <v>0</v>
      </c>
      <c r="V481" s="221" t="s">
        <v>3327</v>
      </c>
      <c r="W481" s="221" t="s">
        <v>3328</v>
      </c>
      <c r="X481" s="221"/>
      <c r="Y481" s="227"/>
      <c r="Z481" s="227" t="str">
        <f t="shared" si="25"/>
        <v>Pandan Landung RW 03 Wagir</v>
      </c>
      <c r="AA481" s="276" t="e">
        <f>VLOOKUP(Logfile_S12[[#This Row],[DO number]],DO_DB!G:I,3,0)</f>
        <v>#N/A</v>
      </c>
      <c r="AB481" s="331" t="e">
        <f>EXACT(Logfile_S12[[#This Row],[date pick]],Logfile_S12[[#This Row],[Date]])</f>
        <v>#N/A</v>
      </c>
      <c r="AC4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82" spans="1:29" ht="14.5" hidden="1">
      <c r="A482" s="220" t="str">
        <f t="shared" si="24"/>
        <v>478</v>
      </c>
      <c r="B482" s="221"/>
      <c r="C482" s="221" t="s">
        <v>49</v>
      </c>
      <c r="D482" s="221" t="s">
        <v>3761</v>
      </c>
      <c r="E482" s="221" t="s">
        <v>3295</v>
      </c>
      <c r="F482" s="221" t="s">
        <v>3299</v>
      </c>
      <c r="G482" s="222">
        <v>45216</v>
      </c>
      <c r="H482" s="223">
        <v>0.59097222222222223</v>
      </c>
      <c r="I482" s="221" t="s">
        <v>4916</v>
      </c>
      <c r="J482" s="221" t="s">
        <v>3024</v>
      </c>
      <c r="K482" s="224" t="s">
        <v>3098</v>
      </c>
      <c r="L482" s="225" t="str">
        <f>VLOOKUP(Logfile_S12[[#This Row],[Material Name]],Sheet2!B:C,2,0)</f>
        <v>GCI1012</v>
      </c>
      <c r="M482" s="225" t="str">
        <f>_xlfn.XLOOKUP(Logfile_S12[[#This Row],[Material Name]],Sum_WH!E:E,Sum_WH!F:F,"",0)</f>
        <v>Pcs</v>
      </c>
      <c r="N482" s="221">
        <v>38</v>
      </c>
      <c r="O482" s="221" t="s">
        <v>84</v>
      </c>
      <c r="P482" s="221" t="s">
        <v>85</v>
      </c>
      <c r="Q482" s="221"/>
      <c r="R482" s="221"/>
      <c r="S482" s="221"/>
      <c r="T482" s="221" t="s">
        <v>3329</v>
      </c>
      <c r="U482" s="221" t="s">
        <v>3228</v>
      </c>
      <c r="V482" s="221" t="s">
        <v>3330</v>
      </c>
      <c r="W482" s="221" t="s">
        <v>3331</v>
      </c>
      <c r="X482" s="221"/>
      <c r="Y482" s="227"/>
      <c r="Z482" s="227" t="str">
        <f t="shared" si="25"/>
        <v>Perumahan Bumi Podo Rukun Dau</v>
      </c>
      <c r="AA482" s="276" t="e">
        <f>VLOOKUP(Logfile_S12[[#This Row],[DO number]],DO_DB!G:I,3,0)</f>
        <v>#N/A</v>
      </c>
      <c r="AB482" s="331" t="e">
        <f>EXACT(Logfile_S12[[#This Row],[date pick]],Logfile_S12[[#This Row],[Date]])</f>
        <v>#N/A</v>
      </c>
      <c r="AC4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83" spans="1:29" ht="14.5" hidden="1">
      <c r="A483" s="220" t="str">
        <f t="shared" si="24"/>
        <v>479</v>
      </c>
      <c r="B483" s="221"/>
      <c r="C483" s="221" t="s">
        <v>49</v>
      </c>
      <c r="D483" s="221" t="s">
        <v>3771</v>
      </c>
      <c r="E483" s="221" t="s">
        <v>3295</v>
      </c>
      <c r="F483" s="221" t="s">
        <v>3299</v>
      </c>
      <c r="G483" s="222">
        <v>45220</v>
      </c>
      <c r="H483" s="223">
        <v>0.97499999999999998</v>
      </c>
      <c r="I483" s="221" t="s">
        <v>4916</v>
      </c>
      <c r="J483" s="221" t="s">
        <v>3024</v>
      </c>
      <c r="K483" s="224" t="s">
        <v>3098</v>
      </c>
      <c r="L483" s="225" t="str">
        <f>VLOOKUP(Logfile_S12[[#This Row],[Material Name]],Sheet2!B:C,2,0)</f>
        <v>GCI1012</v>
      </c>
      <c r="M483" s="225" t="str">
        <f>_xlfn.XLOOKUP(Logfile_S12[[#This Row],[Material Name]],Sum_WH!E:E,Sum_WH!F:F,"",0)</f>
        <v>Pcs</v>
      </c>
      <c r="N483" s="221">
        <v>82</v>
      </c>
      <c r="O483" s="221">
        <v>0</v>
      </c>
      <c r="P483" s="221">
        <v>0</v>
      </c>
      <c r="Q483" s="221"/>
      <c r="R483" s="221"/>
      <c r="S483" s="221"/>
      <c r="T483" s="221" t="s">
        <v>3332</v>
      </c>
      <c r="U483" s="221">
        <v>0</v>
      </c>
      <c r="V483" s="221" t="s">
        <v>3333</v>
      </c>
      <c r="W483" s="221" t="s">
        <v>3334</v>
      </c>
      <c r="X483" s="221"/>
      <c r="Y483" s="227"/>
      <c r="Z483" s="227">
        <f t="shared" si="25"/>
        <v>0</v>
      </c>
      <c r="AA483" s="276" t="e">
        <f>VLOOKUP(Logfile_S12[[#This Row],[DO number]],DO_DB!G:I,3,0)</f>
        <v>#N/A</v>
      </c>
      <c r="AB483" s="331" t="e">
        <f>EXACT(Logfile_S12[[#This Row],[date pick]],Logfile_S12[[#This Row],[Date]])</f>
        <v>#N/A</v>
      </c>
      <c r="AC4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84" spans="1:29" ht="14.5" hidden="1">
      <c r="A484" s="220" t="str">
        <f t="shared" si="24"/>
        <v>480</v>
      </c>
      <c r="B484" s="221"/>
      <c r="C484" s="221" t="s">
        <v>48</v>
      </c>
      <c r="D484" s="221" t="s">
        <v>3920</v>
      </c>
      <c r="E484" s="221" t="s">
        <v>3295</v>
      </c>
      <c r="F484" s="221" t="s">
        <v>3299</v>
      </c>
      <c r="G484" s="222">
        <v>45331</v>
      </c>
      <c r="H484" s="223">
        <v>15.291666666666666</v>
      </c>
      <c r="I484" s="221" t="s">
        <v>38</v>
      </c>
      <c r="J484" s="221" t="s">
        <v>3024</v>
      </c>
      <c r="K484" s="224" t="s">
        <v>3098</v>
      </c>
      <c r="L484" s="225" t="str">
        <f>VLOOKUP(Logfile_S12[[#This Row],[Material Name]],Sheet2!B:C,2,0)</f>
        <v>GCI1012</v>
      </c>
      <c r="M484" s="225" t="str">
        <f>_xlfn.XLOOKUP(Logfile_S12[[#This Row],[Material Name]],Sum_WH!E:E,Sum_WH!F:F,"",0)</f>
        <v>Pcs</v>
      </c>
      <c r="N484" s="221">
        <v>110</v>
      </c>
      <c r="O484" s="221" t="s">
        <v>834</v>
      </c>
      <c r="P484" s="221" t="s">
        <v>3335</v>
      </c>
      <c r="Q484" s="221">
        <v>0</v>
      </c>
      <c r="R484" s="221">
        <v>0</v>
      </c>
      <c r="S484" s="221"/>
      <c r="T484" s="221"/>
      <c r="U484" s="221"/>
      <c r="V484" s="221"/>
      <c r="W484" s="221"/>
      <c r="X484" s="221" t="s">
        <v>3336</v>
      </c>
      <c r="Y484" s="227"/>
      <c r="Z484" s="227" t="str">
        <f t="shared" si="25"/>
        <v>HUBFEEDER BATURETNO RW 02</v>
      </c>
      <c r="AA484" s="276" t="e">
        <f>VLOOKUP(Logfile_S12[[#This Row],[DO number]],DO_DB!G:I,3,0)</f>
        <v>#N/A</v>
      </c>
      <c r="AB484" s="331" t="e">
        <f>EXACT(Logfile_S12[[#This Row],[date pick]],Logfile_S12[[#This Row],[Date]])</f>
        <v>#N/A</v>
      </c>
      <c r="AC4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85" spans="1:29" ht="14.5" hidden="1">
      <c r="A485" s="220" t="str">
        <f t="shared" si="24"/>
        <v>481</v>
      </c>
      <c r="B485" s="221"/>
      <c r="C485" s="221" t="s">
        <v>49</v>
      </c>
      <c r="D485" s="221" t="s">
        <v>3929</v>
      </c>
      <c r="E485" s="221" t="s">
        <v>3295</v>
      </c>
      <c r="F485" s="221" t="s">
        <v>3299</v>
      </c>
      <c r="G485" s="222">
        <v>45341</v>
      </c>
      <c r="H485" s="223">
        <v>0.63194444444444442</v>
      </c>
      <c r="I485" s="221" t="s">
        <v>4916</v>
      </c>
      <c r="J485" s="221" t="s">
        <v>3024</v>
      </c>
      <c r="K485" s="224" t="s">
        <v>3098</v>
      </c>
      <c r="L485" s="225" t="str">
        <f>VLOOKUP(Logfile_S12[[#This Row],[Material Name]],Sheet2!B:C,2,0)</f>
        <v>GCI1012</v>
      </c>
      <c r="M485" s="225" t="str">
        <f>_xlfn.XLOOKUP(Logfile_S12[[#This Row],[Material Name]],Sum_WH!E:E,Sum_WH!F:F,"",0)</f>
        <v>Pcs</v>
      </c>
      <c r="N485" s="221">
        <v>110</v>
      </c>
      <c r="O485" s="221" t="s">
        <v>834</v>
      </c>
      <c r="P485" s="221" t="s">
        <v>3335</v>
      </c>
      <c r="Q485" s="221"/>
      <c r="R485" s="221"/>
      <c r="S485" s="221"/>
      <c r="T485" s="221" t="s">
        <v>3258</v>
      </c>
      <c r="U485" s="221" t="s">
        <v>3228</v>
      </c>
      <c r="V485" s="221" t="s">
        <v>3337</v>
      </c>
      <c r="W485" s="221" t="s">
        <v>3338</v>
      </c>
      <c r="X485" s="221"/>
      <c r="Y485" s="227"/>
      <c r="Z485" s="227" t="str">
        <f t="shared" si="25"/>
        <v>HUBFEEDER BATURETNO RW 02</v>
      </c>
      <c r="AA485" s="276" t="e">
        <f>VLOOKUP(Logfile_S12[[#This Row],[DO number]],DO_DB!G:I,3,0)</f>
        <v>#N/A</v>
      </c>
      <c r="AB485" s="331" t="e">
        <f>EXACT(Logfile_S12[[#This Row],[date pick]],Logfile_S12[[#This Row],[Date]])</f>
        <v>#N/A</v>
      </c>
      <c r="AC4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86" spans="1:29" ht="14.5" hidden="1">
      <c r="A486" s="220" t="str">
        <f t="shared" si="24"/>
        <v>482</v>
      </c>
      <c r="B486" s="221"/>
      <c r="C486" s="221" t="s">
        <v>48</v>
      </c>
      <c r="D486" s="221" t="s">
        <v>3683</v>
      </c>
      <c r="E486" s="221" t="s">
        <v>3295</v>
      </c>
      <c r="F486" s="221" t="s">
        <v>3299</v>
      </c>
      <c r="G486" s="222">
        <v>45147</v>
      </c>
      <c r="H486" s="223">
        <v>15.291666666666666</v>
      </c>
      <c r="I486" s="221" t="s">
        <v>38</v>
      </c>
      <c r="J486" s="221" t="s">
        <v>3024</v>
      </c>
      <c r="K486" s="224" t="s">
        <v>3096</v>
      </c>
      <c r="L486" s="225" t="str">
        <f>VLOOKUP(Logfile_S12[[#This Row],[Material Name]],Sheet2!B:C,2,0)</f>
        <v>GCI1014</v>
      </c>
      <c r="M486" s="225" t="str">
        <f>_xlfn.XLOOKUP(Logfile_S12[[#This Row],[Material Name]],Sum_WH!E:E,Sum_WH!F:F,"",0)</f>
        <v>Pcs</v>
      </c>
      <c r="N486" s="221">
        <v>35</v>
      </c>
      <c r="O486" s="221" t="s">
        <v>84</v>
      </c>
      <c r="P486" s="221" t="s">
        <v>85</v>
      </c>
      <c r="Q486" s="221">
        <v>0</v>
      </c>
      <c r="R486" s="221">
        <v>0</v>
      </c>
      <c r="S486" s="221"/>
      <c r="T486" s="221"/>
      <c r="U486" s="221"/>
      <c r="V486" s="221"/>
      <c r="W486" s="221"/>
      <c r="X486" s="221"/>
      <c r="Y486" s="227"/>
      <c r="Z486" s="227" t="str">
        <f t="shared" si="25"/>
        <v>Perumahan Bumi Podo Rukun Dau</v>
      </c>
      <c r="AA486" s="276" t="e">
        <f>VLOOKUP(Logfile_S12[[#This Row],[DO number]],DO_DB!G:I,3,0)</f>
        <v>#N/A</v>
      </c>
      <c r="AB486" s="331" t="e">
        <f>EXACT(Logfile_S12[[#This Row],[date pick]],Logfile_S12[[#This Row],[Date]])</f>
        <v>#N/A</v>
      </c>
      <c r="AC4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87" spans="1:29" ht="14.5" hidden="1">
      <c r="A487" s="220" t="str">
        <f t="shared" si="24"/>
        <v>483</v>
      </c>
      <c r="B487" s="221"/>
      <c r="C487" s="221" t="s">
        <v>49</v>
      </c>
      <c r="D487" s="221" t="s">
        <v>3684</v>
      </c>
      <c r="E487" s="221" t="s">
        <v>3295</v>
      </c>
      <c r="F487" s="221" t="s">
        <v>3299</v>
      </c>
      <c r="G487" s="222">
        <v>45148</v>
      </c>
      <c r="H487" s="223">
        <v>15.692638888888888</v>
      </c>
      <c r="I487" s="221" t="s">
        <v>4916</v>
      </c>
      <c r="J487" s="221" t="s">
        <v>3024</v>
      </c>
      <c r="K487" s="224" t="s">
        <v>3096</v>
      </c>
      <c r="L487" s="225" t="str">
        <f>VLOOKUP(Logfile_S12[[#This Row],[Material Name]],Sheet2!B:C,2,0)</f>
        <v>GCI1014</v>
      </c>
      <c r="M487" s="225" t="str">
        <f>_xlfn.XLOOKUP(Logfile_S12[[#This Row],[Material Name]],Sum_WH!E:E,Sum_WH!F:F,"",0)</f>
        <v>Pcs</v>
      </c>
      <c r="N487" s="221">
        <v>35</v>
      </c>
      <c r="O487" s="221" t="s">
        <v>84</v>
      </c>
      <c r="P487" s="221" t="s">
        <v>85</v>
      </c>
      <c r="Q487" s="221"/>
      <c r="R487" s="221"/>
      <c r="S487" s="221"/>
      <c r="T487" s="221" t="s">
        <v>3305</v>
      </c>
      <c r="U487" s="221" t="s">
        <v>3228</v>
      </c>
      <c r="V487" s="221" t="s">
        <v>3306</v>
      </c>
      <c r="W487" s="221" t="s">
        <v>3307</v>
      </c>
      <c r="X487" s="221"/>
      <c r="Y487" s="227"/>
      <c r="Z487" s="227" t="str">
        <f t="shared" si="25"/>
        <v>Perumahan Bumi Podo Rukun Dau</v>
      </c>
      <c r="AA487" s="276" t="e">
        <f>VLOOKUP(Logfile_S12[[#This Row],[DO number]],DO_DB!G:I,3,0)</f>
        <v>#N/A</v>
      </c>
      <c r="AB487" s="331" t="e">
        <f>EXACT(Logfile_S12[[#This Row],[date pick]],Logfile_S12[[#This Row],[Date]])</f>
        <v>#N/A</v>
      </c>
      <c r="AC4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88" spans="1:29" ht="14.5" hidden="1">
      <c r="A488" s="220" t="str">
        <f t="shared" si="24"/>
        <v>484</v>
      </c>
      <c r="B488" s="221"/>
      <c r="C488" s="221" t="s">
        <v>48</v>
      </c>
      <c r="D488" s="221" t="s">
        <v>3686</v>
      </c>
      <c r="E488" s="221" t="s">
        <v>3295</v>
      </c>
      <c r="F488" s="221" t="s">
        <v>3299</v>
      </c>
      <c r="G488" s="222">
        <v>45152</v>
      </c>
      <c r="H488" s="223">
        <v>15.291666666666666</v>
      </c>
      <c r="I488" s="221" t="s">
        <v>38</v>
      </c>
      <c r="J488" s="221" t="s">
        <v>3024</v>
      </c>
      <c r="K488" s="224" t="s">
        <v>3096</v>
      </c>
      <c r="L488" s="225" t="str">
        <f>VLOOKUP(Logfile_S12[[#This Row],[Material Name]],Sheet2!B:C,2,0)</f>
        <v>GCI1014</v>
      </c>
      <c r="M488" s="225" t="str">
        <f>_xlfn.XLOOKUP(Logfile_S12[[#This Row],[Material Name]],Sum_WH!E:E,Sum_WH!F:F,"",0)</f>
        <v>Pcs</v>
      </c>
      <c r="N488" s="221">
        <v>60</v>
      </c>
      <c r="O488" s="221" t="s">
        <v>84</v>
      </c>
      <c r="P488" s="221" t="s">
        <v>85</v>
      </c>
      <c r="Q488" s="221">
        <v>0</v>
      </c>
      <c r="R488" s="221">
        <v>0</v>
      </c>
      <c r="S488" s="221"/>
      <c r="T488" s="221"/>
      <c r="U488" s="221"/>
      <c r="V488" s="221"/>
      <c r="W488" s="221"/>
      <c r="X488" s="221"/>
      <c r="Y488" s="227"/>
      <c r="Z488" s="227" t="str">
        <f t="shared" si="25"/>
        <v>Perumahan Bumi Podo Rukun Dau</v>
      </c>
      <c r="AA488" s="276" t="e">
        <f>VLOOKUP(Logfile_S12[[#This Row],[DO number]],DO_DB!G:I,3,0)</f>
        <v>#N/A</v>
      </c>
      <c r="AB488" s="331" t="e">
        <f>EXACT(Logfile_S12[[#This Row],[date pick]],Logfile_S12[[#This Row],[Date]])</f>
        <v>#N/A</v>
      </c>
      <c r="AC4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89" spans="1:29" ht="14.5" hidden="1">
      <c r="A489" s="220" t="str">
        <f t="shared" si="24"/>
        <v>485</v>
      </c>
      <c r="B489" s="221"/>
      <c r="C489" s="221" t="s">
        <v>49</v>
      </c>
      <c r="D489" s="221" t="s">
        <v>3687</v>
      </c>
      <c r="E489" s="221" t="s">
        <v>3295</v>
      </c>
      <c r="F489" s="221" t="s">
        <v>3299</v>
      </c>
      <c r="G489" s="222">
        <v>45154</v>
      </c>
      <c r="H489" s="223">
        <v>15.3725</v>
      </c>
      <c r="I489" s="221" t="s">
        <v>4916</v>
      </c>
      <c r="J489" s="221" t="s">
        <v>3024</v>
      </c>
      <c r="K489" s="224" t="s">
        <v>3096</v>
      </c>
      <c r="L489" s="225" t="str">
        <f>VLOOKUP(Logfile_S12[[#This Row],[Material Name]],Sheet2!B:C,2,0)</f>
        <v>GCI1014</v>
      </c>
      <c r="M489" s="225" t="str">
        <f>_xlfn.XLOOKUP(Logfile_S12[[#This Row],[Material Name]],Sum_WH!E:E,Sum_WH!F:F,"",0)</f>
        <v>Pcs</v>
      </c>
      <c r="N489" s="221">
        <v>60</v>
      </c>
      <c r="O489" s="221" t="s">
        <v>84</v>
      </c>
      <c r="P489" s="221" t="s">
        <v>85</v>
      </c>
      <c r="Q489" s="221"/>
      <c r="R489" s="221"/>
      <c r="S489" s="221"/>
      <c r="T489" s="221" t="s">
        <v>3305</v>
      </c>
      <c r="U489" s="221" t="s">
        <v>3228</v>
      </c>
      <c r="V489" s="221" t="s">
        <v>3306</v>
      </c>
      <c r="W489" s="221" t="s">
        <v>3307</v>
      </c>
      <c r="X489" s="221"/>
      <c r="Y489" s="227"/>
      <c r="Z489" s="227" t="str">
        <f t="shared" si="25"/>
        <v>Perumahan Bumi Podo Rukun Dau</v>
      </c>
      <c r="AA489" s="276" t="e">
        <f>VLOOKUP(Logfile_S12[[#This Row],[DO number]],DO_DB!G:I,3,0)</f>
        <v>#N/A</v>
      </c>
      <c r="AB489" s="331" t="e">
        <f>EXACT(Logfile_S12[[#This Row],[date pick]],Logfile_S12[[#This Row],[Date]])</f>
        <v>#N/A</v>
      </c>
      <c r="AC4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90" spans="1:29" ht="14.5" hidden="1">
      <c r="A490" s="220" t="str">
        <f t="shared" si="24"/>
        <v>486</v>
      </c>
      <c r="B490" s="221"/>
      <c r="C490" s="221" t="s">
        <v>48</v>
      </c>
      <c r="D490" s="221" t="s">
        <v>3689</v>
      </c>
      <c r="E490" s="221" t="s">
        <v>3295</v>
      </c>
      <c r="F490" s="221" t="s">
        <v>3299</v>
      </c>
      <c r="G490" s="222">
        <v>45157</v>
      </c>
      <c r="H490" s="223">
        <v>15.291666666666666</v>
      </c>
      <c r="I490" s="221" t="s">
        <v>38</v>
      </c>
      <c r="J490" s="221" t="s">
        <v>3024</v>
      </c>
      <c r="K490" s="224" t="s">
        <v>3096</v>
      </c>
      <c r="L490" s="225" t="str">
        <f>VLOOKUP(Logfile_S12[[#This Row],[Material Name]],Sheet2!B:C,2,0)</f>
        <v>GCI1014</v>
      </c>
      <c r="M490" s="225" t="str">
        <f>_xlfn.XLOOKUP(Logfile_S12[[#This Row],[Material Name]],Sum_WH!E:E,Sum_WH!F:F,"",0)</f>
        <v>Pcs</v>
      </c>
      <c r="N490" s="221">
        <v>45</v>
      </c>
      <c r="O490" s="221" t="s">
        <v>84</v>
      </c>
      <c r="P490" s="221" t="s">
        <v>85</v>
      </c>
      <c r="Q490" s="221">
        <v>0</v>
      </c>
      <c r="R490" s="221">
        <v>0</v>
      </c>
      <c r="S490" s="221"/>
      <c r="T490" s="221"/>
      <c r="U490" s="221"/>
      <c r="V490" s="221"/>
      <c r="W490" s="221"/>
      <c r="X490" s="221"/>
      <c r="Y490" s="227"/>
      <c r="Z490" s="227" t="str">
        <f t="shared" si="25"/>
        <v>Perumahan Bumi Podo Rukun Dau</v>
      </c>
      <c r="AA490" s="276" t="e">
        <f>VLOOKUP(Logfile_S12[[#This Row],[DO number]],DO_DB!G:I,3,0)</f>
        <v>#N/A</v>
      </c>
      <c r="AB490" s="331" t="e">
        <f>EXACT(Logfile_S12[[#This Row],[date pick]],Logfile_S12[[#This Row],[Date]])</f>
        <v>#N/A</v>
      </c>
      <c r="AC4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91" spans="1:29" ht="14.5" hidden="1">
      <c r="A491" s="220" t="str">
        <f t="shared" si="24"/>
        <v>487</v>
      </c>
      <c r="B491" s="221"/>
      <c r="C491" s="221" t="s">
        <v>49</v>
      </c>
      <c r="D491" s="221" t="s">
        <v>3690</v>
      </c>
      <c r="E491" s="221" t="s">
        <v>3295</v>
      </c>
      <c r="F491" s="221" t="s">
        <v>3299</v>
      </c>
      <c r="G491" s="222">
        <v>45158</v>
      </c>
      <c r="H491" s="223">
        <v>0.3527777777777778</v>
      </c>
      <c r="I491" s="221" t="s">
        <v>4916</v>
      </c>
      <c r="J491" s="221" t="s">
        <v>3024</v>
      </c>
      <c r="K491" s="224" t="s">
        <v>3096</v>
      </c>
      <c r="L491" s="225" t="str">
        <f>VLOOKUP(Logfile_S12[[#This Row],[Material Name]],Sheet2!B:C,2,0)</f>
        <v>GCI1014</v>
      </c>
      <c r="M491" s="225" t="str">
        <f>_xlfn.XLOOKUP(Logfile_S12[[#This Row],[Material Name]],Sum_WH!E:E,Sum_WH!F:F,"",0)</f>
        <v>Pcs</v>
      </c>
      <c r="N491" s="221">
        <v>45</v>
      </c>
      <c r="O491" s="221" t="s">
        <v>84</v>
      </c>
      <c r="P491" s="221" t="s">
        <v>85</v>
      </c>
      <c r="Q491" s="221"/>
      <c r="R491" s="221"/>
      <c r="S491" s="221"/>
      <c r="T491" s="221" t="s">
        <v>3339</v>
      </c>
      <c r="U491" s="221" t="s">
        <v>3228</v>
      </c>
      <c r="V491" s="221" t="s">
        <v>3340</v>
      </c>
      <c r="W491" s="221" t="s">
        <v>3341</v>
      </c>
      <c r="X491" s="221"/>
      <c r="Y491" s="227"/>
      <c r="Z491" s="227" t="str">
        <f t="shared" si="25"/>
        <v>Perumahan Bumi Podo Rukun Dau</v>
      </c>
      <c r="AA491" s="276" t="e">
        <f>VLOOKUP(Logfile_S12[[#This Row],[DO number]],DO_DB!G:I,3,0)</f>
        <v>#N/A</v>
      </c>
      <c r="AB491" s="331" t="e">
        <f>EXACT(Logfile_S12[[#This Row],[date pick]],Logfile_S12[[#This Row],[Date]])</f>
        <v>#N/A</v>
      </c>
      <c r="AC4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92" spans="1:29" ht="14.5" hidden="1">
      <c r="A492" s="220" t="str">
        <f t="shared" si="24"/>
        <v>488</v>
      </c>
      <c r="B492" s="221"/>
      <c r="C492" s="221" t="s">
        <v>48</v>
      </c>
      <c r="D492" s="221" t="s">
        <v>3691</v>
      </c>
      <c r="E492" s="221" t="s">
        <v>3295</v>
      </c>
      <c r="F492" s="221" t="s">
        <v>3299</v>
      </c>
      <c r="G492" s="222">
        <v>45162</v>
      </c>
      <c r="H492" s="223">
        <v>15.291666666666666</v>
      </c>
      <c r="I492" s="221" t="s">
        <v>38</v>
      </c>
      <c r="J492" s="221" t="s">
        <v>3024</v>
      </c>
      <c r="K492" s="224" t="s">
        <v>3096</v>
      </c>
      <c r="L492" s="225" t="str">
        <f>VLOOKUP(Logfile_S12[[#This Row],[Material Name]],Sheet2!B:C,2,0)</f>
        <v>GCI1014</v>
      </c>
      <c r="M492" s="225" t="str">
        <f>_xlfn.XLOOKUP(Logfile_S12[[#This Row],[Material Name]],Sum_WH!E:E,Sum_WH!F:F,"",0)</f>
        <v>Pcs</v>
      </c>
      <c r="N492" s="221">
        <v>104</v>
      </c>
      <c r="O492" s="221" t="s">
        <v>150</v>
      </c>
      <c r="P492" s="221" t="s">
        <v>151</v>
      </c>
      <c r="Q492" s="221">
        <v>0</v>
      </c>
      <c r="R492" s="221">
        <v>0</v>
      </c>
      <c r="S492" s="221"/>
      <c r="T492" s="221"/>
      <c r="U492" s="221"/>
      <c r="V492" s="221"/>
      <c r="W492" s="221"/>
      <c r="X492" s="221"/>
      <c r="Y492" s="227"/>
      <c r="Z492" s="227" t="str">
        <f t="shared" si="25"/>
        <v>Mulyorejo RW 04 Sukun</v>
      </c>
      <c r="AA492" s="276" t="e">
        <f>VLOOKUP(Logfile_S12[[#This Row],[DO number]],DO_DB!G:I,3,0)</f>
        <v>#N/A</v>
      </c>
      <c r="AB492" s="331" t="e">
        <f>EXACT(Logfile_S12[[#This Row],[date pick]],Logfile_S12[[#This Row],[Date]])</f>
        <v>#N/A</v>
      </c>
      <c r="AC4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93" spans="1:29" ht="14.5" hidden="1">
      <c r="A493" s="220" t="str">
        <f t="shared" si="24"/>
        <v>489</v>
      </c>
      <c r="B493" s="221"/>
      <c r="C493" s="221" t="s">
        <v>48</v>
      </c>
      <c r="D493" s="221" t="s">
        <v>3697</v>
      </c>
      <c r="E493" s="221" t="s">
        <v>3295</v>
      </c>
      <c r="F493" s="221" t="s">
        <v>3299</v>
      </c>
      <c r="G493" s="222">
        <v>45173</v>
      </c>
      <c r="H493" s="223">
        <v>15.291666666666666</v>
      </c>
      <c r="I493" s="221" t="s">
        <v>3586</v>
      </c>
      <c r="J493" s="221" t="s">
        <v>3024</v>
      </c>
      <c r="K493" s="224" t="s">
        <v>3096</v>
      </c>
      <c r="L493" s="225" t="str">
        <f>VLOOKUP(Logfile_S12[[#This Row],[Material Name]],Sheet2!B:C,2,0)</f>
        <v>GCI1014</v>
      </c>
      <c r="M493" s="225" t="str">
        <f>_xlfn.XLOOKUP(Logfile_S12[[#This Row],[Material Name]],Sum_WH!E:E,Sum_WH!F:F,"",0)</f>
        <v>Pcs</v>
      </c>
      <c r="N493" s="221">
        <v>82</v>
      </c>
      <c r="O493" s="221" t="s">
        <v>84</v>
      </c>
      <c r="P493" s="221" t="s">
        <v>85</v>
      </c>
      <c r="Q493" s="221">
        <v>0</v>
      </c>
      <c r="R493" s="221">
        <v>0</v>
      </c>
      <c r="S493" s="221"/>
      <c r="T493" s="221"/>
      <c r="U493" s="221"/>
      <c r="V493" s="221"/>
      <c r="W493" s="221"/>
      <c r="X493" s="221" t="s">
        <v>3342</v>
      </c>
      <c r="Y493" s="227"/>
      <c r="Z493" s="227" t="str">
        <f t="shared" si="25"/>
        <v>Perumahan Bumi Podo Rukun Dau</v>
      </c>
      <c r="AA493" s="276" t="e">
        <f>VLOOKUP(Logfile_S12[[#This Row],[DO number]],DO_DB!G:I,3,0)</f>
        <v>#N/A</v>
      </c>
      <c r="AB493" s="331" t="e">
        <f>EXACT(Logfile_S12[[#This Row],[date pick]],Logfile_S12[[#This Row],[Date]])</f>
        <v>#N/A</v>
      </c>
      <c r="AC4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94" spans="1:29" ht="14.5" hidden="1">
      <c r="A494" s="220" t="str">
        <f t="shared" si="24"/>
        <v>490</v>
      </c>
      <c r="B494" s="221"/>
      <c r="C494" s="221" t="s">
        <v>49</v>
      </c>
      <c r="D494" s="221" t="s">
        <v>3771</v>
      </c>
      <c r="E494" s="221" t="s">
        <v>3295</v>
      </c>
      <c r="F494" s="221" t="s">
        <v>3299</v>
      </c>
      <c r="G494" s="222">
        <v>45220</v>
      </c>
      <c r="H494" s="223">
        <v>0.97499999999999998</v>
      </c>
      <c r="I494" s="221" t="s">
        <v>4916</v>
      </c>
      <c r="J494" s="221" t="s">
        <v>3024</v>
      </c>
      <c r="K494" s="224" t="s">
        <v>3096</v>
      </c>
      <c r="L494" s="225" t="str">
        <f>VLOOKUP(Logfile_S12[[#This Row],[Material Name]],Sheet2!B:C,2,0)</f>
        <v>GCI1014</v>
      </c>
      <c r="M494" s="225" t="str">
        <f>_xlfn.XLOOKUP(Logfile_S12[[#This Row],[Material Name]],Sum_WH!E:E,Sum_WH!F:F,"",0)</f>
        <v>Pcs</v>
      </c>
      <c r="N494" s="221">
        <v>186</v>
      </c>
      <c r="O494" s="221">
        <v>0</v>
      </c>
      <c r="P494" s="221">
        <v>0</v>
      </c>
      <c r="Q494" s="221"/>
      <c r="R494" s="221"/>
      <c r="S494" s="221"/>
      <c r="T494" s="221" t="s">
        <v>3332</v>
      </c>
      <c r="U494" s="221">
        <v>0</v>
      </c>
      <c r="V494" s="221" t="s">
        <v>3333</v>
      </c>
      <c r="W494" s="221" t="s">
        <v>3334</v>
      </c>
      <c r="X494" s="221"/>
      <c r="Y494" s="227"/>
      <c r="Z494" s="227">
        <f t="shared" si="25"/>
        <v>0</v>
      </c>
      <c r="AA494" s="276" t="e">
        <f>VLOOKUP(Logfile_S12[[#This Row],[DO number]],DO_DB!G:I,3,0)</f>
        <v>#N/A</v>
      </c>
      <c r="AB494" s="331" t="e">
        <f>EXACT(Logfile_S12[[#This Row],[date pick]],Logfile_S12[[#This Row],[Date]])</f>
        <v>#N/A</v>
      </c>
      <c r="AC4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95" spans="1:29" ht="14.5" hidden="1">
      <c r="A495" s="220" t="str">
        <f t="shared" si="24"/>
        <v>491</v>
      </c>
      <c r="B495" s="221"/>
      <c r="C495" s="221" t="s">
        <v>48</v>
      </c>
      <c r="D495" s="221" t="s">
        <v>3683</v>
      </c>
      <c r="E495" s="221" t="s">
        <v>3295</v>
      </c>
      <c r="F495" s="221" t="s">
        <v>3299</v>
      </c>
      <c r="G495" s="222">
        <v>45147</v>
      </c>
      <c r="H495" s="223">
        <v>15.291666666666666</v>
      </c>
      <c r="I495" s="221" t="s">
        <v>38</v>
      </c>
      <c r="J495" s="221" t="s">
        <v>3024</v>
      </c>
      <c r="K495" s="224" t="s">
        <v>3091</v>
      </c>
      <c r="L495" s="225" t="str">
        <f>VLOOKUP(Logfile_S12[[#This Row],[Material Name]],Sheet2!B:C,2,0)</f>
        <v>GCI1005</v>
      </c>
      <c r="M495" s="225" t="str">
        <f>_xlfn.XLOOKUP(Logfile_S12[[#This Row],[Material Name]],Sum_WH!E:E,Sum_WH!F:F,"",0)</f>
        <v>Pcs</v>
      </c>
      <c r="N495" s="221">
        <v>60</v>
      </c>
      <c r="O495" s="221" t="s">
        <v>84</v>
      </c>
      <c r="P495" s="221" t="s">
        <v>85</v>
      </c>
      <c r="Q495" s="221">
        <v>0</v>
      </c>
      <c r="R495" s="221">
        <v>0</v>
      </c>
      <c r="S495" s="221"/>
      <c r="T495" s="221"/>
      <c r="U495" s="221"/>
      <c r="V495" s="221"/>
      <c r="W495" s="221"/>
      <c r="X495" s="221"/>
      <c r="Y495" s="227"/>
      <c r="Z495" s="227" t="str">
        <f t="shared" si="25"/>
        <v>Perumahan Bumi Podo Rukun Dau</v>
      </c>
      <c r="AA495" s="276" t="e">
        <f>VLOOKUP(Logfile_S12[[#This Row],[DO number]],DO_DB!G:I,3,0)</f>
        <v>#N/A</v>
      </c>
      <c r="AB495" s="331" t="e">
        <f>EXACT(Logfile_S12[[#This Row],[date pick]],Logfile_S12[[#This Row],[Date]])</f>
        <v>#N/A</v>
      </c>
      <c r="AC4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96" spans="1:29" ht="14.5" hidden="1">
      <c r="A496" s="220" t="str">
        <f t="shared" si="24"/>
        <v>492</v>
      </c>
      <c r="B496" s="221"/>
      <c r="C496" s="221" t="s">
        <v>49</v>
      </c>
      <c r="D496" s="221" t="s">
        <v>3684</v>
      </c>
      <c r="E496" s="221" t="s">
        <v>3295</v>
      </c>
      <c r="F496" s="221" t="s">
        <v>3299</v>
      </c>
      <c r="G496" s="222">
        <v>45148</v>
      </c>
      <c r="H496" s="223">
        <v>15.692638888888888</v>
      </c>
      <c r="I496" s="221" t="s">
        <v>4916</v>
      </c>
      <c r="J496" s="221" t="s">
        <v>3024</v>
      </c>
      <c r="K496" s="224" t="s">
        <v>3091</v>
      </c>
      <c r="L496" s="225" t="str">
        <f>VLOOKUP(Logfile_S12[[#This Row],[Material Name]],Sheet2!B:C,2,0)</f>
        <v>GCI1005</v>
      </c>
      <c r="M496" s="225" t="str">
        <f>_xlfn.XLOOKUP(Logfile_S12[[#This Row],[Material Name]],Sum_WH!E:E,Sum_WH!F:F,"",0)</f>
        <v>Pcs</v>
      </c>
      <c r="N496" s="221">
        <v>60</v>
      </c>
      <c r="O496" s="221" t="s">
        <v>84</v>
      </c>
      <c r="P496" s="221" t="s">
        <v>85</v>
      </c>
      <c r="Q496" s="221"/>
      <c r="R496" s="221"/>
      <c r="S496" s="221"/>
      <c r="T496" s="221" t="s">
        <v>3305</v>
      </c>
      <c r="U496" s="221" t="s">
        <v>3228</v>
      </c>
      <c r="V496" s="221" t="s">
        <v>3306</v>
      </c>
      <c r="W496" s="221" t="s">
        <v>3307</v>
      </c>
      <c r="X496" s="221"/>
      <c r="Y496" s="227"/>
      <c r="Z496" s="227" t="str">
        <f t="shared" si="25"/>
        <v>Perumahan Bumi Podo Rukun Dau</v>
      </c>
      <c r="AA496" s="276" t="e">
        <f>VLOOKUP(Logfile_S12[[#This Row],[DO number]],DO_DB!G:I,3,0)</f>
        <v>#N/A</v>
      </c>
      <c r="AB496" s="331" t="e">
        <f>EXACT(Logfile_S12[[#This Row],[date pick]],Logfile_S12[[#This Row],[Date]])</f>
        <v>#N/A</v>
      </c>
      <c r="AC4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97" spans="1:29" ht="14.5" hidden="1">
      <c r="A497" s="220" t="str">
        <f t="shared" si="24"/>
        <v>493</v>
      </c>
      <c r="B497" s="221"/>
      <c r="C497" s="221" t="s">
        <v>48</v>
      </c>
      <c r="D497" s="221" t="s">
        <v>3691</v>
      </c>
      <c r="E497" s="221" t="s">
        <v>3295</v>
      </c>
      <c r="F497" s="221" t="s">
        <v>3299</v>
      </c>
      <c r="G497" s="222">
        <v>45162</v>
      </c>
      <c r="H497" s="223">
        <v>15.291666666666666</v>
      </c>
      <c r="I497" s="221" t="s">
        <v>38</v>
      </c>
      <c r="J497" s="221" t="s">
        <v>3024</v>
      </c>
      <c r="K497" s="224" t="s">
        <v>3091</v>
      </c>
      <c r="L497" s="225" t="str">
        <f>VLOOKUP(Logfile_S12[[#This Row],[Material Name]],Sheet2!B:C,2,0)</f>
        <v>GCI1005</v>
      </c>
      <c r="M497" s="225" t="str">
        <f>_xlfn.XLOOKUP(Logfile_S12[[#This Row],[Material Name]],Sum_WH!E:E,Sum_WH!F:F,"",0)</f>
        <v>Pcs</v>
      </c>
      <c r="N497" s="221">
        <v>68</v>
      </c>
      <c r="O497" s="221" t="s">
        <v>150</v>
      </c>
      <c r="P497" s="221" t="s">
        <v>151</v>
      </c>
      <c r="Q497" s="221">
        <v>0</v>
      </c>
      <c r="R497" s="221">
        <v>0</v>
      </c>
      <c r="S497" s="221"/>
      <c r="T497" s="221"/>
      <c r="U497" s="221"/>
      <c r="V497" s="221"/>
      <c r="W497" s="221"/>
      <c r="X497" s="221"/>
      <c r="Y497" s="227"/>
      <c r="Z497" s="227" t="str">
        <f t="shared" si="25"/>
        <v>Mulyorejo RW 04 Sukun</v>
      </c>
      <c r="AA497" s="276" t="e">
        <f>VLOOKUP(Logfile_S12[[#This Row],[DO number]],DO_DB!G:I,3,0)</f>
        <v>#N/A</v>
      </c>
      <c r="AB497" s="331" t="e">
        <f>EXACT(Logfile_S12[[#This Row],[date pick]],Logfile_S12[[#This Row],[Date]])</f>
        <v>#N/A</v>
      </c>
      <c r="AC4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98" spans="1:29" ht="14.5" hidden="1">
      <c r="A498" s="220" t="str">
        <f t="shared" si="24"/>
        <v>494</v>
      </c>
      <c r="B498" s="221"/>
      <c r="C498" s="221" t="s">
        <v>49</v>
      </c>
      <c r="D498" s="221" t="s">
        <v>3700</v>
      </c>
      <c r="E498" s="221" t="s">
        <v>3295</v>
      </c>
      <c r="F498" s="221" t="s">
        <v>3299</v>
      </c>
      <c r="G498" s="222">
        <v>45175</v>
      </c>
      <c r="H498" s="223">
        <v>0.33888888888888885</v>
      </c>
      <c r="I498" s="221" t="s">
        <v>4916</v>
      </c>
      <c r="J498" s="221" t="s">
        <v>3024</v>
      </c>
      <c r="K498" s="224" t="s">
        <v>3091</v>
      </c>
      <c r="L498" s="225" t="str">
        <f>VLOOKUP(Logfile_S12[[#This Row],[Material Name]],Sheet2!B:C,2,0)</f>
        <v>GCI1005</v>
      </c>
      <c r="M498" s="225" t="str">
        <f>_xlfn.XLOOKUP(Logfile_S12[[#This Row],[Material Name]],Sum_WH!E:E,Sum_WH!F:F,"",0)</f>
        <v>Pcs</v>
      </c>
      <c r="N498" s="221">
        <v>68</v>
      </c>
      <c r="O498" s="221" t="s">
        <v>150</v>
      </c>
      <c r="P498" s="221" t="s">
        <v>151</v>
      </c>
      <c r="Q498" s="221"/>
      <c r="R498" s="221"/>
      <c r="S498" s="221"/>
      <c r="T498" s="221" t="s">
        <v>3309</v>
      </c>
      <c r="U498" s="221" t="s">
        <v>3228</v>
      </c>
      <c r="V498" s="221" t="s">
        <v>3310</v>
      </c>
      <c r="W498" s="221" t="s">
        <v>3311</v>
      </c>
      <c r="X498" s="221"/>
      <c r="Y498" s="227"/>
      <c r="Z498" s="227" t="str">
        <f t="shared" si="25"/>
        <v>Mulyorejo RW 04 Sukun</v>
      </c>
      <c r="AA498" s="276" t="e">
        <f>VLOOKUP(Logfile_S12[[#This Row],[DO number]],DO_DB!G:I,3,0)</f>
        <v>#N/A</v>
      </c>
      <c r="AB498" s="331" t="e">
        <f>EXACT(Logfile_S12[[#This Row],[date pick]],Logfile_S12[[#This Row],[Date]])</f>
        <v>#N/A</v>
      </c>
      <c r="AC4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499" spans="1:29" ht="14.5" hidden="1">
      <c r="A499" s="220" t="str">
        <f t="shared" si="24"/>
        <v>495</v>
      </c>
      <c r="B499" s="221"/>
      <c r="C499" s="221" t="s">
        <v>48</v>
      </c>
      <c r="D499" s="221" t="s">
        <v>3715</v>
      </c>
      <c r="E499" s="221" t="s">
        <v>3295</v>
      </c>
      <c r="F499" s="221" t="s">
        <v>3299</v>
      </c>
      <c r="G499" s="222">
        <v>45191</v>
      </c>
      <c r="H499" s="223">
        <v>15.291666666666666</v>
      </c>
      <c r="I499" s="221" t="s">
        <v>38</v>
      </c>
      <c r="J499" s="221" t="s">
        <v>3024</v>
      </c>
      <c r="K499" s="224" t="s">
        <v>3091</v>
      </c>
      <c r="L499" s="225" t="str">
        <f>VLOOKUP(Logfile_S12[[#This Row],[Material Name]],Sheet2!B:C,2,0)</f>
        <v>GCI1005</v>
      </c>
      <c r="M499" s="225" t="str">
        <f>_xlfn.XLOOKUP(Logfile_S12[[#This Row],[Material Name]],Sum_WH!E:E,Sum_WH!F:F,"",0)</f>
        <v>Pcs</v>
      </c>
      <c r="N499" s="221">
        <v>72</v>
      </c>
      <c r="O499" s="221" t="s">
        <v>222</v>
      </c>
      <c r="P499" s="221" t="s">
        <v>223</v>
      </c>
      <c r="Q499" s="221">
        <v>0</v>
      </c>
      <c r="R499" s="221">
        <v>0</v>
      </c>
      <c r="S499" s="221"/>
      <c r="T499" s="221"/>
      <c r="U499" s="221"/>
      <c r="V499" s="221"/>
      <c r="W499" s="221"/>
      <c r="X499" s="221" t="s">
        <v>3343</v>
      </c>
      <c r="Y499" s="227"/>
      <c r="Z499" s="227" t="str">
        <f t="shared" si="25"/>
        <v>Puncak Dieng Exlusif</v>
      </c>
      <c r="AA499" s="276" t="e">
        <f>VLOOKUP(Logfile_S12[[#This Row],[DO number]],DO_DB!G:I,3,0)</f>
        <v>#N/A</v>
      </c>
      <c r="AB499" s="331" t="e">
        <f>EXACT(Logfile_S12[[#This Row],[date pick]],Logfile_S12[[#This Row],[Date]])</f>
        <v>#N/A</v>
      </c>
      <c r="AC4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00" spans="1:29" ht="14.5" hidden="1">
      <c r="A500" s="220" t="str">
        <f t="shared" si="24"/>
        <v>496</v>
      </c>
      <c r="B500" s="221"/>
      <c r="C500" s="221" t="s">
        <v>48</v>
      </c>
      <c r="D500" s="221" t="s">
        <v>3737</v>
      </c>
      <c r="E500" s="221" t="s">
        <v>3295</v>
      </c>
      <c r="F500" s="221" t="s">
        <v>3299</v>
      </c>
      <c r="G500" s="222">
        <v>45201</v>
      </c>
      <c r="H500" s="223">
        <v>15.291666666666666</v>
      </c>
      <c r="I500" s="221" t="s">
        <v>38</v>
      </c>
      <c r="J500" s="221" t="s">
        <v>3024</v>
      </c>
      <c r="K500" s="224" t="s">
        <v>3091</v>
      </c>
      <c r="L500" s="225" t="str">
        <f>VLOOKUP(Logfile_S12[[#This Row],[Material Name]],Sheet2!B:C,2,0)</f>
        <v>GCI1005</v>
      </c>
      <c r="M500" s="225" t="str">
        <f>_xlfn.XLOOKUP(Logfile_S12[[#This Row],[Material Name]],Sum_WH!E:E,Sum_WH!F:F,"",0)</f>
        <v>Pcs</v>
      </c>
      <c r="N500" s="221">
        <v>44</v>
      </c>
      <c r="O500" s="221" t="s">
        <v>3344</v>
      </c>
      <c r="P500" s="221" t="s">
        <v>3345</v>
      </c>
      <c r="Q500" s="221">
        <v>0</v>
      </c>
      <c r="R500" s="221">
        <v>0</v>
      </c>
      <c r="S500" s="221"/>
      <c r="T500" s="221"/>
      <c r="U500" s="221"/>
      <c r="V500" s="221"/>
      <c r="W500" s="221"/>
      <c r="X500" s="221"/>
      <c r="Y500" s="227"/>
      <c r="Z500" s="227" t="str">
        <f t="shared" si="25"/>
        <v>Purchase</v>
      </c>
      <c r="AA500" s="276" t="e">
        <f>VLOOKUP(Logfile_S12[[#This Row],[DO number]],DO_DB!G:I,3,0)</f>
        <v>#N/A</v>
      </c>
      <c r="AB500" s="331" t="e">
        <f>EXACT(Logfile_S12[[#This Row],[date pick]],Logfile_S12[[#This Row],[Date]])</f>
        <v>#N/A</v>
      </c>
      <c r="AC5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01" spans="1:29" ht="14.5" hidden="1">
      <c r="A501" s="220" t="str">
        <f t="shared" si="24"/>
        <v>497</v>
      </c>
      <c r="B501" s="221"/>
      <c r="C501" s="221" t="s">
        <v>49</v>
      </c>
      <c r="D501" s="221" t="s">
        <v>3738</v>
      </c>
      <c r="E501" s="221" t="s">
        <v>3295</v>
      </c>
      <c r="F501" s="221" t="s">
        <v>3299</v>
      </c>
      <c r="G501" s="222">
        <v>45203</v>
      </c>
      <c r="H501" s="223">
        <v>0.40277777777777773</v>
      </c>
      <c r="I501" s="221" t="s">
        <v>4916</v>
      </c>
      <c r="J501" s="221" t="s">
        <v>3024</v>
      </c>
      <c r="K501" s="224" t="s">
        <v>3213</v>
      </c>
      <c r="L501" s="225" t="str">
        <f>VLOOKUP(Logfile_S12[[#This Row],[Material Name]],Sheet2!B:C,2,0)</f>
        <v>GCI1005</v>
      </c>
      <c r="M501" s="225" t="str">
        <f>_xlfn.XLOOKUP(Logfile_S12[[#This Row],[Material Name]],Sum_WH!E:E,Sum_WH!F:F,"",0)</f>
        <v>Pcs</v>
      </c>
      <c r="N501" s="221">
        <v>44</v>
      </c>
      <c r="O501" s="221" t="s">
        <v>164</v>
      </c>
      <c r="P501" s="221" t="s">
        <v>3320</v>
      </c>
      <c r="Q501" s="221"/>
      <c r="R501" s="221"/>
      <c r="S501" s="221"/>
      <c r="T501" s="221" t="s">
        <v>3346</v>
      </c>
      <c r="U501" s="221">
        <v>0</v>
      </c>
      <c r="V501" s="221" t="s">
        <v>3347</v>
      </c>
      <c r="W501" s="221" t="s">
        <v>3334</v>
      </c>
      <c r="X501" s="221"/>
      <c r="Y501" s="227"/>
      <c r="Z501" s="227" t="str">
        <f t="shared" si="25"/>
        <v>Pandan Landung RW 04 Wagir</v>
      </c>
      <c r="AA501" s="276" t="e">
        <f>VLOOKUP(Logfile_S12[[#This Row],[DO number]],DO_DB!G:I,3,0)</f>
        <v>#N/A</v>
      </c>
      <c r="AB501" s="331" t="e">
        <f>EXACT(Logfile_S12[[#This Row],[date pick]],Logfile_S12[[#This Row],[Date]])</f>
        <v>#N/A</v>
      </c>
      <c r="AC5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02" spans="1:29" ht="14.5" hidden="1">
      <c r="A502" s="220" t="str">
        <f t="shared" si="24"/>
        <v>498</v>
      </c>
      <c r="B502" s="221"/>
      <c r="C502" s="221" t="s">
        <v>3313</v>
      </c>
      <c r="D502" s="221" t="s">
        <v>3744</v>
      </c>
      <c r="E502" s="221" t="s">
        <v>3295</v>
      </c>
      <c r="F502" s="221" t="s">
        <v>3299</v>
      </c>
      <c r="G502" s="222">
        <v>45208</v>
      </c>
      <c r="H502" s="223">
        <v>15.291666666666666</v>
      </c>
      <c r="I502" s="221" t="s">
        <v>4920</v>
      </c>
      <c r="J502" s="221" t="s">
        <v>3024</v>
      </c>
      <c r="K502" s="224" t="s">
        <v>3091</v>
      </c>
      <c r="L502" s="225" t="str">
        <f>VLOOKUP(Logfile_S12[[#This Row],[Material Name]],Sheet2!B:C,2,0)</f>
        <v>GCI1005</v>
      </c>
      <c r="M502" s="225" t="str">
        <f>_xlfn.XLOOKUP(Logfile_S12[[#This Row],[Material Name]],Sum_WH!E:E,Sum_WH!F:F,"",0)</f>
        <v>Pcs</v>
      </c>
      <c r="N502" s="221">
        <v>50</v>
      </c>
      <c r="O502" s="221" t="s">
        <v>3314</v>
      </c>
      <c r="P502" s="221" t="s">
        <v>3315</v>
      </c>
      <c r="Q502" s="221">
        <v>0</v>
      </c>
      <c r="R502" s="221">
        <v>0</v>
      </c>
      <c r="S502" s="221"/>
      <c r="T502" s="221"/>
      <c r="U502" s="221"/>
      <c r="V502" s="221"/>
      <c r="W502" s="221"/>
      <c r="X502" s="221" t="s">
        <v>3348</v>
      </c>
      <c r="Y502" s="227"/>
      <c r="Z502" s="227" t="str">
        <f t="shared" si="25"/>
        <v>KEDIRI</v>
      </c>
      <c r="AA502" s="276" t="e">
        <f>VLOOKUP(Logfile_S12[[#This Row],[DO number]],DO_DB!G:I,3,0)</f>
        <v>#N/A</v>
      </c>
      <c r="AB502" s="331" t="e">
        <f>EXACT(Logfile_S12[[#This Row],[date pick]],Logfile_S12[[#This Row],[Date]])</f>
        <v>#N/A</v>
      </c>
      <c r="AC5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03" spans="1:29" ht="14.5" hidden="1">
      <c r="A503" s="220" t="str">
        <f t="shared" si="24"/>
        <v>499</v>
      </c>
      <c r="B503" s="221"/>
      <c r="C503" s="221" t="s">
        <v>49</v>
      </c>
      <c r="D503" s="221" t="s">
        <v>3745</v>
      </c>
      <c r="E503" s="221" t="s">
        <v>3295</v>
      </c>
      <c r="F503" s="221" t="s">
        <v>3299</v>
      </c>
      <c r="G503" s="222">
        <v>45210</v>
      </c>
      <c r="H503" s="223">
        <v>0.45624999999999999</v>
      </c>
      <c r="I503" s="221" t="s">
        <v>4916</v>
      </c>
      <c r="J503" s="221" t="s">
        <v>3024</v>
      </c>
      <c r="K503" s="224" t="s">
        <v>3237</v>
      </c>
      <c r="L503" s="225" t="str">
        <f>VLOOKUP(Logfile_S12[[#This Row],[Material Name]],Sheet2!B:C,2,0)</f>
        <v>GCI1005</v>
      </c>
      <c r="M503" s="225" t="str">
        <f>_xlfn.XLOOKUP(Logfile_S12[[#This Row],[Material Name]],Sum_WH!E:E,Sum_WH!F:F,"",0)</f>
        <v>Pcs</v>
      </c>
      <c r="N503" s="221">
        <v>50</v>
      </c>
      <c r="O503" s="221" t="s">
        <v>222</v>
      </c>
      <c r="P503" s="221" t="s">
        <v>223</v>
      </c>
      <c r="Q503" s="221"/>
      <c r="R503" s="221"/>
      <c r="S503" s="221"/>
      <c r="T503" s="221" t="s">
        <v>3322</v>
      </c>
      <c r="U503" s="221" t="s">
        <v>3323</v>
      </c>
      <c r="V503" s="221" t="s">
        <v>3324</v>
      </c>
      <c r="W503" s="221" t="s">
        <v>3349</v>
      </c>
      <c r="X503" s="221"/>
      <c r="Y503" s="227"/>
      <c r="Z503" s="227" t="str">
        <f t="shared" si="25"/>
        <v>Puncak Dieng Exlusif</v>
      </c>
      <c r="AA503" s="276" t="e">
        <f>VLOOKUP(Logfile_S12[[#This Row],[DO number]],DO_DB!G:I,3,0)</f>
        <v>#N/A</v>
      </c>
      <c r="AB503" s="331" t="e">
        <f>EXACT(Logfile_S12[[#This Row],[date pick]],Logfile_S12[[#This Row],[Date]])</f>
        <v>#N/A</v>
      </c>
      <c r="AC5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04" spans="1:29" ht="14.5" hidden="1">
      <c r="A504" s="220" t="str">
        <f t="shared" si="24"/>
        <v>500</v>
      </c>
      <c r="B504" s="221"/>
      <c r="C504" s="221" t="s">
        <v>49</v>
      </c>
      <c r="D504" s="221" t="s">
        <v>3749</v>
      </c>
      <c r="E504" s="221" t="s">
        <v>3295</v>
      </c>
      <c r="F504" s="221" t="s">
        <v>3299</v>
      </c>
      <c r="G504" s="222">
        <v>45211</v>
      </c>
      <c r="H504" s="223">
        <v>0.45624999999999999</v>
      </c>
      <c r="I504" s="221" t="s">
        <v>4916</v>
      </c>
      <c r="J504" s="221" t="s">
        <v>3024</v>
      </c>
      <c r="K504" s="224" t="s">
        <v>3237</v>
      </c>
      <c r="L504" s="225" t="str">
        <f>VLOOKUP(Logfile_S12[[#This Row],[Material Name]],Sheet2!B:C,2,0)</f>
        <v>GCI1005</v>
      </c>
      <c r="M504" s="225" t="str">
        <f>_xlfn.XLOOKUP(Logfile_S12[[#This Row],[Material Name]],Sum_WH!E:E,Sum_WH!F:F,"",0)</f>
        <v>Pcs</v>
      </c>
      <c r="N504" s="221">
        <v>72</v>
      </c>
      <c r="O504" s="221" t="s">
        <v>222</v>
      </c>
      <c r="P504" s="221" t="s">
        <v>223</v>
      </c>
      <c r="Q504" s="221"/>
      <c r="R504" s="221"/>
      <c r="S504" s="221"/>
      <c r="T504" s="221" t="s">
        <v>3322</v>
      </c>
      <c r="U504" s="221" t="s">
        <v>3323</v>
      </c>
      <c r="V504" s="221" t="s">
        <v>3324</v>
      </c>
      <c r="W504" s="221" t="s">
        <v>3349</v>
      </c>
      <c r="X504" s="221"/>
      <c r="Y504" s="227"/>
      <c r="Z504" s="227" t="str">
        <f t="shared" si="25"/>
        <v>Puncak Dieng Exlusif</v>
      </c>
      <c r="AA504" s="276" t="e">
        <f>VLOOKUP(Logfile_S12[[#This Row],[DO number]],DO_DB!G:I,3,0)</f>
        <v>#N/A</v>
      </c>
      <c r="AB504" s="331" t="e">
        <f>EXACT(Logfile_S12[[#This Row],[date pick]],Logfile_S12[[#This Row],[Date]])</f>
        <v>#N/A</v>
      </c>
      <c r="AC5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05" spans="1:29" ht="14.5" hidden="1">
      <c r="A505" s="220" t="str">
        <f t="shared" si="24"/>
        <v>501</v>
      </c>
      <c r="B505" s="221"/>
      <c r="C505" s="221" t="s">
        <v>48</v>
      </c>
      <c r="D505" s="221" t="s">
        <v>3787</v>
      </c>
      <c r="E505" s="221" t="s">
        <v>3295</v>
      </c>
      <c r="F505" s="221" t="s">
        <v>3299</v>
      </c>
      <c r="G505" s="222">
        <v>45220</v>
      </c>
      <c r="H505" s="223">
        <v>15.291666666666666</v>
      </c>
      <c r="I505" s="221" t="s">
        <v>38</v>
      </c>
      <c r="J505" s="221" t="s">
        <v>3024</v>
      </c>
      <c r="K505" s="224" t="s">
        <v>3091</v>
      </c>
      <c r="L505" s="225" t="str">
        <f>VLOOKUP(Logfile_S12[[#This Row],[Material Name]],Sheet2!B:C,2,0)</f>
        <v>GCI1005</v>
      </c>
      <c r="M505" s="225" t="str">
        <f>_xlfn.XLOOKUP(Logfile_S12[[#This Row],[Material Name]],Sum_WH!E:E,Sum_WH!F:F,"",0)</f>
        <v>Pcs</v>
      </c>
      <c r="N505" s="221">
        <v>143</v>
      </c>
      <c r="O505" s="221" t="s">
        <v>3344</v>
      </c>
      <c r="P505" s="221" t="s">
        <v>3345</v>
      </c>
      <c r="Q505" s="221">
        <v>0</v>
      </c>
      <c r="R505" s="221">
        <v>0</v>
      </c>
      <c r="S505" s="221"/>
      <c r="T505" s="221"/>
      <c r="U505" s="221"/>
      <c r="V505" s="221"/>
      <c r="W505" s="221"/>
      <c r="X505" s="221" t="s">
        <v>3350</v>
      </c>
      <c r="Y505" s="227"/>
      <c r="Z505" s="227" t="str">
        <f t="shared" si="25"/>
        <v>Purchase</v>
      </c>
      <c r="AA505" s="276" t="e">
        <f>VLOOKUP(Logfile_S12[[#This Row],[DO number]],DO_DB!G:I,3,0)</f>
        <v>#N/A</v>
      </c>
      <c r="AB505" s="331" t="e">
        <f>EXACT(Logfile_S12[[#This Row],[date pick]],Logfile_S12[[#This Row],[Date]])</f>
        <v>#N/A</v>
      </c>
      <c r="AC5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06" spans="1:29" ht="14.5" hidden="1">
      <c r="A506" s="220" t="str">
        <f t="shared" si="24"/>
        <v>502</v>
      </c>
      <c r="B506" s="221"/>
      <c r="C506" s="221" t="s">
        <v>49</v>
      </c>
      <c r="D506" s="221" t="s">
        <v>3772</v>
      </c>
      <c r="E506" s="221" t="s">
        <v>3295</v>
      </c>
      <c r="F506" s="221" t="s">
        <v>3299</v>
      </c>
      <c r="G506" s="222">
        <v>45220</v>
      </c>
      <c r="H506" s="223">
        <v>0.97499999999999998</v>
      </c>
      <c r="I506" s="221" t="s">
        <v>4916</v>
      </c>
      <c r="J506" s="221" t="s">
        <v>3024</v>
      </c>
      <c r="K506" s="224" t="s">
        <v>3237</v>
      </c>
      <c r="L506" s="225" t="str">
        <f>VLOOKUP(Logfile_S12[[#This Row],[Material Name]],Sheet2!B:C,2,0)</f>
        <v>GCI1005</v>
      </c>
      <c r="M506" s="225" t="str">
        <f>_xlfn.XLOOKUP(Logfile_S12[[#This Row],[Material Name]],Sum_WH!E:E,Sum_WH!F:F,"",0)</f>
        <v>Pcs</v>
      </c>
      <c r="N506" s="221">
        <v>22</v>
      </c>
      <c r="O506" s="221" t="s">
        <v>340</v>
      </c>
      <c r="P506" s="221" t="s">
        <v>341</v>
      </c>
      <c r="Q506" s="221"/>
      <c r="R506" s="221"/>
      <c r="S506" s="221"/>
      <c r="T506" s="221" t="s">
        <v>3322</v>
      </c>
      <c r="U506" s="221" t="s">
        <v>3323</v>
      </c>
      <c r="V506" s="221" t="s">
        <v>3324</v>
      </c>
      <c r="W506" s="221" t="s">
        <v>3325</v>
      </c>
      <c r="X506" s="221"/>
      <c r="Y506" s="227"/>
      <c r="Z506" s="227" t="str">
        <f t="shared" si="25"/>
        <v>Jedong RW 08 Wagir</v>
      </c>
      <c r="AA506" s="276" t="e">
        <f>VLOOKUP(Logfile_S12[[#This Row],[DO number]],DO_DB!G:I,3,0)</f>
        <v>#N/A</v>
      </c>
      <c r="AB506" s="331" t="e">
        <f>EXACT(Logfile_S12[[#This Row],[date pick]],Logfile_S12[[#This Row],[Date]])</f>
        <v>#N/A</v>
      </c>
      <c r="AC5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07" spans="1:29" ht="14.5" hidden="1">
      <c r="A507" s="220" t="str">
        <f t="shared" si="24"/>
        <v>503</v>
      </c>
      <c r="B507" s="221"/>
      <c r="C507" s="221" t="s">
        <v>49</v>
      </c>
      <c r="D507" s="221" t="s">
        <v>3772</v>
      </c>
      <c r="E507" s="221" t="s">
        <v>3295</v>
      </c>
      <c r="F507" s="221" t="s">
        <v>3299</v>
      </c>
      <c r="G507" s="222">
        <v>45220</v>
      </c>
      <c r="H507" s="223">
        <v>0.97499999999999998</v>
      </c>
      <c r="I507" s="221" t="s">
        <v>4916</v>
      </c>
      <c r="J507" s="221" t="s">
        <v>3024</v>
      </c>
      <c r="K507" s="224" t="s">
        <v>3213</v>
      </c>
      <c r="L507" s="225" t="str">
        <f>VLOOKUP(Logfile_S12[[#This Row],[Material Name]],Sheet2!B:C,2,0)</f>
        <v>GCI1005</v>
      </c>
      <c r="M507" s="225" t="str">
        <f>_xlfn.XLOOKUP(Logfile_S12[[#This Row],[Material Name]],Sum_WH!E:E,Sum_WH!F:F,"",0)</f>
        <v>Pcs</v>
      </c>
      <c r="N507" s="221">
        <v>60</v>
      </c>
      <c r="O507" s="221" t="s">
        <v>324</v>
      </c>
      <c r="P507" s="221" t="s">
        <v>325</v>
      </c>
      <c r="Q507" s="221"/>
      <c r="R507" s="221"/>
      <c r="S507" s="221"/>
      <c r="T507" s="221" t="s">
        <v>3322</v>
      </c>
      <c r="U507" s="221" t="s">
        <v>3323</v>
      </c>
      <c r="V507" s="221" t="s">
        <v>3324</v>
      </c>
      <c r="W507" s="221" t="s">
        <v>3325</v>
      </c>
      <c r="X507" s="221"/>
      <c r="Y507" s="227"/>
      <c r="Z507" s="227" t="str">
        <f t="shared" si="25"/>
        <v>Jedong RW 09 Wagir</v>
      </c>
      <c r="AA507" s="276" t="e">
        <f>VLOOKUP(Logfile_S12[[#This Row],[DO number]],DO_DB!G:I,3,0)</f>
        <v>#N/A</v>
      </c>
      <c r="AB507" s="331" t="e">
        <f>EXACT(Logfile_S12[[#This Row],[date pick]],Logfile_S12[[#This Row],[Date]])</f>
        <v>#N/A</v>
      </c>
      <c r="AC5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08" spans="1:29" ht="14.5" hidden="1">
      <c r="A508" s="220" t="str">
        <f t="shared" si="24"/>
        <v>504</v>
      </c>
      <c r="B508" s="221"/>
      <c r="C508" s="221" t="s">
        <v>49</v>
      </c>
      <c r="D508" s="221" t="s">
        <v>3788</v>
      </c>
      <c r="E508" s="221" t="s">
        <v>3295</v>
      </c>
      <c r="F508" s="221" t="s">
        <v>3299</v>
      </c>
      <c r="G508" s="222">
        <v>45221</v>
      </c>
      <c r="H508" s="223">
        <v>0.9375</v>
      </c>
      <c r="I508" s="221" t="s">
        <v>4916</v>
      </c>
      <c r="J508" s="221" t="s">
        <v>3024</v>
      </c>
      <c r="K508" s="224" t="s">
        <v>3213</v>
      </c>
      <c r="L508" s="225" t="str">
        <f>VLOOKUP(Logfile_S12[[#This Row],[Material Name]],Sheet2!B:C,2,0)</f>
        <v>GCI1005</v>
      </c>
      <c r="M508" s="225" t="str">
        <f>_xlfn.XLOOKUP(Logfile_S12[[#This Row],[Material Name]],Sum_WH!E:E,Sum_WH!F:F,"",0)</f>
        <v>Pcs</v>
      </c>
      <c r="N508" s="221">
        <v>17</v>
      </c>
      <c r="O508" s="221" t="s">
        <v>328</v>
      </c>
      <c r="P508" s="221" t="s">
        <v>329</v>
      </c>
      <c r="Q508" s="221"/>
      <c r="R508" s="221"/>
      <c r="S508" s="221"/>
      <c r="T508" s="221" t="s">
        <v>3332</v>
      </c>
      <c r="U508" s="221">
        <v>0</v>
      </c>
      <c r="V508" s="221" t="s">
        <v>3333</v>
      </c>
      <c r="W508" s="221" t="s">
        <v>3334</v>
      </c>
      <c r="X508" s="221"/>
      <c r="Y508" s="227"/>
      <c r="Z508" s="227" t="str">
        <f t="shared" si="25"/>
        <v>Sukodadi RW 01 Wagir</v>
      </c>
      <c r="AA508" s="276" t="e">
        <f>VLOOKUP(Logfile_S12[[#This Row],[DO number]],DO_DB!G:I,3,0)</f>
        <v>#N/A</v>
      </c>
      <c r="AB508" s="331" t="e">
        <f>EXACT(Logfile_S12[[#This Row],[date pick]],Logfile_S12[[#This Row],[Date]])</f>
        <v>#N/A</v>
      </c>
      <c r="AC5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09" spans="1:29" ht="14.5" hidden="1">
      <c r="A509" s="220" t="str">
        <f t="shared" si="24"/>
        <v>505</v>
      </c>
      <c r="B509" s="221"/>
      <c r="C509" s="221" t="s">
        <v>49</v>
      </c>
      <c r="D509" s="221" t="s">
        <v>3788</v>
      </c>
      <c r="E509" s="221" t="s">
        <v>3295</v>
      </c>
      <c r="F509" s="221" t="s">
        <v>3299</v>
      </c>
      <c r="G509" s="222">
        <v>45221</v>
      </c>
      <c r="H509" s="223">
        <v>0.9375</v>
      </c>
      <c r="I509" s="221" t="s">
        <v>4916</v>
      </c>
      <c r="J509" s="221" t="s">
        <v>3024</v>
      </c>
      <c r="K509" s="224" t="s">
        <v>3237</v>
      </c>
      <c r="L509" s="225" t="str">
        <f>VLOOKUP(Logfile_S12[[#This Row],[Material Name]],Sheet2!B:C,2,0)</f>
        <v>GCI1005</v>
      </c>
      <c r="M509" s="225" t="str">
        <f>_xlfn.XLOOKUP(Logfile_S12[[#This Row],[Material Name]],Sum_WH!E:E,Sum_WH!F:F,"",0)</f>
        <v>Pcs</v>
      </c>
      <c r="N509" s="221">
        <v>44</v>
      </c>
      <c r="O509" s="221" t="s">
        <v>336</v>
      </c>
      <c r="P509" s="221" t="s">
        <v>337</v>
      </c>
      <c r="Q509" s="221"/>
      <c r="R509" s="221"/>
      <c r="S509" s="221"/>
      <c r="T509" s="221" t="s">
        <v>3332</v>
      </c>
      <c r="U509" s="221">
        <v>0</v>
      </c>
      <c r="V509" s="221" t="s">
        <v>3333</v>
      </c>
      <c r="W509" s="221" t="s">
        <v>3334</v>
      </c>
      <c r="X509" s="221"/>
      <c r="Y509" s="227"/>
      <c r="Z509" s="227" t="str">
        <f t="shared" si="25"/>
        <v>Sidorahayu RW 02 Wagir</v>
      </c>
      <c r="AA509" s="276" t="e">
        <f>VLOOKUP(Logfile_S12[[#This Row],[DO number]],DO_DB!G:I,3,0)</f>
        <v>#N/A</v>
      </c>
      <c r="AB509" s="331" t="e">
        <f>EXACT(Logfile_S12[[#This Row],[date pick]],Logfile_S12[[#This Row],[Date]])</f>
        <v>#N/A</v>
      </c>
      <c r="AC5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10" spans="1:29" ht="14.5" hidden="1">
      <c r="A510" s="220" t="str">
        <f t="shared" si="24"/>
        <v>506</v>
      </c>
      <c r="B510" s="221"/>
      <c r="C510" s="221" t="s">
        <v>48</v>
      </c>
      <c r="D510" s="221" t="s">
        <v>3818</v>
      </c>
      <c r="E510" s="221" t="s">
        <v>3295</v>
      </c>
      <c r="F510" s="221" t="s">
        <v>3299</v>
      </c>
      <c r="G510" s="222">
        <v>45256</v>
      </c>
      <c r="H510" s="223">
        <v>15.291666666666666</v>
      </c>
      <c r="I510" s="221" t="s">
        <v>38</v>
      </c>
      <c r="J510" s="221" t="s">
        <v>3024</v>
      </c>
      <c r="K510" s="224" t="s">
        <v>3091</v>
      </c>
      <c r="L510" s="225" t="str">
        <f>VLOOKUP(Logfile_S12[[#This Row],[Material Name]],Sheet2!B:C,2,0)</f>
        <v>GCI1005</v>
      </c>
      <c r="M510" s="225" t="str">
        <f>_xlfn.XLOOKUP(Logfile_S12[[#This Row],[Material Name]],Sum_WH!E:E,Sum_WH!F:F,"",0)</f>
        <v>Pcs</v>
      </c>
      <c r="N510" s="221">
        <v>20</v>
      </c>
      <c r="O510" s="221" t="s">
        <v>3344</v>
      </c>
      <c r="P510" s="221" t="s">
        <v>3345</v>
      </c>
      <c r="Q510" s="221">
        <v>0</v>
      </c>
      <c r="R510" s="221">
        <v>0</v>
      </c>
      <c r="S510" s="221"/>
      <c r="T510" s="221"/>
      <c r="U510" s="221"/>
      <c r="V510" s="221"/>
      <c r="W510" s="221"/>
      <c r="X510" s="221"/>
      <c r="Y510" s="227"/>
      <c r="Z510" s="227" t="str">
        <f t="shared" si="25"/>
        <v>Purchase</v>
      </c>
      <c r="AA510" s="276" t="e">
        <f>VLOOKUP(Logfile_S12[[#This Row],[DO number]],DO_DB!G:I,3,0)</f>
        <v>#N/A</v>
      </c>
      <c r="AB510" s="331" t="e">
        <f>EXACT(Logfile_S12[[#This Row],[date pick]],Logfile_S12[[#This Row],[Date]])</f>
        <v>#N/A</v>
      </c>
      <c r="AC5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11" spans="1:29" ht="14.5" hidden="1">
      <c r="A511" s="220" t="str">
        <f t="shared" si="24"/>
        <v>507</v>
      </c>
      <c r="B511" s="221"/>
      <c r="C511" s="221" t="s">
        <v>49</v>
      </c>
      <c r="D511" s="221" t="s">
        <v>3835</v>
      </c>
      <c r="E511" s="221" t="s">
        <v>3295</v>
      </c>
      <c r="F511" s="221" t="s">
        <v>3299</v>
      </c>
      <c r="G511" s="222">
        <v>45275</v>
      </c>
      <c r="H511" s="223">
        <v>0.44097222222222227</v>
      </c>
      <c r="I511" s="221" t="s">
        <v>4916</v>
      </c>
      <c r="J511" s="221" t="s">
        <v>3024</v>
      </c>
      <c r="K511" s="224" t="s">
        <v>3213</v>
      </c>
      <c r="L511" s="225" t="str">
        <f>VLOOKUP(Logfile_S12[[#This Row],[Material Name]],Sheet2!B:C,2,0)</f>
        <v>GCI1005</v>
      </c>
      <c r="M511" s="225" t="str">
        <f>_xlfn.XLOOKUP(Logfile_S12[[#This Row],[Material Name]],Sum_WH!E:E,Sum_WH!F:F,"",0)</f>
        <v>Pcs</v>
      </c>
      <c r="N511" s="221">
        <v>20</v>
      </c>
      <c r="O511" s="221" t="s">
        <v>328</v>
      </c>
      <c r="P511" s="221" t="s">
        <v>329</v>
      </c>
      <c r="Q511" s="221"/>
      <c r="R511" s="221"/>
      <c r="S511" s="221"/>
      <c r="T511" s="221" t="s">
        <v>3351</v>
      </c>
      <c r="U511" s="221">
        <v>0</v>
      </c>
      <c r="V511" s="221" t="s">
        <v>3352</v>
      </c>
      <c r="W511" s="221" t="s">
        <v>3353</v>
      </c>
      <c r="X511" s="221"/>
      <c r="Y511" s="227"/>
      <c r="Z511" s="227" t="str">
        <f t="shared" si="25"/>
        <v>Sukodadi RW 01 Wagir</v>
      </c>
      <c r="AA511" s="276" t="e">
        <f>VLOOKUP(Logfile_S12[[#This Row],[DO number]],DO_DB!G:I,3,0)</f>
        <v>#N/A</v>
      </c>
      <c r="AB511" s="331" t="e">
        <f>EXACT(Logfile_S12[[#This Row],[date pick]],Logfile_S12[[#This Row],[Date]])</f>
        <v>#N/A</v>
      </c>
      <c r="AC5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12" spans="1:29" ht="14.5" hidden="1">
      <c r="A512" s="220" t="str">
        <f t="shared" si="24"/>
        <v>508</v>
      </c>
      <c r="B512" s="221"/>
      <c r="C512" s="221" t="s">
        <v>3313</v>
      </c>
      <c r="D512" s="221" t="s">
        <v>3843</v>
      </c>
      <c r="E512" s="221" t="s">
        <v>3295</v>
      </c>
      <c r="F512" s="221" t="s">
        <v>3299</v>
      </c>
      <c r="G512" s="222">
        <v>45285</v>
      </c>
      <c r="H512" s="223">
        <v>15.291666666666666</v>
      </c>
      <c r="I512" s="221" t="s">
        <v>4920</v>
      </c>
      <c r="J512" s="221" t="s">
        <v>3024</v>
      </c>
      <c r="K512" s="224" t="s">
        <v>3091</v>
      </c>
      <c r="L512" s="225" t="str">
        <f>VLOOKUP(Logfile_S12[[#This Row],[Material Name]],Sheet2!B:C,2,0)</f>
        <v>GCI1005</v>
      </c>
      <c r="M512" s="225" t="str">
        <f>_xlfn.XLOOKUP(Logfile_S12[[#This Row],[Material Name]],Sum_WH!E:E,Sum_WH!F:F,"",0)</f>
        <v>Pcs</v>
      </c>
      <c r="N512" s="221">
        <v>22</v>
      </c>
      <c r="O512" s="221" t="s">
        <v>3314</v>
      </c>
      <c r="P512" s="221" t="s">
        <v>3315</v>
      </c>
      <c r="Q512" s="221">
        <v>0</v>
      </c>
      <c r="R512" s="221">
        <v>0</v>
      </c>
      <c r="S512" s="221"/>
      <c r="T512" s="221"/>
      <c r="U512" s="221"/>
      <c r="V512" s="221"/>
      <c r="W512" s="221"/>
      <c r="X512" s="221" t="s">
        <v>3354</v>
      </c>
      <c r="Y512" s="227"/>
      <c r="Z512" s="227" t="str">
        <f t="shared" si="25"/>
        <v>KEDIRI</v>
      </c>
      <c r="AA512" s="276" t="e">
        <f>VLOOKUP(Logfile_S12[[#This Row],[DO number]],DO_DB!G:I,3,0)</f>
        <v>#N/A</v>
      </c>
      <c r="AB512" s="331" t="e">
        <f>EXACT(Logfile_S12[[#This Row],[date pick]],Logfile_S12[[#This Row],[Date]])</f>
        <v>#N/A</v>
      </c>
      <c r="AC5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13" spans="1:29" ht="14.5" hidden="1">
      <c r="A513" s="220" t="str">
        <f t="shared" si="24"/>
        <v>509</v>
      </c>
      <c r="B513" s="221"/>
      <c r="C513" s="221" t="s">
        <v>49</v>
      </c>
      <c r="D513" s="221" t="s">
        <v>3846</v>
      </c>
      <c r="E513" s="221" t="s">
        <v>3295</v>
      </c>
      <c r="F513" s="221" t="s">
        <v>3299</v>
      </c>
      <c r="G513" s="222">
        <v>45286</v>
      </c>
      <c r="H513" s="223">
        <v>0.3923611111111111</v>
      </c>
      <c r="I513" s="221" t="s">
        <v>4916</v>
      </c>
      <c r="J513" s="221" t="s">
        <v>3024</v>
      </c>
      <c r="K513" s="224" t="s">
        <v>3091</v>
      </c>
      <c r="L513" s="225" t="str">
        <f>VLOOKUP(Logfile_S12[[#This Row],[Material Name]],Sheet2!B:C,2,0)</f>
        <v>GCI1005</v>
      </c>
      <c r="M513" s="225" t="str">
        <f>_xlfn.XLOOKUP(Logfile_S12[[#This Row],[Material Name]],Sum_WH!E:E,Sum_WH!F:F,"",0)</f>
        <v>Pcs</v>
      </c>
      <c r="N513" s="221">
        <v>22</v>
      </c>
      <c r="O513" s="221" t="s">
        <v>732</v>
      </c>
      <c r="P513" s="221" t="s">
        <v>733</v>
      </c>
      <c r="Q513" s="221"/>
      <c r="R513" s="221"/>
      <c r="S513" s="221"/>
      <c r="T513" s="221" t="s">
        <v>3231</v>
      </c>
      <c r="U513" s="221" t="s">
        <v>3228</v>
      </c>
      <c r="V513" s="221" t="s">
        <v>3232</v>
      </c>
      <c r="W513" s="221" t="s">
        <v>3355</v>
      </c>
      <c r="X513" s="221"/>
      <c r="Y513" s="227"/>
      <c r="Z513" s="227" t="str">
        <f t="shared" si="25"/>
        <v>Sitirejo RW 01 Wagir</v>
      </c>
      <c r="AA513" s="276" t="e">
        <f>VLOOKUP(Logfile_S12[[#This Row],[DO number]],DO_DB!G:I,3,0)</f>
        <v>#N/A</v>
      </c>
      <c r="AB513" s="331" t="e">
        <f>EXACT(Logfile_S12[[#This Row],[date pick]],Logfile_S12[[#This Row],[Date]])</f>
        <v>#N/A</v>
      </c>
      <c r="AC5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14" spans="1:29" ht="14.5" hidden="1">
      <c r="A514" s="220" t="str">
        <f t="shared" si="24"/>
        <v>510</v>
      </c>
      <c r="B514" s="221"/>
      <c r="C514" s="221" t="s">
        <v>48</v>
      </c>
      <c r="D514" s="221" t="s">
        <v>3854</v>
      </c>
      <c r="E514" s="221" t="s">
        <v>3295</v>
      </c>
      <c r="F514" s="221" t="s">
        <v>3299</v>
      </c>
      <c r="G514" s="222">
        <v>45295</v>
      </c>
      <c r="H514" s="223">
        <v>15.291666666666666</v>
      </c>
      <c r="I514" s="221" t="s">
        <v>38</v>
      </c>
      <c r="J514" s="221" t="s">
        <v>3024</v>
      </c>
      <c r="K514" s="224" t="s">
        <v>3091</v>
      </c>
      <c r="L514" s="225" t="str">
        <f>VLOOKUP(Logfile_S12[[#This Row],[Material Name]],Sheet2!B:C,2,0)</f>
        <v>GCI1005</v>
      </c>
      <c r="M514" s="225" t="str">
        <f>_xlfn.XLOOKUP(Logfile_S12[[#This Row],[Material Name]],Sum_WH!E:E,Sum_WH!F:F,"",0)</f>
        <v>Pcs</v>
      </c>
      <c r="N514" s="221">
        <v>140</v>
      </c>
      <c r="O514" s="221" t="s">
        <v>3344</v>
      </c>
      <c r="P514" s="221" t="s">
        <v>3345</v>
      </c>
      <c r="Q514" s="221">
        <v>0</v>
      </c>
      <c r="R514" s="221">
        <v>0</v>
      </c>
      <c r="S514" s="221"/>
      <c r="T514" s="221"/>
      <c r="U514" s="221"/>
      <c r="V514" s="221"/>
      <c r="W514" s="221"/>
      <c r="X514" s="221" t="s">
        <v>3218</v>
      </c>
      <c r="Y514" s="227"/>
      <c r="Z514" s="227" t="str">
        <f t="shared" si="25"/>
        <v>Purchase</v>
      </c>
      <c r="AA514" s="276" t="e">
        <f>VLOOKUP(Logfile_S12[[#This Row],[DO number]],DO_DB!G:I,3,0)</f>
        <v>#N/A</v>
      </c>
      <c r="AB514" s="331" t="e">
        <f>EXACT(Logfile_S12[[#This Row],[date pick]],Logfile_S12[[#This Row],[Date]])</f>
        <v>#N/A</v>
      </c>
      <c r="AC5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15" spans="1:29" ht="14.5" hidden="1">
      <c r="A515" s="220" t="str">
        <f t="shared" si="24"/>
        <v>511</v>
      </c>
      <c r="B515" s="221"/>
      <c r="C515" s="221" t="s">
        <v>49</v>
      </c>
      <c r="D515" s="221" t="s">
        <v>3866</v>
      </c>
      <c r="E515" s="221" t="s">
        <v>3295</v>
      </c>
      <c r="F515" s="221" t="s">
        <v>3299</v>
      </c>
      <c r="G515" s="222">
        <v>45307</v>
      </c>
      <c r="H515" s="223">
        <v>0.3923611111111111</v>
      </c>
      <c r="I515" s="221" t="s">
        <v>4916</v>
      </c>
      <c r="J515" s="221" t="s">
        <v>3024</v>
      </c>
      <c r="K515" s="224" t="s">
        <v>3091</v>
      </c>
      <c r="L515" s="225" t="str">
        <f>VLOOKUP(Logfile_S12[[#This Row],[Material Name]],Sheet2!B:C,2,0)</f>
        <v>GCI1005</v>
      </c>
      <c r="M515" s="225" t="str">
        <f>_xlfn.XLOOKUP(Logfile_S12[[#This Row],[Material Name]],Sum_WH!E:E,Sum_WH!F:F,"",0)</f>
        <v>Pcs</v>
      </c>
      <c r="N515" s="221">
        <v>30</v>
      </c>
      <c r="O515" s="221" t="s">
        <v>732</v>
      </c>
      <c r="P515" s="221" t="s">
        <v>733</v>
      </c>
      <c r="Q515" s="221"/>
      <c r="R515" s="221"/>
      <c r="S515" s="221"/>
      <c r="T515" s="221" t="s">
        <v>3356</v>
      </c>
      <c r="U515" s="221" t="s">
        <v>3228</v>
      </c>
      <c r="V515" s="221" t="s">
        <v>3357</v>
      </c>
      <c r="W515" s="221" t="s">
        <v>3358</v>
      </c>
      <c r="X515" s="221"/>
      <c r="Y515" s="227"/>
      <c r="Z515" s="227" t="str">
        <f t="shared" si="25"/>
        <v>Sitirejo RW 01 Wagir</v>
      </c>
      <c r="AA515" s="276" t="e">
        <f>VLOOKUP(Logfile_S12[[#This Row],[DO number]],DO_DB!G:I,3,0)</f>
        <v>#N/A</v>
      </c>
      <c r="AB515" s="331" t="e">
        <f>EXACT(Logfile_S12[[#This Row],[date pick]],Logfile_S12[[#This Row],[Date]])</f>
        <v>#N/A</v>
      </c>
      <c r="AC5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16" spans="1:29" ht="14.5" hidden="1">
      <c r="A516" s="220" t="str">
        <f t="shared" si="24"/>
        <v>512</v>
      </c>
      <c r="B516" s="221"/>
      <c r="C516" s="221" t="s">
        <v>48</v>
      </c>
      <c r="D516" s="221" t="s">
        <v>3876</v>
      </c>
      <c r="E516" s="221" t="s">
        <v>3295</v>
      </c>
      <c r="F516" s="221" t="s">
        <v>3299</v>
      </c>
      <c r="G516" s="222">
        <v>45309</v>
      </c>
      <c r="H516" s="223">
        <v>15.291666666666666</v>
      </c>
      <c r="I516" s="221" t="s">
        <v>38</v>
      </c>
      <c r="J516" s="221" t="s">
        <v>3024</v>
      </c>
      <c r="K516" s="224" t="s">
        <v>3091</v>
      </c>
      <c r="L516" s="225" t="str">
        <f>VLOOKUP(Logfile_S12[[#This Row],[Material Name]],Sheet2!B:C,2,0)</f>
        <v>GCI1005</v>
      </c>
      <c r="M516" s="225" t="str">
        <f>_xlfn.XLOOKUP(Logfile_S12[[#This Row],[Material Name]],Sum_WH!E:E,Sum_WH!F:F,"",0)</f>
        <v>Pcs</v>
      </c>
      <c r="N516" s="221">
        <v>205</v>
      </c>
      <c r="O516" s="221" t="s">
        <v>3344</v>
      </c>
      <c r="P516" s="221" t="s">
        <v>3345</v>
      </c>
      <c r="Q516" s="221">
        <v>0</v>
      </c>
      <c r="R516" s="221">
        <v>0</v>
      </c>
      <c r="S516" s="221"/>
      <c r="T516" s="221"/>
      <c r="U516" s="221"/>
      <c r="V516" s="221"/>
      <c r="W516" s="221"/>
      <c r="X516" s="221" t="s">
        <v>3218</v>
      </c>
      <c r="Y516" s="227"/>
      <c r="Z516" s="227" t="str">
        <f t="shared" si="25"/>
        <v>Purchase</v>
      </c>
      <c r="AA516" s="276" t="e">
        <f>VLOOKUP(Logfile_S12[[#This Row],[DO number]],DO_DB!G:I,3,0)</f>
        <v>#N/A</v>
      </c>
      <c r="AB516" s="331" t="e">
        <f>EXACT(Logfile_S12[[#This Row],[date pick]],Logfile_S12[[#This Row],[Date]])</f>
        <v>#N/A</v>
      </c>
      <c r="AC5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17" spans="1:29" ht="14.5" hidden="1">
      <c r="A517" s="220" t="str">
        <f t="shared" ref="A517:A580" si="26">TEXT(ROW(A517)-ROW($A$4),"000")</f>
        <v>513</v>
      </c>
      <c r="B517" s="221"/>
      <c r="C517" s="221" t="s">
        <v>49</v>
      </c>
      <c r="D517" s="221" t="s">
        <v>3894</v>
      </c>
      <c r="E517" s="221" t="s">
        <v>3295</v>
      </c>
      <c r="F517" s="221" t="s">
        <v>3299</v>
      </c>
      <c r="G517" s="222">
        <v>45314</v>
      </c>
      <c r="H517" s="223">
        <v>0.59652777777777777</v>
      </c>
      <c r="I517" s="221" t="s">
        <v>4916</v>
      </c>
      <c r="J517" s="221" t="s">
        <v>3024</v>
      </c>
      <c r="K517" s="224" t="s">
        <v>3091</v>
      </c>
      <c r="L517" s="225" t="str">
        <f>VLOOKUP(Logfile_S12[[#This Row],[Material Name]],Sheet2!B:C,2,0)</f>
        <v>GCI1005</v>
      </c>
      <c r="M517" s="225" t="str">
        <f>_xlfn.XLOOKUP(Logfile_S12[[#This Row],[Material Name]],Sum_WH!E:E,Sum_WH!F:F,"",0)</f>
        <v>Pcs</v>
      </c>
      <c r="N517" s="221">
        <v>160</v>
      </c>
      <c r="O517" s="221" t="s">
        <v>828</v>
      </c>
      <c r="P517" s="221" t="s">
        <v>829</v>
      </c>
      <c r="Q517" s="221"/>
      <c r="R517" s="221"/>
      <c r="S517" s="221"/>
      <c r="T517" s="221" t="s">
        <v>3339</v>
      </c>
      <c r="U517" s="221" t="s">
        <v>3228</v>
      </c>
      <c r="V517" s="221" t="s">
        <v>3340</v>
      </c>
      <c r="W517" s="221" t="s">
        <v>3245</v>
      </c>
      <c r="X517" s="221"/>
      <c r="Y517" s="227"/>
      <c r="Z517" s="227" t="str">
        <f t="shared" si="25"/>
        <v>Perumahan Pondok Mutiara Malang</v>
      </c>
      <c r="AA517" s="276" t="e">
        <f>VLOOKUP(Logfile_S12[[#This Row],[DO number]],DO_DB!G:I,3,0)</f>
        <v>#N/A</v>
      </c>
      <c r="AB517" s="331" t="e">
        <f>EXACT(Logfile_S12[[#This Row],[date pick]],Logfile_S12[[#This Row],[Date]])</f>
        <v>#N/A</v>
      </c>
      <c r="AC5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18" spans="1:29" ht="14.5" hidden="1">
      <c r="A518" s="220" t="str">
        <f t="shared" si="26"/>
        <v>514</v>
      </c>
      <c r="B518" s="221"/>
      <c r="C518" s="221" t="s">
        <v>48</v>
      </c>
      <c r="D518" s="221" t="s">
        <v>3906</v>
      </c>
      <c r="E518" s="221" t="s">
        <v>3295</v>
      </c>
      <c r="F518" s="221" t="s">
        <v>3299</v>
      </c>
      <c r="G518" s="222">
        <v>45318</v>
      </c>
      <c r="H518" s="223">
        <v>15.291666666666666</v>
      </c>
      <c r="I518" s="221" t="s">
        <v>3017</v>
      </c>
      <c r="J518" s="221" t="s">
        <v>3024</v>
      </c>
      <c r="K518" s="224" t="s">
        <v>3091</v>
      </c>
      <c r="L518" s="225" t="str">
        <f>VLOOKUP(Logfile_S12[[#This Row],[Material Name]],Sheet2!B:C,2,0)</f>
        <v>GCI1005</v>
      </c>
      <c r="M518" s="225" t="str">
        <f>_xlfn.XLOOKUP(Logfile_S12[[#This Row],[Material Name]],Sum_WH!E:E,Sum_WH!F:F,"",0)</f>
        <v>Pcs</v>
      </c>
      <c r="N518" s="221">
        <v>30</v>
      </c>
      <c r="O518" s="221" t="s">
        <v>828</v>
      </c>
      <c r="P518" s="221" t="s">
        <v>829</v>
      </c>
      <c r="Q518" s="221" t="s">
        <v>3359</v>
      </c>
      <c r="R518" s="221">
        <v>0</v>
      </c>
      <c r="S518" s="221"/>
      <c r="T518" s="221"/>
      <c r="U518" s="221"/>
      <c r="V518" s="221"/>
      <c r="W518" s="221"/>
      <c r="X518" s="221"/>
      <c r="Y518" s="227"/>
      <c r="Z518" s="227" t="str">
        <f t="shared" si="25"/>
        <v>Perumahan Pondok Mutiara Malang</v>
      </c>
      <c r="AA518" s="276" t="e">
        <f>VLOOKUP(Logfile_S12[[#This Row],[DO number]],DO_DB!G:I,3,0)</f>
        <v>#N/A</v>
      </c>
      <c r="AB518" s="331" t="e">
        <f>EXACT(Logfile_S12[[#This Row],[date pick]],Logfile_S12[[#This Row],[Date]])</f>
        <v>#N/A</v>
      </c>
      <c r="AC5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19" spans="1:29" ht="14.5" hidden="1">
      <c r="A519" s="220" t="str">
        <f t="shared" si="26"/>
        <v>515</v>
      </c>
      <c r="B519" s="221"/>
      <c r="C519" s="221" t="s">
        <v>49</v>
      </c>
      <c r="D519" s="221" t="s">
        <v>3908</v>
      </c>
      <c r="E519" s="221" t="s">
        <v>3295</v>
      </c>
      <c r="F519" s="221" t="s">
        <v>3299</v>
      </c>
      <c r="G519" s="222">
        <v>45319</v>
      </c>
      <c r="H519" s="223">
        <v>0.62361111111111112</v>
      </c>
      <c r="I519" s="221" t="s">
        <v>4916</v>
      </c>
      <c r="J519" s="221" t="s">
        <v>3024</v>
      </c>
      <c r="K519" s="224" t="s">
        <v>3091</v>
      </c>
      <c r="L519" s="225" t="str">
        <f>VLOOKUP(Logfile_S12[[#This Row],[Material Name]],Sheet2!B:C,2,0)</f>
        <v>GCI1005</v>
      </c>
      <c r="M519" s="225" t="str">
        <f>_xlfn.XLOOKUP(Logfile_S12[[#This Row],[Material Name]],Sum_WH!E:E,Sum_WH!F:F,"",0)</f>
        <v>Pcs</v>
      </c>
      <c r="N519" s="221">
        <v>110</v>
      </c>
      <c r="O519" s="221" t="s">
        <v>742</v>
      </c>
      <c r="P519" s="221" t="s">
        <v>743</v>
      </c>
      <c r="Q519" s="221"/>
      <c r="R519" s="221"/>
      <c r="S519" s="221"/>
      <c r="T519" s="221" t="s">
        <v>3258</v>
      </c>
      <c r="U519" s="221" t="s">
        <v>3228</v>
      </c>
      <c r="V519" s="221" t="s">
        <v>3337</v>
      </c>
      <c r="W519" s="221" t="s">
        <v>3338</v>
      </c>
      <c r="X519" s="221"/>
      <c r="Y519" s="227"/>
      <c r="Z519" s="227" t="str">
        <f t="shared" si="25"/>
        <v>Baturetno RW 03 Singosari</v>
      </c>
      <c r="AA519" s="276" t="e">
        <f>VLOOKUP(Logfile_S12[[#This Row],[DO number]],DO_DB!G:I,3,0)</f>
        <v>#N/A</v>
      </c>
      <c r="AB519" s="331" t="e">
        <f>EXACT(Logfile_S12[[#This Row],[date pick]],Logfile_S12[[#This Row],[Date]])</f>
        <v>#N/A</v>
      </c>
      <c r="AC5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20" spans="1:29" ht="14.5" hidden="1">
      <c r="A520" s="220" t="str">
        <f t="shared" si="26"/>
        <v>516</v>
      </c>
      <c r="B520" s="221"/>
      <c r="C520" s="221" t="s">
        <v>49</v>
      </c>
      <c r="D520" s="221" t="s">
        <v>3923</v>
      </c>
      <c r="E520" s="221" t="s">
        <v>3295</v>
      </c>
      <c r="F520" s="221" t="s">
        <v>3299</v>
      </c>
      <c r="G520" s="222">
        <v>45337</v>
      </c>
      <c r="H520" s="223">
        <v>0.46111111111111108</v>
      </c>
      <c r="I520" s="221" t="s">
        <v>4916</v>
      </c>
      <c r="J520" s="221" t="s">
        <v>3024</v>
      </c>
      <c r="K520" s="224" t="s">
        <v>3091</v>
      </c>
      <c r="L520" s="225" t="str">
        <f>VLOOKUP(Logfile_S12[[#This Row],[Material Name]],Sheet2!B:C,2,0)</f>
        <v>GCI1005</v>
      </c>
      <c r="M520" s="225" t="str">
        <f>_xlfn.XLOOKUP(Logfile_S12[[#This Row],[Material Name]],Sum_WH!E:E,Sum_WH!F:F,"",0)</f>
        <v>Pcs</v>
      </c>
      <c r="N520" s="221">
        <v>25</v>
      </c>
      <c r="O520" s="221" t="s">
        <v>911</v>
      </c>
      <c r="P520" s="221" t="s">
        <v>912</v>
      </c>
      <c r="Q520" s="221"/>
      <c r="R520" s="221"/>
      <c r="S520" s="221"/>
      <c r="T520" s="221" t="s">
        <v>3258</v>
      </c>
      <c r="U520" s="221" t="s">
        <v>3228</v>
      </c>
      <c r="V520" s="221" t="s">
        <v>3337</v>
      </c>
      <c r="W520" s="221" t="s">
        <v>3338</v>
      </c>
      <c r="X520" s="221"/>
      <c r="Y520" s="227"/>
      <c r="Z520" s="227" t="str">
        <f t="shared" si="25"/>
        <v>Bandulan RW 08 Sukun</v>
      </c>
      <c r="AA520" s="276" t="e">
        <f>VLOOKUP(Logfile_S12[[#This Row],[DO number]],DO_DB!G:I,3,0)</f>
        <v>#N/A</v>
      </c>
      <c r="AB520" s="331" t="e">
        <f>EXACT(Logfile_S12[[#This Row],[date pick]],Logfile_S12[[#This Row],[Date]])</f>
        <v>#N/A</v>
      </c>
      <c r="AC5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21" spans="1:29" ht="14.5" hidden="1">
      <c r="A521" s="220" t="str">
        <f t="shared" si="26"/>
        <v>517</v>
      </c>
      <c r="B521" s="221"/>
      <c r="C521" s="221" t="s">
        <v>48</v>
      </c>
      <c r="D521" s="221" t="s">
        <v>3941</v>
      </c>
      <c r="E521" s="221" t="s">
        <v>3295</v>
      </c>
      <c r="F521" s="221" t="s">
        <v>3299</v>
      </c>
      <c r="G521" s="222">
        <v>45344</v>
      </c>
      <c r="H521" s="223">
        <v>15.291666666666666</v>
      </c>
      <c r="I521" s="221" t="s">
        <v>38</v>
      </c>
      <c r="J521" s="221" t="s">
        <v>3024</v>
      </c>
      <c r="K521" s="224" t="s">
        <v>3091</v>
      </c>
      <c r="L521" s="225" t="str">
        <f>VLOOKUP(Logfile_S12[[#This Row],[Material Name]],Sheet2!B:C,2,0)</f>
        <v>GCI1005</v>
      </c>
      <c r="M521" s="225" t="str">
        <f>_xlfn.XLOOKUP(Logfile_S12[[#This Row],[Material Name]],Sum_WH!E:E,Sum_WH!F:F,"",0)</f>
        <v>Pcs</v>
      </c>
      <c r="N521" s="221">
        <v>54</v>
      </c>
      <c r="O521" s="221" t="s">
        <v>921</v>
      </c>
      <c r="P521" s="221" t="s">
        <v>922</v>
      </c>
      <c r="Q521" s="221">
        <v>0</v>
      </c>
      <c r="R521" s="221">
        <v>0</v>
      </c>
      <c r="S521" s="221"/>
      <c r="T521" s="221"/>
      <c r="U521" s="221"/>
      <c r="V521" s="221"/>
      <c r="W521" s="221"/>
      <c r="X521" s="221" t="s">
        <v>3360</v>
      </c>
      <c r="Y521" s="227"/>
      <c r="Z521" s="227" t="str">
        <f t="shared" si="25"/>
        <v>Bumiayu RW 03 Kedungkandang</v>
      </c>
      <c r="AA521" s="276" t="e">
        <f>VLOOKUP(Logfile_S12[[#This Row],[DO number]],DO_DB!G:I,3,0)</f>
        <v>#N/A</v>
      </c>
      <c r="AB521" s="331" t="e">
        <f>EXACT(Logfile_S12[[#This Row],[date pick]],Logfile_S12[[#This Row],[Date]])</f>
        <v>#N/A</v>
      </c>
      <c r="AC5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22" spans="1:29" ht="14.5" hidden="1">
      <c r="A522" s="220" t="str">
        <f t="shared" si="26"/>
        <v>518</v>
      </c>
      <c r="B522" s="221"/>
      <c r="C522" s="221" t="s">
        <v>49</v>
      </c>
      <c r="D522" s="221" t="s">
        <v>3949</v>
      </c>
      <c r="E522" s="221" t="s">
        <v>3295</v>
      </c>
      <c r="F522" s="221" t="s">
        <v>3299</v>
      </c>
      <c r="G522" s="222">
        <v>45346</v>
      </c>
      <c r="H522" s="223">
        <v>0.63541666666666663</v>
      </c>
      <c r="I522" s="221" t="s">
        <v>4916</v>
      </c>
      <c r="J522" s="221" t="s">
        <v>3024</v>
      </c>
      <c r="K522" s="224" t="s">
        <v>3091</v>
      </c>
      <c r="L522" s="225" t="str">
        <f>VLOOKUP(Logfile_S12[[#This Row],[Material Name]],Sheet2!B:C,2,0)</f>
        <v>GCI1005</v>
      </c>
      <c r="M522" s="225" t="str">
        <f>_xlfn.XLOOKUP(Logfile_S12[[#This Row],[Material Name]],Sum_WH!E:E,Sum_WH!F:F,"",0)</f>
        <v>Pcs</v>
      </c>
      <c r="N522" s="221">
        <v>40</v>
      </c>
      <c r="O522" s="221" t="s">
        <v>838</v>
      </c>
      <c r="P522" s="221" t="s">
        <v>3361</v>
      </c>
      <c r="Q522" s="221"/>
      <c r="R522" s="221"/>
      <c r="S522" s="221"/>
      <c r="T522" s="221" t="s">
        <v>3258</v>
      </c>
      <c r="U522" s="221" t="s">
        <v>3228</v>
      </c>
      <c r="V522" s="221" t="s">
        <v>3337</v>
      </c>
      <c r="W522" s="221" t="s">
        <v>3338</v>
      </c>
      <c r="X522" s="221"/>
      <c r="Y522" s="227"/>
      <c r="Z522" s="227" t="str">
        <f t="shared" si="25"/>
        <v>TAMANHARJO RW 04 SINGOSARI</v>
      </c>
      <c r="AA522" s="276" t="e">
        <f>VLOOKUP(Logfile_S12[[#This Row],[DO number]],DO_DB!G:I,3,0)</f>
        <v>#N/A</v>
      </c>
      <c r="AB522" s="331" t="e">
        <f>EXACT(Logfile_S12[[#This Row],[date pick]],Logfile_S12[[#This Row],[Date]])</f>
        <v>#N/A</v>
      </c>
      <c r="AC5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23" spans="1:29" ht="14.5" hidden="1">
      <c r="A523" s="220" t="str">
        <f t="shared" si="26"/>
        <v>519</v>
      </c>
      <c r="B523" s="221"/>
      <c r="C523" s="221" t="s">
        <v>48</v>
      </c>
      <c r="D523" s="221" t="s">
        <v>3953</v>
      </c>
      <c r="E523" s="221" t="s">
        <v>3295</v>
      </c>
      <c r="F523" s="221" t="s">
        <v>3299</v>
      </c>
      <c r="G523" s="222">
        <v>45349</v>
      </c>
      <c r="H523" s="223">
        <v>15.291666666666666</v>
      </c>
      <c r="I523" s="221" t="s">
        <v>38</v>
      </c>
      <c r="J523" s="221" t="s">
        <v>3024</v>
      </c>
      <c r="K523" s="224" t="s">
        <v>3091</v>
      </c>
      <c r="L523" s="225" t="str">
        <f>VLOOKUP(Logfile_S12[[#This Row],[Material Name]],Sheet2!B:C,2,0)</f>
        <v>GCI1005</v>
      </c>
      <c r="M523" s="225" t="str">
        <f>_xlfn.XLOOKUP(Logfile_S12[[#This Row],[Material Name]],Sum_WH!E:E,Sum_WH!F:F,"",0)</f>
        <v>Pcs</v>
      </c>
      <c r="N523" s="221">
        <v>141</v>
      </c>
      <c r="O523" s="221">
        <v>0</v>
      </c>
      <c r="P523" s="221" t="s">
        <v>3362</v>
      </c>
      <c r="Q523" s="221">
        <v>0</v>
      </c>
      <c r="R523" s="221">
        <v>0</v>
      </c>
      <c r="S523" s="221"/>
      <c r="T523" s="221"/>
      <c r="U523" s="221"/>
      <c r="V523" s="221"/>
      <c r="W523" s="221"/>
      <c r="X523" s="221"/>
      <c r="Y523" s="227"/>
      <c r="Z523" s="227" t="str">
        <f t="shared" si="25"/>
        <v xml:space="preserve">UD RIZQI JAYA PRATAMA </v>
      </c>
      <c r="AA523" s="276" t="e">
        <f>VLOOKUP(Logfile_S12[[#This Row],[DO number]],DO_DB!G:I,3,0)</f>
        <v>#N/A</v>
      </c>
      <c r="AB523" s="331" t="e">
        <f>EXACT(Logfile_S12[[#This Row],[date pick]],Logfile_S12[[#This Row],[Date]])</f>
        <v>#N/A</v>
      </c>
      <c r="AC5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24" spans="1:29" ht="14.5" hidden="1">
      <c r="A524" s="220" t="str">
        <f t="shared" si="26"/>
        <v>520</v>
      </c>
      <c r="B524" s="221"/>
      <c r="C524" s="221" t="s">
        <v>49</v>
      </c>
      <c r="D524" s="221" t="s">
        <v>3954</v>
      </c>
      <c r="E524" s="221" t="s">
        <v>3295</v>
      </c>
      <c r="F524" s="221" t="s">
        <v>3299</v>
      </c>
      <c r="G524" s="222">
        <v>45350</v>
      </c>
      <c r="H524" s="223">
        <v>0.3833333333333333</v>
      </c>
      <c r="I524" s="221" t="s">
        <v>4916</v>
      </c>
      <c r="J524" s="221" t="s">
        <v>3024</v>
      </c>
      <c r="K524" s="224" t="s">
        <v>3091</v>
      </c>
      <c r="L524" s="225" t="str">
        <f>VLOOKUP(Logfile_S12[[#This Row],[Material Name]],Sheet2!B:C,2,0)</f>
        <v>GCI1005</v>
      </c>
      <c r="M524" s="225" t="str">
        <f>_xlfn.XLOOKUP(Logfile_S12[[#This Row],[Material Name]],Sum_WH!E:E,Sum_WH!F:F,"",0)</f>
        <v>Pcs</v>
      </c>
      <c r="N524" s="221">
        <v>50</v>
      </c>
      <c r="O524" s="221" t="s">
        <v>921</v>
      </c>
      <c r="P524" s="221" t="s">
        <v>922</v>
      </c>
      <c r="Q524" s="221"/>
      <c r="R524" s="221"/>
      <c r="S524" s="221"/>
      <c r="T524" s="221" t="s">
        <v>3363</v>
      </c>
      <c r="U524" s="221" t="s">
        <v>3228</v>
      </c>
      <c r="V524" s="221" t="s">
        <v>3364</v>
      </c>
      <c r="W524" s="221" t="s">
        <v>3365</v>
      </c>
      <c r="X524" s="221"/>
      <c r="Y524" s="227"/>
      <c r="Z524" s="227" t="str">
        <f t="shared" ref="Z524:Z587" si="27">P524</f>
        <v>Bumiayu RW 03 Kedungkandang</v>
      </c>
      <c r="AA524" s="276" t="e">
        <f>VLOOKUP(Logfile_S12[[#This Row],[DO number]],DO_DB!G:I,3,0)</f>
        <v>#N/A</v>
      </c>
      <c r="AB524" s="331" t="e">
        <f>EXACT(Logfile_S12[[#This Row],[date pick]],Logfile_S12[[#This Row],[Date]])</f>
        <v>#N/A</v>
      </c>
      <c r="AC5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25" spans="1:29" ht="14.5" hidden="1">
      <c r="A525" s="220" t="str">
        <f t="shared" si="26"/>
        <v>521</v>
      </c>
      <c r="B525" s="221"/>
      <c r="C525" s="221" t="s">
        <v>49</v>
      </c>
      <c r="D525" s="221" t="s">
        <v>3969</v>
      </c>
      <c r="E525" s="221" t="s">
        <v>3295</v>
      </c>
      <c r="F525" s="221" t="s">
        <v>3299</v>
      </c>
      <c r="G525" s="222">
        <v>45355</v>
      </c>
      <c r="H525" s="223">
        <v>0.57916666666666672</v>
      </c>
      <c r="I525" s="221" t="s">
        <v>4916</v>
      </c>
      <c r="J525" s="221" t="s">
        <v>3024</v>
      </c>
      <c r="K525" s="224" t="s">
        <v>3091</v>
      </c>
      <c r="L525" s="225" t="str">
        <f>VLOOKUP(Logfile_S12[[#This Row],[Material Name]],Sheet2!B:C,2,0)</f>
        <v>GCI1005</v>
      </c>
      <c r="M525" s="225" t="str">
        <f>_xlfn.XLOOKUP(Logfile_S12[[#This Row],[Material Name]],Sum_WH!E:E,Sum_WH!F:F,"",0)</f>
        <v>Pcs</v>
      </c>
      <c r="N525" s="221">
        <v>50</v>
      </c>
      <c r="O525" s="221" t="s">
        <v>1013</v>
      </c>
      <c r="P525" s="221" t="s">
        <v>1014</v>
      </c>
      <c r="Q525" s="221"/>
      <c r="R525" s="221"/>
      <c r="S525" s="221"/>
      <c r="T525" s="221" t="s">
        <v>3258</v>
      </c>
      <c r="U525" s="221" t="s">
        <v>3228</v>
      </c>
      <c r="V525" s="221" t="s">
        <v>3337</v>
      </c>
      <c r="W525" s="221" t="s">
        <v>3338</v>
      </c>
      <c r="X525" s="221"/>
      <c r="Y525" s="227"/>
      <c r="Z525" s="227" t="str">
        <f t="shared" si="27"/>
        <v>Bumiayu RW 05 Kedungkandang</v>
      </c>
      <c r="AA525" s="276" t="e">
        <f>VLOOKUP(Logfile_S12[[#This Row],[DO number]],DO_DB!G:I,3,0)</f>
        <v>#N/A</v>
      </c>
      <c r="AB525" s="331" t="e">
        <f>EXACT(Logfile_S12[[#This Row],[date pick]],Logfile_S12[[#This Row],[Date]])</f>
        <v>#N/A</v>
      </c>
      <c r="AC5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26" spans="1:29" ht="14.5" hidden="1">
      <c r="A526" s="220" t="str">
        <f t="shared" si="26"/>
        <v>522</v>
      </c>
      <c r="B526" s="221"/>
      <c r="C526" s="221" t="s">
        <v>49</v>
      </c>
      <c r="D526" s="221" t="s">
        <v>3978</v>
      </c>
      <c r="E526" s="221" t="s">
        <v>3295</v>
      </c>
      <c r="F526" s="221" t="s">
        <v>3299</v>
      </c>
      <c r="G526" s="222">
        <v>45366</v>
      </c>
      <c r="H526" s="223">
        <v>0.71666666666666667</v>
      </c>
      <c r="I526" s="221" t="s">
        <v>4916</v>
      </c>
      <c r="J526" s="221" t="s">
        <v>3024</v>
      </c>
      <c r="K526" s="224" t="s">
        <v>3091</v>
      </c>
      <c r="L526" s="225" t="str">
        <f>VLOOKUP(Logfile_S12[[#This Row],[Material Name]],Sheet2!B:C,2,0)</f>
        <v>GCI1005</v>
      </c>
      <c r="M526" s="225" t="str">
        <f>_xlfn.XLOOKUP(Logfile_S12[[#This Row],[Material Name]],Sum_WH!E:E,Sum_WH!F:F,"",0)</f>
        <v>Pcs</v>
      </c>
      <c r="N526" s="221">
        <v>42</v>
      </c>
      <c r="O526" s="221" t="s">
        <v>1087</v>
      </c>
      <c r="P526" s="221" t="s">
        <v>1088</v>
      </c>
      <c r="Q526" s="221"/>
      <c r="R526" s="221"/>
      <c r="S526" s="221"/>
      <c r="T526" s="221" t="s">
        <v>3258</v>
      </c>
      <c r="U526" s="221" t="s">
        <v>3228</v>
      </c>
      <c r="V526" s="221" t="s">
        <v>3337</v>
      </c>
      <c r="W526" s="221" t="s">
        <v>3338</v>
      </c>
      <c r="X526" s="221"/>
      <c r="Y526" s="227"/>
      <c r="Z526" s="227" t="str">
        <f t="shared" si="27"/>
        <v>Dalisodo RW 01 Wagir</v>
      </c>
      <c r="AA526" s="276" t="e">
        <f>VLOOKUP(Logfile_S12[[#This Row],[DO number]],DO_DB!G:I,3,0)</f>
        <v>#N/A</v>
      </c>
      <c r="AB526" s="331" t="e">
        <f>EXACT(Logfile_S12[[#This Row],[date pick]],Logfile_S12[[#This Row],[Date]])</f>
        <v>#N/A</v>
      </c>
      <c r="AC5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27" spans="1:29" ht="14.5" hidden="1">
      <c r="A527" s="220" t="str">
        <f t="shared" si="26"/>
        <v>523</v>
      </c>
      <c r="B527" s="221"/>
      <c r="C527" s="221" t="s">
        <v>48</v>
      </c>
      <c r="D527" s="221" t="s">
        <v>3985</v>
      </c>
      <c r="E527" s="221" t="s">
        <v>3295</v>
      </c>
      <c r="F527" s="221" t="s">
        <v>3299</v>
      </c>
      <c r="G527" s="222">
        <v>45373</v>
      </c>
      <c r="H527" s="223">
        <v>15.291666666666666</v>
      </c>
      <c r="I527" s="221" t="s">
        <v>38</v>
      </c>
      <c r="J527" s="221" t="s">
        <v>3024</v>
      </c>
      <c r="K527" s="224" t="s">
        <v>3091</v>
      </c>
      <c r="L527" s="225" t="str">
        <f>VLOOKUP(Logfile_S12[[#This Row],[Material Name]],Sheet2!B:C,2,0)</f>
        <v>GCI1005</v>
      </c>
      <c r="M527" s="225" t="str">
        <f>_xlfn.XLOOKUP(Logfile_S12[[#This Row],[Material Name]],Sum_WH!E:E,Sum_WH!F:F,"",0)</f>
        <v>Pcs</v>
      </c>
      <c r="N527" s="221">
        <v>230</v>
      </c>
      <c r="O527" s="221">
        <v>0</v>
      </c>
      <c r="P527" s="221" t="s">
        <v>3366</v>
      </c>
      <c r="Q527" s="221">
        <v>0</v>
      </c>
      <c r="R527" s="221">
        <v>0</v>
      </c>
      <c r="S527" s="221"/>
      <c r="T527" s="221"/>
      <c r="U527" s="221"/>
      <c r="V527" s="221"/>
      <c r="W527" s="221"/>
      <c r="X527" s="221"/>
      <c r="Y527" s="227"/>
      <c r="Z527" s="227" t="str">
        <f t="shared" si="27"/>
        <v>UD HALIM</v>
      </c>
      <c r="AA527" s="276" t="e">
        <f>VLOOKUP(Logfile_S12[[#This Row],[DO number]],DO_DB!G:I,3,0)</f>
        <v>#N/A</v>
      </c>
      <c r="AB527" s="331" t="e">
        <f>EXACT(Logfile_S12[[#This Row],[date pick]],Logfile_S12[[#This Row],[Date]])</f>
        <v>#N/A</v>
      </c>
      <c r="AC5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28" spans="1:29" ht="14.5" hidden="1">
      <c r="A528" s="220" t="str">
        <f t="shared" si="26"/>
        <v>524</v>
      </c>
      <c r="B528" s="221"/>
      <c r="C528" s="221" t="s">
        <v>3388</v>
      </c>
      <c r="D528" s="221" t="s">
        <v>4875</v>
      </c>
      <c r="E528" s="221" t="s">
        <v>3295</v>
      </c>
      <c r="F528" s="221" t="s">
        <v>3299</v>
      </c>
      <c r="G528" s="222">
        <v>45376</v>
      </c>
      <c r="H528" s="223">
        <v>0.63958333333333328</v>
      </c>
      <c r="I528" s="221" t="s">
        <v>4916</v>
      </c>
      <c r="J528" s="221" t="s">
        <v>3024</v>
      </c>
      <c r="K528" s="224" t="s">
        <v>3091</v>
      </c>
      <c r="L528" s="225" t="str">
        <f>VLOOKUP(Logfile_S12[[#This Row],[Material Name]],Sheet2!B:C,2,0)</f>
        <v>GCI1005</v>
      </c>
      <c r="M528" s="225" t="str">
        <f>_xlfn.XLOOKUP(Logfile_S12[[#This Row],[Material Name]],Sum_WH!E:E,Sum_WH!F:F,"",0)</f>
        <v>Pcs</v>
      </c>
      <c r="N528" s="221">
        <v>230</v>
      </c>
      <c r="O528" s="221" t="s">
        <v>3367</v>
      </c>
      <c r="P528" s="221" t="s">
        <v>3223</v>
      </c>
      <c r="Q528" s="221"/>
      <c r="R528" s="221"/>
      <c r="S528" s="221"/>
      <c r="T528" s="221" t="s">
        <v>3241</v>
      </c>
      <c r="U528" s="221">
        <v>0</v>
      </c>
      <c r="V528" s="221" t="s">
        <v>3368</v>
      </c>
      <c r="W528" s="221" t="s">
        <v>3242</v>
      </c>
      <c r="X528" s="221"/>
      <c r="Y528" s="227"/>
      <c r="Z528" s="227" t="str">
        <f t="shared" si="27"/>
        <v>Transfer Gudang</v>
      </c>
      <c r="AA528" s="276" t="e">
        <f>VLOOKUP(Logfile_S12[[#This Row],[DO number]],DO_DB!G:I,3,0)</f>
        <v>#N/A</v>
      </c>
      <c r="AB528" s="331" t="e">
        <f>EXACT(Logfile_S12[[#This Row],[date pick]],Logfile_S12[[#This Row],[Date]])</f>
        <v>#N/A</v>
      </c>
      <c r="AC5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529" spans="1:29" ht="14.5" hidden="1">
      <c r="A529" s="220" t="str">
        <f t="shared" si="26"/>
        <v>525</v>
      </c>
      <c r="B529" s="221"/>
      <c r="C529" s="221" t="s">
        <v>49</v>
      </c>
      <c r="D529" s="221" t="s">
        <v>3991</v>
      </c>
      <c r="E529" s="221" t="s">
        <v>3295</v>
      </c>
      <c r="F529" s="221" t="s">
        <v>3299</v>
      </c>
      <c r="G529" s="222">
        <v>45377</v>
      </c>
      <c r="H529" s="223">
        <v>0.93819444444444444</v>
      </c>
      <c r="I529" s="221" t="s">
        <v>4916</v>
      </c>
      <c r="J529" s="221" t="s">
        <v>3024</v>
      </c>
      <c r="K529" s="224" t="s">
        <v>3091</v>
      </c>
      <c r="L529" s="225" t="str">
        <f>VLOOKUP(Logfile_S12[[#This Row],[Material Name]],Sheet2!B:C,2,0)</f>
        <v>GCI1005</v>
      </c>
      <c r="M529" s="225" t="str">
        <f>_xlfn.XLOOKUP(Logfile_S12[[#This Row],[Material Name]],Sum_WH!E:E,Sum_WH!F:F,"",0)</f>
        <v>Pcs</v>
      </c>
      <c r="N529" s="221">
        <v>20</v>
      </c>
      <c r="O529" s="221" t="s">
        <v>1087</v>
      </c>
      <c r="P529" s="221" t="s">
        <v>1088</v>
      </c>
      <c r="Q529" s="221"/>
      <c r="R529" s="221"/>
      <c r="S529" s="221"/>
      <c r="T529" s="221" t="s">
        <v>3258</v>
      </c>
      <c r="U529" s="221" t="s">
        <v>3228</v>
      </c>
      <c r="V529" s="221" t="s">
        <v>3337</v>
      </c>
      <c r="W529" s="221" t="s">
        <v>3338</v>
      </c>
      <c r="X529" s="221"/>
      <c r="Y529" s="227"/>
      <c r="Z529" s="227" t="str">
        <f t="shared" si="27"/>
        <v>Dalisodo RW 01 Wagir</v>
      </c>
      <c r="AA529" s="276" t="e">
        <f>VLOOKUP(Logfile_S12[[#This Row],[DO number]],DO_DB!G:I,3,0)</f>
        <v>#N/A</v>
      </c>
      <c r="AB529" s="331" t="e">
        <f>EXACT(Logfile_S12[[#This Row],[date pick]],Logfile_S12[[#This Row],[Date]])</f>
        <v>#N/A</v>
      </c>
      <c r="AC5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30" spans="1:29" ht="14.5" hidden="1">
      <c r="A530" s="220" t="str">
        <f t="shared" si="26"/>
        <v>526</v>
      </c>
      <c r="B530" s="221"/>
      <c r="C530" s="221" t="s">
        <v>49</v>
      </c>
      <c r="D530" s="221" t="s">
        <v>3997</v>
      </c>
      <c r="E530" s="221" t="s">
        <v>3295</v>
      </c>
      <c r="F530" s="221" t="s">
        <v>3299</v>
      </c>
      <c r="G530" s="222">
        <v>45383</v>
      </c>
      <c r="H530" s="223">
        <v>0.38472222222222219</v>
      </c>
      <c r="I530" s="221" t="s">
        <v>4916</v>
      </c>
      <c r="J530" s="221" t="s">
        <v>3024</v>
      </c>
      <c r="K530" s="224" t="s">
        <v>3091</v>
      </c>
      <c r="L530" s="225" t="str">
        <f>VLOOKUP(Logfile_S12[[#This Row],[Material Name]],Sheet2!B:C,2,0)</f>
        <v>GCI1005</v>
      </c>
      <c r="M530" s="225" t="str">
        <f>_xlfn.XLOOKUP(Logfile_S12[[#This Row],[Material Name]],Sum_WH!E:E,Sum_WH!F:F,"",0)</f>
        <v>Pcs</v>
      </c>
      <c r="N530" s="221">
        <v>22</v>
      </c>
      <c r="O530" s="221" t="s">
        <v>1151</v>
      </c>
      <c r="P530" s="221" t="s">
        <v>1152</v>
      </c>
      <c r="Q530" s="221"/>
      <c r="R530" s="221"/>
      <c r="S530" s="221"/>
      <c r="T530" s="221" t="s">
        <v>3363</v>
      </c>
      <c r="U530" s="221" t="s">
        <v>3228</v>
      </c>
      <c r="V530" s="221" t="s">
        <v>3364</v>
      </c>
      <c r="W530" s="221" t="s">
        <v>3365</v>
      </c>
      <c r="X530" s="221"/>
      <c r="Y530" s="227"/>
      <c r="Z530" s="227" t="str">
        <f t="shared" si="27"/>
        <v>Tunjungtirto RW 08 Singosari</v>
      </c>
      <c r="AA530" s="276" t="e">
        <f>VLOOKUP(Logfile_S12[[#This Row],[DO number]],DO_DB!G:I,3,0)</f>
        <v>#N/A</v>
      </c>
      <c r="AB530" s="331" t="e">
        <f>EXACT(Logfile_S12[[#This Row],[date pick]],Logfile_S12[[#This Row],[Date]])</f>
        <v>#N/A</v>
      </c>
      <c r="AC5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31" spans="1:29" ht="14.5" hidden="1">
      <c r="A531" s="220" t="str">
        <f t="shared" si="26"/>
        <v>527</v>
      </c>
      <c r="B531" s="221"/>
      <c r="C531" s="221" t="s">
        <v>3313</v>
      </c>
      <c r="D531" s="221" t="s">
        <v>4000</v>
      </c>
      <c r="E531" s="221" t="s">
        <v>3295</v>
      </c>
      <c r="F531" s="221" t="s">
        <v>3299</v>
      </c>
      <c r="G531" s="222">
        <v>45383</v>
      </c>
      <c r="H531" s="223">
        <v>15.291666666666666</v>
      </c>
      <c r="I531" s="221" t="s">
        <v>4919</v>
      </c>
      <c r="J531" s="221" t="s">
        <v>3024</v>
      </c>
      <c r="K531" s="224" t="s">
        <v>3091</v>
      </c>
      <c r="L531" s="225" t="str">
        <f>VLOOKUP(Logfile_S12[[#This Row],[Material Name]],Sheet2!B:C,2,0)</f>
        <v>GCI1005</v>
      </c>
      <c r="M531" s="225" t="str">
        <f>_xlfn.XLOOKUP(Logfile_S12[[#This Row],[Material Name]],Sum_WH!E:E,Sum_WH!F:F,"",0)</f>
        <v>Pcs</v>
      </c>
      <c r="N531" s="221">
        <v>300</v>
      </c>
      <c r="O531" s="221" t="s">
        <v>3314</v>
      </c>
      <c r="P531" s="221" t="s">
        <v>3369</v>
      </c>
      <c r="Q531" s="221">
        <v>0</v>
      </c>
      <c r="R531" s="221">
        <v>0</v>
      </c>
      <c r="S531" s="221"/>
      <c r="T531" s="221"/>
      <c r="U531" s="221"/>
      <c r="V531" s="221"/>
      <c r="W531" s="221"/>
      <c r="X531" s="221"/>
      <c r="Y531" s="227"/>
      <c r="Z531" s="227" t="str">
        <f t="shared" si="27"/>
        <v>JOMBANG</v>
      </c>
      <c r="AA531" s="276" t="e">
        <f>VLOOKUP(Logfile_S12[[#This Row],[DO number]],DO_DB!G:I,3,0)</f>
        <v>#N/A</v>
      </c>
      <c r="AB531" s="331" t="e">
        <f>EXACT(Logfile_S12[[#This Row],[date pick]],Logfile_S12[[#This Row],[Date]])</f>
        <v>#N/A</v>
      </c>
      <c r="AC5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32" spans="1:29" ht="14.5" hidden="1">
      <c r="A532" s="220" t="str">
        <f t="shared" si="26"/>
        <v>528</v>
      </c>
      <c r="B532" s="221"/>
      <c r="C532" s="221" t="s">
        <v>48</v>
      </c>
      <c r="D532" s="221" t="s">
        <v>4029</v>
      </c>
      <c r="E532" s="221" t="s">
        <v>3295</v>
      </c>
      <c r="F532" s="221" t="s">
        <v>3299</v>
      </c>
      <c r="G532" s="222">
        <v>45407</v>
      </c>
      <c r="H532" s="223">
        <v>15.291666666666666</v>
      </c>
      <c r="I532" s="221" t="s">
        <v>38</v>
      </c>
      <c r="J532" s="221" t="s">
        <v>3024</v>
      </c>
      <c r="K532" s="224" t="s">
        <v>3091</v>
      </c>
      <c r="L532" s="225" t="str">
        <f>VLOOKUP(Logfile_S12[[#This Row],[Material Name]],Sheet2!B:C,2,0)</f>
        <v>GCI1005</v>
      </c>
      <c r="M532" s="225" t="str">
        <f>_xlfn.XLOOKUP(Logfile_S12[[#This Row],[Material Name]],Sum_WH!E:E,Sum_WH!F:F,"",0)</f>
        <v>Pcs</v>
      </c>
      <c r="N532" s="221">
        <v>84</v>
      </c>
      <c r="O532" s="221">
        <v>0</v>
      </c>
      <c r="P532" s="221">
        <v>0</v>
      </c>
      <c r="Q532" s="221">
        <v>0</v>
      </c>
      <c r="R532" s="221">
        <v>0</v>
      </c>
      <c r="S532" s="221"/>
      <c r="T532" s="221"/>
      <c r="U532" s="221"/>
      <c r="V532" s="221"/>
      <c r="W532" s="221"/>
      <c r="X532" s="221"/>
      <c r="Y532" s="227"/>
      <c r="Z532" s="227">
        <f t="shared" si="27"/>
        <v>0</v>
      </c>
      <c r="AA532" s="276" t="e">
        <f>VLOOKUP(Logfile_S12[[#This Row],[DO number]],DO_DB!G:I,3,0)</f>
        <v>#N/A</v>
      </c>
      <c r="AB532" s="331" t="e">
        <f>EXACT(Logfile_S12[[#This Row],[date pick]],Logfile_S12[[#This Row],[Date]])</f>
        <v>#N/A</v>
      </c>
      <c r="AC5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33" spans="1:29" ht="14.5" hidden="1">
      <c r="A533" s="220" t="str">
        <f t="shared" si="26"/>
        <v>529</v>
      </c>
      <c r="B533" s="221"/>
      <c r="C533" s="221" t="s">
        <v>49</v>
      </c>
      <c r="D533" s="221" t="s">
        <v>4030</v>
      </c>
      <c r="E533" s="221" t="s">
        <v>3295</v>
      </c>
      <c r="F533" s="221" t="s">
        <v>3299</v>
      </c>
      <c r="G533" s="222">
        <v>45408</v>
      </c>
      <c r="H533" s="223">
        <v>0.39166666666666666</v>
      </c>
      <c r="I533" s="221" t="s">
        <v>4916</v>
      </c>
      <c r="J533" s="221" t="s">
        <v>3024</v>
      </c>
      <c r="K533" s="224" t="s">
        <v>3091</v>
      </c>
      <c r="L533" s="225" t="str">
        <f>VLOOKUP(Logfile_S12[[#This Row],[Material Name]],Sheet2!B:C,2,0)</f>
        <v>GCI1005</v>
      </c>
      <c r="M533" s="225" t="str">
        <f>_xlfn.XLOOKUP(Logfile_S12[[#This Row],[Material Name]],Sum_WH!E:E,Sum_WH!F:F,"",0)</f>
        <v>Pcs</v>
      </c>
      <c r="N533" s="221">
        <v>100</v>
      </c>
      <c r="O533" s="221" t="s">
        <v>1081</v>
      </c>
      <c r="P533" s="221" t="s">
        <v>3370</v>
      </c>
      <c r="Q533" s="221"/>
      <c r="R533" s="221"/>
      <c r="S533" s="221"/>
      <c r="T533" s="221" t="s">
        <v>3258</v>
      </c>
      <c r="U533" s="221" t="s">
        <v>3228</v>
      </c>
      <c r="V533" s="221" t="s">
        <v>3337</v>
      </c>
      <c r="W533" s="221" t="s">
        <v>3338</v>
      </c>
      <c r="X533" s="221"/>
      <c r="Y533" s="227"/>
      <c r="Z533" s="227" t="str">
        <f t="shared" si="27"/>
        <v>Pandan Landung RW 05 Wagir</v>
      </c>
      <c r="AA533" s="276" t="e">
        <f>VLOOKUP(Logfile_S12[[#This Row],[DO number]],DO_DB!G:I,3,0)</f>
        <v>#N/A</v>
      </c>
      <c r="AB533" s="331" t="e">
        <f>EXACT(Logfile_S12[[#This Row],[date pick]],Logfile_S12[[#This Row],[Date]])</f>
        <v>#N/A</v>
      </c>
      <c r="AC5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34" spans="1:29" ht="14.5" hidden="1">
      <c r="A534" s="220" t="str">
        <f t="shared" si="26"/>
        <v>530</v>
      </c>
      <c r="B534" s="221"/>
      <c r="C534" s="221" t="s">
        <v>49</v>
      </c>
      <c r="D534" s="221" t="s">
        <v>4031</v>
      </c>
      <c r="E534" s="221" t="s">
        <v>3295</v>
      </c>
      <c r="F534" s="221" t="s">
        <v>3299</v>
      </c>
      <c r="G534" s="222">
        <v>45412</v>
      </c>
      <c r="H534" s="223">
        <v>0.42708333333333331</v>
      </c>
      <c r="I534" s="221" t="s">
        <v>4916</v>
      </c>
      <c r="J534" s="221" t="s">
        <v>3024</v>
      </c>
      <c r="K534" s="224" t="s">
        <v>3091</v>
      </c>
      <c r="L534" s="225" t="str">
        <f>VLOOKUP(Logfile_S12[[#This Row],[Material Name]],Sheet2!B:C,2,0)</f>
        <v>GCI1005</v>
      </c>
      <c r="M534" s="225" t="str">
        <f>_xlfn.XLOOKUP(Logfile_S12[[#This Row],[Material Name]],Sum_WH!E:E,Sum_WH!F:F,"",0)</f>
        <v>Pcs</v>
      </c>
      <c r="N534" s="221">
        <v>30</v>
      </c>
      <c r="O534" s="221" t="s">
        <v>1401</v>
      </c>
      <c r="P534" s="221" t="s">
        <v>3371</v>
      </c>
      <c r="Q534" s="221"/>
      <c r="R534" s="221"/>
      <c r="S534" s="221"/>
      <c r="T534" s="221" t="s">
        <v>3363</v>
      </c>
      <c r="U534" s="221" t="s">
        <v>3228</v>
      </c>
      <c r="V534" s="221" t="s">
        <v>3364</v>
      </c>
      <c r="W534" s="221" t="s">
        <v>3372</v>
      </c>
      <c r="X534" s="221"/>
      <c r="Y534" s="227"/>
      <c r="Z534" s="227" t="str">
        <f t="shared" si="27"/>
        <v>Lowokwaru RW14</v>
      </c>
      <c r="AA534" s="276" t="e">
        <f>VLOOKUP(Logfile_S12[[#This Row],[DO number]],DO_DB!G:I,3,0)</f>
        <v>#N/A</v>
      </c>
      <c r="AB534" s="331" t="e">
        <f>EXACT(Logfile_S12[[#This Row],[date pick]],Logfile_S12[[#This Row],[Date]])</f>
        <v>#N/A</v>
      </c>
      <c r="AC5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35" spans="1:29" ht="14.5" hidden="1">
      <c r="A535" s="220" t="str">
        <f t="shared" si="26"/>
        <v>531</v>
      </c>
      <c r="B535" s="221"/>
      <c r="C535" s="221" t="s">
        <v>48</v>
      </c>
      <c r="D535" s="221" t="s">
        <v>4038</v>
      </c>
      <c r="E535" s="221" t="s">
        <v>3295</v>
      </c>
      <c r="F535" s="221" t="s">
        <v>3299</v>
      </c>
      <c r="G535" s="222">
        <v>45420</v>
      </c>
      <c r="H535" s="223">
        <v>15.291666666666666</v>
      </c>
      <c r="I535" s="221" t="s">
        <v>38</v>
      </c>
      <c r="J535" s="221" t="s">
        <v>3024</v>
      </c>
      <c r="K535" s="224" t="s">
        <v>3091</v>
      </c>
      <c r="L535" s="225" t="str">
        <f>VLOOKUP(Logfile_S12[[#This Row],[Material Name]],Sheet2!B:C,2,0)</f>
        <v>GCI1005</v>
      </c>
      <c r="M535" s="225" t="str">
        <f>_xlfn.XLOOKUP(Logfile_S12[[#This Row],[Material Name]],Sum_WH!E:E,Sum_WH!F:F,"",0)</f>
        <v>Pcs</v>
      </c>
      <c r="N535" s="221">
        <v>52</v>
      </c>
      <c r="O535" s="221">
        <v>0</v>
      </c>
      <c r="P535" s="221">
        <v>0</v>
      </c>
      <c r="Q535" s="221">
        <v>0</v>
      </c>
      <c r="R535" s="221">
        <v>0</v>
      </c>
      <c r="S535" s="221"/>
      <c r="T535" s="221"/>
      <c r="U535" s="221"/>
      <c r="V535" s="221"/>
      <c r="W535" s="221"/>
      <c r="X535" s="221"/>
      <c r="Y535" s="227"/>
      <c r="Z535" s="227">
        <f t="shared" si="27"/>
        <v>0</v>
      </c>
      <c r="AA535" s="276" t="e">
        <f>VLOOKUP(Logfile_S12[[#This Row],[DO number]],DO_DB!G:I,3,0)</f>
        <v>#N/A</v>
      </c>
      <c r="AB535" s="331" t="e">
        <f>EXACT(Logfile_S12[[#This Row],[date pick]],Logfile_S12[[#This Row],[Date]])</f>
        <v>#N/A</v>
      </c>
      <c r="AC5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36" spans="1:29" ht="14.5" hidden="1">
      <c r="A536" s="220" t="str">
        <f t="shared" si="26"/>
        <v>532</v>
      </c>
      <c r="B536" s="221"/>
      <c r="C536" s="221" t="s">
        <v>49</v>
      </c>
      <c r="D536" s="221" t="s">
        <v>4071</v>
      </c>
      <c r="E536" s="221" t="s">
        <v>3295</v>
      </c>
      <c r="F536" s="221" t="s">
        <v>3299</v>
      </c>
      <c r="G536" s="222">
        <v>45446</v>
      </c>
      <c r="H536" s="223">
        <v>0.42222222222222222</v>
      </c>
      <c r="I536" s="221" t="s">
        <v>4916</v>
      </c>
      <c r="J536" s="221" t="s">
        <v>3024</v>
      </c>
      <c r="K536" s="224" t="s">
        <v>3091</v>
      </c>
      <c r="L536" s="225" t="str">
        <f>VLOOKUP(Logfile_S12[[#This Row],[Material Name]],Sheet2!B:C,2,0)</f>
        <v>GCI1005</v>
      </c>
      <c r="M536" s="225" t="str">
        <f>_xlfn.XLOOKUP(Logfile_S12[[#This Row],[Material Name]],Sum_WH!E:E,Sum_WH!F:F,"",0)</f>
        <v>Pcs</v>
      </c>
      <c r="N536" s="221">
        <v>100</v>
      </c>
      <c r="O536" s="221" t="s">
        <v>1395</v>
      </c>
      <c r="P536" s="221" t="s">
        <v>1396</v>
      </c>
      <c r="Q536" s="221"/>
      <c r="R536" s="221"/>
      <c r="S536" s="221"/>
      <c r="T536" s="221" t="s">
        <v>3258</v>
      </c>
      <c r="U536" s="221" t="s">
        <v>3228</v>
      </c>
      <c r="V536" s="221" t="s">
        <v>3337</v>
      </c>
      <c r="W536" s="221" t="s">
        <v>3338</v>
      </c>
      <c r="X536" s="221"/>
      <c r="Y536" s="227"/>
      <c r="Z536" s="227" t="str">
        <f t="shared" si="27"/>
        <v>Candirenggo RW 10 Singosari</v>
      </c>
      <c r="AA536" s="276" t="e">
        <f>VLOOKUP(Logfile_S12[[#This Row],[DO number]],DO_DB!G:I,3,0)</f>
        <v>#N/A</v>
      </c>
      <c r="AB536" s="331" t="e">
        <f>EXACT(Logfile_S12[[#This Row],[date pick]],Logfile_S12[[#This Row],[Date]])</f>
        <v>#N/A</v>
      </c>
      <c r="AC5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37" spans="1:29" ht="14.5" hidden="1">
      <c r="A537" s="220" t="str">
        <f t="shared" si="26"/>
        <v>533</v>
      </c>
      <c r="B537" s="221"/>
      <c r="C537" s="221" t="s">
        <v>48</v>
      </c>
      <c r="D537" s="221" t="s">
        <v>4082</v>
      </c>
      <c r="E537" s="221" t="s">
        <v>3295</v>
      </c>
      <c r="F537" s="221" t="s">
        <v>3299</v>
      </c>
      <c r="G537" s="222">
        <v>45449</v>
      </c>
      <c r="H537" s="223">
        <v>15.291666666666666</v>
      </c>
      <c r="I537" s="221" t="s">
        <v>38</v>
      </c>
      <c r="J537" s="221" t="s">
        <v>3024</v>
      </c>
      <c r="K537" s="224" t="s">
        <v>3091</v>
      </c>
      <c r="L537" s="225" t="str">
        <f>VLOOKUP(Logfile_S12[[#This Row],[Material Name]],Sheet2!B:C,2,0)</f>
        <v>GCI1005</v>
      </c>
      <c r="M537" s="225" t="str">
        <f>_xlfn.XLOOKUP(Logfile_S12[[#This Row],[Material Name]],Sum_WH!E:E,Sum_WH!F:F,"",0)</f>
        <v>Pcs</v>
      </c>
      <c r="N537" s="221">
        <v>145</v>
      </c>
      <c r="O537" s="221">
        <v>0</v>
      </c>
      <c r="P537" s="221">
        <v>0</v>
      </c>
      <c r="Q537" s="221">
        <v>0</v>
      </c>
      <c r="R537" s="221">
        <v>0</v>
      </c>
      <c r="S537" s="221"/>
      <c r="T537" s="221"/>
      <c r="U537" s="221"/>
      <c r="V537" s="221"/>
      <c r="W537" s="221"/>
      <c r="X537" s="221"/>
      <c r="Y537" s="227"/>
      <c r="Z537" s="227">
        <f t="shared" si="27"/>
        <v>0</v>
      </c>
      <c r="AA537" s="276" t="e">
        <f>VLOOKUP(Logfile_S12[[#This Row],[DO number]],DO_DB!G:I,3,0)</f>
        <v>#N/A</v>
      </c>
      <c r="AB537" s="331" t="e">
        <f>EXACT(Logfile_S12[[#This Row],[date pick]],Logfile_S12[[#This Row],[Date]])</f>
        <v>#N/A</v>
      </c>
      <c r="AC5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38" spans="1:29" ht="14.5" hidden="1">
      <c r="A538" s="220" t="str">
        <f t="shared" si="26"/>
        <v>534</v>
      </c>
      <c r="B538" s="221"/>
      <c r="C538" s="221" t="s">
        <v>49</v>
      </c>
      <c r="D538" s="221" t="s">
        <v>4083</v>
      </c>
      <c r="E538" s="221" t="s">
        <v>3295</v>
      </c>
      <c r="F538" s="221" t="s">
        <v>3299</v>
      </c>
      <c r="G538" s="222">
        <v>45450</v>
      </c>
      <c r="H538" s="223">
        <v>0.72291666666666676</v>
      </c>
      <c r="I538" s="221" t="s">
        <v>4916</v>
      </c>
      <c r="J538" s="221" t="s">
        <v>3024</v>
      </c>
      <c r="K538" s="224" t="s">
        <v>3091</v>
      </c>
      <c r="L538" s="225" t="str">
        <f>VLOOKUP(Logfile_S12[[#This Row],[Material Name]],Sheet2!B:C,2,0)</f>
        <v>GCI1005</v>
      </c>
      <c r="M538" s="225" t="str">
        <f>_xlfn.XLOOKUP(Logfile_S12[[#This Row],[Material Name]],Sum_WH!E:E,Sum_WH!F:F,"",0)</f>
        <v>Pcs</v>
      </c>
      <c r="N538" s="221">
        <v>12</v>
      </c>
      <c r="O538" s="221" t="s">
        <v>1493</v>
      </c>
      <c r="P538" s="221" t="s">
        <v>1494</v>
      </c>
      <c r="Q538" s="221"/>
      <c r="R538" s="221"/>
      <c r="S538" s="221"/>
      <c r="T538" s="221" t="s">
        <v>3258</v>
      </c>
      <c r="U538" s="221" t="s">
        <v>3228</v>
      </c>
      <c r="V538" s="221" t="s">
        <v>3337</v>
      </c>
      <c r="W538" s="221" t="s">
        <v>3338</v>
      </c>
      <c r="X538" s="221"/>
      <c r="Y538" s="227"/>
      <c r="Z538" s="227" t="str">
        <f t="shared" si="27"/>
        <v>Dusun Krajan Kucur</v>
      </c>
      <c r="AA538" s="276" t="e">
        <f>VLOOKUP(Logfile_S12[[#This Row],[DO number]],DO_DB!G:I,3,0)</f>
        <v>#N/A</v>
      </c>
      <c r="AB538" s="331" t="e">
        <f>EXACT(Logfile_S12[[#This Row],[date pick]],Logfile_S12[[#This Row],[Date]])</f>
        <v>#N/A</v>
      </c>
      <c r="AC5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39" spans="1:29" ht="14.5" hidden="1">
      <c r="A539" s="220" t="str">
        <f t="shared" si="26"/>
        <v>535</v>
      </c>
      <c r="B539" s="221"/>
      <c r="C539" s="221" t="s">
        <v>49</v>
      </c>
      <c r="D539" s="221" t="s">
        <v>4094</v>
      </c>
      <c r="E539" s="221" t="s">
        <v>3295</v>
      </c>
      <c r="F539" s="221" t="s">
        <v>3299</v>
      </c>
      <c r="G539" s="222">
        <v>45463</v>
      </c>
      <c r="H539" s="223">
        <v>0.44444444444444442</v>
      </c>
      <c r="I539" s="221" t="s">
        <v>4916</v>
      </c>
      <c r="J539" s="221" t="s">
        <v>3024</v>
      </c>
      <c r="K539" s="224" t="s">
        <v>3091</v>
      </c>
      <c r="L539" s="225" t="str">
        <f>VLOOKUP(Logfile_S12[[#This Row],[Material Name]],Sheet2!B:C,2,0)</f>
        <v>GCI1005</v>
      </c>
      <c r="M539" s="225" t="str">
        <f>_xlfn.XLOOKUP(Logfile_S12[[#This Row],[Material Name]],Sum_WH!E:E,Sum_WH!F:F,"",0)</f>
        <v>Pcs</v>
      </c>
      <c r="N539" s="221">
        <v>23</v>
      </c>
      <c r="O539" s="221" t="s">
        <v>1683</v>
      </c>
      <c r="P539" s="221" t="s">
        <v>1684</v>
      </c>
      <c r="Q539" s="221"/>
      <c r="R539" s="221"/>
      <c r="S539" s="221"/>
      <c r="T539" s="221" t="s">
        <v>3258</v>
      </c>
      <c r="U539" s="221" t="s">
        <v>3228</v>
      </c>
      <c r="V539" s="221" t="s">
        <v>3337</v>
      </c>
      <c r="W539" s="221" t="s">
        <v>3338</v>
      </c>
      <c r="X539" s="221"/>
      <c r="Y539" s="227"/>
      <c r="Z539" s="227" t="str">
        <f t="shared" si="27"/>
        <v>Lowokwaru RW 04</v>
      </c>
      <c r="AA539" s="276" t="e">
        <f>VLOOKUP(Logfile_S12[[#This Row],[DO number]],DO_DB!G:I,3,0)</f>
        <v>#N/A</v>
      </c>
      <c r="AB539" s="331" t="e">
        <f>EXACT(Logfile_S12[[#This Row],[date pick]],Logfile_S12[[#This Row],[Date]])</f>
        <v>#N/A</v>
      </c>
      <c r="AC5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40" spans="1:29" ht="14.5" hidden="1">
      <c r="A540" s="220" t="str">
        <f t="shared" si="26"/>
        <v>536</v>
      </c>
      <c r="B540" s="221"/>
      <c r="C540" s="221" t="s">
        <v>49</v>
      </c>
      <c r="D540" s="221" t="s">
        <v>4097</v>
      </c>
      <c r="E540" s="221" t="s">
        <v>3295</v>
      </c>
      <c r="F540" s="221" t="s">
        <v>3299</v>
      </c>
      <c r="G540" s="222">
        <v>45465</v>
      </c>
      <c r="H540" s="223">
        <v>0.62569444444444444</v>
      </c>
      <c r="I540" s="221" t="s">
        <v>4916</v>
      </c>
      <c r="J540" s="221" t="s">
        <v>3024</v>
      </c>
      <c r="K540" s="224" t="s">
        <v>3091</v>
      </c>
      <c r="L540" s="225" t="str">
        <f>VLOOKUP(Logfile_S12[[#This Row],[Material Name]],Sheet2!B:C,2,0)</f>
        <v>GCI1005</v>
      </c>
      <c r="M540" s="225" t="str">
        <f>_xlfn.XLOOKUP(Logfile_S12[[#This Row],[Material Name]],Sum_WH!E:E,Sum_WH!F:F,"",0)</f>
        <v>Pcs</v>
      </c>
      <c r="N540" s="221">
        <v>40</v>
      </c>
      <c r="O540" s="221" t="s">
        <v>1689</v>
      </c>
      <c r="P540" s="221" t="s">
        <v>1690</v>
      </c>
      <c r="Q540" s="221"/>
      <c r="R540" s="221"/>
      <c r="S540" s="221"/>
      <c r="T540" s="221" t="s">
        <v>3258</v>
      </c>
      <c r="U540" s="221" t="s">
        <v>3228</v>
      </c>
      <c r="V540" s="221" t="s">
        <v>3337</v>
      </c>
      <c r="W540" s="221" t="s">
        <v>3338</v>
      </c>
      <c r="X540" s="221"/>
      <c r="Y540" s="227"/>
      <c r="Z540" s="227" t="str">
        <f t="shared" si="27"/>
        <v>Kebonagung RW 13 Pakisaji</v>
      </c>
      <c r="AA540" s="276" t="e">
        <f>VLOOKUP(Logfile_S12[[#This Row],[DO number]],DO_DB!G:I,3,0)</f>
        <v>#N/A</v>
      </c>
      <c r="AB540" s="331" t="e">
        <f>EXACT(Logfile_S12[[#This Row],[date pick]],Logfile_S12[[#This Row],[Date]])</f>
        <v>#N/A</v>
      </c>
      <c r="AC5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41" spans="1:29" ht="14.5" hidden="1">
      <c r="A541" s="220" t="str">
        <f t="shared" si="26"/>
        <v>537</v>
      </c>
      <c r="B541" s="221"/>
      <c r="C541" s="221" t="s">
        <v>48</v>
      </c>
      <c r="D541" s="221" t="s">
        <v>4103</v>
      </c>
      <c r="E541" s="221" t="s">
        <v>3295</v>
      </c>
      <c r="F541" s="221" t="s">
        <v>3299</v>
      </c>
      <c r="G541" s="222">
        <v>45468</v>
      </c>
      <c r="H541" s="223">
        <v>15.291666666666666</v>
      </c>
      <c r="I541" s="221" t="s">
        <v>38</v>
      </c>
      <c r="J541" s="221" t="s">
        <v>3024</v>
      </c>
      <c r="K541" s="224" t="s">
        <v>3091</v>
      </c>
      <c r="L541" s="225" t="str">
        <f>VLOOKUP(Logfile_S12[[#This Row],[Material Name]],Sheet2!B:C,2,0)</f>
        <v>GCI1005</v>
      </c>
      <c r="M541" s="225" t="str">
        <f>_xlfn.XLOOKUP(Logfile_S12[[#This Row],[Material Name]],Sum_WH!E:E,Sum_WH!F:F,"",0)</f>
        <v>Pcs</v>
      </c>
      <c r="N541" s="221">
        <v>288</v>
      </c>
      <c r="O541" s="221">
        <v>0</v>
      </c>
      <c r="P541" s="221">
        <v>0</v>
      </c>
      <c r="Q541" s="221">
        <v>0</v>
      </c>
      <c r="R541" s="221">
        <v>0</v>
      </c>
      <c r="S541" s="221"/>
      <c r="T541" s="221"/>
      <c r="U541" s="221"/>
      <c r="V541" s="221"/>
      <c r="W541" s="221"/>
      <c r="X541" s="221"/>
      <c r="Y541" s="227"/>
      <c r="Z541" s="227">
        <f t="shared" si="27"/>
        <v>0</v>
      </c>
      <c r="AA541" s="276" t="e">
        <f>VLOOKUP(Logfile_S12[[#This Row],[DO number]],DO_DB!G:I,3,0)</f>
        <v>#N/A</v>
      </c>
      <c r="AB541" s="331" t="e">
        <f>EXACT(Logfile_S12[[#This Row],[date pick]],Logfile_S12[[#This Row],[Date]])</f>
        <v>#N/A</v>
      </c>
      <c r="AC5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42" spans="1:29" ht="14.5" hidden="1">
      <c r="A542" s="220" t="str">
        <f t="shared" si="26"/>
        <v>538</v>
      </c>
      <c r="B542" s="221"/>
      <c r="C542" s="221" t="s">
        <v>48</v>
      </c>
      <c r="D542" s="221" t="s">
        <v>4108</v>
      </c>
      <c r="E542" s="221" t="s">
        <v>3295</v>
      </c>
      <c r="F542" s="221" t="s">
        <v>3299</v>
      </c>
      <c r="G542" s="222">
        <v>45476</v>
      </c>
      <c r="H542" s="223">
        <v>15.291666666666666</v>
      </c>
      <c r="I542" s="221" t="s">
        <v>38</v>
      </c>
      <c r="J542" s="221" t="s">
        <v>3024</v>
      </c>
      <c r="K542" s="224" t="s">
        <v>3091</v>
      </c>
      <c r="L542" s="225" t="str">
        <f>VLOOKUP(Logfile_S12[[#This Row],[Material Name]],Sheet2!B:C,2,0)</f>
        <v>GCI1005</v>
      </c>
      <c r="M542" s="225" t="str">
        <f>_xlfn.XLOOKUP(Logfile_S12[[#This Row],[Material Name]],Sum_WH!E:E,Sum_WH!F:F,"",0)</f>
        <v>Pcs</v>
      </c>
      <c r="N542" s="221">
        <v>287</v>
      </c>
      <c r="O542" s="221">
        <v>0</v>
      </c>
      <c r="P542" s="221" t="s">
        <v>3373</v>
      </c>
      <c r="Q542" s="221">
        <v>0</v>
      </c>
      <c r="R542" s="221">
        <v>0</v>
      </c>
      <c r="S542" s="221"/>
      <c r="T542" s="221"/>
      <c r="U542" s="221"/>
      <c r="V542" s="221"/>
      <c r="W542" s="221"/>
      <c r="X542" s="221"/>
      <c r="Y542" s="227"/>
      <c r="Z542" s="227" t="str">
        <f t="shared" si="27"/>
        <v>HALIM JAYA</v>
      </c>
      <c r="AA542" s="276" t="e">
        <f>VLOOKUP(Logfile_S12[[#This Row],[DO number]],DO_DB!G:I,3,0)</f>
        <v>#N/A</v>
      </c>
      <c r="AB542" s="331" t="e">
        <f>EXACT(Logfile_S12[[#This Row],[date pick]],Logfile_S12[[#This Row],[Date]])</f>
        <v>#N/A</v>
      </c>
      <c r="AC5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43" spans="1:29" ht="14.5" hidden="1">
      <c r="A543" s="220" t="str">
        <f t="shared" si="26"/>
        <v>539</v>
      </c>
      <c r="B543" s="221"/>
      <c r="C543" s="221" t="s">
        <v>49</v>
      </c>
      <c r="D543" s="221" t="s">
        <v>4111</v>
      </c>
      <c r="E543" s="221" t="s">
        <v>3295</v>
      </c>
      <c r="F543" s="221" t="s">
        <v>3299</v>
      </c>
      <c r="G543" s="222">
        <v>45478</v>
      </c>
      <c r="H543" s="223">
        <v>0.54791666666666672</v>
      </c>
      <c r="I543" s="221" t="s">
        <v>4916</v>
      </c>
      <c r="J543" s="221" t="s">
        <v>3024</v>
      </c>
      <c r="K543" s="224" t="s">
        <v>3091</v>
      </c>
      <c r="L543" s="225" t="str">
        <f>VLOOKUP(Logfile_S12[[#This Row],[Material Name]],Sheet2!B:C,2,0)</f>
        <v>GCI1005</v>
      </c>
      <c r="M543" s="225" t="str">
        <f>_xlfn.XLOOKUP(Logfile_S12[[#This Row],[Material Name]],Sum_WH!E:E,Sum_WH!F:F,"",0)</f>
        <v>Pcs</v>
      </c>
      <c r="N543" s="221">
        <v>100</v>
      </c>
      <c r="O543" s="221" t="s">
        <v>1721</v>
      </c>
      <c r="P543" s="221" t="s">
        <v>1722</v>
      </c>
      <c r="Q543" s="221"/>
      <c r="R543" s="221"/>
      <c r="S543" s="221"/>
      <c r="T543" s="221" t="s">
        <v>3258</v>
      </c>
      <c r="U543" s="221" t="s">
        <v>3228</v>
      </c>
      <c r="V543" s="221" t="s">
        <v>3337</v>
      </c>
      <c r="W543" s="221" t="s">
        <v>3338</v>
      </c>
      <c r="X543" s="221"/>
      <c r="Y543" s="227"/>
      <c r="Z543" s="227" t="str">
        <f t="shared" si="27"/>
        <v>Perumahan Perumnas Talangagung I Malang</v>
      </c>
      <c r="AA543" s="276" t="e">
        <f>VLOOKUP(Logfile_S12[[#This Row],[DO number]],DO_DB!G:I,3,0)</f>
        <v>#N/A</v>
      </c>
      <c r="AB543" s="331" t="e">
        <f>EXACT(Logfile_S12[[#This Row],[date pick]],Logfile_S12[[#This Row],[Date]])</f>
        <v>#N/A</v>
      </c>
      <c r="AC5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44" spans="1:29" ht="14.5" hidden="1">
      <c r="A544" s="220" t="str">
        <f t="shared" si="26"/>
        <v>540</v>
      </c>
      <c r="B544" s="221"/>
      <c r="C544" s="221" t="s">
        <v>49</v>
      </c>
      <c r="D544" s="221" t="s">
        <v>4117</v>
      </c>
      <c r="E544" s="221" t="s">
        <v>3295</v>
      </c>
      <c r="F544" s="221" t="s">
        <v>3299</v>
      </c>
      <c r="G544" s="222">
        <v>45485</v>
      </c>
      <c r="H544" s="223">
        <v>0.4</v>
      </c>
      <c r="I544" s="221" t="s">
        <v>4916</v>
      </c>
      <c r="J544" s="221" t="s">
        <v>3024</v>
      </c>
      <c r="K544" s="224" t="s">
        <v>3091</v>
      </c>
      <c r="L544" s="225" t="str">
        <f>VLOOKUP(Logfile_S12[[#This Row],[Material Name]],Sheet2!B:C,2,0)</f>
        <v>GCI1005</v>
      </c>
      <c r="M544" s="225" t="str">
        <f>_xlfn.XLOOKUP(Logfile_S12[[#This Row],[Material Name]],Sum_WH!E:E,Sum_WH!F:F,"",0)</f>
        <v>Pcs</v>
      </c>
      <c r="N544" s="221">
        <v>30</v>
      </c>
      <c r="O544" s="221" t="s">
        <v>2007</v>
      </c>
      <c r="P544" s="221" t="s">
        <v>2008</v>
      </c>
      <c r="Q544" s="221"/>
      <c r="R544" s="221"/>
      <c r="S544" s="221"/>
      <c r="T544" s="221" t="s">
        <v>3258</v>
      </c>
      <c r="U544" s="221" t="s">
        <v>3228</v>
      </c>
      <c r="V544" s="221" t="s">
        <v>3337</v>
      </c>
      <c r="W544" s="221" t="s">
        <v>3338</v>
      </c>
      <c r="X544" s="221"/>
      <c r="Y544" s="227"/>
      <c r="Z544" s="227" t="str">
        <f t="shared" si="27"/>
        <v>Ngenep RW 06 Karang Ploso</v>
      </c>
      <c r="AA544" s="276" t="e">
        <f>VLOOKUP(Logfile_S12[[#This Row],[DO number]],DO_DB!G:I,3,0)</f>
        <v>#N/A</v>
      </c>
      <c r="AB544" s="331" t="e">
        <f>EXACT(Logfile_S12[[#This Row],[date pick]],Logfile_S12[[#This Row],[Date]])</f>
        <v>#N/A</v>
      </c>
      <c r="AC5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45" spans="1:29" ht="14.5" hidden="1">
      <c r="A545" s="220" t="str">
        <f t="shared" si="26"/>
        <v>541</v>
      </c>
      <c r="B545" s="221"/>
      <c r="C545" s="221" t="s">
        <v>49</v>
      </c>
      <c r="D545" s="221" t="s">
        <v>4120</v>
      </c>
      <c r="E545" s="221" t="s">
        <v>3295</v>
      </c>
      <c r="F545" s="221" t="s">
        <v>3299</v>
      </c>
      <c r="G545" s="222">
        <v>45492</v>
      </c>
      <c r="H545" s="223">
        <v>0.40277777777777779</v>
      </c>
      <c r="I545" s="221" t="s">
        <v>4916</v>
      </c>
      <c r="J545" s="221" t="s">
        <v>3024</v>
      </c>
      <c r="K545" s="224" t="s">
        <v>3091</v>
      </c>
      <c r="L545" s="225" t="str">
        <f>VLOOKUP(Logfile_S12[[#This Row],[Material Name]],Sheet2!B:C,2,0)</f>
        <v>GCI1005</v>
      </c>
      <c r="M545" s="225" t="str">
        <f>_xlfn.XLOOKUP(Logfile_S12[[#This Row],[Material Name]],Sum_WH!E:E,Sum_WH!F:F,"",0)</f>
        <v>Pcs</v>
      </c>
      <c r="N545" s="221">
        <v>15</v>
      </c>
      <c r="O545" s="221" t="s">
        <v>2007</v>
      </c>
      <c r="P545" s="221" t="s">
        <v>2008</v>
      </c>
      <c r="Q545" s="221"/>
      <c r="R545" s="221"/>
      <c r="S545" s="221"/>
      <c r="T545" s="221" t="s">
        <v>3258</v>
      </c>
      <c r="U545" s="221" t="s">
        <v>3228</v>
      </c>
      <c r="V545" s="221" t="s">
        <v>3337</v>
      </c>
      <c r="W545" s="221" t="s">
        <v>3338</v>
      </c>
      <c r="X545" s="221"/>
      <c r="Y545" s="227"/>
      <c r="Z545" s="227" t="str">
        <f t="shared" si="27"/>
        <v>Ngenep RW 06 Karang Ploso</v>
      </c>
      <c r="AA545" s="276" t="e">
        <f>VLOOKUP(Logfile_S12[[#This Row],[DO number]],DO_DB!G:I,3,0)</f>
        <v>#N/A</v>
      </c>
      <c r="AB545" s="331" t="e">
        <f>EXACT(Logfile_S12[[#This Row],[date pick]],Logfile_S12[[#This Row],[Date]])</f>
        <v>#N/A</v>
      </c>
      <c r="AC5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46" spans="1:29" ht="14.5" hidden="1">
      <c r="A546" s="220" t="str">
        <f t="shared" si="26"/>
        <v>542</v>
      </c>
      <c r="B546" s="221"/>
      <c r="C546" s="221" t="s">
        <v>48</v>
      </c>
      <c r="D546" s="221" t="s">
        <v>4141</v>
      </c>
      <c r="E546" s="221" t="s">
        <v>3295</v>
      </c>
      <c r="F546" s="221" t="s">
        <v>3299</v>
      </c>
      <c r="G546" s="222">
        <v>45506</v>
      </c>
      <c r="H546" s="223">
        <v>15.291666666666666</v>
      </c>
      <c r="I546" s="221" t="s">
        <v>38</v>
      </c>
      <c r="J546" s="221" t="s">
        <v>3024</v>
      </c>
      <c r="K546" s="224" t="s">
        <v>3091</v>
      </c>
      <c r="L546" s="225" t="str">
        <f>VLOOKUP(Logfile_S12[[#This Row],[Material Name]],Sheet2!B:C,2,0)</f>
        <v>GCI1005</v>
      </c>
      <c r="M546" s="225" t="str">
        <f>_xlfn.XLOOKUP(Logfile_S12[[#This Row],[Material Name]],Sum_WH!E:E,Sum_WH!F:F,"",0)</f>
        <v>Pcs</v>
      </c>
      <c r="N546" s="221">
        <v>193</v>
      </c>
      <c r="O546" s="221">
        <v>0</v>
      </c>
      <c r="P546" s="221">
        <v>0</v>
      </c>
      <c r="Q546" s="221">
        <v>0</v>
      </c>
      <c r="R546" s="221">
        <v>0</v>
      </c>
      <c r="S546" s="221"/>
      <c r="T546" s="221"/>
      <c r="U546" s="221"/>
      <c r="V546" s="221"/>
      <c r="W546" s="221"/>
      <c r="X546" s="221"/>
      <c r="Y546" s="227"/>
      <c r="Z546" s="227">
        <f t="shared" si="27"/>
        <v>0</v>
      </c>
      <c r="AA546" s="276" t="e">
        <f>VLOOKUP(Logfile_S12[[#This Row],[DO number]],DO_DB!G:I,3,0)</f>
        <v>#N/A</v>
      </c>
      <c r="AB546" s="331" t="e">
        <f>EXACT(Logfile_S12[[#This Row],[date pick]],Logfile_S12[[#This Row],[Date]])</f>
        <v>#N/A</v>
      </c>
      <c r="AC5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47" spans="1:29" ht="14.5" hidden="1">
      <c r="A547" s="220" t="str">
        <f t="shared" si="26"/>
        <v>543</v>
      </c>
      <c r="B547" s="221"/>
      <c r="C547" s="221" t="s">
        <v>49</v>
      </c>
      <c r="D547" s="221" t="s">
        <v>4143</v>
      </c>
      <c r="E547" s="221" t="s">
        <v>3295</v>
      </c>
      <c r="F547" s="221" t="s">
        <v>3299</v>
      </c>
      <c r="G547" s="222">
        <v>45507</v>
      </c>
      <c r="H547" s="223">
        <v>0.4</v>
      </c>
      <c r="I547" s="221" t="s">
        <v>4916</v>
      </c>
      <c r="J547" s="221" t="s">
        <v>3024</v>
      </c>
      <c r="K547" s="224" t="s">
        <v>3091</v>
      </c>
      <c r="L547" s="225" t="str">
        <f>VLOOKUP(Logfile_S12[[#This Row],[Material Name]],Sheet2!B:C,2,0)</f>
        <v>GCI1005</v>
      </c>
      <c r="M547" s="225" t="str">
        <f>_xlfn.XLOOKUP(Logfile_S12[[#This Row],[Material Name]],Sum_WH!E:E,Sum_WH!F:F,"",0)</f>
        <v>Pcs</v>
      </c>
      <c r="N547" s="221">
        <v>54</v>
      </c>
      <c r="O547" s="221" t="s">
        <v>1803</v>
      </c>
      <c r="P547" s="221" t="s">
        <v>1804</v>
      </c>
      <c r="Q547" s="221"/>
      <c r="R547" s="221"/>
      <c r="S547" s="221"/>
      <c r="T547" s="221" t="s">
        <v>3258</v>
      </c>
      <c r="U547" s="221" t="s">
        <v>3228</v>
      </c>
      <c r="V547" s="221" t="s">
        <v>3337</v>
      </c>
      <c r="W547" s="221" t="s">
        <v>3338</v>
      </c>
      <c r="X547" s="221"/>
      <c r="Y547" s="227"/>
      <c r="Z547" s="227" t="str">
        <f t="shared" si="27"/>
        <v>Dusun Langlang IV Singosari</v>
      </c>
      <c r="AA547" s="276" t="e">
        <f>VLOOKUP(Logfile_S12[[#This Row],[DO number]],DO_DB!G:I,3,0)</f>
        <v>#N/A</v>
      </c>
      <c r="AB547" s="331" t="e">
        <f>EXACT(Logfile_S12[[#This Row],[date pick]],Logfile_S12[[#This Row],[Date]])</f>
        <v>#N/A</v>
      </c>
      <c r="AC5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48" spans="1:29" ht="14.5" hidden="1">
      <c r="A548" s="220" t="str">
        <f t="shared" si="26"/>
        <v>544</v>
      </c>
      <c r="B548" s="221"/>
      <c r="C548" s="221" t="s">
        <v>49</v>
      </c>
      <c r="D548" s="221" t="s">
        <v>4164</v>
      </c>
      <c r="E548" s="221" t="s">
        <v>3295</v>
      </c>
      <c r="F548" s="221" t="s">
        <v>3299</v>
      </c>
      <c r="G548" s="222">
        <v>45524</v>
      </c>
      <c r="H548" s="223">
        <v>0.70416666666666672</v>
      </c>
      <c r="I548" s="221" t="s">
        <v>4916</v>
      </c>
      <c r="J548" s="221" t="s">
        <v>3024</v>
      </c>
      <c r="K548" s="224" t="s">
        <v>3091</v>
      </c>
      <c r="L548" s="225" t="str">
        <f>VLOOKUP(Logfile_S12[[#This Row],[Material Name]],Sheet2!B:C,2,0)</f>
        <v>GCI1005</v>
      </c>
      <c r="M548" s="225" t="str">
        <f>_xlfn.XLOOKUP(Logfile_S12[[#This Row],[Material Name]],Sum_WH!E:E,Sum_WH!F:F,"",0)</f>
        <v>Pcs</v>
      </c>
      <c r="N548" s="221">
        <v>25</v>
      </c>
      <c r="O548" s="221" t="s">
        <v>1391</v>
      </c>
      <c r="P548" s="221" t="s">
        <v>1392</v>
      </c>
      <c r="Q548" s="221"/>
      <c r="R548" s="221"/>
      <c r="S548" s="221"/>
      <c r="T548" s="221" t="s">
        <v>3244</v>
      </c>
      <c r="U548" s="221">
        <v>0</v>
      </c>
      <c r="V548" s="221" t="s">
        <v>3248</v>
      </c>
      <c r="W548" s="221" t="s">
        <v>3252</v>
      </c>
      <c r="X548" s="221"/>
      <c r="Y548" s="227"/>
      <c r="Z548" s="227" t="str">
        <f t="shared" si="27"/>
        <v>Klampok RW 01 Singosari</v>
      </c>
      <c r="AA548" s="276" t="e">
        <f>VLOOKUP(Logfile_S12[[#This Row],[DO number]],DO_DB!G:I,3,0)</f>
        <v>#N/A</v>
      </c>
      <c r="AB548" s="331" t="e">
        <f>EXACT(Logfile_S12[[#This Row],[date pick]],Logfile_S12[[#This Row],[Date]])</f>
        <v>#N/A</v>
      </c>
      <c r="AC5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49" spans="1:29" ht="14.5" hidden="1">
      <c r="A549" s="220" t="str">
        <f t="shared" si="26"/>
        <v>545</v>
      </c>
      <c r="B549" s="221"/>
      <c r="C549" s="221" t="s">
        <v>49</v>
      </c>
      <c r="D549" s="221" t="s">
        <v>4173</v>
      </c>
      <c r="E549" s="221" t="s">
        <v>3295</v>
      </c>
      <c r="F549" s="221" t="s">
        <v>3299</v>
      </c>
      <c r="G549" s="222">
        <v>45527</v>
      </c>
      <c r="H549" s="223">
        <v>0.46736111111111112</v>
      </c>
      <c r="I549" s="221" t="s">
        <v>4916</v>
      </c>
      <c r="J549" s="221" t="s">
        <v>3024</v>
      </c>
      <c r="K549" s="224" t="s">
        <v>3091</v>
      </c>
      <c r="L549" s="225" t="str">
        <f>VLOOKUP(Logfile_S12[[#This Row],[Material Name]],Sheet2!B:C,2,0)</f>
        <v>GCI1005</v>
      </c>
      <c r="M549" s="225" t="str">
        <f>_xlfn.XLOOKUP(Logfile_S12[[#This Row],[Material Name]],Sum_WH!E:E,Sum_WH!F:F,"",0)</f>
        <v>Pcs</v>
      </c>
      <c r="N549" s="221">
        <v>30</v>
      </c>
      <c r="O549" s="221" t="s">
        <v>1911</v>
      </c>
      <c r="P549" s="221" t="s">
        <v>1912</v>
      </c>
      <c r="Q549" s="221"/>
      <c r="R549" s="221"/>
      <c r="S549" s="221"/>
      <c r="T549" s="221" t="s">
        <v>3258</v>
      </c>
      <c r="U549" s="221" t="s">
        <v>3228</v>
      </c>
      <c r="V549" s="221" t="s">
        <v>3337</v>
      </c>
      <c r="W549" s="221" t="s">
        <v>3338</v>
      </c>
      <c r="X549" s="221"/>
      <c r="Y549" s="227"/>
      <c r="Z549" s="227" t="str">
        <f t="shared" si="27"/>
        <v>Dilem RW 03 Kepanjen</v>
      </c>
      <c r="AA549" s="276" t="e">
        <f>VLOOKUP(Logfile_S12[[#This Row],[DO number]],DO_DB!G:I,3,0)</f>
        <v>#N/A</v>
      </c>
      <c r="AB549" s="331" t="e">
        <f>EXACT(Logfile_S12[[#This Row],[date pick]],Logfile_S12[[#This Row],[Date]])</f>
        <v>#N/A</v>
      </c>
      <c r="AC5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50" spans="1:29" ht="14.5" hidden="1">
      <c r="A550" s="220" t="str">
        <f t="shared" si="26"/>
        <v>546</v>
      </c>
      <c r="B550" s="221"/>
      <c r="C550" s="221" t="s">
        <v>49</v>
      </c>
      <c r="D550" s="221" t="s">
        <v>4187</v>
      </c>
      <c r="E550" s="221" t="s">
        <v>3295</v>
      </c>
      <c r="F550" s="221" t="s">
        <v>3299</v>
      </c>
      <c r="G550" s="222">
        <v>45533</v>
      </c>
      <c r="H550" s="223">
        <v>0.34652777777777777</v>
      </c>
      <c r="I550" s="221" t="s">
        <v>4916</v>
      </c>
      <c r="J550" s="221" t="s">
        <v>3024</v>
      </c>
      <c r="K550" s="224" t="s">
        <v>3091</v>
      </c>
      <c r="L550" s="225" t="str">
        <f>VLOOKUP(Logfile_S12[[#This Row],[Material Name]],Sheet2!B:C,2,0)</f>
        <v>GCI1005</v>
      </c>
      <c r="M550" s="225" t="str">
        <f>_xlfn.XLOOKUP(Logfile_S12[[#This Row],[Material Name]],Sum_WH!E:E,Sum_WH!F:F,"",0)</f>
        <v>Pcs</v>
      </c>
      <c r="N550" s="221">
        <v>40</v>
      </c>
      <c r="O550" s="221" t="s">
        <v>1929</v>
      </c>
      <c r="P550" s="221" t="s">
        <v>1930</v>
      </c>
      <c r="Q550" s="221"/>
      <c r="R550" s="221"/>
      <c r="S550" s="221"/>
      <c r="T550" s="221" t="s">
        <v>3244</v>
      </c>
      <c r="U550" s="221">
        <v>0</v>
      </c>
      <c r="V550" s="221" t="s">
        <v>3248</v>
      </c>
      <c r="W550" s="221" t="s">
        <v>3252</v>
      </c>
      <c r="X550" s="221"/>
      <c r="Y550" s="227"/>
      <c r="Z550" s="227" t="str">
        <f t="shared" si="27"/>
        <v>Dusun Krajan Sumbersekar</v>
      </c>
      <c r="AA550" s="276" t="e">
        <f>VLOOKUP(Logfile_S12[[#This Row],[DO number]],DO_DB!G:I,3,0)</f>
        <v>#N/A</v>
      </c>
      <c r="AB550" s="331" t="e">
        <f>EXACT(Logfile_S12[[#This Row],[date pick]],Logfile_S12[[#This Row],[Date]])</f>
        <v>#N/A</v>
      </c>
      <c r="AC5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51" spans="1:29" ht="14.5" hidden="1">
      <c r="A551" s="220" t="str">
        <f t="shared" si="26"/>
        <v>547</v>
      </c>
      <c r="B551" s="221"/>
      <c r="C551" s="221" t="s">
        <v>48</v>
      </c>
      <c r="D551" s="221" t="s">
        <v>4212</v>
      </c>
      <c r="E551" s="221" t="s">
        <v>3295</v>
      </c>
      <c r="F551" s="221" t="s">
        <v>3299</v>
      </c>
      <c r="G551" s="222">
        <v>45541</v>
      </c>
      <c r="H551" s="223">
        <v>15.291666666666666</v>
      </c>
      <c r="I551" s="221" t="s">
        <v>38</v>
      </c>
      <c r="J551" s="221" t="s">
        <v>3024</v>
      </c>
      <c r="K551" s="224" t="s">
        <v>3091</v>
      </c>
      <c r="L551" s="225" t="str">
        <f>VLOOKUP(Logfile_S12[[#This Row],[Material Name]],Sheet2!B:C,2,0)</f>
        <v>GCI1005</v>
      </c>
      <c r="M551" s="225" t="str">
        <f>_xlfn.XLOOKUP(Logfile_S12[[#This Row],[Material Name]],Sum_WH!E:E,Sum_WH!F:F,"",0)</f>
        <v>Pcs</v>
      </c>
      <c r="N551" s="221">
        <v>189</v>
      </c>
      <c r="O551" s="221">
        <v>0</v>
      </c>
      <c r="P551" s="221">
        <v>0</v>
      </c>
      <c r="Q551" s="221">
        <v>0</v>
      </c>
      <c r="R551" s="221">
        <v>0</v>
      </c>
      <c r="S551" s="221"/>
      <c r="T551" s="221"/>
      <c r="U551" s="221"/>
      <c r="V551" s="221"/>
      <c r="W551" s="221"/>
      <c r="X551" s="221"/>
      <c r="Y551" s="227"/>
      <c r="Z551" s="227">
        <f t="shared" si="27"/>
        <v>0</v>
      </c>
      <c r="AA551" s="276" t="e">
        <f>VLOOKUP(Logfile_S12[[#This Row],[DO number]],DO_DB!G:I,3,0)</f>
        <v>#N/A</v>
      </c>
      <c r="AB551" s="331" t="e">
        <f>EXACT(Logfile_S12[[#This Row],[date pick]],Logfile_S12[[#This Row],[Date]])</f>
        <v>#N/A</v>
      </c>
      <c r="AC5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52" spans="1:29" ht="14.5" hidden="1">
      <c r="A552" s="220" t="str">
        <f t="shared" si="26"/>
        <v>548</v>
      </c>
      <c r="B552" s="221"/>
      <c r="C552" s="221" t="s">
        <v>49</v>
      </c>
      <c r="D552" s="221" t="s">
        <v>4211</v>
      </c>
      <c r="E552" s="221" t="s">
        <v>3295</v>
      </c>
      <c r="F552" s="221" t="s">
        <v>3299</v>
      </c>
      <c r="G552" s="222">
        <v>45541</v>
      </c>
      <c r="H552" s="223">
        <v>0.80069444444444449</v>
      </c>
      <c r="I552" s="221" t="s">
        <v>4916</v>
      </c>
      <c r="J552" s="221" t="s">
        <v>3024</v>
      </c>
      <c r="K552" s="224" t="s">
        <v>3091</v>
      </c>
      <c r="L552" s="225" t="str">
        <f>VLOOKUP(Logfile_S12[[#This Row],[Material Name]],Sheet2!B:C,2,0)</f>
        <v>GCI1005</v>
      </c>
      <c r="M552" s="225" t="str">
        <f>_xlfn.XLOOKUP(Logfile_S12[[#This Row],[Material Name]],Sum_WH!E:E,Sum_WH!F:F,"",0)</f>
        <v>Pcs</v>
      </c>
      <c r="N552" s="221">
        <v>12</v>
      </c>
      <c r="O552" s="221" t="s">
        <v>2025</v>
      </c>
      <c r="P552" s="221" t="s">
        <v>2026</v>
      </c>
      <c r="Q552" s="221"/>
      <c r="R552" s="221"/>
      <c r="S552" s="221"/>
      <c r="T552" s="221" t="s">
        <v>3244</v>
      </c>
      <c r="U552" s="221">
        <v>0</v>
      </c>
      <c r="V552" s="221" t="s">
        <v>3248</v>
      </c>
      <c r="W552" s="221" t="s">
        <v>3252</v>
      </c>
      <c r="X552" s="221"/>
      <c r="Y552" s="227"/>
      <c r="Z552" s="227" t="str">
        <f t="shared" si="27"/>
        <v>NGENEP UTARA RW 03 MALANG</v>
      </c>
      <c r="AA552" s="276" t="e">
        <f>VLOOKUP(Logfile_S12[[#This Row],[DO number]],DO_DB!G:I,3,0)</f>
        <v>#N/A</v>
      </c>
      <c r="AB552" s="331" t="e">
        <f>EXACT(Logfile_S12[[#This Row],[date pick]],Logfile_S12[[#This Row],[Date]])</f>
        <v>#N/A</v>
      </c>
      <c r="AC5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53" spans="1:29" ht="14.5" hidden="1">
      <c r="A553" s="220" t="str">
        <f t="shared" si="26"/>
        <v>549</v>
      </c>
      <c r="B553" s="221"/>
      <c r="C553" s="221" t="s">
        <v>49</v>
      </c>
      <c r="D553" s="221" t="s">
        <v>4215</v>
      </c>
      <c r="E553" s="221" t="s">
        <v>3295</v>
      </c>
      <c r="F553" s="221" t="s">
        <v>3299</v>
      </c>
      <c r="G553" s="222">
        <v>45542</v>
      </c>
      <c r="H553" s="223">
        <v>0.73750000000000004</v>
      </c>
      <c r="I553" s="221" t="s">
        <v>4916</v>
      </c>
      <c r="J553" s="221" t="s">
        <v>3024</v>
      </c>
      <c r="K553" s="224" t="s">
        <v>3091</v>
      </c>
      <c r="L553" s="225" t="str">
        <f>VLOOKUP(Logfile_S12[[#This Row],[Material Name]],Sheet2!B:C,2,0)</f>
        <v>GCI1005</v>
      </c>
      <c r="M553" s="225" t="str">
        <f>_xlfn.XLOOKUP(Logfile_S12[[#This Row],[Material Name]],Sum_WH!E:E,Sum_WH!F:F,"",0)</f>
        <v>Pcs</v>
      </c>
      <c r="N553" s="221">
        <v>100</v>
      </c>
      <c r="O553" s="221" t="s">
        <v>1951</v>
      </c>
      <c r="P553" s="221" t="s">
        <v>3374</v>
      </c>
      <c r="Q553" s="221"/>
      <c r="R553" s="221"/>
      <c r="S553" s="221"/>
      <c r="T553" s="221" t="s">
        <v>3258</v>
      </c>
      <c r="U553" s="221">
        <v>0</v>
      </c>
      <c r="V553" s="221" t="s">
        <v>3337</v>
      </c>
      <c r="W553" s="221" t="s">
        <v>3338</v>
      </c>
      <c r="X553" s="221"/>
      <c r="Y553" s="227"/>
      <c r="Z553" s="227" t="str">
        <f t="shared" si="27"/>
        <v>SENGGURUH RW 01 MALANG</v>
      </c>
      <c r="AA553" s="276" t="e">
        <f>VLOOKUP(Logfile_S12[[#This Row],[DO number]],DO_DB!G:I,3,0)</f>
        <v>#N/A</v>
      </c>
      <c r="AB553" s="331" t="e">
        <f>EXACT(Logfile_S12[[#This Row],[date pick]],Logfile_S12[[#This Row],[Date]])</f>
        <v>#N/A</v>
      </c>
      <c r="AC5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54" spans="1:29" ht="14.5" hidden="1">
      <c r="A554" s="220" t="str">
        <f t="shared" si="26"/>
        <v>550</v>
      </c>
      <c r="B554" s="221"/>
      <c r="C554" s="221" t="s">
        <v>49</v>
      </c>
      <c r="D554" s="221" t="s">
        <v>4221</v>
      </c>
      <c r="E554" s="221" t="s">
        <v>3295</v>
      </c>
      <c r="F554" s="221" t="s">
        <v>3299</v>
      </c>
      <c r="G554" s="222">
        <v>45553</v>
      </c>
      <c r="H554" s="223">
        <v>0.43125000000000002</v>
      </c>
      <c r="I554" s="221" t="s">
        <v>4916</v>
      </c>
      <c r="J554" s="221" t="s">
        <v>3024</v>
      </c>
      <c r="K554" s="224" t="s">
        <v>3091</v>
      </c>
      <c r="L554" s="225" t="str">
        <f>VLOOKUP(Logfile_S12[[#This Row],[Material Name]],Sheet2!B:C,2,0)</f>
        <v>GCI1005</v>
      </c>
      <c r="M554" s="225" t="str">
        <f>_xlfn.XLOOKUP(Logfile_S12[[#This Row],[Material Name]],Sum_WH!E:E,Sum_WH!F:F,"",0)</f>
        <v>Pcs</v>
      </c>
      <c r="N554" s="221">
        <v>50</v>
      </c>
      <c r="O554" s="221" t="s">
        <v>1923</v>
      </c>
      <c r="P554" s="221" t="s">
        <v>1924</v>
      </c>
      <c r="Q554" s="221"/>
      <c r="R554" s="221"/>
      <c r="S554" s="221"/>
      <c r="T554" s="221" t="s">
        <v>3258</v>
      </c>
      <c r="U554" s="221">
        <v>0</v>
      </c>
      <c r="V554" s="221" t="s">
        <v>3337</v>
      </c>
      <c r="W554" s="221" t="s">
        <v>3338</v>
      </c>
      <c r="X554" s="221"/>
      <c r="Y554" s="227"/>
      <c r="Z554" s="227" t="str">
        <f t="shared" si="27"/>
        <v>Pakisaji RW 01 Malang</v>
      </c>
      <c r="AA554" s="276" t="e">
        <f>VLOOKUP(Logfile_S12[[#This Row],[DO number]],DO_DB!G:I,3,0)</f>
        <v>#N/A</v>
      </c>
      <c r="AB554" s="331" t="e">
        <f>EXACT(Logfile_S12[[#This Row],[date pick]],Logfile_S12[[#This Row],[Date]])</f>
        <v>#N/A</v>
      </c>
      <c r="AC5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55" spans="1:29" ht="14.5" hidden="1">
      <c r="A555" s="220" t="str">
        <f t="shared" si="26"/>
        <v>551</v>
      </c>
      <c r="B555" s="221"/>
      <c r="C555" s="221" t="s">
        <v>49</v>
      </c>
      <c r="D555" s="221" t="s">
        <v>4234</v>
      </c>
      <c r="E555" s="221" t="s">
        <v>3295</v>
      </c>
      <c r="F555" s="221" t="s">
        <v>3299</v>
      </c>
      <c r="G555" s="222">
        <v>45561</v>
      </c>
      <c r="H555" s="223">
        <v>0.68125000000000002</v>
      </c>
      <c r="I555" s="221" t="s">
        <v>4916</v>
      </c>
      <c r="J555" s="221" t="s">
        <v>3024</v>
      </c>
      <c r="K555" s="224" t="s">
        <v>3091</v>
      </c>
      <c r="L555" s="225" t="str">
        <f>VLOOKUP(Logfile_S12[[#This Row],[Material Name]],Sheet2!B:C,2,0)</f>
        <v>GCI1005</v>
      </c>
      <c r="M555" s="225" t="str">
        <f>_xlfn.XLOOKUP(Logfile_S12[[#This Row],[Material Name]],Sum_WH!E:E,Sum_WH!F:F,"",0)</f>
        <v>Pcs</v>
      </c>
      <c r="N555" s="221">
        <v>30</v>
      </c>
      <c r="O555" s="221" t="s">
        <v>2166</v>
      </c>
      <c r="P555" s="221" t="s">
        <v>2167</v>
      </c>
      <c r="Q555" s="221"/>
      <c r="R555" s="221"/>
      <c r="S555" s="221"/>
      <c r="T555" s="221" t="s">
        <v>3247</v>
      </c>
      <c r="U555" s="221">
        <v>0</v>
      </c>
      <c r="V555" s="221" t="s">
        <v>3375</v>
      </c>
      <c r="W555" s="221" t="s">
        <v>3376</v>
      </c>
      <c r="X555" s="221"/>
      <c r="Y555" s="227"/>
      <c r="Z555" s="227" t="str">
        <f t="shared" si="27"/>
        <v>Dusun Mojosari Ngenep</v>
      </c>
      <c r="AA555" s="276" t="e">
        <f>VLOOKUP(Logfile_S12[[#This Row],[DO number]],DO_DB!G:I,3,0)</f>
        <v>#N/A</v>
      </c>
      <c r="AB555" s="331" t="e">
        <f>EXACT(Logfile_S12[[#This Row],[date pick]],Logfile_S12[[#This Row],[Date]])</f>
        <v>#N/A</v>
      </c>
      <c r="AC5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56" spans="1:29" ht="14.5" hidden="1">
      <c r="A556" s="220" t="str">
        <f t="shared" si="26"/>
        <v>552</v>
      </c>
      <c r="B556" s="221"/>
      <c r="C556" s="221" t="s">
        <v>49</v>
      </c>
      <c r="D556" s="221" t="s">
        <v>4258</v>
      </c>
      <c r="E556" s="221" t="s">
        <v>3295</v>
      </c>
      <c r="F556" s="221" t="s">
        <v>3299</v>
      </c>
      <c r="G556" s="222">
        <v>45595</v>
      </c>
      <c r="H556" s="223">
        <v>0.97569444444444442</v>
      </c>
      <c r="I556" s="221" t="s">
        <v>4916</v>
      </c>
      <c r="J556" s="221" t="s">
        <v>3024</v>
      </c>
      <c r="K556" s="224" t="s">
        <v>3091</v>
      </c>
      <c r="L556" s="225" t="str">
        <f>VLOOKUP(Logfile_S12[[#This Row],[Material Name]],Sheet2!B:C,2,0)</f>
        <v>GCI1005</v>
      </c>
      <c r="M556" s="225" t="str">
        <f>_xlfn.XLOOKUP(Logfile_S12[[#This Row],[Material Name]],Sum_WH!E:E,Sum_WH!F:F,"",0)</f>
        <v>Pcs</v>
      </c>
      <c r="N556" s="221">
        <v>6</v>
      </c>
      <c r="O556" s="221" t="s">
        <v>1923</v>
      </c>
      <c r="P556" s="221" t="s">
        <v>1924</v>
      </c>
      <c r="Q556" s="221"/>
      <c r="R556" s="221"/>
      <c r="S556" s="221"/>
      <c r="T556" s="221" t="s">
        <v>3258</v>
      </c>
      <c r="U556" s="221">
        <v>0</v>
      </c>
      <c r="V556" s="221" t="s">
        <v>3337</v>
      </c>
      <c r="W556" s="221" t="s">
        <v>3338</v>
      </c>
      <c r="X556" s="221"/>
      <c r="Y556" s="227"/>
      <c r="Z556" s="227" t="str">
        <f t="shared" si="27"/>
        <v>Pakisaji RW 01 Malang</v>
      </c>
      <c r="AA556" s="276" t="e">
        <f>VLOOKUP(Logfile_S12[[#This Row],[DO number]],DO_DB!G:I,3,0)</f>
        <v>#N/A</v>
      </c>
      <c r="AB556" s="331" t="e">
        <f>EXACT(Logfile_S12[[#This Row],[date pick]],Logfile_S12[[#This Row],[Date]])</f>
        <v>#N/A</v>
      </c>
      <c r="AC5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57" spans="1:29" ht="14.5" hidden="1">
      <c r="A557" s="220" t="str">
        <f t="shared" si="26"/>
        <v>553</v>
      </c>
      <c r="B557" s="221"/>
      <c r="C557" s="221" t="s">
        <v>49</v>
      </c>
      <c r="D557" s="221" t="s">
        <v>4271</v>
      </c>
      <c r="E557" s="221" t="s">
        <v>3295</v>
      </c>
      <c r="F557" s="221" t="s">
        <v>3299</v>
      </c>
      <c r="G557" s="222">
        <v>45602</v>
      </c>
      <c r="H557" s="223">
        <v>0.35069444444444442</v>
      </c>
      <c r="I557" s="221" t="s">
        <v>4916</v>
      </c>
      <c r="J557" s="221" t="s">
        <v>3024</v>
      </c>
      <c r="K557" s="224" t="s">
        <v>3091</v>
      </c>
      <c r="L557" s="225" t="str">
        <f>VLOOKUP(Logfile_S12[[#This Row],[Material Name]],Sheet2!B:C,2,0)</f>
        <v>GCI1005</v>
      </c>
      <c r="M557" s="225" t="str">
        <f>_xlfn.XLOOKUP(Logfile_S12[[#This Row],[Material Name]],Sum_WH!E:E,Sum_WH!F:F,"",0)</f>
        <v>Pcs</v>
      </c>
      <c r="N557" s="221">
        <v>28</v>
      </c>
      <c r="O557" s="221" t="s">
        <v>1395</v>
      </c>
      <c r="P557" s="221" t="s">
        <v>1396</v>
      </c>
      <c r="Q557" s="221"/>
      <c r="R557" s="221"/>
      <c r="S557" s="221"/>
      <c r="T557" s="221" t="s">
        <v>3258</v>
      </c>
      <c r="U557" s="221">
        <v>0</v>
      </c>
      <c r="V557" s="221" t="s">
        <v>3337</v>
      </c>
      <c r="W557" s="221" t="s">
        <v>3338</v>
      </c>
      <c r="X557" s="221"/>
      <c r="Y557" s="227"/>
      <c r="Z557" s="227" t="str">
        <f t="shared" si="27"/>
        <v>Candirenggo RW 10 Singosari</v>
      </c>
      <c r="AA557" s="276" t="e">
        <f>VLOOKUP(Logfile_S12[[#This Row],[DO number]],DO_DB!G:I,3,0)</f>
        <v>#N/A</v>
      </c>
      <c r="AB557" s="331" t="e">
        <f>EXACT(Logfile_S12[[#This Row],[date pick]],Logfile_S12[[#This Row],[Date]])</f>
        <v>#N/A</v>
      </c>
      <c r="AC5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58" spans="1:29" ht="14.5" hidden="1">
      <c r="A558" s="220" t="str">
        <f t="shared" si="26"/>
        <v>554</v>
      </c>
      <c r="B558" s="221"/>
      <c r="C558" s="221" t="s">
        <v>49</v>
      </c>
      <c r="D558" s="221" t="s">
        <v>4289</v>
      </c>
      <c r="E558" s="221" t="s">
        <v>3295</v>
      </c>
      <c r="F558" s="221" t="s">
        <v>3299</v>
      </c>
      <c r="G558" s="222">
        <v>45622</v>
      </c>
      <c r="H558" s="223">
        <v>0.39583333333333331</v>
      </c>
      <c r="I558" s="221" t="s">
        <v>4916</v>
      </c>
      <c r="J558" s="221" t="s">
        <v>3024</v>
      </c>
      <c r="K558" s="224" t="s">
        <v>3091</v>
      </c>
      <c r="L558" s="225" t="str">
        <f>VLOOKUP(Logfile_S12[[#This Row],[Material Name]],Sheet2!B:C,2,0)</f>
        <v>GCI1005</v>
      </c>
      <c r="M558" s="225" t="str">
        <f>_xlfn.XLOOKUP(Logfile_S12[[#This Row],[Material Name]],Sum_WH!E:E,Sum_WH!F:F,"",0)</f>
        <v>Pcs</v>
      </c>
      <c r="N558" s="221">
        <v>50</v>
      </c>
      <c r="O558" s="221" t="s">
        <v>2502</v>
      </c>
      <c r="P558" s="221" t="s">
        <v>2503</v>
      </c>
      <c r="Q558" s="221"/>
      <c r="R558" s="221"/>
      <c r="S558" s="221"/>
      <c r="T558" s="221" t="s">
        <v>3258</v>
      </c>
      <c r="U558" s="221">
        <v>0</v>
      </c>
      <c r="V558" s="221" t="s">
        <v>3337</v>
      </c>
      <c r="W558" s="221" t="s">
        <v>3338</v>
      </c>
      <c r="X558" s="221"/>
      <c r="Y558" s="227"/>
      <c r="Z558" s="227" t="str">
        <f t="shared" si="27"/>
        <v>Bedali RW 03 Kromengan</v>
      </c>
      <c r="AA558" s="276" t="e">
        <f>VLOOKUP(Logfile_S12[[#This Row],[DO number]],DO_DB!G:I,3,0)</f>
        <v>#N/A</v>
      </c>
      <c r="AB558" s="331" t="e">
        <f>EXACT(Logfile_S12[[#This Row],[date pick]],Logfile_S12[[#This Row],[Date]])</f>
        <v>#N/A</v>
      </c>
      <c r="AC5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59" spans="1:29" ht="14.5" hidden="1">
      <c r="A559" s="220" t="str">
        <f t="shared" si="26"/>
        <v>555</v>
      </c>
      <c r="B559" s="221"/>
      <c r="C559" s="221" t="s">
        <v>48</v>
      </c>
      <c r="D559" s="221" t="s">
        <v>4295</v>
      </c>
      <c r="E559" s="221" t="s">
        <v>3295</v>
      </c>
      <c r="F559" s="221" t="s">
        <v>3299</v>
      </c>
      <c r="G559" s="222">
        <v>45626</v>
      </c>
      <c r="H559" s="223">
        <v>15.291666666666666</v>
      </c>
      <c r="I559" s="221" t="s">
        <v>38</v>
      </c>
      <c r="J559" s="221" t="s">
        <v>3024</v>
      </c>
      <c r="K559" s="224" t="s">
        <v>3091</v>
      </c>
      <c r="L559" s="225" t="str">
        <f>VLOOKUP(Logfile_S12[[#This Row],[Material Name]],Sheet2!B:C,2,0)</f>
        <v>GCI1005</v>
      </c>
      <c r="M559" s="225" t="str">
        <f>_xlfn.XLOOKUP(Logfile_S12[[#This Row],[Material Name]],Sum_WH!E:E,Sum_WH!F:F,"",0)</f>
        <v>Pcs</v>
      </c>
      <c r="N559" s="221">
        <v>96</v>
      </c>
      <c r="O559" s="221">
        <v>0</v>
      </c>
      <c r="P559" s="221">
        <v>0</v>
      </c>
      <c r="Q559" s="221">
        <v>0</v>
      </c>
      <c r="R559" s="221">
        <v>0</v>
      </c>
      <c r="S559" s="221"/>
      <c r="T559" s="221"/>
      <c r="U559" s="221"/>
      <c r="V559" s="221"/>
      <c r="W559" s="221"/>
      <c r="X559" s="221"/>
      <c r="Y559" s="227"/>
      <c r="Z559" s="227">
        <f t="shared" si="27"/>
        <v>0</v>
      </c>
      <c r="AA559" s="276" t="e">
        <f>VLOOKUP(Logfile_S12[[#This Row],[DO number]],DO_DB!G:I,3,0)</f>
        <v>#N/A</v>
      </c>
      <c r="AB559" s="331" t="e">
        <f>EXACT(Logfile_S12[[#This Row],[date pick]],Logfile_S12[[#This Row],[Date]])</f>
        <v>#N/A</v>
      </c>
      <c r="AC5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60" spans="1:29" ht="14.5" hidden="1">
      <c r="A560" s="220" t="str">
        <f t="shared" si="26"/>
        <v>556</v>
      </c>
      <c r="B560" s="221"/>
      <c r="C560" s="221" t="s">
        <v>49</v>
      </c>
      <c r="D560" s="221" t="s">
        <v>4297</v>
      </c>
      <c r="E560" s="221" t="s">
        <v>3295</v>
      </c>
      <c r="F560" s="221" t="s">
        <v>3299</v>
      </c>
      <c r="G560" s="222">
        <v>45627</v>
      </c>
      <c r="H560" s="223">
        <v>0.39583333333333331</v>
      </c>
      <c r="I560" s="221" t="s">
        <v>4916</v>
      </c>
      <c r="J560" s="221" t="s">
        <v>3024</v>
      </c>
      <c r="K560" s="224" t="s">
        <v>3091</v>
      </c>
      <c r="L560" s="225" t="str">
        <f>VLOOKUP(Logfile_S12[[#This Row],[Material Name]],Sheet2!B:C,2,0)</f>
        <v>GCI1005</v>
      </c>
      <c r="M560" s="225" t="str">
        <f>_xlfn.XLOOKUP(Logfile_S12[[#This Row],[Material Name]],Sum_WH!E:E,Sum_WH!F:F,"",0)</f>
        <v>Pcs</v>
      </c>
      <c r="N560" s="221">
        <v>40</v>
      </c>
      <c r="O560" s="221" t="s">
        <v>2502</v>
      </c>
      <c r="P560" s="221" t="s">
        <v>2503</v>
      </c>
      <c r="Q560" s="221"/>
      <c r="R560" s="221"/>
      <c r="S560" s="221"/>
      <c r="T560" s="221" t="s">
        <v>3258</v>
      </c>
      <c r="U560" s="221">
        <v>0</v>
      </c>
      <c r="V560" s="221" t="s">
        <v>3337</v>
      </c>
      <c r="W560" s="221" t="s">
        <v>3338</v>
      </c>
      <c r="X560" s="221"/>
      <c r="Y560" s="227"/>
      <c r="Z560" s="227" t="str">
        <f t="shared" si="27"/>
        <v>Bedali RW 03 Kromengan</v>
      </c>
      <c r="AA560" s="276" t="e">
        <f>VLOOKUP(Logfile_S12[[#This Row],[DO number]],DO_DB!G:I,3,0)</f>
        <v>#N/A</v>
      </c>
      <c r="AB560" s="331" t="e">
        <f>EXACT(Logfile_S12[[#This Row],[date pick]],Logfile_S12[[#This Row],[Date]])</f>
        <v>#N/A</v>
      </c>
      <c r="AC5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61" spans="1:29" ht="14.5" hidden="1">
      <c r="A561" s="220" t="str">
        <f t="shared" si="26"/>
        <v>557</v>
      </c>
      <c r="B561" s="221"/>
      <c r="C561" s="221" t="s">
        <v>49</v>
      </c>
      <c r="D561" s="221" t="s">
        <v>4304</v>
      </c>
      <c r="E561" s="221" t="s">
        <v>3295</v>
      </c>
      <c r="F561" s="221" t="s">
        <v>3299</v>
      </c>
      <c r="G561" s="222">
        <v>45642</v>
      </c>
      <c r="H561" s="223">
        <v>0.71666666666666667</v>
      </c>
      <c r="I561" s="221" t="s">
        <v>4916</v>
      </c>
      <c r="J561" s="221" t="s">
        <v>3024</v>
      </c>
      <c r="K561" s="224" t="s">
        <v>3091</v>
      </c>
      <c r="L561" s="225" t="str">
        <f>VLOOKUP(Logfile_S12[[#This Row],[Material Name]],Sheet2!B:C,2,0)</f>
        <v>GCI1005</v>
      </c>
      <c r="M561" s="225" t="str">
        <f>_xlfn.XLOOKUP(Logfile_S12[[#This Row],[Material Name]],Sum_WH!E:E,Sum_WH!F:F,"",0)</f>
        <v>Pcs</v>
      </c>
      <c r="N561" s="221">
        <v>42</v>
      </c>
      <c r="O561" s="221" t="s">
        <v>2549</v>
      </c>
      <c r="P561" s="221" t="s">
        <v>2550</v>
      </c>
      <c r="Q561" s="221"/>
      <c r="R561" s="221"/>
      <c r="S561" s="221"/>
      <c r="T561" s="221" t="s">
        <v>3258</v>
      </c>
      <c r="U561" s="221">
        <v>0</v>
      </c>
      <c r="V561" s="221" t="s">
        <v>3337</v>
      </c>
      <c r="W561" s="221" t="s">
        <v>3338</v>
      </c>
      <c r="X561" s="221"/>
      <c r="Y561" s="227"/>
      <c r="Z561" s="227" t="str">
        <f t="shared" si="27"/>
        <v>PERMANU RW 01 MALANG</v>
      </c>
      <c r="AA561" s="276" t="e">
        <f>VLOOKUP(Logfile_S12[[#This Row],[DO number]],DO_DB!G:I,3,0)</f>
        <v>#N/A</v>
      </c>
      <c r="AB561" s="331" t="e">
        <f>EXACT(Logfile_S12[[#This Row],[date pick]],Logfile_S12[[#This Row],[Date]])</f>
        <v>#N/A</v>
      </c>
      <c r="AC5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62" spans="1:29" ht="14.5" hidden="1">
      <c r="A562" s="220" t="str">
        <f t="shared" si="26"/>
        <v>558</v>
      </c>
      <c r="B562" s="221"/>
      <c r="C562" s="221" t="s">
        <v>48</v>
      </c>
      <c r="D562" s="221" t="s">
        <v>4318</v>
      </c>
      <c r="E562" s="221" t="s">
        <v>3295</v>
      </c>
      <c r="F562" s="221" t="s">
        <v>3299</v>
      </c>
      <c r="G562" s="222">
        <v>45656</v>
      </c>
      <c r="H562" s="223">
        <v>15.291666666666666</v>
      </c>
      <c r="I562" s="221" t="s">
        <v>38</v>
      </c>
      <c r="J562" s="221" t="s">
        <v>3024</v>
      </c>
      <c r="K562" s="224" t="s">
        <v>3091</v>
      </c>
      <c r="L562" s="225" t="str">
        <f>VLOOKUP(Logfile_S12[[#This Row],[Material Name]],Sheet2!B:C,2,0)</f>
        <v>GCI1005</v>
      </c>
      <c r="M562" s="225" t="str">
        <f>_xlfn.XLOOKUP(Logfile_S12[[#This Row],[Material Name]],Sum_WH!E:E,Sum_WH!F:F,"",0)</f>
        <v>Pcs</v>
      </c>
      <c r="N562" s="221">
        <v>69</v>
      </c>
      <c r="O562" s="221">
        <v>0</v>
      </c>
      <c r="P562" s="221">
        <v>0</v>
      </c>
      <c r="Q562" s="221">
        <v>0</v>
      </c>
      <c r="R562" s="221">
        <v>0</v>
      </c>
      <c r="S562" s="221"/>
      <c r="T562" s="221"/>
      <c r="U562" s="221"/>
      <c r="V562" s="221"/>
      <c r="W562" s="221"/>
      <c r="X562" s="221"/>
      <c r="Y562" s="227"/>
      <c r="Z562" s="227">
        <f t="shared" si="27"/>
        <v>0</v>
      </c>
      <c r="AA562" s="276" t="e">
        <f>VLOOKUP(Logfile_S12[[#This Row],[DO number]],DO_DB!G:I,3,0)</f>
        <v>#N/A</v>
      </c>
      <c r="AB562" s="331" t="e">
        <f>EXACT(Logfile_S12[[#This Row],[date pick]],Logfile_S12[[#This Row],[Date]])</f>
        <v>#N/A</v>
      </c>
      <c r="AC5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63" spans="1:29" ht="14.5" hidden="1">
      <c r="A563" s="220" t="str">
        <f t="shared" si="26"/>
        <v>559</v>
      </c>
      <c r="B563" s="221"/>
      <c r="C563" s="221" t="s">
        <v>49</v>
      </c>
      <c r="D563" s="221" t="s">
        <v>4316</v>
      </c>
      <c r="E563" s="221" t="s">
        <v>3295</v>
      </c>
      <c r="F563" s="221" t="s">
        <v>3299</v>
      </c>
      <c r="G563" s="222">
        <v>45656</v>
      </c>
      <c r="H563" s="223">
        <v>0.40625</v>
      </c>
      <c r="I563" s="221" t="s">
        <v>4916</v>
      </c>
      <c r="J563" s="221" t="s">
        <v>3024</v>
      </c>
      <c r="K563" s="224" t="s">
        <v>3237</v>
      </c>
      <c r="L563" s="225" t="str">
        <f>VLOOKUP(Logfile_S12[[#This Row],[Material Name]],Sheet2!B:C,2,0)</f>
        <v>GCI1005</v>
      </c>
      <c r="M563" s="225" t="str">
        <f>_xlfn.XLOOKUP(Logfile_S12[[#This Row],[Material Name]],Sum_WH!E:E,Sum_WH!F:F,"",0)</f>
        <v>Pcs</v>
      </c>
      <c r="N563" s="221">
        <v>69</v>
      </c>
      <c r="O563" s="221" t="s">
        <v>3377</v>
      </c>
      <c r="P563" s="221" t="s">
        <v>3378</v>
      </c>
      <c r="Q563" s="221"/>
      <c r="R563" s="221"/>
      <c r="S563" s="221"/>
      <c r="T563" s="221" t="s">
        <v>3258</v>
      </c>
      <c r="U563" s="221">
        <v>0</v>
      </c>
      <c r="V563" s="221" t="s">
        <v>3337</v>
      </c>
      <c r="W563" s="221" t="s">
        <v>3338</v>
      </c>
      <c r="X563" s="221"/>
      <c r="Y563" s="227"/>
      <c r="Z563" s="227" t="str">
        <f t="shared" si="27"/>
        <v>Perum Chandra Kirana Watugede</v>
      </c>
      <c r="AA563" s="276" t="e">
        <f>VLOOKUP(Logfile_S12[[#This Row],[DO number]],DO_DB!G:I,3,0)</f>
        <v>#N/A</v>
      </c>
      <c r="AB563" s="331" t="e">
        <f>EXACT(Logfile_S12[[#This Row],[date pick]],Logfile_S12[[#This Row],[Date]])</f>
        <v>#N/A</v>
      </c>
      <c r="AC5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64" spans="1:29" ht="14.5" hidden="1">
      <c r="A564" s="220" t="str">
        <f t="shared" si="26"/>
        <v>560</v>
      </c>
      <c r="B564" s="221"/>
      <c r="C564" s="221" t="s">
        <v>49</v>
      </c>
      <c r="D564" s="221" t="s">
        <v>4321</v>
      </c>
      <c r="E564" s="221" t="s">
        <v>3295</v>
      </c>
      <c r="F564" s="221" t="s">
        <v>3299</v>
      </c>
      <c r="G564" s="222">
        <v>45670</v>
      </c>
      <c r="H564" s="223">
        <v>0.54166666666666663</v>
      </c>
      <c r="I564" s="221" t="s">
        <v>4916</v>
      </c>
      <c r="J564" s="221" t="s">
        <v>3024</v>
      </c>
      <c r="K564" s="224" t="s">
        <v>3091</v>
      </c>
      <c r="L564" s="225" t="str">
        <f>VLOOKUP(Logfile_S12[[#This Row],[Material Name]],Sheet2!B:C,2,0)</f>
        <v>GCI1005</v>
      </c>
      <c r="M564" s="225" t="str">
        <f>_xlfn.XLOOKUP(Logfile_S12[[#This Row],[Material Name]],Sum_WH!E:E,Sum_WH!F:F,"",0)</f>
        <v>Pcs</v>
      </c>
      <c r="N564" s="221">
        <v>20</v>
      </c>
      <c r="O564" s="221" t="s">
        <v>2360</v>
      </c>
      <c r="P564" s="221" t="s">
        <v>2361</v>
      </c>
      <c r="Q564" s="221"/>
      <c r="R564" s="221"/>
      <c r="S564" s="221"/>
      <c r="T564" s="221" t="s">
        <v>3258</v>
      </c>
      <c r="U564" s="221">
        <v>0</v>
      </c>
      <c r="V564" s="221" t="s">
        <v>3337</v>
      </c>
      <c r="W564" s="221" t="s">
        <v>3338</v>
      </c>
      <c r="X564" s="221"/>
      <c r="Y564" s="227"/>
      <c r="Z564" s="227" t="str">
        <f t="shared" si="27"/>
        <v>Tambakasri RW 02 Tajinan</v>
      </c>
      <c r="AA564" s="276" t="e">
        <f>VLOOKUP(Logfile_S12[[#This Row],[DO number]],DO_DB!G:I,3,0)</f>
        <v>#N/A</v>
      </c>
      <c r="AB564" s="331" t="e">
        <f>EXACT(Logfile_S12[[#This Row],[date pick]],Logfile_S12[[#This Row],[Date]])</f>
        <v>#N/A</v>
      </c>
      <c r="AC5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65" spans="1:29" ht="14.5" hidden="1">
      <c r="A565" s="220" t="str">
        <f t="shared" si="26"/>
        <v>561</v>
      </c>
      <c r="B565" s="221"/>
      <c r="C565" s="221" t="s">
        <v>49</v>
      </c>
      <c r="D565" s="221" t="s">
        <v>4325</v>
      </c>
      <c r="E565" s="221" t="s">
        <v>3295</v>
      </c>
      <c r="F565" s="221" t="s">
        <v>3299</v>
      </c>
      <c r="G565" s="222">
        <v>45678</v>
      </c>
      <c r="H565" s="223">
        <v>0.56944444444444442</v>
      </c>
      <c r="I565" s="221" t="s">
        <v>4916</v>
      </c>
      <c r="J565" s="221" t="s">
        <v>3024</v>
      </c>
      <c r="K565" s="224" t="s">
        <v>3091</v>
      </c>
      <c r="L565" s="225" t="str">
        <f>VLOOKUP(Logfile_S12[[#This Row],[Material Name]],Sheet2!B:C,2,0)</f>
        <v>GCI1005</v>
      </c>
      <c r="M565" s="225" t="str">
        <f>_xlfn.XLOOKUP(Logfile_S12[[#This Row],[Material Name]],Sum_WH!E:E,Sum_WH!F:F,"",0)</f>
        <v>Pcs</v>
      </c>
      <c r="N565" s="221">
        <v>40</v>
      </c>
      <c r="O565" s="221" t="s">
        <v>3379</v>
      </c>
      <c r="P565" s="221" t="s">
        <v>3380</v>
      </c>
      <c r="Q565" s="221"/>
      <c r="R565" s="221"/>
      <c r="S565" s="221"/>
      <c r="T565" s="221" t="s">
        <v>3258</v>
      </c>
      <c r="U565" s="221">
        <v>0</v>
      </c>
      <c r="V565" s="221" t="s">
        <v>3337</v>
      </c>
      <c r="W565" s="221" t="s">
        <v>3338</v>
      </c>
      <c r="X565" s="221"/>
      <c r="Y565" s="227"/>
      <c r="Z565" s="227" t="str">
        <f t="shared" si="27"/>
        <v>Citra Kayane Residence</v>
      </c>
      <c r="AA565" s="276" t="e">
        <f>VLOOKUP(Logfile_S12[[#This Row],[DO number]],DO_DB!G:I,3,0)</f>
        <v>#N/A</v>
      </c>
      <c r="AB565" s="331" t="e">
        <f>EXACT(Logfile_S12[[#This Row],[date pick]],Logfile_S12[[#This Row],[Date]])</f>
        <v>#N/A</v>
      </c>
      <c r="AC5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66" spans="1:29" ht="14.5" hidden="1">
      <c r="A566" s="220" t="str">
        <f t="shared" si="26"/>
        <v>562</v>
      </c>
      <c r="B566" s="221"/>
      <c r="C566" s="221" t="s">
        <v>49</v>
      </c>
      <c r="D566" s="221" t="s">
        <v>4332</v>
      </c>
      <c r="E566" s="221" t="s">
        <v>3295</v>
      </c>
      <c r="F566" s="221" t="s">
        <v>3299</v>
      </c>
      <c r="G566" s="222">
        <v>45707</v>
      </c>
      <c r="H566" s="223">
        <v>0.39930555555555558</v>
      </c>
      <c r="I566" s="221" t="s">
        <v>4916</v>
      </c>
      <c r="J566" s="221" t="s">
        <v>3024</v>
      </c>
      <c r="K566" s="224" t="s">
        <v>3091</v>
      </c>
      <c r="L566" s="225" t="str">
        <f>VLOOKUP(Logfile_S12[[#This Row],[Material Name]],Sheet2!B:C,2,0)</f>
        <v>GCI1005</v>
      </c>
      <c r="M566" s="225" t="str">
        <f>_xlfn.XLOOKUP(Logfile_S12[[#This Row],[Material Name]],Sum_WH!E:E,Sum_WH!F:F,"",0)</f>
        <v>Pcs</v>
      </c>
      <c r="N566" s="221">
        <v>50</v>
      </c>
      <c r="O566" s="221" t="s">
        <v>2648</v>
      </c>
      <c r="P566" s="221" t="s">
        <v>2649</v>
      </c>
      <c r="Q566" s="221"/>
      <c r="R566" s="221"/>
      <c r="S566" s="221"/>
      <c r="T566" s="221" t="s">
        <v>3258</v>
      </c>
      <c r="U566" s="221">
        <v>0</v>
      </c>
      <c r="V566" s="221" t="s">
        <v>3337</v>
      </c>
      <c r="W566" s="221" t="s">
        <v>3338</v>
      </c>
      <c r="X566" s="221"/>
      <c r="Y566" s="227"/>
      <c r="Z566" s="227" t="str">
        <f t="shared" si="27"/>
        <v>Sitirejo RW 04 Wagir</v>
      </c>
      <c r="AA566" s="276" t="e">
        <f>VLOOKUP(Logfile_S12[[#This Row],[DO number]],DO_DB!G:I,3,0)</f>
        <v>#N/A</v>
      </c>
      <c r="AB566" s="331" t="e">
        <f>EXACT(Logfile_S12[[#This Row],[date pick]],Logfile_S12[[#This Row],[Date]])</f>
        <v>#N/A</v>
      </c>
      <c r="AC5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67" spans="1:29" ht="14.5" hidden="1">
      <c r="A567" s="220" t="str">
        <f t="shared" si="26"/>
        <v>563</v>
      </c>
      <c r="B567" s="221"/>
      <c r="C567" s="221" t="s">
        <v>49</v>
      </c>
      <c r="D567" s="221" t="s">
        <v>4361</v>
      </c>
      <c r="E567" s="221" t="s">
        <v>3295</v>
      </c>
      <c r="F567" s="221" t="s">
        <v>3299</v>
      </c>
      <c r="G567" s="222">
        <v>45742</v>
      </c>
      <c r="H567" s="223">
        <v>0.83125000000000004</v>
      </c>
      <c r="I567" s="221" t="s">
        <v>4916</v>
      </c>
      <c r="J567" s="221" t="s">
        <v>3024</v>
      </c>
      <c r="K567" s="224" t="s">
        <v>3091</v>
      </c>
      <c r="L567" s="225" t="str">
        <f>VLOOKUP(Logfile_S12[[#This Row],[Material Name]],Sheet2!B:C,2,0)</f>
        <v>GCI1005</v>
      </c>
      <c r="M567" s="225" t="str">
        <f>_xlfn.XLOOKUP(Logfile_S12[[#This Row],[Material Name]],Sum_WH!E:E,Sum_WH!F:F,"",0)</f>
        <v>Pcs</v>
      </c>
      <c r="N567" s="221">
        <v>60</v>
      </c>
      <c r="O567" s="221" t="s">
        <v>2664</v>
      </c>
      <c r="P567" s="221" t="s">
        <v>2665</v>
      </c>
      <c r="Q567" s="221"/>
      <c r="R567" s="221"/>
      <c r="S567" s="221"/>
      <c r="T567" s="221" t="s">
        <v>3258</v>
      </c>
      <c r="U567" s="221">
        <v>0</v>
      </c>
      <c r="V567" s="221" t="s">
        <v>3337</v>
      </c>
      <c r="W567" s="221" t="s">
        <v>3338</v>
      </c>
      <c r="X567" s="221"/>
      <c r="Y567" s="227"/>
      <c r="Z567" s="227" t="str">
        <f t="shared" si="27"/>
        <v>Temas RW 04</v>
      </c>
      <c r="AA567" s="276" t="e">
        <f>VLOOKUP(Logfile_S12[[#This Row],[DO number]],DO_DB!G:I,3,0)</f>
        <v>#N/A</v>
      </c>
      <c r="AB567" s="331" t="e">
        <f>EXACT(Logfile_S12[[#This Row],[date pick]],Logfile_S12[[#This Row],[Date]])</f>
        <v>#N/A</v>
      </c>
      <c r="AC5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68" spans="1:29" ht="14.5" hidden="1">
      <c r="A568" s="220" t="str">
        <f t="shared" si="26"/>
        <v>564</v>
      </c>
      <c r="B568" s="221"/>
      <c r="C568" s="221" t="s">
        <v>49</v>
      </c>
      <c r="D568" s="221" t="s">
        <v>4365</v>
      </c>
      <c r="E568" s="221" t="s">
        <v>3295</v>
      </c>
      <c r="F568" s="221" t="s">
        <v>3299</v>
      </c>
      <c r="G568" s="222">
        <v>45802</v>
      </c>
      <c r="H568" s="223">
        <v>0.5395833333333333</v>
      </c>
      <c r="I568" s="221" t="s">
        <v>4916</v>
      </c>
      <c r="J568" s="221" t="s">
        <v>3024</v>
      </c>
      <c r="K568" s="224" t="s">
        <v>3091</v>
      </c>
      <c r="L568" s="225" t="str">
        <f>VLOOKUP(Logfile_S12[[#This Row],[Material Name]],Sheet2!B:C,2,0)</f>
        <v>GCI1005</v>
      </c>
      <c r="M568" s="225" t="str">
        <f>_xlfn.XLOOKUP(Logfile_S12[[#This Row],[Material Name]],Sum_WH!E:E,Sum_WH!F:F,"",0)</f>
        <v>Pcs</v>
      </c>
      <c r="N568" s="221">
        <v>30</v>
      </c>
      <c r="O568" s="221" t="s">
        <v>2821</v>
      </c>
      <c r="P568" s="221" t="s">
        <v>2822</v>
      </c>
      <c r="Q568" s="221"/>
      <c r="R568" s="221"/>
      <c r="S568" s="221"/>
      <c r="T568" s="221" t="s">
        <v>3258</v>
      </c>
      <c r="U568" s="221">
        <v>0</v>
      </c>
      <c r="V568" s="221" t="s">
        <v>3337</v>
      </c>
      <c r="W568" s="221" t="s">
        <v>3338</v>
      </c>
      <c r="X568" s="221"/>
      <c r="Y568" s="227"/>
      <c r="Z568" s="227" t="str">
        <f t="shared" si="27"/>
        <v>KEBONAGUNG RW 01 MALANG</v>
      </c>
      <c r="AA568" s="276" t="e">
        <f>VLOOKUP(Logfile_S12[[#This Row],[DO number]],DO_DB!G:I,3,0)</f>
        <v>#N/A</v>
      </c>
      <c r="AB568" s="331" t="e">
        <f>EXACT(Logfile_S12[[#This Row],[date pick]],Logfile_S12[[#This Row],[Date]])</f>
        <v>#N/A</v>
      </c>
      <c r="AC5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69" spans="1:29" ht="14.5" hidden="1">
      <c r="A569" s="220" t="str">
        <f t="shared" si="26"/>
        <v>565</v>
      </c>
      <c r="B569" s="221"/>
      <c r="C569" s="221" t="s">
        <v>48</v>
      </c>
      <c r="D569" s="221" t="s">
        <v>4380</v>
      </c>
      <c r="E569" s="221" t="s">
        <v>3295</v>
      </c>
      <c r="F569" s="221" t="s">
        <v>3299</v>
      </c>
      <c r="G569" s="222">
        <v>45831</v>
      </c>
      <c r="H569" s="223">
        <v>15.291666666666666</v>
      </c>
      <c r="I569" s="221" t="s">
        <v>38</v>
      </c>
      <c r="J569" s="221" t="s">
        <v>3024</v>
      </c>
      <c r="K569" s="224" t="s">
        <v>3091</v>
      </c>
      <c r="L569" s="225" t="str">
        <f>VLOOKUP(Logfile_S12[[#This Row],[Material Name]],Sheet2!B:C,2,0)</f>
        <v>GCI1005</v>
      </c>
      <c r="M569" s="225" t="str">
        <f>_xlfn.XLOOKUP(Logfile_S12[[#This Row],[Material Name]],Sum_WH!E:E,Sum_WH!F:F,"",0)</f>
        <v>Pcs</v>
      </c>
      <c r="N569" s="221">
        <v>381</v>
      </c>
      <c r="O569" s="221">
        <v>0</v>
      </c>
      <c r="P569" s="221">
        <v>0</v>
      </c>
      <c r="Q569" s="221">
        <v>0</v>
      </c>
      <c r="R569" s="221">
        <v>0</v>
      </c>
      <c r="S569" s="221"/>
      <c r="T569" s="221"/>
      <c r="U569" s="221"/>
      <c r="V569" s="221"/>
      <c r="W569" s="221"/>
      <c r="X569" s="221"/>
      <c r="Y569" s="227"/>
      <c r="Z569" s="227">
        <f t="shared" si="27"/>
        <v>0</v>
      </c>
      <c r="AA569" s="276" t="e">
        <f>VLOOKUP(Logfile_S12[[#This Row],[DO number]],DO_DB!G:I,3,0)</f>
        <v>#N/A</v>
      </c>
      <c r="AB569" s="331" t="e">
        <f>EXACT(Logfile_S12[[#This Row],[date pick]],Logfile_S12[[#This Row],[Date]])</f>
        <v>#N/A</v>
      </c>
      <c r="AC5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70" spans="1:29" ht="14.5" hidden="1">
      <c r="A570" s="220" t="str">
        <f t="shared" si="26"/>
        <v>566</v>
      </c>
      <c r="B570" s="221"/>
      <c r="C570" s="221" t="s">
        <v>49</v>
      </c>
      <c r="D570" s="221" t="s">
        <v>4379</v>
      </c>
      <c r="E570" s="221" t="s">
        <v>3295</v>
      </c>
      <c r="F570" s="221" t="s">
        <v>3299</v>
      </c>
      <c r="G570" s="222">
        <v>45831</v>
      </c>
      <c r="H570" s="223">
        <v>0.64583333333333337</v>
      </c>
      <c r="I570" s="221" t="s">
        <v>4916</v>
      </c>
      <c r="J570" s="221" t="s">
        <v>3024</v>
      </c>
      <c r="K570" s="224" t="s">
        <v>3091</v>
      </c>
      <c r="L570" s="225" t="str">
        <f>VLOOKUP(Logfile_S12[[#This Row],[Material Name]],Sheet2!B:C,2,0)</f>
        <v>GCI1005</v>
      </c>
      <c r="M570" s="225" t="str">
        <f>_xlfn.XLOOKUP(Logfile_S12[[#This Row],[Material Name]],Sum_WH!E:E,Sum_WH!F:F,"",0)</f>
        <v>Pcs</v>
      </c>
      <c r="N570" s="221">
        <v>381</v>
      </c>
      <c r="O570" s="221">
        <v>0</v>
      </c>
      <c r="P570" s="221" t="s">
        <v>3382</v>
      </c>
      <c r="Q570" s="221"/>
      <c r="R570" s="221"/>
      <c r="S570" s="221"/>
      <c r="T570" s="221" t="s">
        <v>3231</v>
      </c>
      <c r="U570" s="221">
        <v>0</v>
      </c>
      <c r="V570" s="221" t="s">
        <v>3375</v>
      </c>
      <c r="W570" s="221" t="s">
        <v>3249</v>
      </c>
      <c r="X570" s="221"/>
      <c r="Y570" s="227"/>
      <c r="Z570" s="227" t="str">
        <f t="shared" si="27"/>
        <v>Pncokusumo</v>
      </c>
      <c r="AA570" s="276" t="e">
        <f>VLOOKUP(Logfile_S12[[#This Row],[DO number]],DO_DB!G:I,3,0)</f>
        <v>#N/A</v>
      </c>
      <c r="AB570" s="331" t="e">
        <f>EXACT(Logfile_S12[[#This Row],[date pick]],Logfile_S12[[#This Row],[Date]])</f>
        <v>#N/A</v>
      </c>
      <c r="AC5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71" spans="1:29" ht="14.5" hidden="1">
      <c r="A571" s="220" t="str">
        <f t="shared" si="26"/>
        <v>567</v>
      </c>
      <c r="B571" s="221"/>
      <c r="C571" s="221" t="s">
        <v>49</v>
      </c>
      <c r="D571" s="221" t="s">
        <v>4397</v>
      </c>
      <c r="E571" s="221" t="s">
        <v>3295</v>
      </c>
      <c r="F571" s="221" t="s">
        <v>3299</v>
      </c>
      <c r="G571" s="222">
        <v>45861</v>
      </c>
      <c r="H571" s="223">
        <v>0.46805555555555556</v>
      </c>
      <c r="I571" s="221" t="s">
        <v>4916</v>
      </c>
      <c r="J571" s="221" t="s">
        <v>3024</v>
      </c>
      <c r="K571" s="224" t="s">
        <v>3091</v>
      </c>
      <c r="L571" s="225" t="str">
        <f>VLOOKUP(Logfile_S12[[#This Row],[Material Name]],Sheet2!B:C,2,0)</f>
        <v>GCI1005</v>
      </c>
      <c r="M571" s="225" t="str">
        <f>_xlfn.XLOOKUP(Logfile_S12[[#This Row],[Material Name]],Sum_WH!E:E,Sum_WH!F:F,"",0)</f>
        <v>Pcs</v>
      </c>
      <c r="N571" s="221">
        <v>300</v>
      </c>
      <c r="O571" s="221">
        <v>0</v>
      </c>
      <c r="P571" s="221" t="s">
        <v>3383</v>
      </c>
      <c r="Q571" s="221"/>
      <c r="R571" s="221"/>
      <c r="S571" s="221"/>
      <c r="T571" s="221" t="s">
        <v>3258</v>
      </c>
      <c r="U571" s="221">
        <v>0</v>
      </c>
      <c r="V571" s="221" t="s">
        <v>3375</v>
      </c>
      <c r="W571" s="221" t="s">
        <v>3249</v>
      </c>
      <c r="X571" s="221"/>
      <c r="Y571" s="227"/>
      <c r="Z571" s="227" t="str">
        <f t="shared" si="27"/>
        <v>Bululawang</v>
      </c>
      <c r="AA571" s="276" t="e">
        <f>VLOOKUP(Logfile_S12[[#This Row],[DO number]],DO_DB!G:I,3,0)</f>
        <v>#N/A</v>
      </c>
      <c r="AB571" s="331" t="e">
        <f>EXACT(Logfile_S12[[#This Row],[date pick]],Logfile_S12[[#This Row],[Date]])</f>
        <v>#N/A</v>
      </c>
      <c r="AC5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72" spans="1:29" ht="14.5" hidden="1">
      <c r="A572" s="220" t="str">
        <f t="shared" si="26"/>
        <v>568</v>
      </c>
      <c r="B572" s="221"/>
      <c r="C572" s="221" t="s">
        <v>48</v>
      </c>
      <c r="D572" s="221" t="s">
        <v>4405</v>
      </c>
      <c r="E572" s="221" t="s">
        <v>3295</v>
      </c>
      <c r="F572" s="221" t="s">
        <v>3299</v>
      </c>
      <c r="G572" s="222">
        <v>45875</v>
      </c>
      <c r="H572" s="223">
        <v>15.291666666666666</v>
      </c>
      <c r="I572" s="221" t="s">
        <v>38</v>
      </c>
      <c r="J572" s="221" t="s">
        <v>3024</v>
      </c>
      <c r="K572" s="224" t="s">
        <v>3091</v>
      </c>
      <c r="L572" s="225" t="str">
        <f>VLOOKUP(Logfile_S12[[#This Row],[Material Name]],Sheet2!B:C,2,0)</f>
        <v>GCI1005</v>
      </c>
      <c r="M572" s="225" t="str">
        <f>_xlfn.XLOOKUP(Logfile_S12[[#This Row],[Material Name]],Sum_WH!E:E,Sum_WH!F:F,"",0)</f>
        <v>Pcs</v>
      </c>
      <c r="N572" s="221">
        <v>111</v>
      </c>
      <c r="O572" s="221">
        <v>0</v>
      </c>
      <c r="P572" s="221" t="s">
        <v>3384</v>
      </c>
      <c r="Q572" s="221">
        <v>0</v>
      </c>
      <c r="R572" s="221">
        <v>0</v>
      </c>
      <c r="S572" s="221"/>
      <c r="T572" s="221"/>
      <c r="U572" s="221"/>
      <c r="V572" s="221"/>
      <c r="W572" s="221"/>
      <c r="X572" s="221"/>
      <c r="Y572" s="227"/>
      <c r="Z572" s="227" t="str">
        <f t="shared" si="27"/>
        <v>GRESIK</v>
      </c>
      <c r="AA572" s="276" t="e">
        <f>VLOOKUP(Logfile_S12[[#This Row],[DO number]],DO_DB!G:I,3,0)</f>
        <v>#N/A</v>
      </c>
      <c r="AB572" s="331" t="e">
        <f>EXACT(Logfile_S12[[#This Row],[date pick]],Logfile_S12[[#This Row],[Date]])</f>
        <v>#N/A</v>
      </c>
      <c r="AC5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73" spans="1:29" ht="14.5" hidden="1">
      <c r="A573" s="220" t="str">
        <f t="shared" si="26"/>
        <v>569</v>
      </c>
      <c r="B573" s="221"/>
      <c r="C573" s="221" t="s">
        <v>49</v>
      </c>
      <c r="D573" s="221" t="s">
        <v>4406</v>
      </c>
      <c r="E573" s="221" t="s">
        <v>3295</v>
      </c>
      <c r="F573" s="221" t="s">
        <v>3299</v>
      </c>
      <c r="G573" s="222">
        <v>45876</v>
      </c>
      <c r="H573" s="223">
        <v>0.47291666666666665</v>
      </c>
      <c r="I573" s="221" t="s">
        <v>4916</v>
      </c>
      <c r="J573" s="221" t="s">
        <v>3024</v>
      </c>
      <c r="K573" s="224" t="s">
        <v>3091</v>
      </c>
      <c r="L573" s="225" t="str">
        <f>VLOOKUP(Logfile_S12[[#This Row],[Material Name]],Sheet2!B:C,2,0)</f>
        <v>GCI1005</v>
      </c>
      <c r="M573" s="225" t="str">
        <f>_xlfn.XLOOKUP(Logfile_S12[[#This Row],[Material Name]],Sum_WH!E:E,Sum_WH!F:F,"",0)</f>
        <v>Pcs</v>
      </c>
      <c r="N573" s="221">
        <v>50</v>
      </c>
      <c r="O573" s="221" t="s">
        <v>2996</v>
      </c>
      <c r="P573" s="221" t="s">
        <v>2997</v>
      </c>
      <c r="Q573" s="221"/>
      <c r="R573" s="221"/>
      <c r="S573" s="221"/>
      <c r="T573" s="221" t="s">
        <v>3258</v>
      </c>
      <c r="U573" s="221">
        <v>0</v>
      </c>
      <c r="V573" s="221" t="s">
        <v>3337</v>
      </c>
      <c r="W573" s="221" t="s">
        <v>3338</v>
      </c>
      <c r="X573" s="221"/>
      <c r="Y573" s="227"/>
      <c r="Z573" s="227" t="str">
        <f t="shared" si="27"/>
        <v>PERMANU RW 03 MALANG</v>
      </c>
      <c r="AA573" s="276" t="e">
        <f>VLOOKUP(Logfile_S12[[#This Row],[DO number]],DO_DB!G:I,3,0)</f>
        <v>#N/A</v>
      </c>
      <c r="AB573" s="331" t="e">
        <f>EXACT(Logfile_S12[[#This Row],[date pick]],Logfile_S12[[#This Row],[Date]])</f>
        <v>#N/A</v>
      </c>
      <c r="AC5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74" spans="1:29" ht="14.5" hidden="1">
      <c r="A574" s="220" t="str">
        <f t="shared" si="26"/>
        <v>570</v>
      </c>
      <c r="B574" s="221"/>
      <c r="C574" s="221" t="s">
        <v>48</v>
      </c>
      <c r="D574" s="221" t="s">
        <v>4418</v>
      </c>
      <c r="E574" s="221" t="s">
        <v>3295</v>
      </c>
      <c r="F574" s="221" t="s">
        <v>3299</v>
      </c>
      <c r="G574" s="222">
        <v>45890</v>
      </c>
      <c r="H574" s="223">
        <v>15.291666666666666</v>
      </c>
      <c r="I574" s="221" t="s">
        <v>38</v>
      </c>
      <c r="J574" s="221" t="s">
        <v>3024</v>
      </c>
      <c r="K574" s="224" t="s">
        <v>3091</v>
      </c>
      <c r="L574" s="225" t="str">
        <f>VLOOKUP(Logfile_S12[[#This Row],[Material Name]],Sheet2!B:C,2,0)</f>
        <v>GCI1005</v>
      </c>
      <c r="M574" s="225" t="str">
        <f>_xlfn.XLOOKUP(Logfile_S12[[#This Row],[Material Name]],Sum_WH!E:E,Sum_WH!F:F,"",0)</f>
        <v>Pcs</v>
      </c>
      <c r="N574" s="221">
        <v>131</v>
      </c>
      <c r="O574" s="221">
        <v>0</v>
      </c>
      <c r="P574" s="221">
        <v>0</v>
      </c>
      <c r="Q574" s="221">
        <v>0</v>
      </c>
      <c r="R574" s="221">
        <v>0</v>
      </c>
      <c r="S574" s="221"/>
      <c r="T574" s="221"/>
      <c r="U574" s="221"/>
      <c r="V574" s="221"/>
      <c r="W574" s="221"/>
      <c r="X574" s="221"/>
      <c r="Y574" s="227"/>
      <c r="Z574" s="227">
        <f t="shared" si="27"/>
        <v>0</v>
      </c>
      <c r="AA574" s="276" t="e">
        <f>VLOOKUP(Logfile_S12[[#This Row],[DO number]],DO_DB!G:I,3,0)</f>
        <v>#N/A</v>
      </c>
      <c r="AB574" s="331" t="e">
        <f>EXACT(Logfile_S12[[#This Row],[date pick]],Logfile_S12[[#This Row],[Date]])</f>
        <v>#N/A</v>
      </c>
      <c r="AC5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75" spans="1:29" ht="14.5" hidden="1">
      <c r="A575" s="220" t="str">
        <f t="shared" si="26"/>
        <v>571</v>
      </c>
      <c r="B575" s="221"/>
      <c r="C575" s="221" t="s">
        <v>49</v>
      </c>
      <c r="D575" s="221" t="s">
        <v>4419</v>
      </c>
      <c r="E575" s="221" t="s">
        <v>3295</v>
      </c>
      <c r="F575" s="221" t="s">
        <v>3299</v>
      </c>
      <c r="G575" s="222">
        <v>45892</v>
      </c>
      <c r="H575" s="223">
        <v>0.4284722222222222</v>
      </c>
      <c r="I575" s="221" t="s">
        <v>4916</v>
      </c>
      <c r="J575" s="221" t="s">
        <v>3024</v>
      </c>
      <c r="K575" s="224" t="s">
        <v>3091</v>
      </c>
      <c r="L575" s="225" t="str">
        <f>VLOOKUP(Logfile_S12[[#This Row],[Material Name]],Sheet2!B:C,2,0)</f>
        <v>GCI1005</v>
      </c>
      <c r="M575" s="225" t="str">
        <f>_xlfn.XLOOKUP(Logfile_S12[[#This Row],[Material Name]],Sum_WH!E:E,Sum_WH!F:F,"",0)</f>
        <v>Pcs</v>
      </c>
      <c r="N575" s="221">
        <v>131</v>
      </c>
      <c r="O575" s="221">
        <v>0</v>
      </c>
      <c r="P575" s="221" t="s">
        <v>3385</v>
      </c>
      <c r="Q575" s="221"/>
      <c r="R575" s="221"/>
      <c r="S575" s="221"/>
      <c r="T575" s="221" t="s">
        <v>3258</v>
      </c>
      <c r="U575" s="221">
        <v>0</v>
      </c>
      <c r="V575" s="221" t="s">
        <v>3337</v>
      </c>
      <c r="W575" s="221" t="s">
        <v>3338</v>
      </c>
      <c r="X575" s="221"/>
      <c r="Y575" s="227"/>
      <c r="Z575" s="227" t="str">
        <f t="shared" si="27"/>
        <v>Bululawang Permai</v>
      </c>
      <c r="AA575" s="276" t="e">
        <f>VLOOKUP(Logfile_S12[[#This Row],[DO number]],DO_DB!G:I,3,0)</f>
        <v>#N/A</v>
      </c>
      <c r="AB575" s="331" t="e">
        <f>EXACT(Logfile_S12[[#This Row],[date pick]],Logfile_S12[[#This Row],[Date]])</f>
        <v>#N/A</v>
      </c>
      <c r="AC5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76" spans="1:29" ht="14.5" hidden="1">
      <c r="A576" s="244" t="str">
        <f t="shared" si="26"/>
        <v>572</v>
      </c>
      <c r="B576" s="229"/>
      <c r="C576" s="229" t="s">
        <v>49</v>
      </c>
      <c r="D576" s="229" t="s">
        <v>4428</v>
      </c>
      <c r="E576" s="229" t="s">
        <v>3295</v>
      </c>
      <c r="F576" s="229" t="s">
        <v>3299</v>
      </c>
      <c r="G576" s="245">
        <v>45900</v>
      </c>
      <c r="H576" s="246">
        <v>0.90028935185185188</v>
      </c>
      <c r="I576" s="229" t="s">
        <v>3295</v>
      </c>
      <c r="J576" s="229" t="s">
        <v>3024</v>
      </c>
      <c r="K576" s="233" t="s">
        <v>3091</v>
      </c>
      <c r="L576" s="234" t="str">
        <f>VLOOKUP(Logfile_S12[[#This Row],[Material Name]],Sheet2!B:C,2,0)</f>
        <v>GCI1005</v>
      </c>
      <c r="M576" s="234" t="str">
        <f>_xlfn.XLOOKUP(Logfile_S12[[#This Row],[Material Name]],Sum_WH!E:E,Sum_WH!F:F,"",0)</f>
        <v>Pcs</v>
      </c>
      <c r="N576" s="229">
        <v>230</v>
      </c>
      <c r="O576" s="230" t="s">
        <v>4429</v>
      </c>
      <c r="P576" s="230" t="s">
        <v>4429</v>
      </c>
      <c r="Q576" s="229"/>
      <c r="R576" s="229"/>
      <c r="S576" s="229"/>
      <c r="T576" s="229"/>
      <c r="U576" s="229"/>
      <c r="V576" s="229"/>
      <c r="W576" s="229"/>
      <c r="X576" s="229" t="s">
        <v>4429</v>
      </c>
      <c r="Y576" s="227"/>
      <c r="Z576" s="227" t="str">
        <f t="shared" si="27"/>
        <v>ADJUSTMENT</v>
      </c>
      <c r="AA576" s="276" t="e">
        <f>VLOOKUP(Logfile_S12[[#This Row],[DO number]],DO_DB!G:I,3,0)</f>
        <v>#N/A</v>
      </c>
      <c r="AB576" s="331" t="e">
        <f>EXACT(Logfile_S12[[#This Row],[date pick]],Logfile_S12[[#This Row],[Date]])</f>
        <v>#N/A</v>
      </c>
      <c r="AC5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77" spans="1:29" ht="14.5" hidden="1">
      <c r="A577" s="237" t="str">
        <f t="shared" si="26"/>
        <v>573</v>
      </c>
      <c r="B577" s="221">
        <v>4</v>
      </c>
      <c r="C577" s="227" t="s">
        <v>48</v>
      </c>
      <c r="D577" s="227" t="s">
        <v>4660</v>
      </c>
      <c r="E577" s="227" t="s">
        <v>3295</v>
      </c>
      <c r="F577" s="227" t="s">
        <v>3299</v>
      </c>
      <c r="G577" s="239">
        <v>45944</v>
      </c>
      <c r="H577" s="240">
        <v>0.63958333333333328</v>
      </c>
      <c r="I577" s="227" t="s">
        <v>38</v>
      </c>
      <c r="J577" s="227" t="s">
        <v>3024</v>
      </c>
      <c r="K577" s="241" t="s">
        <v>3091</v>
      </c>
      <c r="L577" s="225" t="str">
        <f>VLOOKUP(Logfile_S12[[#This Row],[Material Name]],Sheet2!B:C,2,0)</f>
        <v>GCI1005</v>
      </c>
      <c r="M577" s="225" t="str">
        <f>_xlfn.XLOOKUP(Logfile_S12[[#This Row],[Material Name]],Sum_WH!E:E,Sum_WH!F:F,"",0)</f>
        <v>Pcs</v>
      </c>
      <c r="N577" s="227">
        <v>85</v>
      </c>
      <c r="O577" s="227" t="s">
        <v>3203</v>
      </c>
      <c r="P577" s="227" t="s">
        <v>3204</v>
      </c>
      <c r="Q577" s="227" t="s">
        <v>3205</v>
      </c>
      <c r="R577" s="227" t="s">
        <v>3206</v>
      </c>
      <c r="S577" s="227"/>
      <c r="T577" s="227"/>
      <c r="U577" s="227"/>
      <c r="V577" s="227"/>
      <c r="W577" s="227"/>
      <c r="X577" s="227"/>
      <c r="Y577" s="227"/>
      <c r="Z577" s="227" t="str">
        <f t="shared" si="27"/>
        <v>Perumahan Bululawang Permai RW 02</v>
      </c>
      <c r="AA577" s="276">
        <f>VLOOKUP(Logfile_S12[[#This Row],[DO number]],DO_DB!G:I,3,0)</f>
        <v>45888</v>
      </c>
      <c r="AB577" s="331" t="b">
        <f>EXACT(Logfile_S12[[#This Row],[date pick]],Logfile_S12[[#This Row],[Date]])</f>
        <v>0</v>
      </c>
      <c r="AC5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78" spans="1:29" ht="14.5" hidden="1">
      <c r="A578" s="237" t="str">
        <f t="shared" si="26"/>
        <v>574</v>
      </c>
      <c r="B578" s="221">
        <v>4</v>
      </c>
      <c r="C578" s="227" t="s">
        <v>49</v>
      </c>
      <c r="D578" s="227" t="s">
        <v>4661</v>
      </c>
      <c r="E578" s="227" t="s">
        <v>3295</v>
      </c>
      <c r="F578" s="227" t="s">
        <v>3299</v>
      </c>
      <c r="G578" s="239">
        <v>45946</v>
      </c>
      <c r="H578" s="240">
        <v>0.43125000000000002</v>
      </c>
      <c r="I578" s="227" t="s">
        <v>3295</v>
      </c>
      <c r="J578" s="227" t="s">
        <v>3024</v>
      </c>
      <c r="K578" s="241" t="s">
        <v>3091</v>
      </c>
      <c r="L578" s="225" t="str">
        <f>VLOOKUP(Logfile_S12[[#This Row],[Material Name]],Sheet2!B:C,2,0)</f>
        <v>GCI1005</v>
      </c>
      <c r="M578" s="225" t="str">
        <f>_xlfn.XLOOKUP(Logfile_S12[[#This Row],[Material Name]],Sum_WH!E:E,Sum_WH!F:F,"",0)</f>
        <v>Pcs</v>
      </c>
      <c r="N578" s="227">
        <v>85</v>
      </c>
      <c r="O578" s="227" t="s">
        <v>4595</v>
      </c>
      <c r="P578" s="227" t="s">
        <v>4596</v>
      </c>
      <c r="Q578" s="227"/>
      <c r="R578" s="227"/>
      <c r="S578" s="227"/>
      <c r="T578" s="221" t="s">
        <v>3258</v>
      </c>
      <c r="U578" s="221">
        <v>0</v>
      </c>
      <c r="V578" s="221" t="s">
        <v>3337</v>
      </c>
      <c r="W578" s="221" t="s">
        <v>3338</v>
      </c>
      <c r="X578" s="227"/>
      <c r="Y578" s="227"/>
      <c r="Z578" s="227" t="str">
        <f t="shared" si="27"/>
        <v>Asshofa Residence</v>
      </c>
      <c r="AA578" s="276" t="e">
        <f>VLOOKUP(Logfile_S12[[#This Row],[DO number]],DO_DB!G:I,3,0)</f>
        <v>#N/A</v>
      </c>
      <c r="AB578" s="331" t="e">
        <f>EXACT(Logfile_S12[[#This Row],[date pick]],Logfile_S12[[#This Row],[Date]])</f>
        <v>#N/A</v>
      </c>
      <c r="AC5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79" spans="1:29" ht="14.5" hidden="1">
      <c r="A579" s="237" t="str">
        <f t="shared" si="26"/>
        <v>575</v>
      </c>
      <c r="B579" s="221">
        <v>5</v>
      </c>
      <c r="C579" s="227" t="s">
        <v>48</v>
      </c>
      <c r="D579" s="227" t="s">
        <v>4727</v>
      </c>
      <c r="E579" s="227" t="s">
        <v>3295</v>
      </c>
      <c r="F579" s="227" t="s">
        <v>3299</v>
      </c>
      <c r="G579" s="239">
        <v>45987</v>
      </c>
      <c r="H579" s="240">
        <v>0.66736111111111107</v>
      </c>
      <c r="I579" s="227" t="s">
        <v>38</v>
      </c>
      <c r="J579" s="227" t="s">
        <v>3024</v>
      </c>
      <c r="K579" s="241" t="s">
        <v>3091</v>
      </c>
      <c r="L579" s="225" t="str">
        <f>VLOOKUP(Logfile_S12[[#This Row],[Material Name]],Sheet2!B:C,2,0)</f>
        <v>GCI1005</v>
      </c>
      <c r="M579" s="242" t="s">
        <v>19</v>
      </c>
      <c r="N579" s="227">
        <v>199</v>
      </c>
      <c r="O579" s="227" t="s">
        <v>3260</v>
      </c>
      <c r="P579" s="227"/>
      <c r="Q579" s="227" t="s">
        <v>3260</v>
      </c>
      <c r="R579" s="227" t="s">
        <v>3260</v>
      </c>
      <c r="S579" s="227"/>
      <c r="T579" s="227"/>
      <c r="U579" s="227"/>
      <c r="V579" s="227"/>
      <c r="W579" s="227"/>
      <c r="X579" s="227"/>
      <c r="Y579" s="227"/>
      <c r="Z579" s="227">
        <f t="shared" si="27"/>
        <v>0</v>
      </c>
      <c r="AA579" s="276" t="e">
        <f>VLOOKUP(Logfile_S12[[#This Row],[DO number]],DO_DB!G:I,3,0)</f>
        <v>#N/A</v>
      </c>
      <c r="AB579" s="331" t="e">
        <f>EXACT(Logfile_S12[[#This Row],[date pick]],Logfile_S12[[#This Row],[Date]])</f>
        <v>#N/A</v>
      </c>
      <c r="AC5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80" spans="1:29" ht="14.5" hidden="1">
      <c r="A580" s="237" t="str">
        <f t="shared" si="26"/>
        <v>576</v>
      </c>
      <c r="B580" s="221">
        <v>7</v>
      </c>
      <c r="C580" s="227" t="s">
        <v>49</v>
      </c>
      <c r="D580" s="227" t="s">
        <v>4737</v>
      </c>
      <c r="E580" s="227" t="s">
        <v>3295</v>
      </c>
      <c r="F580" s="227" t="s">
        <v>3299</v>
      </c>
      <c r="G580" s="239">
        <v>46006</v>
      </c>
      <c r="H580" s="240">
        <v>0.36805555555555558</v>
      </c>
      <c r="I580" s="227" t="s">
        <v>3295</v>
      </c>
      <c r="J580" s="227" t="s">
        <v>3024</v>
      </c>
      <c r="K580" s="241" t="s">
        <v>3091</v>
      </c>
      <c r="L580" s="225" t="str">
        <f>VLOOKUP(Logfile_S12[[#This Row],[Material Name]],Sheet2!B:C,2,0)</f>
        <v>GCI1005</v>
      </c>
      <c r="M580" s="242" t="s">
        <v>19</v>
      </c>
      <c r="N580" s="227">
        <v>339</v>
      </c>
      <c r="O580" s="227" t="s">
        <v>3260</v>
      </c>
      <c r="P580" s="227"/>
      <c r="Q580" s="227" t="s">
        <v>3260</v>
      </c>
      <c r="R580" s="227" t="s">
        <v>3260</v>
      </c>
      <c r="S580" s="227"/>
      <c r="T580" s="221" t="s">
        <v>3258</v>
      </c>
      <c r="U580" s="221" t="s">
        <v>4811</v>
      </c>
      <c r="V580" s="221" t="s">
        <v>3337</v>
      </c>
      <c r="W580" s="221" t="s">
        <v>3338</v>
      </c>
      <c r="X580" s="227"/>
      <c r="Y580" s="227"/>
      <c r="Z580" s="227">
        <f t="shared" si="27"/>
        <v>0</v>
      </c>
      <c r="AA580" s="276" t="e">
        <f>VLOOKUP(Logfile_S12[[#This Row],[DO number]],DO_DB!G:I,3,0)</f>
        <v>#N/A</v>
      </c>
      <c r="AB580" s="331" t="e">
        <f>EXACT(Logfile_S12[[#This Row],[date pick]],Logfile_S12[[#This Row],[Date]])</f>
        <v>#N/A</v>
      </c>
      <c r="AC5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81" spans="1:29" ht="14.5" hidden="1">
      <c r="A581" s="228" t="str">
        <f t="shared" ref="A581:A644" si="28">TEXT(ROW(A581)-ROW($A$4),"000")</f>
        <v>577</v>
      </c>
      <c r="B581" s="229">
        <v>3</v>
      </c>
      <c r="C581" s="230" t="s">
        <v>48</v>
      </c>
      <c r="D581" s="230" t="s">
        <v>4769</v>
      </c>
      <c r="E581" s="230" t="s">
        <v>3295</v>
      </c>
      <c r="F581" s="230" t="s">
        <v>3299</v>
      </c>
      <c r="G581" s="231">
        <v>46013</v>
      </c>
      <c r="H581" s="232">
        <v>0.33333333333333331</v>
      </c>
      <c r="I581" s="229" t="s">
        <v>38</v>
      </c>
      <c r="J581" s="230" t="s">
        <v>3024</v>
      </c>
      <c r="K581" s="233" t="s">
        <v>3091</v>
      </c>
      <c r="L581" s="234" t="str">
        <f>VLOOKUP(Logfile_S12[[#This Row],[Material Name]],Sheet2!B:C,2,0)</f>
        <v>GCI1005</v>
      </c>
      <c r="M581" s="234" t="s">
        <v>19</v>
      </c>
      <c r="N581" s="230">
        <v>111</v>
      </c>
      <c r="O581" s="230" t="s">
        <v>4429</v>
      </c>
      <c r="P581" s="230" t="s">
        <v>4429</v>
      </c>
      <c r="Q581" s="230"/>
      <c r="R581" s="230"/>
      <c r="S581" s="230"/>
      <c r="T581" s="230"/>
      <c r="U581" s="230"/>
      <c r="V581" s="230"/>
      <c r="W581" s="230"/>
      <c r="X581" s="230" t="s">
        <v>4429</v>
      </c>
      <c r="Y581" s="227"/>
      <c r="Z581" s="227" t="str">
        <f t="shared" si="27"/>
        <v>ADJUSTMENT</v>
      </c>
      <c r="AA581" s="276" t="e">
        <f>VLOOKUP(Logfile_S12[[#This Row],[DO number]],DO_DB!G:I,3,0)</f>
        <v>#N/A</v>
      </c>
      <c r="AB581" s="331" t="e">
        <f>EXACT(Logfile_S12[[#This Row],[date pick]],Logfile_S12[[#This Row],[Date]])</f>
        <v>#N/A</v>
      </c>
      <c r="AC5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82" spans="1:29" ht="14.5" hidden="1">
      <c r="A582" s="237" t="str">
        <f t="shared" si="28"/>
        <v>578</v>
      </c>
      <c r="B582" s="221">
        <v>5</v>
      </c>
      <c r="C582" s="227" t="s">
        <v>48</v>
      </c>
      <c r="D582" s="227" t="s">
        <v>4778</v>
      </c>
      <c r="E582" s="227" t="s">
        <v>3295</v>
      </c>
      <c r="F582" s="227" t="s">
        <v>3299</v>
      </c>
      <c r="G582" s="239">
        <v>46014</v>
      </c>
      <c r="H582" s="240">
        <v>0.33333333333333331</v>
      </c>
      <c r="I582" s="221" t="s">
        <v>38</v>
      </c>
      <c r="J582" s="227" t="s">
        <v>3024</v>
      </c>
      <c r="K582" s="241" t="s">
        <v>3091</v>
      </c>
      <c r="L582" s="225" t="str">
        <f>VLOOKUP(Logfile_S12[[#This Row],[Material Name]],Sheet2!B:C,2,0)</f>
        <v>GCI1005</v>
      </c>
      <c r="M582" s="242" t="s">
        <v>19</v>
      </c>
      <c r="N582" s="227">
        <v>666</v>
      </c>
      <c r="O582" s="227"/>
      <c r="P582" s="227"/>
      <c r="Q582" s="227"/>
      <c r="R582" s="227"/>
      <c r="S582" s="227"/>
      <c r="T582" s="227"/>
      <c r="U582" s="227"/>
      <c r="V582" s="227"/>
      <c r="W582" s="227"/>
      <c r="X582" s="227"/>
      <c r="Y582" s="227"/>
      <c r="Z582" s="227">
        <f t="shared" si="27"/>
        <v>0</v>
      </c>
      <c r="AA582" s="276" t="e">
        <f>VLOOKUP(Logfile_S12[[#This Row],[DO number]],DO_DB!G:I,3,0)</f>
        <v>#N/A</v>
      </c>
      <c r="AB582" s="331" t="e">
        <f>EXACT(Logfile_S12[[#This Row],[date pick]],Logfile_S12[[#This Row],[Date]])</f>
        <v>#N/A</v>
      </c>
      <c r="AC5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83" spans="1:29" ht="14.5" hidden="1">
      <c r="A583" s="237" t="str">
        <f t="shared" si="28"/>
        <v>579</v>
      </c>
      <c r="B583" s="221">
        <v>8</v>
      </c>
      <c r="C583" s="227" t="s">
        <v>49</v>
      </c>
      <c r="D583" s="227" t="s">
        <v>4777</v>
      </c>
      <c r="E583" s="227" t="s">
        <v>3295</v>
      </c>
      <c r="F583" s="227" t="s">
        <v>3299</v>
      </c>
      <c r="G583" s="239">
        <v>46016</v>
      </c>
      <c r="H583" s="240">
        <v>0.50902777777777775</v>
      </c>
      <c r="I583" s="227" t="s">
        <v>3295</v>
      </c>
      <c r="J583" s="227" t="s">
        <v>3024</v>
      </c>
      <c r="K583" s="241" t="s">
        <v>3091</v>
      </c>
      <c r="L583" s="225" t="str">
        <f>VLOOKUP(Logfile_S12[[#This Row],[Material Name]],Sheet2!B:C,2,0)</f>
        <v>GCI1005</v>
      </c>
      <c r="M583" s="242" t="s">
        <v>19</v>
      </c>
      <c r="N583" s="227">
        <v>666</v>
      </c>
      <c r="O583" s="227"/>
      <c r="P583" s="227"/>
      <c r="Q583" s="227"/>
      <c r="R583" s="227"/>
      <c r="S583" s="227"/>
      <c r="T583" s="221" t="s">
        <v>3258</v>
      </c>
      <c r="U583" s="221" t="s">
        <v>4811</v>
      </c>
      <c r="V583" s="221" t="s">
        <v>3337</v>
      </c>
      <c r="W583" s="221" t="s">
        <v>3338</v>
      </c>
      <c r="X583" s="227"/>
      <c r="Y583" s="227"/>
      <c r="Z583" s="227">
        <f t="shared" si="27"/>
        <v>0</v>
      </c>
      <c r="AA583" s="276" t="e">
        <f>VLOOKUP(Logfile_S12[[#This Row],[DO number]],DO_DB!G:I,3,0)</f>
        <v>#N/A</v>
      </c>
      <c r="AB583" s="331" t="e">
        <f>EXACT(Logfile_S12[[#This Row],[date pick]],Logfile_S12[[#This Row],[Date]])</f>
        <v>#N/A</v>
      </c>
      <c r="AC5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84" spans="1:29" ht="14.5" hidden="1">
      <c r="A584" s="220" t="str">
        <f t="shared" si="28"/>
        <v>580</v>
      </c>
      <c r="B584" s="221"/>
      <c r="C584" s="221" t="s">
        <v>48</v>
      </c>
      <c r="D584" s="221" t="s">
        <v>3683</v>
      </c>
      <c r="E584" s="221" t="s">
        <v>3295</v>
      </c>
      <c r="F584" s="221" t="s">
        <v>3299</v>
      </c>
      <c r="G584" s="222">
        <v>45147</v>
      </c>
      <c r="H584" s="223">
        <v>15.291666666666666</v>
      </c>
      <c r="I584" s="221" t="s">
        <v>38</v>
      </c>
      <c r="J584" s="221" t="s">
        <v>3024</v>
      </c>
      <c r="K584" s="224" t="s">
        <v>3087</v>
      </c>
      <c r="L584" s="225" t="str">
        <f>VLOOKUP(Logfile_S12[[#This Row],[Material Name]],Sheet2!B:C,2,0)</f>
        <v>GCI1001</v>
      </c>
      <c r="M584" s="225" t="str">
        <f>_xlfn.XLOOKUP(Logfile_S12[[#This Row],[Material Name]],Sum_WH!E:E,Sum_WH!F:F,"",0)</f>
        <v>Pcs</v>
      </c>
      <c r="N584" s="221">
        <v>35</v>
      </c>
      <c r="O584" s="221" t="s">
        <v>84</v>
      </c>
      <c r="P584" s="221" t="s">
        <v>85</v>
      </c>
      <c r="Q584" s="221">
        <v>0</v>
      </c>
      <c r="R584" s="221">
        <v>0</v>
      </c>
      <c r="S584" s="221"/>
      <c r="T584" s="221"/>
      <c r="U584" s="221"/>
      <c r="V584" s="221"/>
      <c r="W584" s="221"/>
      <c r="X584" s="221"/>
      <c r="Y584" s="227"/>
      <c r="Z584" s="227" t="str">
        <f t="shared" si="27"/>
        <v>Perumahan Bumi Podo Rukun Dau</v>
      </c>
      <c r="AA584" s="276" t="e">
        <f>VLOOKUP(Logfile_S12[[#This Row],[DO number]],DO_DB!G:I,3,0)</f>
        <v>#N/A</v>
      </c>
      <c r="AB584" s="331" t="e">
        <f>EXACT(Logfile_S12[[#This Row],[date pick]],Logfile_S12[[#This Row],[Date]])</f>
        <v>#N/A</v>
      </c>
      <c r="AC5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85" spans="1:29" ht="14.5" hidden="1">
      <c r="A585" s="220" t="str">
        <f t="shared" si="28"/>
        <v>581</v>
      </c>
      <c r="B585" s="221"/>
      <c r="C585" s="221" t="s">
        <v>49</v>
      </c>
      <c r="D585" s="221" t="s">
        <v>3684</v>
      </c>
      <c r="E585" s="221" t="s">
        <v>3295</v>
      </c>
      <c r="F585" s="221" t="s">
        <v>3299</v>
      </c>
      <c r="G585" s="222">
        <v>45148</v>
      </c>
      <c r="H585" s="223">
        <v>15.692638888888888</v>
      </c>
      <c r="I585" s="221" t="s">
        <v>4916</v>
      </c>
      <c r="J585" s="221" t="s">
        <v>3024</v>
      </c>
      <c r="K585" s="224" t="s">
        <v>3087</v>
      </c>
      <c r="L585" s="225" t="str">
        <f>VLOOKUP(Logfile_S12[[#This Row],[Material Name]],Sheet2!B:C,2,0)</f>
        <v>GCI1001</v>
      </c>
      <c r="M585" s="225" t="str">
        <f>_xlfn.XLOOKUP(Logfile_S12[[#This Row],[Material Name]],Sum_WH!E:E,Sum_WH!F:F,"",0)</f>
        <v>Pcs</v>
      </c>
      <c r="N585" s="221">
        <v>24</v>
      </c>
      <c r="O585" s="221" t="s">
        <v>84</v>
      </c>
      <c r="P585" s="221" t="s">
        <v>85</v>
      </c>
      <c r="Q585" s="221"/>
      <c r="R585" s="221"/>
      <c r="S585" s="221"/>
      <c r="T585" s="221" t="s">
        <v>3305</v>
      </c>
      <c r="U585" s="221" t="s">
        <v>3228</v>
      </c>
      <c r="V585" s="221" t="s">
        <v>3306</v>
      </c>
      <c r="W585" s="221" t="s">
        <v>3307</v>
      </c>
      <c r="X585" s="221"/>
      <c r="Y585" s="227"/>
      <c r="Z585" s="227" t="str">
        <f t="shared" si="27"/>
        <v>Perumahan Bumi Podo Rukun Dau</v>
      </c>
      <c r="AA585" s="276" t="e">
        <f>VLOOKUP(Logfile_S12[[#This Row],[DO number]],DO_DB!G:I,3,0)</f>
        <v>#N/A</v>
      </c>
      <c r="AB585" s="331" t="e">
        <f>EXACT(Logfile_S12[[#This Row],[date pick]],Logfile_S12[[#This Row],[Date]])</f>
        <v>#N/A</v>
      </c>
      <c r="AC5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86" spans="1:29" ht="14.5" hidden="1">
      <c r="A586" s="220" t="str">
        <f t="shared" si="28"/>
        <v>582</v>
      </c>
      <c r="B586" s="221"/>
      <c r="C586" s="221" t="s">
        <v>48</v>
      </c>
      <c r="D586" s="221" t="s">
        <v>3691</v>
      </c>
      <c r="E586" s="221" t="s">
        <v>3295</v>
      </c>
      <c r="F586" s="221" t="s">
        <v>3299</v>
      </c>
      <c r="G586" s="222">
        <v>45162</v>
      </c>
      <c r="H586" s="223">
        <v>15.291666666666666</v>
      </c>
      <c r="I586" s="221" t="s">
        <v>38</v>
      </c>
      <c r="J586" s="221" t="s">
        <v>3024</v>
      </c>
      <c r="K586" s="224" t="s">
        <v>3087</v>
      </c>
      <c r="L586" s="225" t="str">
        <f>VLOOKUP(Logfile_S12[[#This Row],[Material Name]],Sheet2!B:C,2,0)</f>
        <v>GCI1001</v>
      </c>
      <c r="M586" s="225" t="str">
        <f>_xlfn.XLOOKUP(Logfile_S12[[#This Row],[Material Name]],Sum_WH!E:E,Sum_WH!F:F,"",0)</f>
        <v>Pcs</v>
      </c>
      <c r="N586" s="221">
        <v>27</v>
      </c>
      <c r="O586" s="221" t="s">
        <v>150</v>
      </c>
      <c r="P586" s="221" t="s">
        <v>151</v>
      </c>
      <c r="Q586" s="221">
        <v>0</v>
      </c>
      <c r="R586" s="221">
        <v>0</v>
      </c>
      <c r="S586" s="221"/>
      <c r="T586" s="221"/>
      <c r="U586" s="221"/>
      <c r="V586" s="221"/>
      <c r="W586" s="221"/>
      <c r="X586" s="221"/>
      <c r="Y586" s="227"/>
      <c r="Z586" s="227" t="str">
        <f t="shared" si="27"/>
        <v>Mulyorejo RW 04 Sukun</v>
      </c>
      <c r="AA586" s="276" t="e">
        <f>VLOOKUP(Logfile_S12[[#This Row],[DO number]],DO_DB!G:I,3,0)</f>
        <v>#N/A</v>
      </c>
      <c r="AB586" s="331" t="e">
        <f>EXACT(Logfile_S12[[#This Row],[date pick]],Logfile_S12[[#This Row],[Date]])</f>
        <v>#N/A</v>
      </c>
      <c r="AC5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87" spans="1:29" ht="14.5" hidden="1">
      <c r="A587" s="220" t="str">
        <f t="shared" si="28"/>
        <v>583</v>
      </c>
      <c r="B587" s="221"/>
      <c r="C587" s="221" t="s">
        <v>48</v>
      </c>
      <c r="D587" s="221" t="s">
        <v>3697</v>
      </c>
      <c r="E587" s="221" t="s">
        <v>3295</v>
      </c>
      <c r="F587" s="221" t="s">
        <v>3299</v>
      </c>
      <c r="G587" s="222">
        <v>45173</v>
      </c>
      <c r="H587" s="223">
        <v>15.291666666666666</v>
      </c>
      <c r="I587" s="221" t="s">
        <v>3586</v>
      </c>
      <c r="J587" s="221" t="s">
        <v>3024</v>
      </c>
      <c r="K587" s="224" t="s">
        <v>3087</v>
      </c>
      <c r="L587" s="225" t="str">
        <f>VLOOKUP(Logfile_S12[[#This Row],[Material Name]],Sheet2!B:C,2,0)</f>
        <v>GCI1001</v>
      </c>
      <c r="M587" s="225" t="str">
        <f>_xlfn.XLOOKUP(Logfile_S12[[#This Row],[Material Name]],Sum_WH!E:E,Sum_WH!F:F,"",0)</f>
        <v>Pcs</v>
      </c>
      <c r="N587" s="221">
        <v>1</v>
      </c>
      <c r="O587" s="221" t="s">
        <v>84</v>
      </c>
      <c r="P587" s="221" t="s">
        <v>85</v>
      </c>
      <c r="Q587" s="221">
        <v>0</v>
      </c>
      <c r="R587" s="221">
        <v>0</v>
      </c>
      <c r="S587" s="221"/>
      <c r="T587" s="221"/>
      <c r="U587" s="221"/>
      <c r="V587" s="221"/>
      <c r="W587" s="221"/>
      <c r="X587" s="221" t="s">
        <v>3342</v>
      </c>
      <c r="Y587" s="227"/>
      <c r="Z587" s="227" t="str">
        <f t="shared" si="27"/>
        <v>Perumahan Bumi Podo Rukun Dau</v>
      </c>
      <c r="AA587" s="276" t="e">
        <f>VLOOKUP(Logfile_S12[[#This Row],[DO number]],DO_DB!G:I,3,0)</f>
        <v>#N/A</v>
      </c>
      <c r="AB587" s="331" t="e">
        <f>EXACT(Logfile_S12[[#This Row],[date pick]],Logfile_S12[[#This Row],[Date]])</f>
        <v>#N/A</v>
      </c>
      <c r="AC5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88" spans="1:29" ht="14.5" hidden="1">
      <c r="A588" s="220" t="str">
        <f t="shared" si="28"/>
        <v>584</v>
      </c>
      <c r="B588" s="221"/>
      <c r="C588" s="221" t="s">
        <v>48</v>
      </c>
      <c r="D588" s="221" t="s">
        <v>3715</v>
      </c>
      <c r="E588" s="221" t="s">
        <v>3295</v>
      </c>
      <c r="F588" s="221" t="s">
        <v>3299</v>
      </c>
      <c r="G588" s="222">
        <v>45191</v>
      </c>
      <c r="H588" s="223">
        <v>15.291666666666666</v>
      </c>
      <c r="I588" s="221" t="s">
        <v>38</v>
      </c>
      <c r="J588" s="221" t="s">
        <v>3024</v>
      </c>
      <c r="K588" s="224" t="s">
        <v>3087</v>
      </c>
      <c r="L588" s="225" t="str">
        <f>VLOOKUP(Logfile_S12[[#This Row],[Material Name]],Sheet2!B:C,2,0)</f>
        <v>GCI1001</v>
      </c>
      <c r="M588" s="225" t="str">
        <f>_xlfn.XLOOKUP(Logfile_S12[[#This Row],[Material Name]],Sum_WH!E:E,Sum_WH!F:F,"",0)</f>
        <v>Pcs</v>
      </c>
      <c r="N588" s="221">
        <v>59</v>
      </c>
      <c r="O588" s="221" t="s">
        <v>222</v>
      </c>
      <c r="P588" s="221" t="s">
        <v>223</v>
      </c>
      <c r="Q588" s="221">
        <v>0</v>
      </c>
      <c r="R588" s="221">
        <v>0</v>
      </c>
      <c r="S588" s="221"/>
      <c r="T588" s="221"/>
      <c r="U588" s="221"/>
      <c r="V588" s="221"/>
      <c r="W588" s="221"/>
      <c r="X588" s="221" t="s">
        <v>3343</v>
      </c>
      <c r="Y588" s="227"/>
      <c r="Z588" s="227" t="str">
        <f t="shared" ref="Z588:Z651" si="29">P588</f>
        <v>Puncak Dieng Exlusif</v>
      </c>
      <c r="AA588" s="276" t="e">
        <f>VLOOKUP(Logfile_S12[[#This Row],[DO number]],DO_DB!G:I,3,0)</f>
        <v>#N/A</v>
      </c>
      <c r="AB588" s="331" t="e">
        <f>EXACT(Logfile_S12[[#This Row],[date pick]],Logfile_S12[[#This Row],[Date]])</f>
        <v>#N/A</v>
      </c>
      <c r="AC5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89" spans="1:29" ht="14.5" hidden="1">
      <c r="A589" s="220" t="str">
        <f t="shared" si="28"/>
        <v>585</v>
      </c>
      <c r="B589" s="221"/>
      <c r="C589" s="221" t="s">
        <v>49</v>
      </c>
      <c r="D589" s="221" t="s">
        <v>3719</v>
      </c>
      <c r="E589" s="221" t="s">
        <v>3295</v>
      </c>
      <c r="F589" s="221" t="s">
        <v>3299</v>
      </c>
      <c r="G589" s="222">
        <v>45193</v>
      </c>
      <c r="H589" s="223">
        <v>0.31666666666666665</v>
      </c>
      <c r="I589" s="221" t="s">
        <v>4916</v>
      </c>
      <c r="J589" s="221" t="s">
        <v>3024</v>
      </c>
      <c r="K589" s="224" t="s">
        <v>3087</v>
      </c>
      <c r="L589" s="225" t="str">
        <f>VLOOKUP(Logfile_S12[[#This Row],[Material Name]],Sheet2!B:C,2,0)</f>
        <v>GCI1001</v>
      </c>
      <c r="M589" s="225" t="str">
        <f>_xlfn.XLOOKUP(Logfile_S12[[#This Row],[Material Name]],Sum_WH!E:E,Sum_WH!F:F,"",0)</f>
        <v>Pcs</v>
      </c>
      <c r="N589" s="221">
        <v>12</v>
      </c>
      <c r="O589" s="221" t="s">
        <v>180</v>
      </c>
      <c r="P589" s="221" t="s">
        <v>181</v>
      </c>
      <c r="Q589" s="221"/>
      <c r="R589" s="221"/>
      <c r="S589" s="221"/>
      <c r="T589" s="221" t="s">
        <v>3322</v>
      </c>
      <c r="U589" s="221" t="s">
        <v>3323</v>
      </c>
      <c r="V589" s="221" t="s">
        <v>3324</v>
      </c>
      <c r="W589" s="221" t="s">
        <v>3386</v>
      </c>
      <c r="X589" s="221"/>
      <c r="Y589" s="227"/>
      <c r="Z589" s="227" t="str">
        <f t="shared" si="29"/>
        <v>Mulyorejo RW 06 Sukun</v>
      </c>
      <c r="AA589" s="276" t="e">
        <f>VLOOKUP(Logfile_S12[[#This Row],[DO number]],DO_DB!G:I,3,0)</f>
        <v>#N/A</v>
      </c>
      <c r="AB589" s="331" t="e">
        <f>EXACT(Logfile_S12[[#This Row],[date pick]],Logfile_S12[[#This Row],[Date]])</f>
        <v>#N/A</v>
      </c>
      <c r="AC5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90" spans="1:29" ht="14.5" hidden="1">
      <c r="A590" s="220" t="str">
        <f t="shared" si="28"/>
        <v>586</v>
      </c>
      <c r="B590" s="221"/>
      <c r="C590" s="221" t="s">
        <v>49</v>
      </c>
      <c r="D590" s="221" t="s">
        <v>3722</v>
      </c>
      <c r="E590" s="221" t="s">
        <v>3295</v>
      </c>
      <c r="F590" s="221" t="s">
        <v>3299</v>
      </c>
      <c r="G590" s="222">
        <v>45194</v>
      </c>
      <c r="H590" s="223">
        <v>0.27083333333333331</v>
      </c>
      <c r="I590" s="221" t="s">
        <v>4916</v>
      </c>
      <c r="J590" s="221" t="s">
        <v>3024</v>
      </c>
      <c r="K590" s="224" t="s">
        <v>3087</v>
      </c>
      <c r="L590" s="225" t="str">
        <f>VLOOKUP(Logfile_S12[[#This Row],[Material Name]],Sheet2!B:C,2,0)</f>
        <v>GCI1001</v>
      </c>
      <c r="M590" s="225" t="str">
        <f>_xlfn.XLOOKUP(Logfile_S12[[#This Row],[Material Name]],Sum_WH!E:E,Sum_WH!F:F,"",0)</f>
        <v>Pcs</v>
      </c>
      <c r="N590" s="221">
        <v>11</v>
      </c>
      <c r="O590" s="221" t="s">
        <v>222</v>
      </c>
      <c r="P590" s="221" t="s">
        <v>223</v>
      </c>
      <c r="Q590" s="221"/>
      <c r="R590" s="221"/>
      <c r="S590" s="221"/>
      <c r="T590" s="221" t="s">
        <v>3322</v>
      </c>
      <c r="U590" s="221" t="s">
        <v>3323</v>
      </c>
      <c r="V590" s="221" t="s">
        <v>3324</v>
      </c>
      <c r="W590" s="221" t="s">
        <v>3325</v>
      </c>
      <c r="X590" s="221"/>
      <c r="Y590" s="227"/>
      <c r="Z590" s="227" t="str">
        <f t="shared" si="29"/>
        <v>Puncak Dieng Exlusif</v>
      </c>
      <c r="AA590" s="276" t="e">
        <f>VLOOKUP(Logfile_S12[[#This Row],[DO number]],DO_DB!G:I,3,0)</f>
        <v>#N/A</v>
      </c>
      <c r="AB590" s="331" t="e">
        <f>EXACT(Logfile_S12[[#This Row],[date pick]],Logfile_S12[[#This Row],[Date]])</f>
        <v>#N/A</v>
      </c>
      <c r="AC5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91" spans="1:29" ht="14.5" hidden="1">
      <c r="A591" s="220" t="str">
        <f t="shared" si="28"/>
        <v>587</v>
      </c>
      <c r="B591" s="221"/>
      <c r="C591" s="221" t="s">
        <v>49</v>
      </c>
      <c r="D591" s="221" t="s">
        <v>3725</v>
      </c>
      <c r="E591" s="221" t="s">
        <v>3295</v>
      </c>
      <c r="F591" s="221" t="s">
        <v>3299</v>
      </c>
      <c r="G591" s="222">
        <v>45195</v>
      </c>
      <c r="H591" s="223">
        <v>0.27083333333333331</v>
      </c>
      <c r="I591" s="221" t="s">
        <v>4916</v>
      </c>
      <c r="J591" s="221" t="s">
        <v>3024</v>
      </c>
      <c r="K591" s="224" t="s">
        <v>3087</v>
      </c>
      <c r="L591" s="225" t="str">
        <f>VLOOKUP(Logfile_S12[[#This Row],[Material Name]],Sheet2!B:C,2,0)</f>
        <v>GCI1001</v>
      </c>
      <c r="M591" s="225" t="str">
        <f>_xlfn.XLOOKUP(Logfile_S12[[#This Row],[Material Name]],Sum_WH!E:E,Sum_WH!F:F,"",0)</f>
        <v>Pcs</v>
      </c>
      <c r="N591" s="221">
        <v>10</v>
      </c>
      <c r="O591" s="221" t="s">
        <v>222</v>
      </c>
      <c r="P591" s="221" t="s">
        <v>223</v>
      </c>
      <c r="Q591" s="221"/>
      <c r="R591" s="221"/>
      <c r="S591" s="221"/>
      <c r="T591" s="221" t="s">
        <v>3322</v>
      </c>
      <c r="U591" s="221" t="s">
        <v>3323</v>
      </c>
      <c r="V591" s="221" t="s">
        <v>3324</v>
      </c>
      <c r="W591" s="221" t="s">
        <v>3325</v>
      </c>
      <c r="X591" s="221"/>
      <c r="Y591" s="227"/>
      <c r="Z591" s="227" t="str">
        <f t="shared" si="29"/>
        <v>Puncak Dieng Exlusif</v>
      </c>
      <c r="AA591" s="276" t="e">
        <f>VLOOKUP(Logfile_S12[[#This Row],[DO number]],DO_DB!G:I,3,0)</f>
        <v>#N/A</v>
      </c>
      <c r="AB591" s="331" t="e">
        <f>EXACT(Logfile_S12[[#This Row],[date pick]],Logfile_S12[[#This Row],[Date]])</f>
        <v>#N/A</v>
      </c>
      <c r="AC5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92" spans="1:29" ht="14.5" hidden="1">
      <c r="A592" s="220" t="str">
        <f t="shared" si="28"/>
        <v>588</v>
      </c>
      <c r="B592" s="221"/>
      <c r="C592" s="221" t="s">
        <v>49</v>
      </c>
      <c r="D592" s="221" t="s">
        <v>3730</v>
      </c>
      <c r="E592" s="221" t="s">
        <v>3295</v>
      </c>
      <c r="F592" s="221" t="s">
        <v>3299</v>
      </c>
      <c r="G592" s="222">
        <v>45196</v>
      </c>
      <c r="H592" s="223">
        <v>0.52083333333333337</v>
      </c>
      <c r="I592" s="221" t="s">
        <v>4916</v>
      </c>
      <c r="J592" s="221" t="s">
        <v>3024</v>
      </c>
      <c r="K592" s="224" t="s">
        <v>3087</v>
      </c>
      <c r="L592" s="225" t="str">
        <f>VLOOKUP(Logfile_S12[[#This Row],[Material Name]],Sheet2!B:C,2,0)</f>
        <v>GCI1001</v>
      </c>
      <c r="M592" s="225" t="str">
        <f>_xlfn.XLOOKUP(Logfile_S12[[#This Row],[Material Name]],Sum_WH!E:E,Sum_WH!F:F,"",0)</f>
        <v>Pcs</v>
      </c>
      <c r="N592" s="221">
        <v>17</v>
      </c>
      <c r="O592" s="221" t="s">
        <v>172</v>
      </c>
      <c r="P592" s="221" t="s">
        <v>3319</v>
      </c>
      <c r="Q592" s="221"/>
      <c r="R592" s="221"/>
      <c r="S592" s="221"/>
      <c r="T592" s="221" t="s">
        <v>3346</v>
      </c>
      <c r="U592" s="221">
        <v>0</v>
      </c>
      <c r="V592" s="221" t="s">
        <v>3347</v>
      </c>
      <c r="W592" s="221" t="s">
        <v>3387</v>
      </c>
      <c r="X592" s="221"/>
      <c r="Y592" s="227"/>
      <c r="Z592" s="227" t="str">
        <f t="shared" si="29"/>
        <v>Pandan Landung RW 03 Wagir</v>
      </c>
      <c r="AA592" s="276" t="e">
        <f>VLOOKUP(Logfile_S12[[#This Row],[DO number]],DO_DB!G:I,3,0)</f>
        <v>#N/A</v>
      </c>
      <c r="AB592" s="331" t="e">
        <f>EXACT(Logfile_S12[[#This Row],[date pick]],Logfile_S12[[#This Row],[Date]])</f>
        <v>#N/A</v>
      </c>
      <c r="AC5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93" spans="1:29" ht="14.5" hidden="1">
      <c r="A593" s="220" t="str">
        <f t="shared" si="28"/>
        <v>589</v>
      </c>
      <c r="B593" s="221"/>
      <c r="C593" s="221" t="s">
        <v>49</v>
      </c>
      <c r="D593" s="221" t="s">
        <v>3734</v>
      </c>
      <c r="E593" s="221" t="s">
        <v>3295</v>
      </c>
      <c r="F593" s="221" t="s">
        <v>3299</v>
      </c>
      <c r="G593" s="222">
        <v>45200</v>
      </c>
      <c r="H593" s="223">
        <v>0.27083333333333331</v>
      </c>
      <c r="I593" s="221" t="s">
        <v>4916</v>
      </c>
      <c r="J593" s="221" t="s">
        <v>3024</v>
      </c>
      <c r="K593" s="224" t="s">
        <v>3087</v>
      </c>
      <c r="L593" s="225" t="str">
        <f>VLOOKUP(Logfile_S12[[#This Row],[Material Name]],Sheet2!B:C,2,0)</f>
        <v>GCI1001</v>
      </c>
      <c r="M593" s="225" t="str">
        <f>_xlfn.XLOOKUP(Logfile_S12[[#This Row],[Material Name]],Sum_WH!E:E,Sum_WH!F:F,"",0)</f>
        <v>Pcs</v>
      </c>
      <c r="N593" s="221">
        <v>20</v>
      </c>
      <c r="O593" s="221" t="s">
        <v>222</v>
      </c>
      <c r="P593" s="221" t="s">
        <v>223</v>
      </c>
      <c r="Q593" s="221"/>
      <c r="R593" s="221"/>
      <c r="S593" s="221"/>
      <c r="T593" s="221" t="s">
        <v>3322</v>
      </c>
      <c r="U593" s="221" t="s">
        <v>3323</v>
      </c>
      <c r="V593" s="221" t="s">
        <v>3324</v>
      </c>
      <c r="W593" s="221" t="s">
        <v>3386</v>
      </c>
      <c r="X593" s="221"/>
      <c r="Y593" s="227"/>
      <c r="Z593" s="227" t="str">
        <f t="shared" si="29"/>
        <v>Puncak Dieng Exlusif</v>
      </c>
      <c r="AA593" s="276" t="e">
        <f>VLOOKUP(Logfile_S12[[#This Row],[DO number]],DO_DB!G:I,3,0)</f>
        <v>#N/A</v>
      </c>
      <c r="AB593" s="331" t="e">
        <f>EXACT(Logfile_S12[[#This Row],[date pick]],Logfile_S12[[#This Row],[Date]])</f>
        <v>#N/A</v>
      </c>
      <c r="AC5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94" spans="1:29" ht="14.5" hidden="1">
      <c r="A594" s="220" t="str">
        <f t="shared" si="28"/>
        <v>590</v>
      </c>
      <c r="B594" s="221"/>
      <c r="C594" s="221" t="s">
        <v>48</v>
      </c>
      <c r="D594" s="221" t="s">
        <v>3737</v>
      </c>
      <c r="E594" s="221" t="s">
        <v>3295</v>
      </c>
      <c r="F594" s="221" t="s">
        <v>3299</v>
      </c>
      <c r="G594" s="222">
        <v>45201</v>
      </c>
      <c r="H594" s="223">
        <v>15.291666666666666</v>
      </c>
      <c r="I594" s="221" t="s">
        <v>38</v>
      </c>
      <c r="J594" s="221" t="s">
        <v>3024</v>
      </c>
      <c r="K594" s="224" t="s">
        <v>3226</v>
      </c>
      <c r="L594" s="225" t="str">
        <f>VLOOKUP(Logfile_S12[[#This Row],[Material Name]],Sheet2!B:C,2,0)</f>
        <v>GCI1001</v>
      </c>
      <c r="M594" s="225" t="str">
        <f>_xlfn.XLOOKUP(Logfile_S12[[#This Row],[Material Name]],Sum_WH!E:E,Sum_WH!F:F,"",0)</f>
        <v>Pcs</v>
      </c>
      <c r="N594" s="221">
        <v>21</v>
      </c>
      <c r="O594" s="221" t="s">
        <v>3344</v>
      </c>
      <c r="P594" s="221" t="s">
        <v>3345</v>
      </c>
      <c r="Q594" s="221">
        <v>0</v>
      </c>
      <c r="R594" s="221">
        <v>0</v>
      </c>
      <c r="S594" s="221"/>
      <c r="T594" s="221"/>
      <c r="U594" s="221"/>
      <c r="V594" s="221"/>
      <c r="W594" s="221"/>
      <c r="X594" s="221"/>
      <c r="Y594" s="227"/>
      <c r="Z594" s="227" t="str">
        <f t="shared" si="29"/>
        <v>Purchase</v>
      </c>
      <c r="AA594" s="276" t="e">
        <f>VLOOKUP(Logfile_S12[[#This Row],[DO number]],DO_DB!G:I,3,0)</f>
        <v>#N/A</v>
      </c>
      <c r="AB594" s="331" t="e">
        <f>EXACT(Logfile_S12[[#This Row],[date pick]],Logfile_S12[[#This Row],[Date]])</f>
        <v>#N/A</v>
      </c>
      <c r="AC5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95" spans="1:29" ht="14.5" hidden="1">
      <c r="A595" s="220" t="str">
        <f t="shared" si="28"/>
        <v>591</v>
      </c>
      <c r="B595" s="221"/>
      <c r="C595" s="221" t="s">
        <v>3388</v>
      </c>
      <c r="D595" s="221" t="s">
        <v>3736</v>
      </c>
      <c r="E595" s="221" t="s">
        <v>3295</v>
      </c>
      <c r="F595" s="221" t="s">
        <v>3299</v>
      </c>
      <c r="G595" s="222">
        <v>45201</v>
      </c>
      <c r="H595" s="223">
        <v>0.87361111111111101</v>
      </c>
      <c r="I595" s="221" t="s">
        <v>4916</v>
      </c>
      <c r="J595" s="221" t="s">
        <v>3024</v>
      </c>
      <c r="K595" s="224" t="s">
        <v>3087</v>
      </c>
      <c r="L595" s="225" t="str">
        <f>VLOOKUP(Logfile_S12[[#This Row],[Material Name]],Sheet2!B:C,2,0)</f>
        <v>GCI1001</v>
      </c>
      <c r="M595" s="225" t="str">
        <f>_xlfn.XLOOKUP(Logfile_S12[[#This Row],[Material Name]],Sum_WH!E:E,Sum_WH!F:F,"",0)</f>
        <v>Pcs</v>
      </c>
      <c r="N595" s="221">
        <v>6</v>
      </c>
      <c r="O595" s="221" t="s">
        <v>3314</v>
      </c>
      <c r="P595" s="221" t="s">
        <v>3223</v>
      </c>
      <c r="Q595" s="221"/>
      <c r="R595" s="221"/>
      <c r="S595" s="221"/>
      <c r="T595" s="221" t="s">
        <v>3389</v>
      </c>
      <c r="U595" s="221">
        <v>0</v>
      </c>
      <c r="V595" s="221">
        <v>0</v>
      </c>
      <c r="W595" s="221">
        <v>0</v>
      </c>
      <c r="X595" s="221"/>
      <c r="Y595" s="227"/>
      <c r="Z595" s="227" t="str">
        <f t="shared" si="29"/>
        <v>Transfer Gudang</v>
      </c>
      <c r="AA595" s="276" t="e">
        <f>VLOOKUP(Logfile_S12[[#This Row],[DO number]],DO_DB!G:I,3,0)</f>
        <v>#N/A</v>
      </c>
      <c r="AB595" s="331" t="e">
        <f>EXACT(Logfile_S12[[#This Row],[date pick]],Logfile_S12[[#This Row],[Date]])</f>
        <v>#N/A</v>
      </c>
      <c r="AC5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596" spans="1:29" ht="14.5" hidden="1">
      <c r="A596" s="220" t="str">
        <f t="shared" si="28"/>
        <v>592</v>
      </c>
      <c r="B596" s="221"/>
      <c r="C596" s="221" t="s">
        <v>49</v>
      </c>
      <c r="D596" s="221" t="s">
        <v>3738</v>
      </c>
      <c r="E596" s="221" t="s">
        <v>3295</v>
      </c>
      <c r="F596" s="221" t="s">
        <v>3299</v>
      </c>
      <c r="G596" s="222">
        <v>45203</v>
      </c>
      <c r="H596" s="223">
        <v>0.40277777777777773</v>
      </c>
      <c r="I596" s="221" t="s">
        <v>4916</v>
      </c>
      <c r="J596" s="221" t="s">
        <v>3024</v>
      </c>
      <c r="K596" s="224" t="s">
        <v>3087</v>
      </c>
      <c r="L596" s="225" t="str">
        <f>VLOOKUP(Logfile_S12[[#This Row],[Material Name]],Sheet2!B:C,2,0)</f>
        <v>GCI1001</v>
      </c>
      <c r="M596" s="225" t="str">
        <f>_xlfn.XLOOKUP(Logfile_S12[[#This Row],[Material Name]],Sum_WH!E:E,Sum_WH!F:F,"",0)</f>
        <v>Pcs</v>
      </c>
      <c r="N596" s="221">
        <v>8</v>
      </c>
      <c r="O596" s="221" t="s">
        <v>164</v>
      </c>
      <c r="P596" s="221" t="s">
        <v>3320</v>
      </c>
      <c r="Q596" s="221"/>
      <c r="R596" s="221"/>
      <c r="S596" s="221"/>
      <c r="T596" s="221" t="s">
        <v>3346</v>
      </c>
      <c r="U596" s="221">
        <v>0</v>
      </c>
      <c r="V596" s="221" t="s">
        <v>3347</v>
      </c>
      <c r="W596" s="221" t="s">
        <v>3334</v>
      </c>
      <c r="X596" s="221"/>
      <c r="Y596" s="227"/>
      <c r="Z596" s="227" t="str">
        <f t="shared" si="29"/>
        <v>Pandan Landung RW 04 Wagir</v>
      </c>
      <c r="AA596" s="276" t="e">
        <f>VLOOKUP(Logfile_S12[[#This Row],[DO number]],DO_DB!G:I,3,0)</f>
        <v>#N/A</v>
      </c>
      <c r="AB596" s="331" t="e">
        <f>EXACT(Logfile_S12[[#This Row],[date pick]],Logfile_S12[[#This Row],[Date]])</f>
        <v>#N/A</v>
      </c>
      <c r="AC5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97" spans="1:29" ht="14.5" hidden="1">
      <c r="A597" s="220" t="str">
        <f t="shared" si="28"/>
        <v>593</v>
      </c>
      <c r="B597" s="221"/>
      <c r="C597" s="221" t="s">
        <v>49</v>
      </c>
      <c r="D597" s="221" t="s">
        <v>3765</v>
      </c>
      <c r="E597" s="221" t="s">
        <v>3295</v>
      </c>
      <c r="F597" s="221" t="s">
        <v>3299</v>
      </c>
      <c r="G597" s="222">
        <v>45217</v>
      </c>
      <c r="H597" s="223">
        <v>0.58680555555555558</v>
      </c>
      <c r="I597" s="221" t="s">
        <v>4916</v>
      </c>
      <c r="J597" s="221" t="s">
        <v>3024</v>
      </c>
      <c r="K597" s="224" t="s">
        <v>3087</v>
      </c>
      <c r="L597" s="225" t="str">
        <f>VLOOKUP(Logfile_S12[[#This Row],[Material Name]],Sheet2!B:C,2,0)</f>
        <v>GCI1001</v>
      </c>
      <c r="M597" s="225" t="str">
        <f>_xlfn.XLOOKUP(Logfile_S12[[#This Row],[Material Name]],Sum_WH!E:E,Sum_WH!F:F,"",0)</f>
        <v>Pcs</v>
      </c>
      <c r="N597" s="221">
        <v>6</v>
      </c>
      <c r="O597" s="221" t="s">
        <v>172</v>
      </c>
      <c r="P597" s="221" t="s">
        <v>3319</v>
      </c>
      <c r="Q597" s="221"/>
      <c r="R597" s="221"/>
      <c r="S597" s="221"/>
      <c r="T597" s="221" t="s">
        <v>3346</v>
      </c>
      <c r="U597" s="221">
        <v>0</v>
      </c>
      <c r="V597" s="221" t="s">
        <v>3347</v>
      </c>
      <c r="W597" s="221" t="s">
        <v>3334</v>
      </c>
      <c r="X597" s="221"/>
      <c r="Y597" s="227"/>
      <c r="Z597" s="227" t="str">
        <f t="shared" si="29"/>
        <v>Pandan Landung RW 03 Wagir</v>
      </c>
      <c r="AA597" s="276" t="e">
        <f>VLOOKUP(Logfile_S12[[#This Row],[DO number]],DO_DB!G:I,3,0)</f>
        <v>#N/A</v>
      </c>
      <c r="AB597" s="331" t="e">
        <f>EXACT(Logfile_S12[[#This Row],[date pick]],Logfile_S12[[#This Row],[Date]])</f>
        <v>#N/A</v>
      </c>
      <c r="AC5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98" spans="1:29" ht="14.5" hidden="1">
      <c r="A598" s="220" t="str">
        <f t="shared" si="28"/>
        <v>594</v>
      </c>
      <c r="B598" s="221"/>
      <c r="C598" s="221" t="s">
        <v>48</v>
      </c>
      <c r="D598" s="221" t="s">
        <v>3787</v>
      </c>
      <c r="E598" s="221" t="s">
        <v>3295</v>
      </c>
      <c r="F598" s="221" t="s">
        <v>3299</v>
      </c>
      <c r="G598" s="222">
        <v>45220</v>
      </c>
      <c r="H598" s="223">
        <v>15.291666666666666</v>
      </c>
      <c r="I598" s="221" t="s">
        <v>38</v>
      </c>
      <c r="J598" s="221" t="s">
        <v>3024</v>
      </c>
      <c r="K598" s="224" t="s">
        <v>3239</v>
      </c>
      <c r="L598" s="225" t="str">
        <f>VLOOKUP(Logfile_S12[[#This Row],[Material Name]],Sheet2!B:C,2,0)</f>
        <v>GCI1001</v>
      </c>
      <c r="M598" s="225" t="str">
        <f>_xlfn.XLOOKUP(Logfile_S12[[#This Row],[Material Name]],Sum_WH!E:E,Sum_WH!F:F,"",0)</f>
        <v>Pcs</v>
      </c>
      <c r="N598" s="221">
        <v>88</v>
      </c>
      <c r="O598" s="221" t="s">
        <v>3344</v>
      </c>
      <c r="P598" s="221" t="s">
        <v>3345</v>
      </c>
      <c r="Q598" s="221">
        <v>0</v>
      </c>
      <c r="R598" s="221">
        <v>0</v>
      </c>
      <c r="S598" s="221"/>
      <c r="T598" s="221"/>
      <c r="U598" s="221"/>
      <c r="V598" s="221"/>
      <c r="W598" s="221"/>
      <c r="X598" s="221" t="s">
        <v>3350</v>
      </c>
      <c r="Y598" s="227"/>
      <c r="Z598" s="227" t="str">
        <f t="shared" si="29"/>
        <v>Purchase</v>
      </c>
      <c r="AA598" s="276" t="e">
        <f>VLOOKUP(Logfile_S12[[#This Row],[DO number]],DO_DB!G:I,3,0)</f>
        <v>#N/A</v>
      </c>
      <c r="AB598" s="331" t="e">
        <f>EXACT(Logfile_S12[[#This Row],[date pick]],Logfile_S12[[#This Row],[Date]])</f>
        <v>#N/A</v>
      </c>
      <c r="AC5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599" spans="1:29" ht="14.5" hidden="1">
      <c r="A599" s="220" t="str">
        <f t="shared" si="28"/>
        <v>595</v>
      </c>
      <c r="B599" s="221"/>
      <c r="C599" s="221" t="s">
        <v>49</v>
      </c>
      <c r="D599" s="221" t="s">
        <v>3773</v>
      </c>
      <c r="E599" s="221" t="s">
        <v>3295</v>
      </c>
      <c r="F599" s="221" t="s">
        <v>3299</v>
      </c>
      <c r="G599" s="222">
        <v>45220</v>
      </c>
      <c r="H599" s="223">
        <v>0.97499999999999998</v>
      </c>
      <c r="I599" s="221" t="s">
        <v>4916</v>
      </c>
      <c r="J599" s="221" t="s">
        <v>3024</v>
      </c>
      <c r="K599" s="224" t="s">
        <v>3087</v>
      </c>
      <c r="L599" s="225" t="str">
        <f>VLOOKUP(Logfile_S12[[#This Row],[Material Name]],Sheet2!B:C,2,0)</f>
        <v>GCI1001</v>
      </c>
      <c r="M599" s="225" t="str">
        <f>_xlfn.XLOOKUP(Logfile_S12[[#This Row],[Material Name]],Sum_WH!E:E,Sum_WH!F:F,"",0)</f>
        <v>Pcs</v>
      </c>
      <c r="N599" s="221">
        <v>2</v>
      </c>
      <c r="O599" s="221">
        <v>0</v>
      </c>
      <c r="P599" s="221">
        <v>0</v>
      </c>
      <c r="Q599" s="221"/>
      <c r="R599" s="221"/>
      <c r="S599" s="221"/>
      <c r="T599" s="221" t="s">
        <v>3332</v>
      </c>
      <c r="U599" s="221">
        <v>0</v>
      </c>
      <c r="V599" s="221" t="s">
        <v>3333</v>
      </c>
      <c r="W599" s="221" t="s">
        <v>3334</v>
      </c>
      <c r="X599" s="221"/>
      <c r="Y599" s="227"/>
      <c r="Z599" s="227">
        <f t="shared" si="29"/>
        <v>0</v>
      </c>
      <c r="AA599" s="276" t="e">
        <f>VLOOKUP(Logfile_S12[[#This Row],[DO number]],DO_DB!G:I,3,0)</f>
        <v>#N/A</v>
      </c>
      <c r="AB599" s="331" t="e">
        <f>EXACT(Logfile_S12[[#This Row],[date pick]],Logfile_S12[[#This Row],[Date]])</f>
        <v>#N/A</v>
      </c>
      <c r="AC5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00" spans="1:29" ht="14.5" hidden="1">
      <c r="A600" s="220" t="str">
        <f t="shared" si="28"/>
        <v>596</v>
      </c>
      <c r="B600" s="221"/>
      <c r="C600" s="221" t="s">
        <v>49</v>
      </c>
      <c r="D600" s="221" t="s">
        <v>3772</v>
      </c>
      <c r="E600" s="221" t="s">
        <v>3295</v>
      </c>
      <c r="F600" s="221" t="s">
        <v>3299</v>
      </c>
      <c r="G600" s="222">
        <v>45220</v>
      </c>
      <c r="H600" s="223">
        <v>0.97499999999999998</v>
      </c>
      <c r="I600" s="221" t="s">
        <v>4916</v>
      </c>
      <c r="J600" s="221" t="s">
        <v>3024</v>
      </c>
      <c r="K600" s="224" t="s">
        <v>3226</v>
      </c>
      <c r="L600" s="225" t="str">
        <f>VLOOKUP(Logfile_S12[[#This Row],[Material Name]],Sheet2!B:C,2,0)</f>
        <v>GCI1001</v>
      </c>
      <c r="M600" s="225" t="str">
        <f>_xlfn.XLOOKUP(Logfile_S12[[#This Row],[Material Name]],Sum_WH!E:E,Sum_WH!F:F,"",0)</f>
        <v>Pcs</v>
      </c>
      <c r="N600" s="221">
        <v>18</v>
      </c>
      <c r="O600" s="221" t="s">
        <v>324</v>
      </c>
      <c r="P600" s="221" t="s">
        <v>325</v>
      </c>
      <c r="Q600" s="221"/>
      <c r="R600" s="221"/>
      <c r="S600" s="221"/>
      <c r="T600" s="221" t="s">
        <v>3322</v>
      </c>
      <c r="U600" s="221" t="s">
        <v>3323</v>
      </c>
      <c r="V600" s="221" t="s">
        <v>3324</v>
      </c>
      <c r="W600" s="221" t="s">
        <v>3325</v>
      </c>
      <c r="X600" s="221"/>
      <c r="Y600" s="227"/>
      <c r="Z600" s="227" t="str">
        <f t="shared" si="29"/>
        <v>Jedong RW 09 Wagir</v>
      </c>
      <c r="AA600" s="276" t="e">
        <f>VLOOKUP(Logfile_S12[[#This Row],[DO number]],DO_DB!G:I,3,0)</f>
        <v>#N/A</v>
      </c>
      <c r="AB600" s="331" t="e">
        <f>EXACT(Logfile_S12[[#This Row],[date pick]],Logfile_S12[[#This Row],[Date]])</f>
        <v>#N/A</v>
      </c>
      <c r="AC6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01" spans="1:29" ht="14.5" hidden="1">
      <c r="A601" s="220" t="str">
        <f t="shared" si="28"/>
        <v>597</v>
      </c>
      <c r="B601" s="221"/>
      <c r="C601" s="221" t="s">
        <v>49</v>
      </c>
      <c r="D601" s="221" t="s">
        <v>3774</v>
      </c>
      <c r="E601" s="221" t="s">
        <v>3295</v>
      </c>
      <c r="F601" s="221" t="s">
        <v>3299</v>
      </c>
      <c r="G601" s="222">
        <v>45220</v>
      </c>
      <c r="H601" s="223">
        <v>0.97499999999999998</v>
      </c>
      <c r="I601" s="221" t="s">
        <v>4916</v>
      </c>
      <c r="J601" s="221" t="s">
        <v>3024</v>
      </c>
      <c r="K601" s="224" t="s">
        <v>3239</v>
      </c>
      <c r="L601" s="225" t="str">
        <f>VLOOKUP(Logfile_S12[[#This Row],[Material Name]],Sheet2!B:C,2,0)</f>
        <v>GCI1001</v>
      </c>
      <c r="M601" s="225" t="str">
        <f>_xlfn.XLOOKUP(Logfile_S12[[#This Row],[Material Name]],Sum_WH!E:E,Sum_WH!F:F,"",0)</f>
        <v>Pcs</v>
      </c>
      <c r="N601" s="221">
        <v>26</v>
      </c>
      <c r="O601" s="221" t="s">
        <v>340</v>
      </c>
      <c r="P601" s="221" t="s">
        <v>341</v>
      </c>
      <c r="Q601" s="221"/>
      <c r="R601" s="221"/>
      <c r="S601" s="221"/>
      <c r="T601" s="221" t="s">
        <v>3322</v>
      </c>
      <c r="U601" s="221" t="s">
        <v>3323</v>
      </c>
      <c r="V601" s="221" t="s">
        <v>3324</v>
      </c>
      <c r="W601" s="221" t="s">
        <v>3325</v>
      </c>
      <c r="X601" s="221"/>
      <c r="Y601" s="227"/>
      <c r="Z601" s="227" t="str">
        <f t="shared" si="29"/>
        <v>Jedong RW 08 Wagir</v>
      </c>
      <c r="AA601" s="276" t="e">
        <f>VLOOKUP(Logfile_S12[[#This Row],[DO number]],DO_DB!G:I,3,0)</f>
        <v>#N/A</v>
      </c>
      <c r="AB601" s="331" t="e">
        <f>EXACT(Logfile_S12[[#This Row],[date pick]],Logfile_S12[[#This Row],[Date]])</f>
        <v>#N/A</v>
      </c>
      <c r="AC6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02" spans="1:29" ht="14.5" hidden="1">
      <c r="A602" s="220" t="str">
        <f t="shared" si="28"/>
        <v>598</v>
      </c>
      <c r="B602" s="221"/>
      <c r="C602" s="221" t="s">
        <v>48</v>
      </c>
      <c r="D602" s="221" t="s">
        <v>3789</v>
      </c>
      <c r="E602" s="221" t="s">
        <v>3295</v>
      </c>
      <c r="F602" s="221" t="s">
        <v>3299</v>
      </c>
      <c r="G602" s="222">
        <v>45221</v>
      </c>
      <c r="H602" s="223">
        <v>15.291666666666666</v>
      </c>
      <c r="I602" s="221" t="s">
        <v>38</v>
      </c>
      <c r="J602" s="221" t="s">
        <v>3024</v>
      </c>
      <c r="K602" s="224" t="s">
        <v>3087</v>
      </c>
      <c r="L602" s="225" t="str">
        <f>VLOOKUP(Logfile_S12[[#This Row],[Material Name]],Sheet2!B:C,2,0)</f>
        <v>GCI1001</v>
      </c>
      <c r="M602" s="225" t="str">
        <f>_xlfn.XLOOKUP(Logfile_S12[[#This Row],[Material Name]],Sum_WH!E:E,Sum_WH!F:F,"",0)</f>
        <v>Pcs</v>
      </c>
      <c r="N602" s="221">
        <v>10</v>
      </c>
      <c r="O602" s="221" t="s">
        <v>336</v>
      </c>
      <c r="P602" s="221" t="s">
        <v>337</v>
      </c>
      <c r="Q602" s="221">
        <v>0</v>
      </c>
      <c r="R602" s="221">
        <v>0</v>
      </c>
      <c r="S602" s="221"/>
      <c r="T602" s="221"/>
      <c r="U602" s="221"/>
      <c r="V602" s="221"/>
      <c r="W602" s="221"/>
      <c r="X602" s="221"/>
      <c r="Y602" s="227"/>
      <c r="Z602" s="227" t="str">
        <f t="shared" si="29"/>
        <v>Sidorahayu RW 02 Wagir</v>
      </c>
      <c r="AA602" s="276" t="e">
        <f>VLOOKUP(Logfile_S12[[#This Row],[DO number]],DO_DB!G:I,3,0)</f>
        <v>#N/A</v>
      </c>
      <c r="AB602" s="331" t="e">
        <f>EXACT(Logfile_S12[[#This Row],[date pick]],Logfile_S12[[#This Row],[Date]])</f>
        <v>#N/A</v>
      </c>
      <c r="AC6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03" spans="1:29" ht="14.5" hidden="1">
      <c r="A603" s="220" t="str">
        <f t="shared" si="28"/>
        <v>599</v>
      </c>
      <c r="B603" s="221"/>
      <c r="C603" s="221" t="s">
        <v>49</v>
      </c>
      <c r="D603" s="221" t="s">
        <v>3788</v>
      </c>
      <c r="E603" s="221" t="s">
        <v>3295</v>
      </c>
      <c r="F603" s="221" t="s">
        <v>3299</v>
      </c>
      <c r="G603" s="222">
        <v>45221</v>
      </c>
      <c r="H603" s="223">
        <v>0.9375</v>
      </c>
      <c r="I603" s="221" t="s">
        <v>4916</v>
      </c>
      <c r="J603" s="221" t="s">
        <v>3024</v>
      </c>
      <c r="K603" s="224" t="s">
        <v>3087</v>
      </c>
      <c r="L603" s="225" t="str">
        <f>VLOOKUP(Logfile_S12[[#This Row],[Material Name]],Sheet2!B:C,2,0)</f>
        <v>GCI1001</v>
      </c>
      <c r="M603" s="225" t="str">
        <f>_xlfn.XLOOKUP(Logfile_S12[[#This Row],[Material Name]],Sum_WH!E:E,Sum_WH!F:F,"",0)</f>
        <v>Pcs</v>
      </c>
      <c r="N603" s="221">
        <v>14</v>
      </c>
      <c r="O603" s="221" t="s">
        <v>328</v>
      </c>
      <c r="P603" s="221" t="s">
        <v>329</v>
      </c>
      <c r="Q603" s="221"/>
      <c r="R603" s="221"/>
      <c r="S603" s="221"/>
      <c r="T603" s="221" t="s">
        <v>3332</v>
      </c>
      <c r="U603" s="221">
        <v>0</v>
      </c>
      <c r="V603" s="221" t="s">
        <v>3333</v>
      </c>
      <c r="W603" s="221" t="s">
        <v>3334</v>
      </c>
      <c r="X603" s="221"/>
      <c r="Y603" s="227"/>
      <c r="Z603" s="227" t="str">
        <f t="shared" si="29"/>
        <v>Sukodadi RW 01 Wagir</v>
      </c>
      <c r="AA603" s="276" t="e">
        <f>VLOOKUP(Logfile_S12[[#This Row],[DO number]],DO_DB!G:I,3,0)</f>
        <v>#N/A</v>
      </c>
      <c r="AB603" s="331" t="e">
        <f>EXACT(Logfile_S12[[#This Row],[date pick]],Logfile_S12[[#This Row],[Date]])</f>
        <v>#N/A</v>
      </c>
      <c r="AC6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04" spans="1:29" ht="14.5" hidden="1">
      <c r="A604" s="220" t="str">
        <f t="shared" si="28"/>
        <v>600</v>
      </c>
      <c r="B604" s="221"/>
      <c r="C604" s="221" t="s">
        <v>49</v>
      </c>
      <c r="D604" s="221" t="s">
        <v>3788</v>
      </c>
      <c r="E604" s="221" t="s">
        <v>3295</v>
      </c>
      <c r="F604" s="221" t="s">
        <v>3299</v>
      </c>
      <c r="G604" s="222">
        <v>45221</v>
      </c>
      <c r="H604" s="223">
        <v>0.9375</v>
      </c>
      <c r="I604" s="221" t="s">
        <v>4916</v>
      </c>
      <c r="J604" s="221" t="s">
        <v>3024</v>
      </c>
      <c r="K604" s="224" t="s">
        <v>3087</v>
      </c>
      <c r="L604" s="225" t="str">
        <f>VLOOKUP(Logfile_S12[[#This Row],[Material Name]],Sheet2!B:C,2,0)</f>
        <v>GCI1001</v>
      </c>
      <c r="M604" s="225" t="str">
        <f>_xlfn.XLOOKUP(Logfile_S12[[#This Row],[Material Name]],Sum_WH!E:E,Sum_WH!F:F,"",0)</f>
        <v>Pcs</v>
      </c>
      <c r="N604" s="221">
        <v>15</v>
      </c>
      <c r="O604" s="221" t="s">
        <v>332</v>
      </c>
      <c r="P604" s="221" t="s">
        <v>333</v>
      </c>
      <c r="Q604" s="221"/>
      <c r="R604" s="221"/>
      <c r="S604" s="221"/>
      <c r="T604" s="221" t="s">
        <v>3332</v>
      </c>
      <c r="U604" s="221">
        <v>0</v>
      </c>
      <c r="V604" s="221" t="s">
        <v>3333</v>
      </c>
      <c r="W604" s="221" t="s">
        <v>3334</v>
      </c>
      <c r="X604" s="221"/>
      <c r="Y604" s="227"/>
      <c r="Z604" s="227" t="str">
        <f t="shared" si="29"/>
        <v>Sukodadi RW 02 Wagir</v>
      </c>
      <c r="AA604" s="276" t="e">
        <f>VLOOKUP(Logfile_S12[[#This Row],[DO number]],DO_DB!G:I,3,0)</f>
        <v>#N/A</v>
      </c>
      <c r="AB604" s="331" t="e">
        <f>EXACT(Logfile_S12[[#This Row],[date pick]],Logfile_S12[[#This Row],[Date]])</f>
        <v>#N/A</v>
      </c>
      <c r="AC6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05" spans="1:29" ht="14.5" hidden="1">
      <c r="A605" s="220" t="str">
        <f t="shared" si="28"/>
        <v>601</v>
      </c>
      <c r="B605" s="221"/>
      <c r="C605" s="221" t="s">
        <v>49</v>
      </c>
      <c r="D605" s="221" t="s">
        <v>3788</v>
      </c>
      <c r="E605" s="221" t="s">
        <v>3295</v>
      </c>
      <c r="F605" s="221" t="s">
        <v>3299</v>
      </c>
      <c r="G605" s="222">
        <v>45221</v>
      </c>
      <c r="H605" s="223">
        <v>0.9375</v>
      </c>
      <c r="I605" s="221" t="s">
        <v>4916</v>
      </c>
      <c r="J605" s="221" t="s">
        <v>3024</v>
      </c>
      <c r="K605" s="224" t="s">
        <v>3087</v>
      </c>
      <c r="L605" s="225" t="str">
        <f>VLOOKUP(Logfile_S12[[#This Row],[Material Name]],Sheet2!B:C,2,0)</f>
        <v>GCI1001</v>
      </c>
      <c r="M605" s="225" t="str">
        <f>_xlfn.XLOOKUP(Logfile_S12[[#This Row],[Material Name]],Sum_WH!E:E,Sum_WH!F:F,"",0)</f>
        <v>Pcs</v>
      </c>
      <c r="N605" s="221">
        <v>15</v>
      </c>
      <c r="O605" s="221" t="s">
        <v>336</v>
      </c>
      <c r="P605" s="221" t="s">
        <v>337</v>
      </c>
      <c r="Q605" s="221"/>
      <c r="R605" s="221"/>
      <c r="S605" s="221"/>
      <c r="T605" s="221" t="s">
        <v>3332</v>
      </c>
      <c r="U605" s="221">
        <v>0</v>
      </c>
      <c r="V605" s="221" t="s">
        <v>3333</v>
      </c>
      <c r="W605" s="221" t="s">
        <v>3334</v>
      </c>
      <c r="X605" s="221"/>
      <c r="Y605" s="227"/>
      <c r="Z605" s="227" t="str">
        <f t="shared" si="29"/>
        <v>Sidorahayu RW 02 Wagir</v>
      </c>
      <c r="AA605" s="276" t="e">
        <f>VLOOKUP(Logfile_S12[[#This Row],[DO number]],DO_DB!G:I,3,0)</f>
        <v>#N/A</v>
      </c>
      <c r="AB605" s="331" t="e">
        <f>EXACT(Logfile_S12[[#This Row],[date pick]],Logfile_S12[[#This Row],[Date]])</f>
        <v>#N/A</v>
      </c>
      <c r="AC6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06" spans="1:29" ht="14.5" hidden="1">
      <c r="A606" s="220" t="str">
        <f t="shared" si="28"/>
        <v>602</v>
      </c>
      <c r="B606" s="221"/>
      <c r="C606" s="221" t="s">
        <v>49</v>
      </c>
      <c r="D606" s="221" t="s">
        <v>3811</v>
      </c>
      <c r="E606" s="221" t="s">
        <v>3295</v>
      </c>
      <c r="F606" s="221" t="s">
        <v>3299</v>
      </c>
      <c r="G606" s="222">
        <v>45254</v>
      </c>
      <c r="H606" s="223">
        <v>0.45833333333333331</v>
      </c>
      <c r="I606" s="221" t="s">
        <v>4916</v>
      </c>
      <c r="J606" s="221" t="s">
        <v>3024</v>
      </c>
      <c r="K606" s="224" t="s">
        <v>3087</v>
      </c>
      <c r="L606" s="225" t="str">
        <f>VLOOKUP(Logfile_S12[[#This Row],[Material Name]],Sheet2!B:C,2,0)</f>
        <v>GCI1001</v>
      </c>
      <c r="M606" s="225" t="str">
        <f>_xlfn.XLOOKUP(Logfile_S12[[#This Row],[Material Name]],Sum_WH!E:E,Sum_WH!F:F,"",0)</f>
        <v>Pcs</v>
      </c>
      <c r="N606" s="221">
        <v>1</v>
      </c>
      <c r="O606" s="221" t="s">
        <v>340</v>
      </c>
      <c r="P606" s="221" t="s">
        <v>341</v>
      </c>
      <c r="Q606" s="221"/>
      <c r="R606" s="221"/>
      <c r="S606" s="221"/>
      <c r="T606" s="221" t="s">
        <v>3233</v>
      </c>
      <c r="U606" s="221">
        <v>0</v>
      </c>
      <c r="V606" s="221" t="s">
        <v>3390</v>
      </c>
      <c r="W606" s="221" t="s">
        <v>3391</v>
      </c>
      <c r="X606" s="221"/>
      <c r="Y606" s="227"/>
      <c r="Z606" s="227" t="str">
        <f t="shared" si="29"/>
        <v>Jedong RW 08 Wagir</v>
      </c>
      <c r="AA606" s="276" t="e">
        <f>VLOOKUP(Logfile_S12[[#This Row],[DO number]],DO_DB!G:I,3,0)</f>
        <v>#N/A</v>
      </c>
      <c r="AB606" s="331" t="e">
        <f>EXACT(Logfile_S12[[#This Row],[date pick]],Logfile_S12[[#This Row],[Date]])</f>
        <v>#N/A</v>
      </c>
      <c r="AC6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07" spans="1:29" ht="14.5" hidden="1">
      <c r="A607" s="220" t="str">
        <f t="shared" si="28"/>
        <v>603</v>
      </c>
      <c r="B607" s="221"/>
      <c r="C607" s="221" t="s">
        <v>49</v>
      </c>
      <c r="D607" s="221" t="s">
        <v>3816</v>
      </c>
      <c r="E607" s="221" t="s">
        <v>3295</v>
      </c>
      <c r="F607" s="221" t="s">
        <v>3299</v>
      </c>
      <c r="G607" s="222">
        <v>45256</v>
      </c>
      <c r="H607" s="223">
        <v>0.31597222222222221</v>
      </c>
      <c r="I607" s="221" t="s">
        <v>4916</v>
      </c>
      <c r="J607" s="221" t="s">
        <v>3024</v>
      </c>
      <c r="K607" s="224" t="s">
        <v>3087</v>
      </c>
      <c r="L607" s="225" t="str">
        <f>VLOOKUP(Logfile_S12[[#This Row],[Material Name]],Sheet2!B:C,2,0)</f>
        <v>GCI1001</v>
      </c>
      <c r="M607" s="225" t="str">
        <f>_xlfn.XLOOKUP(Logfile_S12[[#This Row],[Material Name]],Sum_WH!E:E,Sum_WH!F:F,"",0)</f>
        <v>Pcs</v>
      </c>
      <c r="N607" s="221">
        <v>1</v>
      </c>
      <c r="O607" s="221" t="s">
        <v>340</v>
      </c>
      <c r="P607" s="221" t="s">
        <v>341</v>
      </c>
      <c r="Q607" s="221"/>
      <c r="R607" s="221"/>
      <c r="S607" s="221"/>
      <c r="T607" s="221" t="s">
        <v>3351</v>
      </c>
      <c r="U607" s="221">
        <v>0</v>
      </c>
      <c r="V607" s="221" t="s">
        <v>3352</v>
      </c>
      <c r="W607" s="221" t="s">
        <v>3353</v>
      </c>
      <c r="X607" s="221"/>
      <c r="Y607" s="227"/>
      <c r="Z607" s="227" t="str">
        <f t="shared" si="29"/>
        <v>Jedong RW 08 Wagir</v>
      </c>
      <c r="AA607" s="276" t="e">
        <f>VLOOKUP(Logfile_S12[[#This Row],[DO number]],DO_DB!G:I,3,0)</f>
        <v>#N/A</v>
      </c>
      <c r="AB607" s="331" t="e">
        <f>EXACT(Logfile_S12[[#This Row],[date pick]],Logfile_S12[[#This Row],[Date]])</f>
        <v>#N/A</v>
      </c>
      <c r="AC6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08" spans="1:29" ht="14.5" hidden="1">
      <c r="A608" s="220" t="str">
        <f t="shared" si="28"/>
        <v>604</v>
      </c>
      <c r="B608" s="221"/>
      <c r="C608" s="221" t="s">
        <v>48</v>
      </c>
      <c r="D608" s="221" t="s">
        <v>3825</v>
      </c>
      <c r="E608" s="221" t="s">
        <v>3295</v>
      </c>
      <c r="F608" s="221" t="s">
        <v>3299</v>
      </c>
      <c r="G608" s="222">
        <v>45258</v>
      </c>
      <c r="H608" s="223">
        <v>15.291666666666666</v>
      </c>
      <c r="I608" s="221" t="s">
        <v>38</v>
      </c>
      <c r="J608" s="221" t="s">
        <v>3024</v>
      </c>
      <c r="K608" s="224" t="s">
        <v>3087</v>
      </c>
      <c r="L608" s="225" t="str">
        <f>VLOOKUP(Logfile_S12[[#This Row],[Material Name]],Sheet2!B:C,2,0)</f>
        <v>GCI1001</v>
      </c>
      <c r="M608" s="225" t="str">
        <f>_xlfn.XLOOKUP(Logfile_S12[[#This Row],[Material Name]],Sum_WH!E:E,Sum_WH!F:F,"",0)</f>
        <v>Pcs</v>
      </c>
      <c r="N608" s="221">
        <v>27</v>
      </c>
      <c r="O608" s="221" t="s">
        <v>3344</v>
      </c>
      <c r="P608" s="221" t="s">
        <v>3345</v>
      </c>
      <c r="Q608" s="221">
        <v>0</v>
      </c>
      <c r="R608" s="221">
        <v>0</v>
      </c>
      <c r="S608" s="221"/>
      <c r="T608" s="221"/>
      <c r="U608" s="221"/>
      <c r="V608" s="221"/>
      <c r="W608" s="221"/>
      <c r="X608" s="221"/>
      <c r="Y608" s="227"/>
      <c r="Z608" s="227" t="str">
        <f t="shared" si="29"/>
        <v>Purchase</v>
      </c>
      <c r="AA608" s="276" t="e">
        <f>VLOOKUP(Logfile_S12[[#This Row],[DO number]],DO_DB!G:I,3,0)</f>
        <v>#N/A</v>
      </c>
      <c r="AB608" s="331" t="e">
        <f>EXACT(Logfile_S12[[#This Row],[date pick]],Logfile_S12[[#This Row],[Date]])</f>
        <v>#N/A</v>
      </c>
      <c r="AC6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09" spans="1:29" ht="14.5" hidden="1">
      <c r="A609" s="220" t="str">
        <f t="shared" si="28"/>
        <v>605</v>
      </c>
      <c r="B609" s="221"/>
      <c r="C609" s="221" t="s">
        <v>49</v>
      </c>
      <c r="D609" s="221" t="s">
        <v>3830</v>
      </c>
      <c r="E609" s="221" t="s">
        <v>3295</v>
      </c>
      <c r="F609" s="221" t="s">
        <v>3299</v>
      </c>
      <c r="G609" s="222">
        <v>45266</v>
      </c>
      <c r="H609" s="223">
        <v>0.39999999999999997</v>
      </c>
      <c r="I609" s="221" t="s">
        <v>4916</v>
      </c>
      <c r="J609" s="221" t="s">
        <v>3024</v>
      </c>
      <c r="K609" s="224" t="s">
        <v>3087</v>
      </c>
      <c r="L609" s="225" t="str">
        <f>VLOOKUP(Logfile_S12[[#This Row],[Material Name]],Sheet2!B:C,2,0)</f>
        <v>GCI1001</v>
      </c>
      <c r="M609" s="225" t="str">
        <f>_xlfn.XLOOKUP(Logfile_S12[[#This Row],[Material Name]],Sum_WH!E:E,Sum_WH!F:F,"",0)</f>
        <v>Pcs</v>
      </c>
      <c r="N609" s="221">
        <v>4</v>
      </c>
      <c r="O609" s="221" t="s">
        <v>468</v>
      </c>
      <c r="P609" s="221" t="s">
        <v>469</v>
      </c>
      <c r="Q609" s="221"/>
      <c r="R609" s="221"/>
      <c r="S609" s="221"/>
      <c r="T609" s="221" t="s">
        <v>3346</v>
      </c>
      <c r="U609" s="221">
        <v>0</v>
      </c>
      <c r="V609" s="221" t="s">
        <v>3347</v>
      </c>
      <c r="W609" s="221" t="s">
        <v>3334</v>
      </c>
      <c r="X609" s="221"/>
      <c r="Y609" s="227"/>
      <c r="Z609" s="227" t="str">
        <f t="shared" si="29"/>
        <v>Jedong RW 07 Wagir</v>
      </c>
      <c r="AA609" s="276" t="e">
        <f>VLOOKUP(Logfile_S12[[#This Row],[DO number]],DO_DB!G:I,3,0)</f>
        <v>#N/A</v>
      </c>
      <c r="AB609" s="331" t="e">
        <f>EXACT(Logfile_S12[[#This Row],[date pick]],Logfile_S12[[#This Row],[Date]])</f>
        <v>#N/A</v>
      </c>
      <c r="AC6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10" spans="1:29" ht="14.5" hidden="1">
      <c r="A610" s="220" t="str">
        <f t="shared" si="28"/>
        <v>606</v>
      </c>
      <c r="B610" s="221"/>
      <c r="C610" s="221" t="s">
        <v>49</v>
      </c>
      <c r="D610" s="221" t="s">
        <v>3830</v>
      </c>
      <c r="E610" s="221" t="s">
        <v>3295</v>
      </c>
      <c r="F610" s="221" t="s">
        <v>3299</v>
      </c>
      <c r="G610" s="222">
        <v>45266</v>
      </c>
      <c r="H610" s="223">
        <v>0.39999999999999997</v>
      </c>
      <c r="I610" s="221" t="s">
        <v>4916</v>
      </c>
      <c r="J610" s="221" t="s">
        <v>3024</v>
      </c>
      <c r="K610" s="224" t="s">
        <v>3087</v>
      </c>
      <c r="L610" s="225" t="str">
        <f>VLOOKUP(Logfile_S12[[#This Row],[Material Name]],Sheet2!B:C,2,0)</f>
        <v>GCI1001</v>
      </c>
      <c r="M610" s="225" t="str">
        <f>_xlfn.XLOOKUP(Logfile_S12[[#This Row],[Material Name]],Sum_WH!E:E,Sum_WH!F:F,"",0)</f>
        <v>Pcs</v>
      </c>
      <c r="N610" s="221">
        <v>18</v>
      </c>
      <c r="O610" s="221" t="s">
        <v>468</v>
      </c>
      <c r="P610" s="221" t="s">
        <v>469</v>
      </c>
      <c r="Q610" s="221"/>
      <c r="R610" s="221"/>
      <c r="S610" s="221"/>
      <c r="T610" s="221" t="s">
        <v>3346</v>
      </c>
      <c r="U610" s="221">
        <v>0</v>
      </c>
      <c r="V610" s="221" t="s">
        <v>3347</v>
      </c>
      <c r="W610" s="221" t="s">
        <v>3334</v>
      </c>
      <c r="X610" s="221"/>
      <c r="Y610" s="227"/>
      <c r="Z610" s="227" t="str">
        <f t="shared" si="29"/>
        <v>Jedong RW 07 Wagir</v>
      </c>
      <c r="AA610" s="276" t="e">
        <f>VLOOKUP(Logfile_S12[[#This Row],[DO number]],DO_DB!G:I,3,0)</f>
        <v>#N/A</v>
      </c>
      <c r="AB610" s="331" t="e">
        <f>EXACT(Logfile_S12[[#This Row],[date pick]],Logfile_S12[[#This Row],[Date]])</f>
        <v>#N/A</v>
      </c>
      <c r="AC6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11" spans="1:29" ht="14.5" hidden="1">
      <c r="A611" s="220" t="str">
        <f t="shared" si="28"/>
        <v>607</v>
      </c>
      <c r="B611" s="221"/>
      <c r="C611" s="221" t="s">
        <v>49</v>
      </c>
      <c r="D611" s="221" t="s">
        <v>3834</v>
      </c>
      <c r="E611" s="221" t="s">
        <v>3295</v>
      </c>
      <c r="F611" s="221" t="s">
        <v>3299</v>
      </c>
      <c r="G611" s="222">
        <v>45271</v>
      </c>
      <c r="H611" s="223">
        <v>0.47916666666666669</v>
      </c>
      <c r="I611" s="221" t="s">
        <v>4916</v>
      </c>
      <c r="J611" s="221" t="s">
        <v>3024</v>
      </c>
      <c r="K611" s="224" t="s">
        <v>3087</v>
      </c>
      <c r="L611" s="225" t="str">
        <f>VLOOKUP(Logfile_S12[[#This Row],[Material Name]],Sheet2!B:C,2,0)</f>
        <v>GCI1001</v>
      </c>
      <c r="M611" s="225" t="str">
        <f>_xlfn.XLOOKUP(Logfile_S12[[#This Row],[Material Name]],Sum_WH!E:E,Sum_WH!F:F,"",0)</f>
        <v>Pcs</v>
      </c>
      <c r="N611" s="221">
        <v>3</v>
      </c>
      <c r="O611" s="221" t="s">
        <v>468</v>
      </c>
      <c r="P611" s="221" t="s">
        <v>469</v>
      </c>
      <c r="Q611" s="221"/>
      <c r="R611" s="221"/>
      <c r="S611" s="221"/>
      <c r="T611" s="221" t="s">
        <v>3346</v>
      </c>
      <c r="U611" s="221">
        <v>0</v>
      </c>
      <c r="V611" s="221" t="s">
        <v>3347</v>
      </c>
      <c r="W611" s="221" t="s">
        <v>3334</v>
      </c>
      <c r="X611" s="221"/>
      <c r="Y611" s="227"/>
      <c r="Z611" s="227" t="str">
        <f t="shared" si="29"/>
        <v>Jedong RW 07 Wagir</v>
      </c>
      <c r="AA611" s="276" t="e">
        <f>VLOOKUP(Logfile_S12[[#This Row],[DO number]],DO_DB!G:I,3,0)</f>
        <v>#N/A</v>
      </c>
      <c r="AB611" s="331" t="e">
        <f>EXACT(Logfile_S12[[#This Row],[date pick]],Logfile_S12[[#This Row],[Date]])</f>
        <v>#N/A</v>
      </c>
      <c r="AC6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12" spans="1:29" ht="14.5" hidden="1">
      <c r="A612" s="220" t="str">
        <f t="shared" si="28"/>
        <v>608</v>
      </c>
      <c r="B612" s="221"/>
      <c r="C612" s="221" t="s">
        <v>49</v>
      </c>
      <c r="D612" s="221" t="s">
        <v>3839</v>
      </c>
      <c r="E612" s="221" t="s">
        <v>3295</v>
      </c>
      <c r="F612" s="221" t="s">
        <v>3299</v>
      </c>
      <c r="G612" s="222">
        <v>45282</v>
      </c>
      <c r="H612" s="223">
        <v>0.56041666666666667</v>
      </c>
      <c r="I612" s="221" t="s">
        <v>4916</v>
      </c>
      <c r="J612" s="221" t="s">
        <v>3024</v>
      </c>
      <c r="K612" s="224" t="s">
        <v>3087</v>
      </c>
      <c r="L612" s="225" t="str">
        <f>VLOOKUP(Logfile_S12[[#This Row],[Material Name]],Sheet2!B:C,2,0)</f>
        <v>GCI1001</v>
      </c>
      <c r="M612" s="225" t="str">
        <f>_xlfn.XLOOKUP(Logfile_S12[[#This Row],[Material Name]],Sum_WH!E:E,Sum_WH!F:F,"",0)</f>
        <v>Pcs</v>
      </c>
      <c r="N612" s="221">
        <v>17</v>
      </c>
      <c r="O612" s="221" t="s">
        <v>732</v>
      </c>
      <c r="P612" s="221" t="s">
        <v>733</v>
      </c>
      <c r="Q612" s="221"/>
      <c r="R612" s="221"/>
      <c r="S612" s="221"/>
      <c r="T612" s="221" t="s">
        <v>3258</v>
      </c>
      <c r="U612" s="221" t="s">
        <v>3228</v>
      </c>
      <c r="V612" s="221" t="s">
        <v>3337</v>
      </c>
      <c r="W612" s="221" t="s">
        <v>3338</v>
      </c>
      <c r="X612" s="221"/>
      <c r="Y612" s="227"/>
      <c r="Z612" s="227" t="str">
        <f t="shared" si="29"/>
        <v>Sitirejo RW 01 Wagir</v>
      </c>
      <c r="AA612" s="276" t="e">
        <f>VLOOKUP(Logfile_S12[[#This Row],[DO number]],DO_DB!G:I,3,0)</f>
        <v>#N/A</v>
      </c>
      <c r="AB612" s="331" t="e">
        <f>EXACT(Logfile_S12[[#This Row],[date pick]],Logfile_S12[[#This Row],[Date]])</f>
        <v>#N/A</v>
      </c>
      <c r="AC6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13" spans="1:29" ht="14.5" hidden="1">
      <c r="A613" s="220" t="str">
        <f t="shared" si="28"/>
        <v>609</v>
      </c>
      <c r="B613" s="221"/>
      <c r="C613" s="221" t="s">
        <v>48</v>
      </c>
      <c r="D613" s="221" t="s">
        <v>3854</v>
      </c>
      <c r="E613" s="221" t="s">
        <v>3295</v>
      </c>
      <c r="F613" s="221" t="s">
        <v>3299</v>
      </c>
      <c r="G613" s="222">
        <v>45295</v>
      </c>
      <c r="H613" s="223">
        <v>15.291666666666666</v>
      </c>
      <c r="I613" s="221" t="s">
        <v>38</v>
      </c>
      <c r="J613" s="221" t="s">
        <v>3024</v>
      </c>
      <c r="K613" s="224" t="s">
        <v>3087</v>
      </c>
      <c r="L613" s="225" t="str">
        <f>VLOOKUP(Logfile_S12[[#This Row],[Material Name]],Sheet2!B:C,2,0)</f>
        <v>GCI1001</v>
      </c>
      <c r="M613" s="225" t="str">
        <f>_xlfn.XLOOKUP(Logfile_S12[[#This Row],[Material Name]],Sum_WH!E:E,Sum_WH!F:F,"",0)</f>
        <v>Pcs</v>
      </c>
      <c r="N613" s="221">
        <v>32</v>
      </c>
      <c r="O613" s="221" t="s">
        <v>3344</v>
      </c>
      <c r="P613" s="221" t="s">
        <v>3345</v>
      </c>
      <c r="Q613" s="221">
        <v>0</v>
      </c>
      <c r="R613" s="221">
        <v>0</v>
      </c>
      <c r="S613" s="221"/>
      <c r="T613" s="221"/>
      <c r="U613" s="221"/>
      <c r="V613" s="221"/>
      <c r="W613" s="221"/>
      <c r="X613" s="221" t="s">
        <v>3218</v>
      </c>
      <c r="Y613" s="227"/>
      <c r="Z613" s="227" t="str">
        <f t="shared" si="29"/>
        <v>Purchase</v>
      </c>
      <c r="AA613" s="276" t="e">
        <f>VLOOKUP(Logfile_S12[[#This Row],[DO number]],DO_DB!G:I,3,0)</f>
        <v>#N/A</v>
      </c>
      <c r="AB613" s="331" t="e">
        <f>EXACT(Logfile_S12[[#This Row],[date pick]],Logfile_S12[[#This Row],[Date]])</f>
        <v>#N/A</v>
      </c>
      <c r="AC6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14" spans="1:29" ht="14.5" hidden="1">
      <c r="A614" s="220" t="str">
        <f t="shared" si="28"/>
        <v>610</v>
      </c>
      <c r="B614" s="221"/>
      <c r="C614" s="221" t="s">
        <v>48</v>
      </c>
      <c r="D614" s="221" t="s">
        <v>3876</v>
      </c>
      <c r="E614" s="221" t="s">
        <v>3295</v>
      </c>
      <c r="F614" s="221" t="s">
        <v>3299</v>
      </c>
      <c r="G614" s="222">
        <v>45309</v>
      </c>
      <c r="H614" s="223">
        <v>15.291666666666666</v>
      </c>
      <c r="I614" s="221" t="s">
        <v>38</v>
      </c>
      <c r="J614" s="221" t="s">
        <v>3024</v>
      </c>
      <c r="K614" s="224" t="s">
        <v>3087</v>
      </c>
      <c r="L614" s="225" t="str">
        <f>VLOOKUP(Logfile_S12[[#This Row],[Material Name]],Sheet2!B:C,2,0)</f>
        <v>GCI1001</v>
      </c>
      <c r="M614" s="225" t="str">
        <f>_xlfn.XLOOKUP(Logfile_S12[[#This Row],[Material Name]],Sum_WH!E:E,Sum_WH!F:F,"",0)</f>
        <v>Pcs</v>
      </c>
      <c r="N614" s="221">
        <v>131</v>
      </c>
      <c r="O614" s="221" t="s">
        <v>3344</v>
      </c>
      <c r="P614" s="221" t="s">
        <v>3345</v>
      </c>
      <c r="Q614" s="221">
        <v>0</v>
      </c>
      <c r="R614" s="221">
        <v>0</v>
      </c>
      <c r="S614" s="221"/>
      <c r="T614" s="221"/>
      <c r="U614" s="221"/>
      <c r="V614" s="221"/>
      <c r="W614" s="221"/>
      <c r="X614" s="221" t="s">
        <v>3218</v>
      </c>
      <c r="Y614" s="227"/>
      <c r="Z614" s="227" t="str">
        <f t="shared" si="29"/>
        <v>Purchase</v>
      </c>
      <c r="AA614" s="276" t="e">
        <f>VLOOKUP(Logfile_S12[[#This Row],[DO number]],DO_DB!G:I,3,0)</f>
        <v>#N/A</v>
      </c>
      <c r="AB614" s="331" t="e">
        <f>EXACT(Logfile_S12[[#This Row],[date pick]],Logfile_S12[[#This Row],[Date]])</f>
        <v>#N/A</v>
      </c>
      <c r="AC6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15" spans="1:29" ht="14.5" hidden="1">
      <c r="A615" s="220" t="str">
        <f t="shared" si="28"/>
        <v>611</v>
      </c>
      <c r="B615" s="221"/>
      <c r="C615" s="221" t="s">
        <v>49</v>
      </c>
      <c r="D615" s="221" t="s">
        <v>3879</v>
      </c>
      <c r="E615" s="221" t="s">
        <v>3295</v>
      </c>
      <c r="F615" s="221" t="s">
        <v>3299</v>
      </c>
      <c r="G615" s="222">
        <v>45310</v>
      </c>
      <c r="H615" s="223">
        <v>0.73333333333333339</v>
      </c>
      <c r="I615" s="221" t="s">
        <v>4916</v>
      </c>
      <c r="J615" s="221" t="s">
        <v>3024</v>
      </c>
      <c r="K615" s="224" t="s">
        <v>3087</v>
      </c>
      <c r="L615" s="225" t="str">
        <f>VLOOKUP(Logfile_S12[[#This Row],[Material Name]],Sheet2!B:C,2,0)</f>
        <v>GCI1001</v>
      </c>
      <c r="M615" s="225" t="str">
        <f>_xlfn.XLOOKUP(Logfile_S12[[#This Row],[Material Name]],Sum_WH!E:E,Sum_WH!F:F,"",0)</f>
        <v>Pcs</v>
      </c>
      <c r="N615" s="221">
        <v>7</v>
      </c>
      <c r="O615" s="221" t="s">
        <v>834</v>
      </c>
      <c r="P615" s="221" t="s">
        <v>3335</v>
      </c>
      <c r="Q615" s="221"/>
      <c r="R615" s="221"/>
      <c r="S615" s="221"/>
      <c r="T615" s="221" t="s">
        <v>3258</v>
      </c>
      <c r="U615" s="221" t="s">
        <v>3228</v>
      </c>
      <c r="V615" s="221" t="s">
        <v>3337</v>
      </c>
      <c r="W615" s="221" t="s">
        <v>3338</v>
      </c>
      <c r="X615" s="221"/>
      <c r="Y615" s="227"/>
      <c r="Z615" s="227" t="str">
        <f t="shared" si="29"/>
        <v>HUBFEEDER BATURETNO RW 02</v>
      </c>
      <c r="AA615" s="276" t="e">
        <f>VLOOKUP(Logfile_S12[[#This Row],[DO number]],DO_DB!G:I,3,0)</f>
        <v>#N/A</v>
      </c>
      <c r="AB615" s="331" t="e">
        <f>EXACT(Logfile_S12[[#This Row],[date pick]],Logfile_S12[[#This Row],[Date]])</f>
        <v>#N/A</v>
      </c>
      <c r="AC6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16" spans="1:29" ht="14.5" hidden="1">
      <c r="A616" s="220" t="str">
        <f t="shared" si="28"/>
        <v>612</v>
      </c>
      <c r="B616" s="221"/>
      <c r="C616" s="221" t="s">
        <v>48</v>
      </c>
      <c r="D616" s="221" t="s">
        <v>3880</v>
      </c>
      <c r="E616" s="221" t="s">
        <v>3295</v>
      </c>
      <c r="F616" s="221" t="s">
        <v>3299</v>
      </c>
      <c r="G616" s="222">
        <v>45311</v>
      </c>
      <c r="H616" s="223">
        <v>15.291666666666666</v>
      </c>
      <c r="I616" s="221" t="s">
        <v>38</v>
      </c>
      <c r="J616" s="221" t="s">
        <v>3024</v>
      </c>
      <c r="K616" s="224" t="s">
        <v>3087</v>
      </c>
      <c r="L616" s="225" t="str">
        <f>VLOOKUP(Logfile_S12[[#This Row],[Material Name]],Sheet2!B:C,2,0)</f>
        <v>GCI1001</v>
      </c>
      <c r="M616" s="225" t="str">
        <f>_xlfn.XLOOKUP(Logfile_S12[[#This Row],[Material Name]],Sum_WH!E:E,Sum_WH!F:F,"",0)</f>
        <v>Pcs</v>
      </c>
      <c r="N616" s="221">
        <v>1</v>
      </c>
      <c r="O616" s="221" t="s">
        <v>834</v>
      </c>
      <c r="P616" s="221" t="s">
        <v>3335</v>
      </c>
      <c r="Q616" s="221">
        <v>0</v>
      </c>
      <c r="R616" s="221">
        <v>0</v>
      </c>
      <c r="S616" s="221"/>
      <c r="T616" s="221"/>
      <c r="U616" s="221"/>
      <c r="V616" s="221"/>
      <c r="W616" s="221"/>
      <c r="X616" s="221"/>
      <c r="Y616" s="227" t="s">
        <v>4967</v>
      </c>
      <c r="Z616" s="227" t="str">
        <f t="shared" si="29"/>
        <v>HUBFEEDER BATURETNO RW 02</v>
      </c>
      <c r="AA616" s="276" t="e">
        <f>VLOOKUP(Logfile_S12[[#This Row],[DO number]],DO_DB!G:I,3,0)</f>
        <v>#N/A</v>
      </c>
      <c r="AB616" s="331" t="e">
        <f>EXACT(Logfile_S12[[#This Row],[date pick]],Logfile_S12[[#This Row],[Date]])</f>
        <v>#N/A</v>
      </c>
      <c r="AC6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OUTBOUND_H-ADSS 96C-2024116-02</v>
      </c>
    </row>
    <row r="617" spans="1:29" ht="14.5" hidden="1">
      <c r="A617" s="220" t="str">
        <f t="shared" si="28"/>
        <v>613</v>
      </c>
      <c r="B617" s="221"/>
      <c r="C617" s="221" t="s">
        <v>49</v>
      </c>
      <c r="D617" s="221" t="s">
        <v>3885</v>
      </c>
      <c r="E617" s="221" t="s">
        <v>3295</v>
      </c>
      <c r="F617" s="221" t="s">
        <v>3299</v>
      </c>
      <c r="G617" s="222">
        <v>45313</v>
      </c>
      <c r="H617" s="223">
        <v>0.3840277777777778</v>
      </c>
      <c r="I617" s="221" t="s">
        <v>4916</v>
      </c>
      <c r="J617" s="221" t="s">
        <v>3024</v>
      </c>
      <c r="K617" s="224" t="s">
        <v>3087</v>
      </c>
      <c r="L617" s="225" t="str">
        <f>VLOOKUP(Logfile_S12[[#This Row],[Material Name]],Sheet2!B:C,2,0)</f>
        <v>GCI1001</v>
      </c>
      <c r="M617" s="225" t="str">
        <f>_xlfn.XLOOKUP(Logfile_S12[[#This Row],[Material Name]],Sum_WH!E:E,Sum_WH!F:F,"",0)</f>
        <v>Pcs</v>
      </c>
      <c r="N617" s="221">
        <v>4</v>
      </c>
      <c r="O617" s="221" t="s">
        <v>834</v>
      </c>
      <c r="P617" s="221" t="s">
        <v>3335</v>
      </c>
      <c r="Q617" s="221"/>
      <c r="R617" s="221"/>
      <c r="S617" s="221"/>
      <c r="T617" s="221" t="s">
        <v>3258</v>
      </c>
      <c r="U617" s="221" t="s">
        <v>3228</v>
      </c>
      <c r="V617" s="221" t="s">
        <v>3337</v>
      </c>
      <c r="W617" s="221" t="s">
        <v>3338</v>
      </c>
      <c r="X617" s="221"/>
      <c r="Y617" s="227"/>
      <c r="Z617" s="227" t="str">
        <f t="shared" si="29"/>
        <v>HUBFEEDER BATURETNO RW 02</v>
      </c>
      <c r="AA617" s="276" t="e">
        <f>VLOOKUP(Logfile_S12[[#This Row],[DO number]],DO_DB!G:I,3,0)</f>
        <v>#N/A</v>
      </c>
      <c r="AB617" s="331" t="e">
        <f>EXACT(Logfile_S12[[#This Row],[date pick]],Logfile_S12[[#This Row],[Date]])</f>
        <v>#N/A</v>
      </c>
      <c r="AC6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18" spans="1:29" ht="14.5" hidden="1">
      <c r="A618" s="220" t="str">
        <f t="shared" si="28"/>
        <v>614</v>
      </c>
      <c r="B618" s="221"/>
      <c r="C618" s="221" t="s">
        <v>49</v>
      </c>
      <c r="D618" s="221" t="s">
        <v>3889</v>
      </c>
      <c r="E618" s="221" t="s">
        <v>3295</v>
      </c>
      <c r="F618" s="221" t="s">
        <v>3299</v>
      </c>
      <c r="G618" s="222">
        <v>45313</v>
      </c>
      <c r="H618" s="223">
        <v>0.81041666666666667</v>
      </c>
      <c r="I618" s="221" t="s">
        <v>4916</v>
      </c>
      <c r="J618" s="221" t="s">
        <v>3024</v>
      </c>
      <c r="K618" s="224" t="s">
        <v>3087</v>
      </c>
      <c r="L618" s="225" t="str">
        <f>VLOOKUP(Logfile_S12[[#This Row],[Material Name]],Sheet2!B:C,2,0)</f>
        <v>GCI1001</v>
      </c>
      <c r="M618" s="225" t="str">
        <f>_xlfn.XLOOKUP(Logfile_S12[[#This Row],[Material Name]],Sum_WH!E:E,Sum_WH!F:F,"",0)</f>
        <v>Pcs</v>
      </c>
      <c r="N618" s="221">
        <v>27</v>
      </c>
      <c r="O618" s="221" t="s">
        <v>742</v>
      </c>
      <c r="P618" s="221" t="s">
        <v>743</v>
      </c>
      <c r="Q618" s="221"/>
      <c r="R618" s="221"/>
      <c r="S618" s="221"/>
      <c r="T618" s="221" t="s">
        <v>3258</v>
      </c>
      <c r="U618" s="221" t="s">
        <v>3228</v>
      </c>
      <c r="V618" s="221" t="s">
        <v>3337</v>
      </c>
      <c r="W618" s="221" t="s">
        <v>3338</v>
      </c>
      <c r="X618" s="221"/>
      <c r="Y618" s="227"/>
      <c r="Z618" s="227" t="str">
        <f t="shared" si="29"/>
        <v>Baturetno RW 03 Singosari</v>
      </c>
      <c r="AA618" s="276" t="e">
        <f>VLOOKUP(Logfile_S12[[#This Row],[DO number]],DO_DB!G:I,3,0)</f>
        <v>#N/A</v>
      </c>
      <c r="AB618" s="331" t="e">
        <f>EXACT(Logfile_S12[[#This Row],[date pick]],Logfile_S12[[#This Row],[Date]])</f>
        <v>#N/A</v>
      </c>
      <c r="AC6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19" spans="1:29" ht="14.5" hidden="1">
      <c r="A619" s="220" t="str">
        <f t="shared" si="28"/>
        <v>615</v>
      </c>
      <c r="B619" s="221"/>
      <c r="C619" s="221" t="s">
        <v>49</v>
      </c>
      <c r="D619" s="221" t="s">
        <v>3886</v>
      </c>
      <c r="E619" s="221" t="s">
        <v>3295</v>
      </c>
      <c r="F619" s="221" t="s">
        <v>3299</v>
      </c>
      <c r="G619" s="222">
        <v>45313</v>
      </c>
      <c r="H619" s="223">
        <v>0.38750000000000001</v>
      </c>
      <c r="I619" s="221" t="s">
        <v>4916</v>
      </c>
      <c r="J619" s="221" t="s">
        <v>3024</v>
      </c>
      <c r="K619" s="224" t="s">
        <v>3087</v>
      </c>
      <c r="L619" s="225" t="str">
        <f>VLOOKUP(Logfile_S12[[#This Row],[Material Name]],Sheet2!B:C,2,0)</f>
        <v>GCI1001</v>
      </c>
      <c r="M619" s="225" t="str">
        <f>_xlfn.XLOOKUP(Logfile_S12[[#This Row],[Material Name]],Sum_WH!E:E,Sum_WH!F:F,"",0)</f>
        <v>Pcs</v>
      </c>
      <c r="N619" s="221">
        <v>51</v>
      </c>
      <c r="O619" s="221" t="s">
        <v>828</v>
      </c>
      <c r="P619" s="221" t="s">
        <v>829</v>
      </c>
      <c r="Q619" s="221"/>
      <c r="R619" s="221"/>
      <c r="S619" s="221"/>
      <c r="T619" s="221" t="s">
        <v>3339</v>
      </c>
      <c r="U619" s="221" t="s">
        <v>3228</v>
      </c>
      <c r="V619" s="221" t="s">
        <v>3340</v>
      </c>
      <c r="W619" s="221" t="s">
        <v>3245</v>
      </c>
      <c r="X619" s="221"/>
      <c r="Y619" s="227"/>
      <c r="Z619" s="227" t="str">
        <f t="shared" si="29"/>
        <v>Perumahan Pondok Mutiara Malang</v>
      </c>
      <c r="AA619" s="276" t="e">
        <f>VLOOKUP(Logfile_S12[[#This Row],[DO number]],DO_DB!G:I,3,0)</f>
        <v>#N/A</v>
      </c>
      <c r="AB619" s="331" t="e">
        <f>EXACT(Logfile_S12[[#This Row],[date pick]],Logfile_S12[[#This Row],[Date]])</f>
        <v>#N/A</v>
      </c>
      <c r="AC6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20" spans="1:29" ht="14.5" hidden="1">
      <c r="A620" s="220" t="str">
        <f t="shared" si="28"/>
        <v>616</v>
      </c>
      <c r="B620" s="221"/>
      <c r="C620" s="221" t="s">
        <v>49</v>
      </c>
      <c r="D620" s="221" t="s">
        <v>3894</v>
      </c>
      <c r="E620" s="221" t="s">
        <v>3295</v>
      </c>
      <c r="F620" s="221" t="s">
        <v>3299</v>
      </c>
      <c r="G620" s="222">
        <v>45314</v>
      </c>
      <c r="H620" s="223">
        <v>0.59652777777777777</v>
      </c>
      <c r="I620" s="221" t="s">
        <v>4916</v>
      </c>
      <c r="J620" s="221" t="s">
        <v>3024</v>
      </c>
      <c r="K620" s="224" t="s">
        <v>3087</v>
      </c>
      <c r="L620" s="225" t="str">
        <f>VLOOKUP(Logfile_S12[[#This Row],[Material Name]],Sheet2!B:C,2,0)</f>
        <v>GCI1001</v>
      </c>
      <c r="M620" s="225" t="str">
        <f>_xlfn.XLOOKUP(Logfile_S12[[#This Row],[Material Name]],Sum_WH!E:E,Sum_WH!F:F,"",0)</f>
        <v>Pcs</v>
      </c>
      <c r="N620" s="221">
        <v>32</v>
      </c>
      <c r="O620" s="221" t="s">
        <v>828</v>
      </c>
      <c r="P620" s="221" t="s">
        <v>829</v>
      </c>
      <c r="Q620" s="221"/>
      <c r="R620" s="221"/>
      <c r="S620" s="221"/>
      <c r="T620" s="221" t="s">
        <v>3339</v>
      </c>
      <c r="U620" s="221" t="s">
        <v>3228</v>
      </c>
      <c r="V620" s="221" t="s">
        <v>3340</v>
      </c>
      <c r="W620" s="221" t="s">
        <v>3245</v>
      </c>
      <c r="X620" s="221"/>
      <c r="Y620" s="227"/>
      <c r="Z620" s="227" t="str">
        <f t="shared" si="29"/>
        <v>Perumahan Pondok Mutiara Malang</v>
      </c>
      <c r="AA620" s="276" t="e">
        <f>VLOOKUP(Logfile_S12[[#This Row],[DO number]],DO_DB!G:I,3,0)</f>
        <v>#N/A</v>
      </c>
      <c r="AB620" s="331" t="e">
        <f>EXACT(Logfile_S12[[#This Row],[date pick]],Logfile_S12[[#This Row],[Date]])</f>
        <v>#N/A</v>
      </c>
      <c r="AC6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21" spans="1:29" ht="14.5" hidden="1">
      <c r="A621" s="220" t="str">
        <f t="shared" si="28"/>
        <v>617</v>
      </c>
      <c r="B621" s="221"/>
      <c r="C621" s="221" t="s">
        <v>48</v>
      </c>
      <c r="D621" s="221" t="s">
        <v>3901</v>
      </c>
      <c r="E621" s="221" t="s">
        <v>3295</v>
      </c>
      <c r="F621" s="221" t="s">
        <v>3299</v>
      </c>
      <c r="G621" s="222">
        <v>45316</v>
      </c>
      <c r="H621" s="223">
        <v>15.291666666666666</v>
      </c>
      <c r="I621" s="221" t="s">
        <v>38</v>
      </c>
      <c r="J621" s="221" t="s">
        <v>3024</v>
      </c>
      <c r="K621" s="224" t="s">
        <v>3087</v>
      </c>
      <c r="L621" s="225" t="str">
        <f>VLOOKUP(Logfile_S12[[#This Row],[Material Name]],Sheet2!B:C,2,0)</f>
        <v>GCI1001</v>
      </c>
      <c r="M621" s="225" t="str">
        <f>_xlfn.XLOOKUP(Logfile_S12[[#This Row],[Material Name]],Sum_WH!E:E,Sum_WH!F:F,"",0)</f>
        <v>Pcs</v>
      </c>
      <c r="N621" s="221">
        <v>2</v>
      </c>
      <c r="O621" s="221" t="s">
        <v>742</v>
      </c>
      <c r="P621" s="221" t="s">
        <v>743</v>
      </c>
      <c r="Q621" s="221">
        <v>0</v>
      </c>
      <c r="R621" s="221">
        <v>0</v>
      </c>
      <c r="S621" s="221"/>
      <c r="T621" s="221"/>
      <c r="U621" s="221"/>
      <c r="V621" s="221"/>
      <c r="W621" s="221"/>
      <c r="X621" s="221"/>
      <c r="Y621" s="227"/>
      <c r="Z621" s="227" t="str">
        <f t="shared" si="29"/>
        <v>Baturetno RW 03 Singosari</v>
      </c>
      <c r="AA621" s="276" t="e">
        <f>VLOOKUP(Logfile_S12[[#This Row],[DO number]],DO_DB!G:I,3,0)</f>
        <v>#N/A</v>
      </c>
      <c r="AB621" s="331" t="e">
        <f>EXACT(Logfile_S12[[#This Row],[date pick]],Logfile_S12[[#This Row],[Date]])</f>
        <v>#N/A</v>
      </c>
      <c r="AC6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22" spans="1:29" ht="14.5" hidden="1">
      <c r="A622" s="220" t="str">
        <f t="shared" si="28"/>
        <v>618</v>
      </c>
      <c r="B622" s="221"/>
      <c r="C622" s="221" t="s">
        <v>49</v>
      </c>
      <c r="D622" s="221" t="s">
        <v>3903</v>
      </c>
      <c r="E622" s="221" t="s">
        <v>3295</v>
      </c>
      <c r="F622" s="221" t="s">
        <v>3299</v>
      </c>
      <c r="G622" s="222">
        <v>45317</v>
      </c>
      <c r="H622" s="223">
        <v>0.40902777777777777</v>
      </c>
      <c r="I622" s="221" t="s">
        <v>4916</v>
      </c>
      <c r="J622" s="221" t="s">
        <v>3024</v>
      </c>
      <c r="K622" s="224" t="s">
        <v>3087</v>
      </c>
      <c r="L622" s="225" t="str">
        <f>VLOOKUP(Logfile_S12[[#This Row],[Material Name]],Sheet2!B:C,2,0)</f>
        <v>GCI1001</v>
      </c>
      <c r="M622" s="225" t="str">
        <f>_xlfn.XLOOKUP(Logfile_S12[[#This Row],[Material Name]],Sum_WH!E:E,Sum_WH!F:F,"",0)</f>
        <v>Pcs</v>
      </c>
      <c r="N622" s="221">
        <v>15</v>
      </c>
      <c r="O622" s="221" t="s">
        <v>738</v>
      </c>
      <c r="P622" s="221" t="s">
        <v>3392</v>
      </c>
      <c r="Q622" s="221"/>
      <c r="R622" s="221"/>
      <c r="S622" s="221"/>
      <c r="T622" s="221" t="s">
        <v>3258</v>
      </c>
      <c r="U622" s="221" t="s">
        <v>3228</v>
      </c>
      <c r="V622" s="221" t="s">
        <v>3337</v>
      </c>
      <c r="W622" s="221" t="s">
        <v>3338</v>
      </c>
      <c r="X622" s="221"/>
      <c r="Y622" s="227"/>
      <c r="Z622" s="227" t="str">
        <f t="shared" si="29"/>
        <v xml:space="preserve">Baturetno RW 02 Singosari </v>
      </c>
      <c r="AA622" s="276" t="e">
        <f>VLOOKUP(Logfile_S12[[#This Row],[DO number]],DO_DB!G:I,3,0)</f>
        <v>#N/A</v>
      </c>
      <c r="AB622" s="331" t="e">
        <f>EXACT(Logfile_S12[[#This Row],[date pick]],Logfile_S12[[#This Row],[Date]])</f>
        <v>#N/A</v>
      </c>
      <c r="AC6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23" spans="1:29" ht="14.5" hidden="1">
      <c r="A623" s="220" t="str">
        <f t="shared" si="28"/>
        <v>619</v>
      </c>
      <c r="B623" s="221"/>
      <c r="C623" s="221" t="s">
        <v>48</v>
      </c>
      <c r="D623" s="221" t="s">
        <v>3906</v>
      </c>
      <c r="E623" s="221" t="s">
        <v>3295</v>
      </c>
      <c r="F623" s="221" t="s">
        <v>3299</v>
      </c>
      <c r="G623" s="222">
        <v>45318</v>
      </c>
      <c r="H623" s="223">
        <v>15.291666666666666</v>
      </c>
      <c r="I623" s="221" t="s">
        <v>3017</v>
      </c>
      <c r="J623" s="221" t="s">
        <v>3024</v>
      </c>
      <c r="K623" s="224" t="s">
        <v>3087</v>
      </c>
      <c r="L623" s="225" t="str">
        <f>VLOOKUP(Logfile_S12[[#This Row],[Material Name]],Sheet2!B:C,2,0)</f>
        <v>GCI1001</v>
      </c>
      <c r="M623" s="225" t="str">
        <f>_xlfn.XLOOKUP(Logfile_S12[[#This Row],[Material Name]],Sum_WH!E:E,Sum_WH!F:F,"",0)</f>
        <v>Pcs</v>
      </c>
      <c r="N623" s="221">
        <v>12</v>
      </c>
      <c r="O623" s="221" t="s">
        <v>828</v>
      </c>
      <c r="P623" s="221" t="s">
        <v>829</v>
      </c>
      <c r="Q623" s="221" t="s">
        <v>3359</v>
      </c>
      <c r="R623" s="221">
        <v>0</v>
      </c>
      <c r="S623" s="221"/>
      <c r="T623" s="221"/>
      <c r="U623" s="221"/>
      <c r="V623" s="221"/>
      <c r="W623" s="221"/>
      <c r="X623" s="221"/>
      <c r="Y623" s="227"/>
      <c r="Z623" s="227" t="str">
        <f t="shared" si="29"/>
        <v>Perumahan Pondok Mutiara Malang</v>
      </c>
      <c r="AA623" s="276" t="e">
        <f>VLOOKUP(Logfile_S12[[#This Row],[DO number]],DO_DB!G:I,3,0)</f>
        <v>#N/A</v>
      </c>
      <c r="AB623" s="331" t="e">
        <f>EXACT(Logfile_S12[[#This Row],[date pick]],Logfile_S12[[#This Row],[Date]])</f>
        <v>#N/A</v>
      </c>
      <c r="AC6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24" spans="1:29" ht="14.5" hidden="1">
      <c r="A624" s="220" t="str">
        <f t="shared" si="28"/>
        <v>620</v>
      </c>
      <c r="B624" s="221"/>
      <c r="C624" s="221" t="s">
        <v>49</v>
      </c>
      <c r="D624" s="221" t="s">
        <v>3911</v>
      </c>
      <c r="E624" s="221" t="s">
        <v>3295</v>
      </c>
      <c r="F624" s="221" t="s">
        <v>3299</v>
      </c>
      <c r="G624" s="222">
        <v>45324</v>
      </c>
      <c r="H624" s="223">
        <v>0.63194444444444442</v>
      </c>
      <c r="I624" s="221" t="s">
        <v>4916</v>
      </c>
      <c r="J624" s="221" t="s">
        <v>3024</v>
      </c>
      <c r="K624" s="224" t="s">
        <v>3087</v>
      </c>
      <c r="L624" s="225" t="str">
        <f>VLOOKUP(Logfile_S12[[#This Row],[Material Name]],Sheet2!B:C,2,0)</f>
        <v>GCI1001</v>
      </c>
      <c r="M624" s="225" t="str">
        <f>_xlfn.XLOOKUP(Logfile_S12[[#This Row],[Material Name]],Sum_WH!E:E,Sum_WH!F:F,"",0)</f>
        <v>Pcs</v>
      </c>
      <c r="N624" s="221">
        <v>1</v>
      </c>
      <c r="O624" s="221" t="s">
        <v>742</v>
      </c>
      <c r="P624" s="221" t="s">
        <v>743</v>
      </c>
      <c r="Q624" s="221"/>
      <c r="R624" s="221"/>
      <c r="S624" s="221"/>
      <c r="T624" s="221" t="s">
        <v>3258</v>
      </c>
      <c r="U624" s="221" t="s">
        <v>3228</v>
      </c>
      <c r="V624" s="221" t="s">
        <v>3337</v>
      </c>
      <c r="W624" s="221" t="s">
        <v>3338</v>
      </c>
      <c r="X624" s="221"/>
      <c r="Y624" s="227"/>
      <c r="Z624" s="227" t="str">
        <f t="shared" si="29"/>
        <v>Baturetno RW 03 Singosari</v>
      </c>
      <c r="AA624" s="276" t="e">
        <f>VLOOKUP(Logfile_S12[[#This Row],[DO number]],DO_DB!G:I,3,0)</f>
        <v>#N/A</v>
      </c>
      <c r="AB624" s="331" t="e">
        <f>EXACT(Logfile_S12[[#This Row],[date pick]],Logfile_S12[[#This Row],[Date]])</f>
        <v>#N/A</v>
      </c>
      <c r="AC6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25" spans="1:29" ht="14.5" hidden="1">
      <c r="A625" s="220" t="str">
        <f t="shared" si="28"/>
        <v>621</v>
      </c>
      <c r="B625" s="221"/>
      <c r="C625" s="221" t="s">
        <v>48</v>
      </c>
      <c r="D625" s="221" t="s">
        <v>3912</v>
      </c>
      <c r="E625" s="221" t="s">
        <v>3295</v>
      </c>
      <c r="F625" s="221" t="s">
        <v>3299</v>
      </c>
      <c r="G625" s="222">
        <v>45328</v>
      </c>
      <c r="H625" s="223">
        <v>15.291666666666666</v>
      </c>
      <c r="I625" s="221" t="s">
        <v>3017</v>
      </c>
      <c r="J625" s="221" t="s">
        <v>3024</v>
      </c>
      <c r="K625" s="224" t="s">
        <v>3087</v>
      </c>
      <c r="L625" s="225" t="str">
        <f>VLOOKUP(Logfile_S12[[#This Row],[Material Name]],Sheet2!B:C,2,0)</f>
        <v>GCI1001</v>
      </c>
      <c r="M625" s="225" t="str">
        <f>_xlfn.XLOOKUP(Logfile_S12[[#This Row],[Material Name]],Sum_WH!E:E,Sum_WH!F:F,"",0)</f>
        <v>Pcs</v>
      </c>
      <c r="N625" s="221">
        <v>1</v>
      </c>
      <c r="O625" s="221" t="s">
        <v>468</v>
      </c>
      <c r="P625" s="221" t="s">
        <v>469</v>
      </c>
      <c r="Q625" s="221" t="s">
        <v>3359</v>
      </c>
      <c r="R625" s="221">
        <v>0</v>
      </c>
      <c r="S625" s="221"/>
      <c r="T625" s="221"/>
      <c r="U625" s="221"/>
      <c r="V625" s="221"/>
      <c r="W625" s="221"/>
      <c r="X625" s="221"/>
      <c r="Y625" s="227"/>
      <c r="Z625" s="227" t="str">
        <f t="shared" si="29"/>
        <v>Jedong RW 07 Wagir</v>
      </c>
      <c r="AA625" s="276" t="e">
        <f>VLOOKUP(Logfile_S12[[#This Row],[DO number]],DO_DB!G:I,3,0)</f>
        <v>#N/A</v>
      </c>
      <c r="AB625" s="331" t="e">
        <f>EXACT(Logfile_S12[[#This Row],[date pick]],Logfile_S12[[#This Row],[Date]])</f>
        <v>#N/A</v>
      </c>
      <c r="AC6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26" spans="1:29" ht="14.5" hidden="1">
      <c r="A626" s="220" t="str">
        <f t="shared" si="28"/>
        <v>622</v>
      </c>
      <c r="B626" s="221"/>
      <c r="C626" s="221" t="s">
        <v>49</v>
      </c>
      <c r="D626" s="221" t="s">
        <v>3917</v>
      </c>
      <c r="E626" s="221" t="s">
        <v>3295</v>
      </c>
      <c r="F626" s="221" t="s">
        <v>3299</v>
      </c>
      <c r="G626" s="222">
        <v>45331</v>
      </c>
      <c r="H626" s="223">
        <v>0.42569444444444443</v>
      </c>
      <c r="I626" s="221" t="s">
        <v>4916</v>
      </c>
      <c r="J626" s="221" t="s">
        <v>3024</v>
      </c>
      <c r="K626" s="224" t="s">
        <v>3087</v>
      </c>
      <c r="L626" s="225" t="str">
        <f>VLOOKUP(Logfile_S12[[#This Row],[Material Name]],Sheet2!B:C,2,0)</f>
        <v>GCI1001</v>
      </c>
      <c r="M626" s="225" t="str">
        <f>_xlfn.XLOOKUP(Logfile_S12[[#This Row],[Material Name]],Sum_WH!E:E,Sum_WH!F:F,"",0)</f>
        <v>Pcs</v>
      </c>
      <c r="N626" s="221">
        <v>5</v>
      </c>
      <c r="O626" s="221" t="s">
        <v>925</v>
      </c>
      <c r="P626" s="221" t="s">
        <v>926</v>
      </c>
      <c r="Q626" s="221"/>
      <c r="R626" s="221"/>
      <c r="S626" s="221"/>
      <c r="T626" s="221" t="s">
        <v>3258</v>
      </c>
      <c r="U626" s="221" t="s">
        <v>3228</v>
      </c>
      <c r="V626" s="221" t="s">
        <v>3337</v>
      </c>
      <c r="W626" s="221" t="s">
        <v>3338</v>
      </c>
      <c r="X626" s="221"/>
      <c r="Y626" s="227"/>
      <c r="Z626" s="227" t="str">
        <f t="shared" si="29"/>
        <v>Dengkol RW 02 Singosari Malang</v>
      </c>
      <c r="AA626" s="276" t="e">
        <f>VLOOKUP(Logfile_S12[[#This Row],[DO number]],DO_DB!G:I,3,0)</f>
        <v>#N/A</v>
      </c>
      <c r="AB626" s="331" t="e">
        <f>EXACT(Logfile_S12[[#This Row],[date pick]],Logfile_S12[[#This Row],[Date]])</f>
        <v>#N/A</v>
      </c>
      <c r="AC6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27" spans="1:29" ht="14.5" hidden="1">
      <c r="A627" s="220" t="str">
        <f t="shared" si="28"/>
        <v>623</v>
      </c>
      <c r="B627" s="221"/>
      <c r="C627" s="221" t="s">
        <v>49</v>
      </c>
      <c r="D627" s="221" t="s">
        <v>3923</v>
      </c>
      <c r="E627" s="221" t="s">
        <v>3295</v>
      </c>
      <c r="F627" s="221" t="s">
        <v>3299</v>
      </c>
      <c r="G627" s="222">
        <v>45337</v>
      </c>
      <c r="H627" s="223">
        <v>0.46111111111111108</v>
      </c>
      <c r="I627" s="221" t="s">
        <v>4916</v>
      </c>
      <c r="J627" s="221" t="s">
        <v>3024</v>
      </c>
      <c r="K627" s="224" t="s">
        <v>3087</v>
      </c>
      <c r="L627" s="225" t="str">
        <f>VLOOKUP(Logfile_S12[[#This Row],[Material Name]],Sheet2!B:C,2,0)</f>
        <v>GCI1001</v>
      </c>
      <c r="M627" s="225" t="str">
        <f>_xlfn.XLOOKUP(Logfile_S12[[#This Row],[Material Name]],Sum_WH!E:E,Sum_WH!F:F,"",0)</f>
        <v>Pcs</v>
      </c>
      <c r="N627" s="221">
        <v>6</v>
      </c>
      <c r="O627" s="221" t="s">
        <v>911</v>
      </c>
      <c r="P627" s="221" t="s">
        <v>912</v>
      </c>
      <c r="Q627" s="221"/>
      <c r="R627" s="221"/>
      <c r="S627" s="221"/>
      <c r="T627" s="221" t="s">
        <v>3258</v>
      </c>
      <c r="U627" s="221" t="s">
        <v>3228</v>
      </c>
      <c r="V627" s="221" t="s">
        <v>3337</v>
      </c>
      <c r="W627" s="221" t="s">
        <v>3338</v>
      </c>
      <c r="X627" s="221"/>
      <c r="Y627" s="227"/>
      <c r="Z627" s="227" t="str">
        <f t="shared" si="29"/>
        <v>Bandulan RW 08 Sukun</v>
      </c>
      <c r="AA627" s="276" t="e">
        <f>VLOOKUP(Logfile_S12[[#This Row],[DO number]],DO_DB!G:I,3,0)</f>
        <v>#N/A</v>
      </c>
      <c r="AB627" s="331" t="e">
        <f>EXACT(Logfile_S12[[#This Row],[date pick]],Logfile_S12[[#This Row],[Date]])</f>
        <v>#N/A</v>
      </c>
      <c r="AC6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28" spans="1:29" ht="14.5" hidden="1">
      <c r="A628" s="220" t="str">
        <f t="shared" si="28"/>
        <v>624</v>
      </c>
      <c r="B628" s="221"/>
      <c r="C628" s="221" t="s">
        <v>49</v>
      </c>
      <c r="D628" s="221" t="s">
        <v>3928</v>
      </c>
      <c r="E628" s="221" t="s">
        <v>3295</v>
      </c>
      <c r="F628" s="221" t="s">
        <v>3299</v>
      </c>
      <c r="G628" s="222">
        <v>45341</v>
      </c>
      <c r="H628" s="223">
        <v>0.45416666666666666</v>
      </c>
      <c r="I628" s="221" t="s">
        <v>4916</v>
      </c>
      <c r="J628" s="221" t="s">
        <v>3024</v>
      </c>
      <c r="K628" s="224" t="s">
        <v>3087</v>
      </c>
      <c r="L628" s="225" t="str">
        <f>VLOOKUP(Logfile_S12[[#This Row],[Material Name]],Sheet2!B:C,2,0)</f>
        <v>GCI1001</v>
      </c>
      <c r="M628" s="225" t="str">
        <f>_xlfn.XLOOKUP(Logfile_S12[[#This Row],[Material Name]],Sum_WH!E:E,Sum_WH!F:F,"",0)</f>
        <v>Pcs</v>
      </c>
      <c r="N628" s="221">
        <v>7</v>
      </c>
      <c r="O628" s="221" t="s">
        <v>834</v>
      </c>
      <c r="P628" s="221" t="s">
        <v>3335</v>
      </c>
      <c r="Q628" s="221"/>
      <c r="R628" s="221"/>
      <c r="S628" s="221"/>
      <c r="T628" s="221" t="s">
        <v>3258</v>
      </c>
      <c r="U628" s="221" t="s">
        <v>3228</v>
      </c>
      <c r="V628" s="221" t="s">
        <v>3337</v>
      </c>
      <c r="W628" s="221" t="s">
        <v>3338</v>
      </c>
      <c r="X628" s="221"/>
      <c r="Y628" s="227"/>
      <c r="Z628" s="227" t="str">
        <f t="shared" si="29"/>
        <v>HUBFEEDER BATURETNO RW 02</v>
      </c>
      <c r="AA628" s="276" t="e">
        <f>VLOOKUP(Logfile_S12[[#This Row],[DO number]],DO_DB!G:I,3,0)</f>
        <v>#N/A</v>
      </c>
      <c r="AB628" s="331" t="e">
        <f>EXACT(Logfile_S12[[#This Row],[date pick]],Logfile_S12[[#This Row],[Date]])</f>
        <v>#N/A</v>
      </c>
      <c r="AC6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29" spans="1:29" ht="14.5" hidden="1">
      <c r="A629" s="220" t="str">
        <f t="shared" si="28"/>
        <v>625</v>
      </c>
      <c r="B629" s="221"/>
      <c r="C629" s="221" t="s">
        <v>49</v>
      </c>
      <c r="D629" s="221" t="s">
        <v>3938</v>
      </c>
      <c r="E629" s="221" t="s">
        <v>3295</v>
      </c>
      <c r="F629" s="221" t="s">
        <v>3299</v>
      </c>
      <c r="G629" s="222">
        <v>45343</v>
      </c>
      <c r="H629" s="223">
        <v>0.78888888888888886</v>
      </c>
      <c r="I629" s="221" t="s">
        <v>4916</v>
      </c>
      <c r="J629" s="221" t="s">
        <v>3024</v>
      </c>
      <c r="K629" s="224" t="s">
        <v>3087</v>
      </c>
      <c r="L629" s="225" t="str">
        <f>VLOOKUP(Logfile_S12[[#This Row],[Material Name]],Sheet2!B:C,2,0)</f>
        <v>GCI1001</v>
      </c>
      <c r="M629" s="225" t="str">
        <f>_xlfn.XLOOKUP(Logfile_S12[[#This Row],[Material Name]],Sum_WH!E:E,Sum_WH!F:F,"",0)</f>
        <v>Pcs</v>
      </c>
      <c r="N629" s="221">
        <v>7</v>
      </c>
      <c r="O629" s="221" t="s">
        <v>838</v>
      </c>
      <c r="P629" s="221" t="s">
        <v>3361</v>
      </c>
      <c r="Q629" s="221"/>
      <c r="R629" s="221"/>
      <c r="S629" s="221"/>
      <c r="T629" s="221" t="s">
        <v>3258</v>
      </c>
      <c r="U629" s="221" t="s">
        <v>3228</v>
      </c>
      <c r="V629" s="221" t="s">
        <v>3337</v>
      </c>
      <c r="W629" s="221" t="s">
        <v>3338</v>
      </c>
      <c r="X629" s="221"/>
      <c r="Y629" s="227"/>
      <c r="Z629" s="227" t="str">
        <f t="shared" si="29"/>
        <v>TAMANHARJO RW 04 SINGOSARI</v>
      </c>
      <c r="AA629" s="276" t="e">
        <f>VLOOKUP(Logfile_S12[[#This Row],[DO number]],DO_DB!G:I,3,0)</f>
        <v>#N/A</v>
      </c>
      <c r="AB629" s="331" t="e">
        <f>EXACT(Logfile_S12[[#This Row],[date pick]],Logfile_S12[[#This Row],[Date]])</f>
        <v>#N/A</v>
      </c>
      <c r="AC6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30" spans="1:29" ht="14.5" hidden="1">
      <c r="A630" s="220" t="str">
        <f t="shared" si="28"/>
        <v>626</v>
      </c>
      <c r="B630" s="221"/>
      <c r="C630" s="221" t="s">
        <v>48</v>
      </c>
      <c r="D630" s="221" t="s">
        <v>3941</v>
      </c>
      <c r="E630" s="221" t="s">
        <v>3295</v>
      </c>
      <c r="F630" s="221" t="s">
        <v>3299</v>
      </c>
      <c r="G630" s="222">
        <v>45344</v>
      </c>
      <c r="H630" s="223">
        <v>15.291666666666666</v>
      </c>
      <c r="I630" s="221" t="s">
        <v>38</v>
      </c>
      <c r="J630" s="221" t="s">
        <v>3024</v>
      </c>
      <c r="K630" s="224" t="s">
        <v>3087</v>
      </c>
      <c r="L630" s="225" t="str">
        <f>VLOOKUP(Logfile_S12[[#This Row],[Material Name]],Sheet2!B:C,2,0)</f>
        <v>GCI1001</v>
      </c>
      <c r="M630" s="225" t="str">
        <f>_xlfn.XLOOKUP(Logfile_S12[[#This Row],[Material Name]],Sum_WH!E:E,Sum_WH!F:F,"",0)</f>
        <v>Pcs</v>
      </c>
      <c r="N630" s="221">
        <v>10</v>
      </c>
      <c r="O630" s="221" t="s">
        <v>921</v>
      </c>
      <c r="P630" s="221" t="s">
        <v>922</v>
      </c>
      <c r="Q630" s="221">
        <v>0</v>
      </c>
      <c r="R630" s="221">
        <v>0</v>
      </c>
      <c r="S630" s="221"/>
      <c r="T630" s="221"/>
      <c r="U630" s="221"/>
      <c r="V630" s="221"/>
      <c r="W630" s="221"/>
      <c r="X630" s="221" t="s">
        <v>3360</v>
      </c>
      <c r="Y630" s="227"/>
      <c r="Z630" s="227" t="str">
        <f t="shared" si="29"/>
        <v>Bumiayu RW 03 Kedungkandang</v>
      </c>
      <c r="AA630" s="276" t="e">
        <f>VLOOKUP(Logfile_S12[[#This Row],[DO number]],DO_DB!G:I,3,0)</f>
        <v>#N/A</v>
      </c>
      <c r="AB630" s="331" t="e">
        <f>EXACT(Logfile_S12[[#This Row],[date pick]],Logfile_S12[[#This Row],[Date]])</f>
        <v>#N/A</v>
      </c>
      <c r="AC6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31" spans="1:29" ht="14.5" hidden="1">
      <c r="A631" s="220" t="str">
        <f t="shared" si="28"/>
        <v>627</v>
      </c>
      <c r="B631" s="221"/>
      <c r="C631" s="221" t="s">
        <v>49</v>
      </c>
      <c r="D631" s="221" t="s">
        <v>3940</v>
      </c>
      <c r="E631" s="221" t="s">
        <v>3295</v>
      </c>
      <c r="F631" s="221" t="s">
        <v>3299</v>
      </c>
      <c r="G631" s="222">
        <v>45344</v>
      </c>
      <c r="H631" s="223">
        <v>0.63541666666666663</v>
      </c>
      <c r="I631" s="221" t="s">
        <v>4916</v>
      </c>
      <c r="J631" s="221" t="s">
        <v>3024</v>
      </c>
      <c r="K631" s="224" t="s">
        <v>3087</v>
      </c>
      <c r="L631" s="225" t="str">
        <f>VLOOKUP(Logfile_S12[[#This Row],[Material Name]],Sheet2!B:C,2,0)</f>
        <v>GCI1001</v>
      </c>
      <c r="M631" s="225" t="str">
        <f>_xlfn.XLOOKUP(Logfile_S12[[#This Row],[Material Name]],Sum_WH!E:E,Sum_WH!F:F,"",0)</f>
        <v>Pcs</v>
      </c>
      <c r="N631" s="221">
        <v>13</v>
      </c>
      <c r="O631" s="221" t="s">
        <v>838</v>
      </c>
      <c r="P631" s="221" t="s">
        <v>3361</v>
      </c>
      <c r="Q631" s="221"/>
      <c r="R631" s="221"/>
      <c r="S631" s="221"/>
      <c r="T631" s="221" t="s">
        <v>3258</v>
      </c>
      <c r="U631" s="221" t="s">
        <v>3228</v>
      </c>
      <c r="V631" s="221" t="s">
        <v>3337</v>
      </c>
      <c r="W631" s="221" t="s">
        <v>3338</v>
      </c>
      <c r="X631" s="221"/>
      <c r="Y631" s="227"/>
      <c r="Z631" s="227" t="str">
        <f t="shared" si="29"/>
        <v>TAMANHARJO RW 04 SINGOSARI</v>
      </c>
      <c r="AA631" s="276" t="e">
        <f>VLOOKUP(Logfile_S12[[#This Row],[DO number]],DO_DB!G:I,3,0)</f>
        <v>#N/A</v>
      </c>
      <c r="AB631" s="331" t="e">
        <f>EXACT(Logfile_S12[[#This Row],[date pick]],Logfile_S12[[#This Row],[Date]])</f>
        <v>#N/A</v>
      </c>
      <c r="AC6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32" spans="1:29" ht="14.5" hidden="1">
      <c r="A632" s="220" t="str">
        <f t="shared" si="28"/>
        <v>628</v>
      </c>
      <c r="B632" s="221"/>
      <c r="C632" s="221" t="s">
        <v>49</v>
      </c>
      <c r="D632" s="221" t="s">
        <v>3949</v>
      </c>
      <c r="E632" s="221" t="s">
        <v>3295</v>
      </c>
      <c r="F632" s="221" t="s">
        <v>3299</v>
      </c>
      <c r="G632" s="222">
        <v>45346</v>
      </c>
      <c r="H632" s="223">
        <v>0.63541666666666663</v>
      </c>
      <c r="I632" s="221" t="s">
        <v>4916</v>
      </c>
      <c r="J632" s="221" t="s">
        <v>3024</v>
      </c>
      <c r="K632" s="224" t="s">
        <v>3087</v>
      </c>
      <c r="L632" s="225" t="str">
        <f>VLOOKUP(Logfile_S12[[#This Row],[Material Name]],Sheet2!B:C,2,0)</f>
        <v>GCI1001</v>
      </c>
      <c r="M632" s="225" t="str">
        <f>_xlfn.XLOOKUP(Logfile_S12[[#This Row],[Material Name]],Sum_WH!E:E,Sum_WH!F:F,"",0)</f>
        <v>Pcs</v>
      </c>
      <c r="N632" s="221">
        <v>3</v>
      </c>
      <c r="O632" s="221" t="s">
        <v>911</v>
      </c>
      <c r="P632" s="221" t="s">
        <v>912</v>
      </c>
      <c r="Q632" s="221"/>
      <c r="R632" s="221"/>
      <c r="S632" s="221"/>
      <c r="T632" s="221" t="s">
        <v>3258</v>
      </c>
      <c r="U632" s="221" t="s">
        <v>3228</v>
      </c>
      <c r="V632" s="221" t="s">
        <v>3337</v>
      </c>
      <c r="W632" s="221" t="s">
        <v>3338</v>
      </c>
      <c r="X632" s="221"/>
      <c r="Y632" s="227"/>
      <c r="Z632" s="227" t="str">
        <f t="shared" si="29"/>
        <v>Bandulan RW 08 Sukun</v>
      </c>
      <c r="AA632" s="276" t="e">
        <f>VLOOKUP(Logfile_S12[[#This Row],[DO number]],DO_DB!G:I,3,0)</f>
        <v>#N/A</v>
      </c>
      <c r="AB632" s="331" t="e">
        <f>EXACT(Logfile_S12[[#This Row],[date pick]],Logfile_S12[[#This Row],[Date]])</f>
        <v>#N/A</v>
      </c>
      <c r="AC6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33" spans="1:29" ht="14.5" hidden="1">
      <c r="A633" s="220" t="str">
        <f t="shared" si="28"/>
        <v>629</v>
      </c>
      <c r="B633" s="221"/>
      <c r="C633" s="221" t="s">
        <v>49</v>
      </c>
      <c r="D633" s="221" t="s">
        <v>3950</v>
      </c>
      <c r="E633" s="221" t="s">
        <v>3295</v>
      </c>
      <c r="F633" s="221" t="s">
        <v>3299</v>
      </c>
      <c r="G633" s="222">
        <v>45348</v>
      </c>
      <c r="H633" s="223">
        <v>0.35902777777777778</v>
      </c>
      <c r="I633" s="221" t="s">
        <v>4916</v>
      </c>
      <c r="J633" s="221" t="s">
        <v>3024</v>
      </c>
      <c r="K633" s="224" t="s">
        <v>3087</v>
      </c>
      <c r="L633" s="225" t="str">
        <f>VLOOKUP(Logfile_S12[[#This Row],[Material Name]],Sheet2!B:C,2,0)</f>
        <v>GCI1001</v>
      </c>
      <c r="M633" s="225" t="str">
        <f>_xlfn.XLOOKUP(Logfile_S12[[#This Row],[Material Name]],Sum_WH!E:E,Sum_WH!F:F,"",0)</f>
        <v>Pcs</v>
      </c>
      <c r="N633" s="221">
        <v>22</v>
      </c>
      <c r="O633" s="221" t="s">
        <v>921</v>
      </c>
      <c r="P633" s="221" t="s">
        <v>922</v>
      </c>
      <c r="Q633" s="221"/>
      <c r="R633" s="221"/>
      <c r="S633" s="221"/>
      <c r="T633" s="221" t="s">
        <v>3363</v>
      </c>
      <c r="U633" s="221" t="s">
        <v>3228</v>
      </c>
      <c r="V633" s="221" t="s">
        <v>3364</v>
      </c>
      <c r="W633" s="221" t="s">
        <v>3365</v>
      </c>
      <c r="X633" s="221"/>
      <c r="Y633" s="227"/>
      <c r="Z633" s="227" t="str">
        <f t="shared" si="29"/>
        <v>Bumiayu RW 03 Kedungkandang</v>
      </c>
      <c r="AA633" s="276" t="e">
        <f>VLOOKUP(Logfile_S12[[#This Row],[DO number]],DO_DB!G:I,3,0)</f>
        <v>#N/A</v>
      </c>
      <c r="AB633" s="331" t="e">
        <f>EXACT(Logfile_S12[[#This Row],[date pick]],Logfile_S12[[#This Row],[Date]])</f>
        <v>#N/A</v>
      </c>
      <c r="AC6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34" spans="1:29" ht="14.5" hidden="1">
      <c r="A634" s="220" t="str">
        <f t="shared" si="28"/>
        <v>630</v>
      </c>
      <c r="B634" s="221"/>
      <c r="C634" s="221" t="s">
        <v>48</v>
      </c>
      <c r="D634" s="221" t="s">
        <v>3953</v>
      </c>
      <c r="E634" s="221" t="s">
        <v>3295</v>
      </c>
      <c r="F634" s="221" t="s">
        <v>3299</v>
      </c>
      <c r="G634" s="222">
        <v>45349</v>
      </c>
      <c r="H634" s="223">
        <v>15.291666666666666</v>
      </c>
      <c r="I634" s="221" t="s">
        <v>38</v>
      </c>
      <c r="J634" s="221" t="s">
        <v>3024</v>
      </c>
      <c r="K634" s="224" t="s">
        <v>3087</v>
      </c>
      <c r="L634" s="225" t="str">
        <f>VLOOKUP(Logfile_S12[[#This Row],[Material Name]],Sheet2!B:C,2,0)</f>
        <v>GCI1001</v>
      </c>
      <c r="M634" s="225" t="str">
        <f>_xlfn.XLOOKUP(Logfile_S12[[#This Row],[Material Name]],Sum_WH!E:E,Sum_WH!F:F,"",0)</f>
        <v>Pcs</v>
      </c>
      <c r="N634" s="221">
        <v>83</v>
      </c>
      <c r="O634" s="221">
        <v>0</v>
      </c>
      <c r="P634" s="221" t="s">
        <v>3362</v>
      </c>
      <c r="Q634" s="221">
        <v>0</v>
      </c>
      <c r="R634" s="221">
        <v>0</v>
      </c>
      <c r="S634" s="221"/>
      <c r="T634" s="221"/>
      <c r="U634" s="221"/>
      <c r="V634" s="221"/>
      <c r="W634" s="221"/>
      <c r="X634" s="221"/>
      <c r="Y634" s="227"/>
      <c r="Z634" s="227" t="str">
        <f t="shared" si="29"/>
        <v xml:space="preserve">UD RIZQI JAYA PRATAMA </v>
      </c>
      <c r="AA634" s="276" t="e">
        <f>VLOOKUP(Logfile_S12[[#This Row],[DO number]],DO_DB!G:I,3,0)</f>
        <v>#N/A</v>
      </c>
      <c r="AB634" s="331" t="e">
        <f>EXACT(Logfile_S12[[#This Row],[date pick]],Logfile_S12[[#This Row],[Date]])</f>
        <v>#N/A</v>
      </c>
      <c r="AC6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35" spans="1:29" ht="14.5" hidden="1">
      <c r="A635" s="220" t="str">
        <f t="shared" si="28"/>
        <v>631</v>
      </c>
      <c r="B635" s="221"/>
      <c r="C635" s="221" t="s">
        <v>49</v>
      </c>
      <c r="D635" s="221" t="s">
        <v>3963</v>
      </c>
      <c r="E635" s="221" t="s">
        <v>3295</v>
      </c>
      <c r="F635" s="221" t="s">
        <v>3299</v>
      </c>
      <c r="G635" s="222">
        <v>45352</v>
      </c>
      <c r="H635" s="223">
        <v>0.39097222222222222</v>
      </c>
      <c r="I635" s="221" t="s">
        <v>4916</v>
      </c>
      <c r="J635" s="221" t="s">
        <v>3024</v>
      </c>
      <c r="K635" s="224" t="s">
        <v>3087</v>
      </c>
      <c r="L635" s="225" t="str">
        <f>VLOOKUP(Logfile_S12[[#This Row],[Material Name]],Sheet2!B:C,2,0)</f>
        <v>GCI1001</v>
      </c>
      <c r="M635" s="225" t="str">
        <f>_xlfn.XLOOKUP(Logfile_S12[[#This Row],[Material Name]],Sum_WH!E:E,Sum_WH!F:F,"",0)</f>
        <v>Pcs</v>
      </c>
      <c r="N635" s="221">
        <v>23</v>
      </c>
      <c r="O635" s="221" t="s">
        <v>921</v>
      </c>
      <c r="P635" s="221" t="s">
        <v>922</v>
      </c>
      <c r="Q635" s="221"/>
      <c r="R635" s="221"/>
      <c r="S635" s="221"/>
      <c r="T635" s="221" t="s">
        <v>3258</v>
      </c>
      <c r="U635" s="221" t="s">
        <v>3228</v>
      </c>
      <c r="V635" s="221" t="s">
        <v>3337</v>
      </c>
      <c r="W635" s="221" t="s">
        <v>3365</v>
      </c>
      <c r="X635" s="221"/>
      <c r="Y635" s="227"/>
      <c r="Z635" s="227" t="str">
        <f t="shared" si="29"/>
        <v>Bumiayu RW 03 Kedungkandang</v>
      </c>
      <c r="AA635" s="276" t="e">
        <f>VLOOKUP(Logfile_S12[[#This Row],[DO number]],DO_DB!G:I,3,0)</f>
        <v>#N/A</v>
      </c>
      <c r="AB635" s="331" t="e">
        <f>EXACT(Logfile_S12[[#This Row],[date pick]],Logfile_S12[[#This Row],[Date]])</f>
        <v>#N/A</v>
      </c>
      <c r="AC6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36" spans="1:29" ht="14.5" hidden="1">
      <c r="A636" s="220" t="str">
        <f t="shared" si="28"/>
        <v>632</v>
      </c>
      <c r="B636" s="221"/>
      <c r="C636" s="221" t="s">
        <v>48</v>
      </c>
      <c r="D636" s="221" t="s">
        <v>3990</v>
      </c>
      <c r="E636" s="221" t="s">
        <v>3295</v>
      </c>
      <c r="F636" s="221" t="s">
        <v>3299</v>
      </c>
      <c r="G636" s="222">
        <v>45376</v>
      </c>
      <c r="H636" s="223">
        <v>15.291666666666666</v>
      </c>
      <c r="I636" s="221" t="s">
        <v>38</v>
      </c>
      <c r="J636" s="221" t="s">
        <v>3024</v>
      </c>
      <c r="K636" s="224" t="s">
        <v>3087</v>
      </c>
      <c r="L636" s="225" t="str">
        <f>VLOOKUP(Logfile_S12[[#This Row],[Material Name]],Sheet2!B:C,2,0)</f>
        <v>GCI1001</v>
      </c>
      <c r="M636" s="225" t="str">
        <f>_xlfn.XLOOKUP(Logfile_S12[[#This Row],[Material Name]],Sum_WH!E:E,Sum_WH!F:F,"",0)</f>
        <v>Pcs</v>
      </c>
      <c r="N636" s="221">
        <v>53</v>
      </c>
      <c r="O636" s="221">
        <v>0</v>
      </c>
      <c r="P636" s="221" t="s">
        <v>3393</v>
      </c>
      <c r="Q636" s="221">
        <v>0</v>
      </c>
      <c r="R636" s="221">
        <v>0</v>
      </c>
      <c r="S636" s="221"/>
      <c r="T636" s="221"/>
      <c r="U636" s="221"/>
      <c r="V636" s="221"/>
      <c r="W636" s="221"/>
      <c r="X636" s="221"/>
      <c r="Y636" s="227"/>
      <c r="Z636" s="227" t="str">
        <f t="shared" si="29"/>
        <v>TEGAL</v>
      </c>
      <c r="AA636" s="276" t="e">
        <f>VLOOKUP(Logfile_S12[[#This Row],[DO number]],DO_DB!G:I,3,0)</f>
        <v>#N/A</v>
      </c>
      <c r="AB636" s="331" t="e">
        <f>EXACT(Logfile_S12[[#This Row],[date pick]],Logfile_S12[[#This Row],[Date]])</f>
        <v>#N/A</v>
      </c>
      <c r="AC6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37" spans="1:29" ht="14.5" hidden="1">
      <c r="A637" s="220" t="str">
        <f t="shared" si="28"/>
        <v>633</v>
      </c>
      <c r="B637" s="221"/>
      <c r="C637" s="221" t="s">
        <v>49</v>
      </c>
      <c r="D637" s="221" t="s">
        <v>3991</v>
      </c>
      <c r="E637" s="221" t="s">
        <v>3295</v>
      </c>
      <c r="F637" s="221" t="s">
        <v>3299</v>
      </c>
      <c r="G637" s="222">
        <v>45377</v>
      </c>
      <c r="H637" s="223">
        <v>0.93819444444444444</v>
      </c>
      <c r="I637" s="221" t="s">
        <v>4916</v>
      </c>
      <c r="J637" s="221" t="s">
        <v>3024</v>
      </c>
      <c r="K637" s="224" t="s">
        <v>3087</v>
      </c>
      <c r="L637" s="225" t="str">
        <f>VLOOKUP(Logfile_S12[[#This Row],[Material Name]],Sheet2!B:C,2,0)</f>
        <v>GCI1001</v>
      </c>
      <c r="M637" s="225" t="str">
        <f>_xlfn.XLOOKUP(Logfile_S12[[#This Row],[Material Name]],Sum_WH!E:E,Sum_WH!F:F,"",0)</f>
        <v>Pcs</v>
      </c>
      <c r="N637" s="221">
        <v>45</v>
      </c>
      <c r="O637" s="221" t="s">
        <v>1087</v>
      </c>
      <c r="P637" s="221" t="s">
        <v>1088</v>
      </c>
      <c r="Q637" s="221"/>
      <c r="R637" s="221"/>
      <c r="S637" s="221"/>
      <c r="T637" s="221" t="s">
        <v>3258</v>
      </c>
      <c r="U637" s="221" t="s">
        <v>3228</v>
      </c>
      <c r="V637" s="221" t="s">
        <v>3337</v>
      </c>
      <c r="W637" s="221" t="s">
        <v>3338</v>
      </c>
      <c r="X637" s="221"/>
      <c r="Y637" s="227"/>
      <c r="Z637" s="227" t="str">
        <f t="shared" si="29"/>
        <v>Dalisodo RW 01 Wagir</v>
      </c>
      <c r="AA637" s="276" t="e">
        <f>VLOOKUP(Logfile_S12[[#This Row],[DO number]],DO_DB!G:I,3,0)</f>
        <v>#N/A</v>
      </c>
      <c r="AB637" s="331" t="e">
        <f>EXACT(Logfile_S12[[#This Row],[date pick]],Logfile_S12[[#This Row],[Date]])</f>
        <v>#N/A</v>
      </c>
      <c r="AC6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38" spans="1:29" ht="14.5" hidden="1">
      <c r="A638" s="220" t="str">
        <f t="shared" si="28"/>
        <v>634</v>
      </c>
      <c r="B638" s="221"/>
      <c r="C638" s="221" t="s">
        <v>49</v>
      </c>
      <c r="D638" s="221" t="s">
        <v>3993</v>
      </c>
      <c r="E638" s="221" t="s">
        <v>3295</v>
      </c>
      <c r="F638" s="221" t="s">
        <v>3299</v>
      </c>
      <c r="G638" s="222">
        <v>45379</v>
      </c>
      <c r="H638" s="223">
        <v>0.4145833333333333</v>
      </c>
      <c r="I638" s="221" t="s">
        <v>4916</v>
      </c>
      <c r="J638" s="221" t="s">
        <v>3024</v>
      </c>
      <c r="K638" s="224" t="s">
        <v>3087</v>
      </c>
      <c r="L638" s="225" t="str">
        <f>VLOOKUP(Logfile_S12[[#This Row],[Material Name]],Sheet2!B:C,2,0)</f>
        <v>GCI1001</v>
      </c>
      <c r="M638" s="225" t="str">
        <f>_xlfn.XLOOKUP(Logfile_S12[[#This Row],[Material Name]],Sum_WH!E:E,Sum_WH!F:F,"",0)</f>
        <v>Pcs</v>
      </c>
      <c r="N638" s="221">
        <v>17</v>
      </c>
      <c r="O638" s="221" t="s">
        <v>1161</v>
      </c>
      <c r="P638" s="221" t="s">
        <v>1162</v>
      </c>
      <c r="Q638" s="221"/>
      <c r="R638" s="221"/>
      <c r="S638" s="221"/>
      <c r="T638" s="221" t="s">
        <v>3363</v>
      </c>
      <c r="U638" s="221" t="s">
        <v>3228</v>
      </c>
      <c r="V638" s="221" t="s">
        <v>3364</v>
      </c>
      <c r="W638" s="221" t="s">
        <v>3365</v>
      </c>
      <c r="X638" s="221"/>
      <c r="Y638" s="227"/>
      <c r="Z638" s="227" t="str">
        <f t="shared" si="29"/>
        <v>Tunjungtirto RW 01 Singosari</v>
      </c>
      <c r="AA638" s="276" t="e">
        <f>VLOOKUP(Logfile_S12[[#This Row],[DO number]],DO_DB!G:I,3,0)</f>
        <v>#N/A</v>
      </c>
      <c r="AB638" s="331" t="e">
        <f>EXACT(Logfile_S12[[#This Row],[date pick]],Logfile_S12[[#This Row],[Date]])</f>
        <v>#N/A</v>
      </c>
      <c r="AC6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39" spans="1:29" ht="14.5" hidden="1">
      <c r="A639" s="220" t="str">
        <f t="shared" si="28"/>
        <v>635</v>
      </c>
      <c r="B639" s="221"/>
      <c r="C639" s="221" t="s">
        <v>49</v>
      </c>
      <c r="D639" s="221" t="s">
        <v>4003</v>
      </c>
      <c r="E639" s="221" t="s">
        <v>3295</v>
      </c>
      <c r="F639" s="221" t="s">
        <v>3299</v>
      </c>
      <c r="G639" s="222">
        <v>45386</v>
      </c>
      <c r="H639" s="223">
        <v>0.65208333333333335</v>
      </c>
      <c r="I639" s="221" t="s">
        <v>4916</v>
      </c>
      <c r="J639" s="221" t="s">
        <v>3024</v>
      </c>
      <c r="K639" s="224" t="s">
        <v>3087</v>
      </c>
      <c r="L639" s="225" t="str">
        <f>VLOOKUP(Logfile_S12[[#This Row],[Material Name]],Sheet2!B:C,2,0)</f>
        <v>GCI1001</v>
      </c>
      <c r="M639" s="225" t="str">
        <f>_xlfn.XLOOKUP(Logfile_S12[[#This Row],[Material Name]],Sum_WH!E:E,Sum_WH!F:F,"",0)</f>
        <v>Pcs</v>
      </c>
      <c r="N639" s="221">
        <v>14</v>
      </c>
      <c r="O639" s="221" t="s">
        <v>1151</v>
      </c>
      <c r="P639" s="221" t="s">
        <v>1152</v>
      </c>
      <c r="Q639" s="221"/>
      <c r="R639" s="221"/>
      <c r="S639" s="221"/>
      <c r="T639" s="221" t="s">
        <v>3363</v>
      </c>
      <c r="U639" s="221" t="s">
        <v>3228</v>
      </c>
      <c r="V639" s="221" t="s">
        <v>3364</v>
      </c>
      <c r="W639" s="221" t="s">
        <v>3365</v>
      </c>
      <c r="X639" s="221"/>
      <c r="Y639" s="227"/>
      <c r="Z639" s="227" t="str">
        <f t="shared" si="29"/>
        <v>Tunjungtirto RW 08 Singosari</v>
      </c>
      <c r="AA639" s="276" t="e">
        <f>VLOOKUP(Logfile_S12[[#This Row],[DO number]],DO_DB!G:I,3,0)</f>
        <v>#N/A</v>
      </c>
      <c r="AB639" s="331" t="e">
        <f>EXACT(Logfile_S12[[#This Row],[date pick]],Logfile_S12[[#This Row],[Date]])</f>
        <v>#N/A</v>
      </c>
      <c r="AC6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40" spans="1:29" ht="14.5" hidden="1">
      <c r="A640" s="220" t="str">
        <f t="shared" si="28"/>
        <v>636</v>
      </c>
      <c r="B640" s="221"/>
      <c r="C640" s="221" t="s">
        <v>49</v>
      </c>
      <c r="D640" s="221" t="s">
        <v>4007</v>
      </c>
      <c r="E640" s="221" t="s">
        <v>3295</v>
      </c>
      <c r="F640" s="221" t="s">
        <v>3299</v>
      </c>
      <c r="G640" s="222">
        <v>45400</v>
      </c>
      <c r="H640" s="223">
        <v>0.39513888888888887</v>
      </c>
      <c r="I640" s="221" t="s">
        <v>4916</v>
      </c>
      <c r="J640" s="221" t="s">
        <v>3024</v>
      </c>
      <c r="K640" s="224" t="s">
        <v>3087</v>
      </c>
      <c r="L640" s="225" t="str">
        <f>VLOOKUP(Logfile_S12[[#This Row],[Material Name]],Sheet2!B:C,2,0)</f>
        <v>GCI1001</v>
      </c>
      <c r="M640" s="225" t="str">
        <f>_xlfn.XLOOKUP(Logfile_S12[[#This Row],[Material Name]],Sum_WH!E:E,Sum_WH!F:F,"",0)</f>
        <v>Pcs</v>
      </c>
      <c r="N640" s="221">
        <v>5</v>
      </c>
      <c r="O640" s="221" t="s">
        <v>1287</v>
      </c>
      <c r="P640" s="221" t="s">
        <v>3394</v>
      </c>
      <c r="Q640" s="221"/>
      <c r="R640" s="221"/>
      <c r="S640" s="221"/>
      <c r="T640" s="221" t="s">
        <v>3258</v>
      </c>
      <c r="U640" s="221" t="s">
        <v>3228</v>
      </c>
      <c r="V640" s="221" t="s">
        <v>3337</v>
      </c>
      <c r="W640" s="221" t="s">
        <v>3338</v>
      </c>
      <c r="X640" s="221"/>
      <c r="Y640" s="227"/>
      <c r="Z640" s="227" t="str">
        <f t="shared" si="29"/>
        <v>Tunjungtirto RW 06 Singosari</v>
      </c>
      <c r="AA640" s="276" t="e">
        <f>VLOOKUP(Logfile_S12[[#This Row],[DO number]],DO_DB!G:I,3,0)</f>
        <v>#N/A</v>
      </c>
      <c r="AB640" s="331" t="e">
        <f>EXACT(Logfile_S12[[#This Row],[date pick]],Logfile_S12[[#This Row],[Date]])</f>
        <v>#N/A</v>
      </c>
      <c r="AC6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41" spans="1:29" ht="14.5" hidden="1">
      <c r="A641" s="220" t="str">
        <f t="shared" si="28"/>
        <v>637</v>
      </c>
      <c r="B641" s="221"/>
      <c r="C641" s="221" t="s">
        <v>49</v>
      </c>
      <c r="D641" s="221" t="s">
        <v>4021</v>
      </c>
      <c r="E641" s="221" t="s">
        <v>3295</v>
      </c>
      <c r="F641" s="221" t="s">
        <v>3299</v>
      </c>
      <c r="G641" s="222">
        <v>45405</v>
      </c>
      <c r="H641" s="223">
        <v>0.3756944444444445</v>
      </c>
      <c r="I641" s="221" t="s">
        <v>4916</v>
      </c>
      <c r="J641" s="221" t="s">
        <v>3024</v>
      </c>
      <c r="K641" s="224" t="s">
        <v>3087</v>
      </c>
      <c r="L641" s="225" t="str">
        <f>VLOOKUP(Logfile_S12[[#This Row],[Material Name]],Sheet2!B:C,2,0)</f>
        <v>GCI1001</v>
      </c>
      <c r="M641" s="225" t="str">
        <f>_xlfn.XLOOKUP(Logfile_S12[[#This Row],[Material Name]],Sum_WH!E:E,Sum_WH!F:F,"",0)</f>
        <v>Pcs</v>
      </c>
      <c r="N641" s="221">
        <v>2</v>
      </c>
      <c r="O641" s="221" t="s">
        <v>1401</v>
      </c>
      <c r="P641" s="221" t="s">
        <v>3371</v>
      </c>
      <c r="Q641" s="221"/>
      <c r="R641" s="221"/>
      <c r="S641" s="221"/>
      <c r="T641" s="221" t="s">
        <v>3363</v>
      </c>
      <c r="U641" s="221" t="s">
        <v>3228</v>
      </c>
      <c r="V641" s="221" t="s">
        <v>3364</v>
      </c>
      <c r="W641" s="221" t="s">
        <v>3372</v>
      </c>
      <c r="X641" s="221"/>
      <c r="Y641" s="227"/>
      <c r="Z641" s="227" t="str">
        <f t="shared" si="29"/>
        <v>Lowokwaru RW14</v>
      </c>
      <c r="AA641" s="276" t="e">
        <f>VLOOKUP(Logfile_S12[[#This Row],[DO number]],DO_DB!G:I,3,0)</f>
        <v>#N/A</v>
      </c>
      <c r="AB641" s="331" t="e">
        <f>EXACT(Logfile_S12[[#This Row],[date pick]],Logfile_S12[[#This Row],[Date]])</f>
        <v>#N/A</v>
      </c>
      <c r="AC6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42" spans="1:29" ht="14.5" hidden="1">
      <c r="A642" s="220" t="str">
        <f t="shared" si="28"/>
        <v>638</v>
      </c>
      <c r="B642" s="221"/>
      <c r="C642" s="221" t="s">
        <v>49</v>
      </c>
      <c r="D642" s="221" t="s">
        <v>4022</v>
      </c>
      <c r="E642" s="221" t="s">
        <v>3295</v>
      </c>
      <c r="F642" s="221" t="s">
        <v>3299</v>
      </c>
      <c r="G642" s="222">
        <v>45405</v>
      </c>
      <c r="H642" s="223">
        <v>0.71666666666666667</v>
      </c>
      <c r="I642" s="221" t="s">
        <v>4916</v>
      </c>
      <c r="J642" s="221" t="s">
        <v>3024</v>
      </c>
      <c r="K642" s="224" t="s">
        <v>3087</v>
      </c>
      <c r="L642" s="225" t="str">
        <f>VLOOKUP(Logfile_S12[[#This Row],[Material Name]],Sheet2!B:C,2,0)</f>
        <v>GCI1001</v>
      </c>
      <c r="M642" s="225" t="str">
        <f>_xlfn.XLOOKUP(Logfile_S12[[#This Row],[Material Name]],Sum_WH!E:E,Sum_WH!F:F,"",0)</f>
        <v>Pcs</v>
      </c>
      <c r="N642" s="221">
        <v>43</v>
      </c>
      <c r="O642" s="221" t="s">
        <v>1081</v>
      </c>
      <c r="P642" s="221" t="s">
        <v>3370</v>
      </c>
      <c r="Q642" s="221"/>
      <c r="R642" s="221"/>
      <c r="S642" s="221"/>
      <c r="T642" s="221" t="s">
        <v>3258</v>
      </c>
      <c r="U642" s="221" t="s">
        <v>3228</v>
      </c>
      <c r="V642" s="221" t="s">
        <v>3364</v>
      </c>
      <c r="W642" s="221" t="s">
        <v>3372</v>
      </c>
      <c r="X642" s="221"/>
      <c r="Y642" s="227"/>
      <c r="Z642" s="227" t="str">
        <f t="shared" si="29"/>
        <v>Pandan Landung RW 05 Wagir</v>
      </c>
      <c r="AA642" s="276" t="e">
        <f>VLOOKUP(Logfile_S12[[#This Row],[DO number]],DO_DB!G:I,3,0)</f>
        <v>#N/A</v>
      </c>
      <c r="AB642" s="331" t="e">
        <f>EXACT(Logfile_S12[[#This Row],[date pick]],Logfile_S12[[#This Row],[Date]])</f>
        <v>#N/A</v>
      </c>
      <c r="AC6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43" spans="1:29" ht="14.5" hidden="1">
      <c r="A643" s="220" t="str">
        <f t="shared" si="28"/>
        <v>639</v>
      </c>
      <c r="B643" s="221"/>
      <c r="C643" s="221" t="s">
        <v>3313</v>
      </c>
      <c r="D643" s="221" t="s">
        <v>4023</v>
      </c>
      <c r="E643" s="221" t="s">
        <v>3295</v>
      </c>
      <c r="F643" s="221" t="s">
        <v>3299</v>
      </c>
      <c r="G643" s="222">
        <v>45405</v>
      </c>
      <c r="H643" s="223">
        <v>15.291666666666666</v>
      </c>
      <c r="I643" s="221" t="s">
        <v>4922</v>
      </c>
      <c r="J643" s="221" t="s">
        <v>3024</v>
      </c>
      <c r="K643" s="224" t="s">
        <v>3087</v>
      </c>
      <c r="L643" s="225" t="str">
        <f>VLOOKUP(Logfile_S12[[#This Row],[Material Name]],Sheet2!B:C,2,0)</f>
        <v>GCI1001</v>
      </c>
      <c r="M643" s="225" t="str">
        <f>_xlfn.XLOOKUP(Logfile_S12[[#This Row],[Material Name]],Sum_WH!E:E,Sum_WH!F:F,"",0)</f>
        <v>Pcs</v>
      </c>
      <c r="N643" s="221">
        <v>75</v>
      </c>
      <c r="O643" s="221" t="s">
        <v>3314</v>
      </c>
      <c r="P643" s="221" t="s">
        <v>3395</v>
      </c>
      <c r="Q643" s="221">
        <v>0</v>
      </c>
      <c r="R643" s="221">
        <v>0</v>
      </c>
      <c r="S643" s="221"/>
      <c r="T643" s="221"/>
      <c r="U643" s="221"/>
      <c r="V643" s="221"/>
      <c r="W643" s="221"/>
      <c r="X643" s="221"/>
      <c r="Y643" s="227"/>
      <c r="Z643" s="227" t="str">
        <f t="shared" si="29"/>
        <v>NGAWI</v>
      </c>
      <c r="AA643" s="276" t="e">
        <f>VLOOKUP(Logfile_S12[[#This Row],[DO number]],DO_DB!G:I,3,0)</f>
        <v>#N/A</v>
      </c>
      <c r="AB643" s="331" t="e">
        <f>EXACT(Logfile_S12[[#This Row],[date pick]],Logfile_S12[[#This Row],[Date]])</f>
        <v>#N/A</v>
      </c>
      <c r="AC6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44" spans="1:29" ht="14.5" hidden="1">
      <c r="A644" s="220" t="str">
        <f t="shared" si="28"/>
        <v>640</v>
      </c>
      <c r="B644" s="221"/>
      <c r="C644" s="221" t="s">
        <v>49</v>
      </c>
      <c r="D644" s="221" t="s">
        <v>4031</v>
      </c>
      <c r="E644" s="221" t="s">
        <v>3295</v>
      </c>
      <c r="F644" s="221" t="s">
        <v>3299</v>
      </c>
      <c r="G644" s="222">
        <v>45412</v>
      </c>
      <c r="H644" s="223">
        <v>0.42708333333333331</v>
      </c>
      <c r="I644" s="221" t="s">
        <v>4916</v>
      </c>
      <c r="J644" s="221" t="s">
        <v>3024</v>
      </c>
      <c r="K644" s="224" t="s">
        <v>3087</v>
      </c>
      <c r="L644" s="225" t="str">
        <f>VLOOKUP(Logfile_S12[[#This Row],[Material Name]],Sheet2!B:C,2,0)</f>
        <v>GCI1001</v>
      </c>
      <c r="M644" s="225" t="str">
        <f>_xlfn.XLOOKUP(Logfile_S12[[#This Row],[Material Name]],Sum_WH!E:E,Sum_WH!F:F,"",0)</f>
        <v>Pcs</v>
      </c>
      <c r="N644" s="221">
        <v>10</v>
      </c>
      <c r="O644" s="221" t="s">
        <v>1401</v>
      </c>
      <c r="P644" s="221" t="s">
        <v>3371</v>
      </c>
      <c r="Q644" s="221"/>
      <c r="R644" s="221"/>
      <c r="S644" s="221"/>
      <c r="T644" s="221" t="s">
        <v>3363</v>
      </c>
      <c r="U644" s="221" t="s">
        <v>3228</v>
      </c>
      <c r="V644" s="221" t="s">
        <v>3364</v>
      </c>
      <c r="W644" s="221" t="s">
        <v>3372</v>
      </c>
      <c r="X644" s="221"/>
      <c r="Y644" s="227"/>
      <c r="Z644" s="227" t="str">
        <f t="shared" si="29"/>
        <v>Lowokwaru RW14</v>
      </c>
      <c r="AA644" s="276" t="e">
        <f>VLOOKUP(Logfile_S12[[#This Row],[DO number]],DO_DB!G:I,3,0)</f>
        <v>#N/A</v>
      </c>
      <c r="AB644" s="331" t="e">
        <f>EXACT(Logfile_S12[[#This Row],[date pick]],Logfile_S12[[#This Row],[Date]])</f>
        <v>#N/A</v>
      </c>
      <c r="AC6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45" spans="1:29" ht="14.5" hidden="1">
      <c r="A645" s="220" t="str">
        <f t="shared" ref="A645:A708" si="30">TEXT(ROW(A645)-ROW($A$4),"000")</f>
        <v>641</v>
      </c>
      <c r="B645" s="221"/>
      <c r="C645" s="221" t="s">
        <v>48</v>
      </c>
      <c r="D645" s="221" t="s">
        <v>4045</v>
      </c>
      <c r="E645" s="221" t="s">
        <v>3295</v>
      </c>
      <c r="F645" s="221" t="s">
        <v>3299</v>
      </c>
      <c r="G645" s="222">
        <v>45429</v>
      </c>
      <c r="H645" s="223">
        <v>15.291666666666666</v>
      </c>
      <c r="I645" s="221" t="s">
        <v>38</v>
      </c>
      <c r="J645" s="221" t="s">
        <v>3024</v>
      </c>
      <c r="K645" s="224" t="s">
        <v>3087</v>
      </c>
      <c r="L645" s="225" t="str">
        <f>VLOOKUP(Logfile_S12[[#This Row],[Material Name]],Sheet2!B:C,2,0)</f>
        <v>GCI1001</v>
      </c>
      <c r="M645" s="225" t="str">
        <f>_xlfn.XLOOKUP(Logfile_S12[[#This Row],[Material Name]],Sum_WH!E:E,Sum_WH!F:F,"",0)</f>
        <v>Pcs</v>
      </c>
      <c r="N645" s="221">
        <v>16</v>
      </c>
      <c r="O645" s="221">
        <v>0</v>
      </c>
      <c r="P645" s="221">
        <v>0</v>
      </c>
      <c r="Q645" s="221">
        <v>0</v>
      </c>
      <c r="R645" s="221">
        <v>0</v>
      </c>
      <c r="S645" s="221"/>
      <c r="T645" s="221"/>
      <c r="U645" s="221"/>
      <c r="V645" s="221"/>
      <c r="W645" s="221"/>
      <c r="X645" s="221"/>
      <c r="Y645" s="227"/>
      <c r="Z645" s="227">
        <f t="shared" si="29"/>
        <v>0</v>
      </c>
      <c r="AA645" s="276" t="e">
        <f>VLOOKUP(Logfile_S12[[#This Row],[DO number]],DO_DB!G:I,3,0)</f>
        <v>#N/A</v>
      </c>
      <c r="AB645" s="331" t="e">
        <f>EXACT(Logfile_S12[[#This Row],[date pick]],Logfile_S12[[#This Row],[Date]])</f>
        <v>#N/A</v>
      </c>
      <c r="AC6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46" spans="1:29" ht="14.5" hidden="1">
      <c r="A646" s="220" t="str">
        <f t="shared" si="30"/>
        <v>642</v>
      </c>
      <c r="B646" s="221"/>
      <c r="C646" s="221" t="s">
        <v>49</v>
      </c>
      <c r="D646" s="221" t="s">
        <v>4043</v>
      </c>
      <c r="E646" s="221" t="s">
        <v>3295</v>
      </c>
      <c r="F646" s="221" t="s">
        <v>3299</v>
      </c>
      <c r="G646" s="222">
        <v>45429</v>
      </c>
      <c r="H646" s="223">
        <v>0.4465277777777778</v>
      </c>
      <c r="I646" s="221" t="s">
        <v>4916</v>
      </c>
      <c r="J646" s="221" t="s">
        <v>3024</v>
      </c>
      <c r="K646" s="224" t="s">
        <v>3087</v>
      </c>
      <c r="L646" s="225" t="str">
        <f>VLOOKUP(Logfile_S12[[#This Row],[Material Name]],Sheet2!B:C,2,0)</f>
        <v>GCI1001</v>
      </c>
      <c r="M646" s="225" t="str">
        <f>_xlfn.XLOOKUP(Logfile_S12[[#This Row],[Material Name]],Sum_WH!E:E,Sum_WH!F:F,"",0)</f>
        <v>Pcs</v>
      </c>
      <c r="N646" s="221">
        <v>17</v>
      </c>
      <c r="O646" s="221" t="s">
        <v>1967</v>
      </c>
      <c r="P646" s="221" t="s">
        <v>3396</v>
      </c>
      <c r="Q646" s="221"/>
      <c r="R646" s="221"/>
      <c r="S646" s="221"/>
      <c r="T646" s="221" t="s">
        <v>3258</v>
      </c>
      <c r="U646" s="221" t="s">
        <v>3228</v>
      </c>
      <c r="V646" s="221" t="s">
        <v>3337</v>
      </c>
      <c r="W646" s="221" t="s">
        <v>3338</v>
      </c>
      <c r="X646" s="221"/>
      <c r="Y646" s="227"/>
      <c r="Z646" s="227" t="str">
        <f t="shared" si="29"/>
        <v>HUBFEEDER DALISODO</v>
      </c>
      <c r="AA646" s="276" t="e">
        <f>VLOOKUP(Logfile_S12[[#This Row],[DO number]],DO_DB!G:I,3,0)</f>
        <v>#N/A</v>
      </c>
      <c r="AB646" s="331" t="e">
        <f>EXACT(Logfile_S12[[#This Row],[date pick]],Logfile_S12[[#This Row],[Date]])</f>
        <v>#N/A</v>
      </c>
      <c r="AC6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47" spans="1:29" ht="14.5" hidden="1">
      <c r="A647" s="220" t="str">
        <f t="shared" si="30"/>
        <v>643</v>
      </c>
      <c r="B647" s="221"/>
      <c r="C647" s="221" t="s">
        <v>49</v>
      </c>
      <c r="D647" s="221" t="s">
        <v>4052</v>
      </c>
      <c r="E647" s="221" t="s">
        <v>3295</v>
      </c>
      <c r="F647" s="221" t="s">
        <v>3299</v>
      </c>
      <c r="G647" s="222">
        <v>45433</v>
      </c>
      <c r="H647" s="223">
        <v>0.37708333333333338</v>
      </c>
      <c r="I647" s="221" t="s">
        <v>4916</v>
      </c>
      <c r="J647" s="221" t="s">
        <v>3024</v>
      </c>
      <c r="K647" s="224" t="s">
        <v>3087</v>
      </c>
      <c r="L647" s="225" t="str">
        <f>VLOOKUP(Logfile_S12[[#This Row],[Material Name]],Sheet2!B:C,2,0)</f>
        <v>GCI1001</v>
      </c>
      <c r="M647" s="225" t="str">
        <f>_xlfn.XLOOKUP(Logfile_S12[[#This Row],[Material Name]],Sum_WH!E:E,Sum_WH!F:F,"",0)</f>
        <v>Pcs</v>
      </c>
      <c r="N647" s="221">
        <v>6</v>
      </c>
      <c r="O647" s="221" t="s">
        <v>1405</v>
      </c>
      <c r="P647" s="221" t="s">
        <v>1406</v>
      </c>
      <c r="Q647" s="221"/>
      <c r="R647" s="221"/>
      <c r="S647" s="221"/>
      <c r="T647" s="221" t="s">
        <v>3258</v>
      </c>
      <c r="U647" s="221" t="s">
        <v>3228</v>
      </c>
      <c r="V647" s="221" t="s">
        <v>3337</v>
      </c>
      <c r="W647" s="221" t="s">
        <v>3338</v>
      </c>
      <c r="X647" s="221"/>
      <c r="Y647" s="227"/>
      <c r="Z647" s="227" t="str">
        <f t="shared" si="29"/>
        <v>Lawang RW 06 Malang</v>
      </c>
      <c r="AA647" s="276" t="e">
        <f>VLOOKUP(Logfile_S12[[#This Row],[DO number]],DO_DB!G:I,3,0)</f>
        <v>#N/A</v>
      </c>
      <c r="AB647" s="331" t="e">
        <f>EXACT(Logfile_S12[[#This Row],[date pick]],Logfile_S12[[#This Row],[Date]])</f>
        <v>#N/A</v>
      </c>
      <c r="AC6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48" spans="1:29" ht="14.5" hidden="1">
      <c r="A648" s="220" t="str">
        <f t="shared" si="30"/>
        <v>644</v>
      </c>
      <c r="B648" s="221"/>
      <c r="C648" s="221" t="s">
        <v>49</v>
      </c>
      <c r="D648" s="221" t="s">
        <v>4056</v>
      </c>
      <c r="E648" s="221" t="s">
        <v>3295</v>
      </c>
      <c r="F648" s="221" t="s">
        <v>3299</v>
      </c>
      <c r="G648" s="222">
        <v>45434</v>
      </c>
      <c r="H648" s="223">
        <v>0.39166666666666666</v>
      </c>
      <c r="I648" s="221" t="s">
        <v>4916</v>
      </c>
      <c r="J648" s="221" t="s">
        <v>3024</v>
      </c>
      <c r="K648" s="224" t="s">
        <v>3087</v>
      </c>
      <c r="L648" s="225" t="str">
        <f>VLOOKUP(Logfile_S12[[#This Row],[Material Name]],Sheet2!B:C,2,0)</f>
        <v>GCI1001</v>
      </c>
      <c r="M648" s="225" t="str">
        <f>_xlfn.XLOOKUP(Logfile_S12[[#This Row],[Material Name]],Sum_WH!E:E,Sum_WH!F:F,"",0)</f>
        <v>Pcs</v>
      </c>
      <c r="N648" s="221">
        <v>18</v>
      </c>
      <c r="O648" s="221" t="s">
        <v>1395</v>
      </c>
      <c r="P648" s="221" t="s">
        <v>1396</v>
      </c>
      <c r="Q648" s="221"/>
      <c r="R648" s="221"/>
      <c r="S648" s="221"/>
      <c r="T648" s="221" t="s">
        <v>3258</v>
      </c>
      <c r="U648" s="221" t="s">
        <v>3228</v>
      </c>
      <c r="V648" s="221" t="s">
        <v>3337</v>
      </c>
      <c r="W648" s="221" t="s">
        <v>3338</v>
      </c>
      <c r="X648" s="221"/>
      <c r="Y648" s="227"/>
      <c r="Z648" s="227" t="str">
        <f t="shared" si="29"/>
        <v>Candirenggo RW 10 Singosari</v>
      </c>
      <c r="AA648" s="276" t="e">
        <f>VLOOKUP(Logfile_S12[[#This Row],[DO number]],DO_DB!G:I,3,0)</f>
        <v>#N/A</v>
      </c>
      <c r="AB648" s="331" t="e">
        <f>EXACT(Logfile_S12[[#This Row],[date pick]],Logfile_S12[[#This Row],[Date]])</f>
        <v>#N/A</v>
      </c>
      <c r="AC6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49" spans="1:29" ht="14.5" hidden="1">
      <c r="A649" s="220" t="str">
        <f t="shared" si="30"/>
        <v>645</v>
      </c>
      <c r="B649" s="221"/>
      <c r="C649" s="221" t="s">
        <v>49</v>
      </c>
      <c r="D649" s="221" t="s">
        <v>4067</v>
      </c>
      <c r="E649" s="221" t="s">
        <v>3295</v>
      </c>
      <c r="F649" s="221" t="s">
        <v>3299</v>
      </c>
      <c r="G649" s="222">
        <v>45441</v>
      </c>
      <c r="H649" s="223">
        <v>0.50624999999999998</v>
      </c>
      <c r="I649" s="221" t="s">
        <v>4916</v>
      </c>
      <c r="J649" s="221" t="s">
        <v>3024</v>
      </c>
      <c r="K649" s="224" t="s">
        <v>3087</v>
      </c>
      <c r="L649" s="225" t="str">
        <f>VLOOKUP(Logfile_S12[[#This Row],[Material Name]],Sheet2!B:C,2,0)</f>
        <v>GCI1001</v>
      </c>
      <c r="M649" s="225" t="str">
        <f>_xlfn.XLOOKUP(Logfile_S12[[#This Row],[Material Name]],Sum_WH!E:E,Sum_WH!F:F,"",0)</f>
        <v>Pcs</v>
      </c>
      <c r="N649" s="221">
        <v>25</v>
      </c>
      <c r="O649" s="221" t="s">
        <v>1493</v>
      </c>
      <c r="P649" s="221" t="s">
        <v>1494</v>
      </c>
      <c r="Q649" s="221"/>
      <c r="R649" s="221"/>
      <c r="S649" s="221"/>
      <c r="T649" s="221" t="s">
        <v>3231</v>
      </c>
      <c r="U649" s="221">
        <v>0</v>
      </c>
      <c r="V649" s="221" t="s">
        <v>3232</v>
      </c>
      <c r="W649" s="221" t="s">
        <v>3246</v>
      </c>
      <c r="X649" s="221"/>
      <c r="Y649" s="227"/>
      <c r="Z649" s="227" t="str">
        <f t="shared" si="29"/>
        <v>Dusun Krajan Kucur</v>
      </c>
      <c r="AA649" s="276" t="e">
        <f>VLOOKUP(Logfile_S12[[#This Row],[DO number]],DO_DB!G:I,3,0)</f>
        <v>#N/A</v>
      </c>
      <c r="AB649" s="331" t="e">
        <f>EXACT(Logfile_S12[[#This Row],[date pick]],Logfile_S12[[#This Row],[Date]])</f>
        <v>#N/A</v>
      </c>
      <c r="AC6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50" spans="1:29" ht="14.5" hidden="1">
      <c r="A650" s="220" t="str">
        <f t="shared" si="30"/>
        <v>646</v>
      </c>
      <c r="B650" s="221"/>
      <c r="C650" s="221" t="s">
        <v>49</v>
      </c>
      <c r="D650" s="221" t="s">
        <v>4068</v>
      </c>
      <c r="E650" s="221" t="s">
        <v>3295</v>
      </c>
      <c r="F650" s="221" t="s">
        <v>3299</v>
      </c>
      <c r="G650" s="222">
        <v>45442</v>
      </c>
      <c r="H650" s="223">
        <v>0.47916666666666669</v>
      </c>
      <c r="I650" s="221" t="s">
        <v>4916</v>
      </c>
      <c r="J650" s="221" t="s">
        <v>3024</v>
      </c>
      <c r="K650" s="224" t="s">
        <v>3087</v>
      </c>
      <c r="L650" s="225" t="str">
        <f>VLOOKUP(Logfile_S12[[#This Row],[Material Name]],Sheet2!B:C,2,0)</f>
        <v>GCI1001</v>
      </c>
      <c r="M650" s="225" t="str">
        <f>_xlfn.XLOOKUP(Logfile_S12[[#This Row],[Material Name]],Sum_WH!E:E,Sum_WH!F:F,"",0)</f>
        <v>Pcs</v>
      </c>
      <c r="N650" s="221">
        <v>10</v>
      </c>
      <c r="O650" s="221" t="s">
        <v>1493</v>
      </c>
      <c r="P650" s="221" t="s">
        <v>1494</v>
      </c>
      <c r="Q650" s="221"/>
      <c r="R650" s="221"/>
      <c r="S650" s="221"/>
      <c r="T650" s="221" t="s">
        <v>3258</v>
      </c>
      <c r="U650" s="221" t="s">
        <v>3228</v>
      </c>
      <c r="V650" s="221" t="s">
        <v>3337</v>
      </c>
      <c r="W650" s="221" t="s">
        <v>3338</v>
      </c>
      <c r="X650" s="221"/>
      <c r="Y650" s="227"/>
      <c r="Z650" s="227" t="str">
        <f t="shared" si="29"/>
        <v>Dusun Krajan Kucur</v>
      </c>
      <c r="AA650" s="276" t="e">
        <f>VLOOKUP(Logfile_S12[[#This Row],[DO number]],DO_DB!G:I,3,0)</f>
        <v>#N/A</v>
      </c>
      <c r="AB650" s="331" t="e">
        <f>EXACT(Logfile_S12[[#This Row],[date pick]],Logfile_S12[[#This Row],[Date]])</f>
        <v>#N/A</v>
      </c>
      <c r="AC6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51" spans="1:29" ht="14.5" hidden="1">
      <c r="A651" s="220" t="str">
        <f t="shared" si="30"/>
        <v>647</v>
      </c>
      <c r="B651" s="221"/>
      <c r="C651" s="221" t="s">
        <v>48</v>
      </c>
      <c r="D651" s="221" t="s">
        <v>4072</v>
      </c>
      <c r="E651" s="221" t="s">
        <v>3295</v>
      </c>
      <c r="F651" s="221" t="s">
        <v>3299</v>
      </c>
      <c r="G651" s="222">
        <v>45447</v>
      </c>
      <c r="H651" s="223">
        <v>15.291666666666666</v>
      </c>
      <c r="I651" s="221" t="s">
        <v>38</v>
      </c>
      <c r="J651" s="221" t="s">
        <v>3024</v>
      </c>
      <c r="K651" s="224" t="s">
        <v>3087</v>
      </c>
      <c r="L651" s="225" t="str">
        <f>VLOOKUP(Logfile_S12[[#This Row],[Material Name]],Sheet2!B:C,2,0)</f>
        <v>GCI1001</v>
      </c>
      <c r="M651" s="225" t="str">
        <f>_xlfn.XLOOKUP(Logfile_S12[[#This Row],[Material Name]],Sum_WH!E:E,Sum_WH!F:F,"",0)</f>
        <v>Pcs</v>
      </c>
      <c r="N651" s="221">
        <v>58</v>
      </c>
      <c r="O651" s="221">
        <v>0</v>
      </c>
      <c r="P651" s="221">
        <v>0</v>
      </c>
      <c r="Q651" s="221">
        <v>0</v>
      </c>
      <c r="R651" s="221">
        <v>0</v>
      </c>
      <c r="S651" s="221"/>
      <c r="T651" s="221"/>
      <c r="U651" s="221"/>
      <c r="V651" s="221"/>
      <c r="W651" s="221"/>
      <c r="X651" s="221"/>
      <c r="Y651" s="227"/>
      <c r="Z651" s="227">
        <f t="shared" si="29"/>
        <v>0</v>
      </c>
      <c r="AA651" s="276" t="e">
        <f>VLOOKUP(Logfile_S12[[#This Row],[DO number]],DO_DB!G:I,3,0)</f>
        <v>#N/A</v>
      </c>
      <c r="AB651" s="331" t="e">
        <f>EXACT(Logfile_S12[[#This Row],[date pick]],Logfile_S12[[#This Row],[Date]])</f>
        <v>#N/A</v>
      </c>
      <c r="AC6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52" spans="1:29" ht="14.5" hidden="1">
      <c r="A652" s="220" t="str">
        <f t="shared" si="30"/>
        <v>648</v>
      </c>
      <c r="B652" s="221"/>
      <c r="C652" s="221" t="s">
        <v>49</v>
      </c>
      <c r="D652" s="221" t="s">
        <v>4083</v>
      </c>
      <c r="E652" s="221" t="s">
        <v>3295</v>
      </c>
      <c r="F652" s="221" t="s">
        <v>3299</v>
      </c>
      <c r="G652" s="222">
        <v>45450</v>
      </c>
      <c r="H652" s="223">
        <v>0.72291666666666676</v>
      </c>
      <c r="I652" s="221" t="s">
        <v>4916</v>
      </c>
      <c r="J652" s="221" t="s">
        <v>3024</v>
      </c>
      <c r="K652" s="224" t="s">
        <v>3087</v>
      </c>
      <c r="L652" s="225" t="str">
        <f>VLOOKUP(Logfile_S12[[#This Row],[Material Name]],Sheet2!B:C,2,0)</f>
        <v>GCI1001</v>
      </c>
      <c r="M652" s="225" t="str">
        <f>_xlfn.XLOOKUP(Logfile_S12[[#This Row],[Material Name]],Sum_WH!E:E,Sum_WH!F:F,"",0)</f>
        <v>Pcs</v>
      </c>
      <c r="N652" s="221">
        <v>42</v>
      </c>
      <c r="O652" s="221" t="s">
        <v>1493</v>
      </c>
      <c r="P652" s="221" t="s">
        <v>1494</v>
      </c>
      <c r="Q652" s="221"/>
      <c r="R652" s="221"/>
      <c r="S652" s="221"/>
      <c r="T652" s="221" t="s">
        <v>3258</v>
      </c>
      <c r="U652" s="221" t="s">
        <v>3228</v>
      </c>
      <c r="V652" s="221" t="s">
        <v>3337</v>
      </c>
      <c r="W652" s="221" t="s">
        <v>3338</v>
      </c>
      <c r="X652" s="221"/>
      <c r="Y652" s="227"/>
      <c r="Z652" s="227" t="str">
        <f t="shared" ref="Z652:Z715" si="31">P652</f>
        <v>Dusun Krajan Kucur</v>
      </c>
      <c r="AA652" s="276" t="e">
        <f>VLOOKUP(Logfile_S12[[#This Row],[DO number]],DO_DB!G:I,3,0)</f>
        <v>#N/A</v>
      </c>
      <c r="AB652" s="331" t="e">
        <f>EXACT(Logfile_S12[[#This Row],[date pick]],Logfile_S12[[#This Row],[Date]])</f>
        <v>#N/A</v>
      </c>
      <c r="AC6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53" spans="1:29" ht="14.5" hidden="1">
      <c r="A653" s="220" t="str">
        <f t="shared" si="30"/>
        <v>649</v>
      </c>
      <c r="B653" s="221"/>
      <c r="C653" s="221" t="s">
        <v>49</v>
      </c>
      <c r="D653" s="221" t="s">
        <v>4087</v>
      </c>
      <c r="E653" s="221" t="s">
        <v>3295</v>
      </c>
      <c r="F653" s="221" t="s">
        <v>3299</v>
      </c>
      <c r="G653" s="222">
        <v>45454</v>
      </c>
      <c r="H653" s="223">
        <v>0.77777777777777779</v>
      </c>
      <c r="I653" s="221" t="s">
        <v>4916</v>
      </c>
      <c r="J653" s="221" t="s">
        <v>3024</v>
      </c>
      <c r="K653" s="224" t="s">
        <v>3087</v>
      </c>
      <c r="L653" s="225" t="str">
        <f>VLOOKUP(Logfile_S12[[#This Row],[Material Name]],Sheet2!B:C,2,0)</f>
        <v>GCI1001</v>
      </c>
      <c r="M653" s="225" t="str">
        <f>_xlfn.XLOOKUP(Logfile_S12[[#This Row],[Material Name]],Sum_WH!E:E,Sum_WH!F:F,"",0)</f>
        <v>Pcs</v>
      </c>
      <c r="N653" s="221">
        <v>1</v>
      </c>
      <c r="O653" s="221" t="s">
        <v>1473</v>
      </c>
      <c r="P653" s="221" t="s">
        <v>1474</v>
      </c>
      <c r="Q653" s="221"/>
      <c r="R653" s="221"/>
      <c r="S653" s="221"/>
      <c r="T653" s="221" t="s">
        <v>3258</v>
      </c>
      <c r="U653" s="221" t="s">
        <v>3228</v>
      </c>
      <c r="V653" s="221" t="s">
        <v>3337</v>
      </c>
      <c r="W653" s="221" t="s">
        <v>3338</v>
      </c>
      <c r="X653" s="221"/>
      <c r="Y653" s="227"/>
      <c r="Z653" s="227" t="str">
        <f t="shared" si="31"/>
        <v>Dusun Sumber Bendo Kucur</v>
      </c>
      <c r="AA653" s="276" t="e">
        <f>VLOOKUP(Logfile_S12[[#This Row],[DO number]],DO_DB!G:I,3,0)</f>
        <v>#N/A</v>
      </c>
      <c r="AB653" s="331" t="e">
        <f>EXACT(Logfile_S12[[#This Row],[date pick]],Logfile_S12[[#This Row],[Date]])</f>
        <v>#N/A</v>
      </c>
      <c r="AC6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54" spans="1:29" ht="14.5" hidden="1">
      <c r="A654" s="220" t="str">
        <f t="shared" si="30"/>
        <v>650</v>
      </c>
      <c r="B654" s="221"/>
      <c r="C654" s="221" t="s">
        <v>48</v>
      </c>
      <c r="D654" s="221" t="s">
        <v>4093</v>
      </c>
      <c r="E654" s="221" t="s">
        <v>3295</v>
      </c>
      <c r="F654" s="221" t="s">
        <v>3299</v>
      </c>
      <c r="G654" s="222">
        <v>45462</v>
      </c>
      <c r="H654" s="223">
        <v>15.291666666666666</v>
      </c>
      <c r="I654" s="221" t="s">
        <v>38</v>
      </c>
      <c r="J654" s="221" t="s">
        <v>3024</v>
      </c>
      <c r="K654" s="224" t="s">
        <v>3087</v>
      </c>
      <c r="L654" s="225" t="str">
        <f>VLOOKUP(Logfile_S12[[#This Row],[Material Name]],Sheet2!B:C,2,0)</f>
        <v>GCI1001</v>
      </c>
      <c r="M654" s="225" t="str">
        <f>_xlfn.XLOOKUP(Logfile_S12[[#This Row],[Material Name]],Sum_WH!E:E,Sum_WH!F:F,"",0)</f>
        <v>Pcs</v>
      </c>
      <c r="N654" s="221">
        <v>13</v>
      </c>
      <c r="O654" s="221" t="s">
        <v>3397</v>
      </c>
      <c r="P654" s="221" t="s">
        <v>3300</v>
      </c>
      <c r="Q654" s="221">
        <v>0</v>
      </c>
      <c r="R654" s="221">
        <v>0</v>
      </c>
      <c r="S654" s="221"/>
      <c r="T654" s="221"/>
      <c r="U654" s="221"/>
      <c r="V654" s="221"/>
      <c r="W654" s="221"/>
      <c r="X654" s="221"/>
      <c r="Y654" s="227"/>
      <c r="Z654" s="227" t="str">
        <f t="shared" si="31"/>
        <v>Pengembalian</v>
      </c>
      <c r="AA654" s="276" t="e">
        <f>VLOOKUP(Logfile_S12[[#This Row],[DO number]],DO_DB!G:I,3,0)</f>
        <v>#N/A</v>
      </c>
      <c r="AB654" s="331" t="e">
        <f>EXACT(Logfile_S12[[#This Row],[date pick]],Logfile_S12[[#This Row],[Date]])</f>
        <v>#N/A</v>
      </c>
      <c r="AC6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55" spans="1:29" ht="14.5" hidden="1">
      <c r="A655" s="220" t="str">
        <f t="shared" si="30"/>
        <v>651</v>
      </c>
      <c r="B655" s="221"/>
      <c r="C655" s="221" t="s">
        <v>49</v>
      </c>
      <c r="D655" s="221" t="s">
        <v>4094</v>
      </c>
      <c r="E655" s="221" t="s">
        <v>3295</v>
      </c>
      <c r="F655" s="221" t="s">
        <v>3299</v>
      </c>
      <c r="G655" s="222">
        <v>45463</v>
      </c>
      <c r="H655" s="223">
        <v>0.44444444444444442</v>
      </c>
      <c r="I655" s="221" t="s">
        <v>4916</v>
      </c>
      <c r="J655" s="221" t="s">
        <v>3024</v>
      </c>
      <c r="K655" s="224" t="s">
        <v>3087</v>
      </c>
      <c r="L655" s="225" t="str">
        <f>VLOOKUP(Logfile_S12[[#This Row],[Material Name]],Sheet2!B:C,2,0)</f>
        <v>GCI1001</v>
      </c>
      <c r="M655" s="225" t="str">
        <f>_xlfn.XLOOKUP(Logfile_S12[[#This Row],[Material Name]],Sum_WH!E:E,Sum_WH!F:F,"",0)</f>
        <v>Pcs</v>
      </c>
      <c r="N655" s="221">
        <v>11</v>
      </c>
      <c r="O655" s="221" t="s">
        <v>1683</v>
      </c>
      <c r="P655" s="221" t="s">
        <v>1684</v>
      </c>
      <c r="Q655" s="221"/>
      <c r="R655" s="221"/>
      <c r="S655" s="221"/>
      <c r="T655" s="221" t="s">
        <v>3258</v>
      </c>
      <c r="U655" s="221" t="s">
        <v>3228</v>
      </c>
      <c r="V655" s="221" t="s">
        <v>3337</v>
      </c>
      <c r="W655" s="221" t="s">
        <v>3338</v>
      </c>
      <c r="X655" s="221"/>
      <c r="Y655" s="227"/>
      <c r="Z655" s="227" t="str">
        <f t="shared" si="31"/>
        <v>Lowokwaru RW 04</v>
      </c>
      <c r="AA655" s="276" t="e">
        <f>VLOOKUP(Logfile_S12[[#This Row],[DO number]],DO_DB!G:I,3,0)</f>
        <v>#N/A</v>
      </c>
      <c r="AB655" s="331" t="e">
        <f>EXACT(Logfile_S12[[#This Row],[date pick]],Logfile_S12[[#This Row],[Date]])</f>
        <v>#N/A</v>
      </c>
      <c r="AC6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56" spans="1:29" ht="14.5" hidden="1">
      <c r="A656" s="220" t="str">
        <f t="shared" si="30"/>
        <v>652</v>
      </c>
      <c r="B656" s="221"/>
      <c r="C656" s="221" t="s">
        <v>49</v>
      </c>
      <c r="D656" s="221" t="s">
        <v>4096</v>
      </c>
      <c r="E656" s="221" t="s">
        <v>3295</v>
      </c>
      <c r="F656" s="221" t="s">
        <v>3299</v>
      </c>
      <c r="G656" s="222">
        <v>45464</v>
      </c>
      <c r="H656" s="223">
        <v>0.51180555555555551</v>
      </c>
      <c r="I656" s="221" t="s">
        <v>4916</v>
      </c>
      <c r="J656" s="221" t="s">
        <v>3024</v>
      </c>
      <c r="K656" s="224" t="s">
        <v>3087</v>
      </c>
      <c r="L656" s="225" t="str">
        <f>VLOOKUP(Logfile_S12[[#This Row],[Material Name]],Sheet2!B:C,2,0)</f>
        <v>GCI1001</v>
      </c>
      <c r="M656" s="225" t="str">
        <f>_xlfn.XLOOKUP(Logfile_S12[[#This Row],[Material Name]],Sum_WH!E:E,Sum_WH!F:F,"",0)</f>
        <v>Pcs</v>
      </c>
      <c r="N656" s="221">
        <v>10</v>
      </c>
      <c r="O656" s="221" t="s">
        <v>1689</v>
      </c>
      <c r="P656" s="221" t="s">
        <v>1690</v>
      </c>
      <c r="Q656" s="221"/>
      <c r="R656" s="221"/>
      <c r="S656" s="221"/>
      <c r="T656" s="221" t="s">
        <v>3258</v>
      </c>
      <c r="U656" s="221" t="s">
        <v>3228</v>
      </c>
      <c r="V656" s="221" t="s">
        <v>3337</v>
      </c>
      <c r="W656" s="221" t="s">
        <v>3338</v>
      </c>
      <c r="X656" s="221"/>
      <c r="Y656" s="227"/>
      <c r="Z656" s="227" t="str">
        <f t="shared" si="31"/>
        <v>Kebonagung RW 13 Pakisaji</v>
      </c>
      <c r="AA656" s="276" t="e">
        <f>VLOOKUP(Logfile_S12[[#This Row],[DO number]],DO_DB!G:I,3,0)</f>
        <v>#N/A</v>
      </c>
      <c r="AB656" s="331" t="e">
        <f>EXACT(Logfile_S12[[#This Row],[date pick]],Logfile_S12[[#This Row],[Date]])</f>
        <v>#N/A</v>
      </c>
      <c r="AC6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57" spans="1:29" ht="14.5" hidden="1">
      <c r="A657" s="220" t="str">
        <f t="shared" si="30"/>
        <v>653</v>
      </c>
      <c r="B657" s="221"/>
      <c r="C657" s="221" t="s">
        <v>49</v>
      </c>
      <c r="D657" s="221" t="s">
        <v>4097</v>
      </c>
      <c r="E657" s="221" t="s">
        <v>3295</v>
      </c>
      <c r="F657" s="221" t="s">
        <v>3299</v>
      </c>
      <c r="G657" s="222">
        <v>45465</v>
      </c>
      <c r="H657" s="223">
        <v>0.62569444444444444</v>
      </c>
      <c r="I657" s="221" t="s">
        <v>4916</v>
      </c>
      <c r="J657" s="221" t="s">
        <v>3024</v>
      </c>
      <c r="K657" s="224" t="s">
        <v>3087</v>
      </c>
      <c r="L657" s="225" t="str">
        <f>VLOOKUP(Logfile_S12[[#This Row],[Material Name]],Sheet2!B:C,2,0)</f>
        <v>GCI1001</v>
      </c>
      <c r="M657" s="225" t="str">
        <f>_xlfn.XLOOKUP(Logfile_S12[[#This Row],[Material Name]],Sum_WH!E:E,Sum_WH!F:F,"",0)</f>
        <v>Pcs</v>
      </c>
      <c r="N657" s="221">
        <v>7</v>
      </c>
      <c r="O657" s="221" t="s">
        <v>1689</v>
      </c>
      <c r="P657" s="221" t="s">
        <v>1690</v>
      </c>
      <c r="Q657" s="221"/>
      <c r="R657" s="221"/>
      <c r="S657" s="221"/>
      <c r="T657" s="221" t="s">
        <v>3258</v>
      </c>
      <c r="U657" s="221" t="s">
        <v>3228</v>
      </c>
      <c r="V657" s="221" t="s">
        <v>3337</v>
      </c>
      <c r="W657" s="221" t="s">
        <v>3338</v>
      </c>
      <c r="X657" s="221"/>
      <c r="Y657" s="227"/>
      <c r="Z657" s="227" t="str">
        <f t="shared" si="31"/>
        <v>Kebonagung RW 13 Pakisaji</v>
      </c>
      <c r="AA657" s="276" t="e">
        <f>VLOOKUP(Logfile_S12[[#This Row],[DO number]],DO_DB!G:I,3,0)</f>
        <v>#N/A</v>
      </c>
      <c r="AB657" s="331" t="e">
        <f>EXACT(Logfile_S12[[#This Row],[date pick]],Logfile_S12[[#This Row],[Date]])</f>
        <v>#N/A</v>
      </c>
      <c r="AC6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58" spans="1:29" ht="14.5" hidden="1">
      <c r="A658" s="220" t="str">
        <f t="shared" si="30"/>
        <v>654</v>
      </c>
      <c r="B658" s="221"/>
      <c r="C658" s="221" t="s">
        <v>48</v>
      </c>
      <c r="D658" s="221" t="s">
        <v>4112</v>
      </c>
      <c r="E658" s="221" t="s">
        <v>3295</v>
      </c>
      <c r="F658" s="221" t="s">
        <v>3299</v>
      </c>
      <c r="G658" s="222">
        <v>45478</v>
      </c>
      <c r="H658" s="223">
        <v>15.291666666666666</v>
      </c>
      <c r="I658" s="221" t="s">
        <v>38</v>
      </c>
      <c r="J658" s="221" t="s">
        <v>3024</v>
      </c>
      <c r="K658" s="224" t="s">
        <v>3087</v>
      </c>
      <c r="L658" s="225" t="str">
        <f>VLOOKUP(Logfile_S12[[#This Row],[Material Name]],Sheet2!B:C,2,0)</f>
        <v>GCI1001</v>
      </c>
      <c r="M658" s="225" t="str">
        <f>_xlfn.XLOOKUP(Logfile_S12[[#This Row],[Material Name]],Sum_WH!E:E,Sum_WH!F:F,"",0)</f>
        <v>Pcs</v>
      </c>
      <c r="N658" s="221">
        <v>133</v>
      </c>
      <c r="O658" s="221">
        <v>0</v>
      </c>
      <c r="P658" s="221">
        <v>0</v>
      </c>
      <c r="Q658" s="221">
        <v>0</v>
      </c>
      <c r="R658" s="221">
        <v>0</v>
      </c>
      <c r="S658" s="221"/>
      <c r="T658" s="221"/>
      <c r="U658" s="221"/>
      <c r="V658" s="221"/>
      <c r="W658" s="221"/>
      <c r="X658" s="221"/>
      <c r="Y658" s="227"/>
      <c r="Z658" s="227">
        <f t="shared" si="31"/>
        <v>0</v>
      </c>
      <c r="AA658" s="276" t="e">
        <f>VLOOKUP(Logfile_S12[[#This Row],[DO number]],DO_DB!G:I,3,0)</f>
        <v>#N/A</v>
      </c>
      <c r="AB658" s="331" t="e">
        <f>EXACT(Logfile_S12[[#This Row],[date pick]],Logfile_S12[[#This Row],[Date]])</f>
        <v>#N/A</v>
      </c>
      <c r="AC6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59" spans="1:29" ht="14.5" hidden="1">
      <c r="A659" s="220" t="str">
        <f t="shared" si="30"/>
        <v>655</v>
      </c>
      <c r="B659" s="221"/>
      <c r="C659" s="221" t="s">
        <v>49</v>
      </c>
      <c r="D659" s="221" t="s">
        <v>4111</v>
      </c>
      <c r="E659" s="221" t="s">
        <v>3295</v>
      </c>
      <c r="F659" s="221" t="s">
        <v>3299</v>
      </c>
      <c r="G659" s="222">
        <v>45478</v>
      </c>
      <c r="H659" s="223">
        <v>0.54791666666666672</v>
      </c>
      <c r="I659" s="221" t="s">
        <v>4916</v>
      </c>
      <c r="J659" s="221" t="s">
        <v>3024</v>
      </c>
      <c r="K659" s="224" t="s">
        <v>3087</v>
      </c>
      <c r="L659" s="225" t="str">
        <f>VLOOKUP(Logfile_S12[[#This Row],[Material Name]],Sheet2!B:C,2,0)</f>
        <v>GCI1001</v>
      </c>
      <c r="M659" s="225" t="str">
        <f>_xlfn.XLOOKUP(Logfile_S12[[#This Row],[Material Name]],Sum_WH!E:E,Sum_WH!F:F,"",0)</f>
        <v>Pcs</v>
      </c>
      <c r="N659" s="221">
        <v>89</v>
      </c>
      <c r="O659" s="221" t="s">
        <v>1721</v>
      </c>
      <c r="P659" s="221" t="s">
        <v>1722</v>
      </c>
      <c r="Q659" s="221"/>
      <c r="R659" s="221"/>
      <c r="S659" s="221"/>
      <c r="T659" s="221" t="s">
        <v>3258</v>
      </c>
      <c r="U659" s="221" t="s">
        <v>3228</v>
      </c>
      <c r="V659" s="221" t="s">
        <v>3337</v>
      </c>
      <c r="W659" s="221" t="s">
        <v>3338</v>
      </c>
      <c r="X659" s="221"/>
      <c r="Y659" s="227"/>
      <c r="Z659" s="227" t="str">
        <f t="shared" si="31"/>
        <v>Perumahan Perumnas Talangagung I Malang</v>
      </c>
      <c r="AA659" s="276" t="e">
        <f>VLOOKUP(Logfile_S12[[#This Row],[DO number]],DO_DB!G:I,3,0)</f>
        <v>#N/A</v>
      </c>
      <c r="AB659" s="331" t="e">
        <f>EXACT(Logfile_S12[[#This Row],[date pick]],Logfile_S12[[#This Row],[Date]])</f>
        <v>#N/A</v>
      </c>
      <c r="AC6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60" spans="1:29" ht="14.5" hidden="1">
      <c r="A660" s="220" t="str">
        <f t="shared" si="30"/>
        <v>656</v>
      </c>
      <c r="B660" s="221"/>
      <c r="C660" s="221" t="s">
        <v>49</v>
      </c>
      <c r="D660" s="221" t="s">
        <v>4117</v>
      </c>
      <c r="E660" s="221" t="s">
        <v>3295</v>
      </c>
      <c r="F660" s="221" t="s">
        <v>3299</v>
      </c>
      <c r="G660" s="222">
        <v>45485</v>
      </c>
      <c r="H660" s="223">
        <v>0.4</v>
      </c>
      <c r="I660" s="221" t="s">
        <v>4916</v>
      </c>
      <c r="J660" s="221" t="s">
        <v>3024</v>
      </c>
      <c r="K660" s="224" t="s">
        <v>3087</v>
      </c>
      <c r="L660" s="225" t="str">
        <f>VLOOKUP(Logfile_S12[[#This Row],[Material Name]],Sheet2!B:C,2,0)</f>
        <v>GCI1001</v>
      </c>
      <c r="M660" s="225" t="str">
        <f>_xlfn.XLOOKUP(Logfile_S12[[#This Row],[Material Name]],Sum_WH!E:E,Sum_WH!F:F,"",0)</f>
        <v>Pcs</v>
      </c>
      <c r="N660" s="221">
        <v>6</v>
      </c>
      <c r="O660" s="221" t="s">
        <v>2007</v>
      </c>
      <c r="P660" s="221" t="s">
        <v>2008</v>
      </c>
      <c r="Q660" s="221"/>
      <c r="R660" s="221"/>
      <c r="S660" s="221"/>
      <c r="T660" s="221" t="s">
        <v>3258</v>
      </c>
      <c r="U660" s="221" t="s">
        <v>3228</v>
      </c>
      <c r="V660" s="221" t="s">
        <v>3337</v>
      </c>
      <c r="W660" s="221" t="s">
        <v>3338</v>
      </c>
      <c r="X660" s="221"/>
      <c r="Y660" s="227"/>
      <c r="Z660" s="227" t="str">
        <f t="shared" si="31"/>
        <v>Ngenep RW 06 Karang Ploso</v>
      </c>
      <c r="AA660" s="276" t="e">
        <f>VLOOKUP(Logfile_S12[[#This Row],[DO number]],DO_DB!G:I,3,0)</f>
        <v>#N/A</v>
      </c>
      <c r="AB660" s="331" t="e">
        <f>EXACT(Logfile_S12[[#This Row],[date pick]],Logfile_S12[[#This Row],[Date]])</f>
        <v>#N/A</v>
      </c>
      <c r="AC6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61" spans="1:29" ht="14.5" hidden="1">
      <c r="A661" s="220" t="str">
        <f t="shared" si="30"/>
        <v>657</v>
      </c>
      <c r="B661" s="221"/>
      <c r="C661" s="221" t="s">
        <v>49</v>
      </c>
      <c r="D661" s="221" t="s">
        <v>4120</v>
      </c>
      <c r="E661" s="221" t="s">
        <v>3295</v>
      </c>
      <c r="F661" s="221" t="s">
        <v>3299</v>
      </c>
      <c r="G661" s="222">
        <v>45492</v>
      </c>
      <c r="H661" s="223">
        <v>0.40277777777777779</v>
      </c>
      <c r="I661" s="221" t="s">
        <v>4916</v>
      </c>
      <c r="J661" s="221" t="s">
        <v>3024</v>
      </c>
      <c r="K661" s="224" t="s">
        <v>3087</v>
      </c>
      <c r="L661" s="225" t="str">
        <f>VLOOKUP(Logfile_S12[[#This Row],[Material Name]],Sheet2!B:C,2,0)</f>
        <v>GCI1001</v>
      </c>
      <c r="M661" s="225" t="str">
        <f>_xlfn.XLOOKUP(Logfile_S12[[#This Row],[Material Name]],Sum_WH!E:E,Sum_WH!F:F,"",0)</f>
        <v>Pcs</v>
      </c>
      <c r="N661" s="221">
        <v>3</v>
      </c>
      <c r="O661" s="221" t="s">
        <v>2007</v>
      </c>
      <c r="P661" s="221" t="s">
        <v>2008</v>
      </c>
      <c r="Q661" s="221"/>
      <c r="R661" s="221"/>
      <c r="S661" s="221"/>
      <c r="T661" s="221" t="s">
        <v>3258</v>
      </c>
      <c r="U661" s="221" t="s">
        <v>3228</v>
      </c>
      <c r="V661" s="221" t="s">
        <v>3337</v>
      </c>
      <c r="W661" s="221" t="s">
        <v>3338</v>
      </c>
      <c r="X661" s="221"/>
      <c r="Y661" s="227"/>
      <c r="Z661" s="227" t="str">
        <f t="shared" si="31"/>
        <v>Ngenep RW 06 Karang Ploso</v>
      </c>
      <c r="AA661" s="276" t="e">
        <f>VLOOKUP(Logfile_S12[[#This Row],[DO number]],DO_DB!G:I,3,0)</f>
        <v>#N/A</v>
      </c>
      <c r="AB661" s="331" t="e">
        <f>EXACT(Logfile_S12[[#This Row],[date pick]],Logfile_S12[[#This Row],[Date]])</f>
        <v>#N/A</v>
      </c>
      <c r="AC6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62" spans="1:29" ht="14.5" hidden="1">
      <c r="A662" s="220" t="str">
        <f t="shared" si="30"/>
        <v>658</v>
      </c>
      <c r="B662" s="221"/>
      <c r="C662" s="221" t="s">
        <v>49</v>
      </c>
      <c r="D662" s="221" t="s">
        <v>4128</v>
      </c>
      <c r="E662" s="221" t="s">
        <v>3295</v>
      </c>
      <c r="F662" s="221" t="s">
        <v>3299</v>
      </c>
      <c r="G662" s="222">
        <v>45497</v>
      </c>
      <c r="H662" s="223">
        <v>0.63888888888888884</v>
      </c>
      <c r="I662" s="221" t="s">
        <v>4916</v>
      </c>
      <c r="J662" s="221" t="s">
        <v>3024</v>
      </c>
      <c r="K662" s="224" t="s">
        <v>3087</v>
      </c>
      <c r="L662" s="225" t="str">
        <f>VLOOKUP(Logfile_S12[[#This Row],[Material Name]],Sheet2!B:C,2,0)</f>
        <v>GCI1001</v>
      </c>
      <c r="M662" s="225" t="str">
        <f>_xlfn.XLOOKUP(Logfile_S12[[#This Row],[Material Name]],Sum_WH!E:E,Sum_WH!F:F,"",0)</f>
        <v>Pcs</v>
      </c>
      <c r="N662" s="221">
        <v>13</v>
      </c>
      <c r="O662" s="221" t="s">
        <v>1803</v>
      </c>
      <c r="P662" s="221" t="s">
        <v>1804</v>
      </c>
      <c r="Q662" s="221"/>
      <c r="R662" s="221"/>
      <c r="S662" s="221"/>
      <c r="T662" s="221" t="s">
        <v>3258</v>
      </c>
      <c r="U662" s="221" t="s">
        <v>3228</v>
      </c>
      <c r="V662" s="221" t="s">
        <v>3337</v>
      </c>
      <c r="W662" s="221" t="s">
        <v>3338</v>
      </c>
      <c r="X662" s="221"/>
      <c r="Y662" s="227"/>
      <c r="Z662" s="227" t="str">
        <f t="shared" si="31"/>
        <v>Dusun Langlang IV Singosari</v>
      </c>
      <c r="AA662" s="276" t="e">
        <f>VLOOKUP(Logfile_S12[[#This Row],[DO number]],DO_DB!G:I,3,0)</f>
        <v>#N/A</v>
      </c>
      <c r="AB662" s="331" t="e">
        <f>EXACT(Logfile_S12[[#This Row],[date pick]],Logfile_S12[[#This Row],[Date]])</f>
        <v>#N/A</v>
      </c>
      <c r="AC6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63" spans="1:29" ht="14.5" hidden="1">
      <c r="A663" s="220" t="str">
        <f t="shared" si="30"/>
        <v>659</v>
      </c>
      <c r="B663" s="221"/>
      <c r="C663" s="221" t="s">
        <v>49</v>
      </c>
      <c r="D663" s="221" t="s">
        <v>4130</v>
      </c>
      <c r="E663" s="221" t="s">
        <v>3295</v>
      </c>
      <c r="F663" s="221" t="s">
        <v>3299</v>
      </c>
      <c r="G663" s="222">
        <v>45499</v>
      </c>
      <c r="H663" s="223">
        <v>0.5625</v>
      </c>
      <c r="I663" s="221" t="s">
        <v>4916</v>
      </c>
      <c r="J663" s="221" t="s">
        <v>3024</v>
      </c>
      <c r="K663" s="224" t="s">
        <v>3087</v>
      </c>
      <c r="L663" s="225" t="str">
        <f>VLOOKUP(Logfile_S12[[#This Row],[Material Name]],Sheet2!B:C,2,0)</f>
        <v>GCI1001</v>
      </c>
      <c r="M663" s="225" t="str">
        <f>_xlfn.XLOOKUP(Logfile_S12[[#This Row],[Material Name]],Sum_WH!E:E,Sum_WH!F:F,"",0)</f>
        <v>Pcs</v>
      </c>
      <c r="N663" s="221">
        <v>12</v>
      </c>
      <c r="O663" s="221" t="s">
        <v>1803</v>
      </c>
      <c r="P663" s="221" t="s">
        <v>1804</v>
      </c>
      <c r="Q663" s="221"/>
      <c r="R663" s="221"/>
      <c r="S663" s="221"/>
      <c r="T663" s="221" t="s">
        <v>3258</v>
      </c>
      <c r="U663" s="221" t="s">
        <v>3228</v>
      </c>
      <c r="V663" s="221" t="s">
        <v>3337</v>
      </c>
      <c r="W663" s="221" t="s">
        <v>3338</v>
      </c>
      <c r="X663" s="221"/>
      <c r="Y663" s="227"/>
      <c r="Z663" s="227" t="str">
        <f t="shared" si="31"/>
        <v>Dusun Langlang IV Singosari</v>
      </c>
      <c r="AA663" s="276" t="e">
        <f>VLOOKUP(Logfile_S12[[#This Row],[DO number]],DO_DB!G:I,3,0)</f>
        <v>#N/A</v>
      </c>
      <c r="AB663" s="331" t="e">
        <f>EXACT(Logfile_S12[[#This Row],[date pick]],Logfile_S12[[#This Row],[Date]])</f>
        <v>#N/A</v>
      </c>
      <c r="AC6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64" spans="1:29" ht="14.5" hidden="1">
      <c r="A664" s="220" t="str">
        <f t="shared" si="30"/>
        <v>660</v>
      </c>
      <c r="B664" s="221"/>
      <c r="C664" s="221" t="s">
        <v>49</v>
      </c>
      <c r="D664" s="221" t="s">
        <v>4133</v>
      </c>
      <c r="E664" s="221" t="s">
        <v>3295</v>
      </c>
      <c r="F664" s="221" t="s">
        <v>3299</v>
      </c>
      <c r="G664" s="222">
        <v>45502</v>
      </c>
      <c r="H664" s="223">
        <v>0.59027777777777779</v>
      </c>
      <c r="I664" s="221" t="s">
        <v>4916</v>
      </c>
      <c r="J664" s="221" t="s">
        <v>3024</v>
      </c>
      <c r="K664" s="224" t="s">
        <v>3087</v>
      </c>
      <c r="L664" s="225" t="str">
        <f>VLOOKUP(Logfile_S12[[#This Row],[Material Name]],Sheet2!B:C,2,0)</f>
        <v>GCI1001</v>
      </c>
      <c r="M664" s="225" t="str">
        <f>_xlfn.XLOOKUP(Logfile_S12[[#This Row],[Material Name]],Sum_WH!E:E,Sum_WH!F:F,"",0)</f>
        <v>Pcs</v>
      </c>
      <c r="N664" s="221">
        <v>5</v>
      </c>
      <c r="O664" s="221" t="s">
        <v>1803</v>
      </c>
      <c r="P664" s="221" t="s">
        <v>1804</v>
      </c>
      <c r="Q664" s="221"/>
      <c r="R664" s="221"/>
      <c r="S664" s="221"/>
      <c r="T664" s="221" t="s">
        <v>3258</v>
      </c>
      <c r="U664" s="221" t="s">
        <v>3228</v>
      </c>
      <c r="V664" s="221" t="s">
        <v>3337</v>
      </c>
      <c r="W664" s="221" t="s">
        <v>3338</v>
      </c>
      <c r="X664" s="221"/>
      <c r="Y664" s="227"/>
      <c r="Z664" s="227" t="str">
        <f t="shared" si="31"/>
        <v>Dusun Langlang IV Singosari</v>
      </c>
      <c r="AA664" s="276" t="e">
        <f>VLOOKUP(Logfile_S12[[#This Row],[DO number]],DO_DB!G:I,3,0)</f>
        <v>#N/A</v>
      </c>
      <c r="AB664" s="331" t="e">
        <f>EXACT(Logfile_S12[[#This Row],[date pick]],Logfile_S12[[#This Row],[Date]])</f>
        <v>#N/A</v>
      </c>
      <c r="AC6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65" spans="1:29" ht="14.5" hidden="1">
      <c r="A665" s="220" t="str">
        <f t="shared" si="30"/>
        <v>661</v>
      </c>
      <c r="B665" s="221"/>
      <c r="C665" s="221" t="s">
        <v>49</v>
      </c>
      <c r="D665" s="221" t="s">
        <v>4139</v>
      </c>
      <c r="E665" s="221" t="s">
        <v>3295</v>
      </c>
      <c r="F665" s="221" t="s">
        <v>3299</v>
      </c>
      <c r="G665" s="222">
        <v>45505</v>
      </c>
      <c r="H665" s="223">
        <v>0.67847222222222225</v>
      </c>
      <c r="I665" s="221" t="s">
        <v>4916</v>
      </c>
      <c r="J665" s="221" t="s">
        <v>3024</v>
      </c>
      <c r="K665" s="224" t="s">
        <v>3087</v>
      </c>
      <c r="L665" s="225" t="str">
        <f>VLOOKUP(Logfile_S12[[#This Row],[Material Name]],Sheet2!B:C,2,0)</f>
        <v>GCI1001</v>
      </c>
      <c r="M665" s="225" t="str">
        <f>_xlfn.XLOOKUP(Logfile_S12[[#This Row],[Material Name]],Sum_WH!E:E,Sum_WH!F:F,"",0)</f>
        <v>Pcs</v>
      </c>
      <c r="N665" s="221">
        <v>5</v>
      </c>
      <c r="O665" s="221" t="s">
        <v>1803</v>
      </c>
      <c r="P665" s="221" t="s">
        <v>1804</v>
      </c>
      <c r="Q665" s="221"/>
      <c r="R665" s="221"/>
      <c r="S665" s="221"/>
      <c r="T665" s="221" t="s">
        <v>3258</v>
      </c>
      <c r="U665" s="221" t="s">
        <v>3228</v>
      </c>
      <c r="V665" s="221" t="s">
        <v>3337</v>
      </c>
      <c r="W665" s="221" t="s">
        <v>3338</v>
      </c>
      <c r="X665" s="221"/>
      <c r="Y665" s="227"/>
      <c r="Z665" s="227" t="str">
        <f t="shared" si="31"/>
        <v>Dusun Langlang IV Singosari</v>
      </c>
      <c r="AA665" s="276" t="e">
        <f>VLOOKUP(Logfile_S12[[#This Row],[DO number]],DO_DB!G:I,3,0)</f>
        <v>#N/A</v>
      </c>
      <c r="AB665" s="331" t="e">
        <f>EXACT(Logfile_S12[[#This Row],[date pick]],Logfile_S12[[#This Row],[Date]])</f>
        <v>#N/A</v>
      </c>
      <c r="AC6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66" spans="1:29" ht="14.5" hidden="1">
      <c r="A666" s="220" t="str">
        <f t="shared" si="30"/>
        <v>662</v>
      </c>
      <c r="B666" s="221"/>
      <c r="C666" s="221" t="s">
        <v>48</v>
      </c>
      <c r="D666" s="221" t="s">
        <v>4141</v>
      </c>
      <c r="E666" s="221" t="s">
        <v>3295</v>
      </c>
      <c r="F666" s="221" t="s">
        <v>3299</v>
      </c>
      <c r="G666" s="222">
        <v>45506</v>
      </c>
      <c r="H666" s="223">
        <v>15.291666666666666</v>
      </c>
      <c r="I666" s="221" t="s">
        <v>38</v>
      </c>
      <c r="J666" s="221" t="s">
        <v>3024</v>
      </c>
      <c r="K666" s="224" t="s">
        <v>3087</v>
      </c>
      <c r="L666" s="225" t="str">
        <f>VLOOKUP(Logfile_S12[[#This Row],[Material Name]],Sheet2!B:C,2,0)</f>
        <v>GCI1001</v>
      </c>
      <c r="M666" s="225" t="str">
        <f>_xlfn.XLOOKUP(Logfile_S12[[#This Row],[Material Name]],Sum_WH!E:E,Sum_WH!F:F,"",0)</f>
        <v>Pcs</v>
      </c>
      <c r="N666" s="221">
        <v>158</v>
      </c>
      <c r="O666" s="221">
        <v>0</v>
      </c>
      <c r="P666" s="221">
        <v>0</v>
      </c>
      <c r="Q666" s="221">
        <v>0</v>
      </c>
      <c r="R666" s="221">
        <v>0</v>
      </c>
      <c r="S666" s="221"/>
      <c r="T666" s="221"/>
      <c r="U666" s="221"/>
      <c r="V666" s="221"/>
      <c r="W666" s="221"/>
      <c r="X666" s="221"/>
      <c r="Y666" s="227"/>
      <c r="Z666" s="227">
        <f t="shared" si="31"/>
        <v>0</v>
      </c>
      <c r="AA666" s="276" t="e">
        <f>VLOOKUP(Logfile_S12[[#This Row],[DO number]],DO_DB!G:I,3,0)</f>
        <v>#N/A</v>
      </c>
      <c r="AB666" s="331" t="e">
        <f>EXACT(Logfile_S12[[#This Row],[date pick]],Logfile_S12[[#This Row],[Date]])</f>
        <v>#N/A</v>
      </c>
      <c r="AC6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67" spans="1:29" ht="14.5" hidden="1">
      <c r="A667" s="220" t="str">
        <f t="shared" si="30"/>
        <v>663</v>
      </c>
      <c r="B667" s="221"/>
      <c r="C667" s="221" t="s">
        <v>49</v>
      </c>
      <c r="D667" s="221" t="s">
        <v>4143</v>
      </c>
      <c r="E667" s="221" t="s">
        <v>3295</v>
      </c>
      <c r="F667" s="221" t="s">
        <v>3299</v>
      </c>
      <c r="G667" s="222">
        <v>45507</v>
      </c>
      <c r="H667" s="223">
        <v>0.4</v>
      </c>
      <c r="I667" s="221" t="s">
        <v>4916</v>
      </c>
      <c r="J667" s="221" t="s">
        <v>3024</v>
      </c>
      <c r="K667" s="224" t="s">
        <v>3087</v>
      </c>
      <c r="L667" s="225" t="str">
        <f>VLOOKUP(Logfile_S12[[#This Row],[Material Name]],Sheet2!B:C,2,0)</f>
        <v>GCI1001</v>
      </c>
      <c r="M667" s="225" t="str">
        <f>_xlfn.XLOOKUP(Logfile_S12[[#This Row],[Material Name]],Sum_WH!E:E,Sum_WH!F:F,"",0)</f>
        <v>Pcs</v>
      </c>
      <c r="N667" s="221">
        <v>10</v>
      </c>
      <c r="O667" s="221" t="s">
        <v>1803</v>
      </c>
      <c r="P667" s="221" t="s">
        <v>1804</v>
      </c>
      <c r="Q667" s="221"/>
      <c r="R667" s="221"/>
      <c r="S667" s="221"/>
      <c r="T667" s="221" t="s">
        <v>3258</v>
      </c>
      <c r="U667" s="221" t="s">
        <v>3228</v>
      </c>
      <c r="V667" s="221" t="s">
        <v>3337</v>
      </c>
      <c r="W667" s="221" t="s">
        <v>3338</v>
      </c>
      <c r="X667" s="221"/>
      <c r="Y667" s="227"/>
      <c r="Z667" s="227" t="str">
        <f t="shared" si="31"/>
        <v>Dusun Langlang IV Singosari</v>
      </c>
      <c r="AA667" s="276" t="e">
        <f>VLOOKUP(Logfile_S12[[#This Row],[DO number]],DO_DB!G:I,3,0)</f>
        <v>#N/A</v>
      </c>
      <c r="AB667" s="331" t="e">
        <f>EXACT(Logfile_S12[[#This Row],[date pick]],Logfile_S12[[#This Row],[Date]])</f>
        <v>#N/A</v>
      </c>
      <c r="AC6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68" spans="1:29" ht="14.5" hidden="1">
      <c r="A668" s="220" t="str">
        <f t="shared" si="30"/>
        <v>664</v>
      </c>
      <c r="B668" s="221"/>
      <c r="C668" s="221" t="s">
        <v>49</v>
      </c>
      <c r="D668" s="221" t="s">
        <v>4149</v>
      </c>
      <c r="E668" s="221" t="s">
        <v>3295</v>
      </c>
      <c r="F668" s="221" t="s">
        <v>3299</v>
      </c>
      <c r="G668" s="222">
        <v>45511</v>
      </c>
      <c r="H668" s="223">
        <v>0.44861111111111113</v>
      </c>
      <c r="I668" s="221" t="s">
        <v>4916</v>
      </c>
      <c r="J668" s="221" t="s">
        <v>3024</v>
      </c>
      <c r="K668" s="224" t="s">
        <v>3087</v>
      </c>
      <c r="L668" s="225" t="str">
        <f>VLOOKUP(Logfile_S12[[#This Row],[Material Name]],Sheet2!B:C,2,0)</f>
        <v>GCI1001</v>
      </c>
      <c r="M668" s="225" t="str">
        <f>_xlfn.XLOOKUP(Logfile_S12[[#This Row],[Material Name]],Sum_WH!E:E,Sum_WH!F:F,"",0)</f>
        <v>Pcs</v>
      </c>
      <c r="N668" s="221">
        <v>8</v>
      </c>
      <c r="O668" s="221" t="s">
        <v>1807</v>
      </c>
      <c r="P668" s="221" t="s">
        <v>3399</v>
      </c>
      <c r="Q668" s="221"/>
      <c r="R668" s="221"/>
      <c r="S668" s="221"/>
      <c r="T668" s="221" t="s">
        <v>3244</v>
      </c>
      <c r="U668" s="221">
        <v>0</v>
      </c>
      <c r="V668" s="221" t="s">
        <v>3248</v>
      </c>
      <c r="W668" s="221" t="s">
        <v>3252</v>
      </c>
      <c r="X668" s="221"/>
      <c r="Y668" s="227"/>
      <c r="Z668" s="227" t="str">
        <f t="shared" si="31"/>
        <v>HUBFEEDER TIRTASANI TO GIRIMOYO</v>
      </c>
      <c r="AA668" s="276" t="e">
        <f>VLOOKUP(Logfile_S12[[#This Row],[DO number]],DO_DB!G:I,3,0)</f>
        <v>#N/A</v>
      </c>
      <c r="AB668" s="331" t="e">
        <f>EXACT(Logfile_S12[[#This Row],[date pick]],Logfile_S12[[#This Row],[Date]])</f>
        <v>#N/A</v>
      </c>
      <c r="AC6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69" spans="1:29" ht="14.5" hidden="1">
      <c r="A669" s="220" t="str">
        <f t="shared" si="30"/>
        <v>665</v>
      </c>
      <c r="B669" s="221"/>
      <c r="C669" s="221" t="s">
        <v>49</v>
      </c>
      <c r="D669" s="221" t="s">
        <v>4151</v>
      </c>
      <c r="E669" s="221" t="s">
        <v>3295</v>
      </c>
      <c r="F669" s="221" t="s">
        <v>3299</v>
      </c>
      <c r="G669" s="222">
        <v>45511</v>
      </c>
      <c r="H669" s="223">
        <v>0.81874999999999998</v>
      </c>
      <c r="I669" s="221" t="s">
        <v>4916</v>
      </c>
      <c r="J669" s="221" t="s">
        <v>3024</v>
      </c>
      <c r="K669" s="224" t="s">
        <v>3087</v>
      </c>
      <c r="L669" s="225" t="str">
        <f>VLOOKUP(Logfile_S12[[#This Row],[Material Name]],Sheet2!B:C,2,0)</f>
        <v>GCI1001</v>
      </c>
      <c r="M669" s="225" t="str">
        <f>_xlfn.XLOOKUP(Logfile_S12[[#This Row],[Material Name]],Sum_WH!E:E,Sum_WH!F:F,"",0)</f>
        <v>Pcs</v>
      </c>
      <c r="N669" s="221">
        <v>12</v>
      </c>
      <c r="O669" s="221" t="s">
        <v>1799</v>
      </c>
      <c r="P669" s="221" t="s">
        <v>3398</v>
      </c>
      <c r="Q669" s="221"/>
      <c r="R669" s="221"/>
      <c r="S669" s="221"/>
      <c r="T669" s="221" t="s">
        <v>3258</v>
      </c>
      <c r="U669" s="221" t="s">
        <v>3228</v>
      </c>
      <c r="V669" s="221" t="s">
        <v>3337</v>
      </c>
      <c r="W669" s="221" t="s">
        <v>3338</v>
      </c>
      <c r="X669" s="221"/>
      <c r="Y669" s="227"/>
      <c r="Z669" s="227" t="str">
        <f t="shared" si="31"/>
        <v>HUBFEEDER KEPANJEN TO JATIKERTO</v>
      </c>
      <c r="AA669" s="276" t="e">
        <f>VLOOKUP(Logfile_S12[[#This Row],[DO number]],DO_DB!G:I,3,0)</f>
        <v>#N/A</v>
      </c>
      <c r="AB669" s="331" t="e">
        <f>EXACT(Logfile_S12[[#This Row],[date pick]],Logfile_S12[[#This Row],[Date]])</f>
        <v>#N/A</v>
      </c>
      <c r="AC6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70" spans="1:29" ht="14.5" hidden="1">
      <c r="A670" s="220" t="str">
        <f t="shared" si="30"/>
        <v>666</v>
      </c>
      <c r="B670" s="221"/>
      <c r="C670" s="221" t="s">
        <v>49</v>
      </c>
      <c r="D670" s="221" t="s">
        <v>4158</v>
      </c>
      <c r="E670" s="221" t="s">
        <v>3295</v>
      </c>
      <c r="F670" s="221" t="s">
        <v>3299</v>
      </c>
      <c r="G670" s="222">
        <v>45518</v>
      </c>
      <c r="H670" s="223">
        <v>0.41666666666666669</v>
      </c>
      <c r="I670" s="221" t="s">
        <v>4916</v>
      </c>
      <c r="J670" s="221" t="s">
        <v>3024</v>
      </c>
      <c r="K670" s="224" t="s">
        <v>3087</v>
      </c>
      <c r="L670" s="225" t="str">
        <f>VLOOKUP(Logfile_S12[[#This Row],[Material Name]],Sheet2!B:C,2,0)</f>
        <v>GCI1001</v>
      </c>
      <c r="M670" s="225" t="str">
        <f>_xlfn.XLOOKUP(Logfile_S12[[#This Row],[Material Name]],Sum_WH!E:E,Sum_WH!F:F,"",0)</f>
        <v>Pcs</v>
      </c>
      <c r="N670" s="221">
        <v>5</v>
      </c>
      <c r="O670" s="221" t="s">
        <v>1807</v>
      </c>
      <c r="P670" s="221" t="s">
        <v>3399</v>
      </c>
      <c r="Q670" s="221"/>
      <c r="R670" s="221"/>
      <c r="S670" s="221"/>
      <c r="T670" s="221" t="s">
        <v>3258</v>
      </c>
      <c r="U670" s="221" t="s">
        <v>3228</v>
      </c>
      <c r="V670" s="221" t="s">
        <v>3337</v>
      </c>
      <c r="W670" s="221" t="s">
        <v>3338</v>
      </c>
      <c r="X670" s="221"/>
      <c r="Y670" s="227"/>
      <c r="Z670" s="227" t="str">
        <f t="shared" si="31"/>
        <v>HUBFEEDER TIRTASANI TO GIRIMOYO</v>
      </c>
      <c r="AA670" s="276" t="e">
        <f>VLOOKUP(Logfile_S12[[#This Row],[DO number]],DO_DB!G:I,3,0)</f>
        <v>#N/A</v>
      </c>
      <c r="AB670" s="331" t="e">
        <f>EXACT(Logfile_S12[[#This Row],[date pick]],Logfile_S12[[#This Row],[Date]])</f>
        <v>#N/A</v>
      </c>
      <c r="AC6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71" spans="1:29" ht="14.5" hidden="1">
      <c r="A671" s="220" t="str">
        <f t="shared" si="30"/>
        <v>667</v>
      </c>
      <c r="B671" s="221"/>
      <c r="C671" s="221" t="s">
        <v>49</v>
      </c>
      <c r="D671" s="221" t="s">
        <v>4164</v>
      </c>
      <c r="E671" s="221" t="s">
        <v>3295</v>
      </c>
      <c r="F671" s="221" t="s">
        <v>3299</v>
      </c>
      <c r="G671" s="222">
        <v>45524</v>
      </c>
      <c r="H671" s="223">
        <v>0.70416666666666672</v>
      </c>
      <c r="I671" s="221" t="s">
        <v>4916</v>
      </c>
      <c r="J671" s="221" t="s">
        <v>3024</v>
      </c>
      <c r="K671" s="224" t="s">
        <v>3087</v>
      </c>
      <c r="L671" s="225" t="str">
        <f>VLOOKUP(Logfile_S12[[#This Row],[Material Name]],Sheet2!B:C,2,0)</f>
        <v>GCI1001</v>
      </c>
      <c r="M671" s="225" t="str">
        <f>_xlfn.XLOOKUP(Logfile_S12[[#This Row],[Material Name]],Sum_WH!E:E,Sum_WH!F:F,"",0)</f>
        <v>Pcs</v>
      </c>
      <c r="N671" s="221">
        <v>14</v>
      </c>
      <c r="O671" s="221" t="s">
        <v>1391</v>
      </c>
      <c r="P671" s="221" t="s">
        <v>1392</v>
      </c>
      <c r="Q671" s="221"/>
      <c r="R671" s="221"/>
      <c r="S671" s="221"/>
      <c r="T671" s="221" t="s">
        <v>3244</v>
      </c>
      <c r="U671" s="221">
        <v>0</v>
      </c>
      <c r="V671" s="221" t="s">
        <v>3248</v>
      </c>
      <c r="W671" s="221" t="s">
        <v>3252</v>
      </c>
      <c r="X671" s="221"/>
      <c r="Y671" s="227"/>
      <c r="Z671" s="227" t="str">
        <f t="shared" si="31"/>
        <v>Klampok RW 01 Singosari</v>
      </c>
      <c r="AA671" s="276" t="e">
        <f>VLOOKUP(Logfile_S12[[#This Row],[DO number]],DO_DB!G:I,3,0)</f>
        <v>#N/A</v>
      </c>
      <c r="AB671" s="331" t="e">
        <f>EXACT(Logfile_S12[[#This Row],[date pick]],Logfile_S12[[#This Row],[Date]])</f>
        <v>#N/A</v>
      </c>
      <c r="AC6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72" spans="1:29" ht="14.5" hidden="1">
      <c r="A672" s="220" t="str">
        <f t="shared" si="30"/>
        <v>668</v>
      </c>
      <c r="B672" s="221"/>
      <c r="C672" s="221" t="s">
        <v>49</v>
      </c>
      <c r="D672" s="221" t="s">
        <v>4173</v>
      </c>
      <c r="E672" s="221" t="s">
        <v>3295</v>
      </c>
      <c r="F672" s="221" t="s">
        <v>3299</v>
      </c>
      <c r="G672" s="222">
        <v>45527</v>
      </c>
      <c r="H672" s="223">
        <v>0.46736111111111112</v>
      </c>
      <c r="I672" s="221" t="s">
        <v>4916</v>
      </c>
      <c r="J672" s="221" t="s">
        <v>3024</v>
      </c>
      <c r="K672" s="224" t="s">
        <v>3087</v>
      </c>
      <c r="L672" s="225" t="str">
        <f>VLOOKUP(Logfile_S12[[#This Row],[Material Name]],Sheet2!B:C,2,0)</f>
        <v>GCI1001</v>
      </c>
      <c r="M672" s="225" t="str">
        <f>_xlfn.XLOOKUP(Logfile_S12[[#This Row],[Material Name]],Sum_WH!E:E,Sum_WH!F:F,"",0)</f>
        <v>Pcs</v>
      </c>
      <c r="N672" s="221">
        <v>14</v>
      </c>
      <c r="O672" s="221" t="s">
        <v>1911</v>
      </c>
      <c r="P672" s="221" t="s">
        <v>1912</v>
      </c>
      <c r="Q672" s="221"/>
      <c r="R672" s="221"/>
      <c r="S672" s="221"/>
      <c r="T672" s="221" t="s">
        <v>3258</v>
      </c>
      <c r="U672" s="221" t="s">
        <v>3228</v>
      </c>
      <c r="V672" s="221" t="s">
        <v>3337</v>
      </c>
      <c r="W672" s="221" t="s">
        <v>3338</v>
      </c>
      <c r="X672" s="221"/>
      <c r="Y672" s="227"/>
      <c r="Z672" s="227" t="str">
        <f t="shared" si="31"/>
        <v>Dilem RW 03 Kepanjen</v>
      </c>
      <c r="AA672" s="276" t="e">
        <f>VLOOKUP(Logfile_S12[[#This Row],[DO number]],DO_DB!G:I,3,0)</f>
        <v>#N/A</v>
      </c>
      <c r="AB672" s="331" t="e">
        <f>EXACT(Logfile_S12[[#This Row],[date pick]],Logfile_S12[[#This Row],[Date]])</f>
        <v>#N/A</v>
      </c>
      <c r="AC6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73" spans="1:29" ht="14.5" hidden="1">
      <c r="A673" s="220" t="str">
        <f t="shared" si="30"/>
        <v>669</v>
      </c>
      <c r="B673" s="221"/>
      <c r="C673" s="221" t="s">
        <v>49</v>
      </c>
      <c r="D673" s="221" t="s">
        <v>4179</v>
      </c>
      <c r="E673" s="221" t="s">
        <v>3295</v>
      </c>
      <c r="F673" s="221" t="s">
        <v>3299</v>
      </c>
      <c r="G673" s="222">
        <v>45531</v>
      </c>
      <c r="H673" s="223">
        <v>0.89027777777777772</v>
      </c>
      <c r="I673" s="221" t="s">
        <v>4916</v>
      </c>
      <c r="J673" s="221" t="s">
        <v>3024</v>
      </c>
      <c r="K673" s="224" t="s">
        <v>3087</v>
      </c>
      <c r="L673" s="225" t="str">
        <f>VLOOKUP(Logfile_S12[[#This Row],[Material Name]],Sheet2!B:C,2,0)</f>
        <v>GCI1001</v>
      </c>
      <c r="M673" s="225" t="str">
        <f>_xlfn.XLOOKUP(Logfile_S12[[#This Row],[Material Name]],Sum_WH!E:E,Sum_WH!F:F,"",0)</f>
        <v>Pcs</v>
      </c>
      <c r="N673" s="221">
        <v>4</v>
      </c>
      <c r="O673" s="221" t="s">
        <v>2142</v>
      </c>
      <c r="P673" s="221" t="s">
        <v>3400</v>
      </c>
      <c r="Q673" s="221"/>
      <c r="R673" s="221"/>
      <c r="S673" s="221"/>
      <c r="T673" s="221" t="s">
        <v>3244</v>
      </c>
      <c r="U673" s="221">
        <v>0</v>
      </c>
      <c r="V673" s="221" t="s">
        <v>3248</v>
      </c>
      <c r="W673" s="221" t="s">
        <v>3252</v>
      </c>
      <c r="X673" s="221"/>
      <c r="Y673" s="227"/>
      <c r="Z673" s="227" t="str">
        <f t="shared" si="31"/>
        <v>HUBFEEDER DINOYO SUMBERSEKAR</v>
      </c>
      <c r="AA673" s="276" t="e">
        <f>VLOOKUP(Logfile_S12[[#This Row],[DO number]],DO_DB!G:I,3,0)</f>
        <v>#N/A</v>
      </c>
      <c r="AB673" s="331" t="e">
        <f>EXACT(Logfile_S12[[#This Row],[date pick]],Logfile_S12[[#This Row],[Date]])</f>
        <v>#N/A</v>
      </c>
      <c r="AC6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74" spans="1:29" ht="14.5" hidden="1">
      <c r="A674" s="220" t="str">
        <f t="shared" si="30"/>
        <v>670</v>
      </c>
      <c r="B674" s="221"/>
      <c r="C674" s="221" t="s">
        <v>49</v>
      </c>
      <c r="D674" s="221" t="s">
        <v>4189</v>
      </c>
      <c r="E674" s="221" t="s">
        <v>3295</v>
      </c>
      <c r="F674" s="221" t="s">
        <v>3299</v>
      </c>
      <c r="G674" s="222">
        <v>45534</v>
      </c>
      <c r="H674" s="223">
        <v>0.61527777777777781</v>
      </c>
      <c r="I674" s="221" t="s">
        <v>4916</v>
      </c>
      <c r="J674" s="221" t="s">
        <v>3024</v>
      </c>
      <c r="K674" s="224" t="s">
        <v>3087</v>
      </c>
      <c r="L674" s="225" t="str">
        <f>VLOOKUP(Logfile_S12[[#This Row],[Material Name]],Sheet2!B:C,2,0)</f>
        <v>GCI1001</v>
      </c>
      <c r="M674" s="225" t="str">
        <f>_xlfn.XLOOKUP(Logfile_S12[[#This Row],[Material Name]],Sum_WH!E:E,Sum_WH!F:F,"",0)</f>
        <v>Pcs</v>
      </c>
      <c r="N674" s="221">
        <v>40</v>
      </c>
      <c r="O674" s="221" t="s">
        <v>1929</v>
      </c>
      <c r="P674" s="221" t="s">
        <v>1930</v>
      </c>
      <c r="Q674" s="221"/>
      <c r="R674" s="221"/>
      <c r="S674" s="221"/>
      <c r="T674" s="221" t="s">
        <v>3244</v>
      </c>
      <c r="U674" s="221">
        <v>0</v>
      </c>
      <c r="V674" s="221" t="s">
        <v>3248</v>
      </c>
      <c r="W674" s="221" t="s">
        <v>3252</v>
      </c>
      <c r="X674" s="221"/>
      <c r="Y674" s="227"/>
      <c r="Z674" s="227" t="str">
        <f t="shared" si="31"/>
        <v>Dusun Krajan Sumbersekar</v>
      </c>
      <c r="AA674" s="276" t="e">
        <f>VLOOKUP(Logfile_S12[[#This Row],[DO number]],DO_DB!G:I,3,0)</f>
        <v>#N/A</v>
      </c>
      <c r="AB674" s="331" t="e">
        <f>EXACT(Logfile_S12[[#This Row],[date pick]],Logfile_S12[[#This Row],[Date]])</f>
        <v>#N/A</v>
      </c>
      <c r="AC6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75" spans="1:29" ht="14.5" hidden="1">
      <c r="A675" s="220" t="str">
        <f t="shared" si="30"/>
        <v>671</v>
      </c>
      <c r="B675" s="221"/>
      <c r="C675" s="221" t="s">
        <v>49</v>
      </c>
      <c r="D675" s="221" t="s">
        <v>4193</v>
      </c>
      <c r="E675" s="221" t="s">
        <v>3295</v>
      </c>
      <c r="F675" s="221" t="s">
        <v>3299</v>
      </c>
      <c r="G675" s="222">
        <v>45535</v>
      </c>
      <c r="H675" s="223">
        <v>0.52083333333333337</v>
      </c>
      <c r="I675" s="221" t="s">
        <v>4916</v>
      </c>
      <c r="J675" s="221" t="s">
        <v>3024</v>
      </c>
      <c r="K675" s="224" t="s">
        <v>3087</v>
      </c>
      <c r="L675" s="225" t="str">
        <f>VLOOKUP(Logfile_S12[[#This Row],[Material Name]],Sheet2!B:C,2,0)</f>
        <v>GCI1001</v>
      </c>
      <c r="M675" s="225" t="str">
        <f>_xlfn.XLOOKUP(Logfile_S12[[#This Row],[Material Name]],Sum_WH!E:E,Sum_WH!F:F,"",0)</f>
        <v>Pcs</v>
      </c>
      <c r="N675" s="221">
        <v>2</v>
      </c>
      <c r="O675" s="221" t="s">
        <v>1929</v>
      </c>
      <c r="P675" s="221" t="s">
        <v>1930</v>
      </c>
      <c r="Q675" s="221"/>
      <c r="R675" s="221"/>
      <c r="S675" s="221"/>
      <c r="T675" s="221" t="s">
        <v>3244</v>
      </c>
      <c r="U675" s="221">
        <v>0</v>
      </c>
      <c r="V675" s="221" t="s">
        <v>3248</v>
      </c>
      <c r="W675" s="221" t="s">
        <v>3252</v>
      </c>
      <c r="X675" s="221"/>
      <c r="Y675" s="227"/>
      <c r="Z675" s="227" t="str">
        <f t="shared" si="31"/>
        <v>Dusun Krajan Sumbersekar</v>
      </c>
      <c r="AA675" s="276" t="e">
        <f>VLOOKUP(Logfile_S12[[#This Row],[DO number]],DO_DB!G:I,3,0)</f>
        <v>#N/A</v>
      </c>
      <c r="AB675" s="331" t="e">
        <f>EXACT(Logfile_S12[[#This Row],[date pick]],Logfile_S12[[#This Row],[Date]])</f>
        <v>#N/A</v>
      </c>
      <c r="AC6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76" spans="1:29" ht="14.5" hidden="1">
      <c r="A676" s="220" t="str">
        <f t="shared" si="30"/>
        <v>672</v>
      </c>
      <c r="B676" s="221"/>
      <c r="C676" s="221" t="s">
        <v>49</v>
      </c>
      <c r="D676" s="221" t="s">
        <v>4191</v>
      </c>
      <c r="E676" s="221" t="s">
        <v>3295</v>
      </c>
      <c r="F676" s="221" t="s">
        <v>3299</v>
      </c>
      <c r="G676" s="222">
        <v>45535</v>
      </c>
      <c r="H676" s="223">
        <v>0.41388888888888886</v>
      </c>
      <c r="I676" s="221" t="s">
        <v>4916</v>
      </c>
      <c r="J676" s="221" t="s">
        <v>3024</v>
      </c>
      <c r="K676" s="224" t="s">
        <v>3087</v>
      </c>
      <c r="L676" s="225" t="str">
        <f>VLOOKUP(Logfile_S12[[#This Row],[Material Name]],Sheet2!B:C,2,0)</f>
        <v>GCI1001</v>
      </c>
      <c r="M676" s="225" t="str">
        <f>_xlfn.XLOOKUP(Logfile_S12[[#This Row],[Material Name]],Sum_WH!E:E,Sum_WH!F:F,"",0)</f>
        <v>Pcs</v>
      </c>
      <c r="N676" s="221">
        <v>25</v>
      </c>
      <c r="O676" s="221" t="s">
        <v>2142</v>
      </c>
      <c r="P676" s="221" t="s">
        <v>3400</v>
      </c>
      <c r="Q676" s="221"/>
      <c r="R676" s="221"/>
      <c r="S676" s="221"/>
      <c r="T676" s="221" t="s">
        <v>3244</v>
      </c>
      <c r="U676" s="221">
        <v>0</v>
      </c>
      <c r="V676" s="221" t="s">
        <v>3248</v>
      </c>
      <c r="W676" s="221" t="s">
        <v>3252</v>
      </c>
      <c r="X676" s="221"/>
      <c r="Y676" s="227"/>
      <c r="Z676" s="227" t="str">
        <f t="shared" si="31"/>
        <v>HUBFEEDER DINOYO SUMBERSEKAR</v>
      </c>
      <c r="AA676" s="276" t="e">
        <f>VLOOKUP(Logfile_S12[[#This Row],[DO number]],DO_DB!G:I,3,0)</f>
        <v>#N/A</v>
      </c>
      <c r="AB676" s="331" t="e">
        <f>EXACT(Logfile_S12[[#This Row],[date pick]],Logfile_S12[[#This Row],[Date]])</f>
        <v>#N/A</v>
      </c>
      <c r="AC6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77" spans="1:29" ht="14.5" hidden="1">
      <c r="A677" s="220" t="str">
        <f t="shared" si="30"/>
        <v>673</v>
      </c>
      <c r="B677" s="221"/>
      <c r="C677" s="221" t="s">
        <v>49</v>
      </c>
      <c r="D677" s="221" t="s">
        <v>4198</v>
      </c>
      <c r="E677" s="221" t="s">
        <v>3295</v>
      </c>
      <c r="F677" s="221" t="s">
        <v>3299</v>
      </c>
      <c r="G677" s="222">
        <v>45537</v>
      </c>
      <c r="H677" s="223">
        <v>0.32847222222222222</v>
      </c>
      <c r="I677" s="221" t="s">
        <v>4916</v>
      </c>
      <c r="J677" s="221" t="s">
        <v>3024</v>
      </c>
      <c r="K677" s="224" t="s">
        <v>3087</v>
      </c>
      <c r="L677" s="225" t="str">
        <f>VLOOKUP(Logfile_S12[[#This Row],[Material Name]],Sheet2!B:C,2,0)</f>
        <v>GCI1001</v>
      </c>
      <c r="M677" s="225" t="str">
        <f>_xlfn.XLOOKUP(Logfile_S12[[#This Row],[Material Name]],Sum_WH!E:E,Sum_WH!F:F,"",0)</f>
        <v>Pcs</v>
      </c>
      <c r="N677" s="221">
        <v>1</v>
      </c>
      <c r="O677" s="221" t="s">
        <v>1929</v>
      </c>
      <c r="P677" s="221" t="s">
        <v>1930</v>
      </c>
      <c r="Q677" s="221"/>
      <c r="R677" s="221"/>
      <c r="S677" s="221"/>
      <c r="T677" s="221" t="s">
        <v>3244</v>
      </c>
      <c r="U677" s="221">
        <v>0</v>
      </c>
      <c r="V677" s="221" t="s">
        <v>3248</v>
      </c>
      <c r="W677" s="221" t="s">
        <v>3252</v>
      </c>
      <c r="X677" s="221"/>
      <c r="Y677" s="227"/>
      <c r="Z677" s="227" t="str">
        <f t="shared" si="31"/>
        <v>Dusun Krajan Sumbersekar</v>
      </c>
      <c r="AA677" s="276" t="e">
        <f>VLOOKUP(Logfile_S12[[#This Row],[DO number]],DO_DB!G:I,3,0)</f>
        <v>#N/A</v>
      </c>
      <c r="AB677" s="331" t="e">
        <f>EXACT(Logfile_S12[[#This Row],[date pick]],Logfile_S12[[#This Row],[Date]])</f>
        <v>#N/A</v>
      </c>
      <c r="AC6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78" spans="1:29" ht="14.5" hidden="1">
      <c r="A678" s="220" t="str">
        <f t="shared" si="30"/>
        <v>674</v>
      </c>
      <c r="B678" s="221"/>
      <c r="C678" s="221" t="s">
        <v>49</v>
      </c>
      <c r="D678" s="221" t="s">
        <v>4203</v>
      </c>
      <c r="E678" s="221" t="s">
        <v>3295</v>
      </c>
      <c r="F678" s="221" t="s">
        <v>3299</v>
      </c>
      <c r="G678" s="222">
        <v>45539</v>
      </c>
      <c r="H678" s="223">
        <v>0.40694444444444444</v>
      </c>
      <c r="I678" s="221" t="s">
        <v>4916</v>
      </c>
      <c r="J678" s="221" t="s">
        <v>3024</v>
      </c>
      <c r="K678" s="224" t="s">
        <v>3087</v>
      </c>
      <c r="L678" s="225" t="str">
        <f>VLOOKUP(Logfile_S12[[#This Row],[Material Name]],Sheet2!B:C,2,0)</f>
        <v>GCI1001</v>
      </c>
      <c r="M678" s="225" t="str">
        <f>_xlfn.XLOOKUP(Logfile_S12[[#This Row],[Material Name]],Sum_WH!E:E,Sum_WH!F:F,"",0)</f>
        <v>Pcs</v>
      </c>
      <c r="N678" s="221">
        <v>22</v>
      </c>
      <c r="O678" s="221" t="s">
        <v>1951</v>
      </c>
      <c r="P678" s="221" t="s">
        <v>3374</v>
      </c>
      <c r="Q678" s="221"/>
      <c r="R678" s="221"/>
      <c r="S678" s="221"/>
      <c r="T678" s="221" t="s">
        <v>3258</v>
      </c>
      <c r="U678" s="221" t="s">
        <v>3228</v>
      </c>
      <c r="V678" s="221" t="s">
        <v>3337</v>
      </c>
      <c r="W678" s="221" t="s">
        <v>3338</v>
      </c>
      <c r="X678" s="221"/>
      <c r="Y678" s="227"/>
      <c r="Z678" s="227" t="str">
        <f t="shared" si="31"/>
        <v>SENGGURUH RW 01 MALANG</v>
      </c>
      <c r="AA678" s="276" t="e">
        <f>VLOOKUP(Logfile_S12[[#This Row],[DO number]],DO_DB!G:I,3,0)</f>
        <v>#N/A</v>
      </c>
      <c r="AB678" s="331" t="e">
        <f>EXACT(Logfile_S12[[#This Row],[date pick]],Logfile_S12[[#This Row],[Date]])</f>
        <v>#N/A</v>
      </c>
      <c r="AC6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79" spans="1:29" ht="14.5" hidden="1">
      <c r="A679" s="220" t="str">
        <f t="shared" si="30"/>
        <v>675</v>
      </c>
      <c r="B679" s="221"/>
      <c r="C679" s="221" t="s">
        <v>48</v>
      </c>
      <c r="D679" s="221" t="s">
        <v>4212</v>
      </c>
      <c r="E679" s="221" t="s">
        <v>3295</v>
      </c>
      <c r="F679" s="221" t="s">
        <v>3299</v>
      </c>
      <c r="G679" s="222">
        <v>45541</v>
      </c>
      <c r="H679" s="223">
        <v>15.291666666666666</v>
      </c>
      <c r="I679" s="221" t="s">
        <v>38</v>
      </c>
      <c r="J679" s="221" t="s">
        <v>3024</v>
      </c>
      <c r="K679" s="224" t="s">
        <v>3087</v>
      </c>
      <c r="L679" s="225" t="str">
        <f>VLOOKUP(Logfile_S12[[#This Row],[Material Name]],Sheet2!B:C,2,0)</f>
        <v>GCI1001</v>
      </c>
      <c r="M679" s="225" t="str">
        <f>_xlfn.XLOOKUP(Logfile_S12[[#This Row],[Material Name]],Sum_WH!E:E,Sum_WH!F:F,"",0)</f>
        <v>Pcs</v>
      </c>
      <c r="N679" s="221">
        <v>107</v>
      </c>
      <c r="O679" s="221">
        <v>0</v>
      </c>
      <c r="P679" s="221">
        <v>0</v>
      </c>
      <c r="Q679" s="221">
        <v>0</v>
      </c>
      <c r="R679" s="221">
        <v>0</v>
      </c>
      <c r="S679" s="221"/>
      <c r="T679" s="221"/>
      <c r="U679" s="221"/>
      <c r="V679" s="221"/>
      <c r="W679" s="221"/>
      <c r="X679" s="221"/>
      <c r="Y679" s="227"/>
      <c r="Z679" s="227">
        <f t="shared" si="31"/>
        <v>0</v>
      </c>
      <c r="AA679" s="276" t="e">
        <f>VLOOKUP(Logfile_S12[[#This Row],[DO number]],DO_DB!G:I,3,0)</f>
        <v>#N/A</v>
      </c>
      <c r="AB679" s="331" t="e">
        <f>EXACT(Logfile_S12[[#This Row],[date pick]],Logfile_S12[[#This Row],[Date]])</f>
        <v>#N/A</v>
      </c>
      <c r="AC6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80" spans="1:29" ht="14.5" hidden="1">
      <c r="A680" s="220" t="str">
        <f t="shared" si="30"/>
        <v>676</v>
      </c>
      <c r="B680" s="221"/>
      <c r="C680" s="221" t="s">
        <v>49</v>
      </c>
      <c r="D680" s="221" t="s">
        <v>4211</v>
      </c>
      <c r="E680" s="221" t="s">
        <v>3295</v>
      </c>
      <c r="F680" s="221" t="s">
        <v>3299</v>
      </c>
      <c r="G680" s="222">
        <v>45541</v>
      </c>
      <c r="H680" s="223">
        <v>0.80069444444444449</v>
      </c>
      <c r="I680" s="221" t="s">
        <v>4916</v>
      </c>
      <c r="J680" s="221" t="s">
        <v>3024</v>
      </c>
      <c r="K680" s="224" t="s">
        <v>3087</v>
      </c>
      <c r="L680" s="225" t="str">
        <f>VLOOKUP(Logfile_S12[[#This Row],[Material Name]],Sheet2!B:C,2,0)</f>
        <v>GCI1001</v>
      </c>
      <c r="M680" s="225" t="str">
        <f>_xlfn.XLOOKUP(Logfile_S12[[#This Row],[Material Name]],Sum_WH!E:E,Sum_WH!F:F,"",0)</f>
        <v>Pcs</v>
      </c>
      <c r="N680" s="221">
        <v>8</v>
      </c>
      <c r="O680" s="221" t="s">
        <v>2025</v>
      </c>
      <c r="P680" s="221" t="s">
        <v>2026</v>
      </c>
      <c r="Q680" s="221"/>
      <c r="R680" s="221"/>
      <c r="S680" s="221"/>
      <c r="T680" s="221" t="s">
        <v>3244</v>
      </c>
      <c r="U680" s="221">
        <v>0</v>
      </c>
      <c r="V680" s="221" t="s">
        <v>3248</v>
      </c>
      <c r="W680" s="221" t="s">
        <v>3252</v>
      </c>
      <c r="X680" s="221"/>
      <c r="Y680" s="227"/>
      <c r="Z680" s="227" t="str">
        <f t="shared" si="31"/>
        <v>NGENEP UTARA RW 03 MALANG</v>
      </c>
      <c r="AA680" s="276" t="e">
        <f>VLOOKUP(Logfile_S12[[#This Row],[DO number]],DO_DB!G:I,3,0)</f>
        <v>#N/A</v>
      </c>
      <c r="AB680" s="331" t="e">
        <f>EXACT(Logfile_S12[[#This Row],[date pick]],Logfile_S12[[#This Row],[Date]])</f>
        <v>#N/A</v>
      </c>
      <c r="AC6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81" spans="1:29" ht="14.5" hidden="1">
      <c r="A681" s="220" t="str">
        <f t="shared" si="30"/>
        <v>677</v>
      </c>
      <c r="B681" s="221"/>
      <c r="C681" s="221" t="s">
        <v>49</v>
      </c>
      <c r="D681" s="221" t="s">
        <v>4215</v>
      </c>
      <c r="E681" s="221" t="s">
        <v>3295</v>
      </c>
      <c r="F681" s="221" t="s">
        <v>3299</v>
      </c>
      <c r="G681" s="222">
        <v>45542</v>
      </c>
      <c r="H681" s="223">
        <v>0.73750000000000004</v>
      </c>
      <c r="I681" s="221" t="s">
        <v>4916</v>
      </c>
      <c r="J681" s="221" t="s">
        <v>3024</v>
      </c>
      <c r="K681" s="224" t="s">
        <v>3087</v>
      </c>
      <c r="L681" s="225" t="str">
        <f>VLOOKUP(Logfile_S12[[#This Row],[Material Name]],Sheet2!B:C,2,0)</f>
        <v>GCI1001</v>
      </c>
      <c r="M681" s="225" t="str">
        <f>_xlfn.XLOOKUP(Logfile_S12[[#This Row],[Material Name]],Sum_WH!E:E,Sum_WH!F:F,"",0)</f>
        <v>Pcs</v>
      </c>
      <c r="N681" s="221">
        <v>20</v>
      </c>
      <c r="O681" s="221" t="s">
        <v>1951</v>
      </c>
      <c r="P681" s="221" t="s">
        <v>3374</v>
      </c>
      <c r="Q681" s="221"/>
      <c r="R681" s="221"/>
      <c r="S681" s="221"/>
      <c r="T681" s="221" t="s">
        <v>3258</v>
      </c>
      <c r="U681" s="221">
        <v>0</v>
      </c>
      <c r="V681" s="221" t="s">
        <v>3337</v>
      </c>
      <c r="W681" s="221" t="s">
        <v>3338</v>
      </c>
      <c r="X681" s="221"/>
      <c r="Y681" s="227"/>
      <c r="Z681" s="227" t="str">
        <f t="shared" si="31"/>
        <v>SENGGURUH RW 01 MALANG</v>
      </c>
      <c r="AA681" s="276" t="e">
        <f>VLOOKUP(Logfile_S12[[#This Row],[DO number]],DO_DB!G:I,3,0)</f>
        <v>#N/A</v>
      </c>
      <c r="AB681" s="331" t="e">
        <f>EXACT(Logfile_S12[[#This Row],[date pick]],Logfile_S12[[#This Row],[Date]])</f>
        <v>#N/A</v>
      </c>
      <c r="AC6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82" spans="1:29" ht="14.5" hidden="1">
      <c r="A682" s="220" t="str">
        <f t="shared" si="30"/>
        <v>678</v>
      </c>
      <c r="B682" s="221"/>
      <c r="C682" s="221" t="s">
        <v>49</v>
      </c>
      <c r="D682" s="221" t="s">
        <v>4218</v>
      </c>
      <c r="E682" s="221" t="s">
        <v>3295</v>
      </c>
      <c r="F682" s="221" t="s">
        <v>3299</v>
      </c>
      <c r="G682" s="222">
        <v>45545</v>
      </c>
      <c r="H682" s="223">
        <v>0.74722222222222223</v>
      </c>
      <c r="I682" s="221" t="s">
        <v>4916</v>
      </c>
      <c r="J682" s="221" t="s">
        <v>3024</v>
      </c>
      <c r="K682" s="224" t="s">
        <v>3087</v>
      </c>
      <c r="L682" s="225" t="str">
        <f>VLOOKUP(Logfile_S12[[#This Row],[Material Name]],Sheet2!B:C,2,0)</f>
        <v>GCI1001</v>
      </c>
      <c r="M682" s="225" t="str">
        <f>_xlfn.XLOOKUP(Logfile_S12[[#This Row],[Material Name]],Sum_WH!E:E,Sum_WH!F:F,"",0)</f>
        <v>Pcs</v>
      </c>
      <c r="N682" s="221">
        <v>43</v>
      </c>
      <c r="O682" s="221" t="s">
        <v>1911</v>
      </c>
      <c r="P682" s="221" t="s">
        <v>1912</v>
      </c>
      <c r="Q682" s="221"/>
      <c r="R682" s="221"/>
      <c r="S682" s="221"/>
      <c r="T682" s="221" t="s">
        <v>3258</v>
      </c>
      <c r="U682" s="221">
        <v>0</v>
      </c>
      <c r="V682" s="221" t="s">
        <v>3337</v>
      </c>
      <c r="W682" s="221" t="s">
        <v>3338</v>
      </c>
      <c r="X682" s="221"/>
      <c r="Y682" s="227"/>
      <c r="Z682" s="227" t="str">
        <f t="shared" si="31"/>
        <v>Dilem RW 03 Kepanjen</v>
      </c>
      <c r="AA682" s="276" t="e">
        <f>VLOOKUP(Logfile_S12[[#This Row],[DO number]],DO_DB!G:I,3,0)</f>
        <v>#N/A</v>
      </c>
      <c r="AB682" s="331" t="e">
        <f>EXACT(Logfile_S12[[#This Row],[date pick]],Logfile_S12[[#This Row],[Date]])</f>
        <v>#N/A</v>
      </c>
      <c r="AC6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83" spans="1:29" ht="14.5" hidden="1">
      <c r="A683" s="220" t="str">
        <f t="shared" si="30"/>
        <v>679</v>
      </c>
      <c r="B683" s="221"/>
      <c r="C683" s="221" t="s">
        <v>49</v>
      </c>
      <c r="D683" s="221" t="s">
        <v>4221</v>
      </c>
      <c r="E683" s="221" t="s">
        <v>3295</v>
      </c>
      <c r="F683" s="221" t="s">
        <v>3299</v>
      </c>
      <c r="G683" s="222">
        <v>45553</v>
      </c>
      <c r="H683" s="223">
        <v>0.43125000000000002</v>
      </c>
      <c r="I683" s="221" t="s">
        <v>4916</v>
      </c>
      <c r="J683" s="221" t="s">
        <v>3024</v>
      </c>
      <c r="K683" s="224" t="s">
        <v>3087</v>
      </c>
      <c r="L683" s="225" t="str">
        <f>VLOOKUP(Logfile_S12[[#This Row],[Material Name]],Sheet2!B:C,2,0)</f>
        <v>GCI1001</v>
      </c>
      <c r="M683" s="225" t="str">
        <f>_xlfn.XLOOKUP(Logfile_S12[[#This Row],[Material Name]],Sum_WH!E:E,Sum_WH!F:F,"",0)</f>
        <v>Pcs</v>
      </c>
      <c r="N683" s="221">
        <v>8</v>
      </c>
      <c r="O683" s="221" t="s">
        <v>1923</v>
      </c>
      <c r="P683" s="221" t="s">
        <v>1924</v>
      </c>
      <c r="Q683" s="221"/>
      <c r="R683" s="221"/>
      <c r="S683" s="221"/>
      <c r="T683" s="221" t="s">
        <v>3258</v>
      </c>
      <c r="U683" s="221">
        <v>0</v>
      </c>
      <c r="V683" s="221" t="s">
        <v>3337</v>
      </c>
      <c r="W683" s="221" t="s">
        <v>3338</v>
      </c>
      <c r="X683" s="221"/>
      <c r="Y683" s="227"/>
      <c r="Z683" s="227" t="str">
        <f t="shared" si="31"/>
        <v>Pakisaji RW 01 Malang</v>
      </c>
      <c r="AA683" s="276" t="e">
        <f>VLOOKUP(Logfile_S12[[#This Row],[DO number]],DO_DB!G:I,3,0)</f>
        <v>#N/A</v>
      </c>
      <c r="AB683" s="331" t="e">
        <f>EXACT(Logfile_S12[[#This Row],[date pick]],Logfile_S12[[#This Row],[Date]])</f>
        <v>#N/A</v>
      </c>
      <c r="AC6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84" spans="1:29" ht="14.5" hidden="1">
      <c r="A684" s="220" t="str">
        <f t="shared" si="30"/>
        <v>680</v>
      </c>
      <c r="B684" s="221"/>
      <c r="C684" s="221" t="s">
        <v>48</v>
      </c>
      <c r="D684" s="221" t="s">
        <v>4222</v>
      </c>
      <c r="E684" s="221" t="s">
        <v>3295</v>
      </c>
      <c r="F684" s="221" t="s">
        <v>3299</v>
      </c>
      <c r="G684" s="222">
        <v>45554</v>
      </c>
      <c r="H684" s="223">
        <v>15.291666666666666</v>
      </c>
      <c r="I684" s="221" t="s">
        <v>3586</v>
      </c>
      <c r="J684" s="221" t="s">
        <v>3024</v>
      </c>
      <c r="K684" s="224" t="s">
        <v>3087</v>
      </c>
      <c r="L684" s="225" t="str">
        <f>VLOOKUP(Logfile_S12[[#This Row],[Material Name]],Sheet2!B:C,2,0)</f>
        <v>GCI1001</v>
      </c>
      <c r="M684" s="225" t="str">
        <f>_xlfn.XLOOKUP(Logfile_S12[[#This Row],[Material Name]],Sum_WH!E:E,Sum_WH!F:F,"",0)</f>
        <v>Pcs</v>
      </c>
      <c r="N684" s="221">
        <v>3</v>
      </c>
      <c r="O684" s="221" t="s">
        <v>3397</v>
      </c>
      <c r="P684" s="221" t="s">
        <v>3401</v>
      </c>
      <c r="Q684" s="221">
        <v>0</v>
      </c>
      <c r="R684" s="221">
        <v>0</v>
      </c>
      <c r="S684" s="221"/>
      <c r="T684" s="221"/>
      <c r="U684" s="221"/>
      <c r="V684" s="221"/>
      <c r="W684" s="221"/>
      <c r="X684" s="221"/>
      <c r="Y684" s="227"/>
      <c r="Z684" s="227" t="str">
        <f t="shared" si="31"/>
        <v>MF Sumbersekar</v>
      </c>
      <c r="AA684" s="276" t="e">
        <f>VLOOKUP(Logfile_S12[[#This Row],[DO number]],DO_DB!G:I,3,0)</f>
        <v>#N/A</v>
      </c>
      <c r="AB684" s="331" t="e">
        <f>EXACT(Logfile_S12[[#This Row],[date pick]],Logfile_S12[[#This Row],[Date]])</f>
        <v>#N/A</v>
      </c>
      <c r="AC6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85" spans="1:29" ht="14.5" hidden="1">
      <c r="A685" s="220" t="str">
        <f t="shared" si="30"/>
        <v>681</v>
      </c>
      <c r="B685" s="221"/>
      <c r="C685" s="221" t="s">
        <v>3313</v>
      </c>
      <c r="D685" s="221" t="s">
        <v>4223</v>
      </c>
      <c r="E685" s="221" t="s">
        <v>3295</v>
      </c>
      <c r="F685" s="221" t="s">
        <v>3299</v>
      </c>
      <c r="G685" s="222">
        <v>45554</v>
      </c>
      <c r="H685" s="223">
        <v>15.291666666666666</v>
      </c>
      <c r="I685" s="221" t="s">
        <v>4917</v>
      </c>
      <c r="J685" s="221" t="s">
        <v>3024</v>
      </c>
      <c r="K685" s="224" t="s">
        <v>3087</v>
      </c>
      <c r="L685" s="225" t="str">
        <f>VLOOKUP(Logfile_S12[[#This Row],[Material Name]],Sheet2!B:C,2,0)</f>
        <v>GCI1001</v>
      </c>
      <c r="M685" s="225" t="str">
        <f>_xlfn.XLOOKUP(Logfile_S12[[#This Row],[Material Name]],Sum_WH!E:E,Sum_WH!F:F,"",0)</f>
        <v>Pcs</v>
      </c>
      <c r="N685" s="221">
        <v>25</v>
      </c>
      <c r="O685" s="221" t="s">
        <v>3314</v>
      </c>
      <c r="P685" s="221" t="s">
        <v>68</v>
      </c>
      <c r="Q685" s="221">
        <v>0</v>
      </c>
      <c r="R685" s="221">
        <v>0</v>
      </c>
      <c r="S685" s="221"/>
      <c r="T685" s="221"/>
      <c r="U685" s="221"/>
      <c r="V685" s="221"/>
      <c r="W685" s="221"/>
      <c r="X685" s="221"/>
      <c r="Y685" s="227"/>
      <c r="Z685" s="227" t="str">
        <f t="shared" si="31"/>
        <v>Blitar</v>
      </c>
      <c r="AA685" s="276" t="e">
        <f>VLOOKUP(Logfile_S12[[#This Row],[DO number]],DO_DB!G:I,3,0)</f>
        <v>#N/A</v>
      </c>
      <c r="AB685" s="331" t="e">
        <f>EXACT(Logfile_S12[[#This Row],[date pick]],Logfile_S12[[#This Row],[Date]])</f>
        <v>#N/A</v>
      </c>
      <c r="AC6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86" spans="1:29" ht="14.5" hidden="1">
      <c r="A686" s="220" t="str">
        <f t="shared" si="30"/>
        <v>682</v>
      </c>
      <c r="B686" s="221"/>
      <c r="C686" s="221" t="s">
        <v>49</v>
      </c>
      <c r="D686" s="221" t="s">
        <v>4226</v>
      </c>
      <c r="E686" s="221" t="s">
        <v>3295</v>
      </c>
      <c r="F686" s="221" t="s">
        <v>3299</v>
      </c>
      <c r="G686" s="222">
        <v>45555</v>
      </c>
      <c r="H686" s="223">
        <v>0.6430555555555556</v>
      </c>
      <c r="I686" s="221" t="s">
        <v>4916</v>
      </c>
      <c r="J686" s="221" t="s">
        <v>3024</v>
      </c>
      <c r="K686" s="224" t="s">
        <v>3087</v>
      </c>
      <c r="L686" s="225" t="str">
        <f>VLOOKUP(Logfile_S12[[#This Row],[Material Name]],Sheet2!B:C,2,0)</f>
        <v>GCI1001</v>
      </c>
      <c r="M686" s="225" t="str">
        <f>_xlfn.XLOOKUP(Logfile_S12[[#This Row],[Material Name]],Sum_WH!E:E,Sum_WH!F:F,"",0)</f>
        <v>Pcs</v>
      </c>
      <c r="N686" s="221">
        <v>8</v>
      </c>
      <c r="O686" s="221" t="s">
        <v>1923</v>
      </c>
      <c r="P686" s="221" t="s">
        <v>1924</v>
      </c>
      <c r="Q686" s="221"/>
      <c r="R686" s="221"/>
      <c r="S686" s="221"/>
      <c r="T686" s="221" t="s">
        <v>3258</v>
      </c>
      <c r="U686" s="221">
        <v>0</v>
      </c>
      <c r="V686" s="221" t="s">
        <v>3337</v>
      </c>
      <c r="W686" s="221" t="s">
        <v>3338</v>
      </c>
      <c r="X686" s="221"/>
      <c r="Y686" s="227"/>
      <c r="Z686" s="227" t="str">
        <f t="shared" si="31"/>
        <v>Pakisaji RW 01 Malang</v>
      </c>
      <c r="AA686" s="276" t="e">
        <f>VLOOKUP(Logfile_S12[[#This Row],[DO number]],DO_DB!G:I,3,0)</f>
        <v>#N/A</v>
      </c>
      <c r="AB686" s="331" t="e">
        <f>EXACT(Logfile_S12[[#This Row],[date pick]],Logfile_S12[[#This Row],[Date]])</f>
        <v>#N/A</v>
      </c>
      <c r="AC6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87" spans="1:29" ht="14.5" hidden="1">
      <c r="A687" s="220" t="str">
        <f t="shared" si="30"/>
        <v>683</v>
      </c>
      <c r="B687" s="221"/>
      <c r="C687" s="221" t="s">
        <v>49</v>
      </c>
      <c r="D687" s="221" t="s">
        <v>4229</v>
      </c>
      <c r="E687" s="221" t="s">
        <v>3295</v>
      </c>
      <c r="F687" s="221" t="s">
        <v>3299</v>
      </c>
      <c r="G687" s="222">
        <v>45556</v>
      </c>
      <c r="H687" s="223">
        <v>0.71527777777777779</v>
      </c>
      <c r="I687" s="221" t="s">
        <v>4916</v>
      </c>
      <c r="J687" s="221" t="s">
        <v>3024</v>
      </c>
      <c r="K687" s="224" t="s">
        <v>3087</v>
      </c>
      <c r="L687" s="225" t="str">
        <f>VLOOKUP(Logfile_S12[[#This Row],[Material Name]],Sheet2!B:C,2,0)</f>
        <v>GCI1001</v>
      </c>
      <c r="M687" s="225" t="str">
        <f>_xlfn.XLOOKUP(Logfile_S12[[#This Row],[Material Name]],Sum_WH!E:E,Sum_WH!F:F,"",0)</f>
        <v>Pcs</v>
      </c>
      <c r="N687" s="221">
        <v>12</v>
      </c>
      <c r="O687" s="221" t="s">
        <v>2142</v>
      </c>
      <c r="P687" s="221" t="s">
        <v>3400</v>
      </c>
      <c r="Q687" s="221"/>
      <c r="R687" s="221"/>
      <c r="S687" s="221"/>
      <c r="T687" s="221" t="s">
        <v>3363</v>
      </c>
      <c r="U687" s="221" t="s">
        <v>3228</v>
      </c>
      <c r="V687" s="221" t="s">
        <v>3364</v>
      </c>
      <c r="W687" s="221" t="s">
        <v>3365</v>
      </c>
      <c r="X687" s="221"/>
      <c r="Y687" s="227"/>
      <c r="Z687" s="227" t="str">
        <f t="shared" si="31"/>
        <v>HUBFEEDER DINOYO SUMBERSEKAR</v>
      </c>
      <c r="AA687" s="276" t="e">
        <f>VLOOKUP(Logfile_S12[[#This Row],[DO number]],DO_DB!G:I,3,0)</f>
        <v>#N/A</v>
      </c>
      <c r="AB687" s="331" t="e">
        <f>EXACT(Logfile_S12[[#This Row],[date pick]],Logfile_S12[[#This Row],[Date]])</f>
        <v>#N/A</v>
      </c>
      <c r="AC6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88" spans="1:29" ht="14.5" hidden="1">
      <c r="A688" s="220" t="str">
        <f t="shared" si="30"/>
        <v>684</v>
      </c>
      <c r="B688" s="221"/>
      <c r="C688" s="221" t="s">
        <v>49</v>
      </c>
      <c r="D688" s="221" t="s">
        <v>4233</v>
      </c>
      <c r="E688" s="221" t="s">
        <v>3295</v>
      </c>
      <c r="F688" s="221" t="s">
        <v>3299</v>
      </c>
      <c r="G688" s="222">
        <v>45561</v>
      </c>
      <c r="H688" s="223">
        <v>0.64097222222222228</v>
      </c>
      <c r="I688" s="221" t="s">
        <v>4916</v>
      </c>
      <c r="J688" s="221" t="s">
        <v>3024</v>
      </c>
      <c r="K688" s="224" t="s">
        <v>3087</v>
      </c>
      <c r="L688" s="225" t="str">
        <f>VLOOKUP(Logfile_S12[[#This Row],[Material Name]],Sheet2!B:C,2,0)</f>
        <v>GCI1001</v>
      </c>
      <c r="M688" s="225" t="str">
        <f>_xlfn.XLOOKUP(Logfile_S12[[#This Row],[Material Name]],Sum_WH!E:E,Sum_WH!F:F,"",0)</f>
        <v>Pcs</v>
      </c>
      <c r="N688" s="221">
        <v>33</v>
      </c>
      <c r="O688" s="221" t="s">
        <v>2166</v>
      </c>
      <c r="P688" s="221" t="s">
        <v>2167</v>
      </c>
      <c r="Q688" s="221"/>
      <c r="R688" s="221"/>
      <c r="S688" s="221"/>
      <c r="T688" s="221" t="s">
        <v>3247</v>
      </c>
      <c r="U688" s="221">
        <v>0</v>
      </c>
      <c r="V688" s="221" t="s">
        <v>3375</v>
      </c>
      <c r="W688" s="221" t="s">
        <v>3376</v>
      </c>
      <c r="X688" s="221"/>
      <c r="Y688" s="227"/>
      <c r="Z688" s="227" t="str">
        <f t="shared" si="31"/>
        <v>Dusun Mojosari Ngenep</v>
      </c>
      <c r="AA688" s="276" t="e">
        <f>VLOOKUP(Logfile_S12[[#This Row],[DO number]],DO_DB!G:I,3,0)</f>
        <v>#N/A</v>
      </c>
      <c r="AB688" s="331" t="e">
        <f>EXACT(Logfile_S12[[#This Row],[date pick]],Logfile_S12[[#This Row],[Date]])</f>
        <v>#N/A</v>
      </c>
      <c r="AC6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89" spans="1:29" ht="14.5" hidden="1">
      <c r="A689" s="220" t="str">
        <f t="shared" si="30"/>
        <v>685</v>
      </c>
      <c r="B689" s="221"/>
      <c r="C689" s="221" t="s">
        <v>48</v>
      </c>
      <c r="D689" s="221" t="s">
        <v>4245</v>
      </c>
      <c r="E689" s="221" t="s">
        <v>3295</v>
      </c>
      <c r="F689" s="221" t="s">
        <v>3299</v>
      </c>
      <c r="G689" s="222">
        <v>45566</v>
      </c>
      <c r="H689" s="223">
        <v>15.291666666666666</v>
      </c>
      <c r="I689" s="221" t="s">
        <v>3586</v>
      </c>
      <c r="J689" s="221" t="s">
        <v>3024</v>
      </c>
      <c r="K689" s="224" t="s">
        <v>3087</v>
      </c>
      <c r="L689" s="225" t="str">
        <f>VLOOKUP(Logfile_S12[[#This Row],[Material Name]],Sheet2!B:C,2,0)</f>
        <v>GCI1001</v>
      </c>
      <c r="M689" s="225" t="str">
        <f>_xlfn.XLOOKUP(Logfile_S12[[#This Row],[Material Name]],Sum_WH!E:E,Sum_WH!F:F,"",0)</f>
        <v>Pcs</v>
      </c>
      <c r="N689" s="221">
        <v>7</v>
      </c>
      <c r="O689" s="221" t="s">
        <v>3397</v>
      </c>
      <c r="P689" s="221" t="s">
        <v>3402</v>
      </c>
      <c r="Q689" s="221">
        <v>0</v>
      </c>
      <c r="R689" s="221">
        <v>0</v>
      </c>
      <c r="S689" s="221"/>
      <c r="T689" s="221"/>
      <c r="U689" s="221"/>
      <c r="V689" s="221"/>
      <c r="W689" s="221"/>
      <c r="X689" s="221"/>
      <c r="Y689" s="227"/>
      <c r="Z689" s="227" t="str">
        <f t="shared" si="31"/>
        <v>Mojosari Ngenep</v>
      </c>
      <c r="AA689" s="276" t="e">
        <f>VLOOKUP(Logfile_S12[[#This Row],[DO number]],DO_DB!G:I,3,0)</f>
        <v>#N/A</v>
      </c>
      <c r="AB689" s="331" t="e">
        <f>EXACT(Logfile_S12[[#This Row],[date pick]],Logfile_S12[[#This Row],[Date]])</f>
        <v>#N/A</v>
      </c>
      <c r="AC6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90" spans="1:29" ht="14.5" hidden="1">
      <c r="A690" s="220" t="str">
        <f t="shared" si="30"/>
        <v>686</v>
      </c>
      <c r="B690" s="221"/>
      <c r="C690" s="221" t="s">
        <v>49</v>
      </c>
      <c r="D690" s="221" t="s">
        <v>4249</v>
      </c>
      <c r="E690" s="221" t="s">
        <v>3295</v>
      </c>
      <c r="F690" s="221" t="s">
        <v>3299</v>
      </c>
      <c r="G690" s="222">
        <v>45575</v>
      </c>
      <c r="H690" s="223">
        <v>0.56458333333333333</v>
      </c>
      <c r="I690" s="221" t="s">
        <v>4916</v>
      </c>
      <c r="J690" s="221" t="s">
        <v>3024</v>
      </c>
      <c r="K690" s="224" t="s">
        <v>3087</v>
      </c>
      <c r="L690" s="225" t="str">
        <f>VLOOKUP(Logfile_S12[[#This Row],[Material Name]],Sheet2!B:C,2,0)</f>
        <v>GCI1001</v>
      </c>
      <c r="M690" s="225" t="str">
        <f>_xlfn.XLOOKUP(Logfile_S12[[#This Row],[Material Name]],Sum_WH!E:E,Sum_WH!F:F,"",0)</f>
        <v>Pcs</v>
      </c>
      <c r="N690" s="221">
        <v>6</v>
      </c>
      <c r="O690" s="221" t="s">
        <v>1391</v>
      </c>
      <c r="P690" s="221" t="s">
        <v>1392</v>
      </c>
      <c r="Q690" s="221"/>
      <c r="R690" s="221"/>
      <c r="S690" s="221"/>
      <c r="T690" s="221" t="s">
        <v>3244</v>
      </c>
      <c r="U690" s="221">
        <v>0</v>
      </c>
      <c r="V690" s="221" t="s">
        <v>3248</v>
      </c>
      <c r="W690" s="221" t="s">
        <v>3252</v>
      </c>
      <c r="X690" s="221"/>
      <c r="Y690" s="227"/>
      <c r="Z690" s="227" t="str">
        <f t="shared" si="31"/>
        <v>Klampok RW 01 Singosari</v>
      </c>
      <c r="AA690" s="276" t="e">
        <f>VLOOKUP(Logfile_S12[[#This Row],[DO number]],DO_DB!G:I,3,0)</f>
        <v>#N/A</v>
      </c>
      <c r="AB690" s="331" t="e">
        <f>EXACT(Logfile_S12[[#This Row],[date pick]],Logfile_S12[[#This Row],[Date]])</f>
        <v>#N/A</v>
      </c>
      <c r="AC6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91" spans="1:29" ht="14.5" hidden="1">
      <c r="A691" s="220" t="str">
        <f t="shared" si="30"/>
        <v>687</v>
      </c>
      <c r="B691" s="221"/>
      <c r="C691" s="221" t="s">
        <v>48</v>
      </c>
      <c r="D691" s="221" t="s">
        <v>4266</v>
      </c>
      <c r="E691" s="221" t="s">
        <v>3295</v>
      </c>
      <c r="F691" s="221" t="s">
        <v>3299</v>
      </c>
      <c r="G691" s="222">
        <v>45595</v>
      </c>
      <c r="H691" s="223">
        <v>15.291666666666666</v>
      </c>
      <c r="I691" s="221" t="s">
        <v>38</v>
      </c>
      <c r="J691" s="221" t="s">
        <v>3024</v>
      </c>
      <c r="K691" s="224" t="s">
        <v>3087</v>
      </c>
      <c r="L691" s="225" t="str">
        <f>VLOOKUP(Logfile_S12[[#This Row],[Material Name]],Sheet2!B:C,2,0)</f>
        <v>GCI1001</v>
      </c>
      <c r="M691" s="225" t="str">
        <f>_xlfn.XLOOKUP(Logfile_S12[[#This Row],[Material Name]],Sum_WH!E:E,Sum_WH!F:F,"",0)</f>
        <v>Pcs</v>
      </c>
      <c r="N691" s="221">
        <v>7</v>
      </c>
      <c r="O691" s="221">
        <v>0</v>
      </c>
      <c r="P691" s="221">
        <v>0</v>
      </c>
      <c r="Q691" s="221">
        <v>0</v>
      </c>
      <c r="R691" s="221">
        <v>0</v>
      </c>
      <c r="S691" s="221"/>
      <c r="T691" s="221"/>
      <c r="U691" s="221"/>
      <c r="V691" s="221"/>
      <c r="W691" s="221"/>
      <c r="X691" s="221"/>
      <c r="Y691" s="227"/>
      <c r="Z691" s="227">
        <f t="shared" si="31"/>
        <v>0</v>
      </c>
      <c r="AA691" s="276" t="e">
        <f>VLOOKUP(Logfile_S12[[#This Row],[DO number]],DO_DB!G:I,3,0)</f>
        <v>#N/A</v>
      </c>
      <c r="AB691" s="331" t="e">
        <f>EXACT(Logfile_S12[[#This Row],[date pick]],Logfile_S12[[#This Row],[Date]])</f>
        <v>#N/A</v>
      </c>
      <c r="AC6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92" spans="1:29" ht="14.5" hidden="1">
      <c r="A692" s="220" t="str">
        <f t="shared" si="30"/>
        <v>688</v>
      </c>
      <c r="B692" s="221"/>
      <c r="C692" s="221" t="s">
        <v>48</v>
      </c>
      <c r="D692" s="221" t="s">
        <v>4266</v>
      </c>
      <c r="E692" s="221" t="s">
        <v>3295</v>
      </c>
      <c r="F692" s="221" t="s">
        <v>3299</v>
      </c>
      <c r="G692" s="222">
        <v>45595</v>
      </c>
      <c r="H692" s="223">
        <v>15.291666666666666</v>
      </c>
      <c r="I692" s="221" t="s">
        <v>38</v>
      </c>
      <c r="J692" s="221" t="s">
        <v>3024</v>
      </c>
      <c r="K692" s="224" t="s">
        <v>3087</v>
      </c>
      <c r="L692" s="225" t="str">
        <f>VLOOKUP(Logfile_S12[[#This Row],[Material Name]],Sheet2!B:C,2,0)</f>
        <v>GCI1001</v>
      </c>
      <c r="M692" s="225" t="str">
        <f>_xlfn.XLOOKUP(Logfile_S12[[#This Row],[Material Name]],Sum_WH!E:E,Sum_WH!F:F,"",0)</f>
        <v>Pcs</v>
      </c>
      <c r="N692" s="221">
        <v>25</v>
      </c>
      <c r="O692" s="221">
        <v>0</v>
      </c>
      <c r="P692" s="221">
        <v>0</v>
      </c>
      <c r="Q692" s="221">
        <v>0</v>
      </c>
      <c r="R692" s="221">
        <v>0</v>
      </c>
      <c r="S692" s="221"/>
      <c r="T692" s="221"/>
      <c r="U692" s="221"/>
      <c r="V692" s="221"/>
      <c r="W692" s="221"/>
      <c r="X692" s="221"/>
      <c r="Y692" s="227"/>
      <c r="Z692" s="227">
        <f t="shared" si="31"/>
        <v>0</v>
      </c>
      <c r="AA692" s="276" t="e">
        <f>VLOOKUP(Logfile_S12[[#This Row],[DO number]],DO_DB!G:I,3,0)</f>
        <v>#N/A</v>
      </c>
      <c r="AB692" s="331" t="e">
        <f>EXACT(Logfile_S12[[#This Row],[date pick]],Logfile_S12[[#This Row],[Date]])</f>
        <v>#N/A</v>
      </c>
      <c r="AC6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93" spans="1:29" ht="14.5" hidden="1">
      <c r="A693" s="220" t="str">
        <f t="shared" si="30"/>
        <v>689</v>
      </c>
      <c r="B693" s="221"/>
      <c r="C693" s="221" t="s">
        <v>49</v>
      </c>
      <c r="D693" s="221" t="s">
        <v>4259</v>
      </c>
      <c r="E693" s="221" t="s">
        <v>3295</v>
      </c>
      <c r="F693" s="221" t="s">
        <v>3299</v>
      </c>
      <c r="G693" s="222">
        <v>45595</v>
      </c>
      <c r="H693" s="223">
        <v>0.97569444444444442</v>
      </c>
      <c r="I693" s="221" t="s">
        <v>4916</v>
      </c>
      <c r="J693" s="221" t="s">
        <v>3024</v>
      </c>
      <c r="K693" s="224" t="s">
        <v>3087</v>
      </c>
      <c r="L693" s="225" t="str">
        <f>VLOOKUP(Logfile_S12[[#This Row],[Material Name]],Sheet2!B:C,2,0)</f>
        <v>GCI1001</v>
      </c>
      <c r="M693" s="225" t="str">
        <f>_xlfn.XLOOKUP(Logfile_S12[[#This Row],[Material Name]],Sum_WH!E:E,Sum_WH!F:F,"",0)</f>
        <v>Pcs</v>
      </c>
      <c r="N693" s="221">
        <v>24</v>
      </c>
      <c r="O693" s="221" t="s">
        <v>2322</v>
      </c>
      <c r="P693" s="221" t="s">
        <v>3403</v>
      </c>
      <c r="Q693" s="221"/>
      <c r="R693" s="221"/>
      <c r="S693" s="221"/>
      <c r="T693" s="221" t="s">
        <v>3404</v>
      </c>
      <c r="U693" s="221">
        <v>0</v>
      </c>
      <c r="V693" s="221" t="s">
        <v>3405</v>
      </c>
      <c r="W693" s="221" t="s">
        <v>3406</v>
      </c>
      <c r="X693" s="221"/>
      <c r="Y693" s="227"/>
      <c r="Z693" s="227" t="str">
        <f t="shared" si="31"/>
        <v>Mainfeeder Singosari Segment 3</v>
      </c>
      <c r="AA693" s="276" t="e">
        <f>VLOOKUP(Logfile_S12[[#This Row],[DO number]],DO_DB!G:I,3,0)</f>
        <v>#N/A</v>
      </c>
      <c r="AB693" s="331" t="e">
        <f>EXACT(Logfile_S12[[#This Row],[date pick]],Logfile_S12[[#This Row],[Date]])</f>
        <v>#N/A</v>
      </c>
      <c r="AC6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94" spans="1:29" ht="14.5" hidden="1">
      <c r="A694" s="220" t="str">
        <f t="shared" si="30"/>
        <v>690</v>
      </c>
      <c r="B694" s="221"/>
      <c r="C694" s="221" t="s">
        <v>49</v>
      </c>
      <c r="D694" s="221" t="s">
        <v>4270</v>
      </c>
      <c r="E694" s="221" t="s">
        <v>3295</v>
      </c>
      <c r="F694" s="221" t="s">
        <v>3299</v>
      </c>
      <c r="G694" s="222">
        <v>45597</v>
      </c>
      <c r="H694" s="223">
        <v>0.97569444444444442</v>
      </c>
      <c r="I694" s="221" t="s">
        <v>4916</v>
      </c>
      <c r="J694" s="221" t="s">
        <v>3024</v>
      </c>
      <c r="K694" s="224" t="s">
        <v>3087</v>
      </c>
      <c r="L694" s="225" t="str">
        <f>VLOOKUP(Logfile_S12[[#This Row],[Material Name]],Sheet2!B:C,2,0)</f>
        <v>GCI1001</v>
      </c>
      <c r="M694" s="225" t="str">
        <f>_xlfn.XLOOKUP(Logfile_S12[[#This Row],[Material Name]],Sum_WH!E:E,Sum_WH!F:F,"",0)</f>
        <v>Pcs</v>
      </c>
      <c r="N694" s="221">
        <v>4</v>
      </c>
      <c r="O694" s="221" t="s">
        <v>2354</v>
      </c>
      <c r="P694" s="221" t="s">
        <v>3407</v>
      </c>
      <c r="Q694" s="221"/>
      <c r="R694" s="221"/>
      <c r="S694" s="221"/>
      <c r="T694" s="221" t="s">
        <v>3404</v>
      </c>
      <c r="U694" s="221">
        <v>0</v>
      </c>
      <c r="V694" s="221" t="s">
        <v>3405</v>
      </c>
      <c r="W694" s="221" t="s">
        <v>3406</v>
      </c>
      <c r="X694" s="221"/>
      <c r="Y694" s="227"/>
      <c r="Z694" s="227" t="str">
        <f t="shared" si="31"/>
        <v>HUBFEEDER KLAMPOK</v>
      </c>
      <c r="AA694" s="276" t="e">
        <f>VLOOKUP(Logfile_S12[[#This Row],[DO number]],DO_DB!G:I,3,0)</f>
        <v>#N/A</v>
      </c>
      <c r="AB694" s="331" t="e">
        <f>EXACT(Logfile_S12[[#This Row],[date pick]],Logfile_S12[[#This Row],[Date]])</f>
        <v>#N/A</v>
      </c>
      <c r="AC6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95" spans="1:29" ht="14.5" hidden="1">
      <c r="A695" s="220" t="str">
        <f t="shared" si="30"/>
        <v>691</v>
      </c>
      <c r="B695" s="221"/>
      <c r="C695" s="221" t="s">
        <v>49</v>
      </c>
      <c r="D695" s="221" t="s">
        <v>4271</v>
      </c>
      <c r="E695" s="221" t="s">
        <v>3295</v>
      </c>
      <c r="F695" s="221" t="s">
        <v>3299</v>
      </c>
      <c r="G695" s="222">
        <v>45602</v>
      </c>
      <c r="H695" s="223">
        <v>0.35069444444444442</v>
      </c>
      <c r="I695" s="221" t="s">
        <v>4916</v>
      </c>
      <c r="J695" s="221" t="s">
        <v>3024</v>
      </c>
      <c r="K695" s="224" t="s">
        <v>3087</v>
      </c>
      <c r="L695" s="225" t="str">
        <f>VLOOKUP(Logfile_S12[[#This Row],[Material Name]],Sheet2!B:C,2,0)</f>
        <v>GCI1001</v>
      </c>
      <c r="M695" s="225" t="str">
        <f>_xlfn.XLOOKUP(Logfile_S12[[#This Row],[Material Name]],Sum_WH!E:E,Sum_WH!F:F,"",0)</f>
        <v>Pcs</v>
      </c>
      <c r="N695" s="221">
        <v>5</v>
      </c>
      <c r="O695" s="221" t="s">
        <v>1395</v>
      </c>
      <c r="P695" s="221" t="s">
        <v>1396</v>
      </c>
      <c r="Q695" s="221"/>
      <c r="R695" s="221"/>
      <c r="S695" s="221"/>
      <c r="T695" s="221" t="s">
        <v>3258</v>
      </c>
      <c r="U695" s="221">
        <v>0</v>
      </c>
      <c r="V695" s="221" t="s">
        <v>3337</v>
      </c>
      <c r="W695" s="221" t="s">
        <v>3338</v>
      </c>
      <c r="X695" s="221"/>
      <c r="Y695" s="227"/>
      <c r="Z695" s="227" t="str">
        <f t="shared" si="31"/>
        <v>Candirenggo RW 10 Singosari</v>
      </c>
      <c r="AA695" s="276" t="e">
        <f>VLOOKUP(Logfile_S12[[#This Row],[DO number]],DO_DB!G:I,3,0)</f>
        <v>#N/A</v>
      </c>
      <c r="AB695" s="331" t="e">
        <f>EXACT(Logfile_S12[[#This Row],[date pick]],Logfile_S12[[#This Row],[Date]])</f>
        <v>#N/A</v>
      </c>
      <c r="AC6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96" spans="1:29" ht="14.5" hidden="1">
      <c r="A696" s="220" t="str">
        <f t="shared" si="30"/>
        <v>692</v>
      </c>
      <c r="B696" s="221"/>
      <c r="C696" s="221" t="s">
        <v>49</v>
      </c>
      <c r="D696" s="221" t="s">
        <v>4274</v>
      </c>
      <c r="E696" s="221" t="s">
        <v>3295</v>
      </c>
      <c r="F696" s="221" t="s">
        <v>3299</v>
      </c>
      <c r="G696" s="222">
        <v>45605</v>
      </c>
      <c r="H696" s="223">
        <v>0.35069444444444442</v>
      </c>
      <c r="I696" s="221" t="s">
        <v>4916</v>
      </c>
      <c r="J696" s="221" t="s">
        <v>3024</v>
      </c>
      <c r="K696" s="224" t="s">
        <v>3087</v>
      </c>
      <c r="L696" s="225" t="str">
        <f>VLOOKUP(Logfile_S12[[#This Row],[Material Name]],Sheet2!B:C,2,0)</f>
        <v>GCI1001</v>
      </c>
      <c r="M696" s="225" t="str">
        <f>_xlfn.XLOOKUP(Logfile_S12[[#This Row],[Material Name]],Sum_WH!E:E,Sum_WH!F:F,"",0)</f>
        <v>Pcs</v>
      </c>
      <c r="N696" s="221">
        <v>5</v>
      </c>
      <c r="O696" s="221" t="s">
        <v>1395</v>
      </c>
      <c r="P696" s="221" t="s">
        <v>1396</v>
      </c>
      <c r="Q696" s="221"/>
      <c r="R696" s="221"/>
      <c r="S696" s="221"/>
      <c r="T696" s="221" t="s">
        <v>3258</v>
      </c>
      <c r="U696" s="221">
        <v>0</v>
      </c>
      <c r="V696" s="221" t="s">
        <v>3337</v>
      </c>
      <c r="W696" s="221" t="s">
        <v>3338</v>
      </c>
      <c r="X696" s="221"/>
      <c r="Y696" s="227"/>
      <c r="Z696" s="227" t="str">
        <f t="shared" si="31"/>
        <v>Candirenggo RW 10 Singosari</v>
      </c>
      <c r="AA696" s="276" t="e">
        <f>VLOOKUP(Logfile_S12[[#This Row],[DO number]],DO_DB!G:I,3,0)</f>
        <v>#N/A</v>
      </c>
      <c r="AB696" s="331" t="e">
        <f>EXACT(Logfile_S12[[#This Row],[date pick]],Logfile_S12[[#This Row],[Date]])</f>
        <v>#N/A</v>
      </c>
      <c r="AC6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97" spans="1:29" ht="14.5" hidden="1">
      <c r="A697" s="220" t="str">
        <f t="shared" si="30"/>
        <v>693</v>
      </c>
      <c r="B697" s="221"/>
      <c r="C697" s="221" t="s">
        <v>48</v>
      </c>
      <c r="D697" s="221" t="s">
        <v>4295</v>
      </c>
      <c r="E697" s="221" t="s">
        <v>3295</v>
      </c>
      <c r="F697" s="221" t="s">
        <v>3299</v>
      </c>
      <c r="G697" s="222">
        <v>45626</v>
      </c>
      <c r="H697" s="223">
        <v>15.291666666666666</v>
      </c>
      <c r="I697" s="221" t="s">
        <v>38</v>
      </c>
      <c r="J697" s="221" t="s">
        <v>3024</v>
      </c>
      <c r="K697" s="224" t="s">
        <v>3087</v>
      </c>
      <c r="L697" s="225" t="str">
        <f>VLOOKUP(Logfile_S12[[#This Row],[Material Name]],Sheet2!B:C,2,0)</f>
        <v>GCI1001</v>
      </c>
      <c r="M697" s="225" t="str">
        <f>_xlfn.XLOOKUP(Logfile_S12[[#This Row],[Material Name]],Sum_WH!E:E,Sum_WH!F:F,"",0)</f>
        <v>Pcs</v>
      </c>
      <c r="N697" s="221">
        <v>52</v>
      </c>
      <c r="O697" s="221">
        <v>0</v>
      </c>
      <c r="P697" s="221">
        <v>0</v>
      </c>
      <c r="Q697" s="221">
        <v>0</v>
      </c>
      <c r="R697" s="221">
        <v>0</v>
      </c>
      <c r="S697" s="221"/>
      <c r="T697" s="221"/>
      <c r="U697" s="221"/>
      <c r="V697" s="221"/>
      <c r="W697" s="221"/>
      <c r="X697" s="221"/>
      <c r="Y697" s="227"/>
      <c r="Z697" s="227">
        <f t="shared" si="31"/>
        <v>0</v>
      </c>
      <c r="AA697" s="276" t="e">
        <f>VLOOKUP(Logfile_S12[[#This Row],[DO number]],DO_DB!G:I,3,0)</f>
        <v>#N/A</v>
      </c>
      <c r="AB697" s="331" t="e">
        <f>EXACT(Logfile_S12[[#This Row],[date pick]],Logfile_S12[[#This Row],[Date]])</f>
        <v>#N/A</v>
      </c>
      <c r="AC6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98" spans="1:29" ht="14.5" hidden="1">
      <c r="A698" s="220" t="str">
        <f t="shared" si="30"/>
        <v>694</v>
      </c>
      <c r="B698" s="221"/>
      <c r="C698" s="221" t="s">
        <v>49</v>
      </c>
      <c r="D698" s="221" t="s">
        <v>4297</v>
      </c>
      <c r="E698" s="221" t="s">
        <v>3295</v>
      </c>
      <c r="F698" s="221" t="s">
        <v>3299</v>
      </c>
      <c r="G698" s="222">
        <v>45627</v>
      </c>
      <c r="H698" s="223">
        <v>0.39583333333333331</v>
      </c>
      <c r="I698" s="221" t="s">
        <v>4916</v>
      </c>
      <c r="J698" s="221" t="s">
        <v>3024</v>
      </c>
      <c r="K698" s="224" t="s">
        <v>3087</v>
      </c>
      <c r="L698" s="225" t="str">
        <f>VLOOKUP(Logfile_S12[[#This Row],[Material Name]],Sheet2!B:C,2,0)</f>
        <v>GCI1001</v>
      </c>
      <c r="M698" s="225" t="str">
        <f>_xlfn.XLOOKUP(Logfile_S12[[#This Row],[Material Name]],Sum_WH!E:E,Sum_WH!F:F,"",0)</f>
        <v>Pcs</v>
      </c>
      <c r="N698" s="221">
        <v>52</v>
      </c>
      <c r="O698" s="221" t="s">
        <v>2502</v>
      </c>
      <c r="P698" s="221" t="s">
        <v>2503</v>
      </c>
      <c r="Q698" s="221"/>
      <c r="R698" s="221"/>
      <c r="S698" s="221"/>
      <c r="T698" s="221" t="s">
        <v>3258</v>
      </c>
      <c r="U698" s="221">
        <v>0</v>
      </c>
      <c r="V698" s="221" t="s">
        <v>3337</v>
      </c>
      <c r="W698" s="221" t="s">
        <v>3338</v>
      </c>
      <c r="X698" s="221"/>
      <c r="Y698" s="227"/>
      <c r="Z698" s="227" t="str">
        <f t="shared" si="31"/>
        <v>Bedali RW 03 Kromengan</v>
      </c>
      <c r="AA698" s="276" t="e">
        <f>VLOOKUP(Logfile_S12[[#This Row],[DO number]],DO_DB!G:I,3,0)</f>
        <v>#N/A</v>
      </c>
      <c r="AB698" s="331" t="e">
        <f>EXACT(Logfile_S12[[#This Row],[date pick]],Logfile_S12[[#This Row],[Date]])</f>
        <v>#N/A</v>
      </c>
      <c r="AC6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699" spans="1:29" ht="14.5" hidden="1">
      <c r="A699" s="220" t="str">
        <f t="shared" si="30"/>
        <v>695</v>
      </c>
      <c r="B699" s="221"/>
      <c r="C699" s="221" t="s">
        <v>3313</v>
      </c>
      <c r="D699" s="221" t="s">
        <v>4298</v>
      </c>
      <c r="E699" s="221" t="s">
        <v>3295</v>
      </c>
      <c r="F699" s="221" t="s">
        <v>3299</v>
      </c>
      <c r="G699" s="222">
        <v>45634</v>
      </c>
      <c r="H699" s="223">
        <v>15.291666666666666</v>
      </c>
      <c r="I699" s="221" t="s">
        <v>4921</v>
      </c>
      <c r="J699" s="221" t="s">
        <v>3024</v>
      </c>
      <c r="K699" s="224" t="s">
        <v>3087</v>
      </c>
      <c r="L699" s="225" t="str">
        <f>VLOOKUP(Logfile_S12[[#This Row],[Material Name]],Sheet2!B:C,2,0)</f>
        <v>GCI1001</v>
      </c>
      <c r="M699" s="225" t="str">
        <f>_xlfn.XLOOKUP(Logfile_S12[[#This Row],[Material Name]],Sum_WH!E:E,Sum_WH!F:F,"",0)</f>
        <v>Pcs</v>
      </c>
      <c r="N699" s="221">
        <v>25</v>
      </c>
      <c r="O699" s="221" t="s">
        <v>3314</v>
      </c>
      <c r="P699" s="221" t="s">
        <v>3408</v>
      </c>
      <c r="Q699" s="221">
        <v>0</v>
      </c>
      <c r="R699" s="221">
        <v>0</v>
      </c>
      <c r="S699" s="221"/>
      <c r="T699" s="221"/>
      <c r="U699" s="221"/>
      <c r="V699" s="221"/>
      <c r="W699" s="221"/>
      <c r="X699" s="221"/>
      <c r="Y699" s="227"/>
      <c r="Z699" s="227" t="str">
        <f t="shared" si="31"/>
        <v>MADIUN</v>
      </c>
      <c r="AA699" s="276" t="e">
        <f>VLOOKUP(Logfile_S12[[#This Row],[DO number]],DO_DB!G:I,3,0)</f>
        <v>#N/A</v>
      </c>
      <c r="AB699" s="331" t="e">
        <f>EXACT(Logfile_S12[[#This Row],[date pick]],Logfile_S12[[#This Row],[Date]])</f>
        <v>#N/A</v>
      </c>
      <c r="AC6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00" spans="1:29" ht="14.5" hidden="1">
      <c r="A700" s="220" t="str">
        <f t="shared" si="30"/>
        <v>696</v>
      </c>
      <c r="B700" s="221"/>
      <c r="C700" s="221" t="s">
        <v>3313</v>
      </c>
      <c r="D700" s="221" t="s">
        <v>4298</v>
      </c>
      <c r="E700" s="221" t="s">
        <v>3295</v>
      </c>
      <c r="F700" s="221" t="s">
        <v>3299</v>
      </c>
      <c r="G700" s="222">
        <v>45634</v>
      </c>
      <c r="H700" s="223">
        <v>15.291666666666666</v>
      </c>
      <c r="I700" s="221" t="s">
        <v>4920</v>
      </c>
      <c r="J700" s="221" t="s">
        <v>3024</v>
      </c>
      <c r="K700" s="224" t="s">
        <v>3087</v>
      </c>
      <c r="L700" s="225" t="str">
        <f>VLOOKUP(Logfile_S12[[#This Row],[Material Name]],Sheet2!B:C,2,0)</f>
        <v>GCI1001</v>
      </c>
      <c r="M700" s="225" t="str">
        <f>_xlfn.XLOOKUP(Logfile_S12[[#This Row],[Material Name]],Sum_WH!E:E,Sum_WH!F:F,"",0)</f>
        <v>Pcs</v>
      </c>
      <c r="N700" s="221">
        <v>50</v>
      </c>
      <c r="O700" s="221" t="s">
        <v>3314</v>
      </c>
      <c r="P700" s="221" t="s">
        <v>3315</v>
      </c>
      <c r="Q700" s="221">
        <v>0</v>
      </c>
      <c r="R700" s="221">
        <v>0</v>
      </c>
      <c r="S700" s="221"/>
      <c r="T700" s="221"/>
      <c r="U700" s="221"/>
      <c r="V700" s="221"/>
      <c r="W700" s="221"/>
      <c r="X700" s="221"/>
      <c r="Y700" s="227"/>
      <c r="Z700" s="227" t="str">
        <f t="shared" si="31"/>
        <v>KEDIRI</v>
      </c>
      <c r="AA700" s="276" t="e">
        <f>VLOOKUP(Logfile_S12[[#This Row],[DO number]],DO_DB!G:I,3,0)</f>
        <v>#N/A</v>
      </c>
      <c r="AB700" s="331" t="e">
        <f>EXACT(Logfile_S12[[#This Row],[date pick]],Logfile_S12[[#This Row],[Date]])</f>
        <v>#N/A</v>
      </c>
      <c r="AC7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01" spans="1:29" ht="14.5" hidden="1">
      <c r="A701" s="220" t="str">
        <f t="shared" si="30"/>
        <v>697</v>
      </c>
      <c r="B701" s="221"/>
      <c r="C701" s="221" t="s">
        <v>49</v>
      </c>
      <c r="D701" s="221" t="s">
        <v>4300</v>
      </c>
      <c r="E701" s="221" t="s">
        <v>3295</v>
      </c>
      <c r="F701" s="221" t="s">
        <v>3299</v>
      </c>
      <c r="G701" s="222">
        <v>45637</v>
      </c>
      <c r="H701" s="223">
        <v>0.57847222222222228</v>
      </c>
      <c r="I701" s="221" t="s">
        <v>4916</v>
      </c>
      <c r="J701" s="221" t="s">
        <v>3024</v>
      </c>
      <c r="K701" s="224" t="s">
        <v>3087</v>
      </c>
      <c r="L701" s="225" t="str">
        <f>VLOOKUP(Logfile_S12[[#This Row],[Material Name]],Sheet2!B:C,2,0)</f>
        <v>GCI1001</v>
      </c>
      <c r="M701" s="225" t="str">
        <f>_xlfn.XLOOKUP(Logfile_S12[[#This Row],[Material Name]],Sum_WH!E:E,Sum_WH!F:F,"",0)</f>
        <v>Pcs</v>
      </c>
      <c r="N701" s="221">
        <v>24</v>
      </c>
      <c r="O701" s="221" t="s">
        <v>2350</v>
      </c>
      <c r="P701" s="221" t="s">
        <v>3409</v>
      </c>
      <c r="Q701" s="221"/>
      <c r="R701" s="221"/>
      <c r="S701" s="221"/>
      <c r="T701" s="221" t="s">
        <v>3258</v>
      </c>
      <c r="U701" s="221">
        <v>0</v>
      </c>
      <c r="V701" s="221" t="s">
        <v>3337</v>
      </c>
      <c r="W701" s="221" t="s">
        <v>3338</v>
      </c>
      <c r="X701" s="221"/>
      <c r="Y701" s="227"/>
      <c r="Z701" s="227" t="str">
        <f t="shared" si="31"/>
        <v>Kalirejo RW 13 Lawang Malang</v>
      </c>
      <c r="AA701" s="276" t="e">
        <f>VLOOKUP(Logfile_S12[[#This Row],[DO number]],DO_DB!G:I,3,0)</f>
        <v>#N/A</v>
      </c>
      <c r="AB701" s="331" t="e">
        <f>EXACT(Logfile_S12[[#This Row],[date pick]],Logfile_S12[[#This Row],[Date]])</f>
        <v>#N/A</v>
      </c>
      <c r="AC7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02" spans="1:29" ht="14.5" hidden="1">
      <c r="A702" s="220" t="str">
        <f t="shared" si="30"/>
        <v>698</v>
      </c>
      <c r="B702" s="221"/>
      <c r="C702" s="221" t="s">
        <v>49</v>
      </c>
      <c r="D702" s="221" t="s">
        <v>4301</v>
      </c>
      <c r="E702" s="221" t="s">
        <v>3295</v>
      </c>
      <c r="F702" s="221" t="s">
        <v>3299</v>
      </c>
      <c r="G702" s="222">
        <v>45640</v>
      </c>
      <c r="H702" s="223">
        <v>0.48541666666666666</v>
      </c>
      <c r="I702" s="221" t="s">
        <v>4916</v>
      </c>
      <c r="J702" s="221" t="s">
        <v>3024</v>
      </c>
      <c r="K702" s="224" t="s">
        <v>3087</v>
      </c>
      <c r="L702" s="225" t="str">
        <f>VLOOKUP(Logfile_S12[[#This Row],[Material Name]],Sheet2!B:C,2,0)</f>
        <v>GCI1001</v>
      </c>
      <c r="M702" s="225" t="str">
        <f>_xlfn.XLOOKUP(Logfile_S12[[#This Row],[Material Name]],Sum_WH!E:E,Sum_WH!F:F,"",0)</f>
        <v>Pcs</v>
      </c>
      <c r="N702" s="221">
        <v>46</v>
      </c>
      <c r="O702" s="221" t="s">
        <v>2549</v>
      </c>
      <c r="P702" s="221" t="s">
        <v>2550</v>
      </c>
      <c r="Q702" s="221"/>
      <c r="R702" s="221"/>
      <c r="S702" s="221"/>
      <c r="T702" s="221" t="s">
        <v>3258</v>
      </c>
      <c r="U702" s="221">
        <v>0</v>
      </c>
      <c r="V702" s="221" t="s">
        <v>3337</v>
      </c>
      <c r="W702" s="221" t="s">
        <v>3338</v>
      </c>
      <c r="X702" s="221"/>
      <c r="Y702" s="227"/>
      <c r="Z702" s="227" t="str">
        <f t="shared" si="31"/>
        <v>PERMANU RW 01 MALANG</v>
      </c>
      <c r="AA702" s="276" t="e">
        <f>VLOOKUP(Logfile_S12[[#This Row],[DO number]],DO_DB!G:I,3,0)</f>
        <v>#N/A</v>
      </c>
      <c r="AB702" s="331" t="e">
        <f>EXACT(Logfile_S12[[#This Row],[date pick]],Logfile_S12[[#This Row],[Date]])</f>
        <v>#N/A</v>
      </c>
      <c r="AC7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03" spans="1:29" ht="14.5" hidden="1">
      <c r="A703" s="220" t="str">
        <f t="shared" si="30"/>
        <v>699</v>
      </c>
      <c r="B703" s="221"/>
      <c r="C703" s="221" t="s">
        <v>49</v>
      </c>
      <c r="D703" s="221" t="s">
        <v>4302</v>
      </c>
      <c r="E703" s="221" t="s">
        <v>3295</v>
      </c>
      <c r="F703" s="221" t="s">
        <v>3299</v>
      </c>
      <c r="G703" s="222">
        <v>45641</v>
      </c>
      <c r="H703" s="223">
        <v>0.64513888888888893</v>
      </c>
      <c r="I703" s="221" t="s">
        <v>4916</v>
      </c>
      <c r="J703" s="221" t="s">
        <v>3024</v>
      </c>
      <c r="K703" s="224" t="s">
        <v>3087</v>
      </c>
      <c r="L703" s="225" t="str">
        <f>VLOOKUP(Logfile_S12[[#This Row],[Material Name]],Sheet2!B:C,2,0)</f>
        <v>GCI1001</v>
      </c>
      <c r="M703" s="225" t="str">
        <f>_xlfn.XLOOKUP(Logfile_S12[[#This Row],[Material Name]],Sum_WH!E:E,Sum_WH!F:F,"",0)</f>
        <v>Pcs</v>
      </c>
      <c r="N703" s="221">
        <v>3</v>
      </c>
      <c r="O703" s="221" t="s">
        <v>2013</v>
      </c>
      <c r="P703" s="221" t="s">
        <v>2014</v>
      </c>
      <c r="Q703" s="221"/>
      <c r="R703" s="221"/>
      <c r="S703" s="221"/>
      <c r="T703" s="221" t="s">
        <v>3231</v>
      </c>
      <c r="U703" s="221">
        <v>0</v>
      </c>
      <c r="V703" s="221" t="s">
        <v>3375</v>
      </c>
      <c r="W703" s="221" t="s">
        <v>3249</v>
      </c>
      <c r="X703" s="221"/>
      <c r="Y703" s="227"/>
      <c r="Z703" s="227" t="str">
        <f t="shared" si="31"/>
        <v>Perumahan Panca Garden</v>
      </c>
      <c r="AA703" s="276" t="e">
        <f>VLOOKUP(Logfile_S12[[#This Row],[DO number]],DO_DB!G:I,3,0)</f>
        <v>#N/A</v>
      </c>
      <c r="AB703" s="331" t="e">
        <f>EXACT(Logfile_S12[[#This Row],[date pick]],Logfile_S12[[#This Row],[Date]])</f>
        <v>#N/A</v>
      </c>
      <c r="AC7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04" spans="1:29" ht="14.5" hidden="1">
      <c r="A704" s="220" t="str">
        <f t="shared" si="30"/>
        <v>700</v>
      </c>
      <c r="B704" s="221"/>
      <c r="C704" s="221" t="s">
        <v>49</v>
      </c>
      <c r="D704" s="221" t="s">
        <v>4303</v>
      </c>
      <c r="E704" s="221" t="s">
        <v>3295</v>
      </c>
      <c r="F704" s="221" t="s">
        <v>3299</v>
      </c>
      <c r="G704" s="222">
        <v>45642</v>
      </c>
      <c r="H704" s="223">
        <v>0.60902777777777772</v>
      </c>
      <c r="I704" s="221" t="s">
        <v>4916</v>
      </c>
      <c r="J704" s="221" t="s">
        <v>3024</v>
      </c>
      <c r="K704" s="224" t="s">
        <v>3087</v>
      </c>
      <c r="L704" s="225" t="str">
        <f>VLOOKUP(Logfile_S12[[#This Row],[Material Name]],Sheet2!B:C,2,0)</f>
        <v>GCI1001</v>
      </c>
      <c r="M704" s="225" t="str">
        <f>_xlfn.XLOOKUP(Logfile_S12[[#This Row],[Material Name]],Sum_WH!E:E,Sum_WH!F:F,"",0)</f>
        <v>Pcs</v>
      </c>
      <c r="N704" s="221">
        <v>1</v>
      </c>
      <c r="O704" s="221" t="s">
        <v>2013</v>
      </c>
      <c r="P704" s="221" t="s">
        <v>2014</v>
      </c>
      <c r="Q704" s="221"/>
      <c r="R704" s="221"/>
      <c r="S704" s="221"/>
      <c r="T704" s="221" t="s">
        <v>3231</v>
      </c>
      <c r="U704" s="221">
        <v>0</v>
      </c>
      <c r="V704" s="221" t="s">
        <v>3375</v>
      </c>
      <c r="W704" s="221" t="s">
        <v>3249</v>
      </c>
      <c r="X704" s="221"/>
      <c r="Y704" s="227"/>
      <c r="Z704" s="227" t="str">
        <f t="shared" si="31"/>
        <v>Perumahan Panca Garden</v>
      </c>
      <c r="AA704" s="276" t="e">
        <f>VLOOKUP(Logfile_S12[[#This Row],[DO number]],DO_DB!G:I,3,0)</f>
        <v>#N/A</v>
      </c>
      <c r="AB704" s="331" t="e">
        <f>EXACT(Logfile_S12[[#This Row],[date pick]],Logfile_S12[[#This Row],[Date]])</f>
        <v>#N/A</v>
      </c>
      <c r="AC7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05" spans="1:29" ht="14.5" hidden="1">
      <c r="A705" s="220" t="str">
        <f t="shared" si="30"/>
        <v>701</v>
      </c>
      <c r="B705" s="221"/>
      <c r="C705" s="221" t="s">
        <v>48</v>
      </c>
      <c r="D705" s="221" t="s">
        <v>4318</v>
      </c>
      <c r="E705" s="221" t="s">
        <v>3295</v>
      </c>
      <c r="F705" s="221" t="s">
        <v>3299</v>
      </c>
      <c r="G705" s="222">
        <v>45656</v>
      </c>
      <c r="H705" s="223">
        <v>15.291666666666666</v>
      </c>
      <c r="I705" s="221" t="s">
        <v>38</v>
      </c>
      <c r="J705" s="221" t="s">
        <v>3024</v>
      </c>
      <c r="K705" s="224" t="s">
        <v>3087</v>
      </c>
      <c r="L705" s="225" t="str">
        <f>VLOOKUP(Logfile_S12[[#This Row],[Material Name]],Sheet2!B:C,2,0)</f>
        <v>GCI1001</v>
      </c>
      <c r="M705" s="225" t="str">
        <f>_xlfn.XLOOKUP(Logfile_S12[[#This Row],[Material Name]],Sum_WH!E:E,Sum_WH!F:F,"",0)</f>
        <v>Pcs</v>
      </c>
      <c r="N705" s="221">
        <v>123</v>
      </c>
      <c r="O705" s="221">
        <v>0</v>
      </c>
      <c r="P705" s="221">
        <v>0</v>
      </c>
      <c r="Q705" s="221">
        <v>0</v>
      </c>
      <c r="R705" s="221">
        <v>0</v>
      </c>
      <c r="S705" s="221"/>
      <c r="T705" s="221"/>
      <c r="U705" s="221"/>
      <c r="V705" s="221"/>
      <c r="W705" s="221"/>
      <c r="X705" s="221"/>
      <c r="Y705" s="227"/>
      <c r="Z705" s="227">
        <f t="shared" si="31"/>
        <v>0</v>
      </c>
      <c r="AA705" s="276" t="e">
        <f>VLOOKUP(Logfile_S12[[#This Row],[DO number]],DO_DB!G:I,3,0)</f>
        <v>#N/A</v>
      </c>
      <c r="AB705" s="331" t="e">
        <f>EXACT(Logfile_S12[[#This Row],[date pick]],Logfile_S12[[#This Row],[Date]])</f>
        <v>#N/A</v>
      </c>
      <c r="AC7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06" spans="1:29" ht="14.5" hidden="1">
      <c r="A706" s="220" t="str">
        <f t="shared" si="30"/>
        <v>702</v>
      </c>
      <c r="B706" s="221"/>
      <c r="C706" s="221" t="s">
        <v>49</v>
      </c>
      <c r="D706" s="221" t="s">
        <v>4316</v>
      </c>
      <c r="E706" s="221" t="s">
        <v>3295</v>
      </c>
      <c r="F706" s="221" t="s">
        <v>3299</v>
      </c>
      <c r="G706" s="222">
        <v>45656</v>
      </c>
      <c r="H706" s="223">
        <v>0.40625</v>
      </c>
      <c r="I706" s="221" t="s">
        <v>4916</v>
      </c>
      <c r="J706" s="221" t="s">
        <v>3024</v>
      </c>
      <c r="K706" s="224" t="s">
        <v>3239</v>
      </c>
      <c r="L706" s="225" t="str">
        <f>VLOOKUP(Logfile_S12[[#This Row],[Material Name]],Sheet2!B:C,2,0)</f>
        <v>GCI1001</v>
      </c>
      <c r="M706" s="225" t="str">
        <f>_xlfn.XLOOKUP(Logfile_S12[[#This Row],[Material Name]],Sum_WH!E:E,Sum_WH!F:F,"",0)</f>
        <v>Pcs</v>
      </c>
      <c r="N706" s="221">
        <v>20</v>
      </c>
      <c r="O706" s="221" t="s">
        <v>3377</v>
      </c>
      <c r="P706" s="221" t="s">
        <v>3378</v>
      </c>
      <c r="Q706" s="221"/>
      <c r="R706" s="221"/>
      <c r="S706" s="221"/>
      <c r="T706" s="221" t="s">
        <v>3258</v>
      </c>
      <c r="U706" s="221">
        <v>0</v>
      </c>
      <c r="V706" s="221" t="s">
        <v>3337</v>
      </c>
      <c r="W706" s="221" t="s">
        <v>3338</v>
      </c>
      <c r="X706" s="221"/>
      <c r="Y706" s="227"/>
      <c r="Z706" s="227" t="str">
        <f t="shared" si="31"/>
        <v>Perum Chandra Kirana Watugede</v>
      </c>
      <c r="AA706" s="276" t="e">
        <f>VLOOKUP(Logfile_S12[[#This Row],[DO number]],DO_DB!G:I,3,0)</f>
        <v>#N/A</v>
      </c>
      <c r="AB706" s="331" t="e">
        <f>EXACT(Logfile_S12[[#This Row],[date pick]],Logfile_S12[[#This Row],[Date]])</f>
        <v>#N/A</v>
      </c>
      <c r="AC7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07" spans="1:29" ht="14.5" hidden="1">
      <c r="A707" s="220" t="str">
        <f t="shared" si="30"/>
        <v>703</v>
      </c>
      <c r="B707" s="221"/>
      <c r="C707" s="221" t="s">
        <v>49</v>
      </c>
      <c r="D707" s="221" t="s">
        <v>4319</v>
      </c>
      <c r="E707" s="221" t="s">
        <v>3295</v>
      </c>
      <c r="F707" s="221" t="s">
        <v>3299</v>
      </c>
      <c r="G707" s="222">
        <v>45665</v>
      </c>
      <c r="H707" s="223">
        <v>0.69374999999999998</v>
      </c>
      <c r="I707" s="221" t="s">
        <v>4916</v>
      </c>
      <c r="J707" s="221" t="s">
        <v>3024</v>
      </c>
      <c r="K707" s="224" t="s">
        <v>3239</v>
      </c>
      <c r="L707" s="225" t="str">
        <f>VLOOKUP(Logfile_S12[[#This Row],[Material Name]],Sheet2!B:C,2,0)</f>
        <v>GCI1001</v>
      </c>
      <c r="M707" s="225" t="str">
        <f>_xlfn.XLOOKUP(Logfile_S12[[#This Row],[Material Name]],Sum_WH!E:E,Sum_WH!F:F,"",0)</f>
        <v>Pcs</v>
      </c>
      <c r="N707" s="221">
        <v>20</v>
      </c>
      <c r="O707" s="221" t="s">
        <v>2360</v>
      </c>
      <c r="P707" s="221" t="s">
        <v>2361</v>
      </c>
      <c r="Q707" s="221"/>
      <c r="R707" s="221"/>
      <c r="S707" s="221"/>
      <c r="T707" s="221" t="s">
        <v>3258</v>
      </c>
      <c r="U707" s="221">
        <v>0</v>
      </c>
      <c r="V707" s="221" t="s">
        <v>3337</v>
      </c>
      <c r="W707" s="221" t="s">
        <v>3338</v>
      </c>
      <c r="X707" s="221"/>
      <c r="Y707" s="227"/>
      <c r="Z707" s="227" t="str">
        <f t="shared" si="31"/>
        <v>Tambakasri RW 02 Tajinan</v>
      </c>
      <c r="AA707" s="276" t="e">
        <f>VLOOKUP(Logfile_S12[[#This Row],[DO number]],DO_DB!G:I,3,0)</f>
        <v>#N/A</v>
      </c>
      <c r="AB707" s="331" t="e">
        <f>EXACT(Logfile_S12[[#This Row],[date pick]],Logfile_S12[[#This Row],[Date]])</f>
        <v>#N/A</v>
      </c>
      <c r="AC7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08" spans="1:29" ht="14.5" hidden="1">
      <c r="A708" s="220" t="str">
        <f t="shared" si="30"/>
        <v>704</v>
      </c>
      <c r="B708" s="221"/>
      <c r="C708" s="221" t="s">
        <v>49</v>
      </c>
      <c r="D708" s="221" t="s">
        <v>4321</v>
      </c>
      <c r="E708" s="221" t="s">
        <v>3295</v>
      </c>
      <c r="F708" s="221" t="s">
        <v>3299</v>
      </c>
      <c r="G708" s="222">
        <v>45670</v>
      </c>
      <c r="H708" s="223">
        <v>0.54166666666666663</v>
      </c>
      <c r="I708" s="221" t="s">
        <v>4916</v>
      </c>
      <c r="J708" s="221" t="s">
        <v>3024</v>
      </c>
      <c r="K708" s="224" t="s">
        <v>3239</v>
      </c>
      <c r="L708" s="225" t="str">
        <f>VLOOKUP(Logfile_S12[[#This Row],[Material Name]],Sheet2!B:C,2,0)</f>
        <v>GCI1001</v>
      </c>
      <c r="M708" s="225" t="str">
        <f>_xlfn.XLOOKUP(Logfile_S12[[#This Row],[Material Name]],Sum_WH!E:E,Sum_WH!F:F,"",0)</f>
        <v>Pcs</v>
      </c>
      <c r="N708" s="221">
        <v>3</v>
      </c>
      <c r="O708" s="221" t="s">
        <v>2360</v>
      </c>
      <c r="P708" s="221" t="s">
        <v>2361</v>
      </c>
      <c r="Q708" s="221"/>
      <c r="R708" s="221"/>
      <c r="S708" s="221"/>
      <c r="T708" s="221" t="s">
        <v>3258</v>
      </c>
      <c r="U708" s="221">
        <v>0</v>
      </c>
      <c r="V708" s="221" t="s">
        <v>3337</v>
      </c>
      <c r="W708" s="221" t="s">
        <v>3338</v>
      </c>
      <c r="X708" s="221"/>
      <c r="Y708" s="227"/>
      <c r="Z708" s="227" t="str">
        <f t="shared" si="31"/>
        <v>Tambakasri RW 02 Tajinan</v>
      </c>
      <c r="AA708" s="276" t="e">
        <f>VLOOKUP(Logfile_S12[[#This Row],[DO number]],DO_DB!G:I,3,0)</f>
        <v>#N/A</v>
      </c>
      <c r="AB708" s="331" t="e">
        <f>EXACT(Logfile_S12[[#This Row],[date pick]],Logfile_S12[[#This Row],[Date]])</f>
        <v>#N/A</v>
      </c>
      <c r="AC7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09" spans="1:29" ht="14.5" hidden="1">
      <c r="A709" s="220" t="str">
        <f t="shared" ref="A709:A772" si="32">TEXT(ROW(A709)-ROW($A$4),"000")</f>
        <v>705</v>
      </c>
      <c r="B709" s="221"/>
      <c r="C709" s="221" t="s">
        <v>49</v>
      </c>
      <c r="D709" s="221" t="s">
        <v>4325</v>
      </c>
      <c r="E709" s="221" t="s">
        <v>3295</v>
      </c>
      <c r="F709" s="221" t="s">
        <v>3299</v>
      </c>
      <c r="G709" s="222">
        <v>45678</v>
      </c>
      <c r="H709" s="223">
        <v>0.56944444444444442</v>
      </c>
      <c r="I709" s="221" t="s">
        <v>4916</v>
      </c>
      <c r="J709" s="221" t="s">
        <v>3024</v>
      </c>
      <c r="K709" s="224" t="s">
        <v>3087</v>
      </c>
      <c r="L709" s="225" t="str">
        <f>VLOOKUP(Logfile_S12[[#This Row],[Material Name]],Sheet2!B:C,2,0)</f>
        <v>GCI1001</v>
      </c>
      <c r="M709" s="225" t="str">
        <f>_xlfn.XLOOKUP(Logfile_S12[[#This Row],[Material Name]],Sum_WH!E:E,Sum_WH!F:F,"",0)</f>
        <v>Pcs</v>
      </c>
      <c r="N709" s="221">
        <v>8</v>
      </c>
      <c r="O709" s="221" t="s">
        <v>3379</v>
      </c>
      <c r="P709" s="221" t="s">
        <v>3380</v>
      </c>
      <c r="Q709" s="221"/>
      <c r="R709" s="221"/>
      <c r="S709" s="221"/>
      <c r="T709" s="221" t="s">
        <v>3258</v>
      </c>
      <c r="U709" s="221">
        <v>0</v>
      </c>
      <c r="V709" s="221" t="s">
        <v>3337</v>
      </c>
      <c r="W709" s="221" t="s">
        <v>3338</v>
      </c>
      <c r="X709" s="221"/>
      <c r="Y709" s="227"/>
      <c r="Z709" s="227" t="str">
        <f t="shared" si="31"/>
        <v>Citra Kayane Residence</v>
      </c>
      <c r="AA709" s="276" t="e">
        <f>VLOOKUP(Logfile_S12[[#This Row],[DO number]],DO_DB!G:I,3,0)</f>
        <v>#N/A</v>
      </c>
      <c r="AB709" s="331" t="e">
        <f>EXACT(Logfile_S12[[#This Row],[date pick]],Logfile_S12[[#This Row],[Date]])</f>
        <v>#N/A</v>
      </c>
      <c r="AC7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10" spans="1:29" ht="14.5" hidden="1">
      <c r="A710" s="220" t="str">
        <f t="shared" si="32"/>
        <v>706</v>
      </c>
      <c r="B710" s="221"/>
      <c r="C710" s="221" t="s">
        <v>49</v>
      </c>
      <c r="D710" s="221" t="s">
        <v>4329</v>
      </c>
      <c r="E710" s="221" t="s">
        <v>3295</v>
      </c>
      <c r="F710" s="221" t="s">
        <v>3299</v>
      </c>
      <c r="G710" s="222">
        <v>45694</v>
      </c>
      <c r="H710" s="223">
        <v>0.39930555555555558</v>
      </c>
      <c r="I710" s="221" t="s">
        <v>4916</v>
      </c>
      <c r="J710" s="221" t="s">
        <v>3024</v>
      </c>
      <c r="K710" s="224" t="s">
        <v>3087</v>
      </c>
      <c r="L710" s="225" t="str">
        <f>VLOOKUP(Logfile_S12[[#This Row],[Material Name]],Sheet2!B:C,2,0)</f>
        <v>GCI1001</v>
      </c>
      <c r="M710" s="225" t="str">
        <f>_xlfn.XLOOKUP(Logfile_S12[[#This Row],[Material Name]],Sum_WH!E:E,Sum_WH!F:F,"",0)</f>
        <v>Pcs</v>
      </c>
      <c r="N710" s="221">
        <v>7</v>
      </c>
      <c r="O710" s="221" t="s">
        <v>2633</v>
      </c>
      <c r="P710" s="221" t="s">
        <v>3410</v>
      </c>
      <c r="Q710" s="221"/>
      <c r="R710" s="221"/>
      <c r="S710" s="221"/>
      <c r="T710" s="221" t="s">
        <v>3258</v>
      </c>
      <c r="U710" s="221">
        <v>0</v>
      </c>
      <c r="V710" s="221" t="s">
        <v>3337</v>
      </c>
      <c r="W710" s="221" t="s">
        <v>3338</v>
      </c>
      <c r="X710" s="221"/>
      <c r="Y710" s="227"/>
      <c r="Z710" s="227" t="str">
        <f t="shared" si="31"/>
        <v>PERUMAHAN DE WIRA GREEN VIEW</v>
      </c>
      <c r="AA710" s="276" t="e">
        <f>VLOOKUP(Logfile_S12[[#This Row],[DO number]],DO_DB!G:I,3,0)</f>
        <v>#N/A</v>
      </c>
      <c r="AB710" s="331" t="e">
        <f>EXACT(Logfile_S12[[#This Row],[date pick]],Logfile_S12[[#This Row],[Date]])</f>
        <v>#N/A</v>
      </c>
      <c r="AC7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11" spans="1:29" ht="14.5" hidden="1">
      <c r="A711" s="220" t="str">
        <f t="shared" si="32"/>
        <v>707</v>
      </c>
      <c r="B711" s="221"/>
      <c r="C711" s="221" t="s">
        <v>49</v>
      </c>
      <c r="D711" s="221" t="s">
        <v>4330</v>
      </c>
      <c r="E711" s="221" t="s">
        <v>3295</v>
      </c>
      <c r="F711" s="221" t="s">
        <v>3299</v>
      </c>
      <c r="G711" s="222">
        <v>45698</v>
      </c>
      <c r="H711" s="223">
        <v>0.45902777777777776</v>
      </c>
      <c r="I711" s="221" t="s">
        <v>4916</v>
      </c>
      <c r="J711" s="221" t="s">
        <v>3024</v>
      </c>
      <c r="K711" s="224" t="s">
        <v>3087</v>
      </c>
      <c r="L711" s="225" t="str">
        <f>VLOOKUP(Logfile_S12[[#This Row],[Material Name]],Sheet2!B:C,2,0)</f>
        <v>GCI1001</v>
      </c>
      <c r="M711" s="225" t="str">
        <f>_xlfn.XLOOKUP(Logfile_S12[[#This Row],[Material Name]],Sum_WH!E:E,Sum_WH!F:F,"",0)</f>
        <v>Pcs</v>
      </c>
      <c r="N711" s="221">
        <v>1</v>
      </c>
      <c r="O711" s="221" t="s">
        <v>2633</v>
      </c>
      <c r="P711" s="221" t="s">
        <v>3410</v>
      </c>
      <c r="Q711" s="221"/>
      <c r="R711" s="221"/>
      <c r="S711" s="221"/>
      <c r="T711" s="221" t="s">
        <v>3411</v>
      </c>
      <c r="U711" s="221">
        <v>0</v>
      </c>
      <c r="V711" s="221">
        <v>0</v>
      </c>
      <c r="W711" s="221" t="s">
        <v>3412</v>
      </c>
      <c r="X711" s="221"/>
      <c r="Y711" s="227"/>
      <c r="Z711" s="227" t="str">
        <f t="shared" si="31"/>
        <v>PERUMAHAN DE WIRA GREEN VIEW</v>
      </c>
      <c r="AA711" s="276" t="e">
        <f>VLOOKUP(Logfile_S12[[#This Row],[DO number]],DO_DB!G:I,3,0)</f>
        <v>#N/A</v>
      </c>
      <c r="AB711" s="331" t="e">
        <f>EXACT(Logfile_S12[[#This Row],[date pick]],Logfile_S12[[#This Row],[Date]])</f>
        <v>#N/A</v>
      </c>
      <c r="AC7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12" spans="1:29" ht="14.5" hidden="1">
      <c r="A712" s="220" t="str">
        <f t="shared" si="32"/>
        <v>708</v>
      </c>
      <c r="B712" s="221"/>
      <c r="C712" s="221" t="s">
        <v>49</v>
      </c>
      <c r="D712" s="221" t="s">
        <v>4332</v>
      </c>
      <c r="E712" s="221" t="s">
        <v>3295</v>
      </c>
      <c r="F712" s="221" t="s">
        <v>3299</v>
      </c>
      <c r="G712" s="222">
        <v>45707</v>
      </c>
      <c r="H712" s="223">
        <v>0.39930555555555558</v>
      </c>
      <c r="I712" s="221" t="s">
        <v>4916</v>
      </c>
      <c r="J712" s="221" t="s">
        <v>3024</v>
      </c>
      <c r="K712" s="224" t="s">
        <v>3087</v>
      </c>
      <c r="L712" s="225" t="str">
        <f>VLOOKUP(Logfile_S12[[#This Row],[Material Name]],Sheet2!B:C,2,0)</f>
        <v>GCI1001</v>
      </c>
      <c r="M712" s="225" t="str">
        <f>_xlfn.XLOOKUP(Logfile_S12[[#This Row],[Material Name]],Sum_WH!E:E,Sum_WH!F:F,"",0)</f>
        <v>Pcs</v>
      </c>
      <c r="N712" s="221">
        <v>1</v>
      </c>
      <c r="O712" s="221" t="s">
        <v>3379</v>
      </c>
      <c r="P712" s="221" t="s">
        <v>3380</v>
      </c>
      <c r="Q712" s="221"/>
      <c r="R712" s="221"/>
      <c r="S712" s="221"/>
      <c r="T712" s="221" t="s">
        <v>3258</v>
      </c>
      <c r="U712" s="221">
        <v>0</v>
      </c>
      <c r="V712" s="221" t="s">
        <v>3337</v>
      </c>
      <c r="W712" s="221" t="s">
        <v>3338</v>
      </c>
      <c r="X712" s="221"/>
      <c r="Y712" s="227"/>
      <c r="Z712" s="227" t="str">
        <f t="shared" si="31"/>
        <v>Citra Kayane Residence</v>
      </c>
      <c r="AA712" s="276" t="e">
        <f>VLOOKUP(Logfile_S12[[#This Row],[DO number]],DO_DB!G:I,3,0)</f>
        <v>#N/A</v>
      </c>
      <c r="AB712" s="331" t="e">
        <f>EXACT(Logfile_S12[[#This Row],[date pick]],Logfile_S12[[#This Row],[Date]])</f>
        <v>#N/A</v>
      </c>
      <c r="AC7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13" spans="1:29" ht="14.5" hidden="1">
      <c r="A713" s="220" t="str">
        <f t="shared" si="32"/>
        <v>709</v>
      </c>
      <c r="B713" s="221"/>
      <c r="C713" s="221" t="s">
        <v>49</v>
      </c>
      <c r="D713" s="221" t="s">
        <v>4338</v>
      </c>
      <c r="E713" s="221" t="s">
        <v>3295</v>
      </c>
      <c r="F713" s="221" t="s">
        <v>3299</v>
      </c>
      <c r="G713" s="222">
        <v>45709</v>
      </c>
      <c r="H713" s="223">
        <v>0.39930555555555558</v>
      </c>
      <c r="I713" s="221" t="s">
        <v>4916</v>
      </c>
      <c r="J713" s="221" t="s">
        <v>3024</v>
      </c>
      <c r="K713" s="224" t="s">
        <v>3087</v>
      </c>
      <c r="L713" s="225" t="str">
        <f>VLOOKUP(Logfile_S12[[#This Row],[Material Name]],Sheet2!B:C,2,0)</f>
        <v>GCI1001</v>
      </c>
      <c r="M713" s="225" t="str">
        <f>_xlfn.XLOOKUP(Logfile_S12[[#This Row],[Material Name]],Sum_WH!E:E,Sum_WH!F:F,"",0)</f>
        <v>Pcs</v>
      </c>
      <c r="N713" s="221">
        <v>1</v>
      </c>
      <c r="O713" s="221" t="s">
        <v>2007</v>
      </c>
      <c r="P713" s="221" t="s">
        <v>2008</v>
      </c>
      <c r="Q713" s="221"/>
      <c r="R713" s="221"/>
      <c r="S713" s="221"/>
      <c r="T713" s="221" t="s">
        <v>3231</v>
      </c>
      <c r="U713" s="221">
        <v>0</v>
      </c>
      <c r="V713" s="221" t="s">
        <v>3375</v>
      </c>
      <c r="W713" s="221" t="s">
        <v>3249</v>
      </c>
      <c r="X713" s="221"/>
      <c r="Y713" s="227"/>
      <c r="Z713" s="227" t="str">
        <f t="shared" si="31"/>
        <v>Ngenep RW 06 Karang Ploso</v>
      </c>
      <c r="AA713" s="276" t="e">
        <f>VLOOKUP(Logfile_S12[[#This Row],[DO number]],DO_DB!G:I,3,0)</f>
        <v>#N/A</v>
      </c>
      <c r="AB713" s="331" t="e">
        <f>EXACT(Logfile_S12[[#This Row],[date pick]],Logfile_S12[[#This Row],[Date]])</f>
        <v>#N/A</v>
      </c>
      <c r="AC7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14" spans="1:29" ht="14.5" hidden="1">
      <c r="A714" s="220" t="str">
        <f t="shared" si="32"/>
        <v>710</v>
      </c>
      <c r="B714" s="221"/>
      <c r="C714" s="221" t="s">
        <v>49</v>
      </c>
      <c r="D714" s="221" t="s">
        <v>4339</v>
      </c>
      <c r="E714" s="221" t="s">
        <v>3295</v>
      </c>
      <c r="F714" s="221" t="s">
        <v>3299</v>
      </c>
      <c r="G714" s="222">
        <v>45709</v>
      </c>
      <c r="H714" s="223">
        <v>0.63124999999999998</v>
      </c>
      <c r="I714" s="221" t="s">
        <v>4916</v>
      </c>
      <c r="J714" s="221" t="s">
        <v>3024</v>
      </c>
      <c r="K714" s="224" t="s">
        <v>3239</v>
      </c>
      <c r="L714" s="225" t="str">
        <f>VLOOKUP(Logfile_S12[[#This Row],[Material Name]],Sheet2!B:C,2,0)</f>
        <v>GCI1001</v>
      </c>
      <c r="M714" s="225" t="str">
        <f>_xlfn.XLOOKUP(Logfile_S12[[#This Row],[Material Name]],Sum_WH!E:E,Sum_WH!F:F,"",0)</f>
        <v>Pcs</v>
      </c>
      <c r="N714" s="221">
        <v>22</v>
      </c>
      <c r="O714" s="221" t="s">
        <v>2648</v>
      </c>
      <c r="P714" s="221" t="s">
        <v>2649</v>
      </c>
      <c r="Q714" s="221"/>
      <c r="R714" s="221"/>
      <c r="S714" s="221"/>
      <c r="T714" s="221" t="s">
        <v>3258</v>
      </c>
      <c r="U714" s="221">
        <v>0</v>
      </c>
      <c r="V714" s="221" t="s">
        <v>3337</v>
      </c>
      <c r="W714" s="221" t="s">
        <v>3338</v>
      </c>
      <c r="X714" s="221"/>
      <c r="Y714" s="227"/>
      <c r="Z714" s="227" t="str">
        <f t="shared" si="31"/>
        <v>Sitirejo RW 04 Wagir</v>
      </c>
      <c r="AA714" s="276" t="e">
        <f>VLOOKUP(Logfile_S12[[#This Row],[DO number]],DO_DB!G:I,3,0)</f>
        <v>#N/A</v>
      </c>
      <c r="AB714" s="331" t="e">
        <f>EXACT(Logfile_S12[[#This Row],[date pick]],Logfile_S12[[#This Row],[Date]])</f>
        <v>#N/A</v>
      </c>
      <c r="AC7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15" spans="1:29" ht="14.5" hidden="1">
      <c r="A715" s="220" t="str">
        <f t="shared" si="32"/>
        <v>711</v>
      </c>
      <c r="B715" s="221"/>
      <c r="C715" s="221" t="s">
        <v>49</v>
      </c>
      <c r="D715" s="221" t="s">
        <v>4343</v>
      </c>
      <c r="E715" s="221" t="s">
        <v>3295</v>
      </c>
      <c r="F715" s="221" t="s">
        <v>3299</v>
      </c>
      <c r="G715" s="222">
        <v>45712</v>
      </c>
      <c r="H715" s="223">
        <v>0.63124999999999998</v>
      </c>
      <c r="I715" s="221" t="s">
        <v>4916</v>
      </c>
      <c r="J715" s="221" t="s">
        <v>3024</v>
      </c>
      <c r="K715" s="224" t="s">
        <v>3087</v>
      </c>
      <c r="L715" s="225" t="str">
        <f>VLOOKUP(Logfile_S12[[#This Row],[Material Name]],Sheet2!B:C,2,0)</f>
        <v>GCI1001</v>
      </c>
      <c r="M715" s="225" t="str">
        <f>_xlfn.XLOOKUP(Logfile_S12[[#This Row],[Material Name]],Sum_WH!E:E,Sum_WH!F:F,"",0)</f>
        <v>Pcs</v>
      </c>
      <c r="N715" s="221">
        <v>1</v>
      </c>
      <c r="O715" s="221" t="s">
        <v>2648</v>
      </c>
      <c r="P715" s="221" t="s">
        <v>2649</v>
      </c>
      <c r="Q715" s="221"/>
      <c r="R715" s="221"/>
      <c r="S715" s="221"/>
      <c r="T715" s="221" t="s">
        <v>3258</v>
      </c>
      <c r="U715" s="221">
        <v>0</v>
      </c>
      <c r="V715" s="221" t="s">
        <v>3337</v>
      </c>
      <c r="W715" s="221" t="s">
        <v>3338</v>
      </c>
      <c r="X715" s="221"/>
      <c r="Y715" s="227"/>
      <c r="Z715" s="227" t="str">
        <f t="shared" si="31"/>
        <v>Sitirejo RW 04 Wagir</v>
      </c>
      <c r="AA715" s="276" t="e">
        <f>VLOOKUP(Logfile_S12[[#This Row],[DO number]],DO_DB!G:I,3,0)</f>
        <v>#N/A</v>
      </c>
      <c r="AB715" s="331" t="e">
        <f>EXACT(Logfile_S12[[#This Row],[date pick]],Logfile_S12[[#This Row],[Date]])</f>
        <v>#N/A</v>
      </c>
      <c r="AC7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16" spans="1:29" ht="14.5" hidden="1">
      <c r="A716" s="220" t="str">
        <f t="shared" si="32"/>
        <v>712</v>
      </c>
      <c r="B716" s="221"/>
      <c r="C716" s="221" t="s">
        <v>49</v>
      </c>
      <c r="D716" s="221" t="s">
        <v>4361</v>
      </c>
      <c r="E716" s="221" t="s">
        <v>3295</v>
      </c>
      <c r="F716" s="221" t="s">
        <v>3299</v>
      </c>
      <c r="G716" s="222">
        <v>45742</v>
      </c>
      <c r="H716" s="223">
        <v>0.83125000000000004</v>
      </c>
      <c r="I716" s="221" t="s">
        <v>4916</v>
      </c>
      <c r="J716" s="221" t="s">
        <v>3024</v>
      </c>
      <c r="K716" s="224" t="s">
        <v>3239</v>
      </c>
      <c r="L716" s="225" t="str">
        <f>VLOOKUP(Logfile_S12[[#This Row],[Material Name]],Sheet2!B:C,2,0)</f>
        <v>GCI1001</v>
      </c>
      <c r="M716" s="225" t="str">
        <f>_xlfn.XLOOKUP(Logfile_S12[[#This Row],[Material Name]],Sum_WH!E:E,Sum_WH!F:F,"",0)</f>
        <v>Pcs</v>
      </c>
      <c r="N716" s="221">
        <v>33</v>
      </c>
      <c r="O716" s="221" t="s">
        <v>2664</v>
      </c>
      <c r="P716" s="221" t="s">
        <v>2665</v>
      </c>
      <c r="Q716" s="221"/>
      <c r="R716" s="221"/>
      <c r="S716" s="221"/>
      <c r="T716" s="221" t="s">
        <v>3258</v>
      </c>
      <c r="U716" s="221">
        <v>0</v>
      </c>
      <c r="V716" s="221" t="s">
        <v>3337</v>
      </c>
      <c r="W716" s="221" t="s">
        <v>3338</v>
      </c>
      <c r="X716" s="221"/>
      <c r="Y716" s="227"/>
      <c r="Z716" s="227" t="str">
        <f t="shared" ref="Z716:Z779" si="33">P716</f>
        <v>Temas RW 04</v>
      </c>
      <c r="AA716" s="276" t="e">
        <f>VLOOKUP(Logfile_S12[[#This Row],[DO number]],DO_DB!G:I,3,0)</f>
        <v>#N/A</v>
      </c>
      <c r="AB716" s="331" t="e">
        <f>EXACT(Logfile_S12[[#This Row],[date pick]],Logfile_S12[[#This Row],[Date]])</f>
        <v>#N/A</v>
      </c>
      <c r="AC7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17" spans="1:29" ht="14.5" hidden="1">
      <c r="A717" s="220" t="str">
        <f t="shared" si="32"/>
        <v>713</v>
      </c>
      <c r="B717" s="221"/>
      <c r="C717" s="221" t="s">
        <v>3313</v>
      </c>
      <c r="D717" s="221" t="s">
        <v>4370</v>
      </c>
      <c r="E717" s="221" t="s">
        <v>3295</v>
      </c>
      <c r="F717" s="221" t="s">
        <v>3299</v>
      </c>
      <c r="G717" s="222">
        <v>45819</v>
      </c>
      <c r="H717" s="223">
        <v>15.291666666666666</v>
      </c>
      <c r="I717" s="221" t="s">
        <v>4918</v>
      </c>
      <c r="J717" s="221" t="s">
        <v>3024</v>
      </c>
      <c r="K717" s="224" t="s">
        <v>3087</v>
      </c>
      <c r="L717" s="225" t="str">
        <f>VLOOKUP(Logfile_S12[[#This Row],[Material Name]],Sheet2!B:C,2,0)</f>
        <v>GCI1001</v>
      </c>
      <c r="M717" s="225" t="str">
        <f>_xlfn.XLOOKUP(Logfile_S12[[#This Row],[Material Name]],Sum_WH!E:E,Sum_WH!F:F,"",0)</f>
        <v>Pcs</v>
      </c>
      <c r="N717" s="221">
        <v>20</v>
      </c>
      <c r="O717" s="221" t="s">
        <v>3314</v>
      </c>
      <c r="P717" s="221" t="s">
        <v>3384</v>
      </c>
      <c r="Q717" s="221">
        <v>0</v>
      </c>
      <c r="R717" s="221">
        <v>0</v>
      </c>
      <c r="S717" s="221"/>
      <c r="T717" s="221"/>
      <c r="U717" s="221"/>
      <c r="V717" s="221"/>
      <c r="W717" s="221"/>
      <c r="X717" s="221"/>
      <c r="Y717" s="227"/>
      <c r="Z717" s="227" t="str">
        <f t="shared" si="33"/>
        <v>GRESIK</v>
      </c>
      <c r="AA717" s="276" t="e">
        <f>VLOOKUP(Logfile_S12[[#This Row],[DO number]],DO_DB!G:I,3,0)</f>
        <v>#N/A</v>
      </c>
      <c r="AB717" s="331" t="e">
        <f>EXACT(Logfile_S12[[#This Row],[date pick]],Logfile_S12[[#This Row],[Date]])</f>
        <v>#N/A</v>
      </c>
      <c r="AC7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18" spans="1:29" ht="14.5" hidden="1">
      <c r="A718" s="220" t="str">
        <f t="shared" si="32"/>
        <v>714</v>
      </c>
      <c r="B718" s="221"/>
      <c r="C718" s="221" t="s">
        <v>49</v>
      </c>
      <c r="D718" s="221" t="s">
        <v>4372</v>
      </c>
      <c r="E718" s="221" t="s">
        <v>3295</v>
      </c>
      <c r="F718" s="221" t="s">
        <v>3299</v>
      </c>
      <c r="G718" s="222">
        <v>45822</v>
      </c>
      <c r="H718" s="223">
        <v>0.5395833333333333</v>
      </c>
      <c r="I718" s="221" t="s">
        <v>4916</v>
      </c>
      <c r="J718" s="221" t="s">
        <v>3024</v>
      </c>
      <c r="K718" s="224" t="s">
        <v>3239</v>
      </c>
      <c r="L718" s="225" t="str">
        <f>VLOOKUP(Logfile_S12[[#This Row],[Material Name]],Sheet2!B:C,2,0)</f>
        <v>GCI1001</v>
      </c>
      <c r="M718" s="225" t="str">
        <f>_xlfn.XLOOKUP(Logfile_S12[[#This Row],[Material Name]],Sum_WH!E:E,Sum_WH!F:F,"",0)</f>
        <v>Pcs</v>
      </c>
      <c r="N718" s="221">
        <v>20</v>
      </c>
      <c r="O718" s="221">
        <v>0</v>
      </c>
      <c r="P718" s="221" t="s">
        <v>3381</v>
      </c>
      <c r="Q718" s="221"/>
      <c r="R718" s="221"/>
      <c r="S718" s="221"/>
      <c r="T718" s="221" t="s">
        <v>3258</v>
      </c>
      <c r="U718" s="221">
        <v>0</v>
      </c>
      <c r="V718" s="221" t="s">
        <v>3337</v>
      </c>
      <c r="W718" s="221" t="s">
        <v>3338</v>
      </c>
      <c r="X718" s="221"/>
      <c r="Y718" s="227"/>
      <c r="Z718" s="227" t="str">
        <f t="shared" si="33"/>
        <v>Kebonagung RW 01</v>
      </c>
      <c r="AA718" s="276" t="e">
        <f>VLOOKUP(Logfile_S12[[#This Row],[DO number]],DO_DB!G:I,3,0)</f>
        <v>#N/A</v>
      </c>
      <c r="AB718" s="331" t="e">
        <f>EXACT(Logfile_S12[[#This Row],[date pick]],Logfile_S12[[#This Row],[Date]])</f>
        <v>#N/A</v>
      </c>
      <c r="AC7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19" spans="1:29" ht="14.5" hidden="1">
      <c r="A719" s="220" t="str">
        <f t="shared" si="32"/>
        <v>715</v>
      </c>
      <c r="B719" s="221"/>
      <c r="C719" s="221" t="s">
        <v>48</v>
      </c>
      <c r="D719" s="221" t="s">
        <v>4380</v>
      </c>
      <c r="E719" s="221" t="s">
        <v>3295</v>
      </c>
      <c r="F719" s="221" t="s">
        <v>3299</v>
      </c>
      <c r="G719" s="222">
        <v>45831</v>
      </c>
      <c r="H719" s="223">
        <v>15.291666666666666</v>
      </c>
      <c r="I719" s="221" t="s">
        <v>38</v>
      </c>
      <c r="J719" s="221" t="s">
        <v>3024</v>
      </c>
      <c r="K719" s="224" t="s">
        <v>3087</v>
      </c>
      <c r="L719" s="225" t="str">
        <f>VLOOKUP(Logfile_S12[[#This Row],[Material Name]],Sheet2!B:C,2,0)</f>
        <v>GCI1001</v>
      </c>
      <c r="M719" s="225" t="str">
        <f>_xlfn.XLOOKUP(Logfile_S12[[#This Row],[Material Name]],Sum_WH!E:E,Sum_WH!F:F,"",0)</f>
        <v>Pcs</v>
      </c>
      <c r="N719" s="221">
        <v>147</v>
      </c>
      <c r="O719" s="221">
        <v>0</v>
      </c>
      <c r="P719" s="221">
        <v>0</v>
      </c>
      <c r="Q719" s="221">
        <v>0</v>
      </c>
      <c r="R719" s="221">
        <v>0</v>
      </c>
      <c r="S719" s="221"/>
      <c r="T719" s="221"/>
      <c r="U719" s="221"/>
      <c r="V719" s="221"/>
      <c r="W719" s="221"/>
      <c r="X719" s="221"/>
      <c r="Y719" s="227"/>
      <c r="Z719" s="227">
        <f t="shared" si="33"/>
        <v>0</v>
      </c>
      <c r="AA719" s="276" t="e">
        <f>VLOOKUP(Logfile_S12[[#This Row],[DO number]],DO_DB!G:I,3,0)</f>
        <v>#N/A</v>
      </c>
      <c r="AB719" s="331" t="e">
        <f>EXACT(Logfile_S12[[#This Row],[date pick]],Logfile_S12[[#This Row],[Date]])</f>
        <v>#N/A</v>
      </c>
      <c r="AC7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20" spans="1:29" ht="14.5" hidden="1">
      <c r="A720" s="220" t="str">
        <f t="shared" si="32"/>
        <v>716</v>
      </c>
      <c r="B720" s="221"/>
      <c r="C720" s="221" t="s">
        <v>49</v>
      </c>
      <c r="D720" s="221" t="s">
        <v>4379</v>
      </c>
      <c r="E720" s="221" t="s">
        <v>3295</v>
      </c>
      <c r="F720" s="221" t="s">
        <v>3299</v>
      </c>
      <c r="G720" s="222">
        <v>45831</v>
      </c>
      <c r="H720" s="223">
        <v>0.64583333333333337</v>
      </c>
      <c r="I720" s="221" t="s">
        <v>4916</v>
      </c>
      <c r="J720" s="221" t="s">
        <v>3024</v>
      </c>
      <c r="K720" s="224" t="s">
        <v>3087</v>
      </c>
      <c r="L720" s="225" t="str">
        <f>VLOOKUP(Logfile_S12[[#This Row],[Material Name]],Sheet2!B:C,2,0)</f>
        <v>GCI1001</v>
      </c>
      <c r="M720" s="225" t="str">
        <f>_xlfn.XLOOKUP(Logfile_S12[[#This Row],[Material Name]],Sum_WH!E:E,Sum_WH!F:F,"",0)</f>
        <v>Pcs</v>
      </c>
      <c r="N720" s="221">
        <v>75</v>
      </c>
      <c r="O720" s="221">
        <v>0</v>
      </c>
      <c r="P720" s="221" t="s">
        <v>3382</v>
      </c>
      <c r="Q720" s="221"/>
      <c r="R720" s="221"/>
      <c r="S720" s="221"/>
      <c r="T720" s="221" t="s">
        <v>3231</v>
      </c>
      <c r="U720" s="221">
        <v>0</v>
      </c>
      <c r="V720" s="221" t="s">
        <v>3375</v>
      </c>
      <c r="W720" s="221" t="s">
        <v>3249</v>
      </c>
      <c r="X720" s="221"/>
      <c r="Y720" s="227"/>
      <c r="Z720" s="227" t="str">
        <f t="shared" si="33"/>
        <v>Pncokusumo</v>
      </c>
      <c r="AA720" s="276" t="e">
        <f>VLOOKUP(Logfile_S12[[#This Row],[DO number]],DO_DB!G:I,3,0)</f>
        <v>#N/A</v>
      </c>
      <c r="AB720" s="331" t="e">
        <f>EXACT(Logfile_S12[[#This Row],[date pick]],Logfile_S12[[#This Row],[Date]])</f>
        <v>#N/A</v>
      </c>
      <c r="AC7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21" spans="1:29" ht="14.5" hidden="1">
      <c r="A721" s="220" t="str">
        <f t="shared" si="32"/>
        <v>717</v>
      </c>
      <c r="B721" s="221"/>
      <c r="C721" s="221" t="s">
        <v>49</v>
      </c>
      <c r="D721" s="221" t="s">
        <v>4388</v>
      </c>
      <c r="E721" s="221" t="s">
        <v>3295</v>
      </c>
      <c r="F721" s="221" t="s">
        <v>3299</v>
      </c>
      <c r="G721" s="222">
        <v>45835</v>
      </c>
      <c r="H721" s="223">
        <v>0.5395833333333333</v>
      </c>
      <c r="I721" s="221" t="s">
        <v>4916</v>
      </c>
      <c r="J721" s="221" t="s">
        <v>3024</v>
      </c>
      <c r="K721" s="224" t="s">
        <v>3087</v>
      </c>
      <c r="L721" s="225" t="str">
        <f>VLOOKUP(Logfile_S12[[#This Row],[Material Name]],Sheet2!B:C,2,0)</f>
        <v>GCI1001</v>
      </c>
      <c r="M721" s="225" t="str">
        <f>_xlfn.XLOOKUP(Logfile_S12[[#This Row],[Material Name]],Sum_WH!E:E,Sum_WH!F:F,"",0)</f>
        <v>Pcs</v>
      </c>
      <c r="N721" s="221">
        <v>72</v>
      </c>
      <c r="O721" s="221">
        <v>0</v>
      </c>
      <c r="P721" s="221" t="s">
        <v>3383</v>
      </c>
      <c r="Q721" s="221"/>
      <c r="R721" s="221"/>
      <c r="S721" s="221"/>
      <c r="T721" s="221" t="s">
        <v>3258</v>
      </c>
      <c r="U721" s="221">
        <v>0</v>
      </c>
      <c r="V721" s="221" t="s">
        <v>3337</v>
      </c>
      <c r="W721" s="221" t="s">
        <v>3338</v>
      </c>
      <c r="X721" s="221"/>
      <c r="Y721" s="227"/>
      <c r="Z721" s="227" t="str">
        <f t="shared" si="33"/>
        <v>Bululawang</v>
      </c>
      <c r="AA721" s="276" t="e">
        <f>VLOOKUP(Logfile_S12[[#This Row],[DO number]],DO_DB!G:I,3,0)</f>
        <v>#N/A</v>
      </c>
      <c r="AB721" s="331" t="e">
        <f>EXACT(Logfile_S12[[#This Row],[date pick]],Logfile_S12[[#This Row],[Date]])</f>
        <v>#N/A</v>
      </c>
      <c r="AC7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22" spans="1:29" ht="14.5" hidden="1">
      <c r="A722" s="220" t="str">
        <f t="shared" si="32"/>
        <v>718</v>
      </c>
      <c r="B722" s="221"/>
      <c r="C722" s="221" t="s">
        <v>48</v>
      </c>
      <c r="D722" s="221" t="s">
        <v>4401</v>
      </c>
      <c r="E722" s="221" t="s">
        <v>3295</v>
      </c>
      <c r="F722" s="221" t="s">
        <v>3299</v>
      </c>
      <c r="G722" s="222">
        <v>45868</v>
      </c>
      <c r="H722" s="223">
        <v>15.291666666666666</v>
      </c>
      <c r="I722" s="221" t="s">
        <v>38</v>
      </c>
      <c r="J722" s="221" t="s">
        <v>3024</v>
      </c>
      <c r="K722" s="224" t="s">
        <v>3087</v>
      </c>
      <c r="L722" s="225" t="str">
        <f>VLOOKUP(Logfile_S12[[#This Row],[Material Name]],Sheet2!B:C,2,0)</f>
        <v>GCI1001</v>
      </c>
      <c r="M722" s="225" t="str">
        <f>_xlfn.XLOOKUP(Logfile_S12[[#This Row],[Material Name]],Sum_WH!E:E,Sum_WH!F:F,"",0)</f>
        <v>Pcs</v>
      </c>
      <c r="N722" s="221">
        <v>39</v>
      </c>
      <c r="O722" s="221">
        <v>0</v>
      </c>
      <c r="P722" s="221">
        <v>0</v>
      </c>
      <c r="Q722" s="221">
        <v>0</v>
      </c>
      <c r="R722" s="221">
        <v>0</v>
      </c>
      <c r="S722" s="221"/>
      <c r="T722" s="221"/>
      <c r="U722" s="221"/>
      <c r="V722" s="221"/>
      <c r="W722" s="221"/>
      <c r="X722" s="221"/>
      <c r="Y722" s="227"/>
      <c r="Z722" s="227">
        <f t="shared" si="33"/>
        <v>0</v>
      </c>
      <c r="AA722" s="276" t="e">
        <f>VLOOKUP(Logfile_S12[[#This Row],[DO number]],DO_DB!G:I,3,0)</f>
        <v>#N/A</v>
      </c>
      <c r="AB722" s="331" t="e">
        <f>EXACT(Logfile_S12[[#This Row],[date pick]],Logfile_S12[[#This Row],[Date]])</f>
        <v>#N/A</v>
      </c>
      <c r="AC7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23" spans="1:29" ht="14.5" hidden="1">
      <c r="A723" s="220" t="str">
        <f t="shared" si="32"/>
        <v>719</v>
      </c>
      <c r="B723" s="221"/>
      <c r="C723" s="221" t="s">
        <v>49</v>
      </c>
      <c r="D723" s="221" t="s">
        <v>4402</v>
      </c>
      <c r="E723" s="221" t="s">
        <v>3295</v>
      </c>
      <c r="F723" s="221" t="s">
        <v>3299</v>
      </c>
      <c r="G723" s="222">
        <v>45869</v>
      </c>
      <c r="H723" s="223">
        <v>0.47291666666666665</v>
      </c>
      <c r="I723" s="221" t="s">
        <v>4916</v>
      </c>
      <c r="J723" s="221" t="s">
        <v>3024</v>
      </c>
      <c r="K723" s="224" t="s">
        <v>3087</v>
      </c>
      <c r="L723" s="225" t="str">
        <f>VLOOKUP(Logfile_S12[[#This Row],[Material Name]],Sheet2!B:C,2,0)</f>
        <v>GCI1001</v>
      </c>
      <c r="M723" s="225" t="str">
        <f>_xlfn.XLOOKUP(Logfile_S12[[#This Row],[Material Name]],Sum_WH!E:E,Sum_WH!F:F,"",0)</f>
        <v>Pcs</v>
      </c>
      <c r="N723" s="221">
        <v>39</v>
      </c>
      <c r="O723" s="221">
        <v>0</v>
      </c>
      <c r="P723" s="221" t="s">
        <v>3413</v>
      </c>
      <c r="Q723" s="221"/>
      <c r="R723" s="221"/>
      <c r="S723" s="221"/>
      <c r="T723" s="221" t="s">
        <v>3258</v>
      </c>
      <c r="U723" s="221">
        <v>0</v>
      </c>
      <c r="V723" s="221" t="s">
        <v>3337</v>
      </c>
      <c r="W723" s="221" t="s">
        <v>3338</v>
      </c>
      <c r="X723" s="221"/>
      <c r="Y723" s="227"/>
      <c r="Z723" s="227" t="str">
        <f t="shared" si="33"/>
        <v>Krebet</v>
      </c>
      <c r="AA723" s="276" t="e">
        <f>VLOOKUP(Logfile_S12[[#This Row],[DO number]],DO_DB!G:I,3,0)</f>
        <v>#N/A</v>
      </c>
      <c r="AB723" s="331" t="e">
        <f>EXACT(Logfile_S12[[#This Row],[date pick]],Logfile_S12[[#This Row],[Date]])</f>
        <v>#N/A</v>
      </c>
      <c r="AC7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24" spans="1:29" ht="14.5" hidden="1">
      <c r="A724" s="220" t="str">
        <f t="shared" si="32"/>
        <v>720</v>
      </c>
      <c r="B724" s="221"/>
      <c r="C724" s="221" t="s">
        <v>48</v>
      </c>
      <c r="D724" s="221" t="s">
        <v>4405</v>
      </c>
      <c r="E724" s="221" t="s">
        <v>3295</v>
      </c>
      <c r="F724" s="221" t="s">
        <v>3299</v>
      </c>
      <c r="G724" s="222">
        <v>45875</v>
      </c>
      <c r="H724" s="223">
        <v>15.291666666666666</v>
      </c>
      <c r="I724" s="221" t="s">
        <v>38</v>
      </c>
      <c r="J724" s="221" t="s">
        <v>3024</v>
      </c>
      <c r="K724" s="224" t="s">
        <v>3087</v>
      </c>
      <c r="L724" s="225" t="str">
        <f>VLOOKUP(Logfile_S12[[#This Row],[Material Name]],Sheet2!B:C,2,0)</f>
        <v>GCI1001</v>
      </c>
      <c r="M724" s="225" t="str">
        <f>_xlfn.XLOOKUP(Logfile_S12[[#This Row],[Material Name]],Sum_WH!E:E,Sum_WH!F:F,"",0)</f>
        <v>Pcs</v>
      </c>
      <c r="N724" s="221">
        <v>50</v>
      </c>
      <c r="O724" s="221">
        <v>0</v>
      </c>
      <c r="P724" s="221" t="s">
        <v>3384</v>
      </c>
      <c r="Q724" s="221">
        <v>0</v>
      </c>
      <c r="R724" s="221">
        <v>0</v>
      </c>
      <c r="S724" s="221"/>
      <c r="T724" s="221"/>
      <c r="U724" s="221"/>
      <c r="V724" s="221"/>
      <c r="W724" s="221"/>
      <c r="X724" s="221"/>
      <c r="Y724" s="227"/>
      <c r="Z724" s="227" t="str">
        <f t="shared" si="33"/>
        <v>GRESIK</v>
      </c>
      <c r="AA724" s="276" t="e">
        <f>VLOOKUP(Logfile_S12[[#This Row],[DO number]],DO_DB!G:I,3,0)</f>
        <v>#N/A</v>
      </c>
      <c r="AB724" s="331" t="e">
        <f>EXACT(Logfile_S12[[#This Row],[date pick]],Logfile_S12[[#This Row],[Date]])</f>
        <v>#N/A</v>
      </c>
      <c r="AC7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25" spans="1:29" ht="14.5" hidden="1">
      <c r="A725" s="220" t="str">
        <f t="shared" si="32"/>
        <v>721</v>
      </c>
      <c r="B725" s="221"/>
      <c r="C725" s="221" t="s">
        <v>49</v>
      </c>
      <c r="D725" s="221" t="s">
        <v>4406</v>
      </c>
      <c r="E725" s="221" t="s">
        <v>3295</v>
      </c>
      <c r="F725" s="221" t="s">
        <v>3299</v>
      </c>
      <c r="G725" s="222">
        <v>45876</v>
      </c>
      <c r="H725" s="223">
        <v>0.47291666666666665</v>
      </c>
      <c r="I725" s="221" t="s">
        <v>4916</v>
      </c>
      <c r="J725" s="221" t="s">
        <v>3024</v>
      </c>
      <c r="K725" s="224" t="s">
        <v>3087</v>
      </c>
      <c r="L725" s="225" t="str">
        <f>VLOOKUP(Logfile_S12[[#This Row],[Material Name]],Sheet2!B:C,2,0)</f>
        <v>GCI1001</v>
      </c>
      <c r="M725" s="225" t="str">
        <f>_xlfn.XLOOKUP(Logfile_S12[[#This Row],[Material Name]],Sum_WH!E:E,Sum_WH!F:F,"",0)</f>
        <v>Pcs</v>
      </c>
      <c r="N725" s="221">
        <v>50</v>
      </c>
      <c r="O725" s="221" t="s">
        <v>2996</v>
      </c>
      <c r="P725" s="221" t="s">
        <v>2997</v>
      </c>
      <c r="Q725" s="221"/>
      <c r="R725" s="221"/>
      <c r="S725" s="221"/>
      <c r="T725" s="221" t="s">
        <v>3258</v>
      </c>
      <c r="U725" s="221">
        <v>0</v>
      </c>
      <c r="V725" s="221" t="s">
        <v>3337</v>
      </c>
      <c r="W725" s="221" t="s">
        <v>3338</v>
      </c>
      <c r="X725" s="221"/>
      <c r="Y725" s="227"/>
      <c r="Z725" s="227" t="str">
        <f t="shared" si="33"/>
        <v>PERMANU RW 03 MALANG</v>
      </c>
      <c r="AA725" s="276" t="e">
        <f>VLOOKUP(Logfile_S12[[#This Row],[DO number]],DO_DB!G:I,3,0)</f>
        <v>#N/A</v>
      </c>
      <c r="AB725" s="331" t="e">
        <f>EXACT(Logfile_S12[[#This Row],[date pick]],Logfile_S12[[#This Row],[Date]])</f>
        <v>#N/A</v>
      </c>
      <c r="AC7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26" spans="1:29" ht="14.5" hidden="1">
      <c r="A726" s="220" t="str">
        <f t="shared" si="32"/>
        <v>722</v>
      </c>
      <c r="B726" s="221"/>
      <c r="C726" s="221" t="s">
        <v>48</v>
      </c>
      <c r="D726" s="221" t="s">
        <v>4418</v>
      </c>
      <c r="E726" s="221" t="s">
        <v>3295</v>
      </c>
      <c r="F726" s="221" t="s">
        <v>3299</v>
      </c>
      <c r="G726" s="222">
        <v>45890</v>
      </c>
      <c r="H726" s="223">
        <v>15.291666666666666</v>
      </c>
      <c r="I726" s="221" t="s">
        <v>38</v>
      </c>
      <c r="J726" s="221" t="s">
        <v>3024</v>
      </c>
      <c r="K726" s="224" t="s">
        <v>3087</v>
      </c>
      <c r="L726" s="225" t="str">
        <f>VLOOKUP(Logfile_S12[[#This Row],[Material Name]],Sheet2!B:C,2,0)</f>
        <v>GCI1001</v>
      </c>
      <c r="M726" s="225" t="str">
        <f>_xlfn.XLOOKUP(Logfile_S12[[#This Row],[Material Name]],Sum_WH!E:E,Sum_WH!F:F,"",0)</f>
        <v>Pcs</v>
      </c>
      <c r="N726" s="221">
        <v>35</v>
      </c>
      <c r="O726" s="221">
        <v>0</v>
      </c>
      <c r="P726" s="221">
        <v>0</v>
      </c>
      <c r="Q726" s="221">
        <v>0</v>
      </c>
      <c r="R726" s="221">
        <v>0</v>
      </c>
      <c r="S726" s="221"/>
      <c r="T726" s="221"/>
      <c r="U726" s="221"/>
      <c r="V726" s="221"/>
      <c r="W726" s="221"/>
      <c r="X726" s="221"/>
      <c r="Y726" s="227"/>
      <c r="Z726" s="227">
        <f t="shared" si="33"/>
        <v>0</v>
      </c>
      <c r="AA726" s="276" t="e">
        <f>VLOOKUP(Logfile_S12[[#This Row],[DO number]],DO_DB!G:I,3,0)</f>
        <v>#N/A</v>
      </c>
      <c r="AB726" s="331" t="e">
        <f>EXACT(Logfile_S12[[#This Row],[date pick]],Logfile_S12[[#This Row],[Date]])</f>
        <v>#N/A</v>
      </c>
      <c r="AC7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27" spans="1:29" ht="14.5" hidden="1">
      <c r="A727" s="220" t="str">
        <f t="shared" si="32"/>
        <v>723</v>
      </c>
      <c r="B727" s="221"/>
      <c r="C727" s="221" t="s">
        <v>49</v>
      </c>
      <c r="D727" s="221" t="s">
        <v>4419</v>
      </c>
      <c r="E727" s="221" t="s">
        <v>3295</v>
      </c>
      <c r="F727" s="221" t="s">
        <v>3299</v>
      </c>
      <c r="G727" s="222">
        <v>45892</v>
      </c>
      <c r="H727" s="223">
        <v>0.4284722222222222</v>
      </c>
      <c r="I727" s="221" t="s">
        <v>4916</v>
      </c>
      <c r="J727" s="221" t="s">
        <v>3024</v>
      </c>
      <c r="K727" s="224" t="s">
        <v>3239</v>
      </c>
      <c r="L727" s="225" t="str">
        <f>VLOOKUP(Logfile_S12[[#This Row],[Material Name]],Sheet2!B:C,2,0)</f>
        <v>GCI1001</v>
      </c>
      <c r="M727" s="225" t="str">
        <f>_xlfn.XLOOKUP(Logfile_S12[[#This Row],[Material Name]],Sum_WH!E:E,Sum_WH!F:F,"",0)</f>
        <v>Pcs</v>
      </c>
      <c r="N727" s="221">
        <v>15</v>
      </c>
      <c r="O727" s="221">
        <v>0</v>
      </c>
      <c r="P727" s="221" t="s">
        <v>3385</v>
      </c>
      <c r="Q727" s="221"/>
      <c r="R727" s="221"/>
      <c r="S727" s="221"/>
      <c r="T727" s="221" t="s">
        <v>3258</v>
      </c>
      <c r="U727" s="221">
        <v>0</v>
      </c>
      <c r="V727" s="221" t="s">
        <v>3337</v>
      </c>
      <c r="W727" s="221" t="s">
        <v>3338</v>
      </c>
      <c r="X727" s="221"/>
      <c r="Y727" s="227"/>
      <c r="Z727" s="227" t="str">
        <f t="shared" si="33"/>
        <v>Bululawang Permai</v>
      </c>
      <c r="AA727" s="276" t="e">
        <f>VLOOKUP(Logfile_S12[[#This Row],[DO number]],DO_DB!G:I,3,0)</f>
        <v>#N/A</v>
      </c>
      <c r="AB727" s="331" t="e">
        <f>EXACT(Logfile_S12[[#This Row],[date pick]],Logfile_S12[[#This Row],[Date]])</f>
        <v>#N/A</v>
      </c>
      <c r="AC7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28" spans="1:29" ht="14.5" hidden="1">
      <c r="A728" s="220" t="str">
        <f t="shared" si="32"/>
        <v>724</v>
      </c>
      <c r="B728" s="221"/>
      <c r="C728" s="221" t="s">
        <v>49</v>
      </c>
      <c r="D728" s="221" t="s">
        <v>4422</v>
      </c>
      <c r="E728" s="221" t="s">
        <v>3295</v>
      </c>
      <c r="F728" s="221" t="s">
        <v>3299</v>
      </c>
      <c r="G728" s="222">
        <v>45899</v>
      </c>
      <c r="H728" s="223">
        <v>0.38361111111111112</v>
      </c>
      <c r="I728" s="221" t="s">
        <v>3295</v>
      </c>
      <c r="J728" s="221" t="s">
        <v>3024</v>
      </c>
      <c r="K728" s="224" t="s">
        <v>3087</v>
      </c>
      <c r="L728" s="225" t="str">
        <f>VLOOKUP(Logfile_S12[[#This Row],[Material Name]],Sheet2!B:C,2,0)</f>
        <v>GCI1001</v>
      </c>
      <c r="M728" s="225" t="str">
        <f>_xlfn.XLOOKUP(Logfile_S12[[#This Row],[Material Name]],Sum_WH!E:E,Sum_WH!F:F,"",0)</f>
        <v>Pcs</v>
      </c>
      <c r="N728" s="221">
        <v>2</v>
      </c>
      <c r="O728" s="221" t="s">
        <v>2142</v>
      </c>
      <c r="P728" s="221" t="s">
        <v>2143</v>
      </c>
      <c r="Q728" s="221" t="s">
        <v>2144</v>
      </c>
      <c r="R728" s="221" t="s">
        <v>2145</v>
      </c>
      <c r="S728" s="221" t="s">
        <v>39</v>
      </c>
      <c r="T728" s="221" t="s">
        <v>3258</v>
      </c>
      <c r="U728" s="221"/>
      <c r="V728" s="221">
        <v>3507050501950000</v>
      </c>
      <c r="W728" s="221" t="s">
        <v>3338</v>
      </c>
      <c r="X728" s="221" t="s">
        <v>4421</v>
      </c>
      <c r="Y728" s="227"/>
      <c r="Z728" s="227" t="str">
        <f t="shared" si="33"/>
        <v>Main Feeder - OLT Smart Malang Segment 8 to Sumbersekar</v>
      </c>
      <c r="AA728" s="276">
        <f>VLOOKUP(Logfile_S12[[#This Row],[DO number]],DO_DB!G:I,3,0)</f>
        <v>45555</v>
      </c>
      <c r="AB728" s="331" t="b">
        <f>EXACT(Logfile_S12[[#This Row],[date pick]],Logfile_S12[[#This Row],[Date]])</f>
        <v>0</v>
      </c>
      <c r="AC7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29" spans="1:29" ht="14.5" hidden="1">
      <c r="A729" s="244" t="str">
        <f t="shared" si="32"/>
        <v>725</v>
      </c>
      <c r="B729" s="229"/>
      <c r="C729" s="229" t="s">
        <v>49</v>
      </c>
      <c r="D729" s="229" t="s">
        <v>4428</v>
      </c>
      <c r="E729" s="229" t="s">
        <v>3295</v>
      </c>
      <c r="F729" s="229" t="s">
        <v>3299</v>
      </c>
      <c r="G729" s="245">
        <v>45900</v>
      </c>
      <c r="H729" s="246">
        <v>0.90028935185185188</v>
      </c>
      <c r="I729" s="229" t="s">
        <v>3295</v>
      </c>
      <c r="J729" s="229" t="s">
        <v>3024</v>
      </c>
      <c r="K729" s="233" t="s">
        <v>3087</v>
      </c>
      <c r="L729" s="234" t="str">
        <f>VLOOKUP(Logfile_S12[[#This Row],[Material Name]],Sheet2!B:C,2,0)</f>
        <v>GCI1001</v>
      </c>
      <c r="M729" s="234" t="str">
        <f>_xlfn.XLOOKUP(Logfile_S12[[#This Row],[Material Name]],Sum_WH!E:E,Sum_WH!F:F,"",0)</f>
        <v>Pcs</v>
      </c>
      <c r="N729" s="229">
        <v>7</v>
      </c>
      <c r="O729" s="230" t="s">
        <v>4429</v>
      </c>
      <c r="P729" s="230" t="s">
        <v>4429</v>
      </c>
      <c r="Q729" s="229"/>
      <c r="R729" s="229"/>
      <c r="S729" s="229"/>
      <c r="T729" s="229"/>
      <c r="U729" s="229"/>
      <c r="V729" s="229"/>
      <c r="W729" s="229"/>
      <c r="X729" s="229" t="s">
        <v>4429</v>
      </c>
      <c r="Y729" s="227"/>
      <c r="Z729" s="227" t="str">
        <f t="shared" si="33"/>
        <v>ADJUSTMENT</v>
      </c>
      <c r="AA729" s="276" t="e">
        <f>VLOOKUP(Logfile_S12[[#This Row],[DO number]],DO_DB!G:I,3,0)</f>
        <v>#N/A</v>
      </c>
      <c r="AB729" s="331" t="e">
        <f>EXACT(Logfile_S12[[#This Row],[date pick]],Logfile_S12[[#This Row],[Date]])</f>
        <v>#N/A</v>
      </c>
      <c r="AC7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30" spans="1:29" ht="14.5" hidden="1">
      <c r="A730" s="237" t="str">
        <f t="shared" si="32"/>
        <v>726</v>
      </c>
      <c r="B730" s="221">
        <v>1</v>
      </c>
      <c r="C730" s="227" t="s">
        <v>49</v>
      </c>
      <c r="D730" s="227" t="s">
        <v>4654</v>
      </c>
      <c r="E730" s="227" t="s">
        <v>3295</v>
      </c>
      <c r="F730" s="227" t="s">
        <v>3299</v>
      </c>
      <c r="G730" s="239">
        <v>45918</v>
      </c>
      <c r="H730" s="240">
        <v>0.52416666666666667</v>
      </c>
      <c r="I730" s="227" t="s">
        <v>3295</v>
      </c>
      <c r="J730" s="227" t="s">
        <v>3024</v>
      </c>
      <c r="K730" s="241" t="s">
        <v>3087</v>
      </c>
      <c r="L730" s="225" t="str">
        <f>VLOOKUP(Logfile_S12[[#This Row],[Material Name]],Sheet2!B:C,2,0)</f>
        <v>GCI1001</v>
      </c>
      <c r="M730" s="225" t="str">
        <f>_xlfn.XLOOKUP(Logfile_S12[[#This Row],[Material Name]],Sum_WH!E:E,Sum_WH!F:F,"",0)</f>
        <v>Pcs</v>
      </c>
      <c r="N730" s="227">
        <v>7</v>
      </c>
      <c r="O730" s="227" t="s">
        <v>3662</v>
      </c>
      <c r="P730" s="227" t="s">
        <v>3663</v>
      </c>
      <c r="Q730" s="227" t="s">
        <v>3664</v>
      </c>
      <c r="R730" s="227" t="s">
        <v>3665</v>
      </c>
      <c r="S730" s="227"/>
      <c r="T730" s="227" t="s">
        <v>3258</v>
      </c>
      <c r="U730" s="227"/>
      <c r="V730" s="227" t="s">
        <v>3337</v>
      </c>
      <c r="W730" s="227" t="s">
        <v>3338</v>
      </c>
      <c r="X730" s="227"/>
      <c r="Y730" s="227"/>
      <c r="Z730" s="227" t="str">
        <f t="shared" si="33"/>
        <v>KREBET SENGGRONG RW 02 MALANG</v>
      </c>
      <c r="AA730" s="276">
        <f>VLOOKUP(Logfile_S12[[#This Row],[DO number]],DO_DB!G:I,3,0)</f>
        <v>45896</v>
      </c>
      <c r="AB730" s="331" t="b">
        <f>EXACT(Logfile_S12[[#This Row],[date pick]],Logfile_S12[[#This Row],[Date]])</f>
        <v>0</v>
      </c>
      <c r="AC7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31" spans="1:29" ht="14.5" hidden="1">
      <c r="A731" s="237" t="str">
        <f t="shared" si="32"/>
        <v>727</v>
      </c>
      <c r="B731" s="221">
        <v>2</v>
      </c>
      <c r="C731" s="227" t="s">
        <v>49</v>
      </c>
      <c r="D731" s="227" t="s">
        <v>4654</v>
      </c>
      <c r="E731" s="227" t="s">
        <v>3295</v>
      </c>
      <c r="F731" s="227" t="s">
        <v>3299</v>
      </c>
      <c r="G731" s="239">
        <v>45918</v>
      </c>
      <c r="H731" s="240">
        <v>0.5245023148148148</v>
      </c>
      <c r="I731" s="227" t="s">
        <v>3295</v>
      </c>
      <c r="J731" s="227" t="s">
        <v>3024</v>
      </c>
      <c r="K731" s="241" t="s">
        <v>3087</v>
      </c>
      <c r="L731" s="225" t="str">
        <f>VLOOKUP(Logfile_S12[[#This Row],[Material Name]],Sheet2!B:C,2,0)</f>
        <v>GCI1001</v>
      </c>
      <c r="M731" s="225" t="str">
        <f>_xlfn.XLOOKUP(Logfile_S12[[#This Row],[Material Name]],Sum_WH!E:E,Sum_WH!F:F,"",0)</f>
        <v>Pcs</v>
      </c>
      <c r="N731" s="227">
        <v>8</v>
      </c>
      <c r="O731" s="227" t="s">
        <v>3668</v>
      </c>
      <c r="P731" s="227" t="s">
        <v>3669</v>
      </c>
      <c r="Q731" s="227" t="s">
        <v>3670</v>
      </c>
      <c r="R731" s="227" t="s">
        <v>3671</v>
      </c>
      <c r="S731" s="227"/>
      <c r="T731" s="227" t="s">
        <v>3258</v>
      </c>
      <c r="U731" s="227"/>
      <c r="V731" s="227" t="s">
        <v>3337</v>
      </c>
      <c r="W731" s="227" t="s">
        <v>3338</v>
      </c>
      <c r="X731" s="227"/>
      <c r="Y731" s="227"/>
      <c r="Z731" s="227" t="str">
        <f t="shared" si="33"/>
        <v>KREBET SENGGRONG RW 03 MALANG</v>
      </c>
      <c r="AA731" s="276">
        <f>VLOOKUP(Logfile_S12[[#This Row],[DO number]],DO_DB!G:I,3,0)</f>
        <v>45896</v>
      </c>
      <c r="AB731" s="331" t="b">
        <f>EXACT(Logfile_S12[[#This Row],[date pick]],Logfile_S12[[#This Row],[Date]])</f>
        <v>0</v>
      </c>
      <c r="AC7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32" spans="1:29" ht="14.5" hidden="1">
      <c r="A732" s="237" t="str">
        <f t="shared" si="32"/>
        <v>728</v>
      </c>
      <c r="B732" s="221">
        <v>2</v>
      </c>
      <c r="C732" s="227" t="s">
        <v>49</v>
      </c>
      <c r="D732" s="227" t="s">
        <v>4655</v>
      </c>
      <c r="E732" s="227" t="s">
        <v>3295</v>
      </c>
      <c r="F732" s="227" t="s">
        <v>3299</v>
      </c>
      <c r="G732" s="239">
        <v>45920</v>
      </c>
      <c r="H732" s="240">
        <v>0.67421296296296296</v>
      </c>
      <c r="I732" s="227" t="s">
        <v>3295</v>
      </c>
      <c r="J732" s="227" t="s">
        <v>3024</v>
      </c>
      <c r="K732" s="241" t="s">
        <v>3087</v>
      </c>
      <c r="L732" s="225" t="str">
        <f>VLOOKUP(Logfile_S12[[#This Row],[Material Name]],Sheet2!B:C,2,0)</f>
        <v>GCI1001</v>
      </c>
      <c r="M732" s="225" t="str">
        <f>_xlfn.XLOOKUP(Logfile_S12[[#This Row],[Material Name]],Sum_WH!E:E,Sum_WH!F:F,"",0)</f>
        <v>Pcs</v>
      </c>
      <c r="N732" s="227">
        <v>1</v>
      </c>
      <c r="O732" s="227" t="s">
        <v>2142</v>
      </c>
      <c r="P732" s="227" t="s">
        <v>2143</v>
      </c>
      <c r="Q732" s="227" t="s">
        <v>2144</v>
      </c>
      <c r="R732" s="227" t="s">
        <v>2145</v>
      </c>
      <c r="S732" s="227" t="s">
        <v>39</v>
      </c>
      <c r="T732" s="227" t="s">
        <v>3258</v>
      </c>
      <c r="U732" s="227"/>
      <c r="V732" s="227" t="s">
        <v>3337</v>
      </c>
      <c r="W732" s="227" t="s">
        <v>3338</v>
      </c>
      <c r="X732" s="227" t="s">
        <v>4421</v>
      </c>
      <c r="Y732" s="227"/>
      <c r="Z732" s="227" t="str">
        <f t="shared" si="33"/>
        <v>Main Feeder - OLT Smart Malang Segment 8 to Sumbersekar</v>
      </c>
      <c r="AA732" s="276">
        <f>VLOOKUP(Logfile_S12[[#This Row],[DO number]],DO_DB!G:I,3,0)</f>
        <v>45555</v>
      </c>
      <c r="AB732" s="331" t="b">
        <f>EXACT(Logfile_S12[[#This Row],[date pick]],Logfile_S12[[#This Row],[Date]])</f>
        <v>0</v>
      </c>
      <c r="AC7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33" spans="1:29" ht="14.5" hidden="1">
      <c r="A733" s="237" t="str">
        <f t="shared" si="32"/>
        <v>729</v>
      </c>
      <c r="B733" s="221">
        <v>1</v>
      </c>
      <c r="C733" s="227" t="s">
        <v>48</v>
      </c>
      <c r="D733" s="227" t="s">
        <v>4660</v>
      </c>
      <c r="E733" s="227" t="s">
        <v>3295</v>
      </c>
      <c r="F733" s="227" t="s">
        <v>3299</v>
      </c>
      <c r="G733" s="239">
        <v>45944</v>
      </c>
      <c r="H733" s="240">
        <v>0.63958333333333328</v>
      </c>
      <c r="I733" s="227" t="s">
        <v>38</v>
      </c>
      <c r="J733" s="227" t="s">
        <v>3024</v>
      </c>
      <c r="K733" s="241" t="s">
        <v>3087</v>
      </c>
      <c r="L733" s="225" t="str">
        <f>VLOOKUP(Logfile_S12[[#This Row],[Material Name]],Sheet2!B:C,2,0)</f>
        <v>GCI1001</v>
      </c>
      <c r="M733" s="225" t="str">
        <f>_xlfn.XLOOKUP(Logfile_S12[[#This Row],[Material Name]],Sum_WH!E:E,Sum_WH!F:F,"",0)</f>
        <v>Pcs</v>
      </c>
      <c r="N733" s="227">
        <v>28</v>
      </c>
      <c r="O733" s="227" t="s">
        <v>3203</v>
      </c>
      <c r="P733" s="227" t="s">
        <v>3204</v>
      </c>
      <c r="Q733" s="227" t="s">
        <v>3205</v>
      </c>
      <c r="R733" s="227" t="s">
        <v>3206</v>
      </c>
      <c r="S733" s="227"/>
      <c r="T733" s="227"/>
      <c r="U733" s="227"/>
      <c r="V733" s="227"/>
      <c r="W733" s="227"/>
      <c r="X733" s="227"/>
      <c r="Y733" s="227"/>
      <c r="Z733" s="227" t="str">
        <f t="shared" si="33"/>
        <v>Perumahan Bululawang Permai RW 02</v>
      </c>
      <c r="AA733" s="276">
        <f>VLOOKUP(Logfile_S12[[#This Row],[DO number]],DO_DB!G:I,3,0)</f>
        <v>45888</v>
      </c>
      <c r="AB733" s="331" t="b">
        <f>EXACT(Logfile_S12[[#This Row],[date pick]],Logfile_S12[[#This Row],[Date]])</f>
        <v>0</v>
      </c>
      <c r="AC7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34" spans="1:29" ht="14.5" hidden="1">
      <c r="A734" s="237" t="str">
        <f t="shared" si="32"/>
        <v>730</v>
      </c>
      <c r="B734" s="221">
        <v>1</v>
      </c>
      <c r="C734" s="227" t="s">
        <v>49</v>
      </c>
      <c r="D734" s="227" t="s">
        <v>4661</v>
      </c>
      <c r="E734" s="227" t="s">
        <v>3295</v>
      </c>
      <c r="F734" s="227" t="s">
        <v>3299</v>
      </c>
      <c r="G734" s="239">
        <v>45946</v>
      </c>
      <c r="H734" s="240">
        <v>0.43125000000000002</v>
      </c>
      <c r="I734" s="227" t="s">
        <v>3295</v>
      </c>
      <c r="J734" s="227" t="s">
        <v>3024</v>
      </c>
      <c r="K734" s="241" t="s">
        <v>3087</v>
      </c>
      <c r="L734" s="225" t="str">
        <f>VLOOKUP(Logfile_S12[[#This Row],[Material Name]],Sheet2!B:C,2,0)</f>
        <v>GCI1001</v>
      </c>
      <c r="M734" s="225" t="str">
        <f>_xlfn.XLOOKUP(Logfile_S12[[#This Row],[Material Name]],Sum_WH!E:E,Sum_WH!F:F,"",0)</f>
        <v>Pcs</v>
      </c>
      <c r="N734" s="227">
        <v>28</v>
      </c>
      <c r="O734" s="227" t="s">
        <v>4595</v>
      </c>
      <c r="P734" s="227" t="s">
        <v>4596</v>
      </c>
      <c r="Q734" s="227"/>
      <c r="R734" s="227"/>
      <c r="S734" s="227"/>
      <c r="T734" s="221" t="s">
        <v>3258</v>
      </c>
      <c r="U734" s="221">
        <v>0</v>
      </c>
      <c r="V734" s="221" t="s">
        <v>3337</v>
      </c>
      <c r="W734" s="221" t="s">
        <v>3338</v>
      </c>
      <c r="X734" s="227"/>
      <c r="Y734" s="227"/>
      <c r="Z734" s="227" t="str">
        <f t="shared" si="33"/>
        <v>Asshofa Residence</v>
      </c>
      <c r="AA734" s="276" t="e">
        <f>VLOOKUP(Logfile_S12[[#This Row],[DO number]],DO_DB!G:I,3,0)</f>
        <v>#N/A</v>
      </c>
      <c r="AB734" s="331" t="e">
        <f>EXACT(Logfile_S12[[#This Row],[date pick]],Logfile_S12[[#This Row],[Date]])</f>
        <v>#N/A</v>
      </c>
      <c r="AC7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35" spans="1:29" ht="14.5" hidden="1">
      <c r="A735" s="237" t="str">
        <f t="shared" si="32"/>
        <v>731</v>
      </c>
      <c r="B735" s="221">
        <v>4</v>
      </c>
      <c r="C735" s="227" t="s">
        <v>49</v>
      </c>
      <c r="D735" s="227" t="s">
        <v>4677</v>
      </c>
      <c r="E735" s="227" t="s">
        <v>3295</v>
      </c>
      <c r="F735" s="227" t="s">
        <v>3299</v>
      </c>
      <c r="G735" s="239">
        <v>45955</v>
      </c>
      <c r="H735" s="240">
        <v>0.45833333333333331</v>
      </c>
      <c r="I735" s="227" t="s">
        <v>3295</v>
      </c>
      <c r="J735" s="227" t="s">
        <v>3024</v>
      </c>
      <c r="K735" s="241" t="s">
        <v>3087</v>
      </c>
      <c r="L735" s="225" t="str">
        <f>VLOOKUP(Logfile_S12[[#This Row],[Material Name]],Sheet2!B:C,2,0)</f>
        <v>GCI1001</v>
      </c>
      <c r="M735" s="242" t="s">
        <v>19</v>
      </c>
      <c r="N735" s="227">
        <v>23</v>
      </c>
      <c r="O735" s="227" t="s">
        <v>4663</v>
      </c>
      <c r="P735" s="227" t="s">
        <v>4664</v>
      </c>
      <c r="Q735" s="227"/>
      <c r="R735" s="227"/>
      <c r="S735" s="227"/>
      <c r="T735" s="221" t="s">
        <v>3258</v>
      </c>
      <c r="U735" s="221">
        <v>0</v>
      </c>
      <c r="V735" s="221" t="s">
        <v>3337</v>
      </c>
      <c r="W735" s="221" t="s">
        <v>3338</v>
      </c>
      <c r="X735" s="227"/>
      <c r="Y735" s="227"/>
      <c r="Z735" s="227" t="str">
        <f t="shared" si="33"/>
        <v>LESANPURO RW 06 MALANG</v>
      </c>
      <c r="AA735" s="276" t="e">
        <f>VLOOKUP(Logfile_S12[[#This Row],[DO number]],DO_DB!G:I,3,0)</f>
        <v>#N/A</v>
      </c>
      <c r="AB735" s="331" t="e">
        <f>EXACT(Logfile_S12[[#This Row],[date pick]],Logfile_S12[[#This Row],[Date]])</f>
        <v>#N/A</v>
      </c>
      <c r="AC7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36" spans="1:29" ht="14.5" hidden="1">
      <c r="A736" s="228" t="str">
        <f t="shared" si="32"/>
        <v>732</v>
      </c>
      <c r="B736" s="229">
        <v>3</v>
      </c>
      <c r="C736" s="230" t="s">
        <v>48</v>
      </c>
      <c r="D736" s="230" t="s">
        <v>4678</v>
      </c>
      <c r="E736" s="230" t="s">
        <v>3295</v>
      </c>
      <c r="F736" s="230" t="s">
        <v>3299</v>
      </c>
      <c r="G736" s="231">
        <v>45956</v>
      </c>
      <c r="H736" s="232">
        <v>0.33333333333333331</v>
      </c>
      <c r="I736" s="229" t="s">
        <v>38</v>
      </c>
      <c r="J736" s="230" t="s">
        <v>3024</v>
      </c>
      <c r="K736" s="233" t="s">
        <v>3087</v>
      </c>
      <c r="L736" s="234" t="str">
        <f>VLOOKUP(Logfile_S12[[#This Row],[Material Name]],Sheet2!B:C,2,0)</f>
        <v>GCI1001</v>
      </c>
      <c r="M736" s="234" t="s">
        <v>19</v>
      </c>
      <c r="N736" s="230">
        <v>23</v>
      </c>
      <c r="O736" s="230" t="s">
        <v>4429</v>
      </c>
      <c r="P736" s="230" t="s">
        <v>4429</v>
      </c>
      <c r="Q736" s="230"/>
      <c r="R736" s="230"/>
      <c r="S736" s="230"/>
      <c r="T736" s="230"/>
      <c r="U736" s="230"/>
      <c r="V736" s="230"/>
      <c r="W736" s="230"/>
      <c r="X736" s="230" t="s">
        <v>4429</v>
      </c>
      <c r="Y736" s="227"/>
      <c r="Z736" s="227" t="str">
        <f t="shared" si="33"/>
        <v>ADJUSTMENT</v>
      </c>
      <c r="AA736" s="276" t="e">
        <f>VLOOKUP(Logfile_S12[[#This Row],[DO number]],DO_DB!G:I,3,0)</f>
        <v>#N/A</v>
      </c>
      <c r="AB736" s="331" t="e">
        <f>EXACT(Logfile_S12[[#This Row],[date pick]],Logfile_S12[[#This Row],[Date]])</f>
        <v>#N/A</v>
      </c>
      <c r="AC7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37" spans="1:29" ht="14.5" hidden="1">
      <c r="A737" s="228" t="str">
        <f t="shared" si="32"/>
        <v>733</v>
      </c>
      <c r="B737" s="229">
        <v>1</v>
      </c>
      <c r="C737" s="230" t="s">
        <v>48</v>
      </c>
      <c r="D737" s="230" t="s">
        <v>4769</v>
      </c>
      <c r="E737" s="230" t="s">
        <v>3295</v>
      </c>
      <c r="F737" s="230" t="s">
        <v>3299</v>
      </c>
      <c r="G737" s="231">
        <v>45967</v>
      </c>
      <c r="H737" s="232">
        <v>0.33333333333333331</v>
      </c>
      <c r="I737" s="229" t="s">
        <v>38</v>
      </c>
      <c r="J737" s="230" t="s">
        <v>3024</v>
      </c>
      <c r="K737" s="233" t="s">
        <v>3087</v>
      </c>
      <c r="L737" s="234" t="str">
        <f>VLOOKUP(Logfile_S12[[#This Row],[Material Name]],Sheet2!B:C,2,0)</f>
        <v>GCI1001</v>
      </c>
      <c r="M737" s="234" t="s">
        <v>19</v>
      </c>
      <c r="N737" s="230">
        <v>2</v>
      </c>
      <c r="O737" s="230" t="s">
        <v>4429</v>
      </c>
      <c r="P737" s="230" t="s">
        <v>4429</v>
      </c>
      <c r="Q737" s="230"/>
      <c r="R737" s="230"/>
      <c r="S737" s="230"/>
      <c r="T737" s="230"/>
      <c r="U737" s="230"/>
      <c r="V737" s="230"/>
      <c r="W737" s="230"/>
      <c r="X737" s="230" t="s">
        <v>4429</v>
      </c>
      <c r="Y737" s="227"/>
      <c r="Z737" s="227" t="str">
        <f t="shared" si="33"/>
        <v>ADJUSTMENT</v>
      </c>
      <c r="AA737" s="276" t="e">
        <f>VLOOKUP(Logfile_S12[[#This Row],[DO number]],DO_DB!G:I,3,0)</f>
        <v>#N/A</v>
      </c>
      <c r="AB737" s="331" t="e">
        <f>EXACT(Logfile_S12[[#This Row],[date pick]],Logfile_S12[[#This Row],[Date]])</f>
        <v>#N/A</v>
      </c>
      <c r="AC7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38" spans="1:29" ht="14.5" hidden="1">
      <c r="A738" s="228" t="str">
        <f t="shared" si="32"/>
        <v>734</v>
      </c>
      <c r="B738" s="229">
        <v>1</v>
      </c>
      <c r="C738" s="230" t="s">
        <v>48</v>
      </c>
      <c r="D738" s="230" t="s">
        <v>4684</v>
      </c>
      <c r="E738" s="230" t="s">
        <v>3295</v>
      </c>
      <c r="F738" s="230" t="s">
        <v>3299</v>
      </c>
      <c r="G738" s="231">
        <v>45967</v>
      </c>
      <c r="H738" s="232">
        <v>0.33333333333333331</v>
      </c>
      <c r="I738" s="229" t="s">
        <v>38</v>
      </c>
      <c r="J738" s="230" t="s">
        <v>3024</v>
      </c>
      <c r="K738" s="233" t="s">
        <v>3087</v>
      </c>
      <c r="L738" s="234" t="str">
        <f>VLOOKUP(Logfile_S12[[#This Row],[Material Name]],Sheet2!B:C,2,0)</f>
        <v>GCI1001</v>
      </c>
      <c r="M738" s="234" t="s">
        <v>19</v>
      </c>
      <c r="N738" s="230">
        <v>51</v>
      </c>
      <c r="O738" s="230" t="s">
        <v>4429</v>
      </c>
      <c r="P738" s="230" t="s">
        <v>4429</v>
      </c>
      <c r="Q738" s="230"/>
      <c r="R738" s="230"/>
      <c r="S738" s="230"/>
      <c r="T738" s="230"/>
      <c r="U738" s="230"/>
      <c r="V738" s="230"/>
      <c r="W738" s="230"/>
      <c r="X738" s="230" t="s">
        <v>4429</v>
      </c>
      <c r="Y738" s="227"/>
      <c r="Z738" s="227" t="str">
        <f t="shared" si="33"/>
        <v>ADJUSTMENT</v>
      </c>
      <c r="AA738" s="276" t="e">
        <f>VLOOKUP(Logfile_S12[[#This Row],[DO number]],DO_DB!G:I,3,0)</f>
        <v>#N/A</v>
      </c>
      <c r="AB738" s="331" t="e">
        <f>EXACT(Logfile_S12[[#This Row],[date pick]],Logfile_S12[[#This Row],[Date]])</f>
        <v>#N/A</v>
      </c>
      <c r="AC7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39" spans="1:29" ht="14.5" hidden="1">
      <c r="A739" s="237" t="str">
        <f t="shared" si="32"/>
        <v>735</v>
      </c>
      <c r="B739" s="221">
        <v>2</v>
      </c>
      <c r="C739" s="227" t="s">
        <v>49</v>
      </c>
      <c r="D739" s="227" t="s">
        <v>4686</v>
      </c>
      <c r="E739" s="227" t="s">
        <v>3295</v>
      </c>
      <c r="F739" s="227" t="s">
        <v>3299</v>
      </c>
      <c r="G739" s="239">
        <v>45970</v>
      </c>
      <c r="H739" s="240">
        <v>0.80555555555555558</v>
      </c>
      <c r="I739" s="227" t="s">
        <v>3295</v>
      </c>
      <c r="J739" s="227" t="s">
        <v>3024</v>
      </c>
      <c r="K739" s="241" t="s">
        <v>3087</v>
      </c>
      <c r="L739" s="225" t="str">
        <f>VLOOKUP(Logfile_S12[[#This Row],[Material Name]],Sheet2!B:C,2,0)</f>
        <v>GCI1001</v>
      </c>
      <c r="M739" s="242" t="s">
        <v>19</v>
      </c>
      <c r="N739" s="227">
        <v>53</v>
      </c>
      <c r="O739" s="227" t="s">
        <v>3260</v>
      </c>
      <c r="P739" s="227"/>
      <c r="Q739" s="227" t="s">
        <v>3260</v>
      </c>
      <c r="R739" s="227" t="s">
        <v>3260</v>
      </c>
      <c r="S739" s="227"/>
      <c r="T739" s="221" t="s">
        <v>3258</v>
      </c>
      <c r="U739" s="221">
        <v>0</v>
      </c>
      <c r="V739" s="221" t="s">
        <v>3337</v>
      </c>
      <c r="W739" s="221" t="s">
        <v>3338</v>
      </c>
      <c r="X739" s="227"/>
      <c r="Y739" s="227"/>
      <c r="Z739" s="227">
        <f t="shared" si="33"/>
        <v>0</v>
      </c>
      <c r="AA739" s="276" t="e">
        <f>VLOOKUP(Logfile_S12[[#This Row],[DO number]],DO_DB!G:I,3,0)</f>
        <v>#N/A</v>
      </c>
      <c r="AB739" s="331" t="e">
        <f>EXACT(Logfile_S12[[#This Row],[date pick]],Logfile_S12[[#This Row],[Date]])</f>
        <v>#N/A</v>
      </c>
      <c r="AC7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40" spans="1:29" ht="14.5" hidden="1">
      <c r="A740" s="237" t="str">
        <f t="shared" si="32"/>
        <v>736</v>
      </c>
      <c r="B740" s="221">
        <v>2</v>
      </c>
      <c r="C740" s="227" t="s">
        <v>48</v>
      </c>
      <c r="D740" s="227" t="s">
        <v>4727</v>
      </c>
      <c r="E740" s="227" t="s">
        <v>3295</v>
      </c>
      <c r="F740" s="227" t="s">
        <v>3299</v>
      </c>
      <c r="G740" s="239">
        <v>45987</v>
      </c>
      <c r="H740" s="240">
        <v>0.66736111111111107</v>
      </c>
      <c r="I740" s="227" t="s">
        <v>38</v>
      </c>
      <c r="J740" s="227" t="s">
        <v>3024</v>
      </c>
      <c r="K740" s="241" t="s">
        <v>3087</v>
      </c>
      <c r="L740" s="225" t="str">
        <f>VLOOKUP(Logfile_S12[[#This Row],[Material Name]],Sheet2!B:C,2,0)</f>
        <v>GCI1001</v>
      </c>
      <c r="M740" s="242" t="s">
        <v>19</v>
      </c>
      <c r="N740" s="227">
        <v>52</v>
      </c>
      <c r="O740" s="227" t="s">
        <v>3260</v>
      </c>
      <c r="P740" s="227"/>
      <c r="Q740" s="227" t="s">
        <v>3260</v>
      </c>
      <c r="R740" s="227" t="s">
        <v>3260</v>
      </c>
      <c r="S740" s="227"/>
      <c r="T740" s="227"/>
      <c r="U740" s="227"/>
      <c r="V740" s="227"/>
      <c r="W740" s="227"/>
      <c r="X740" s="227"/>
      <c r="Y740" s="227"/>
      <c r="Z740" s="227">
        <f t="shared" si="33"/>
        <v>0</v>
      </c>
      <c r="AA740" s="276" t="e">
        <f>VLOOKUP(Logfile_S12[[#This Row],[DO number]],DO_DB!G:I,3,0)</f>
        <v>#N/A</v>
      </c>
      <c r="AB740" s="331" t="e">
        <f>EXACT(Logfile_S12[[#This Row],[date pick]],Logfile_S12[[#This Row],[Date]])</f>
        <v>#N/A</v>
      </c>
      <c r="AC7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41" spans="1:29" ht="14.5" hidden="1">
      <c r="A741" s="237" t="str">
        <f t="shared" si="32"/>
        <v>737</v>
      </c>
      <c r="B741" s="221">
        <v>1</v>
      </c>
      <c r="C741" s="227" t="s">
        <v>49</v>
      </c>
      <c r="D741" s="227" t="s">
        <v>4728</v>
      </c>
      <c r="E741" s="227" t="s">
        <v>3295</v>
      </c>
      <c r="F741" s="227" t="s">
        <v>3299</v>
      </c>
      <c r="G741" s="239">
        <v>45991</v>
      </c>
      <c r="H741" s="240">
        <v>0.66666666666666663</v>
      </c>
      <c r="I741" s="227" t="s">
        <v>3295</v>
      </c>
      <c r="J741" s="227" t="s">
        <v>3024</v>
      </c>
      <c r="K741" s="241" t="s">
        <v>3087</v>
      </c>
      <c r="L741" s="225" t="str">
        <f>VLOOKUP(Logfile_S12[[#This Row],[Material Name]],Sheet2!B:C,2,0)</f>
        <v>GCI1001</v>
      </c>
      <c r="M741" s="242" t="s">
        <v>19</v>
      </c>
      <c r="N741" s="227">
        <v>2</v>
      </c>
      <c r="O741" s="227" t="s">
        <v>4663</v>
      </c>
      <c r="P741" s="227" t="s">
        <v>4664</v>
      </c>
      <c r="Q741" s="227"/>
      <c r="R741" s="227"/>
      <c r="S741" s="227"/>
      <c r="T741" s="221" t="s">
        <v>3258</v>
      </c>
      <c r="U741" s="221" t="s">
        <v>4811</v>
      </c>
      <c r="V741" s="221" t="s">
        <v>3337</v>
      </c>
      <c r="W741" s="221" t="s">
        <v>3338</v>
      </c>
      <c r="X741" s="227" t="s">
        <v>4729</v>
      </c>
      <c r="Y741" s="227"/>
      <c r="Z741" s="227" t="str">
        <f t="shared" si="33"/>
        <v>LESANPURO RW 06 MALANG</v>
      </c>
      <c r="AA741" s="276" t="e">
        <f>VLOOKUP(Logfile_S12[[#This Row],[DO number]],DO_DB!G:I,3,0)</f>
        <v>#N/A</v>
      </c>
      <c r="AB741" s="331" t="e">
        <f>EXACT(Logfile_S12[[#This Row],[date pick]],Logfile_S12[[#This Row],[Date]])</f>
        <v>#N/A</v>
      </c>
      <c r="AC7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42" spans="1:29" ht="14.5" hidden="1">
      <c r="A742" s="237" t="str">
        <f t="shared" si="32"/>
        <v>738</v>
      </c>
      <c r="B742" s="221">
        <v>3</v>
      </c>
      <c r="C742" s="227" t="s">
        <v>49</v>
      </c>
      <c r="D742" s="227" t="s">
        <v>4737</v>
      </c>
      <c r="E742" s="227" t="s">
        <v>3295</v>
      </c>
      <c r="F742" s="227" t="s">
        <v>3299</v>
      </c>
      <c r="G742" s="239">
        <v>46006</v>
      </c>
      <c r="H742" s="240">
        <v>0.36805555555555558</v>
      </c>
      <c r="I742" s="227" t="s">
        <v>3295</v>
      </c>
      <c r="J742" s="227" t="s">
        <v>3024</v>
      </c>
      <c r="K742" s="241" t="s">
        <v>3087</v>
      </c>
      <c r="L742" s="225" t="str">
        <f>VLOOKUP(Logfile_S12[[#This Row],[Material Name]],Sheet2!B:C,2,0)</f>
        <v>GCI1001</v>
      </c>
      <c r="M742" s="242" t="s">
        <v>19</v>
      </c>
      <c r="N742" s="227">
        <v>52</v>
      </c>
      <c r="O742" s="227" t="s">
        <v>3260</v>
      </c>
      <c r="P742" s="227"/>
      <c r="Q742" s="227" t="s">
        <v>3260</v>
      </c>
      <c r="R742" s="227" t="s">
        <v>3260</v>
      </c>
      <c r="S742" s="227"/>
      <c r="T742" s="221" t="s">
        <v>3258</v>
      </c>
      <c r="U742" s="221" t="s">
        <v>4811</v>
      </c>
      <c r="V742" s="221" t="s">
        <v>3337</v>
      </c>
      <c r="W742" s="221" t="s">
        <v>3338</v>
      </c>
      <c r="X742" s="227"/>
      <c r="Y742" s="227"/>
      <c r="Z742" s="227">
        <f t="shared" si="33"/>
        <v>0</v>
      </c>
      <c r="AA742" s="276" t="e">
        <f>VLOOKUP(Logfile_S12[[#This Row],[DO number]],DO_DB!G:I,3,0)</f>
        <v>#N/A</v>
      </c>
      <c r="AB742" s="331" t="e">
        <f>EXACT(Logfile_S12[[#This Row],[date pick]],Logfile_S12[[#This Row],[Date]])</f>
        <v>#N/A</v>
      </c>
      <c r="AC7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43" spans="1:29" ht="14.5" hidden="1">
      <c r="A743" s="237" t="str">
        <f t="shared" si="32"/>
        <v>739</v>
      </c>
      <c r="B743" s="221">
        <v>1</v>
      </c>
      <c r="C743" s="227" t="s">
        <v>48</v>
      </c>
      <c r="D743" s="227" t="s">
        <v>4778</v>
      </c>
      <c r="E743" s="227" t="s">
        <v>3295</v>
      </c>
      <c r="F743" s="227" t="s">
        <v>3299</v>
      </c>
      <c r="G743" s="239">
        <v>46014</v>
      </c>
      <c r="H743" s="240">
        <v>0.33333333333333331</v>
      </c>
      <c r="I743" s="221" t="s">
        <v>38</v>
      </c>
      <c r="J743" s="227" t="s">
        <v>3024</v>
      </c>
      <c r="K743" s="241" t="s">
        <v>3087</v>
      </c>
      <c r="L743" s="225" t="str">
        <f>VLOOKUP(Logfile_S12[[#This Row],[Material Name]],Sheet2!B:C,2,0)</f>
        <v>GCI1001</v>
      </c>
      <c r="M743" s="242" t="s">
        <v>19</v>
      </c>
      <c r="N743" s="227">
        <v>234</v>
      </c>
      <c r="O743" s="227"/>
      <c r="P743" s="227"/>
      <c r="Q743" s="227"/>
      <c r="R743" s="227"/>
      <c r="S743" s="227"/>
      <c r="T743" s="227"/>
      <c r="U743" s="227"/>
      <c r="V743" s="227"/>
      <c r="W743" s="227"/>
      <c r="X743" s="227"/>
      <c r="Y743" s="227"/>
      <c r="Z743" s="227">
        <f t="shared" si="33"/>
        <v>0</v>
      </c>
      <c r="AA743" s="276" t="e">
        <f>VLOOKUP(Logfile_S12[[#This Row],[DO number]],DO_DB!G:I,3,0)</f>
        <v>#N/A</v>
      </c>
      <c r="AB743" s="331" t="e">
        <f>EXACT(Logfile_S12[[#This Row],[date pick]],Logfile_S12[[#This Row],[Date]])</f>
        <v>#N/A</v>
      </c>
      <c r="AC7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44" spans="1:29" ht="14.5" hidden="1">
      <c r="A744" s="237" t="str">
        <f t="shared" si="32"/>
        <v>740</v>
      </c>
      <c r="B744" s="221">
        <v>4</v>
      </c>
      <c r="C744" s="227" t="s">
        <v>49</v>
      </c>
      <c r="D744" s="227" t="s">
        <v>4777</v>
      </c>
      <c r="E744" s="227" t="s">
        <v>3295</v>
      </c>
      <c r="F744" s="227" t="s">
        <v>3299</v>
      </c>
      <c r="G744" s="239">
        <v>46016</v>
      </c>
      <c r="H744" s="240">
        <v>0.50902777777777775</v>
      </c>
      <c r="I744" s="227" t="s">
        <v>3295</v>
      </c>
      <c r="J744" s="227" t="s">
        <v>3024</v>
      </c>
      <c r="K744" s="241" t="s">
        <v>3087</v>
      </c>
      <c r="L744" s="225" t="str">
        <f>VLOOKUP(Logfile_S12[[#This Row],[Material Name]],Sheet2!B:C,2,0)</f>
        <v>GCI1001</v>
      </c>
      <c r="M744" s="242" t="s">
        <v>19</v>
      </c>
      <c r="N744" s="227">
        <v>234</v>
      </c>
      <c r="O744" s="227"/>
      <c r="P744" s="227"/>
      <c r="Q744" s="227"/>
      <c r="R744" s="227"/>
      <c r="S744" s="227"/>
      <c r="T744" s="221" t="s">
        <v>3258</v>
      </c>
      <c r="U744" s="221" t="s">
        <v>4811</v>
      </c>
      <c r="V744" s="221" t="s">
        <v>3337</v>
      </c>
      <c r="W744" s="221" t="s">
        <v>3338</v>
      </c>
      <c r="X744" s="227"/>
      <c r="Y744" s="227"/>
      <c r="Z744" s="227">
        <f t="shared" si="33"/>
        <v>0</v>
      </c>
      <c r="AA744" s="276" t="e">
        <f>VLOOKUP(Logfile_S12[[#This Row],[DO number]],DO_DB!G:I,3,0)</f>
        <v>#N/A</v>
      </c>
      <c r="AB744" s="331" t="e">
        <f>EXACT(Logfile_S12[[#This Row],[date pick]],Logfile_S12[[#This Row],[Date]])</f>
        <v>#N/A</v>
      </c>
      <c r="AC7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45" spans="1:29" ht="14.5" hidden="1">
      <c r="A745" s="220" t="str">
        <f t="shared" si="32"/>
        <v>741</v>
      </c>
      <c r="B745" s="221"/>
      <c r="C745" s="221" t="s">
        <v>48</v>
      </c>
      <c r="D745" s="221" t="s">
        <v>3683</v>
      </c>
      <c r="E745" s="221" t="s">
        <v>3295</v>
      </c>
      <c r="F745" s="221" t="s">
        <v>3299</v>
      </c>
      <c r="G745" s="222">
        <v>45147</v>
      </c>
      <c r="H745" s="223">
        <v>15.291666666666666</v>
      </c>
      <c r="I745" s="221" t="s">
        <v>38</v>
      </c>
      <c r="J745" s="221" t="s">
        <v>3024</v>
      </c>
      <c r="K745" s="224" t="s">
        <v>5137</v>
      </c>
      <c r="L745" s="225" t="str">
        <f>VLOOKUP(Logfile_S12[[#This Row],[Material Name]],Sheet2!B:C,2,0)</f>
        <v>GCI1009</v>
      </c>
      <c r="M745" s="225" t="str">
        <f>_xlfn.XLOOKUP(Logfile_S12[[#This Row],[Material Name]],Sum_WH!E:E,Sum_WH!F:F,"",0)</f>
        <v>Pcs</v>
      </c>
      <c r="N745" s="221">
        <v>35</v>
      </c>
      <c r="O745" s="221" t="s">
        <v>84</v>
      </c>
      <c r="P745" s="221" t="s">
        <v>85</v>
      </c>
      <c r="Q745" s="221">
        <v>0</v>
      </c>
      <c r="R745" s="221">
        <v>0</v>
      </c>
      <c r="S745" s="221"/>
      <c r="T745" s="221"/>
      <c r="U745" s="221"/>
      <c r="V745" s="221"/>
      <c r="W745" s="221"/>
      <c r="X745" s="221"/>
      <c r="Y745" s="227"/>
      <c r="Z745" s="227" t="str">
        <f t="shared" si="33"/>
        <v>Perumahan Bumi Podo Rukun Dau</v>
      </c>
      <c r="AA745" s="276" t="e">
        <f>VLOOKUP(Logfile_S12[[#This Row],[DO number]],DO_DB!G:I,3,0)</f>
        <v>#N/A</v>
      </c>
      <c r="AB745" s="331" t="e">
        <f>EXACT(Logfile_S12[[#This Row],[date pick]],Logfile_S12[[#This Row],[Date]])</f>
        <v>#N/A</v>
      </c>
      <c r="AC7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46" spans="1:29" ht="14.5" hidden="1">
      <c r="A746" s="220" t="str">
        <f t="shared" si="32"/>
        <v>742</v>
      </c>
      <c r="B746" s="221"/>
      <c r="C746" s="221" t="s">
        <v>49</v>
      </c>
      <c r="D746" s="221" t="s">
        <v>3684</v>
      </c>
      <c r="E746" s="221" t="s">
        <v>3295</v>
      </c>
      <c r="F746" s="221" t="s">
        <v>3299</v>
      </c>
      <c r="G746" s="222">
        <v>45148</v>
      </c>
      <c r="H746" s="223">
        <v>15.692638888888888</v>
      </c>
      <c r="I746" s="221" t="s">
        <v>4916</v>
      </c>
      <c r="J746" s="221" t="s">
        <v>3024</v>
      </c>
      <c r="K746" s="224" t="s">
        <v>5137</v>
      </c>
      <c r="L746" s="225" t="str">
        <f>VLOOKUP(Logfile_S12[[#This Row],[Material Name]],Sheet2!B:C,2,0)</f>
        <v>GCI1009</v>
      </c>
      <c r="M746" s="225" t="str">
        <f>_xlfn.XLOOKUP(Logfile_S12[[#This Row],[Material Name]],Sum_WH!E:E,Sum_WH!F:F,"",0)</f>
        <v>Pcs</v>
      </c>
      <c r="N746" s="221">
        <v>35</v>
      </c>
      <c r="O746" s="221" t="s">
        <v>84</v>
      </c>
      <c r="P746" s="221" t="s">
        <v>85</v>
      </c>
      <c r="Q746" s="221"/>
      <c r="R746" s="221"/>
      <c r="S746" s="221"/>
      <c r="T746" s="221" t="s">
        <v>3305</v>
      </c>
      <c r="U746" s="221" t="s">
        <v>3228</v>
      </c>
      <c r="V746" s="221" t="s">
        <v>3306</v>
      </c>
      <c r="W746" s="221" t="s">
        <v>3307</v>
      </c>
      <c r="X746" s="221"/>
      <c r="Y746" s="227"/>
      <c r="Z746" s="227" t="str">
        <f t="shared" si="33"/>
        <v>Perumahan Bumi Podo Rukun Dau</v>
      </c>
      <c r="AA746" s="276" t="e">
        <f>VLOOKUP(Logfile_S12[[#This Row],[DO number]],DO_DB!G:I,3,0)</f>
        <v>#N/A</v>
      </c>
      <c r="AB746" s="331" t="e">
        <f>EXACT(Logfile_S12[[#This Row],[date pick]],Logfile_S12[[#This Row],[Date]])</f>
        <v>#N/A</v>
      </c>
      <c r="AC7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47" spans="1:29" ht="14.5" hidden="1">
      <c r="A747" s="220" t="str">
        <f t="shared" si="32"/>
        <v>743</v>
      </c>
      <c r="B747" s="221"/>
      <c r="C747" s="221" t="s">
        <v>48</v>
      </c>
      <c r="D747" s="221" t="s">
        <v>3686</v>
      </c>
      <c r="E747" s="221" t="s">
        <v>3295</v>
      </c>
      <c r="F747" s="221" t="s">
        <v>3299</v>
      </c>
      <c r="G747" s="222">
        <v>45152</v>
      </c>
      <c r="H747" s="223">
        <v>15.291666666666666</v>
      </c>
      <c r="I747" s="221" t="s">
        <v>38</v>
      </c>
      <c r="J747" s="221" t="s">
        <v>3024</v>
      </c>
      <c r="K747" s="224" t="s">
        <v>5137</v>
      </c>
      <c r="L747" s="225" t="str">
        <f>VLOOKUP(Logfile_S12[[#This Row],[Material Name]],Sheet2!B:C,2,0)</f>
        <v>GCI1009</v>
      </c>
      <c r="M747" s="225" t="str">
        <f>_xlfn.XLOOKUP(Logfile_S12[[#This Row],[Material Name]],Sum_WH!E:E,Sum_WH!F:F,"",0)</f>
        <v>Pcs</v>
      </c>
      <c r="N747" s="221">
        <v>60</v>
      </c>
      <c r="O747" s="221" t="s">
        <v>84</v>
      </c>
      <c r="P747" s="221" t="s">
        <v>85</v>
      </c>
      <c r="Q747" s="221">
        <v>0</v>
      </c>
      <c r="R747" s="221">
        <v>0</v>
      </c>
      <c r="S747" s="221"/>
      <c r="T747" s="221"/>
      <c r="U747" s="221"/>
      <c r="V747" s="221"/>
      <c r="W747" s="221"/>
      <c r="X747" s="221"/>
      <c r="Y747" s="227"/>
      <c r="Z747" s="227" t="str">
        <f t="shared" si="33"/>
        <v>Perumahan Bumi Podo Rukun Dau</v>
      </c>
      <c r="AA747" s="276" t="e">
        <f>VLOOKUP(Logfile_S12[[#This Row],[DO number]],DO_DB!G:I,3,0)</f>
        <v>#N/A</v>
      </c>
      <c r="AB747" s="331" t="e">
        <f>EXACT(Logfile_S12[[#This Row],[date pick]],Logfile_S12[[#This Row],[Date]])</f>
        <v>#N/A</v>
      </c>
      <c r="AC7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48" spans="1:29" ht="14.5" hidden="1">
      <c r="A748" s="220" t="str">
        <f t="shared" si="32"/>
        <v>744</v>
      </c>
      <c r="B748" s="221"/>
      <c r="C748" s="221" t="s">
        <v>49</v>
      </c>
      <c r="D748" s="221" t="s">
        <v>3687</v>
      </c>
      <c r="E748" s="221" t="s">
        <v>3295</v>
      </c>
      <c r="F748" s="221" t="s">
        <v>3299</v>
      </c>
      <c r="G748" s="222">
        <v>45154</v>
      </c>
      <c r="H748" s="223">
        <v>15.3725</v>
      </c>
      <c r="I748" s="221" t="s">
        <v>4916</v>
      </c>
      <c r="J748" s="221" t="s">
        <v>3024</v>
      </c>
      <c r="K748" s="224" t="s">
        <v>5137</v>
      </c>
      <c r="L748" s="225" t="str">
        <f>VLOOKUP(Logfile_S12[[#This Row],[Material Name]],Sheet2!B:C,2,0)</f>
        <v>GCI1009</v>
      </c>
      <c r="M748" s="225" t="str">
        <f>_xlfn.XLOOKUP(Logfile_S12[[#This Row],[Material Name]],Sum_WH!E:E,Sum_WH!F:F,"",0)</f>
        <v>Pcs</v>
      </c>
      <c r="N748" s="221">
        <v>60</v>
      </c>
      <c r="O748" s="221" t="s">
        <v>84</v>
      </c>
      <c r="P748" s="221" t="s">
        <v>85</v>
      </c>
      <c r="Q748" s="221"/>
      <c r="R748" s="221"/>
      <c r="S748" s="221"/>
      <c r="T748" s="221" t="s">
        <v>3305</v>
      </c>
      <c r="U748" s="221" t="s">
        <v>3228</v>
      </c>
      <c r="V748" s="221" t="s">
        <v>3306</v>
      </c>
      <c r="W748" s="221" t="s">
        <v>3307</v>
      </c>
      <c r="X748" s="221"/>
      <c r="Y748" s="227"/>
      <c r="Z748" s="227" t="str">
        <f t="shared" si="33"/>
        <v>Perumahan Bumi Podo Rukun Dau</v>
      </c>
      <c r="AA748" s="276" t="e">
        <f>VLOOKUP(Logfile_S12[[#This Row],[DO number]],DO_DB!G:I,3,0)</f>
        <v>#N/A</v>
      </c>
      <c r="AB748" s="331" t="e">
        <f>EXACT(Logfile_S12[[#This Row],[date pick]],Logfile_S12[[#This Row],[Date]])</f>
        <v>#N/A</v>
      </c>
      <c r="AC7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49" spans="1:29" ht="14.5" hidden="1">
      <c r="A749" s="220" t="str">
        <f t="shared" si="32"/>
        <v>745</v>
      </c>
      <c r="B749" s="221"/>
      <c r="C749" s="221" t="s">
        <v>48</v>
      </c>
      <c r="D749" s="221" t="s">
        <v>3689</v>
      </c>
      <c r="E749" s="221" t="s">
        <v>3295</v>
      </c>
      <c r="F749" s="221" t="s">
        <v>3299</v>
      </c>
      <c r="G749" s="222">
        <v>45157</v>
      </c>
      <c r="H749" s="223">
        <v>15.291666666666666</v>
      </c>
      <c r="I749" s="221" t="s">
        <v>38</v>
      </c>
      <c r="J749" s="221" t="s">
        <v>3024</v>
      </c>
      <c r="K749" s="224" t="s">
        <v>5137</v>
      </c>
      <c r="L749" s="225" t="str">
        <f>VLOOKUP(Logfile_S12[[#This Row],[Material Name]],Sheet2!B:C,2,0)</f>
        <v>GCI1009</v>
      </c>
      <c r="M749" s="225" t="str">
        <f>_xlfn.XLOOKUP(Logfile_S12[[#This Row],[Material Name]],Sum_WH!E:E,Sum_WH!F:F,"",0)</f>
        <v>Pcs</v>
      </c>
      <c r="N749" s="221">
        <v>45</v>
      </c>
      <c r="O749" s="221" t="s">
        <v>84</v>
      </c>
      <c r="P749" s="221" t="s">
        <v>85</v>
      </c>
      <c r="Q749" s="221">
        <v>0</v>
      </c>
      <c r="R749" s="221">
        <v>0</v>
      </c>
      <c r="S749" s="221"/>
      <c r="T749" s="221"/>
      <c r="U749" s="221"/>
      <c r="V749" s="221"/>
      <c r="W749" s="221"/>
      <c r="X749" s="221"/>
      <c r="Y749" s="227"/>
      <c r="Z749" s="227" t="str">
        <f t="shared" si="33"/>
        <v>Perumahan Bumi Podo Rukun Dau</v>
      </c>
      <c r="AA749" s="276" t="e">
        <f>VLOOKUP(Logfile_S12[[#This Row],[DO number]],DO_DB!G:I,3,0)</f>
        <v>#N/A</v>
      </c>
      <c r="AB749" s="331" t="e">
        <f>EXACT(Logfile_S12[[#This Row],[date pick]],Logfile_S12[[#This Row],[Date]])</f>
        <v>#N/A</v>
      </c>
      <c r="AC7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50" spans="1:29" ht="14.5" hidden="1">
      <c r="A750" s="220" t="str">
        <f t="shared" si="32"/>
        <v>746</v>
      </c>
      <c r="B750" s="221"/>
      <c r="C750" s="221" t="s">
        <v>49</v>
      </c>
      <c r="D750" s="221" t="s">
        <v>3690</v>
      </c>
      <c r="E750" s="221" t="s">
        <v>3295</v>
      </c>
      <c r="F750" s="221" t="s">
        <v>3299</v>
      </c>
      <c r="G750" s="222">
        <v>45158</v>
      </c>
      <c r="H750" s="223">
        <v>0.3527777777777778</v>
      </c>
      <c r="I750" s="221" t="s">
        <v>4916</v>
      </c>
      <c r="J750" s="221" t="s">
        <v>3024</v>
      </c>
      <c r="K750" s="224" t="s">
        <v>5137</v>
      </c>
      <c r="L750" s="225" t="str">
        <f>VLOOKUP(Logfile_S12[[#This Row],[Material Name]],Sheet2!B:C,2,0)</f>
        <v>GCI1009</v>
      </c>
      <c r="M750" s="225" t="str">
        <f>_xlfn.XLOOKUP(Logfile_S12[[#This Row],[Material Name]],Sum_WH!E:E,Sum_WH!F:F,"",0)</f>
        <v>Pcs</v>
      </c>
      <c r="N750" s="221">
        <v>45</v>
      </c>
      <c r="O750" s="221" t="s">
        <v>84</v>
      </c>
      <c r="P750" s="221" t="s">
        <v>85</v>
      </c>
      <c r="Q750" s="221"/>
      <c r="R750" s="221"/>
      <c r="S750" s="221"/>
      <c r="T750" s="221" t="s">
        <v>3339</v>
      </c>
      <c r="U750" s="221" t="s">
        <v>3228</v>
      </c>
      <c r="V750" s="221" t="s">
        <v>3340</v>
      </c>
      <c r="W750" s="221" t="s">
        <v>3341</v>
      </c>
      <c r="X750" s="221"/>
      <c r="Y750" s="227"/>
      <c r="Z750" s="227" t="str">
        <f t="shared" si="33"/>
        <v>Perumahan Bumi Podo Rukun Dau</v>
      </c>
      <c r="AA750" s="276" t="e">
        <f>VLOOKUP(Logfile_S12[[#This Row],[DO number]],DO_DB!G:I,3,0)</f>
        <v>#N/A</v>
      </c>
      <c r="AB750" s="331" t="e">
        <f>EXACT(Logfile_S12[[#This Row],[date pick]],Logfile_S12[[#This Row],[Date]])</f>
        <v>#N/A</v>
      </c>
      <c r="AC7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51" spans="1:29" ht="14.5" hidden="1">
      <c r="A751" s="220" t="str">
        <f t="shared" si="32"/>
        <v>747</v>
      </c>
      <c r="B751" s="221"/>
      <c r="C751" s="221" t="s">
        <v>48</v>
      </c>
      <c r="D751" s="221" t="s">
        <v>3691</v>
      </c>
      <c r="E751" s="221" t="s">
        <v>3295</v>
      </c>
      <c r="F751" s="221" t="s">
        <v>3299</v>
      </c>
      <c r="G751" s="222">
        <v>45162</v>
      </c>
      <c r="H751" s="223">
        <v>15.291666666666666</v>
      </c>
      <c r="I751" s="221" t="s">
        <v>38</v>
      </c>
      <c r="J751" s="221" t="s">
        <v>3024</v>
      </c>
      <c r="K751" s="224" t="s">
        <v>5137</v>
      </c>
      <c r="L751" s="225" t="str">
        <f>VLOOKUP(Logfile_S12[[#This Row],[Material Name]],Sheet2!B:C,2,0)</f>
        <v>GCI1009</v>
      </c>
      <c r="M751" s="225" t="str">
        <f>_xlfn.XLOOKUP(Logfile_S12[[#This Row],[Material Name]],Sum_WH!E:E,Sum_WH!F:F,"",0)</f>
        <v>Pcs</v>
      </c>
      <c r="N751" s="221">
        <v>104</v>
      </c>
      <c r="O751" s="221" t="s">
        <v>150</v>
      </c>
      <c r="P751" s="221" t="s">
        <v>151</v>
      </c>
      <c r="Q751" s="221">
        <v>0</v>
      </c>
      <c r="R751" s="221">
        <v>0</v>
      </c>
      <c r="S751" s="221"/>
      <c r="T751" s="221"/>
      <c r="U751" s="221"/>
      <c r="V751" s="221"/>
      <c r="W751" s="221"/>
      <c r="X751" s="221"/>
      <c r="Y751" s="227"/>
      <c r="Z751" s="227" t="str">
        <f t="shared" si="33"/>
        <v>Mulyorejo RW 04 Sukun</v>
      </c>
      <c r="AA751" s="276" t="e">
        <f>VLOOKUP(Logfile_S12[[#This Row],[DO number]],DO_DB!G:I,3,0)</f>
        <v>#N/A</v>
      </c>
      <c r="AB751" s="331" t="e">
        <f>EXACT(Logfile_S12[[#This Row],[date pick]],Logfile_S12[[#This Row],[Date]])</f>
        <v>#N/A</v>
      </c>
      <c r="AC7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52" spans="1:29" ht="14.5" hidden="1">
      <c r="A752" s="220" t="str">
        <f t="shared" si="32"/>
        <v>748</v>
      </c>
      <c r="B752" s="221"/>
      <c r="C752" s="221" t="s">
        <v>48</v>
      </c>
      <c r="D752" s="221" t="s">
        <v>3697</v>
      </c>
      <c r="E752" s="221" t="s">
        <v>3295</v>
      </c>
      <c r="F752" s="221" t="s">
        <v>3299</v>
      </c>
      <c r="G752" s="222">
        <v>45173</v>
      </c>
      <c r="H752" s="223">
        <v>15.291666666666666</v>
      </c>
      <c r="I752" s="221" t="s">
        <v>3586</v>
      </c>
      <c r="J752" s="221" t="s">
        <v>3024</v>
      </c>
      <c r="K752" s="224" t="s">
        <v>5137</v>
      </c>
      <c r="L752" s="225" t="str">
        <f>VLOOKUP(Logfile_S12[[#This Row],[Material Name]],Sheet2!B:C,2,0)</f>
        <v>GCI1009</v>
      </c>
      <c r="M752" s="225" t="str">
        <f>_xlfn.XLOOKUP(Logfile_S12[[#This Row],[Material Name]],Sum_WH!E:E,Sum_WH!F:F,"",0)</f>
        <v>Pcs</v>
      </c>
      <c r="N752" s="221">
        <v>32</v>
      </c>
      <c r="O752" s="221" t="s">
        <v>84</v>
      </c>
      <c r="P752" s="221" t="s">
        <v>85</v>
      </c>
      <c r="Q752" s="221">
        <v>0</v>
      </c>
      <c r="R752" s="221">
        <v>0</v>
      </c>
      <c r="S752" s="221"/>
      <c r="T752" s="221"/>
      <c r="U752" s="221"/>
      <c r="V752" s="221"/>
      <c r="W752" s="221"/>
      <c r="X752" s="221" t="s">
        <v>3342</v>
      </c>
      <c r="Y752" s="227"/>
      <c r="Z752" s="227" t="str">
        <f t="shared" si="33"/>
        <v>Perumahan Bumi Podo Rukun Dau</v>
      </c>
      <c r="AA752" s="276" t="e">
        <f>VLOOKUP(Logfile_S12[[#This Row],[DO number]],DO_DB!G:I,3,0)</f>
        <v>#N/A</v>
      </c>
      <c r="AB752" s="331" t="e">
        <f>EXACT(Logfile_S12[[#This Row],[date pick]],Logfile_S12[[#This Row],[Date]])</f>
        <v>#N/A</v>
      </c>
      <c r="AC7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53" spans="1:29" ht="14.5" hidden="1">
      <c r="A753" s="220" t="str">
        <f t="shared" si="32"/>
        <v>749</v>
      </c>
      <c r="B753" s="221"/>
      <c r="C753" s="221" t="s">
        <v>49</v>
      </c>
      <c r="D753" s="221" t="s">
        <v>3696</v>
      </c>
      <c r="E753" s="221" t="s">
        <v>3295</v>
      </c>
      <c r="F753" s="221" t="s">
        <v>3299</v>
      </c>
      <c r="G753" s="222">
        <v>45173</v>
      </c>
      <c r="H753" s="223">
        <v>0.69236111111111109</v>
      </c>
      <c r="I753" s="221" t="s">
        <v>4916</v>
      </c>
      <c r="J753" s="221" t="s">
        <v>3024</v>
      </c>
      <c r="K753" s="224" t="s">
        <v>5137</v>
      </c>
      <c r="L753" s="225" t="str">
        <f>VLOOKUP(Logfile_S12[[#This Row],[Material Name]],Sheet2!B:C,2,0)</f>
        <v>GCI1009</v>
      </c>
      <c r="M753" s="225" t="str">
        <f>_xlfn.XLOOKUP(Logfile_S12[[#This Row],[Material Name]],Sum_WH!E:E,Sum_WH!F:F,"",0)</f>
        <v>Pcs</v>
      </c>
      <c r="N753" s="221">
        <v>32</v>
      </c>
      <c r="O753" s="221" t="s">
        <v>150</v>
      </c>
      <c r="P753" s="221" t="s">
        <v>151</v>
      </c>
      <c r="Q753" s="221"/>
      <c r="R753" s="221"/>
      <c r="S753" s="221"/>
      <c r="T753" s="221" t="s">
        <v>3309</v>
      </c>
      <c r="U753" s="221" t="s">
        <v>3228</v>
      </c>
      <c r="V753" s="221" t="s">
        <v>3310</v>
      </c>
      <c r="W753" s="221" t="s">
        <v>3311</v>
      </c>
      <c r="X753" s="221"/>
      <c r="Y753" s="227"/>
      <c r="Z753" s="227" t="str">
        <f t="shared" si="33"/>
        <v>Mulyorejo RW 04 Sukun</v>
      </c>
      <c r="AA753" s="276" t="e">
        <f>VLOOKUP(Logfile_S12[[#This Row],[DO number]],DO_DB!G:I,3,0)</f>
        <v>#N/A</v>
      </c>
      <c r="AB753" s="331" t="e">
        <f>EXACT(Logfile_S12[[#This Row],[date pick]],Logfile_S12[[#This Row],[Date]])</f>
        <v>#N/A</v>
      </c>
      <c r="AC7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54" spans="1:29" ht="14.5" hidden="1">
      <c r="A754" s="220" t="str">
        <f t="shared" si="32"/>
        <v>750</v>
      </c>
      <c r="B754" s="221"/>
      <c r="C754" s="221" t="s">
        <v>49</v>
      </c>
      <c r="D754" s="221" t="s">
        <v>3700</v>
      </c>
      <c r="E754" s="221" t="s">
        <v>3295</v>
      </c>
      <c r="F754" s="221" t="s">
        <v>3299</v>
      </c>
      <c r="G754" s="222">
        <v>45175</v>
      </c>
      <c r="H754" s="223">
        <v>0.33888888888888885</v>
      </c>
      <c r="I754" s="221" t="s">
        <v>4916</v>
      </c>
      <c r="J754" s="221" t="s">
        <v>3024</v>
      </c>
      <c r="K754" s="224" t="s">
        <v>5137</v>
      </c>
      <c r="L754" s="225" t="str">
        <f>VLOOKUP(Logfile_S12[[#This Row],[Material Name]],Sheet2!B:C,2,0)</f>
        <v>GCI1009</v>
      </c>
      <c r="M754" s="225" t="str">
        <f>_xlfn.XLOOKUP(Logfile_S12[[#This Row],[Material Name]],Sum_WH!E:E,Sum_WH!F:F,"",0)</f>
        <v>Pcs</v>
      </c>
      <c r="N754" s="221">
        <v>30</v>
      </c>
      <c r="O754" s="221" t="s">
        <v>150</v>
      </c>
      <c r="P754" s="221" t="s">
        <v>151</v>
      </c>
      <c r="Q754" s="221"/>
      <c r="R754" s="221"/>
      <c r="S754" s="221"/>
      <c r="T754" s="221" t="s">
        <v>3309</v>
      </c>
      <c r="U754" s="221" t="s">
        <v>3228</v>
      </c>
      <c r="V754" s="221" t="s">
        <v>3310</v>
      </c>
      <c r="W754" s="221" t="s">
        <v>3311</v>
      </c>
      <c r="X754" s="221"/>
      <c r="Y754" s="227"/>
      <c r="Z754" s="227" t="str">
        <f t="shared" si="33"/>
        <v>Mulyorejo RW 04 Sukun</v>
      </c>
      <c r="AA754" s="276" t="e">
        <f>VLOOKUP(Logfile_S12[[#This Row],[DO number]],DO_DB!G:I,3,0)</f>
        <v>#N/A</v>
      </c>
      <c r="AB754" s="331" t="e">
        <f>EXACT(Logfile_S12[[#This Row],[date pick]],Logfile_S12[[#This Row],[Date]])</f>
        <v>#N/A</v>
      </c>
      <c r="AC7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55" spans="1:29" ht="14.5" hidden="1">
      <c r="A755" s="220" t="str">
        <f t="shared" si="32"/>
        <v>751</v>
      </c>
      <c r="B755" s="221"/>
      <c r="C755" s="221" t="s">
        <v>48</v>
      </c>
      <c r="D755" s="221" t="s">
        <v>3703</v>
      </c>
      <c r="E755" s="221" t="s">
        <v>3295</v>
      </c>
      <c r="F755" s="221" t="s">
        <v>3299</v>
      </c>
      <c r="G755" s="222">
        <v>45177</v>
      </c>
      <c r="H755" s="223">
        <v>0.67638888888888893</v>
      </c>
      <c r="I755" s="221" t="s">
        <v>3586</v>
      </c>
      <c r="J755" s="221" t="s">
        <v>3024</v>
      </c>
      <c r="K755" s="224" t="s">
        <v>5137</v>
      </c>
      <c r="L755" s="225" t="str">
        <f>VLOOKUP(Logfile_S12[[#This Row],[Material Name]],Sheet2!B:C,2,0)</f>
        <v>GCI1009</v>
      </c>
      <c r="M755" s="225" t="str">
        <f>_xlfn.XLOOKUP(Logfile_S12[[#This Row],[Material Name]],Sum_WH!E:E,Sum_WH!F:F,"",0)</f>
        <v>Pcs</v>
      </c>
      <c r="N755" s="221">
        <v>8</v>
      </c>
      <c r="O755" s="221" t="s">
        <v>150</v>
      </c>
      <c r="P755" s="221" t="s">
        <v>151</v>
      </c>
      <c r="Q755" s="221">
        <v>0</v>
      </c>
      <c r="R755" s="221">
        <v>0</v>
      </c>
      <c r="S755" s="221"/>
      <c r="T755" s="221"/>
      <c r="U755" s="221"/>
      <c r="V755" s="221"/>
      <c r="W755" s="221"/>
      <c r="X755" s="221" t="s">
        <v>3414</v>
      </c>
      <c r="Y755" s="227"/>
      <c r="Z755" s="227" t="str">
        <f t="shared" si="33"/>
        <v>Mulyorejo RW 04 Sukun</v>
      </c>
      <c r="AA755" s="276" t="e">
        <f>VLOOKUP(Logfile_S12[[#This Row],[DO number]],DO_DB!G:I,3,0)</f>
        <v>#N/A</v>
      </c>
      <c r="AB755" s="331" t="e">
        <f>EXACT(Logfile_S12[[#This Row],[date pick]],Logfile_S12[[#This Row],[Date]])</f>
        <v>#N/A</v>
      </c>
      <c r="AC7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56" spans="1:29" ht="14.5" hidden="1">
      <c r="A756" s="220" t="str">
        <f t="shared" si="32"/>
        <v>752</v>
      </c>
      <c r="B756" s="221"/>
      <c r="C756" s="221" t="s">
        <v>49</v>
      </c>
      <c r="D756" s="221" t="s">
        <v>3701</v>
      </c>
      <c r="E756" s="221" t="s">
        <v>3295</v>
      </c>
      <c r="F756" s="221" t="s">
        <v>3299</v>
      </c>
      <c r="G756" s="222">
        <v>45177</v>
      </c>
      <c r="H756" s="223">
        <v>0.37083333333333335</v>
      </c>
      <c r="I756" s="221" t="s">
        <v>4916</v>
      </c>
      <c r="J756" s="221" t="s">
        <v>3024</v>
      </c>
      <c r="K756" s="224" t="s">
        <v>5137</v>
      </c>
      <c r="L756" s="225" t="str">
        <f>VLOOKUP(Logfile_S12[[#This Row],[Material Name]],Sheet2!B:C,2,0)</f>
        <v>GCI1009</v>
      </c>
      <c r="M756" s="225" t="str">
        <f>_xlfn.XLOOKUP(Logfile_S12[[#This Row],[Material Name]],Sum_WH!E:E,Sum_WH!F:F,"",0)</f>
        <v>Pcs</v>
      </c>
      <c r="N756" s="221">
        <v>20</v>
      </c>
      <c r="O756" s="221" t="s">
        <v>150</v>
      </c>
      <c r="P756" s="221" t="s">
        <v>151</v>
      </c>
      <c r="Q756" s="221"/>
      <c r="R756" s="221"/>
      <c r="S756" s="221"/>
      <c r="T756" s="221" t="s">
        <v>3309</v>
      </c>
      <c r="U756" s="221" t="s">
        <v>3228</v>
      </c>
      <c r="V756" s="221" t="s">
        <v>3310</v>
      </c>
      <c r="W756" s="221" t="s">
        <v>3311</v>
      </c>
      <c r="X756" s="221"/>
      <c r="Y756" s="227"/>
      <c r="Z756" s="227" t="str">
        <f t="shared" si="33"/>
        <v>Mulyorejo RW 04 Sukun</v>
      </c>
      <c r="AA756" s="276" t="e">
        <f>VLOOKUP(Logfile_S12[[#This Row],[DO number]],DO_DB!G:I,3,0)</f>
        <v>#N/A</v>
      </c>
      <c r="AB756" s="331" t="e">
        <f>EXACT(Logfile_S12[[#This Row],[date pick]],Logfile_S12[[#This Row],[Date]])</f>
        <v>#N/A</v>
      </c>
      <c r="AC7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57" spans="1:29" ht="14.5" hidden="1">
      <c r="A757" s="220" t="str">
        <f t="shared" si="32"/>
        <v>753</v>
      </c>
      <c r="B757" s="221"/>
      <c r="C757" s="221" t="s">
        <v>48</v>
      </c>
      <c r="D757" s="221" t="s">
        <v>3715</v>
      </c>
      <c r="E757" s="221" t="s">
        <v>3295</v>
      </c>
      <c r="F757" s="221" t="s">
        <v>3299</v>
      </c>
      <c r="G757" s="222">
        <v>45191</v>
      </c>
      <c r="H757" s="223">
        <v>15.291666666666666</v>
      </c>
      <c r="I757" s="221" t="s">
        <v>38</v>
      </c>
      <c r="J757" s="221" t="s">
        <v>3024</v>
      </c>
      <c r="K757" s="224" t="s">
        <v>5137</v>
      </c>
      <c r="L757" s="225" t="str">
        <f>VLOOKUP(Logfile_S12[[#This Row],[Material Name]],Sheet2!B:C,2,0)</f>
        <v>GCI1009</v>
      </c>
      <c r="M757" s="225" t="str">
        <f>_xlfn.XLOOKUP(Logfile_S12[[#This Row],[Material Name]],Sum_WH!E:E,Sum_WH!F:F,"",0)</f>
        <v>Pcs</v>
      </c>
      <c r="N757" s="221">
        <v>272</v>
      </c>
      <c r="O757" s="221" t="s">
        <v>222</v>
      </c>
      <c r="P757" s="221" t="s">
        <v>223</v>
      </c>
      <c r="Q757" s="221">
        <v>0</v>
      </c>
      <c r="R757" s="221">
        <v>0</v>
      </c>
      <c r="S757" s="221"/>
      <c r="T757" s="221"/>
      <c r="U757" s="221"/>
      <c r="V757" s="221"/>
      <c r="W757" s="221"/>
      <c r="X757" s="221" t="s">
        <v>3343</v>
      </c>
      <c r="Y757" s="227"/>
      <c r="Z757" s="227" t="str">
        <f t="shared" si="33"/>
        <v>Puncak Dieng Exlusif</v>
      </c>
      <c r="AA757" s="276" t="e">
        <f>VLOOKUP(Logfile_S12[[#This Row],[DO number]],DO_DB!G:I,3,0)</f>
        <v>#N/A</v>
      </c>
      <c r="AB757" s="331" t="e">
        <f>EXACT(Logfile_S12[[#This Row],[date pick]],Logfile_S12[[#This Row],[Date]])</f>
        <v>#N/A</v>
      </c>
      <c r="AC7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58" spans="1:29" ht="14.5" hidden="1">
      <c r="A758" s="220" t="str">
        <f t="shared" si="32"/>
        <v>754</v>
      </c>
      <c r="B758" s="221"/>
      <c r="C758" s="221" t="s">
        <v>49</v>
      </c>
      <c r="D758" s="221" t="s">
        <v>3719</v>
      </c>
      <c r="E758" s="221" t="s">
        <v>3295</v>
      </c>
      <c r="F758" s="221" t="s">
        <v>3299</v>
      </c>
      <c r="G758" s="222">
        <v>45193</v>
      </c>
      <c r="H758" s="223">
        <v>0.31666666666666665</v>
      </c>
      <c r="I758" s="221" t="s">
        <v>4916</v>
      </c>
      <c r="J758" s="221" t="s">
        <v>3024</v>
      </c>
      <c r="K758" s="224" t="s">
        <v>5137</v>
      </c>
      <c r="L758" s="225" t="str">
        <f>VLOOKUP(Logfile_S12[[#This Row],[Material Name]],Sheet2!B:C,2,0)</f>
        <v>GCI1009</v>
      </c>
      <c r="M758" s="225" t="str">
        <f>_xlfn.XLOOKUP(Logfile_S12[[#This Row],[Material Name]],Sum_WH!E:E,Sum_WH!F:F,"",0)</f>
        <v>Pcs</v>
      </c>
      <c r="N758" s="221">
        <v>37</v>
      </c>
      <c r="O758" s="221" t="s">
        <v>180</v>
      </c>
      <c r="P758" s="221" t="s">
        <v>181</v>
      </c>
      <c r="Q758" s="221"/>
      <c r="R758" s="221"/>
      <c r="S758" s="221"/>
      <c r="T758" s="221" t="s">
        <v>3322</v>
      </c>
      <c r="U758" s="221" t="s">
        <v>3323</v>
      </c>
      <c r="V758" s="221" t="s">
        <v>3324</v>
      </c>
      <c r="W758" s="221" t="s">
        <v>3386</v>
      </c>
      <c r="X758" s="221"/>
      <c r="Y758" s="227"/>
      <c r="Z758" s="227" t="str">
        <f t="shared" si="33"/>
        <v>Mulyorejo RW 06 Sukun</v>
      </c>
      <c r="AA758" s="276" t="e">
        <f>VLOOKUP(Logfile_S12[[#This Row],[DO number]],DO_DB!G:I,3,0)</f>
        <v>#N/A</v>
      </c>
      <c r="AB758" s="331" t="e">
        <f>EXACT(Logfile_S12[[#This Row],[date pick]],Logfile_S12[[#This Row],[Date]])</f>
        <v>#N/A</v>
      </c>
      <c r="AC7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59" spans="1:29" ht="14.5" hidden="1">
      <c r="A759" s="220" t="str">
        <f t="shared" si="32"/>
        <v>755</v>
      </c>
      <c r="B759" s="221"/>
      <c r="C759" s="221" t="s">
        <v>49</v>
      </c>
      <c r="D759" s="221" t="s">
        <v>3722</v>
      </c>
      <c r="E759" s="221" t="s">
        <v>3295</v>
      </c>
      <c r="F759" s="221" t="s">
        <v>3299</v>
      </c>
      <c r="G759" s="222">
        <v>45194</v>
      </c>
      <c r="H759" s="223">
        <v>0.27083333333333331</v>
      </c>
      <c r="I759" s="221" t="s">
        <v>4916</v>
      </c>
      <c r="J759" s="221" t="s">
        <v>3024</v>
      </c>
      <c r="K759" s="224" t="s">
        <v>5137</v>
      </c>
      <c r="L759" s="225" t="str">
        <f>VLOOKUP(Logfile_S12[[#This Row],[Material Name]],Sheet2!B:C,2,0)</f>
        <v>GCI1009</v>
      </c>
      <c r="M759" s="225" t="str">
        <f>_xlfn.XLOOKUP(Logfile_S12[[#This Row],[Material Name]],Sum_WH!E:E,Sum_WH!F:F,"",0)</f>
        <v>Pcs</v>
      </c>
      <c r="N759" s="221">
        <v>10</v>
      </c>
      <c r="O759" s="221" t="s">
        <v>180</v>
      </c>
      <c r="P759" s="221" t="s">
        <v>181</v>
      </c>
      <c r="Q759" s="221"/>
      <c r="R759" s="221"/>
      <c r="S759" s="221"/>
      <c r="T759" s="221" t="s">
        <v>3322</v>
      </c>
      <c r="U759" s="221" t="s">
        <v>3323</v>
      </c>
      <c r="V759" s="221" t="s">
        <v>3324</v>
      </c>
      <c r="W759" s="221" t="s">
        <v>3386</v>
      </c>
      <c r="X759" s="221"/>
      <c r="Y759" s="227"/>
      <c r="Z759" s="227" t="str">
        <f t="shared" si="33"/>
        <v>Mulyorejo RW 06 Sukun</v>
      </c>
      <c r="AA759" s="276" t="e">
        <f>VLOOKUP(Logfile_S12[[#This Row],[DO number]],DO_DB!G:I,3,0)</f>
        <v>#N/A</v>
      </c>
      <c r="AB759" s="331" t="e">
        <f>EXACT(Logfile_S12[[#This Row],[date pick]],Logfile_S12[[#This Row],[Date]])</f>
        <v>#N/A</v>
      </c>
      <c r="AC7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60" spans="1:29" ht="14.5" hidden="1">
      <c r="A760" s="220" t="str">
        <f t="shared" si="32"/>
        <v>756</v>
      </c>
      <c r="B760" s="221"/>
      <c r="C760" s="221" t="s">
        <v>49</v>
      </c>
      <c r="D760" s="221" t="s">
        <v>3722</v>
      </c>
      <c r="E760" s="221" t="s">
        <v>3295</v>
      </c>
      <c r="F760" s="221" t="s">
        <v>3299</v>
      </c>
      <c r="G760" s="222">
        <v>45194</v>
      </c>
      <c r="H760" s="223">
        <v>0.27083333333333331</v>
      </c>
      <c r="I760" s="221" t="s">
        <v>4916</v>
      </c>
      <c r="J760" s="221" t="s">
        <v>3024</v>
      </c>
      <c r="K760" s="224" t="s">
        <v>5137</v>
      </c>
      <c r="L760" s="225" t="str">
        <f>VLOOKUP(Logfile_S12[[#This Row],[Material Name]],Sheet2!B:C,2,0)</f>
        <v>GCI1009</v>
      </c>
      <c r="M760" s="225" t="str">
        <f>_xlfn.XLOOKUP(Logfile_S12[[#This Row],[Material Name]],Sum_WH!E:E,Sum_WH!F:F,"",0)</f>
        <v>Pcs</v>
      </c>
      <c r="N760" s="221">
        <v>30</v>
      </c>
      <c r="O760" s="221" t="s">
        <v>222</v>
      </c>
      <c r="P760" s="221" t="s">
        <v>223</v>
      </c>
      <c r="Q760" s="221"/>
      <c r="R760" s="221"/>
      <c r="S760" s="221"/>
      <c r="T760" s="221" t="s">
        <v>3322</v>
      </c>
      <c r="U760" s="221" t="s">
        <v>3323</v>
      </c>
      <c r="V760" s="221" t="s">
        <v>3324</v>
      </c>
      <c r="W760" s="221" t="s">
        <v>3325</v>
      </c>
      <c r="X760" s="221"/>
      <c r="Y760" s="227"/>
      <c r="Z760" s="227" t="str">
        <f t="shared" si="33"/>
        <v>Puncak Dieng Exlusif</v>
      </c>
      <c r="AA760" s="276" t="e">
        <f>VLOOKUP(Logfile_S12[[#This Row],[DO number]],DO_DB!G:I,3,0)</f>
        <v>#N/A</v>
      </c>
      <c r="AB760" s="331" t="e">
        <f>EXACT(Logfile_S12[[#This Row],[date pick]],Logfile_S12[[#This Row],[Date]])</f>
        <v>#N/A</v>
      </c>
      <c r="AC7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61" spans="1:29" ht="14.5" hidden="1">
      <c r="A761" s="220" t="str">
        <f t="shared" si="32"/>
        <v>757</v>
      </c>
      <c r="B761" s="221"/>
      <c r="C761" s="221" t="s">
        <v>49</v>
      </c>
      <c r="D761" s="221" t="s">
        <v>3725</v>
      </c>
      <c r="E761" s="221" t="s">
        <v>3295</v>
      </c>
      <c r="F761" s="221" t="s">
        <v>3299</v>
      </c>
      <c r="G761" s="222">
        <v>45195</v>
      </c>
      <c r="H761" s="223">
        <v>0.27083333333333331</v>
      </c>
      <c r="I761" s="221" t="s">
        <v>4916</v>
      </c>
      <c r="J761" s="221" t="s">
        <v>3024</v>
      </c>
      <c r="K761" s="224" t="s">
        <v>5137</v>
      </c>
      <c r="L761" s="225" t="str">
        <f>VLOOKUP(Logfile_S12[[#This Row],[Material Name]],Sheet2!B:C,2,0)</f>
        <v>GCI1009</v>
      </c>
      <c r="M761" s="225" t="str">
        <f>_xlfn.XLOOKUP(Logfile_S12[[#This Row],[Material Name]],Sum_WH!E:E,Sum_WH!F:F,"",0)</f>
        <v>Pcs</v>
      </c>
      <c r="N761" s="221">
        <v>50</v>
      </c>
      <c r="O761" s="221" t="s">
        <v>222</v>
      </c>
      <c r="P761" s="221" t="s">
        <v>223</v>
      </c>
      <c r="Q761" s="221"/>
      <c r="R761" s="221"/>
      <c r="S761" s="221"/>
      <c r="T761" s="221" t="s">
        <v>3322</v>
      </c>
      <c r="U761" s="221" t="s">
        <v>3323</v>
      </c>
      <c r="V761" s="221" t="s">
        <v>3324</v>
      </c>
      <c r="W761" s="221" t="s">
        <v>3325</v>
      </c>
      <c r="X761" s="221"/>
      <c r="Y761" s="227"/>
      <c r="Z761" s="227" t="str">
        <f t="shared" si="33"/>
        <v>Puncak Dieng Exlusif</v>
      </c>
      <c r="AA761" s="276" t="e">
        <f>VLOOKUP(Logfile_S12[[#This Row],[DO number]],DO_DB!G:I,3,0)</f>
        <v>#N/A</v>
      </c>
      <c r="AB761" s="331" t="e">
        <f>EXACT(Logfile_S12[[#This Row],[date pick]],Logfile_S12[[#This Row],[Date]])</f>
        <v>#N/A</v>
      </c>
      <c r="AC7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62" spans="1:29" ht="14.5" hidden="1">
      <c r="A762" s="220" t="str">
        <f t="shared" si="32"/>
        <v>758</v>
      </c>
      <c r="B762" s="221"/>
      <c r="C762" s="221" t="s">
        <v>49</v>
      </c>
      <c r="D762" s="221" t="s">
        <v>3730</v>
      </c>
      <c r="E762" s="221" t="s">
        <v>3295</v>
      </c>
      <c r="F762" s="221" t="s">
        <v>3299</v>
      </c>
      <c r="G762" s="222">
        <v>45196</v>
      </c>
      <c r="H762" s="223">
        <v>0.52083333333333337</v>
      </c>
      <c r="I762" s="221" t="s">
        <v>4916</v>
      </c>
      <c r="J762" s="221" t="s">
        <v>3024</v>
      </c>
      <c r="K762" s="224" t="s">
        <v>5137</v>
      </c>
      <c r="L762" s="225" t="str">
        <f>VLOOKUP(Logfile_S12[[#This Row],[Material Name]],Sheet2!B:C,2,0)</f>
        <v>GCI1009</v>
      </c>
      <c r="M762" s="225" t="str">
        <f>_xlfn.XLOOKUP(Logfile_S12[[#This Row],[Material Name]],Sum_WH!E:E,Sum_WH!F:F,"",0)</f>
        <v>Pcs</v>
      </c>
      <c r="N762" s="221">
        <v>44</v>
      </c>
      <c r="O762" s="221" t="s">
        <v>172</v>
      </c>
      <c r="P762" s="221" t="s">
        <v>3319</v>
      </c>
      <c r="Q762" s="221"/>
      <c r="R762" s="221"/>
      <c r="S762" s="221"/>
      <c r="T762" s="221" t="s">
        <v>3346</v>
      </c>
      <c r="U762" s="221" t="s">
        <v>3323</v>
      </c>
      <c r="V762" s="221" t="s">
        <v>3347</v>
      </c>
      <c r="W762" s="221" t="s">
        <v>3387</v>
      </c>
      <c r="X762" s="221"/>
      <c r="Y762" s="227"/>
      <c r="Z762" s="227" t="str">
        <f t="shared" si="33"/>
        <v>Pandan Landung RW 03 Wagir</v>
      </c>
      <c r="AA762" s="276" t="e">
        <f>VLOOKUP(Logfile_S12[[#This Row],[DO number]],DO_DB!G:I,3,0)</f>
        <v>#N/A</v>
      </c>
      <c r="AB762" s="331" t="e">
        <f>EXACT(Logfile_S12[[#This Row],[date pick]],Logfile_S12[[#This Row],[Date]])</f>
        <v>#N/A</v>
      </c>
      <c r="AC7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63" spans="1:29" ht="14.5" hidden="1">
      <c r="A763" s="220" t="str">
        <f t="shared" si="32"/>
        <v>759</v>
      </c>
      <c r="B763" s="221"/>
      <c r="C763" s="221" t="s">
        <v>49</v>
      </c>
      <c r="D763" s="221" t="s">
        <v>3734</v>
      </c>
      <c r="E763" s="221" t="s">
        <v>3295</v>
      </c>
      <c r="F763" s="221" t="s">
        <v>3299</v>
      </c>
      <c r="G763" s="222">
        <v>45200</v>
      </c>
      <c r="H763" s="223">
        <v>0.27083333333333331</v>
      </c>
      <c r="I763" s="221" t="s">
        <v>4916</v>
      </c>
      <c r="J763" s="221" t="s">
        <v>3024</v>
      </c>
      <c r="K763" s="224" t="s">
        <v>5137</v>
      </c>
      <c r="L763" s="225" t="str">
        <f>VLOOKUP(Logfile_S12[[#This Row],[Material Name]],Sheet2!B:C,2,0)</f>
        <v>GCI1009</v>
      </c>
      <c r="M763" s="225" t="str">
        <f>_xlfn.XLOOKUP(Logfile_S12[[#This Row],[Material Name]],Sum_WH!E:E,Sum_WH!F:F,"",0)</f>
        <v>Pcs</v>
      </c>
      <c r="N763" s="221">
        <v>75</v>
      </c>
      <c r="O763" s="221" t="s">
        <v>222</v>
      </c>
      <c r="P763" s="221" t="s">
        <v>223</v>
      </c>
      <c r="Q763" s="221"/>
      <c r="R763" s="221"/>
      <c r="S763" s="221"/>
      <c r="T763" s="221" t="s">
        <v>3322</v>
      </c>
      <c r="U763" s="221" t="s">
        <v>3323</v>
      </c>
      <c r="V763" s="221" t="s">
        <v>3324</v>
      </c>
      <c r="W763" s="221" t="s">
        <v>3386</v>
      </c>
      <c r="X763" s="221"/>
      <c r="Y763" s="227"/>
      <c r="Z763" s="227" t="str">
        <f t="shared" si="33"/>
        <v>Puncak Dieng Exlusif</v>
      </c>
      <c r="AA763" s="276" t="e">
        <f>VLOOKUP(Logfile_S12[[#This Row],[DO number]],DO_DB!G:I,3,0)</f>
        <v>#N/A</v>
      </c>
      <c r="AB763" s="331" t="e">
        <f>EXACT(Logfile_S12[[#This Row],[date pick]],Logfile_S12[[#This Row],[Date]])</f>
        <v>#N/A</v>
      </c>
      <c r="AC7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64" spans="1:29" ht="14.5" hidden="1">
      <c r="A764" s="220" t="str">
        <f t="shared" si="32"/>
        <v>760</v>
      </c>
      <c r="B764" s="221"/>
      <c r="C764" s="221" t="s">
        <v>48</v>
      </c>
      <c r="D764" s="221" t="s">
        <v>3737</v>
      </c>
      <c r="E764" s="221" t="s">
        <v>3295</v>
      </c>
      <c r="F764" s="221" t="s">
        <v>3299</v>
      </c>
      <c r="G764" s="222">
        <v>45201</v>
      </c>
      <c r="H764" s="223">
        <v>15.291666666666666</v>
      </c>
      <c r="I764" s="221" t="s">
        <v>38</v>
      </c>
      <c r="J764" s="221" t="s">
        <v>3024</v>
      </c>
      <c r="K764" s="224" t="s">
        <v>5137</v>
      </c>
      <c r="L764" s="225" t="str">
        <f>VLOOKUP(Logfile_S12[[#This Row],[Material Name]],Sheet2!B:C,2,0)</f>
        <v>GCI1009</v>
      </c>
      <c r="M764" s="225" t="str">
        <f>_xlfn.XLOOKUP(Logfile_S12[[#This Row],[Material Name]],Sum_WH!E:E,Sum_WH!F:F,"",0)</f>
        <v>Pcs</v>
      </c>
      <c r="N764" s="221">
        <v>125</v>
      </c>
      <c r="O764" s="221" t="s">
        <v>3344</v>
      </c>
      <c r="P764" s="221" t="s">
        <v>3345</v>
      </c>
      <c r="Q764" s="221">
        <v>0</v>
      </c>
      <c r="R764" s="221">
        <v>0</v>
      </c>
      <c r="S764" s="221"/>
      <c r="T764" s="221"/>
      <c r="U764" s="221"/>
      <c r="V764" s="221"/>
      <c r="W764" s="221"/>
      <c r="X764" s="221"/>
      <c r="Y764" s="227"/>
      <c r="Z764" s="227" t="str">
        <f t="shared" si="33"/>
        <v>Purchase</v>
      </c>
      <c r="AA764" s="276" t="e">
        <f>VLOOKUP(Logfile_S12[[#This Row],[DO number]],DO_DB!G:I,3,0)</f>
        <v>#N/A</v>
      </c>
      <c r="AB764" s="331" t="e">
        <f>EXACT(Logfile_S12[[#This Row],[date pick]],Logfile_S12[[#This Row],[Date]])</f>
        <v>#N/A</v>
      </c>
      <c r="AC7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65" spans="1:29" ht="14.5" hidden="1">
      <c r="A765" s="220" t="str">
        <f t="shared" si="32"/>
        <v>761</v>
      </c>
      <c r="B765" s="221"/>
      <c r="C765" s="221" t="s">
        <v>49</v>
      </c>
      <c r="D765" s="221" t="s">
        <v>3738</v>
      </c>
      <c r="E765" s="221" t="s">
        <v>3295</v>
      </c>
      <c r="F765" s="221" t="s">
        <v>3299</v>
      </c>
      <c r="G765" s="222">
        <v>45203</v>
      </c>
      <c r="H765" s="223">
        <v>0.40277777777777773</v>
      </c>
      <c r="I765" s="221" t="s">
        <v>4916</v>
      </c>
      <c r="J765" s="221" t="s">
        <v>3024</v>
      </c>
      <c r="K765" s="224" t="s">
        <v>5137</v>
      </c>
      <c r="L765" s="225" t="str">
        <f>VLOOKUP(Logfile_S12[[#This Row],[Material Name]],Sheet2!B:C,2,0)</f>
        <v>GCI1009</v>
      </c>
      <c r="M765" s="225" t="str">
        <f>_xlfn.XLOOKUP(Logfile_S12[[#This Row],[Material Name]],Sum_WH!E:E,Sum_WH!F:F,"",0)</f>
        <v>Pcs</v>
      </c>
      <c r="N765" s="221">
        <v>10</v>
      </c>
      <c r="O765" s="221" t="s">
        <v>164</v>
      </c>
      <c r="P765" s="221" t="s">
        <v>3320</v>
      </c>
      <c r="Q765" s="221"/>
      <c r="R765" s="221"/>
      <c r="S765" s="221"/>
      <c r="T765" s="221" t="s">
        <v>3346</v>
      </c>
      <c r="U765" s="221">
        <v>0</v>
      </c>
      <c r="V765" s="221" t="s">
        <v>3347</v>
      </c>
      <c r="W765" s="221" t="s">
        <v>3334</v>
      </c>
      <c r="X765" s="221"/>
      <c r="Y765" s="227"/>
      <c r="Z765" s="227" t="str">
        <f t="shared" si="33"/>
        <v>Pandan Landung RW 04 Wagir</v>
      </c>
      <c r="AA765" s="276" t="e">
        <f>VLOOKUP(Logfile_S12[[#This Row],[DO number]],DO_DB!G:I,3,0)</f>
        <v>#N/A</v>
      </c>
      <c r="AB765" s="331" t="e">
        <f>EXACT(Logfile_S12[[#This Row],[date pick]],Logfile_S12[[#This Row],[Date]])</f>
        <v>#N/A</v>
      </c>
      <c r="AC7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66" spans="1:29" ht="14.5" hidden="1">
      <c r="A766" s="220" t="str">
        <f t="shared" si="32"/>
        <v>762</v>
      </c>
      <c r="B766" s="221"/>
      <c r="C766" s="221" t="s">
        <v>49</v>
      </c>
      <c r="D766" s="221" t="s">
        <v>3741</v>
      </c>
      <c r="E766" s="221" t="s">
        <v>3295</v>
      </c>
      <c r="F766" s="221" t="s">
        <v>3299</v>
      </c>
      <c r="G766" s="222">
        <v>45205</v>
      </c>
      <c r="H766" s="223">
        <v>0.39374999999999999</v>
      </c>
      <c r="I766" s="221" t="s">
        <v>4916</v>
      </c>
      <c r="J766" s="221" t="s">
        <v>3024</v>
      </c>
      <c r="K766" s="224" t="s">
        <v>5137</v>
      </c>
      <c r="L766" s="225" t="str">
        <f>VLOOKUP(Logfile_S12[[#This Row],[Material Name]],Sheet2!B:C,2,0)</f>
        <v>GCI1009</v>
      </c>
      <c r="M766" s="225" t="str">
        <f>_xlfn.XLOOKUP(Logfile_S12[[#This Row],[Material Name]],Sum_WH!E:E,Sum_WH!F:F,"",0)</f>
        <v>Pcs</v>
      </c>
      <c r="N766" s="221">
        <v>60</v>
      </c>
      <c r="O766" s="221" t="s">
        <v>222</v>
      </c>
      <c r="P766" s="221" t="s">
        <v>223</v>
      </c>
      <c r="Q766" s="221"/>
      <c r="R766" s="221"/>
      <c r="S766" s="221"/>
      <c r="T766" s="221" t="s">
        <v>3322</v>
      </c>
      <c r="U766" s="221" t="s">
        <v>3323</v>
      </c>
      <c r="V766" s="221" t="s">
        <v>3324</v>
      </c>
      <c r="W766" s="221" t="s">
        <v>3325</v>
      </c>
      <c r="X766" s="221"/>
      <c r="Y766" s="227"/>
      <c r="Z766" s="227" t="str">
        <f t="shared" si="33"/>
        <v>Puncak Dieng Exlusif</v>
      </c>
      <c r="AA766" s="276" t="e">
        <f>VLOOKUP(Logfile_S12[[#This Row],[DO number]],DO_DB!G:I,3,0)</f>
        <v>#N/A</v>
      </c>
      <c r="AB766" s="331" t="e">
        <f>EXACT(Logfile_S12[[#This Row],[date pick]],Logfile_S12[[#This Row],[Date]])</f>
        <v>#N/A</v>
      </c>
      <c r="AC7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67" spans="1:29" ht="14.5" hidden="1">
      <c r="A767" s="220" t="str">
        <f t="shared" si="32"/>
        <v>763</v>
      </c>
      <c r="B767" s="221"/>
      <c r="C767" s="221" t="s">
        <v>49</v>
      </c>
      <c r="D767" s="221" t="s">
        <v>3742</v>
      </c>
      <c r="E767" s="221" t="s">
        <v>3295</v>
      </c>
      <c r="F767" s="221" t="s">
        <v>3299</v>
      </c>
      <c r="G767" s="222">
        <v>45207</v>
      </c>
      <c r="H767" s="223">
        <v>0.39027777777777778</v>
      </c>
      <c r="I767" s="221" t="s">
        <v>4916</v>
      </c>
      <c r="J767" s="221" t="s">
        <v>3024</v>
      </c>
      <c r="K767" s="224" t="s">
        <v>5137</v>
      </c>
      <c r="L767" s="225" t="str">
        <f>VLOOKUP(Logfile_S12[[#This Row],[Material Name]],Sheet2!B:C,2,0)</f>
        <v>GCI1009</v>
      </c>
      <c r="M767" s="225" t="str">
        <f>_xlfn.XLOOKUP(Logfile_S12[[#This Row],[Material Name]],Sum_WH!E:E,Sum_WH!F:F,"",0)</f>
        <v>Pcs</v>
      </c>
      <c r="N767" s="221">
        <v>35</v>
      </c>
      <c r="O767" s="221" t="s">
        <v>222</v>
      </c>
      <c r="P767" s="221" t="s">
        <v>223</v>
      </c>
      <c r="Q767" s="221"/>
      <c r="R767" s="221"/>
      <c r="S767" s="221"/>
      <c r="T767" s="221" t="s">
        <v>3322</v>
      </c>
      <c r="U767" s="221" t="s">
        <v>3323</v>
      </c>
      <c r="V767" s="221" t="s">
        <v>3324</v>
      </c>
      <c r="W767" s="221" t="s">
        <v>3325</v>
      </c>
      <c r="X767" s="221"/>
      <c r="Y767" s="227"/>
      <c r="Z767" s="227" t="str">
        <f t="shared" si="33"/>
        <v>Puncak Dieng Exlusif</v>
      </c>
      <c r="AA767" s="276" t="e">
        <f>VLOOKUP(Logfile_S12[[#This Row],[DO number]],DO_DB!G:I,3,0)</f>
        <v>#N/A</v>
      </c>
      <c r="AB767" s="331" t="e">
        <f>EXACT(Logfile_S12[[#This Row],[date pick]],Logfile_S12[[#This Row],[Date]])</f>
        <v>#N/A</v>
      </c>
      <c r="AC7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68" spans="1:29" ht="14.5" hidden="1">
      <c r="A768" s="220" t="str">
        <f t="shared" si="32"/>
        <v>764</v>
      </c>
      <c r="B768" s="221"/>
      <c r="C768" s="221" t="s">
        <v>49</v>
      </c>
      <c r="D768" s="221" t="s">
        <v>3745</v>
      </c>
      <c r="E768" s="221" t="s">
        <v>3295</v>
      </c>
      <c r="F768" s="221" t="s">
        <v>3299</v>
      </c>
      <c r="G768" s="222">
        <v>45210</v>
      </c>
      <c r="H768" s="223">
        <v>0.45624999999999999</v>
      </c>
      <c r="I768" s="221" t="s">
        <v>4916</v>
      </c>
      <c r="J768" s="221" t="s">
        <v>3024</v>
      </c>
      <c r="K768" s="224" t="s">
        <v>5137</v>
      </c>
      <c r="L768" s="225" t="str">
        <f>VLOOKUP(Logfile_S12[[#This Row],[Material Name]],Sheet2!B:C,2,0)</f>
        <v>GCI1009</v>
      </c>
      <c r="M768" s="225" t="str">
        <f>_xlfn.XLOOKUP(Logfile_S12[[#This Row],[Material Name]],Sum_WH!E:E,Sum_WH!F:F,"",0)</f>
        <v>Pcs</v>
      </c>
      <c r="N768" s="221">
        <v>30</v>
      </c>
      <c r="O768" s="221" t="s">
        <v>222</v>
      </c>
      <c r="P768" s="221" t="s">
        <v>223</v>
      </c>
      <c r="Q768" s="221"/>
      <c r="R768" s="221"/>
      <c r="S768" s="221"/>
      <c r="T768" s="221" t="s">
        <v>3322</v>
      </c>
      <c r="U768" s="221" t="s">
        <v>3323</v>
      </c>
      <c r="V768" s="221" t="s">
        <v>3324</v>
      </c>
      <c r="W768" s="221" t="s">
        <v>3349</v>
      </c>
      <c r="X768" s="221"/>
      <c r="Y768" s="227"/>
      <c r="Z768" s="227" t="str">
        <f t="shared" si="33"/>
        <v>Puncak Dieng Exlusif</v>
      </c>
      <c r="AA768" s="276" t="e">
        <f>VLOOKUP(Logfile_S12[[#This Row],[DO number]],DO_DB!G:I,3,0)</f>
        <v>#N/A</v>
      </c>
      <c r="AB768" s="331" t="e">
        <f>EXACT(Logfile_S12[[#This Row],[date pick]],Logfile_S12[[#This Row],[Date]])</f>
        <v>#N/A</v>
      </c>
      <c r="AC7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69" spans="1:29" ht="14.5" hidden="1">
      <c r="A769" s="220" t="str">
        <f t="shared" si="32"/>
        <v>765</v>
      </c>
      <c r="B769" s="221"/>
      <c r="C769" s="221" t="s">
        <v>49</v>
      </c>
      <c r="D769" s="221" t="s">
        <v>3765</v>
      </c>
      <c r="E769" s="221" t="s">
        <v>3295</v>
      </c>
      <c r="F769" s="221" t="s">
        <v>3299</v>
      </c>
      <c r="G769" s="222">
        <v>45217</v>
      </c>
      <c r="H769" s="223">
        <v>0.58680555555555558</v>
      </c>
      <c r="I769" s="221" t="s">
        <v>4916</v>
      </c>
      <c r="J769" s="221" t="s">
        <v>3024</v>
      </c>
      <c r="K769" s="224" t="s">
        <v>5137</v>
      </c>
      <c r="L769" s="225" t="str">
        <f>VLOOKUP(Logfile_S12[[#This Row],[Material Name]],Sheet2!B:C,2,0)</f>
        <v>GCI1009</v>
      </c>
      <c r="M769" s="225" t="str">
        <f>_xlfn.XLOOKUP(Logfile_S12[[#This Row],[Material Name]],Sum_WH!E:E,Sum_WH!F:F,"",0)</f>
        <v>Pcs</v>
      </c>
      <c r="N769" s="221">
        <v>50</v>
      </c>
      <c r="O769" s="221" t="s">
        <v>172</v>
      </c>
      <c r="P769" s="221" t="s">
        <v>3319</v>
      </c>
      <c r="Q769" s="221"/>
      <c r="R769" s="221"/>
      <c r="S769" s="221"/>
      <c r="T769" s="221" t="s">
        <v>3346</v>
      </c>
      <c r="U769" s="221">
        <v>0</v>
      </c>
      <c r="V769" s="221" t="s">
        <v>3347</v>
      </c>
      <c r="W769" s="221" t="s">
        <v>3334</v>
      </c>
      <c r="X769" s="221"/>
      <c r="Y769" s="227"/>
      <c r="Z769" s="227" t="str">
        <f t="shared" si="33"/>
        <v>Pandan Landung RW 03 Wagir</v>
      </c>
      <c r="AA769" s="276" t="e">
        <f>VLOOKUP(Logfile_S12[[#This Row],[DO number]],DO_DB!G:I,3,0)</f>
        <v>#N/A</v>
      </c>
      <c r="AB769" s="331" t="e">
        <f>EXACT(Logfile_S12[[#This Row],[date pick]],Logfile_S12[[#This Row],[Date]])</f>
        <v>#N/A</v>
      </c>
      <c r="AC7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70" spans="1:29" ht="14.5" hidden="1">
      <c r="A770" s="220" t="str">
        <f t="shared" si="32"/>
        <v>766</v>
      </c>
      <c r="B770" s="221"/>
      <c r="C770" s="221" t="s">
        <v>48</v>
      </c>
      <c r="D770" s="221" t="s">
        <v>3787</v>
      </c>
      <c r="E770" s="221" t="s">
        <v>3295</v>
      </c>
      <c r="F770" s="221" t="s">
        <v>3299</v>
      </c>
      <c r="G770" s="222">
        <v>45220</v>
      </c>
      <c r="H770" s="223">
        <v>15.291666666666666</v>
      </c>
      <c r="I770" s="221" t="s">
        <v>38</v>
      </c>
      <c r="J770" s="221" t="s">
        <v>3024</v>
      </c>
      <c r="K770" s="224" t="s">
        <v>5137</v>
      </c>
      <c r="L770" s="225" t="str">
        <f>VLOOKUP(Logfile_S12[[#This Row],[Material Name]],Sheet2!B:C,2,0)</f>
        <v>GCI1009</v>
      </c>
      <c r="M770" s="225" t="str">
        <f>_xlfn.XLOOKUP(Logfile_S12[[#This Row],[Material Name]],Sum_WH!E:E,Sum_WH!F:F,"",0)</f>
        <v>Pcs</v>
      </c>
      <c r="N770" s="221">
        <v>310</v>
      </c>
      <c r="O770" s="221" t="s">
        <v>3344</v>
      </c>
      <c r="P770" s="221" t="s">
        <v>3345</v>
      </c>
      <c r="Q770" s="221">
        <v>0</v>
      </c>
      <c r="R770" s="221">
        <v>0</v>
      </c>
      <c r="S770" s="221"/>
      <c r="T770" s="221"/>
      <c r="U770" s="221"/>
      <c r="V770" s="221"/>
      <c r="W770" s="221"/>
      <c r="X770" s="221" t="s">
        <v>3350</v>
      </c>
      <c r="Y770" s="227"/>
      <c r="Z770" s="227" t="str">
        <f t="shared" si="33"/>
        <v>Purchase</v>
      </c>
      <c r="AA770" s="276" t="e">
        <f>VLOOKUP(Logfile_S12[[#This Row],[DO number]],DO_DB!G:I,3,0)</f>
        <v>#N/A</v>
      </c>
      <c r="AB770" s="331" t="e">
        <f>EXACT(Logfile_S12[[#This Row],[date pick]],Logfile_S12[[#This Row],[Date]])</f>
        <v>#N/A</v>
      </c>
      <c r="AC7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71" spans="1:29" ht="14.5" hidden="1">
      <c r="A771" s="220" t="str">
        <f t="shared" si="32"/>
        <v>767</v>
      </c>
      <c r="B771" s="221"/>
      <c r="C771" s="221" t="s">
        <v>49</v>
      </c>
      <c r="D771" s="221" t="s">
        <v>3776</v>
      </c>
      <c r="E771" s="221" t="s">
        <v>3295</v>
      </c>
      <c r="F771" s="221" t="s">
        <v>3299</v>
      </c>
      <c r="G771" s="222">
        <v>45220</v>
      </c>
      <c r="H771" s="223">
        <v>0.97499999999999998</v>
      </c>
      <c r="I771" s="221" t="s">
        <v>4916</v>
      </c>
      <c r="J771" s="221" t="s">
        <v>3024</v>
      </c>
      <c r="K771" s="224" t="s">
        <v>5137</v>
      </c>
      <c r="L771" s="225" t="str">
        <f>VLOOKUP(Logfile_S12[[#This Row],[Material Name]],Sheet2!B:C,2,0)</f>
        <v>GCI1009</v>
      </c>
      <c r="M771" s="225" t="str">
        <f>_xlfn.XLOOKUP(Logfile_S12[[#This Row],[Material Name]],Sum_WH!E:E,Sum_WH!F:F,"",0)</f>
        <v>Pcs</v>
      </c>
      <c r="N771" s="221">
        <v>60</v>
      </c>
      <c r="O771" s="221" t="s">
        <v>324</v>
      </c>
      <c r="P771" s="221" t="s">
        <v>325</v>
      </c>
      <c r="Q771" s="221"/>
      <c r="R771" s="221"/>
      <c r="S771" s="221"/>
      <c r="T771" s="221" t="s">
        <v>3322</v>
      </c>
      <c r="U771" s="221" t="s">
        <v>3323</v>
      </c>
      <c r="V771" s="221" t="s">
        <v>3324</v>
      </c>
      <c r="W771" s="221" t="s">
        <v>3325</v>
      </c>
      <c r="X771" s="221"/>
      <c r="Y771" s="227"/>
      <c r="Z771" s="227" t="str">
        <f t="shared" si="33"/>
        <v>Jedong RW 09 Wagir</v>
      </c>
      <c r="AA771" s="276" t="e">
        <f>VLOOKUP(Logfile_S12[[#This Row],[DO number]],DO_DB!G:I,3,0)</f>
        <v>#N/A</v>
      </c>
      <c r="AB771" s="331" t="e">
        <f>EXACT(Logfile_S12[[#This Row],[date pick]],Logfile_S12[[#This Row],[Date]])</f>
        <v>#N/A</v>
      </c>
      <c r="AC7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72" spans="1:29" ht="14.5" hidden="1">
      <c r="A772" s="220" t="str">
        <f t="shared" si="32"/>
        <v>768</v>
      </c>
      <c r="B772" s="221"/>
      <c r="C772" s="221" t="s">
        <v>49</v>
      </c>
      <c r="D772" s="221" t="s">
        <v>3776</v>
      </c>
      <c r="E772" s="221" t="s">
        <v>3295</v>
      </c>
      <c r="F772" s="221" t="s">
        <v>3299</v>
      </c>
      <c r="G772" s="222">
        <v>45220</v>
      </c>
      <c r="H772" s="223">
        <v>0.97499999999999998</v>
      </c>
      <c r="I772" s="221" t="s">
        <v>4916</v>
      </c>
      <c r="J772" s="221" t="s">
        <v>3024</v>
      </c>
      <c r="K772" s="224" t="s">
        <v>5137</v>
      </c>
      <c r="L772" s="225" t="str">
        <f>VLOOKUP(Logfile_S12[[#This Row],[Material Name]],Sheet2!B:C,2,0)</f>
        <v>GCI1009</v>
      </c>
      <c r="M772" s="225" t="str">
        <f>_xlfn.XLOOKUP(Logfile_S12[[#This Row],[Material Name]],Sum_WH!E:E,Sum_WH!F:F,"",0)</f>
        <v>Pcs</v>
      </c>
      <c r="N772" s="221">
        <v>72</v>
      </c>
      <c r="O772" s="221" t="s">
        <v>340</v>
      </c>
      <c r="P772" s="221" t="s">
        <v>341</v>
      </c>
      <c r="Q772" s="221"/>
      <c r="R772" s="221"/>
      <c r="S772" s="221"/>
      <c r="T772" s="221" t="s">
        <v>3322</v>
      </c>
      <c r="U772" s="221" t="s">
        <v>3323</v>
      </c>
      <c r="V772" s="221" t="s">
        <v>3324</v>
      </c>
      <c r="W772" s="221" t="s">
        <v>3325</v>
      </c>
      <c r="X772" s="221"/>
      <c r="Y772" s="227"/>
      <c r="Z772" s="227" t="str">
        <f t="shared" si="33"/>
        <v>Jedong RW 08 Wagir</v>
      </c>
      <c r="AA772" s="276" t="e">
        <f>VLOOKUP(Logfile_S12[[#This Row],[DO number]],DO_DB!G:I,3,0)</f>
        <v>#N/A</v>
      </c>
      <c r="AB772" s="331" t="e">
        <f>EXACT(Logfile_S12[[#This Row],[date pick]],Logfile_S12[[#This Row],[Date]])</f>
        <v>#N/A</v>
      </c>
      <c r="AC7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73" spans="1:29" ht="14.5" hidden="1">
      <c r="A773" s="220" t="str">
        <f t="shared" ref="A773:A836" si="34">TEXT(ROW(A773)-ROW($A$4),"000")</f>
        <v>769</v>
      </c>
      <c r="B773" s="221"/>
      <c r="C773" s="221" t="s">
        <v>49</v>
      </c>
      <c r="D773" s="221" t="s">
        <v>3775</v>
      </c>
      <c r="E773" s="221" t="s">
        <v>3295</v>
      </c>
      <c r="F773" s="221" t="s">
        <v>3299</v>
      </c>
      <c r="G773" s="222">
        <v>45220</v>
      </c>
      <c r="H773" s="223">
        <v>0.97499999999999998</v>
      </c>
      <c r="I773" s="221" t="s">
        <v>4916</v>
      </c>
      <c r="J773" s="221" t="s">
        <v>3024</v>
      </c>
      <c r="K773" s="224" t="s">
        <v>5137</v>
      </c>
      <c r="L773" s="225" t="str">
        <f>VLOOKUP(Logfile_S12[[#This Row],[Material Name]],Sheet2!B:C,2,0)</f>
        <v>GCI1009</v>
      </c>
      <c r="M773" s="225" t="str">
        <f>_xlfn.XLOOKUP(Logfile_S12[[#This Row],[Material Name]],Sum_WH!E:E,Sum_WH!F:F,"",0)</f>
        <v>Pcs</v>
      </c>
      <c r="N773" s="221">
        <v>136</v>
      </c>
      <c r="O773" s="221">
        <v>0</v>
      </c>
      <c r="P773" s="221">
        <v>0</v>
      </c>
      <c r="Q773" s="221"/>
      <c r="R773" s="221"/>
      <c r="S773" s="221"/>
      <c r="T773" s="221" t="s">
        <v>3332</v>
      </c>
      <c r="U773" s="221">
        <v>0</v>
      </c>
      <c r="V773" s="221" t="s">
        <v>3333</v>
      </c>
      <c r="W773" s="221" t="s">
        <v>3334</v>
      </c>
      <c r="X773" s="221"/>
      <c r="Y773" s="227"/>
      <c r="Z773" s="227">
        <f t="shared" si="33"/>
        <v>0</v>
      </c>
      <c r="AA773" s="276" t="e">
        <f>VLOOKUP(Logfile_S12[[#This Row],[DO number]],DO_DB!G:I,3,0)</f>
        <v>#N/A</v>
      </c>
      <c r="AB773" s="331" t="e">
        <f>EXACT(Logfile_S12[[#This Row],[date pick]],Logfile_S12[[#This Row],[Date]])</f>
        <v>#N/A</v>
      </c>
      <c r="AC7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74" spans="1:29" ht="14.5" hidden="1">
      <c r="A774" s="220" t="str">
        <f t="shared" si="34"/>
        <v>770</v>
      </c>
      <c r="B774" s="221"/>
      <c r="C774" s="221" t="s">
        <v>49</v>
      </c>
      <c r="D774" s="221" t="s">
        <v>3788</v>
      </c>
      <c r="E774" s="221" t="s">
        <v>3295</v>
      </c>
      <c r="F774" s="221" t="s">
        <v>3299</v>
      </c>
      <c r="G774" s="222">
        <v>45221</v>
      </c>
      <c r="H774" s="223">
        <v>0.9375</v>
      </c>
      <c r="I774" s="221" t="s">
        <v>4916</v>
      </c>
      <c r="J774" s="221" t="s">
        <v>3024</v>
      </c>
      <c r="K774" s="224" t="s">
        <v>5137</v>
      </c>
      <c r="L774" s="225" t="str">
        <f>VLOOKUP(Logfile_S12[[#This Row],[Material Name]],Sheet2!B:C,2,0)</f>
        <v>GCI1009</v>
      </c>
      <c r="M774" s="225" t="str">
        <f>_xlfn.XLOOKUP(Logfile_S12[[#This Row],[Material Name]],Sum_WH!E:E,Sum_WH!F:F,"",0)</f>
        <v>Pcs</v>
      </c>
      <c r="N774" s="221">
        <v>36</v>
      </c>
      <c r="O774" s="221" t="s">
        <v>336</v>
      </c>
      <c r="P774" s="221" t="s">
        <v>337</v>
      </c>
      <c r="Q774" s="221"/>
      <c r="R774" s="221"/>
      <c r="S774" s="221"/>
      <c r="T774" s="221" t="s">
        <v>3332</v>
      </c>
      <c r="U774" s="221">
        <v>0</v>
      </c>
      <c r="V774" s="221" t="s">
        <v>3333</v>
      </c>
      <c r="W774" s="221" t="s">
        <v>3334</v>
      </c>
      <c r="X774" s="221"/>
      <c r="Y774" s="227"/>
      <c r="Z774" s="227" t="str">
        <f t="shared" si="33"/>
        <v>Sidorahayu RW 02 Wagir</v>
      </c>
      <c r="AA774" s="276" t="e">
        <f>VLOOKUP(Logfile_S12[[#This Row],[DO number]],DO_DB!G:I,3,0)</f>
        <v>#N/A</v>
      </c>
      <c r="AB774" s="331" t="e">
        <f>EXACT(Logfile_S12[[#This Row],[date pick]],Logfile_S12[[#This Row],[Date]])</f>
        <v>#N/A</v>
      </c>
      <c r="AC7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75" spans="1:29" ht="14.5" hidden="1">
      <c r="A775" s="220" t="str">
        <f t="shared" si="34"/>
        <v>771</v>
      </c>
      <c r="B775" s="221"/>
      <c r="C775" s="221" t="s">
        <v>49</v>
      </c>
      <c r="D775" s="221" t="s">
        <v>3788</v>
      </c>
      <c r="E775" s="221" t="s">
        <v>3295</v>
      </c>
      <c r="F775" s="221" t="s">
        <v>3299</v>
      </c>
      <c r="G775" s="222">
        <v>45221</v>
      </c>
      <c r="H775" s="223">
        <v>0.9375</v>
      </c>
      <c r="I775" s="221" t="s">
        <v>4916</v>
      </c>
      <c r="J775" s="221" t="s">
        <v>3024</v>
      </c>
      <c r="K775" s="224" t="s">
        <v>5137</v>
      </c>
      <c r="L775" s="225" t="str">
        <f>VLOOKUP(Logfile_S12[[#This Row],[Material Name]],Sheet2!B:C,2,0)</f>
        <v>GCI1009</v>
      </c>
      <c r="M775" s="225" t="str">
        <f>_xlfn.XLOOKUP(Logfile_S12[[#This Row],[Material Name]],Sum_WH!E:E,Sum_WH!F:F,"",0)</f>
        <v>Pcs</v>
      </c>
      <c r="N775" s="221">
        <v>42</v>
      </c>
      <c r="O775" s="221" t="s">
        <v>328</v>
      </c>
      <c r="P775" s="221" t="s">
        <v>329</v>
      </c>
      <c r="Q775" s="221"/>
      <c r="R775" s="221"/>
      <c r="S775" s="221"/>
      <c r="T775" s="221" t="s">
        <v>3332</v>
      </c>
      <c r="U775" s="221">
        <v>0</v>
      </c>
      <c r="V775" s="221" t="s">
        <v>3333</v>
      </c>
      <c r="W775" s="221" t="s">
        <v>3334</v>
      </c>
      <c r="X775" s="221"/>
      <c r="Y775" s="227"/>
      <c r="Z775" s="227" t="str">
        <f t="shared" si="33"/>
        <v>Sukodadi RW 01 Wagir</v>
      </c>
      <c r="AA775" s="276" t="e">
        <f>VLOOKUP(Logfile_S12[[#This Row],[DO number]],DO_DB!G:I,3,0)</f>
        <v>#N/A</v>
      </c>
      <c r="AB775" s="331" t="e">
        <f>EXACT(Logfile_S12[[#This Row],[date pick]],Logfile_S12[[#This Row],[Date]])</f>
        <v>#N/A</v>
      </c>
      <c r="AC7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76" spans="1:29" ht="14.5" hidden="1">
      <c r="A776" s="220" t="str">
        <f t="shared" si="34"/>
        <v>772</v>
      </c>
      <c r="B776" s="221"/>
      <c r="C776" s="221" t="s">
        <v>49</v>
      </c>
      <c r="D776" s="221" t="s">
        <v>3788</v>
      </c>
      <c r="E776" s="221" t="s">
        <v>3295</v>
      </c>
      <c r="F776" s="221" t="s">
        <v>3299</v>
      </c>
      <c r="G776" s="222">
        <v>45221</v>
      </c>
      <c r="H776" s="223">
        <v>0.9375</v>
      </c>
      <c r="I776" s="221" t="s">
        <v>4916</v>
      </c>
      <c r="J776" s="221" t="s">
        <v>3024</v>
      </c>
      <c r="K776" s="224" t="s">
        <v>5137</v>
      </c>
      <c r="L776" s="225" t="str">
        <f>VLOOKUP(Logfile_S12[[#This Row],[Material Name]],Sheet2!B:C,2,0)</f>
        <v>GCI1009</v>
      </c>
      <c r="M776" s="225" t="str">
        <f>_xlfn.XLOOKUP(Logfile_S12[[#This Row],[Material Name]],Sum_WH!E:E,Sum_WH!F:F,"",0)</f>
        <v>Pcs</v>
      </c>
      <c r="N776" s="221">
        <v>100</v>
      </c>
      <c r="O776" s="221" t="s">
        <v>332</v>
      </c>
      <c r="P776" s="221" t="s">
        <v>333</v>
      </c>
      <c r="Q776" s="221"/>
      <c r="R776" s="221"/>
      <c r="S776" s="221"/>
      <c r="T776" s="221" t="s">
        <v>3332</v>
      </c>
      <c r="U776" s="221">
        <v>0</v>
      </c>
      <c r="V776" s="221" t="s">
        <v>3333</v>
      </c>
      <c r="W776" s="221" t="s">
        <v>3334</v>
      </c>
      <c r="X776" s="221"/>
      <c r="Y776" s="227"/>
      <c r="Z776" s="227" t="str">
        <f t="shared" si="33"/>
        <v>Sukodadi RW 02 Wagir</v>
      </c>
      <c r="AA776" s="276" t="e">
        <f>VLOOKUP(Logfile_S12[[#This Row],[DO number]],DO_DB!G:I,3,0)</f>
        <v>#N/A</v>
      </c>
      <c r="AB776" s="331" t="e">
        <f>EXACT(Logfile_S12[[#This Row],[date pick]],Logfile_S12[[#This Row],[Date]])</f>
        <v>#N/A</v>
      </c>
      <c r="AC7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77" spans="1:29" ht="14.5" hidden="1">
      <c r="A777" s="220" t="str">
        <f t="shared" si="34"/>
        <v>773</v>
      </c>
      <c r="B777" s="221"/>
      <c r="C777" s="221" t="s">
        <v>49</v>
      </c>
      <c r="D777" s="221" t="s">
        <v>3795</v>
      </c>
      <c r="E777" s="221" t="s">
        <v>3295</v>
      </c>
      <c r="F777" s="221" t="s">
        <v>3299</v>
      </c>
      <c r="G777" s="222">
        <v>45223</v>
      </c>
      <c r="H777" s="223">
        <v>0.56736111111111109</v>
      </c>
      <c r="I777" s="221" t="s">
        <v>4916</v>
      </c>
      <c r="J777" s="221" t="s">
        <v>3024</v>
      </c>
      <c r="K777" s="224" t="s">
        <v>5137</v>
      </c>
      <c r="L777" s="225" t="str">
        <f>VLOOKUP(Logfile_S12[[#This Row],[Material Name]],Sheet2!B:C,2,0)</f>
        <v>GCI1009</v>
      </c>
      <c r="M777" s="225" t="str">
        <f>_xlfn.XLOOKUP(Logfile_S12[[#This Row],[Material Name]],Sum_WH!E:E,Sum_WH!F:F,"",0)</f>
        <v>Pcs</v>
      </c>
      <c r="N777" s="221">
        <v>2</v>
      </c>
      <c r="O777" s="221" t="s">
        <v>150</v>
      </c>
      <c r="P777" s="221" t="s">
        <v>151</v>
      </c>
      <c r="Q777" s="221"/>
      <c r="R777" s="221"/>
      <c r="S777" s="221"/>
      <c r="T777" s="221" t="s">
        <v>3329</v>
      </c>
      <c r="U777" s="221">
        <v>0</v>
      </c>
      <c r="V777" s="221" t="s">
        <v>3330</v>
      </c>
      <c r="W777" s="221" t="s">
        <v>3240</v>
      </c>
      <c r="X777" s="221"/>
      <c r="Y777" s="227"/>
      <c r="Z777" s="227" t="str">
        <f t="shared" si="33"/>
        <v>Mulyorejo RW 04 Sukun</v>
      </c>
      <c r="AA777" s="276" t="e">
        <f>VLOOKUP(Logfile_S12[[#This Row],[DO number]],DO_DB!G:I,3,0)</f>
        <v>#N/A</v>
      </c>
      <c r="AB777" s="331" t="e">
        <f>EXACT(Logfile_S12[[#This Row],[date pick]],Logfile_S12[[#This Row],[Date]])</f>
        <v>#N/A</v>
      </c>
      <c r="AC7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78" spans="1:29" ht="14.5" hidden="1">
      <c r="A778" s="220" t="str">
        <f t="shared" si="34"/>
        <v>774</v>
      </c>
      <c r="B778" s="221"/>
      <c r="C778" s="221" t="s">
        <v>49</v>
      </c>
      <c r="D778" s="221" t="s">
        <v>3811</v>
      </c>
      <c r="E778" s="221" t="s">
        <v>3295</v>
      </c>
      <c r="F778" s="221" t="s">
        <v>3299</v>
      </c>
      <c r="G778" s="222">
        <v>45254</v>
      </c>
      <c r="H778" s="223">
        <v>0.45833333333333331</v>
      </c>
      <c r="I778" s="221" t="s">
        <v>4916</v>
      </c>
      <c r="J778" s="221" t="s">
        <v>3024</v>
      </c>
      <c r="K778" s="224" t="s">
        <v>5137</v>
      </c>
      <c r="L778" s="225" t="str">
        <f>VLOOKUP(Logfile_S12[[#This Row],[Material Name]],Sheet2!B:C,2,0)</f>
        <v>GCI1009</v>
      </c>
      <c r="M778" s="225" t="str">
        <f>_xlfn.XLOOKUP(Logfile_S12[[#This Row],[Material Name]],Sum_WH!E:E,Sum_WH!F:F,"",0)</f>
        <v>Pcs</v>
      </c>
      <c r="N778" s="221">
        <v>10</v>
      </c>
      <c r="O778" s="221" t="s">
        <v>340</v>
      </c>
      <c r="P778" s="221" t="s">
        <v>341</v>
      </c>
      <c r="Q778" s="221"/>
      <c r="R778" s="221"/>
      <c r="S778" s="221"/>
      <c r="T778" s="221" t="s">
        <v>3233</v>
      </c>
      <c r="U778" s="221">
        <v>0</v>
      </c>
      <c r="V778" s="221" t="s">
        <v>3390</v>
      </c>
      <c r="W778" s="221" t="s">
        <v>3391</v>
      </c>
      <c r="X778" s="221"/>
      <c r="Y778" s="227"/>
      <c r="Z778" s="227" t="str">
        <f t="shared" si="33"/>
        <v>Jedong RW 08 Wagir</v>
      </c>
      <c r="AA778" s="276" t="e">
        <f>VLOOKUP(Logfile_S12[[#This Row],[DO number]],DO_DB!G:I,3,0)</f>
        <v>#N/A</v>
      </c>
      <c r="AB778" s="331" t="e">
        <f>EXACT(Logfile_S12[[#This Row],[date pick]],Logfile_S12[[#This Row],[Date]])</f>
        <v>#N/A</v>
      </c>
      <c r="AC7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79" spans="1:29" ht="14.5" hidden="1">
      <c r="A779" s="220" t="str">
        <f t="shared" si="34"/>
        <v>775</v>
      </c>
      <c r="B779" s="221"/>
      <c r="C779" s="221" t="s">
        <v>48</v>
      </c>
      <c r="D779" s="221" t="s">
        <v>3825</v>
      </c>
      <c r="E779" s="221" t="s">
        <v>3295</v>
      </c>
      <c r="F779" s="221" t="s">
        <v>3299</v>
      </c>
      <c r="G779" s="222">
        <v>45258</v>
      </c>
      <c r="H779" s="223">
        <v>15.291666666666666</v>
      </c>
      <c r="I779" s="221" t="s">
        <v>38</v>
      </c>
      <c r="J779" s="221" t="s">
        <v>3024</v>
      </c>
      <c r="K779" s="224" t="s">
        <v>5137</v>
      </c>
      <c r="L779" s="225" t="str">
        <f>VLOOKUP(Logfile_S12[[#This Row],[Material Name]],Sheet2!B:C,2,0)</f>
        <v>GCI1009</v>
      </c>
      <c r="M779" s="225" t="str">
        <f>_xlfn.XLOOKUP(Logfile_S12[[#This Row],[Material Name]],Sum_WH!E:E,Sum_WH!F:F,"",0)</f>
        <v>Pcs</v>
      </c>
      <c r="N779" s="221">
        <v>240</v>
      </c>
      <c r="O779" s="221" t="s">
        <v>3344</v>
      </c>
      <c r="P779" s="221" t="s">
        <v>3345</v>
      </c>
      <c r="Q779" s="221">
        <v>0</v>
      </c>
      <c r="R779" s="221">
        <v>0</v>
      </c>
      <c r="S779" s="221"/>
      <c r="T779" s="221"/>
      <c r="U779" s="221"/>
      <c r="V779" s="221"/>
      <c r="W779" s="221"/>
      <c r="X779" s="221"/>
      <c r="Y779" s="227"/>
      <c r="Z779" s="227" t="str">
        <f t="shared" si="33"/>
        <v>Purchase</v>
      </c>
      <c r="AA779" s="276" t="e">
        <f>VLOOKUP(Logfile_S12[[#This Row],[DO number]],DO_DB!G:I,3,0)</f>
        <v>#N/A</v>
      </c>
      <c r="AB779" s="331" t="e">
        <f>EXACT(Logfile_S12[[#This Row],[date pick]],Logfile_S12[[#This Row],[Date]])</f>
        <v>#N/A</v>
      </c>
      <c r="AC7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80" spans="1:29" ht="14.5" hidden="1">
      <c r="A780" s="220" t="str">
        <f t="shared" si="34"/>
        <v>776</v>
      </c>
      <c r="B780" s="221"/>
      <c r="C780" s="221" t="s">
        <v>49</v>
      </c>
      <c r="D780" s="221" t="s">
        <v>3831</v>
      </c>
      <c r="E780" s="221" t="s">
        <v>3295</v>
      </c>
      <c r="F780" s="221" t="s">
        <v>3299</v>
      </c>
      <c r="G780" s="222">
        <v>45267</v>
      </c>
      <c r="H780" s="223">
        <v>0.89583333333333337</v>
      </c>
      <c r="I780" s="221" t="s">
        <v>4916</v>
      </c>
      <c r="J780" s="221" t="s">
        <v>3024</v>
      </c>
      <c r="K780" s="224" t="s">
        <v>5137</v>
      </c>
      <c r="L780" s="225" t="str">
        <f>VLOOKUP(Logfile_S12[[#This Row],[Material Name]],Sheet2!B:C,2,0)</f>
        <v>GCI1009</v>
      </c>
      <c r="M780" s="225" t="str">
        <f>_xlfn.XLOOKUP(Logfile_S12[[#This Row],[Material Name]],Sum_WH!E:E,Sum_WH!F:F,"",0)</f>
        <v>Pcs</v>
      </c>
      <c r="N780" s="221">
        <v>46</v>
      </c>
      <c r="O780" s="221" t="s">
        <v>172</v>
      </c>
      <c r="P780" s="221" t="s">
        <v>3319</v>
      </c>
      <c r="Q780" s="221"/>
      <c r="R780" s="221"/>
      <c r="S780" s="221"/>
      <c r="T780" s="221" t="s">
        <v>3231</v>
      </c>
      <c r="U780" s="221">
        <v>0</v>
      </c>
      <c r="V780" s="221" t="s">
        <v>3375</v>
      </c>
      <c r="W780" s="221" t="s">
        <v>3249</v>
      </c>
      <c r="X780" s="221"/>
      <c r="Y780" s="227"/>
      <c r="Z780" s="227" t="str">
        <f t="shared" ref="Z780:Z843" si="35">P780</f>
        <v>Pandan Landung RW 03 Wagir</v>
      </c>
      <c r="AA780" s="276" t="e">
        <f>VLOOKUP(Logfile_S12[[#This Row],[DO number]],DO_DB!G:I,3,0)</f>
        <v>#N/A</v>
      </c>
      <c r="AB780" s="331" t="e">
        <f>EXACT(Logfile_S12[[#This Row],[date pick]],Logfile_S12[[#This Row],[Date]])</f>
        <v>#N/A</v>
      </c>
      <c r="AC7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81" spans="1:29" ht="14.5" hidden="1">
      <c r="A781" s="220" t="str">
        <f t="shared" si="34"/>
        <v>777</v>
      </c>
      <c r="B781" s="221"/>
      <c r="C781" s="221" t="s">
        <v>3388</v>
      </c>
      <c r="D781" s="221" t="s">
        <v>3833</v>
      </c>
      <c r="E781" s="221" t="s">
        <v>3295</v>
      </c>
      <c r="F781" s="221" t="s">
        <v>3299</v>
      </c>
      <c r="G781" s="222">
        <v>45270</v>
      </c>
      <c r="H781" s="223">
        <v>0.92361111111111116</v>
      </c>
      <c r="I781" s="221" t="s">
        <v>4921</v>
      </c>
      <c r="J781" s="221" t="s">
        <v>3024</v>
      </c>
      <c r="K781" s="224" t="s">
        <v>5137</v>
      </c>
      <c r="L781" s="225" t="str">
        <f>VLOOKUP(Logfile_S12[[#This Row],[Material Name]],Sheet2!B:C,2,0)</f>
        <v>GCI1009</v>
      </c>
      <c r="M781" s="225" t="str">
        <f>_xlfn.XLOOKUP(Logfile_S12[[#This Row],[Material Name]],Sum_WH!E:E,Sum_WH!F:F,"",0)</f>
        <v>Pcs</v>
      </c>
      <c r="N781" s="221">
        <v>95</v>
      </c>
      <c r="O781" s="221" t="s">
        <v>3314</v>
      </c>
      <c r="P781" s="221" t="s">
        <v>3223</v>
      </c>
      <c r="Q781" s="221"/>
      <c r="R781" s="221"/>
      <c r="S781" s="221"/>
      <c r="T781" s="221" t="s">
        <v>3259</v>
      </c>
      <c r="U781" s="221">
        <v>0</v>
      </c>
      <c r="V781" s="221" t="s">
        <v>3375</v>
      </c>
      <c r="W781" s="221" t="s">
        <v>3415</v>
      </c>
      <c r="X781" s="221" t="s">
        <v>3416</v>
      </c>
      <c r="Y781" s="227"/>
      <c r="Z781" s="227" t="str">
        <f t="shared" si="35"/>
        <v>Transfer Gudang</v>
      </c>
      <c r="AA781" s="276" t="e">
        <f>VLOOKUP(Logfile_S12[[#This Row],[DO number]],DO_DB!G:I,3,0)</f>
        <v>#N/A</v>
      </c>
      <c r="AB781" s="331" t="e">
        <f>EXACT(Logfile_S12[[#This Row],[date pick]],Logfile_S12[[#This Row],[Date]])</f>
        <v>#N/A</v>
      </c>
      <c r="AC7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782" spans="1:29" ht="14.5" hidden="1">
      <c r="A782" s="220" t="str">
        <f t="shared" si="34"/>
        <v>778</v>
      </c>
      <c r="B782" s="221"/>
      <c r="C782" s="221" t="s">
        <v>49</v>
      </c>
      <c r="D782" s="221" t="s">
        <v>3835</v>
      </c>
      <c r="E782" s="221" t="s">
        <v>3295</v>
      </c>
      <c r="F782" s="221" t="s">
        <v>3299</v>
      </c>
      <c r="G782" s="222">
        <v>45275</v>
      </c>
      <c r="H782" s="223">
        <v>0.44097222222222227</v>
      </c>
      <c r="I782" s="221" t="s">
        <v>4916</v>
      </c>
      <c r="J782" s="221" t="s">
        <v>3024</v>
      </c>
      <c r="K782" s="224" t="s">
        <v>5137</v>
      </c>
      <c r="L782" s="225" t="str">
        <f>VLOOKUP(Logfile_S12[[#This Row],[Material Name]],Sheet2!B:C,2,0)</f>
        <v>GCI1009</v>
      </c>
      <c r="M782" s="225" t="str">
        <f>_xlfn.XLOOKUP(Logfile_S12[[#This Row],[Material Name]],Sum_WH!E:E,Sum_WH!F:F,"",0)</f>
        <v>Pcs</v>
      </c>
      <c r="N782" s="221">
        <v>5</v>
      </c>
      <c r="O782" s="221" t="s">
        <v>328</v>
      </c>
      <c r="P782" s="221" t="s">
        <v>329</v>
      </c>
      <c r="Q782" s="221"/>
      <c r="R782" s="221"/>
      <c r="S782" s="221"/>
      <c r="T782" s="221" t="s">
        <v>3351</v>
      </c>
      <c r="U782" s="221">
        <v>0</v>
      </c>
      <c r="V782" s="221" t="s">
        <v>3352</v>
      </c>
      <c r="W782" s="221" t="s">
        <v>3353</v>
      </c>
      <c r="X782" s="221"/>
      <c r="Y782" s="227"/>
      <c r="Z782" s="227" t="str">
        <f t="shared" si="35"/>
        <v>Sukodadi RW 01 Wagir</v>
      </c>
      <c r="AA782" s="276" t="e">
        <f>VLOOKUP(Logfile_S12[[#This Row],[DO number]],DO_DB!G:I,3,0)</f>
        <v>#N/A</v>
      </c>
      <c r="AB782" s="331" t="e">
        <f>EXACT(Logfile_S12[[#This Row],[date pick]],Logfile_S12[[#This Row],[Date]])</f>
        <v>#N/A</v>
      </c>
      <c r="AC7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83" spans="1:29" ht="14.5" hidden="1">
      <c r="A783" s="220" t="str">
        <f t="shared" si="34"/>
        <v>779</v>
      </c>
      <c r="B783" s="221"/>
      <c r="C783" s="221" t="s">
        <v>3313</v>
      </c>
      <c r="D783" s="221" t="s">
        <v>3836</v>
      </c>
      <c r="E783" s="221" t="s">
        <v>3295</v>
      </c>
      <c r="F783" s="221" t="s">
        <v>3299</v>
      </c>
      <c r="G783" s="222">
        <v>45275</v>
      </c>
      <c r="H783" s="223">
        <v>15.291666666666666</v>
      </c>
      <c r="I783" s="221" t="s">
        <v>4920</v>
      </c>
      <c r="J783" s="221" t="s">
        <v>3024</v>
      </c>
      <c r="K783" s="224" t="s">
        <v>5137</v>
      </c>
      <c r="L783" s="225" t="str">
        <f>VLOOKUP(Logfile_S12[[#This Row],[Material Name]],Sheet2!B:C,2,0)</f>
        <v>GCI1009</v>
      </c>
      <c r="M783" s="225" t="str">
        <f>_xlfn.XLOOKUP(Logfile_S12[[#This Row],[Material Name]],Sum_WH!E:E,Sum_WH!F:F,"",0)</f>
        <v>Pcs</v>
      </c>
      <c r="N783" s="221">
        <v>188</v>
      </c>
      <c r="O783" s="221" t="s">
        <v>3314</v>
      </c>
      <c r="P783" s="221" t="s">
        <v>3315</v>
      </c>
      <c r="Q783" s="221">
        <v>0</v>
      </c>
      <c r="R783" s="221">
        <v>0</v>
      </c>
      <c r="S783" s="221"/>
      <c r="T783" s="221"/>
      <c r="U783" s="221"/>
      <c r="V783" s="221"/>
      <c r="W783" s="221"/>
      <c r="X783" s="221" t="s">
        <v>3417</v>
      </c>
      <c r="Y783" s="227"/>
      <c r="Z783" s="227" t="str">
        <f t="shared" si="35"/>
        <v>KEDIRI</v>
      </c>
      <c r="AA783" s="276" t="e">
        <f>VLOOKUP(Logfile_S12[[#This Row],[DO number]],DO_DB!G:I,3,0)</f>
        <v>#N/A</v>
      </c>
      <c r="AB783" s="331" t="e">
        <f>EXACT(Logfile_S12[[#This Row],[date pick]],Logfile_S12[[#This Row],[Date]])</f>
        <v>#N/A</v>
      </c>
      <c r="AC7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84" spans="1:29" ht="14.5" hidden="1">
      <c r="A784" s="220" t="str">
        <f t="shared" si="34"/>
        <v>780</v>
      </c>
      <c r="B784" s="221"/>
      <c r="C784" s="221" t="s">
        <v>49</v>
      </c>
      <c r="D784" s="221" t="s">
        <v>3837</v>
      </c>
      <c r="E784" s="221" t="s">
        <v>3295</v>
      </c>
      <c r="F784" s="221" t="s">
        <v>3299</v>
      </c>
      <c r="G784" s="222">
        <v>45276</v>
      </c>
      <c r="H784" s="223">
        <v>0.32708333333333334</v>
      </c>
      <c r="I784" s="221" t="s">
        <v>4916</v>
      </c>
      <c r="J784" s="221" t="s">
        <v>3024</v>
      </c>
      <c r="K784" s="224" t="s">
        <v>5137</v>
      </c>
      <c r="L784" s="225" t="str">
        <f>VLOOKUP(Logfile_S12[[#This Row],[Material Name]],Sheet2!B:C,2,0)</f>
        <v>GCI1009</v>
      </c>
      <c r="M784" s="225" t="str">
        <f>_xlfn.XLOOKUP(Logfile_S12[[#This Row],[Material Name]],Sum_WH!E:E,Sum_WH!F:F,"",0)</f>
        <v>Pcs</v>
      </c>
      <c r="N784" s="221">
        <v>20</v>
      </c>
      <c r="O784" s="221" t="s">
        <v>336</v>
      </c>
      <c r="P784" s="221" t="s">
        <v>337</v>
      </c>
      <c r="Q784" s="221"/>
      <c r="R784" s="221"/>
      <c r="S784" s="221"/>
      <c r="T784" s="221" t="s">
        <v>3351</v>
      </c>
      <c r="U784" s="221">
        <v>0</v>
      </c>
      <c r="V784" s="221" t="s">
        <v>3352</v>
      </c>
      <c r="W784" s="221" t="s">
        <v>3353</v>
      </c>
      <c r="X784" s="221"/>
      <c r="Y784" s="227"/>
      <c r="Z784" s="227" t="str">
        <f t="shared" si="35"/>
        <v>Sidorahayu RW 02 Wagir</v>
      </c>
      <c r="AA784" s="276" t="e">
        <f>VLOOKUP(Logfile_S12[[#This Row],[DO number]],DO_DB!G:I,3,0)</f>
        <v>#N/A</v>
      </c>
      <c r="AB784" s="331" t="e">
        <f>EXACT(Logfile_S12[[#This Row],[date pick]],Logfile_S12[[#This Row],[Date]])</f>
        <v>#N/A</v>
      </c>
      <c r="AC7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85" spans="1:29" ht="14.5" hidden="1">
      <c r="A785" s="220" t="str">
        <f t="shared" si="34"/>
        <v>781</v>
      </c>
      <c r="B785" s="221"/>
      <c r="C785" s="221" t="s">
        <v>48</v>
      </c>
      <c r="D785" s="221" t="s">
        <v>3838</v>
      </c>
      <c r="E785" s="221" t="s">
        <v>3295</v>
      </c>
      <c r="F785" s="221" t="s">
        <v>3299</v>
      </c>
      <c r="G785" s="222">
        <v>45278</v>
      </c>
      <c r="H785" s="223">
        <v>15.291666666666666</v>
      </c>
      <c r="I785" s="221" t="s">
        <v>3586</v>
      </c>
      <c r="J785" s="221" t="s">
        <v>3024</v>
      </c>
      <c r="K785" s="224" t="s">
        <v>5137</v>
      </c>
      <c r="L785" s="225" t="str">
        <f>VLOOKUP(Logfile_S12[[#This Row],[Material Name]],Sheet2!B:C,2,0)</f>
        <v>GCI1009</v>
      </c>
      <c r="M785" s="225" t="str">
        <f>_xlfn.XLOOKUP(Logfile_S12[[#This Row],[Material Name]],Sum_WH!E:E,Sum_WH!F:F,"",0)</f>
        <v>Pcs</v>
      </c>
      <c r="N785" s="221">
        <v>185</v>
      </c>
      <c r="O785" s="221" t="s">
        <v>3397</v>
      </c>
      <c r="P785" s="221" t="s">
        <v>3300</v>
      </c>
      <c r="Q785" s="221">
        <v>0</v>
      </c>
      <c r="R785" s="221">
        <v>0</v>
      </c>
      <c r="S785" s="221"/>
      <c r="T785" s="221"/>
      <c r="U785" s="221"/>
      <c r="V785" s="221"/>
      <c r="W785" s="221"/>
      <c r="X785" s="221" t="s">
        <v>3418</v>
      </c>
      <c r="Y785" s="227"/>
      <c r="Z785" s="227" t="str">
        <f t="shared" si="35"/>
        <v>Pengembalian</v>
      </c>
      <c r="AA785" s="276" t="e">
        <f>VLOOKUP(Logfile_S12[[#This Row],[DO number]],DO_DB!G:I,3,0)</f>
        <v>#N/A</v>
      </c>
      <c r="AB785" s="331" t="e">
        <f>EXACT(Logfile_S12[[#This Row],[date pick]],Logfile_S12[[#This Row],[Date]])</f>
        <v>#N/A</v>
      </c>
      <c r="AC7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86" spans="1:29" ht="14.5" hidden="1">
      <c r="A786" s="220" t="str">
        <f t="shared" si="34"/>
        <v>782</v>
      </c>
      <c r="B786" s="221"/>
      <c r="C786" s="221" t="s">
        <v>49</v>
      </c>
      <c r="D786" s="221" t="s">
        <v>3839</v>
      </c>
      <c r="E786" s="221" t="s">
        <v>3295</v>
      </c>
      <c r="F786" s="221" t="s">
        <v>3299</v>
      </c>
      <c r="G786" s="222">
        <v>45282</v>
      </c>
      <c r="H786" s="223">
        <v>0.56041666666666667</v>
      </c>
      <c r="I786" s="221" t="s">
        <v>4916</v>
      </c>
      <c r="J786" s="221" t="s">
        <v>3024</v>
      </c>
      <c r="K786" s="224" t="s">
        <v>5137</v>
      </c>
      <c r="L786" s="225" t="str">
        <f>VLOOKUP(Logfile_S12[[#This Row],[Material Name]],Sheet2!B:C,2,0)</f>
        <v>GCI1009</v>
      </c>
      <c r="M786" s="225" t="str">
        <f>_xlfn.XLOOKUP(Logfile_S12[[#This Row],[Material Name]],Sum_WH!E:E,Sum_WH!F:F,"",0)</f>
        <v>Pcs</v>
      </c>
      <c r="N786" s="221">
        <v>40</v>
      </c>
      <c r="O786" s="221" t="s">
        <v>732</v>
      </c>
      <c r="P786" s="221" t="s">
        <v>733</v>
      </c>
      <c r="Q786" s="221"/>
      <c r="R786" s="221"/>
      <c r="S786" s="221"/>
      <c r="T786" s="221" t="s">
        <v>3258</v>
      </c>
      <c r="U786" s="221" t="s">
        <v>3228</v>
      </c>
      <c r="V786" s="221" t="s">
        <v>3337</v>
      </c>
      <c r="W786" s="221" t="s">
        <v>3338</v>
      </c>
      <c r="X786" s="221"/>
      <c r="Y786" s="227"/>
      <c r="Z786" s="227" t="str">
        <f t="shared" si="35"/>
        <v>Sitirejo RW 01 Wagir</v>
      </c>
      <c r="AA786" s="276" t="e">
        <f>VLOOKUP(Logfile_S12[[#This Row],[DO number]],DO_DB!G:I,3,0)</f>
        <v>#N/A</v>
      </c>
      <c r="AB786" s="331" t="e">
        <f>EXACT(Logfile_S12[[#This Row],[date pick]],Logfile_S12[[#This Row],[Date]])</f>
        <v>#N/A</v>
      </c>
      <c r="AC7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87" spans="1:29" ht="14.5" hidden="1">
      <c r="A787" s="220" t="str">
        <f t="shared" si="34"/>
        <v>783</v>
      </c>
      <c r="B787" s="221"/>
      <c r="C787" s="221" t="s">
        <v>49</v>
      </c>
      <c r="D787" s="221" t="s">
        <v>3842</v>
      </c>
      <c r="E787" s="221" t="s">
        <v>3295</v>
      </c>
      <c r="F787" s="221" t="s">
        <v>3299</v>
      </c>
      <c r="G787" s="222">
        <v>45285</v>
      </c>
      <c r="H787" s="223">
        <v>0.3923611111111111</v>
      </c>
      <c r="I787" s="221" t="s">
        <v>4916</v>
      </c>
      <c r="J787" s="221" t="s">
        <v>3024</v>
      </c>
      <c r="K787" s="224" t="s">
        <v>5137</v>
      </c>
      <c r="L787" s="225" t="str">
        <f>VLOOKUP(Logfile_S12[[#This Row],[Material Name]],Sheet2!B:C,2,0)</f>
        <v>GCI1009</v>
      </c>
      <c r="M787" s="225" t="str">
        <f>_xlfn.XLOOKUP(Logfile_S12[[#This Row],[Material Name]],Sum_WH!E:E,Sum_WH!F:F,"",0)</f>
        <v>Pcs</v>
      </c>
      <c r="N787" s="221">
        <v>10</v>
      </c>
      <c r="O787" s="221" t="s">
        <v>732</v>
      </c>
      <c r="P787" s="221" t="s">
        <v>733</v>
      </c>
      <c r="Q787" s="221"/>
      <c r="R787" s="221"/>
      <c r="S787" s="221"/>
      <c r="T787" s="221" t="s">
        <v>3258</v>
      </c>
      <c r="U787" s="221" t="s">
        <v>3228</v>
      </c>
      <c r="V787" s="221" t="s">
        <v>3337</v>
      </c>
      <c r="W787" s="221" t="s">
        <v>3338</v>
      </c>
      <c r="X787" s="221"/>
      <c r="Y787" s="227"/>
      <c r="Z787" s="227" t="str">
        <f t="shared" si="35"/>
        <v>Sitirejo RW 01 Wagir</v>
      </c>
      <c r="AA787" s="276" t="e">
        <f>VLOOKUP(Logfile_S12[[#This Row],[DO number]],DO_DB!G:I,3,0)</f>
        <v>#N/A</v>
      </c>
      <c r="AB787" s="331" t="e">
        <f>EXACT(Logfile_S12[[#This Row],[date pick]],Logfile_S12[[#This Row],[Date]])</f>
        <v>#N/A</v>
      </c>
      <c r="AC7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88" spans="1:29" ht="14.5" hidden="1">
      <c r="A788" s="220" t="str">
        <f t="shared" si="34"/>
        <v>784</v>
      </c>
      <c r="B788" s="221"/>
      <c r="C788" s="221" t="s">
        <v>49</v>
      </c>
      <c r="D788" s="221" t="s">
        <v>3846</v>
      </c>
      <c r="E788" s="221" t="s">
        <v>3295</v>
      </c>
      <c r="F788" s="221" t="s">
        <v>3299</v>
      </c>
      <c r="G788" s="222">
        <v>45286</v>
      </c>
      <c r="H788" s="223">
        <v>0.3923611111111111</v>
      </c>
      <c r="I788" s="221" t="s">
        <v>4916</v>
      </c>
      <c r="J788" s="221" t="s">
        <v>3024</v>
      </c>
      <c r="K788" s="224" t="s">
        <v>5137</v>
      </c>
      <c r="L788" s="225" t="str">
        <f>VLOOKUP(Logfile_S12[[#This Row],[Material Name]],Sheet2!B:C,2,0)</f>
        <v>GCI1009</v>
      </c>
      <c r="M788" s="225" t="str">
        <f>_xlfn.XLOOKUP(Logfile_S12[[#This Row],[Material Name]],Sum_WH!E:E,Sum_WH!F:F,"",0)</f>
        <v>Pcs</v>
      </c>
      <c r="N788" s="221">
        <v>6</v>
      </c>
      <c r="O788" s="221" t="s">
        <v>732</v>
      </c>
      <c r="P788" s="221" t="s">
        <v>733</v>
      </c>
      <c r="Q788" s="221"/>
      <c r="R788" s="221"/>
      <c r="S788" s="221"/>
      <c r="T788" s="221" t="s">
        <v>3231</v>
      </c>
      <c r="U788" s="221" t="s">
        <v>3228</v>
      </c>
      <c r="V788" s="221" t="s">
        <v>3232</v>
      </c>
      <c r="W788" s="221" t="s">
        <v>3355</v>
      </c>
      <c r="X788" s="221"/>
      <c r="Y788" s="227"/>
      <c r="Z788" s="227" t="str">
        <f t="shared" si="35"/>
        <v>Sitirejo RW 01 Wagir</v>
      </c>
      <c r="AA788" s="276" t="e">
        <f>VLOOKUP(Logfile_S12[[#This Row],[DO number]],DO_DB!G:I,3,0)</f>
        <v>#N/A</v>
      </c>
      <c r="AB788" s="331" t="e">
        <f>EXACT(Logfile_S12[[#This Row],[date pick]],Logfile_S12[[#This Row],[Date]])</f>
        <v>#N/A</v>
      </c>
      <c r="AC7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89" spans="1:29" ht="14.5" hidden="1">
      <c r="A789" s="220" t="str">
        <f t="shared" si="34"/>
        <v>785</v>
      </c>
      <c r="B789" s="221"/>
      <c r="C789" s="221" t="s">
        <v>48</v>
      </c>
      <c r="D789" s="221" t="s">
        <v>3876</v>
      </c>
      <c r="E789" s="221" t="s">
        <v>3295</v>
      </c>
      <c r="F789" s="221" t="s">
        <v>3299</v>
      </c>
      <c r="G789" s="222">
        <v>45309</v>
      </c>
      <c r="H789" s="223">
        <v>15.291666666666666</v>
      </c>
      <c r="I789" s="221" t="s">
        <v>38</v>
      </c>
      <c r="J789" s="221" t="s">
        <v>3024</v>
      </c>
      <c r="K789" s="224" t="s">
        <v>5137</v>
      </c>
      <c r="L789" s="225" t="str">
        <f>VLOOKUP(Logfile_S12[[#This Row],[Material Name]],Sheet2!B:C,2,0)</f>
        <v>GCI1009</v>
      </c>
      <c r="M789" s="225" t="str">
        <f>_xlfn.XLOOKUP(Logfile_S12[[#This Row],[Material Name]],Sum_WH!E:E,Sum_WH!F:F,"",0)</f>
        <v>Pcs</v>
      </c>
      <c r="N789" s="221">
        <v>252</v>
      </c>
      <c r="O789" s="221" t="s">
        <v>3344</v>
      </c>
      <c r="P789" s="221" t="s">
        <v>3345</v>
      </c>
      <c r="Q789" s="221">
        <v>0</v>
      </c>
      <c r="R789" s="221">
        <v>0</v>
      </c>
      <c r="S789" s="221"/>
      <c r="T789" s="221"/>
      <c r="U789" s="221"/>
      <c r="V789" s="221"/>
      <c r="W789" s="221"/>
      <c r="X789" s="221" t="s">
        <v>3218</v>
      </c>
      <c r="Y789" s="227"/>
      <c r="Z789" s="227" t="str">
        <f t="shared" si="35"/>
        <v>Purchase</v>
      </c>
      <c r="AA789" s="276" t="e">
        <f>VLOOKUP(Logfile_S12[[#This Row],[DO number]],DO_DB!G:I,3,0)</f>
        <v>#N/A</v>
      </c>
      <c r="AB789" s="331" t="e">
        <f>EXACT(Logfile_S12[[#This Row],[date pick]],Logfile_S12[[#This Row],[Date]])</f>
        <v>#N/A</v>
      </c>
      <c r="AC7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90" spans="1:29" ht="14.5" hidden="1">
      <c r="A790" s="220" t="str">
        <f t="shared" si="34"/>
        <v>786</v>
      </c>
      <c r="B790" s="221"/>
      <c r="C790" s="221" t="s">
        <v>49</v>
      </c>
      <c r="D790" s="221" t="s">
        <v>3879</v>
      </c>
      <c r="E790" s="221" t="s">
        <v>3295</v>
      </c>
      <c r="F790" s="221" t="s">
        <v>3299</v>
      </c>
      <c r="G790" s="222">
        <v>45310</v>
      </c>
      <c r="H790" s="223">
        <v>0.73333333333333339</v>
      </c>
      <c r="I790" s="221" t="s">
        <v>4916</v>
      </c>
      <c r="J790" s="221" t="s">
        <v>3024</v>
      </c>
      <c r="K790" s="224" t="s">
        <v>5137</v>
      </c>
      <c r="L790" s="225" t="str">
        <f>VLOOKUP(Logfile_S12[[#This Row],[Material Name]],Sheet2!B:C,2,0)</f>
        <v>GCI1009</v>
      </c>
      <c r="M790" s="225" t="str">
        <f>_xlfn.XLOOKUP(Logfile_S12[[#This Row],[Material Name]],Sum_WH!E:E,Sum_WH!F:F,"",0)</f>
        <v>Pcs</v>
      </c>
      <c r="N790" s="221">
        <v>16</v>
      </c>
      <c r="O790" s="221" t="s">
        <v>834</v>
      </c>
      <c r="P790" s="221" t="s">
        <v>3335</v>
      </c>
      <c r="Q790" s="221"/>
      <c r="R790" s="221"/>
      <c r="S790" s="221"/>
      <c r="T790" s="221" t="s">
        <v>3258</v>
      </c>
      <c r="U790" s="221" t="s">
        <v>3228</v>
      </c>
      <c r="V790" s="221" t="s">
        <v>3337</v>
      </c>
      <c r="W790" s="221" t="s">
        <v>3338</v>
      </c>
      <c r="X790" s="221"/>
      <c r="Y790" s="227"/>
      <c r="Z790" s="227" t="str">
        <f t="shared" si="35"/>
        <v>HUBFEEDER BATURETNO RW 02</v>
      </c>
      <c r="AA790" s="276" t="e">
        <f>VLOOKUP(Logfile_S12[[#This Row],[DO number]],DO_DB!G:I,3,0)</f>
        <v>#N/A</v>
      </c>
      <c r="AB790" s="331" t="e">
        <f>EXACT(Logfile_S12[[#This Row],[date pick]],Logfile_S12[[#This Row],[Date]])</f>
        <v>#N/A</v>
      </c>
      <c r="AC7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91" spans="1:29" ht="14.5" hidden="1">
      <c r="A791" s="220" t="str">
        <f t="shared" si="34"/>
        <v>787</v>
      </c>
      <c r="B791" s="221"/>
      <c r="C791" s="221" t="s">
        <v>49</v>
      </c>
      <c r="D791" s="221" t="s">
        <v>3889</v>
      </c>
      <c r="E791" s="221" t="s">
        <v>3295</v>
      </c>
      <c r="F791" s="221" t="s">
        <v>3299</v>
      </c>
      <c r="G791" s="222">
        <v>45313</v>
      </c>
      <c r="H791" s="223">
        <v>0.81041666666666667</v>
      </c>
      <c r="I791" s="221" t="s">
        <v>4916</v>
      </c>
      <c r="J791" s="221" t="s">
        <v>3024</v>
      </c>
      <c r="K791" s="224" t="s">
        <v>5137</v>
      </c>
      <c r="L791" s="225" t="str">
        <f>VLOOKUP(Logfile_S12[[#This Row],[Material Name]],Sheet2!B:C,2,0)</f>
        <v>GCI1009</v>
      </c>
      <c r="M791" s="225" t="str">
        <f>_xlfn.XLOOKUP(Logfile_S12[[#This Row],[Material Name]],Sum_WH!E:E,Sum_WH!F:F,"",0)</f>
        <v>Pcs</v>
      </c>
      <c r="N791" s="221">
        <v>100</v>
      </c>
      <c r="O791" s="221" t="s">
        <v>742</v>
      </c>
      <c r="P791" s="221" t="s">
        <v>743</v>
      </c>
      <c r="Q791" s="221"/>
      <c r="R791" s="221"/>
      <c r="S791" s="221"/>
      <c r="T791" s="221" t="s">
        <v>3258</v>
      </c>
      <c r="U791" s="221" t="s">
        <v>3228</v>
      </c>
      <c r="V791" s="221" t="s">
        <v>3337</v>
      </c>
      <c r="W791" s="221" t="s">
        <v>3338</v>
      </c>
      <c r="X791" s="221"/>
      <c r="Y791" s="227"/>
      <c r="Z791" s="227" t="str">
        <f t="shared" si="35"/>
        <v>Baturetno RW 03 Singosari</v>
      </c>
      <c r="AA791" s="276" t="e">
        <f>VLOOKUP(Logfile_S12[[#This Row],[DO number]],DO_DB!G:I,3,0)</f>
        <v>#N/A</v>
      </c>
      <c r="AB791" s="331" t="e">
        <f>EXACT(Logfile_S12[[#This Row],[date pick]],Logfile_S12[[#This Row],[Date]])</f>
        <v>#N/A</v>
      </c>
      <c r="AC7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92" spans="1:29" ht="14.5" hidden="1">
      <c r="A792" s="220" t="str">
        <f t="shared" si="34"/>
        <v>788</v>
      </c>
      <c r="B792" s="221"/>
      <c r="C792" s="221" t="s">
        <v>49</v>
      </c>
      <c r="D792" s="221" t="s">
        <v>3886</v>
      </c>
      <c r="E792" s="221" t="s">
        <v>3295</v>
      </c>
      <c r="F792" s="221" t="s">
        <v>3299</v>
      </c>
      <c r="G792" s="222">
        <v>45313</v>
      </c>
      <c r="H792" s="223">
        <v>0.38750000000000001</v>
      </c>
      <c r="I792" s="221" t="s">
        <v>4916</v>
      </c>
      <c r="J792" s="221" t="s">
        <v>3024</v>
      </c>
      <c r="K792" s="224" t="s">
        <v>5137</v>
      </c>
      <c r="L792" s="225" t="str">
        <f>VLOOKUP(Logfile_S12[[#This Row],[Material Name]],Sheet2!B:C,2,0)</f>
        <v>GCI1009</v>
      </c>
      <c r="M792" s="225" t="str">
        <f>_xlfn.XLOOKUP(Logfile_S12[[#This Row],[Material Name]],Sum_WH!E:E,Sum_WH!F:F,"",0)</f>
        <v>Pcs</v>
      </c>
      <c r="N792" s="221">
        <v>200</v>
      </c>
      <c r="O792" s="221" t="s">
        <v>828</v>
      </c>
      <c r="P792" s="221" t="s">
        <v>829</v>
      </c>
      <c r="Q792" s="221"/>
      <c r="R792" s="221"/>
      <c r="S792" s="221"/>
      <c r="T792" s="221" t="s">
        <v>3339</v>
      </c>
      <c r="U792" s="221" t="s">
        <v>3228</v>
      </c>
      <c r="V792" s="221" t="s">
        <v>3340</v>
      </c>
      <c r="W792" s="221" t="s">
        <v>3245</v>
      </c>
      <c r="X792" s="221"/>
      <c r="Y792" s="227"/>
      <c r="Z792" s="227" t="str">
        <f t="shared" si="35"/>
        <v>Perumahan Pondok Mutiara Malang</v>
      </c>
      <c r="AA792" s="276" t="e">
        <f>VLOOKUP(Logfile_S12[[#This Row],[DO number]],DO_DB!G:I,3,0)</f>
        <v>#N/A</v>
      </c>
      <c r="AB792" s="331" t="e">
        <f>EXACT(Logfile_S12[[#This Row],[date pick]],Logfile_S12[[#This Row],[Date]])</f>
        <v>#N/A</v>
      </c>
      <c r="AC7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93" spans="1:29" ht="14.5" hidden="1">
      <c r="A793" s="220" t="str">
        <f t="shared" si="34"/>
        <v>789</v>
      </c>
      <c r="B793" s="221"/>
      <c r="C793" s="221" t="s">
        <v>49</v>
      </c>
      <c r="D793" s="221" t="s">
        <v>3895</v>
      </c>
      <c r="E793" s="221" t="s">
        <v>3295</v>
      </c>
      <c r="F793" s="221" t="s">
        <v>3299</v>
      </c>
      <c r="G793" s="222">
        <v>45314</v>
      </c>
      <c r="H793" s="223">
        <v>0.84097222222222223</v>
      </c>
      <c r="I793" s="221" t="s">
        <v>4916</v>
      </c>
      <c r="J793" s="221" t="s">
        <v>3024</v>
      </c>
      <c r="K793" s="224" t="s">
        <v>5137</v>
      </c>
      <c r="L793" s="225" t="str">
        <f>VLOOKUP(Logfile_S12[[#This Row],[Material Name]],Sheet2!B:C,2,0)</f>
        <v>GCI1009</v>
      </c>
      <c r="M793" s="225" t="str">
        <f>_xlfn.XLOOKUP(Logfile_S12[[#This Row],[Material Name]],Sum_WH!E:E,Sum_WH!F:F,"",0)</f>
        <v>Pcs</v>
      </c>
      <c r="N793" s="221">
        <v>20</v>
      </c>
      <c r="O793" s="221" t="s">
        <v>742</v>
      </c>
      <c r="P793" s="221" t="s">
        <v>743</v>
      </c>
      <c r="Q793" s="221"/>
      <c r="R793" s="221"/>
      <c r="S793" s="221"/>
      <c r="T793" s="221" t="s">
        <v>3258</v>
      </c>
      <c r="U793" s="221" t="s">
        <v>3228</v>
      </c>
      <c r="V793" s="221" t="s">
        <v>3337</v>
      </c>
      <c r="W793" s="221" t="s">
        <v>3338</v>
      </c>
      <c r="X793" s="221"/>
      <c r="Y793" s="227"/>
      <c r="Z793" s="227" t="str">
        <f t="shared" si="35"/>
        <v>Baturetno RW 03 Singosari</v>
      </c>
      <c r="AA793" s="276" t="e">
        <f>VLOOKUP(Logfile_S12[[#This Row],[DO number]],DO_DB!G:I,3,0)</f>
        <v>#N/A</v>
      </c>
      <c r="AB793" s="331" t="e">
        <f>EXACT(Logfile_S12[[#This Row],[date pick]],Logfile_S12[[#This Row],[Date]])</f>
        <v>#N/A</v>
      </c>
      <c r="AC7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94" spans="1:29" ht="14.5" hidden="1">
      <c r="A794" s="220" t="str">
        <f t="shared" si="34"/>
        <v>790</v>
      </c>
      <c r="B794" s="221"/>
      <c r="C794" s="221" t="s">
        <v>49</v>
      </c>
      <c r="D794" s="221" t="s">
        <v>3894</v>
      </c>
      <c r="E794" s="221" t="s">
        <v>3295</v>
      </c>
      <c r="F794" s="221" t="s">
        <v>3299</v>
      </c>
      <c r="G794" s="222">
        <v>45314</v>
      </c>
      <c r="H794" s="223">
        <v>0.59652777777777777</v>
      </c>
      <c r="I794" s="221" t="s">
        <v>4916</v>
      </c>
      <c r="J794" s="221" t="s">
        <v>3024</v>
      </c>
      <c r="K794" s="224" t="s">
        <v>5137</v>
      </c>
      <c r="L794" s="225" t="str">
        <f>VLOOKUP(Logfile_S12[[#This Row],[Material Name]],Sheet2!B:C,2,0)</f>
        <v>GCI1009</v>
      </c>
      <c r="M794" s="225" t="str">
        <f>_xlfn.XLOOKUP(Logfile_S12[[#This Row],[Material Name]],Sum_WH!E:E,Sum_WH!F:F,"",0)</f>
        <v>Pcs</v>
      </c>
      <c r="N794" s="221">
        <v>50</v>
      </c>
      <c r="O794" s="221" t="s">
        <v>828</v>
      </c>
      <c r="P794" s="221" t="s">
        <v>829</v>
      </c>
      <c r="Q794" s="221"/>
      <c r="R794" s="221"/>
      <c r="S794" s="221"/>
      <c r="T794" s="221" t="s">
        <v>3339</v>
      </c>
      <c r="U794" s="221" t="s">
        <v>3228</v>
      </c>
      <c r="V794" s="221" t="s">
        <v>3340</v>
      </c>
      <c r="W794" s="221" t="s">
        <v>3245</v>
      </c>
      <c r="X794" s="221"/>
      <c r="Y794" s="227"/>
      <c r="Z794" s="227" t="str">
        <f t="shared" si="35"/>
        <v>Perumahan Pondok Mutiara Malang</v>
      </c>
      <c r="AA794" s="276" t="e">
        <f>VLOOKUP(Logfile_S12[[#This Row],[DO number]],DO_DB!G:I,3,0)</f>
        <v>#N/A</v>
      </c>
      <c r="AB794" s="331" t="e">
        <f>EXACT(Logfile_S12[[#This Row],[date pick]],Logfile_S12[[#This Row],[Date]])</f>
        <v>#N/A</v>
      </c>
      <c r="AC7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95" spans="1:29" ht="14.5" hidden="1">
      <c r="A795" s="220" t="str">
        <f t="shared" si="34"/>
        <v>791</v>
      </c>
      <c r="B795" s="221"/>
      <c r="C795" s="221" t="s">
        <v>48</v>
      </c>
      <c r="D795" s="221" t="s">
        <v>3901</v>
      </c>
      <c r="E795" s="221" t="s">
        <v>3295</v>
      </c>
      <c r="F795" s="221" t="s">
        <v>3299</v>
      </c>
      <c r="G795" s="222">
        <v>45316</v>
      </c>
      <c r="H795" s="223">
        <v>15.291666666666666</v>
      </c>
      <c r="I795" s="221" t="s">
        <v>38</v>
      </c>
      <c r="J795" s="221" t="s">
        <v>3024</v>
      </c>
      <c r="K795" s="224" t="s">
        <v>5137</v>
      </c>
      <c r="L795" s="225" t="str">
        <f>VLOOKUP(Logfile_S12[[#This Row],[Material Name]],Sheet2!B:C,2,0)</f>
        <v>GCI1009</v>
      </c>
      <c r="M795" s="225" t="str">
        <f>_xlfn.XLOOKUP(Logfile_S12[[#This Row],[Material Name]],Sum_WH!E:E,Sum_WH!F:F,"",0)</f>
        <v>Pcs</v>
      </c>
      <c r="N795" s="221">
        <v>20</v>
      </c>
      <c r="O795" s="221" t="s">
        <v>742</v>
      </c>
      <c r="P795" s="221" t="s">
        <v>743</v>
      </c>
      <c r="Q795" s="221">
        <v>0</v>
      </c>
      <c r="R795" s="221">
        <v>0</v>
      </c>
      <c r="S795" s="221"/>
      <c r="T795" s="221"/>
      <c r="U795" s="221"/>
      <c r="V795" s="221"/>
      <c r="W795" s="221"/>
      <c r="X795" s="221"/>
      <c r="Y795" s="227"/>
      <c r="Z795" s="227" t="str">
        <f t="shared" si="35"/>
        <v>Baturetno RW 03 Singosari</v>
      </c>
      <c r="AA795" s="276" t="e">
        <f>VLOOKUP(Logfile_S12[[#This Row],[DO number]],DO_DB!G:I,3,0)</f>
        <v>#N/A</v>
      </c>
      <c r="AB795" s="331" t="e">
        <f>EXACT(Logfile_S12[[#This Row],[date pick]],Logfile_S12[[#This Row],[Date]])</f>
        <v>#N/A</v>
      </c>
      <c r="AC7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96" spans="1:29" ht="14.5" hidden="1">
      <c r="A796" s="220" t="str">
        <f t="shared" si="34"/>
        <v>792</v>
      </c>
      <c r="B796" s="221"/>
      <c r="C796" s="221" t="s">
        <v>49</v>
      </c>
      <c r="D796" s="221" t="s">
        <v>3900</v>
      </c>
      <c r="E796" s="221" t="s">
        <v>3295</v>
      </c>
      <c r="F796" s="221" t="s">
        <v>3299</v>
      </c>
      <c r="G796" s="222">
        <v>45316</v>
      </c>
      <c r="H796" s="223">
        <v>0.62361111111111112</v>
      </c>
      <c r="I796" s="221" t="s">
        <v>4916</v>
      </c>
      <c r="J796" s="221" t="s">
        <v>3024</v>
      </c>
      <c r="K796" s="224" t="s">
        <v>5137</v>
      </c>
      <c r="L796" s="225" t="str">
        <f>VLOOKUP(Logfile_S12[[#This Row],[Material Name]],Sheet2!B:C,2,0)</f>
        <v>GCI1009</v>
      </c>
      <c r="M796" s="225" t="str">
        <f>_xlfn.XLOOKUP(Logfile_S12[[#This Row],[Material Name]],Sum_WH!E:E,Sum_WH!F:F,"",0)</f>
        <v>Pcs</v>
      </c>
      <c r="N796" s="221">
        <v>4</v>
      </c>
      <c r="O796" s="221" t="s">
        <v>738</v>
      </c>
      <c r="P796" s="221" t="s">
        <v>3392</v>
      </c>
      <c r="Q796" s="221"/>
      <c r="R796" s="221"/>
      <c r="S796" s="221"/>
      <c r="T796" s="221" t="s">
        <v>3258</v>
      </c>
      <c r="U796" s="221" t="s">
        <v>3228</v>
      </c>
      <c r="V796" s="221" t="s">
        <v>3337</v>
      </c>
      <c r="W796" s="221" t="s">
        <v>3338</v>
      </c>
      <c r="X796" s="221"/>
      <c r="Y796" s="227"/>
      <c r="Z796" s="227" t="str">
        <f t="shared" si="35"/>
        <v xml:space="preserve">Baturetno RW 02 Singosari </v>
      </c>
      <c r="AA796" s="276" t="e">
        <f>VLOOKUP(Logfile_S12[[#This Row],[DO number]],DO_DB!G:I,3,0)</f>
        <v>#N/A</v>
      </c>
      <c r="AB796" s="331" t="e">
        <f>EXACT(Logfile_S12[[#This Row],[date pick]],Logfile_S12[[#This Row],[Date]])</f>
        <v>#N/A</v>
      </c>
      <c r="AC7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97" spans="1:29" ht="14.5" hidden="1">
      <c r="A797" s="220" t="str">
        <f t="shared" si="34"/>
        <v>793</v>
      </c>
      <c r="B797" s="221"/>
      <c r="C797" s="221" t="s">
        <v>49</v>
      </c>
      <c r="D797" s="221" t="s">
        <v>3903</v>
      </c>
      <c r="E797" s="221" t="s">
        <v>3295</v>
      </c>
      <c r="F797" s="221" t="s">
        <v>3299</v>
      </c>
      <c r="G797" s="222">
        <v>45317</v>
      </c>
      <c r="H797" s="223">
        <v>0.40902777777777777</v>
      </c>
      <c r="I797" s="221" t="s">
        <v>4916</v>
      </c>
      <c r="J797" s="221" t="s">
        <v>3024</v>
      </c>
      <c r="K797" s="224" t="s">
        <v>5137</v>
      </c>
      <c r="L797" s="225" t="str">
        <f>VLOOKUP(Logfile_S12[[#This Row],[Material Name]],Sheet2!B:C,2,0)</f>
        <v>GCI1009</v>
      </c>
      <c r="M797" s="225" t="str">
        <f>_xlfn.XLOOKUP(Logfile_S12[[#This Row],[Material Name]],Sum_WH!E:E,Sum_WH!F:F,"",0)</f>
        <v>Pcs</v>
      </c>
      <c r="N797" s="221">
        <v>50</v>
      </c>
      <c r="O797" s="221" t="s">
        <v>738</v>
      </c>
      <c r="P797" s="221" t="s">
        <v>3392</v>
      </c>
      <c r="Q797" s="221"/>
      <c r="R797" s="221"/>
      <c r="S797" s="221"/>
      <c r="T797" s="221" t="s">
        <v>3258</v>
      </c>
      <c r="U797" s="221" t="s">
        <v>3228</v>
      </c>
      <c r="V797" s="221" t="s">
        <v>3337</v>
      </c>
      <c r="W797" s="221" t="s">
        <v>3338</v>
      </c>
      <c r="X797" s="221"/>
      <c r="Y797" s="227"/>
      <c r="Z797" s="227" t="str">
        <f t="shared" si="35"/>
        <v xml:space="preserve">Baturetno RW 02 Singosari </v>
      </c>
      <c r="AA797" s="276" t="e">
        <f>VLOOKUP(Logfile_S12[[#This Row],[DO number]],DO_DB!G:I,3,0)</f>
        <v>#N/A</v>
      </c>
      <c r="AB797" s="331" t="e">
        <f>EXACT(Logfile_S12[[#This Row],[date pick]],Logfile_S12[[#This Row],[Date]])</f>
        <v>#N/A</v>
      </c>
      <c r="AC7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98" spans="1:29" ht="14.5" hidden="1">
      <c r="A798" s="220" t="str">
        <f t="shared" si="34"/>
        <v>794</v>
      </c>
      <c r="B798" s="221"/>
      <c r="C798" s="221" t="s">
        <v>48</v>
      </c>
      <c r="D798" s="221" t="s">
        <v>3906</v>
      </c>
      <c r="E798" s="221" t="s">
        <v>3295</v>
      </c>
      <c r="F798" s="221" t="s">
        <v>3299</v>
      </c>
      <c r="G798" s="222">
        <v>45318</v>
      </c>
      <c r="H798" s="223">
        <v>15.291666666666666</v>
      </c>
      <c r="I798" s="221" t="s">
        <v>3017</v>
      </c>
      <c r="J798" s="221" t="s">
        <v>3024</v>
      </c>
      <c r="K798" s="224" t="s">
        <v>5137</v>
      </c>
      <c r="L798" s="225" t="str">
        <f>VLOOKUP(Logfile_S12[[#This Row],[Material Name]],Sheet2!B:C,2,0)</f>
        <v>GCI1009</v>
      </c>
      <c r="M798" s="225" t="str">
        <f>_xlfn.XLOOKUP(Logfile_S12[[#This Row],[Material Name]],Sum_WH!E:E,Sum_WH!F:F,"",0)</f>
        <v>Pcs</v>
      </c>
      <c r="N798" s="221">
        <v>22</v>
      </c>
      <c r="O798" s="221" t="s">
        <v>828</v>
      </c>
      <c r="P798" s="221" t="s">
        <v>829</v>
      </c>
      <c r="Q798" s="221" t="s">
        <v>3359</v>
      </c>
      <c r="R798" s="221">
        <v>0</v>
      </c>
      <c r="S798" s="221"/>
      <c r="T798" s="221"/>
      <c r="U798" s="221"/>
      <c r="V798" s="221"/>
      <c r="W798" s="221"/>
      <c r="X798" s="221"/>
      <c r="Y798" s="227"/>
      <c r="Z798" s="227" t="str">
        <f t="shared" si="35"/>
        <v>Perumahan Pondok Mutiara Malang</v>
      </c>
      <c r="AA798" s="276" t="e">
        <f>VLOOKUP(Logfile_S12[[#This Row],[DO number]],DO_DB!G:I,3,0)</f>
        <v>#N/A</v>
      </c>
      <c r="AB798" s="331" t="e">
        <f>EXACT(Logfile_S12[[#This Row],[date pick]],Logfile_S12[[#This Row],[Date]])</f>
        <v>#N/A</v>
      </c>
      <c r="AC7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799" spans="1:29" ht="14.5" hidden="1">
      <c r="A799" s="220" t="str">
        <f t="shared" si="34"/>
        <v>795</v>
      </c>
      <c r="B799" s="221"/>
      <c r="C799" s="221" t="s">
        <v>49</v>
      </c>
      <c r="D799" s="221" t="s">
        <v>3911</v>
      </c>
      <c r="E799" s="221" t="s">
        <v>3295</v>
      </c>
      <c r="F799" s="221" t="s">
        <v>3299</v>
      </c>
      <c r="G799" s="222">
        <v>45324</v>
      </c>
      <c r="H799" s="223">
        <v>0.63194444444444442</v>
      </c>
      <c r="I799" s="221" t="s">
        <v>4916</v>
      </c>
      <c r="J799" s="221" t="s">
        <v>3024</v>
      </c>
      <c r="K799" s="224" t="s">
        <v>5137</v>
      </c>
      <c r="L799" s="225" t="str">
        <f>VLOOKUP(Logfile_S12[[#This Row],[Material Name]],Sheet2!B:C,2,0)</f>
        <v>GCI1009</v>
      </c>
      <c r="M799" s="225" t="str">
        <f>_xlfn.XLOOKUP(Logfile_S12[[#This Row],[Material Name]],Sum_WH!E:E,Sum_WH!F:F,"",0)</f>
        <v>Pcs</v>
      </c>
      <c r="N799" s="221">
        <v>10</v>
      </c>
      <c r="O799" s="221" t="s">
        <v>738</v>
      </c>
      <c r="P799" s="221" t="s">
        <v>3392</v>
      </c>
      <c r="Q799" s="221"/>
      <c r="R799" s="221"/>
      <c r="S799" s="221"/>
      <c r="T799" s="221" t="s">
        <v>3258</v>
      </c>
      <c r="U799" s="221" t="s">
        <v>3228</v>
      </c>
      <c r="V799" s="221" t="s">
        <v>3337</v>
      </c>
      <c r="W799" s="221" t="s">
        <v>3338</v>
      </c>
      <c r="X799" s="221"/>
      <c r="Y799" s="227"/>
      <c r="Z799" s="227" t="str">
        <f t="shared" si="35"/>
        <v xml:space="preserve">Baturetno RW 02 Singosari </v>
      </c>
      <c r="AA799" s="276" t="e">
        <f>VLOOKUP(Logfile_S12[[#This Row],[DO number]],DO_DB!G:I,3,0)</f>
        <v>#N/A</v>
      </c>
      <c r="AB799" s="331" t="e">
        <f>EXACT(Logfile_S12[[#This Row],[date pick]],Logfile_S12[[#This Row],[Date]])</f>
        <v>#N/A</v>
      </c>
      <c r="AC7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00" spans="1:29" ht="14.5" hidden="1">
      <c r="A800" s="220" t="str">
        <f t="shared" si="34"/>
        <v>796</v>
      </c>
      <c r="B800" s="221"/>
      <c r="C800" s="221" t="s">
        <v>49</v>
      </c>
      <c r="D800" s="221" t="s">
        <v>3918</v>
      </c>
      <c r="E800" s="221" t="s">
        <v>3295</v>
      </c>
      <c r="F800" s="221" t="s">
        <v>3299</v>
      </c>
      <c r="G800" s="222">
        <v>45331</v>
      </c>
      <c r="H800" s="223">
        <v>0.63402777777777775</v>
      </c>
      <c r="I800" s="221" t="s">
        <v>4916</v>
      </c>
      <c r="J800" s="221" t="s">
        <v>3024</v>
      </c>
      <c r="K800" s="224" t="s">
        <v>5137</v>
      </c>
      <c r="L800" s="225" t="str">
        <f>VLOOKUP(Logfile_S12[[#This Row],[Material Name]],Sheet2!B:C,2,0)</f>
        <v>GCI1009</v>
      </c>
      <c r="M800" s="225" t="str">
        <f>_xlfn.XLOOKUP(Logfile_S12[[#This Row],[Material Name]],Sum_WH!E:E,Sum_WH!F:F,"",0)</f>
        <v>Pcs</v>
      </c>
      <c r="N800" s="221">
        <v>11</v>
      </c>
      <c r="O800" s="221" t="s">
        <v>828</v>
      </c>
      <c r="P800" s="221" t="s">
        <v>829</v>
      </c>
      <c r="Q800" s="221"/>
      <c r="R800" s="221"/>
      <c r="S800" s="221"/>
      <c r="T800" s="221" t="s">
        <v>3258</v>
      </c>
      <c r="U800" s="221" t="s">
        <v>3228</v>
      </c>
      <c r="V800" s="221" t="s">
        <v>3337</v>
      </c>
      <c r="W800" s="221" t="s">
        <v>3338</v>
      </c>
      <c r="X800" s="221"/>
      <c r="Y800" s="227"/>
      <c r="Z800" s="227" t="str">
        <f t="shared" si="35"/>
        <v>Perumahan Pondok Mutiara Malang</v>
      </c>
      <c r="AA800" s="276" t="e">
        <f>VLOOKUP(Logfile_S12[[#This Row],[DO number]],DO_DB!G:I,3,0)</f>
        <v>#N/A</v>
      </c>
      <c r="AB800" s="331" t="e">
        <f>EXACT(Logfile_S12[[#This Row],[date pick]],Logfile_S12[[#This Row],[Date]])</f>
        <v>#N/A</v>
      </c>
      <c r="AC8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01" spans="1:29" ht="14.5" hidden="1">
      <c r="A801" s="220" t="str">
        <f t="shared" si="34"/>
        <v>797</v>
      </c>
      <c r="B801" s="221"/>
      <c r="C801" s="221" t="s">
        <v>49</v>
      </c>
      <c r="D801" s="221" t="s">
        <v>3917</v>
      </c>
      <c r="E801" s="221" t="s">
        <v>3295</v>
      </c>
      <c r="F801" s="221" t="s">
        <v>3299</v>
      </c>
      <c r="G801" s="222">
        <v>45331</v>
      </c>
      <c r="H801" s="223">
        <v>0.42569444444444443</v>
      </c>
      <c r="I801" s="221" t="s">
        <v>4916</v>
      </c>
      <c r="J801" s="221" t="s">
        <v>3024</v>
      </c>
      <c r="K801" s="224" t="s">
        <v>5137</v>
      </c>
      <c r="L801" s="225" t="str">
        <f>VLOOKUP(Logfile_S12[[#This Row],[Material Name]],Sheet2!B:C,2,0)</f>
        <v>GCI1009</v>
      </c>
      <c r="M801" s="225" t="str">
        <f>_xlfn.XLOOKUP(Logfile_S12[[#This Row],[Material Name]],Sum_WH!E:E,Sum_WH!F:F,"",0)</f>
        <v>Pcs</v>
      </c>
      <c r="N801" s="221">
        <v>16</v>
      </c>
      <c r="O801" s="221" t="s">
        <v>925</v>
      </c>
      <c r="P801" s="221" t="s">
        <v>926</v>
      </c>
      <c r="Q801" s="221"/>
      <c r="R801" s="221"/>
      <c r="S801" s="221"/>
      <c r="T801" s="221" t="s">
        <v>3258</v>
      </c>
      <c r="U801" s="221" t="s">
        <v>3228</v>
      </c>
      <c r="V801" s="221" t="s">
        <v>3337</v>
      </c>
      <c r="W801" s="221" t="s">
        <v>3338</v>
      </c>
      <c r="X801" s="221"/>
      <c r="Y801" s="227"/>
      <c r="Z801" s="227" t="str">
        <f t="shared" si="35"/>
        <v>Dengkol RW 02 Singosari Malang</v>
      </c>
      <c r="AA801" s="276" t="e">
        <f>VLOOKUP(Logfile_S12[[#This Row],[DO number]],DO_DB!G:I,3,0)</f>
        <v>#N/A</v>
      </c>
      <c r="AB801" s="331" t="e">
        <f>EXACT(Logfile_S12[[#This Row],[date pick]],Logfile_S12[[#This Row],[Date]])</f>
        <v>#N/A</v>
      </c>
      <c r="AC8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02" spans="1:29" ht="14.5" hidden="1">
      <c r="A802" s="220" t="str">
        <f t="shared" si="34"/>
        <v>798</v>
      </c>
      <c r="B802" s="221"/>
      <c r="C802" s="221" t="s">
        <v>49</v>
      </c>
      <c r="D802" s="221" t="s">
        <v>3923</v>
      </c>
      <c r="E802" s="221" t="s">
        <v>3295</v>
      </c>
      <c r="F802" s="221" t="s">
        <v>3299</v>
      </c>
      <c r="G802" s="222">
        <v>45337</v>
      </c>
      <c r="H802" s="223">
        <v>0.46111111111111108</v>
      </c>
      <c r="I802" s="221" t="s">
        <v>4916</v>
      </c>
      <c r="J802" s="221" t="s">
        <v>3024</v>
      </c>
      <c r="K802" s="224" t="s">
        <v>5137</v>
      </c>
      <c r="L802" s="225" t="str">
        <f>VLOOKUP(Logfile_S12[[#This Row],[Material Name]],Sheet2!B:C,2,0)</f>
        <v>GCI1009</v>
      </c>
      <c r="M802" s="225" t="str">
        <f>_xlfn.XLOOKUP(Logfile_S12[[#This Row],[Material Name]],Sum_WH!E:E,Sum_WH!F:F,"",0)</f>
        <v>Pcs</v>
      </c>
      <c r="N802" s="221">
        <v>50</v>
      </c>
      <c r="O802" s="221" t="s">
        <v>911</v>
      </c>
      <c r="P802" s="221" t="s">
        <v>912</v>
      </c>
      <c r="Q802" s="221"/>
      <c r="R802" s="221"/>
      <c r="S802" s="221"/>
      <c r="T802" s="221" t="s">
        <v>3258</v>
      </c>
      <c r="U802" s="221" t="s">
        <v>3228</v>
      </c>
      <c r="V802" s="221" t="s">
        <v>3337</v>
      </c>
      <c r="W802" s="221" t="s">
        <v>3338</v>
      </c>
      <c r="X802" s="221"/>
      <c r="Y802" s="227"/>
      <c r="Z802" s="227" t="str">
        <f t="shared" si="35"/>
        <v>Bandulan RW 08 Sukun</v>
      </c>
      <c r="AA802" s="276" t="e">
        <f>VLOOKUP(Logfile_S12[[#This Row],[DO number]],DO_DB!G:I,3,0)</f>
        <v>#N/A</v>
      </c>
      <c r="AB802" s="331" t="e">
        <f>EXACT(Logfile_S12[[#This Row],[date pick]],Logfile_S12[[#This Row],[Date]])</f>
        <v>#N/A</v>
      </c>
      <c r="AC8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03" spans="1:29" ht="14.5" hidden="1">
      <c r="A803" s="220" t="str">
        <f t="shared" si="34"/>
        <v>799</v>
      </c>
      <c r="B803" s="221"/>
      <c r="C803" s="221" t="s">
        <v>48</v>
      </c>
      <c r="D803" s="221" t="s">
        <v>3931</v>
      </c>
      <c r="E803" s="221" t="s">
        <v>3295</v>
      </c>
      <c r="F803" s="221" t="s">
        <v>3299</v>
      </c>
      <c r="G803" s="222">
        <v>45341</v>
      </c>
      <c r="H803" s="223">
        <v>15.291666666666666</v>
      </c>
      <c r="I803" s="221" t="s">
        <v>3017</v>
      </c>
      <c r="J803" s="221" t="s">
        <v>3024</v>
      </c>
      <c r="K803" s="224" t="s">
        <v>5137</v>
      </c>
      <c r="L803" s="225" t="str">
        <f>VLOOKUP(Logfile_S12[[#This Row],[Material Name]],Sheet2!B:C,2,0)</f>
        <v>GCI1009</v>
      </c>
      <c r="M803" s="225" t="str">
        <f>_xlfn.XLOOKUP(Logfile_S12[[#This Row],[Material Name]],Sum_WH!E:E,Sum_WH!F:F,"",0)</f>
        <v>Pcs</v>
      </c>
      <c r="N803" s="221">
        <v>50</v>
      </c>
      <c r="O803" s="221" t="s">
        <v>911</v>
      </c>
      <c r="P803" s="221" t="s">
        <v>912</v>
      </c>
      <c r="Q803" s="221" t="s">
        <v>3359</v>
      </c>
      <c r="R803" s="221">
        <v>0</v>
      </c>
      <c r="S803" s="221"/>
      <c r="T803" s="221"/>
      <c r="U803" s="221"/>
      <c r="V803" s="221"/>
      <c r="W803" s="221"/>
      <c r="X803" s="221"/>
      <c r="Y803" s="227"/>
      <c r="Z803" s="227" t="str">
        <f t="shared" si="35"/>
        <v>Bandulan RW 08 Sukun</v>
      </c>
      <c r="AA803" s="276" t="e">
        <f>VLOOKUP(Logfile_S12[[#This Row],[DO number]],DO_DB!G:I,3,0)</f>
        <v>#N/A</v>
      </c>
      <c r="AB803" s="331" t="e">
        <f>EXACT(Logfile_S12[[#This Row],[date pick]],Logfile_S12[[#This Row],[Date]])</f>
        <v>#N/A</v>
      </c>
      <c r="AC8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04" spans="1:29" ht="14.5" hidden="1">
      <c r="A804" s="220" t="str">
        <f t="shared" si="34"/>
        <v>800</v>
      </c>
      <c r="B804" s="221"/>
      <c r="C804" s="221" t="s">
        <v>49</v>
      </c>
      <c r="D804" s="221" t="s">
        <v>3938</v>
      </c>
      <c r="E804" s="221" t="s">
        <v>3295</v>
      </c>
      <c r="F804" s="221" t="s">
        <v>3299</v>
      </c>
      <c r="G804" s="222">
        <v>45343</v>
      </c>
      <c r="H804" s="223">
        <v>0.78888888888888886</v>
      </c>
      <c r="I804" s="221" t="s">
        <v>4916</v>
      </c>
      <c r="J804" s="221" t="s">
        <v>3024</v>
      </c>
      <c r="K804" s="224" t="s">
        <v>5137</v>
      </c>
      <c r="L804" s="225" t="str">
        <f>VLOOKUP(Logfile_S12[[#This Row],[Material Name]],Sheet2!B:C,2,0)</f>
        <v>GCI1009</v>
      </c>
      <c r="M804" s="225" t="str">
        <f>_xlfn.XLOOKUP(Logfile_S12[[#This Row],[Material Name]],Sum_WH!E:E,Sum_WH!F:F,"",0)</f>
        <v>Pcs</v>
      </c>
      <c r="N804" s="221">
        <v>50</v>
      </c>
      <c r="O804" s="221" t="s">
        <v>838</v>
      </c>
      <c r="P804" s="221" t="s">
        <v>3361</v>
      </c>
      <c r="Q804" s="221"/>
      <c r="R804" s="221"/>
      <c r="S804" s="221"/>
      <c r="T804" s="221" t="s">
        <v>3258</v>
      </c>
      <c r="U804" s="221" t="s">
        <v>3228</v>
      </c>
      <c r="V804" s="221" t="s">
        <v>3337</v>
      </c>
      <c r="W804" s="221" t="s">
        <v>3338</v>
      </c>
      <c r="X804" s="221"/>
      <c r="Y804" s="227"/>
      <c r="Z804" s="227" t="str">
        <f t="shared" si="35"/>
        <v>TAMANHARJO RW 04 SINGOSARI</v>
      </c>
      <c r="AA804" s="276" t="e">
        <f>VLOOKUP(Logfile_S12[[#This Row],[DO number]],DO_DB!G:I,3,0)</f>
        <v>#N/A</v>
      </c>
      <c r="AB804" s="331" t="e">
        <f>EXACT(Logfile_S12[[#This Row],[date pick]],Logfile_S12[[#This Row],[Date]])</f>
        <v>#N/A</v>
      </c>
      <c r="AC8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05" spans="1:29" ht="14.5" hidden="1">
      <c r="A805" s="220" t="str">
        <f t="shared" si="34"/>
        <v>801</v>
      </c>
      <c r="B805" s="221"/>
      <c r="C805" s="221" t="s">
        <v>48</v>
      </c>
      <c r="D805" s="221" t="s">
        <v>3941</v>
      </c>
      <c r="E805" s="221" t="s">
        <v>3295</v>
      </c>
      <c r="F805" s="221" t="s">
        <v>3299</v>
      </c>
      <c r="G805" s="222">
        <v>45344</v>
      </c>
      <c r="H805" s="223">
        <v>15.291666666666666</v>
      </c>
      <c r="I805" s="221" t="s">
        <v>38</v>
      </c>
      <c r="J805" s="221" t="s">
        <v>3024</v>
      </c>
      <c r="K805" s="224" t="s">
        <v>5137</v>
      </c>
      <c r="L805" s="225" t="str">
        <f>VLOOKUP(Logfile_S12[[#This Row],[Material Name]],Sheet2!B:C,2,0)</f>
        <v>GCI1009</v>
      </c>
      <c r="M805" s="225" t="str">
        <f>_xlfn.XLOOKUP(Logfile_S12[[#This Row],[Material Name]],Sum_WH!E:E,Sum_WH!F:F,"",0)</f>
        <v>Pcs</v>
      </c>
      <c r="N805" s="221">
        <v>86</v>
      </c>
      <c r="O805" s="221" t="s">
        <v>921</v>
      </c>
      <c r="P805" s="221" t="s">
        <v>922</v>
      </c>
      <c r="Q805" s="221">
        <v>0</v>
      </c>
      <c r="R805" s="221">
        <v>0</v>
      </c>
      <c r="S805" s="221"/>
      <c r="T805" s="221"/>
      <c r="U805" s="221"/>
      <c r="V805" s="221"/>
      <c r="W805" s="221"/>
      <c r="X805" s="221" t="s">
        <v>3360</v>
      </c>
      <c r="Y805" s="227"/>
      <c r="Z805" s="227" t="str">
        <f t="shared" si="35"/>
        <v>Bumiayu RW 03 Kedungkandang</v>
      </c>
      <c r="AA805" s="276" t="e">
        <f>VLOOKUP(Logfile_S12[[#This Row],[DO number]],DO_DB!G:I,3,0)</f>
        <v>#N/A</v>
      </c>
      <c r="AB805" s="331" t="e">
        <f>EXACT(Logfile_S12[[#This Row],[date pick]],Logfile_S12[[#This Row],[Date]])</f>
        <v>#N/A</v>
      </c>
      <c r="AC8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06" spans="1:29" ht="14.5" hidden="1">
      <c r="A806" s="220" t="str">
        <f t="shared" si="34"/>
        <v>802</v>
      </c>
      <c r="B806" s="221"/>
      <c r="C806" s="221" t="s">
        <v>49</v>
      </c>
      <c r="D806" s="221" t="s">
        <v>3940</v>
      </c>
      <c r="E806" s="221" t="s">
        <v>3295</v>
      </c>
      <c r="F806" s="221" t="s">
        <v>3299</v>
      </c>
      <c r="G806" s="222">
        <v>45344</v>
      </c>
      <c r="H806" s="223">
        <v>0.63541666666666663</v>
      </c>
      <c r="I806" s="221" t="s">
        <v>4916</v>
      </c>
      <c r="J806" s="221" t="s">
        <v>3024</v>
      </c>
      <c r="K806" s="224" t="s">
        <v>5137</v>
      </c>
      <c r="L806" s="225" t="str">
        <f>VLOOKUP(Logfile_S12[[#This Row],[Material Name]],Sheet2!B:C,2,0)</f>
        <v>GCI1009</v>
      </c>
      <c r="M806" s="225" t="str">
        <f>_xlfn.XLOOKUP(Logfile_S12[[#This Row],[Material Name]],Sum_WH!E:E,Sum_WH!F:F,"",0)</f>
        <v>Pcs</v>
      </c>
      <c r="N806" s="221">
        <v>38</v>
      </c>
      <c r="O806" s="221" t="s">
        <v>838</v>
      </c>
      <c r="P806" s="221" t="s">
        <v>3361</v>
      </c>
      <c r="Q806" s="221"/>
      <c r="R806" s="221"/>
      <c r="S806" s="221"/>
      <c r="T806" s="221" t="s">
        <v>3258</v>
      </c>
      <c r="U806" s="221" t="s">
        <v>3228</v>
      </c>
      <c r="V806" s="221" t="s">
        <v>3337</v>
      </c>
      <c r="W806" s="221" t="s">
        <v>3338</v>
      </c>
      <c r="X806" s="221"/>
      <c r="Y806" s="227"/>
      <c r="Z806" s="227" t="str">
        <f t="shared" si="35"/>
        <v>TAMANHARJO RW 04 SINGOSARI</v>
      </c>
      <c r="AA806" s="276" t="e">
        <f>VLOOKUP(Logfile_S12[[#This Row],[DO number]],DO_DB!G:I,3,0)</f>
        <v>#N/A</v>
      </c>
      <c r="AB806" s="331" t="e">
        <f>EXACT(Logfile_S12[[#This Row],[date pick]],Logfile_S12[[#This Row],[Date]])</f>
        <v>#N/A</v>
      </c>
      <c r="AC8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07" spans="1:29" ht="14.5" hidden="1">
      <c r="A807" s="220" t="str">
        <f t="shared" si="34"/>
        <v>803</v>
      </c>
      <c r="B807" s="221"/>
      <c r="C807" s="221" t="s">
        <v>48</v>
      </c>
      <c r="D807" s="221" t="s">
        <v>3953</v>
      </c>
      <c r="E807" s="221" t="s">
        <v>3295</v>
      </c>
      <c r="F807" s="221" t="s">
        <v>3299</v>
      </c>
      <c r="G807" s="222">
        <v>45349</v>
      </c>
      <c r="H807" s="223">
        <v>15.291666666666666</v>
      </c>
      <c r="I807" s="221" t="s">
        <v>38</v>
      </c>
      <c r="J807" s="221" t="s">
        <v>3024</v>
      </c>
      <c r="K807" s="224" t="s">
        <v>5137</v>
      </c>
      <c r="L807" s="225" t="str">
        <f>VLOOKUP(Logfile_S12[[#This Row],[Material Name]],Sheet2!B:C,2,0)</f>
        <v>GCI1009</v>
      </c>
      <c r="M807" s="225" t="str">
        <f>_xlfn.XLOOKUP(Logfile_S12[[#This Row],[Material Name]],Sum_WH!E:E,Sum_WH!F:F,"",0)</f>
        <v>Pcs</v>
      </c>
      <c r="N807" s="221">
        <v>314</v>
      </c>
      <c r="O807" s="221">
        <v>0</v>
      </c>
      <c r="P807" s="221" t="s">
        <v>3362</v>
      </c>
      <c r="Q807" s="221">
        <v>0</v>
      </c>
      <c r="R807" s="221">
        <v>0</v>
      </c>
      <c r="S807" s="221"/>
      <c r="T807" s="221"/>
      <c r="U807" s="221"/>
      <c r="V807" s="221"/>
      <c r="W807" s="221"/>
      <c r="X807" s="221"/>
      <c r="Y807" s="227"/>
      <c r="Z807" s="227" t="str">
        <f t="shared" si="35"/>
        <v xml:space="preserve">UD RIZQI JAYA PRATAMA </v>
      </c>
      <c r="AA807" s="276" t="e">
        <f>VLOOKUP(Logfile_S12[[#This Row],[DO number]],DO_DB!G:I,3,0)</f>
        <v>#N/A</v>
      </c>
      <c r="AB807" s="331" t="e">
        <f>EXACT(Logfile_S12[[#This Row],[date pick]],Logfile_S12[[#This Row],[Date]])</f>
        <v>#N/A</v>
      </c>
      <c r="AC8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08" spans="1:29" ht="14.5" hidden="1">
      <c r="A808" s="220" t="str">
        <f t="shared" si="34"/>
        <v>804</v>
      </c>
      <c r="B808" s="221"/>
      <c r="C808" s="221" t="s">
        <v>49</v>
      </c>
      <c r="D808" s="221" t="s">
        <v>3955</v>
      </c>
      <c r="E808" s="221" t="s">
        <v>3295</v>
      </c>
      <c r="F808" s="221" t="s">
        <v>3299</v>
      </c>
      <c r="G808" s="222">
        <v>45350</v>
      </c>
      <c r="H808" s="223">
        <v>0.4861111111111111</v>
      </c>
      <c r="I808" s="221" t="s">
        <v>4916</v>
      </c>
      <c r="J808" s="221" t="s">
        <v>3024</v>
      </c>
      <c r="K808" s="224" t="s">
        <v>5137</v>
      </c>
      <c r="L808" s="225" t="str">
        <f>VLOOKUP(Logfile_S12[[#This Row],[Material Name]],Sheet2!B:C,2,0)</f>
        <v>GCI1009</v>
      </c>
      <c r="M808" s="225" t="str">
        <f>_xlfn.XLOOKUP(Logfile_S12[[#This Row],[Material Name]],Sum_WH!E:E,Sum_WH!F:F,"",0)</f>
        <v>Pcs</v>
      </c>
      <c r="N808" s="221">
        <v>14</v>
      </c>
      <c r="O808" s="221" t="s">
        <v>1013</v>
      </c>
      <c r="P808" s="221" t="s">
        <v>1014</v>
      </c>
      <c r="Q808" s="221"/>
      <c r="R808" s="221"/>
      <c r="S808" s="221"/>
      <c r="T808" s="221" t="s">
        <v>3258</v>
      </c>
      <c r="U808" s="221" t="s">
        <v>3228</v>
      </c>
      <c r="V808" s="221" t="s">
        <v>3337</v>
      </c>
      <c r="W808" s="221" t="s">
        <v>3338</v>
      </c>
      <c r="X808" s="221"/>
      <c r="Y808" s="227"/>
      <c r="Z808" s="227" t="str">
        <f t="shared" si="35"/>
        <v>Bumiayu RW 05 Kedungkandang</v>
      </c>
      <c r="AA808" s="276" t="e">
        <f>VLOOKUP(Logfile_S12[[#This Row],[DO number]],DO_DB!G:I,3,0)</f>
        <v>#N/A</v>
      </c>
      <c r="AB808" s="331" t="e">
        <f>EXACT(Logfile_S12[[#This Row],[date pick]],Logfile_S12[[#This Row],[Date]])</f>
        <v>#N/A</v>
      </c>
      <c r="AC8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09" spans="1:29" ht="14.5" hidden="1">
      <c r="A809" s="220" t="str">
        <f t="shared" si="34"/>
        <v>805</v>
      </c>
      <c r="B809" s="221"/>
      <c r="C809" s="221" t="s">
        <v>49</v>
      </c>
      <c r="D809" s="221" t="s">
        <v>3954</v>
      </c>
      <c r="E809" s="221" t="s">
        <v>3295</v>
      </c>
      <c r="F809" s="221" t="s">
        <v>3299</v>
      </c>
      <c r="G809" s="222">
        <v>45350</v>
      </c>
      <c r="H809" s="223">
        <v>0.3833333333333333</v>
      </c>
      <c r="I809" s="221" t="s">
        <v>4916</v>
      </c>
      <c r="J809" s="221" t="s">
        <v>3024</v>
      </c>
      <c r="K809" s="224" t="s">
        <v>5137</v>
      </c>
      <c r="L809" s="225" t="str">
        <f>VLOOKUP(Logfile_S12[[#This Row],[Material Name]],Sheet2!B:C,2,0)</f>
        <v>GCI1009</v>
      </c>
      <c r="M809" s="225" t="str">
        <f>_xlfn.XLOOKUP(Logfile_S12[[#This Row],[Material Name]],Sum_WH!E:E,Sum_WH!F:F,"",0)</f>
        <v>Pcs</v>
      </c>
      <c r="N809" s="221">
        <v>220</v>
      </c>
      <c r="O809" s="221" t="s">
        <v>921</v>
      </c>
      <c r="P809" s="221" t="s">
        <v>922</v>
      </c>
      <c r="Q809" s="221"/>
      <c r="R809" s="221"/>
      <c r="S809" s="221"/>
      <c r="T809" s="221" t="s">
        <v>3363</v>
      </c>
      <c r="U809" s="221" t="s">
        <v>3228</v>
      </c>
      <c r="V809" s="221" t="s">
        <v>3364</v>
      </c>
      <c r="W809" s="221" t="s">
        <v>3365</v>
      </c>
      <c r="X809" s="221"/>
      <c r="Y809" s="227"/>
      <c r="Z809" s="227" t="str">
        <f t="shared" si="35"/>
        <v>Bumiayu RW 03 Kedungkandang</v>
      </c>
      <c r="AA809" s="276" t="e">
        <f>VLOOKUP(Logfile_S12[[#This Row],[DO number]],DO_DB!G:I,3,0)</f>
        <v>#N/A</v>
      </c>
      <c r="AB809" s="331" t="e">
        <f>EXACT(Logfile_S12[[#This Row],[date pick]],Logfile_S12[[#This Row],[Date]])</f>
        <v>#N/A</v>
      </c>
      <c r="AC8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10" spans="1:29" ht="14.5" hidden="1">
      <c r="A810" s="220" t="str">
        <f t="shared" si="34"/>
        <v>806</v>
      </c>
      <c r="B810" s="221"/>
      <c r="C810" s="221" t="s">
        <v>49</v>
      </c>
      <c r="D810" s="221" t="s">
        <v>3963</v>
      </c>
      <c r="E810" s="221" t="s">
        <v>3295</v>
      </c>
      <c r="F810" s="221" t="s">
        <v>3299</v>
      </c>
      <c r="G810" s="222">
        <v>45352</v>
      </c>
      <c r="H810" s="223">
        <v>0.39097222222222222</v>
      </c>
      <c r="I810" s="221" t="s">
        <v>4916</v>
      </c>
      <c r="J810" s="221" t="s">
        <v>3024</v>
      </c>
      <c r="K810" s="224" t="s">
        <v>5137</v>
      </c>
      <c r="L810" s="225" t="str">
        <f>VLOOKUP(Logfile_S12[[#This Row],[Material Name]],Sheet2!B:C,2,0)</f>
        <v>GCI1009</v>
      </c>
      <c r="M810" s="225" t="str">
        <f>_xlfn.XLOOKUP(Logfile_S12[[#This Row],[Material Name]],Sum_WH!E:E,Sum_WH!F:F,"",0)</f>
        <v>Pcs</v>
      </c>
      <c r="N810" s="221">
        <v>14</v>
      </c>
      <c r="O810" s="221" t="s">
        <v>1013</v>
      </c>
      <c r="P810" s="221" t="s">
        <v>1014</v>
      </c>
      <c r="Q810" s="221"/>
      <c r="R810" s="221"/>
      <c r="S810" s="221"/>
      <c r="T810" s="221" t="s">
        <v>3258</v>
      </c>
      <c r="U810" s="221" t="s">
        <v>3228</v>
      </c>
      <c r="V810" s="221" t="s">
        <v>3337</v>
      </c>
      <c r="W810" s="221" t="s">
        <v>3338</v>
      </c>
      <c r="X810" s="221"/>
      <c r="Y810" s="227"/>
      <c r="Z810" s="227" t="str">
        <f t="shared" si="35"/>
        <v>Bumiayu RW 05 Kedungkandang</v>
      </c>
      <c r="AA810" s="276" t="e">
        <f>VLOOKUP(Logfile_S12[[#This Row],[DO number]],DO_DB!G:I,3,0)</f>
        <v>#N/A</v>
      </c>
      <c r="AB810" s="331" t="e">
        <f>EXACT(Logfile_S12[[#This Row],[date pick]],Logfile_S12[[#This Row],[Date]])</f>
        <v>#N/A</v>
      </c>
      <c r="AC8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11" spans="1:29" ht="14.5" hidden="1">
      <c r="A811" s="220" t="str">
        <f t="shared" si="34"/>
        <v>807</v>
      </c>
      <c r="B811" s="221"/>
      <c r="C811" s="221" t="s">
        <v>49</v>
      </c>
      <c r="D811" s="221" t="s">
        <v>3964</v>
      </c>
      <c r="E811" s="221" t="s">
        <v>3295</v>
      </c>
      <c r="F811" s="221" t="s">
        <v>3299</v>
      </c>
      <c r="G811" s="222">
        <v>45352</v>
      </c>
      <c r="H811" s="223">
        <v>0.42499999999999999</v>
      </c>
      <c r="I811" s="221" t="s">
        <v>4916</v>
      </c>
      <c r="J811" s="221" t="s">
        <v>3024</v>
      </c>
      <c r="K811" s="224" t="s">
        <v>5137</v>
      </c>
      <c r="L811" s="225" t="str">
        <f>VLOOKUP(Logfile_S12[[#This Row],[Material Name]],Sheet2!B:C,2,0)</f>
        <v>GCI1009</v>
      </c>
      <c r="M811" s="225" t="str">
        <f>_xlfn.XLOOKUP(Logfile_S12[[#This Row],[Material Name]],Sum_WH!E:E,Sum_WH!F:F,"",0)</f>
        <v>Pcs</v>
      </c>
      <c r="N811" s="221">
        <v>40</v>
      </c>
      <c r="O811" s="221" t="s">
        <v>1013</v>
      </c>
      <c r="P811" s="221" t="s">
        <v>1014</v>
      </c>
      <c r="Q811" s="221"/>
      <c r="R811" s="221"/>
      <c r="S811" s="221"/>
      <c r="T811" s="221" t="s">
        <v>3258</v>
      </c>
      <c r="U811" s="221" t="s">
        <v>3228</v>
      </c>
      <c r="V811" s="221" t="s">
        <v>3337</v>
      </c>
      <c r="W811" s="221" t="s">
        <v>3338</v>
      </c>
      <c r="X811" s="221"/>
      <c r="Y811" s="227"/>
      <c r="Z811" s="227" t="str">
        <f t="shared" si="35"/>
        <v>Bumiayu RW 05 Kedungkandang</v>
      </c>
      <c r="AA811" s="276" t="e">
        <f>VLOOKUP(Logfile_S12[[#This Row],[DO number]],DO_DB!G:I,3,0)</f>
        <v>#N/A</v>
      </c>
      <c r="AB811" s="331" t="e">
        <f>EXACT(Logfile_S12[[#This Row],[date pick]],Logfile_S12[[#This Row],[Date]])</f>
        <v>#N/A</v>
      </c>
      <c r="AC8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12" spans="1:29" ht="14.5" hidden="1">
      <c r="A812" s="220" t="str">
        <f t="shared" si="34"/>
        <v>808</v>
      </c>
      <c r="B812" s="221"/>
      <c r="C812" s="221" t="s">
        <v>49</v>
      </c>
      <c r="D812" s="221" t="s">
        <v>3967</v>
      </c>
      <c r="E812" s="221" t="s">
        <v>3295</v>
      </c>
      <c r="F812" s="221" t="s">
        <v>3299</v>
      </c>
      <c r="G812" s="222">
        <v>45353</v>
      </c>
      <c r="H812" s="223">
        <v>0.42499999999999999</v>
      </c>
      <c r="I812" s="221" t="s">
        <v>4916</v>
      </c>
      <c r="J812" s="221" t="s">
        <v>3024</v>
      </c>
      <c r="K812" s="224" t="s">
        <v>5137</v>
      </c>
      <c r="L812" s="225" t="str">
        <f>VLOOKUP(Logfile_S12[[#This Row],[Material Name]],Sheet2!B:C,2,0)</f>
        <v>GCI1009</v>
      </c>
      <c r="M812" s="225" t="str">
        <f>_xlfn.XLOOKUP(Logfile_S12[[#This Row],[Material Name]],Sum_WH!E:E,Sum_WH!F:F,"",0)</f>
        <v>Pcs</v>
      </c>
      <c r="N812" s="221">
        <v>40</v>
      </c>
      <c r="O812" s="221" t="s">
        <v>1013</v>
      </c>
      <c r="P812" s="221" t="s">
        <v>1014</v>
      </c>
      <c r="Q812" s="221"/>
      <c r="R812" s="221"/>
      <c r="S812" s="221"/>
      <c r="T812" s="221" t="s">
        <v>3258</v>
      </c>
      <c r="U812" s="221" t="s">
        <v>3228</v>
      </c>
      <c r="V812" s="221" t="s">
        <v>3337</v>
      </c>
      <c r="W812" s="221" t="s">
        <v>3338</v>
      </c>
      <c r="X812" s="221"/>
      <c r="Y812" s="227"/>
      <c r="Z812" s="227" t="str">
        <f t="shared" si="35"/>
        <v>Bumiayu RW 05 Kedungkandang</v>
      </c>
      <c r="AA812" s="276" t="e">
        <f>VLOOKUP(Logfile_S12[[#This Row],[DO number]],DO_DB!G:I,3,0)</f>
        <v>#N/A</v>
      </c>
      <c r="AB812" s="331" t="e">
        <f>EXACT(Logfile_S12[[#This Row],[date pick]],Logfile_S12[[#This Row],[Date]])</f>
        <v>#N/A</v>
      </c>
      <c r="AC8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13" spans="1:29" ht="14.5" hidden="1">
      <c r="A813" s="220" t="str">
        <f t="shared" si="34"/>
        <v>809</v>
      </c>
      <c r="B813" s="221"/>
      <c r="C813" s="221" t="s">
        <v>49</v>
      </c>
      <c r="D813" s="221" t="s">
        <v>3969</v>
      </c>
      <c r="E813" s="221" t="s">
        <v>3295</v>
      </c>
      <c r="F813" s="221" t="s">
        <v>3299</v>
      </c>
      <c r="G813" s="222">
        <v>45355</v>
      </c>
      <c r="H813" s="223">
        <v>0.57916666666666672</v>
      </c>
      <c r="I813" s="221" t="s">
        <v>4916</v>
      </c>
      <c r="J813" s="221" t="s">
        <v>3024</v>
      </c>
      <c r="K813" s="224" t="s">
        <v>5137</v>
      </c>
      <c r="L813" s="225" t="str">
        <f>VLOOKUP(Logfile_S12[[#This Row],[Material Name]],Sheet2!B:C,2,0)</f>
        <v>GCI1009</v>
      </c>
      <c r="M813" s="225" t="str">
        <f>_xlfn.XLOOKUP(Logfile_S12[[#This Row],[Material Name]],Sum_WH!E:E,Sum_WH!F:F,"",0)</f>
        <v>Pcs</v>
      </c>
      <c r="N813" s="221">
        <v>12</v>
      </c>
      <c r="O813" s="221" t="s">
        <v>1013</v>
      </c>
      <c r="P813" s="221" t="s">
        <v>1014</v>
      </c>
      <c r="Q813" s="221"/>
      <c r="R813" s="221"/>
      <c r="S813" s="221"/>
      <c r="T813" s="221" t="s">
        <v>3258</v>
      </c>
      <c r="U813" s="221" t="s">
        <v>3228</v>
      </c>
      <c r="V813" s="221" t="s">
        <v>3337</v>
      </c>
      <c r="W813" s="221" t="s">
        <v>3338</v>
      </c>
      <c r="X813" s="221"/>
      <c r="Y813" s="227"/>
      <c r="Z813" s="227" t="str">
        <f t="shared" si="35"/>
        <v>Bumiayu RW 05 Kedungkandang</v>
      </c>
      <c r="AA813" s="276" t="e">
        <f>VLOOKUP(Logfile_S12[[#This Row],[DO number]],DO_DB!G:I,3,0)</f>
        <v>#N/A</v>
      </c>
      <c r="AB813" s="331" t="e">
        <f>EXACT(Logfile_S12[[#This Row],[date pick]],Logfile_S12[[#This Row],[Date]])</f>
        <v>#N/A</v>
      </c>
      <c r="AC8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14" spans="1:29" ht="14.5" hidden="1">
      <c r="A814" s="220" t="str">
        <f t="shared" si="34"/>
        <v>810</v>
      </c>
      <c r="B814" s="221"/>
      <c r="C814" s="221" t="s">
        <v>49</v>
      </c>
      <c r="D814" s="221" t="s">
        <v>3971</v>
      </c>
      <c r="E814" s="221" t="s">
        <v>3295</v>
      </c>
      <c r="F814" s="221" t="s">
        <v>3299</v>
      </c>
      <c r="G814" s="222">
        <v>45357</v>
      </c>
      <c r="H814" s="223">
        <v>0.39166666666666666</v>
      </c>
      <c r="I814" s="221" t="s">
        <v>4916</v>
      </c>
      <c r="J814" s="221" t="s">
        <v>3024</v>
      </c>
      <c r="K814" s="224" t="s">
        <v>5137</v>
      </c>
      <c r="L814" s="225" t="str">
        <f>VLOOKUP(Logfile_S12[[#This Row],[Material Name]],Sheet2!B:C,2,0)</f>
        <v>GCI1009</v>
      </c>
      <c r="M814" s="225" t="str">
        <f>_xlfn.XLOOKUP(Logfile_S12[[#This Row],[Material Name]],Sum_WH!E:E,Sum_WH!F:F,"",0)</f>
        <v>Pcs</v>
      </c>
      <c r="N814" s="221">
        <v>10</v>
      </c>
      <c r="O814" s="221" t="s">
        <v>828</v>
      </c>
      <c r="P814" s="221" t="s">
        <v>829</v>
      </c>
      <c r="Q814" s="221"/>
      <c r="R814" s="221"/>
      <c r="S814" s="221"/>
      <c r="T814" s="221" t="s">
        <v>3258</v>
      </c>
      <c r="U814" s="221" t="s">
        <v>3228</v>
      </c>
      <c r="V814" s="221" t="s">
        <v>3337</v>
      </c>
      <c r="W814" s="221" t="s">
        <v>3338</v>
      </c>
      <c r="X814" s="221"/>
      <c r="Y814" s="227"/>
      <c r="Z814" s="227" t="str">
        <f t="shared" si="35"/>
        <v>Perumahan Pondok Mutiara Malang</v>
      </c>
      <c r="AA814" s="276" t="e">
        <f>VLOOKUP(Logfile_S12[[#This Row],[DO number]],DO_DB!G:I,3,0)</f>
        <v>#N/A</v>
      </c>
      <c r="AB814" s="331" t="e">
        <f>EXACT(Logfile_S12[[#This Row],[date pick]],Logfile_S12[[#This Row],[Date]])</f>
        <v>#N/A</v>
      </c>
      <c r="AC8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15" spans="1:29" ht="14.5" hidden="1">
      <c r="A815" s="220" t="str">
        <f t="shared" si="34"/>
        <v>811</v>
      </c>
      <c r="B815" s="221"/>
      <c r="C815" s="221" t="s">
        <v>49</v>
      </c>
      <c r="D815" s="221" t="s">
        <v>3978</v>
      </c>
      <c r="E815" s="221" t="s">
        <v>3295</v>
      </c>
      <c r="F815" s="221" t="s">
        <v>3299</v>
      </c>
      <c r="G815" s="222">
        <v>45366</v>
      </c>
      <c r="H815" s="223">
        <v>0.71666666666666667</v>
      </c>
      <c r="I815" s="221" t="s">
        <v>4916</v>
      </c>
      <c r="J815" s="221" t="s">
        <v>3024</v>
      </c>
      <c r="K815" s="224" t="s">
        <v>5137</v>
      </c>
      <c r="L815" s="225" t="str">
        <f>VLOOKUP(Logfile_S12[[#This Row],[Material Name]],Sheet2!B:C,2,0)</f>
        <v>GCI1009</v>
      </c>
      <c r="M815" s="225" t="str">
        <f>_xlfn.XLOOKUP(Logfile_S12[[#This Row],[Material Name]],Sum_WH!E:E,Sum_WH!F:F,"",0)</f>
        <v>Pcs</v>
      </c>
      <c r="N815" s="221">
        <v>50</v>
      </c>
      <c r="O815" s="221" t="s">
        <v>1087</v>
      </c>
      <c r="P815" s="221" t="s">
        <v>1088</v>
      </c>
      <c r="Q815" s="221"/>
      <c r="R815" s="221"/>
      <c r="S815" s="221"/>
      <c r="T815" s="221" t="s">
        <v>3258</v>
      </c>
      <c r="U815" s="221" t="s">
        <v>3228</v>
      </c>
      <c r="V815" s="221" t="s">
        <v>3337</v>
      </c>
      <c r="W815" s="221" t="s">
        <v>3338</v>
      </c>
      <c r="X815" s="221"/>
      <c r="Y815" s="227"/>
      <c r="Z815" s="227" t="str">
        <f t="shared" si="35"/>
        <v>Dalisodo RW 01 Wagir</v>
      </c>
      <c r="AA815" s="276" t="e">
        <f>VLOOKUP(Logfile_S12[[#This Row],[DO number]],DO_DB!G:I,3,0)</f>
        <v>#N/A</v>
      </c>
      <c r="AB815" s="331" t="e">
        <f>EXACT(Logfile_S12[[#This Row],[date pick]],Logfile_S12[[#This Row],[Date]])</f>
        <v>#N/A</v>
      </c>
      <c r="AC8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16" spans="1:29" ht="14.5" hidden="1">
      <c r="A816" s="220" t="str">
        <f t="shared" si="34"/>
        <v>812</v>
      </c>
      <c r="B816" s="221"/>
      <c r="C816" s="221" t="s">
        <v>48</v>
      </c>
      <c r="D816" s="221" t="s">
        <v>3990</v>
      </c>
      <c r="E816" s="221" t="s">
        <v>3295</v>
      </c>
      <c r="F816" s="221" t="s">
        <v>3299</v>
      </c>
      <c r="G816" s="222">
        <v>45376</v>
      </c>
      <c r="H816" s="223">
        <v>15.291666666666666</v>
      </c>
      <c r="I816" s="221" t="s">
        <v>38</v>
      </c>
      <c r="J816" s="221" t="s">
        <v>3024</v>
      </c>
      <c r="K816" s="224" t="s">
        <v>5137</v>
      </c>
      <c r="L816" s="225" t="str">
        <f>VLOOKUP(Logfile_S12[[#This Row],[Material Name]],Sheet2!B:C,2,0)</f>
        <v>GCI1009</v>
      </c>
      <c r="M816" s="225" t="str">
        <f>_xlfn.XLOOKUP(Logfile_S12[[#This Row],[Material Name]],Sum_WH!E:E,Sum_WH!F:F,"",0)</f>
        <v>Pcs</v>
      </c>
      <c r="N816" s="221">
        <v>412</v>
      </c>
      <c r="O816" s="221">
        <v>0</v>
      </c>
      <c r="P816" s="221" t="s">
        <v>3393</v>
      </c>
      <c r="Q816" s="221">
        <v>0</v>
      </c>
      <c r="R816" s="221">
        <v>0</v>
      </c>
      <c r="S816" s="221"/>
      <c r="T816" s="221"/>
      <c r="U816" s="221"/>
      <c r="V816" s="221"/>
      <c r="W816" s="221"/>
      <c r="X816" s="221"/>
      <c r="Y816" s="227"/>
      <c r="Z816" s="227" t="str">
        <f t="shared" si="35"/>
        <v>TEGAL</v>
      </c>
      <c r="AA816" s="276" t="e">
        <f>VLOOKUP(Logfile_S12[[#This Row],[DO number]],DO_DB!G:I,3,0)</f>
        <v>#N/A</v>
      </c>
      <c r="AB816" s="331" t="e">
        <f>EXACT(Logfile_S12[[#This Row],[date pick]],Logfile_S12[[#This Row],[Date]])</f>
        <v>#N/A</v>
      </c>
      <c r="AC8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17" spans="1:29" ht="14.5" hidden="1">
      <c r="A817" s="220" t="str">
        <f t="shared" si="34"/>
        <v>813</v>
      </c>
      <c r="B817" s="221"/>
      <c r="C817" s="221" t="s">
        <v>49</v>
      </c>
      <c r="D817" s="221" t="s">
        <v>3991</v>
      </c>
      <c r="E817" s="221" t="s">
        <v>3295</v>
      </c>
      <c r="F817" s="221" t="s">
        <v>3299</v>
      </c>
      <c r="G817" s="222">
        <v>45377</v>
      </c>
      <c r="H817" s="223">
        <v>0.93819444444444444</v>
      </c>
      <c r="I817" s="221" t="s">
        <v>4916</v>
      </c>
      <c r="J817" s="221" t="s">
        <v>3024</v>
      </c>
      <c r="K817" s="224" t="s">
        <v>5137</v>
      </c>
      <c r="L817" s="225" t="str">
        <f>VLOOKUP(Logfile_S12[[#This Row],[Material Name]],Sheet2!B:C,2,0)</f>
        <v>GCI1009</v>
      </c>
      <c r="M817" s="225" t="str">
        <f>_xlfn.XLOOKUP(Logfile_S12[[#This Row],[Material Name]],Sum_WH!E:E,Sum_WH!F:F,"",0)</f>
        <v>Pcs</v>
      </c>
      <c r="N817" s="221">
        <v>200</v>
      </c>
      <c r="O817" s="221" t="s">
        <v>1087</v>
      </c>
      <c r="P817" s="221" t="s">
        <v>1088</v>
      </c>
      <c r="Q817" s="221"/>
      <c r="R817" s="221"/>
      <c r="S817" s="221"/>
      <c r="T817" s="221" t="s">
        <v>3258</v>
      </c>
      <c r="U817" s="221" t="s">
        <v>3228</v>
      </c>
      <c r="V817" s="221" t="s">
        <v>3337</v>
      </c>
      <c r="W817" s="221" t="s">
        <v>3338</v>
      </c>
      <c r="X817" s="221"/>
      <c r="Y817" s="227"/>
      <c r="Z817" s="227" t="str">
        <f t="shared" si="35"/>
        <v>Dalisodo RW 01 Wagir</v>
      </c>
      <c r="AA817" s="276" t="e">
        <f>VLOOKUP(Logfile_S12[[#This Row],[DO number]],DO_DB!G:I,3,0)</f>
        <v>#N/A</v>
      </c>
      <c r="AB817" s="331" t="e">
        <f>EXACT(Logfile_S12[[#This Row],[date pick]],Logfile_S12[[#This Row],[Date]])</f>
        <v>#N/A</v>
      </c>
      <c r="AC8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18" spans="1:29" ht="14.5" hidden="1">
      <c r="A818" s="220" t="str">
        <f t="shared" si="34"/>
        <v>814</v>
      </c>
      <c r="B818" s="221"/>
      <c r="C818" s="221" t="s">
        <v>49</v>
      </c>
      <c r="D818" s="221" t="s">
        <v>3993</v>
      </c>
      <c r="E818" s="221" t="s">
        <v>3295</v>
      </c>
      <c r="F818" s="221" t="s">
        <v>3299</v>
      </c>
      <c r="G818" s="222">
        <v>45379</v>
      </c>
      <c r="H818" s="223">
        <v>0.4145833333333333</v>
      </c>
      <c r="I818" s="221" t="s">
        <v>4916</v>
      </c>
      <c r="J818" s="221" t="s">
        <v>3024</v>
      </c>
      <c r="K818" s="224" t="s">
        <v>5137</v>
      </c>
      <c r="L818" s="225" t="str">
        <f>VLOOKUP(Logfile_S12[[#This Row],[Material Name]],Sheet2!B:C,2,0)</f>
        <v>GCI1009</v>
      </c>
      <c r="M818" s="225" t="str">
        <f>_xlfn.XLOOKUP(Logfile_S12[[#This Row],[Material Name]],Sum_WH!E:E,Sum_WH!F:F,"",0)</f>
        <v>Pcs</v>
      </c>
      <c r="N818" s="221">
        <v>150</v>
      </c>
      <c r="O818" s="221" t="s">
        <v>1161</v>
      </c>
      <c r="P818" s="221" t="s">
        <v>1162</v>
      </c>
      <c r="Q818" s="221"/>
      <c r="R818" s="221"/>
      <c r="S818" s="221"/>
      <c r="T818" s="221" t="s">
        <v>3363</v>
      </c>
      <c r="U818" s="221" t="s">
        <v>3228</v>
      </c>
      <c r="V818" s="221" t="s">
        <v>3364</v>
      </c>
      <c r="W818" s="221" t="s">
        <v>3365</v>
      </c>
      <c r="X818" s="221"/>
      <c r="Y818" s="227"/>
      <c r="Z818" s="227" t="str">
        <f t="shared" si="35"/>
        <v>Tunjungtirto RW 01 Singosari</v>
      </c>
      <c r="AA818" s="276" t="e">
        <f>VLOOKUP(Logfile_S12[[#This Row],[DO number]],DO_DB!G:I,3,0)</f>
        <v>#N/A</v>
      </c>
      <c r="AB818" s="331" t="e">
        <f>EXACT(Logfile_S12[[#This Row],[date pick]],Logfile_S12[[#This Row],[Date]])</f>
        <v>#N/A</v>
      </c>
      <c r="AC8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19" spans="1:29" ht="14.5" hidden="1">
      <c r="A819" s="220" t="str">
        <f t="shared" si="34"/>
        <v>815</v>
      </c>
      <c r="B819" s="221"/>
      <c r="C819" s="221" t="s">
        <v>49</v>
      </c>
      <c r="D819" s="221" t="s">
        <v>3997</v>
      </c>
      <c r="E819" s="221" t="s">
        <v>3295</v>
      </c>
      <c r="F819" s="221" t="s">
        <v>3299</v>
      </c>
      <c r="G819" s="222">
        <v>45383</v>
      </c>
      <c r="H819" s="223">
        <v>0.38472222222222219</v>
      </c>
      <c r="I819" s="221" t="s">
        <v>4916</v>
      </c>
      <c r="J819" s="221" t="s">
        <v>3024</v>
      </c>
      <c r="K819" s="224" t="s">
        <v>5137</v>
      </c>
      <c r="L819" s="225" t="str">
        <f>VLOOKUP(Logfile_S12[[#This Row],[Material Name]],Sheet2!B:C,2,0)</f>
        <v>GCI1009</v>
      </c>
      <c r="M819" s="225" t="str">
        <f>_xlfn.XLOOKUP(Logfile_S12[[#This Row],[Material Name]],Sum_WH!E:E,Sum_WH!F:F,"",0)</f>
        <v>Pcs</v>
      </c>
      <c r="N819" s="221">
        <v>25</v>
      </c>
      <c r="O819" s="221" t="s">
        <v>1151</v>
      </c>
      <c r="P819" s="221" t="s">
        <v>1152</v>
      </c>
      <c r="Q819" s="221"/>
      <c r="R819" s="221"/>
      <c r="S819" s="221"/>
      <c r="T819" s="221" t="s">
        <v>3363</v>
      </c>
      <c r="U819" s="221" t="s">
        <v>3228</v>
      </c>
      <c r="V819" s="221" t="s">
        <v>3364</v>
      </c>
      <c r="W819" s="221" t="s">
        <v>3365</v>
      </c>
      <c r="X819" s="221"/>
      <c r="Y819" s="227"/>
      <c r="Z819" s="227" t="str">
        <f t="shared" si="35"/>
        <v>Tunjungtirto RW 08 Singosari</v>
      </c>
      <c r="AA819" s="276" t="e">
        <f>VLOOKUP(Logfile_S12[[#This Row],[DO number]],DO_DB!G:I,3,0)</f>
        <v>#N/A</v>
      </c>
      <c r="AB819" s="331" t="e">
        <f>EXACT(Logfile_S12[[#This Row],[date pick]],Logfile_S12[[#This Row],[Date]])</f>
        <v>#N/A</v>
      </c>
      <c r="AC8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20" spans="1:29" ht="14.5" hidden="1">
      <c r="A820" s="220" t="str">
        <f t="shared" si="34"/>
        <v>816</v>
      </c>
      <c r="B820" s="221"/>
      <c r="C820" s="221" t="s">
        <v>49</v>
      </c>
      <c r="D820" s="221" t="s">
        <v>4021</v>
      </c>
      <c r="E820" s="221" t="s">
        <v>3295</v>
      </c>
      <c r="F820" s="221" t="s">
        <v>3299</v>
      </c>
      <c r="G820" s="222">
        <v>45405</v>
      </c>
      <c r="H820" s="223">
        <v>0.3756944444444445</v>
      </c>
      <c r="I820" s="221" t="s">
        <v>4916</v>
      </c>
      <c r="J820" s="221" t="s">
        <v>3024</v>
      </c>
      <c r="K820" s="224" t="s">
        <v>5137</v>
      </c>
      <c r="L820" s="225" t="str">
        <f>VLOOKUP(Logfile_S12[[#This Row],[Material Name]],Sheet2!B:C,2,0)</f>
        <v>GCI1009</v>
      </c>
      <c r="M820" s="225" t="str">
        <f>_xlfn.XLOOKUP(Logfile_S12[[#This Row],[Material Name]],Sum_WH!E:E,Sum_WH!F:F,"",0)</f>
        <v>Pcs</v>
      </c>
      <c r="N820" s="221">
        <v>30</v>
      </c>
      <c r="O820" s="221" t="s">
        <v>1401</v>
      </c>
      <c r="P820" s="221" t="s">
        <v>3371</v>
      </c>
      <c r="Q820" s="221"/>
      <c r="R820" s="221"/>
      <c r="S820" s="221"/>
      <c r="T820" s="221" t="s">
        <v>3363</v>
      </c>
      <c r="U820" s="221" t="s">
        <v>3228</v>
      </c>
      <c r="V820" s="221" t="s">
        <v>3364</v>
      </c>
      <c r="W820" s="221" t="s">
        <v>3372</v>
      </c>
      <c r="X820" s="221"/>
      <c r="Y820" s="227"/>
      <c r="Z820" s="227" t="str">
        <f t="shared" si="35"/>
        <v>Lowokwaru RW14</v>
      </c>
      <c r="AA820" s="276" t="e">
        <f>VLOOKUP(Logfile_S12[[#This Row],[DO number]],DO_DB!G:I,3,0)</f>
        <v>#N/A</v>
      </c>
      <c r="AB820" s="331" t="e">
        <f>EXACT(Logfile_S12[[#This Row],[date pick]],Logfile_S12[[#This Row],[Date]])</f>
        <v>#N/A</v>
      </c>
      <c r="AC8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21" spans="1:29" ht="14.5" hidden="1">
      <c r="A821" s="220" t="str">
        <f t="shared" si="34"/>
        <v>817</v>
      </c>
      <c r="B821" s="221"/>
      <c r="C821" s="221" t="s">
        <v>3313</v>
      </c>
      <c r="D821" s="221" t="s">
        <v>4023</v>
      </c>
      <c r="E821" s="221" t="s">
        <v>3295</v>
      </c>
      <c r="F821" s="221" t="s">
        <v>3299</v>
      </c>
      <c r="G821" s="222">
        <v>45405</v>
      </c>
      <c r="H821" s="223">
        <v>15.291666666666666</v>
      </c>
      <c r="I821" s="221" t="s">
        <v>4922</v>
      </c>
      <c r="J821" s="221" t="s">
        <v>3024</v>
      </c>
      <c r="K821" s="224" t="s">
        <v>5137</v>
      </c>
      <c r="L821" s="225" t="str">
        <f>VLOOKUP(Logfile_S12[[#This Row],[Material Name]],Sheet2!B:C,2,0)</f>
        <v>GCI1009</v>
      </c>
      <c r="M821" s="225" t="str">
        <f>_xlfn.XLOOKUP(Logfile_S12[[#This Row],[Material Name]],Sum_WH!E:E,Sum_WH!F:F,"",0)</f>
        <v>Pcs</v>
      </c>
      <c r="N821" s="221">
        <v>291</v>
      </c>
      <c r="O821" s="221" t="s">
        <v>3314</v>
      </c>
      <c r="P821" s="221" t="s">
        <v>3395</v>
      </c>
      <c r="Q821" s="221">
        <v>0</v>
      </c>
      <c r="R821" s="221">
        <v>0</v>
      </c>
      <c r="S821" s="221"/>
      <c r="T821" s="221"/>
      <c r="U821" s="221"/>
      <c r="V821" s="221"/>
      <c r="W821" s="221"/>
      <c r="X821" s="221"/>
      <c r="Y821" s="227"/>
      <c r="Z821" s="227" t="str">
        <f t="shared" si="35"/>
        <v>NGAWI</v>
      </c>
      <c r="AA821" s="276" t="e">
        <f>VLOOKUP(Logfile_S12[[#This Row],[DO number]],DO_DB!G:I,3,0)</f>
        <v>#N/A</v>
      </c>
      <c r="AB821" s="331" t="e">
        <f>EXACT(Logfile_S12[[#This Row],[date pick]],Logfile_S12[[#This Row],[Date]])</f>
        <v>#N/A</v>
      </c>
      <c r="AC8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22" spans="1:29" ht="14.5" hidden="1">
      <c r="A822" s="220" t="str">
        <f t="shared" si="34"/>
        <v>818</v>
      </c>
      <c r="B822" s="221"/>
      <c r="C822" s="221" t="s">
        <v>49</v>
      </c>
      <c r="D822" s="221" t="s">
        <v>4030</v>
      </c>
      <c r="E822" s="221" t="s">
        <v>3295</v>
      </c>
      <c r="F822" s="221" t="s">
        <v>3299</v>
      </c>
      <c r="G822" s="222">
        <v>45408</v>
      </c>
      <c r="H822" s="223">
        <v>0.39166666666666666</v>
      </c>
      <c r="I822" s="221" t="s">
        <v>4916</v>
      </c>
      <c r="J822" s="221" t="s">
        <v>3024</v>
      </c>
      <c r="K822" s="224" t="s">
        <v>5137</v>
      </c>
      <c r="L822" s="225" t="str">
        <f>VLOOKUP(Logfile_S12[[#This Row],[Material Name]],Sheet2!B:C,2,0)</f>
        <v>GCI1009</v>
      </c>
      <c r="M822" s="225" t="str">
        <f>_xlfn.XLOOKUP(Logfile_S12[[#This Row],[Material Name]],Sum_WH!E:E,Sum_WH!F:F,"",0)</f>
        <v>Pcs</v>
      </c>
      <c r="N822" s="221">
        <v>68</v>
      </c>
      <c r="O822" s="221" t="s">
        <v>1081</v>
      </c>
      <c r="P822" s="221" t="s">
        <v>3370</v>
      </c>
      <c r="Q822" s="221"/>
      <c r="R822" s="221"/>
      <c r="S822" s="221"/>
      <c r="T822" s="221" t="s">
        <v>3258</v>
      </c>
      <c r="U822" s="221" t="s">
        <v>3228</v>
      </c>
      <c r="V822" s="221" t="s">
        <v>3337</v>
      </c>
      <c r="W822" s="221" t="s">
        <v>3338</v>
      </c>
      <c r="X822" s="221"/>
      <c r="Y822" s="227"/>
      <c r="Z822" s="227" t="str">
        <f t="shared" si="35"/>
        <v>Pandan Landung RW 05 Wagir</v>
      </c>
      <c r="AA822" s="276" t="e">
        <f>VLOOKUP(Logfile_S12[[#This Row],[DO number]],DO_DB!G:I,3,0)</f>
        <v>#N/A</v>
      </c>
      <c r="AB822" s="331" t="e">
        <f>EXACT(Logfile_S12[[#This Row],[date pick]],Logfile_S12[[#This Row],[Date]])</f>
        <v>#N/A</v>
      </c>
      <c r="AC8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23" spans="1:29" ht="14.5" hidden="1">
      <c r="A823" s="220" t="str">
        <f t="shared" si="34"/>
        <v>819</v>
      </c>
      <c r="B823" s="221"/>
      <c r="C823" s="221" t="s">
        <v>49</v>
      </c>
      <c r="D823" s="221" t="s">
        <v>4031</v>
      </c>
      <c r="E823" s="221" t="s">
        <v>3295</v>
      </c>
      <c r="F823" s="221" t="s">
        <v>3299</v>
      </c>
      <c r="G823" s="222">
        <v>45412</v>
      </c>
      <c r="H823" s="223">
        <v>0.42708333333333331</v>
      </c>
      <c r="I823" s="221" t="s">
        <v>4916</v>
      </c>
      <c r="J823" s="221" t="s">
        <v>3024</v>
      </c>
      <c r="K823" s="224" t="s">
        <v>5137</v>
      </c>
      <c r="L823" s="225" t="str">
        <f>VLOOKUP(Logfile_S12[[#This Row],[Material Name]],Sheet2!B:C,2,0)</f>
        <v>GCI1009</v>
      </c>
      <c r="M823" s="225" t="str">
        <f>_xlfn.XLOOKUP(Logfile_S12[[#This Row],[Material Name]],Sum_WH!E:E,Sum_WH!F:F,"",0)</f>
        <v>Pcs</v>
      </c>
      <c r="N823" s="221">
        <v>30</v>
      </c>
      <c r="O823" s="221" t="s">
        <v>1401</v>
      </c>
      <c r="P823" s="221" t="s">
        <v>3371</v>
      </c>
      <c r="Q823" s="221"/>
      <c r="R823" s="221"/>
      <c r="S823" s="221"/>
      <c r="T823" s="221" t="s">
        <v>3363</v>
      </c>
      <c r="U823" s="221" t="s">
        <v>3228</v>
      </c>
      <c r="V823" s="221" t="s">
        <v>3364</v>
      </c>
      <c r="W823" s="221" t="s">
        <v>3372</v>
      </c>
      <c r="X823" s="221"/>
      <c r="Y823" s="227"/>
      <c r="Z823" s="227" t="str">
        <f t="shared" si="35"/>
        <v>Lowokwaru RW14</v>
      </c>
      <c r="AA823" s="276" t="e">
        <f>VLOOKUP(Logfile_S12[[#This Row],[DO number]],DO_DB!G:I,3,0)</f>
        <v>#N/A</v>
      </c>
      <c r="AB823" s="331" t="e">
        <f>EXACT(Logfile_S12[[#This Row],[date pick]],Logfile_S12[[#This Row],[Date]])</f>
        <v>#N/A</v>
      </c>
      <c r="AC8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24" spans="1:29" ht="14.5" hidden="1">
      <c r="A824" s="220" t="str">
        <f t="shared" si="34"/>
        <v>820</v>
      </c>
      <c r="B824" s="221"/>
      <c r="C824" s="221" t="s">
        <v>48</v>
      </c>
      <c r="D824" s="221" t="s">
        <v>4038</v>
      </c>
      <c r="E824" s="221" t="s">
        <v>3295</v>
      </c>
      <c r="F824" s="221" t="s">
        <v>3299</v>
      </c>
      <c r="G824" s="222">
        <v>45420</v>
      </c>
      <c r="H824" s="223">
        <v>15.291666666666666</v>
      </c>
      <c r="I824" s="221" t="s">
        <v>38</v>
      </c>
      <c r="J824" s="221" t="s">
        <v>3024</v>
      </c>
      <c r="K824" s="224" t="s">
        <v>5137</v>
      </c>
      <c r="L824" s="225" t="str">
        <f>VLOOKUP(Logfile_S12[[#This Row],[Material Name]],Sheet2!B:C,2,0)</f>
        <v>GCI1009</v>
      </c>
      <c r="M824" s="225" t="str">
        <f>_xlfn.XLOOKUP(Logfile_S12[[#This Row],[Material Name]],Sum_WH!E:E,Sum_WH!F:F,"",0)</f>
        <v>Pcs</v>
      </c>
      <c r="N824" s="221">
        <v>310</v>
      </c>
      <c r="O824" s="221">
        <v>0</v>
      </c>
      <c r="P824" s="221">
        <v>0</v>
      </c>
      <c r="Q824" s="221">
        <v>0</v>
      </c>
      <c r="R824" s="221">
        <v>0</v>
      </c>
      <c r="S824" s="221"/>
      <c r="T824" s="221"/>
      <c r="U824" s="221"/>
      <c r="V824" s="221"/>
      <c r="W824" s="221"/>
      <c r="X824" s="221"/>
      <c r="Y824" s="227"/>
      <c r="Z824" s="227">
        <f t="shared" si="35"/>
        <v>0</v>
      </c>
      <c r="AA824" s="276" t="e">
        <f>VLOOKUP(Logfile_S12[[#This Row],[DO number]],DO_DB!G:I,3,0)</f>
        <v>#N/A</v>
      </c>
      <c r="AB824" s="331" t="e">
        <f>EXACT(Logfile_S12[[#This Row],[date pick]],Logfile_S12[[#This Row],[Date]])</f>
        <v>#N/A</v>
      </c>
      <c r="AC8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25" spans="1:29" ht="14.5" hidden="1">
      <c r="A825" s="220" t="str">
        <f t="shared" si="34"/>
        <v>821</v>
      </c>
      <c r="B825" s="221"/>
      <c r="C825" s="221" t="s">
        <v>49</v>
      </c>
      <c r="D825" s="221" t="s">
        <v>4042</v>
      </c>
      <c r="E825" s="221" t="s">
        <v>3295</v>
      </c>
      <c r="F825" s="221" t="s">
        <v>3299</v>
      </c>
      <c r="G825" s="222">
        <v>45428</v>
      </c>
      <c r="H825" s="223">
        <v>0.53888888888888886</v>
      </c>
      <c r="I825" s="221" t="s">
        <v>4916</v>
      </c>
      <c r="J825" s="221" t="s">
        <v>3024</v>
      </c>
      <c r="K825" s="224" t="s">
        <v>5137</v>
      </c>
      <c r="L825" s="225" t="str">
        <f>VLOOKUP(Logfile_S12[[#This Row],[Material Name]],Sheet2!B:C,2,0)</f>
        <v>GCI1009</v>
      </c>
      <c r="M825" s="225" t="str">
        <f>_xlfn.XLOOKUP(Logfile_S12[[#This Row],[Material Name]],Sum_WH!E:E,Sum_WH!F:F,"",0)</f>
        <v>Pcs</v>
      </c>
      <c r="N825" s="221">
        <v>12</v>
      </c>
      <c r="O825" s="221" t="s">
        <v>1099</v>
      </c>
      <c r="P825" s="221" t="s">
        <v>1100</v>
      </c>
      <c r="Q825" s="221"/>
      <c r="R825" s="221"/>
      <c r="S825" s="221"/>
      <c r="T825" s="221" t="s">
        <v>3258</v>
      </c>
      <c r="U825" s="221" t="s">
        <v>3228</v>
      </c>
      <c r="V825" s="221" t="s">
        <v>3337</v>
      </c>
      <c r="W825" s="221" t="s">
        <v>3338</v>
      </c>
      <c r="X825" s="221"/>
      <c r="Y825" s="227"/>
      <c r="Z825" s="227" t="str">
        <f t="shared" si="35"/>
        <v>Dalisodo RW 03 Wagir</v>
      </c>
      <c r="AA825" s="276" t="e">
        <f>VLOOKUP(Logfile_S12[[#This Row],[DO number]],DO_DB!G:I,3,0)</f>
        <v>#N/A</v>
      </c>
      <c r="AB825" s="331" t="e">
        <f>EXACT(Logfile_S12[[#This Row],[date pick]],Logfile_S12[[#This Row],[Date]])</f>
        <v>#N/A</v>
      </c>
      <c r="AC8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26" spans="1:29" ht="14.5" hidden="1">
      <c r="A826" s="220" t="str">
        <f t="shared" si="34"/>
        <v>822</v>
      </c>
      <c r="B826" s="221"/>
      <c r="C826" s="221" t="s">
        <v>48</v>
      </c>
      <c r="D826" s="221" t="s">
        <v>4045</v>
      </c>
      <c r="E826" s="221" t="s">
        <v>3295</v>
      </c>
      <c r="F826" s="221" t="s">
        <v>3299</v>
      </c>
      <c r="G826" s="222">
        <v>45429</v>
      </c>
      <c r="H826" s="223">
        <v>15.291666666666666</v>
      </c>
      <c r="I826" s="221" t="s">
        <v>3586</v>
      </c>
      <c r="J826" s="221" t="s">
        <v>3024</v>
      </c>
      <c r="K826" s="224" t="s">
        <v>5137</v>
      </c>
      <c r="L826" s="225" t="str">
        <f>VLOOKUP(Logfile_S12[[#This Row],[Material Name]],Sheet2!B:C,2,0)</f>
        <v>GCI1009</v>
      </c>
      <c r="M826" s="225" t="str">
        <f>_xlfn.XLOOKUP(Logfile_S12[[#This Row],[Material Name]],Sum_WH!E:E,Sum_WH!F:F,"",0)</f>
        <v>Pcs</v>
      </c>
      <c r="N826" s="221">
        <v>19</v>
      </c>
      <c r="O826" s="221" t="s">
        <v>3397</v>
      </c>
      <c r="P826" s="221">
        <v>0</v>
      </c>
      <c r="Q826" s="221">
        <v>0</v>
      </c>
      <c r="R826" s="221">
        <v>0</v>
      </c>
      <c r="S826" s="221"/>
      <c r="T826" s="221"/>
      <c r="U826" s="221"/>
      <c r="V826" s="221"/>
      <c r="W826" s="221"/>
      <c r="X826" s="221"/>
      <c r="Y826" s="227"/>
      <c r="Z826" s="227">
        <f t="shared" si="35"/>
        <v>0</v>
      </c>
      <c r="AA826" s="276" t="e">
        <f>VLOOKUP(Logfile_S12[[#This Row],[DO number]],DO_DB!G:I,3,0)</f>
        <v>#N/A</v>
      </c>
      <c r="AB826" s="331" t="e">
        <f>EXACT(Logfile_S12[[#This Row],[date pick]],Logfile_S12[[#This Row],[Date]])</f>
        <v>#N/A</v>
      </c>
      <c r="AC8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27" spans="1:29" ht="14.5" hidden="1">
      <c r="A827" s="220" t="str">
        <f t="shared" si="34"/>
        <v>823</v>
      </c>
      <c r="B827" s="221"/>
      <c r="C827" s="221" t="s">
        <v>49</v>
      </c>
      <c r="D827" s="221" t="s">
        <v>4049</v>
      </c>
      <c r="E827" s="221" t="s">
        <v>3295</v>
      </c>
      <c r="F827" s="221" t="s">
        <v>3299</v>
      </c>
      <c r="G827" s="222">
        <v>45432</v>
      </c>
      <c r="H827" s="223">
        <v>0.3979166666666667</v>
      </c>
      <c r="I827" s="221" t="s">
        <v>4916</v>
      </c>
      <c r="J827" s="221" t="s">
        <v>3024</v>
      </c>
      <c r="K827" s="224" t="s">
        <v>5137</v>
      </c>
      <c r="L827" s="225" t="str">
        <f>VLOOKUP(Logfile_S12[[#This Row],[Material Name]],Sheet2!B:C,2,0)</f>
        <v>GCI1009</v>
      </c>
      <c r="M827" s="225" t="str">
        <f>_xlfn.XLOOKUP(Logfile_S12[[#This Row],[Material Name]],Sum_WH!E:E,Sum_WH!F:F,"",0)</f>
        <v>Pcs</v>
      </c>
      <c r="N827" s="221">
        <v>40</v>
      </c>
      <c r="O827" s="221" t="s">
        <v>1405</v>
      </c>
      <c r="P827" s="221" t="s">
        <v>1406</v>
      </c>
      <c r="Q827" s="221"/>
      <c r="R827" s="221"/>
      <c r="S827" s="221"/>
      <c r="T827" s="221" t="s">
        <v>3258</v>
      </c>
      <c r="U827" s="221" t="s">
        <v>3228</v>
      </c>
      <c r="V827" s="221" t="s">
        <v>3337</v>
      </c>
      <c r="W827" s="221" t="s">
        <v>3338</v>
      </c>
      <c r="X827" s="221"/>
      <c r="Y827" s="227"/>
      <c r="Z827" s="227" t="str">
        <f t="shared" si="35"/>
        <v>Lawang RW 06 Malang</v>
      </c>
      <c r="AA827" s="276" t="e">
        <f>VLOOKUP(Logfile_S12[[#This Row],[DO number]],DO_DB!G:I,3,0)</f>
        <v>#N/A</v>
      </c>
      <c r="AB827" s="331" t="e">
        <f>EXACT(Logfile_S12[[#This Row],[date pick]],Logfile_S12[[#This Row],[Date]])</f>
        <v>#N/A</v>
      </c>
      <c r="AC8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28" spans="1:29" ht="14.5" hidden="1">
      <c r="A828" s="220" t="str">
        <f t="shared" si="34"/>
        <v>824</v>
      </c>
      <c r="B828" s="221"/>
      <c r="C828" s="221" t="s">
        <v>49</v>
      </c>
      <c r="D828" s="221" t="s">
        <v>4056</v>
      </c>
      <c r="E828" s="221" t="s">
        <v>3295</v>
      </c>
      <c r="F828" s="221" t="s">
        <v>3299</v>
      </c>
      <c r="G828" s="222">
        <v>45434</v>
      </c>
      <c r="H828" s="223">
        <v>0.39166666666666666</v>
      </c>
      <c r="I828" s="221" t="s">
        <v>4916</v>
      </c>
      <c r="J828" s="221" t="s">
        <v>3024</v>
      </c>
      <c r="K828" s="224" t="s">
        <v>5137</v>
      </c>
      <c r="L828" s="225" t="str">
        <f>VLOOKUP(Logfile_S12[[#This Row],[Material Name]],Sheet2!B:C,2,0)</f>
        <v>GCI1009</v>
      </c>
      <c r="M828" s="225" t="str">
        <f>_xlfn.XLOOKUP(Logfile_S12[[#This Row],[Material Name]],Sum_WH!E:E,Sum_WH!F:F,"",0)</f>
        <v>Pcs</v>
      </c>
      <c r="N828" s="221">
        <v>70</v>
      </c>
      <c r="O828" s="221" t="s">
        <v>1395</v>
      </c>
      <c r="P828" s="221" t="s">
        <v>1396</v>
      </c>
      <c r="Q828" s="221"/>
      <c r="R828" s="221"/>
      <c r="S828" s="221"/>
      <c r="T828" s="221" t="s">
        <v>3258</v>
      </c>
      <c r="U828" s="221" t="s">
        <v>3228</v>
      </c>
      <c r="V828" s="221" t="s">
        <v>3337</v>
      </c>
      <c r="W828" s="221" t="s">
        <v>3338</v>
      </c>
      <c r="X828" s="221"/>
      <c r="Y828" s="227"/>
      <c r="Z828" s="227" t="str">
        <f t="shared" si="35"/>
        <v>Candirenggo RW 10 Singosari</v>
      </c>
      <c r="AA828" s="276" t="e">
        <f>VLOOKUP(Logfile_S12[[#This Row],[DO number]],DO_DB!G:I,3,0)</f>
        <v>#N/A</v>
      </c>
      <c r="AB828" s="331" t="e">
        <f>EXACT(Logfile_S12[[#This Row],[date pick]],Logfile_S12[[#This Row],[Date]])</f>
        <v>#N/A</v>
      </c>
      <c r="AC8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29" spans="1:29" ht="14.5" hidden="1">
      <c r="A829" s="220" t="str">
        <f t="shared" si="34"/>
        <v>825</v>
      </c>
      <c r="B829" s="221"/>
      <c r="C829" s="221" t="s">
        <v>49</v>
      </c>
      <c r="D829" s="221" t="s">
        <v>4060</v>
      </c>
      <c r="E829" s="221" t="s">
        <v>3295</v>
      </c>
      <c r="F829" s="221" t="s">
        <v>3299</v>
      </c>
      <c r="G829" s="222">
        <v>45437</v>
      </c>
      <c r="H829" s="223">
        <v>0.40277777777777773</v>
      </c>
      <c r="I829" s="221" t="s">
        <v>4916</v>
      </c>
      <c r="J829" s="221" t="s">
        <v>3024</v>
      </c>
      <c r="K829" s="224" t="s">
        <v>5137</v>
      </c>
      <c r="L829" s="225" t="str">
        <f>VLOOKUP(Logfile_S12[[#This Row],[Material Name]],Sheet2!B:C,2,0)</f>
        <v>GCI1009</v>
      </c>
      <c r="M829" s="225" t="str">
        <f>_xlfn.XLOOKUP(Logfile_S12[[#This Row],[Material Name]],Sum_WH!E:E,Sum_WH!F:F,"",0)</f>
        <v>Pcs</v>
      </c>
      <c r="N829" s="221">
        <v>162</v>
      </c>
      <c r="O829" s="221" t="s">
        <v>1493</v>
      </c>
      <c r="P829" s="221" t="s">
        <v>1494</v>
      </c>
      <c r="Q829" s="221"/>
      <c r="R829" s="221"/>
      <c r="S829" s="221"/>
      <c r="T829" s="221" t="s">
        <v>3258</v>
      </c>
      <c r="U829" s="221" t="s">
        <v>3228</v>
      </c>
      <c r="V829" s="221" t="s">
        <v>3337</v>
      </c>
      <c r="W829" s="221" t="s">
        <v>3338</v>
      </c>
      <c r="X829" s="221"/>
      <c r="Y829" s="227"/>
      <c r="Z829" s="227" t="str">
        <f t="shared" si="35"/>
        <v>Dusun Krajan Kucur</v>
      </c>
      <c r="AA829" s="276" t="e">
        <f>VLOOKUP(Logfile_S12[[#This Row],[DO number]],DO_DB!G:I,3,0)</f>
        <v>#N/A</v>
      </c>
      <c r="AB829" s="331" t="e">
        <f>EXACT(Logfile_S12[[#This Row],[date pick]],Logfile_S12[[#This Row],[Date]])</f>
        <v>#N/A</v>
      </c>
      <c r="AC8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30" spans="1:29" ht="14.5" hidden="1">
      <c r="A830" s="220" t="str">
        <f t="shared" si="34"/>
        <v>826</v>
      </c>
      <c r="B830" s="221"/>
      <c r="C830" s="221" t="s">
        <v>49</v>
      </c>
      <c r="D830" s="221" t="s">
        <v>4068</v>
      </c>
      <c r="E830" s="221" t="s">
        <v>3295</v>
      </c>
      <c r="F830" s="221" t="s">
        <v>3299</v>
      </c>
      <c r="G830" s="222">
        <v>45442</v>
      </c>
      <c r="H830" s="223">
        <v>0.47916666666666669</v>
      </c>
      <c r="I830" s="221" t="s">
        <v>4916</v>
      </c>
      <c r="J830" s="221" t="s">
        <v>3024</v>
      </c>
      <c r="K830" s="224" t="s">
        <v>5137</v>
      </c>
      <c r="L830" s="225" t="str">
        <f>VLOOKUP(Logfile_S12[[#This Row],[Material Name]],Sheet2!B:C,2,0)</f>
        <v>GCI1009</v>
      </c>
      <c r="M830" s="225" t="str">
        <f>_xlfn.XLOOKUP(Logfile_S12[[#This Row],[Material Name]],Sum_WH!E:E,Sum_WH!F:F,"",0)</f>
        <v>Pcs</v>
      </c>
      <c r="N830" s="221">
        <v>73</v>
      </c>
      <c r="O830" s="221" t="s">
        <v>1493</v>
      </c>
      <c r="P830" s="221" t="s">
        <v>1494</v>
      </c>
      <c r="Q830" s="221"/>
      <c r="R830" s="221"/>
      <c r="S830" s="221"/>
      <c r="T830" s="221" t="s">
        <v>3258</v>
      </c>
      <c r="U830" s="221" t="s">
        <v>3228</v>
      </c>
      <c r="V830" s="221" t="s">
        <v>3337</v>
      </c>
      <c r="W830" s="221" t="s">
        <v>3338</v>
      </c>
      <c r="X830" s="221"/>
      <c r="Y830" s="227"/>
      <c r="Z830" s="227" t="str">
        <f t="shared" si="35"/>
        <v>Dusun Krajan Kucur</v>
      </c>
      <c r="AA830" s="276" t="e">
        <f>VLOOKUP(Logfile_S12[[#This Row],[DO number]],DO_DB!G:I,3,0)</f>
        <v>#N/A</v>
      </c>
      <c r="AB830" s="331" t="e">
        <f>EXACT(Logfile_S12[[#This Row],[date pick]],Logfile_S12[[#This Row],[Date]])</f>
        <v>#N/A</v>
      </c>
      <c r="AC8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31" spans="1:29" ht="14.5" hidden="1">
      <c r="A831" s="220" t="str">
        <f t="shared" si="34"/>
        <v>827</v>
      </c>
      <c r="B831" s="221"/>
      <c r="C831" s="221" t="s">
        <v>48</v>
      </c>
      <c r="D831" s="221" t="s">
        <v>4072</v>
      </c>
      <c r="E831" s="221" t="s">
        <v>3295</v>
      </c>
      <c r="F831" s="221" t="s">
        <v>3299</v>
      </c>
      <c r="G831" s="222">
        <v>45447</v>
      </c>
      <c r="H831" s="223">
        <v>15.291666666666666</v>
      </c>
      <c r="I831" s="221" t="s">
        <v>38</v>
      </c>
      <c r="J831" s="221" t="s">
        <v>3024</v>
      </c>
      <c r="K831" s="224" t="s">
        <v>5137</v>
      </c>
      <c r="L831" s="225" t="str">
        <f>VLOOKUP(Logfile_S12[[#This Row],[Material Name]],Sheet2!B:C,2,0)</f>
        <v>GCI1009</v>
      </c>
      <c r="M831" s="225" t="str">
        <f>_xlfn.XLOOKUP(Logfile_S12[[#This Row],[Material Name]],Sum_WH!E:E,Sum_WH!F:F,"",0)</f>
        <v>Pcs</v>
      </c>
      <c r="N831" s="221">
        <v>202</v>
      </c>
      <c r="O831" s="221">
        <v>0</v>
      </c>
      <c r="P831" s="221">
        <v>0</v>
      </c>
      <c r="Q831" s="221">
        <v>0</v>
      </c>
      <c r="R831" s="221">
        <v>0</v>
      </c>
      <c r="S831" s="221"/>
      <c r="T831" s="221"/>
      <c r="U831" s="221"/>
      <c r="V831" s="221"/>
      <c r="W831" s="221"/>
      <c r="X831" s="221"/>
      <c r="Y831" s="227"/>
      <c r="Z831" s="227">
        <f t="shared" si="35"/>
        <v>0</v>
      </c>
      <c r="AA831" s="276" t="e">
        <f>VLOOKUP(Logfile_S12[[#This Row],[DO number]],DO_DB!G:I,3,0)</f>
        <v>#N/A</v>
      </c>
      <c r="AB831" s="331" t="e">
        <f>EXACT(Logfile_S12[[#This Row],[date pick]],Logfile_S12[[#This Row],[Date]])</f>
        <v>#N/A</v>
      </c>
      <c r="AC8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32" spans="1:29" ht="14.5" hidden="1">
      <c r="A832" s="220" t="str">
        <f t="shared" si="34"/>
        <v>828</v>
      </c>
      <c r="B832" s="221"/>
      <c r="C832" s="221" t="s">
        <v>49</v>
      </c>
      <c r="D832" s="221" t="s">
        <v>4083</v>
      </c>
      <c r="E832" s="221" t="s">
        <v>3295</v>
      </c>
      <c r="F832" s="221" t="s">
        <v>3299</v>
      </c>
      <c r="G832" s="222">
        <v>45450</v>
      </c>
      <c r="H832" s="223">
        <v>0.72291666666666676</v>
      </c>
      <c r="I832" s="221" t="s">
        <v>4916</v>
      </c>
      <c r="J832" s="221" t="s">
        <v>3024</v>
      </c>
      <c r="K832" s="224" t="s">
        <v>5137</v>
      </c>
      <c r="L832" s="225" t="str">
        <f>VLOOKUP(Logfile_S12[[#This Row],[Material Name]],Sheet2!B:C,2,0)</f>
        <v>GCI1009</v>
      </c>
      <c r="M832" s="225" t="str">
        <f>_xlfn.XLOOKUP(Logfile_S12[[#This Row],[Material Name]],Sum_WH!E:E,Sum_WH!F:F,"",0)</f>
        <v>Pcs</v>
      </c>
      <c r="N832" s="221">
        <v>202</v>
      </c>
      <c r="O832" s="221" t="s">
        <v>1493</v>
      </c>
      <c r="P832" s="221" t="s">
        <v>1494</v>
      </c>
      <c r="Q832" s="221"/>
      <c r="R832" s="221"/>
      <c r="S832" s="221"/>
      <c r="T832" s="221" t="s">
        <v>3258</v>
      </c>
      <c r="U832" s="221" t="s">
        <v>3228</v>
      </c>
      <c r="V832" s="221" t="s">
        <v>3337</v>
      </c>
      <c r="W832" s="221" t="s">
        <v>3338</v>
      </c>
      <c r="X832" s="221"/>
      <c r="Y832" s="227"/>
      <c r="Z832" s="227" t="str">
        <f t="shared" si="35"/>
        <v>Dusun Krajan Kucur</v>
      </c>
      <c r="AA832" s="276" t="e">
        <f>VLOOKUP(Logfile_S12[[#This Row],[DO number]],DO_DB!G:I,3,0)</f>
        <v>#N/A</v>
      </c>
      <c r="AB832" s="331" t="e">
        <f>EXACT(Logfile_S12[[#This Row],[date pick]],Logfile_S12[[#This Row],[Date]])</f>
        <v>#N/A</v>
      </c>
      <c r="AC8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33" spans="1:29" ht="14.5" hidden="1">
      <c r="A833" s="220" t="str">
        <f t="shared" si="34"/>
        <v>829</v>
      </c>
      <c r="B833" s="221"/>
      <c r="C833" s="221" t="s">
        <v>49</v>
      </c>
      <c r="D833" s="221" t="s">
        <v>4085</v>
      </c>
      <c r="E833" s="221" t="s">
        <v>3295</v>
      </c>
      <c r="F833" s="221" t="s">
        <v>3299</v>
      </c>
      <c r="G833" s="222">
        <v>45453</v>
      </c>
      <c r="H833" s="223">
        <v>0.56041666666666667</v>
      </c>
      <c r="I833" s="221" t="s">
        <v>4916</v>
      </c>
      <c r="J833" s="221" t="s">
        <v>3024</v>
      </c>
      <c r="K833" s="224" t="s">
        <v>5137</v>
      </c>
      <c r="L833" s="225" t="str">
        <f>VLOOKUP(Logfile_S12[[#This Row],[Material Name]],Sheet2!B:C,2,0)</f>
        <v>GCI1009</v>
      </c>
      <c r="M833" s="225" t="str">
        <f>_xlfn.XLOOKUP(Logfile_S12[[#This Row],[Material Name]],Sum_WH!E:E,Sum_WH!F:F,"",0)</f>
        <v>Pcs</v>
      </c>
      <c r="N833" s="221">
        <v>10</v>
      </c>
      <c r="O833" s="221" t="s">
        <v>1473</v>
      </c>
      <c r="P833" s="221" t="s">
        <v>1474</v>
      </c>
      <c r="Q833" s="221"/>
      <c r="R833" s="221"/>
      <c r="S833" s="221"/>
      <c r="T833" s="221" t="s">
        <v>3258</v>
      </c>
      <c r="U833" s="221" t="s">
        <v>3228</v>
      </c>
      <c r="V833" s="221" t="s">
        <v>3337</v>
      </c>
      <c r="W833" s="221" t="s">
        <v>3338</v>
      </c>
      <c r="X833" s="221"/>
      <c r="Y833" s="227"/>
      <c r="Z833" s="227" t="str">
        <f t="shared" si="35"/>
        <v>Dusun Sumber Bendo Kucur</v>
      </c>
      <c r="AA833" s="276" t="e">
        <f>VLOOKUP(Logfile_S12[[#This Row],[DO number]],DO_DB!G:I,3,0)</f>
        <v>#N/A</v>
      </c>
      <c r="AB833" s="331" t="e">
        <f>EXACT(Logfile_S12[[#This Row],[date pick]],Logfile_S12[[#This Row],[Date]])</f>
        <v>#N/A</v>
      </c>
      <c r="AC8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34" spans="1:29" ht="14.5" hidden="1">
      <c r="A834" s="220" t="str">
        <f t="shared" si="34"/>
        <v>830</v>
      </c>
      <c r="B834" s="221"/>
      <c r="C834" s="221" t="s">
        <v>49</v>
      </c>
      <c r="D834" s="221" t="s">
        <v>4088</v>
      </c>
      <c r="E834" s="221" t="s">
        <v>3295</v>
      </c>
      <c r="F834" s="221" t="s">
        <v>3299</v>
      </c>
      <c r="G834" s="222">
        <v>45457</v>
      </c>
      <c r="H834" s="223">
        <v>0.57708333333333328</v>
      </c>
      <c r="I834" s="221" t="s">
        <v>4916</v>
      </c>
      <c r="J834" s="221" t="s">
        <v>3024</v>
      </c>
      <c r="K834" s="224" t="s">
        <v>5137</v>
      </c>
      <c r="L834" s="225" t="str">
        <f>VLOOKUP(Logfile_S12[[#This Row],[Material Name]],Sheet2!B:C,2,0)</f>
        <v>GCI1009</v>
      </c>
      <c r="M834" s="225" t="str">
        <f>_xlfn.XLOOKUP(Logfile_S12[[#This Row],[Material Name]],Sum_WH!E:E,Sum_WH!F:F,"",0)</f>
        <v>Pcs</v>
      </c>
      <c r="N834" s="221">
        <v>6</v>
      </c>
      <c r="O834" s="221" t="s">
        <v>1473</v>
      </c>
      <c r="P834" s="221" t="s">
        <v>1474</v>
      </c>
      <c r="Q834" s="221"/>
      <c r="R834" s="221"/>
      <c r="S834" s="221"/>
      <c r="T834" s="221" t="s">
        <v>3356</v>
      </c>
      <c r="U834" s="221" t="s">
        <v>3228</v>
      </c>
      <c r="V834" s="221" t="s">
        <v>3357</v>
      </c>
      <c r="W834" s="221" t="s">
        <v>3358</v>
      </c>
      <c r="X834" s="221"/>
      <c r="Y834" s="227"/>
      <c r="Z834" s="227" t="str">
        <f t="shared" si="35"/>
        <v>Dusun Sumber Bendo Kucur</v>
      </c>
      <c r="AA834" s="276" t="e">
        <f>VLOOKUP(Logfile_S12[[#This Row],[DO number]],DO_DB!G:I,3,0)</f>
        <v>#N/A</v>
      </c>
      <c r="AB834" s="331" t="e">
        <f>EXACT(Logfile_S12[[#This Row],[date pick]],Logfile_S12[[#This Row],[Date]])</f>
        <v>#N/A</v>
      </c>
      <c r="AC8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35" spans="1:29" ht="14.5" hidden="1">
      <c r="A835" s="220" t="str">
        <f t="shared" si="34"/>
        <v>831</v>
      </c>
      <c r="B835" s="221"/>
      <c r="C835" s="221" t="s">
        <v>49</v>
      </c>
      <c r="D835" s="221" t="s">
        <v>4089</v>
      </c>
      <c r="E835" s="221" t="s">
        <v>3295</v>
      </c>
      <c r="F835" s="221" t="s">
        <v>3299</v>
      </c>
      <c r="G835" s="222">
        <v>45462</v>
      </c>
      <c r="H835" s="223">
        <v>0.52986111111111112</v>
      </c>
      <c r="I835" s="221" t="s">
        <v>4916</v>
      </c>
      <c r="J835" s="221" t="s">
        <v>3024</v>
      </c>
      <c r="K835" s="224" t="s">
        <v>5137</v>
      </c>
      <c r="L835" s="225" t="str">
        <f>VLOOKUP(Logfile_S12[[#This Row],[Material Name]],Sheet2!B:C,2,0)</f>
        <v>GCI1009</v>
      </c>
      <c r="M835" s="225" t="str">
        <f>_xlfn.XLOOKUP(Logfile_S12[[#This Row],[Material Name]],Sum_WH!E:E,Sum_WH!F:F,"",0)</f>
        <v>Pcs</v>
      </c>
      <c r="N835" s="221">
        <v>10</v>
      </c>
      <c r="O835" s="221" t="s">
        <v>1683</v>
      </c>
      <c r="P835" s="221" t="s">
        <v>1684</v>
      </c>
      <c r="Q835" s="221"/>
      <c r="R835" s="221"/>
      <c r="S835" s="221"/>
      <c r="T835" s="221" t="s">
        <v>3258</v>
      </c>
      <c r="U835" s="221" t="s">
        <v>3228</v>
      </c>
      <c r="V835" s="221" t="s">
        <v>3337</v>
      </c>
      <c r="W835" s="221" t="s">
        <v>3338</v>
      </c>
      <c r="X835" s="221"/>
      <c r="Y835" s="227"/>
      <c r="Z835" s="227" t="str">
        <f t="shared" si="35"/>
        <v>Lowokwaru RW 04</v>
      </c>
      <c r="AA835" s="276" t="e">
        <f>VLOOKUP(Logfile_S12[[#This Row],[DO number]],DO_DB!G:I,3,0)</f>
        <v>#N/A</v>
      </c>
      <c r="AB835" s="331" t="e">
        <f>EXACT(Logfile_S12[[#This Row],[date pick]],Logfile_S12[[#This Row],[Date]])</f>
        <v>#N/A</v>
      </c>
      <c r="AC8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36" spans="1:29" ht="14.5" hidden="1">
      <c r="A836" s="220" t="str">
        <f t="shared" si="34"/>
        <v>832</v>
      </c>
      <c r="B836" s="221"/>
      <c r="C836" s="221" t="s">
        <v>49</v>
      </c>
      <c r="D836" s="221" t="s">
        <v>4094</v>
      </c>
      <c r="E836" s="221" t="s">
        <v>3295</v>
      </c>
      <c r="F836" s="221" t="s">
        <v>3299</v>
      </c>
      <c r="G836" s="222">
        <v>45463</v>
      </c>
      <c r="H836" s="223">
        <v>0.44444444444444442</v>
      </c>
      <c r="I836" s="221" t="s">
        <v>4916</v>
      </c>
      <c r="J836" s="221" t="s">
        <v>3024</v>
      </c>
      <c r="K836" s="224" t="s">
        <v>5137</v>
      </c>
      <c r="L836" s="225" t="str">
        <f>VLOOKUP(Logfile_S12[[#This Row],[Material Name]],Sheet2!B:C,2,0)</f>
        <v>GCI1009</v>
      </c>
      <c r="M836" s="225" t="str">
        <f>_xlfn.XLOOKUP(Logfile_S12[[#This Row],[Material Name]],Sum_WH!E:E,Sum_WH!F:F,"",0)</f>
        <v>Pcs</v>
      </c>
      <c r="N836" s="221">
        <v>20</v>
      </c>
      <c r="O836" s="221" t="s">
        <v>1683</v>
      </c>
      <c r="P836" s="221" t="s">
        <v>1684</v>
      </c>
      <c r="Q836" s="221"/>
      <c r="R836" s="221"/>
      <c r="S836" s="221"/>
      <c r="T836" s="221" t="s">
        <v>3258</v>
      </c>
      <c r="U836" s="221" t="s">
        <v>3228</v>
      </c>
      <c r="V836" s="221" t="s">
        <v>3337</v>
      </c>
      <c r="W836" s="221" t="s">
        <v>3338</v>
      </c>
      <c r="X836" s="221"/>
      <c r="Y836" s="227"/>
      <c r="Z836" s="227" t="str">
        <f t="shared" si="35"/>
        <v>Lowokwaru RW 04</v>
      </c>
      <c r="AA836" s="276" t="e">
        <f>VLOOKUP(Logfile_S12[[#This Row],[DO number]],DO_DB!G:I,3,0)</f>
        <v>#N/A</v>
      </c>
      <c r="AB836" s="331" t="e">
        <f>EXACT(Logfile_S12[[#This Row],[date pick]],Logfile_S12[[#This Row],[Date]])</f>
        <v>#N/A</v>
      </c>
      <c r="AC8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37" spans="1:29" ht="14.5" hidden="1">
      <c r="A837" s="220" t="str">
        <f t="shared" ref="A837:A900" si="36">TEXT(ROW(A837)-ROW($A$4),"000")</f>
        <v>833</v>
      </c>
      <c r="B837" s="221"/>
      <c r="C837" s="221" t="s">
        <v>49</v>
      </c>
      <c r="D837" s="221" t="s">
        <v>4096</v>
      </c>
      <c r="E837" s="221" t="s">
        <v>3295</v>
      </c>
      <c r="F837" s="221" t="s">
        <v>3299</v>
      </c>
      <c r="G837" s="222">
        <v>45464</v>
      </c>
      <c r="H837" s="223">
        <v>0.51180555555555551</v>
      </c>
      <c r="I837" s="221" t="s">
        <v>4916</v>
      </c>
      <c r="J837" s="221" t="s">
        <v>3024</v>
      </c>
      <c r="K837" s="224" t="s">
        <v>5137</v>
      </c>
      <c r="L837" s="225" t="str">
        <f>VLOOKUP(Logfile_S12[[#This Row],[Material Name]],Sheet2!B:C,2,0)</f>
        <v>GCI1009</v>
      </c>
      <c r="M837" s="225" t="str">
        <f>_xlfn.XLOOKUP(Logfile_S12[[#This Row],[Material Name]],Sum_WH!E:E,Sum_WH!F:F,"",0)</f>
        <v>Pcs</v>
      </c>
      <c r="N837" s="221">
        <v>60</v>
      </c>
      <c r="O837" s="221" t="s">
        <v>1689</v>
      </c>
      <c r="P837" s="221" t="s">
        <v>1690</v>
      </c>
      <c r="Q837" s="221"/>
      <c r="R837" s="221"/>
      <c r="S837" s="221"/>
      <c r="T837" s="221" t="s">
        <v>3258</v>
      </c>
      <c r="U837" s="221" t="s">
        <v>3228</v>
      </c>
      <c r="V837" s="221" t="s">
        <v>3337</v>
      </c>
      <c r="W837" s="221" t="s">
        <v>3338</v>
      </c>
      <c r="X837" s="221"/>
      <c r="Y837" s="227"/>
      <c r="Z837" s="227" t="str">
        <f t="shared" si="35"/>
        <v>Kebonagung RW 13 Pakisaji</v>
      </c>
      <c r="AA837" s="276" t="e">
        <f>VLOOKUP(Logfile_S12[[#This Row],[DO number]],DO_DB!G:I,3,0)</f>
        <v>#N/A</v>
      </c>
      <c r="AB837" s="331" t="e">
        <f>EXACT(Logfile_S12[[#This Row],[date pick]],Logfile_S12[[#This Row],[Date]])</f>
        <v>#N/A</v>
      </c>
      <c r="AC8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38" spans="1:29" ht="14.5" hidden="1">
      <c r="A838" s="220" t="str">
        <f t="shared" si="36"/>
        <v>834</v>
      </c>
      <c r="B838" s="221"/>
      <c r="C838" s="221" t="s">
        <v>48</v>
      </c>
      <c r="D838" s="221" t="s">
        <v>4103</v>
      </c>
      <c r="E838" s="221" t="s">
        <v>3295</v>
      </c>
      <c r="F838" s="221" t="s">
        <v>3299</v>
      </c>
      <c r="G838" s="222">
        <v>45468</v>
      </c>
      <c r="H838" s="223">
        <v>15.291666666666666</v>
      </c>
      <c r="I838" s="221" t="s">
        <v>38</v>
      </c>
      <c r="J838" s="221" t="s">
        <v>3024</v>
      </c>
      <c r="K838" s="224" t="s">
        <v>5137</v>
      </c>
      <c r="L838" s="225" t="str">
        <f>VLOOKUP(Logfile_S12[[#This Row],[Material Name]],Sheet2!B:C,2,0)</f>
        <v>GCI1009</v>
      </c>
      <c r="M838" s="225" t="str">
        <f>_xlfn.XLOOKUP(Logfile_S12[[#This Row],[Material Name]],Sum_WH!E:E,Sum_WH!F:F,"",0)</f>
        <v>Pcs</v>
      </c>
      <c r="N838" s="221">
        <v>680</v>
      </c>
      <c r="O838" s="221">
        <v>0</v>
      </c>
      <c r="P838" s="221">
        <v>0</v>
      </c>
      <c r="Q838" s="221">
        <v>0</v>
      </c>
      <c r="R838" s="221">
        <v>0</v>
      </c>
      <c r="S838" s="221"/>
      <c r="T838" s="221"/>
      <c r="U838" s="221"/>
      <c r="V838" s="221"/>
      <c r="W838" s="221"/>
      <c r="X838" s="221"/>
      <c r="Y838" s="227"/>
      <c r="Z838" s="227">
        <f t="shared" si="35"/>
        <v>0</v>
      </c>
      <c r="AA838" s="276" t="e">
        <f>VLOOKUP(Logfile_S12[[#This Row],[DO number]],DO_DB!G:I,3,0)</f>
        <v>#N/A</v>
      </c>
      <c r="AB838" s="331" t="e">
        <f>EXACT(Logfile_S12[[#This Row],[date pick]],Logfile_S12[[#This Row],[Date]])</f>
        <v>#N/A</v>
      </c>
      <c r="AC8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39" spans="1:29" ht="14.5" hidden="1">
      <c r="A839" s="220" t="str">
        <f t="shared" si="36"/>
        <v>835</v>
      </c>
      <c r="B839" s="221"/>
      <c r="C839" s="221" t="s">
        <v>49</v>
      </c>
      <c r="D839" s="221" t="s">
        <v>4104</v>
      </c>
      <c r="E839" s="221" t="s">
        <v>3295</v>
      </c>
      <c r="F839" s="221" t="s">
        <v>3299</v>
      </c>
      <c r="G839" s="222">
        <v>45469</v>
      </c>
      <c r="H839" s="223">
        <v>0.4145833333333333</v>
      </c>
      <c r="I839" s="221" t="s">
        <v>4916</v>
      </c>
      <c r="J839" s="221" t="s">
        <v>3024</v>
      </c>
      <c r="K839" s="224" t="s">
        <v>5137</v>
      </c>
      <c r="L839" s="225" t="str">
        <f>VLOOKUP(Logfile_S12[[#This Row],[Material Name]],Sheet2!B:C,2,0)</f>
        <v>GCI1009</v>
      </c>
      <c r="M839" s="225" t="str">
        <f>_xlfn.XLOOKUP(Logfile_S12[[#This Row],[Material Name]],Sum_WH!E:E,Sum_WH!F:F,"",0)</f>
        <v>Pcs</v>
      </c>
      <c r="N839" s="221">
        <v>222</v>
      </c>
      <c r="O839" s="221" t="s">
        <v>1689</v>
      </c>
      <c r="P839" s="221" t="s">
        <v>1690</v>
      </c>
      <c r="Q839" s="221"/>
      <c r="R839" s="221"/>
      <c r="S839" s="221"/>
      <c r="T839" s="221" t="s">
        <v>3258</v>
      </c>
      <c r="U839" s="221" t="s">
        <v>3228</v>
      </c>
      <c r="V839" s="221" t="s">
        <v>3337</v>
      </c>
      <c r="W839" s="221" t="s">
        <v>3338</v>
      </c>
      <c r="X839" s="221"/>
      <c r="Y839" s="227"/>
      <c r="Z839" s="227" t="str">
        <f t="shared" si="35"/>
        <v>Kebonagung RW 13 Pakisaji</v>
      </c>
      <c r="AA839" s="276" t="e">
        <f>VLOOKUP(Logfile_S12[[#This Row],[DO number]],DO_DB!G:I,3,0)</f>
        <v>#N/A</v>
      </c>
      <c r="AB839" s="331" t="e">
        <f>EXACT(Logfile_S12[[#This Row],[date pick]],Logfile_S12[[#This Row],[Date]])</f>
        <v>#N/A</v>
      </c>
      <c r="AC8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40" spans="1:29" ht="14.5" hidden="1">
      <c r="A840" s="220" t="str">
        <f t="shared" si="36"/>
        <v>836</v>
      </c>
      <c r="B840" s="221"/>
      <c r="C840" s="221" t="s">
        <v>48</v>
      </c>
      <c r="D840" s="221" t="s">
        <v>4112</v>
      </c>
      <c r="E840" s="221" t="s">
        <v>3295</v>
      </c>
      <c r="F840" s="221" t="s">
        <v>3299</v>
      </c>
      <c r="G840" s="222">
        <v>45478</v>
      </c>
      <c r="H840" s="223">
        <v>15.291666666666666</v>
      </c>
      <c r="I840" s="221" t="s">
        <v>38</v>
      </c>
      <c r="J840" s="221" t="s">
        <v>3024</v>
      </c>
      <c r="K840" s="224" t="s">
        <v>5137</v>
      </c>
      <c r="L840" s="225" t="str">
        <f>VLOOKUP(Logfile_S12[[#This Row],[Material Name]],Sheet2!B:C,2,0)</f>
        <v>GCI1009</v>
      </c>
      <c r="M840" s="225" t="str">
        <f>_xlfn.XLOOKUP(Logfile_S12[[#This Row],[Material Name]],Sum_WH!E:E,Sum_WH!F:F,"",0)</f>
        <v>Pcs</v>
      </c>
      <c r="N840" s="221">
        <v>628</v>
      </c>
      <c r="O840" s="221">
        <v>0</v>
      </c>
      <c r="P840" s="221">
        <v>0</v>
      </c>
      <c r="Q840" s="221">
        <v>0</v>
      </c>
      <c r="R840" s="221">
        <v>0</v>
      </c>
      <c r="S840" s="221"/>
      <c r="T840" s="221"/>
      <c r="U840" s="221"/>
      <c r="V840" s="221"/>
      <c r="W840" s="221"/>
      <c r="X840" s="221"/>
      <c r="Y840" s="227"/>
      <c r="Z840" s="227">
        <f t="shared" si="35"/>
        <v>0</v>
      </c>
      <c r="AA840" s="276" t="e">
        <f>VLOOKUP(Logfile_S12[[#This Row],[DO number]],DO_DB!G:I,3,0)</f>
        <v>#N/A</v>
      </c>
      <c r="AB840" s="331" t="e">
        <f>EXACT(Logfile_S12[[#This Row],[date pick]],Logfile_S12[[#This Row],[Date]])</f>
        <v>#N/A</v>
      </c>
      <c r="AC8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41" spans="1:29" ht="14.5" hidden="1">
      <c r="A841" s="220" t="str">
        <f t="shared" si="36"/>
        <v>837</v>
      </c>
      <c r="B841" s="221"/>
      <c r="C841" s="221" t="s">
        <v>49</v>
      </c>
      <c r="D841" s="221" t="s">
        <v>4111</v>
      </c>
      <c r="E841" s="221" t="s">
        <v>3295</v>
      </c>
      <c r="F841" s="221" t="s">
        <v>3299</v>
      </c>
      <c r="G841" s="222">
        <v>45478</v>
      </c>
      <c r="H841" s="223">
        <v>0.54791666666666672</v>
      </c>
      <c r="I841" s="221" t="s">
        <v>4916</v>
      </c>
      <c r="J841" s="221" t="s">
        <v>3024</v>
      </c>
      <c r="K841" s="224" t="s">
        <v>5137</v>
      </c>
      <c r="L841" s="225" t="str">
        <f>VLOOKUP(Logfile_S12[[#This Row],[Material Name]],Sheet2!B:C,2,0)</f>
        <v>GCI1009</v>
      </c>
      <c r="M841" s="225" t="str">
        <f>_xlfn.XLOOKUP(Logfile_S12[[#This Row],[Material Name]],Sum_WH!E:E,Sum_WH!F:F,"",0)</f>
        <v>Pcs</v>
      </c>
      <c r="N841" s="221">
        <v>55</v>
      </c>
      <c r="O841" s="221" t="s">
        <v>1721</v>
      </c>
      <c r="P841" s="221" t="s">
        <v>1722</v>
      </c>
      <c r="Q841" s="221"/>
      <c r="R841" s="221"/>
      <c r="S841" s="221"/>
      <c r="T841" s="221" t="s">
        <v>3258</v>
      </c>
      <c r="U841" s="221" t="s">
        <v>3228</v>
      </c>
      <c r="V841" s="221" t="s">
        <v>3337</v>
      </c>
      <c r="W841" s="221" t="s">
        <v>3338</v>
      </c>
      <c r="X841" s="221"/>
      <c r="Y841" s="227"/>
      <c r="Z841" s="227" t="str">
        <f t="shared" si="35"/>
        <v>Perumahan Perumnas Talangagung I Malang</v>
      </c>
      <c r="AA841" s="276" t="e">
        <f>VLOOKUP(Logfile_S12[[#This Row],[DO number]],DO_DB!G:I,3,0)</f>
        <v>#N/A</v>
      </c>
      <c r="AB841" s="331" t="e">
        <f>EXACT(Logfile_S12[[#This Row],[date pick]],Logfile_S12[[#This Row],[Date]])</f>
        <v>#N/A</v>
      </c>
      <c r="AC8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42" spans="1:29" ht="14.5" hidden="1">
      <c r="A842" s="220" t="str">
        <f t="shared" si="36"/>
        <v>838</v>
      </c>
      <c r="B842" s="221"/>
      <c r="C842" s="221" t="s">
        <v>49</v>
      </c>
      <c r="D842" s="221" t="s">
        <v>4117</v>
      </c>
      <c r="E842" s="221" t="s">
        <v>3295</v>
      </c>
      <c r="F842" s="221" t="s">
        <v>3299</v>
      </c>
      <c r="G842" s="222">
        <v>45485</v>
      </c>
      <c r="H842" s="223">
        <v>0.4</v>
      </c>
      <c r="I842" s="221" t="s">
        <v>4916</v>
      </c>
      <c r="J842" s="221" t="s">
        <v>3024</v>
      </c>
      <c r="K842" s="224" t="s">
        <v>5137</v>
      </c>
      <c r="L842" s="225" t="str">
        <f>VLOOKUP(Logfile_S12[[#This Row],[Material Name]],Sheet2!B:C,2,0)</f>
        <v>GCI1009</v>
      </c>
      <c r="M842" s="225" t="str">
        <f>_xlfn.XLOOKUP(Logfile_S12[[#This Row],[Material Name]],Sum_WH!E:E,Sum_WH!F:F,"",0)</f>
        <v>Pcs</v>
      </c>
      <c r="N842" s="221">
        <v>70</v>
      </c>
      <c r="O842" s="221" t="s">
        <v>2007</v>
      </c>
      <c r="P842" s="221" t="s">
        <v>2008</v>
      </c>
      <c r="Q842" s="221"/>
      <c r="R842" s="221"/>
      <c r="S842" s="221"/>
      <c r="T842" s="221" t="s">
        <v>3258</v>
      </c>
      <c r="U842" s="221" t="s">
        <v>3228</v>
      </c>
      <c r="V842" s="221" t="s">
        <v>3337</v>
      </c>
      <c r="W842" s="221" t="s">
        <v>3338</v>
      </c>
      <c r="X842" s="221"/>
      <c r="Y842" s="227"/>
      <c r="Z842" s="227" t="str">
        <f t="shared" si="35"/>
        <v>Ngenep RW 06 Karang Ploso</v>
      </c>
      <c r="AA842" s="276" t="e">
        <f>VLOOKUP(Logfile_S12[[#This Row],[DO number]],DO_DB!G:I,3,0)</f>
        <v>#N/A</v>
      </c>
      <c r="AB842" s="331" t="e">
        <f>EXACT(Logfile_S12[[#This Row],[date pick]],Logfile_S12[[#This Row],[Date]])</f>
        <v>#N/A</v>
      </c>
      <c r="AC8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43" spans="1:29" ht="14.5" hidden="1">
      <c r="A843" s="220" t="str">
        <f t="shared" si="36"/>
        <v>839</v>
      </c>
      <c r="B843" s="221"/>
      <c r="C843" s="221" t="s">
        <v>49</v>
      </c>
      <c r="D843" s="221" t="s">
        <v>4118</v>
      </c>
      <c r="E843" s="221" t="s">
        <v>3295</v>
      </c>
      <c r="F843" s="221" t="s">
        <v>3299</v>
      </c>
      <c r="G843" s="222">
        <v>45487</v>
      </c>
      <c r="H843" s="223">
        <v>0.67222222222222228</v>
      </c>
      <c r="I843" s="221" t="s">
        <v>4916</v>
      </c>
      <c r="J843" s="221" t="s">
        <v>3024</v>
      </c>
      <c r="K843" s="224" t="s">
        <v>5137</v>
      </c>
      <c r="L843" s="225" t="str">
        <f>VLOOKUP(Logfile_S12[[#This Row],[Material Name]],Sheet2!B:C,2,0)</f>
        <v>GCI1009</v>
      </c>
      <c r="M843" s="225" t="str">
        <f>_xlfn.XLOOKUP(Logfile_S12[[#This Row],[Material Name]],Sum_WH!E:E,Sum_WH!F:F,"",0)</f>
        <v>Pcs</v>
      </c>
      <c r="N843" s="221">
        <v>50</v>
      </c>
      <c r="O843" s="221" t="s">
        <v>1721</v>
      </c>
      <c r="P843" s="221" t="s">
        <v>1722</v>
      </c>
      <c r="Q843" s="221"/>
      <c r="R843" s="221"/>
      <c r="S843" s="221"/>
      <c r="T843" s="221" t="s">
        <v>3258</v>
      </c>
      <c r="U843" s="221" t="s">
        <v>3228</v>
      </c>
      <c r="V843" s="221" t="s">
        <v>3337</v>
      </c>
      <c r="W843" s="221" t="s">
        <v>3338</v>
      </c>
      <c r="X843" s="221"/>
      <c r="Y843" s="227"/>
      <c r="Z843" s="227" t="str">
        <f t="shared" si="35"/>
        <v>Perumahan Perumnas Talangagung I Malang</v>
      </c>
      <c r="AA843" s="276" t="e">
        <f>VLOOKUP(Logfile_S12[[#This Row],[DO number]],DO_DB!G:I,3,0)</f>
        <v>#N/A</v>
      </c>
      <c r="AB843" s="331" t="e">
        <f>EXACT(Logfile_S12[[#This Row],[date pick]],Logfile_S12[[#This Row],[Date]])</f>
        <v>#N/A</v>
      </c>
      <c r="AC8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44" spans="1:29" ht="14.5" hidden="1">
      <c r="A844" s="220" t="str">
        <f t="shared" si="36"/>
        <v>840</v>
      </c>
      <c r="B844" s="221"/>
      <c r="C844" s="221" t="s">
        <v>48</v>
      </c>
      <c r="D844" s="221" t="s">
        <v>4126</v>
      </c>
      <c r="E844" s="221" t="s">
        <v>3295</v>
      </c>
      <c r="F844" s="221" t="s">
        <v>3299</v>
      </c>
      <c r="G844" s="222">
        <v>45496</v>
      </c>
      <c r="H844" s="223">
        <v>15.291666666666666</v>
      </c>
      <c r="I844" s="221" t="s">
        <v>38</v>
      </c>
      <c r="J844" s="221" t="s">
        <v>3024</v>
      </c>
      <c r="K844" s="224" t="s">
        <v>5137</v>
      </c>
      <c r="L844" s="225" t="str">
        <f>VLOOKUP(Logfile_S12[[#This Row],[Material Name]],Sheet2!B:C,2,0)</f>
        <v>GCI1009</v>
      </c>
      <c r="M844" s="225" t="str">
        <f>_xlfn.XLOOKUP(Logfile_S12[[#This Row],[Material Name]],Sum_WH!E:E,Sum_WH!F:F,"",0)</f>
        <v>Pcs</v>
      </c>
      <c r="N844" s="221">
        <v>400</v>
      </c>
      <c r="O844" s="221">
        <v>0</v>
      </c>
      <c r="P844" s="221">
        <v>0</v>
      </c>
      <c r="Q844" s="221">
        <v>0</v>
      </c>
      <c r="R844" s="221">
        <v>0</v>
      </c>
      <c r="S844" s="221"/>
      <c r="T844" s="221"/>
      <c r="U844" s="221"/>
      <c r="V844" s="221"/>
      <c r="W844" s="221"/>
      <c r="X844" s="221"/>
      <c r="Y844" s="227"/>
      <c r="Z844" s="227">
        <f t="shared" ref="Z844:Z907" si="37">P844</f>
        <v>0</v>
      </c>
      <c r="AA844" s="276" t="e">
        <f>VLOOKUP(Logfile_S12[[#This Row],[DO number]],DO_DB!G:I,3,0)</f>
        <v>#N/A</v>
      </c>
      <c r="AB844" s="331" t="e">
        <f>EXACT(Logfile_S12[[#This Row],[date pick]],Logfile_S12[[#This Row],[Date]])</f>
        <v>#N/A</v>
      </c>
      <c r="AC8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45" spans="1:29" ht="14.5" hidden="1">
      <c r="A845" s="220" t="str">
        <f t="shared" si="36"/>
        <v>841</v>
      </c>
      <c r="B845" s="221"/>
      <c r="C845" s="221" t="s">
        <v>49</v>
      </c>
      <c r="D845" s="221" t="s">
        <v>4128</v>
      </c>
      <c r="E845" s="221" t="s">
        <v>3295</v>
      </c>
      <c r="F845" s="221" t="s">
        <v>3299</v>
      </c>
      <c r="G845" s="222">
        <v>45497</v>
      </c>
      <c r="H845" s="223">
        <v>0.63888888888888884</v>
      </c>
      <c r="I845" s="221" t="s">
        <v>4916</v>
      </c>
      <c r="J845" s="221" t="s">
        <v>3024</v>
      </c>
      <c r="K845" s="224" t="s">
        <v>5137</v>
      </c>
      <c r="L845" s="225" t="str">
        <f>VLOOKUP(Logfile_S12[[#This Row],[Material Name]],Sheet2!B:C,2,0)</f>
        <v>GCI1009</v>
      </c>
      <c r="M845" s="225" t="str">
        <f>_xlfn.XLOOKUP(Logfile_S12[[#This Row],[Material Name]],Sum_WH!E:E,Sum_WH!F:F,"",0)</f>
        <v>Pcs</v>
      </c>
      <c r="N845" s="221">
        <v>100</v>
      </c>
      <c r="O845" s="221" t="s">
        <v>1803</v>
      </c>
      <c r="P845" s="221" t="s">
        <v>1804</v>
      </c>
      <c r="Q845" s="221"/>
      <c r="R845" s="221"/>
      <c r="S845" s="221"/>
      <c r="T845" s="221" t="s">
        <v>3258</v>
      </c>
      <c r="U845" s="221" t="s">
        <v>3228</v>
      </c>
      <c r="V845" s="221" t="s">
        <v>3337</v>
      </c>
      <c r="W845" s="221" t="s">
        <v>3338</v>
      </c>
      <c r="X845" s="221"/>
      <c r="Y845" s="227"/>
      <c r="Z845" s="227" t="str">
        <f t="shared" si="37"/>
        <v>Dusun Langlang IV Singosari</v>
      </c>
      <c r="AA845" s="276" t="e">
        <f>VLOOKUP(Logfile_S12[[#This Row],[DO number]],DO_DB!G:I,3,0)</f>
        <v>#N/A</v>
      </c>
      <c r="AB845" s="331" t="e">
        <f>EXACT(Logfile_S12[[#This Row],[date pick]],Logfile_S12[[#This Row],[Date]])</f>
        <v>#N/A</v>
      </c>
      <c r="AC8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46" spans="1:29" ht="14.5" hidden="1">
      <c r="A846" s="220" t="str">
        <f t="shared" si="36"/>
        <v>842</v>
      </c>
      <c r="B846" s="221"/>
      <c r="C846" s="221" t="s">
        <v>49</v>
      </c>
      <c r="D846" s="221" t="s">
        <v>4135</v>
      </c>
      <c r="E846" s="221" t="s">
        <v>3295</v>
      </c>
      <c r="F846" s="221" t="s">
        <v>3299</v>
      </c>
      <c r="G846" s="222">
        <v>45503</v>
      </c>
      <c r="H846" s="223">
        <v>0.43333333333333335</v>
      </c>
      <c r="I846" s="221" t="s">
        <v>4916</v>
      </c>
      <c r="J846" s="221" t="s">
        <v>3024</v>
      </c>
      <c r="K846" s="224" t="s">
        <v>5137</v>
      </c>
      <c r="L846" s="225" t="str">
        <f>VLOOKUP(Logfile_S12[[#This Row],[Material Name]],Sheet2!B:C,2,0)</f>
        <v>GCI1009</v>
      </c>
      <c r="M846" s="225" t="str">
        <f>_xlfn.XLOOKUP(Logfile_S12[[#This Row],[Material Name]],Sum_WH!E:E,Sum_WH!F:F,"",0)</f>
        <v>Pcs</v>
      </c>
      <c r="N846" s="221">
        <v>50</v>
      </c>
      <c r="O846" s="221" t="s">
        <v>1803</v>
      </c>
      <c r="P846" s="221" t="s">
        <v>1804</v>
      </c>
      <c r="Q846" s="221"/>
      <c r="R846" s="221"/>
      <c r="S846" s="221"/>
      <c r="T846" s="221" t="s">
        <v>3258</v>
      </c>
      <c r="U846" s="221" t="s">
        <v>3228</v>
      </c>
      <c r="V846" s="221" t="s">
        <v>3337</v>
      </c>
      <c r="W846" s="221" t="s">
        <v>3338</v>
      </c>
      <c r="X846" s="221"/>
      <c r="Y846" s="227"/>
      <c r="Z846" s="227" t="str">
        <f t="shared" si="37"/>
        <v>Dusun Langlang IV Singosari</v>
      </c>
      <c r="AA846" s="276" t="e">
        <f>VLOOKUP(Logfile_S12[[#This Row],[DO number]],DO_DB!G:I,3,0)</f>
        <v>#N/A</v>
      </c>
      <c r="AB846" s="331" t="e">
        <f>EXACT(Logfile_S12[[#This Row],[date pick]],Logfile_S12[[#This Row],[Date]])</f>
        <v>#N/A</v>
      </c>
      <c r="AC8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47" spans="1:29" ht="14.5" hidden="1">
      <c r="A847" s="220" t="str">
        <f t="shared" si="36"/>
        <v>843</v>
      </c>
      <c r="B847" s="221"/>
      <c r="C847" s="221" t="s">
        <v>49</v>
      </c>
      <c r="D847" s="221" t="s">
        <v>4164</v>
      </c>
      <c r="E847" s="221" t="s">
        <v>3295</v>
      </c>
      <c r="F847" s="221" t="s">
        <v>3299</v>
      </c>
      <c r="G847" s="222">
        <v>45524</v>
      </c>
      <c r="H847" s="223">
        <v>0.70416666666666672</v>
      </c>
      <c r="I847" s="221" t="s">
        <v>4916</v>
      </c>
      <c r="J847" s="221" t="s">
        <v>3024</v>
      </c>
      <c r="K847" s="224" t="s">
        <v>5137</v>
      </c>
      <c r="L847" s="225" t="str">
        <f>VLOOKUP(Logfile_S12[[#This Row],[Material Name]],Sheet2!B:C,2,0)</f>
        <v>GCI1009</v>
      </c>
      <c r="M847" s="225" t="str">
        <f>_xlfn.XLOOKUP(Logfile_S12[[#This Row],[Material Name]],Sum_WH!E:E,Sum_WH!F:F,"",0)</f>
        <v>Pcs</v>
      </c>
      <c r="N847" s="221">
        <v>35</v>
      </c>
      <c r="O847" s="221" t="s">
        <v>1391</v>
      </c>
      <c r="P847" s="221" t="s">
        <v>1392</v>
      </c>
      <c r="Q847" s="221"/>
      <c r="R847" s="221"/>
      <c r="S847" s="221"/>
      <c r="T847" s="221" t="s">
        <v>3244</v>
      </c>
      <c r="U847" s="221">
        <v>0</v>
      </c>
      <c r="V847" s="221" t="s">
        <v>3248</v>
      </c>
      <c r="W847" s="221" t="s">
        <v>3252</v>
      </c>
      <c r="X847" s="221"/>
      <c r="Y847" s="227"/>
      <c r="Z847" s="227" t="str">
        <f t="shared" si="37"/>
        <v>Klampok RW 01 Singosari</v>
      </c>
      <c r="AA847" s="276" t="e">
        <f>VLOOKUP(Logfile_S12[[#This Row],[DO number]],DO_DB!G:I,3,0)</f>
        <v>#N/A</v>
      </c>
      <c r="AB847" s="331" t="e">
        <f>EXACT(Logfile_S12[[#This Row],[date pick]],Logfile_S12[[#This Row],[Date]])</f>
        <v>#N/A</v>
      </c>
      <c r="AC8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48" spans="1:29" ht="14.5" hidden="1">
      <c r="A848" s="220" t="str">
        <f t="shared" si="36"/>
        <v>844</v>
      </c>
      <c r="B848" s="221"/>
      <c r="C848" s="221" t="s">
        <v>49</v>
      </c>
      <c r="D848" s="221" t="s">
        <v>4173</v>
      </c>
      <c r="E848" s="221" t="s">
        <v>3295</v>
      </c>
      <c r="F848" s="221" t="s">
        <v>3299</v>
      </c>
      <c r="G848" s="222">
        <v>45527</v>
      </c>
      <c r="H848" s="223">
        <v>0.46736111111111112</v>
      </c>
      <c r="I848" s="221" t="s">
        <v>4916</v>
      </c>
      <c r="J848" s="221" t="s">
        <v>3024</v>
      </c>
      <c r="K848" s="224" t="s">
        <v>5137</v>
      </c>
      <c r="L848" s="225" t="str">
        <f>VLOOKUP(Logfile_S12[[#This Row],[Material Name]],Sheet2!B:C,2,0)</f>
        <v>GCI1009</v>
      </c>
      <c r="M848" s="225" t="str">
        <f>_xlfn.XLOOKUP(Logfile_S12[[#This Row],[Material Name]],Sum_WH!E:E,Sum_WH!F:F,"",0)</f>
        <v>Pcs</v>
      </c>
      <c r="N848" s="221">
        <v>200</v>
      </c>
      <c r="O848" s="221" t="s">
        <v>1911</v>
      </c>
      <c r="P848" s="221" t="s">
        <v>1912</v>
      </c>
      <c r="Q848" s="221"/>
      <c r="R848" s="221"/>
      <c r="S848" s="221"/>
      <c r="T848" s="221" t="s">
        <v>3258</v>
      </c>
      <c r="U848" s="221" t="s">
        <v>3228</v>
      </c>
      <c r="V848" s="221" t="s">
        <v>3337</v>
      </c>
      <c r="W848" s="221" t="s">
        <v>3338</v>
      </c>
      <c r="X848" s="221"/>
      <c r="Y848" s="227"/>
      <c r="Z848" s="227" t="str">
        <f t="shared" si="37"/>
        <v>Dilem RW 03 Kepanjen</v>
      </c>
      <c r="AA848" s="276" t="e">
        <f>VLOOKUP(Logfile_S12[[#This Row],[DO number]],DO_DB!G:I,3,0)</f>
        <v>#N/A</v>
      </c>
      <c r="AB848" s="331" t="e">
        <f>EXACT(Logfile_S12[[#This Row],[date pick]],Logfile_S12[[#This Row],[Date]])</f>
        <v>#N/A</v>
      </c>
      <c r="AC8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49" spans="1:29" ht="14.5" hidden="1">
      <c r="A849" s="220" t="str">
        <f t="shared" si="36"/>
        <v>845</v>
      </c>
      <c r="B849" s="221"/>
      <c r="C849" s="221" t="s">
        <v>48</v>
      </c>
      <c r="D849" s="221" t="s">
        <v>4212</v>
      </c>
      <c r="E849" s="221" t="s">
        <v>3295</v>
      </c>
      <c r="F849" s="221" t="s">
        <v>3299</v>
      </c>
      <c r="G849" s="222">
        <v>45541</v>
      </c>
      <c r="H849" s="223">
        <v>15.291666666666666</v>
      </c>
      <c r="I849" s="221" t="s">
        <v>38</v>
      </c>
      <c r="J849" s="221" t="s">
        <v>3024</v>
      </c>
      <c r="K849" s="224" t="s">
        <v>5137</v>
      </c>
      <c r="L849" s="225" t="str">
        <f>VLOOKUP(Logfile_S12[[#This Row],[Material Name]],Sheet2!B:C,2,0)</f>
        <v>GCI1009</v>
      </c>
      <c r="M849" s="225" t="str">
        <f>_xlfn.XLOOKUP(Logfile_S12[[#This Row],[Material Name]],Sum_WH!E:E,Sum_WH!F:F,"",0)</f>
        <v>Pcs</v>
      </c>
      <c r="N849" s="221">
        <v>482</v>
      </c>
      <c r="O849" s="221">
        <v>0</v>
      </c>
      <c r="P849" s="221">
        <v>0</v>
      </c>
      <c r="Q849" s="221">
        <v>0</v>
      </c>
      <c r="R849" s="221">
        <v>0</v>
      </c>
      <c r="S849" s="221"/>
      <c r="T849" s="221"/>
      <c r="U849" s="221"/>
      <c r="V849" s="221"/>
      <c r="W849" s="221"/>
      <c r="X849" s="221"/>
      <c r="Y849" s="227"/>
      <c r="Z849" s="227">
        <f t="shared" si="37"/>
        <v>0</v>
      </c>
      <c r="AA849" s="276" t="e">
        <f>VLOOKUP(Logfile_S12[[#This Row],[DO number]],DO_DB!G:I,3,0)</f>
        <v>#N/A</v>
      </c>
      <c r="AB849" s="331" t="e">
        <f>EXACT(Logfile_S12[[#This Row],[date pick]],Logfile_S12[[#This Row],[Date]])</f>
        <v>#N/A</v>
      </c>
      <c r="AC8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50" spans="1:29" ht="14.5" hidden="1">
      <c r="A850" s="220" t="str">
        <f t="shared" si="36"/>
        <v>846</v>
      </c>
      <c r="B850" s="221"/>
      <c r="C850" s="221" t="s">
        <v>49</v>
      </c>
      <c r="D850" s="221" t="s">
        <v>4211</v>
      </c>
      <c r="E850" s="221" t="s">
        <v>3295</v>
      </c>
      <c r="F850" s="221" t="s">
        <v>3299</v>
      </c>
      <c r="G850" s="222">
        <v>45541</v>
      </c>
      <c r="H850" s="223">
        <v>0.80069444444444449</v>
      </c>
      <c r="I850" s="221" t="s">
        <v>4916</v>
      </c>
      <c r="J850" s="221" t="s">
        <v>3024</v>
      </c>
      <c r="K850" s="224" t="s">
        <v>5137</v>
      </c>
      <c r="L850" s="225" t="str">
        <f>VLOOKUP(Logfile_S12[[#This Row],[Material Name]],Sheet2!B:C,2,0)</f>
        <v>GCI1009</v>
      </c>
      <c r="M850" s="225" t="str">
        <f>_xlfn.XLOOKUP(Logfile_S12[[#This Row],[Material Name]],Sum_WH!E:E,Sum_WH!F:F,"",0)</f>
        <v>Pcs</v>
      </c>
      <c r="N850" s="221">
        <v>30</v>
      </c>
      <c r="O850" s="221" t="s">
        <v>2025</v>
      </c>
      <c r="P850" s="221" t="s">
        <v>2026</v>
      </c>
      <c r="Q850" s="221"/>
      <c r="R850" s="221"/>
      <c r="S850" s="221"/>
      <c r="T850" s="221" t="s">
        <v>3244</v>
      </c>
      <c r="U850" s="221">
        <v>0</v>
      </c>
      <c r="V850" s="221" t="s">
        <v>3248</v>
      </c>
      <c r="W850" s="221" t="s">
        <v>3252</v>
      </c>
      <c r="X850" s="221"/>
      <c r="Y850" s="227"/>
      <c r="Z850" s="227" t="str">
        <f t="shared" si="37"/>
        <v>NGENEP UTARA RW 03 MALANG</v>
      </c>
      <c r="AA850" s="276" t="e">
        <f>VLOOKUP(Logfile_S12[[#This Row],[DO number]],DO_DB!G:I,3,0)</f>
        <v>#N/A</v>
      </c>
      <c r="AB850" s="331" t="e">
        <f>EXACT(Logfile_S12[[#This Row],[date pick]],Logfile_S12[[#This Row],[Date]])</f>
        <v>#N/A</v>
      </c>
      <c r="AC8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51" spans="1:29" ht="14.5" hidden="1">
      <c r="A851" s="220" t="str">
        <f t="shared" si="36"/>
        <v>847</v>
      </c>
      <c r="B851" s="221"/>
      <c r="C851" s="221" t="s">
        <v>49</v>
      </c>
      <c r="D851" s="221" t="s">
        <v>4215</v>
      </c>
      <c r="E851" s="221" t="s">
        <v>3295</v>
      </c>
      <c r="F851" s="221" t="s">
        <v>3299</v>
      </c>
      <c r="G851" s="222">
        <v>45542</v>
      </c>
      <c r="H851" s="223">
        <v>0.73750000000000004</v>
      </c>
      <c r="I851" s="221" t="s">
        <v>4916</v>
      </c>
      <c r="J851" s="221" t="s">
        <v>3024</v>
      </c>
      <c r="K851" s="224" t="s">
        <v>5137</v>
      </c>
      <c r="L851" s="225" t="str">
        <f>VLOOKUP(Logfile_S12[[#This Row],[Material Name]],Sheet2!B:C,2,0)</f>
        <v>GCI1009</v>
      </c>
      <c r="M851" s="225" t="str">
        <f>_xlfn.XLOOKUP(Logfile_S12[[#This Row],[Material Name]],Sum_WH!E:E,Sum_WH!F:F,"",0)</f>
        <v>Pcs</v>
      </c>
      <c r="N851" s="221">
        <v>200</v>
      </c>
      <c r="O851" s="221" t="s">
        <v>1951</v>
      </c>
      <c r="P851" s="221" t="s">
        <v>3374</v>
      </c>
      <c r="Q851" s="221"/>
      <c r="R851" s="221"/>
      <c r="S851" s="221"/>
      <c r="T851" s="221" t="s">
        <v>3258</v>
      </c>
      <c r="U851" s="221">
        <v>0</v>
      </c>
      <c r="V851" s="221" t="s">
        <v>3337</v>
      </c>
      <c r="W851" s="221" t="s">
        <v>3338</v>
      </c>
      <c r="X851" s="221"/>
      <c r="Y851" s="227"/>
      <c r="Z851" s="227" t="str">
        <f t="shared" si="37"/>
        <v>SENGGURUH RW 01 MALANG</v>
      </c>
      <c r="AA851" s="276" t="e">
        <f>VLOOKUP(Logfile_S12[[#This Row],[DO number]],DO_DB!G:I,3,0)</f>
        <v>#N/A</v>
      </c>
      <c r="AB851" s="331" t="e">
        <f>EXACT(Logfile_S12[[#This Row],[date pick]],Logfile_S12[[#This Row],[Date]])</f>
        <v>#N/A</v>
      </c>
      <c r="AC8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52" spans="1:29" ht="14.5" hidden="1">
      <c r="A852" s="220" t="str">
        <f t="shared" si="36"/>
        <v>848</v>
      </c>
      <c r="B852" s="221"/>
      <c r="C852" s="221" t="s">
        <v>49</v>
      </c>
      <c r="D852" s="221" t="s">
        <v>4219</v>
      </c>
      <c r="E852" s="221" t="s">
        <v>3295</v>
      </c>
      <c r="F852" s="221" t="s">
        <v>3299</v>
      </c>
      <c r="G852" s="222">
        <v>45547</v>
      </c>
      <c r="H852" s="223">
        <v>0.43125000000000002</v>
      </c>
      <c r="I852" s="221" t="s">
        <v>4916</v>
      </c>
      <c r="J852" s="221" t="s">
        <v>3024</v>
      </c>
      <c r="K852" s="224" t="s">
        <v>5137</v>
      </c>
      <c r="L852" s="225" t="str">
        <f>VLOOKUP(Logfile_S12[[#This Row],[Material Name]],Sheet2!B:C,2,0)</f>
        <v>GCI1009</v>
      </c>
      <c r="M852" s="225" t="str">
        <f>_xlfn.XLOOKUP(Logfile_S12[[#This Row],[Material Name]],Sum_WH!E:E,Sum_WH!F:F,"",0)</f>
        <v>Pcs</v>
      </c>
      <c r="N852" s="221">
        <v>30</v>
      </c>
      <c r="O852" s="221" t="s">
        <v>1803</v>
      </c>
      <c r="P852" s="221" t="s">
        <v>1804</v>
      </c>
      <c r="Q852" s="221"/>
      <c r="R852" s="221"/>
      <c r="S852" s="221"/>
      <c r="T852" s="221" t="s">
        <v>3258</v>
      </c>
      <c r="U852" s="221">
        <v>0</v>
      </c>
      <c r="V852" s="221" t="s">
        <v>3337</v>
      </c>
      <c r="W852" s="221" t="s">
        <v>3338</v>
      </c>
      <c r="X852" s="221"/>
      <c r="Y852" s="227"/>
      <c r="Z852" s="227" t="str">
        <f t="shared" si="37"/>
        <v>Dusun Langlang IV Singosari</v>
      </c>
      <c r="AA852" s="276" t="e">
        <f>VLOOKUP(Logfile_S12[[#This Row],[DO number]],DO_DB!G:I,3,0)</f>
        <v>#N/A</v>
      </c>
      <c r="AB852" s="331" t="e">
        <f>EXACT(Logfile_S12[[#This Row],[date pick]],Logfile_S12[[#This Row],[Date]])</f>
        <v>#N/A</v>
      </c>
      <c r="AC8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53" spans="1:29" ht="14.5" hidden="1">
      <c r="A853" s="220" t="str">
        <f t="shared" si="36"/>
        <v>849</v>
      </c>
      <c r="B853" s="221"/>
      <c r="C853" s="221" t="s">
        <v>3313</v>
      </c>
      <c r="D853" s="221" t="s">
        <v>4223</v>
      </c>
      <c r="E853" s="221" t="s">
        <v>3295</v>
      </c>
      <c r="F853" s="221" t="s">
        <v>3299</v>
      </c>
      <c r="G853" s="222">
        <v>45554</v>
      </c>
      <c r="H853" s="223">
        <v>15.291666666666666</v>
      </c>
      <c r="I853" s="221" t="s">
        <v>4917</v>
      </c>
      <c r="J853" s="221" t="s">
        <v>3024</v>
      </c>
      <c r="K853" s="224" t="s">
        <v>5137</v>
      </c>
      <c r="L853" s="225" t="str">
        <f>VLOOKUP(Logfile_S12[[#This Row],[Material Name]],Sheet2!B:C,2,0)</f>
        <v>GCI1009</v>
      </c>
      <c r="M853" s="225" t="str">
        <f>_xlfn.XLOOKUP(Logfile_S12[[#This Row],[Material Name]],Sum_WH!E:E,Sum_WH!F:F,"",0)</f>
        <v>Pcs</v>
      </c>
      <c r="N853" s="221">
        <v>142</v>
      </c>
      <c r="O853" s="221" t="s">
        <v>3314</v>
      </c>
      <c r="P853" s="221" t="s">
        <v>68</v>
      </c>
      <c r="Q853" s="221">
        <v>0</v>
      </c>
      <c r="R853" s="221">
        <v>0</v>
      </c>
      <c r="S853" s="221"/>
      <c r="T853" s="221"/>
      <c r="U853" s="221"/>
      <c r="V853" s="221"/>
      <c r="W853" s="221"/>
      <c r="X853" s="221"/>
      <c r="Y853" s="227"/>
      <c r="Z853" s="227" t="str">
        <f t="shared" si="37"/>
        <v>Blitar</v>
      </c>
      <c r="AA853" s="276" t="e">
        <f>VLOOKUP(Logfile_S12[[#This Row],[DO number]],DO_DB!G:I,3,0)</f>
        <v>#N/A</v>
      </c>
      <c r="AB853" s="331" t="e">
        <f>EXACT(Logfile_S12[[#This Row],[date pick]],Logfile_S12[[#This Row],[Date]])</f>
        <v>#N/A</v>
      </c>
      <c r="AC8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54" spans="1:29" ht="14.5" hidden="1">
      <c r="A854" s="220" t="str">
        <f t="shared" si="36"/>
        <v>850</v>
      </c>
      <c r="B854" s="221"/>
      <c r="C854" s="221" t="s">
        <v>49</v>
      </c>
      <c r="D854" s="221" t="s">
        <v>4233</v>
      </c>
      <c r="E854" s="221" t="s">
        <v>3295</v>
      </c>
      <c r="F854" s="221" t="s">
        <v>3299</v>
      </c>
      <c r="G854" s="222">
        <v>45561</v>
      </c>
      <c r="H854" s="223">
        <v>0.64097222222222228</v>
      </c>
      <c r="I854" s="221" t="s">
        <v>4916</v>
      </c>
      <c r="J854" s="221" t="s">
        <v>3024</v>
      </c>
      <c r="K854" s="224" t="s">
        <v>5137</v>
      </c>
      <c r="L854" s="225" t="str">
        <f>VLOOKUP(Logfile_S12[[#This Row],[Material Name]],Sheet2!B:C,2,0)</f>
        <v>GCI1009</v>
      </c>
      <c r="M854" s="225" t="str">
        <f>_xlfn.XLOOKUP(Logfile_S12[[#This Row],[Material Name]],Sum_WH!E:E,Sum_WH!F:F,"",0)</f>
        <v>Pcs</v>
      </c>
      <c r="N854" s="221">
        <v>200</v>
      </c>
      <c r="O854" s="221" t="s">
        <v>2166</v>
      </c>
      <c r="P854" s="221" t="s">
        <v>2167</v>
      </c>
      <c r="Q854" s="221"/>
      <c r="R854" s="221"/>
      <c r="S854" s="221"/>
      <c r="T854" s="221" t="s">
        <v>3247</v>
      </c>
      <c r="U854" s="221">
        <v>0</v>
      </c>
      <c r="V854" s="221" t="s">
        <v>3375</v>
      </c>
      <c r="W854" s="221" t="s">
        <v>3376</v>
      </c>
      <c r="X854" s="221"/>
      <c r="Y854" s="227"/>
      <c r="Z854" s="227" t="str">
        <f t="shared" si="37"/>
        <v>Dusun Mojosari Ngenep</v>
      </c>
      <c r="AA854" s="276" t="e">
        <f>VLOOKUP(Logfile_S12[[#This Row],[DO number]],DO_DB!G:I,3,0)</f>
        <v>#N/A</v>
      </c>
      <c r="AB854" s="331" t="e">
        <f>EXACT(Logfile_S12[[#This Row],[date pick]],Logfile_S12[[#This Row],[Date]])</f>
        <v>#N/A</v>
      </c>
      <c r="AC8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55" spans="1:29" ht="14.5" hidden="1">
      <c r="A855" s="220" t="str">
        <f t="shared" si="36"/>
        <v>851</v>
      </c>
      <c r="B855" s="221"/>
      <c r="C855" s="221" t="s">
        <v>48</v>
      </c>
      <c r="D855" s="221" t="s">
        <v>4241</v>
      </c>
      <c r="E855" s="221" t="s">
        <v>3295</v>
      </c>
      <c r="F855" s="221" t="s">
        <v>3299</v>
      </c>
      <c r="G855" s="222">
        <v>45562</v>
      </c>
      <c r="H855" s="223">
        <v>15.291666666666666</v>
      </c>
      <c r="I855" s="221" t="s">
        <v>3586</v>
      </c>
      <c r="J855" s="221" t="s">
        <v>3024</v>
      </c>
      <c r="K855" s="224" t="s">
        <v>5137</v>
      </c>
      <c r="L855" s="225" t="str">
        <f>VLOOKUP(Logfile_S12[[#This Row],[Material Name]],Sheet2!B:C,2,0)</f>
        <v>GCI1009</v>
      </c>
      <c r="M855" s="225" t="str">
        <f>_xlfn.XLOOKUP(Logfile_S12[[#This Row],[Material Name]],Sum_WH!E:E,Sum_WH!F:F,"",0)</f>
        <v>Pcs</v>
      </c>
      <c r="N855" s="221">
        <v>5</v>
      </c>
      <c r="O855" s="221" t="s">
        <v>3397</v>
      </c>
      <c r="P855" s="221" t="s">
        <v>3419</v>
      </c>
      <c r="Q855" s="221">
        <v>0</v>
      </c>
      <c r="R855" s="221">
        <v>0</v>
      </c>
      <c r="S855" s="221"/>
      <c r="T855" s="221"/>
      <c r="U855" s="221"/>
      <c r="V855" s="221"/>
      <c r="W855" s="221"/>
      <c r="X855" s="221"/>
      <c r="Y855" s="227"/>
      <c r="Z855" s="227" t="str">
        <f t="shared" si="37"/>
        <v>Sengguruh</v>
      </c>
      <c r="AA855" s="276" t="e">
        <f>VLOOKUP(Logfile_S12[[#This Row],[DO number]],DO_DB!G:I,3,0)</f>
        <v>#N/A</v>
      </c>
      <c r="AB855" s="331" t="e">
        <f>EXACT(Logfile_S12[[#This Row],[date pick]],Logfile_S12[[#This Row],[Date]])</f>
        <v>#N/A</v>
      </c>
      <c r="AC8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56" spans="1:29" ht="14.5" hidden="1">
      <c r="A856" s="220" t="str">
        <f t="shared" si="36"/>
        <v>852</v>
      </c>
      <c r="B856" s="221"/>
      <c r="C856" s="221" t="s">
        <v>48</v>
      </c>
      <c r="D856" s="221" t="s">
        <v>4245</v>
      </c>
      <c r="E856" s="221" t="s">
        <v>3295</v>
      </c>
      <c r="F856" s="221" t="s">
        <v>3299</v>
      </c>
      <c r="G856" s="222">
        <v>45566</v>
      </c>
      <c r="H856" s="223">
        <v>15.291666666666666</v>
      </c>
      <c r="I856" s="221" t="s">
        <v>3586</v>
      </c>
      <c r="J856" s="221" t="s">
        <v>3024</v>
      </c>
      <c r="K856" s="224" t="s">
        <v>5137</v>
      </c>
      <c r="L856" s="225" t="str">
        <f>VLOOKUP(Logfile_S12[[#This Row],[Material Name]],Sheet2!B:C,2,0)</f>
        <v>GCI1009</v>
      </c>
      <c r="M856" s="225" t="str">
        <f>_xlfn.XLOOKUP(Logfile_S12[[#This Row],[Material Name]],Sum_WH!E:E,Sum_WH!F:F,"",0)</f>
        <v>Pcs</v>
      </c>
      <c r="N856" s="221">
        <v>22</v>
      </c>
      <c r="O856" s="221" t="s">
        <v>3397</v>
      </c>
      <c r="P856" s="221" t="s">
        <v>3402</v>
      </c>
      <c r="Q856" s="221">
        <v>0</v>
      </c>
      <c r="R856" s="221">
        <v>0</v>
      </c>
      <c r="S856" s="221"/>
      <c r="T856" s="221"/>
      <c r="U856" s="221"/>
      <c r="V856" s="221"/>
      <c r="W856" s="221"/>
      <c r="X856" s="221"/>
      <c r="Y856" s="227"/>
      <c r="Z856" s="227" t="str">
        <f t="shared" si="37"/>
        <v>Mojosari Ngenep</v>
      </c>
      <c r="AA856" s="276" t="e">
        <f>VLOOKUP(Logfile_S12[[#This Row],[DO number]],DO_DB!G:I,3,0)</f>
        <v>#N/A</v>
      </c>
      <c r="AB856" s="331" t="e">
        <f>EXACT(Logfile_S12[[#This Row],[date pick]],Logfile_S12[[#This Row],[Date]])</f>
        <v>#N/A</v>
      </c>
      <c r="AC8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57" spans="1:29" ht="14.5" hidden="1">
      <c r="A857" s="220" t="str">
        <f t="shared" si="36"/>
        <v>853</v>
      </c>
      <c r="B857" s="221"/>
      <c r="C857" s="221" t="s">
        <v>49</v>
      </c>
      <c r="D857" s="221" t="s">
        <v>4249</v>
      </c>
      <c r="E857" s="221" t="s">
        <v>3295</v>
      </c>
      <c r="F857" s="221" t="s">
        <v>3299</v>
      </c>
      <c r="G857" s="222">
        <v>45575</v>
      </c>
      <c r="H857" s="223">
        <v>0.56458333333333333</v>
      </c>
      <c r="I857" s="221" t="s">
        <v>4916</v>
      </c>
      <c r="J857" s="221" t="s">
        <v>3024</v>
      </c>
      <c r="K857" s="224" t="s">
        <v>5137</v>
      </c>
      <c r="L857" s="225" t="str">
        <f>VLOOKUP(Logfile_S12[[#This Row],[Material Name]],Sheet2!B:C,2,0)</f>
        <v>GCI1009</v>
      </c>
      <c r="M857" s="225" t="str">
        <f>_xlfn.XLOOKUP(Logfile_S12[[#This Row],[Material Name]],Sum_WH!E:E,Sum_WH!F:F,"",0)</f>
        <v>Pcs</v>
      </c>
      <c r="N857" s="221">
        <v>54</v>
      </c>
      <c r="O857" s="221" t="s">
        <v>1391</v>
      </c>
      <c r="P857" s="221" t="s">
        <v>1392</v>
      </c>
      <c r="Q857" s="221"/>
      <c r="R857" s="221"/>
      <c r="S857" s="221"/>
      <c r="T857" s="221" t="s">
        <v>3244</v>
      </c>
      <c r="U857" s="221">
        <v>0</v>
      </c>
      <c r="V857" s="221" t="s">
        <v>3248</v>
      </c>
      <c r="W857" s="221" t="s">
        <v>3252</v>
      </c>
      <c r="X857" s="221"/>
      <c r="Y857" s="227"/>
      <c r="Z857" s="227" t="str">
        <f t="shared" si="37"/>
        <v>Klampok RW 01 Singosari</v>
      </c>
      <c r="AA857" s="276" t="e">
        <f>VLOOKUP(Logfile_S12[[#This Row],[DO number]],DO_DB!G:I,3,0)</f>
        <v>#N/A</v>
      </c>
      <c r="AB857" s="331" t="e">
        <f>EXACT(Logfile_S12[[#This Row],[date pick]],Logfile_S12[[#This Row],[Date]])</f>
        <v>#N/A</v>
      </c>
      <c r="AC8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58" spans="1:29" ht="14.5" hidden="1">
      <c r="A858" s="220" t="str">
        <f t="shared" si="36"/>
        <v>854</v>
      </c>
      <c r="B858" s="221"/>
      <c r="C858" s="221" t="s">
        <v>49</v>
      </c>
      <c r="D858" s="221" t="s">
        <v>4260</v>
      </c>
      <c r="E858" s="221" t="s">
        <v>3295</v>
      </c>
      <c r="F858" s="221" t="s">
        <v>3299</v>
      </c>
      <c r="G858" s="222">
        <v>45595</v>
      </c>
      <c r="H858" s="223">
        <v>0.97569444444444442</v>
      </c>
      <c r="I858" s="221" t="s">
        <v>4916</v>
      </c>
      <c r="J858" s="221" t="s">
        <v>3024</v>
      </c>
      <c r="K858" s="224" t="s">
        <v>5137</v>
      </c>
      <c r="L858" s="225" t="str">
        <f>VLOOKUP(Logfile_S12[[#This Row],[Material Name]],Sheet2!B:C,2,0)</f>
        <v>GCI1009</v>
      </c>
      <c r="M858" s="225" t="str">
        <f>_xlfn.XLOOKUP(Logfile_S12[[#This Row],[Material Name]],Sum_WH!E:E,Sum_WH!F:F,"",0)</f>
        <v>Pcs</v>
      </c>
      <c r="N858" s="221">
        <v>20</v>
      </c>
      <c r="O858" s="221" t="s">
        <v>1923</v>
      </c>
      <c r="P858" s="221" t="s">
        <v>1924</v>
      </c>
      <c r="Q858" s="221"/>
      <c r="R858" s="221"/>
      <c r="S858" s="221"/>
      <c r="T858" s="221" t="s">
        <v>3258</v>
      </c>
      <c r="U858" s="221">
        <v>0</v>
      </c>
      <c r="V858" s="221" t="s">
        <v>3337</v>
      </c>
      <c r="W858" s="221" t="s">
        <v>3338</v>
      </c>
      <c r="X858" s="221"/>
      <c r="Y858" s="227"/>
      <c r="Z858" s="227" t="str">
        <f t="shared" si="37"/>
        <v>Pakisaji RW 01 Malang</v>
      </c>
      <c r="AA858" s="276" t="e">
        <f>VLOOKUP(Logfile_S12[[#This Row],[DO number]],DO_DB!G:I,3,0)</f>
        <v>#N/A</v>
      </c>
      <c r="AB858" s="331" t="e">
        <f>EXACT(Logfile_S12[[#This Row],[date pick]],Logfile_S12[[#This Row],[Date]])</f>
        <v>#N/A</v>
      </c>
      <c r="AC8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59" spans="1:29" ht="14.5" hidden="1">
      <c r="A859" s="220" t="str">
        <f t="shared" si="36"/>
        <v>855</v>
      </c>
      <c r="B859" s="221"/>
      <c r="C859" s="221" t="s">
        <v>49</v>
      </c>
      <c r="D859" s="221" t="s">
        <v>4271</v>
      </c>
      <c r="E859" s="221" t="s">
        <v>3295</v>
      </c>
      <c r="F859" s="221" t="s">
        <v>3299</v>
      </c>
      <c r="G859" s="222">
        <v>45602</v>
      </c>
      <c r="H859" s="223">
        <v>0.35069444444444442</v>
      </c>
      <c r="I859" s="221" t="s">
        <v>4916</v>
      </c>
      <c r="J859" s="221" t="s">
        <v>3024</v>
      </c>
      <c r="K859" s="224" t="s">
        <v>5137</v>
      </c>
      <c r="L859" s="225" t="str">
        <f>VLOOKUP(Logfile_S12[[#This Row],[Material Name]],Sheet2!B:C,2,0)</f>
        <v>GCI1009</v>
      </c>
      <c r="M859" s="225" t="str">
        <f>_xlfn.XLOOKUP(Logfile_S12[[#This Row],[Material Name]],Sum_WH!E:E,Sum_WH!F:F,"",0)</f>
        <v>Pcs</v>
      </c>
      <c r="N859" s="221">
        <v>10</v>
      </c>
      <c r="O859" s="221" t="s">
        <v>1395</v>
      </c>
      <c r="P859" s="221" t="s">
        <v>1396</v>
      </c>
      <c r="Q859" s="221"/>
      <c r="R859" s="221"/>
      <c r="S859" s="221"/>
      <c r="T859" s="221" t="s">
        <v>3258</v>
      </c>
      <c r="U859" s="221">
        <v>0</v>
      </c>
      <c r="V859" s="221" t="s">
        <v>3337</v>
      </c>
      <c r="W859" s="221" t="s">
        <v>3338</v>
      </c>
      <c r="X859" s="221"/>
      <c r="Y859" s="227"/>
      <c r="Z859" s="227" t="str">
        <f t="shared" si="37"/>
        <v>Candirenggo RW 10 Singosari</v>
      </c>
      <c r="AA859" s="276" t="e">
        <f>VLOOKUP(Logfile_S12[[#This Row],[DO number]],DO_DB!G:I,3,0)</f>
        <v>#N/A</v>
      </c>
      <c r="AB859" s="331" t="e">
        <f>EXACT(Logfile_S12[[#This Row],[date pick]],Logfile_S12[[#This Row],[Date]])</f>
        <v>#N/A</v>
      </c>
      <c r="AC8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60" spans="1:29" ht="14.5" hidden="1">
      <c r="A860" s="220" t="str">
        <f t="shared" si="36"/>
        <v>856</v>
      </c>
      <c r="B860" s="221"/>
      <c r="C860" s="221" t="s">
        <v>49</v>
      </c>
      <c r="D860" s="221" t="s">
        <v>4277</v>
      </c>
      <c r="E860" s="221" t="s">
        <v>3295</v>
      </c>
      <c r="F860" s="221" t="s">
        <v>3299</v>
      </c>
      <c r="G860" s="222">
        <v>45616</v>
      </c>
      <c r="H860" s="223">
        <v>0.55902777777777779</v>
      </c>
      <c r="I860" s="221" t="s">
        <v>4916</v>
      </c>
      <c r="J860" s="221" t="s">
        <v>3024</v>
      </c>
      <c r="K860" s="224" t="s">
        <v>5137</v>
      </c>
      <c r="L860" s="225" t="str">
        <f>VLOOKUP(Logfile_S12[[#This Row],[Material Name]],Sheet2!B:C,2,0)</f>
        <v>GCI1009</v>
      </c>
      <c r="M860" s="225" t="str">
        <f>_xlfn.XLOOKUP(Logfile_S12[[#This Row],[Material Name]],Sum_WH!E:E,Sum_WH!F:F,"",0)</f>
        <v>Pcs</v>
      </c>
      <c r="N860" s="221">
        <v>30</v>
      </c>
      <c r="O860" s="221" t="s">
        <v>2350</v>
      </c>
      <c r="P860" s="221" t="s">
        <v>3409</v>
      </c>
      <c r="Q860" s="221"/>
      <c r="R860" s="221"/>
      <c r="S860" s="221"/>
      <c r="T860" s="221" t="s">
        <v>3258</v>
      </c>
      <c r="U860" s="221">
        <v>0</v>
      </c>
      <c r="V860" s="221" t="s">
        <v>3337</v>
      </c>
      <c r="W860" s="221" t="s">
        <v>3338</v>
      </c>
      <c r="X860" s="221"/>
      <c r="Y860" s="227"/>
      <c r="Z860" s="227" t="str">
        <f t="shared" si="37"/>
        <v>Kalirejo RW 13 Lawang Malang</v>
      </c>
      <c r="AA860" s="276" t="e">
        <f>VLOOKUP(Logfile_S12[[#This Row],[DO number]],DO_DB!G:I,3,0)</f>
        <v>#N/A</v>
      </c>
      <c r="AB860" s="331" t="e">
        <f>EXACT(Logfile_S12[[#This Row],[date pick]],Logfile_S12[[#This Row],[Date]])</f>
        <v>#N/A</v>
      </c>
      <c r="AC8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61" spans="1:29" ht="14.5" hidden="1">
      <c r="A861" s="220" t="str">
        <f t="shared" si="36"/>
        <v>857</v>
      </c>
      <c r="B861" s="221"/>
      <c r="C861" s="221" t="s">
        <v>49</v>
      </c>
      <c r="D861" s="221" t="s">
        <v>4280</v>
      </c>
      <c r="E861" s="221" t="s">
        <v>3295</v>
      </c>
      <c r="F861" s="221" t="s">
        <v>3299</v>
      </c>
      <c r="G861" s="222">
        <v>45617</v>
      </c>
      <c r="H861" s="223">
        <v>0.44097222222222221</v>
      </c>
      <c r="I861" s="221" t="s">
        <v>4916</v>
      </c>
      <c r="J861" s="221" t="s">
        <v>3024</v>
      </c>
      <c r="K861" s="224" t="s">
        <v>5137</v>
      </c>
      <c r="L861" s="225" t="str">
        <f>VLOOKUP(Logfile_S12[[#This Row],[Material Name]],Sheet2!B:C,2,0)</f>
        <v>GCI1009</v>
      </c>
      <c r="M861" s="225" t="str">
        <f>_xlfn.XLOOKUP(Logfile_S12[[#This Row],[Material Name]],Sum_WH!E:E,Sum_WH!F:F,"",0)</f>
        <v>Pcs</v>
      </c>
      <c r="N861" s="221">
        <v>14</v>
      </c>
      <c r="O861" s="221" t="s">
        <v>2013</v>
      </c>
      <c r="P861" s="221" t="s">
        <v>2014</v>
      </c>
      <c r="Q861" s="221"/>
      <c r="R861" s="221"/>
      <c r="S861" s="221"/>
      <c r="T861" s="221" t="s">
        <v>3420</v>
      </c>
      <c r="U861" s="221">
        <v>0</v>
      </c>
      <c r="V861" s="221" t="s">
        <v>3421</v>
      </c>
      <c r="W861" s="221" t="s">
        <v>3256</v>
      </c>
      <c r="X861" s="221"/>
      <c r="Y861" s="227"/>
      <c r="Z861" s="227" t="str">
        <f t="shared" si="37"/>
        <v>Perumahan Panca Garden</v>
      </c>
      <c r="AA861" s="276" t="e">
        <f>VLOOKUP(Logfile_S12[[#This Row],[DO number]],DO_DB!G:I,3,0)</f>
        <v>#N/A</v>
      </c>
      <c r="AB861" s="331" t="e">
        <f>EXACT(Logfile_S12[[#This Row],[date pick]],Logfile_S12[[#This Row],[Date]])</f>
        <v>#N/A</v>
      </c>
      <c r="AC8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62" spans="1:29" ht="14.5" hidden="1">
      <c r="A862" s="220" t="str">
        <f t="shared" si="36"/>
        <v>858</v>
      </c>
      <c r="B862" s="221"/>
      <c r="C862" s="221" t="s">
        <v>49</v>
      </c>
      <c r="D862" s="221" t="s">
        <v>4283</v>
      </c>
      <c r="E862" s="221" t="s">
        <v>3295</v>
      </c>
      <c r="F862" s="221" t="s">
        <v>3299</v>
      </c>
      <c r="G862" s="222">
        <v>45618</v>
      </c>
      <c r="H862" s="223">
        <v>0.39583333333333331</v>
      </c>
      <c r="I862" s="221" t="s">
        <v>4916</v>
      </c>
      <c r="J862" s="221" t="s">
        <v>3024</v>
      </c>
      <c r="K862" s="224" t="s">
        <v>5137</v>
      </c>
      <c r="L862" s="225" t="str">
        <f>VLOOKUP(Logfile_S12[[#This Row],[Material Name]],Sheet2!B:C,2,0)</f>
        <v>GCI1009</v>
      </c>
      <c r="M862" s="225" t="str">
        <f>_xlfn.XLOOKUP(Logfile_S12[[#This Row],[Material Name]],Sum_WH!E:E,Sum_WH!F:F,"",0)</f>
        <v>Pcs</v>
      </c>
      <c r="N862" s="221">
        <v>62</v>
      </c>
      <c r="O862" s="221" t="s">
        <v>2520</v>
      </c>
      <c r="P862" s="221" t="s">
        <v>2521</v>
      </c>
      <c r="Q862" s="221"/>
      <c r="R862" s="221"/>
      <c r="S862" s="221"/>
      <c r="T862" s="221" t="s">
        <v>3258</v>
      </c>
      <c r="U862" s="221">
        <v>0</v>
      </c>
      <c r="V862" s="221" t="s">
        <v>3337</v>
      </c>
      <c r="W862" s="221" t="s">
        <v>3338</v>
      </c>
      <c r="X862" s="221"/>
      <c r="Y862" s="227"/>
      <c r="Z862" s="227" t="str">
        <f t="shared" si="37"/>
        <v>Perumahan Bukit Lawang Indah Malang</v>
      </c>
      <c r="AA862" s="276" t="e">
        <f>VLOOKUP(Logfile_S12[[#This Row],[DO number]],DO_DB!G:I,3,0)</f>
        <v>#N/A</v>
      </c>
      <c r="AB862" s="331" t="e">
        <f>EXACT(Logfile_S12[[#This Row],[date pick]],Logfile_S12[[#This Row],[Date]])</f>
        <v>#N/A</v>
      </c>
      <c r="AC8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63" spans="1:29" ht="14.5" hidden="1">
      <c r="A863" s="220" t="str">
        <f t="shared" si="36"/>
        <v>859</v>
      </c>
      <c r="B863" s="221"/>
      <c r="C863" s="221" t="s">
        <v>49</v>
      </c>
      <c r="D863" s="221" t="s">
        <v>4289</v>
      </c>
      <c r="E863" s="221" t="s">
        <v>3295</v>
      </c>
      <c r="F863" s="221" t="s">
        <v>3299</v>
      </c>
      <c r="G863" s="222">
        <v>45622</v>
      </c>
      <c r="H863" s="223">
        <v>0.39583333333333331</v>
      </c>
      <c r="I863" s="221" t="s">
        <v>4916</v>
      </c>
      <c r="J863" s="221" t="s">
        <v>3024</v>
      </c>
      <c r="K863" s="224" t="s">
        <v>5137</v>
      </c>
      <c r="L863" s="225" t="str">
        <f>VLOOKUP(Logfile_S12[[#This Row],[Material Name]],Sheet2!B:C,2,0)</f>
        <v>GCI1009</v>
      </c>
      <c r="M863" s="225" t="str">
        <f>_xlfn.XLOOKUP(Logfile_S12[[#This Row],[Material Name]],Sum_WH!E:E,Sum_WH!F:F,"",0)</f>
        <v>Pcs</v>
      </c>
      <c r="N863" s="221">
        <v>100</v>
      </c>
      <c r="O863" s="221" t="s">
        <v>2502</v>
      </c>
      <c r="P863" s="221" t="s">
        <v>2503</v>
      </c>
      <c r="Q863" s="221"/>
      <c r="R863" s="221"/>
      <c r="S863" s="221"/>
      <c r="T863" s="221" t="s">
        <v>3258</v>
      </c>
      <c r="U863" s="221">
        <v>0</v>
      </c>
      <c r="V863" s="221" t="s">
        <v>3337</v>
      </c>
      <c r="W863" s="221" t="s">
        <v>3338</v>
      </c>
      <c r="X863" s="221"/>
      <c r="Y863" s="227"/>
      <c r="Z863" s="227" t="str">
        <f t="shared" si="37"/>
        <v>Bedali RW 03 Kromengan</v>
      </c>
      <c r="AA863" s="276" t="e">
        <f>VLOOKUP(Logfile_S12[[#This Row],[DO number]],DO_DB!G:I,3,0)</f>
        <v>#N/A</v>
      </c>
      <c r="AB863" s="331" t="e">
        <f>EXACT(Logfile_S12[[#This Row],[date pick]],Logfile_S12[[#This Row],[Date]])</f>
        <v>#N/A</v>
      </c>
      <c r="AC8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64" spans="1:29" ht="14.5" hidden="1">
      <c r="A864" s="220" t="str">
        <f t="shared" si="36"/>
        <v>860</v>
      </c>
      <c r="B864" s="221"/>
      <c r="C864" s="221" t="s">
        <v>49</v>
      </c>
      <c r="D864" s="221" t="s">
        <v>4297</v>
      </c>
      <c r="E864" s="221" t="s">
        <v>3295</v>
      </c>
      <c r="F864" s="221" t="s">
        <v>3299</v>
      </c>
      <c r="G864" s="222">
        <v>45627</v>
      </c>
      <c r="H864" s="223">
        <v>0.39583333333333331</v>
      </c>
      <c r="I864" s="221" t="s">
        <v>4916</v>
      </c>
      <c r="J864" s="221" t="s">
        <v>3024</v>
      </c>
      <c r="K864" s="224" t="s">
        <v>5137</v>
      </c>
      <c r="L864" s="225" t="str">
        <f>VLOOKUP(Logfile_S12[[#This Row],[Material Name]],Sheet2!B:C,2,0)</f>
        <v>GCI1009</v>
      </c>
      <c r="M864" s="225" t="str">
        <f>_xlfn.XLOOKUP(Logfile_S12[[#This Row],[Material Name]],Sum_WH!E:E,Sum_WH!F:F,"",0)</f>
        <v>Pcs</v>
      </c>
      <c r="N864" s="221">
        <v>50</v>
      </c>
      <c r="O864" s="221" t="s">
        <v>2502</v>
      </c>
      <c r="P864" s="221" t="s">
        <v>2503</v>
      </c>
      <c r="Q864" s="221"/>
      <c r="R864" s="221"/>
      <c r="S864" s="221"/>
      <c r="T864" s="221" t="s">
        <v>3258</v>
      </c>
      <c r="U864" s="221">
        <v>0</v>
      </c>
      <c r="V864" s="221" t="s">
        <v>3337</v>
      </c>
      <c r="W864" s="221" t="s">
        <v>3338</v>
      </c>
      <c r="X864" s="221"/>
      <c r="Y864" s="227"/>
      <c r="Z864" s="227" t="str">
        <f t="shared" si="37"/>
        <v>Bedali RW 03 Kromengan</v>
      </c>
      <c r="AA864" s="276" t="e">
        <f>VLOOKUP(Logfile_S12[[#This Row],[DO number]],DO_DB!G:I,3,0)</f>
        <v>#N/A</v>
      </c>
      <c r="AB864" s="331" t="e">
        <f>EXACT(Logfile_S12[[#This Row],[date pick]],Logfile_S12[[#This Row],[Date]])</f>
        <v>#N/A</v>
      </c>
      <c r="AC8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65" spans="1:29" ht="14.5" hidden="1">
      <c r="A865" s="220" t="str">
        <f t="shared" si="36"/>
        <v>861</v>
      </c>
      <c r="B865" s="221"/>
      <c r="C865" s="221" t="s">
        <v>49</v>
      </c>
      <c r="D865" s="221" t="s">
        <v>4299</v>
      </c>
      <c r="E865" s="221" t="s">
        <v>3295</v>
      </c>
      <c r="F865" s="221" t="s">
        <v>3299</v>
      </c>
      <c r="G865" s="222">
        <v>45635</v>
      </c>
      <c r="H865" s="223">
        <v>0.68888888888888888</v>
      </c>
      <c r="I865" s="221" t="s">
        <v>4916</v>
      </c>
      <c r="J865" s="221" t="s">
        <v>3024</v>
      </c>
      <c r="K865" s="224" t="s">
        <v>5137</v>
      </c>
      <c r="L865" s="225" t="str">
        <f>VLOOKUP(Logfile_S12[[#This Row],[Material Name]],Sheet2!B:C,2,0)</f>
        <v>GCI1009</v>
      </c>
      <c r="M865" s="225" t="str">
        <f>_xlfn.XLOOKUP(Logfile_S12[[#This Row],[Material Name]],Sum_WH!E:E,Sum_WH!F:F,"",0)</f>
        <v>Pcs</v>
      </c>
      <c r="N865" s="221">
        <v>100</v>
      </c>
      <c r="O865" s="221" t="s">
        <v>2502</v>
      </c>
      <c r="P865" s="221" t="s">
        <v>2503</v>
      </c>
      <c r="Q865" s="221"/>
      <c r="R865" s="221"/>
      <c r="S865" s="221"/>
      <c r="T865" s="221" t="s">
        <v>3258</v>
      </c>
      <c r="U865" s="221">
        <v>0</v>
      </c>
      <c r="V865" s="221" t="s">
        <v>3337</v>
      </c>
      <c r="W865" s="221" t="s">
        <v>3338</v>
      </c>
      <c r="X865" s="221"/>
      <c r="Y865" s="227"/>
      <c r="Z865" s="227" t="str">
        <f t="shared" si="37"/>
        <v>Bedali RW 03 Kromengan</v>
      </c>
      <c r="AA865" s="276" t="e">
        <f>VLOOKUP(Logfile_S12[[#This Row],[DO number]],DO_DB!G:I,3,0)</f>
        <v>#N/A</v>
      </c>
      <c r="AB865" s="331" t="e">
        <f>EXACT(Logfile_S12[[#This Row],[date pick]],Logfile_S12[[#This Row],[Date]])</f>
        <v>#N/A</v>
      </c>
      <c r="AC8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66" spans="1:29" ht="14.5" hidden="1">
      <c r="A866" s="220" t="str">
        <f t="shared" si="36"/>
        <v>862</v>
      </c>
      <c r="B866" s="221"/>
      <c r="C866" s="221" t="s">
        <v>49</v>
      </c>
      <c r="D866" s="221" t="s">
        <v>4301</v>
      </c>
      <c r="E866" s="221" t="s">
        <v>3295</v>
      </c>
      <c r="F866" s="221" t="s">
        <v>3299</v>
      </c>
      <c r="G866" s="222">
        <v>45640</v>
      </c>
      <c r="H866" s="223">
        <v>0.48541666666666666</v>
      </c>
      <c r="I866" s="221" t="s">
        <v>4916</v>
      </c>
      <c r="J866" s="221" t="s">
        <v>3024</v>
      </c>
      <c r="K866" s="224" t="s">
        <v>5137</v>
      </c>
      <c r="L866" s="225" t="str">
        <f>VLOOKUP(Logfile_S12[[#This Row],[Material Name]],Sheet2!B:C,2,0)</f>
        <v>GCI1009</v>
      </c>
      <c r="M866" s="225" t="str">
        <f>_xlfn.XLOOKUP(Logfile_S12[[#This Row],[Material Name]],Sum_WH!E:E,Sum_WH!F:F,"",0)</f>
        <v>Pcs</v>
      </c>
      <c r="N866" s="221">
        <v>100</v>
      </c>
      <c r="O866" s="221" t="s">
        <v>2549</v>
      </c>
      <c r="P866" s="221" t="s">
        <v>2550</v>
      </c>
      <c r="Q866" s="221"/>
      <c r="R866" s="221"/>
      <c r="S866" s="221"/>
      <c r="T866" s="221" t="s">
        <v>3258</v>
      </c>
      <c r="U866" s="221">
        <v>0</v>
      </c>
      <c r="V866" s="221" t="s">
        <v>3337</v>
      </c>
      <c r="W866" s="221" t="s">
        <v>3338</v>
      </c>
      <c r="X866" s="221"/>
      <c r="Y866" s="227"/>
      <c r="Z866" s="227" t="str">
        <f t="shared" si="37"/>
        <v>PERMANU RW 01 MALANG</v>
      </c>
      <c r="AA866" s="276" t="e">
        <f>VLOOKUP(Logfile_S12[[#This Row],[DO number]],DO_DB!G:I,3,0)</f>
        <v>#N/A</v>
      </c>
      <c r="AB866" s="331" t="e">
        <f>EXACT(Logfile_S12[[#This Row],[date pick]],Logfile_S12[[#This Row],[Date]])</f>
        <v>#N/A</v>
      </c>
      <c r="AC8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67" spans="1:29" ht="14.5" hidden="1">
      <c r="A867" s="220" t="str">
        <f t="shared" si="36"/>
        <v>863</v>
      </c>
      <c r="B867" s="221"/>
      <c r="C867" s="221" t="s">
        <v>49</v>
      </c>
      <c r="D867" s="221" t="s">
        <v>4301</v>
      </c>
      <c r="E867" s="221" t="s">
        <v>3295</v>
      </c>
      <c r="F867" s="221" t="s">
        <v>3299</v>
      </c>
      <c r="G867" s="222">
        <v>45640</v>
      </c>
      <c r="H867" s="223">
        <v>0.48541666666666666</v>
      </c>
      <c r="I867" s="221" t="s">
        <v>4916</v>
      </c>
      <c r="J867" s="221" t="s">
        <v>3024</v>
      </c>
      <c r="K867" s="224" t="s">
        <v>5137</v>
      </c>
      <c r="L867" s="225" t="str">
        <f>VLOOKUP(Logfile_S12[[#This Row],[Material Name]],Sheet2!B:C,2,0)</f>
        <v>GCI1009</v>
      </c>
      <c r="M867" s="225" t="str">
        <f>_xlfn.XLOOKUP(Logfile_S12[[#This Row],[Material Name]],Sum_WH!E:E,Sum_WH!F:F,"",0)</f>
        <v>Pcs</v>
      </c>
      <c r="N867" s="221">
        <v>100</v>
      </c>
      <c r="O867" s="221" t="s">
        <v>2535</v>
      </c>
      <c r="P867" s="221" t="s">
        <v>3422</v>
      </c>
      <c r="Q867" s="221"/>
      <c r="R867" s="221"/>
      <c r="S867" s="221"/>
      <c r="T867" s="221" t="s">
        <v>3258</v>
      </c>
      <c r="U867" s="221">
        <v>0</v>
      </c>
      <c r="V867" s="221" t="s">
        <v>3337</v>
      </c>
      <c r="W867" s="221" t="s">
        <v>3338</v>
      </c>
      <c r="X867" s="221"/>
      <c r="Y867" s="227"/>
      <c r="Z867" s="227" t="str">
        <f t="shared" si="37"/>
        <v>DUSUN CUPAK RW 01</v>
      </c>
      <c r="AA867" s="276" t="e">
        <f>VLOOKUP(Logfile_S12[[#This Row],[DO number]],DO_DB!G:I,3,0)</f>
        <v>#N/A</v>
      </c>
      <c r="AB867" s="331" t="e">
        <f>EXACT(Logfile_S12[[#This Row],[date pick]],Logfile_S12[[#This Row],[Date]])</f>
        <v>#N/A</v>
      </c>
      <c r="AC8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68" spans="1:29" ht="14.5" hidden="1">
      <c r="A868" s="220" t="str">
        <f t="shared" si="36"/>
        <v>864</v>
      </c>
      <c r="B868" s="221"/>
      <c r="C868" s="221" t="s">
        <v>49</v>
      </c>
      <c r="D868" s="221" t="s">
        <v>4302</v>
      </c>
      <c r="E868" s="221" t="s">
        <v>3295</v>
      </c>
      <c r="F868" s="221" t="s">
        <v>3299</v>
      </c>
      <c r="G868" s="222">
        <v>45641</v>
      </c>
      <c r="H868" s="223">
        <v>0.64513888888888893</v>
      </c>
      <c r="I868" s="221" t="s">
        <v>4916</v>
      </c>
      <c r="J868" s="221" t="s">
        <v>3024</v>
      </c>
      <c r="K868" s="224" t="s">
        <v>5137</v>
      </c>
      <c r="L868" s="225" t="str">
        <f>VLOOKUP(Logfile_S12[[#This Row],[Material Name]],Sheet2!B:C,2,0)</f>
        <v>GCI1009</v>
      </c>
      <c r="M868" s="225" t="str">
        <f>_xlfn.XLOOKUP(Logfile_S12[[#This Row],[Material Name]],Sum_WH!E:E,Sum_WH!F:F,"",0)</f>
        <v>Pcs</v>
      </c>
      <c r="N868" s="221">
        <v>30</v>
      </c>
      <c r="O868" s="221" t="s">
        <v>2013</v>
      </c>
      <c r="P868" s="221" t="s">
        <v>2014</v>
      </c>
      <c r="Q868" s="221"/>
      <c r="R868" s="221"/>
      <c r="S868" s="221"/>
      <c r="T868" s="221" t="s">
        <v>3231</v>
      </c>
      <c r="U868" s="221">
        <v>0</v>
      </c>
      <c r="V868" s="221" t="s">
        <v>3375</v>
      </c>
      <c r="W868" s="221" t="s">
        <v>3249</v>
      </c>
      <c r="X868" s="221"/>
      <c r="Y868" s="227"/>
      <c r="Z868" s="227" t="str">
        <f t="shared" si="37"/>
        <v>Perumahan Panca Garden</v>
      </c>
      <c r="AA868" s="276" t="e">
        <f>VLOOKUP(Logfile_S12[[#This Row],[DO number]],DO_DB!G:I,3,0)</f>
        <v>#N/A</v>
      </c>
      <c r="AB868" s="331" t="e">
        <f>EXACT(Logfile_S12[[#This Row],[date pick]],Logfile_S12[[#This Row],[Date]])</f>
        <v>#N/A</v>
      </c>
      <c r="AC8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69" spans="1:29" ht="14.5" hidden="1">
      <c r="A869" s="220" t="str">
        <f t="shared" si="36"/>
        <v>865</v>
      </c>
      <c r="B869" s="221"/>
      <c r="C869" s="221" t="s">
        <v>48</v>
      </c>
      <c r="D869" s="221" t="s">
        <v>4318</v>
      </c>
      <c r="E869" s="221" t="s">
        <v>3295</v>
      </c>
      <c r="F869" s="221" t="s">
        <v>3299</v>
      </c>
      <c r="G869" s="222">
        <v>45656</v>
      </c>
      <c r="H869" s="223">
        <v>15.291666666666666</v>
      </c>
      <c r="I869" s="221" t="s">
        <v>38</v>
      </c>
      <c r="J869" s="221" t="s">
        <v>3024</v>
      </c>
      <c r="K869" s="224" t="s">
        <v>5137</v>
      </c>
      <c r="L869" s="225" t="str">
        <f>VLOOKUP(Logfile_S12[[#This Row],[Material Name]],Sheet2!B:C,2,0)</f>
        <v>GCI1009</v>
      </c>
      <c r="M869" s="225" t="str">
        <f>_xlfn.XLOOKUP(Logfile_S12[[#This Row],[Material Name]],Sum_WH!E:E,Sum_WH!F:F,"",0)</f>
        <v>Pcs</v>
      </c>
      <c r="N869" s="221">
        <v>304</v>
      </c>
      <c r="O869" s="221">
        <v>0</v>
      </c>
      <c r="P869" s="221">
        <v>0</v>
      </c>
      <c r="Q869" s="221">
        <v>0</v>
      </c>
      <c r="R869" s="221">
        <v>0</v>
      </c>
      <c r="S869" s="221"/>
      <c r="T869" s="221"/>
      <c r="U869" s="221"/>
      <c r="V869" s="221"/>
      <c r="W869" s="221"/>
      <c r="X869" s="221"/>
      <c r="Y869" s="227"/>
      <c r="Z869" s="227">
        <f t="shared" si="37"/>
        <v>0</v>
      </c>
      <c r="AA869" s="276" t="e">
        <f>VLOOKUP(Logfile_S12[[#This Row],[DO number]],DO_DB!G:I,3,0)</f>
        <v>#N/A</v>
      </c>
      <c r="AB869" s="331" t="e">
        <f>EXACT(Logfile_S12[[#This Row],[date pick]],Logfile_S12[[#This Row],[Date]])</f>
        <v>#N/A</v>
      </c>
      <c r="AC8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70" spans="1:29" ht="14.5" hidden="1">
      <c r="A870" s="220" t="str">
        <f t="shared" si="36"/>
        <v>866</v>
      </c>
      <c r="B870" s="221"/>
      <c r="C870" s="221" t="s">
        <v>49</v>
      </c>
      <c r="D870" s="221" t="s">
        <v>4316</v>
      </c>
      <c r="E870" s="221" t="s">
        <v>3295</v>
      </c>
      <c r="F870" s="221" t="s">
        <v>3299</v>
      </c>
      <c r="G870" s="222">
        <v>45656</v>
      </c>
      <c r="H870" s="223">
        <v>0.40625</v>
      </c>
      <c r="I870" s="221" t="s">
        <v>4916</v>
      </c>
      <c r="J870" s="221" t="s">
        <v>3024</v>
      </c>
      <c r="K870" s="224" t="s">
        <v>5137</v>
      </c>
      <c r="L870" s="225" t="str">
        <f>VLOOKUP(Logfile_S12[[#This Row],[Material Name]],Sheet2!B:C,2,0)</f>
        <v>GCI1009</v>
      </c>
      <c r="M870" s="225" t="str">
        <f>_xlfn.XLOOKUP(Logfile_S12[[#This Row],[Material Name]],Sum_WH!E:E,Sum_WH!F:F,"",0)</f>
        <v>Pcs</v>
      </c>
      <c r="N870" s="221">
        <v>104</v>
      </c>
      <c r="O870" s="221" t="s">
        <v>3377</v>
      </c>
      <c r="P870" s="221" t="s">
        <v>3378</v>
      </c>
      <c r="Q870" s="221"/>
      <c r="R870" s="221"/>
      <c r="S870" s="221"/>
      <c r="T870" s="221" t="s">
        <v>3258</v>
      </c>
      <c r="U870" s="221">
        <v>0</v>
      </c>
      <c r="V870" s="221" t="s">
        <v>3337</v>
      </c>
      <c r="W870" s="221" t="s">
        <v>3338</v>
      </c>
      <c r="X870" s="221"/>
      <c r="Y870" s="227"/>
      <c r="Z870" s="227" t="str">
        <f t="shared" si="37"/>
        <v>Perum Chandra Kirana Watugede</v>
      </c>
      <c r="AA870" s="276" t="e">
        <f>VLOOKUP(Logfile_S12[[#This Row],[DO number]],DO_DB!G:I,3,0)</f>
        <v>#N/A</v>
      </c>
      <c r="AB870" s="331" t="e">
        <f>EXACT(Logfile_S12[[#This Row],[date pick]],Logfile_S12[[#This Row],[Date]])</f>
        <v>#N/A</v>
      </c>
      <c r="AC8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71" spans="1:29" ht="14.5" hidden="1">
      <c r="A871" s="220" t="str">
        <f t="shared" si="36"/>
        <v>867</v>
      </c>
      <c r="B871" s="221"/>
      <c r="C871" s="221" t="s">
        <v>49</v>
      </c>
      <c r="D871" s="221" t="s">
        <v>4319</v>
      </c>
      <c r="E871" s="221" t="s">
        <v>3295</v>
      </c>
      <c r="F871" s="221" t="s">
        <v>3299</v>
      </c>
      <c r="G871" s="222">
        <v>45665</v>
      </c>
      <c r="H871" s="223">
        <v>0.69374999999999998</v>
      </c>
      <c r="I871" s="221" t="s">
        <v>4916</v>
      </c>
      <c r="J871" s="221" t="s">
        <v>3024</v>
      </c>
      <c r="K871" s="224" t="s">
        <v>5137</v>
      </c>
      <c r="L871" s="225" t="str">
        <f>VLOOKUP(Logfile_S12[[#This Row],[Material Name]],Sheet2!B:C,2,0)</f>
        <v>GCI1009</v>
      </c>
      <c r="M871" s="225" t="str">
        <f>_xlfn.XLOOKUP(Logfile_S12[[#This Row],[Material Name]],Sum_WH!E:E,Sum_WH!F:F,"",0)</f>
        <v>Pcs</v>
      </c>
      <c r="N871" s="221">
        <v>100</v>
      </c>
      <c r="O871" s="221" t="s">
        <v>2360</v>
      </c>
      <c r="P871" s="221" t="s">
        <v>2361</v>
      </c>
      <c r="Q871" s="221"/>
      <c r="R871" s="221"/>
      <c r="S871" s="221"/>
      <c r="T871" s="221" t="s">
        <v>3258</v>
      </c>
      <c r="U871" s="221">
        <v>0</v>
      </c>
      <c r="V871" s="221" t="s">
        <v>3337</v>
      </c>
      <c r="W871" s="221" t="s">
        <v>3338</v>
      </c>
      <c r="X871" s="221"/>
      <c r="Y871" s="227"/>
      <c r="Z871" s="227" t="str">
        <f t="shared" si="37"/>
        <v>Tambakasri RW 02 Tajinan</v>
      </c>
      <c r="AA871" s="276" t="e">
        <f>VLOOKUP(Logfile_S12[[#This Row],[DO number]],DO_DB!G:I,3,0)</f>
        <v>#N/A</v>
      </c>
      <c r="AB871" s="331" t="e">
        <f>EXACT(Logfile_S12[[#This Row],[date pick]],Logfile_S12[[#This Row],[Date]])</f>
        <v>#N/A</v>
      </c>
      <c r="AC8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72" spans="1:29" ht="14.5" hidden="1">
      <c r="A872" s="220" t="str">
        <f t="shared" si="36"/>
        <v>868</v>
      </c>
      <c r="B872" s="221"/>
      <c r="C872" s="221" t="s">
        <v>49</v>
      </c>
      <c r="D872" s="221" t="s">
        <v>4329</v>
      </c>
      <c r="E872" s="221" t="s">
        <v>3295</v>
      </c>
      <c r="F872" s="221" t="s">
        <v>3299</v>
      </c>
      <c r="G872" s="222">
        <v>45694</v>
      </c>
      <c r="H872" s="223">
        <v>0.39930555555555558</v>
      </c>
      <c r="I872" s="221" t="s">
        <v>4916</v>
      </c>
      <c r="J872" s="221" t="s">
        <v>3024</v>
      </c>
      <c r="K872" s="224" t="s">
        <v>5137</v>
      </c>
      <c r="L872" s="225" t="str">
        <f>VLOOKUP(Logfile_S12[[#This Row],[Material Name]],Sheet2!B:C,2,0)</f>
        <v>GCI1009</v>
      </c>
      <c r="M872" s="225" t="str">
        <f>_xlfn.XLOOKUP(Logfile_S12[[#This Row],[Material Name]],Sum_WH!E:E,Sum_WH!F:F,"",0)</f>
        <v>Pcs</v>
      </c>
      <c r="N872" s="221">
        <v>30</v>
      </c>
      <c r="O872" s="221" t="s">
        <v>2633</v>
      </c>
      <c r="P872" s="221" t="s">
        <v>3410</v>
      </c>
      <c r="Q872" s="221"/>
      <c r="R872" s="221"/>
      <c r="S872" s="221"/>
      <c r="T872" s="221" t="s">
        <v>3258</v>
      </c>
      <c r="U872" s="221">
        <v>0</v>
      </c>
      <c r="V872" s="221" t="s">
        <v>3337</v>
      </c>
      <c r="W872" s="221" t="s">
        <v>3338</v>
      </c>
      <c r="X872" s="221"/>
      <c r="Y872" s="227"/>
      <c r="Z872" s="227" t="str">
        <f t="shared" si="37"/>
        <v>PERUMAHAN DE WIRA GREEN VIEW</v>
      </c>
      <c r="AA872" s="276" t="e">
        <f>VLOOKUP(Logfile_S12[[#This Row],[DO number]],DO_DB!G:I,3,0)</f>
        <v>#N/A</v>
      </c>
      <c r="AB872" s="331" t="e">
        <f>EXACT(Logfile_S12[[#This Row],[date pick]],Logfile_S12[[#This Row],[Date]])</f>
        <v>#N/A</v>
      </c>
      <c r="AC8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73" spans="1:29" ht="14.5" hidden="1">
      <c r="A873" s="220" t="str">
        <f t="shared" si="36"/>
        <v>869</v>
      </c>
      <c r="B873" s="221"/>
      <c r="C873" s="221" t="s">
        <v>49</v>
      </c>
      <c r="D873" s="221" t="s">
        <v>4331</v>
      </c>
      <c r="E873" s="221" t="s">
        <v>3295</v>
      </c>
      <c r="F873" s="221" t="s">
        <v>3299</v>
      </c>
      <c r="G873" s="222">
        <v>45703</v>
      </c>
      <c r="H873" s="223">
        <v>0.39930555555555558</v>
      </c>
      <c r="I873" s="221" t="s">
        <v>4916</v>
      </c>
      <c r="J873" s="221" t="s">
        <v>3024</v>
      </c>
      <c r="K873" s="224" t="s">
        <v>5137</v>
      </c>
      <c r="L873" s="225" t="str">
        <f>VLOOKUP(Logfile_S12[[#This Row],[Material Name]],Sheet2!B:C,2,0)</f>
        <v>GCI1009</v>
      </c>
      <c r="M873" s="225" t="str">
        <f>_xlfn.XLOOKUP(Logfile_S12[[#This Row],[Material Name]],Sum_WH!E:E,Sum_WH!F:F,"",0)</f>
        <v>Pcs</v>
      </c>
      <c r="N873" s="221">
        <v>2</v>
      </c>
      <c r="O873" s="221" t="s">
        <v>1929</v>
      </c>
      <c r="P873" s="221" t="s">
        <v>1930</v>
      </c>
      <c r="Q873" s="221"/>
      <c r="R873" s="221"/>
      <c r="S873" s="221"/>
      <c r="T873" s="221" t="s">
        <v>3231</v>
      </c>
      <c r="U873" s="221">
        <v>0</v>
      </c>
      <c r="V873" s="221" t="s">
        <v>3375</v>
      </c>
      <c r="W873" s="221" t="s">
        <v>3249</v>
      </c>
      <c r="X873" s="221"/>
      <c r="Y873" s="227"/>
      <c r="Z873" s="227" t="str">
        <f t="shared" si="37"/>
        <v>Dusun Krajan Sumbersekar</v>
      </c>
      <c r="AA873" s="276" t="e">
        <f>VLOOKUP(Logfile_S12[[#This Row],[DO number]],DO_DB!G:I,3,0)</f>
        <v>#N/A</v>
      </c>
      <c r="AB873" s="331" t="e">
        <f>EXACT(Logfile_S12[[#This Row],[date pick]],Logfile_S12[[#This Row],[Date]])</f>
        <v>#N/A</v>
      </c>
      <c r="AC8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74" spans="1:29" ht="14.5" hidden="1">
      <c r="A874" s="220" t="str">
        <f t="shared" si="36"/>
        <v>870</v>
      </c>
      <c r="B874" s="221"/>
      <c r="C874" s="221" t="s">
        <v>49</v>
      </c>
      <c r="D874" s="221" t="s">
        <v>4332</v>
      </c>
      <c r="E874" s="221" t="s">
        <v>3295</v>
      </c>
      <c r="F874" s="221" t="s">
        <v>3299</v>
      </c>
      <c r="G874" s="222">
        <v>45707</v>
      </c>
      <c r="H874" s="223">
        <v>0.39930555555555558</v>
      </c>
      <c r="I874" s="221" t="s">
        <v>4916</v>
      </c>
      <c r="J874" s="221" t="s">
        <v>3024</v>
      </c>
      <c r="K874" s="224" t="s">
        <v>5137</v>
      </c>
      <c r="L874" s="225" t="str">
        <f>VLOOKUP(Logfile_S12[[#This Row],[Material Name]],Sheet2!B:C,2,0)</f>
        <v>GCI1009</v>
      </c>
      <c r="M874" s="225" t="str">
        <f>_xlfn.XLOOKUP(Logfile_S12[[#This Row],[Material Name]],Sum_WH!E:E,Sum_WH!F:F,"",0)</f>
        <v>Pcs</v>
      </c>
      <c r="N874" s="221">
        <v>60</v>
      </c>
      <c r="O874" s="221" t="s">
        <v>2648</v>
      </c>
      <c r="P874" s="221" t="s">
        <v>2649</v>
      </c>
      <c r="Q874" s="221"/>
      <c r="R874" s="221"/>
      <c r="S874" s="221"/>
      <c r="T874" s="221" t="s">
        <v>3258</v>
      </c>
      <c r="U874" s="221">
        <v>0</v>
      </c>
      <c r="V874" s="221" t="s">
        <v>3337</v>
      </c>
      <c r="W874" s="221" t="s">
        <v>3338</v>
      </c>
      <c r="X874" s="221"/>
      <c r="Y874" s="227"/>
      <c r="Z874" s="227" t="str">
        <f t="shared" si="37"/>
        <v>Sitirejo RW 04 Wagir</v>
      </c>
      <c r="AA874" s="276" t="e">
        <f>VLOOKUP(Logfile_S12[[#This Row],[DO number]],DO_DB!G:I,3,0)</f>
        <v>#N/A</v>
      </c>
      <c r="AB874" s="331" t="e">
        <f>EXACT(Logfile_S12[[#This Row],[date pick]],Logfile_S12[[#This Row],[Date]])</f>
        <v>#N/A</v>
      </c>
      <c r="AC8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75" spans="1:29" ht="14.5" hidden="1">
      <c r="A875" s="220" t="str">
        <f t="shared" si="36"/>
        <v>871</v>
      </c>
      <c r="B875" s="221"/>
      <c r="C875" s="221" t="s">
        <v>49</v>
      </c>
      <c r="D875" s="221" t="s">
        <v>4338</v>
      </c>
      <c r="E875" s="221" t="s">
        <v>3295</v>
      </c>
      <c r="F875" s="221" t="s">
        <v>3299</v>
      </c>
      <c r="G875" s="222">
        <v>45709</v>
      </c>
      <c r="H875" s="223">
        <v>0.39930555555555558</v>
      </c>
      <c r="I875" s="221" t="s">
        <v>4916</v>
      </c>
      <c r="J875" s="221" t="s">
        <v>3024</v>
      </c>
      <c r="K875" s="224" t="s">
        <v>5137</v>
      </c>
      <c r="L875" s="225" t="str">
        <f>VLOOKUP(Logfile_S12[[#This Row],[Material Name]],Sheet2!B:C,2,0)</f>
        <v>GCI1009</v>
      </c>
      <c r="M875" s="225" t="str">
        <f>_xlfn.XLOOKUP(Logfile_S12[[#This Row],[Material Name]],Sum_WH!E:E,Sum_WH!F:F,"",0)</f>
        <v>Pcs</v>
      </c>
      <c r="N875" s="221">
        <v>20</v>
      </c>
      <c r="O875" s="221" t="s">
        <v>2007</v>
      </c>
      <c r="P875" s="221" t="s">
        <v>2008</v>
      </c>
      <c r="Q875" s="221"/>
      <c r="R875" s="221"/>
      <c r="S875" s="221"/>
      <c r="T875" s="221" t="s">
        <v>3231</v>
      </c>
      <c r="U875" s="221">
        <v>0</v>
      </c>
      <c r="V875" s="221" t="s">
        <v>3375</v>
      </c>
      <c r="W875" s="221" t="s">
        <v>3249</v>
      </c>
      <c r="X875" s="221"/>
      <c r="Y875" s="227"/>
      <c r="Z875" s="227" t="str">
        <f t="shared" si="37"/>
        <v>Ngenep RW 06 Karang Ploso</v>
      </c>
      <c r="AA875" s="276" t="e">
        <f>VLOOKUP(Logfile_S12[[#This Row],[DO number]],DO_DB!G:I,3,0)</f>
        <v>#N/A</v>
      </c>
      <c r="AB875" s="331" t="e">
        <f>EXACT(Logfile_S12[[#This Row],[date pick]],Logfile_S12[[#This Row],[Date]])</f>
        <v>#N/A</v>
      </c>
      <c r="AC8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76" spans="1:29" ht="14.5" hidden="1">
      <c r="A876" s="220" t="str">
        <f t="shared" si="36"/>
        <v>872</v>
      </c>
      <c r="B876" s="221"/>
      <c r="C876" s="221" t="s">
        <v>49</v>
      </c>
      <c r="D876" s="221" t="s">
        <v>4342</v>
      </c>
      <c r="E876" s="221" t="s">
        <v>3295</v>
      </c>
      <c r="F876" s="221" t="s">
        <v>3299</v>
      </c>
      <c r="G876" s="222">
        <v>45710</v>
      </c>
      <c r="H876" s="223">
        <v>0.35347222222222224</v>
      </c>
      <c r="I876" s="221" t="s">
        <v>4916</v>
      </c>
      <c r="J876" s="221" t="s">
        <v>3024</v>
      </c>
      <c r="K876" s="224" t="s">
        <v>5137</v>
      </c>
      <c r="L876" s="225" t="str">
        <f>VLOOKUP(Logfile_S12[[#This Row],[Material Name]],Sheet2!B:C,2,0)</f>
        <v>GCI1009</v>
      </c>
      <c r="M876" s="225" t="str">
        <f>_xlfn.XLOOKUP(Logfile_S12[[#This Row],[Material Name]],Sum_WH!E:E,Sum_WH!F:F,"",0)</f>
        <v>Pcs</v>
      </c>
      <c r="N876" s="221">
        <v>8</v>
      </c>
      <c r="O876" s="221" t="s">
        <v>1929</v>
      </c>
      <c r="P876" s="221" t="s">
        <v>1930</v>
      </c>
      <c r="Q876" s="221"/>
      <c r="R876" s="221"/>
      <c r="S876" s="221"/>
      <c r="T876" s="221" t="s">
        <v>3231</v>
      </c>
      <c r="U876" s="221">
        <v>0</v>
      </c>
      <c r="V876" s="221" t="s">
        <v>3375</v>
      </c>
      <c r="W876" s="221" t="s">
        <v>3249</v>
      </c>
      <c r="X876" s="221"/>
      <c r="Y876" s="227"/>
      <c r="Z876" s="227" t="str">
        <f t="shared" si="37"/>
        <v>Dusun Krajan Sumbersekar</v>
      </c>
      <c r="AA876" s="276" t="e">
        <f>VLOOKUP(Logfile_S12[[#This Row],[DO number]],DO_DB!G:I,3,0)</f>
        <v>#N/A</v>
      </c>
      <c r="AB876" s="331" t="e">
        <f>EXACT(Logfile_S12[[#This Row],[date pick]],Logfile_S12[[#This Row],[Date]])</f>
        <v>#N/A</v>
      </c>
      <c r="AC8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77" spans="1:29" ht="14.5" hidden="1">
      <c r="A877" s="220" t="str">
        <f t="shared" si="36"/>
        <v>873</v>
      </c>
      <c r="B877" s="221"/>
      <c r="C877" s="221" t="s">
        <v>49</v>
      </c>
      <c r="D877" s="221" t="s">
        <v>4343</v>
      </c>
      <c r="E877" s="221" t="s">
        <v>3295</v>
      </c>
      <c r="F877" s="221" t="s">
        <v>3299</v>
      </c>
      <c r="G877" s="222">
        <v>45712</v>
      </c>
      <c r="H877" s="223">
        <v>0.63124999999999998</v>
      </c>
      <c r="I877" s="221" t="s">
        <v>4916</v>
      </c>
      <c r="J877" s="221" t="s">
        <v>3024</v>
      </c>
      <c r="K877" s="224" t="s">
        <v>5137</v>
      </c>
      <c r="L877" s="225" t="str">
        <f>VLOOKUP(Logfile_S12[[#This Row],[Material Name]],Sheet2!B:C,2,0)</f>
        <v>GCI1009</v>
      </c>
      <c r="M877" s="225" t="str">
        <f>_xlfn.XLOOKUP(Logfile_S12[[#This Row],[Material Name]],Sum_WH!E:E,Sum_WH!F:F,"",0)</f>
        <v>Pcs</v>
      </c>
      <c r="N877" s="221">
        <v>70</v>
      </c>
      <c r="O877" s="221" t="s">
        <v>2648</v>
      </c>
      <c r="P877" s="221" t="s">
        <v>2649</v>
      </c>
      <c r="Q877" s="221"/>
      <c r="R877" s="221"/>
      <c r="S877" s="221"/>
      <c r="T877" s="221" t="s">
        <v>3258</v>
      </c>
      <c r="U877" s="221">
        <v>0</v>
      </c>
      <c r="V877" s="221" t="s">
        <v>3337</v>
      </c>
      <c r="W877" s="221" t="s">
        <v>3338</v>
      </c>
      <c r="X877" s="221"/>
      <c r="Y877" s="227"/>
      <c r="Z877" s="227" t="str">
        <f t="shared" si="37"/>
        <v>Sitirejo RW 04 Wagir</v>
      </c>
      <c r="AA877" s="276" t="e">
        <f>VLOOKUP(Logfile_S12[[#This Row],[DO number]],DO_DB!G:I,3,0)</f>
        <v>#N/A</v>
      </c>
      <c r="AB877" s="331" t="e">
        <f>EXACT(Logfile_S12[[#This Row],[date pick]],Logfile_S12[[#This Row],[Date]])</f>
        <v>#N/A</v>
      </c>
      <c r="AC8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78" spans="1:29" ht="14.5" hidden="1">
      <c r="A878" s="220" t="str">
        <f t="shared" si="36"/>
        <v>874</v>
      </c>
      <c r="B878" s="221"/>
      <c r="C878" s="221" t="s">
        <v>49</v>
      </c>
      <c r="D878" s="221" t="s">
        <v>4356</v>
      </c>
      <c r="E878" s="221" t="s">
        <v>3295</v>
      </c>
      <c r="F878" s="221" t="s">
        <v>3299</v>
      </c>
      <c r="G878" s="222">
        <v>45738</v>
      </c>
      <c r="H878" s="223">
        <v>0.67291666666666672</v>
      </c>
      <c r="I878" s="221" t="s">
        <v>4916</v>
      </c>
      <c r="J878" s="221" t="s">
        <v>3024</v>
      </c>
      <c r="K878" s="224" t="s">
        <v>5137</v>
      </c>
      <c r="L878" s="225" t="str">
        <f>VLOOKUP(Logfile_S12[[#This Row],[Material Name]],Sheet2!B:C,2,0)</f>
        <v>GCI1009</v>
      </c>
      <c r="M878" s="225" t="str">
        <f>_xlfn.XLOOKUP(Logfile_S12[[#This Row],[Material Name]],Sum_WH!E:E,Sum_WH!F:F,"",0)</f>
        <v>Pcs</v>
      </c>
      <c r="N878" s="221">
        <v>160</v>
      </c>
      <c r="O878" s="221" t="s">
        <v>2664</v>
      </c>
      <c r="P878" s="221" t="s">
        <v>2665</v>
      </c>
      <c r="Q878" s="221"/>
      <c r="R878" s="221"/>
      <c r="S878" s="221"/>
      <c r="T878" s="221" t="s">
        <v>3258</v>
      </c>
      <c r="U878" s="221">
        <v>0</v>
      </c>
      <c r="V878" s="221" t="s">
        <v>3337</v>
      </c>
      <c r="W878" s="221" t="s">
        <v>3338</v>
      </c>
      <c r="X878" s="221"/>
      <c r="Y878" s="227"/>
      <c r="Z878" s="227" t="str">
        <f t="shared" si="37"/>
        <v>Temas RW 04</v>
      </c>
      <c r="AA878" s="276" t="e">
        <f>VLOOKUP(Logfile_S12[[#This Row],[DO number]],DO_DB!G:I,3,0)</f>
        <v>#N/A</v>
      </c>
      <c r="AB878" s="331" t="e">
        <f>EXACT(Logfile_S12[[#This Row],[date pick]],Logfile_S12[[#This Row],[Date]])</f>
        <v>#N/A</v>
      </c>
      <c r="AC8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79" spans="1:29" ht="14.5" hidden="1">
      <c r="A879" s="220" t="str">
        <f t="shared" si="36"/>
        <v>875</v>
      </c>
      <c r="B879" s="221"/>
      <c r="C879" s="221" t="s">
        <v>49</v>
      </c>
      <c r="D879" s="221" t="s">
        <v>4360</v>
      </c>
      <c r="E879" s="221" t="s">
        <v>3295</v>
      </c>
      <c r="F879" s="221" t="s">
        <v>3299</v>
      </c>
      <c r="G879" s="222">
        <v>45741</v>
      </c>
      <c r="H879" s="223">
        <v>0.83125000000000004</v>
      </c>
      <c r="I879" s="221" t="s">
        <v>4916</v>
      </c>
      <c r="J879" s="221" t="s">
        <v>3024</v>
      </c>
      <c r="K879" s="224" t="s">
        <v>5137</v>
      </c>
      <c r="L879" s="225" t="str">
        <f>VLOOKUP(Logfile_S12[[#This Row],[Material Name]],Sheet2!B:C,2,0)</f>
        <v>GCI1009</v>
      </c>
      <c r="M879" s="225" t="str">
        <f>_xlfn.XLOOKUP(Logfile_S12[[#This Row],[Material Name]],Sum_WH!E:E,Sum_WH!F:F,"",0)</f>
        <v>Pcs</v>
      </c>
      <c r="N879" s="221">
        <v>56</v>
      </c>
      <c r="O879" s="221" t="s">
        <v>2664</v>
      </c>
      <c r="P879" s="221" t="s">
        <v>2665</v>
      </c>
      <c r="Q879" s="221"/>
      <c r="R879" s="221"/>
      <c r="S879" s="221"/>
      <c r="T879" s="221" t="s">
        <v>3258</v>
      </c>
      <c r="U879" s="221">
        <v>0</v>
      </c>
      <c r="V879" s="221" t="s">
        <v>3337</v>
      </c>
      <c r="W879" s="221" t="s">
        <v>3338</v>
      </c>
      <c r="X879" s="221"/>
      <c r="Y879" s="227"/>
      <c r="Z879" s="227" t="str">
        <f t="shared" si="37"/>
        <v>Temas RW 04</v>
      </c>
      <c r="AA879" s="276" t="e">
        <f>VLOOKUP(Logfile_S12[[#This Row],[DO number]],DO_DB!G:I,3,0)</f>
        <v>#N/A</v>
      </c>
      <c r="AB879" s="331" t="e">
        <f>EXACT(Logfile_S12[[#This Row],[date pick]],Logfile_S12[[#This Row],[Date]])</f>
        <v>#N/A</v>
      </c>
      <c r="AC8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80" spans="1:29" ht="14.5" hidden="1">
      <c r="A880" s="220" t="str">
        <f t="shared" si="36"/>
        <v>876</v>
      </c>
      <c r="B880" s="221"/>
      <c r="C880" s="221" t="s">
        <v>49</v>
      </c>
      <c r="D880" s="221" t="s">
        <v>4372</v>
      </c>
      <c r="E880" s="221" t="s">
        <v>3295</v>
      </c>
      <c r="F880" s="221" t="s">
        <v>3299</v>
      </c>
      <c r="G880" s="222">
        <v>45822</v>
      </c>
      <c r="H880" s="223">
        <v>0.5395833333333333</v>
      </c>
      <c r="I880" s="221" t="s">
        <v>4916</v>
      </c>
      <c r="J880" s="221" t="s">
        <v>3024</v>
      </c>
      <c r="K880" s="224" t="s">
        <v>5137</v>
      </c>
      <c r="L880" s="225" t="str">
        <f>VLOOKUP(Logfile_S12[[#This Row],[Material Name]],Sheet2!B:C,2,0)</f>
        <v>GCI1009</v>
      </c>
      <c r="M880" s="225" t="str">
        <f>_xlfn.XLOOKUP(Logfile_S12[[#This Row],[Material Name]],Sum_WH!E:E,Sum_WH!F:F,"",0)</f>
        <v>Pcs</v>
      </c>
      <c r="N880" s="221">
        <v>150</v>
      </c>
      <c r="O880" s="221">
        <v>0</v>
      </c>
      <c r="P880" s="221" t="s">
        <v>3381</v>
      </c>
      <c r="Q880" s="221"/>
      <c r="R880" s="221"/>
      <c r="S880" s="221"/>
      <c r="T880" s="221" t="s">
        <v>3258</v>
      </c>
      <c r="U880" s="221">
        <v>0</v>
      </c>
      <c r="V880" s="221" t="s">
        <v>3337</v>
      </c>
      <c r="W880" s="221" t="s">
        <v>3338</v>
      </c>
      <c r="X880" s="221"/>
      <c r="Y880" s="227"/>
      <c r="Z880" s="227" t="str">
        <f t="shared" si="37"/>
        <v>Kebonagung RW 01</v>
      </c>
      <c r="AA880" s="276" t="e">
        <f>VLOOKUP(Logfile_S12[[#This Row],[DO number]],DO_DB!G:I,3,0)</f>
        <v>#N/A</v>
      </c>
      <c r="AB880" s="331" t="e">
        <f>EXACT(Logfile_S12[[#This Row],[date pick]],Logfile_S12[[#This Row],[Date]])</f>
        <v>#N/A</v>
      </c>
      <c r="AC8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81" spans="1:29" ht="14.5" hidden="1">
      <c r="A881" s="220" t="str">
        <f t="shared" si="36"/>
        <v>877</v>
      </c>
      <c r="B881" s="221"/>
      <c r="C881" s="221" t="s">
        <v>49</v>
      </c>
      <c r="D881" s="221" t="s">
        <v>4375</v>
      </c>
      <c r="E881" s="221" t="s">
        <v>3295</v>
      </c>
      <c r="F881" s="221" t="s">
        <v>3299</v>
      </c>
      <c r="G881" s="222">
        <v>45827</v>
      </c>
      <c r="H881" s="223">
        <v>0.53541666666666665</v>
      </c>
      <c r="I881" s="221" t="s">
        <v>4916</v>
      </c>
      <c r="J881" s="221" t="s">
        <v>3024</v>
      </c>
      <c r="K881" s="224" t="s">
        <v>5137</v>
      </c>
      <c r="L881" s="225" t="str">
        <f>VLOOKUP(Logfile_S12[[#This Row],[Material Name]],Sheet2!B:C,2,0)</f>
        <v>GCI1009</v>
      </c>
      <c r="M881" s="225" t="str">
        <f>_xlfn.XLOOKUP(Logfile_S12[[#This Row],[Material Name]],Sum_WH!E:E,Sum_WH!F:F,"",0)</f>
        <v>Pcs</v>
      </c>
      <c r="N881" s="221">
        <v>42</v>
      </c>
      <c r="O881" s="221">
        <v>0</v>
      </c>
      <c r="P881" s="221" t="s">
        <v>3382</v>
      </c>
      <c r="Q881" s="221"/>
      <c r="R881" s="221"/>
      <c r="S881" s="221"/>
      <c r="T881" s="221" t="s">
        <v>3231</v>
      </c>
      <c r="U881" s="221">
        <v>0</v>
      </c>
      <c r="V881" s="221" t="s">
        <v>3375</v>
      </c>
      <c r="W881" s="221" t="s">
        <v>3249</v>
      </c>
      <c r="X881" s="221"/>
      <c r="Y881" s="227"/>
      <c r="Z881" s="227" t="str">
        <f t="shared" si="37"/>
        <v>Pncokusumo</v>
      </c>
      <c r="AA881" s="276" t="e">
        <f>VLOOKUP(Logfile_S12[[#This Row],[DO number]],DO_DB!G:I,3,0)</f>
        <v>#N/A</v>
      </c>
      <c r="AB881" s="331" t="e">
        <f>EXACT(Logfile_S12[[#This Row],[date pick]],Logfile_S12[[#This Row],[Date]])</f>
        <v>#N/A</v>
      </c>
      <c r="AC8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82" spans="1:29" ht="14.5" hidden="1">
      <c r="A882" s="220" t="str">
        <f t="shared" si="36"/>
        <v>878</v>
      </c>
      <c r="B882" s="221"/>
      <c r="C882" s="221" t="s">
        <v>49</v>
      </c>
      <c r="D882" s="221" t="s">
        <v>4382</v>
      </c>
      <c r="E882" s="221" t="s">
        <v>3295</v>
      </c>
      <c r="F882" s="221" t="s">
        <v>3299</v>
      </c>
      <c r="G882" s="222">
        <v>45832</v>
      </c>
      <c r="H882" s="223">
        <v>0.64583333333333337</v>
      </c>
      <c r="I882" s="221" t="s">
        <v>4916</v>
      </c>
      <c r="J882" s="221" t="s">
        <v>3024</v>
      </c>
      <c r="K882" s="224" t="s">
        <v>5137</v>
      </c>
      <c r="L882" s="225" t="str">
        <f>VLOOKUP(Logfile_S12[[#This Row],[Material Name]],Sheet2!B:C,2,0)</f>
        <v>GCI1009</v>
      </c>
      <c r="M882" s="225" t="str">
        <f>_xlfn.XLOOKUP(Logfile_S12[[#This Row],[Material Name]],Sum_WH!E:E,Sum_WH!F:F,"",0)</f>
        <v>Pcs</v>
      </c>
      <c r="N882" s="221">
        <v>250</v>
      </c>
      <c r="O882" s="221">
        <v>0</v>
      </c>
      <c r="P882" s="221" t="s">
        <v>3382</v>
      </c>
      <c r="Q882" s="221"/>
      <c r="R882" s="221"/>
      <c r="S882" s="221"/>
      <c r="T882" s="221" t="s">
        <v>3231</v>
      </c>
      <c r="U882" s="221">
        <v>0</v>
      </c>
      <c r="V882" s="221" t="s">
        <v>3375</v>
      </c>
      <c r="W882" s="221" t="s">
        <v>3249</v>
      </c>
      <c r="X882" s="221"/>
      <c r="Y882" s="227"/>
      <c r="Z882" s="227" t="str">
        <f t="shared" si="37"/>
        <v>Pncokusumo</v>
      </c>
      <c r="AA882" s="276" t="e">
        <f>VLOOKUP(Logfile_S12[[#This Row],[DO number]],DO_DB!G:I,3,0)</f>
        <v>#N/A</v>
      </c>
      <c r="AB882" s="331" t="e">
        <f>EXACT(Logfile_S12[[#This Row],[date pick]],Logfile_S12[[#This Row],[Date]])</f>
        <v>#N/A</v>
      </c>
      <c r="AC8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83" spans="1:29" ht="14.5" hidden="1">
      <c r="A883" s="220" t="str">
        <f t="shared" si="36"/>
        <v>879</v>
      </c>
      <c r="B883" s="221"/>
      <c r="C883" s="221" t="s">
        <v>3313</v>
      </c>
      <c r="D883" s="221" t="s">
        <v>4383</v>
      </c>
      <c r="E883" s="221" t="s">
        <v>3295</v>
      </c>
      <c r="F883" s="221" t="s">
        <v>3299</v>
      </c>
      <c r="G883" s="222">
        <v>45832</v>
      </c>
      <c r="H883" s="223">
        <v>15.291666666666666</v>
      </c>
      <c r="I883" s="227" t="s">
        <v>3297</v>
      </c>
      <c r="J883" s="221" t="s">
        <v>3024</v>
      </c>
      <c r="K883" s="224" t="s">
        <v>5137</v>
      </c>
      <c r="L883" s="225" t="str">
        <f>VLOOKUP(Logfile_S12[[#This Row],[Material Name]],Sheet2!B:C,2,0)</f>
        <v>GCI1009</v>
      </c>
      <c r="M883" s="225" t="str">
        <f>_xlfn.XLOOKUP(Logfile_S12[[#This Row],[Material Name]],Sum_WH!E:E,Sum_WH!F:F,"",0)</f>
        <v>Pcs</v>
      </c>
      <c r="N883" s="221">
        <v>500</v>
      </c>
      <c r="O883" s="221" t="s">
        <v>3314</v>
      </c>
      <c r="P883" s="221" t="s">
        <v>3423</v>
      </c>
      <c r="Q883" s="221">
        <v>0</v>
      </c>
      <c r="R883" s="221">
        <v>0</v>
      </c>
      <c r="S883" s="221"/>
      <c r="T883" s="221"/>
      <c r="U883" s="221"/>
      <c r="V883" s="221"/>
      <c r="W883" s="221"/>
      <c r="X883" s="221"/>
      <c r="Y883" s="227"/>
      <c r="Z883" s="227" t="str">
        <f t="shared" si="37"/>
        <v>LAMONGAN</v>
      </c>
      <c r="AA883" s="276" t="e">
        <f>VLOOKUP(Logfile_S12[[#This Row],[DO number]],DO_DB!G:I,3,0)</f>
        <v>#N/A</v>
      </c>
      <c r="AB883" s="331" t="e">
        <f>EXACT(Logfile_S12[[#This Row],[date pick]],Logfile_S12[[#This Row],[Date]])</f>
        <v>#N/A</v>
      </c>
      <c r="AC8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84" spans="1:29" ht="14.5" hidden="1">
      <c r="A884" s="220" t="str">
        <f t="shared" si="36"/>
        <v>880</v>
      </c>
      <c r="B884" s="221"/>
      <c r="C884" s="221" t="s">
        <v>49</v>
      </c>
      <c r="D884" s="221" t="s">
        <v>4388</v>
      </c>
      <c r="E884" s="221" t="s">
        <v>3295</v>
      </c>
      <c r="F884" s="221" t="s">
        <v>3299</v>
      </c>
      <c r="G884" s="222">
        <v>45835</v>
      </c>
      <c r="H884" s="223">
        <v>0.5395833333333333</v>
      </c>
      <c r="I884" s="221" t="s">
        <v>4916</v>
      </c>
      <c r="J884" s="221" t="s">
        <v>3024</v>
      </c>
      <c r="K884" s="224" t="s">
        <v>5137</v>
      </c>
      <c r="L884" s="225" t="str">
        <f>VLOOKUP(Logfile_S12[[#This Row],[Material Name]],Sheet2!B:C,2,0)</f>
        <v>GCI1009</v>
      </c>
      <c r="M884" s="225" t="str">
        <f>_xlfn.XLOOKUP(Logfile_S12[[#This Row],[Material Name]],Sum_WH!E:E,Sum_WH!F:F,"",0)</f>
        <v>Pcs</v>
      </c>
      <c r="N884" s="221">
        <v>250</v>
      </c>
      <c r="O884" s="221">
        <v>0</v>
      </c>
      <c r="P884" s="221" t="s">
        <v>3383</v>
      </c>
      <c r="Q884" s="221"/>
      <c r="R884" s="221"/>
      <c r="S884" s="221"/>
      <c r="T884" s="221" t="s">
        <v>3258</v>
      </c>
      <c r="U884" s="221">
        <v>0</v>
      </c>
      <c r="V884" s="221" t="s">
        <v>3337</v>
      </c>
      <c r="W884" s="221" t="s">
        <v>3338</v>
      </c>
      <c r="X884" s="221"/>
      <c r="Y884" s="227"/>
      <c r="Z884" s="227" t="str">
        <f t="shared" si="37"/>
        <v>Bululawang</v>
      </c>
      <c r="AA884" s="276" t="e">
        <f>VLOOKUP(Logfile_S12[[#This Row],[DO number]],DO_DB!G:I,3,0)</f>
        <v>#N/A</v>
      </c>
      <c r="AB884" s="331" t="e">
        <f>EXACT(Logfile_S12[[#This Row],[date pick]],Logfile_S12[[#This Row],[Date]])</f>
        <v>#N/A</v>
      </c>
      <c r="AC8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85" spans="1:29" ht="14.5" hidden="1">
      <c r="A885" s="220" t="str">
        <f t="shared" si="36"/>
        <v>881</v>
      </c>
      <c r="B885" s="221"/>
      <c r="C885" s="221" t="s">
        <v>48</v>
      </c>
      <c r="D885" s="221" t="s">
        <v>4398</v>
      </c>
      <c r="E885" s="221" t="s">
        <v>3295</v>
      </c>
      <c r="F885" s="221" t="s">
        <v>3299</v>
      </c>
      <c r="G885" s="222">
        <v>45863</v>
      </c>
      <c r="H885" s="223">
        <v>15.291666666666666</v>
      </c>
      <c r="I885" s="221" t="s">
        <v>38</v>
      </c>
      <c r="J885" s="221" t="s">
        <v>3024</v>
      </c>
      <c r="K885" s="224" t="s">
        <v>5137</v>
      </c>
      <c r="L885" s="225" t="str">
        <f>VLOOKUP(Logfile_S12[[#This Row],[Material Name]],Sheet2!B:C,2,0)</f>
        <v>GCI1009</v>
      </c>
      <c r="M885" s="225" t="str">
        <f>_xlfn.XLOOKUP(Logfile_S12[[#This Row],[Material Name]],Sum_WH!E:E,Sum_WH!F:F,"",0)</f>
        <v>Pcs</v>
      </c>
      <c r="N885" s="221">
        <v>165</v>
      </c>
      <c r="O885" s="221">
        <v>0</v>
      </c>
      <c r="P885" s="221">
        <v>0</v>
      </c>
      <c r="Q885" s="221">
        <v>0</v>
      </c>
      <c r="R885" s="221">
        <v>0</v>
      </c>
      <c r="S885" s="221"/>
      <c r="T885" s="221"/>
      <c r="U885" s="221"/>
      <c r="V885" s="221"/>
      <c r="W885" s="221"/>
      <c r="X885" s="221"/>
      <c r="Y885" s="227"/>
      <c r="Z885" s="227">
        <f t="shared" si="37"/>
        <v>0</v>
      </c>
      <c r="AA885" s="276" t="e">
        <f>VLOOKUP(Logfile_S12[[#This Row],[DO number]],DO_DB!G:I,3,0)</f>
        <v>#N/A</v>
      </c>
      <c r="AB885" s="331" t="e">
        <f>EXACT(Logfile_S12[[#This Row],[date pick]],Logfile_S12[[#This Row],[Date]])</f>
        <v>#N/A</v>
      </c>
      <c r="AC8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86" spans="1:29" ht="14.5" hidden="1">
      <c r="A886" s="220" t="str">
        <f t="shared" si="36"/>
        <v>882</v>
      </c>
      <c r="B886" s="221"/>
      <c r="C886" s="221" t="s">
        <v>49</v>
      </c>
      <c r="D886" s="221" t="s">
        <v>4399</v>
      </c>
      <c r="E886" s="221" t="s">
        <v>3295</v>
      </c>
      <c r="F886" s="221" t="s">
        <v>3299</v>
      </c>
      <c r="G886" s="222">
        <v>45864</v>
      </c>
      <c r="H886" s="223">
        <v>0.46805555555555556</v>
      </c>
      <c r="I886" s="221" t="s">
        <v>4916</v>
      </c>
      <c r="J886" s="221" t="s">
        <v>3024</v>
      </c>
      <c r="K886" s="224" t="s">
        <v>5137</v>
      </c>
      <c r="L886" s="225" t="str">
        <f>VLOOKUP(Logfile_S12[[#This Row],[Material Name]],Sheet2!B:C,2,0)</f>
        <v>GCI1009</v>
      </c>
      <c r="M886" s="225" t="str">
        <f>_xlfn.XLOOKUP(Logfile_S12[[#This Row],[Material Name]],Sum_WH!E:E,Sum_WH!F:F,"",0)</f>
        <v>Pcs</v>
      </c>
      <c r="N886" s="221">
        <v>165</v>
      </c>
      <c r="O886" s="221">
        <v>0</v>
      </c>
      <c r="P886" s="221" t="s">
        <v>3424</v>
      </c>
      <c r="Q886" s="221"/>
      <c r="R886" s="221"/>
      <c r="S886" s="221"/>
      <c r="T886" s="221" t="s">
        <v>3258</v>
      </c>
      <c r="U886" s="221">
        <v>0</v>
      </c>
      <c r="V886" s="221" t="s">
        <v>3337</v>
      </c>
      <c r="W886" s="221" t="s">
        <v>3338</v>
      </c>
      <c r="X886" s="221"/>
      <c r="Y886" s="227"/>
      <c r="Z886" s="227" t="str">
        <f t="shared" si="37"/>
        <v>Bululawang 7</v>
      </c>
      <c r="AA886" s="276" t="e">
        <f>VLOOKUP(Logfile_S12[[#This Row],[DO number]],DO_DB!G:I,3,0)</f>
        <v>#N/A</v>
      </c>
      <c r="AB886" s="331" t="e">
        <f>EXACT(Logfile_S12[[#This Row],[date pick]],Logfile_S12[[#This Row],[Date]])</f>
        <v>#N/A</v>
      </c>
      <c r="AC8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87" spans="1:29" ht="14.5" hidden="1">
      <c r="A887" s="220" t="str">
        <f t="shared" si="36"/>
        <v>883</v>
      </c>
      <c r="B887" s="221"/>
      <c r="C887" s="221" t="s">
        <v>48</v>
      </c>
      <c r="D887" s="221" t="s">
        <v>4418</v>
      </c>
      <c r="E887" s="221" t="s">
        <v>3295</v>
      </c>
      <c r="F887" s="221" t="s">
        <v>3299</v>
      </c>
      <c r="G887" s="222">
        <v>45890</v>
      </c>
      <c r="H887" s="223">
        <v>15.291666666666666</v>
      </c>
      <c r="I887" s="221" t="s">
        <v>38</v>
      </c>
      <c r="J887" s="221" t="s">
        <v>3024</v>
      </c>
      <c r="K887" s="224" t="s">
        <v>5137</v>
      </c>
      <c r="L887" s="225" t="str">
        <f>VLOOKUP(Logfile_S12[[#This Row],[Material Name]],Sheet2!B:C,2,0)</f>
        <v>GCI1009</v>
      </c>
      <c r="M887" s="225" t="str">
        <f>_xlfn.XLOOKUP(Logfile_S12[[#This Row],[Material Name]],Sum_WH!E:E,Sum_WH!F:F,"",0)</f>
        <v>Pcs</v>
      </c>
      <c r="N887" s="221">
        <v>226</v>
      </c>
      <c r="O887" s="221">
        <v>0</v>
      </c>
      <c r="P887" s="221">
        <v>0</v>
      </c>
      <c r="Q887" s="221">
        <v>0</v>
      </c>
      <c r="R887" s="221">
        <v>0</v>
      </c>
      <c r="S887" s="221"/>
      <c r="T887" s="221"/>
      <c r="U887" s="221"/>
      <c r="V887" s="221"/>
      <c r="W887" s="221"/>
      <c r="X887" s="221"/>
      <c r="Y887" s="227"/>
      <c r="Z887" s="227">
        <f t="shared" si="37"/>
        <v>0</v>
      </c>
      <c r="AA887" s="276" t="e">
        <f>VLOOKUP(Logfile_S12[[#This Row],[DO number]],DO_DB!G:I,3,0)</f>
        <v>#N/A</v>
      </c>
      <c r="AB887" s="331" t="e">
        <f>EXACT(Logfile_S12[[#This Row],[date pick]],Logfile_S12[[#This Row],[Date]])</f>
        <v>#N/A</v>
      </c>
      <c r="AC8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88" spans="1:29" ht="14.5" hidden="1">
      <c r="A888" s="220" t="str">
        <f t="shared" si="36"/>
        <v>884</v>
      </c>
      <c r="B888" s="221"/>
      <c r="C888" s="221" t="s">
        <v>49</v>
      </c>
      <c r="D888" s="221" t="s">
        <v>4419</v>
      </c>
      <c r="E888" s="221" t="s">
        <v>3295</v>
      </c>
      <c r="F888" s="221" t="s">
        <v>3299</v>
      </c>
      <c r="G888" s="222">
        <v>45892</v>
      </c>
      <c r="H888" s="223">
        <v>0.4284722222222222</v>
      </c>
      <c r="I888" s="221" t="s">
        <v>4916</v>
      </c>
      <c r="J888" s="221" t="s">
        <v>3024</v>
      </c>
      <c r="K888" s="224" t="s">
        <v>5137</v>
      </c>
      <c r="L888" s="225" t="str">
        <f>VLOOKUP(Logfile_S12[[#This Row],[Material Name]],Sheet2!B:C,2,0)</f>
        <v>GCI1009</v>
      </c>
      <c r="M888" s="225" t="str">
        <f>_xlfn.XLOOKUP(Logfile_S12[[#This Row],[Material Name]],Sum_WH!E:E,Sum_WH!F:F,"",0)</f>
        <v>Pcs</v>
      </c>
      <c r="N888" s="221">
        <v>226</v>
      </c>
      <c r="O888" s="221">
        <v>0</v>
      </c>
      <c r="P888" s="221" t="s">
        <v>3385</v>
      </c>
      <c r="Q888" s="221"/>
      <c r="R888" s="221"/>
      <c r="S888" s="221"/>
      <c r="T888" s="221" t="s">
        <v>3258</v>
      </c>
      <c r="U888" s="221">
        <v>0</v>
      </c>
      <c r="V888" s="221" t="s">
        <v>3337</v>
      </c>
      <c r="W888" s="221" t="s">
        <v>3338</v>
      </c>
      <c r="X888" s="221"/>
      <c r="Y888" s="227"/>
      <c r="Z888" s="227" t="str">
        <f t="shared" si="37"/>
        <v>Bululawang Permai</v>
      </c>
      <c r="AA888" s="276" t="e">
        <f>VLOOKUP(Logfile_S12[[#This Row],[DO number]],DO_DB!G:I,3,0)</f>
        <v>#N/A</v>
      </c>
      <c r="AB888" s="331" t="e">
        <f>EXACT(Logfile_S12[[#This Row],[date pick]],Logfile_S12[[#This Row],[Date]])</f>
        <v>#N/A</v>
      </c>
      <c r="AC8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89" spans="1:29" ht="14.5" hidden="1">
      <c r="A889" s="244" t="str">
        <f t="shared" si="36"/>
        <v>885</v>
      </c>
      <c r="B889" s="229"/>
      <c r="C889" s="229" t="s">
        <v>49</v>
      </c>
      <c r="D889" s="229" t="s">
        <v>4428</v>
      </c>
      <c r="E889" s="229" t="s">
        <v>3295</v>
      </c>
      <c r="F889" s="229" t="s">
        <v>3299</v>
      </c>
      <c r="G889" s="245">
        <v>45900</v>
      </c>
      <c r="H889" s="246">
        <v>0.90028935185185188</v>
      </c>
      <c r="I889" s="229" t="s">
        <v>3295</v>
      </c>
      <c r="J889" s="229" t="s">
        <v>3024</v>
      </c>
      <c r="K889" s="224" t="s">
        <v>5137</v>
      </c>
      <c r="L889" s="234" t="str">
        <f>VLOOKUP(Logfile_S12[[#This Row],[Material Name]],Sheet2!B:C,2,0)</f>
        <v>GCI1009</v>
      </c>
      <c r="M889" s="234" t="str">
        <f>_xlfn.XLOOKUP(Logfile_S12[[#This Row],[Material Name]],Sum_WH!E:E,Sum_WH!F:F,"",0)</f>
        <v>Pcs</v>
      </c>
      <c r="N889" s="229">
        <v>15</v>
      </c>
      <c r="O889" s="230" t="s">
        <v>4429</v>
      </c>
      <c r="P889" s="230" t="s">
        <v>4429</v>
      </c>
      <c r="Q889" s="229"/>
      <c r="R889" s="229"/>
      <c r="S889" s="229"/>
      <c r="T889" s="229"/>
      <c r="U889" s="229"/>
      <c r="V889" s="229"/>
      <c r="W889" s="229"/>
      <c r="X889" s="229" t="s">
        <v>4429</v>
      </c>
      <c r="Y889" s="227"/>
      <c r="Z889" s="227" t="str">
        <f t="shared" si="37"/>
        <v>ADJUSTMENT</v>
      </c>
      <c r="AA889" s="276" t="e">
        <f>VLOOKUP(Logfile_S12[[#This Row],[DO number]],DO_DB!G:I,3,0)</f>
        <v>#N/A</v>
      </c>
      <c r="AB889" s="331" t="e">
        <f>EXACT(Logfile_S12[[#This Row],[date pick]],Logfile_S12[[#This Row],[Date]])</f>
        <v>#N/A</v>
      </c>
      <c r="AC8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90" spans="1:29" ht="14.5" hidden="1">
      <c r="A890" s="237" t="str">
        <f t="shared" si="36"/>
        <v>886</v>
      </c>
      <c r="B890" s="221">
        <v>2</v>
      </c>
      <c r="C890" s="227" t="s">
        <v>48</v>
      </c>
      <c r="D890" s="227" t="s">
        <v>4660</v>
      </c>
      <c r="E890" s="227" t="s">
        <v>3295</v>
      </c>
      <c r="F890" s="227" t="s">
        <v>3299</v>
      </c>
      <c r="G890" s="239">
        <v>45944</v>
      </c>
      <c r="H890" s="240">
        <v>0.63958333333333328</v>
      </c>
      <c r="I890" s="227" t="s">
        <v>38</v>
      </c>
      <c r="J890" s="227" t="s">
        <v>3024</v>
      </c>
      <c r="K890" s="224" t="s">
        <v>5137</v>
      </c>
      <c r="L890" s="225" t="str">
        <f>VLOOKUP(Logfile_S12[[#This Row],[Material Name]],Sheet2!B:C,2,0)</f>
        <v>GCI1009</v>
      </c>
      <c r="M890" s="225" t="str">
        <f>_xlfn.XLOOKUP(Logfile_S12[[#This Row],[Material Name]],Sum_WH!E:E,Sum_WH!F:F,"",0)</f>
        <v>Pcs</v>
      </c>
      <c r="N890" s="227">
        <v>216</v>
      </c>
      <c r="O890" s="227" t="s">
        <v>3203</v>
      </c>
      <c r="P890" s="227" t="s">
        <v>3204</v>
      </c>
      <c r="Q890" s="227" t="s">
        <v>3205</v>
      </c>
      <c r="R890" s="227" t="s">
        <v>3206</v>
      </c>
      <c r="S890" s="227"/>
      <c r="T890" s="227"/>
      <c r="U890" s="227"/>
      <c r="V890" s="227"/>
      <c r="W890" s="227"/>
      <c r="X890" s="227"/>
      <c r="Y890" s="227"/>
      <c r="Z890" s="227" t="str">
        <f t="shared" si="37"/>
        <v>Perumahan Bululawang Permai RW 02</v>
      </c>
      <c r="AA890" s="276">
        <f>VLOOKUP(Logfile_S12[[#This Row],[DO number]],DO_DB!G:I,3,0)</f>
        <v>45888</v>
      </c>
      <c r="AB890" s="331" t="b">
        <f>EXACT(Logfile_S12[[#This Row],[date pick]],Logfile_S12[[#This Row],[Date]])</f>
        <v>0</v>
      </c>
      <c r="AC8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91" spans="1:29" ht="14.5" hidden="1">
      <c r="A891" s="237" t="str">
        <f t="shared" si="36"/>
        <v>887</v>
      </c>
      <c r="B891" s="221">
        <v>2</v>
      </c>
      <c r="C891" s="227" t="s">
        <v>49</v>
      </c>
      <c r="D891" s="227" t="s">
        <v>4661</v>
      </c>
      <c r="E891" s="227" t="s">
        <v>3295</v>
      </c>
      <c r="F891" s="227" t="s">
        <v>3299</v>
      </c>
      <c r="G891" s="239">
        <v>45946</v>
      </c>
      <c r="H891" s="240">
        <v>0.43125000000000002</v>
      </c>
      <c r="I891" s="227" t="s">
        <v>3295</v>
      </c>
      <c r="J891" s="227" t="s">
        <v>3024</v>
      </c>
      <c r="K891" s="224" t="s">
        <v>5137</v>
      </c>
      <c r="L891" s="225" t="str">
        <f>VLOOKUP(Logfile_S12[[#This Row],[Material Name]],Sheet2!B:C,2,0)</f>
        <v>GCI1009</v>
      </c>
      <c r="M891" s="225" t="str">
        <f>_xlfn.XLOOKUP(Logfile_S12[[#This Row],[Material Name]],Sum_WH!E:E,Sum_WH!F:F,"",0)</f>
        <v>Pcs</v>
      </c>
      <c r="N891" s="227">
        <v>216</v>
      </c>
      <c r="O891" s="227" t="s">
        <v>4595</v>
      </c>
      <c r="P891" s="227" t="s">
        <v>4596</v>
      </c>
      <c r="Q891" s="227"/>
      <c r="R891" s="227"/>
      <c r="S891" s="227"/>
      <c r="T891" s="221" t="s">
        <v>3258</v>
      </c>
      <c r="U891" s="221">
        <v>0</v>
      </c>
      <c r="V891" s="221" t="s">
        <v>3337</v>
      </c>
      <c r="W891" s="221" t="s">
        <v>3338</v>
      </c>
      <c r="X891" s="227"/>
      <c r="Y891" s="227"/>
      <c r="Z891" s="227" t="str">
        <f t="shared" si="37"/>
        <v>Asshofa Residence</v>
      </c>
      <c r="AA891" s="276" t="e">
        <f>VLOOKUP(Logfile_S12[[#This Row],[DO number]],DO_DB!G:I,3,0)</f>
        <v>#N/A</v>
      </c>
      <c r="AB891" s="331" t="e">
        <f>EXACT(Logfile_S12[[#This Row],[date pick]],Logfile_S12[[#This Row],[Date]])</f>
        <v>#N/A</v>
      </c>
      <c r="AC8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92" spans="1:29" ht="14.5" hidden="1">
      <c r="A892" s="237" t="str">
        <f t="shared" si="36"/>
        <v>888</v>
      </c>
      <c r="B892" s="221">
        <v>6</v>
      </c>
      <c r="C892" s="227" t="s">
        <v>48</v>
      </c>
      <c r="D892" s="227" t="s">
        <v>4727</v>
      </c>
      <c r="E892" s="227" t="s">
        <v>3295</v>
      </c>
      <c r="F892" s="227" t="s">
        <v>3299</v>
      </c>
      <c r="G892" s="239">
        <v>45987</v>
      </c>
      <c r="H892" s="240">
        <v>0.66736111111111107</v>
      </c>
      <c r="I892" s="227" t="s">
        <v>38</v>
      </c>
      <c r="J892" s="227" t="s">
        <v>3024</v>
      </c>
      <c r="K892" s="224" t="s">
        <v>5137</v>
      </c>
      <c r="L892" s="225" t="str">
        <f>VLOOKUP(Logfile_S12[[#This Row],[Material Name]],Sheet2!B:C,2,0)</f>
        <v>GCI1009</v>
      </c>
      <c r="M892" s="242" t="s">
        <v>19</v>
      </c>
      <c r="N892" s="227">
        <v>267</v>
      </c>
      <c r="O892" s="227" t="s">
        <v>3260</v>
      </c>
      <c r="P892" s="227"/>
      <c r="Q892" s="227" t="s">
        <v>3260</v>
      </c>
      <c r="R892" s="227" t="s">
        <v>3260</v>
      </c>
      <c r="S892" s="227"/>
      <c r="T892" s="227"/>
      <c r="U892" s="227"/>
      <c r="V892" s="227"/>
      <c r="W892" s="227"/>
      <c r="X892" s="227"/>
      <c r="Y892" s="227"/>
      <c r="Z892" s="227">
        <f t="shared" si="37"/>
        <v>0</v>
      </c>
      <c r="AA892" s="276" t="e">
        <f>VLOOKUP(Logfile_S12[[#This Row],[DO number]],DO_DB!G:I,3,0)</f>
        <v>#N/A</v>
      </c>
      <c r="AB892" s="331" t="e">
        <f>EXACT(Logfile_S12[[#This Row],[date pick]],Logfile_S12[[#This Row],[Date]])</f>
        <v>#N/A</v>
      </c>
      <c r="AC8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93" spans="1:29" ht="14.5" hidden="1">
      <c r="A893" s="237" t="str">
        <f t="shared" si="36"/>
        <v>889</v>
      </c>
      <c r="B893" s="221">
        <v>8</v>
      </c>
      <c r="C893" s="227" t="s">
        <v>49</v>
      </c>
      <c r="D893" s="227" t="s">
        <v>4737</v>
      </c>
      <c r="E893" s="227" t="s">
        <v>3295</v>
      </c>
      <c r="F893" s="227" t="s">
        <v>3299</v>
      </c>
      <c r="G893" s="239">
        <v>46006</v>
      </c>
      <c r="H893" s="240">
        <v>0.36805555555555558</v>
      </c>
      <c r="I893" s="227" t="s">
        <v>3295</v>
      </c>
      <c r="J893" s="227" t="s">
        <v>3024</v>
      </c>
      <c r="K893" s="224" t="s">
        <v>5137</v>
      </c>
      <c r="L893" s="225" t="str">
        <f>VLOOKUP(Logfile_S12[[#This Row],[Material Name]],Sheet2!B:C,2,0)</f>
        <v>GCI1009</v>
      </c>
      <c r="M893" s="242" t="s">
        <v>19</v>
      </c>
      <c r="N893" s="227">
        <v>267</v>
      </c>
      <c r="O893" s="227" t="s">
        <v>3260</v>
      </c>
      <c r="P893" s="227"/>
      <c r="Q893" s="227" t="s">
        <v>3260</v>
      </c>
      <c r="R893" s="227" t="s">
        <v>3260</v>
      </c>
      <c r="S893" s="227"/>
      <c r="T893" s="221" t="s">
        <v>3258</v>
      </c>
      <c r="U893" s="221" t="s">
        <v>4811</v>
      </c>
      <c r="V893" s="221" t="s">
        <v>3337</v>
      </c>
      <c r="W893" s="221" t="s">
        <v>3338</v>
      </c>
      <c r="X893" s="227"/>
      <c r="Y893" s="227"/>
      <c r="Z893" s="227">
        <f t="shared" si="37"/>
        <v>0</v>
      </c>
      <c r="AA893" s="276" t="e">
        <f>VLOOKUP(Logfile_S12[[#This Row],[DO number]],DO_DB!G:I,3,0)</f>
        <v>#N/A</v>
      </c>
      <c r="AB893" s="331" t="e">
        <f>EXACT(Logfile_S12[[#This Row],[date pick]],Logfile_S12[[#This Row],[Date]])</f>
        <v>#N/A</v>
      </c>
      <c r="AC8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94" spans="1:29" ht="14.5" hidden="1">
      <c r="A894" s="237" t="str">
        <f t="shared" si="36"/>
        <v>890</v>
      </c>
      <c r="B894" s="221">
        <v>7</v>
      </c>
      <c r="C894" s="227" t="s">
        <v>48</v>
      </c>
      <c r="D894" s="227" t="s">
        <v>4778</v>
      </c>
      <c r="E894" s="227" t="s">
        <v>3295</v>
      </c>
      <c r="F894" s="227" t="s">
        <v>3299</v>
      </c>
      <c r="G894" s="239">
        <v>46014</v>
      </c>
      <c r="H894" s="240">
        <v>0.33333333333333331</v>
      </c>
      <c r="I894" s="221" t="s">
        <v>38</v>
      </c>
      <c r="J894" s="227" t="s">
        <v>3024</v>
      </c>
      <c r="K894" s="224" t="s">
        <v>5137</v>
      </c>
      <c r="L894" s="225" t="str">
        <f>VLOOKUP(Logfile_S12[[#This Row],[Material Name]],Sheet2!B:C,2,0)</f>
        <v>GCI1009</v>
      </c>
      <c r="M894" s="242" t="s">
        <v>19</v>
      </c>
      <c r="N894" s="227">
        <v>1413</v>
      </c>
      <c r="O894" s="227"/>
      <c r="P894" s="227"/>
      <c r="Q894" s="227"/>
      <c r="R894" s="227"/>
      <c r="S894" s="227"/>
      <c r="T894" s="227"/>
      <c r="U894" s="227"/>
      <c r="V894" s="227"/>
      <c r="W894" s="227"/>
      <c r="X894" s="227"/>
      <c r="Y894" s="227"/>
      <c r="Z894" s="227">
        <f t="shared" si="37"/>
        <v>0</v>
      </c>
      <c r="AA894" s="276" t="e">
        <f>VLOOKUP(Logfile_S12[[#This Row],[DO number]],DO_DB!G:I,3,0)</f>
        <v>#N/A</v>
      </c>
      <c r="AB894" s="331" t="e">
        <f>EXACT(Logfile_S12[[#This Row],[date pick]],Logfile_S12[[#This Row],[Date]])</f>
        <v>#N/A</v>
      </c>
      <c r="AC8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95" spans="1:29" ht="14.5" hidden="1">
      <c r="A895" s="237" t="str">
        <f t="shared" si="36"/>
        <v>891</v>
      </c>
      <c r="B895" s="221">
        <v>10</v>
      </c>
      <c r="C895" s="227" t="s">
        <v>49</v>
      </c>
      <c r="D895" s="227" t="s">
        <v>4777</v>
      </c>
      <c r="E895" s="227" t="s">
        <v>3295</v>
      </c>
      <c r="F895" s="227" t="s">
        <v>3299</v>
      </c>
      <c r="G895" s="239">
        <v>46016</v>
      </c>
      <c r="H895" s="240">
        <v>0.50902777777777775</v>
      </c>
      <c r="I895" s="227" t="s">
        <v>3295</v>
      </c>
      <c r="J895" s="227" t="s">
        <v>3024</v>
      </c>
      <c r="K895" s="224" t="s">
        <v>5137</v>
      </c>
      <c r="L895" s="225" t="str">
        <f>VLOOKUP(Logfile_S12[[#This Row],[Material Name]],Sheet2!B:C,2,0)</f>
        <v>GCI1009</v>
      </c>
      <c r="M895" s="242" t="s">
        <v>19</v>
      </c>
      <c r="N895" s="227">
        <v>1413</v>
      </c>
      <c r="O895" s="227"/>
      <c r="P895" s="227"/>
      <c r="Q895" s="227"/>
      <c r="R895" s="227"/>
      <c r="S895" s="227"/>
      <c r="T895" s="221" t="s">
        <v>3258</v>
      </c>
      <c r="U895" s="221" t="s">
        <v>4811</v>
      </c>
      <c r="V895" s="221" t="s">
        <v>3337</v>
      </c>
      <c r="W895" s="221" t="s">
        <v>3338</v>
      </c>
      <c r="X895" s="227"/>
      <c r="Y895" s="227"/>
      <c r="Z895" s="227">
        <f t="shared" si="37"/>
        <v>0</v>
      </c>
      <c r="AA895" s="276" t="e">
        <f>VLOOKUP(Logfile_S12[[#This Row],[DO number]],DO_DB!G:I,3,0)</f>
        <v>#N/A</v>
      </c>
      <c r="AB895" s="331" t="e">
        <f>EXACT(Logfile_S12[[#This Row],[date pick]],Logfile_S12[[#This Row],[Date]])</f>
        <v>#N/A</v>
      </c>
      <c r="AC8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96" spans="1:29" ht="14.5" hidden="1">
      <c r="A896" s="220" t="str">
        <f t="shared" si="36"/>
        <v>892</v>
      </c>
      <c r="B896" s="221"/>
      <c r="C896" s="221" t="s">
        <v>3388</v>
      </c>
      <c r="D896" s="221" t="s">
        <v>4877</v>
      </c>
      <c r="E896" s="221" t="s">
        <v>3295</v>
      </c>
      <c r="F896" s="221" t="s">
        <v>3299</v>
      </c>
      <c r="G896" s="222">
        <v>45723</v>
      </c>
      <c r="H896" s="223">
        <v>0.64583333333333337</v>
      </c>
      <c r="I896" s="221" t="s">
        <v>4916</v>
      </c>
      <c r="J896" s="221" t="s">
        <v>3024</v>
      </c>
      <c r="K896" s="224" t="s">
        <v>5139</v>
      </c>
      <c r="L896" s="225" t="str">
        <f>VLOOKUP(Logfile_S12[[#This Row],[Material Name]],Sheet2!B:C,2,0)</f>
        <v>GCI1010</v>
      </c>
      <c r="M896" s="225" t="str">
        <f>_xlfn.XLOOKUP(Logfile_S12[[#This Row],[Material Name]],Sum_WH!E:E,Sum_WH!F:F,"",0)</f>
        <v>Pcs</v>
      </c>
      <c r="N896" s="221">
        <v>84</v>
      </c>
      <c r="O896" s="221">
        <v>0</v>
      </c>
      <c r="P896" s="221" t="s">
        <v>3223</v>
      </c>
      <c r="Q896" s="221"/>
      <c r="R896" s="221"/>
      <c r="S896" s="221"/>
      <c r="T896" s="221" t="s">
        <v>3231</v>
      </c>
      <c r="U896" s="221">
        <v>0</v>
      </c>
      <c r="V896" s="221" t="s">
        <v>3375</v>
      </c>
      <c r="W896" s="221" t="s">
        <v>3249</v>
      </c>
      <c r="X896" s="221"/>
      <c r="Y896" s="227"/>
      <c r="Z896" s="227" t="str">
        <f t="shared" si="37"/>
        <v>Transfer Gudang</v>
      </c>
      <c r="AA896" s="276" t="e">
        <f>VLOOKUP(Logfile_S12[[#This Row],[DO number]],DO_DB!G:I,3,0)</f>
        <v>#N/A</v>
      </c>
      <c r="AB896" s="331" t="e">
        <f>EXACT(Logfile_S12[[#This Row],[date pick]],Logfile_S12[[#This Row],[Date]])</f>
        <v>#N/A</v>
      </c>
      <c r="AC8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897" spans="1:29" ht="14.5" hidden="1">
      <c r="A897" s="220" t="str">
        <f t="shared" si="36"/>
        <v>893</v>
      </c>
      <c r="B897" s="221"/>
      <c r="C897" s="221" t="s">
        <v>48</v>
      </c>
      <c r="D897" s="221" t="s">
        <v>3876</v>
      </c>
      <c r="E897" s="221" t="s">
        <v>3295</v>
      </c>
      <c r="F897" s="221" t="s">
        <v>3299</v>
      </c>
      <c r="G897" s="222">
        <v>45309</v>
      </c>
      <c r="H897" s="223">
        <v>15.291666666666666</v>
      </c>
      <c r="I897" s="221" t="s">
        <v>38</v>
      </c>
      <c r="J897" s="221" t="s">
        <v>3024</v>
      </c>
      <c r="K897" s="224" t="s">
        <v>3100</v>
      </c>
      <c r="L897" s="225" t="e">
        <f>VLOOKUP(Logfile_S12[[#This Row],[Material Name]],Sheet2!B:C,2,0)</f>
        <v>#N/A</v>
      </c>
      <c r="M897" s="225" t="str">
        <f>_xlfn.XLOOKUP(Logfile_S12[[#This Row],[Material Name]],Sum_WH!E:E,Sum_WH!F:F,"",0)</f>
        <v/>
      </c>
      <c r="N897" s="221">
        <v>194</v>
      </c>
      <c r="O897" s="221" t="s">
        <v>3344</v>
      </c>
      <c r="P897" s="221" t="s">
        <v>3345</v>
      </c>
      <c r="Q897" s="221">
        <v>0</v>
      </c>
      <c r="R897" s="221">
        <v>0</v>
      </c>
      <c r="S897" s="221"/>
      <c r="T897" s="221"/>
      <c r="U897" s="221"/>
      <c r="V897" s="221"/>
      <c r="W897" s="221"/>
      <c r="X897" s="221"/>
      <c r="Y897" s="227"/>
      <c r="Z897" s="227" t="str">
        <f t="shared" si="37"/>
        <v>Purchase</v>
      </c>
      <c r="AA897" s="276" t="e">
        <f>VLOOKUP(Logfile_S12[[#This Row],[DO number]],DO_DB!G:I,3,0)</f>
        <v>#N/A</v>
      </c>
      <c r="AB897" s="331" t="e">
        <f>EXACT(Logfile_S12[[#This Row],[date pick]],Logfile_S12[[#This Row],[Date]])</f>
        <v>#N/A</v>
      </c>
      <c r="AC8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98" spans="1:29" ht="14.5" hidden="1">
      <c r="A898" s="220" t="str">
        <f t="shared" si="36"/>
        <v>894</v>
      </c>
      <c r="B898" s="221"/>
      <c r="C898" s="221" t="s">
        <v>49</v>
      </c>
      <c r="D898" s="221" t="s">
        <v>3885</v>
      </c>
      <c r="E898" s="221" t="s">
        <v>3295</v>
      </c>
      <c r="F898" s="221" t="s">
        <v>3299</v>
      </c>
      <c r="G898" s="222">
        <v>45313</v>
      </c>
      <c r="H898" s="223">
        <v>0.3840277777777778</v>
      </c>
      <c r="I898" s="221" t="s">
        <v>4916</v>
      </c>
      <c r="J898" s="221" t="s">
        <v>3024</v>
      </c>
      <c r="K898" s="224" t="s">
        <v>3100</v>
      </c>
      <c r="L898" s="225" t="e">
        <f>VLOOKUP(Logfile_S12[[#This Row],[Material Name]],Sheet2!B:C,2,0)</f>
        <v>#N/A</v>
      </c>
      <c r="M898" s="225" t="str">
        <f>_xlfn.XLOOKUP(Logfile_S12[[#This Row],[Material Name]],Sum_WH!E:E,Sum_WH!F:F,"",0)</f>
        <v/>
      </c>
      <c r="N898" s="221">
        <v>20</v>
      </c>
      <c r="O898" s="221" t="s">
        <v>834</v>
      </c>
      <c r="P898" s="221" t="s">
        <v>3335</v>
      </c>
      <c r="Q898" s="221"/>
      <c r="R898" s="221"/>
      <c r="S898" s="221"/>
      <c r="T898" s="221" t="s">
        <v>3258</v>
      </c>
      <c r="U898" s="221" t="s">
        <v>3228</v>
      </c>
      <c r="V898" s="221" t="s">
        <v>3337</v>
      </c>
      <c r="W898" s="221" t="s">
        <v>3338</v>
      </c>
      <c r="X898" s="221"/>
      <c r="Y898" s="227"/>
      <c r="Z898" s="227" t="str">
        <f t="shared" si="37"/>
        <v>HUBFEEDER BATURETNO RW 02</v>
      </c>
      <c r="AA898" s="276" t="e">
        <f>VLOOKUP(Logfile_S12[[#This Row],[DO number]],DO_DB!G:I,3,0)</f>
        <v>#N/A</v>
      </c>
      <c r="AB898" s="331" t="e">
        <f>EXACT(Logfile_S12[[#This Row],[date pick]],Logfile_S12[[#This Row],[Date]])</f>
        <v>#N/A</v>
      </c>
      <c r="AC8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899" spans="1:29" ht="14.5" hidden="1">
      <c r="A899" s="220" t="str">
        <f t="shared" si="36"/>
        <v>895</v>
      </c>
      <c r="B899" s="221"/>
      <c r="C899" s="221" t="s">
        <v>48</v>
      </c>
      <c r="D899" s="221" t="s">
        <v>3901</v>
      </c>
      <c r="E899" s="221" t="s">
        <v>3295</v>
      </c>
      <c r="F899" s="221" t="s">
        <v>3299</v>
      </c>
      <c r="G899" s="222">
        <v>45316</v>
      </c>
      <c r="H899" s="223">
        <v>15.291666666666666</v>
      </c>
      <c r="I899" s="221" t="s">
        <v>38</v>
      </c>
      <c r="J899" s="221" t="s">
        <v>3024</v>
      </c>
      <c r="K899" s="224" t="s">
        <v>3100</v>
      </c>
      <c r="L899" s="225" t="e">
        <f>VLOOKUP(Logfile_S12[[#This Row],[Material Name]],Sheet2!B:C,2,0)</f>
        <v>#N/A</v>
      </c>
      <c r="M899" s="225" t="str">
        <f>_xlfn.XLOOKUP(Logfile_S12[[#This Row],[Material Name]],Sum_WH!E:E,Sum_WH!F:F,"",0)</f>
        <v/>
      </c>
      <c r="N899" s="221">
        <v>4</v>
      </c>
      <c r="O899" s="221" t="s">
        <v>834</v>
      </c>
      <c r="P899" s="221" t="s">
        <v>3335</v>
      </c>
      <c r="Q899" s="221">
        <v>0</v>
      </c>
      <c r="R899" s="221">
        <v>0</v>
      </c>
      <c r="S899" s="221"/>
      <c r="T899" s="221"/>
      <c r="U899" s="221"/>
      <c r="V899" s="221"/>
      <c r="W899" s="221"/>
      <c r="X899" s="221"/>
      <c r="Y899" s="227"/>
      <c r="Z899" s="227" t="str">
        <f t="shared" si="37"/>
        <v>HUBFEEDER BATURETNO RW 02</v>
      </c>
      <c r="AA899" s="276" t="e">
        <f>VLOOKUP(Logfile_S12[[#This Row],[DO number]],DO_DB!G:I,3,0)</f>
        <v>#N/A</v>
      </c>
      <c r="AB899" s="331" t="e">
        <f>EXACT(Logfile_S12[[#This Row],[date pick]],Logfile_S12[[#This Row],[Date]])</f>
        <v>#N/A</v>
      </c>
      <c r="AC8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00" spans="1:29" ht="14.5" hidden="1">
      <c r="A900" s="220" t="str">
        <f t="shared" si="36"/>
        <v>896</v>
      </c>
      <c r="B900" s="221"/>
      <c r="C900" s="221" t="s">
        <v>49</v>
      </c>
      <c r="D900" s="221" t="s">
        <v>3928</v>
      </c>
      <c r="E900" s="221" t="s">
        <v>3295</v>
      </c>
      <c r="F900" s="221" t="s">
        <v>3299</v>
      </c>
      <c r="G900" s="222">
        <v>45341</v>
      </c>
      <c r="H900" s="223">
        <v>0.45416666666666666</v>
      </c>
      <c r="I900" s="221" t="s">
        <v>4916</v>
      </c>
      <c r="J900" s="221" t="s">
        <v>3024</v>
      </c>
      <c r="K900" s="224" t="s">
        <v>3100</v>
      </c>
      <c r="L900" s="225" t="e">
        <f>VLOOKUP(Logfile_S12[[#This Row],[Material Name]],Sheet2!B:C,2,0)</f>
        <v>#N/A</v>
      </c>
      <c r="M900" s="225" t="str">
        <f>_xlfn.XLOOKUP(Logfile_S12[[#This Row],[Material Name]],Sum_WH!E:E,Sum_WH!F:F,"",0)</f>
        <v/>
      </c>
      <c r="N900" s="221">
        <v>50</v>
      </c>
      <c r="O900" s="221" t="s">
        <v>834</v>
      </c>
      <c r="P900" s="221" t="s">
        <v>3335</v>
      </c>
      <c r="Q900" s="221"/>
      <c r="R900" s="221"/>
      <c r="S900" s="221"/>
      <c r="T900" s="221" t="s">
        <v>3258</v>
      </c>
      <c r="U900" s="221" t="s">
        <v>3228</v>
      </c>
      <c r="V900" s="221" t="s">
        <v>3337</v>
      </c>
      <c r="W900" s="221" t="s">
        <v>3338</v>
      </c>
      <c r="X900" s="221"/>
      <c r="Y900" s="227"/>
      <c r="Z900" s="227" t="str">
        <f t="shared" si="37"/>
        <v>HUBFEEDER BATURETNO RW 02</v>
      </c>
      <c r="AA900" s="276" t="e">
        <f>VLOOKUP(Logfile_S12[[#This Row],[DO number]],DO_DB!G:I,3,0)</f>
        <v>#N/A</v>
      </c>
      <c r="AB900" s="331" t="e">
        <f>EXACT(Logfile_S12[[#This Row],[date pick]],Logfile_S12[[#This Row],[Date]])</f>
        <v>#N/A</v>
      </c>
      <c r="AC9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01" spans="1:29" ht="14.5" hidden="1">
      <c r="A901" s="220" t="str">
        <f t="shared" ref="A901:A964" si="38">TEXT(ROW(A901)-ROW($A$4),"000")</f>
        <v>897</v>
      </c>
      <c r="B901" s="221"/>
      <c r="C901" s="221" t="s">
        <v>3313</v>
      </c>
      <c r="D901" s="221" t="s">
        <v>4223</v>
      </c>
      <c r="E901" s="221" t="s">
        <v>3295</v>
      </c>
      <c r="F901" s="221" t="s">
        <v>3299</v>
      </c>
      <c r="G901" s="222">
        <v>45554</v>
      </c>
      <c r="H901" s="223">
        <v>15.291666666666666</v>
      </c>
      <c r="I901" s="221" t="s">
        <v>4917</v>
      </c>
      <c r="J901" s="221" t="s">
        <v>3024</v>
      </c>
      <c r="K901" s="224" t="s">
        <v>3100</v>
      </c>
      <c r="L901" s="225" t="e">
        <f>VLOOKUP(Logfile_S12[[#This Row],[Material Name]],Sheet2!B:C,2,0)</f>
        <v>#N/A</v>
      </c>
      <c r="M901" s="225" t="str">
        <f>_xlfn.XLOOKUP(Logfile_S12[[#This Row],[Material Name]],Sum_WH!E:E,Sum_WH!F:F,"",0)</f>
        <v/>
      </c>
      <c r="N901" s="221">
        <v>6</v>
      </c>
      <c r="O901" s="221" t="s">
        <v>3314</v>
      </c>
      <c r="P901" s="221" t="s">
        <v>68</v>
      </c>
      <c r="Q901" s="221">
        <v>0</v>
      </c>
      <c r="R901" s="221">
        <v>0</v>
      </c>
      <c r="S901" s="221"/>
      <c r="T901" s="221"/>
      <c r="U901" s="221"/>
      <c r="V901" s="221"/>
      <c r="W901" s="221"/>
      <c r="X901" s="221"/>
      <c r="Y901" s="227"/>
      <c r="Z901" s="227" t="str">
        <f t="shared" si="37"/>
        <v>Blitar</v>
      </c>
      <c r="AA901" s="276" t="e">
        <f>VLOOKUP(Logfile_S12[[#This Row],[DO number]],DO_DB!G:I,3,0)</f>
        <v>#N/A</v>
      </c>
      <c r="AB901" s="331" t="e">
        <f>EXACT(Logfile_S12[[#This Row],[date pick]],Logfile_S12[[#This Row],[Date]])</f>
        <v>#N/A</v>
      </c>
      <c r="AC9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02" spans="1:29" ht="14.5" hidden="1">
      <c r="A902" s="220" t="str">
        <f t="shared" si="38"/>
        <v>898</v>
      </c>
      <c r="B902" s="221"/>
      <c r="C902" s="221" t="s">
        <v>3388</v>
      </c>
      <c r="D902" s="221" t="s">
        <v>4876</v>
      </c>
      <c r="E902" s="221" t="s">
        <v>3295</v>
      </c>
      <c r="F902" s="221" t="s">
        <v>3299</v>
      </c>
      <c r="G902" s="222">
        <v>45652</v>
      </c>
      <c r="H902" s="223">
        <v>0.83611111111111114</v>
      </c>
      <c r="I902" s="221" t="s">
        <v>4919</v>
      </c>
      <c r="J902" s="221" t="s">
        <v>3024</v>
      </c>
      <c r="K902" s="224" t="s">
        <v>3100</v>
      </c>
      <c r="L902" s="225" t="e">
        <f>VLOOKUP(Logfile_S12[[#This Row],[Material Name]],Sheet2!B:C,2,0)</f>
        <v>#N/A</v>
      </c>
      <c r="M902" s="225" t="str">
        <f>_xlfn.XLOOKUP(Logfile_S12[[#This Row],[Material Name]],Sum_WH!E:E,Sum_WH!F:F,"",0)</f>
        <v/>
      </c>
      <c r="N902" s="221">
        <v>50</v>
      </c>
      <c r="O902" s="221">
        <v>0</v>
      </c>
      <c r="P902" s="221" t="s">
        <v>3223</v>
      </c>
      <c r="Q902" s="221"/>
      <c r="R902" s="221"/>
      <c r="S902" s="221"/>
      <c r="T902" s="221" t="s">
        <v>3231</v>
      </c>
      <c r="U902" s="221">
        <v>0</v>
      </c>
      <c r="V902" s="221" t="s">
        <v>3375</v>
      </c>
      <c r="W902" s="221" t="s">
        <v>3256</v>
      </c>
      <c r="X902" s="221" t="s">
        <v>3425</v>
      </c>
      <c r="Y902" s="227"/>
      <c r="Z902" s="227" t="str">
        <f t="shared" si="37"/>
        <v>Transfer Gudang</v>
      </c>
      <c r="AA902" s="276" t="e">
        <f>VLOOKUP(Logfile_S12[[#This Row],[DO number]],DO_DB!G:I,3,0)</f>
        <v>#N/A</v>
      </c>
      <c r="AB902" s="331" t="e">
        <f>EXACT(Logfile_S12[[#This Row],[date pick]],Logfile_S12[[#This Row],[Date]])</f>
        <v>#N/A</v>
      </c>
      <c r="AC9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903" spans="1:29" ht="14.5" hidden="1">
      <c r="A903" s="220" t="str">
        <f t="shared" si="38"/>
        <v>899</v>
      </c>
      <c r="B903" s="221"/>
      <c r="C903" s="221" t="s">
        <v>48</v>
      </c>
      <c r="D903" s="221" t="s">
        <v>3804</v>
      </c>
      <c r="E903" s="221" t="s">
        <v>3295</v>
      </c>
      <c r="F903" s="221" t="s">
        <v>3299</v>
      </c>
      <c r="G903" s="222">
        <v>45236</v>
      </c>
      <c r="H903" s="223">
        <v>15.291666666666666</v>
      </c>
      <c r="I903" s="221" t="s">
        <v>38</v>
      </c>
      <c r="J903" s="221" t="s">
        <v>3024</v>
      </c>
      <c r="K903" s="224" t="s">
        <v>3101</v>
      </c>
      <c r="L903" s="225" t="str">
        <f>VLOOKUP(Logfile_S12[[#This Row],[Material Name]],Sheet2!B:C,2,0)</f>
        <v>GCI1015</v>
      </c>
      <c r="M903" s="225" t="str">
        <f>_xlfn.XLOOKUP(Logfile_S12[[#This Row],[Material Name]],Sum_WH!E:E,Sum_WH!F:F,"",0)</f>
        <v>Pcs</v>
      </c>
      <c r="N903" s="221">
        <v>35</v>
      </c>
      <c r="O903" s="221" t="s">
        <v>3344</v>
      </c>
      <c r="P903" s="221" t="s">
        <v>3345</v>
      </c>
      <c r="Q903" s="221">
        <v>0</v>
      </c>
      <c r="R903" s="221">
        <v>0</v>
      </c>
      <c r="S903" s="221"/>
      <c r="T903" s="221"/>
      <c r="U903" s="221"/>
      <c r="V903" s="221"/>
      <c r="W903" s="221"/>
      <c r="X903" s="221" t="s">
        <v>3426</v>
      </c>
      <c r="Y903" s="227"/>
      <c r="Z903" s="227" t="str">
        <f t="shared" si="37"/>
        <v>Purchase</v>
      </c>
      <c r="AA903" s="276" t="e">
        <f>VLOOKUP(Logfile_S12[[#This Row],[DO number]],DO_DB!G:I,3,0)</f>
        <v>#N/A</v>
      </c>
      <c r="AB903" s="331" t="e">
        <f>EXACT(Logfile_S12[[#This Row],[date pick]],Logfile_S12[[#This Row],[Date]])</f>
        <v>#N/A</v>
      </c>
      <c r="AC9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04" spans="1:29" ht="14.5" hidden="1">
      <c r="A904" s="220" t="str">
        <f t="shared" si="38"/>
        <v>900</v>
      </c>
      <c r="B904" s="221"/>
      <c r="C904" s="221" t="s">
        <v>49</v>
      </c>
      <c r="D904" s="221" t="s">
        <v>3808</v>
      </c>
      <c r="E904" s="221" t="s">
        <v>3295</v>
      </c>
      <c r="F904" s="221" t="s">
        <v>3299</v>
      </c>
      <c r="G904" s="222">
        <v>45246</v>
      </c>
      <c r="H904" s="223">
        <v>0.60763888888888895</v>
      </c>
      <c r="I904" s="221" t="s">
        <v>4916</v>
      </c>
      <c r="J904" s="221" t="s">
        <v>3024</v>
      </c>
      <c r="K904" s="224" t="s">
        <v>3101</v>
      </c>
      <c r="L904" s="225" t="str">
        <f>VLOOKUP(Logfile_S12[[#This Row],[Material Name]],Sheet2!B:C,2,0)</f>
        <v>GCI1015</v>
      </c>
      <c r="M904" s="225" t="str">
        <f>_xlfn.XLOOKUP(Logfile_S12[[#This Row],[Material Name]],Sum_WH!E:E,Sum_WH!F:F,"",0)</f>
        <v>Pcs</v>
      </c>
      <c r="N904" s="221">
        <v>35</v>
      </c>
      <c r="O904" s="221" t="s">
        <v>328</v>
      </c>
      <c r="P904" s="221" t="s">
        <v>329</v>
      </c>
      <c r="Q904" s="221"/>
      <c r="R904" s="221"/>
      <c r="S904" s="221"/>
      <c r="T904" s="221" t="s">
        <v>3332</v>
      </c>
      <c r="U904" s="221">
        <v>0</v>
      </c>
      <c r="V904" s="221" t="s">
        <v>3333</v>
      </c>
      <c r="W904" s="221" t="s">
        <v>3334</v>
      </c>
      <c r="X904" s="221"/>
      <c r="Y904" s="227"/>
      <c r="Z904" s="227" t="str">
        <f t="shared" si="37"/>
        <v>Sukodadi RW 01 Wagir</v>
      </c>
      <c r="AA904" s="276" t="e">
        <f>VLOOKUP(Logfile_S12[[#This Row],[DO number]],DO_DB!G:I,3,0)</f>
        <v>#N/A</v>
      </c>
      <c r="AB904" s="331" t="e">
        <f>EXACT(Logfile_S12[[#This Row],[date pick]],Logfile_S12[[#This Row],[Date]])</f>
        <v>#N/A</v>
      </c>
      <c r="AC9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05" spans="1:29" ht="14.5" hidden="1">
      <c r="A905" s="220" t="str">
        <f t="shared" si="38"/>
        <v>901</v>
      </c>
      <c r="B905" s="221"/>
      <c r="C905" s="221" t="s">
        <v>48</v>
      </c>
      <c r="D905" s="221" t="s">
        <v>3826</v>
      </c>
      <c r="E905" s="221" t="s">
        <v>3295</v>
      </c>
      <c r="F905" s="221" t="s">
        <v>3299</v>
      </c>
      <c r="G905" s="222">
        <v>45261</v>
      </c>
      <c r="H905" s="223">
        <v>15.291666666666666</v>
      </c>
      <c r="I905" s="221" t="s">
        <v>3586</v>
      </c>
      <c r="J905" s="221" t="s">
        <v>3024</v>
      </c>
      <c r="K905" s="224" t="s">
        <v>3101</v>
      </c>
      <c r="L905" s="225" t="str">
        <f>VLOOKUP(Logfile_S12[[#This Row],[Material Name]],Sheet2!B:C,2,0)</f>
        <v>GCI1015</v>
      </c>
      <c r="M905" s="225" t="str">
        <f>_xlfn.XLOOKUP(Logfile_S12[[#This Row],[Material Name]],Sum_WH!E:E,Sum_WH!F:F,"",0)</f>
        <v>Pcs</v>
      </c>
      <c r="N905" s="221">
        <v>15</v>
      </c>
      <c r="O905" s="221" t="s">
        <v>328</v>
      </c>
      <c r="P905" s="221" t="s">
        <v>329</v>
      </c>
      <c r="Q905" s="221">
        <v>0</v>
      </c>
      <c r="R905" s="221">
        <v>0</v>
      </c>
      <c r="S905" s="221"/>
      <c r="T905" s="221"/>
      <c r="U905" s="221"/>
      <c r="V905" s="221"/>
      <c r="W905" s="221"/>
      <c r="X905" s="221" t="s">
        <v>3219</v>
      </c>
      <c r="Y905" s="227"/>
      <c r="Z905" s="227" t="str">
        <f t="shared" si="37"/>
        <v>Sukodadi RW 01 Wagir</v>
      </c>
      <c r="AA905" s="276" t="e">
        <f>VLOOKUP(Logfile_S12[[#This Row],[DO number]],DO_DB!G:I,3,0)</f>
        <v>#N/A</v>
      </c>
      <c r="AB905" s="331" t="e">
        <f>EXACT(Logfile_S12[[#This Row],[date pick]],Logfile_S12[[#This Row],[Date]])</f>
        <v>#N/A</v>
      </c>
      <c r="AC9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06" spans="1:29" ht="14.5" hidden="1">
      <c r="A906" s="244" t="str">
        <f t="shared" si="38"/>
        <v>902</v>
      </c>
      <c r="B906" s="229"/>
      <c r="C906" s="229" t="s">
        <v>49</v>
      </c>
      <c r="D906" s="229" t="s">
        <v>4428</v>
      </c>
      <c r="E906" s="229" t="s">
        <v>3295</v>
      </c>
      <c r="F906" s="229" t="s">
        <v>3299</v>
      </c>
      <c r="G906" s="245">
        <v>45900</v>
      </c>
      <c r="H906" s="246">
        <v>0.90028935185185188</v>
      </c>
      <c r="I906" s="229" t="s">
        <v>3295</v>
      </c>
      <c r="J906" s="229" t="s">
        <v>3024</v>
      </c>
      <c r="K906" s="233" t="s">
        <v>3101</v>
      </c>
      <c r="L906" s="234" t="str">
        <f>VLOOKUP(Logfile_S12[[#This Row],[Material Name]],Sheet2!B:C,2,0)</f>
        <v>GCI1015</v>
      </c>
      <c r="M906" s="234" t="str">
        <f>_xlfn.XLOOKUP(Logfile_S12[[#This Row],[Material Name]],Sum_WH!E:E,Sum_WH!F:F,"",0)</f>
        <v>Pcs</v>
      </c>
      <c r="N906" s="229">
        <v>15</v>
      </c>
      <c r="O906" s="230" t="s">
        <v>4429</v>
      </c>
      <c r="P906" s="230" t="s">
        <v>4429</v>
      </c>
      <c r="Q906" s="229"/>
      <c r="R906" s="229"/>
      <c r="S906" s="229"/>
      <c r="T906" s="229"/>
      <c r="U906" s="229"/>
      <c r="V906" s="229"/>
      <c r="W906" s="229"/>
      <c r="X906" s="229" t="s">
        <v>4429</v>
      </c>
      <c r="Y906" s="227"/>
      <c r="Z906" s="227" t="str">
        <f t="shared" si="37"/>
        <v>ADJUSTMENT</v>
      </c>
      <c r="AA906" s="276" t="e">
        <f>VLOOKUP(Logfile_S12[[#This Row],[DO number]],DO_DB!G:I,3,0)</f>
        <v>#N/A</v>
      </c>
      <c r="AB906" s="331" t="e">
        <f>EXACT(Logfile_S12[[#This Row],[date pick]],Logfile_S12[[#This Row],[Date]])</f>
        <v>#N/A</v>
      </c>
      <c r="AC9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07" spans="1:29" ht="14.5" hidden="1">
      <c r="A907" s="220" t="str">
        <f t="shared" si="38"/>
        <v>903</v>
      </c>
      <c r="B907" s="221">
        <v>3</v>
      </c>
      <c r="C907" s="221" t="s">
        <v>48</v>
      </c>
      <c r="D907" s="221" t="s">
        <v>3678</v>
      </c>
      <c r="E907" s="221" t="s">
        <v>3295</v>
      </c>
      <c r="F907" s="221" t="s">
        <v>3299</v>
      </c>
      <c r="G907" s="222">
        <v>45142</v>
      </c>
      <c r="H907" s="223">
        <v>15.291666666666666</v>
      </c>
      <c r="I907" s="221" t="s">
        <v>37</v>
      </c>
      <c r="J907" s="221" t="s">
        <v>3023</v>
      </c>
      <c r="K907" s="224" t="s">
        <v>13</v>
      </c>
      <c r="L907" s="225" t="str">
        <f>VLOOKUP(Logfile_S12[[#This Row],[Material Name]],Sheet2!B:C,2,0)</f>
        <v>ZTE2008</v>
      </c>
      <c r="M907" s="225" t="str">
        <f>_xlfn.XLOOKUP(Logfile_S12[[#This Row],[Material Name]],Sum_WH!E:E,Sum_WH!F:F,"",0)</f>
        <v>Pcs</v>
      </c>
      <c r="N907" s="221">
        <v>16</v>
      </c>
      <c r="O907" s="221" t="s">
        <v>84</v>
      </c>
      <c r="P907" s="221" t="s">
        <v>85</v>
      </c>
      <c r="Q907" s="221" t="s">
        <v>86</v>
      </c>
      <c r="R907" s="221" t="s">
        <v>87</v>
      </c>
      <c r="S907" s="221"/>
      <c r="T907" s="221"/>
      <c r="U907" s="221"/>
      <c r="V907" s="221"/>
      <c r="W907" s="221"/>
      <c r="X907" s="221"/>
      <c r="Y907" s="227"/>
      <c r="Z907" s="227" t="str">
        <f t="shared" si="37"/>
        <v>Perumahan Bumi Podo Rukun Dau</v>
      </c>
      <c r="AA907" s="276">
        <f>VLOOKUP(Logfile_S12[[#This Row],[DO number]],DO_DB!G:I,3,0)</f>
        <v>45142</v>
      </c>
      <c r="AB907" s="331" t="b">
        <f>EXACT(Logfile_S12[[#This Row],[date pick]],Logfile_S12[[#This Row],[Date]])</f>
        <v>1</v>
      </c>
      <c r="AC9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08" spans="1:29" ht="14.5" hidden="1">
      <c r="A908" s="220" t="str">
        <f t="shared" si="38"/>
        <v>904</v>
      </c>
      <c r="B908" s="221"/>
      <c r="C908" s="221" t="s">
        <v>49</v>
      </c>
      <c r="D908" s="221" t="s">
        <v>3685</v>
      </c>
      <c r="E908" s="221" t="s">
        <v>3295</v>
      </c>
      <c r="F908" s="221" t="s">
        <v>3299</v>
      </c>
      <c r="G908" s="222">
        <v>45149</v>
      </c>
      <c r="H908" s="223">
        <v>15.619722222222222</v>
      </c>
      <c r="I908" s="221" t="s">
        <v>4916</v>
      </c>
      <c r="J908" s="221" t="s">
        <v>3023</v>
      </c>
      <c r="K908" s="224" t="s">
        <v>13</v>
      </c>
      <c r="L908" s="225" t="str">
        <f>VLOOKUP(Logfile_S12[[#This Row],[Material Name]],Sheet2!B:C,2,0)</f>
        <v>ZTE2008</v>
      </c>
      <c r="M908" s="225" t="str">
        <f>_xlfn.XLOOKUP(Logfile_S12[[#This Row],[Material Name]],Sum_WH!E:E,Sum_WH!F:F,"",0)</f>
        <v>Pcs</v>
      </c>
      <c r="N908" s="221">
        <v>16</v>
      </c>
      <c r="O908" s="221" t="s">
        <v>84</v>
      </c>
      <c r="P908" s="221" t="s">
        <v>85</v>
      </c>
      <c r="Q908" s="221"/>
      <c r="R908" s="221"/>
      <c r="S908" s="221"/>
      <c r="T908" s="221" t="s">
        <v>3329</v>
      </c>
      <c r="U908" s="221" t="s">
        <v>3228</v>
      </c>
      <c r="V908" s="221" t="s">
        <v>3330</v>
      </c>
      <c r="W908" s="221" t="s">
        <v>3517</v>
      </c>
      <c r="X908" s="221"/>
      <c r="Y908" s="227"/>
      <c r="Z908" s="227" t="str">
        <f t="shared" ref="Z908:Z971" si="39">P908</f>
        <v>Perumahan Bumi Podo Rukun Dau</v>
      </c>
      <c r="AA908" s="276" t="e">
        <f>VLOOKUP(Logfile_S12[[#This Row],[DO number]],DO_DB!G:I,3,0)</f>
        <v>#N/A</v>
      </c>
      <c r="AB908" s="331" t="e">
        <f>EXACT(Logfile_S12[[#This Row],[date pick]],Logfile_S12[[#This Row],[Date]])</f>
        <v>#N/A</v>
      </c>
      <c r="AC9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09" spans="1:29" ht="14.5" hidden="1">
      <c r="A909" s="220" t="str">
        <f t="shared" si="38"/>
        <v>905</v>
      </c>
      <c r="B909" s="221"/>
      <c r="C909" s="221" t="s">
        <v>48</v>
      </c>
      <c r="D909" s="221" t="s">
        <v>3692</v>
      </c>
      <c r="E909" s="221" t="s">
        <v>3295</v>
      </c>
      <c r="F909" s="221" t="s">
        <v>3299</v>
      </c>
      <c r="G909" s="222">
        <v>45170</v>
      </c>
      <c r="H909" s="223">
        <v>15.291666666666666</v>
      </c>
      <c r="I909" s="221" t="s">
        <v>37</v>
      </c>
      <c r="J909" s="221" t="s">
        <v>3023</v>
      </c>
      <c r="K909" s="224" t="s">
        <v>13</v>
      </c>
      <c r="L909" s="225" t="str">
        <f>VLOOKUP(Logfile_S12[[#This Row],[Material Name]],Sheet2!B:C,2,0)</f>
        <v>ZTE2008</v>
      </c>
      <c r="M909" s="225" t="str">
        <f>_xlfn.XLOOKUP(Logfile_S12[[#This Row],[Material Name]],Sum_WH!E:E,Sum_WH!F:F,"",0)</f>
        <v>Pcs</v>
      </c>
      <c r="N909" s="221">
        <v>17</v>
      </c>
      <c r="O909" s="221" t="s">
        <v>150</v>
      </c>
      <c r="P909" s="221" t="s">
        <v>151</v>
      </c>
      <c r="Q909" s="221" t="s">
        <v>152</v>
      </c>
      <c r="R909" s="221" t="s">
        <v>153</v>
      </c>
      <c r="S909" s="221"/>
      <c r="T909" s="221"/>
      <c r="U909" s="221"/>
      <c r="V909" s="221"/>
      <c r="W909" s="221"/>
      <c r="X909" s="221"/>
      <c r="Y909" s="227"/>
      <c r="Z909" s="227" t="str">
        <f t="shared" si="39"/>
        <v>Mulyorejo RW 04 Sukun</v>
      </c>
      <c r="AA909" s="276">
        <f>VLOOKUP(Logfile_S12[[#This Row],[DO number]],DO_DB!G:I,3,0)</f>
        <v>45170</v>
      </c>
      <c r="AB909" s="331" t="b">
        <f>EXACT(Logfile_S12[[#This Row],[date pick]],Logfile_S12[[#This Row],[Date]])</f>
        <v>1</v>
      </c>
      <c r="AC9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10" spans="1:29" ht="14.5" hidden="1">
      <c r="A910" s="220" t="str">
        <f t="shared" si="38"/>
        <v>906</v>
      </c>
      <c r="B910" s="221"/>
      <c r="C910" s="221" t="s">
        <v>49</v>
      </c>
      <c r="D910" s="221" t="s">
        <v>3705</v>
      </c>
      <c r="E910" s="221" t="s">
        <v>3295</v>
      </c>
      <c r="F910" s="221" t="s">
        <v>3299</v>
      </c>
      <c r="G910" s="222">
        <v>45179</v>
      </c>
      <c r="H910" s="223">
        <v>0.38124999999999998</v>
      </c>
      <c r="I910" s="221" t="s">
        <v>4916</v>
      </c>
      <c r="J910" s="221" t="s">
        <v>3023</v>
      </c>
      <c r="K910" s="224" t="s">
        <v>13</v>
      </c>
      <c r="L910" s="225" t="str">
        <f>VLOOKUP(Logfile_S12[[#This Row],[Material Name]],Sheet2!B:C,2,0)</f>
        <v>ZTE2008</v>
      </c>
      <c r="M910" s="225" t="str">
        <f>_xlfn.XLOOKUP(Logfile_S12[[#This Row],[Material Name]],Sum_WH!E:E,Sum_WH!F:F,"",0)</f>
        <v>Pcs</v>
      </c>
      <c r="N910" s="221">
        <v>17</v>
      </c>
      <c r="O910" s="221" t="s">
        <v>150</v>
      </c>
      <c r="P910" s="221" t="s">
        <v>151</v>
      </c>
      <c r="Q910" s="221"/>
      <c r="R910" s="221"/>
      <c r="S910" s="221"/>
      <c r="T910" s="221" t="s">
        <v>3518</v>
      </c>
      <c r="U910" s="221" t="s">
        <v>3228</v>
      </c>
      <c r="V910" s="221" t="s">
        <v>3519</v>
      </c>
      <c r="W910" s="221" t="s">
        <v>3520</v>
      </c>
      <c r="X910" s="221"/>
      <c r="Y910" s="227"/>
      <c r="Z910" s="227" t="str">
        <f t="shared" si="39"/>
        <v>Mulyorejo RW 04 Sukun</v>
      </c>
      <c r="AA910" s="276" t="e">
        <f>VLOOKUP(Logfile_S12[[#This Row],[DO number]],DO_DB!G:I,3,0)</f>
        <v>#N/A</v>
      </c>
      <c r="AB910" s="331" t="e">
        <f>EXACT(Logfile_S12[[#This Row],[date pick]],Logfile_S12[[#This Row],[Date]])</f>
        <v>#N/A</v>
      </c>
      <c r="AC9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11" spans="1:29" ht="14.5" hidden="1">
      <c r="A911" s="220" t="str">
        <f t="shared" si="38"/>
        <v>907</v>
      </c>
      <c r="B911" s="221"/>
      <c r="C911" s="221" t="s">
        <v>49</v>
      </c>
      <c r="D911" s="221" t="s">
        <v>3707</v>
      </c>
      <c r="E911" s="221" t="s">
        <v>3295</v>
      </c>
      <c r="F911" s="221" t="s">
        <v>3299</v>
      </c>
      <c r="G911" s="222">
        <v>45183</v>
      </c>
      <c r="H911" s="223">
        <v>15.291666666666666</v>
      </c>
      <c r="I911" s="221" t="s">
        <v>4916</v>
      </c>
      <c r="J911" s="221" t="s">
        <v>3023</v>
      </c>
      <c r="K911" s="224" t="s">
        <v>13</v>
      </c>
      <c r="L911" s="225" t="str">
        <f>VLOOKUP(Logfile_S12[[#This Row],[Material Name]],Sheet2!B:C,2,0)</f>
        <v>ZTE2008</v>
      </c>
      <c r="M911" s="225" t="str">
        <f>_xlfn.XLOOKUP(Logfile_S12[[#This Row],[Material Name]],Sum_WH!E:E,Sum_WH!F:F,"",0)</f>
        <v>Pcs</v>
      </c>
      <c r="N911" s="221">
        <v>1</v>
      </c>
      <c r="O911" s="221" t="s">
        <v>150</v>
      </c>
      <c r="P911" s="221" t="s">
        <v>151</v>
      </c>
      <c r="Q911" s="221">
        <v>0</v>
      </c>
      <c r="R911" s="221" t="s">
        <v>3147</v>
      </c>
      <c r="S911" s="221"/>
      <c r="T911" s="221"/>
      <c r="U911" s="221"/>
      <c r="V911" s="221"/>
      <c r="W911" s="221"/>
      <c r="X911" s="221" t="s">
        <v>3524</v>
      </c>
      <c r="Y911" s="227"/>
      <c r="Z911" s="227" t="str">
        <f t="shared" si="39"/>
        <v>Mulyorejo RW 04 Sukun</v>
      </c>
      <c r="AA911" s="276" t="e">
        <f>VLOOKUP(Logfile_S12[[#This Row],[DO number]],DO_DB!G:I,3,0)</f>
        <v>#N/A</v>
      </c>
      <c r="AB911" s="331" t="e">
        <f>EXACT(Logfile_S12[[#This Row],[date pick]],Logfile_S12[[#This Row],[Date]])</f>
        <v>#N/A</v>
      </c>
      <c r="AC9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12" spans="1:29" ht="14.5" hidden="1">
      <c r="A912" s="220" t="str">
        <f t="shared" si="38"/>
        <v>908</v>
      </c>
      <c r="B912" s="221"/>
      <c r="C912" s="221" t="s">
        <v>3313</v>
      </c>
      <c r="D912" s="221" t="s">
        <v>3706</v>
      </c>
      <c r="E912" s="221" t="s">
        <v>3295</v>
      </c>
      <c r="F912" s="221" t="s">
        <v>3299</v>
      </c>
      <c r="G912" s="222">
        <v>45183</v>
      </c>
      <c r="H912" s="223">
        <v>15.291666666666666</v>
      </c>
      <c r="I912" s="221" t="s">
        <v>4920</v>
      </c>
      <c r="J912" s="221" t="s">
        <v>3023</v>
      </c>
      <c r="K912" s="224" t="s">
        <v>13</v>
      </c>
      <c r="L912" s="225" t="str">
        <f>VLOOKUP(Logfile_S12[[#This Row],[Material Name]],Sheet2!B:C,2,0)</f>
        <v>ZTE2008</v>
      </c>
      <c r="M912" s="225" t="str">
        <f>_xlfn.XLOOKUP(Logfile_S12[[#This Row],[Material Name]],Sum_WH!E:E,Sum_WH!F:F,"",0)</f>
        <v>Pcs</v>
      </c>
      <c r="N912" s="221">
        <v>1</v>
      </c>
      <c r="O912" s="221" t="s">
        <v>3314</v>
      </c>
      <c r="P912" s="221" t="s">
        <v>3315</v>
      </c>
      <c r="Q912" s="221">
        <v>0</v>
      </c>
      <c r="R912" s="221" t="s">
        <v>3147</v>
      </c>
      <c r="S912" s="221"/>
      <c r="T912" s="221"/>
      <c r="U912" s="221"/>
      <c r="V912" s="221"/>
      <c r="W912" s="221"/>
      <c r="X912" s="221" t="s">
        <v>3524</v>
      </c>
      <c r="Y912" s="227"/>
      <c r="Z912" s="227" t="str">
        <f t="shared" si="39"/>
        <v>KEDIRI</v>
      </c>
      <c r="AA912" s="276" t="e">
        <f>VLOOKUP(Logfile_S12[[#This Row],[DO number]],DO_DB!G:I,3,0)</f>
        <v>#N/A</v>
      </c>
      <c r="AB912" s="331" t="e">
        <f>EXACT(Logfile_S12[[#This Row],[date pick]],Logfile_S12[[#This Row],[Date]])</f>
        <v>#N/A</v>
      </c>
      <c r="AC9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13" spans="1:29" ht="14.5" hidden="1">
      <c r="A913" s="220" t="str">
        <f t="shared" si="38"/>
        <v>909</v>
      </c>
      <c r="B913" s="221"/>
      <c r="C913" s="221" t="s">
        <v>48</v>
      </c>
      <c r="D913" s="221" t="s">
        <v>3708</v>
      </c>
      <c r="E913" s="221" t="s">
        <v>3295</v>
      </c>
      <c r="F913" s="221" t="s">
        <v>3299</v>
      </c>
      <c r="G913" s="222">
        <v>45185</v>
      </c>
      <c r="H913" s="223">
        <v>15.291666666666666</v>
      </c>
      <c r="I913" s="221" t="s">
        <v>37</v>
      </c>
      <c r="J913" s="221" t="s">
        <v>3023</v>
      </c>
      <c r="K913" s="224" t="s">
        <v>13</v>
      </c>
      <c r="L913" s="225" t="str">
        <f>VLOOKUP(Logfile_S12[[#This Row],[Material Name]],Sheet2!B:C,2,0)</f>
        <v>ZTE2008</v>
      </c>
      <c r="M913" s="225" t="str">
        <f>_xlfn.XLOOKUP(Logfile_S12[[#This Row],[Material Name]],Sum_WH!E:E,Sum_WH!F:F,"",0)</f>
        <v>Pcs</v>
      </c>
      <c r="N913" s="221">
        <v>11</v>
      </c>
      <c r="O913" s="221" t="s">
        <v>164</v>
      </c>
      <c r="P913" s="221" t="s">
        <v>3525</v>
      </c>
      <c r="Q913" s="221" t="s">
        <v>166</v>
      </c>
      <c r="R913" s="221" t="s">
        <v>167</v>
      </c>
      <c r="S913" s="221"/>
      <c r="T913" s="221"/>
      <c r="U913" s="221"/>
      <c r="V913" s="221"/>
      <c r="W913" s="221"/>
      <c r="X913" s="221"/>
      <c r="Y913" s="227"/>
      <c r="Z913" s="227" t="str">
        <f t="shared" si="39"/>
        <v>Pandanlandung RW   04   Wagir</v>
      </c>
      <c r="AA913" s="276">
        <f>VLOOKUP(Logfile_S12[[#This Row],[DO number]],DO_DB!G:I,3,0)</f>
        <v>45185</v>
      </c>
      <c r="AB913" s="331" t="b">
        <f>EXACT(Logfile_S12[[#This Row],[date pick]],Logfile_S12[[#This Row],[Date]])</f>
        <v>1</v>
      </c>
      <c r="AC9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14" spans="1:29" ht="14.5" hidden="1">
      <c r="A914" s="220" t="str">
        <f t="shared" si="38"/>
        <v>910</v>
      </c>
      <c r="B914" s="221"/>
      <c r="C914" s="221" t="s">
        <v>48</v>
      </c>
      <c r="D914" s="221" t="s">
        <v>3709</v>
      </c>
      <c r="E914" s="221" t="s">
        <v>3295</v>
      </c>
      <c r="F914" s="221" t="s">
        <v>3299</v>
      </c>
      <c r="G914" s="222">
        <v>45188</v>
      </c>
      <c r="H914" s="223">
        <v>15.291666666666666</v>
      </c>
      <c r="I914" s="221" t="s">
        <v>37</v>
      </c>
      <c r="J914" s="221" t="s">
        <v>3023</v>
      </c>
      <c r="K914" s="224" t="s">
        <v>13</v>
      </c>
      <c r="L914" s="225" t="str">
        <f>VLOOKUP(Logfile_S12[[#This Row],[Material Name]],Sheet2!B:C,2,0)</f>
        <v>ZTE2008</v>
      </c>
      <c r="M914" s="225" t="str">
        <f>_xlfn.XLOOKUP(Logfile_S12[[#This Row],[Material Name]],Sum_WH!E:E,Sum_WH!F:F,"",0)</f>
        <v>Pcs</v>
      </c>
      <c r="N914" s="221">
        <v>1</v>
      </c>
      <c r="O914" s="221" t="s">
        <v>164</v>
      </c>
      <c r="P914" s="221" t="s">
        <v>3525</v>
      </c>
      <c r="Q914" s="221" t="s">
        <v>176</v>
      </c>
      <c r="R914" s="221" t="s">
        <v>177</v>
      </c>
      <c r="S914" s="221"/>
      <c r="T914" s="221"/>
      <c r="U914" s="221"/>
      <c r="V914" s="221"/>
      <c r="W914" s="221"/>
      <c r="X914" s="221"/>
      <c r="Y914" s="227"/>
      <c r="Z914" s="227" t="str">
        <f t="shared" si="39"/>
        <v>Pandanlandung RW   04   Wagir</v>
      </c>
      <c r="AA914" s="276">
        <f>VLOOKUP(Logfile_S12[[#This Row],[DO number]],DO_DB!G:I,3,0)</f>
        <v>45188</v>
      </c>
      <c r="AB914" s="331" t="b">
        <f>EXACT(Logfile_S12[[#This Row],[date pick]],Logfile_S12[[#This Row],[Date]])</f>
        <v>1</v>
      </c>
      <c r="AC9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15" spans="1:29" ht="14.5" hidden="1">
      <c r="A915" s="220" t="str">
        <f t="shared" si="38"/>
        <v>911</v>
      </c>
      <c r="B915" s="221"/>
      <c r="C915" s="221" t="s">
        <v>48</v>
      </c>
      <c r="D915" s="221" t="s">
        <v>3709</v>
      </c>
      <c r="E915" s="221" t="s">
        <v>3295</v>
      </c>
      <c r="F915" s="221" t="s">
        <v>3299</v>
      </c>
      <c r="G915" s="222">
        <v>45188</v>
      </c>
      <c r="H915" s="223">
        <v>15.291666666666666</v>
      </c>
      <c r="I915" s="221" t="s">
        <v>37</v>
      </c>
      <c r="J915" s="221" t="s">
        <v>3023</v>
      </c>
      <c r="K915" s="224" t="s">
        <v>13</v>
      </c>
      <c r="L915" s="225" t="str">
        <f>VLOOKUP(Logfile_S12[[#This Row],[Material Name]],Sheet2!B:C,2,0)</f>
        <v>ZTE2008</v>
      </c>
      <c r="M915" s="225" t="str">
        <f>_xlfn.XLOOKUP(Logfile_S12[[#This Row],[Material Name]],Sum_WH!E:E,Sum_WH!F:F,"",0)</f>
        <v>Pcs</v>
      </c>
      <c r="N915" s="221">
        <v>11</v>
      </c>
      <c r="O915" s="221" t="s">
        <v>180</v>
      </c>
      <c r="P915" s="221" t="s">
        <v>181</v>
      </c>
      <c r="Q915" s="221" t="s">
        <v>182</v>
      </c>
      <c r="R915" s="221" t="s">
        <v>183</v>
      </c>
      <c r="S915" s="221"/>
      <c r="T915" s="221"/>
      <c r="U915" s="221"/>
      <c r="V915" s="221"/>
      <c r="W915" s="221"/>
      <c r="X915" s="221"/>
      <c r="Y915" s="227"/>
      <c r="Z915" s="227" t="str">
        <f t="shared" si="39"/>
        <v>Mulyorejo RW 06 Sukun</v>
      </c>
      <c r="AA915" s="276">
        <f>VLOOKUP(Logfile_S12[[#This Row],[DO number]],DO_DB!G:I,3,0)</f>
        <v>45188</v>
      </c>
      <c r="AB915" s="331" t="b">
        <f>EXACT(Logfile_S12[[#This Row],[date pick]],Logfile_S12[[#This Row],[Date]])</f>
        <v>1</v>
      </c>
      <c r="AC9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16" spans="1:29" ht="14.5" hidden="1">
      <c r="A916" s="220" t="str">
        <f t="shared" si="38"/>
        <v>912</v>
      </c>
      <c r="B916" s="221"/>
      <c r="C916" s="221" t="s">
        <v>48</v>
      </c>
      <c r="D916" s="221" t="s">
        <v>3709</v>
      </c>
      <c r="E916" s="221" t="s">
        <v>3295</v>
      </c>
      <c r="F916" s="221" t="s">
        <v>3299</v>
      </c>
      <c r="G916" s="222">
        <v>45188</v>
      </c>
      <c r="H916" s="223">
        <v>15.291666666666666</v>
      </c>
      <c r="I916" s="221" t="s">
        <v>37</v>
      </c>
      <c r="J916" s="221" t="s">
        <v>3023</v>
      </c>
      <c r="K916" s="224" t="s">
        <v>13</v>
      </c>
      <c r="L916" s="225" t="str">
        <f>VLOOKUP(Logfile_S12[[#This Row],[Material Name]],Sheet2!B:C,2,0)</f>
        <v>ZTE2008</v>
      </c>
      <c r="M916" s="225" t="str">
        <f>_xlfn.XLOOKUP(Logfile_S12[[#This Row],[Material Name]],Sum_WH!E:E,Sum_WH!F:F,"",0)</f>
        <v>Pcs</v>
      </c>
      <c r="N916" s="221">
        <v>16</v>
      </c>
      <c r="O916" s="221" t="s">
        <v>172</v>
      </c>
      <c r="P916" s="221" t="s">
        <v>3526</v>
      </c>
      <c r="Q916" s="221" t="s">
        <v>178</v>
      </c>
      <c r="R916" s="221" t="s">
        <v>179</v>
      </c>
      <c r="S916" s="221"/>
      <c r="T916" s="221"/>
      <c r="U916" s="221"/>
      <c r="V916" s="221"/>
      <c r="W916" s="221"/>
      <c r="X916" s="221"/>
      <c r="Y916" s="227"/>
      <c r="Z916" s="227" t="str">
        <f t="shared" si="39"/>
        <v>Pandanlandung RW   03   Wagir</v>
      </c>
      <c r="AA916" s="276">
        <f>VLOOKUP(Logfile_S12[[#This Row],[DO number]],DO_DB!G:I,3,0)</f>
        <v>45188</v>
      </c>
      <c r="AB916" s="331" t="b">
        <f>EXACT(Logfile_S12[[#This Row],[date pick]],Logfile_S12[[#This Row],[Date]])</f>
        <v>1</v>
      </c>
      <c r="AC9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17" spans="1:29" ht="14.5" hidden="1">
      <c r="A917" s="220" t="str">
        <f t="shared" si="38"/>
        <v>913</v>
      </c>
      <c r="B917" s="221"/>
      <c r="C917" s="221" t="s">
        <v>48</v>
      </c>
      <c r="D917" s="221" t="s">
        <v>3710</v>
      </c>
      <c r="E917" s="221" t="s">
        <v>3295</v>
      </c>
      <c r="F917" s="221" t="s">
        <v>3299</v>
      </c>
      <c r="G917" s="222">
        <v>45189</v>
      </c>
      <c r="H917" s="223">
        <v>15.291666666666666</v>
      </c>
      <c r="I917" s="221" t="s">
        <v>37</v>
      </c>
      <c r="J917" s="221" t="s">
        <v>3023</v>
      </c>
      <c r="K917" s="224" t="s">
        <v>13</v>
      </c>
      <c r="L917" s="225" t="str">
        <f>VLOOKUP(Logfile_S12[[#This Row],[Material Name]],Sheet2!B:C,2,0)</f>
        <v>ZTE2008</v>
      </c>
      <c r="M917" s="225" t="str">
        <f>_xlfn.XLOOKUP(Logfile_S12[[#This Row],[Material Name]],Sum_WH!E:E,Sum_WH!F:F,"",0)</f>
        <v>Pcs</v>
      </c>
      <c r="N917" s="221">
        <v>11</v>
      </c>
      <c r="O917" s="221" t="s">
        <v>222</v>
      </c>
      <c r="P917" s="221" t="s">
        <v>223</v>
      </c>
      <c r="Q917" s="221" t="s">
        <v>224</v>
      </c>
      <c r="R917" s="221" t="s">
        <v>225</v>
      </c>
      <c r="S917" s="221"/>
      <c r="T917" s="221"/>
      <c r="U917" s="221"/>
      <c r="V917" s="221"/>
      <c r="W917" s="221"/>
      <c r="X917" s="221"/>
      <c r="Y917" s="227"/>
      <c r="Z917" s="227" t="str">
        <f t="shared" si="39"/>
        <v>Puncak Dieng Exlusif</v>
      </c>
      <c r="AA917" s="276">
        <f>VLOOKUP(Logfile_S12[[#This Row],[DO number]],DO_DB!G:I,3,0)</f>
        <v>45189</v>
      </c>
      <c r="AB917" s="331" t="b">
        <f>EXACT(Logfile_S12[[#This Row],[date pick]],Logfile_S12[[#This Row],[Date]])</f>
        <v>1</v>
      </c>
      <c r="AC9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18" spans="1:29" ht="14.5" hidden="1">
      <c r="A918" s="220" t="str">
        <f t="shared" si="38"/>
        <v>914</v>
      </c>
      <c r="B918" s="221"/>
      <c r="C918" s="221" t="s">
        <v>49</v>
      </c>
      <c r="D918" s="221" t="s">
        <v>3722</v>
      </c>
      <c r="E918" s="221" t="s">
        <v>3295</v>
      </c>
      <c r="F918" s="221" t="s">
        <v>3299</v>
      </c>
      <c r="G918" s="222">
        <v>45194</v>
      </c>
      <c r="H918" s="223">
        <v>0.27083333333333331</v>
      </c>
      <c r="I918" s="221" t="s">
        <v>4916</v>
      </c>
      <c r="J918" s="221" t="s">
        <v>3023</v>
      </c>
      <c r="K918" s="224" t="s">
        <v>13</v>
      </c>
      <c r="L918" s="225" t="str">
        <f>VLOOKUP(Logfile_S12[[#This Row],[Material Name]],Sheet2!B:C,2,0)</f>
        <v>ZTE2008</v>
      </c>
      <c r="M918" s="225" t="str">
        <f>_xlfn.XLOOKUP(Logfile_S12[[#This Row],[Material Name]],Sum_WH!E:E,Sum_WH!F:F,"",0)</f>
        <v>Pcs</v>
      </c>
      <c r="N918" s="221">
        <v>11</v>
      </c>
      <c r="O918" s="221" t="s">
        <v>180</v>
      </c>
      <c r="P918" s="221" t="s">
        <v>181</v>
      </c>
      <c r="Q918" s="221"/>
      <c r="R918" s="221"/>
      <c r="S918" s="221"/>
      <c r="T918" s="221" t="s">
        <v>3322</v>
      </c>
      <c r="U918" s="221" t="s">
        <v>3323</v>
      </c>
      <c r="V918" s="221" t="s">
        <v>3324</v>
      </c>
      <c r="W918" s="221" t="s">
        <v>3386</v>
      </c>
      <c r="X918" s="221"/>
      <c r="Y918" s="227"/>
      <c r="Z918" s="227" t="str">
        <f t="shared" si="39"/>
        <v>Mulyorejo RW 06 Sukun</v>
      </c>
      <c r="AA918" s="276" t="e">
        <f>VLOOKUP(Logfile_S12[[#This Row],[DO number]],DO_DB!G:I,3,0)</f>
        <v>#N/A</v>
      </c>
      <c r="AB918" s="331" t="e">
        <f>EXACT(Logfile_S12[[#This Row],[date pick]],Logfile_S12[[#This Row],[Date]])</f>
        <v>#N/A</v>
      </c>
      <c r="AC9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19" spans="1:29" ht="14.5" hidden="1">
      <c r="A919" s="220" t="str">
        <f t="shared" si="38"/>
        <v>915</v>
      </c>
      <c r="B919" s="221"/>
      <c r="C919" s="221" t="s">
        <v>48</v>
      </c>
      <c r="D919" s="221" t="s">
        <v>3727</v>
      </c>
      <c r="E919" s="221" t="s">
        <v>3295</v>
      </c>
      <c r="F919" s="221" t="s">
        <v>3299</v>
      </c>
      <c r="G919" s="222">
        <v>45195</v>
      </c>
      <c r="H919" s="223">
        <v>15.291666666666666</v>
      </c>
      <c r="I919" s="221" t="s">
        <v>37</v>
      </c>
      <c r="J919" s="221" t="s">
        <v>3023</v>
      </c>
      <c r="K919" s="224" t="s">
        <v>13</v>
      </c>
      <c r="L919" s="225" t="str">
        <f>VLOOKUP(Logfile_S12[[#This Row],[Material Name]],Sheet2!B:C,2,0)</f>
        <v>ZTE2008</v>
      </c>
      <c r="M919" s="225" t="str">
        <f>_xlfn.XLOOKUP(Logfile_S12[[#This Row],[Material Name]],Sum_WH!E:E,Sum_WH!F:F,"",0)</f>
        <v>Pcs</v>
      </c>
      <c r="N919" s="221">
        <v>7</v>
      </c>
      <c r="O919" s="221" t="s">
        <v>222</v>
      </c>
      <c r="P919" s="221" t="s">
        <v>223</v>
      </c>
      <c r="Q919" s="221" t="s">
        <v>240</v>
      </c>
      <c r="R919" s="221" t="s">
        <v>241</v>
      </c>
      <c r="S919" s="221"/>
      <c r="T919" s="221"/>
      <c r="U919" s="221"/>
      <c r="V919" s="221"/>
      <c r="W919" s="221"/>
      <c r="X919" s="221"/>
      <c r="Y919" s="227"/>
      <c r="Z919" s="227" t="str">
        <f t="shared" si="39"/>
        <v>Puncak Dieng Exlusif</v>
      </c>
      <c r="AA919" s="276">
        <f>VLOOKUP(Logfile_S12[[#This Row],[DO number]],DO_DB!G:I,3,0)</f>
        <v>45195</v>
      </c>
      <c r="AB919" s="331" t="b">
        <f>EXACT(Logfile_S12[[#This Row],[date pick]],Logfile_S12[[#This Row],[Date]])</f>
        <v>1</v>
      </c>
      <c r="AC9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20" spans="1:29" ht="14.5" hidden="1">
      <c r="A920" s="220" t="str">
        <f t="shared" si="38"/>
        <v>916</v>
      </c>
      <c r="B920" s="221"/>
      <c r="C920" s="221" t="s">
        <v>49</v>
      </c>
      <c r="D920" s="221" t="s">
        <v>3729</v>
      </c>
      <c r="E920" s="221" t="s">
        <v>3295</v>
      </c>
      <c r="F920" s="221" t="s">
        <v>3299</v>
      </c>
      <c r="G920" s="222">
        <v>45196</v>
      </c>
      <c r="H920" s="223">
        <v>0.47222222222222227</v>
      </c>
      <c r="I920" s="221" t="s">
        <v>4916</v>
      </c>
      <c r="J920" s="221" t="s">
        <v>3023</v>
      </c>
      <c r="K920" s="224" t="s">
        <v>13</v>
      </c>
      <c r="L920" s="225" t="str">
        <f>VLOOKUP(Logfile_S12[[#This Row],[Material Name]],Sheet2!B:C,2,0)</f>
        <v>ZTE2008</v>
      </c>
      <c r="M920" s="225" t="str">
        <f>_xlfn.XLOOKUP(Logfile_S12[[#This Row],[Material Name]],Sum_WH!E:E,Sum_WH!F:F,"",0)</f>
        <v>Pcs</v>
      </c>
      <c r="N920" s="221">
        <v>35</v>
      </c>
      <c r="O920" s="221" t="s">
        <v>222</v>
      </c>
      <c r="P920" s="221" t="s">
        <v>223</v>
      </c>
      <c r="Q920" s="221"/>
      <c r="R920" s="221"/>
      <c r="S920" s="221"/>
      <c r="T920" s="221" t="s">
        <v>3322</v>
      </c>
      <c r="U920" s="221" t="s">
        <v>3323</v>
      </c>
      <c r="V920" s="221" t="s">
        <v>3324</v>
      </c>
      <c r="W920" s="221" t="s">
        <v>3349</v>
      </c>
      <c r="X920" s="221"/>
      <c r="Y920" s="227"/>
      <c r="Z920" s="227" t="str">
        <f t="shared" si="39"/>
        <v>Puncak Dieng Exlusif</v>
      </c>
      <c r="AA920" s="276" t="e">
        <f>VLOOKUP(Logfile_S12[[#This Row],[DO number]],DO_DB!G:I,3,0)</f>
        <v>#N/A</v>
      </c>
      <c r="AB920" s="331" t="e">
        <f>EXACT(Logfile_S12[[#This Row],[date pick]],Logfile_S12[[#This Row],[Date]])</f>
        <v>#N/A</v>
      </c>
      <c r="AC9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21" spans="1:29" ht="14.5" hidden="1">
      <c r="A921" s="220" t="str">
        <f t="shared" si="38"/>
        <v>917</v>
      </c>
      <c r="B921" s="221"/>
      <c r="C921" s="221" t="s">
        <v>49</v>
      </c>
      <c r="D921" s="221" t="s">
        <v>3735</v>
      </c>
      <c r="E921" s="221" t="s">
        <v>3295</v>
      </c>
      <c r="F921" s="221" t="s">
        <v>3299</v>
      </c>
      <c r="G921" s="222">
        <v>45201</v>
      </c>
      <c r="H921" s="223">
        <v>0.47222222222222227</v>
      </c>
      <c r="I921" s="221" t="s">
        <v>4916</v>
      </c>
      <c r="J921" s="221" t="s">
        <v>3023</v>
      </c>
      <c r="K921" s="224" t="s">
        <v>13</v>
      </c>
      <c r="L921" s="225" t="str">
        <f>VLOOKUP(Logfile_S12[[#This Row],[Material Name]],Sheet2!B:C,2,0)</f>
        <v>ZTE2008</v>
      </c>
      <c r="M921" s="225" t="str">
        <f>_xlfn.XLOOKUP(Logfile_S12[[#This Row],[Material Name]],Sum_WH!E:E,Sum_WH!F:F,"",0)</f>
        <v>Pcs</v>
      </c>
      <c r="N921" s="221">
        <v>3</v>
      </c>
      <c r="O921" s="221" t="s">
        <v>222</v>
      </c>
      <c r="P921" s="221" t="s">
        <v>223</v>
      </c>
      <c r="Q921" s="221"/>
      <c r="R921" s="221"/>
      <c r="S921" s="221"/>
      <c r="T921" s="221" t="s">
        <v>3322</v>
      </c>
      <c r="U921" s="221" t="s">
        <v>3323</v>
      </c>
      <c r="V921" s="221" t="s">
        <v>3324</v>
      </c>
      <c r="W921" s="221" t="s">
        <v>3349</v>
      </c>
      <c r="X921" s="221"/>
      <c r="Y921" s="227"/>
      <c r="Z921" s="227" t="str">
        <f t="shared" si="39"/>
        <v>Puncak Dieng Exlusif</v>
      </c>
      <c r="AA921" s="276" t="e">
        <f>VLOOKUP(Logfile_S12[[#This Row],[DO number]],DO_DB!G:I,3,0)</f>
        <v>#N/A</v>
      </c>
      <c r="AB921" s="331" t="e">
        <f>EXACT(Logfile_S12[[#This Row],[date pick]],Logfile_S12[[#This Row],[Date]])</f>
        <v>#N/A</v>
      </c>
      <c r="AC9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22" spans="1:29" ht="14.5" hidden="1">
      <c r="A922" s="220" t="str">
        <f t="shared" si="38"/>
        <v>918</v>
      </c>
      <c r="B922" s="221"/>
      <c r="C922" s="221" t="s">
        <v>49</v>
      </c>
      <c r="D922" s="221" t="s">
        <v>3743</v>
      </c>
      <c r="E922" s="221" t="s">
        <v>3295</v>
      </c>
      <c r="F922" s="221" t="s">
        <v>3299</v>
      </c>
      <c r="G922" s="222">
        <v>45208</v>
      </c>
      <c r="H922" s="223">
        <v>0.60763888888888895</v>
      </c>
      <c r="I922" s="221" t="s">
        <v>4916</v>
      </c>
      <c r="J922" s="221" t="s">
        <v>3023</v>
      </c>
      <c r="K922" s="224" t="s">
        <v>13</v>
      </c>
      <c r="L922" s="225" t="str">
        <f>VLOOKUP(Logfile_S12[[#This Row],[Material Name]],Sheet2!B:C,2,0)</f>
        <v>ZTE2008</v>
      </c>
      <c r="M922" s="225" t="str">
        <f>_xlfn.XLOOKUP(Logfile_S12[[#This Row],[Material Name]],Sum_WH!E:E,Sum_WH!F:F,"",0)</f>
        <v>Pcs</v>
      </c>
      <c r="N922" s="221">
        <v>8</v>
      </c>
      <c r="O922" s="221" t="s">
        <v>172</v>
      </c>
      <c r="P922" s="221" t="s">
        <v>3319</v>
      </c>
      <c r="Q922" s="221"/>
      <c r="R922" s="221"/>
      <c r="S922" s="221"/>
      <c r="T922" s="221" t="s">
        <v>3332</v>
      </c>
      <c r="U922" s="221">
        <v>0</v>
      </c>
      <c r="V922" s="221" t="s">
        <v>3333</v>
      </c>
      <c r="W922" s="221" t="s">
        <v>3445</v>
      </c>
      <c r="X922" s="221"/>
      <c r="Y922" s="227"/>
      <c r="Z922" s="227" t="str">
        <f t="shared" si="39"/>
        <v>Pandan Landung RW 03 Wagir</v>
      </c>
      <c r="AA922" s="276" t="e">
        <f>VLOOKUP(Logfile_S12[[#This Row],[DO number]],DO_DB!G:I,3,0)</f>
        <v>#N/A</v>
      </c>
      <c r="AB922" s="331" t="e">
        <f>EXACT(Logfile_S12[[#This Row],[date pick]],Logfile_S12[[#This Row],[Date]])</f>
        <v>#N/A</v>
      </c>
      <c r="AC9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23" spans="1:29" ht="14.5" hidden="1">
      <c r="A923" s="220" t="str">
        <f t="shared" si="38"/>
        <v>919</v>
      </c>
      <c r="B923" s="221"/>
      <c r="C923" s="221" t="s">
        <v>3313</v>
      </c>
      <c r="D923" s="221" t="s">
        <v>3744</v>
      </c>
      <c r="E923" s="221" t="s">
        <v>3295</v>
      </c>
      <c r="F923" s="221" t="s">
        <v>3299</v>
      </c>
      <c r="G923" s="222">
        <v>45208</v>
      </c>
      <c r="H923" s="223">
        <v>15.291666666666666</v>
      </c>
      <c r="I923" s="221" t="s">
        <v>4920</v>
      </c>
      <c r="J923" s="221" t="s">
        <v>3023</v>
      </c>
      <c r="K923" s="224" t="s">
        <v>13</v>
      </c>
      <c r="L923" s="225" t="str">
        <f>VLOOKUP(Logfile_S12[[#This Row],[Material Name]],Sheet2!B:C,2,0)</f>
        <v>ZTE2008</v>
      </c>
      <c r="M923" s="225" t="str">
        <f>_xlfn.XLOOKUP(Logfile_S12[[#This Row],[Material Name]],Sum_WH!E:E,Sum_WH!F:F,"",0)</f>
        <v>Pcs</v>
      </c>
      <c r="N923" s="221">
        <v>18</v>
      </c>
      <c r="O923" s="221" t="s">
        <v>3314</v>
      </c>
      <c r="P923" s="221" t="s">
        <v>3315</v>
      </c>
      <c r="Q923" s="221">
        <v>0</v>
      </c>
      <c r="R923" s="221" t="s">
        <v>3147</v>
      </c>
      <c r="S923" s="221"/>
      <c r="T923" s="221"/>
      <c r="U923" s="221"/>
      <c r="V923" s="221"/>
      <c r="W923" s="221"/>
      <c r="X923" s="221" t="s">
        <v>3348</v>
      </c>
      <c r="Y923" s="227"/>
      <c r="Z923" s="227" t="str">
        <f t="shared" si="39"/>
        <v>KEDIRI</v>
      </c>
      <c r="AA923" s="276" t="e">
        <f>VLOOKUP(Logfile_S12[[#This Row],[DO number]],DO_DB!G:I,3,0)</f>
        <v>#N/A</v>
      </c>
      <c r="AB923" s="331" t="e">
        <f>EXACT(Logfile_S12[[#This Row],[date pick]],Logfile_S12[[#This Row],[Date]])</f>
        <v>#N/A</v>
      </c>
      <c r="AC9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24" spans="1:29" ht="14.5" hidden="1">
      <c r="A924" s="220" t="str">
        <f t="shared" si="38"/>
        <v>920</v>
      </c>
      <c r="B924" s="221"/>
      <c r="C924" s="221" t="s">
        <v>49</v>
      </c>
      <c r="D924" s="221" t="s">
        <v>3746</v>
      </c>
      <c r="E924" s="221" t="s">
        <v>3295</v>
      </c>
      <c r="F924" s="221" t="s">
        <v>3299</v>
      </c>
      <c r="G924" s="222">
        <v>45210</v>
      </c>
      <c r="H924" s="223">
        <v>0.48402777777777778</v>
      </c>
      <c r="I924" s="221" t="s">
        <v>4916</v>
      </c>
      <c r="J924" s="221" t="s">
        <v>3023</v>
      </c>
      <c r="K924" s="224" t="s">
        <v>13</v>
      </c>
      <c r="L924" s="225" t="str">
        <f>VLOOKUP(Logfile_S12[[#This Row],[Material Name]],Sheet2!B:C,2,0)</f>
        <v>ZTE2008</v>
      </c>
      <c r="M924" s="225" t="str">
        <f>_xlfn.XLOOKUP(Logfile_S12[[#This Row],[Material Name]],Sum_WH!E:E,Sum_WH!F:F,"",0)</f>
        <v>Pcs</v>
      </c>
      <c r="N924" s="221">
        <v>8</v>
      </c>
      <c r="O924" s="221" t="s">
        <v>172</v>
      </c>
      <c r="P924" s="221" t="s">
        <v>3319</v>
      </c>
      <c r="Q924" s="221"/>
      <c r="R924" s="221"/>
      <c r="S924" s="221"/>
      <c r="T924" s="221" t="s">
        <v>3332</v>
      </c>
      <c r="U924" s="221">
        <v>0</v>
      </c>
      <c r="V924" s="221" t="s">
        <v>3333</v>
      </c>
      <c r="W924" s="221" t="s">
        <v>3445</v>
      </c>
      <c r="X924" s="221"/>
      <c r="Y924" s="227"/>
      <c r="Z924" s="227" t="str">
        <f t="shared" si="39"/>
        <v>Pandan Landung RW 03 Wagir</v>
      </c>
      <c r="AA924" s="276" t="e">
        <f>VLOOKUP(Logfile_S12[[#This Row],[DO number]],DO_DB!G:I,3,0)</f>
        <v>#N/A</v>
      </c>
      <c r="AB924" s="331" t="e">
        <f>EXACT(Logfile_S12[[#This Row],[date pick]],Logfile_S12[[#This Row],[Date]])</f>
        <v>#N/A</v>
      </c>
      <c r="AC9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25" spans="1:29" ht="14.5" hidden="1">
      <c r="A925" s="220" t="str">
        <f t="shared" si="38"/>
        <v>921</v>
      </c>
      <c r="B925" s="221"/>
      <c r="C925" s="221" t="s">
        <v>49</v>
      </c>
      <c r="D925" s="221" t="s">
        <v>3746</v>
      </c>
      <c r="E925" s="221" t="s">
        <v>3295</v>
      </c>
      <c r="F925" s="221" t="s">
        <v>3299</v>
      </c>
      <c r="G925" s="222">
        <v>45210</v>
      </c>
      <c r="H925" s="223">
        <v>0.48402777777777778</v>
      </c>
      <c r="I925" s="221" t="s">
        <v>4916</v>
      </c>
      <c r="J925" s="221" t="s">
        <v>3023</v>
      </c>
      <c r="K925" s="224" t="s">
        <v>13</v>
      </c>
      <c r="L925" s="225" t="str">
        <f>VLOOKUP(Logfile_S12[[#This Row],[Material Name]],Sheet2!B:C,2,0)</f>
        <v>ZTE2008</v>
      </c>
      <c r="M925" s="225" t="str">
        <f>_xlfn.XLOOKUP(Logfile_S12[[#This Row],[Material Name]],Sum_WH!E:E,Sum_WH!F:F,"",0)</f>
        <v>Pcs</v>
      </c>
      <c r="N925" s="221">
        <v>10</v>
      </c>
      <c r="O925" s="221" t="s">
        <v>164</v>
      </c>
      <c r="P925" s="221" t="s">
        <v>3320</v>
      </c>
      <c r="Q925" s="221"/>
      <c r="R925" s="221"/>
      <c r="S925" s="221"/>
      <c r="T925" s="221" t="s">
        <v>3332</v>
      </c>
      <c r="U925" s="221">
        <v>0</v>
      </c>
      <c r="V925" s="221" t="s">
        <v>3333</v>
      </c>
      <c r="W925" s="221" t="s">
        <v>3445</v>
      </c>
      <c r="X925" s="221"/>
      <c r="Y925" s="227"/>
      <c r="Z925" s="227" t="str">
        <f t="shared" si="39"/>
        <v>Pandan Landung RW 04 Wagir</v>
      </c>
      <c r="AA925" s="276" t="e">
        <f>VLOOKUP(Logfile_S12[[#This Row],[DO number]],DO_DB!G:I,3,0)</f>
        <v>#N/A</v>
      </c>
      <c r="AB925" s="331" t="e">
        <f>EXACT(Logfile_S12[[#This Row],[date pick]],Logfile_S12[[#This Row],[Date]])</f>
        <v>#N/A</v>
      </c>
      <c r="AC9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26" spans="1:29" ht="14.5" hidden="1">
      <c r="A926" s="220" t="str">
        <f t="shared" si="38"/>
        <v>922</v>
      </c>
      <c r="B926" s="221"/>
      <c r="C926" s="221" t="s">
        <v>48</v>
      </c>
      <c r="D926" s="221" t="s">
        <v>3753</v>
      </c>
      <c r="E926" s="221" t="s">
        <v>3295</v>
      </c>
      <c r="F926" s="221" t="s">
        <v>3299</v>
      </c>
      <c r="G926" s="222">
        <v>45211</v>
      </c>
      <c r="H926" s="223">
        <v>15.291666666666666</v>
      </c>
      <c r="I926" s="221" t="s">
        <v>37</v>
      </c>
      <c r="J926" s="221" t="s">
        <v>3023</v>
      </c>
      <c r="K926" s="224" t="s">
        <v>13</v>
      </c>
      <c r="L926" s="225" t="str">
        <f>VLOOKUP(Logfile_S12[[#This Row],[Material Name]],Sheet2!B:C,2,0)</f>
        <v>ZTE2008</v>
      </c>
      <c r="M926" s="225" t="str">
        <f>_xlfn.XLOOKUP(Logfile_S12[[#This Row],[Material Name]],Sum_WH!E:E,Sum_WH!F:F,"",0)</f>
        <v>Pcs</v>
      </c>
      <c r="N926" s="221">
        <v>15</v>
      </c>
      <c r="O926" s="221" t="s">
        <v>222</v>
      </c>
      <c r="P926" s="221" t="s">
        <v>223</v>
      </c>
      <c r="Q926" s="221" t="s">
        <v>308</v>
      </c>
      <c r="R926" s="221" t="s">
        <v>309</v>
      </c>
      <c r="S926" s="221"/>
      <c r="T926" s="221"/>
      <c r="U926" s="221"/>
      <c r="V926" s="221"/>
      <c r="W926" s="221"/>
      <c r="X926" s="221"/>
      <c r="Y926" s="227"/>
      <c r="Z926" s="227" t="str">
        <f t="shared" si="39"/>
        <v>Puncak Dieng Exlusif</v>
      </c>
      <c r="AA926" s="276">
        <f>VLOOKUP(Logfile_S12[[#This Row],[DO number]],DO_DB!G:I,3,0)</f>
        <v>45211</v>
      </c>
      <c r="AB926" s="331" t="b">
        <f>EXACT(Logfile_S12[[#This Row],[date pick]],Logfile_S12[[#This Row],[Date]])</f>
        <v>1</v>
      </c>
      <c r="AC9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27" spans="1:29" ht="14.5" hidden="1">
      <c r="A927" s="220" t="str">
        <f t="shared" si="38"/>
        <v>923</v>
      </c>
      <c r="B927" s="221"/>
      <c r="C927" s="221" t="s">
        <v>48</v>
      </c>
      <c r="D927" s="221" t="s">
        <v>3754</v>
      </c>
      <c r="E927" s="221" t="s">
        <v>3295</v>
      </c>
      <c r="F927" s="221" t="s">
        <v>3299</v>
      </c>
      <c r="G927" s="222">
        <v>45213</v>
      </c>
      <c r="H927" s="223">
        <v>15.291666666666666</v>
      </c>
      <c r="I927" s="221" t="s">
        <v>37</v>
      </c>
      <c r="J927" s="221" t="s">
        <v>3023</v>
      </c>
      <c r="K927" s="224" t="s">
        <v>13</v>
      </c>
      <c r="L927" s="225" t="str">
        <f>VLOOKUP(Logfile_S12[[#This Row],[Material Name]],Sheet2!B:C,2,0)</f>
        <v>ZTE2008</v>
      </c>
      <c r="M927" s="225" t="str">
        <f>_xlfn.XLOOKUP(Logfile_S12[[#This Row],[Material Name]],Sum_WH!E:E,Sum_WH!F:F,"",0)</f>
        <v>Pcs</v>
      </c>
      <c r="N927" s="221">
        <v>5</v>
      </c>
      <c r="O927" s="221" t="s">
        <v>340</v>
      </c>
      <c r="P927" s="221" t="s">
        <v>341</v>
      </c>
      <c r="Q927" s="221" t="s">
        <v>342</v>
      </c>
      <c r="R927" s="221" t="s">
        <v>343</v>
      </c>
      <c r="S927" s="221"/>
      <c r="T927" s="221"/>
      <c r="U927" s="221"/>
      <c r="V927" s="221"/>
      <c r="W927" s="221"/>
      <c r="X927" s="221"/>
      <c r="Y927" s="227"/>
      <c r="Z927" s="227" t="str">
        <f t="shared" si="39"/>
        <v>Jedong RW 08 Wagir</v>
      </c>
      <c r="AA927" s="276">
        <f>VLOOKUP(Logfile_S12[[#This Row],[DO number]],DO_DB!G:I,3,0)</f>
        <v>45213</v>
      </c>
      <c r="AB927" s="331" t="b">
        <f>EXACT(Logfile_S12[[#This Row],[date pick]],Logfile_S12[[#This Row],[Date]])</f>
        <v>1</v>
      </c>
      <c r="AC9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28" spans="1:29" ht="14.5" hidden="1">
      <c r="A928" s="220" t="str">
        <f t="shared" si="38"/>
        <v>924</v>
      </c>
      <c r="B928" s="221"/>
      <c r="C928" s="221" t="s">
        <v>48</v>
      </c>
      <c r="D928" s="221" t="s">
        <v>3754</v>
      </c>
      <c r="E928" s="221" t="s">
        <v>3295</v>
      </c>
      <c r="F928" s="221" t="s">
        <v>3299</v>
      </c>
      <c r="G928" s="222">
        <v>45213</v>
      </c>
      <c r="H928" s="223">
        <v>15.291666666666666</v>
      </c>
      <c r="I928" s="221" t="s">
        <v>37</v>
      </c>
      <c r="J928" s="221" t="s">
        <v>3023</v>
      </c>
      <c r="K928" s="224" t="s">
        <v>13</v>
      </c>
      <c r="L928" s="225" t="str">
        <f>VLOOKUP(Logfile_S12[[#This Row],[Material Name]],Sheet2!B:C,2,0)</f>
        <v>ZTE2008</v>
      </c>
      <c r="M928" s="225" t="str">
        <f>_xlfn.XLOOKUP(Logfile_S12[[#This Row],[Material Name]],Sum_WH!E:E,Sum_WH!F:F,"",0)</f>
        <v>Pcs</v>
      </c>
      <c r="N928" s="221">
        <v>6</v>
      </c>
      <c r="O928" s="221" t="s">
        <v>336</v>
      </c>
      <c r="P928" s="221" t="s">
        <v>337</v>
      </c>
      <c r="Q928" s="221" t="s">
        <v>338</v>
      </c>
      <c r="R928" s="221" t="s">
        <v>339</v>
      </c>
      <c r="S928" s="221"/>
      <c r="T928" s="221"/>
      <c r="U928" s="221"/>
      <c r="V928" s="221"/>
      <c r="W928" s="221"/>
      <c r="X928" s="221"/>
      <c r="Y928" s="227"/>
      <c r="Z928" s="227" t="str">
        <f t="shared" si="39"/>
        <v>Sidorahayu RW 02 Wagir</v>
      </c>
      <c r="AA928" s="276">
        <f>VLOOKUP(Logfile_S12[[#This Row],[DO number]],DO_DB!G:I,3,0)</f>
        <v>45213</v>
      </c>
      <c r="AB928" s="331" t="b">
        <f>EXACT(Logfile_S12[[#This Row],[date pick]],Logfile_S12[[#This Row],[Date]])</f>
        <v>1</v>
      </c>
      <c r="AC9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29" spans="1:29" ht="14.5" hidden="1">
      <c r="A929" s="220" t="str">
        <f t="shared" si="38"/>
        <v>925</v>
      </c>
      <c r="B929" s="221"/>
      <c r="C929" s="221" t="s">
        <v>48</v>
      </c>
      <c r="D929" s="221" t="s">
        <v>3754</v>
      </c>
      <c r="E929" s="221" t="s">
        <v>3295</v>
      </c>
      <c r="F929" s="221" t="s">
        <v>3299</v>
      </c>
      <c r="G929" s="222">
        <v>45213</v>
      </c>
      <c r="H929" s="223">
        <v>15.291666666666666</v>
      </c>
      <c r="I929" s="221" t="s">
        <v>37</v>
      </c>
      <c r="J929" s="221" t="s">
        <v>3023</v>
      </c>
      <c r="K929" s="224" t="s">
        <v>13</v>
      </c>
      <c r="L929" s="225" t="str">
        <f>VLOOKUP(Logfile_S12[[#This Row],[Material Name]],Sheet2!B:C,2,0)</f>
        <v>ZTE2008</v>
      </c>
      <c r="M929" s="225" t="str">
        <f>_xlfn.XLOOKUP(Logfile_S12[[#This Row],[Material Name]],Sum_WH!E:E,Sum_WH!F:F,"",0)</f>
        <v>Pcs</v>
      </c>
      <c r="N929" s="221">
        <v>8</v>
      </c>
      <c r="O929" s="221" t="s">
        <v>328</v>
      </c>
      <c r="P929" s="221" t="s">
        <v>329</v>
      </c>
      <c r="Q929" s="221" t="s">
        <v>330</v>
      </c>
      <c r="R929" s="221" t="s">
        <v>331</v>
      </c>
      <c r="S929" s="221"/>
      <c r="T929" s="221"/>
      <c r="U929" s="221"/>
      <c r="V929" s="221"/>
      <c r="W929" s="221"/>
      <c r="X929" s="221"/>
      <c r="Y929" s="227"/>
      <c r="Z929" s="227" t="str">
        <f t="shared" si="39"/>
        <v>Sukodadi RW 01 Wagir</v>
      </c>
      <c r="AA929" s="276">
        <f>VLOOKUP(Logfile_S12[[#This Row],[DO number]],DO_DB!G:I,3,0)</f>
        <v>45213</v>
      </c>
      <c r="AB929" s="331" t="b">
        <f>EXACT(Logfile_S12[[#This Row],[date pick]],Logfile_S12[[#This Row],[Date]])</f>
        <v>1</v>
      </c>
      <c r="AC9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30" spans="1:29" ht="14.5" hidden="1">
      <c r="A930" s="220" t="str">
        <f t="shared" si="38"/>
        <v>926</v>
      </c>
      <c r="B930" s="221"/>
      <c r="C930" s="221" t="s">
        <v>48</v>
      </c>
      <c r="D930" s="221" t="s">
        <v>3754</v>
      </c>
      <c r="E930" s="221" t="s">
        <v>3295</v>
      </c>
      <c r="F930" s="221" t="s">
        <v>3299</v>
      </c>
      <c r="G930" s="222">
        <v>45213</v>
      </c>
      <c r="H930" s="223">
        <v>15.291666666666666</v>
      </c>
      <c r="I930" s="221" t="s">
        <v>37</v>
      </c>
      <c r="J930" s="221" t="s">
        <v>3023</v>
      </c>
      <c r="K930" s="224" t="s">
        <v>13</v>
      </c>
      <c r="L930" s="225" t="str">
        <f>VLOOKUP(Logfile_S12[[#This Row],[Material Name]],Sheet2!B:C,2,0)</f>
        <v>ZTE2008</v>
      </c>
      <c r="M930" s="225" t="str">
        <f>_xlfn.XLOOKUP(Logfile_S12[[#This Row],[Material Name]],Sum_WH!E:E,Sum_WH!F:F,"",0)</f>
        <v>Pcs</v>
      </c>
      <c r="N930" s="221">
        <v>14</v>
      </c>
      <c r="O930" s="221" t="s">
        <v>324</v>
      </c>
      <c r="P930" s="221" t="s">
        <v>325</v>
      </c>
      <c r="Q930" s="221" t="s">
        <v>326</v>
      </c>
      <c r="R930" s="221" t="s">
        <v>327</v>
      </c>
      <c r="S930" s="221"/>
      <c r="T930" s="221"/>
      <c r="U930" s="221"/>
      <c r="V930" s="221"/>
      <c r="W930" s="221"/>
      <c r="X930" s="221"/>
      <c r="Y930" s="227"/>
      <c r="Z930" s="227" t="str">
        <f t="shared" si="39"/>
        <v>Jedong RW 09 Wagir</v>
      </c>
      <c r="AA930" s="276">
        <f>VLOOKUP(Logfile_S12[[#This Row],[DO number]],DO_DB!G:I,3,0)</f>
        <v>45213</v>
      </c>
      <c r="AB930" s="331" t="b">
        <f>EXACT(Logfile_S12[[#This Row],[date pick]],Logfile_S12[[#This Row],[Date]])</f>
        <v>1</v>
      </c>
      <c r="AC9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31" spans="1:29" ht="14.5" hidden="1">
      <c r="A931" s="220" t="str">
        <f t="shared" si="38"/>
        <v>927</v>
      </c>
      <c r="B931" s="221"/>
      <c r="C931" s="221" t="s">
        <v>3313</v>
      </c>
      <c r="D931" s="221" t="s">
        <v>3755</v>
      </c>
      <c r="E931" s="221" t="s">
        <v>3295</v>
      </c>
      <c r="F931" s="221" t="s">
        <v>3299</v>
      </c>
      <c r="G931" s="222">
        <v>45213</v>
      </c>
      <c r="H931" s="223">
        <v>15.291666666666666</v>
      </c>
      <c r="I931" s="221" t="s">
        <v>37</v>
      </c>
      <c r="J931" s="221" t="s">
        <v>3023</v>
      </c>
      <c r="K931" s="224" t="s">
        <v>13</v>
      </c>
      <c r="L931" s="225" t="str">
        <f>VLOOKUP(Logfile_S12[[#This Row],[Material Name]],Sheet2!B:C,2,0)</f>
        <v>ZTE2008</v>
      </c>
      <c r="M931" s="225" t="str">
        <f>_xlfn.XLOOKUP(Logfile_S12[[#This Row],[Material Name]],Sum_WH!E:E,Sum_WH!F:F,"",0)</f>
        <v>Pcs</v>
      </c>
      <c r="N931" s="221">
        <v>8</v>
      </c>
      <c r="O931" s="221" t="s">
        <v>3314</v>
      </c>
      <c r="P931" s="221">
        <v>0</v>
      </c>
      <c r="Q931" s="221">
        <v>0</v>
      </c>
      <c r="R931" s="221" t="s">
        <v>3147</v>
      </c>
      <c r="S931" s="221"/>
      <c r="T931" s="221"/>
      <c r="U931" s="221"/>
      <c r="V931" s="221"/>
      <c r="W931" s="221"/>
      <c r="X931" s="221"/>
      <c r="Y931" s="227"/>
      <c r="Z931" s="227">
        <f t="shared" si="39"/>
        <v>0</v>
      </c>
      <c r="AA931" s="276" t="e">
        <f>VLOOKUP(Logfile_S12[[#This Row],[DO number]],DO_DB!G:I,3,0)</f>
        <v>#N/A</v>
      </c>
      <c r="AB931" s="331" t="e">
        <f>EXACT(Logfile_S12[[#This Row],[date pick]],Logfile_S12[[#This Row],[Date]])</f>
        <v>#N/A</v>
      </c>
      <c r="AC9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32" spans="1:29" ht="14.5" hidden="1">
      <c r="A932" s="220" t="str">
        <f t="shared" si="38"/>
        <v>928</v>
      </c>
      <c r="B932" s="221"/>
      <c r="C932" s="221" t="s">
        <v>3388</v>
      </c>
      <c r="D932" s="221" t="s">
        <v>3777</v>
      </c>
      <c r="E932" s="221" t="s">
        <v>3295</v>
      </c>
      <c r="F932" s="221" t="s">
        <v>3299</v>
      </c>
      <c r="G932" s="222">
        <v>45220</v>
      </c>
      <c r="H932" s="223">
        <v>0.97499999999999998</v>
      </c>
      <c r="I932" s="221" t="s">
        <v>4916</v>
      </c>
      <c r="J932" s="221" t="s">
        <v>3023</v>
      </c>
      <c r="K932" s="224" t="s">
        <v>13</v>
      </c>
      <c r="L932" s="225" t="str">
        <f>VLOOKUP(Logfile_S12[[#This Row],[Material Name]],Sheet2!B:C,2,0)</f>
        <v>ZTE2008</v>
      </c>
      <c r="M932" s="225" t="str">
        <f>_xlfn.XLOOKUP(Logfile_S12[[#This Row],[Material Name]],Sum_WH!E:E,Sum_WH!F:F,"",0)</f>
        <v>Pcs</v>
      </c>
      <c r="N932" s="221">
        <v>1</v>
      </c>
      <c r="O932" s="221" t="s">
        <v>3314</v>
      </c>
      <c r="P932" s="221" t="s">
        <v>3223</v>
      </c>
      <c r="Q932" s="221"/>
      <c r="R932" s="221"/>
      <c r="S932" s="221"/>
      <c r="T932" s="221" t="s">
        <v>3332</v>
      </c>
      <c r="U932" s="221">
        <v>0</v>
      </c>
      <c r="V932" s="221" t="s">
        <v>3333</v>
      </c>
      <c r="W932" s="221" t="s">
        <v>3334</v>
      </c>
      <c r="X932" s="221"/>
      <c r="Y932" s="227"/>
      <c r="Z932" s="227" t="str">
        <f t="shared" si="39"/>
        <v>Transfer Gudang</v>
      </c>
      <c r="AA932" s="276" t="e">
        <f>VLOOKUP(Logfile_S12[[#This Row],[DO number]],DO_DB!G:I,3,0)</f>
        <v>#N/A</v>
      </c>
      <c r="AB932" s="331" t="e">
        <f>EXACT(Logfile_S12[[#This Row],[date pick]],Logfile_S12[[#This Row],[Date]])</f>
        <v>#N/A</v>
      </c>
      <c r="AC9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933" spans="1:29" ht="14.5" hidden="1">
      <c r="A933" s="220" t="str">
        <f t="shared" si="38"/>
        <v>929</v>
      </c>
      <c r="B933" s="221"/>
      <c r="C933" s="221" t="s">
        <v>49</v>
      </c>
      <c r="D933" s="221" t="s">
        <v>3794</v>
      </c>
      <c r="E933" s="221" t="s">
        <v>3295</v>
      </c>
      <c r="F933" s="221" t="s">
        <v>3299</v>
      </c>
      <c r="G933" s="222">
        <v>45223</v>
      </c>
      <c r="H933" s="223">
        <v>0.47222222222222227</v>
      </c>
      <c r="I933" s="221" t="s">
        <v>4916</v>
      </c>
      <c r="J933" s="221" t="s">
        <v>3023</v>
      </c>
      <c r="K933" s="224" t="s">
        <v>13</v>
      </c>
      <c r="L933" s="225" t="str">
        <f>VLOOKUP(Logfile_S12[[#This Row],[Material Name]],Sheet2!B:C,2,0)</f>
        <v>ZTE2008</v>
      </c>
      <c r="M933" s="225" t="str">
        <f>_xlfn.XLOOKUP(Logfile_S12[[#This Row],[Material Name]],Sum_WH!E:E,Sum_WH!F:F,"",0)</f>
        <v>Pcs</v>
      </c>
      <c r="N933" s="221">
        <v>5</v>
      </c>
      <c r="O933" s="221" t="s">
        <v>340</v>
      </c>
      <c r="P933" s="221" t="s">
        <v>341</v>
      </c>
      <c r="Q933" s="221"/>
      <c r="R933" s="221"/>
      <c r="S933" s="221"/>
      <c r="T933" s="221" t="s">
        <v>3322</v>
      </c>
      <c r="U933" s="221" t="s">
        <v>3323</v>
      </c>
      <c r="V933" s="221" t="s">
        <v>3324</v>
      </c>
      <c r="W933" s="221" t="s">
        <v>3349</v>
      </c>
      <c r="X933" s="221"/>
      <c r="Y933" s="227"/>
      <c r="Z933" s="227" t="str">
        <f t="shared" si="39"/>
        <v>Jedong RW 08 Wagir</v>
      </c>
      <c r="AA933" s="276" t="e">
        <f>VLOOKUP(Logfile_S12[[#This Row],[DO number]],DO_DB!G:I,3,0)</f>
        <v>#N/A</v>
      </c>
      <c r="AB933" s="331" t="e">
        <f>EXACT(Logfile_S12[[#This Row],[date pick]],Logfile_S12[[#This Row],[Date]])</f>
        <v>#N/A</v>
      </c>
      <c r="AC9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34" spans="1:29" ht="14.5" hidden="1">
      <c r="A934" s="220" t="str">
        <f t="shared" si="38"/>
        <v>930</v>
      </c>
      <c r="B934" s="221"/>
      <c r="C934" s="221" t="s">
        <v>49</v>
      </c>
      <c r="D934" s="221" t="s">
        <v>3794</v>
      </c>
      <c r="E934" s="221" t="s">
        <v>3295</v>
      </c>
      <c r="F934" s="221" t="s">
        <v>3299</v>
      </c>
      <c r="G934" s="222">
        <v>45223</v>
      </c>
      <c r="H934" s="223">
        <v>0.47222222222222227</v>
      </c>
      <c r="I934" s="221" t="s">
        <v>4916</v>
      </c>
      <c r="J934" s="221" t="s">
        <v>3023</v>
      </c>
      <c r="K934" s="224" t="s">
        <v>13</v>
      </c>
      <c r="L934" s="225" t="str">
        <f>VLOOKUP(Logfile_S12[[#This Row],[Material Name]],Sheet2!B:C,2,0)</f>
        <v>ZTE2008</v>
      </c>
      <c r="M934" s="225" t="str">
        <f>_xlfn.XLOOKUP(Logfile_S12[[#This Row],[Material Name]],Sum_WH!E:E,Sum_WH!F:F,"",0)</f>
        <v>Pcs</v>
      </c>
      <c r="N934" s="221">
        <v>14</v>
      </c>
      <c r="O934" s="221" t="s">
        <v>324</v>
      </c>
      <c r="P934" s="221" t="s">
        <v>325</v>
      </c>
      <c r="Q934" s="221"/>
      <c r="R934" s="221"/>
      <c r="S934" s="221"/>
      <c r="T934" s="221" t="s">
        <v>3322</v>
      </c>
      <c r="U934" s="221" t="s">
        <v>3323</v>
      </c>
      <c r="V934" s="221" t="s">
        <v>3324</v>
      </c>
      <c r="W934" s="221" t="s">
        <v>3349</v>
      </c>
      <c r="X934" s="221"/>
      <c r="Y934" s="227"/>
      <c r="Z934" s="227" t="str">
        <f t="shared" si="39"/>
        <v>Jedong RW 09 Wagir</v>
      </c>
      <c r="AA934" s="276" t="e">
        <f>VLOOKUP(Logfile_S12[[#This Row],[DO number]],DO_DB!G:I,3,0)</f>
        <v>#N/A</v>
      </c>
      <c r="AB934" s="331" t="e">
        <f>EXACT(Logfile_S12[[#This Row],[date pick]],Logfile_S12[[#This Row],[Date]])</f>
        <v>#N/A</v>
      </c>
      <c r="AC9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35" spans="1:29" ht="14.5" hidden="1">
      <c r="A935" s="220" t="str">
        <f t="shared" si="38"/>
        <v>931</v>
      </c>
      <c r="B935" s="221"/>
      <c r="C935" s="221" t="s">
        <v>3388</v>
      </c>
      <c r="D935" s="221" t="s">
        <v>3799</v>
      </c>
      <c r="E935" s="221" t="s">
        <v>3295</v>
      </c>
      <c r="F935" s="221" t="s">
        <v>3299</v>
      </c>
      <c r="G935" s="222">
        <v>45226</v>
      </c>
      <c r="H935" s="223">
        <v>0.89583333333333337</v>
      </c>
      <c r="I935" s="221" t="s">
        <v>4920</v>
      </c>
      <c r="J935" s="221" t="s">
        <v>3023</v>
      </c>
      <c r="K935" s="224" t="s">
        <v>13</v>
      </c>
      <c r="L935" s="225" t="str">
        <f>VLOOKUP(Logfile_S12[[#This Row],[Material Name]],Sheet2!B:C,2,0)</f>
        <v>ZTE2008</v>
      </c>
      <c r="M935" s="225" t="str">
        <f>_xlfn.XLOOKUP(Logfile_S12[[#This Row],[Material Name]],Sum_WH!E:E,Sum_WH!F:F,"",0)</f>
        <v>Pcs</v>
      </c>
      <c r="N935" s="221">
        <v>15</v>
      </c>
      <c r="O935" s="221" t="s">
        <v>3314</v>
      </c>
      <c r="P935" s="221" t="s">
        <v>3223</v>
      </c>
      <c r="Q935" s="221"/>
      <c r="R935" s="221"/>
      <c r="S935" s="221"/>
      <c r="T935" s="221" t="s">
        <v>3527</v>
      </c>
      <c r="U935" s="221">
        <v>0</v>
      </c>
      <c r="V935" s="221">
        <v>0</v>
      </c>
      <c r="W935" s="221" t="s">
        <v>3242</v>
      </c>
      <c r="X935" s="221"/>
      <c r="Y935" s="227"/>
      <c r="Z935" s="227" t="str">
        <f t="shared" si="39"/>
        <v>Transfer Gudang</v>
      </c>
      <c r="AA935" s="276" t="e">
        <f>VLOOKUP(Logfile_S12[[#This Row],[DO number]],DO_DB!G:I,3,0)</f>
        <v>#N/A</v>
      </c>
      <c r="AB935" s="331" t="e">
        <f>EXACT(Logfile_S12[[#This Row],[date pick]],Logfile_S12[[#This Row],[Date]])</f>
        <v>#N/A</v>
      </c>
      <c r="AC9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936" spans="1:29" ht="14.5" hidden="1">
      <c r="A936" s="220" t="str">
        <f t="shared" si="38"/>
        <v>932</v>
      </c>
      <c r="B936" s="221"/>
      <c r="C936" s="221" t="s">
        <v>49</v>
      </c>
      <c r="D936" s="221" t="s">
        <v>3801</v>
      </c>
      <c r="E936" s="221" t="s">
        <v>3295</v>
      </c>
      <c r="F936" s="221" t="s">
        <v>3299</v>
      </c>
      <c r="G936" s="222">
        <v>45228</v>
      </c>
      <c r="H936" s="223">
        <v>0.9375</v>
      </c>
      <c r="I936" s="221" t="s">
        <v>4916</v>
      </c>
      <c r="J936" s="221" t="s">
        <v>3023</v>
      </c>
      <c r="K936" s="224" t="s">
        <v>13</v>
      </c>
      <c r="L936" s="225" t="str">
        <f>VLOOKUP(Logfile_S12[[#This Row],[Material Name]],Sheet2!B:C,2,0)</f>
        <v>ZTE2008</v>
      </c>
      <c r="M936" s="225" t="str">
        <f>_xlfn.XLOOKUP(Logfile_S12[[#This Row],[Material Name]],Sum_WH!E:E,Sum_WH!F:F,"",0)</f>
        <v>Pcs</v>
      </c>
      <c r="N936" s="221">
        <v>6</v>
      </c>
      <c r="O936" s="221" t="s">
        <v>336</v>
      </c>
      <c r="P936" s="221" t="s">
        <v>337</v>
      </c>
      <c r="Q936" s="221"/>
      <c r="R936" s="221"/>
      <c r="S936" s="221"/>
      <c r="T936" s="221" t="s">
        <v>3332</v>
      </c>
      <c r="U936" s="221">
        <v>0</v>
      </c>
      <c r="V936" s="221" t="s">
        <v>3333</v>
      </c>
      <c r="W936" s="221" t="s">
        <v>3334</v>
      </c>
      <c r="X936" s="221"/>
      <c r="Y936" s="227"/>
      <c r="Z936" s="227" t="str">
        <f t="shared" si="39"/>
        <v>Sidorahayu RW 02 Wagir</v>
      </c>
      <c r="AA936" s="276" t="e">
        <f>VLOOKUP(Logfile_S12[[#This Row],[DO number]],DO_DB!G:I,3,0)</f>
        <v>#N/A</v>
      </c>
      <c r="AB936" s="331" t="e">
        <f>EXACT(Logfile_S12[[#This Row],[date pick]],Logfile_S12[[#This Row],[Date]])</f>
        <v>#N/A</v>
      </c>
      <c r="AC9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37" spans="1:29" ht="14.5" hidden="1">
      <c r="A937" s="220" t="str">
        <f t="shared" si="38"/>
        <v>933</v>
      </c>
      <c r="B937" s="221"/>
      <c r="C937" s="221" t="s">
        <v>49</v>
      </c>
      <c r="D937" s="221" t="s">
        <v>3801</v>
      </c>
      <c r="E937" s="221" t="s">
        <v>3295</v>
      </c>
      <c r="F937" s="221" t="s">
        <v>3299</v>
      </c>
      <c r="G937" s="222">
        <v>45228</v>
      </c>
      <c r="H937" s="223">
        <v>0.9375</v>
      </c>
      <c r="I937" s="221" t="s">
        <v>4916</v>
      </c>
      <c r="J937" s="221" t="s">
        <v>3023</v>
      </c>
      <c r="K937" s="224" t="s">
        <v>13</v>
      </c>
      <c r="L937" s="225" t="str">
        <f>VLOOKUP(Logfile_S12[[#This Row],[Material Name]],Sheet2!B:C,2,0)</f>
        <v>ZTE2008</v>
      </c>
      <c r="M937" s="225" t="str">
        <f>_xlfn.XLOOKUP(Logfile_S12[[#This Row],[Material Name]],Sum_WH!E:E,Sum_WH!F:F,"",0)</f>
        <v>Pcs</v>
      </c>
      <c r="N937" s="221">
        <v>8</v>
      </c>
      <c r="O937" s="221" t="s">
        <v>328</v>
      </c>
      <c r="P937" s="221" t="s">
        <v>329</v>
      </c>
      <c r="Q937" s="221"/>
      <c r="R937" s="221"/>
      <c r="S937" s="221"/>
      <c r="T937" s="221" t="s">
        <v>3332</v>
      </c>
      <c r="U937" s="221">
        <v>0</v>
      </c>
      <c r="V937" s="221" t="s">
        <v>3333</v>
      </c>
      <c r="W937" s="221" t="s">
        <v>3334</v>
      </c>
      <c r="X937" s="221"/>
      <c r="Y937" s="227"/>
      <c r="Z937" s="227" t="str">
        <f t="shared" si="39"/>
        <v>Sukodadi RW 01 Wagir</v>
      </c>
      <c r="AA937" s="276" t="e">
        <f>VLOOKUP(Logfile_S12[[#This Row],[DO number]],DO_DB!G:I,3,0)</f>
        <v>#N/A</v>
      </c>
      <c r="AB937" s="331" t="e">
        <f>EXACT(Logfile_S12[[#This Row],[date pick]],Logfile_S12[[#This Row],[Date]])</f>
        <v>#N/A</v>
      </c>
      <c r="AC9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38" spans="1:29" ht="14.5" hidden="1">
      <c r="A938" s="220" t="str">
        <f t="shared" si="38"/>
        <v>934</v>
      </c>
      <c r="B938" s="221"/>
      <c r="C938" s="221" t="s">
        <v>49</v>
      </c>
      <c r="D938" s="221" t="s">
        <v>3801</v>
      </c>
      <c r="E938" s="221" t="s">
        <v>3295</v>
      </c>
      <c r="F938" s="221" t="s">
        <v>3299</v>
      </c>
      <c r="G938" s="222">
        <v>45228</v>
      </c>
      <c r="H938" s="223">
        <v>0.9375</v>
      </c>
      <c r="I938" s="221" t="s">
        <v>4916</v>
      </c>
      <c r="J938" s="221" t="s">
        <v>3023</v>
      </c>
      <c r="K938" s="224" t="s">
        <v>13</v>
      </c>
      <c r="L938" s="225" t="str">
        <f>VLOOKUP(Logfile_S12[[#This Row],[Material Name]],Sheet2!B:C,2,0)</f>
        <v>ZTE2008</v>
      </c>
      <c r="M938" s="225" t="str">
        <f>_xlfn.XLOOKUP(Logfile_S12[[#This Row],[Material Name]],Sum_WH!E:E,Sum_WH!F:F,"",0)</f>
        <v>Pcs</v>
      </c>
      <c r="N938" s="221">
        <v>8</v>
      </c>
      <c r="O938" s="221" t="s">
        <v>332</v>
      </c>
      <c r="P938" s="221" t="s">
        <v>333</v>
      </c>
      <c r="Q938" s="221"/>
      <c r="R938" s="221"/>
      <c r="S938" s="221"/>
      <c r="T938" s="221" t="s">
        <v>3332</v>
      </c>
      <c r="U938" s="221">
        <v>0</v>
      </c>
      <c r="V938" s="221" t="s">
        <v>3333</v>
      </c>
      <c r="W938" s="221" t="s">
        <v>3334</v>
      </c>
      <c r="X938" s="221"/>
      <c r="Y938" s="227"/>
      <c r="Z938" s="227" t="str">
        <f t="shared" si="39"/>
        <v>Sukodadi RW 02 Wagir</v>
      </c>
      <c r="AA938" s="276" t="e">
        <f>VLOOKUP(Logfile_S12[[#This Row],[DO number]],DO_DB!G:I,3,0)</f>
        <v>#N/A</v>
      </c>
      <c r="AB938" s="331" t="e">
        <f>EXACT(Logfile_S12[[#This Row],[date pick]],Logfile_S12[[#This Row],[Date]])</f>
        <v>#N/A</v>
      </c>
      <c r="AC9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39" spans="1:29" ht="14.5" hidden="1">
      <c r="A939" s="220" t="str">
        <f t="shared" si="38"/>
        <v>935</v>
      </c>
      <c r="B939" s="221"/>
      <c r="C939" s="221" t="s">
        <v>3313</v>
      </c>
      <c r="D939" s="221" t="s">
        <v>3819</v>
      </c>
      <c r="E939" s="221" t="s">
        <v>3295</v>
      </c>
      <c r="F939" s="221" t="s">
        <v>3299</v>
      </c>
      <c r="G939" s="222">
        <v>45256</v>
      </c>
      <c r="H939" s="223">
        <v>15.291666666666666</v>
      </c>
      <c r="I939" s="221" t="s">
        <v>4919</v>
      </c>
      <c r="J939" s="221" t="s">
        <v>3023</v>
      </c>
      <c r="K939" s="224" t="s">
        <v>13</v>
      </c>
      <c r="L939" s="225" t="str">
        <f>VLOOKUP(Logfile_S12[[#This Row],[Material Name]],Sheet2!B:C,2,0)</f>
        <v>ZTE2008</v>
      </c>
      <c r="M939" s="225" t="str">
        <f>_xlfn.XLOOKUP(Logfile_S12[[#This Row],[Material Name]],Sum_WH!E:E,Sum_WH!F:F,"",0)</f>
        <v>Pcs</v>
      </c>
      <c r="N939" s="221">
        <v>12</v>
      </c>
      <c r="O939" s="221" t="s">
        <v>3314</v>
      </c>
      <c r="P939" s="221" t="s">
        <v>3369</v>
      </c>
      <c r="Q939" s="221">
        <v>0</v>
      </c>
      <c r="R939" s="221" t="s">
        <v>3147</v>
      </c>
      <c r="S939" s="221"/>
      <c r="T939" s="221"/>
      <c r="U939" s="221"/>
      <c r="V939" s="221"/>
      <c r="W939" s="221"/>
      <c r="X939" s="221" t="s">
        <v>3528</v>
      </c>
      <c r="Y939" s="227"/>
      <c r="Z939" s="227" t="str">
        <f t="shared" si="39"/>
        <v>JOMBANG</v>
      </c>
      <c r="AA939" s="276" t="e">
        <f>VLOOKUP(Logfile_S12[[#This Row],[DO number]],DO_DB!G:I,3,0)</f>
        <v>#N/A</v>
      </c>
      <c r="AB939" s="331" t="e">
        <f>EXACT(Logfile_S12[[#This Row],[date pick]],Logfile_S12[[#This Row],[Date]])</f>
        <v>#N/A</v>
      </c>
      <c r="AC9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40" spans="1:29" ht="14.5" hidden="1">
      <c r="A940" s="220" t="str">
        <f t="shared" si="38"/>
        <v>936</v>
      </c>
      <c r="B940" s="221"/>
      <c r="C940" s="221" t="s">
        <v>3429</v>
      </c>
      <c r="D940" s="221" t="s">
        <v>3822</v>
      </c>
      <c r="E940" s="221" t="s">
        <v>3295</v>
      </c>
      <c r="F940" s="221" t="s">
        <v>3299</v>
      </c>
      <c r="G940" s="222">
        <v>45257</v>
      </c>
      <c r="H940" s="223">
        <v>15.291666666666666</v>
      </c>
      <c r="I940" s="221" t="s">
        <v>3193</v>
      </c>
      <c r="J940" s="221" t="s">
        <v>3023</v>
      </c>
      <c r="K940" s="224" t="s">
        <v>13</v>
      </c>
      <c r="L940" s="225" t="str">
        <f>VLOOKUP(Logfile_S12[[#This Row],[Material Name]],Sheet2!B:C,2,0)</f>
        <v>ZTE2008</v>
      </c>
      <c r="M940" s="225" t="str">
        <f>_xlfn.XLOOKUP(Logfile_S12[[#This Row],[Material Name]],Sum_WH!E:E,Sum_WH!F:F,"",0)</f>
        <v>Pcs</v>
      </c>
      <c r="N940" s="221">
        <v>15</v>
      </c>
      <c r="O940" s="221" t="s">
        <v>4926</v>
      </c>
      <c r="P940" s="221" t="s">
        <v>3478</v>
      </c>
      <c r="Q940" s="221">
        <v>0</v>
      </c>
      <c r="R940" s="221" t="s">
        <v>3147</v>
      </c>
      <c r="S940" s="221"/>
      <c r="T940" s="221"/>
      <c r="U940" s="221"/>
      <c r="V940" s="221"/>
      <c r="W940" s="221"/>
      <c r="X940" s="221" t="s">
        <v>3531</v>
      </c>
      <c r="Y940" s="227"/>
      <c r="Z940" s="227" t="str">
        <f t="shared" si="39"/>
        <v>MORASHA</v>
      </c>
      <c r="AA940" s="276" t="e">
        <f>VLOOKUP(Logfile_S12[[#This Row],[DO number]],DO_DB!G:I,3,0)</f>
        <v>#N/A</v>
      </c>
      <c r="AB940" s="331" t="e">
        <f>EXACT(Logfile_S12[[#This Row],[date pick]],Logfile_S12[[#This Row],[Date]])</f>
        <v>#N/A</v>
      </c>
      <c r="AC9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41" spans="1:29" ht="14.5" hidden="1">
      <c r="A941" s="220" t="str">
        <f t="shared" si="38"/>
        <v>937</v>
      </c>
      <c r="B941" s="221"/>
      <c r="C941" s="221" t="s">
        <v>49</v>
      </c>
      <c r="D941" s="221" t="s">
        <v>3821</v>
      </c>
      <c r="E941" s="221" t="s">
        <v>3295</v>
      </c>
      <c r="F941" s="221" t="s">
        <v>3299</v>
      </c>
      <c r="G941" s="222">
        <v>45257</v>
      </c>
      <c r="H941" s="223">
        <v>0.92847222222222225</v>
      </c>
      <c r="I941" s="221" t="s">
        <v>4916</v>
      </c>
      <c r="J941" s="221" t="s">
        <v>3023</v>
      </c>
      <c r="K941" s="224" t="s">
        <v>13</v>
      </c>
      <c r="L941" s="225" t="str">
        <f>VLOOKUP(Logfile_S12[[#This Row],[Material Name]],Sheet2!B:C,2,0)</f>
        <v>ZTE2008</v>
      </c>
      <c r="M941" s="225" t="str">
        <f>_xlfn.XLOOKUP(Logfile_S12[[#This Row],[Material Name]],Sum_WH!E:E,Sum_WH!F:F,"",0)</f>
        <v>Pcs</v>
      </c>
      <c r="N941" s="221">
        <v>7</v>
      </c>
      <c r="O941" s="221" t="s">
        <v>468</v>
      </c>
      <c r="P941" s="221" t="s">
        <v>469</v>
      </c>
      <c r="Q941" s="221"/>
      <c r="R941" s="221"/>
      <c r="S941" s="221"/>
      <c r="T941" s="221" t="s">
        <v>3181</v>
      </c>
      <c r="U941" s="221">
        <v>0</v>
      </c>
      <c r="V941" s="221">
        <v>0</v>
      </c>
      <c r="W941" s="221" t="s">
        <v>3530</v>
      </c>
      <c r="X941" s="221"/>
      <c r="Y941" s="227"/>
      <c r="Z941" s="227" t="str">
        <f t="shared" si="39"/>
        <v>Jedong RW 07 Wagir</v>
      </c>
      <c r="AA941" s="276" t="e">
        <f>VLOOKUP(Logfile_S12[[#This Row],[DO number]],DO_DB!G:I,3,0)</f>
        <v>#N/A</v>
      </c>
      <c r="AB941" s="331" t="e">
        <f>EXACT(Logfile_S12[[#This Row],[date pick]],Logfile_S12[[#This Row],[Date]])</f>
        <v>#N/A</v>
      </c>
      <c r="AC9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42" spans="1:29" ht="14.5" hidden="1">
      <c r="A942" s="220" t="str">
        <f t="shared" si="38"/>
        <v>938</v>
      </c>
      <c r="B942" s="221"/>
      <c r="C942" s="221" t="s">
        <v>49</v>
      </c>
      <c r="D942" s="221" t="s">
        <v>3821</v>
      </c>
      <c r="E942" s="221" t="s">
        <v>3295</v>
      </c>
      <c r="F942" s="221" t="s">
        <v>3299</v>
      </c>
      <c r="G942" s="222">
        <v>45257</v>
      </c>
      <c r="H942" s="223">
        <v>0.92847222222222225</v>
      </c>
      <c r="I942" s="221" t="s">
        <v>4916</v>
      </c>
      <c r="J942" s="221" t="s">
        <v>3023</v>
      </c>
      <c r="K942" s="224" t="s">
        <v>13</v>
      </c>
      <c r="L942" s="225" t="str">
        <f>VLOOKUP(Logfile_S12[[#This Row],[Material Name]],Sheet2!B:C,2,0)</f>
        <v>ZTE2008</v>
      </c>
      <c r="M942" s="225" t="str">
        <f>_xlfn.XLOOKUP(Logfile_S12[[#This Row],[Material Name]],Sum_WH!E:E,Sum_WH!F:F,"",0)</f>
        <v>Pcs</v>
      </c>
      <c r="N942" s="221">
        <v>15</v>
      </c>
      <c r="O942" s="221" t="s">
        <v>468</v>
      </c>
      <c r="P942" s="221" t="s">
        <v>469</v>
      </c>
      <c r="Q942" s="221"/>
      <c r="R942" s="221"/>
      <c r="S942" s="221"/>
      <c r="T942" s="221" t="s">
        <v>3181</v>
      </c>
      <c r="U942" s="221">
        <v>0</v>
      </c>
      <c r="V942" s="221">
        <v>0</v>
      </c>
      <c r="W942" s="221" t="s">
        <v>3530</v>
      </c>
      <c r="X942" s="221"/>
      <c r="Y942" s="227"/>
      <c r="Z942" s="227" t="str">
        <f t="shared" si="39"/>
        <v>Jedong RW 07 Wagir</v>
      </c>
      <c r="AA942" s="276" t="e">
        <f>VLOOKUP(Logfile_S12[[#This Row],[DO number]],DO_DB!G:I,3,0)</f>
        <v>#N/A</v>
      </c>
      <c r="AB942" s="331" t="e">
        <f>EXACT(Logfile_S12[[#This Row],[date pick]],Logfile_S12[[#This Row],[Date]])</f>
        <v>#N/A</v>
      </c>
      <c r="AC9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43" spans="1:29" ht="14.5" hidden="1">
      <c r="A943" s="220" t="str">
        <f t="shared" si="38"/>
        <v>939</v>
      </c>
      <c r="B943" s="221"/>
      <c r="C943" s="221" t="s">
        <v>3388</v>
      </c>
      <c r="D943" s="221" t="s">
        <v>3820</v>
      </c>
      <c r="E943" s="221" t="s">
        <v>3295</v>
      </c>
      <c r="F943" s="221" t="s">
        <v>3299</v>
      </c>
      <c r="G943" s="222">
        <v>45257</v>
      </c>
      <c r="H943" s="223">
        <v>0.63958333333333328</v>
      </c>
      <c r="I943" s="221" t="s">
        <v>4920</v>
      </c>
      <c r="J943" s="221" t="s">
        <v>3023</v>
      </c>
      <c r="K943" s="224" t="s">
        <v>13</v>
      </c>
      <c r="L943" s="225" t="str">
        <f>VLOOKUP(Logfile_S12[[#This Row],[Material Name]],Sheet2!B:C,2,0)</f>
        <v>ZTE2008</v>
      </c>
      <c r="M943" s="225" t="str">
        <f>_xlfn.XLOOKUP(Logfile_S12[[#This Row],[Material Name]],Sum_WH!E:E,Sum_WH!F:F,"",0)</f>
        <v>Pcs</v>
      </c>
      <c r="N943" s="221">
        <v>5</v>
      </c>
      <c r="O943" s="221" t="s">
        <v>3314</v>
      </c>
      <c r="P943" s="221" t="s">
        <v>3223</v>
      </c>
      <c r="Q943" s="221"/>
      <c r="R943" s="221"/>
      <c r="S943" s="221"/>
      <c r="T943" s="221" t="s">
        <v>3241</v>
      </c>
      <c r="U943" s="221">
        <v>0</v>
      </c>
      <c r="V943" s="221" t="s">
        <v>3368</v>
      </c>
      <c r="W943" s="221" t="s">
        <v>3242</v>
      </c>
      <c r="X943" s="221" t="s">
        <v>3529</v>
      </c>
      <c r="Y943" s="227"/>
      <c r="Z943" s="227" t="str">
        <f t="shared" si="39"/>
        <v>Transfer Gudang</v>
      </c>
      <c r="AA943" s="276" t="e">
        <f>VLOOKUP(Logfile_S12[[#This Row],[DO number]],DO_DB!G:I,3,0)</f>
        <v>#N/A</v>
      </c>
      <c r="AB943" s="331" t="e">
        <f>EXACT(Logfile_S12[[#This Row],[date pick]],Logfile_S12[[#This Row],[Date]])</f>
        <v>#N/A</v>
      </c>
      <c r="AC9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944" spans="1:29" ht="14.5" hidden="1">
      <c r="A944" s="220" t="str">
        <f t="shared" si="38"/>
        <v>940</v>
      </c>
      <c r="B944" s="221"/>
      <c r="C944" s="221" t="s">
        <v>3449</v>
      </c>
      <c r="D944" s="221" t="s">
        <v>3829</v>
      </c>
      <c r="E944" s="221" t="s">
        <v>3295</v>
      </c>
      <c r="F944" s="221" t="s">
        <v>3299</v>
      </c>
      <c r="G944" s="222">
        <v>45264</v>
      </c>
      <c r="H944" s="223">
        <v>15.291666666666666</v>
      </c>
      <c r="I944" s="221" t="s">
        <v>3193</v>
      </c>
      <c r="J944" s="221" t="s">
        <v>3023</v>
      </c>
      <c r="K944" s="224" t="s">
        <v>13</v>
      </c>
      <c r="L944" s="225" t="str">
        <f>VLOOKUP(Logfile_S12[[#This Row],[Material Name]],Sheet2!B:C,2,0)</f>
        <v>ZTE2008</v>
      </c>
      <c r="M944" s="225" t="str">
        <f>_xlfn.XLOOKUP(Logfile_S12[[#This Row],[Material Name]],Sum_WH!E:E,Sum_WH!F:F,"",0)</f>
        <v>Pcs</v>
      </c>
      <c r="N944" s="221">
        <v>15</v>
      </c>
      <c r="O944" s="221" t="s">
        <v>4926</v>
      </c>
      <c r="P944" s="221" t="s">
        <v>3478</v>
      </c>
      <c r="Q944" s="221">
        <v>0</v>
      </c>
      <c r="R944" s="221" t="s">
        <v>3147</v>
      </c>
      <c r="S944" s="221"/>
      <c r="T944" s="221"/>
      <c r="U944" s="221"/>
      <c r="V944" s="221"/>
      <c r="W944" s="221"/>
      <c r="X944" s="221" t="s">
        <v>3532</v>
      </c>
      <c r="Y944" s="227"/>
      <c r="Z944" s="227" t="str">
        <f t="shared" si="39"/>
        <v>MORASHA</v>
      </c>
      <c r="AA944" s="276" t="e">
        <f>VLOOKUP(Logfile_S12[[#This Row],[DO number]],DO_DB!G:I,3,0)</f>
        <v>#N/A</v>
      </c>
      <c r="AB944" s="331" t="e">
        <f>EXACT(Logfile_S12[[#This Row],[date pick]],Logfile_S12[[#This Row],[Date]])</f>
        <v>#N/A</v>
      </c>
      <c r="AC9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945" spans="1:29" ht="14.5" hidden="1">
      <c r="A945" s="220" t="str">
        <f t="shared" si="38"/>
        <v>941</v>
      </c>
      <c r="B945" s="221"/>
      <c r="C945" s="221" t="s">
        <v>3388</v>
      </c>
      <c r="D945" s="221" t="s">
        <v>3828</v>
      </c>
      <c r="E945" s="221" t="s">
        <v>3295</v>
      </c>
      <c r="F945" s="221" t="s">
        <v>3299</v>
      </c>
      <c r="G945" s="222">
        <v>45264</v>
      </c>
      <c r="H945" s="223">
        <v>0.72569444444444453</v>
      </c>
      <c r="I945" s="221" t="s">
        <v>4919</v>
      </c>
      <c r="J945" s="221" t="s">
        <v>3023</v>
      </c>
      <c r="K945" s="224" t="s">
        <v>13</v>
      </c>
      <c r="L945" s="225" t="str">
        <f>VLOOKUP(Logfile_S12[[#This Row],[Material Name]],Sheet2!B:C,2,0)</f>
        <v>ZTE2008</v>
      </c>
      <c r="M945" s="225" t="str">
        <f>_xlfn.XLOOKUP(Logfile_S12[[#This Row],[Material Name]],Sum_WH!E:E,Sum_WH!F:F,"",0)</f>
        <v>Pcs</v>
      </c>
      <c r="N945" s="221">
        <v>15</v>
      </c>
      <c r="O945" s="221" t="s">
        <v>3314</v>
      </c>
      <c r="P945" s="221" t="s">
        <v>3223</v>
      </c>
      <c r="Q945" s="221"/>
      <c r="R945" s="221"/>
      <c r="S945" s="221"/>
      <c r="T945" s="221">
        <v>0</v>
      </c>
      <c r="U945" s="221">
        <v>0</v>
      </c>
      <c r="V945" s="221">
        <v>0</v>
      </c>
      <c r="W945" s="221" t="s">
        <v>3242</v>
      </c>
      <c r="X945" s="221"/>
      <c r="Y945" s="227"/>
      <c r="Z945" s="227" t="str">
        <f t="shared" si="39"/>
        <v>Transfer Gudang</v>
      </c>
      <c r="AA945" s="276" t="e">
        <f>VLOOKUP(Logfile_S12[[#This Row],[DO number]],DO_DB!G:I,3,0)</f>
        <v>#N/A</v>
      </c>
      <c r="AB945" s="331" t="e">
        <f>EXACT(Logfile_S12[[#This Row],[date pick]],Logfile_S12[[#This Row],[Date]])</f>
        <v>#N/A</v>
      </c>
      <c r="AC9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946" spans="1:29" ht="14.5" hidden="1">
      <c r="A946" s="220" t="str">
        <f t="shared" si="38"/>
        <v>942</v>
      </c>
      <c r="B946" s="221"/>
      <c r="C946" s="221" t="s">
        <v>3313</v>
      </c>
      <c r="D946" s="221" t="s">
        <v>3843</v>
      </c>
      <c r="E946" s="221" t="s">
        <v>3295</v>
      </c>
      <c r="F946" s="221" t="s">
        <v>3299</v>
      </c>
      <c r="G946" s="222">
        <v>45285</v>
      </c>
      <c r="H946" s="223">
        <v>15.291666666666666</v>
      </c>
      <c r="I946" s="221" t="s">
        <v>4919</v>
      </c>
      <c r="J946" s="221" t="s">
        <v>3023</v>
      </c>
      <c r="K946" s="224" t="s">
        <v>13</v>
      </c>
      <c r="L946" s="225" t="str">
        <f>VLOOKUP(Logfile_S12[[#This Row],[Material Name]],Sheet2!B:C,2,0)</f>
        <v>ZTE2008</v>
      </c>
      <c r="M946" s="225" t="str">
        <f>_xlfn.XLOOKUP(Logfile_S12[[#This Row],[Material Name]],Sum_WH!E:E,Sum_WH!F:F,"",0)</f>
        <v>Pcs</v>
      </c>
      <c r="N946" s="221">
        <v>16</v>
      </c>
      <c r="O946" s="221" t="s">
        <v>3314</v>
      </c>
      <c r="P946" s="221" t="s">
        <v>3369</v>
      </c>
      <c r="Q946" s="221">
        <v>0</v>
      </c>
      <c r="R946" s="221" t="s">
        <v>3147</v>
      </c>
      <c r="S946" s="221"/>
      <c r="T946" s="221"/>
      <c r="U946" s="221"/>
      <c r="V946" s="221"/>
      <c r="W946" s="221"/>
      <c r="X946" s="221" t="s">
        <v>3354</v>
      </c>
      <c r="Y946" s="227"/>
      <c r="Z946" s="227" t="str">
        <f t="shared" si="39"/>
        <v>JOMBANG</v>
      </c>
      <c r="AA946" s="276" t="e">
        <f>VLOOKUP(Logfile_S12[[#This Row],[DO number]],DO_DB!G:I,3,0)</f>
        <v>#N/A</v>
      </c>
      <c r="AB946" s="331" t="e">
        <f>EXACT(Logfile_S12[[#This Row],[date pick]],Logfile_S12[[#This Row],[Date]])</f>
        <v>#N/A</v>
      </c>
      <c r="AC9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47" spans="1:29" ht="14.5" hidden="1">
      <c r="A947" s="220" t="str">
        <f t="shared" si="38"/>
        <v>943</v>
      </c>
      <c r="B947" s="221"/>
      <c r="C947" s="221" t="s">
        <v>49</v>
      </c>
      <c r="D947" s="221" t="s">
        <v>3846</v>
      </c>
      <c r="E947" s="221" t="s">
        <v>3295</v>
      </c>
      <c r="F947" s="221" t="s">
        <v>3299</v>
      </c>
      <c r="G947" s="222">
        <v>45286</v>
      </c>
      <c r="H947" s="223">
        <v>0.3923611111111111</v>
      </c>
      <c r="I947" s="221" t="s">
        <v>4916</v>
      </c>
      <c r="J947" s="221" t="s">
        <v>3023</v>
      </c>
      <c r="K947" s="224" t="s">
        <v>13</v>
      </c>
      <c r="L947" s="225" t="str">
        <f>VLOOKUP(Logfile_S12[[#This Row],[Material Name]],Sheet2!B:C,2,0)</f>
        <v>ZTE2008</v>
      </c>
      <c r="M947" s="225" t="str">
        <f>_xlfn.XLOOKUP(Logfile_S12[[#This Row],[Material Name]],Sum_WH!E:E,Sum_WH!F:F,"",0)</f>
        <v>Pcs</v>
      </c>
      <c r="N947" s="221">
        <v>16</v>
      </c>
      <c r="O947" s="221" t="s">
        <v>732</v>
      </c>
      <c r="P947" s="221" t="s">
        <v>733</v>
      </c>
      <c r="Q947" s="221"/>
      <c r="R947" s="221"/>
      <c r="S947" s="221"/>
      <c r="T947" s="221" t="s">
        <v>3231</v>
      </c>
      <c r="U947" s="221" t="s">
        <v>3228</v>
      </c>
      <c r="V947" s="221" t="s">
        <v>3232</v>
      </c>
      <c r="W947" s="221" t="s">
        <v>3355</v>
      </c>
      <c r="X947" s="221"/>
      <c r="Y947" s="227"/>
      <c r="Z947" s="227" t="str">
        <f t="shared" si="39"/>
        <v>Sitirejo RW 01 Wagir</v>
      </c>
      <c r="AA947" s="276" t="e">
        <f>VLOOKUP(Logfile_S12[[#This Row],[DO number]],DO_DB!G:I,3,0)</f>
        <v>#N/A</v>
      </c>
      <c r="AB947" s="331" t="e">
        <f>EXACT(Logfile_S12[[#This Row],[date pick]],Logfile_S12[[#This Row],[Date]])</f>
        <v>#N/A</v>
      </c>
      <c r="AC9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48" spans="1:29" ht="14.5" hidden="1">
      <c r="A948" s="220" t="str">
        <f t="shared" si="38"/>
        <v>944</v>
      </c>
      <c r="B948" s="221"/>
      <c r="C948" s="221" t="s">
        <v>48</v>
      </c>
      <c r="D948" s="221" t="s">
        <v>3867</v>
      </c>
      <c r="E948" s="221" t="s">
        <v>3295</v>
      </c>
      <c r="F948" s="221" t="s">
        <v>3299</v>
      </c>
      <c r="G948" s="222">
        <v>45307</v>
      </c>
      <c r="H948" s="223">
        <v>15.291666666666666</v>
      </c>
      <c r="I948" s="221" t="s">
        <v>37</v>
      </c>
      <c r="J948" s="221" t="s">
        <v>3023</v>
      </c>
      <c r="K948" s="224" t="s">
        <v>13</v>
      </c>
      <c r="L948" s="225" t="str">
        <f>VLOOKUP(Logfile_S12[[#This Row],[Material Name]],Sheet2!B:C,2,0)</f>
        <v>ZTE2008</v>
      </c>
      <c r="M948" s="225" t="str">
        <f>_xlfn.XLOOKUP(Logfile_S12[[#This Row],[Material Name]],Sum_WH!E:E,Sum_WH!F:F,"",0)</f>
        <v>Pcs</v>
      </c>
      <c r="N948" s="221">
        <v>24</v>
      </c>
      <c r="O948" s="221" t="s">
        <v>742</v>
      </c>
      <c r="P948" s="221" t="s">
        <v>743</v>
      </c>
      <c r="Q948" s="221" t="s">
        <v>850</v>
      </c>
      <c r="R948" s="221" t="s">
        <v>851</v>
      </c>
      <c r="S948" s="221"/>
      <c r="T948" s="221"/>
      <c r="U948" s="221"/>
      <c r="V948" s="221"/>
      <c r="W948" s="221"/>
      <c r="X948" s="221" t="s">
        <v>3217</v>
      </c>
      <c r="Y948" s="227"/>
      <c r="Z948" s="227" t="str">
        <f t="shared" si="39"/>
        <v>Baturetno RW 03 Singosari</v>
      </c>
      <c r="AA948" s="276">
        <f>VLOOKUP(Logfile_S12[[#This Row],[DO number]],DO_DB!G:I,3,0)</f>
        <v>45307</v>
      </c>
      <c r="AB948" s="331" t="b">
        <f>EXACT(Logfile_S12[[#This Row],[date pick]],Logfile_S12[[#This Row],[Date]])</f>
        <v>1</v>
      </c>
      <c r="AC9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49" spans="1:29" ht="14.5" hidden="1">
      <c r="A949" s="220" t="str">
        <f t="shared" si="38"/>
        <v>945</v>
      </c>
      <c r="B949" s="221"/>
      <c r="C949" s="221" t="s">
        <v>48</v>
      </c>
      <c r="D949" s="221" t="s">
        <v>3867</v>
      </c>
      <c r="E949" s="221" t="s">
        <v>3295</v>
      </c>
      <c r="F949" s="221" t="s">
        <v>3299</v>
      </c>
      <c r="G949" s="222">
        <v>45307</v>
      </c>
      <c r="H949" s="223">
        <v>15.291666666666666</v>
      </c>
      <c r="I949" s="221" t="s">
        <v>37</v>
      </c>
      <c r="J949" s="221" t="s">
        <v>3023</v>
      </c>
      <c r="K949" s="224" t="s">
        <v>13</v>
      </c>
      <c r="L949" s="225" t="str">
        <f>VLOOKUP(Logfile_S12[[#This Row],[Material Name]],Sheet2!B:C,2,0)</f>
        <v>ZTE2008</v>
      </c>
      <c r="M949" s="225" t="str">
        <f>_xlfn.XLOOKUP(Logfile_S12[[#This Row],[Material Name]],Sum_WH!E:E,Sum_WH!F:F,"",0)</f>
        <v>Pcs</v>
      </c>
      <c r="N949" s="221">
        <v>65</v>
      </c>
      <c r="O949" s="221" t="s">
        <v>828</v>
      </c>
      <c r="P949" s="221" t="s">
        <v>829</v>
      </c>
      <c r="Q949" s="221" t="s">
        <v>852</v>
      </c>
      <c r="R949" s="221" t="s">
        <v>853</v>
      </c>
      <c r="S949" s="221"/>
      <c r="T949" s="221"/>
      <c r="U949" s="221"/>
      <c r="V949" s="221"/>
      <c r="W949" s="221"/>
      <c r="X949" s="221" t="s">
        <v>3217</v>
      </c>
      <c r="Y949" s="227"/>
      <c r="Z949" s="227" t="str">
        <f t="shared" si="39"/>
        <v>Perumahan Pondok Mutiara Malang</v>
      </c>
      <c r="AA949" s="276">
        <f>VLOOKUP(Logfile_S12[[#This Row],[DO number]],DO_DB!G:I,3,0)</f>
        <v>45307</v>
      </c>
      <c r="AB949" s="331" t="b">
        <f>EXACT(Logfile_S12[[#This Row],[date pick]],Logfile_S12[[#This Row],[Date]])</f>
        <v>1</v>
      </c>
      <c r="AC9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50" spans="1:29" ht="14.5" hidden="1">
      <c r="A950" s="220" t="str">
        <f t="shared" si="38"/>
        <v>946</v>
      </c>
      <c r="B950" s="221"/>
      <c r="C950" s="221" t="s">
        <v>3313</v>
      </c>
      <c r="D950" s="221" t="s">
        <v>3868</v>
      </c>
      <c r="E950" s="221" t="s">
        <v>3295</v>
      </c>
      <c r="F950" s="221" t="s">
        <v>3299</v>
      </c>
      <c r="G950" s="222">
        <v>45307</v>
      </c>
      <c r="H950" s="223">
        <v>15.291666666666666</v>
      </c>
      <c r="I950" s="221" t="s">
        <v>37</v>
      </c>
      <c r="J950" s="221" t="s">
        <v>3023</v>
      </c>
      <c r="K950" s="224" t="s">
        <v>13</v>
      </c>
      <c r="L950" s="225" t="str">
        <f>VLOOKUP(Logfile_S12[[#This Row],[Material Name]],Sheet2!B:C,2,0)</f>
        <v>ZTE2008</v>
      </c>
      <c r="M950" s="225" t="str">
        <f>_xlfn.XLOOKUP(Logfile_S12[[#This Row],[Material Name]],Sum_WH!E:E,Sum_WH!F:F,"",0)</f>
        <v>Pcs</v>
      </c>
      <c r="N950" s="221">
        <v>17</v>
      </c>
      <c r="O950" s="221" t="s">
        <v>3314</v>
      </c>
      <c r="P950" s="221">
        <v>0</v>
      </c>
      <c r="Q950" s="221">
        <v>0</v>
      </c>
      <c r="R950" s="221" t="s">
        <v>3147</v>
      </c>
      <c r="S950" s="221"/>
      <c r="T950" s="221"/>
      <c r="U950" s="221"/>
      <c r="V950" s="221"/>
      <c r="W950" s="221"/>
      <c r="X950" s="221" t="s">
        <v>3217</v>
      </c>
      <c r="Y950" s="227"/>
      <c r="Z950" s="227">
        <f t="shared" si="39"/>
        <v>0</v>
      </c>
      <c r="AA950" s="276" t="e">
        <f>VLOOKUP(Logfile_S12[[#This Row],[DO number]],DO_DB!G:I,3,0)</f>
        <v>#N/A</v>
      </c>
      <c r="AB950" s="331" t="e">
        <f>EXACT(Logfile_S12[[#This Row],[date pick]],Logfile_S12[[#This Row],[Date]])</f>
        <v>#N/A</v>
      </c>
      <c r="AC9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51" spans="1:29" ht="14.5" hidden="1">
      <c r="A951" s="220" t="str">
        <f t="shared" si="38"/>
        <v>947</v>
      </c>
      <c r="B951" s="221"/>
      <c r="C951" s="221" t="s">
        <v>3313</v>
      </c>
      <c r="D951" s="221" t="s">
        <v>3868</v>
      </c>
      <c r="E951" s="221" t="s">
        <v>3295</v>
      </c>
      <c r="F951" s="221" t="s">
        <v>3299</v>
      </c>
      <c r="G951" s="222">
        <v>45307</v>
      </c>
      <c r="H951" s="223">
        <v>15.291666666666666</v>
      </c>
      <c r="I951" s="221" t="s">
        <v>37</v>
      </c>
      <c r="J951" s="221" t="s">
        <v>3023</v>
      </c>
      <c r="K951" s="224" t="s">
        <v>13</v>
      </c>
      <c r="L951" s="225" t="str">
        <f>VLOOKUP(Logfile_S12[[#This Row],[Material Name]],Sheet2!B:C,2,0)</f>
        <v>ZTE2008</v>
      </c>
      <c r="M951" s="225" t="str">
        <f>_xlfn.XLOOKUP(Logfile_S12[[#This Row],[Material Name]],Sum_WH!E:E,Sum_WH!F:F,"",0)</f>
        <v>Pcs</v>
      </c>
      <c r="N951" s="221">
        <v>19</v>
      </c>
      <c r="O951" s="221" t="s">
        <v>3314</v>
      </c>
      <c r="P951" s="221">
        <v>0</v>
      </c>
      <c r="Q951" s="221">
        <v>0</v>
      </c>
      <c r="R951" s="221" t="s">
        <v>3147</v>
      </c>
      <c r="S951" s="221"/>
      <c r="T951" s="221"/>
      <c r="U951" s="221"/>
      <c r="V951" s="221"/>
      <c r="W951" s="221"/>
      <c r="X951" s="221" t="s">
        <v>3217</v>
      </c>
      <c r="Y951" s="227"/>
      <c r="Z951" s="227">
        <f t="shared" si="39"/>
        <v>0</v>
      </c>
      <c r="AA951" s="276" t="e">
        <f>VLOOKUP(Logfile_S12[[#This Row],[DO number]],DO_DB!G:I,3,0)</f>
        <v>#N/A</v>
      </c>
      <c r="AB951" s="331" t="e">
        <f>EXACT(Logfile_S12[[#This Row],[date pick]],Logfile_S12[[#This Row],[Date]])</f>
        <v>#N/A</v>
      </c>
      <c r="AC9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52" spans="1:29" ht="14.5" hidden="1">
      <c r="A952" s="220" t="str">
        <f t="shared" si="38"/>
        <v>948</v>
      </c>
      <c r="B952" s="221"/>
      <c r="C952" s="221" t="s">
        <v>3313</v>
      </c>
      <c r="D952" s="221" t="s">
        <v>3868</v>
      </c>
      <c r="E952" s="221" t="s">
        <v>3295</v>
      </c>
      <c r="F952" s="221" t="s">
        <v>3299</v>
      </c>
      <c r="G952" s="222">
        <v>45307</v>
      </c>
      <c r="H952" s="223">
        <v>15.291666666666666</v>
      </c>
      <c r="I952" s="221" t="s">
        <v>37</v>
      </c>
      <c r="J952" s="221" t="s">
        <v>3023</v>
      </c>
      <c r="K952" s="224" t="s">
        <v>13</v>
      </c>
      <c r="L952" s="225" t="str">
        <f>VLOOKUP(Logfile_S12[[#This Row],[Material Name]],Sheet2!B:C,2,0)</f>
        <v>ZTE2008</v>
      </c>
      <c r="M952" s="225" t="str">
        <f>_xlfn.XLOOKUP(Logfile_S12[[#This Row],[Material Name]],Sum_WH!E:E,Sum_WH!F:F,"",0)</f>
        <v>Pcs</v>
      </c>
      <c r="N952" s="221">
        <v>19</v>
      </c>
      <c r="O952" s="221" t="s">
        <v>3314</v>
      </c>
      <c r="P952" s="221">
        <v>0</v>
      </c>
      <c r="Q952" s="221">
        <v>0</v>
      </c>
      <c r="R952" s="221" t="s">
        <v>3147</v>
      </c>
      <c r="S952" s="221"/>
      <c r="T952" s="221"/>
      <c r="U952" s="221"/>
      <c r="V952" s="221"/>
      <c r="W952" s="221"/>
      <c r="X952" s="221"/>
      <c r="Y952" s="227"/>
      <c r="Z952" s="227">
        <f t="shared" si="39"/>
        <v>0</v>
      </c>
      <c r="AA952" s="276" t="e">
        <f>VLOOKUP(Logfile_S12[[#This Row],[DO number]],DO_DB!G:I,3,0)</f>
        <v>#N/A</v>
      </c>
      <c r="AB952" s="331" t="e">
        <f>EXACT(Logfile_S12[[#This Row],[date pick]],Logfile_S12[[#This Row],[Date]])</f>
        <v>#N/A</v>
      </c>
      <c r="AC9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53" spans="1:29" ht="14.5" hidden="1">
      <c r="A953" s="220" t="str">
        <f t="shared" si="38"/>
        <v>949</v>
      </c>
      <c r="B953" s="221"/>
      <c r="C953" s="221" t="s">
        <v>49</v>
      </c>
      <c r="D953" s="221" t="s">
        <v>3887</v>
      </c>
      <c r="E953" s="221" t="s">
        <v>3295</v>
      </c>
      <c r="F953" s="221" t="s">
        <v>3299</v>
      </c>
      <c r="G953" s="222">
        <v>45313</v>
      </c>
      <c r="H953" s="223">
        <v>0.62291666666666667</v>
      </c>
      <c r="I953" s="221" t="s">
        <v>4916</v>
      </c>
      <c r="J953" s="221" t="s">
        <v>3023</v>
      </c>
      <c r="K953" s="224" t="s">
        <v>13</v>
      </c>
      <c r="L953" s="225" t="str">
        <f>VLOOKUP(Logfile_S12[[#This Row],[Material Name]],Sheet2!B:C,2,0)</f>
        <v>ZTE2008</v>
      </c>
      <c r="M953" s="225" t="str">
        <f>_xlfn.XLOOKUP(Logfile_S12[[#This Row],[Material Name]],Sum_WH!E:E,Sum_WH!F:F,"",0)</f>
        <v>Pcs</v>
      </c>
      <c r="N953" s="221">
        <v>60</v>
      </c>
      <c r="O953" s="221" t="s">
        <v>828</v>
      </c>
      <c r="P953" s="221" t="s">
        <v>829</v>
      </c>
      <c r="Q953" s="221"/>
      <c r="R953" s="221"/>
      <c r="S953" s="221"/>
      <c r="T953" s="221" t="s">
        <v>3231</v>
      </c>
      <c r="U953" s="221" t="s">
        <v>3228</v>
      </c>
      <c r="V953" s="221" t="s">
        <v>3232</v>
      </c>
      <c r="W953" s="221" t="s">
        <v>3246</v>
      </c>
      <c r="X953" s="221"/>
      <c r="Y953" s="227"/>
      <c r="Z953" s="227" t="str">
        <f t="shared" si="39"/>
        <v>Perumahan Pondok Mutiara Malang</v>
      </c>
      <c r="AA953" s="276" t="e">
        <f>VLOOKUP(Logfile_S12[[#This Row],[DO number]],DO_DB!G:I,3,0)</f>
        <v>#N/A</v>
      </c>
      <c r="AB953" s="331" t="e">
        <f>EXACT(Logfile_S12[[#This Row],[date pick]],Logfile_S12[[#This Row],[Date]])</f>
        <v>#N/A</v>
      </c>
      <c r="AC9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54" spans="1:29" ht="14.5" hidden="1">
      <c r="A954" s="220" t="str">
        <f t="shared" si="38"/>
        <v>950</v>
      </c>
      <c r="B954" s="221"/>
      <c r="C954" s="221" t="s">
        <v>49</v>
      </c>
      <c r="D954" s="221" t="s">
        <v>3898</v>
      </c>
      <c r="E954" s="221" t="s">
        <v>3295</v>
      </c>
      <c r="F954" s="221" t="s">
        <v>3299</v>
      </c>
      <c r="G954" s="222">
        <v>45316</v>
      </c>
      <c r="H954" s="223">
        <v>0.47569444444444442</v>
      </c>
      <c r="I954" s="221" t="s">
        <v>4916</v>
      </c>
      <c r="J954" s="221" t="s">
        <v>3023</v>
      </c>
      <c r="K954" s="224" t="s">
        <v>13</v>
      </c>
      <c r="L954" s="225" t="str">
        <f>VLOOKUP(Logfile_S12[[#This Row],[Material Name]],Sheet2!B:C,2,0)</f>
        <v>ZTE2008</v>
      </c>
      <c r="M954" s="225" t="str">
        <f>_xlfn.XLOOKUP(Logfile_S12[[#This Row],[Material Name]],Sum_WH!E:E,Sum_WH!F:F,"",0)</f>
        <v>Pcs</v>
      </c>
      <c r="N954" s="221">
        <v>5</v>
      </c>
      <c r="O954" s="221" t="s">
        <v>828</v>
      </c>
      <c r="P954" s="221" t="s">
        <v>829</v>
      </c>
      <c r="Q954" s="221"/>
      <c r="R954" s="221"/>
      <c r="S954" s="221"/>
      <c r="T954" s="221" t="s">
        <v>3231</v>
      </c>
      <c r="U954" s="221" t="s">
        <v>3228</v>
      </c>
      <c r="V954" s="221" t="s">
        <v>3232</v>
      </c>
      <c r="W954" s="221" t="s">
        <v>3246</v>
      </c>
      <c r="X954" s="221"/>
      <c r="Y954" s="227"/>
      <c r="Z954" s="227" t="str">
        <f t="shared" si="39"/>
        <v>Perumahan Pondok Mutiara Malang</v>
      </c>
      <c r="AA954" s="276" t="e">
        <f>VLOOKUP(Logfile_S12[[#This Row],[DO number]],DO_DB!G:I,3,0)</f>
        <v>#N/A</v>
      </c>
      <c r="AB954" s="331" t="e">
        <f>EXACT(Logfile_S12[[#This Row],[date pick]],Logfile_S12[[#This Row],[Date]])</f>
        <v>#N/A</v>
      </c>
      <c r="AC9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55" spans="1:29" ht="14.5" hidden="1">
      <c r="A955" s="220" t="str">
        <f t="shared" si="38"/>
        <v>951</v>
      </c>
      <c r="B955" s="221"/>
      <c r="C955" s="221" t="s">
        <v>49</v>
      </c>
      <c r="D955" s="221" t="s">
        <v>3898</v>
      </c>
      <c r="E955" s="221" t="s">
        <v>3295</v>
      </c>
      <c r="F955" s="221" t="s">
        <v>3299</v>
      </c>
      <c r="G955" s="222">
        <v>45316</v>
      </c>
      <c r="H955" s="223">
        <v>0.47569444444444442</v>
      </c>
      <c r="I955" s="221" t="s">
        <v>4916</v>
      </c>
      <c r="J955" s="221" t="s">
        <v>3023</v>
      </c>
      <c r="K955" s="224" t="s">
        <v>13</v>
      </c>
      <c r="L955" s="225" t="str">
        <f>VLOOKUP(Logfile_S12[[#This Row],[Material Name]],Sheet2!B:C,2,0)</f>
        <v>ZTE2008</v>
      </c>
      <c r="M955" s="225" t="str">
        <f>_xlfn.XLOOKUP(Logfile_S12[[#This Row],[Material Name]],Sum_WH!E:E,Sum_WH!F:F,"",0)</f>
        <v>Pcs</v>
      </c>
      <c r="N955" s="221">
        <v>16</v>
      </c>
      <c r="O955" s="221" t="s">
        <v>738</v>
      </c>
      <c r="P955" s="221" t="s">
        <v>3392</v>
      </c>
      <c r="Q955" s="221"/>
      <c r="R955" s="221"/>
      <c r="S955" s="221"/>
      <c r="T955" s="221" t="s">
        <v>3231</v>
      </c>
      <c r="U955" s="221" t="s">
        <v>3228</v>
      </c>
      <c r="V955" s="221" t="s">
        <v>3232</v>
      </c>
      <c r="W955" s="221" t="s">
        <v>3246</v>
      </c>
      <c r="X955" s="221"/>
      <c r="Y955" s="227"/>
      <c r="Z955" s="227" t="str">
        <f t="shared" si="39"/>
        <v xml:space="preserve">Baturetno RW 02 Singosari </v>
      </c>
      <c r="AA955" s="276" t="e">
        <f>VLOOKUP(Logfile_S12[[#This Row],[DO number]],DO_DB!G:I,3,0)</f>
        <v>#N/A</v>
      </c>
      <c r="AB955" s="331" t="e">
        <f>EXACT(Logfile_S12[[#This Row],[date pick]],Logfile_S12[[#This Row],[Date]])</f>
        <v>#N/A</v>
      </c>
      <c r="AC9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56" spans="1:29" ht="14.5" hidden="1">
      <c r="A956" s="220" t="str">
        <f t="shared" si="38"/>
        <v>952</v>
      </c>
      <c r="B956" s="221"/>
      <c r="C956" s="221" t="s">
        <v>49</v>
      </c>
      <c r="D956" s="221" t="s">
        <v>3898</v>
      </c>
      <c r="E956" s="221" t="s">
        <v>3295</v>
      </c>
      <c r="F956" s="221" t="s">
        <v>3299</v>
      </c>
      <c r="G956" s="222">
        <v>45316</v>
      </c>
      <c r="H956" s="223">
        <v>0.47569444444444442</v>
      </c>
      <c r="I956" s="221" t="s">
        <v>4916</v>
      </c>
      <c r="J956" s="221" t="s">
        <v>3023</v>
      </c>
      <c r="K956" s="224" t="s">
        <v>13</v>
      </c>
      <c r="L956" s="225" t="str">
        <f>VLOOKUP(Logfile_S12[[#This Row],[Material Name]],Sheet2!B:C,2,0)</f>
        <v>ZTE2008</v>
      </c>
      <c r="M956" s="225" t="str">
        <f>_xlfn.XLOOKUP(Logfile_S12[[#This Row],[Material Name]],Sum_WH!E:E,Sum_WH!F:F,"",0)</f>
        <v>Pcs</v>
      </c>
      <c r="N956" s="221">
        <v>24</v>
      </c>
      <c r="O956" s="221" t="s">
        <v>742</v>
      </c>
      <c r="P956" s="221" t="s">
        <v>743</v>
      </c>
      <c r="Q956" s="221"/>
      <c r="R956" s="221"/>
      <c r="S956" s="221"/>
      <c r="T956" s="221" t="s">
        <v>3231</v>
      </c>
      <c r="U956" s="221" t="s">
        <v>3228</v>
      </c>
      <c r="V956" s="221" t="s">
        <v>3232</v>
      </c>
      <c r="W956" s="221" t="s">
        <v>3246</v>
      </c>
      <c r="X956" s="221"/>
      <c r="Y956" s="227"/>
      <c r="Z956" s="227" t="str">
        <f t="shared" si="39"/>
        <v>Baturetno RW 03 Singosari</v>
      </c>
      <c r="AA956" s="276" t="e">
        <f>VLOOKUP(Logfile_S12[[#This Row],[DO number]],DO_DB!G:I,3,0)</f>
        <v>#N/A</v>
      </c>
      <c r="AB956" s="331" t="e">
        <f>EXACT(Logfile_S12[[#This Row],[date pick]],Logfile_S12[[#This Row],[Date]])</f>
        <v>#N/A</v>
      </c>
      <c r="AC9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57" spans="1:29" ht="14.5" hidden="1">
      <c r="A957" s="220" t="str">
        <f t="shared" si="38"/>
        <v>953</v>
      </c>
      <c r="B957" s="221"/>
      <c r="C957" s="221" t="s">
        <v>3449</v>
      </c>
      <c r="D957" s="221" t="s">
        <v>3904</v>
      </c>
      <c r="E957" s="221" t="s">
        <v>3295</v>
      </c>
      <c r="F957" s="221" t="s">
        <v>3299</v>
      </c>
      <c r="G957" s="222">
        <v>45317</v>
      </c>
      <c r="H957" s="223">
        <v>0.94861111111111107</v>
      </c>
      <c r="I957" s="221" t="s">
        <v>3193</v>
      </c>
      <c r="J957" s="221" t="s">
        <v>3023</v>
      </c>
      <c r="K957" s="224" t="s">
        <v>13</v>
      </c>
      <c r="L957" s="225" t="str">
        <f>VLOOKUP(Logfile_S12[[#This Row],[Material Name]],Sheet2!B:C,2,0)</f>
        <v>ZTE2008</v>
      </c>
      <c r="M957" s="225" t="str">
        <f>_xlfn.XLOOKUP(Logfile_S12[[#This Row],[Material Name]],Sum_WH!E:E,Sum_WH!F:F,"",0)</f>
        <v>Pcs</v>
      </c>
      <c r="N957" s="221">
        <v>5</v>
      </c>
      <c r="O957" s="221" t="s">
        <v>4925</v>
      </c>
      <c r="P957" s="221" t="s">
        <v>3266</v>
      </c>
      <c r="Q957" s="221"/>
      <c r="R957" s="221"/>
      <c r="S957" s="221"/>
      <c r="T957" s="221" t="s">
        <v>3302</v>
      </c>
      <c r="U957" s="221">
        <v>0</v>
      </c>
      <c r="V957" s="221">
        <v>0</v>
      </c>
      <c r="W957" s="221">
        <v>0</v>
      </c>
      <c r="X957" s="221" t="s">
        <v>3251</v>
      </c>
      <c r="Y957" s="227"/>
      <c r="Z957" s="227" t="str">
        <f t="shared" si="39"/>
        <v>YPTT</v>
      </c>
      <c r="AA957" s="276" t="e">
        <f>VLOOKUP(Logfile_S12[[#This Row],[DO number]],DO_DB!G:I,3,0)</f>
        <v>#N/A</v>
      </c>
      <c r="AB957" s="331" t="e">
        <f>EXACT(Logfile_S12[[#This Row],[date pick]],Logfile_S12[[#This Row],[Date]])</f>
        <v>#N/A</v>
      </c>
      <c r="AC9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958" spans="1:29" ht="14.5" hidden="1">
      <c r="A958" s="220" t="str">
        <f t="shared" si="38"/>
        <v>954</v>
      </c>
      <c r="B958" s="221"/>
      <c r="C958" s="221" t="s">
        <v>3313</v>
      </c>
      <c r="D958" s="221" t="s">
        <v>3915</v>
      </c>
      <c r="E958" s="221" t="s">
        <v>3295</v>
      </c>
      <c r="F958" s="221" t="s">
        <v>3299</v>
      </c>
      <c r="G958" s="222">
        <v>45329</v>
      </c>
      <c r="H958" s="223">
        <v>15.291666666666666</v>
      </c>
      <c r="I958" s="221" t="s">
        <v>37</v>
      </c>
      <c r="J958" s="221" t="s">
        <v>3023</v>
      </c>
      <c r="K958" s="224" t="s">
        <v>13</v>
      </c>
      <c r="L958" s="225" t="str">
        <f>VLOOKUP(Logfile_S12[[#This Row],[Material Name]],Sheet2!B:C,2,0)</f>
        <v>ZTE2008</v>
      </c>
      <c r="M958" s="225" t="str">
        <f>_xlfn.XLOOKUP(Logfile_S12[[#This Row],[Material Name]],Sum_WH!E:E,Sum_WH!F:F,"",0)</f>
        <v>Pcs</v>
      </c>
      <c r="N958" s="221">
        <v>1</v>
      </c>
      <c r="O958" s="221" t="s">
        <v>3314</v>
      </c>
      <c r="P958" s="221">
        <v>0</v>
      </c>
      <c r="Q958" s="221">
        <v>0</v>
      </c>
      <c r="R958" s="221" t="s">
        <v>3147</v>
      </c>
      <c r="S958" s="221"/>
      <c r="T958" s="221"/>
      <c r="U958" s="221"/>
      <c r="V958" s="221"/>
      <c r="W958" s="221"/>
      <c r="X958" s="221"/>
      <c r="Y958" s="227"/>
      <c r="Z958" s="227">
        <f t="shared" si="39"/>
        <v>0</v>
      </c>
      <c r="AA958" s="276" t="e">
        <f>VLOOKUP(Logfile_S12[[#This Row],[DO number]],DO_DB!G:I,3,0)</f>
        <v>#N/A</v>
      </c>
      <c r="AB958" s="331" t="e">
        <f>EXACT(Logfile_S12[[#This Row],[date pick]],Logfile_S12[[#This Row],[Date]])</f>
        <v>#N/A</v>
      </c>
      <c r="AC9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59" spans="1:29" ht="14.5" hidden="1">
      <c r="A959" s="220" t="str">
        <f t="shared" si="38"/>
        <v>955</v>
      </c>
      <c r="B959" s="221"/>
      <c r="C959" s="221" t="s">
        <v>49</v>
      </c>
      <c r="D959" s="221" t="s">
        <v>3921</v>
      </c>
      <c r="E959" s="221" t="s">
        <v>3295</v>
      </c>
      <c r="F959" s="221" t="s">
        <v>3299</v>
      </c>
      <c r="G959" s="222">
        <v>45336</v>
      </c>
      <c r="H959" s="223">
        <v>0.55902777777777779</v>
      </c>
      <c r="I959" s="221" t="s">
        <v>4916</v>
      </c>
      <c r="J959" s="221" t="s">
        <v>3023</v>
      </c>
      <c r="K959" s="224" t="s">
        <v>13</v>
      </c>
      <c r="L959" s="225" t="str">
        <f>VLOOKUP(Logfile_S12[[#This Row],[Material Name]],Sheet2!B:C,2,0)</f>
        <v>ZTE2008</v>
      </c>
      <c r="M959" s="225" t="str">
        <f>_xlfn.XLOOKUP(Logfile_S12[[#This Row],[Material Name]],Sum_WH!E:E,Sum_WH!F:F,"",0)</f>
        <v>Pcs</v>
      </c>
      <c r="N959" s="221">
        <v>2</v>
      </c>
      <c r="O959" s="221" t="s">
        <v>917</v>
      </c>
      <c r="P959" s="221" t="s">
        <v>918</v>
      </c>
      <c r="Q959" s="221"/>
      <c r="R959" s="221"/>
      <c r="S959" s="221"/>
      <c r="T959" s="221" t="s">
        <v>3231</v>
      </c>
      <c r="U959" s="221" t="s">
        <v>3228</v>
      </c>
      <c r="V959" s="221" t="s">
        <v>3232</v>
      </c>
      <c r="W959" s="221" t="s">
        <v>3246</v>
      </c>
      <c r="X959" s="221"/>
      <c r="Y959" s="227"/>
      <c r="Z959" s="227" t="str">
        <f t="shared" si="39"/>
        <v>Dengkol RW 03 Singosari Malang</v>
      </c>
      <c r="AA959" s="276" t="e">
        <f>VLOOKUP(Logfile_S12[[#This Row],[DO number]],DO_DB!G:I,3,0)</f>
        <v>#N/A</v>
      </c>
      <c r="AB959" s="331" t="e">
        <f>EXACT(Logfile_S12[[#This Row],[date pick]],Logfile_S12[[#This Row],[Date]])</f>
        <v>#N/A</v>
      </c>
      <c r="AC9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60" spans="1:29" ht="14.5" hidden="1">
      <c r="A960" s="220" t="str">
        <f t="shared" si="38"/>
        <v>956</v>
      </c>
      <c r="B960" s="221"/>
      <c r="C960" s="221" t="s">
        <v>49</v>
      </c>
      <c r="D960" s="221" t="s">
        <v>3921</v>
      </c>
      <c r="E960" s="221" t="s">
        <v>3295</v>
      </c>
      <c r="F960" s="221" t="s">
        <v>3299</v>
      </c>
      <c r="G960" s="222">
        <v>45336</v>
      </c>
      <c r="H960" s="223">
        <v>0.55902777777777779</v>
      </c>
      <c r="I960" s="221" t="s">
        <v>4916</v>
      </c>
      <c r="J960" s="221" t="s">
        <v>3023</v>
      </c>
      <c r="K960" s="224" t="s">
        <v>13</v>
      </c>
      <c r="L960" s="225" t="str">
        <f>VLOOKUP(Logfile_S12[[#This Row],[Material Name]],Sheet2!B:C,2,0)</f>
        <v>ZTE2008</v>
      </c>
      <c r="M960" s="225" t="str">
        <f>_xlfn.XLOOKUP(Logfile_S12[[#This Row],[Material Name]],Sum_WH!E:E,Sum_WH!F:F,"",0)</f>
        <v>Pcs</v>
      </c>
      <c r="N960" s="221">
        <v>3</v>
      </c>
      <c r="O960" s="221" t="s">
        <v>925</v>
      </c>
      <c r="P960" s="221" t="s">
        <v>926</v>
      </c>
      <c r="Q960" s="221"/>
      <c r="R960" s="221"/>
      <c r="S960" s="221"/>
      <c r="T960" s="221" t="s">
        <v>3231</v>
      </c>
      <c r="U960" s="221" t="s">
        <v>3228</v>
      </c>
      <c r="V960" s="221" t="s">
        <v>3232</v>
      </c>
      <c r="W960" s="221" t="s">
        <v>3246</v>
      </c>
      <c r="X960" s="221"/>
      <c r="Y960" s="227"/>
      <c r="Z960" s="227" t="str">
        <f t="shared" si="39"/>
        <v>Dengkol RW 02 Singosari Malang</v>
      </c>
      <c r="AA960" s="276" t="e">
        <f>VLOOKUP(Logfile_S12[[#This Row],[DO number]],DO_DB!G:I,3,0)</f>
        <v>#N/A</v>
      </c>
      <c r="AB960" s="331" t="e">
        <f>EXACT(Logfile_S12[[#This Row],[date pick]],Logfile_S12[[#This Row],[Date]])</f>
        <v>#N/A</v>
      </c>
      <c r="AC9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61" spans="1:29" ht="14.5" hidden="1">
      <c r="A961" s="220" t="str">
        <f t="shared" si="38"/>
        <v>957</v>
      </c>
      <c r="B961" s="221"/>
      <c r="C961" s="221" t="s">
        <v>3313</v>
      </c>
      <c r="D961" s="221" t="s">
        <v>3925</v>
      </c>
      <c r="E961" s="221" t="s">
        <v>3295</v>
      </c>
      <c r="F961" s="221" t="s">
        <v>3299</v>
      </c>
      <c r="G961" s="222">
        <v>45337</v>
      </c>
      <c r="H961" s="223">
        <v>15.291666666666666</v>
      </c>
      <c r="I961" s="221" t="s">
        <v>37</v>
      </c>
      <c r="J961" s="221" t="s">
        <v>3023</v>
      </c>
      <c r="K961" s="224" t="s">
        <v>13</v>
      </c>
      <c r="L961" s="225" t="str">
        <f>VLOOKUP(Logfile_S12[[#This Row],[Material Name]],Sheet2!B:C,2,0)</f>
        <v>ZTE2008</v>
      </c>
      <c r="M961" s="225" t="str">
        <f>_xlfn.XLOOKUP(Logfile_S12[[#This Row],[Material Name]],Sum_WH!E:E,Sum_WH!F:F,"",0)</f>
        <v>Pcs</v>
      </c>
      <c r="N961" s="221">
        <v>7</v>
      </c>
      <c r="O961" s="221" t="s">
        <v>3314</v>
      </c>
      <c r="P961" s="221">
        <v>0</v>
      </c>
      <c r="Q961" s="221">
        <v>0</v>
      </c>
      <c r="R961" s="221" t="s">
        <v>3147</v>
      </c>
      <c r="S961" s="221"/>
      <c r="T961" s="221"/>
      <c r="U961" s="221"/>
      <c r="V961" s="221"/>
      <c r="W961" s="221"/>
      <c r="X961" s="221"/>
      <c r="Y961" s="227"/>
      <c r="Z961" s="227">
        <f t="shared" si="39"/>
        <v>0</v>
      </c>
      <c r="AA961" s="276" t="e">
        <f>VLOOKUP(Logfile_S12[[#This Row],[DO number]],DO_DB!G:I,3,0)</f>
        <v>#N/A</v>
      </c>
      <c r="AB961" s="331" t="e">
        <f>EXACT(Logfile_S12[[#This Row],[date pick]],Logfile_S12[[#This Row],[Date]])</f>
        <v>#N/A</v>
      </c>
      <c r="AC9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62" spans="1:29" ht="14.5" hidden="1">
      <c r="A962" s="220" t="str">
        <f t="shared" si="38"/>
        <v>958</v>
      </c>
      <c r="B962" s="221"/>
      <c r="C962" s="221" t="s">
        <v>49</v>
      </c>
      <c r="D962" s="221" t="s">
        <v>3930</v>
      </c>
      <c r="E962" s="221" t="s">
        <v>3295</v>
      </c>
      <c r="F962" s="221" t="s">
        <v>3299</v>
      </c>
      <c r="G962" s="222">
        <v>45341</v>
      </c>
      <c r="H962" s="223">
        <v>0.68958333333333333</v>
      </c>
      <c r="I962" s="221" t="s">
        <v>4916</v>
      </c>
      <c r="J962" s="221" t="s">
        <v>3023</v>
      </c>
      <c r="K962" s="224" t="s">
        <v>13</v>
      </c>
      <c r="L962" s="225" t="str">
        <f>VLOOKUP(Logfile_S12[[#This Row],[Material Name]],Sheet2!B:C,2,0)</f>
        <v>ZTE2008</v>
      </c>
      <c r="M962" s="225" t="str">
        <f>_xlfn.XLOOKUP(Logfile_S12[[#This Row],[Material Name]],Sum_WH!E:E,Sum_WH!F:F,"",0)</f>
        <v>Pcs</v>
      </c>
      <c r="N962" s="221">
        <v>7</v>
      </c>
      <c r="O962" s="221" t="s">
        <v>911</v>
      </c>
      <c r="P962" s="221" t="s">
        <v>912</v>
      </c>
      <c r="Q962" s="221"/>
      <c r="R962" s="221"/>
      <c r="S962" s="221"/>
      <c r="T962" s="221" t="s">
        <v>3231</v>
      </c>
      <c r="U962" s="221" t="s">
        <v>3228</v>
      </c>
      <c r="V962" s="221" t="s">
        <v>3232</v>
      </c>
      <c r="W962" s="221" t="s">
        <v>3246</v>
      </c>
      <c r="X962" s="221"/>
      <c r="Y962" s="227"/>
      <c r="Z962" s="227" t="str">
        <f t="shared" si="39"/>
        <v>Bandulan RW 08 Sukun</v>
      </c>
      <c r="AA962" s="276" t="e">
        <f>VLOOKUP(Logfile_S12[[#This Row],[DO number]],DO_DB!G:I,3,0)</f>
        <v>#N/A</v>
      </c>
      <c r="AB962" s="331" t="e">
        <f>EXACT(Logfile_S12[[#This Row],[date pick]],Logfile_S12[[#This Row],[Date]])</f>
        <v>#N/A</v>
      </c>
      <c r="AC9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63" spans="1:29" ht="14.5" hidden="1">
      <c r="A963" s="220" t="str">
        <f t="shared" si="38"/>
        <v>959</v>
      </c>
      <c r="B963" s="221"/>
      <c r="C963" s="221" t="s">
        <v>3429</v>
      </c>
      <c r="D963" s="221" t="s">
        <v>3942</v>
      </c>
      <c r="E963" s="221" t="s">
        <v>3295</v>
      </c>
      <c r="F963" s="221" t="s">
        <v>3299</v>
      </c>
      <c r="G963" s="222">
        <v>45344</v>
      </c>
      <c r="H963" s="223">
        <v>15.291666666666666</v>
      </c>
      <c r="I963" s="221" t="s">
        <v>3193</v>
      </c>
      <c r="J963" s="221" t="s">
        <v>3023</v>
      </c>
      <c r="K963" s="224" t="s">
        <v>13</v>
      </c>
      <c r="L963" s="225" t="str">
        <f>VLOOKUP(Logfile_S12[[#This Row],[Material Name]],Sheet2!B:C,2,0)</f>
        <v>ZTE2008</v>
      </c>
      <c r="M963" s="225" t="str">
        <f>_xlfn.XLOOKUP(Logfile_S12[[#This Row],[Material Name]],Sum_WH!E:E,Sum_WH!F:F,"",0)</f>
        <v>Pcs</v>
      </c>
      <c r="N963" s="221">
        <v>5</v>
      </c>
      <c r="O963" s="221" t="s">
        <v>4925</v>
      </c>
      <c r="P963" s="221" t="s">
        <v>3266</v>
      </c>
      <c r="Q963" s="221" t="s">
        <v>3533</v>
      </c>
      <c r="R963" s="221">
        <v>0</v>
      </c>
      <c r="S963" s="221"/>
      <c r="T963" s="221"/>
      <c r="U963" s="221"/>
      <c r="V963" s="221"/>
      <c r="W963" s="221"/>
      <c r="X963" s="221" t="s">
        <v>3534</v>
      </c>
      <c r="Y963" s="227"/>
      <c r="Z963" s="227" t="str">
        <f t="shared" si="39"/>
        <v>YPTT</v>
      </c>
      <c r="AA963" s="276" t="e">
        <f>VLOOKUP(Logfile_S12[[#This Row],[DO number]],DO_DB!G:I,3,0)</f>
        <v>#N/A</v>
      </c>
      <c r="AB963" s="331" t="e">
        <f>EXACT(Logfile_S12[[#This Row],[date pick]],Logfile_S12[[#This Row],[Date]])</f>
        <v>#N/A</v>
      </c>
      <c r="AC9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64" spans="1:29" ht="14.5" hidden="1">
      <c r="A964" s="220" t="str">
        <f t="shared" si="38"/>
        <v>960</v>
      </c>
      <c r="B964" s="221"/>
      <c r="C964" s="221" t="s">
        <v>49</v>
      </c>
      <c r="D964" s="221" t="s">
        <v>3947</v>
      </c>
      <c r="E964" s="221" t="s">
        <v>3295</v>
      </c>
      <c r="F964" s="221" t="s">
        <v>3299</v>
      </c>
      <c r="G964" s="222">
        <v>45345</v>
      </c>
      <c r="H964" s="223">
        <v>0.79652777777777783</v>
      </c>
      <c r="I964" s="221" t="s">
        <v>4916</v>
      </c>
      <c r="J964" s="221" t="s">
        <v>3023</v>
      </c>
      <c r="K964" s="224" t="s">
        <v>13</v>
      </c>
      <c r="L964" s="225" t="str">
        <f>VLOOKUP(Logfile_S12[[#This Row],[Material Name]],Sheet2!B:C,2,0)</f>
        <v>ZTE2008</v>
      </c>
      <c r="M964" s="225" t="str">
        <f>_xlfn.XLOOKUP(Logfile_S12[[#This Row],[Material Name]],Sum_WH!E:E,Sum_WH!F:F,"",0)</f>
        <v>Pcs</v>
      </c>
      <c r="N964" s="221">
        <v>11</v>
      </c>
      <c r="O964" s="221" t="s">
        <v>921</v>
      </c>
      <c r="P964" s="221" t="s">
        <v>922</v>
      </c>
      <c r="Q964" s="221"/>
      <c r="R964" s="221"/>
      <c r="S964" s="221"/>
      <c r="T964" s="221" t="s">
        <v>3231</v>
      </c>
      <c r="U964" s="221" t="s">
        <v>3228</v>
      </c>
      <c r="V964" s="221" t="s">
        <v>3232</v>
      </c>
      <c r="W964" s="221" t="s">
        <v>3246</v>
      </c>
      <c r="X964" s="221"/>
      <c r="Y964" s="227"/>
      <c r="Z964" s="227" t="str">
        <f t="shared" si="39"/>
        <v>Bumiayu RW 03 Kedungkandang</v>
      </c>
      <c r="AA964" s="276" t="e">
        <f>VLOOKUP(Logfile_S12[[#This Row],[DO number]],DO_DB!G:I,3,0)</f>
        <v>#N/A</v>
      </c>
      <c r="AB964" s="331" t="e">
        <f>EXACT(Logfile_S12[[#This Row],[date pick]],Logfile_S12[[#This Row],[Date]])</f>
        <v>#N/A</v>
      </c>
      <c r="AC9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65" spans="1:29" ht="14.5" hidden="1">
      <c r="A965" s="220" t="str">
        <f t="shared" ref="A965:A1028" si="40">TEXT(ROW(A965)-ROW($A$4),"000")</f>
        <v>961</v>
      </c>
      <c r="B965" s="221"/>
      <c r="C965" s="221" t="s">
        <v>49</v>
      </c>
      <c r="D965" s="221" t="s">
        <v>3945</v>
      </c>
      <c r="E965" s="221" t="s">
        <v>3295</v>
      </c>
      <c r="F965" s="221" t="s">
        <v>3299</v>
      </c>
      <c r="G965" s="222">
        <v>45345</v>
      </c>
      <c r="H965" s="223">
        <v>0.3840277777777778</v>
      </c>
      <c r="I965" s="221" t="s">
        <v>4916</v>
      </c>
      <c r="J965" s="221" t="s">
        <v>3023</v>
      </c>
      <c r="K965" s="224" t="s">
        <v>13</v>
      </c>
      <c r="L965" s="225" t="str">
        <f>VLOOKUP(Logfile_S12[[#This Row],[Material Name]],Sheet2!B:C,2,0)</f>
        <v>ZTE2008</v>
      </c>
      <c r="M965" s="225" t="str">
        <f>_xlfn.XLOOKUP(Logfile_S12[[#This Row],[Material Name]],Sum_WH!E:E,Sum_WH!F:F,"",0)</f>
        <v>Pcs</v>
      </c>
      <c r="N965" s="221">
        <v>18</v>
      </c>
      <c r="O965" s="221" t="s">
        <v>838</v>
      </c>
      <c r="P965" s="221" t="s">
        <v>3361</v>
      </c>
      <c r="Q965" s="221"/>
      <c r="R965" s="221"/>
      <c r="S965" s="221"/>
      <c r="T965" s="221" t="s">
        <v>3231</v>
      </c>
      <c r="U965" s="221" t="s">
        <v>3228</v>
      </c>
      <c r="V965" s="221" t="s">
        <v>3232</v>
      </c>
      <c r="W965" s="221" t="s">
        <v>3246</v>
      </c>
      <c r="X965" s="221"/>
      <c r="Y965" s="227"/>
      <c r="Z965" s="227" t="str">
        <f t="shared" si="39"/>
        <v>TAMANHARJO RW 04 SINGOSARI</v>
      </c>
      <c r="AA965" s="276" t="e">
        <f>VLOOKUP(Logfile_S12[[#This Row],[DO number]],DO_DB!G:I,3,0)</f>
        <v>#N/A</v>
      </c>
      <c r="AB965" s="331" t="e">
        <f>EXACT(Logfile_S12[[#This Row],[date pick]],Logfile_S12[[#This Row],[Date]])</f>
        <v>#N/A</v>
      </c>
      <c r="AC9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66" spans="1:29" ht="14.5" hidden="1">
      <c r="A966" s="220" t="str">
        <f t="shared" si="40"/>
        <v>962</v>
      </c>
      <c r="B966" s="221"/>
      <c r="C966" s="221" t="s">
        <v>3313</v>
      </c>
      <c r="D966" s="221" t="s">
        <v>3976</v>
      </c>
      <c r="E966" s="221" t="s">
        <v>3295</v>
      </c>
      <c r="F966" s="221" t="s">
        <v>3299</v>
      </c>
      <c r="G966" s="222">
        <v>45358</v>
      </c>
      <c r="H966" s="223">
        <v>15.291666666666666</v>
      </c>
      <c r="I966" s="221" t="s">
        <v>4918</v>
      </c>
      <c r="J966" s="221" t="s">
        <v>3023</v>
      </c>
      <c r="K966" s="224" t="s">
        <v>13</v>
      </c>
      <c r="L966" s="225" t="str">
        <f>VLOOKUP(Logfile_S12[[#This Row],[Material Name]],Sheet2!B:C,2,0)</f>
        <v>ZTE2008</v>
      </c>
      <c r="M966" s="225" t="str">
        <f>_xlfn.XLOOKUP(Logfile_S12[[#This Row],[Material Name]],Sum_WH!E:E,Sum_WH!F:F,"",0)</f>
        <v>Pcs</v>
      </c>
      <c r="N966" s="221">
        <v>90</v>
      </c>
      <c r="O966" s="221" t="s">
        <v>3314</v>
      </c>
      <c r="P966" s="221" t="s">
        <v>3384</v>
      </c>
      <c r="Q966" s="221">
        <v>0</v>
      </c>
      <c r="R966" s="221" t="s">
        <v>3147</v>
      </c>
      <c r="S966" s="221"/>
      <c r="T966" s="221"/>
      <c r="U966" s="221"/>
      <c r="V966" s="221"/>
      <c r="W966" s="221"/>
      <c r="X966" s="221" t="s">
        <v>3535</v>
      </c>
      <c r="Y966" s="227"/>
      <c r="Z966" s="227" t="str">
        <f t="shared" si="39"/>
        <v>GRESIK</v>
      </c>
      <c r="AA966" s="276" t="e">
        <f>VLOOKUP(Logfile_S12[[#This Row],[DO number]],DO_DB!G:I,3,0)</f>
        <v>#N/A</v>
      </c>
      <c r="AB966" s="331" t="e">
        <f>EXACT(Logfile_S12[[#This Row],[date pick]],Logfile_S12[[#This Row],[Date]])</f>
        <v>#N/A</v>
      </c>
      <c r="AC9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67" spans="1:29" ht="14.5" hidden="1">
      <c r="A967" s="220" t="str">
        <f t="shared" si="40"/>
        <v>963</v>
      </c>
      <c r="B967" s="221"/>
      <c r="C967" s="221" t="s">
        <v>48</v>
      </c>
      <c r="D967" s="221" t="s">
        <v>3980</v>
      </c>
      <c r="E967" s="221" t="s">
        <v>3295</v>
      </c>
      <c r="F967" s="221" t="s">
        <v>3299</v>
      </c>
      <c r="G967" s="222">
        <v>45370</v>
      </c>
      <c r="H967" s="223">
        <v>15.291666666666666</v>
      </c>
      <c r="I967" s="221" t="s">
        <v>37</v>
      </c>
      <c r="J967" s="221" t="s">
        <v>3023</v>
      </c>
      <c r="K967" s="224" t="s">
        <v>13</v>
      </c>
      <c r="L967" s="225" t="str">
        <f>VLOOKUP(Logfile_S12[[#This Row],[Material Name]],Sheet2!B:C,2,0)</f>
        <v>ZTE2008</v>
      </c>
      <c r="M967" s="225" t="str">
        <f>_xlfn.XLOOKUP(Logfile_S12[[#This Row],[Material Name]],Sum_WH!E:E,Sum_WH!F:F,"",0)</f>
        <v>Pcs</v>
      </c>
      <c r="N967" s="221">
        <v>28</v>
      </c>
      <c r="O967" s="221"/>
      <c r="P967" s="221"/>
      <c r="Q967" s="221">
        <v>0</v>
      </c>
      <c r="R967" s="221">
        <v>0</v>
      </c>
      <c r="S967" s="221"/>
      <c r="T967" s="221"/>
      <c r="U967" s="221"/>
      <c r="V967" s="221"/>
      <c r="W967" s="221"/>
      <c r="X967" s="221"/>
      <c r="Y967" s="227"/>
      <c r="Z967" s="227">
        <f t="shared" si="39"/>
        <v>0</v>
      </c>
      <c r="AA967" s="276" t="e">
        <f>VLOOKUP(Logfile_S12[[#This Row],[DO number]],DO_DB!G:I,3,0)</f>
        <v>#N/A</v>
      </c>
      <c r="AB967" s="331" t="e">
        <f>EXACT(Logfile_S12[[#This Row],[date pick]],Logfile_S12[[#This Row],[Date]])</f>
        <v>#N/A</v>
      </c>
      <c r="AC9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68" spans="1:29" ht="14.5" hidden="1">
      <c r="A968" s="220" t="str">
        <f t="shared" si="40"/>
        <v>964</v>
      </c>
      <c r="B968" s="221"/>
      <c r="C968" s="221" t="s">
        <v>49</v>
      </c>
      <c r="D968" s="221" t="s">
        <v>3989</v>
      </c>
      <c r="E968" s="221" t="s">
        <v>3295</v>
      </c>
      <c r="F968" s="221" t="s">
        <v>3299</v>
      </c>
      <c r="G968" s="222">
        <v>45376</v>
      </c>
      <c r="H968" s="223">
        <v>0.43611111111111112</v>
      </c>
      <c r="I968" s="221" t="s">
        <v>4916</v>
      </c>
      <c r="J968" s="221" t="s">
        <v>3023</v>
      </c>
      <c r="K968" s="224" t="s">
        <v>13</v>
      </c>
      <c r="L968" s="225" t="str">
        <f>VLOOKUP(Logfile_S12[[#This Row],[Material Name]],Sheet2!B:C,2,0)</f>
        <v>ZTE2008</v>
      </c>
      <c r="M968" s="225" t="str">
        <f>_xlfn.XLOOKUP(Logfile_S12[[#This Row],[Material Name]],Sum_WH!E:E,Sum_WH!F:F,"",0)</f>
        <v>Pcs</v>
      </c>
      <c r="N968" s="221">
        <v>12</v>
      </c>
      <c r="O968" s="221" t="s">
        <v>1103</v>
      </c>
      <c r="P968" s="221" t="s">
        <v>1104</v>
      </c>
      <c r="Q968" s="221"/>
      <c r="R968" s="221"/>
      <c r="S968" s="221"/>
      <c r="T968" s="221" t="s">
        <v>3231</v>
      </c>
      <c r="U968" s="221">
        <v>0</v>
      </c>
      <c r="V968" s="221" t="s">
        <v>3232</v>
      </c>
      <c r="W968" s="221" t="s">
        <v>3246</v>
      </c>
      <c r="X968" s="221"/>
      <c r="Y968" s="227"/>
      <c r="Z968" s="227" t="str">
        <f t="shared" si="39"/>
        <v>Dalisodo RW 04 Wagir</v>
      </c>
      <c r="AA968" s="276" t="e">
        <f>VLOOKUP(Logfile_S12[[#This Row],[DO number]],DO_DB!G:I,3,0)</f>
        <v>#N/A</v>
      </c>
      <c r="AB968" s="331" t="e">
        <f>EXACT(Logfile_S12[[#This Row],[date pick]],Logfile_S12[[#This Row],[Date]])</f>
        <v>#N/A</v>
      </c>
      <c r="AC9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69" spans="1:29" ht="14.5" hidden="1">
      <c r="A969" s="220" t="str">
        <f t="shared" si="40"/>
        <v>965</v>
      </c>
      <c r="B969" s="221"/>
      <c r="C969" s="221" t="s">
        <v>49</v>
      </c>
      <c r="D969" s="221" t="s">
        <v>3989</v>
      </c>
      <c r="E969" s="221" t="s">
        <v>3295</v>
      </c>
      <c r="F969" s="221" t="s">
        <v>3299</v>
      </c>
      <c r="G969" s="222">
        <v>45376</v>
      </c>
      <c r="H969" s="223">
        <v>0.43611111111111112</v>
      </c>
      <c r="I969" s="221" t="s">
        <v>4916</v>
      </c>
      <c r="J969" s="221" t="s">
        <v>3023</v>
      </c>
      <c r="K969" s="224" t="s">
        <v>13</v>
      </c>
      <c r="L969" s="225" t="str">
        <f>VLOOKUP(Logfile_S12[[#This Row],[Material Name]],Sheet2!B:C,2,0)</f>
        <v>ZTE2008</v>
      </c>
      <c r="M969" s="225" t="str">
        <f>_xlfn.XLOOKUP(Logfile_S12[[#This Row],[Material Name]],Sum_WH!E:E,Sum_WH!F:F,"",0)</f>
        <v>Pcs</v>
      </c>
      <c r="N969" s="221">
        <v>17</v>
      </c>
      <c r="O969" s="221" t="s">
        <v>1161</v>
      </c>
      <c r="P969" s="221" t="s">
        <v>1162</v>
      </c>
      <c r="Q969" s="221"/>
      <c r="R969" s="221"/>
      <c r="S969" s="221"/>
      <c r="T969" s="221" t="s">
        <v>3231</v>
      </c>
      <c r="U969" s="221">
        <v>0</v>
      </c>
      <c r="V969" s="221" t="s">
        <v>3232</v>
      </c>
      <c r="W969" s="221" t="s">
        <v>3246</v>
      </c>
      <c r="X969" s="221"/>
      <c r="Y969" s="227"/>
      <c r="Z969" s="227" t="str">
        <f t="shared" si="39"/>
        <v>Tunjungtirto RW 01 Singosari</v>
      </c>
      <c r="AA969" s="276" t="e">
        <f>VLOOKUP(Logfile_S12[[#This Row],[DO number]],DO_DB!G:I,3,0)</f>
        <v>#N/A</v>
      </c>
      <c r="AB969" s="331" t="e">
        <f>EXACT(Logfile_S12[[#This Row],[date pick]],Logfile_S12[[#This Row],[Date]])</f>
        <v>#N/A</v>
      </c>
      <c r="AC9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70" spans="1:29" ht="14.5" hidden="1">
      <c r="A970" s="220" t="str">
        <f t="shared" si="40"/>
        <v>966</v>
      </c>
      <c r="B970" s="221"/>
      <c r="C970" s="221" t="s">
        <v>49</v>
      </c>
      <c r="D970" s="221" t="s">
        <v>4006</v>
      </c>
      <c r="E970" s="221" t="s">
        <v>3295</v>
      </c>
      <c r="F970" s="221" t="s">
        <v>3299</v>
      </c>
      <c r="G970" s="222">
        <v>45387</v>
      </c>
      <c r="H970" s="223">
        <v>0.43611111111111112</v>
      </c>
      <c r="I970" s="221" t="s">
        <v>4916</v>
      </c>
      <c r="J970" s="221" t="s">
        <v>3023</v>
      </c>
      <c r="K970" s="224" t="s">
        <v>13</v>
      </c>
      <c r="L970" s="225" t="str">
        <f>VLOOKUP(Logfile_S12[[#This Row],[Material Name]],Sheet2!B:C,2,0)</f>
        <v>ZTE2008</v>
      </c>
      <c r="M970" s="225" t="str">
        <f>_xlfn.XLOOKUP(Logfile_S12[[#This Row],[Material Name]],Sum_WH!E:E,Sum_WH!F:F,"",0)</f>
        <v>Pcs</v>
      </c>
      <c r="N970" s="221">
        <v>38</v>
      </c>
      <c r="O970" s="221" t="s">
        <v>1099</v>
      </c>
      <c r="P970" s="221" t="s">
        <v>1100</v>
      </c>
      <c r="Q970" s="221"/>
      <c r="R970" s="221"/>
      <c r="S970" s="221"/>
      <c r="T970" s="221" t="s">
        <v>3231</v>
      </c>
      <c r="U970" s="221">
        <v>0</v>
      </c>
      <c r="V970" s="221" t="s">
        <v>3232</v>
      </c>
      <c r="W970" s="221" t="s">
        <v>3246</v>
      </c>
      <c r="X970" s="221"/>
      <c r="Y970" s="227"/>
      <c r="Z970" s="227" t="str">
        <f t="shared" si="39"/>
        <v>Dalisodo RW 03 Wagir</v>
      </c>
      <c r="AA970" s="276" t="e">
        <f>VLOOKUP(Logfile_S12[[#This Row],[DO number]],DO_DB!G:I,3,0)</f>
        <v>#N/A</v>
      </c>
      <c r="AB970" s="331" t="e">
        <f>EXACT(Logfile_S12[[#This Row],[date pick]],Logfile_S12[[#This Row],[Date]])</f>
        <v>#N/A</v>
      </c>
      <c r="AC9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71" spans="1:29" ht="14.5" hidden="1">
      <c r="A971" s="220" t="str">
        <f t="shared" si="40"/>
        <v>967</v>
      </c>
      <c r="B971" s="221"/>
      <c r="C971" s="221" t="s">
        <v>49</v>
      </c>
      <c r="D971" s="221" t="s">
        <v>4013</v>
      </c>
      <c r="E971" s="221" t="s">
        <v>3295</v>
      </c>
      <c r="F971" s="221" t="s">
        <v>3299</v>
      </c>
      <c r="G971" s="222">
        <v>45401</v>
      </c>
      <c r="H971" s="223">
        <v>0.72291666666666676</v>
      </c>
      <c r="I971" s="221" t="s">
        <v>4916</v>
      </c>
      <c r="J971" s="221" t="s">
        <v>3023</v>
      </c>
      <c r="K971" s="224" t="s">
        <v>13</v>
      </c>
      <c r="L971" s="225" t="str">
        <f>VLOOKUP(Logfile_S12[[#This Row],[Material Name]],Sheet2!B:C,2,0)</f>
        <v>ZTE2008</v>
      </c>
      <c r="M971" s="225" t="str">
        <f>_xlfn.XLOOKUP(Logfile_S12[[#This Row],[Material Name]],Sum_WH!E:E,Sum_WH!F:F,"",0)</f>
        <v>Pcs</v>
      </c>
      <c r="N971" s="221">
        <v>5</v>
      </c>
      <c r="O971" s="221" t="s">
        <v>1287</v>
      </c>
      <c r="P971" s="221" t="s">
        <v>3394</v>
      </c>
      <c r="Q971" s="221"/>
      <c r="R971" s="221"/>
      <c r="S971" s="221"/>
      <c r="T971" s="221" t="s">
        <v>3231</v>
      </c>
      <c r="U971" s="221">
        <v>0</v>
      </c>
      <c r="V971" s="221" t="s">
        <v>3232</v>
      </c>
      <c r="W971" s="221" t="s">
        <v>3246</v>
      </c>
      <c r="X971" s="221"/>
      <c r="Y971" s="227"/>
      <c r="Z971" s="227" t="str">
        <f t="shared" si="39"/>
        <v>Tunjungtirto RW 06 Singosari</v>
      </c>
      <c r="AA971" s="276" t="e">
        <f>VLOOKUP(Logfile_S12[[#This Row],[DO number]],DO_DB!G:I,3,0)</f>
        <v>#N/A</v>
      </c>
      <c r="AB971" s="331" t="e">
        <f>EXACT(Logfile_S12[[#This Row],[date pick]],Logfile_S12[[#This Row],[Date]])</f>
        <v>#N/A</v>
      </c>
      <c r="AC9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72" spans="1:29" ht="14.5" hidden="1">
      <c r="A972" s="220" t="str">
        <f t="shared" si="40"/>
        <v>968</v>
      </c>
      <c r="B972" s="221"/>
      <c r="C972" s="221" t="s">
        <v>48</v>
      </c>
      <c r="D972" s="221" t="s">
        <v>4020</v>
      </c>
      <c r="E972" s="221" t="s">
        <v>3295</v>
      </c>
      <c r="F972" s="221" t="s">
        <v>3299</v>
      </c>
      <c r="G972" s="222">
        <v>45404</v>
      </c>
      <c r="H972" s="223">
        <v>15.291666666666666</v>
      </c>
      <c r="I972" s="221" t="s">
        <v>37</v>
      </c>
      <c r="J972" s="221" t="s">
        <v>3023</v>
      </c>
      <c r="K972" s="224" t="s">
        <v>13</v>
      </c>
      <c r="L972" s="225" t="str">
        <f>VLOOKUP(Logfile_S12[[#This Row],[Material Name]],Sheet2!B:C,2,0)</f>
        <v>ZTE2008</v>
      </c>
      <c r="M972" s="225" t="str">
        <f>_xlfn.XLOOKUP(Logfile_S12[[#This Row],[Material Name]],Sum_WH!E:E,Sum_WH!F:F,"",0)</f>
        <v>Pcs</v>
      </c>
      <c r="N972" s="221">
        <v>28</v>
      </c>
      <c r="O972" s="221"/>
      <c r="P972" s="221"/>
      <c r="Q972" s="221">
        <v>0</v>
      </c>
      <c r="R972" s="221">
        <v>0</v>
      </c>
      <c r="S972" s="221"/>
      <c r="T972" s="221"/>
      <c r="U972" s="221"/>
      <c r="V972" s="221"/>
      <c r="W972" s="221"/>
      <c r="X972" s="221"/>
      <c r="Y972" s="227"/>
      <c r="Z972" s="227">
        <f t="shared" ref="Z972:Z1035" si="41">P972</f>
        <v>0</v>
      </c>
      <c r="AA972" s="276" t="e">
        <f>VLOOKUP(Logfile_S12[[#This Row],[DO number]],DO_DB!G:I,3,0)</f>
        <v>#N/A</v>
      </c>
      <c r="AB972" s="331" t="e">
        <f>EXACT(Logfile_S12[[#This Row],[date pick]],Logfile_S12[[#This Row],[Date]])</f>
        <v>#N/A</v>
      </c>
      <c r="AC9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73" spans="1:29" ht="14.5" hidden="1">
      <c r="A973" s="220" t="str">
        <f t="shared" si="40"/>
        <v>969</v>
      </c>
      <c r="B973" s="221"/>
      <c r="C973" s="221" t="s">
        <v>49</v>
      </c>
      <c r="D973" s="221" t="s">
        <v>4028</v>
      </c>
      <c r="E973" s="221" t="s">
        <v>3295</v>
      </c>
      <c r="F973" s="221" t="s">
        <v>3299</v>
      </c>
      <c r="G973" s="222">
        <v>45407</v>
      </c>
      <c r="H973" s="223">
        <v>0.72291666666666676</v>
      </c>
      <c r="I973" s="221" t="s">
        <v>4916</v>
      </c>
      <c r="J973" s="221" t="s">
        <v>3023</v>
      </c>
      <c r="K973" s="224" t="s">
        <v>13</v>
      </c>
      <c r="L973" s="225" t="str">
        <f>VLOOKUP(Logfile_S12[[#This Row],[Material Name]],Sheet2!B:C,2,0)</f>
        <v>ZTE2008</v>
      </c>
      <c r="M973" s="225" t="str">
        <f>_xlfn.XLOOKUP(Logfile_S12[[#This Row],[Material Name]],Sum_WH!E:E,Sum_WH!F:F,"",0)</f>
        <v>Pcs</v>
      </c>
      <c r="N973" s="221">
        <v>15</v>
      </c>
      <c r="O973" s="221" t="s">
        <v>1081</v>
      </c>
      <c r="P973" s="221" t="s">
        <v>3370</v>
      </c>
      <c r="Q973" s="221"/>
      <c r="R973" s="221"/>
      <c r="S973" s="221"/>
      <c r="T973" s="221" t="s">
        <v>3231</v>
      </c>
      <c r="U973" s="221">
        <v>0</v>
      </c>
      <c r="V973" s="221" t="s">
        <v>3232</v>
      </c>
      <c r="W973" s="221" t="s">
        <v>3246</v>
      </c>
      <c r="X973" s="221"/>
      <c r="Y973" s="227"/>
      <c r="Z973" s="227" t="str">
        <f t="shared" si="41"/>
        <v>Pandan Landung RW 05 Wagir</v>
      </c>
      <c r="AA973" s="276" t="e">
        <f>VLOOKUP(Logfile_S12[[#This Row],[DO number]],DO_DB!G:I,3,0)</f>
        <v>#N/A</v>
      </c>
      <c r="AB973" s="331" t="e">
        <f>EXACT(Logfile_S12[[#This Row],[date pick]],Logfile_S12[[#This Row],[Date]])</f>
        <v>#N/A</v>
      </c>
      <c r="AC9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74" spans="1:29" ht="14.5" hidden="1">
      <c r="A974" s="220" t="str">
        <f t="shared" si="40"/>
        <v>970</v>
      </c>
      <c r="B974" s="221"/>
      <c r="C974" s="221" t="s">
        <v>49</v>
      </c>
      <c r="D974" s="221" t="s">
        <v>4028</v>
      </c>
      <c r="E974" s="221" t="s">
        <v>3295</v>
      </c>
      <c r="F974" s="221" t="s">
        <v>3299</v>
      </c>
      <c r="G974" s="222">
        <v>45407</v>
      </c>
      <c r="H974" s="223">
        <v>0.72291666666666676</v>
      </c>
      <c r="I974" s="221" t="s">
        <v>4916</v>
      </c>
      <c r="J974" s="221" t="s">
        <v>3023</v>
      </c>
      <c r="K974" s="224" t="s">
        <v>13</v>
      </c>
      <c r="L974" s="225" t="str">
        <f>VLOOKUP(Logfile_S12[[#This Row],[Material Name]],Sheet2!B:C,2,0)</f>
        <v>ZTE2008</v>
      </c>
      <c r="M974" s="225" t="str">
        <f>_xlfn.XLOOKUP(Logfile_S12[[#This Row],[Material Name]],Sum_WH!E:E,Sum_WH!F:F,"",0)</f>
        <v>Pcs</v>
      </c>
      <c r="N974" s="221">
        <v>28</v>
      </c>
      <c r="O974" s="221" t="s">
        <v>1081</v>
      </c>
      <c r="P974" s="221" t="s">
        <v>3370</v>
      </c>
      <c r="Q974" s="221"/>
      <c r="R974" s="221"/>
      <c r="S974" s="221"/>
      <c r="T974" s="221" t="s">
        <v>3231</v>
      </c>
      <c r="U974" s="221">
        <v>0</v>
      </c>
      <c r="V974" s="221" t="s">
        <v>3232</v>
      </c>
      <c r="W974" s="221" t="s">
        <v>3246</v>
      </c>
      <c r="X974" s="221"/>
      <c r="Y974" s="227"/>
      <c r="Z974" s="227" t="str">
        <f t="shared" si="41"/>
        <v>Pandan Landung RW 05 Wagir</v>
      </c>
      <c r="AA974" s="276" t="e">
        <f>VLOOKUP(Logfile_S12[[#This Row],[DO number]],DO_DB!G:I,3,0)</f>
        <v>#N/A</v>
      </c>
      <c r="AB974" s="331" t="e">
        <f>EXACT(Logfile_S12[[#This Row],[date pick]],Logfile_S12[[#This Row],[Date]])</f>
        <v>#N/A</v>
      </c>
      <c r="AC9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75" spans="1:29" ht="14.5" hidden="1">
      <c r="A975" s="220" t="str">
        <f t="shared" si="40"/>
        <v>971</v>
      </c>
      <c r="B975" s="221"/>
      <c r="C975" s="221" t="s">
        <v>49</v>
      </c>
      <c r="D975" s="221" t="s">
        <v>4036</v>
      </c>
      <c r="E975" s="221" t="s">
        <v>3295</v>
      </c>
      <c r="F975" s="221" t="s">
        <v>3299</v>
      </c>
      <c r="G975" s="222">
        <v>45416</v>
      </c>
      <c r="H975" s="223">
        <v>0.72291666666666676</v>
      </c>
      <c r="I975" s="221" t="s">
        <v>4916</v>
      </c>
      <c r="J975" s="221" t="s">
        <v>3023</v>
      </c>
      <c r="K975" s="224" t="s">
        <v>13</v>
      </c>
      <c r="L975" s="225" t="str">
        <f>VLOOKUP(Logfile_S12[[#This Row],[Material Name]],Sheet2!B:C,2,0)</f>
        <v>ZTE2008</v>
      </c>
      <c r="M975" s="225" t="str">
        <f>_xlfn.XLOOKUP(Logfile_S12[[#This Row],[Material Name]],Sum_WH!E:E,Sum_WH!F:F,"",0)</f>
        <v>Pcs</v>
      </c>
      <c r="N975" s="221">
        <v>3</v>
      </c>
      <c r="O975" s="221" t="s">
        <v>1081</v>
      </c>
      <c r="P975" s="221" t="s">
        <v>3370</v>
      </c>
      <c r="Q975" s="221"/>
      <c r="R975" s="221"/>
      <c r="S975" s="221"/>
      <c r="T975" s="221" t="s">
        <v>3231</v>
      </c>
      <c r="U975" s="221">
        <v>0</v>
      </c>
      <c r="V975" s="221" t="s">
        <v>3232</v>
      </c>
      <c r="W975" s="221" t="s">
        <v>3246</v>
      </c>
      <c r="X975" s="221"/>
      <c r="Y975" s="227"/>
      <c r="Z975" s="227" t="str">
        <f t="shared" si="41"/>
        <v>Pandan Landung RW 05 Wagir</v>
      </c>
      <c r="AA975" s="276" t="e">
        <f>VLOOKUP(Logfile_S12[[#This Row],[DO number]],DO_DB!G:I,3,0)</f>
        <v>#N/A</v>
      </c>
      <c r="AB975" s="331" t="e">
        <f>EXACT(Logfile_S12[[#This Row],[date pick]],Logfile_S12[[#This Row],[Date]])</f>
        <v>#N/A</v>
      </c>
      <c r="AC9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76" spans="1:29" ht="14.5" hidden="1">
      <c r="A976" s="220" t="str">
        <f t="shared" si="40"/>
        <v>972</v>
      </c>
      <c r="B976" s="221"/>
      <c r="C976" s="221" t="s">
        <v>3388</v>
      </c>
      <c r="D976" s="221" t="s">
        <v>4047</v>
      </c>
      <c r="E976" s="221" t="s">
        <v>3295</v>
      </c>
      <c r="F976" s="221" t="s">
        <v>3299</v>
      </c>
      <c r="G976" s="222">
        <v>45431</v>
      </c>
      <c r="H976" s="223">
        <v>0.72291666666666676</v>
      </c>
      <c r="I976" s="221" t="s">
        <v>4918</v>
      </c>
      <c r="J976" s="221" t="s">
        <v>3023</v>
      </c>
      <c r="K976" s="224" t="s">
        <v>13</v>
      </c>
      <c r="L976" s="225" t="str">
        <f>VLOOKUP(Logfile_S12[[#This Row],[Material Name]],Sheet2!B:C,2,0)</f>
        <v>ZTE2008</v>
      </c>
      <c r="M976" s="225" t="str">
        <f>_xlfn.XLOOKUP(Logfile_S12[[#This Row],[Material Name]],Sum_WH!E:E,Sum_WH!F:F,"",0)</f>
        <v>Pcs</v>
      </c>
      <c r="N976" s="221">
        <v>12</v>
      </c>
      <c r="O976" s="221">
        <v>0</v>
      </c>
      <c r="P976" s="221" t="s">
        <v>3223</v>
      </c>
      <c r="Q976" s="221"/>
      <c r="R976" s="221"/>
      <c r="S976" s="221"/>
      <c r="T976" s="221" t="s">
        <v>3241</v>
      </c>
      <c r="U976" s="221">
        <v>0</v>
      </c>
      <c r="V976" s="221" t="s">
        <v>3368</v>
      </c>
      <c r="W976" s="221" t="s">
        <v>3242</v>
      </c>
      <c r="X976" s="221" t="s">
        <v>3536</v>
      </c>
      <c r="Y976" s="227"/>
      <c r="Z976" s="227" t="str">
        <f t="shared" si="41"/>
        <v>Transfer Gudang</v>
      </c>
      <c r="AA976" s="276" t="e">
        <f>VLOOKUP(Logfile_S12[[#This Row],[DO number]],DO_DB!G:I,3,0)</f>
        <v>#N/A</v>
      </c>
      <c r="AB976" s="331" t="e">
        <f>EXACT(Logfile_S12[[#This Row],[date pick]],Logfile_S12[[#This Row],[Date]])</f>
        <v>#N/A</v>
      </c>
      <c r="AC9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977" spans="1:29" ht="14.5" hidden="1">
      <c r="A977" s="220" t="str">
        <f t="shared" si="40"/>
        <v>973</v>
      </c>
      <c r="B977" s="221"/>
      <c r="C977" s="221" t="s">
        <v>3388</v>
      </c>
      <c r="D977" s="221" t="s">
        <v>4050</v>
      </c>
      <c r="E977" s="221" t="s">
        <v>3295</v>
      </c>
      <c r="F977" s="221" t="s">
        <v>3299</v>
      </c>
      <c r="G977" s="222">
        <v>45432</v>
      </c>
      <c r="H977" s="223">
        <v>0.72291666666666676</v>
      </c>
      <c r="I977" s="221" t="s">
        <v>4921</v>
      </c>
      <c r="J977" s="221" t="s">
        <v>3023</v>
      </c>
      <c r="K977" s="224" t="s">
        <v>13</v>
      </c>
      <c r="L977" s="225" t="str">
        <f>VLOOKUP(Logfile_S12[[#This Row],[Material Name]],Sheet2!B:C,2,0)</f>
        <v>ZTE2008</v>
      </c>
      <c r="M977" s="225" t="str">
        <f>_xlfn.XLOOKUP(Logfile_S12[[#This Row],[Material Name]],Sum_WH!E:E,Sum_WH!F:F,"",0)</f>
        <v>Pcs</v>
      </c>
      <c r="N977" s="221">
        <v>6</v>
      </c>
      <c r="O977" s="221">
        <v>0</v>
      </c>
      <c r="P977" s="221" t="s">
        <v>3223</v>
      </c>
      <c r="Q977" s="221"/>
      <c r="R977" s="221"/>
      <c r="S977" s="221"/>
      <c r="T977" s="221" t="s">
        <v>3241</v>
      </c>
      <c r="U977" s="221">
        <v>0</v>
      </c>
      <c r="V977" s="221" t="s">
        <v>3368</v>
      </c>
      <c r="W977" s="221" t="s">
        <v>3242</v>
      </c>
      <c r="X977" s="221" t="s">
        <v>3537</v>
      </c>
      <c r="Y977" s="227"/>
      <c r="Z977" s="227" t="str">
        <f t="shared" si="41"/>
        <v>Transfer Gudang</v>
      </c>
      <c r="AA977" s="276" t="e">
        <f>VLOOKUP(Logfile_S12[[#This Row],[DO number]],DO_DB!G:I,3,0)</f>
        <v>#N/A</v>
      </c>
      <c r="AB977" s="331" t="e">
        <f>EXACT(Logfile_S12[[#This Row],[date pick]],Logfile_S12[[#This Row],[Date]])</f>
        <v>#N/A</v>
      </c>
      <c r="AC9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978" spans="1:29" ht="14.5" hidden="1">
      <c r="A978" s="220" t="str">
        <f t="shared" si="40"/>
        <v>974</v>
      </c>
      <c r="B978" s="221"/>
      <c r="C978" s="221" t="s">
        <v>48</v>
      </c>
      <c r="D978" s="221" t="s">
        <v>4054</v>
      </c>
      <c r="E978" s="221" t="s">
        <v>3295</v>
      </c>
      <c r="F978" s="221" t="s">
        <v>3299</v>
      </c>
      <c r="G978" s="222">
        <v>45433</v>
      </c>
      <c r="H978" s="223">
        <v>15.291666666666666</v>
      </c>
      <c r="I978" s="221" t="s">
        <v>37</v>
      </c>
      <c r="J978" s="221" t="s">
        <v>3023</v>
      </c>
      <c r="K978" s="224" t="s">
        <v>13</v>
      </c>
      <c r="L978" s="225" t="str">
        <f>VLOOKUP(Logfile_S12[[#This Row],[Material Name]],Sheet2!B:C,2,0)</f>
        <v>ZTE2008</v>
      </c>
      <c r="M978" s="225" t="str">
        <f>_xlfn.XLOOKUP(Logfile_S12[[#This Row],[Material Name]],Sum_WH!E:E,Sum_WH!F:F,"",0)</f>
        <v>Pcs</v>
      </c>
      <c r="N978" s="221">
        <v>47</v>
      </c>
      <c r="O978" s="221"/>
      <c r="P978" s="221"/>
      <c r="Q978" s="221">
        <v>0</v>
      </c>
      <c r="R978" s="221">
        <v>0</v>
      </c>
      <c r="S978" s="221"/>
      <c r="T978" s="221"/>
      <c r="U978" s="221"/>
      <c r="V978" s="221"/>
      <c r="W978" s="221"/>
      <c r="X978" s="221"/>
      <c r="Y978" s="227"/>
      <c r="Z978" s="227">
        <f t="shared" si="41"/>
        <v>0</v>
      </c>
      <c r="AA978" s="276" t="e">
        <f>VLOOKUP(Logfile_S12[[#This Row],[DO number]],DO_DB!G:I,3,0)</f>
        <v>#N/A</v>
      </c>
      <c r="AB978" s="331" t="e">
        <f>EXACT(Logfile_S12[[#This Row],[date pick]],Logfile_S12[[#This Row],[Date]])</f>
        <v>#N/A</v>
      </c>
      <c r="AC9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79" spans="1:29" ht="14.5" hidden="1">
      <c r="A979" s="220" t="str">
        <f t="shared" si="40"/>
        <v>975</v>
      </c>
      <c r="B979" s="221"/>
      <c r="C979" s="221" t="s">
        <v>49</v>
      </c>
      <c r="D979" s="221" t="s">
        <v>4058</v>
      </c>
      <c r="E979" s="221" t="s">
        <v>3295</v>
      </c>
      <c r="F979" s="221" t="s">
        <v>3299</v>
      </c>
      <c r="G979" s="222">
        <v>45435</v>
      </c>
      <c r="H979" s="223">
        <v>0.47361111111111115</v>
      </c>
      <c r="I979" s="221" t="s">
        <v>4916</v>
      </c>
      <c r="J979" s="221" t="s">
        <v>3023</v>
      </c>
      <c r="K979" s="224" t="s">
        <v>13</v>
      </c>
      <c r="L979" s="225" t="str">
        <f>VLOOKUP(Logfile_S12[[#This Row],[Material Name]],Sheet2!B:C,2,0)</f>
        <v>ZTE2008</v>
      </c>
      <c r="M979" s="225" t="str">
        <f>_xlfn.XLOOKUP(Logfile_S12[[#This Row],[Material Name]],Sum_WH!E:E,Sum_WH!F:F,"",0)</f>
        <v>Pcs</v>
      </c>
      <c r="N979" s="221">
        <v>10</v>
      </c>
      <c r="O979" s="221" t="s">
        <v>1405</v>
      </c>
      <c r="P979" s="221" t="s">
        <v>1406</v>
      </c>
      <c r="Q979" s="221"/>
      <c r="R979" s="221"/>
      <c r="S979" s="221"/>
      <c r="T979" s="221" t="s">
        <v>3231</v>
      </c>
      <c r="U979" s="221">
        <v>0</v>
      </c>
      <c r="V979" s="221" t="s">
        <v>3232</v>
      </c>
      <c r="W979" s="221" t="s">
        <v>3246</v>
      </c>
      <c r="X979" s="221"/>
      <c r="Y979" s="227"/>
      <c r="Z979" s="227" t="str">
        <f t="shared" si="41"/>
        <v>Lawang RW 06 Malang</v>
      </c>
      <c r="AA979" s="276" t="e">
        <f>VLOOKUP(Logfile_S12[[#This Row],[DO number]],DO_DB!G:I,3,0)</f>
        <v>#N/A</v>
      </c>
      <c r="AB979" s="331" t="e">
        <f>EXACT(Logfile_S12[[#This Row],[date pick]],Logfile_S12[[#This Row],[Date]])</f>
        <v>#N/A</v>
      </c>
      <c r="AC9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80" spans="1:29" ht="14.5" hidden="1">
      <c r="A980" s="220" t="str">
        <f t="shared" si="40"/>
        <v>976</v>
      </c>
      <c r="B980" s="221"/>
      <c r="C980" s="221" t="s">
        <v>49</v>
      </c>
      <c r="D980" s="221" t="s">
        <v>4061</v>
      </c>
      <c r="E980" s="221" t="s">
        <v>3295</v>
      </c>
      <c r="F980" s="221" t="s">
        <v>3299</v>
      </c>
      <c r="G980" s="222">
        <v>45437</v>
      </c>
      <c r="H980" s="223">
        <v>0.47361111111111115</v>
      </c>
      <c r="I980" s="221" t="s">
        <v>4916</v>
      </c>
      <c r="J980" s="221" t="s">
        <v>3023</v>
      </c>
      <c r="K980" s="224" t="s">
        <v>13</v>
      </c>
      <c r="L980" s="225" t="str">
        <f>VLOOKUP(Logfile_S12[[#This Row],[Material Name]],Sheet2!B:C,2,0)</f>
        <v>ZTE2008</v>
      </c>
      <c r="M980" s="225" t="str">
        <f>_xlfn.XLOOKUP(Logfile_S12[[#This Row],[Material Name]],Sum_WH!E:E,Sum_WH!F:F,"",0)</f>
        <v>Pcs</v>
      </c>
      <c r="N980" s="221">
        <v>14</v>
      </c>
      <c r="O980" s="221" t="s">
        <v>1469</v>
      </c>
      <c r="P980" s="221" t="s">
        <v>1470</v>
      </c>
      <c r="Q980" s="221"/>
      <c r="R980" s="221"/>
      <c r="S980" s="221"/>
      <c r="T980" s="221" t="s">
        <v>3231</v>
      </c>
      <c r="U980" s="221">
        <v>0</v>
      </c>
      <c r="V980" s="221" t="s">
        <v>3232</v>
      </c>
      <c r="W980" s="221" t="s">
        <v>3246</v>
      </c>
      <c r="X980" s="221"/>
      <c r="Y980" s="227"/>
      <c r="Z980" s="227" t="str">
        <f t="shared" si="41"/>
        <v>Dusun Klaseman Kucur</v>
      </c>
      <c r="AA980" s="276" t="e">
        <f>VLOOKUP(Logfile_S12[[#This Row],[DO number]],DO_DB!G:I,3,0)</f>
        <v>#N/A</v>
      </c>
      <c r="AB980" s="331" t="e">
        <f>EXACT(Logfile_S12[[#This Row],[date pick]],Logfile_S12[[#This Row],[Date]])</f>
        <v>#N/A</v>
      </c>
      <c r="AC9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81" spans="1:29" ht="14.5" hidden="1">
      <c r="A981" s="220" t="str">
        <f t="shared" si="40"/>
        <v>977</v>
      </c>
      <c r="B981" s="221"/>
      <c r="C981" s="221" t="s">
        <v>49</v>
      </c>
      <c r="D981" s="221" t="s">
        <v>4066</v>
      </c>
      <c r="E981" s="221" t="s">
        <v>3295</v>
      </c>
      <c r="F981" s="221" t="s">
        <v>3299</v>
      </c>
      <c r="G981" s="222">
        <v>45440</v>
      </c>
      <c r="H981" s="223">
        <v>0.53125</v>
      </c>
      <c r="I981" s="221" t="s">
        <v>4916</v>
      </c>
      <c r="J981" s="221" t="s">
        <v>3023</v>
      </c>
      <c r="K981" s="224" t="s">
        <v>13</v>
      </c>
      <c r="L981" s="225" t="str">
        <f>VLOOKUP(Logfile_S12[[#This Row],[Material Name]],Sheet2!B:C,2,0)</f>
        <v>ZTE2008</v>
      </c>
      <c r="M981" s="225" t="str">
        <f>_xlfn.XLOOKUP(Logfile_S12[[#This Row],[Material Name]],Sum_WH!E:E,Sum_WH!F:F,"",0)</f>
        <v>Pcs</v>
      </c>
      <c r="N981" s="221">
        <v>15</v>
      </c>
      <c r="O981" s="221" t="s">
        <v>1493</v>
      </c>
      <c r="P981" s="221" t="s">
        <v>1494</v>
      </c>
      <c r="Q981" s="221"/>
      <c r="R981" s="221"/>
      <c r="S981" s="221"/>
      <c r="T981" s="221" t="s">
        <v>3356</v>
      </c>
      <c r="U981" s="221" t="s">
        <v>3228</v>
      </c>
      <c r="V981" s="221" t="s">
        <v>3357</v>
      </c>
      <c r="W981" s="221" t="s">
        <v>3358</v>
      </c>
      <c r="X981" s="221"/>
      <c r="Y981" s="227"/>
      <c r="Z981" s="227" t="str">
        <f t="shared" si="41"/>
        <v>Dusun Krajan Kucur</v>
      </c>
      <c r="AA981" s="276" t="e">
        <f>VLOOKUP(Logfile_S12[[#This Row],[DO number]],DO_DB!G:I,3,0)</f>
        <v>#N/A</v>
      </c>
      <c r="AB981" s="331" t="e">
        <f>EXACT(Logfile_S12[[#This Row],[date pick]],Logfile_S12[[#This Row],[Date]])</f>
        <v>#N/A</v>
      </c>
      <c r="AC9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82" spans="1:29" ht="14.5" hidden="1">
      <c r="A982" s="220" t="str">
        <f t="shared" si="40"/>
        <v>978</v>
      </c>
      <c r="B982" s="221"/>
      <c r="C982" s="221" t="s">
        <v>49</v>
      </c>
      <c r="D982" s="221" t="s">
        <v>4068</v>
      </c>
      <c r="E982" s="221" t="s">
        <v>3295</v>
      </c>
      <c r="F982" s="221" t="s">
        <v>3299</v>
      </c>
      <c r="G982" s="222">
        <v>45442</v>
      </c>
      <c r="H982" s="223">
        <v>0.47916666666666669</v>
      </c>
      <c r="I982" s="221" t="s">
        <v>4916</v>
      </c>
      <c r="J982" s="221" t="s">
        <v>3023</v>
      </c>
      <c r="K982" s="224" t="s">
        <v>13</v>
      </c>
      <c r="L982" s="225" t="str">
        <f>VLOOKUP(Logfile_S12[[#This Row],[Material Name]],Sheet2!B:C,2,0)</f>
        <v>ZTE2008</v>
      </c>
      <c r="M982" s="225" t="str">
        <f>_xlfn.XLOOKUP(Logfile_S12[[#This Row],[Material Name]],Sum_WH!E:E,Sum_WH!F:F,"",0)</f>
        <v>Pcs</v>
      </c>
      <c r="N982" s="221">
        <v>5</v>
      </c>
      <c r="O982" s="221" t="s">
        <v>1485</v>
      </c>
      <c r="P982" s="221" t="s">
        <v>3538</v>
      </c>
      <c r="Q982" s="221"/>
      <c r="R982" s="221"/>
      <c r="S982" s="221"/>
      <c r="T982" s="221" t="s">
        <v>3258</v>
      </c>
      <c r="U982" s="221" t="s">
        <v>3228</v>
      </c>
      <c r="V982" s="221" t="s">
        <v>3337</v>
      </c>
      <c r="W982" s="221" t="s">
        <v>3338</v>
      </c>
      <c r="X982" s="221"/>
      <c r="Y982" s="227"/>
      <c r="Z982" s="227" t="str">
        <f t="shared" si="41"/>
        <v>Dusun Godehan RW 10 Kucur</v>
      </c>
      <c r="AA982" s="276" t="e">
        <f>VLOOKUP(Logfile_S12[[#This Row],[DO number]],DO_DB!G:I,3,0)</f>
        <v>#N/A</v>
      </c>
      <c r="AB982" s="331" t="e">
        <f>EXACT(Logfile_S12[[#This Row],[date pick]],Logfile_S12[[#This Row],[Date]])</f>
        <v>#N/A</v>
      </c>
      <c r="AC9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83" spans="1:29" ht="14.5" hidden="1">
      <c r="A983" s="220" t="str">
        <f t="shared" si="40"/>
        <v>979</v>
      </c>
      <c r="B983" s="221"/>
      <c r="C983" s="221" t="s">
        <v>49</v>
      </c>
      <c r="D983" s="221" t="s">
        <v>4068</v>
      </c>
      <c r="E983" s="221" t="s">
        <v>3295</v>
      </c>
      <c r="F983" s="221" t="s">
        <v>3299</v>
      </c>
      <c r="G983" s="222">
        <v>45442</v>
      </c>
      <c r="H983" s="223">
        <v>0.47916666666666669</v>
      </c>
      <c r="I983" s="221" t="s">
        <v>4916</v>
      </c>
      <c r="J983" s="221" t="s">
        <v>3023</v>
      </c>
      <c r="K983" s="224" t="s">
        <v>13</v>
      </c>
      <c r="L983" s="225" t="str">
        <f>VLOOKUP(Logfile_S12[[#This Row],[Material Name]],Sheet2!B:C,2,0)</f>
        <v>ZTE2008</v>
      </c>
      <c r="M983" s="225" t="str">
        <f>_xlfn.XLOOKUP(Logfile_S12[[#This Row],[Material Name]],Sum_WH!E:E,Sum_WH!F:F,"",0)</f>
        <v>Pcs</v>
      </c>
      <c r="N983" s="221">
        <v>5</v>
      </c>
      <c r="O983" s="221" t="s">
        <v>1477</v>
      </c>
      <c r="P983" s="221" t="s">
        <v>1478</v>
      </c>
      <c r="Q983" s="221"/>
      <c r="R983" s="221"/>
      <c r="S983" s="221"/>
      <c r="T983" s="221" t="s">
        <v>3258</v>
      </c>
      <c r="U983" s="221" t="s">
        <v>3228</v>
      </c>
      <c r="V983" s="221" t="s">
        <v>3337</v>
      </c>
      <c r="W983" s="221" t="s">
        <v>3338</v>
      </c>
      <c r="X983" s="221"/>
      <c r="Y983" s="227"/>
      <c r="Z983" s="227" t="str">
        <f t="shared" si="41"/>
        <v>Dusun Ketohan Kucur</v>
      </c>
      <c r="AA983" s="276" t="e">
        <f>VLOOKUP(Logfile_S12[[#This Row],[DO number]],DO_DB!G:I,3,0)</f>
        <v>#N/A</v>
      </c>
      <c r="AB983" s="331" t="e">
        <f>EXACT(Logfile_S12[[#This Row],[date pick]],Logfile_S12[[#This Row],[Date]])</f>
        <v>#N/A</v>
      </c>
      <c r="AC9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84" spans="1:29" ht="14.5" hidden="1">
      <c r="A984" s="220" t="str">
        <f t="shared" si="40"/>
        <v>980</v>
      </c>
      <c r="B984" s="221"/>
      <c r="C984" s="221" t="s">
        <v>3313</v>
      </c>
      <c r="D984" s="221" t="s">
        <v>4078</v>
      </c>
      <c r="E984" s="221" t="s">
        <v>3295</v>
      </c>
      <c r="F984" s="221" t="s">
        <v>3299</v>
      </c>
      <c r="G984" s="222">
        <v>45448</v>
      </c>
      <c r="H984" s="223">
        <v>15.291666666666666</v>
      </c>
      <c r="I984" s="221" t="s">
        <v>37</v>
      </c>
      <c r="J984" s="221" t="s">
        <v>3023</v>
      </c>
      <c r="K984" s="224" t="s">
        <v>13</v>
      </c>
      <c r="L984" s="225" t="str">
        <f>VLOOKUP(Logfile_S12[[#This Row],[Material Name]],Sheet2!B:C,2,0)</f>
        <v>ZTE2008</v>
      </c>
      <c r="M984" s="225" t="str">
        <f>_xlfn.XLOOKUP(Logfile_S12[[#This Row],[Material Name]],Sum_WH!E:E,Sum_WH!F:F,"",0)</f>
        <v>Pcs</v>
      </c>
      <c r="N984" s="221">
        <v>36</v>
      </c>
      <c r="O984" s="221" t="s">
        <v>1473</v>
      </c>
      <c r="P984" s="221" t="s">
        <v>1474</v>
      </c>
      <c r="Q984" s="221">
        <v>0</v>
      </c>
      <c r="R984" s="221" t="s">
        <v>3147</v>
      </c>
      <c r="S984" s="221"/>
      <c r="T984" s="221"/>
      <c r="U984" s="221"/>
      <c r="V984" s="221"/>
      <c r="W984" s="221"/>
      <c r="X984" s="221"/>
      <c r="Y984" s="227"/>
      <c r="Z984" s="227" t="str">
        <f t="shared" si="41"/>
        <v>Dusun Sumber Bendo Kucur</v>
      </c>
      <c r="AA984" s="276" t="e">
        <f>VLOOKUP(Logfile_S12[[#This Row],[DO number]],DO_DB!G:I,3,0)</f>
        <v>#N/A</v>
      </c>
      <c r="AB984" s="331" t="e">
        <f>EXACT(Logfile_S12[[#This Row],[date pick]],Logfile_S12[[#This Row],[Date]])</f>
        <v>#N/A</v>
      </c>
      <c r="AC9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85" spans="1:29" ht="14.5" hidden="1">
      <c r="A985" s="220" t="str">
        <f t="shared" si="40"/>
        <v>981</v>
      </c>
      <c r="B985" s="221"/>
      <c r="C985" s="221" t="s">
        <v>49</v>
      </c>
      <c r="D985" s="221" t="s">
        <v>4086</v>
      </c>
      <c r="E985" s="221" t="s">
        <v>3295</v>
      </c>
      <c r="F985" s="221" t="s">
        <v>3299</v>
      </c>
      <c r="G985" s="222">
        <v>45454</v>
      </c>
      <c r="H985" s="223">
        <v>0.58402777777777781</v>
      </c>
      <c r="I985" s="221" t="s">
        <v>4916</v>
      </c>
      <c r="J985" s="221" t="s">
        <v>3023</v>
      </c>
      <c r="K985" s="224" t="s">
        <v>13</v>
      </c>
      <c r="L985" s="225" t="str">
        <f>VLOOKUP(Logfile_S12[[#This Row],[Material Name]],Sheet2!B:C,2,0)</f>
        <v>ZTE2008</v>
      </c>
      <c r="M985" s="225" t="str">
        <f>_xlfn.XLOOKUP(Logfile_S12[[#This Row],[Material Name]],Sum_WH!E:E,Sum_WH!F:F,"",0)</f>
        <v>Pcs</v>
      </c>
      <c r="N985" s="221">
        <v>7</v>
      </c>
      <c r="O985" s="221" t="s">
        <v>1481</v>
      </c>
      <c r="P985" s="221" t="s">
        <v>3508</v>
      </c>
      <c r="Q985" s="221"/>
      <c r="R985" s="221"/>
      <c r="S985" s="221"/>
      <c r="T985" s="221" t="s">
        <v>3411</v>
      </c>
      <c r="U985" s="221">
        <v>0</v>
      </c>
      <c r="V985" s="221">
        <v>0</v>
      </c>
      <c r="W985" s="221" t="s">
        <v>3412</v>
      </c>
      <c r="X985" s="221"/>
      <c r="Y985" s="227"/>
      <c r="Z985" s="227" t="str">
        <f t="shared" si="41"/>
        <v>Dusun Turi Kucur</v>
      </c>
      <c r="AA985" s="276" t="e">
        <f>VLOOKUP(Logfile_S12[[#This Row],[DO number]],DO_DB!G:I,3,0)</f>
        <v>#N/A</v>
      </c>
      <c r="AB985" s="331" t="e">
        <f>EXACT(Logfile_S12[[#This Row],[date pick]],Logfile_S12[[#This Row],[Date]])</f>
        <v>#N/A</v>
      </c>
      <c r="AC9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86" spans="1:29" ht="14.5" hidden="1">
      <c r="A986" s="220" t="str">
        <f t="shared" si="40"/>
        <v>982</v>
      </c>
      <c r="B986" s="221"/>
      <c r="C986" s="221" t="s">
        <v>49</v>
      </c>
      <c r="D986" s="221" t="s">
        <v>4086</v>
      </c>
      <c r="E986" s="221" t="s">
        <v>3295</v>
      </c>
      <c r="F986" s="221" t="s">
        <v>3299</v>
      </c>
      <c r="G986" s="222">
        <v>45454</v>
      </c>
      <c r="H986" s="223">
        <v>0.58402777777777781</v>
      </c>
      <c r="I986" s="221" t="s">
        <v>4916</v>
      </c>
      <c r="J986" s="221" t="s">
        <v>3023</v>
      </c>
      <c r="K986" s="224" t="s">
        <v>13</v>
      </c>
      <c r="L986" s="225" t="str">
        <f>VLOOKUP(Logfile_S12[[#This Row],[Material Name]],Sheet2!B:C,2,0)</f>
        <v>ZTE2008</v>
      </c>
      <c r="M986" s="225" t="str">
        <f>_xlfn.XLOOKUP(Logfile_S12[[#This Row],[Material Name]],Sum_WH!E:E,Sum_WH!F:F,"",0)</f>
        <v>Pcs</v>
      </c>
      <c r="N986" s="221">
        <v>12</v>
      </c>
      <c r="O986" s="221" t="s">
        <v>1473</v>
      </c>
      <c r="P986" s="221" t="s">
        <v>1474</v>
      </c>
      <c r="Q986" s="221"/>
      <c r="R986" s="221"/>
      <c r="S986" s="221"/>
      <c r="T986" s="221" t="s">
        <v>3411</v>
      </c>
      <c r="U986" s="221">
        <v>0</v>
      </c>
      <c r="V986" s="221">
        <v>0</v>
      </c>
      <c r="W986" s="221" t="s">
        <v>3412</v>
      </c>
      <c r="X986" s="221"/>
      <c r="Y986" s="227"/>
      <c r="Z986" s="227" t="str">
        <f t="shared" si="41"/>
        <v>Dusun Sumber Bendo Kucur</v>
      </c>
      <c r="AA986" s="276" t="e">
        <f>VLOOKUP(Logfile_S12[[#This Row],[DO number]],DO_DB!G:I,3,0)</f>
        <v>#N/A</v>
      </c>
      <c r="AB986" s="331" t="e">
        <f>EXACT(Logfile_S12[[#This Row],[date pick]],Logfile_S12[[#This Row],[Date]])</f>
        <v>#N/A</v>
      </c>
      <c r="AC9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87" spans="1:29" ht="14.5" hidden="1">
      <c r="A987" s="220" t="str">
        <f t="shared" si="40"/>
        <v>983</v>
      </c>
      <c r="B987" s="221"/>
      <c r="C987" s="221" t="s">
        <v>49</v>
      </c>
      <c r="D987" s="221" t="s">
        <v>4086</v>
      </c>
      <c r="E987" s="221" t="s">
        <v>3295</v>
      </c>
      <c r="F987" s="221" t="s">
        <v>3299</v>
      </c>
      <c r="G987" s="222">
        <v>45454</v>
      </c>
      <c r="H987" s="223">
        <v>0.58402777777777781</v>
      </c>
      <c r="I987" s="221" t="s">
        <v>4916</v>
      </c>
      <c r="J987" s="221" t="s">
        <v>3023</v>
      </c>
      <c r="K987" s="224" t="s">
        <v>13</v>
      </c>
      <c r="L987" s="225" t="str">
        <f>VLOOKUP(Logfile_S12[[#This Row],[Material Name]],Sheet2!B:C,2,0)</f>
        <v>ZTE2008</v>
      </c>
      <c r="M987" s="225" t="str">
        <f>_xlfn.XLOOKUP(Logfile_S12[[#This Row],[Material Name]],Sum_WH!E:E,Sum_WH!F:F,"",0)</f>
        <v>Pcs</v>
      </c>
      <c r="N987" s="221">
        <v>17</v>
      </c>
      <c r="O987" s="221" t="s">
        <v>1465</v>
      </c>
      <c r="P987" s="221" t="s">
        <v>1466</v>
      </c>
      <c r="Q987" s="221"/>
      <c r="R987" s="221"/>
      <c r="S987" s="221"/>
      <c r="T987" s="221" t="s">
        <v>3411</v>
      </c>
      <c r="U987" s="221">
        <v>0</v>
      </c>
      <c r="V987" s="221">
        <v>0</v>
      </c>
      <c r="W987" s="221" t="s">
        <v>3412</v>
      </c>
      <c r="X987" s="221"/>
      <c r="Y987" s="227"/>
      <c r="Z987" s="227" t="str">
        <f t="shared" si="41"/>
        <v>Dusun Klampok Kucur</v>
      </c>
      <c r="AA987" s="276" t="e">
        <f>VLOOKUP(Logfile_S12[[#This Row],[DO number]],DO_DB!G:I,3,0)</f>
        <v>#N/A</v>
      </c>
      <c r="AB987" s="331" t="e">
        <f>EXACT(Logfile_S12[[#This Row],[date pick]],Logfile_S12[[#This Row],[Date]])</f>
        <v>#N/A</v>
      </c>
      <c r="AC9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88" spans="1:29" ht="14.5" hidden="1">
      <c r="A988" s="220" t="str">
        <f t="shared" si="40"/>
        <v>984</v>
      </c>
      <c r="B988" s="221"/>
      <c r="C988" s="221" t="s">
        <v>3313</v>
      </c>
      <c r="D988" s="221" t="s">
        <v>4095</v>
      </c>
      <c r="E988" s="221" t="s">
        <v>3295</v>
      </c>
      <c r="F988" s="221" t="s">
        <v>3299</v>
      </c>
      <c r="G988" s="222">
        <v>45463</v>
      </c>
      <c r="H988" s="223">
        <v>15.291666666666666</v>
      </c>
      <c r="I988" s="221" t="s">
        <v>37</v>
      </c>
      <c r="J988" s="221" t="s">
        <v>3023</v>
      </c>
      <c r="K988" s="224" t="s">
        <v>13</v>
      </c>
      <c r="L988" s="225" t="str">
        <f>VLOOKUP(Logfile_S12[[#This Row],[Material Name]],Sheet2!B:C,2,0)</f>
        <v>ZTE2008</v>
      </c>
      <c r="M988" s="225" t="str">
        <f>_xlfn.XLOOKUP(Logfile_S12[[#This Row],[Material Name]],Sum_WH!E:E,Sum_WH!F:F,"",0)</f>
        <v>Pcs</v>
      </c>
      <c r="N988" s="221">
        <v>30</v>
      </c>
      <c r="O988" s="221" t="s">
        <v>3314</v>
      </c>
      <c r="P988" s="221">
        <v>0</v>
      </c>
      <c r="Q988" s="221">
        <v>0</v>
      </c>
      <c r="R988" s="221" t="s">
        <v>3147</v>
      </c>
      <c r="S988" s="221"/>
      <c r="T988" s="221"/>
      <c r="U988" s="221"/>
      <c r="V988" s="221"/>
      <c r="W988" s="221"/>
      <c r="X988" s="221"/>
      <c r="Y988" s="227"/>
      <c r="Z988" s="227">
        <f t="shared" si="41"/>
        <v>0</v>
      </c>
      <c r="AA988" s="276" t="e">
        <f>VLOOKUP(Logfile_S12[[#This Row],[DO number]],DO_DB!G:I,3,0)</f>
        <v>#N/A</v>
      </c>
      <c r="AB988" s="331" t="e">
        <f>EXACT(Logfile_S12[[#This Row],[date pick]],Logfile_S12[[#This Row],[Date]])</f>
        <v>#N/A</v>
      </c>
      <c r="AC9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89" spans="1:29" ht="14.5" hidden="1">
      <c r="A989" s="220" t="str">
        <f t="shared" si="40"/>
        <v>985</v>
      </c>
      <c r="B989" s="221"/>
      <c r="C989" s="221" t="s">
        <v>48</v>
      </c>
      <c r="D989" s="221" t="s">
        <v>4098</v>
      </c>
      <c r="E989" s="221" t="s">
        <v>3295</v>
      </c>
      <c r="F989" s="221" t="s">
        <v>3299</v>
      </c>
      <c r="G989" s="222">
        <v>45467</v>
      </c>
      <c r="H989" s="223">
        <v>15.291666666666666</v>
      </c>
      <c r="I989" s="221" t="s">
        <v>37</v>
      </c>
      <c r="J989" s="221" t="s">
        <v>3023</v>
      </c>
      <c r="K989" s="224" t="s">
        <v>13</v>
      </c>
      <c r="L989" s="225" t="str">
        <f>VLOOKUP(Logfile_S12[[#This Row],[Material Name]],Sheet2!B:C,2,0)</f>
        <v>ZTE2008</v>
      </c>
      <c r="M989" s="225" t="str">
        <f>_xlfn.XLOOKUP(Logfile_S12[[#This Row],[Material Name]],Sum_WH!E:E,Sum_WH!F:F,"",0)</f>
        <v>Pcs</v>
      </c>
      <c r="N989" s="221">
        <v>30</v>
      </c>
      <c r="O989" s="221" t="s">
        <v>1683</v>
      </c>
      <c r="P989" s="221" t="s">
        <v>1684</v>
      </c>
      <c r="Q989" s="221">
        <v>0</v>
      </c>
      <c r="R989" s="221">
        <v>0</v>
      </c>
      <c r="S989" s="221"/>
      <c r="T989" s="221"/>
      <c r="U989" s="221"/>
      <c r="V989" s="221"/>
      <c r="W989" s="221"/>
      <c r="X989" s="221"/>
      <c r="Y989" s="227"/>
      <c r="Z989" s="227" t="str">
        <f t="shared" si="41"/>
        <v>Lowokwaru RW 04</v>
      </c>
      <c r="AA989" s="276" t="e">
        <f>VLOOKUP(Logfile_S12[[#This Row],[DO number]],DO_DB!G:I,3,0)</f>
        <v>#N/A</v>
      </c>
      <c r="AB989" s="331" t="e">
        <f>EXACT(Logfile_S12[[#This Row],[date pick]],Logfile_S12[[#This Row],[Date]])</f>
        <v>#N/A</v>
      </c>
      <c r="AC9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90" spans="1:29" ht="14.5" hidden="1">
      <c r="A990" s="220" t="str">
        <f t="shared" si="40"/>
        <v>986</v>
      </c>
      <c r="B990" s="221"/>
      <c r="C990" s="221" t="s">
        <v>49</v>
      </c>
      <c r="D990" s="221" t="s">
        <v>4101</v>
      </c>
      <c r="E990" s="221" t="s">
        <v>3295</v>
      </c>
      <c r="F990" s="221" t="s">
        <v>3299</v>
      </c>
      <c r="G990" s="222">
        <v>45468</v>
      </c>
      <c r="H990" s="223">
        <v>0.53749999999999998</v>
      </c>
      <c r="I990" s="221" t="s">
        <v>4916</v>
      </c>
      <c r="J990" s="221" t="s">
        <v>3023</v>
      </c>
      <c r="K990" s="224" t="s">
        <v>13</v>
      </c>
      <c r="L990" s="225" t="str">
        <f>VLOOKUP(Logfile_S12[[#This Row],[Material Name]],Sheet2!B:C,2,0)</f>
        <v>ZTE2008</v>
      </c>
      <c r="M990" s="225" t="str">
        <f>_xlfn.XLOOKUP(Logfile_S12[[#This Row],[Material Name]],Sum_WH!E:E,Sum_WH!F:F,"",0)</f>
        <v>Pcs</v>
      </c>
      <c r="N990" s="221">
        <v>10</v>
      </c>
      <c r="O990" s="221" t="s">
        <v>1683</v>
      </c>
      <c r="P990" s="221" t="s">
        <v>1684</v>
      </c>
      <c r="Q990" s="221"/>
      <c r="R990" s="221"/>
      <c r="S990" s="221"/>
      <c r="T990" s="221" t="s">
        <v>3258</v>
      </c>
      <c r="U990" s="221" t="s">
        <v>3228</v>
      </c>
      <c r="V990" s="221" t="s">
        <v>3337</v>
      </c>
      <c r="W990" s="221" t="s">
        <v>3338</v>
      </c>
      <c r="X990" s="221"/>
      <c r="Y990" s="227"/>
      <c r="Z990" s="227" t="str">
        <f t="shared" si="41"/>
        <v>Lowokwaru RW 04</v>
      </c>
      <c r="AA990" s="276" t="e">
        <f>VLOOKUP(Logfile_S12[[#This Row],[DO number]],DO_DB!G:I,3,0)</f>
        <v>#N/A</v>
      </c>
      <c r="AB990" s="331" t="e">
        <f>EXACT(Logfile_S12[[#This Row],[date pick]],Logfile_S12[[#This Row],[Date]])</f>
        <v>#N/A</v>
      </c>
      <c r="AC9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91" spans="1:29" ht="14.5" hidden="1">
      <c r="A991" s="220" t="str">
        <f t="shared" si="40"/>
        <v>987</v>
      </c>
      <c r="B991" s="221"/>
      <c r="C991" s="221" t="s">
        <v>49</v>
      </c>
      <c r="D991" s="221" t="s">
        <v>4101</v>
      </c>
      <c r="E991" s="221" t="s">
        <v>3295</v>
      </c>
      <c r="F991" s="221" t="s">
        <v>3299</v>
      </c>
      <c r="G991" s="222">
        <v>45468</v>
      </c>
      <c r="H991" s="223">
        <v>0.53749999999999998</v>
      </c>
      <c r="I991" s="221" t="s">
        <v>4916</v>
      </c>
      <c r="J991" s="221" t="s">
        <v>3023</v>
      </c>
      <c r="K991" s="224" t="s">
        <v>13</v>
      </c>
      <c r="L991" s="225" t="str">
        <f>VLOOKUP(Logfile_S12[[#This Row],[Material Name]],Sheet2!B:C,2,0)</f>
        <v>ZTE2008</v>
      </c>
      <c r="M991" s="225" t="str">
        <f>_xlfn.XLOOKUP(Logfile_S12[[#This Row],[Material Name]],Sum_WH!E:E,Sum_WH!F:F,"",0)</f>
        <v>Pcs</v>
      </c>
      <c r="N991" s="221">
        <v>18</v>
      </c>
      <c r="O991" s="221" t="s">
        <v>1689</v>
      </c>
      <c r="P991" s="221" t="s">
        <v>1690</v>
      </c>
      <c r="Q991" s="221"/>
      <c r="R991" s="221"/>
      <c r="S991" s="221"/>
      <c r="T991" s="221" t="s">
        <v>3258</v>
      </c>
      <c r="U991" s="221" t="s">
        <v>3228</v>
      </c>
      <c r="V991" s="221" t="s">
        <v>3337</v>
      </c>
      <c r="W991" s="221" t="s">
        <v>3338</v>
      </c>
      <c r="X991" s="221"/>
      <c r="Y991" s="227"/>
      <c r="Z991" s="227" t="str">
        <f t="shared" si="41"/>
        <v>Kebonagung RW 13 Pakisaji</v>
      </c>
      <c r="AA991" s="276" t="e">
        <f>VLOOKUP(Logfile_S12[[#This Row],[DO number]],DO_DB!G:I,3,0)</f>
        <v>#N/A</v>
      </c>
      <c r="AB991" s="331" t="e">
        <f>EXACT(Logfile_S12[[#This Row],[date pick]],Logfile_S12[[#This Row],[Date]])</f>
        <v>#N/A</v>
      </c>
      <c r="AC9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92" spans="1:29" ht="14.5" hidden="1">
      <c r="A992" s="220" t="str">
        <f t="shared" si="40"/>
        <v>988</v>
      </c>
      <c r="B992" s="221"/>
      <c r="C992" s="221" t="s">
        <v>48</v>
      </c>
      <c r="D992" s="221" t="s">
        <v>4113</v>
      </c>
      <c r="E992" s="221" t="s">
        <v>3295</v>
      </c>
      <c r="F992" s="221" t="s">
        <v>3299</v>
      </c>
      <c r="G992" s="222">
        <v>45481</v>
      </c>
      <c r="H992" s="223">
        <v>15.291666666666666</v>
      </c>
      <c r="I992" s="221" t="s">
        <v>37</v>
      </c>
      <c r="J992" s="221" t="s">
        <v>3023</v>
      </c>
      <c r="K992" s="224" t="s">
        <v>13</v>
      </c>
      <c r="L992" s="225" t="str">
        <f>VLOOKUP(Logfile_S12[[#This Row],[Material Name]],Sheet2!B:C,2,0)</f>
        <v>ZTE2008</v>
      </c>
      <c r="M992" s="225" t="str">
        <f>_xlfn.XLOOKUP(Logfile_S12[[#This Row],[Material Name]],Sum_WH!E:E,Sum_WH!F:F,"",0)</f>
        <v>Pcs</v>
      </c>
      <c r="N992" s="221">
        <v>60</v>
      </c>
      <c r="O992" s="221" t="s">
        <v>1721</v>
      </c>
      <c r="P992" s="221" t="s">
        <v>1722</v>
      </c>
      <c r="Q992" s="221">
        <v>0</v>
      </c>
      <c r="R992" s="221">
        <v>0</v>
      </c>
      <c r="S992" s="221"/>
      <c r="T992" s="221"/>
      <c r="U992" s="221"/>
      <c r="V992" s="221"/>
      <c r="W992" s="221"/>
      <c r="X992" s="221"/>
      <c r="Y992" s="227"/>
      <c r="Z992" s="227" t="str">
        <f t="shared" si="41"/>
        <v>Perumahan Perumnas Talangagung I Malang</v>
      </c>
      <c r="AA992" s="276" t="e">
        <f>VLOOKUP(Logfile_S12[[#This Row],[DO number]],DO_DB!G:I,3,0)</f>
        <v>#N/A</v>
      </c>
      <c r="AB992" s="331" t="e">
        <f>EXACT(Logfile_S12[[#This Row],[date pick]],Logfile_S12[[#This Row],[Date]])</f>
        <v>#N/A</v>
      </c>
      <c r="AC9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93" spans="1:29" ht="14.5" hidden="1">
      <c r="A993" s="220" t="str">
        <f t="shared" si="40"/>
        <v>989</v>
      </c>
      <c r="B993" s="221"/>
      <c r="C993" s="221" t="s">
        <v>49</v>
      </c>
      <c r="D993" s="221" t="s">
        <v>4114</v>
      </c>
      <c r="E993" s="221" t="s">
        <v>3295</v>
      </c>
      <c r="F993" s="221" t="s">
        <v>3299</v>
      </c>
      <c r="G993" s="222">
        <v>45483</v>
      </c>
      <c r="H993" s="223">
        <v>0.40277777777777779</v>
      </c>
      <c r="I993" s="221" t="s">
        <v>4916</v>
      </c>
      <c r="J993" s="221" t="s">
        <v>3023</v>
      </c>
      <c r="K993" s="224" t="s">
        <v>13</v>
      </c>
      <c r="L993" s="225" t="str">
        <f>VLOOKUP(Logfile_S12[[#This Row],[Material Name]],Sheet2!B:C,2,0)</f>
        <v>ZTE2008</v>
      </c>
      <c r="M993" s="225" t="str">
        <f>_xlfn.XLOOKUP(Logfile_S12[[#This Row],[Material Name]],Sum_WH!E:E,Sum_WH!F:F,"",0)</f>
        <v>Pcs</v>
      </c>
      <c r="N993" s="221">
        <v>15</v>
      </c>
      <c r="O993" s="221" t="s">
        <v>1721</v>
      </c>
      <c r="P993" s="221" t="s">
        <v>1722</v>
      </c>
      <c r="Q993" s="221"/>
      <c r="R993" s="221"/>
      <c r="S993" s="221"/>
      <c r="T993" s="221" t="s">
        <v>3231</v>
      </c>
      <c r="U993" s="221">
        <v>0</v>
      </c>
      <c r="V993" s="221" t="s">
        <v>3232</v>
      </c>
      <c r="W993" s="221" t="s">
        <v>3254</v>
      </c>
      <c r="X993" s="221"/>
      <c r="Y993" s="227"/>
      <c r="Z993" s="227" t="str">
        <f t="shared" si="41"/>
        <v>Perumahan Perumnas Talangagung I Malang</v>
      </c>
      <c r="AA993" s="276" t="e">
        <f>VLOOKUP(Logfile_S12[[#This Row],[DO number]],DO_DB!G:I,3,0)</f>
        <v>#N/A</v>
      </c>
      <c r="AB993" s="331" t="e">
        <f>EXACT(Logfile_S12[[#This Row],[date pick]],Logfile_S12[[#This Row],[Date]])</f>
        <v>#N/A</v>
      </c>
      <c r="AC9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94" spans="1:29" ht="14.5" hidden="1">
      <c r="A994" s="220" t="str">
        <f t="shared" si="40"/>
        <v>990</v>
      </c>
      <c r="B994" s="221"/>
      <c r="C994" s="221" t="s">
        <v>49</v>
      </c>
      <c r="D994" s="221" t="s">
        <v>4115</v>
      </c>
      <c r="E994" s="221" t="s">
        <v>3295</v>
      </c>
      <c r="F994" s="221" t="s">
        <v>3299</v>
      </c>
      <c r="G994" s="222">
        <v>45483</v>
      </c>
      <c r="H994" s="223">
        <v>0.65347222222222223</v>
      </c>
      <c r="I994" s="221" t="s">
        <v>4916</v>
      </c>
      <c r="J994" s="221" t="s">
        <v>3023</v>
      </c>
      <c r="K994" s="224" t="s">
        <v>13</v>
      </c>
      <c r="L994" s="225" t="str">
        <f>VLOOKUP(Logfile_S12[[#This Row],[Material Name]],Sheet2!B:C,2,0)</f>
        <v>ZTE2008</v>
      </c>
      <c r="M994" s="225" t="str">
        <f>_xlfn.XLOOKUP(Logfile_S12[[#This Row],[Material Name]],Sum_WH!E:E,Sum_WH!F:F,"",0)</f>
        <v>Pcs</v>
      </c>
      <c r="N994" s="221">
        <v>31</v>
      </c>
      <c r="O994" s="221" t="s">
        <v>1705</v>
      </c>
      <c r="P994" s="221" t="s">
        <v>1706</v>
      </c>
      <c r="Q994" s="221"/>
      <c r="R994" s="221"/>
      <c r="S994" s="221"/>
      <c r="T994" s="221" t="s">
        <v>3471</v>
      </c>
      <c r="U994" s="221">
        <v>0</v>
      </c>
      <c r="V994" s="221" t="s">
        <v>3472</v>
      </c>
      <c r="W994" s="221" t="s">
        <v>3473</v>
      </c>
      <c r="X994" s="221"/>
      <c r="Y994" s="227"/>
      <c r="Z994" s="227" t="str">
        <f t="shared" si="41"/>
        <v>Perumahan Kepanjen Permai II</v>
      </c>
      <c r="AA994" s="276" t="e">
        <f>VLOOKUP(Logfile_S12[[#This Row],[DO number]],DO_DB!G:I,3,0)</f>
        <v>#N/A</v>
      </c>
      <c r="AB994" s="331" t="e">
        <f>EXACT(Logfile_S12[[#This Row],[date pick]],Logfile_S12[[#This Row],[Date]])</f>
        <v>#N/A</v>
      </c>
      <c r="AC9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95" spans="1:29" ht="14.5" hidden="1">
      <c r="A995" s="220" t="str">
        <f t="shared" si="40"/>
        <v>991</v>
      </c>
      <c r="B995" s="221"/>
      <c r="C995" s="221" t="s">
        <v>49</v>
      </c>
      <c r="D995" s="221" t="s">
        <v>4116</v>
      </c>
      <c r="E995" s="221" t="s">
        <v>3295</v>
      </c>
      <c r="F995" s="221" t="s">
        <v>3299</v>
      </c>
      <c r="G995" s="222">
        <v>45484</v>
      </c>
      <c r="H995" s="223">
        <v>0.89444444444444449</v>
      </c>
      <c r="I995" s="221" t="s">
        <v>4916</v>
      </c>
      <c r="J995" s="221" t="s">
        <v>3023</v>
      </c>
      <c r="K995" s="224" t="s">
        <v>13</v>
      </c>
      <c r="L995" s="225" t="str">
        <f>VLOOKUP(Logfile_S12[[#This Row],[Material Name]],Sheet2!B:C,2,0)</f>
        <v>ZTE2008</v>
      </c>
      <c r="M995" s="225" t="str">
        <f>_xlfn.XLOOKUP(Logfile_S12[[#This Row],[Material Name]],Sum_WH!E:E,Sum_WH!F:F,"",0)</f>
        <v>Pcs</v>
      </c>
      <c r="N995" s="221">
        <v>14</v>
      </c>
      <c r="O995" s="221" t="s">
        <v>1721</v>
      </c>
      <c r="P995" s="221" t="s">
        <v>1722</v>
      </c>
      <c r="Q995" s="221"/>
      <c r="R995" s="221"/>
      <c r="S995" s="221"/>
      <c r="T995" s="221" t="s">
        <v>3231</v>
      </c>
      <c r="U995" s="221">
        <v>0</v>
      </c>
      <c r="V995" s="221" t="s">
        <v>3232</v>
      </c>
      <c r="W995" s="221" t="s">
        <v>3254</v>
      </c>
      <c r="X995" s="221"/>
      <c r="Y995" s="227"/>
      <c r="Z995" s="227" t="str">
        <f t="shared" si="41"/>
        <v>Perumahan Perumnas Talangagung I Malang</v>
      </c>
      <c r="AA995" s="276" t="e">
        <f>VLOOKUP(Logfile_S12[[#This Row],[DO number]],DO_DB!G:I,3,0)</f>
        <v>#N/A</v>
      </c>
      <c r="AB995" s="331" t="e">
        <f>EXACT(Logfile_S12[[#This Row],[date pick]],Logfile_S12[[#This Row],[Date]])</f>
        <v>#N/A</v>
      </c>
      <c r="AC9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96" spans="1:29" ht="14.5" hidden="1">
      <c r="A996" s="220" t="str">
        <f t="shared" si="40"/>
        <v>992</v>
      </c>
      <c r="B996" s="221"/>
      <c r="C996" s="221" t="s">
        <v>49</v>
      </c>
      <c r="D996" s="221" t="s">
        <v>4118</v>
      </c>
      <c r="E996" s="221" t="s">
        <v>3295</v>
      </c>
      <c r="F996" s="221" t="s">
        <v>3299</v>
      </c>
      <c r="G996" s="222">
        <v>45487</v>
      </c>
      <c r="H996" s="223">
        <v>0.67222222222222228</v>
      </c>
      <c r="I996" s="221" t="s">
        <v>4916</v>
      </c>
      <c r="J996" s="221" t="s">
        <v>3023</v>
      </c>
      <c r="K996" s="224" t="s">
        <v>13</v>
      </c>
      <c r="L996" s="225" t="str">
        <f>VLOOKUP(Logfile_S12[[#This Row],[Material Name]],Sheet2!B:C,2,0)</f>
        <v>ZTE2008</v>
      </c>
      <c r="M996" s="225" t="str">
        <f>_xlfn.XLOOKUP(Logfile_S12[[#This Row],[Material Name]],Sum_WH!E:E,Sum_WH!F:F,"",0)</f>
        <v>Pcs</v>
      </c>
      <c r="N996" s="221">
        <v>9</v>
      </c>
      <c r="O996" s="221" t="s">
        <v>2013</v>
      </c>
      <c r="P996" s="221" t="s">
        <v>2014</v>
      </c>
      <c r="Q996" s="221"/>
      <c r="R996" s="221"/>
      <c r="S996" s="221"/>
      <c r="T996" s="221" t="s">
        <v>3258</v>
      </c>
      <c r="U996" s="221" t="s">
        <v>3228</v>
      </c>
      <c r="V996" s="221" t="s">
        <v>3337</v>
      </c>
      <c r="W996" s="221" t="s">
        <v>3338</v>
      </c>
      <c r="X996" s="221"/>
      <c r="Y996" s="227"/>
      <c r="Z996" s="227" t="str">
        <f t="shared" si="41"/>
        <v>Perumahan Panca Garden</v>
      </c>
      <c r="AA996" s="276" t="e">
        <f>VLOOKUP(Logfile_S12[[#This Row],[DO number]],DO_DB!G:I,3,0)</f>
        <v>#N/A</v>
      </c>
      <c r="AB996" s="331" t="e">
        <f>EXACT(Logfile_S12[[#This Row],[date pick]],Logfile_S12[[#This Row],[Date]])</f>
        <v>#N/A</v>
      </c>
      <c r="AC9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97" spans="1:29" ht="14.5" hidden="1">
      <c r="A997" s="220" t="str">
        <f t="shared" si="40"/>
        <v>993</v>
      </c>
      <c r="B997" s="221"/>
      <c r="C997" s="221" t="s">
        <v>49</v>
      </c>
      <c r="D997" s="221" t="s">
        <v>4119</v>
      </c>
      <c r="E997" s="221" t="s">
        <v>3295</v>
      </c>
      <c r="F997" s="221" t="s">
        <v>3299</v>
      </c>
      <c r="G997" s="222">
        <v>45487</v>
      </c>
      <c r="H997" s="223">
        <v>0.77013888888888893</v>
      </c>
      <c r="I997" s="221" t="s">
        <v>4916</v>
      </c>
      <c r="J997" s="221" t="s">
        <v>3023</v>
      </c>
      <c r="K997" s="224" t="s">
        <v>13</v>
      </c>
      <c r="L997" s="225" t="str">
        <f>VLOOKUP(Logfile_S12[[#This Row],[Material Name]],Sheet2!B:C,2,0)</f>
        <v>ZTE2008</v>
      </c>
      <c r="M997" s="225" t="str">
        <f>_xlfn.XLOOKUP(Logfile_S12[[#This Row],[Material Name]],Sum_WH!E:E,Sum_WH!F:F,"",0)</f>
        <v>Pcs</v>
      </c>
      <c r="N997" s="221">
        <v>12</v>
      </c>
      <c r="O997" s="221" t="s">
        <v>2007</v>
      </c>
      <c r="P997" s="221" t="s">
        <v>2008</v>
      </c>
      <c r="Q997" s="221"/>
      <c r="R997" s="221"/>
      <c r="S997" s="221"/>
      <c r="T997" s="221" t="s">
        <v>3471</v>
      </c>
      <c r="U997" s="221">
        <v>0</v>
      </c>
      <c r="V997" s="221" t="s">
        <v>3472</v>
      </c>
      <c r="W997" s="221" t="s">
        <v>3473</v>
      </c>
      <c r="X997" s="221"/>
      <c r="Y997" s="227"/>
      <c r="Z997" s="227" t="str">
        <f t="shared" si="41"/>
        <v>Ngenep RW 06 Karang Ploso</v>
      </c>
      <c r="AA997" s="276" t="e">
        <f>VLOOKUP(Logfile_S12[[#This Row],[DO number]],DO_DB!G:I,3,0)</f>
        <v>#N/A</v>
      </c>
      <c r="AB997" s="331" t="e">
        <f>EXACT(Logfile_S12[[#This Row],[date pick]],Logfile_S12[[#This Row],[Date]])</f>
        <v>#N/A</v>
      </c>
      <c r="AC9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98" spans="1:29" ht="14.5" hidden="1">
      <c r="A998" s="220" t="str">
        <f t="shared" si="40"/>
        <v>994</v>
      </c>
      <c r="B998" s="221"/>
      <c r="C998" s="221" t="s">
        <v>48</v>
      </c>
      <c r="D998" s="221" t="s">
        <v>4126</v>
      </c>
      <c r="E998" s="221" t="s">
        <v>3295</v>
      </c>
      <c r="F998" s="221" t="s">
        <v>3299</v>
      </c>
      <c r="G998" s="222">
        <v>45496</v>
      </c>
      <c r="H998" s="223">
        <v>15.291666666666666</v>
      </c>
      <c r="I998" s="221" t="s">
        <v>37</v>
      </c>
      <c r="J998" s="221" t="s">
        <v>3023</v>
      </c>
      <c r="K998" s="224" t="s">
        <v>13</v>
      </c>
      <c r="L998" s="225" t="str">
        <f>VLOOKUP(Logfile_S12[[#This Row],[Material Name]],Sheet2!B:C,2,0)</f>
        <v>ZTE2008</v>
      </c>
      <c r="M998" s="225" t="str">
        <f>_xlfn.XLOOKUP(Logfile_S12[[#This Row],[Material Name]],Sum_WH!E:E,Sum_WH!F:F,"",0)</f>
        <v>Pcs</v>
      </c>
      <c r="N998" s="221">
        <v>37</v>
      </c>
      <c r="O998" s="221"/>
      <c r="P998" s="221"/>
      <c r="Q998" s="221">
        <v>0</v>
      </c>
      <c r="R998" s="221">
        <v>0</v>
      </c>
      <c r="S998" s="221"/>
      <c r="T998" s="221"/>
      <c r="U998" s="221"/>
      <c r="V998" s="221"/>
      <c r="W998" s="221"/>
      <c r="X998" s="221"/>
      <c r="Y998" s="227"/>
      <c r="Z998" s="227">
        <f t="shared" si="41"/>
        <v>0</v>
      </c>
      <c r="AA998" s="276" t="e">
        <f>VLOOKUP(Logfile_S12[[#This Row],[DO number]],DO_DB!G:I,3,0)</f>
        <v>#N/A</v>
      </c>
      <c r="AB998" s="331" t="e">
        <f>EXACT(Logfile_S12[[#This Row],[date pick]],Logfile_S12[[#This Row],[Date]])</f>
        <v>#N/A</v>
      </c>
      <c r="AC9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999" spans="1:29" ht="14.5" hidden="1">
      <c r="A999" s="220" t="str">
        <f t="shared" si="40"/>
        <v>995</v>
      </c>
      <c r="B999" s="221"/>
      <c r="C999" s="221" t="s">
        <v>49</v>
      </c>
      <c r="D999" s="221" t="s">
        <v>4135</v>
      </c>
      <c r="E999" s="221" t="s">
        <v>3295</v>
      </c>
      <c r="F999" s="221" t="s">
        <v>3299</v>
      </c>
      <c r="G999" s="222">
        <v>45503</v>
      </c>
      <c r="H999" s="223">
        <v>0.43333333333333335</v>
      </c>
      <c r="I999" s="221" t="s">
        <v>4916</v>
      </c>
      <c r="J999" s="221" t="s">
        <v>3023</v>
      </c>
      <c r="K999" s="224" t="s">
        <v>13</v>
      </c>
      <c r="L999" s="225" t="str">
        <f>VLOOKUP(Logfile_S12[[#This Row],[Material Name]],Sheet2!B:C,2,0)</f>
        <v>ZTE2008</v>
      </c>
      <c r="M999" s="225" t="str">
        <f>_xlfn.XLOOKUP(Logfile_S12[[#This Row],[Material Name]],Sum_WH!E:E,Sum_WH!F:F,"",0)</f>
        <v>Pcs</v>
      </c>
      <c r="N999" s="221">
        <v>10</v>
      </c>
      <c r="O999" s="221" t="s">
        <v>1803</v>
      </c>
      <c r="P999" s="221" t="s">
        <v>1804</v>
      </c>
      <c r="Q999" s="221"/>
      <c r="R999" s="221"/>
      <c r="S999" s="221"/>
      <c r="T999" s="221" t="s">
        <v>3258</v>
      </c>
      <c r="U999" s="221" t="s">
        <v>3228</v>
      </c>
      <c r="V999" s="221" t="s">
        <v>3337</v>
      </c>
      <c r="W999" s="221" t="s">
        <v>3338</v>
      </c>
      <c r="X999" s="221"/>
      <c r="Y999" s="227"/>
      <c r="Z999" s="227" t="str">
        <f t="shared" si="41"/>
        <v>Dusun Langlang IV Singosari</v>
      </c>
      <c r="AA999" s="276" t="e">
        <f>VLOOKUP(Logfile_S12[[#This Row],[DO number]],DO_DB!G:I,3,0)</f>
        <v>#N/A</v>
      </c>
      <c r="AB999" s="331" t="e">
        <f>EXACT(Logfile_S12[[#This Row],[date pick]],Logfile_S12[[#This Row],[Date]])</f>
        <v>#N/A</v>
      </c>
      <c r="AC9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00" spans="1:29" ht="14.5" hidden="1">
      <c r="A1000" s="220" t="str">
        <f t="shared" si="40"/>
        <v>996</v>
      </c>
      <c r="B1000" s="221"/>
      <c r="C1000" s="221" t="s">
        <v>49</v>
      </c>
      <c r="D1000" s="221" t="s">
        <v>4138</v>
      </c>
      <c r="E1000" s="221" t="s">
        <v>3295</v>
      </c>
      <c r="F1000" s="221" t="s">
        <v>3299</v>
      </c>
      <c r="G1000" s="222">
        <v>45504</v>
      </c>
      <c r="H1000" s="223">
        <v>0.72638888888888886</v>
      </c>
      <c r="I1000" s="221" t="s">
        <v>4916</v>
      </c>
      <c r="J1000" s="221" t="s">
        <v>3023</v>
      </c>
      <c r="K1000" s="224" t="s">
        <v>13</v>
      </c>
      <c r="L1000" s="225" t="str">
        <f>VLOOKUP(Logfile_S12[[#This Row],[Material Name]],Sheet2!B:C,2,0)</f>
        <v>ZTE2008</v>
      </c>
      <c r="M1000" s="225" t="str">
        <f>_xlfn.XLOOKUP(Logfile_S12[[#This Row],[Material Name]],Sum_WH!E:E,Sum_WH!F:F,"",0)</f>
        <v>Pcs</v>
      </c>
      <c r="N1000" s="221">
        <v>27</v>
      </c>
      <c r="O1000" s="221" t="s">
        <v>1803</v>
      </c>
      <c r="P1000" s="221" t="s">
        <v>1804</v>
      </c>
      <c r="Q1000" s="221"/>
      <c r="R1000" s="221"/>
      <c r="S1000" s="221"/>
      <c r="T1000" s="221" t="s">
        <v>3471</v>
      </c>
      <c r="U1000" s="221">
        <v>0</v>
      </c>
      <c r="V1000" s="221" t="s">
        <v>3472</v>
      </c>
      <c r="W1000" s="221" t="s">
        <v>3473</v>
      </c>
      <c r="X1000" s="221"/>
      <c r="Y1000" s="227"/>
      <c r="Z1000" s="227" t="str">
        <f t="shared" si="41"/>
        <v>Dusun Langlang IV Singosari</v>
      </c>
      <c r="AA1000" s="276" t="e">
        <f>VLOOKUP(Logfile_S12[[#This Row],[DO number]],DO_DB!G:I,3,0)</f>
        <v>#N/A</v>
      </c>
      <c r="AB1000" s="331" t="e">
        <f>EXACT(Logfile_S12[[#This Row],[date pick]],Logfile_S12[[#This Row],[Date]])</f>
        <v>#N/A</v>
      </c>
      <c r="AC10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01" spans="1:29" ht="14.5" hidden="1">
      <c r="A1001" s="220" t="str">
        <f t="shared" si="40"/>
        <v>997</v>
      </c>
      <c r="B1001" s="221"/>
      <c r="C1001" s="221" t="s">
        <v>49</v>
      </c>
      <c r="D1001" s="221" t="s">
        <v>4160</v>
      </c>
      <c r="E1001" s="221" t="s">
        <v>3295</v>
      </c>
      <c r="F1001" s="221" t="s">
        <v>3299</v>
      </c>
      <c r="G1001" s="222">
        <v>45519</v>
      </c>
      <c r="H1001" s="223">
        <v>0.89444444444444449</v>
      </c>
      <c r="I1001" s="221" t="s">
        <v>4916</v>
      </c>
      <c r="J1001" s="221" t="s">
        <v>3023</v>
      </c>
      <c r="K1001" s="224" t="s">
        <v>13</v>
      </c>
      <c r="L1001" s="225" t="str">
        <f>VLOOKUP(Logfile_S12[[#This Row],[Material Name]],Sheet2!B:C,2,0)</f>
        <v>ZTE2008</v>
      </c>
      <c r="M1001" s="225" t="str">
        <f>_xlfn.XLOOKUP(Logfile_S12[[#This Row],[Material Name]],Sum_WH!E:E,Sum_WH!F:F,"",0)</f>
        <v>Pcs</v>
      </c>
      <c r="N1001" s="221">
        <v>4</v>
      </c>
      <c r="O1001" s="221" t="s">
        <v>2013</v>
      </c>
      <c r="P1001" s="221" t="s">
        <v>2014</v>
      </c>
      <c r="Q1001" s="221"/>
      <c r="R1001" s="221"/>
      <c r="S1001" s="221"/>
      <c r="T1001" s="221" t="s">
        <v>3231</v>
      </c>
      <c r="U1001" s="221">
        <v>0</v>
      </c>
      <c r="V1001" s="221" t="s">
        <v>3232</v>
      </c>
      <c r="W1001" s="221" t="s">
        <v>3254</v>
      </c>
      <c r="X1001" s="221"/>
      <c r="Y1001" s="227"/>
      <c r="Z1001" s="227" t="str">
        <f t="shared" si="41"/>
        <v>Perumahan Panca Garden</v>
      </c>
      <c r="AA1001" s="276" t="e">
        <f>VLOOKUP(Logfile_S12[[#This Row],[DO number]],DO_DB!G:I,3,0)</f>
        <v>#N/A</v>
      </c>
      <c r="AB1001" s="331" t="e">
        <f>EXACT(Logfile_S12[[#This Row],[date pick]],Logfile_S12[[#This Row],[Date]])</f>
        <v>#N/A</v>
      </c>
      <c r="AC10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02" spans="1:29" ht="14.5" hidden="1">
      <c r="A1002" s="220" t="str">
        <f t="shared" si="40"/>
        <v>998</v>
      </c>
      <c r="B1002" s="221"/>
      <c r="C1002" s="221" t="s">
        <v>3313</v>
      </c>
      <c r="D1002" s="221" t="s">
        <v>4161</v>
      </c>
      <c r="E1002" s="221" t="s">
        <v>3295</v>
      </c>
      <c r="F1002" s="221" t="s">
        <v>3299</v>
      </c>
      <c r="G1002" s="222">
        <v>45521</v>
      </c>
      <c r="H1002" s="223">
        <v>15.291666666666666</v>
      </c>
      <c r="I1002" s="221" t="s">
        <v>37</v>
      </c>
      <c r="J1002" s="221" t="s">
        <v>3023</v>
      </c>
      <c r="K1002" s="224" t="s">
        <v>13</v>
      </c>
      <c r="L1002" s="225" t="str">
        <f>VLOOKUP(Logfile_S12[[#This Row],[Material Name]],Sheet2!B:C,2,0)</f>
        <v>ZTE2008</v>
      </c>
      <c r="M1002" s="225" t="str">
        <f>_xlfn.XLOOKUP(Logfile_S12[[#This Row],[Material Name]],Sum_WH!E:E,Sum_WH!F:F,"",0)</f>
        <v>Pcs</v>
      </c>
      <c r="N1002" s="221">
        <v>1</v>
      </c>
      <c r="O1002" s="221" t="s">
        <v>3314</v>
      </c>
      <c r="P1002" s="221">
        <v>0</v>
      </c>
      <c r="Q1002" s="221">
        <v>0</v>
      </c>
      <c r="R1002" s="221" t="s">
        <v>3147</v>
      </c>
      <c r="S1002" s="221"/>
      <c r="T1002" s="221"/>
      <c r="U1002" s="221"/>
      <c r="V1002" s="221"/>
      <c r="W1002" s="221"/>
      <c r="X1002" s="221"/>
      <c r="Y1002" s="227"/>
      <c r="Z1002" s="227">
        <f t="shared" si="41"/>
        <v>0</v>
      </c>
      <c r="AA1002" s="276" t="e">
        <f>VLOOKUP(Logfile_S12[[#This Row],[DO number]],DO_DB!G:I,3,0)</f>
        <v>#N/A</v>
      </c>
      <c r="AB1002" s="331" t="e">
        <f>EXACT(Logfile_S12[[#This Row],[date pick]],Logfile_S12[[#This Row],[Date]])</f>
        <v>#N/A</v>
      </c>
      <c r="AC10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03" spans="1:29" ht="14.5" hidden="1">
      <c r="A1003" s="220" t="str">
        <f t="shared" si="40"/>
        <v>999</v>
      </c>
      <c r="B1003" s="221"/>
      <c r="C1003" s="221" t="s">
        <v>49</v>
      </c>
      <c r="D1003" s="221" t="s">
        <v>4165</v>
      </c>
      <c r="E1003" s="221" t="s">
        <v>3295</v>
      </c>
      <c r="F1003" s="221" t="s">
        <v>3299</v>
      </c>
      <c r="G1003" s="222">
        <v>45525</v>
      </c>
      <c r="H1003" s="223">
        <v>0.78680555555555554</v>
      </c>
      <c r="I1003" s="221" t="s">
        <v>4916</v>
      </c>
      <c r="J1003" s="221" t="s">
        <v>3023</v>
      </c>
      <c r="K1003" s="224" t="s">
        <v>13</v>
      </c>
      <c r="L1003" s="225" t="str">
        <f>VLOOKUP(Logfile_S12[[#This Row],[Material Name]],Sheet2!B:C,2,0)</f>
        <v>ZTE2008</v>
      </c>
      <c r="M1003" s="225" t="str">
        <f>_xlfn.XLOOKUP(Logfile_S12[[#This Row],[Material Name]],Sum_WH!E:E,Sum_WH!F:F,"",0)</f>
        <v>Pcs</v>
      </c>
      <c r="N1003" s="221">
        <v>13</v>
      </c>
      <c r="O1003" s="221" t="s">
        <v>1391</v>
      </c>
      <c r="P1003" s="221" t="s">
        <v>1392</v>
      </c>
      <c r="Q1003" s="221"/>
      <c r="R1003" s="221"/>
      <c r="S1003" s="221"/>
      <c r="T1003" s="221" t="s">
        <v>3471</v>
      </c>
      <c r="U1003" s="221">
        <v>0</v>
      </c>
      <c r="V1003" s="221" t="s">
        <v>3472</v>
      </c>
      <c r="W1003" s="221" t="s">
        <v>3473</v>
      </c>
      <c r="X1003" s="221"/>
      <c r="Y1003" s="227"/>
      <c r="Z1003" s="227" t="str">
        <f t="shared" si="41"/>
        <v>Klampok RW 01 Singosari</v>
      </c>
      <c r="AA1003" s="276" t="e">
        <f>VLOOKUP(Logfile_S12[[#This Row],[DO number]],DO_DB!G:I,3,0)</f>
        <v>#N/A</v>
      </c>
      <c r="AB1003" s="331" t="e">
        <f>EXACT(Logfile_S12[[#This Row],[date pick]],Logfile_S12[[#This Row],[Date]])</f>
        <v>#N/A</v>
      </c>
      <c r="AC10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04" spans="1:29" ht="14.5" hidden="1">
      <c r="A1004" s="220" t="str">
        <f t="shared" si="40"/>
        <v>1000</v>
      </c>
      <c r="B1004" s="221"/>
      <c r="C1004" s="221" t="s">
        <v>48</v>
      </c>
      <c r="D1004" s="221" t="s">
        <v>4170</v>
      </c>
      <c r="E1004" s="221" t="s">
        <v>3295</v>
      </c>
      <c r="F1004" s="221" t="s">
        <v>3299</v>
      </c>
      <c r="G1004" s="222">
        <v>45526</v>
      </c>
      <c r="H1004" s="223">
        <v>15.291666666666666</v>
      </c>
      <c r="I1004" s="221" t="s">
        <v>37</v>
      </c>
      <c r="J1004" s="221" t="s">
        <v>3023</v>
      </c>
      <c r="K1004" s="224" t="s">
        <v>13</v>
      </c>
      <c r="L1004" s="225" t="str">
        <f>VLOOKUP(Logfile_S12[[#This Row],[Material Name]],Sheet2!B:C,2,0)</f>
        <v>ZTE2008</v>
      </c>
      <c r="M1004" s="225" t="str">
        <f>_xlfn.XLOOKUP(Logfile_S12[[#This Row],[Material Name]],Sum_WH!E:E,Sum_WH!F:F,"",0)</f>
        <v>Pcs</v>
      </c>
      <c r="N1004" s="221">
        <v>90</v>
      </c>
      <c r="O1004" s="221"/>
      <c r="P1004" s="221"/>
      <c r="Q1004" s="221">
        <v>0</v>
      </c>
      <c r="R1004" s="221">
        <v>0</v>
      </c>
      <c r="S1004" s="221"/>
      <c r="T1004" s="221"/>
      <c r="U1004" s="221"/>
      <c r="V1004" s="221"/>
      <c r="W1004" s="221"/>
      <c r="X1004" s="221"/>
      <c r="Y1004" s="227"/>
      <c r="Z1004" s="227">
        <f t="shared" si="41"/>
        <v>0</v>
      </c>
      <c r="AA1004" s="276" t="e">
        <f>VLOOKUP(Logfile_S12[[#This Row],[DO number]],DO_DB!G:I,3,0)</f>
        <v>#N/A</v>
      </c>
      <c r="AB1004" s="331" t="e">
        <f>EXACT(Logfile_S12[[#This Row],[date pick]],Logfile_S12[[#This Row],[Date]])</f>
        <v>#N/A</v>
      </c>
      <c r="AC10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05" spans="1:29" ht="14.5" hidden="1">
      <c r="A1005" s="220" t="str">
        <f t="shared" si="40"/>
        <v>1001</v>
      </c>
      <c r="B1005" s="221"/>
      <c r="C1005" s="221" t="s">
        <v>48</v>
      </c>
      <c r="D1005" s="221" t="s">
        <v>4185</v>
      </c>
      <c r="E1005" s="221" t="s">
        <v>3295</v>
      </c>
      <c r="F1005" s="221" t="s">
        <v>3299</v>
      </c>
      <c r="G1005" s="222">
        <v>45532</v>
      </c>
      <c r="H1005" s="223">
        <v>15.291666666666666</v>
      </c>
      <c r="I1005" s="221" t="s">
        <v>37</v>
      </c>
      <c r="J1005" s="221" t="s">
        <v>3023</v>
      </c>
      <c r="K1005" s="224" t="s">
        <v>13</v>
      </c>
      <c r="L1005" s="225" t="str">
        <f>VLOOKUP(Logfile_S12[[#This Row],[Material Name]],Sheet2!B:C,2,0)</f>
        <v>ZTE2008</v>
      </c>
      <c r="M1005" s="225" t="str">
        <f>_xlfn.XLOOKUP(Logfile_S12[[#This Row],[Material Name]],Sum_WH!E:E,Sum_WH!F:F,"",0)</f>
        <v>Pcs</v>
      </c>
      <c r="N1005" s="221">
        <v>94</v>
      </c>
      <c r="O1005" s="221"/>
      <c r="P1005" s="221"/>
      <c r="Q1005" s="221">
        <v>0</v>
      </c>
      <c r="R1005" s="221">
        <v>0</v>
      </c>
      <c r="S1005" s="221"/>
      <c r="T1005" s="221"/>
      <c r="U1005" s="221"/>
      <c r="V1005" s="221"/>
      <c r="W1005" s="221"/>
      <c r="X1005" s="221"/>
      <c r="Y1005" s="227"/>
      <c r="Z1005" s="227">
        <f t="shared" si="41"/>
        <v>0</v>
      </c>
      <c r="AA1005" s="276" t="e">
        <f>VLOOKUP(Logfile_S12[[#This Row],[DO number]],DO_DB!G:I,3,0)</f>
        <v>#N/A</v>
      </c>
      <c r="AB1005" s="331" t="e">
        <f>EXACT(Logfile_S12[[#This Row],[date pick]],Logfile_S12[[#This Row],[Date]])</f>
        <v>#N/A</v>
      </c>
      <c r="AC10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06" spans="1:29" ht="14.5" hidden="1">
      <c r="A1006" s="220" t="str">
        <f t="shared" si="40"/>
        <v>1002</v>
      </c>
      <c r="B1006" s="221"/>
      <c r="C1006" s="221" t="s">
        <v>49</v>
      </c>
      <c r="D1006" s="221" t="s">
        <v>4183</v>
      </c>
      <c r="E1006" s="221" t="s">
        <v>3295</v>
      </c>
      <c r="F1006" s="221" t="s">
        <v>3299</v>
      </c>
      <c r="G1006" s="222">
        <v>45532</v>
      </c>
      <c r="H1006" s="223">
        <v>0.47847222222222224</v>
      </c>
      <c r="I1006" s="221" t="s">
        <v>4916</v>
      </c>
      <c r="J1006" s="221" t="s">
        <v>3023</v>
      </c>
      <c r="K1006" s="224" t="s">
        <v>13</v>
      </c>
      <c r="L1006" s="225" t="str">
        <f>VLOOKUP(Logfile_S12[[#This Row],[Material Name]],Sheet2!B:C,2,0)</f>
        <v>ZTE2008</v>
      </c>
      <c r="M1006" s="225" t="str">
        <f>_xlfn.XLOOKUP(Logfile_S12[[#This Row],[Material Name]],Sum_WH!E:E,Sum_WH!F:F,"",0)</f>
        <v>Pcs</v>
      </c>
      <c r="N1006" s="221">
        <v>30</v>
      </c>
      <c r="O1006" s="221" t="s">
        <v>1911</v>
      </c>
      <c r="P1006" s="221" t="s">
        <v>1912</v>
      </c>
      <c r="Q1006" s="221"/>
      <c r="R1006" s="221"/>
      <c r="S1006" s="221"/>
      <c r="T1006" s="221" t="s">
        <v>3471</v>
      </c>
      <c r="U1006" s="221">
        <v>0</v>
      </c>
      <c r="V1006" s="221" t="s">
        <v>3472</v>
      </c>
      <c r="W1006" s="221" t="s">
        <v>3473</v>
      </c>
      <c r="X1006" s="221"/>
      <c r="Y1006" s="227"/>
      <c r="Z1006" s="227" t="str">
        <f t="shared" si="41"/>
        <v>Dilem RW 03 Kepanjen</v>
      </c>
      <c r="AA1006" s="276" t="e">
        <f>VLOOKUP(Logfile_S12[[#This Row],[DO number]],DO_DB!G:I,3,0)</f>
        <v>#N/A</v>
      </c>
      <c r="AB1006" s="331" t="e">
        <f>EXACT(Logfile_S12[[#This Row],[date pick]],Logfile_S12[[#This Row],[Date]])</f>
        <v>#N/A</v>
      </c>
      <c r="AC10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07" spans="1:29" ht="14.5" hidden="1">
      <c r="A1007" s="220" t="str">
        <f t="shared" si="40"/>
        <v>1003</v>
      </c>
      <c r="B1007" s="221"/>
      <c r="C1007" s="221" t="s">
        <v>49</v>
      </c>
      <c r="D1007" s="221" t="s">
        <v>4193</v>
      </c>
      <c r="E1007" s="221" t="s">
        <v>3295</v>
      </c>
      <c r="F1007" s="221" t="s">
        <v>3299</v>
      </c>
      <c r="G1007" s="222">
        <v>45535</v>
      </c>
      <c r="H1007" s="223">
        <v>0.52083333333333337</v>
      </c>
      <c r="I1007" s="221" t="s">
        <v>4916</v>
      </c>
      <c r="J1007" s="221" t="s">
        <v>3023</v>
      </c>
      <c r="K1007" s="224" t="s">
        <v>13</v>
      </c>
      <c r="L1007" s="225" t="str">
        <f>VLOOKUP(Logfile_S12[[#This Row],[Material Name]],Sheet2!B:C,2,0)</f>
        <v>ZTE2008</v>
      </c>
      <c r="M1007" s="225" t="str">
        <f>_xlfn.XLOOKUP(Logfile_S12[[#This Row],[Material Name]],Sum_WH!E:E,Sum_WH!F:F,"",0)</f>
        <v>Pcs</v>
      </c>
      <c r="N1007" s="221">
        <v>38</v>
      </c>
      <c r="O1007" s="221" t="s">
        <v>1929</v>
      </c>
      <c r="P1007" s="221" t="s">
        <v>1930</v>
      </c>
      <c r="Q1007" s="221"/>
      <c r="R1007" s="221"/>
      <c r="S1007" s="221"/>
      <c r="T1007" s="221" t="s">
        <v>3244</v>
      </c>
      <c r="U1007" s="221">
        <v>0</v>
      </c>
      <c r="V1007" s="221" t="s">
        <v>3248</v>
      </c>
      <c r="W1007" s="221" t="s">
        <v>3252</v>
      </c>
      <c r="X1007" s="221"/>
      <c r="Y1007" s="227"/>
      <c r="Z1007" s="227" t="str">
        <f t="shared" si="41"/>
        <v>Dusun Krajan Sumbersekar</v>
      </c>
      <c r="AA1007" s="276" t="e">
        <f>VLOOKUP(Logfile_S12[[#This Row],[DO number]],DO_DB!G:I,3,0)</f>
        <v>#N/A</v>
      </c>
      <c r="AB1007" s="331" t="e">
        <f>EXACT(Logfile_S12[[#This Row],[date pick]],Logfile_S12[[#This Row],[Date]])</f>
        <v>#N/A</v>
      </c>
      <c r="AC10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08" spans="1:29" ht="14.5" hidden="1">
      <c r="A1008" s="220" t="str">
        <f t="shared" si="40"/>
        <v>1004</v>
      </c>
      <c r="B1008" s="221"/>
      <c r="C1008" s="221" t="s">
        <v>49</v>
      </c>
      <c r="D1008" s="221" t="s">
        <v>4202</v>
      </c>
      <c r="E1008" s="221" t="s">
        <v>3295</v>
      </c>
      <c r="F1008" s="221" t="s">
        <v>3299</v>
      </c>
      <c r="G1008" s="222">
        <v>45539</v>
      </c>
      <c r="H1008" s="223">
        <v>8.1944444444444445E-2</v>
      </c>
      <c r="I1008" s="221" t="s">
        <v>4916</v>
      </c>
      <c r="J1008" s="221" t="s">
        <v>3023</v>
      </c>
      <c r="K1008" s="224" t="s">
        <v>13</v>
      </c>
      <c r="L1008" s="225" t="str">
        <f>VLOOKUP(Logfile_S12[[#This Row],[Material Name]],Sheet2!B:C,2,0)</f>
        <v>ZTE2008</v>
      </c>
      <c r="M1008" s="225" t="str">
        <f>_xlfn.XLOOKUP(Logfile_S12[[#This Row],[Material Name]],Sum_WH!E:E,Sum_WH!F:F,"",0)</f>
        <v>Pcs</v>
      </c>
      <c r="N1008" s="221">
        <v>26</v>
      </c>
      <c r="O1008" s="221" t="s">
        <v>1951</v>
      </c>
      <c r="P1008" s="221" t="s">
        <v>3374</v>
      </c>
      <c r="Q1008" s="221"/>
      <c r="R1008" s="221"/>
      <c r="S1008" s="221"/>
      <c r="T1008" s="221" t="s">
        <v>3231</v>
      </c>
      <c r="U1008" s="221">
        <v>0</v>
      </c>
      <c r="V1008" s="221" t="s">
        <v>3232</v>
      </c>
      <c r="W1008" s="221" t="s">
        <v>3254</v>
      </c>
      <c r="X1008" s="221"/>
      <c r="Y1008" s="227"/>
      <c r="Z1008" s="227" t="str">
        <f t="shared" si="41"/>
        <v>SENGGURUH RW 01 MALANG</v>
      </c>
      <c r="AA1008" s="276" t="e">
        <f>VLOOKUP(Logfile_S12[[#This Row],[DO number]],DO_DB!G:I,3,0)</f>
        <v>#N/A</v>
      </c>
      <c r="AB1008" s="331" t="e">
        <f>EXACT(Logfile_S12[[#This Row],[date pick]],Logfile_S12[[#This Row],[Date]])</f>
        <v>#N/A</v>
      </c>
      <c r="AC10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09" spans="1:29" ht="14.5" hidden="1">
      <c r="A1009" s="220" t="str">
        <f t="shared" si="40"/>
        <v>1005</v>
      </c>
      <c r="B1009" s="221"/>
      <c r="C1009" s="221" t="s">
        <v>49</v>
      </c>
      <c r="D1009" s="221" t="s">
        <v>4209</v>
      </c>
      <c r="E1009" s="221" t="s">
        <v>3295</v>
      </c>
      <c r="F1009" s="221" t="s">
        <v>3299</v>
      </c>
      <c r="G1009" s="222">
        <v>45541</v>
      </c>
      <c r="H1009" s="223">
        <v>8.1944444444444445E-2</v>
      </c>
      <c r="I1009" s="221" t="s">
        <v>4916</v>
      </c>
      <c r="J1009" s="221" t="s">
        <v>3023</v>
      </c>
      <c r="K1009" s="224" t="s">
        <v>13</v>
      </c>
      <c r="L1009" s="225" t="str">
        <f>VLOOKUP(Logfile_S12[[#This Row],[Material Name]],Sheet2!B:C,2,0)</f>
        <v>ZTE2008</v>
      </c>
      <c r="M1009" s="225" t="str">
        <f>_xlfn.XLOOKUP(Logfile_S12[[#This Row],[Material Name]],Sum_WH!E:E,Sum_WH!F:F,"",0)</f>
        <v>Pcs</v>
      </c>
      <c r="N1009" s="221">
        <v>13</v>
      </c>
      <c r="O1009" s="221" t="s">
        <v>1955</v>
      </c>
      <c r="P1009" s="221" t="s">
        <v>3512</v>
      </c>
      <c r="Q1009" s="221"/>
      <c r="R1009" s="221"/>
      <c r="S1009" s="221"/>
      <c r="T1009" s="221" t="s">
        <v>3231</v>
      </c>
      <c r="U1009" s="221">
        <v>0</v>
      </c>
      <c r="V1009" s="221" t="s">
        <v>3232</v>
      </c>
      <c r="W1009" s="221" t="s">
        <v>3254</v>
      </c>
      <c r="X1009" s="221"/>
      <c r="Y1009" s="227"/>
      <c r="Z1009" s="227" t="str">
        <f t="shared" si="41"/>
        <v>SENGGURUH RW 02 MALANG</v>
      </c>
      <c r="AA1009" s="276" t="e">
        <f>VLOOKUP(Logfile_S12[[#This Row],[DO number]],DO_DB!G:I,3,0)</f>
        <v>#N/A</v>
      </c>
      <c r="AB1009" s="331" t="e">
        <f>EXACT(Logfile_S12[[#This Row],[date pick]],Logfile_S12[[#This Row],[Date]])</f>
        <v>#N/A</v>
      </c>
      <c r="AC10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10" spans="1:29" ht="14.5" hidden="1">
      <c r="A1010" s="220" t="str">
        <f t="shared" si="40"/>
        <v>1006</v>
      </c>
      <c r="B1010" s="221"/>
      <c r="C1010" s="221" t="s">
        <v>49</v>
      </c>
      <c r="D1010" s="221" t="s">
        <v>4213</v>
      </c>
      <c r="E1010" s="221" t="s">
        <v>3295</v>
      </c>
      <c r="F1010" s="221" t="s">
        <v>3299</v>
      </c>
      <c r="G1010" s="222">
        <v>45542</v>
      </c>
      <c r="H1010" s="223">
        <v>8.1944444444444445E-2</v>
      </c>
      <c r="I1010" s="221" t="s">
        <v>4916</v>
      </c>
      <c r="J1010" s="221" t="s">
        <v>3023</v>
      </c>
      <c r="K1010" s="224" t="s">
        <v>13</v>
      </c>
      <c r="L1010" s="225" t="str">
        <f>VLOOKUP(Logfile_S12[[#This Row],[Material Name]],Sheet2!B:C,2,0)</f>
        <v>ZTE2008</v>
      </c>
      <c r="M1010" s="225" t="str">
        <f>_xlfn.XLOOKUP(Logfile_S12[[#This Row],[Material Name]],Sum_WH!E:E,Sum_WH!F:F,"",0)</f>
        <v>Pcs</v>
      </c>
      <c r="N1010" s="221">
        <v>11</v>
      </c>
      <c r="O1010" s="221" t="s">
        <v>1959</v>
      </c>
      <c r="P1010" s="221" t="s">
        <v>3539</v>
      </c>
      <c r="Q1010" s="221"/>
      <c r="R1010" s="221"/>
      <c r="S1010" s="221"/>
      <c r="T1010" s="221" t="s">
        <v>3231</v>
      </c>
      <c r="U1010" s="221">
        <v>0</v>
      </c>
      <c r="V1010" s="221" t="s">
        <v>3232</v>
      </c>
      <c r="W1010" s="221" t="s">
        <v>3254</v>
      </c>
      <c r="X1010" s="221"/>
      <c r="Y1010" s="227"/>
      <c r="Z1010" s="227" t="str">
        <f t="shared" si="41"/>
        <v>SENGGURUH RW 03 MALANG</v>
      </c>
      <c r="AA1010" s="276" t="e">
        <f>VLOOKUP(Logfile_S12[[#This Row],[DO number]],DO_DB!G:I,3,0)</f>
        <v>#N/A</v>
      </c>
      <c r="AB1010" s="331" t="e">
        <f>EXACT(Logfile_S12[[#This Row],[date pick]],Logfile_S12[[#This Row],[Date]])</f>
        <v>#N/A</v>
      </c>
      <c r="AC10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11" spans="1:29" ht="14.5" hidden="1">
      <c r="A1011" s="220" t="str">
        <f t="shared" si="40"/>
        <v>1007</v>
      </c>
      <c r="B1011" s="221"/>
      <c r="C1011" s="221" t="s">
        <v>49</v>
      </c>
      <c r="D1011" s="221" t="s">
        <v>4216</v>
      </c>
      <c r="E1011" s="221" t="s">
        <v>3295</v>
      </c>
      <c r="F1011" s="221" t="s">
        <v>3299</v>
      </c>
      <c r="G1011" s="222">
        <v>45543</v>
      </c>
      <c r="H1011" s="223">
        <v>0.33194444444444443</v>
      </c>
      <c r="I1011" s="221" t="s">
        <v>4916</v>
      </c>
      <c r="J1011" s="221" t="s">
        <v>3023</v>
      </c>
      <c r="K1011" s="224" t="s">
        <v>13</v>
      </c>
      <c r="L1011" s="225" t="str">
        <f>VLOOKUP(Logfile_S12[[#This Row],[Material Name]],Sheet2!B:C,2,0)</f>
        <v>ZTE2008</v>
      </c>
      <c r="M1011" s="225" t="str">
        <f>_xlfn.XLOOKUP(Logfile_S12[[#This Row],[Material Name]],Sum_WH!E:E,Sum_WH!F:F,"",0)</f>
        <v>Pcs</v>
      </c>
      <c r="N1011" s="221">
        <v>7</v>
      </c>
      <c r="O1011" s="221" t="s">
        <v>2025</v>
      </c>
      <c r="P1011" s="221" t="s">
        <v>2026</v>
      </c>
      <c r="Q1011" s="221"/>
      <c r="R1011" s="221"/>
      <c r="S1011" s="221"/>
      <c r="T1011" s="221" t="s">
        <v>3231</v>
      </c>
      <c r="U1011" s="221">
        <v>0</v>
      </c>
      <c r="V1011" s="221" t="s">
        <v>3232</v>
      </c>
      <c r="W1011" s="221" t="s">
        <v>3254</v>
      </c>
      <c r="X1011" s="221"/>
      <c r="Y1011" s="227"/>
      <c r="Z1011" s="227" t="str">
        <f t="shared" si="41"/>
        <v>NGENEP UTARA RW 03 MALANG</v>
      </c>
      <c r="AA1011" s="276" t="e">
        <f>VLOOKUP(Logfile_S12[[#This Row],[DO number]],DO_DB!G:I,3,0)</f>
        <v>#N/A</v>
      </c>
      <c r="AB1011" s="331" t="e">
        <f>EXACT(Logfile_S12[[#This Row],[date pick]],Logfile_S12[[#This Row],[Date]])</f>
        <v>#N/A</v>
      </c>
      <c r="AC10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12" spans="1:29" ht="14.5" hidden="1">
      <c r="A1012" s="220" t="str">
        <f t="shared" si="40"/>
        <v>1008</v>
      </c>
      <c r="B1012" s="221"/>
      <c r="C1012" s="221" t="s">
        <v>3313</v>
      </c>
      <c r="D1012" s="221" t="s">
        <v>4223</v>
      </c>
      <c r="E1012" s="221" t="s">
        <v>3295</v>
      </c>
      <c r="F1012" s="221" t="s">
        <v>3299</v>
      </c>
      <c r="G1012" s="222">
        <v>45554</v>
      </c>
      <c r="H1012" s="223">
        <v>15.291666666666666</v>
      </c>
      <c r="I1012" s="221" t="s">
        <v>4917</v>
      </c>
      <c r="J1012" s="221" t="s">
        <v>3023</v>
      </c>
      <c r="K1012" s="224" t="s">
        <v>13</v>
      </c>
      <c r="L1012" s="225" t="str">
        <f>VLOOKUP(Logfile_S12[[#This Row],[Material Name]],Sheet2!B:C,2,0)</f>
        <v>ZTE2008</v>
      </c>
      <c r="M1012" s="225" t="str">
        <f>_xlfn.XLOOKUP(Logfile_S12[[#This Row],[Material Name]],Sum_WH!E:E,Sum_WH!F:F,"",0)</f>
        <v>Pcs</v>
      </c>
      <c r="N1012" s="221">
        <v>35</v>
      </c>
      <c r="O1012" s="221" t="s">
        <v>3314</v>
      </c>
      <c r="P1012" s="221" t="s">
        <v>68</v>
      </c>
      <c r="Q1012" s="221">
        <v>0</v>
      </c>
      <c r="R1012" s="221">
        <v>0</v>
      </c>
      <c r="S1012" s="221"/>
      <c r="T1012" s="221"/>
      <c r="U1012" s="221"/>
      <c r="V1012" s="221"/>
      <c r="W1012" s="221"/>
      <c r="X1012" s="221" t="s">
        <v>4224</v>
      </c>
      <c r="Y1012" s="227"/>
      <c r="Z1012" s="227" t="str">
        <f t="shared" si="41"/>
        <v>Blitar</v>
      </c>
      <c r="AA1012" s="276" t="e">
        <f>VLOOKUP(Logfile_S12[[#This Row],[DO number]],DO_DB!G:I,3,0)</f>
        <v>#N/A</v>
      </c>
      <c r="AB1012" s="331" t="e">
        <f>EXACT(Logfile_S12[[#This Row],[date pick]],Logfile_S12[[#This Row],[Date]])</f>
        <v>#N/A</v>
      </c>
      <c r="AC10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13" spans="1:29" ht="14.5" hidden="1">
      <c r="A1013" s="220" t="str">
        <f t="shared" si="40"/>
        <v>1009</v>
      </c>
      <c r="B1013" s="221"/>
      <c r="C1013" s="221" t="s">
        <v>48</v>
      </c>
      <c r="D1013" s="221" t="s">
        <v>4228</v>
      </c>
      <c r="E1013" s="221" t="s">
        <v>3295</v>
      </c>
      <c r="F1013" s="221" t="s">
        <v>3299</v>
      </c>
      <c r="G1013" s="222">
        <v>45555</v>
      </c>
      <c r="H1013" s="223">
        <v>15.291666666666666</v>
      </c>
      <c r="I1013" s="221" t="s">
        <v>37</v>
      </c>
      <c r="J1013" s="221" t="s">
        <v>3023</v>
      </c>
      <c r="K1013" s="224" t="s">
        <v>13</v>
      </c>
      <c r="L1013" s="225" t="str">
        <f>VLOOKUP(Logfile_S12[[#This Row],[Material Name]],Sheet2!B:C,2,0)</f>
        <v>ZTE2008</v>
      </c>
      <c r="M1013" s="225" t="str">
        <f>_xlfn.XLOOKUP(Logfile_S12[[#This Row],[Material Name]],Sum_WH!E:E,Sum_WH!F:F,"",0)</f>
        <v>Pcs</v>
      </c>
      <c r="N1013" s="221">
        <v>22</v>
      </c>
      <c r="O1013" s="221"/>
      <c r="P1013" s="221"/>
      <c r="Q1013" s="221">
        <v>0</v>
      </c>
      <c r="R1013" s="221">
        <v>0</v>
      </c>
      <c r="S1013" s="221"/>
      <c r="T1013" s="221"/>
      <c r="U1013" s="221"/>
      <c r="V1013" s="221"/>
      <c r="W1013" s="221"/>
      <c r="X1013" s="221"/>
      <c r="Y1013" s="227"/>
      <c r="Z1013" s="227">
        <f t="shared" si="41"/>
        <v>0</v>
      </c>
      <c r="AA1013" s="276" t="e">
        <f>VLOOKUP(Logfile_S12[[#This Row],[DO number]],DO_DB!G:I,3,0)</f>
        <v>#N/A</v>
      </c>
      <c r="AB1013" s="331" t="e">
        <f>EXACT(Logfile_S12[[#This Row],[date pick]],Logfile_S12[[#This Row],[Date]])</f>
        <v>#N/A</v>
      </c>
      <c r="AC10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14" spans="1:29" ht="14.5" hidden="1">
      <c r="A1014" s="220" t="str">
        <f t="shared" si="40"/>
        <v>1010</v>
      </c>
      <c r="B1014" s="221"/>
      <c r="C1014" s="221" t="s">
        <v>49</v>
      </c>
      <c r="D1014" s="221" t="s">
        <v>4236</v>
      </c>
      <c r="E1014" s="221" t="s">
        <v>3295</v>
      </c>
      <c r="F1014" s="221" t="s">
        <v>3299</v>
      </c>
      <c r="G1014" s="222">
        <v>45561</v>
      </c>
      <c r="H1014" s="223">
        <v>0.79027777777777775</v>
      </c>
      <c r="I1014" s="221" t="s">
        <v>4916</v>
      </c>
      <c r="J1014" s="221" t="s">
        <v>3023</v>
      </c>
      <c r="K1014" s="224" t="s">
        <v>13</v>
      </c>
      <c r="L1014" s="225" t="str">
        <f>VLOOKUP(Logfile_S12[[#This Row],[Material Name]],Sheet2!B:C,2,0)</f>
        <v>ZTE2008</v>
      </c>
      <c r="M1014" s="225" t="str">
        <f>_xlfn.XLOOKUP(Logfile_S12[[#This Row],[Material Name]],Sum_WH!E:E,Sum_WH!F:F,"",0)</f>
        <v>Pcs</v>
      </c>
      <c r="N1014" s="221">
        <v>12</v>
      </c>
      <c r="O1014" s="221" t="s">
        <v>2160</v>
      </c>
      <c r="P1014" s="221" t="s">
        <v>2161</v>
      </c>
      <c r="Q1014" s="221"/>
      <c r="R1014" s="221"/>
      <c r="S1014" s="221"/>
      <c r="T1014" s="221" t="s">
        <v>3474</v>
      </c>
      <c r="U1014" s="221">
        <v>0</v>
      </c>
      <c r="V1014" s="221" t="s">
        <v>3475</v>
      </c>
      <c r="W1014" s="221" t="s">
        <v>3476</v>
      </c>
      <c r="X1014" s="221"/>
      <c r="Y1014" s="227"/>
      <c r="Z1014" s="227" t="str">
        <f t="shared" si="41"/>
        <v>Ngenep RW 10 Malang</v>
      </c>
      <c r="AA1014" s="276" t="e">
        <f>VLOOKUP(Logfile_S12[[#This Row],[DO number]],DO_DB!G:I,3,0)</f>
        <v>#N/A</v>
      </c>
      <c r="AB1014" s="331" t="e">
        <f>EXACT(Logfile_S12[[#This Row],[date pick]],Logfile_S12[[#This Row],[Date]])</f>
        <v>#N/A</v>
      </c>
      <c r="AC10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15" spans="1:29" ht="14.5" hidden="1">
      <c r="A1015" s="220" t="str">
        <f t="shared" si="40"/>
        <v>1011</v>
      </c>
      <c r="B1015" s="221"/>
      <c r="C1015" s="221" t="s">
        <v>49</v>
      </c>
      <c r="D1015" s="221" t="s">
        <v>4242</v>
      </c>
      <c r="E1015" s="221" t="s">
        <v>3295</v>
      </c>
      <c r="F1015" s="221" t="s">
        <v>3299</v>
      </c>
      <c r="G1015" s="222">
        <v>45563</v>
      </c>
      <c r="H1015" s="223">
        <v>0.79027777777777775</v>
      </c>
      <c r="I1015" s="221" t="s">
        <v>4916</v>
      </c>
      <c r="J1015" s="221" t="s">
        <v>3023</v>
      </c>
      <c r="K1015" s="224" t="s">
        <v>13</v>
      </c>
      <c r="L1015" s="225" t="str">
        <f>VLOOKUP(Logfile_S12[[#This Row],[Material Name]],Sheet2!B:C,2,0)</f>
        <v>ZTE2008</v>
      </c>
      <c r="M1015" s="225" t="str">
        <f>_xlfn.XLOOKUP(Logfile_S12[[#This Row],[Material Name]],Sum_WH!E:E,Sum_WH!F:F,"",0)</f>
        <v>Pcs</v>
      </c>
      <c r="N1015" s="221">
        <v>17</v>
      </c>
      <c r="O1015" s="221" t="s">
        <v>2166</v>
      </c>
      <c r="P1015" s="221" t="s">
        <v>2167</v>
      </c>
      <c r="Q1015" s="221"/>
      <c r="R1015" s="221"/>
      <c r="S1015" s="221"/>
      <c r="T1015" s="221" t="s">
        <v>3356</v>
      </c>
      <c r="U1015" s="221">
        <v>0</v>
      </c>
      <c r="V1015" s="221" t="s">
        <v>3357</v>
      </c>
      <c r="W1015" s="221" t="s">
        <v>3358</v>
      </c>
      <c r="X1015" s="221"/>
      <c r="Y1015" s="227"/>
      <c r="Z1015" s="227" t="str">
        <f t="shared" si="41"/>
        <v>Dusun Mojosari Ngenep</v>
      </c>
      <c r="AA1015" s="276" t="e">
        <f>VLOOKUP(Logfile_S12[[#This Row],[DO number]],DO_DB!G:I,3,0)</f>
        <v>#N/A</v>
      </c>
      <c r="AB1015" s="331" t="e">
        <f>EXACT(Logfile_S12[[#This Row],[date pick]],Logfile_S12[[#This Row],[Date]])</f>
        <v>#N/A</v>
      </c>
      <c r="AC10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16" spans="1:29" ht="14.5" hidden="1">
      <c r="A1016" s="220" t="str">
        <f t="shared" si="40"/>
        <v>1012</v>
      </c>
      <c r="B1016" s="221"/>
      <c r="C1016" s="221" t="s">
        <v>49</v>
      </c>
      <c r="D1016" s="221" t="s">
        <v>4246</v>
      </c>
      <c r="E1016" s="221" t="s">
        <v>3295</v>
      </c>
      <c r="F1016" s="221" t="s">
        <v>3299</v>
      </c>
      <c r="G1016" s="222">
        <v>45570</v>
      </c>
      <c r="H1016" s="223">
        <v>0.79027777777777775</v>
      </c>
      <c r="I1016" s="221" t="s">
        <v>4916</v>
      </c>
      <c r="J1016" s="221" t="s">
        <v>3023</v>
      </c>
      <c r="K1016" s="224" t="s">
        <v>13</v>
      </c>
      <c r="L1016" s="225" t="str">
        <f>VLOOKUP(Logfile_S12[[#This Row],[Material Name]],Sheet2!B:C,2,0)</f>
        <v>ZTE2008</v>
      </c>
      <c r="M1016" s="225" t="str">
        <f>_xlfn.XLOOKUP(Logfile_S12[[#This Row],[Material Name]],Sum_WH!E:E,Sum_WH!F:F,"",0)</f>
        <v>Pcs</v>
      </c>
      <c r="N1016" s="221">
        <v>22</v>
      </c>
      <c r="O1016" s="221" t="s">
        <v>1923</v>
      </c>
      <c r="P1016" s="221" t="s">
        <v>1924</v>
      </c>
      <c r="Q1016" s="221"/>
      <c r="R1016" s="221"/>
      <c r="S1016" s="221"/>
      <c r="T1016" s="221" t="s">
        <v>3356</v>
      </c>
      <c r="U1016" s="221">
        <v>0</v>
      </c>
      <c r="V1016" s="221" t="s">
        <v>3357</v>
      </c>
      <c r="W1016" s="221" t="s">
        <v>3358</v>
      </c>
      <c r="X1016" s="221"/>
      <c r="Y1016" s="227"/>
      <c r="Z1016" s="227" t="str">
        <f t="shared" si="41"/>
        <v>Pakisaji RW 01 Malang</v>
      </c>
      <c r="AA1016" s="276" t="e">
        <f>VLOOKUP(Logfile_S12[[#This Row],[DO number]],DO_DB!G:I,3,0)</f>
        <v>#N/A</v>
      </c>
      <c r="AB1016" s="331" t="e">
        <f>EXACT(Logfile_S12[[#This Row],[date pick]],Logfile_S12[[#This Row],[Date]])</f>
        <v>#N/A</v>
      </c>
      <c r="AC10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17" spans="1:29" ht="14.5" hidden="1">
      <c r="A1017" s="220" t="str">
        <f t="shared" si="40"/>
        <v>1013</v>
      </c>
      <c r="B1017" s="221"/>
      <c r="C1017" s="221" t="s">
        <v>48</v>
      </c>
      <c r="D1017" s="221" t="s">
        <v>4272</v>
      </c>
      <c r="E1017" s="221" t="s">
        <v>3295</v>
      </c>
      <c r="F1017" s="221" t="s">
        <v>3299</v>
      </c>
      <c r="G1017" s="222">
        <v>45602</v>
      </c>
      <c r="H1017" s="223">
        <v>15.291666666666666</v>
      </c>
      <c r="I1017" s="221" t="s">
        <v>37</v>
      </c>
      <c r="J1017" s="221" t="s">
        <v>3023</v>
      </c>
      <c r="K1017" s="224" t="s">
        <v>13</v>
      </c>
      <c r="L1017" s="225" t="str">
        <f>VLOOKUP(Logfile_S12[[#This Row],[Material Name]],Sheet2!B:C,2,0)</f>
        <v>ZTE2008</v>
      </c>
      <c r="M1017" s="225" t="str">
        <f>_xlfn.XLOOKUP(Logfile_S12[[#This Row],[Material Name]],Sum_WH!E:E,Sum_WH!F:F,"",0)</f>
        <v>Pcs</v>
      </c>
      <c r="N1017" s="221">
        <v>10</v>
      </c>
      <c r="O1017" s="221" t="s">
        <v>2350</v>
      </c>
      <c r="P1017" s="221" t="s">
        <v>3470</v>
      </c>
      <c r="Q1017" s="221" t="s">
        <v>2358</v>
      </c>
      <c r="R1017" s="221" t="s">
        <v>2359</v>
      </c>
      <c r="S1017" s="221"/>
      <c r="T1017" s="221"/>
      <c r="U1017" s="221"/>
      <c r="V1017" s="221"/>
      <c r="W1017" s="221"/>
      <c r="X1017" s="221"/>
      <c r="Y1017" s="227"/>
      <c r="Z1017" s="227" t="str">
        <f t="shared" si="41"/>
        <v>Kalirejo RW 13 Lawang</v>
      </c>
      <c r="AA1017" s="276">
        <f>VLOOKUP(Logfile_S12[[#This Row],[DO number]],DO_DB!G:I,3,0)</f>
        <v>45602</v>
      </c>
      <c r="AB1017" s="331" t="b">
        <f>EXACT(Logfile_S12[[#This Row],[date pick]],Logfile_S12[[#This Row],[Date]])</f>
        <v>1</v>
      </c>
      <c r="AC10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18" spans="1:29" ht="14.5" hidden="1">
      <c r="A1018" s="220" t="str">
        <f t="shared" si="40"/>
        <v>1014</v>
      </c>
      <c r="B1018" s="221"/>
      <c r="C1018" s="221" t="s">
        <v>48</v>
      </c>
      <c r="D1018" s="221" t="s">
        <v>4272</v>
      </c>
      <c r="E1018" s="221" t="s">
        <v>3295</v>
      </c>
      <c r="F1018" s="221" t="s">
        <v>3299</v>
      </c>
      <c r="G1018" s="222">
        <v>45602</v>
      </c>
      <c r="H1018" s="223">
        <v>15.291666666666666</v>
      </c>
      <c r="I1018" s="221" t="s">
        <v>37</v>
      </c>
      <c r="J1018" s="221" t="s">
        <v>3023</v>
      </c>
      <c r="K1018" s="224" t="s">
        <v>13</v>
      </c>
      <c r="L1018" s="225" t="str">
        <f>VLOOKUP(Logfile_S12[[#This Row],[Material Name]],Sheet2!B:C,2,0)</f>
        <v>ZTE2008</v>
      </c>
      <c r="M1018" s="225" t="str">
        <f>_xlfn.XLOOKUP(Logfile_S12[[#This Row],[Material Name]],Sum_WH!E:E,Sum_WH!F:F,"",0)</f>
        <v>Pcs</v>
      </c>
      <c r="N1018" s="221">
        <v>29</v>
      </c>
      <c r="O1018" s="221" t="s">
        <v>2360</v>
      </c>
      <c r="P1018" s="221" t="s">
        <v>2361</v>
      </c>
      <c r="Q1018" s="221" t="s">
        <v>2362</v>
      </c>
      <c r="R1018" s="221" t="s">
        <v>2363</v>
      </c>
      <c r="S1018" s="221"/>
      <c r="T1018" s="221"/>
      <c r="U1018" s="221"/>
      <c r="V1018" s="221"/>
      <c r="W1018" s="221"/>
      <c r="X1018" s="221"/>
      <c r="Y1018" s="227"/>
      <c r="Z1018" s="227" t="str">
        <f t="shared" si="41"/>
        <v>Tambakasri RW 02 Tajinan</v>
      </c>
      <c r="AA1018" s="276">
        <f>VLOOKUP(Logfile_S12[[#This Row],[DO number]],DO_DB!G:I,3,0)</f>
        <v>45602</v>
      </c>
      <c r="AB1018" s="331" t="b">
        <f>EXACT(Logfile_S12[[#This Row],[date pick]],Logfile_S12[[#This Row],[Date]])</f>
        <v>1</v>
      </c>
      <c r="AC10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19" spans="1:29" ht="14.5" hidden="1">
      <c r="A1019" s="220" t="str">
        <f t="shared" si="40"/>
        <v>1015</v>
      </c>
      <c r="B1019" s="221"/>
      <c r="C1019" s="221" t="s">
        <v>49</v>
      </c>
      <c r="D1019" s="221" t="s">
        <v>4273</v>
      </c>
      <c r="E1019" s="221" t="s">
        <v>3295</v>
      </c>
      <c r="F1019" s="221" t="s">
        <v>3299</v>
      </c>
      <c r="G1019" s="222">
        <v>45604</v>
      </c>
      <c r="H1019" s="223">
        <v>0.57152777777777775</v>
      </c>
      <c r="I1019" s="221" t="s">
        <v>4916</v>
      </c>
      <c r="J1019" s="221" t="s">
        <v>3023</v>
      </c>
      <c r="K1019" s="224" t="s">
        <v>13</v>
      </c>
      <c r="L1019" s="225" t="str">
        <f>VLOOKUP(Logfile_S12[[#This Row],[Material Name]],Sheet2!B:C,2,0)</f>
        <v>ZTE2008</v>
      </c>
      <c r="M1019" s="225" t="str">
        <f>_xlfn.XLOOKUP(Logfile_S12[[#This Row],[Material Name]],Sum_WH!E:E,Sum_WH!F:F,"",0)</f>
        <v>Pcs</v>
      </c>
      <c r="N1019" s="221">
        <v>9</v>
      </c>
      <c r="O1019" s="221" t="s">
        <v>1395</v>
      </c>
      <c r="P1019" s="221" t="s">
        <v>1396</v>
      </c>
      <c r="Q1019" s="221"/>
      <c r="R1019" s="221"/>
      <c r="S1019" s="221"/>
      <c r="T1019" s="221" t="s">
        <v>3231</v>
      </c>
      <c r="U1019" s="221">
        <v>0</v>
      </c>
      <c r="V1019" s="221" t="s">
        <v>3232</v>
      </c>
      <c r="W1019" s="221" t="s">
        <v>3254</v>
      </c>
      <c r="X1019" s="221"/>
      <c r="Y1019" s="227"/>
      <c r="Z1019" s="227" t="str">
        <f t="shared" si="41"/>
        <v>Candirenggo RW 10 Singosari</v>
      </c>
      <c r="AA1019" s="276" t="e">
        <f>VLOOKUP(Logfile_S12[[#This Row],[DO number]],DO_DB!G:I,3,0)</f>
        <v>#N/A</v>
      </c>
      <c r="AB1019" s="331" t="e">
        <f>EXACT(Logfile_S12[[#This Row],[date pick]],Logfile_S12[[#This Row],[Date]])</f>
        <v>#N/A</v>
      </c>
      <c r="AC10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20" spans="1:29" ht="14.5" hidden="1">
      <c r="A1020" s="220" t="str">
        <f t="shared" si="40"/>
        <v>1016</v>
      </c>
      <c r="B1020" s="221"/>
      <c r="C1020" s="221" t="s">
        <v>49</v>
      </c>
      <c r="D1020" s="221" t="s">
        <v>4285</v>
      </c>
      <c r="E1020" s="221" t="s">
        <v>3295</v>
      </c>
      <c r="F1020" s="221" t="s">
        <v>3299</v>
      </c>
      <c r="G1020" s="222">
        <v>45620</v>
      </c>
      <c r="H1020" s="223">
        <v>0.79027777777777775</v>
      </c>
      <c r="I1020" s="221" t="s">
        <v>4916</v>
      </c>
      <c r="J1020" s="221" t="s">
        <v>3023</v>
      </c>
      <c r="K1020" s="224" t="s">
        <v>13</v>
      </c>
      <c r="L1020" s="225" t="str">
        <f>VLOOKUP(Logfile_S12[[#This Row],[Material Name]],Sheet2!B:C,2,0)</f>
        <v>ZTE2008</v>
      </c>
      <c r="M1020" s="225" t="str">
        <f>_xlfn.XLOOKUP(Logfile_S12[[#This Row],[Material Name]],Sum_WH!E:E,Sum_WH!F:F,"",0)</f>
        <v>Pcs</v>
      </c>
      <c r="N1020" s="221">
        <v>12</v>
      </c>
      <c r="O1020" s="221" t="s">
        <v>2520</v>
      </c>
      <c r="P1020" s="221" t="s">
        <v>2521</v>
      </c>
      <c r="Q1020" s="221"/>
      <c r="R1020" s="221"/>
      <c r="S1020" s="221"/>
      <c r="T1020" s="221" t="s">
        <v>3231</v>
      </c>
      <c r="U1020" s="221">
        <v>0</v>
      </c>
      <c r="V1020" s="221" t="s">
        <v>3232</v>
      </c>
      <c r="W1020" s="221" t="s">
        <v>3254</v>
      </c>
      <c r="X1020" s="221"/>
      <c r="Y1020" s="227"/>
      <c r="Z1020" s="227" t="str">
        <f t="shared" si="41"/>
        <v>Perumahan Bukit Lawang Indah Malang</v>
      </c>
      <c r="AA1020" s="276" t="e">
        <f>VLOOKUP(Logfile_S12[[#This Row],[DO number]],DO_DB!G:I,3,0)</f>
        <v>#N/A</v>
      </c>
      <c r="AB1020" s="331" t="e">
        <f>EXACT(Logfile_S12[[#This Row],[date pick]],Logfile_S12[[#This Row],[Date]])</f>
        <v>#N/A</v>
      </c>
      <c r="AC10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21" spans="1:29" ht="14.5" hidden="1">
      <c r="A1021" s="220" t="str">
        <f t="shared" si="40"/>
        <v>1017</v>
      </c>
      <c r="B1021" s="221"/>
      <c r="C1021" s="221" t="s">
        <v>49</v>
      </c>
      <c r="D1021" s="221" t="s">
        <v>4286</v>
      </c>
      <c r="E1021" s="221" t="s">
        <v>3295</v>
      </c>
      <c r="F1021" s="221" t="s">
        <v>3299</v>
      </c>
      <c r="G1021" s="222">
        <v>45621</v>
      </c>
      <c r="H1021" s="223">
        <v>0.79027777777777775</v>
      </c>
      <c r="I1021" s="221" t="s">
        <v>4916</v>
      </c>
      <c r="J1021" s="221" t="s">
        <v>3023</v>
      </c>
      <c r="K1021" s="224" t="s">
        <v>13</v>
      </c>
      <c r="L1021" s="225" t="str">
        <f>VLOOKUP(Logfile_S12[[#This Row],[Material Name]],Sheet2!B:C,2,0)</f>
        <v>ZTE2008</v>
      </c>
      <c r="M1021" s="225" t="str">
        <f>_xlfn.XLOOKUP(Logfile_S12[[#This Row],[Material Name]],Sum_WH!E:E,Sum_WH!F:F,"",0)</f>
        <v>Pcs</v>
      </c>
      <c r="N1021" s="221">
        <v>9</v>
      </c>
      <c r="O1021" s="221" t="s">
        <v>2520</v>
      </c>
      <c r="P1021" s="221" t="s">
        <v>2521</v>
      </c>
      <c r="Q1021" s="221"/>
      <c r="R1021" s="221"/>
      <c r="S1021" s="221"/>
      <c r="T1021" s="221" t="s">
        <v>3471</v>
      </c>
      <c r="U1021" s="221">
        <v>0</v>
      </c>
      <c r="V1021" s="221" t="s">
        <v>3472</v>
      </c>
      <c r="W1021" s="221" t="s">
        <v>3473</v>
      </c>
      <c r="X1021" s="221"/>
      <c r="Y1021" s="227"/>
      <c r="Z1021" s="227" t="str">
        <f t="shared" si="41"/>
        <v>Perumahan Bukit Lawang Indah Malang</v>
      </c>
      <c r="AA1021" s="276" t="e">
        <f>VLOOKUP(Logfile_S12[[#This Row],[DO number]],DO_DB!G:I,3,0)</f>
        <v>#N/A</v>
      </c>
      <c r="AB1021" s="331" t="e">
        <f>EXACT(Logfile_S12[[#This Row],[date pick]],Logfile_S12[[#This Row],[Date]])</f>
        <v>#N/A</v>
      </c>
      <c r="AC10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22" spans="1:29" ht="14.5" hidden="1">
      <c r="A1022" s="220" t="str">
        <f t="shared" si="40"/>
        <v>1018</v>
      </c>
      <c r="B1022" s="221"/>
      <c r="C1022" s="221" t="s">
        <v>48</v>
      </c>
      <c r="D1022" s="221" t="s">
        <v>4293</v>
      </c>
      <c r="E1022" s="221" t="s">
        <v>3295</v>
      </c>
      <c r="F1022" s="221" t="s">
        <v>3299</v>
      </c>
      <c r="G1022" s="222">
        <v>45622</v>
      </c>
      <c r="H1022" s="223">
        <v>15.291666666666666</v>
      </c>
      <c r="I1022" s="221" t="s">
        <v>37</v>
      </c>
      <c r="J1022" s="221" t="s">
        <v>3023</v>
      </c>
      <c r="K1022" s="224" t="s">
        <v>13</v>
      </c>
      <c r="L1022" s="225" t="str">
        <f>VLOOKUP(Logfile_S12[[#This Row],[Material Name]],Sheet2!B:C,2,0)</f>
        <v>ZTE2008</v>
      </c>
      <c r="M1022" s="225" t="str">
        <f>_xlfn.XLOOKUP(Logfile_S12[[#This Row],[Material Name]],Sum_WH!E:E,Sum_WH!F:F,"",0)</f>
        <v>Pcs</v>
      </c>
      <c r="N1022" s="221">
        <v>12</v>
      </c>
      <c r="O1022" s="221" t="s">
        <v>2520</v>
      </c>
      <c r="P1022" s="221" t="s">
        <v>3469</v>
      </c>
      <c r="Q1022" s="221" t="s">
        <v>2524</v>
      </c>
      <c r="R1022" s="221" t="s">
        <v>2525</v>
      </c>
      <c r="S1022" s="221"/>
      <c r="T1022" s="221"/>
      <c r="U1022" s="221"/>
      <c r="V1022" s="221"/>
      <c r="W1022" s="221"/>
      <c r="X1022" s="221"/>
      <c r="Y1022" s="227"/>
      <c r="Z1022" s="227" t="str">
        <f t="shared" si="41"/>
        <v>Perumahan Bukit Lawang Indah Malang</v>
      </c>
      <c r="AA1022" s="276">
        <f>VLOOKUP(Logfile_S12[[#This Row],[DO number]],DO_DB!G:I,3,0)</f>
        <v>45622</v>
      </c>
      <c r="AB1022" s="331" t="b">
        <f>EXACT(Logfile_S12[[#This Row],[date pick]],Logfile_S12[[#This Row],[Date]])</f>
        <v>1</v>
      </c>
      <c r="AC10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23" spans="1:29" ht="14.5" hidden="1">
      <c r="A1023" s="220" t="str">
        <f t="shared" si="40"/>
        <v>1019</v>
      </c>
      <c r="B1023" s="221"/>
      <c r="C1023" s="221" t="s">
        <v>48</v>
      </c>
      <c r="D1023" s="221" t="s">
        <v>4290</v>
      </c>
      <c r="E1023" s="221" t="s">
        <v>3295</v>
      </c>
      <c r="F1023" s="221" t="s">
        <v>3299</v>
      </c>
      <c r="G1023" s="222">
        <v>45622</v>
      </c>
      <c r="H1023" s="223">
        <v>15.291666666666666</v>
      </c>
      <c r="I1023" s="221" t="s">
        <v>37</v>
      </c>
      <c r="J1023" s="221" t="s">
        <v>3023</v>
      </c>
      <c r="K1023" s="224" t="s">
        <v>13</v>
      </c>
      <c r="L1023" s="225" t="str">
        <f>VLOOKUP(Logfile_S12[[#This Row],[Material Name]],Sheet2!B:C,2,0)</f>
        <v>ZTE2008</v>
      </c>
      <c r="M1023" s="225" t="str">
        <f>_xlfn.XLOOKUP(Logfile_S12[[#This Row],[Material Name]],Sum_WH!E:E,Sum_WH!F:F,"",0)</f>
        <v>Pcs</v>
      </c>
      <c r="N1023" s="221">
        <v>11</v>
      </c>
      <c r="O1023" s="221" t="s">
        <v>2508</v>
      </c>
      <c r="P1023" s="221" t="s">
        <v>3468</v>
      </c>
      <c r="Q1023" s="221" t="s">
        <v>2512</v>
      </c>
      <c r="R1023" s="221" t="s">
        <v>2513</v>
      </c>
      <c r="S1023" s="221"/>
      <c r="T1023" s="221"/>
      <c r="U1023" s="221"/>
      <c r="V1023" s="221"/>
      <c r="W1023" s="221"/>
      <c r="X1023" s="221"/>
      <c r="Y1023" s="227"/>
      <c r="Z1023" s="227" t="str">
        <f t="shared" si="41"/>
        <v>Bedali RW 04 Kromengan</v>
      </c>
      <c r="AA1023" s="276">
        <f>VLOOKUP(Logfile_S12[[#This Row],[DO number]],DO_DB!G:I,3,0)</f>
        <v>45622</v>
      </c>
      <c r="AB1023" s="331" t="b">
        <f>EXACT(Logfile_S12[[#This Row],[date pick]],Logfile_S12[[#This Row],[Date]])</f>
        <v>1</v>
      </c>
      <c r="AC10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24" spans="1:29" ht="14.5" hidden="1">
      <c r="A1024" s="220" t="str">
        <f t="shared" si="40"/>
        <v>1020</v>
      </c>
      <c r="B1024" s="221"/>
      <c r="C1024" s="221" t="s">
        <v>48</v>
      </c>
      <c r="D1024" s="221" t="s">
        <v>4290</v>
      </c>
      <c r="E1024" s="221" t="s">
        <v>3295</v>
      </c>
      <c r="F1024" s="221" t="s">
        <v>3299</v>
      </c>
      <c r="G1024" s="222">
        <v>45622</v>
      </c>
      <c r="H1024" s="223">
        <v>15.291666666666666</v>
      </c>
      <c r="I1024" s="221" t="s">
        <v>37</v>
      </c>
      <c r="J1024" s="221" t="s">
        <v>3023</v>
      </c>
      <c r="K1024" s="224" t="s">
        <v>13</v>
      </c>
      <c r="L1024" s="225" t="str">
        <f>VLOOKUP(Logfile_S12[[#This Row],[Material Name]],Sheet2!B:C,2,0)</f>
        <v>ZTE2008</v>
      </c>
      <c r="M1024" s="225" t="str">
        <f>_xlfn.XLOOKUP(Logfile_S12[[#This Row],[Material Name]],Sum_WH!E:E,Sum_WH!F:F,"",0)</f>
        <v>Pcs</v>
      </c>
      <c r="N1024" s="221">
        <v>14</v>
      </c>
      <c r="O1024" s="221" t="s">
        <v>2502</v>
      </c>
      <c r="P1024" s="221" t="s">
        <v>2503</v>
      </c>
      <c r="Q1024" s="221" t="s">
        <v>2506</v>
      </c>
      <c r="R1024" s="221" t="s">
        <v>2507</v>
      </c>
      <c r="S1024" s="221"/>
      <c r="T1024" s="221"/>
      <c r="U1024" s="221"/>
      <c r="V1024" s="221"/>
      <c r="W1024" s="221"/>
      <c r="X1024" s="221"/>
      <c r="Y1024" s="227"/>
      <c r="Z1024" s="227" t="str">
        <f t="shared" si="41"/>
        <v>Bedali RW 03 Kromengan</v>
      </c>
      <c r="AA1024" s="276">
        <f>VLOOKUP(Logfile_S12[[#This Row],[DO number]],DO_DB!G:I,3,0)</f>
        <v>45622</v>
      </c>
      <c r="AB1024" s="331" t="b">
        <f>EXACT(Logfile_S12[[#This Row],[date pick]],Logfile_S12[[#This Row],[Date]])</f>
        <v>1</v>
      </c>
      <c r="AC10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25" spans="1:29" ht="14.5" hidden="1">
      <c r="A1025" s="220" t="str">
        <f t="shared" si="40"/>
        <v>1021</v>
      </c>
      <c r="B1025" s="221"/>
      <c r="C1025" s="221" t="s">
        <v>48</v>
      </c>
      <c r="D1025" s="221" t="s">
        <v>4290</v>
      </c>
      <c r="E1025" s="221" t="s">
        <v>3295</v>
      </c>
      <c r="F1025" s="221" t="s">
        <v>3299</v>
      </c>
      <c r="G1025" s="222">
        <v>45622</v>
      </c>
      <c r="H1025" s="223">
        <v>15.291666666666666</v>
      </c>
      <c r="I1025" s="221" t="s">
        <v>37</v>
      </c>
      <c r="J1025" s="221" t="s">
        <v>3023</v>
      </c>
      <c r="K1025" s="224" t="s">
        <v>13</v>
      </c>
      <c r="L1025" s="225" t="str">
        <f>VLOOKUP(Logfile_S12[[#This Row],[Material Name]],Sheet2!B:C,2,0)</f>
        <v>ZTE2008</v>
      </c>
      <c r="M1025" s="225" t="str">
        <f>_xlfn.XLOOKUP(Logfile_S12[[#This Row],[Material Name]],Sum_WH!E:E,Sum_WH!F:F,"",0)</f>
        <v>Pcs</v>
      </c>
      <c r="N1025" s="221">
        <v>17</v>
      </c>
      <c r="O1025" s="221" t="s">
        <v>2514</v>
      </c>
      <c r="P1025" s="221" t="s">
        <v>2515</v>
      </c>
      <c r="Q1025" s="221" t="s">
        <v>2518</v>
      </c>
      <c r="R1025" s="221" t="s">
        <v>2519</v>
      </c>
      <c r="S1025" s="221"/>
      <c r="T1025" s="221"/>
      <c r="U1025" s="221"/>
      <c r="V1025" s="221"/>
      <c r="W1025" s="221"/>
      <c r="X1025" s="221"/>
      <c r="Y1025" s="227"/>
      <c r="Z1025" s="227" t="str">
        <f t="shared" si="41"/>
        <v>Bedali RW 05 Kromengan</v>
      </c>
      <c r="AA1025" s="276">
        <f>VLOOKUP(Logfile_S12[[#This Row],[DO number]],DO_DB!G:I,3,0)</f>
        <v>45622</v>
      </c>
      <c r="AB1025" s="331" t="b">
        <f>EXACT(Logfile_S12[[#This Row],[date pick]],Logfile_S12[[#This Row],[Date]])</f>
        <v>1</v>
      </c>
      <c r="AC10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26" spans="1:29" ht="14.5" hidden="1">
      <c r="A1026" s="220" t="str">
        <f t="shared" si="40"/>
        <v>1022</v>
      </c>
      <c r="B1026" s="221"/>
      <c r="C1026" s="221" t="s">
        <v>49</v>
      </c>
      <c r="D1026" s="221" t="s">
        <v>4294</v>
      </c>
      <c r="E1026" s="221" t="s">
        <v>3295</v>
      </c>
      <c r="F1026" s="221" t="s">
        <v>3299</v>
      </c>
      <c r="G1026" s="222">
        <v>45624</v>
      </c>
      <c r="H1026" s="223">
        <v>0.3923611111111111</v>
      </c>
      <c r="I1026" s="221" t="s">
        <v>4916</v>
      </c>
      <c r="J1026" s="221" t="s">
        <v>3023</v>
      </c>
      <c r="K1026" s="224" t="s">
        <v>13</v>
      </c>
      <c r="L1026" s="225" t="str">
        <f>VLOOKUP(Logfile_S12[[#This Row],[Material Name]],Sheet2!B:C,2,0)</f>
        <v>ZTE2008</v>
      </c>
      <c r="M1026" s="225" t="str">
        <f>_xlfn.XLOOKUP(Logfile_S12[[#This Row],[Material Name]],Sum_WH!E:E,Sum_WH!F:F,"",0)</f>
        <v>Pcs</v>
      </c>
      <c r="N1026" s="221">
        <v>42</v>
      </c>
      <c r="O1026" s="221" t="s">
        <v>2502</v>
      </c>
      <c r="P1026" s="221" t="s">
        <v>2503</v>
      </c>
      <c r="Q1026" s="221"/>
      <c r="R1026" s="221"/>
      <c r="S1026" s="221"/>
      <c r="T1026" s="221" t="s">
        <v>3356</v>
      </c>
      <c r="U1026" s="221" t="s">
        <v>3228</v>
      </c>
      <c r="V1026" s="221" t="s">
        <v>3357</v>
      </c>
      <c r="W1026" s="221" t="s">
        <v>3358</v>
      </c>
      <c r="X1026" s="221"/>
      <c r="Y1026" s="227"/>
      <c r="Z1026" s="227" t="str">
        <f t="shared" si="41"/>
        <v>Bedali RW 03 Kromengan</v>
      </c>
      <c r="AA1026" s="276" t="e">
        <f>VLOOKUP(Logfile_S12[[#This Row],[DO number]],DO_DB!G:I,3,0)</f>
        <v>#N/A</v>
      </c>
      <c r="AB1026" s="331" t="e">
        <f>EXACT(Logfile_S12[[#This Row],[date pick]],Logfile_S12[[#This Row],[Date]])</f>
        <v>#N/A</v>
      </c>
      <c r="AC10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27" spans="1:29" ht="14.5" hidden="1">
      <c r="A1027" s="220" t="str">
        <f t="shared" si="40"/>
        <v>1023</v>
      </c>
      <c r="B1027" s="221"/>
      <c r="C1027" s="221" t="s">
        <v>48</v>
      </c>
      <c r="D1027" s="221" t="s">
        <v>4308</v>
      </c>
      <c r="E1027" s="221" t="s">
        <v>3295</v>
      </c>
      <c r="F1027" s="221" t="s">
        <v>3299</v>
      </c>
      <c r="G1027" s="222">
        <v>45643</v>
      </c>
      <c r="H1027" s="223">
        <v>15.291666666666666</v>
      </c>
      <c r="I1027" s="221" t="s">
        <v>37</v>
      </c>
      <c r="J1027" s="221" t="s">
        <v>3023</v>
      </c>
      <c r="K1027" s="224" t="s">
        <v>13</v>
      </c>
      <c r="L1027" s="225" t="str">
        <f>VLOOKUP(Logfile_S12[[#This Row],[Material Name]],Sheet2!B:C,2,0)</f>
        <v>ZTE2008</v>
      </c>
      <c r="M1027" s="225" t="str">
        <f>_xlfn.XLOOKUP(Logfile_S12[[#This Row],[Material Name]],Sum_WH!E:E,Sum_WH!F:F,"",0)</f>
        <v>Pcs</v>
      </c>
      <c r="N1027" s="221">
        <v>49</v>
      </c>
      <c r="O1027" s="221"/>
      <c r="P1027" s="221"/>
      <c r="Q1027" s="221">
        <v>0</v>
      </c>
      <c r="R1027" s="221">
        <v>0</v>
      </c>
      <c r="S1027" s="221"/>
      <c r="T1027" s="221"/>
      <c r="U1027" s="221"/>
      <c r="V1027" s="221"/>
      <c r="W1027" s="221"/>
      <c r="X1027" s="221"/>
      <c r="Y1027" s="227"/>
      <c r="Z1027" s="227">
        <f t="shared" si="41"/>
        <v>0</v>
      </c>
      <c r="AA1027" s="276" t="e">
        <f>VLOOKUP(Logfile_S12[[#This Row],[DO number]],DO_DB!G:I,3,0)</f>
        <v>#N/A</v>
      </c>
      <c r="AB1027" s="331" t="e">
        <f>EXACT(Logfile_S12[[#This Row],[date pick]],Logfile_S12[[#This Row],[Date]])</f>
        <v>#N/A</v>
      </c>
      <c r="AC10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28" spans="1:29" ht="14.5" hidden="1">
      <c r="A1028" s="220" t="str">
        <f t="shared" si="40"/>
        <v>1024</v>
      </c>
      <c r="B1028" s="221"/>
      <c r="C1028" s="221" t="s">
        <v>49</v>
      </c>
      <c r="D1028" s="221" t="s">
        <v>4307</v>
      </c>
      <c r="E1028" s="221" t="s">
        <v>3295</v>
      </c>
      <c r="F1028" s="221" t="s">
        <v>3299</v>
      </c>
      <c r="G1028" s="222">
        <v>45643</v>
      </c>
      <c r="H1028" s="223">
        <v>0.87708333333333333</v>
      </c>
      <c r="I1028" s="221" t="s">
        <v>4916</v>
      </c>
      <c r="J1028" s="221" t="s">
        <v>3023</v>
      </c>
      <c r="K1028" s="224" t="s">
        <v>13</v>
      </c>
      <c r="L1028" s="225" t="str">
        <f>VLOOKUP(Logfile_S12[[#This Row],[Material Name]],Sheet2!B:C,2,0)</f>
        <v>ZTE2008</v>
      </c>
      <c r="M1028" s="225" t="str">
        <f>_xlfn.XLOOKUP(Logfile_S12[[#This Row],[Material Name]],Sum_WH!E:E,Sum_WH!F:F,"",0)</f>
        <v>Pcs</v>
      </c>
      <c r="N1028" s="221">
        <v>18</v>
      </c>
      <c r="O1028" s="221" t="s">
        <v>2535</v>
      </c>
      <c r="P1028" s="221" t="s">
        <v>3422</v>
      </c>
      <c r="Q1028" s="221"/>
      <c r="R1028" s="221"/>
      <c r="S1028" s="221"/>
      <c r="T1028" s="221" t="s">
        <v>3356</v>
      </c>
      <c r="U1028" s="221">
        <v>0</v>
      </c>
      <c r="V1028" s="221">
        <v>0</v>
      </c>
      <c r="W1028" s="221" t="s">
        <v>3358</v>
      </c>
      <c r="X1028" s="221"/>
      <c r="Y1028" s="227"/>
      <c r="Z1028" s="227" t="str">
        <f t="shared" si="41"/>
        <v>DUSUN CUPAK RW 01</v>
      </c>
      <c r="AA1028" s="276" t="e">
        <f>VLOOKUP(Logfile_S12[[#This Row],[DO number]],DO_DB!G:I,3,0)</f>
        <v>#N/A</v>
      </c>
      <c r="AB1028" s="331" t="e">
        <f>EXACT(Logfile_S12[[#This Row],[date pick]],Logfile_S12[[#This Row],[Date]])</f>
        <v>#N/A</v>
      </c>
      <c r="AC10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29" spans="1:29" ht="14.5" hidden="1">
      <c r="A1029" s="220" t="str">
        <f t="shared" ref="A1029:A1092" si="42">TEXT(ROW(A1029)-ROW($A$4),"000")</f>
        <v>1025</v>
      </c>
      <c r="B1029" s="221"/>
      <c r="C1029" s="221" t="s">
        <v>49</v>
      </c>
      <c r="D1029" s="221" t="s">
        <v>4306</v>
      </c>
      <c r="E1029" s="221" t="s">
        <v>3295</v>
      </c>
      <c r="F1029" s="221" t="s">
        <v>3299</v>
      </c>
      <c r="G1029" s="222">
        <v>45643</v>
      </c>
      <c r="H1029" s="223">
        <v>0.65902777777777777</v>
      </c>
      <c r="I1029" s="221" t="s">
        <v>4916</v>
      </c>
      <c r="J1029" s="221" t="s">
        <v>3023</v>
      </c>
      <c r="K1029" s="224" t="s">
        <v>13</v>
      </c>
      <c r="L1029" s="225" t="str">
        <f>VLOOKUP(Logfile_S12[[#This Row],[Material Name]],Sheet2!B:C,2,0)</f>
        <v>ZTE2008</v>
      </c>
      <c r="M1029" s="225" t="str">
        <f>_xlfn.XLOOKUP(Logfile_S12[[#This Row],[Material Name]],Sum_WH!E:E,Sum_WH!F:F,"",0)</f>
        <v>Pcs</v>
      </c>
      <c r="N1029" s="221">
        <v>30</v>
      </c>
      <c r="O1029" s="221" t="s">
        <v>2549</v>
      </c>
      <c r="P1029" s="221" t="s">
        <v>2550</v>
      </c>
      <c r="Q1029" s="221"/>
      <c r="R1029" s="221"/>
      <c r="S1029" s="221"/>
      <c r="T1029" s="221" t="s">
        <v>3540</v>
      </c>
      <c r="U1029" s="221">
        <v>0</v>
      </c>
      <c r="V1029" s="221">
        <v>0</v>
      </c>
      <c r="W1029" s="221" t="s">
        <v>3412</v>
      </c>
      <c r="X1029" s="221"/>
      <c r="Y1029" s="227"/>
      <c r="Z1029" s="227" t="str">
        <f t="shared" si="41"/>
        <v>PERMANU RW 01 MALANG</v>
      </c>
      <c r="AA1029" s="276" t="e">
        <f>VLOOKUP(Logfile_S12[[#This Row],[DO number]],DO_DB!G:I,3,0)</f>
        <v>#N/A</v>
      </c>
      <c r="AB1029" s="331" t="e">
        <f>EXACT(Logfile_S12[[#This Row],[date pick]],Logfile_S12[[#This Row],[Date]])</f>
        <v>#N/A</v>
      </c>
      <c r="AC10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30" spans="1:29" ht="14.5" hidden="1">
      <c r="A1030" s="220" t="str">
        <f t="shared" si="42"/>
        <v>1026</v>
      </c>
      <c r="B1030" s="221"/>
      <c r="C1030" s="221" t="s">
        <v>49</v>
      </c>
      <c r="D1030" s="221" t="s">
        <v>4310</v>
      </c>
      <c r="E1030" s="221" t="s">
        <v>3295</v>
      </c>
      <c r="F1030" s="221" t="s">
        <v>3299</v>
      </c>
      <c r="G1030" s="222">
        <v>45648</v>
      </c>
      <c r="H1030" s="223">
        <v>0.79027777777777775</v>
      </c>
      <c r="I1030" s="221" t="s">
        <v>4916</v>
      </c>
      <c r="J1030" s="221" t="s">
        <v>3023</v>
      </c>
      <c r="K1030" s="224" t="s">
        <v>13</v>
      </c>
      <c r="L1030" s="225" t="str">
        <f>VLOOKUP(Logfile_S12[[#This Row],[Material Name]],Sheet2!B:C,2,0)</f>
        <v>ZTE2008</v>
      </c>
      <c r="M1030" s="225" t="str">
        <f>_xlfn.XLOOKUP(Logfile_S12[[#This Row],[Material Name]],Sum_WH!E:E,Sum_WH!F:F,"",0)</f>
        <v>Pcs</v>
      </c>
      <c r="N1030" s="221">
        <v>2</v>
      </c>
      <c r="O1030" s="221" t="s">
        <v>2535</v>
      </c>
      <c r="P1030" s="221" t="s">
        <v>3422</v>
      </c>
      <c r="Q1030" s="221"/>
      <c r="R1030" s="221"/>
      <c r="S1030" s="221"/>
      <c r="T1030" s="221" t="s">
        <v>3231</v>
      </c>
      <c r="U1030" s="221">
        <v>0</v>
      </c>
      <c r="V1030" s="221" t="s">
        <v>3232</v>
      </c>
      <c r="W1030" s="221" t="s">
        <v>3254</v>
      </c>
      <c r="X1030" s="221"/>
      <c r="Y1030" s="227"/>
      <c r="Z1030" s="227" t="str">
        <f t="shared" si="41"/>
        <v>DUSUN CUPAK RW 01</v>
      </c>
      <c r="AA1030" s="276" t="e">
        <f>VLOOKUP(Logfile_S12[[#This Row],[DO number]],DO_DB!G:I,3,0)</f>
        <v>#N/A</v>
      </c>
      <c r="AB1030" s="331" t="e">
        <f>EXACT(Logfile_S12[[#This Row],[date pick]],Logfile_S12[[#This Row],[Date]])</f>
        <v>#N/A</v>
      </c>
      <c r="AC10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31" spans="1:29" ht="14.5" hidden="1">
      <c r="A1031" s="220" t="str">
        <f t="shared" si="42"/>
        <v>1027</v>
      </c>
      <c r="B1031" s="221"/>
      <c r="C1031" s="221" t="s">
        <v>49</v>
      </c>
      <c r="D1031" s="221" t="s">
        <v>4312</v>
      </c>
      <c r="E1031" s="221" t="s">
        <v>3295</v>
      </c>
      <c r="F1031" s="221" t="s">
        <v>3299</v>
      </c>
      <c r="G1031" s="222">
        <v>45651</v>
      </c>
      <c r="H1031" s="223">
        <v>0.72986111111111107</v>
      </c>
      <c r="I1031" s="221" t="s">
        <v>4916</v>
      </c>
      <c r="J1031" s="221" t="s">
        <v>3023</v>
      </c>
      <c r="K1031" s="224" t="s">
        <v>13</v>
      </c>
      <c r="L1031" s="225" t="str">
        <f>VLOOKUP(Logfile_S12[[#This Row],[Material Name]],Sheet2!B:C,2,0)</f>
        <v>ZTE2008</v>
      </c>
      <c r="M1031" s="225" t="str">
        <f>_xlfn.XLOOKUP(Logfile_S12[[#This Row],[Material Name]],Sum_WH!E:E,Sum_WH!F:F,"",0)</f>
        <v>Pcs</v>
      </c>
      <c r="N1031" s="221">
        <v>12</v>
      </c>
      <c r="O1031" s="221" t="s">
        <v>3377</v>
      </c>
      <c r="P1031" s="221" t="s">
        <v>3378</v>
      </c>
      <c r="Q1031" s="221"/>
      <c r="R1031" s="221"/>
      <c r="S1031" s="221"/>
      <c r="T1031" s="221" t="s">
        <v>3471</v>
      </c>
      <c r="U1031" s="221">
        <v>0</v>
      </c>
      <c r="V1031" s="221" t="s">
        <v>3472</v>
      </c>
      <c r="W1031" s="221" t="s">
        <v>3473</v>
      </c>
      <c r="X1031" s="221"/>
      <c r="Y1031" s="227"/>
      <c r="Z1031" s="227" t="str">
        <f t="shared" si="41"/>
        <v>Perum Chandra Kirana Watugede</v>
      </c>
      <c r="AA1031" s="276" t="e">
        <f>VLOOKUP(Logfile_S12[[#This Row],[DO number]],DO_DB!G:I,3,0)</f>
        <v>#N/A</v>
      </c>
      <c r="AB1031" s="331" t="e">
        <f>EXACT(Logfile_S12[[#This Row],[date pick]],Logfile_S12[[#This Row],[Date]])</f>
        <v>#N/A</v>
      </c>
      <c r="AC10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32" spans="1:29" ht="14.5" hidden="1">
      <c r="A1032" s="220" t="str">
        <f t="shared" si="42"/>
        <v>1028</v>
      </c>
      <c r="B1032" s="221"/>
      <c r="C1032" s="221" t="s">
        <v>49</v>
      </c>
      <c r="D1032" s="221" t="s">
        <v>4315</v>
      </c>
      <c r="E1032" s="221" t="s">
        <v>3295</v>
      </c>
      <c r="F1032" s="221" t="s">
        <v>3299</v>
      </c>
      <c r="G1032" s="222">
        <v>45653</v>
      </c>
      <c r="H1032" s="223">
        <v>0.72986111111111107</v>
      </c>
      <c r="I1032" s="221" t="s">
        <v>4916</v>
      </c>
      <c r="J1032" s="221" t="s">
        <v>3023</v>
      </c>
      <c r="K1032" s="224" t="s">
        <v>13</v>
      </c>
      <c r="L1032" s="225" t="str">
        <f>VLOOKUP(Logfile_S12[[#This Row],[Material Name]],Sheet2!B:C,2,0)</f>
        <v>ZTE2008</v>
      </c>
      <c r="M1032" s="225" t="str">
        <f>_xlfn.XLOOKUP(Logfile_S12[[#This Row],[Material Name]],Sum_WH!E:E,Sum_WH!F:F,"",0)</f>
        <v>Pcs</v>
      </c>
      <c r="N1032" s="221">
        <v>1</v>
      </c>
      <c r="O1032" s="221" t="s">
        <v>3377</v>
      </c>
      <c r="P1032" s="221" t="s">
        <v>3378</v>
      </c>
      <c r="Q1032" s="221"/>
      <c r="R1032" s="221"/>
      <c r="S1032" s="221"/>
      <c r="T1032" s="221" t="s">
        <v>3471</v>
      </c>
      <c r="U1032" s="221">
        <v>0</v>
      </c>
      <c r="V1032" s="221" t="s">
        <v>3472</v>
      </c>
      <c r="W1032" s="221" t="s">
        <v>3541</v>
      </c>
      <c r="X1032" s="221" t="s">
        <v>3542</v>
      </c>
      <c r="Y1032" s="227"/>
      <c r="Z1032" s="227" t="str">
        <f t="shared" si="41"/>
        <v>Perum Chandra Kirana Watugede</v>
      </c>
      <c r="AA1032" s="276" t="e">
        <f>VLOOKUP(Logfile_S12[[#This Row],[DO number]],DO_DB!G:I,3,0)</f>
        <v>#N/A</v>
      </c>
      <c r="AB1032" s="331" t="e">
        <f>EXACT(Logfile_S12[[#This Row],[date pick]],Logfile_S12[[#This Row],[Date]])</f>
        <v>#N/A</v>
      </c>
      <c r="AC10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33" spans="1:29" ht="14.5" hidden="1">
      <c r="A1033" s="220" t="str">
        <f t="shared" si="42"/>
        <v>1029</v>
      </c>
      <c r="B1033" s="221"/>
      <c r="C1033" s="221" t="s">
        <v>49</v>
      </c>
      <c r="D1033" s="221" t="s">
        <v>4317</v>
      </c>
      <c r="E1033" s="221" t="s">
        <v>3295</v>
      </c>
      <c r="F1033" s="221" t="s">
        <v>3299</v>
      </c>
      <c r="G1033" s="222">
        <v>45656</v>
      </c>
      <c r="H1033" s="223">
        <v>0.72986111111111107</v>
      </c>
      <c r="I1033" s="221" t="s">
        <v>4916</v>
      </c>
      <c r="J1033" s="221" t="s">
        <v>3023</v>
      </c>
      <c r="K1033" s="224" t="s">
        <v>13</v>
      </c>
      <c r="L1033" s="225" t="str">
        <f>VLOOKUP(Logfile_S12[[#This Row],[Material Name]],Sheet2!B:C,2,0)</f>
        <v>ZTE2008</v>
      </c>
      <c r="M1033" s="225" t="str">
        <f>_xlfn.XLOOKUP(Logfile_S12[[#This Row],[Material Name]],Sum_WH!E:E,Sum_WH!F:F,"",0)</f>
        <v>Pcs</v>
      </c>
      <c r="N1033" s="221">
        <v>1</v>
      </c>
      <c r="O1033" s="221" t="s">
        <v>3377</v>
      </c>
      <c r="P1033" s="221" t="s">
        <v>3378</v>
      </c>
      <c r="Q1033" s="221"/>
      <c r="R1033" s="221"/>
      <c r="S1033" s="221"/>
      <c r="T1033" s="221" t="s">
        <v>3471</v>
      </c>
      <c r="U1033" s="221">
        <v>0</v>
      </c>
      <c r="V1033" s="221" t="s">
        <v>3472</v>
      </c>
      <c r="W1033" s="221" t="s">
        <v>3541</v>
      </c>
      <c r="X1033" s="221" t="s">
        <v>3542</v>
      </c>
      <c r="Y1033" s="227"/>
      <c r="Z1033" s="227" t="str">
        <f t="shared" si="41"/>
        <v>Perum Chandra Kirana Watugede</v>
      </c>
      <c r="AA1033" s="276" t="e">
        <f>VLOOKUP(Logfile_S12[[#This Row],[DO number]],DO_DB!G:I,3,0)</f>
        <v>#N/A</v>
      </c>
      <c r="AB1033" s="331" t="e">
        <f>EXACT(Logfile_S12[[#This Row],[date pick]],Logfile_S12[[#This Row],[Date]])</f>
        <v>#N/A</v>
      </c>
      <c r="AC10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34" spans="1:29" ht="14.5" hidden="1">
      <c r="A1034" s="220" t="str">
        <f t="shared" si="42"/>
        <v>1030</v>
      </c>
      <c r="B1034" s="221"/>
      <c r="C1034" s="221" t="s">
        <v>49</v>
      </c>
      <c r="D1034" s="221" t="s">
        <v>4322</v>
      </c>
      <c r="E1034" s="221" t="s">
        <v>3295</v>
      </c>
      <c r="F1034" s="221" t="s">
        <v>3299</v>
      </c>
      <c r="G1034" s="222">
        <v>45671</v>
      </c>
      <c r="H1034" s="223">
        <v>0.87708333333333333</v>
      </c>
      <c r="I1034" s="221" t="s">
        <v>4916</v>
      </c>
      <c r="J1034" s="221" t="s">
        <v>3023</v>
      </c>
      <c r="K1034" s="224" t="s">
        <v>13</v>
      </c>
      <c r="L1034" s="225" t="str">
        <f>VLOOKUP(Logfile_S12[[#This Row],[Material Name]],Sheet2!B:C,2,0)</f>
        <v>ZTE2008</v>
      </c>
      <c r="M1034" s="225" t="str">
        <f>_xlfn.XLOOKUP(Logfile_S12[[#This Row],[Material Name]],Sum_WH!E:E,Sum_WH!F:F,"",0)</f>
        <v>Pcs</v>
      </c>
      <c r="N1034" s="221">
        <v>27</v>
      </c>
      <c r="O1034" s="221" t="s">
        <v>2360</v>
      </c>
      <c r="P1034" s="221" t="s">
        <v>2361</v>
      </c>
      <c r="Q1034" s="221"/>
      <c r="R1034" s="221"/>
      <c r="S1034" s="221"/>
      <c r="T1034" s="221" t="s">
        <v>3356</v>
      </c>
      <c r="U1034" s="221">
        <v>0</v>
      </c>
      <c r="V1034" s="221">
        <v>0</v>
      </c>
      <c r="W1034" s="221" t="s">
        <v>3358</v>
      </c>
      <c r="X1034" s="221"/>
      <c r="Y1034" s="227"/>
      <c r="Z1034" s="227" t="str">
        <f t="shared" si="41"/>
        <v>Tambakasri RW 02 Tajinan</v>
      </c>
      <c r="AA1034" s="276" t="e">
        <f>VLOOKUP(Logfile_S12[[#This Row],[DO number]],DO_DB!G:I,3,0)</f>
        <v>#N/A</v>
      </c>
      <c r="AB1034" s="331" t="e">
        <f>EXACT(Logfile_S12[[#This Row],[date pick]],Logfile_S12[[#This Row],[Date]])</f>
        <v>#N/A</v>
      </c>
      <c r="AC10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35" spans="1:29" ht="14.5" hidden="1">
      <c r="A1035" s="220" t="str">
        <f t="shared" si="42"/>
        <v>1031</v>
      </c>
      <c r="B1035" s="221"/>
      <c r="C1035" s="221" t="s">
        <v>49</v>
      </c>
      <c r="D1035" s="221" t="s">
        <v>4324</v>
      </c>
      <c r="E1035" s="221" t="s">
        <v>3295</v>
      </c>
      <c r="F1035" s="221" t="s">
        <v>3299</v>
      </c>
      <c r="G1035" s="222">
        <v>45678</v>
      </c>
      <c r="H1035" s="223">
        <v>0.45902777777777776</v>
      </c>
      <c r="I1035" s="221" t="s">
        <v>4916</v>
      </c>
      <c r="J1035" s="221" t="s">
        <v>3023</v>
      </c>
      <c r="K1035" s="224" t="s">
        <v>13</v>
      </c>
      <c r="L1035" s="225" t="str">
        <f>VLOOKUP(Logfile_S12[[#This Row],[Material Name]],Sheet2!B:C,2,0)</f>
        <v>ZTE2008</v>
      </c>
      <c r="M1035" s="225" t="str">
        <f>_xlfn.XLOOKUP(Logfile_S12[[#This Row],[Material Name]],Sum_WH!E:E,Sum_WH!F:F,"",0)</f>
        <v>Pcs</v>
      </c>
      <c r="N1035" s="221">
        <v>8</v>
      </c>
      <c r="O1035" s="221" t="s">
        <v>3379</v>
      </c>
      <c r="P1035" s="221" t="s">
        <v>3380</v>
      </c>
      <c r="Q1035" s="221"/>
      <c r="R1035" s="221"/>
      <c r="S1035" s="221"/>
      <c r="T1035" s="221" t="s">
        <v>3411</v>
      </c>
      <c r="U1035" s="221">
        <v>0</v>
      </c>
      <c r="V1035" s="221">
        <v>0</v>
      </c>
      <c r="W1035" s="221" t="s">
        <v>3412</v>
      </c>
      <c r="X1035" s="221"/>
      <c r="Y1035" s="227"/>
      <c r="Z1035" s="227" t="str">
        <f t="shared" si="41"/>
        <v>Citra Kayane Residence</v>
      </c>
      <c r="AA1035" s="276" t="e">
        <f>VLOOKUP(Logfile_S12[[#This Row],[DO number]],DO_DB!G:I,3,0)</f>
        <v>#N/A</v>
      </c>
      <c r="AB1035" s="331" t="e">
        <f>EXACT(Logfile_S12[[#This Row],[date pick]],Logfile_S12[[#This Row],[Date]])</f>
        <v>#N/A</v>
      </c>
      <c r="AC10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36" spans="1:29" ht="14.5" hidden="1">
      <c r="A1036" s="220" t="str">
        <f t="shared" si="42"/>
        <v>1032</v>
      </c>
      <c r="B1036" s="221"/>
      <c r="C1036" s="221" t="s">
        <v>48</v>
      </c>
      <c r="D1036" s="221" t="s">
        <v>4328</v>
      </c>
      <c r="E1036" s="221" t="s">
        <v>3295</v>
      </c>
      <c r="F1036" s="221" t="s">
        <v>3299</v>
      </c>
      <c r="G1036" s="222">
        <v>45693</v>
      </c>
      <c r="H1036" s="223">
        <v>15.291666666666666</v>
      </c>
      <c r="I1036" s="221" t="s">
        <v>37</v>
      </c>
      <c r="J1036" s="221" t="s">
        <v>3023</v>
      </c>
      <c r="K1036" s="224" t="s">
        <v>13</v>
      </c>
      <c r="L1036" s="225" t="str">
        <f>VLOOKUP(Logfile_S12[[#This Row],[Material Name]],Sheet2!B:C,2,0)</f>
        <v>ZTE2008</v>
      </c>
      <c r="M1036" s="225" t="str">
        <f>_xlfn.XLOOKUP(Logfile_S12[[#This Row],[Material Name]],Sum_WH!E:E,Sum_WH!F:F,"",0)</f>
        <v>Pcs</v>
      </c>
      <c r="N1036" s="221">
        <v>7</v>
      </c>
      <c r="O1036" s="221" t="s">
        <v>2633</v>
      </c>
      <c r="P1036" s="221" t="s">
        <v>2634</v>
      </c>
      <c r="Q1036" s="221">
        <v>0</v>
      </c>
      <c r="R1036" s="221">
        <v>0</v>
      </c>
      <c r="S1036" s="221"/>
      <c r="T1036" s="221"/>
      <c r="U1036" s="221"/>
      <c r="V1036" s="221"/>
      <c r="W1036" s="221"/>
      <c r="X1036" s="221"/>
      <c r="Y1036" s="227"/>
      <c r="Z1036" s="227" t="str">
        <f t="shared" ref="Z1036:Z1099" si="43">P1036</f>
        <v>Perumahan De Wira Green View</v>
      </c>
      <c r="AA1036" s="276" t="e">
        <f>VLOOKUP(Logfile_S12[[#This Row],[DO number]],DO_DB!G:I,3,0)</f>
        <v>#N/A</v>
      </c>
      <c r="AB1036" s="331" t="e">
        <f>EXACT(Logfile_S12[[#This Row],[date pick]],Logfile_S12[[#This Row],[Date]])</f>
        <v>#N/A</v>
      </c>
      <c r="AC10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37" spans="1:29" ht="14.5" hidden="1">
      <c r="A1037" s="220" t="str">
        <f t="shared" si="42"/>
        <v>1033</v>
      </c>
      <c r="B1037" s="221"/>
      <c r="C1037" s="221" t="s">
        <v>49</v>
      </c>
      <c r="D1037" s="221" t="s">
        <v>4329</v>
      </c>
      <c r="E1037" s="221" t="s">
        <v>3295</v>
      </c>
      <c r="F1037" s="221" t="s">
        <v>3299</v>
      </c>
      <c r="G1037" s="222">
        <v>45694</v>
      </c>
      <c r="H1037" s="223">
        <v>0.39930555555555558</v>
      </c>
      <c r="I1037" s="221" t="s">
        <v>4916</v>
      </c>
      <c r="J1037" s="221" t="s">
        <v>3023</v>
      </c>
      <c r="K1037" s="224" t="s">
        <v>13</v>
      </c>
      <c r="L1037" s="225" t="str">
        <f>VLOOKUP(Logfile_S12[[#This Row],[Material Name]],Sheet2!B:C,2,0)</f>
        <v>ZTE2008</v>
      </c>
      <c r="M1037" s="225" t="str">
        <f>_xlfn.XLOOKUP(Logfile_S12[[#This Row],[Material Name]],Sum_WH!E:E,Sum_WH!F:F,"",0)</f>
        <v>Pcs</v>
      </c>
      <c r="N1037" s="221">
        <v>7</v>
      </c>
      <c r="O1037" s="221" t="s">
        <v>2633</v>
      </c>
      <c r="P1037" s="221" t="s">
        <v>3410</v>
      </c>
      <c r="Q1037" s="221"/>
      <c r="R1037" s="221"/>
      <c r="S1037" s="221"/>
      <c r="T1037" s="221" t="s">
        <v>3258</v>
      </c>
      <c r="U1037" s="221">
        <v>0</v>
      </c>
      <c r="V1037" s="221" t="s">
        <v>3337</v>
      </c>
      <c r="W1037" s="221" t="s">
        <v>3338</v>
      </c>
      <c r="X1037" s="221"/>
      <c r="Y1037" s="227"/>
      <c r="Z1037" s="227" t="str">
        <f t="shared" si="43"/>
        <v>PERUMAHAN DE WIRA GREEN VIEW</v>
      </c>
      <c r="AA1037" s="276" t="e">
        <f>VLOOKUP(Logfile_S12[[#This Row],[DO number]],DO_DB!G:I,3,0)</f>
        <v>#N/A</v>
      </c>
      <c r="AB1037" s="331" t="e">
        <f>EXACT(Logfile_S12[[#This Row],[date pick]],Logfile_S12[[#This Row],[Date]])</f>
        <v>#N/A</v>
      </c>
      <c r="AC10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38" spans="1:29" ht="14.5" hidden="1">
      <c r="A1038" s="220" t="str">
        <f t="shared" si="42"/>
        <v>1034</v>
      </c>
      <c r="B1038" s="221"/>
      <c r="C1038" s="221" t="s">
        <v>48</v>
      </c>
      <c r="D1038" s="221" t="s">
        <v>4335</v>
      </c>
      <c r="E1038" s="221" t="s">
        <v>3295</v>
      </c>
      <c r="F1038" s="221" t="s">
        <v>3299</v>
      </c>
      <c r="G1038" s="222">
        <v>45708</v>
      </c>
      <c r="H1038" s="223">
        <v>15.291666666666666</v>
      </c>
      <c r="I1038" s="221" t="s">
        <v>37</v>
      </c>
      <c r="J1038" s="221" t="s">
        <v>3023</v>
      </c>
      <c r="K1038" s="224" t="s">
        <v>13</v>
      </c>
      <c r="L1038" s="225" t="str">
        <f>VLOOKUP(Logfile_S12[[#This Row],[Material Name]],Sheet2!B:C,2,0)</f>
        <v>ZTE2008</v>
      </c>
      <c r="M1038" s="225" t="str">
        <f>_xlfn.XLOOKUP(Logfile_S12[[#This Row],[Material Name]],Sum_WH!E:E,Sum_WH!F:F,"",0)</f>
        <v>Pcs</v>
      </c>
      <c r="N1038" s="221">
        <v>20</v>
      </c>
      <c r="O1038" s="221"/>
      <c r="P1038" s="221"/>
      <c r="Q1038" s="221">
        <v>0</v>
      </c>
      <c r="R1038" s="221">
        <v>0</v>
      </c>
      <c r="S1038" s="221"/>
      <c r="T1038" s="221"/>
      <c r="U1038" s="221"/>
      <c r="V1038" s="221"/>
      <c r="W1038" s="221"/>
      <c r="X1038" s="221"/>
      <c r="Y1038" s="227"/>
      <c r="Z1038" s="227">
        <f t="shared" si="43"/>
        <v>0</v>
      </c>
      <c r="AA1038" s="276" t="e">
        <f>VLOOKUP(Logfile_S12[[#This Row],[DO number]],DO_DB!G:I,3,0)</f>
        <v>#N/A</v>
      </c>
      <c r="AB1038" s="331" t="e">
        <f>EXACT(Logfile_S12[[#This Row],[date pick]],Logfile_S12[[#This Row],[Date]])</f>
        <v>#N/A</v>
      </c>
      <c r="AC10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39" spans="1:29" ht="14.5" hidden="1">
      <c r="A1039" s="220" t="str">
        <f t="shared" si="42"/>
        <v>1035</v>
      </c>
      <c r="B1039" s="221"/>
      <c r="C1039" s="221" t="s">
        <v>49</v>
      </c>
      <c r="D1039" s="221" t="s">
        <v>4340</v>
      </c>
      <c r="E1039" s="221" t="s">
        <v>3295</v>
      </c>
      <c r="F1039" s="221" t="s">
        <v>3299</v>
      </c>
      <c r="G1039" s="222">
        <v>45709</v>
      </c>
      <c r="H1039" s="223">
        <v>0.63124999999999998</v>
      </c>
      <c r="I1039" s="221" t="s">
        <v>4916</v>
      </c>
      <c r="J1039" s="221" t="s">
        <v>3023</v>
      </c>
      <c r="K1039" s="224" t="s">
        <v>3543</v>
      </c>
      <c r="L1039" s="225" t="str">
        <f>VLOOKUP(Logfile_S12[[#This Row],[Material Name]],Sheet2!B:C,2,0)</f>
        <v>ZTE2008</v>
      </c>
      <c r="M1039" s="225" t="str">
        <f>_xlfn.XLOOKUP(Logfile_S12[[#This Row],[Material Name]],Sum_WH!E:E,Sum_WH!F:F,"",0)</f>
        <v>Pcs</v>
      </c>
      <c r="N1039" s="221">
        <v>21</v>
      </c>
      <c r="O1039" s="221" t="s">
        <v>2648</v>
      </c>
      <c r="P1039" s="221" t="s">
        <v>2649</v>
      </c>
      <c r="Q1039" s="221"/>
      <c r="R1039" s="221"/>
      <c r="S1039" s="221"/>
      <c r="T1039" s="221" t="s">
        <v>3411</v>
      </c>
      <c r="U1039" s="221">
        <v>0</v>
      </c>
      <c r="V1039" s="221">
        <v>0</v>
      </c>
      <c r="W1039" s="221" t="s">
        <v>3412</v>
      </c>
      <c r="X1039" s="221"/>
      <c r="Y1039" s="227"/>
      <c r="Z1039" s="227" t="str">
        <f t="shared" si="43"/>
        <v>Sitirejo RW 04 Wagir</v>
      </c>
      <c r="AA1039" s="276" t="e">
        <f>VLOOKUP(Logfile_S12[[#This Row],[DO number]],DO_DB!G:I,3,0)</f>
        <v>#N/A</v>
      </c>
      <c r="AB1039" s="331" t="e">
        <f>EXACT(Logfile_S12[[#This Row],[date pick]],Logfile_S12[[#This Row],[Date]])</f>
        <v>#N/A</v>
      </c>
      <c r="AC10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40" spans="1:29" ht="14.5" hidden="1">
      <c r="A1040" s="220" t="str">
        <f t="shared" si="42"/>
        <v>1036</v>
      </c>
      <c r="B1040" s="221"/>
      <c r="C1040" s="221" t="s">
        <v>48</v>
      </c>
      <c r="D1040" s="221" t="s">
        <v>4351</v>
      </c>
      <c r="E1040" s="221" t="s">
        <v>3295</v>
      </c>
      <c r="F1040" s="221" t="s">
        <v>3299</v>
      </c>
      <c r="G1040" s="222">
        <v>45735</v>
      </c>
      <c r="H1040" s="223">
        <v>15.291666666666666</v>
      </c>
      <c r="I1040" s="221" t="s">
        <v>37</v>
      </c>
      <c r="J1040" s="221" t="s">
        <v>3023</v>
      </c>
      <c r="K1040" s="224" t="s">
        <v>13</v>
      </c>
      <c r="L1040" s="225" t="str">
        <f>VLOOKUP(Logfile_S12[[#This Row],[Material Name]],Sheet2!B:C,2,0)</f>
        <v>ZTE2008</v>
      </c>
      <c r="M1040" s="225" t="str">
        <f>_xlfn.XLOOKUP(Logfile_S12[[#This Row],[Material Name]],Sum_WH!E:E,Sum_WH!F:F,"",0)</f>
        <v>Pcs</v>
      </c>
      <c r="N1040" s="221">
        <v>42</v>
      </c>
      <c r="O1040" s="221" t="s">
        <v>2664</v>
      </c>
      <c r="P1040" s="221" t="s">
        <v>2665</v>
      </c>
      <c r="Q1040" s="221">
        <v>0</v>
      </c>
      <c r="R1040" s="221">
        <v>0</v>
      </c>
      <c r="S1040" s="221"/>
      <c r="T1040" s="221"/>
      <c r="U1040" s="221"/>
      <c r="V1040" s="221"/>
      <c r="W1040" s="221"/>
      <c r="X1040" s="221"/>
      <c r="Y1040" s="227"/>
      <c r="Z1040" s="227" t="str">
        <f t="shared" si="43"/>
        <v>Temas RW 04</v>
      </c>
      <c r="AA1040" s="276" t="e">
        <f>VLOOKUP(Logfile_S12[[#This Row],[DO number]],DO_DB!G:I,3,0)</f>
        <v>#N/A</v>
      </c>
      <c r="AB1040" s="331" t="e">
        <f>EXACT(Logfile_S12[[#This Row],[date pick]],Logfile_S12[[#This Row],[Date]])</f>
        <v>#N/A</v>
      </c>
      <c r="AC10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41" spans="1:29" ht="14.5" hidden="1">
      <c r="A1041" s="220" t="str">
        <f t="shared" si="42"/>
        <v>1037</v>
      </c>
      <c r="B1041" s="221"/>
      <c r="C1041" s="221" t="s">
        <v>3388</v>
      </c>
      <c r="D1041" s="221" t="s">
        <v>4350</v>
      </c>
      <c r="E1041" s="221" t="s">
        <v>3295</v>
      </c>
      <c r="F1041" s="221" t="s">
        <v>3299</v>
      </c>
      <c r="G1041" s="222">
        <v>45735</v>
      </c>
      <c r="H1041" s="223">
        <v>0.63958333333333328</v>
      </c>
      <c r="I1041" s="221" t="s">
        <v>4918</v>
      </c>
      <c r="J1041" s="221" t="s">
        <v>3023</v>
      </c>
      <c r="K1041" s="224" t="s">
        <v>13</v>
      </c>
      <c r="L1041" s="225" t="str">
        <f>VLOOKUP(Logfile_S12[[#This Row],[Material Name]],Sheet2!B:C,2,0)</f>
        <v>ZTE2008</v>
      </c>
      <c r="M1041" s="225" t="str">
        <f>_xlfn.XLOOKUP(Logfile_S12[[#This Row],[Material Name]],Sum_WH!E:E,Sum_WH!F:F,"",0)</f>
        <v>Pcs</v>
      </c>
      <c r="N1041" s="221">
        <v>10</v>
      </c>
      <c r="O1041" s="221" t="s">
        <v>3367</v>
      </c>
      <c r="P1041" s="221" t="s">
        <v>3223</v>
      </c>
      <c r="Q1041" s="221"/>
      <c r="R1041" s="221"/>
      <c r="S1041" s="221"/>
      <c r="T1041" s="221" t="s">
        <v>3241</v>
      </c>
      <c r="U1041" s="221">
        <v>0</v>
      </c>
      <c r="V1041" s="221" t="s">
        <v>3368</v>
      </c>
      <c r="W1041" s="221" t="s">
        <v>3242</v>
      </c>
      <c r="X1041" s="221" t="s">
        <v>3544</v>
      </c>
      <c r="Y1041" s="227"/>
      <c r="Z1041" s="227" t="str">
        <f t="shared" si="43"/>
        <v>Transfer Gudang</v>
      </c>
      <c r="AA1041" s="276" t="e">
        <f>VLOOKUP(Logfile_S12[[#This Row],[DO number]],DO_DB!G:I,3,0)</f>
        <v>#N/A</v>
      </c>
      <c r="AB1041" s="331" t="e">
        <f>EXACT(Logfile_S12[[#This Row],[date pick]],Logfile_S12[[#This Row],[Date]])</f>
        <v>#N/A</v>
      </c>
      <c r="AC10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042" spans="1:29" ht="14.5" hidden="1">
      <c r="A1042" s="220" t="str">
        <f t="shared" si="42"/>
        <v>1038</v>
      </c>
      <c r="B1042" s="221"/>
      <c r="C1042" s="221" t="s">
        <v>49</v>
      </c>
      <c r="D1042" s="221" t="s">
        <v>4357</v>
      </c>
      <c r="E1042" s="221" t="s">
        <v>3295</v>
      </c>
      <c r="F1042" s="221" t="s">
        <v>3299</v>
      </c>
      <c r="G1042" s="222">
        <v>45739</v>
      </c>
      <c r="H1042" s="223">
        <v>0.83125000000000004</v>
      </c>
      <c r="I1042" s="221" t="s">
        <v>4916</v>
      </c>
      <c r="J1042" s="221" t="s">
        <v>3023</v>
      </c>
      <c r="K1042" s="224" t="s">
        <v>13</v>
      </c>
      <c r="L1042" s="225" t="str">
        <f>VLOOKUP(Logfile_S12[[#This Row],[Material Name]],Sheet2!B:C,2,0)</f>
        <v>ZTE2008</v>
      </c>
      <c r="M1042" s="225" t="str">
        <f>_xlfn.XLOOKUP(Logfile_S12[[#This Row],[Material Name]],Sum_WH!E:E,Sum_WH!F:F,"",0)</f>
        <v>Pcs</v>
      </c>
      <c r="N1042" s="221">
        <v>32</v>
      </c>
      <c r="O1042" s="221" t="s">
        <v>2664</v>
      </c>
      <c r="P1042" s="221" t="s">
        <v>2665</v>
      </c>
      <c r="Q1042" s="221"/>
      <c r="R1042" s="221"/>
      <c r="S1042" s="221"/>
      <c r="T1042" s="221" t="s">
        <v>3471</v>
      </c>
      <c r="U1042" s="221">
        <v>0</v>
      </c>
      <c r="V1042" s="221" t="s">
        <v>3472</v>
      </c>
      <c r="W1042" s="221" t="s">
        <v>3545</v>
      </c>
      <c r="X1042" s="221"/>
      <c r="Y1042" s="227"/>
      <c r="Z1042" s="227" t="str">
        <f t="shared" si="43"/>
        <v>Temas RW 04</v>
      </c>
      <c r="AA1042" s="276" t="e">
        <f>VLOOKUP(Logfile_S12[[#This Row],[DO number]],DO_DB!G:I,3,0)</f>
        <v>#N/A</v>
      </c>
      <c r="AB1042" s="331" t="e">
        <f>EXACT(Logfile_S12[[#This Row],[date pick]],Logfile_S12[[#This Row],[Date]])</f>
        <v>#N/A</v>
      </c>
      <c r="AC10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43" spans="1:29" ht="14.5" hidden="1">
      <c r="A1043" s="220" t="str">
        <f t="shared" si="42"/>
        <v>1039</v>
      </c>
      <c r="B1043" s="221"/>
      <c r="C1043" s="221" t="s">
        <v>49</v>
      </c>
      <c r="D1043" s="221" t="s">
        <v>4366</v>
      </c>
      <c r="E1043" s="221" t="s">
        <v>3295</v>
      </c>
      <c r="F1043" s="221" t="s">
        <v>3299</v>
      </c>
      <c r="G1043" s="222">
        <v>45802</v>
      </c>
      <c r="H1043" s="223">
        <v>0.83125000000000004</v>
      </c>
      <c r="I1043" s="221" t="s">
        <v>4916</v>
      </c>
      <c r="J1043" s="221" t="s">
        <v>3023</v>
      </c>
      <c r="K1043" s="224" t="s">
        <v>13</v>
      </c>
      <c r="L1043" s="225" t="str">
        <f>VLOOKUP(Logfile_S12[[#This Row],[Material Name]],Sheet2!B:C,2,0)</f>
        <v>ZTE2008</v>
      </c>
      <c r="M1043" s="225" t="str">
        <f>_xlfn.XLOOKUP(Logfile_S12[[#This Row],[Material Name]],Sum_WH!E:E,Sum_WH!F:F,"",0)</f>
        <v>Pcs</v>
      </c>
      <c r="N1043" s="221">
        <v>7</v>
      </c>
      <c r="O1043" s="221" t="s">
        <v>2821</v>
      </c>
      <c r="P1043" s="221" t="s">
        <v>2822</v>
      </c>
      <c r="Q1043" s="221"/>
      <c r="R1043" s="221"/>
      <c r="S1043" s="221"/>
      <c r="T1043" s="221" t="s">
        <v>3471</v>
      </c>
      <c r="U1043" s="221">
        <v>0</v>
      </c>
      <c r="V1043" s="221" t="s">
        <v>3472</v>
      </c>
      <c r="W1043" s="221" t="s">
        <v>3545</v>
      </c>
      <c r="X1043" s="221"/>
      <c r="Y1043" s="227"/>
      <c r="Z1043" s="227" t="str">
        <f t="shared" si="43"/>
        <v>KEBONAGUNG RW 01 MALANG</v>
      </c>
      <c r="AA1043" s="276" t="e">
        <f>VLOOKUP(Logfile_S12[[#This Row],[DO number]],DO_DB!G:I,3,0)</f>
        <v>#N/A</v>
      </c>
      <c r="AB1043" s="331" t="e">
        <f>EXACT(Logfile_S12[[#This Row],[date pick]],Logfile_S12[[#This Row],[Date]])</f>
        <v>#N/A</v>
      </c>
      <c r="AC10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44" spans="1:29" ht="14.5" hidden="1">
      <c r="A1044" s="220" t="str">
        <f t="shared" si="42"/>
        <v>1040</v>
      </c>
      <c r="B1044" s="221"/>
      <c r="C1044" s="221" t="s">
        <v>49</v>
      </c>
      <c r="D1044" s="221" t="s">
        <v>4369</v>
      </c>
      <c r="E1044" s="221" t="s">
        <v>3295</v>
      </c>
      <c r="F1044" s="221" t="s">
        <v>3299</v>
      </c>
      <c r="G1044" s="222">
        <v>45806</v>
      </c>
      <c r="H1044" s="223">
        <v>0.74791666666666667</v>
      </c>
      <c r="I1044" s="221" t="s">
        <v>4916</v>
      </c>
      <c r="J1044" s="221" t="s">
        <v>3023</v>
      </c>
      <c r="K1044" s="224" t="s">
        <v>13</v>
      </c>
      <c r="L1044" s="225" t="str">
        <f>VLOOKUP(Logfile_S12[[#This Row],[Material Name]],Sheet2!B:C,2,0)</f>
        <v>ZTE2008</v>
      </c>
      <c r="M1044" s="225" t="str">
        <f>_xlfn.XLOOKUP(Logfile_S12[[#This Row],[Material Name]],Sum_WH!E:E,Sum_WH!F:F,"",0)</f>
        <v>Pcs</v>
      </c>
      <c r="N1044" s="221">
        <v>10</v>
      </c>
      <c r="O1044" s="221" t="s">
        <v>2825</v>
      </c>
      <c r="P1044" s="221" t="s">
        <v>2826</v>
      </c>
      <c r="Q1044" s="221"/>
      <c r="R1044" s="221"/>
      <c r="S1044" s="221"/>
      <c r="T1044" s="221" t="s">
        <v>3471</v>
      </c>
      <c r="U1044" s="221">
        <v>0</v>
      </c>
      <c r="V1044" s="221" t="s">
        <v>3472</v>
      </c>
      <c r="W1044" s="221" t="s">
        <v>3545</v>
      </c>
      <c r="X1044" s="221"/>
      <c r="Y1044" s="227"/>
      <c r="Z1044" s="227" t="str">
        <f t="shared" si="43"/>
        <v>ARJOWINANGUN RW 01 MALANG</v>
      </c>
      <c r="AA1044" s="276" t="e">
        <f>VLOOKUP(Logfile_S12[[#This Row],[DO number]],DO_DB!G:I,3,0)</f>
        <v>#N/A</v>
      </c>
      <c r="AB1044" s="331" t="e">
        <f>EXACT(Logfile_S12[[#This Row],[date pick]],Logfile_S12[[#This Row],[Date]])</f>
        <v>#N/A</v>
      </c>
      <c r="AC10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45" spans="1:29" ht="14.5" hidden="1">
      <c r="A1045" s="220" t="str">
        <f t="shared" si="42"/>
        <v>1041</v>
      </c>
      <c r="B1045" s="221"/>
      <c r="C1045" s="221" t="s">
        <v>48</v>
      </c>
      <c r="D1045" s="221" t="s">
        <v>4371</v>
      </c>
      <c r="E1045" s="221" t="s">
        <v>3295</v>
      </c>
      <c r="F1045" s="221" t="s">
        <v>3299</v>
      </c>
      <c r="G1045" s="222">
        <v>45821</v>
      </c>
      <c r="H1045" s="223">
        <v>15.291666666666666</v>
      </c>
      <c r="I1045" s="221" t="s">
        <v>37</v>
      </c>
      <c r="J1045" s="221" t="s">
        <v>3023</v>
      </c>
      <c r="K1045" s="224" t="s">
        <v>13</v>
      </c>
      <c r="L1045" s="225" t="str">
        <f>VLOOKUP(Logfile_S12[[#This Row],[Material Name]],Sheet2!B:C,2,0)</f>
        <v>ZTE2008</v>
      </c>
      <c r="M1045" s="225" t="str">
        <f>_xlfn.XLOOKUP(Logfile_S12[[#This Row],[Material Name]],Sum_WH!E:E,Sum_WH!F:F,"",0)</f>
        <v>Pcs</v>
      </c>
      <c r="N1045" s="221">
        <v>80</v>
      </c>
      <c r="O1045" s="221"/>
      <c r="P1045" s="221"/>
      <c r="Q1045" s="221">
        <v>0</v>
      </c>
      <c r="R1045" s="221">
        <v>0</v>
      </c>
      <c r="S1045" s="221"/>
      <c r="T1045" s="221"/>
      <c r="U1045" s="221"/>
      <c r="V1045" s="221"/>
      <c r="W1045" s="221"/>
      <c r="X1045" s="221"/>
      <c r="Y1045" s="227"/>
      <c r="Z1045" s="227">
        <f t="shared" si="43"/>
        <v>0</v>
      </c>
      <c r="AA1045" s="276" t="e">
        <f>VLOOKUP(Logfile_S12[[#This Row],[DO number]],DO_DB!G:I,3,0)</f>
        <v>#N/A</v>
      </c>
      <c r="AB1045" s="331" t="e">
        <f>EXACT(Logfile_S12[[#This Row],[date pick]],Logfile_S12[[#This Row],[Date]])</f>
        <v>#N/A</v>
      </c>
      <c r="AC10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46" spans="1:29" ht="14.5" hidden="1">
      <c r="A1046" s="220" t="str">
        <f t="shared" si="42"/>
        <v>1042</v>
      </c>
      <c r="B1046" s="221"/>
      <c r="C1046" s="221" t="s">
        <v>49</v>
      </c>
      <c r="D1046" s="221" t="s">
        <v>4373</v>
      </c>
      <c r="E1046" s="221" t="s">
        <v>3295</v>
      </c>
      <c r="F1046" s="221" t="s">
        <v>3299</v>
      </c>
      <c r="G1046" s="222">
        <v>45824</v>
      </c>
      <c r="H1046" s="223">
        <v>0.83125000000000004</v>
      </c>
      <c r="I1046" s="221" t="s">
        <v>4916</v>
      </c>
      <c r="J1046" s="221" t="s">
        <v>3023</v>
      </c>
      <c r="K1046" s="224" t="s">
        <v>3543</v>
      </c>
      <c r="L1046" s="225" t="str">
        <f>VLOOKUP(Logfile_S12[[#This Row],[Material Name]],Sheet2!B:C,2,0)</f>
        <v>ZTE2008</v>
      </c>
      <c r="M1046" s="225" t="str">
        <f>_xlfn.XLOOKUP(Logfile_S12[[#This Row],[Material Name]],Sum_WH!E:E,Sum_WH!F:F,"",0)</f>
        <v>Pcs</v>
      </c>
      <c r="N1046" s="221">
        <v>2</v>
      </c>
      <c r="O1046" s="221" t="s">
        <v>2855</v>
      </c>
      <c r="P1046" s="221" t="s">
        <v>2856</v>
      </c>
      <c r="Q1046" s="221"/>
      <c r="R1046" s="221"/>
      <c r="S1046" s="221"/>
      <c r="T1046" s="221" t="s">
        <v>3411</v>
      </c>
      <c r="U1046" s="221">
        <v>0</v>
      </c>
      <c r="V1046" s="221">
        <v>0</v>
      </c>
      <c r="W1046" s="221" t="s">
        <v>3412</v>
      </c>
      <c r="X1046" s="221"/>
      <c r="Y1046" s="227"/>
      <c r="Z1046" s="227" t="str">
        <f t="shared" si="43"/>
        <v>DESA KARANGANYAR KIDUL PONCOKUSUMO   MALANG</v>
      </c>
      <c r="AA1046" s="276" t="e">
        <f>VLOOKUP(Logfile_S12[[#This Row],[DO number]],DO_DB!G:I,3,0)</f>
        <v>#N/A</v>
      </c>
      <c r="AB1046" s="331" t="e">
        <f>EXACT(Logfile_S12[[#This Row],[date pick]],Logfile_S12[[#This Row],[Date]])</f>
        <v>#N/A</v>
      </c>
      <c r="AC10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47" spans="1:29" ht="14.5" hidden="1">
      <c r="A1047" s="220" t="str">
        <f t="shared" si="42"/>
        <v>1043</v>
      </c>
      <c r="B1047" s="221"/>
      <c r="C1047" s="221" t="s">
        <v>49</v>
      </c>
      <c r="D1047" s="221" t="s">
        <v>4373</v>
      </c>
      <c r="E1047" s="221" t="s">
        <v>3295</v>
      </c>
      <c r="F1047" s="221" t="s">
        <v>3299</v>
      </c>
      <c r="G1047" s="222">
        <v>45824</v>
      </c>
      <c r="H1047" s="223">
        <v>0.83125000000000004</v>
      </c>
      <c r="I1047" s="221" t="s">
        <v>4916</v>
      </c>
      <c r="J1047" s="221" t="s">
        <v>3023</v>
      </c>
      <c r="K1047" s="224" t="s">
        <v>3543</v>
      </c>
      <c r="L1047" s="225" t="str">
        <f>VLOOKUP(Logfile_S12[[#This Row],[Material Name]],Sheet2!B:C,2,0)</f>
        <v>ZTE2008</v>
      </c>
      <c r="M1047" s="225" t="str">
        <f>_xlfn.XLOOKUP(Logfile_S12[[#This Row],[Material Name]],Sum_WH!E:E,Sum_WH!F:F,"",0)</f>
        <v>Pcs</v>
      </c>
      <c r="N1047" s="221">
        <v>8</v>
      </c>
      <c r="O1047" s="221" t="s">
        <v>2815</v>
      </c>
      <c r="P1047" s="221" t="s">
        <v>2816</v>
      </c>
      <c r="Q1047" s="221"/>
      <c r="R1047" s="221"/>
      <c r="S1047" s="221"/>
      <c r="T1047" s="221" t="s">
        <v>3411</v>
      </c>
      <c r="U1047" s="221">
        <v>0</v>
      </c>
      <c r="V1047" s="221">
        <v>0</v>
      </c>
      <c r="W1047" s="221" t="s">
        <v>3412</v>
      </c>
      <c r="X1047" s="221"/>
      <c r="Y1047" s="227"/>
      <c r="Z1047" s="227" t="str">
        <f t="shared" si="43"/>
        <v>BULULAWANG RW 05 MALANG</v>
      </c>
      <c r="AA1047" s="276" t="e">
        <f>VLOOKUP(Logfile_S12[[#This Row],[DO number]],DO_DB!G:I,3,0)</f>
        <v>#N/A</v>
      </c>
      <c r="AB1047" s="331" t="e">
        <f>EXACT(Logfile_S12[[#This Row],[date pick]],Logfile_S12[[#This Row],[Date]])</f>
        <v>#N/A</v>
      </c>
      <c r="AC10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48" spans="1:29" ht="14.5" hidden="1">
      <c r="A1048" s="220" t="str">
        <f t="shared" si="42"/>
        <v>1044</v>
      </c>
      <c r="B1048" s="221"/>
      <c r="C1048" s="221" t="s">
        <v>49</v>
      </c>
      <c r="D1048" s="221" t="s">
        <v>4373</v>
      </c>
      <c r="E1048" s="221" t="s">
        <v>3295</v>
      </c>
      <c r="F1048" s="221" t="s">
        <v>3299</v>
      </c>
      <c r="G1048" s="222">
        <v>45824</v>
      </c>
      <c r="H1048" s="223">
        <v>0.83125000000000004</v>
      </c>
      <c r="I1048" s="221" t="s">
        <v>4916</v>
      </c>
      <c r="J1048" s="221" t="s">
        <v>3023</v>
      </c>
      <c r="K1048" s="224" t="s">
        <v>13</v>
      </c>
      <c r="L1048" s="225" t="str">
        <f>VLOOKUP(Logfile_S12[[#This Row],[Material Name]],Sheet2!B:C,2,0)</f>
        <v>ZTE2008</v>
      </c>
      <c r="M1048" s="225" t="str">
        <f>_xlfn.XLOOKUP(Logfile_S12[[#This Row],[Material Name]],Sum_WH!E:E,Sum_WH!F:F,"",0)</f>
        <v>Pcs</v>
      </c>
      <c r="N1048" s="221">
        <v>53</v>
      </c>
      <c r="O1048" s="221" t="s">
        <v>2809</v>
      </c>
      <c r="P1048" s="221" t="s">
        <v>2810</v>
      </c>
      <c r="Q1048" s="221"/>
      <c r="R1048" s="221"/>
      <c r="S1048" s="221"/>
      <c r="T1048" s="221" t="s">
        <v>3411</v>
      </c>
      <c r="U1048" s="221">
        <v>0</v>
      </c>
      <c r="V1048" s="221">
        <v>0</v>
      </c>
      <c r="W1048" s="221" t="s">
        <v>3412</v>
      </c>
      <c r="X1048" s="221"/>
      <c r="Y1048" s="227"/>
      <c r="Z1048" s="227" t="str">
        <f t="shared" si="43"/>
        <v>BULULAWANG RW 01, 02, 03, 04, 06   MALANG</v>
      </c>
      <c r="AA1048" s="276" t="e">
        <f>VLOOKUP(Logfile_S12[[#This Row],[DO number]],DO_DB!G:I,3,0)</f>
        <v>#N/A</v>
      </c>
      <c r="AB1048" s="331" t="e">
        <f>EXACT(Logfile_S12[[#This Row],[date pick]],Logfile_S12[[#This Row],[Date]])</f>
        <v>#N/A</v>
      </c>
      <c r="AC10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49" spans="1:29" ht="14.5" hidden="1">
      <c r="A1049" s="220" t="str">
        <f t="shared" si="42"/>
        <v>1045</v>
      </c>
      <c r="B1049" s="221"/>
      <c r="C1049" s="221" t="s">
        <v>48</v>
      </c>
      <c r="D1049" s="221" t="s">
        <v>4374</v>
      </c>
      <c r="E1049" s="221" t="s">
        <v>3295</v>
      </c>
      <c r="F1049" s="221" t="s">
        <v>3299</v>
      </c>
      <c r="G1049" s="222">
        <v>45826</v>
      </c>
      <c r="H1049" s="223">
        <v>15.291666666666666</v>
      </c>
      <c r="I1049" s="221" t="s">
        <v>37</v>
      </c>
      <c r="J1049" s="221" t="s">
        <v>3023</v>
      </c>
      <c r="K1049" s="224" t="s">
        <v>13</v>
      </c>
      <c r="L1049" s="225" t="str">
        <f>VLOOKUP(Logfile_S12[[#This Row],[Material Name]],Sheet2!B:C,2,0)</f>
        <v>ZTE2008</v>
      </c>
      <c r="M1049" s="225" t="str">
        <f>_xlfn.XLOOKUP(Logfile_S12[[#This Row],[Material Name]],Sum_WH!E:E,Sum_WH!F:F,"",0)</f>
        <v>Pcs</v>
      </c>
      <c r="N1049" s="221">
        <v>72</v>
      </c>
      <c r="O1049" s="221"/>
      <c r="P1049" s="221"/>
      <c r="Q1049" s="221">
        <v>0</v>
      </c>
      <c r="R1049" s="221">
        <v>0</v>
      </c>
      <c r="S1049" s="221"/>
      <c r="T1049" s="221"/>
      <c r="U1049" s="221"/>
      <c r="V1049" s="221"/>
      <c r="W1049" s="221"/>
      <c r="X1049" s="221"/>
      <c r="Y1049" s="227"/>
      <c r="Z1049" s="227">
        <f t="shared" si="43"/>
        <v>0</v>
      </c>
      <c r="AA1049" s="276" t="e">
        <f>VLOOKUP(Logfile_S12[[#This Row],[DO number]],DO_DB!G:I,3,0)</f>
        <v>#N/A</v>
      </c>
      <c r="AB1049" s="331" t="e">
        <f>EXACT(Logfile_S12[[#This Row],[date pick]],Logfile_S12[[#This Row],[Date]])</f>
        <v>#N/A</v>
      </c>
      <c r="AC10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50" spans="1:29" ht="14.5" hidden="1">
      <c r="A1050" s="220" t="str">
        <f t="shared" si="42"/>
        <v>1046</v>
      </c>
      <c r="B1050" s="221"/>
      <c r="C1050" s="221" t="s">
        <v>49</v>
      </c>
      <c r="D1050" s="221" t="s">
        <v>4376</v>
      </c>
      <c r="E1050" s="221" t="s">
        <v>3295</v>
      </c>
      <c r="F1050" s="221" t="s">
        <v>3299</v>
      </c>
      <c r="G1050" s="222">
        <v>45827</v>
      </c>
      <c r="H1050" s="223">
        <v>0.64583333333333337</v>
      </c>
      <c r="I1050" s="221" t="s">
        <v>4916</v>
      </c>
      <c r="J1050" s="221" t="s">
        <v>3023</v>
      </c>
      <c r="K1050" s="224" t="s">
        <v>13</v>
      </c>
      <c r="L1050" s="225" t="str">
        <f>VLOOKUP(Logfile_S12[[#This Row],[Material Name]],Sheet2!B:C,2,0)</f>
        <v>ZTE2008</v>
      </c>
      <c r="M1050" s="225" t="str">
        <f>_xlfn.XLOOKUP(Logfile_S12[[#This Row],[Material Name]],Sum_WH!E:E,Sum_WH!F:F,"",0)</f>
        <v>Pcs</v>
      </c>
      <c r="N1050" s="221">
        <v>30</v>
      </c>
      <c r="O1050" s="221" t="s">
        <v>2851</v>
      </c>
      <c r="P1050" s="221" t="s">
        <v>2852</v>
      </c>
      <c r="Q1050" s="221"/>
      <c r="R1050" s="221"/>
      <c r="S1050" s="221"/>
      <c r="T1050" s="221" t="s">
        <v>3231</v>
      </c>
      <c r="U1050" s="221">
        <v>0</v>
      </c>
      <c r="V1050" s="221" t="s">
        <v>3375</v>
      </c>
      <c r="W1050" s="221" t="s">
        <v>3249</v>
      </c>
      <c r="X1050" s="221"/>
      <c r="Y1050" s="227"/>
      <c r="Z1050" s="227" t="str">
        <f t="shared" si="43"/>
        <v>DESA KRAJANI PONCOKUSUMO MALANG</v>
      </c>
      <c r="AA1050" s="276" t="e">
        <f>VLOOKUP(Logfile_S12[[#This Row],[DO number]],DO_DB!G:I,3,0)</f>
        <v>#N/A</v>
      </c>
      <c r="AB1050" s="331" t="e">
        <f>EXACT(Logfile_S12[[#This Row],[date pick]],Logfile_S12[[#This Row],[Date]])</f>
        <v>#N/A</v>
      </c>
      <c r="AC10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51" spans="1:29" ht="14.5" hidden="1">
      <c r="A1051" s="220" t="str">
        <f t="shared" si="42"/>
        <v>1047</v>
      </c>
      <c r="B1051" s="221"/>
      <c r="C1051" s="221" t="s">
        <v>49</v>
      </c>
      <c r="D1051" s="221" t="s">
        <v>4385</v>
      </c>
      <c r="E1051" s="221" t="s">
        <v>3295</v>
      </c>
      <c r="F1051" s="221" t="s">
        <v>3299</v>
      </c>
      <c r="G1051" s="222">
        <v>45833</v>
      </c>
      <c r="H1051" s="223">
        <v>0.87708333333333333</v>
      </c>
      <c r="I1051" s="221" t="s">
        <v>4916</v>
      </c>
      <c r="J1051" s="221" t="s">
        <v>3023</v>
      </c>
      <c r="K1051" s="224" t="s">
        <v>13</v>
      </c>
      <c r="L1051" s="225" t="str">
        <f>VLOOKUP(Logfile_S12[[#This Row],[Material Name]],Sheet2!B:C,2,0)</f>
        <v>ZTE2008</v>
      </c>
      <c r="M1051" s="225" t="str">
        <f>_xlfn.XLOOKUP(Logfile_S12[[#This Row],[Material Name]],Sum_WH!E:E,Sum_WH!F:F,"",0)</f>
        <v>Pcs</v>
      </c>
      <c r="N1051" s="221">
        <v>14</v>
      </c>
      <c r="O1051" s="221" t="s">
        <v>2855</v>
      </c>
      <c r="P1051" s="221" t="s">
        <v>2856</v>
      </c>
      <c r="Q1051" s="221"/>
      <c r="R1051" s="221"/>
      <c r="S1051" s="221"/>
      <c r="T1051" s="221" t="s">
        <v>3356</v>
      </c>
      <c r="U1051" s="221">
        <v>0</v>
      </c>
      <c r="V1051" s="221">
        <v>0</v>
      </c>
      <c r="W1051" s="221" t="s">
        <v>3358</v>
      </c>
      <c r="X1051" s="221"/>
      <c r="Y1051" s="227"/>
      <c r="Z1051" s="227" t="str">
        <f t="shared" si="43"/>
        <v>DESA KARANGANYAR KIDUL PONCOKUSUMO   MALANG</v>
      </c>
      <c r="AA1051" s="276" t="e">
        <f>VLOOKUP(Logfile_S12[[#This Row],[DO number]],DO_DB!G:I,3,0)</f>
        <v>#N/A</v>
      </c>
      <c r="AB1051" s="331" t="e">
        <f>EXACT(Logfile_S12[[#This Row],[date pick]],Logfile_S12[[#This Row],[Date]])</f>
        <v>#N/A</v>
      </c>
      <c r="AC10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52" spans="1:29" ht="14.5" hidden="1">
      <c r="A1052" s="220" t="str">
        <f t="shared" si="42"/>
        <v>1048</v>
      </c>
      <c r="B1052" s="221"/>
      <c r="C1052" s="221" t="s">
        <v>49</v>
      </c>
      <c r="D1052" s="221" t="s">
        <v>4391</v>
      </c>
      <c r="E1052" s="221" t="s">
        <v>3295</v>
      </c>
      <c r="F1052" s="221" t="s">
        <v>3299</v>
      </c>
      <c r="G1052" s="222">
        <v>45849</v>
      </c>
      <c r="H1052" s="223">
        <v>0.60833333333333328</v>
      </c>
      <c r="I1052" s="221" t="s">
        <v>4916</v>
      </c>
      <c r="J1052" s="221" t="s">
        <v>3023</v>
      </c>
      <c r="K1052" s="224" t="s">
        <v>13</v>
      </c>
      <c r="L1052" s="225" t="str">
        <f>VLOOKUP(Logfile_S12[[#This Row],[Material Name]],Sheet2!B:C,2,0)</f>
        <v>ZTE2008</v>
      </c>
      <c r="M1052" s="225" t="str">
        <f>_xlfn.XLOOKUP(Logfile_S12[[#This Row],[Material Name]],Sum_WH!E:E,Sum_WH!F:F,"",0)</f>
        <v>Pcs</v>
      </c>
      <c r="N1052" s="221">
        <v>26</v>
      </c>
      <c r="O1052" s="221" t="s">
        <v>2861</v>
      </c>
      <c r="P1052" s="221" t="s">
        <v>2862</v>
      </c>
      <c r="Q1052" s="221"/>
      <c r="R1052" s="221"/>
      <c r="S1052" s="221"/>
      <c r="T1052" s="221" t="s">
        <v>3356</v>
      </c>
      <c r="U1052" s="221">
        <v>0</v>
      </c>
      <c r="V1052" s="221">
        <v>0</v>
      </c>
      <c r="W1052" s="221" t="s">
        <v>3358</v>
      </c>
      <c r="X1052" s="221"/>
      <c r="Y1052" s="227"/>
      <c r="Z1052" s="227" t="str">
        <f t="shared" si="43"/>
        <v>DESA GADUNGAN PONCOKUSUMO MALANG</v>
      </c>
      <c r="AA1052" s="276" t="e">
        <f>VLOOKUP(Logfile_S12[[#This Row],[DO number]],DO_DB!G:I,3,0)</f>
        <v>#N/A</v>
      </c>
      <c r="AB1052" s="331" t="e">
        <f>EXACT(Logfile_S12[[#This Row],[date pick]],Logfile_S12[[#This Row],[Date]])</f>
        <v>#N/A</v>
      </c>
      <c r="AC10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53" spans="1:29" ht="14.5" hidden="1">
      <c r="A1053" s="220" t="str">
        <f t="shared" si="42"/>
        <v>1049</v>
      </c>
      <c r="B1053" s="221"/>
      <c r="C1053" s="221" t="s">
        <v>48</v>
      </c>
      <c r="D1053" s="221" t="s">
        <v>4393</v>
      </c>
      <c r="E1053" s="221" t="s">
        <v>3295</v>
      </c>
      <c r="F1053" s="221" t="s">
        <v>3299</v>
      </c>
      <c r="G1053" s="222">
        <v>45850</v>
      </c>
      <c r="H1053" s="223">
        <v>15.291666666666666</v>
      </c>
      <c r="I1053" s="221" t="s">
        <v>37</v>
      </c>
      <c r="J1053" s="221" t="s">
        <v>3023</v>
      </c>
      <c r="K1053" s="224" t="s">
        <v>13</v>
      </c>
      <c r="L1053" s="225" t="str">
        <f>VLOOKUP(Logfile_S12[[#This Row],[Material Name]],Sheet2!B:C,2,0)</f>
        <v>ZTE2008</v>
      </c>
      <c r="M1053" s="225" t="str">
        <f>_xlfn.XLOOKUP(Logfile_S12[[#This Row],[Material Name]],Sum_WH!E:E,Sum_WH!F:F,"",0)</f>
        <v>Pcs</v>
      </c>
      <c r="N1053" s="221">
        <v>64</v>
      </c>
      <c r="O1053" s="221" t="s">
        <v>2903</v>
      </c>
      <c r="P1053" s="221" t="s">
        <v>2904</v>
      </c>
      <c r="Q1053" s="221">
        <v>0</v>
      </c>
      <c r="R1053" s="221">
        <v>0</v>
      </c>
      <c r="S1053" s="221"/>
      <c r="T1053" s="221"/>
      <c r="U1053" s="221"/>
      <c r="V1053" s="221"/>
      <c r="W1053" s="221"/>
      <c r="X1053" s="221"/>
      <c r="Y1053" s="227"/>
      <c r="Z1053" s="227" t="str">
        <f t="shared" si="43"/>
        <v>KREBET SENGGRONG RW 04</v>
      </c>
      <c r="AA1053" s="276" t="e">
        <f>VLOOKUP(Logfile_S12[[#This Row],[DO number]],DO_DB!G:I,3,0)</f>
        <v>#N/A</v>
      </c>
      <c r="AB1053" s="331" t="e">
        <f>EXACT(Logfile_S12[[#This Row],[date pick]],Logfile_S12[[#This Row],[Date]])</f>
        <v>#N/A</v>
      </c>
      <c r="AC10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54" spans="1:29" ht="14.5" hidden="1">
      <c r="A1054" s="220" t="str">
        <f t="shared" si="42"/>
        <v>1050</v>
      </c>
      <c r="B1054" s="221"/>
      <c r="C1054" s="221" t="s">
        <v>49</v>
      </c>
      <c r="D1054" s="221" t="s">
        <v>4396</v>
      </c>
      <c r="E1054" s="221" t="s">
        <v>3295</v>
      </c>
      <c r="F1054" s="221" t="s">
        <v>3299</v>
      </c>
      <c r="G1054" s="222">
        <v>45857</v>
      </c>
      <c r="H1054" s="223">
        <v>0.5395833333333333</v>
      </c>
      <c r="I1054" s="221" t="s">
        <v>4916</v>
      </c>
      <c r="J1054" s="221" t="s">
        <v>3023</v>
      </c>
      <c r="K1054" s="224" t="s">
        <v>13</v>
      </c>
      <c r="L1054" s="225" t="str">
        <f>VLOOKUP(Logfile_S12[[#This Row],[Material Name]],Sheet2!B:C,2,0)</f>
        <v>ZTE2008</v>
      </c>
      <c r="M1054" s="225" t="str">
        <f>_xlfn.XLOOKUP(Logfile_S12[[#This Row],[Material Name]],Sum_WH!E:E,Sum_WH!F:F,"",0)</f>
        <v>Pcs</v>
      </c>
      <c r="N1054" s="221">
        <v>7</v>
      </c>
      <c r="O1054" s="221" t="s">
        <v>2921</v>
      </c>
      <c r="P1054" s="221" t="s">
        <v>2922</v>
      </c>
      <c r="Q1054" s="221"/>
      <c r="R1054" s="221"/>
      <c r="S1054" s="221"/>
      <c r="T1054" s="221" t="s">
        <v>3258</v>
      </c>
      <c r="U1054" s="221">
        <v>0</v>
      </c>
      <c r="V1054" s="221" t="s">
        <v>3337</v>
      </c>
      <c r="W1054" s="221" t="s">
        <v>3338</v>
      </c>
      <c r="X1054" s="221"/>
      <c r="Y1054" s="227"/>
      <c r="Z1054" s="227" t="str">
        <f t="shared" si="43"/>
        <v>KREBET RW 04</v>
      </c>
      <c r="AA1054" s="276" t="e">
        <f>VLOOKUP(Logfile_S12[[#This Row],[DO number]],DO_DB!G:I,3,0)</f>
        <v>#N/A</v>
      </c>
      <c r="AB1054" s="331" t="e">
        <f>EXACT(Logfile_S12[[#This Row],[date pick]],Logfile_S12[[#This Row],[Date]])</f>
        <v>#N/A</v>
      </c>
      <c r="AC10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55" spans="1:29" ht="14.5" hidden="1">
      <c r="A1055" s="220" t="str">
        <f t="shared" si="42"/>
        <v>1051</v>
      </c>
      <c r="B1055" s="221"/>
      <c r="C1055" s="221" t="s">
        <v>49</v>
      </c>
      <c r="D1055" s="221" t="s">
        <v>4396</v>
      </c>
      <c r="E1055" s="221" t="s">
        <v>3295</v>
      </c>
      <c r="F1055" s="221" t="s">
        <v>3299</v>
      </c>
      <c r="G1055" s="222">
        <v>45857</v>
      </c>
      <c r="H1055" s="223">
        <v>0.5395833333333333</v>
      </c>
      <c r="I1055" s="221" t="s">
        <v>4916</v>
      </c>
      <c r="J1055" s="221" t="s">
        <v>3023</v>
      </c>
      <c r="K1055" s="224" t="s">
        <v>13</v>
      </c>
      <c r="L1055" s="225" t="str">
        <f>VLOOKUP(Logfile_S12[[#This Row],[Material Name]],Sheet2!B:C,2,0)</f>
        <v>ZTE2008</v>
      </c>
      <c r="M1055" s="225" t="str">
        <f>_xlfn.XLOOKUP(Logfile_S12[[#This Row],[Material Name]],Sum_WH!E:E,Sum_WH!F:F,"",0)</f>
        <v>Pcs</v>
      </c>
      <c r="N1055" s="221">
        <v>15</v>
      </c>
      <c r="O1055" s="221" t="s">
        <v>2909</v>
      </c>
      <c r="P1055" s="221" t="s">
        <v>2910</v>
      </c>
      <c r="Q1055" s="221"/>
      <c r="R1055" s="221"/>
      <c r="S1055" s="221"/>
      <c r="T1055" s="221" t="s">
        <v>3258</v>
      </c>
      <c r="U1055" s="221">
        <v>0</v>
      </c>
      <c r="V1055" s="221" t="s">
        <v>3337</v>
      </c>
      <c r="W1055" s="221" t="s">
        <v>3338</v>
      </c>
      <c r="X1055" s="221"/>
      <c r="Y1055" s="227"/>
      <c r="Z1055" s="227" t="str">
        <f t="shared" si="43"/>
        <v>KREBET RW 03</v>
      </c>
      <c r="AA1055" s="276" t="e">
        <f>VLOOKUP(Logfile_S12[[#This Row],[DO number]],DO_DB!G:I,3,0)</f>
        <v>#N/A</v>
      </c>
      <c r="AB1055" s="331" t="e">
        <f>EXACT(Logfile_S12[[#This Row],[date pick]],Logfile_S12[[#This Row],[Date]])</f>
        <v>#N/A</v>
      </c>
      <c r="AC10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56" spans="1:29" ht="14.5" hidden="1">
      <c r="A1056" s="220" t="str">
        <f t="shared" si="42"/>
        <v>1052</v>
      </c>
      <c r="B1056" s="221"/>
      <c r="C1056" s="221" t="s">
        <v>49</v>
      </c>
      <c r="D1056" s="221" t="s">
        <v>4397</v>
      </c>
      <c r="E1056" s="221" t="s">
        <v>3295</v>
      </c>
      <c r="F1056" s="221" t="s">
        <v>3299</v>
      </c>
      <c r="G1056" s="222">
        <v>45861</v>
      </c>
      <c r="H1056" s="223">
        <v>0.46805555555555556</v>
      </c>
      <c r="I1056" s="221" t="s">
        <v>4916</v>
      </c>
      <c r="J1056" s="221" t="s">
        <v>3023</v>
      </c>
      <c r="K1056" s="224" t="s">
        <v>13</v>
      </c>
      <c r="L1056" s="225" t="str">
        <f>VLOOKUP(Logfile_S12[[#This Row],[Material Name]],Sheet2!B:C,2,0)</f>
        <v>ZTE2008</v>
      </c>
      <c r="M1056" s="225" t="str">
        <f>_xlfn.XLOOKUP(Logfile_S12[[#This Row],[Material Name]],Sum_WH!E:E,Sum_WH!F:F,"",0)</f>
        <v>Pcs</v>
      </c>
      <c r="N1056" s="221">
        <v>13</v>
      </c>
      <c r="O1056" s="221" t="s">
        <v>2915</v>
      </c>
      <c r="P1056" s="221" t="s">
        <v>2916</v>
      </c>
      <c r="Q1056" s="221"/>
      <c r="R1056" s="221"/>
      <c r="S1056" s="221"/>
      <c r="T1056" s="221" t="s">
        <v>3258</v>
      </c>
      <c r="U1056" s="221">
        <v>0</v>
      </c>
      <c r="V1056" s="221" t="s">
        <v>3337</v>
      </c>
      <c r="W1056" s="221" t="s">
        <v>3338</v>
      </c>
      <c r="X1056" s="221"/>
      <c r="Y1056" s="227"/>
      <c r="Z1056" s="227" t="str">
        <f t="shared" si="43"/>
        <v>KREBET RW 05</v>
      </c>
      <c r="AA1056" s="276" t="e">
        <f>VLOOKUP(Logfile_S12[[#This Row],[DO number]],DO_DB!G:I,3,0)</f>
        <v>#N/A</v>
      </c>
      <c r="AB1056" s="331" t="e">
        <f>EXACT(Logfile_S12[[#This Row],[date pick]],Logfile_S12[[#This Row],[Date]])</f>
        <v>#N/A</v>
      </c>
      <c r="AC10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57" spans="1:29" ht="14.5" hidden="1">
      <c r="A1057" s="220" t="str">
        <f t="shared" si="42"/>
        <v>1053</v>
      </c>
      <c r="B1057" s="221"/>
      <c r="C1057" s="221" t="s">
        <v>49</v>
      </c>
      <c r="D1057" s="221" t="s">
        <v>4400</v>
      </c>
      <c r="E1057" s="221" t="s">
        <v>3295</v>
      </c>
      <c r="F1057" s="221" t="s">
        <v>3299</v>
      </c>
      <c r="G1057" s="222">
        <v>45865</v>
      </c>
      <c r="H1057" s="223">
        <v>0.83125000000000004</v>
      </c>
      <c r="I1057" s="221" t="s">
        <v>4916</v>
      </c>
      <c r="J1057" s="221" t="s">
        <v>3023</v>
      </c>
      <c r="K1057" s="224" t="s">
        <v>13</v>
      </c>
      <c r="L1057" s="225" t="str">
        <f>VLOOKUP(Logfile_S12[[#This Row],[Material Name]],Sheet2!B:C,2,0)</f>
        <v>ZTE2008</v>
      </c>
      <c r="M1057" s="225" t="str">
        <f>_xlfn.XLOOKUP(Logfile_S12[[#This Row],[Material Name]],Sum_WH!E:E,Sum_WH!F:F,"",0)</f>
        <v>Pcs</v>
      </c>
      <c r="N1057" s="221">
        <v>16</v>
      </c>
      <c r="O1057" s="221" t="s">
        <v>2925</v>
      </c>
      <c r="P1057" s="221" t="s">
        <v>2926</v>
      </c>
      <c r="Q1057" s="221"/>
      <c r="R1057" s="221"/>
      <c r="S1057" s="221"/>
      <c r="T1057" s="221" t="s">
        <v>3471</v>
      </c>
      <c r="U1057" s="221">
        <v>0</v>
      </c>
      <c r="V1057" s="221" t="s">
        <v>3472</v>
      </c>
      <c r="W1057" s="221" t="s">
        <v>3545</v>
      </c>
      <c r="X1057" s="221"/>
      <c r="Y1057" s="227"/>
      <c r="Z1057" s="227" t="str">
        <f t="shared" si="43"/>
        <v>BULULAWANG RW 07 MALANG</v>
      </c>
      <c r="AA1057" s="276" t="e">
        <f>VLOOKUP(Logfile_S12[[#This Row],[DO number]],DO_DB!G:I,3,0)</f>
        <v>#N/A</v>
      </c>
      <c r="AB1057" s="331" t="e">
        <f>EXACT(Logfile_S12[[#This Row],[date pick]],Logfile_S12[[#This Row],[Date]])</f>
        <v>#N/A</v>
      </c>
      <c r="AC10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58" spans="1:29" ht="14.5" hidden="1">
      <c r="A1058" s="220" t="str">
        <f t="shared" si="42"/>
        <v>1054</v>
      </c>
      <c r="B1058" s="221"/>
      <c r="C1058" s="221" t="s">
        <v>49</v>
      </c>
      <c r="D1058" s="221" t="s">
        <v>4407</v>
      </c>
      <c r="E1058" s="221" t="s">
        <v>3295</v>
      </c>
      <c r="F1058" s="221" t="s">
        <v>3299</v>
      </c>
      <c r="G1058" s="222">
        <v>45878</v>
      </c>
      <c r="H1058" s="223">
        <v>0.55694444444444446</v>
      </c>
      <c r="I1058" s="221" t="s">
        <v>4916</v>
      </c>
      <c r="J1058" s="221" t="s">
        <v>3023</v>
      </c>
      <c r="K1058" s="224" t="s">
        <v>13</v>
      </c>
      <c r="L1058" s="225" t="str">
        <f>VLOOKUP(Logfile_S12[[#This Row],[Material Name]],Sheet2!B:C,2,0)</f>
        <v>ZTE2008</v>
      </c>
      <c r="M1058" s="225" t="str">
        <f>_xlfn.XLOOKUP(Logfile_S12[[#This Row],[Material Name]],Sum_WH!E:E,Sum_WH!F:F,"",0)</f>
        <v>Pcs</v>
      </c>
      <c r="N1058" s="221">
        <v>8</v>
      </c>
      <c r="O1058" s="221" t="s">
        <v>2992</v>
      </c>
      <c r="P1058" s="221" t="s">
        <v>2993</v>
      </c>
      <c r="Q1058" s="221"/>
      <c r="R1058" s="221"/>
      <c r="S1058" s="221"/>
      <c r="T1058" s="221" t="s">
        <v>3471</v>
      </c>
      <c r="U1058" s="221">
        <v>0</v>
      </c>
      <c r="V1058" s="221" t="s">
        <v>3472</v>
      </c>
      <c r="W1058" s="221" t="s">
        <v>3545</v>
      </c>
      <c r="X1058" s="221"/>
      <c r="Y1058" s="227"/>
      <c r="Z1058" s="227" t="str">
        <f t="shared" si="43"/>
        <v>PERMANU RW 04 MALANG</v>
      </c>
      <c r="AA1058" s="276" t="e">
        <f>VLOOKUP(Logfile_S12[[#This Row],[DO number]],DO_DB!G:I,3,0)</f>
        <v>#N/A</v>
      </c>
      <c r="AB1058" s="331" t="e">
        <f>EXACT(Logfile_S12[[#This Row],[date pick]],Logfile_S12[[#This Row],[Date]])</f>
        <v>#N/A</v>
      </c>
      <c r="AC10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59" spans="1:29" ht="14.5" hidden="1">
      <c r="A1059" s="220" t="str">
        <f t="shared" si="42"/>
        <v>1055</v>
      </c>
      <c r="B1059" s="221"/>
      <c r="C1059" s="221" t="s">
        <v>49</v>
      </c>
      <c r="D1059" s="221" t="s">
        <v>4409</v>
      </c>
      <c r="E1059" s="221" t="s">
        <v>3295</v>
      </c>
      <c r="F1059" s="221" t="s">
        <v>3299</v>
      </c>
      <c r="G1059" s="222">
        <v>45878</v>
      </c>
      <c r="H1059" s="223">
        <v>0.85416666666666663</v>
      </c>
      <c r="I1059" s="221" t="s">
        <v>4916</v>
      </c>
      <c r="J1059" s="221" t="s">
        <v>3023</v>
      </c>
      <c r="K1059" s="224" t="s">
        <v>13</v>
      </c>
      <c r="L1059" s="225" t="str">
        <f>VLOOKUP(Logfile_S12[[#This Row],[Material Name]],Sheet2!B:C,2,0)</f>
        <v>ZTE2008</v>
      </c>
      <c r="M1059" s="225" t="str">
        <f>_xlfn.XLOOKUP(Logfile_S12[[#This Row],[Material Name]],Sum_WH!E:E,Sum_WH!F:F,"",0)</f>
        <v>Pcs</v>
      </c>
      <c r="N1059" s="221">
        <v>10</v>
      </c>
      <c r="O1059" s="221" t="s">
        <v>2996</v>
      </c>
      <c r="P1059" s="221" t="s">
        <v>2997</v>
      </c>
      <c r="Q1059" s="221"/>
      <c r="R1059" s="221"/>
      <c r="S1059" s="221"/>
      <c r="T1059" s="221" t="s">
        <v>3471</v>
      </c>
      <c r="U1059" s="221">
        <v>0</v>
      </c>
      <c r="V1059" s="221" t="s">
        <v>3472</v>
      </c>
      <c r="W1059" s="221" t="s">
        <v>3545</v>
      </c>
      <c r="X1059" s="221"/>
      <c r="Y1059" s="227"/>
      <c r="Z1059" s="227" t="str">
        <f t="shared" si="43"/>
        <v>PERMANU RW 03 MALANG</v>
      </c>
      <c r="AA1059" s="276" t="e">
        <f>VLOOKUP(Logfile_S12[[#This Row],[DO number]],DO_DB!G:I,3,0)</f>
        <v>#N/A</v>
      </c>
      <c r="AB1059" s="331" t="e">
        <f>EXACT(Logfile_S12[[#This Row],[date pick]],Logfile_S12[[#This Row],[Date]])</f>
        <v>#N/A</v>
      </c>
      <c r="AC10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60" spans="1:29" ht="14.5" hidden="1">
      <c r="A1060" s="220" t="str">
        <f t="shared" si="42"/>
        <v>1056</v>
      </c>
      <c r="B1060" s="221"/>
      <c r="C1060" s="221" t="s">
        <v>49</v>
      </c>
      <c r="D1060" s="221" t="s">
        <v>4412</v>
      </c>
      <c r="E1060" s="221" t="s">
        <v>3295</v>
      </c>
      <c r="F1060" s="221" t="s">
        <v>3299</v>
      </c>
      <c r="G1060" s="222">
        <v>45885</v>
      </c>
      <c r="H1060" s="223">
        <v>0.67638888888888893</v>
      </c>
      <c r="I1060" s="221" t="s">
        <v>4916</v>
      </c>
      <c r="J1060" s="221" t="s">
        <v>3023</v>
      </c>
      <c r="K1060" s="224" t="s">
        <v>13</v>
      </c>
      <c r="L1060" s="225" t="str">
        <f>VLOOKUP(Logfile_S12[[#This Row],[Material Name]],Sheet2!B:C,2,0)</f>
        <v>ZTE2008</v>
      </c>
      <c r="M1060" s="225" t="str">
        <f>_xlfn.XLOOKUP(Logfile_S12[[#This Row],[Material Name]],Sum_WH!E:E,Sum_WH!F:F,"",0)</f>
        <v>Pcs</v>
      </c>
      <c r="N1060" s="221">
        <v>13</v>
      </c>
      <c r="O1060" s="221" t="s">
        <v>2903</v>
      </c>
      <c r="P1060" s="221" t="s">
        <v>2904</v>
      </c>
      <c r="Q1060" s="221"/>
      <c r="R1060" s="221"/>
      <c r="S1060" s="221"/>
      <c r="T1060" s="221" t="s">
        <v>3471</v>
      </c>
      <c r="U1060" s="221">
        <v>0</v>
      </c>
      <c r="V1060" s="221" t="s">
        <v>3472</v>
      </c>
      <c r="W1060" s="221" t="s">
        <v>3545</v>
      </c>
      <c r="X1060" s="221"/>
      <c r="Y1060" s="227"/>
      <c r="Z1060" s="227" t="str">
        <f t="shared" si="43"/>
        <v>KREBET SENGGRONG RW 04</v>
      </c>
      <c r="AA1060" s="276" t="e">
        <f>VLOOKUP(Logfile_S12[[#This Row],[DO number]],DO_DB!G:I,3,0)</f>
        <v>#N/A</v>
      </c>
      <c r="AB1060" s="331" t="e">
        <f>EXACT(Logfile_S12[[#This Row],[date pick]],Logfile_S12[[#This Row],[Date]])</f>
        <v>#N/A</v>
      </c>
      <c r="AC10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61" spans="1:29" ht="14.5" hidden="1">
      <c r="A1061" s="220" t="str">
        <f t="shared" si="42"/>
        <v>1057</v>
      </c>
      <c r="B1061" s="221"/>
      <c r="C1061" s="221" t="s">
        <v>48</v>
      </c>
      <c r="D1061" s="221" t="s">
        <v>4415</v>
      </c>
      <c r="E1061" s="221" t="s">
        <v>3295</v>
      </c>
      <c r="F1061" s="221" t="s">
        <v>3299</v>
      </c>
      <c r="G1061" s="222">
        <v>45888</v>
      </c>
      <c r="H1061" s="223">
        <v>15.291666666666666</v>
      </c>
      <c r="I1061" s="221" t="s">
        <v>37</v>
      </c>
      <c r="J1061" s="221" t="s">
        <v>3023</v>
      </c>
      <c r="K1061" s="224" t="s">
        <v>13</v>
      </c>
      <c r="L1061" s="225" t="str">
        <f>VLOOKUP(Logfile_S12[[#This Row],[Material Name]],Sheet2!B:C,2,0)</f>
        <v>ZTE2008</v>
      </c>
      <c r="M1061" s="225" t="str">
        <f>_xlfn.XLOOKUP(Logfile_S12[[#This Row],[Material Name]],Sum_WH!E:E,Sum_WH!F:F,"",0)</f>
        <v>Pcs</v>
      </c>
      <c r="N1061" s="221">
        <v>19</v>
      </c>
      <c r="O1061" s="221" t="s">
        <v>3203</v>
      </c>
      <c r="P1061" s="221" t="s">
        <v>3598</v>
      </c>
      <c r="Q1061" s="221" t="s">
        <v>3205</v>
      </c>
      <c r="R1061" s="221" t="s">
        <v>3206</v>
      </c>
      <c r="S1061" s="221"/>
      <c r="T1061" s="221"/>
      <c r="U1061" s="221"/>
      <c r="V1061" s="221"/>
      <c r="W1061" s="221"/>
      <c r="X1061" s="221"/>
      <c r="Y1061" s="227"/>
      <c r="Z1061" s="227" t="str">
        <f t="shared" si="43"/>
        <v>PERUMAHAN BULULAWANG PERMAI RW 02</v>
      </c>
      <c r="AA1061" s="276">
        <f>VLOOKUP(Logfile_S12[[#This Row],[DO number]],DO_DB!G:I,3,0)</f>
        <v>45888</v>
      </c>
      <c r="AB1061" s="331" t="b">
        <f>EXACT(Logfile_S12[[#This Row],[date pick]],Logfile_S12[[#This Row],[Date]])</f>
        <v>1</v>
      </c>
      <c r="AC10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62" spans="1:29" ht="14.5" hidden="1">
      <c r="A1062" s="220" t="str">
        <f t="shared" si="42"/>
        <v>1058</v>
      </c>
      <c r="B1062" s="221"/>
      <c r="C1062" s="221" t="s">
        <v>3388</v>
      </c>
      <c r="D1062" s="221" t="s">
        <v>4417</v>
      </c>
      <c r="E1062" s="221" t="s">
        <v>3295</v>
      </c>
      <c r="F1062" s="221" t="s">
        <v>3299</v>
      </c>
      <c r="G1062" s="222">
        <v>45890</v>
      </c>
      <c r="H1062" s="223">
        <v>0.63958333333333328</v>
      </c>
      <c r="I1062" s="221" t="s">
        <v>4918</v>
      </c>
      <c r="J1062" s="221" t="s">
        <v>3023</v>
      </c>
      <c r="K1062" s="224" t="s">
        <v>13</v>
      </c>
      <c r="L1062" s="225" t="str">
        <f>VLOOKUP(Logfile_S12[[#This Row],[Material Name]],Sheet2!B:C,2,0)</f>
        <v>ZTE2008</v>
      </c>
      <c r="M1062" s="225" t="str">
        <f>_xlfn.XLOOKUP(Logfile_S12[[#This Row],[Material Name]],Sum_WH!E:E,Sum_WH!F:F,"",0)</f>
        <v>Pcs</v>
      </c>
      <c r="N1062" s="221">
        <v>6</v>
      </c>
      <c r="O1062" s="221">
        <v>0</v>
      </c>
      <c r="P1062" s="221" t="s">
        <v>3223</v>
      </c>
      <c r="Q1062" s="221"/>
      <c r="R1062" s="221"/>
      <c r="S1062" s="221"/>
      <c r="T1062" s="221" t="s">
        <v>3241</v>
      </c>
      <c r="U1062" s="221">
        <v>0</v>
      </c>
      <c r="V1062" s="221" t="s">
        <v>3368</v>
      </c>
      <c r="W1062" s="221" t="s">
        <v>3242</v>
      </c>
      <c r="X1062" s="221" t="s">
        <v>3544</v>
      </c>
      <c r="Y1062" s="227"/>
      <c r="Z1062" s="227" t="str">
        <f t="shared" si="43"/>
        <v>Transfer Gudang</v>
      </c>
      <c r="AA1062" s="276" t="e">
        <f>VLOOKUP(Logfile_S12[[#This Row],[DO number]],DO_DB!G:I,3,0)</f>
        <v>#N/A</v>
      </c>
      <c r="AB1062" s="331" t="e">
        <f>EXACT(Logfile_S12[[#This Row],[date pick]],Logfile_S12[[#This Row],[Date]])</f>
        <v>#N/A</v>
      </c>
      <c r="AC10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063" spans="1:29" ht="14.5" hidden="1">
      <c r="A1063" s="220" t="str">
        <f t="shared" si="42"/>
        <v>1059</v>
      </c>
      <c r="B1063" s="221"/>
      <c r="C1063" s="221" t="s">
        <v>48</v>
      </c>
      <c r="D1063" s="221" t="s">
        <v>4427</v>
      </c>
      <c r="E1063" s="221" t="s">
        <v>3295</v>
      </c>
      <c r="F1063" s="221" t="s">
        <v>3299</v>
      </c>
      <c r="G1063" s="222">
        <v>45899</v>
      </c>
      <c r="H1063" s="223">
        <v>0.6469907407407407</v>
      </c>
      <c r="I1063" s="221" t="s">
        <v>37</v>
      </c>
      <c r="J1063" s="221" t="s">
        <v>3023</v>
      </c>
      <c r="K1063" s="224" t="s">
        <v>13</v>
      </c>
      <c r="L1063" s="225" t="str">
        <f>VLOOKUP(Logfile_S12[[#This Row],[Material Name]],Sheet2!B:C,2,0)</f>
        <v>ZTE2008</v>
      </c>
      <c r="M1063" s="225" t="str">
        <f>_xlfn.XLOOKUP(Logfile_S12[[#This Row],[Material Name]],Sum_WH!E:E,Sum_WH!F:F,"",0)</f>
        <v>Pcs</v>
      </c>
      <c r="N1063" s="221">
        <v>19</v>
      </c>
      <c r="O1063" s="221"/>
      <c r="P1063" s="221" t="s">
        <v>3260</v>
      </c>
      <c r="Q1063" s="221" t="s">
        <v>3260</v>
      </c>
      <c r="R1063" s="221" t="s">
        <v>3260</v>
      </c>
      <c r="S1063" s="221"/>
      <c r="T1063" s="221"/>
      <c r="U1063" s="221"/>
      <c r="V1063" s="221"/>
      <c r="W1063" s="221"/>
      <c r="X1063" s="221"/>
      <c r="Y1063" s="227"/>
      <c r="Z1063" s="227" t="str">
        <f t="shared" si="43"/>
        <v>-</v>
      </c>
      <c r="AA1063" s="276" t="e">
        <f>VLOOKUP(Logfile_S12[[#This Row],[DO number]],DO_DB!G:I,3,0)</f>
        <v>#N/A</v>
      </c>
      <c r="AB1063" s="331" t="e">
        <f>EXACT(Logfile_S12[[#This Row],[date pick]],Logfile_S12[[#This Row],[Date]])</f>
        <v>#N/A</v>
      </c>
      <c r="AC10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64" spans="1:29" ht="14.5" hidden="1">
      <c r="A1064" s="244" t="str">
        <f t="shared" si="42"/>
        <v>1060</v>
      </c>
      <c r="B1064" s="229"/>
      <c r="C1064" s="229" t="s">
        <v>48</v>
      </c>
      <c r="D1064" s="229" t="s">
        <v>4430</v>
      </c>
      <c r="E1064" s="229" t="s">
        <v>3295</v>
      </c>
      <c r="F1064" s="229" t="s">
        <v>3299</v>
      </c>
      <c r="G1064" s="245">
        <v>45900</v>
      </c>
      <c r="H1064" s="246">
        <v>0.90028935185185188</v>
      </c>
      <c r="I1064" s="229" t="s">
        <v>37</v>
      </c>
      <c r="J1064" s="229" t="s">
        <v>3023</v>
      </c>
      <c r="K1064" s="233" t="s">
        <v>13</v>
      </c>
      <c r="L1064" s="234" t="str">
        <f>VLOOKUP(Logfile_S12[[#This Row],[Material Name]],Sheet2!B:C,2,0)</f>
        <v>ZTE2008</v>
      </c>
      <c r="M1064" s="234" t="str">
        <f>_xlfn.XLOOKUP(Logfile_S12[[#This Row],[Material Name]],Sum_WH!E:E,Sum_WH!F:F,"",0)</f>
        <v>Pcs</v>
      </c>
      <c r="N1064" s="229">
        <v>22</v>
      </c>
      <c r="O1064" s="230" t="s">
        <v>4429</v>
      </c>
      <c r="P1064" s="230" t="s">
        <v>4429</v>
      </c>
      <c r="Q1064" s="229"/>
      <c r="R1064" s="229"/>
      <c r="S1064" s="229"/>
      <c r="T1064" s="229"/>
      <c r="U1064" s="229"/>
      <c r="V1064" s="229"/>
      <c r="W1064" s="229"/>
      <c r="X1064" s="229" t="s">
        <v>4429</v>
      </c>
      <c r="Y1064" s="227"/>
      <c r="Z1064" s="227" t="str">
        <f t="shared" si="43"/>
        <v>ADJUSTMENT</v>
      </c>
      <c r="AA1064" s="276" t="e">
        <f>VLOOKUP(Logfile_S12[[#This Row],[DO number]],DO_DB!G:I,3,0)</f>
        <v>#N/A</v>
      </c>
      <c r="AB1064" s="331" t="e">
        <f>EXACT(Logfile_S12[[#This Row],[date pick]],Logfile_S12[[#This Row],[Date]])</f>
        <v>#N/A</v>
      </c>
      <c r="AC10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65" spans="1:29" ht="14.5" hidden="1">
      <c r="A1065" s="237" t="str">
        <f t="shared" si="42"/>
        <v>1061</v>
      </c>
      <c r="B1065" s="221">
        <v>3</v>
      </c>
      <c r="C1065" s="227" t="s">
        <v>49</v>
      </c>
      <c r="D1065" s="227" t="s">
        <v>4653</v>
      </c>
      <c r="E1065" s="227" t="s">
        <v>3295</v>
      </c>
      <c r="F1065" s="227" t="s">
        <v>3299</v>
      </c>
      <c r="G1065" s="239">
        <v>45916</v>
      </c>
      <c r="H1065" s="240">
        <v>0.84371527777777777</v>
      </c>
      <c r="I1065" s="227" t="s">
        <v>3295</v>
      </c>
      <c r="J1065" s="227" t="s">
        <v>3023</v>
      </c>
      <c r="K1065" s="241" t="s">
        <v>13</v>
      </c>
      <c r="L1065" s="225" t="str">
        <f>VLOOKUP(Logfile_S12[[#This Row],[Material Name]],Sheet2!B:C,2,0)</f>
        <v>ZTE2008</v>
      </c>
      <c r="M1065" s="225" t="str">
        <f>_xlfn.XLOOKUP(Logfile_S12[[#This Row],[Material Name]],Sum_WH!E:E,Sum_WH!F:F,"",0)</f>
        <v>Pcs</v>
      </c>
      <c r="N1065" s="227">
        <v>19</v>
      </c>
      <c r="O1065" s="227" t="s">
        <v>3203</v>
      </c>
      <c r="P1065" s="227" t="s">
        <v>3204</v>
      </c>
      <c r="Q1065" s="227" t="s">
        <v>3205</v>
      </c>
      <c r="R1065" s="227" t="s">
        <v>3206</v>
      </c>
      <c r="S1065" s="227"/>
      <c r="T1065" s="227" t="s">
        <v>3471</v>
      </c>
      <c r="U1065" s="227">
        <v>0</v>
      </c>
      <c r="V1065" s="227" t="s">
        <v>3472</v>
      </c>
      <c r="W1065" s="227" t="s">
        <v>3545</v>
      </c>
      <c r="X1065" s="227"/>
      <c r="Y1065" s="227"/>
      <c r="Z1065" s="227" t="str">
        <f t="shared" si="43"/>
        <v>Perumahan Bululawang Permai RW 02</v>
      </c>
      <c r="AA1065" s="276">
        <f>VLOOKUP(Logfile_S12[[#This Row],[DO number]],DO_DB!G:I,3,0)</f>
        <v>45888</v>
      </c>
      <c r="AB1065" s="331" t="b">
        <f>EXACT(Logfile_S12[[#This Row],[date pick]],Logfile_S12[[#This Row],[Date]])</f>
        <v>0</v>
      </c>
      <c r="AC10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66" spans="1:29" ht="14.5" hidden="1">
      <c r="A1066" s="237" t="str">
        <f t="shared" si="42"/>
        <v>1062</v>
      </c>
      <c r="B1066" s="221">
        <v>2</v>
      </c>
      <c r="C1066" s="227" t="s">
        <v>49</v>
      </c>
      <c r="D1066" s="227" t="s">
        <v>4652</v>
      </c>
      <c r="E1066" s="227" t="s">
        <v>3295</v>
      </c>
      <c r="F1066" s="227" t="s">
        <v>3299</v>
      </c>
      <c r="G1066" s="239">
        <v>45916</v>
      </c>
      <c r="H1066" s="240">
        <v>0.63068287037037041</v>
      </c>
      <c r="I1066" s="227" t="s">
        <v>3295</v>
      </c>
      <c r="J1066" s="227" t="s">
        <v>3023</v>
      </c>
      <c r="K1066" s="241" t="s">
        <v>13</v>
      </c>
      <c r="L1066" s="225" t="str">
        <f>VLOOKUP(Logfile_S12[[#This Row],[Material Name]],Sheet2!B:C,2,0)</f>
        <v>ZTE2008</v>
      </c>
      <c r="M1066" s="225" t="str">
        <f>_xlfn.XLOOKUP(Logfile_S12[[#This Row],[Material Name]],Sum_WH!E:E,Sum_WH!F:F,"",0)</f>
        <v>Pcs</v>
      </c>
      <c r="N1066" s="227">
        <v>9</v>
      </c>
      <c r="O1066" s="227" t="s">
        <v>3668</v>
      </c>
      <c r="P1066" s="227" t="s">
        <v>3669</v>
      </c>
      <c r="Q1066" s="227" t="s">
        <v>3670</v>
      </c>
      <c r="R1066" s="227" t="s">
        <v>3671</v>
      </c>
      <c r="S1066" s="227"/>
      <c r="T1066" s="227" t="s">
        <v>3231</v>
      </c>
      <c r="U1066" s="227">
        <v>0</v>
      </c>
      <c r="V1066" s="227" t="s">
        <v>3232</v>
      </c>
      <c r="W1066" s="227" t="s">
        <v>3254</v>
      </c>
      <c r="X1066" s="227"/>
      <c r="Y1066" s="227"/>
      <c r="Z1066" s="227" t="str">
        <f t="shared" si="43"/>
        <v>KREBET SENGGRONG RW 03 MALANG</v>
      </c>
      <c r="AA1066" s="276">
        <f>VLOOKUP(Logfile_S12[[#This Row],[DO number]],DO_DB!G:I,3,0)</f>
        <v>45896</v>
      </c>
      <c r="AB1066" s="331" t="b">
        <f>EXACT(Logfile_S12[[#This Row],[date pick]],Logfile_S12[[#This Row],[Date]])</f>
        <v>0</v>
      </c>
      <c r="AC10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67" spans="1:29" ht="14.5" hidden="1">
      <c r="A1067" s="237" t="str">
        <f t="shared" si="42"/>
        <v>1063</v>
      </c>
      <c r="B1067" s="221">
        <v>3</v>
      </c>
      <c r="C1067" s="227" t="s">
        <v>49</v>
      </c>
      <c r="D1067" s="227" t="s">
        <v>4652</v>
      </c>
      <c r="E1067" s="227" t="s">
        <v>3295</v>
      </c>
      <c r="F1067" s="227" t="s">
        <v>3299</v>
      </c>
      <c r="G1067" s="239">
        <v>45916</v>
      </c>
      <c r="H1067" s="240">
        <v>0.63124999999999998</v>
      </c>
      <c r="I1067" s="227" t="s">
        <v>3295</v>
      </c>
      <c r="J1067" s="227" t="s">
        <v>3023</v>
      </c>
      <c r="K1067" s="241" t="s">
        <v>13</v>
      </c>
      <c r="L1067" s="225" t="str">
        <f>VLOOKUP(Logfile_S12[[#This Row],[Material Name]],Sheet2!B:C,2,0)</f>
        <v>ZTE2008</v>
      </c>
      <c r="M1067" s="225" t="str">
        <f>_xlfn.XLOOKUP(Logfile_S12[[#This Row],[Material Name]],Sum_WH!E:E,Sum_WH!F:F,"",0)</f>
        <v>Pcs</v>
      </c>
      <c r="N1067" s="227">
        <v>10</v>
      </c>
      <c r="O1067" s="227" t="s">
        <v>3662</v>
      </c>
      <c r="P1067" s="227" t="s">
        <v>3663</v>
      </c>
      <c r="Q1067" s="227" t="s">
        <v>3664</v>
      </c>
      <c r="R1067" s="227" t="s">
        <v>3665</v>
      </c>
      <c r="S1067" s="227"/>
      <c r="T1067" s="227" t="s">
        <v>3231</v>
      </c>
      <c r="U1067" s="227">
        <v>0</v>
      </c>
      <c r="V1067" s="227" t="s">
        <v>3232</v>
      </c>
      <c r="W1067" s="227" t="s">
        <v>3254</v>
      </c>
      <c r="X1067" s="227"/>
      <c r="Y1067" s="227"/>
      <c r="Z1067" s="227" t="str">
        <f t="shared" si="43"/>
        <v>KREBET SENGGRONG RW 02 MALANG</v>
      </c>
      <c r="AA1067" s="276">
        <f>VLOOKUP(Logfile_S12[[#This Row],[DO number]],DO_DB!G:I,3,0)</f>
        <v>45896</v>
      </c>
      <c r="AB1067" s="331" t="b">
        <f>EXACT(Logfile_S12[[#This Row],[date pick]],Logfile_S12[[#This Row],[Date]])</f>
        <v>0</v>
      </c>
      <c r="AC10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68" spans="1:29" ht="14.5" hidden="1">
      <c r="A1068" s="237" t="str">
        <f t="shared" si="42"/>
        <v>1064</v>
      </c>
      <c r="B1068" s="221">
        <v>2</v>
      </c>
      <c r="C1068" s="227" t="s">
        <v>49</v>
      </c>
      <c r="D1068" s="227" t="s">
        <v>4673</v>
      </c>
      <c r="E1068" s="227" t="s">
        <v>3295</v>
      </c>
      <c r="F1068" s="227" t="s">
        <v>3299</v>
      </c>
      <c r="G1068" s="239">
        <v>45953</v>
      </c>
      <c r="H1068" s="240">
        <v>0.60763888888888884</v>
      </c>
      <c r="I1068" s="227" t="s">
        <v>3295</v>
      </c>
      <c r="J1068" s="221" t="s">
        <v>3023</v>
      </c>
      <c r="K1068" s="241" t="s">
        <v>13</v>
      </c>
      <c r="L1068" s="225" t="str">
        <f>VLOOKUP(Logfile_S12[[#This Row],[Material Name]],Sheet2!B:C,2,0)</f>
        <v>ZTE2008</v>
      </c>
      <c r="M1068" s="242" t="s">
        <v>19</v>
      </c>
      <c r="N1068" s="227">
        <v>17</v>
      </c>
      <c r="O1068" s="227" t="s">
        <v>4595</v>
      </c>
      <c r="P1068" s="227" t="s">
        <v>4596</v>
      </c>
      <c r="Q1068" s="227"/>
      <c r="R1068" s="227"/>
      <c r="S1068" s="227"/>
      <c r="T1068" s="221" t="s">
        <v>3356</v>
      </c>
      <c r="U1068" s="221">
        <v>0</v>
      </c>
      <c r="V1068" s="221">
        <v>0</v>
      </c>
      <c r="W1068" s="221" t="s">
        <v>3358</v>
      </c>
      <c r="X1068" s="227"/>
      <c r="Y1068" s="227"/>
      <c r="Z1068" s="227" t="str">
        <f t="shared" si="43"/>
        <v>Asshofa Residence</v>
      </c>
      <c r="AA1068" s="276" t="e">
        <f>VLOOKUP(Logfile_S12[[#This Row],[DO number]],DO_DB!G:I,3,0)</f>
        <v>#N/A</v>
      </c>
      <c r="AB1068" s="331" t="e">
        <f>EXACT(Logfile_S12[[#This Row],[date pick]],Logfile_S12[[#This Row],[Date]])</f>
        <v>#N/A</v>
      </c>
      <c r="AC10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69" spans="1:29" ht="14.5" hidden="1">
      <c r="A1069" s="237" t="str">
        <f t="shared" si="42"/>
        <v>1065</v>
      </c>
      <c r="B1069" s="221">
        <v>6</v>
      </c>
      <c r="C1069" s="227" t="s">
        <v>49</v>
      </c>
      <c r="D1069" s="227" t="s">
        <v>4677</v>
      </c>
      <c r="E1069" s="227" t="s">
        <v>3295</v>
      </c>
      <c r="F1069" s="227" t="s">
        <v>3299</v>
      </c>
      <c r="G1069" s="239">
        <v>45955</v>
      </c>
      <c r="H1069" s="240">
        <v>0.45833333333333331</v>
      </c>
      <c r="I1069" s="227" t="s">
        <v>3295</v>
      </c>
      <c r="J1069" s="221" t="s">
        <v>3023</v>
      </c>
      <c r="K1069" s="241" t="s">
        <v>13</v>
      </c>
      <c r="L1069" s="225" t="str">
        <f>VLOOKUP(Logfile_S12[[#This Row],[Material Name]],Sheet2!B:C,2,0)</f>
        <v>ZTE2008</v>
      </c>
      <c r="M1069" s="242" t="s">
        <v>19</v>
      </c>
      <c r="N1069" s="227">
        <v>9</v>
      </c>
      <c r="O1069" s="247" t="s">
        <v>4687</v>
      </c>
      <c r="P1069" s="224" t="s">
        <v>4599</v>
      </c>
      <c r="Q1069" s="227"/>
      <c r="R1069" s="227"/>
      <c r="S1069" s="227"/>
      <c r="T1069" s="221" t="s">
        <v>3258</v>
      </c>
      <c r="U1069" s="221">
        <v>0</v>
      </c>
      <c r="V1069" s="221" t="s">
        <v>3337</v>
      </c>
      <c r="W1069" s="221" t="s">
        <v>3338</v>
      </c>
      <c r="X1069" s="227"/>
      <c r="Y1069" s="227"/>
      <c r="Z1069" s="227" t="str">
        <f t="shared" si="43"/>
        <v>MADYOPURO RW 05 MALANG</v>
      </c>
      <c r="AA1069" s="276" t="e">
        <f>VLOOKUP(Logfile_S12[[#This Row],[DO number]],DO_DB!G:I,3,0)</f>
        <v>#N/A</v>
      </c>
      <c r="AB1069" s="331" t="e">
        <f>EXACT(Logfile_S12[[#This Row],[date pick]],Logfile_S12[[#This Row],[Date]])</f>
        <v>#N/A</v>
      </c>
      <c r="AC10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70" spans="1:29" ht="14.5" hidden="1">
      <c r="A1070" s="228" t="str">
        <f t="shared" si="42"/>
        <v>1066</v>
      </c>
      <c r="B1070" s="229">
        <v>1</v>
      </c>
      <c r="C1070" s="230" t="s">
        <v>48</v>
      </c>
      <c r="D1070" s="230" t="s">
        <v>4678</v>
      </c>
      <c r="E1070" s="230" t="s">
        <v>3295</v>
      </c>
      <c r="F1070" s="230" t="s">
        <v>3299</v>
      </c>
      <c r="G1070" s="231">
        <v>45956</v>
      </c>
      <c r="H1070" s="232">
        <v>0.33333333333333331</v>
      </c>
      <c r="I1070" s="230" t="s">
        <v>37</v>
      </c>
      <c r="J1070" s="229" t="s">
        <v>3023</v>
      </c>
      <c r="K1070" s="233" t="s">
        <v>13</v>
      </c>
      <c r="L1070" s="234" t="str">
        <f>VLOOKUP(Logfile_S12[[#This Row],[Material Name]],Sheet2!B:C,2,0)</f>
        <v>ZTE2008</v>
      </c>
      <c r="M1070" s="234" t="s">
        <v>19</v>
      </c>
      <c r="N1070" s="230">
        <v>21</v>
      </c>
      <c r="O1070" s="230" t="s">
        <v>4429</v>
      </c>
      <c r="P1070" s="230" t="s">
        <v>4429</v>
      </c>
      <c r="Q1070" s="230"/>
      <c r="R1070" s="230"/>
      <c r="S1070" s="230"/>
      <c r="T1070" s="230"/>
      <c r="U1070" s="230"/>
      <c r="V1070" s="230"/>
      <c r="W1070" s="230"/>
      <c r="X1070" s="230" t="s">
        <v>4429</v>
      </c>
      <c r="Y1070" s="227"/>
      <c r="Z1070" s="227" t="str">
        <f t="shared" si="43"/>
        <v>ADJUSTMENT</v>
      </c>
      <c r="AA1070" s="276" t="e">
        <f>VLOOKUP(Logfile_S12[[#This Row],[DO number]],DO_DB!G:I,3,0)</f>
        <v>#N/A</v>
      </c>
      <c r="AB1070" s="331" t="e">
        <f>EXACT(Logfile_S12[[#This Row],[date pick]],Logfile_S12[[#This Row],[Date]])</f>
        <v>#N/A</v>
      </c>
      <c r="AC10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71" spans="1:29" ht="14.5" hidden="1">
      <c r="A1071" s="237" t="str">
        <f t="shared" si="42"/>
        <v>1067</v>
      </c>
      <c r="B1071" s="221">
        <v>1</v>
      </c>
      <c r="C1071" s="227" t="s">
        <v>48</v>
      </c>
      <c r="D1071" s="227" t="s">
        <v>4679</v>
      </c>
      <c r="E1071" s="227" t="s">
        <v>3295</v>
      </c>
      <c r="F1071" s="227" t="s">
        <v>3299</v>
      </c>
      <c r="G1071" s="239">
        <v>45959</v>
      </c>
      <c r="H1071" s="240">
        <v>0.64652777777777781</v>
      </c>
      <c r="I1071" s="227" t="s">
        <v>37</v>
      </c>
      <c r="J1071" s="221" t="s">
        <v>3023</v>
      </c>
      <c r="K1071" s="241" t="s">
        <v>13</v>
      </c>
      <c r="L1071" s="225" t="str">
        <f>VLOOKUP(Logfile_S12[[#This Row],[Material Name]],Sheet2!B:C,2,0)</f>
        <v>ZTE2008</v>
      </c>
      <c r="M1071" s="242" t="s">
        <v>19</v>
      </c>
      <c r="N1071" s="227">
        <v>32</v>
      </c>
      <c r="O1071" s="221" t="s">
        <v>4663</v>
      </c>
      <c r="P1071" s="221" t="s">
        <v>4664</v>
      </c>
      <c r="Q1071" s="227"/>
      <c r="R1071" s="227"/>
      <c r="S1071" s="227"/>
      <c r="T1071" s="227" t="s">
        <v>3241</v>
      </c>
      <c r="U1071" s="227"/>
      <c r="V1071" s="227"/>
      <c r="W1071" s="227" t="s">
        <v>3242</v>
      </c>
      <c r="X1071" s="227"/>
      <c r="Y1071" s="227"/>
      <c r="Z1071" s="227" t="str">
        <f t="shared" si="43"/>
        <v>LESANPURO RW 06 MALANG</v>
      </c>
      <c r="AA1071" s="276" t="e">
        <f>VLOOKUP(Logfile_S12[[#This Row],[DO number]],DO_DB!G:I,3,0)</f>
        <v>#N/A</v>
      </c>
      <c r="AB1071" s="331" t="e">
        <f>EXACT(Logfile_S12[[#This Row],[date pick]],Logfile_S12[[#This Row],[Date]])</f>
        <v>#N/A</v>
      </c>
      <c r="AC10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72" spans="1:29" ht="14.5" hidden="1">
      <c r="A1072" s="237" t="str">
        <f t="shared" si="42"/>
        <v>1068</v>
      </c>
      <c r="B1072" s="221">
        <v>2</v>
      </c>
      <c r="C1072" s="227" t="s">
        <v>49</v>
      </c>
      <c r="D1072" s="227" t="s">
        <v>4680</v>
      </c>
      <c r="E1072" s="227" t="s">
        <v>3295</v>
      </c>
      <c r="F1072" s="227" t="s">
        <v>3299</v>
      </c>
      <c r="G1072" s="239">
        <v>45959</v>
      </c>
      <c r="H1072" s="240">
        <v>0.64652777777777781</v>
      </c>
      <c r="I1072" s="227" t="s">
        <v>3295</v>
      </c>
      <c r="J1072" s="221" t="s">
        <v>3023</v>
      </c>
      <c r="K1072" s="241" t="s">
        <v>13</v>
      </c>
      <c r="L1072" s="225" t="str">
        <f>VLOOKUP(Logfile_S12[[#This Row],[Material Name]],Sheet2!B:C,2,0)</f>
        <v>ZTE2008</v>
      </c>
      <c r="M1072" s="242" t="s">
        <v>19</v>
      </c>
      <c r="N1072" s="227">
        <v>15</v>
      </c>
      <c r="O1072" s="227" t="s">
        <v>4663</v>
      </c>
      <c r="P1072" s="227" t="s">
        <v>4664</v>
      </c>
      <c r="Q1072" s="227"/>
      <c r="R1072" s="227"/>
      <c r="S1072" s="227"/>
      <c r="T1072" s="227" t="s">
        <v>3356</v>
      </c>
      <c r="U1072" s="227"/>
      <c r="V1072" s="227"/>
      <c r="W1072" s="227" t="s">
        <v>4681</v>
      </c>
      <c r="X1072" s="227"/>
      <c r="Y1072" s="227"/>
      <c r="Z1072" s="227" t="str">
        <f t="shared" si="43"/>
        <v>LESANPURO RW 06 MALANG</v>
      </c>
      <c r="AA1072" s="276" t="e">
        <f>VLOOKUP(Logfile_S12[[#This Row],[DO number]],DO_DB!G:I,3,0)</f>
        <v>#N/A</v>
      </c>
      <c r="AB1072" s="331" t="e">
        <f>EXACT(Logfile_S12[[#This Row],[date pick]],Logfile_S12[[#This Row],[Date]])</f>
        <v>#N/A</v>
      </c>
      <c r="AC10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73" spans="1:29" ht="14.5" hidden="1">
      <c r="A1073" s="237" t="str">
        <f t="shared" si="42"/>
        <v>1069</v>
      </c>
      <c r="B1073" s="221">
        <v>2</v>
      </c>
      <c r="C1073" s="227" t="s">
        <v>3313</v>
      </c>
      <c r="D1073" s="227" t="s">
        <v>4724</v>
      </c>
      <c r="E1073" s="227" t="s">
        <v>3295</v>
      </c>
      <c r="F1073" s="227" t="s">
        <v>3299</v>
      </c>
      <c r="G1073" s="239">
        <v>45959</v>
      </c>
      <c r="H1073" s="240">
        <v>0.64652777777777781</v>
      </c>
      <c r="I1073" s="221" t="s">
        <v>4918</v>
      </c>
      <c r="J1073" s="221" t="s">
        <v>3023</v>
      </c>
      <c r="K1073" s="241" t="s">
        <v>13</v>
      </c>
      <c r="L1073" s="225" t="str">
        <f>VLOOKUP(Logfile_S12[[#This Row],[Material Name]],Sheet2!B:C,2,0)</f>
        <v>ZTE2008</v>
      </c>
      <c r="M1073" s="242" t="s">
        <v>19</v>
      </c>
      <c r="N1073" s="227">
        <v>18</v>
      </c>
      <c r="O1073" s="221" t="s">
        <v>3314</v>
      </c>
      <c r="P1073" s="227"/>
      <c r="Q1073" s="227"/>
      <c r="R1073" s="227"/>
      <c r="S1073" s="227"/>
      <c r="T1073" s="227"/>
      <c r="U1073" s="227"/>
      <c r="V1073" s="227"/>
      <c r="W1073" s="227"/>
      <c r="X1073" s="227"/>
      <c r="Y1073" s="227"/>
      <c r="Z1073" s="227">
        <f t="shared" si="43"/>
        <v>0</v>
      </c>
      <c r="AA1073" s="276" t="e">
        <f>VLOOKUP(Logfile_S12[[#This Row],[DO number]],DO_DB!G:I,3,0)</f>
        <v>#N/A</v>
      </c>
      <c r="AB1073" s="331" t="e">
        <f>EXACT(Logfile_S12[[#This Row],[date pick]],Logfile_S12[[#This Row],[Date]])</f>
        <v>#N/A</v>
      </c>
      <c r="AC10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74" spans="1:29" ht="14.5" hidden="1">
      <c r="A1074" s="237" t="str">
        <f t="shared" si="42"/>
        <v>1070</v>
      </c>
      <c r="B1074" s="221">
        <v>3</v>
      </c>
      <c r="C1074" s="227" t="s">
        <v>49</v>
      </c>
      <c r="D1074" s="227" t="s">
        <v>4714</v>
      </c>
      <c r="E1074" s="227" t="s">
        <v>3295</v>
      </c>
      <c r="F1074" s="227" t="s">
        <v>3299</v>
      </c>
      <c r="G1074" s="239">
        <v>45978</v>
      </c>
      <c r="H1074" s="240">
        <v>0.79722222222222228</v>
      </c>
      <c r="I1074" s="227" t="s">
        <v>3295</v>
      </c>
      <c r="J1074" s="221" t="s">
        <v>3023</v>
      </c>
      <c r="K1074" s="241" t="s">
        <v>13</v>
      </c>
      <c r="L1074" s="225" t="str">
        <f>VLOOKUP(Logfile_S12[[#This Row],[Material Name]],Sheet2!B:C,2,0)</f>
        <v>ZTE2008</v>
      </c>
      <c r="M1074" s="242" t="s">
        <v>19</v>
      </c>
      <c r="N1074" s="227">
        <v>14</v>
      </c>
      <c r="O1074" s="227" t="s">
        <v>4696</v>
      </c>
      <c r="P1074" s="227" t="s">
        <v>4697</v>
      </c>
      <c r="Q1074" s="227" t="s">
        <v>4698</v>
      </c>
      <c r="R1074" s="227" t="s">
        <v>4699</v>
      </c>
      <c r="S1074" s="227"/>
      <c r="T1074" s="221" t="s">
        <v>3471</v>
      </c>
      <c r="U1074" s="221" t="s">
        <v>4811</v>
      </c>
      <c r="V1074" s="221" t="s">
        <v>3472</v>
      </c>
      <c r="W1074" s="221" t="s">
        <v>3545</v>
      </c>
      <c r="X1074" s="227"/>
      <c r="Y1074" s="227"/>
      <c r="Z1074" s="227" t="str">
        <f t="shared" si="43"/>
        <v>PALAAN RW 06 SAMPAI 10 MALANG</v>
      </c>
      <c r="AA1074" s="276">
        <f>VLOOKUP(Logfile_S12[[#This Row],[DO number]],DO_DB!G:I,3,0)</f>
        <v>45955</v>
      </c>
      <c r="AB1074" s="331" t="b">
        <f>EXACT(Logfile_S12[[#This Row],[date pick]],Logfile_S12[[#This Row],[Date]])</f>
        <v>0</v>
      </c>
      <c r="AC10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75" spans="1:29" ht="14.5" hidden="1">
      <c r="A1075" s="237" t="str">
        <f t="shared" si="42"/>
        <v>1071</v>
      </c>
      <c r="B1075" s="221">
        <v>4</v>
      </c>
      <c r="C1075" s="227" t="s">
        <v>49</v>
      </c>
      <c r="D1075" s="227" t="s">
        <v>4714</v>
      </c>
      <c r="E1075" s="227" t="s">
        <v>3295</v>
      </c>
      <c r="F1075" s="227" t="s">
        <v>3299</v>
      </c>
      <c r="G1075" s="239">
        <v>45978</v>
      </c>
      <c r="H1075" s="240">
        <v>0.79722222222222228</v>
      </c>
      <c r="I1075" s="227" t="s">
        <v>3295</v>
      </c>
      <c r="J1075" s="221" t="s">
        <v>3023</v>
      </c>
      <c r="K1075" s="241" t="s">
        <v>13</v>
      </c>
      <c r="L1075" s="225" t="str">
        <f>VLOOKUP(Logfile_S12[[#This Row],[Material Name]],Sheet2!B:C,2,0)</f>
        <v>ZTE2008</v>
      </c>
      <c r="M1075" s="242" t="s">
        <v>19</v>
      </c>
      <c r="N1075" s="227">
        <v>21</v>
      </c>
      <c r="O1075" s="227" t="s">
        <v>4692</v>
      </c>
      <c r="P1075" s="227" t="s">
        <v>4693</v>
      </c>
      <c r="Q1075" s="227" t="s">
        <v>4694</v>
      </c>
      <c r="R1075" s="227" t="s">
        <v>4695</v>
      </c>
      <c r="S1075" s="227"/>
      <c r="T1075" s="221" t="s">
        <v>3471</v>
      </c>
      <c r="U1075" s="221" t="s">
        <v>4811</v>
      </c>
      <c r="V1075" s="221" t="s">
        <v>3472</v>
      </c>
      <c r="W1075" s="221" t="s">
        <v>3545</v>
      </c>
      <c r="X1075" s="227"/>
      <c r="Y1075" s="227"/>
      <c r="Z1075" s="227" t="str">
        <f t="shared" si="43"/>
        <v>PALAAN RW 01 SAMPAI 05 MALANG</v>
      </c>
      <c r="AA1075" s="276">
        <f>VLOOKUP(Logfile_S12[[#This Row],[DO number]],DO_DB!G:I,3,0)</f>
        <v>45955</v>
      </c>
      <c r="AB1075" s="331" t="b">
        <f>EXACT(Logfile_S12[[#This Row],[date pick]],Logfile_S12[[#This Row],[Date]])</f>
        <v>0</v>
      </c>
      <c r="AC10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76" spans="1:29" ht="14.5" hidden="1">
      <c r="A1076" s="237" t="str">
        <f t="shared" si="42"/>
        <v>1072</v>
      </c>
      <c r="B1076" s="221">
        <v>4</v>
      </c>
      <c r="C1076" s="227" t="s">
        <v>3313</v>
      </c>
      <c r="D1076" s="227" t="s">
        <v>4725</v>
      </c>
      <c r="E1076" s="227" t="s">
        <v>3295</v>
      </c>
      <c r="F1076" s="227" t="s">
        <v>3299</v>
      </c>
      <c r="G1076" s="239">
        <v>45982</v>
      </c>
      <c r="H1076" s="240">
        <v>0.33333333333333331</v>
      </c>
      <c r="I1076" s="227" t="s">
        <v>3297</v>
      </c>
      <c r="J1076" s="221" t="s">
        <v>3023</v>
      </c>
      <c r="K1076" s="241" t="s">
        <v>13</v>
      </c>
      <c r="L1076" s="225" t="str">
        <f>VLOOKUP(Logfile_S12[[#This Row],[Material Name]],Sheet2!B:C,2,0)</f>
        <v>ZTE2008</v>
      </c>
      <c r="M1076" s="242" t="s">
        <v>19</v>
      </c>
      <c r="N1076" s="227">
        <v>20</v>
      </c>
      <c r="O1076" s="227" t="s">
        <v>4692</v>
      </c>
      <c r="P1076" s="227" t="s">
        <v>4693</v>
      </c>
      <c r="Q1076" s="227" t="s">
        <v>4694</v>
      </c>
      <c r="R1076" s="227" t="s">
        <v>4695</v>
      </c>
      <c r="S1076" s="227"/>
      <c r="T1076" s="227"/>
      <c r="U1076" s="227"/>
      <c r="V1076" s="227"/>
      <c r="W1076" s="227"/>
      <c r="X1076" s="227"/>
      <c r="Y1076" s="227"/>
      <c r="Z1076" s="227" t="str">
        <f t="shared" si="43"/>
        <v>PALAAN RW 01 SAMPAI 05 MALANG</v>
      </c>
      <c r="AA1076" s="276">
        <f>VLOOKUP(Logfile_S12[[#This Row],[DO number]],DO_DB!G:I,3,0)</f>
        <v>45955</v>
      </c>
      <c r="AB1076" s="331" t="b">
        <f>EXACT(Logfile_S12[[#This Row],[date pick]],Logfile_S12[[#This Row],[Date]])</f>
        <v>0</v>
      </c>
      <c r="AC10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77" spans="1:29" ht="14.5" hidden="1">
      <c r="A1077" s="237" t="str">
        <f t="shared" si="42"/>
        <v>1073</v>
      </c>
      <c r="B1077" s="221">
        <v>5</v>
      </c>
      <c r="C1077" s="227" t="s">
        <v>49</v>
      </c>
      <c r="D1077" s="227" t="s">
        <v>4717</v>
      </c>
      <c r="E1077" s="227" t="s">
        <v>3295</v>
      </c>
      <c r="F1077" s="227" t="s">
        <v>3299</v>
      </c>
      <c r="G1077" s="239">
        <v>45983</v>
      </c>
      <c r="H1077" s="240">
        <v>0.54166666666666663</v>
      </c>
      <c r="I1077" s="227" t="s">
        <v>3295</v>
      </c>
      <c r="J1077" s="221" t="s">
        <v>3023</v>
      </c>
      <c r="K1077" s="241" t="s">
        <v>13</v>
      </c>
      <c r="L1077" s="225" t="str">
        <f>VLOOKUP(Logfile_S12[[#This Row],[Material Name]],Sheet2!B:C,2,0)</f>
        <v>ZTE2008</v>
      </c>
      <c r="M1077" s="242" t="s">
        <v>19</v>
      </c>
      <c r="N1077" s="227">
        <v>13</v>
      </c>
      <c r="O1077" s="227" t="s">
        <v>4696</v>
      </c>
      <c r="P1077" s="227" t="s">
        <v>4697</v>
      </c>
      <c r="Q1077" s="227" t="s">
        <v>4698</v>
      </c>
      <c r="R1077" s="227" t="s">
        <v>4699</v>
      </c>
      <c r="S1077" s="227"/>
      <c r="T1077" s="221" t="s">
        <v>3471</v>
      </c>
      <c r="U1077" s="221" t="s">
        <v>4811</v>
      </c>
      <c r="V1077" s="221" t="s">
        <v>3472</v>
      </c>
      <c r="W1077" s="221" t="s">
        <v>3545</v>
      </c>
      <c r="X1077" s="227"/>
      <c r="Y1077" s="227"/>
      <c r="Z1077" s="227" t="str">
        <f t="shared" si="43"/>
        <v>PALAAN RW 06 SAMPAI 10 MALANG</v>
      </c>
      <c r="AA1077" s="276">
        <f>VLOOKUP(Logfile_S12[[#This Row],[DO number]],DO_DB!G:I,3,0)</f>
        <v>45955</v>
      </c>
      <c r="AB1077" s="331" t="b">
        <f>EXACT(Logfile_S12[[#This Row],[date pick]],Logfile_S12[[#This Row],[Date]])</f>
        <v>0</v>
      </c>
      <c r="AC10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78" spans="1:29" ht="14.5" hidden="1">
      <c r="A1078" s="237" t="str">
        <f t="shared" si="42"/>
        <v>1074</v>
      </c>
      <c r="B1078" s="221">
        <v>8</v>
      </c>
      <c r="C1078" s="227" t="s">
        <v>48</v>
      </c>
      <c r="D1078" s="227" t="s">
        <v>4730</v>
      </c>
      <c r="E1078" s="227" t="s">
        <v>3295</v>
      </c>
      <c r="F1078" s="227" t="s">
        <v>3299</v>
      </c>
      <c r="G1078" s="239">
        <v>46003</v>
      </c>
      <c r="H1078" s="240">
        <v>0.54166666666666663</v>
      </c>
      <c r="I1078" s="227" t="s">
        <v>37</v>
      </c>
      <c r="J1078" s="221" t="s">
        <v>3023</v>
      </c>
      <c r="K1078" s="241" t="s">
        <v>13</v>
      </c>
      <c r="L1078" s="225" t="str">
        <f>VLOOKUP(Logfile_S12[[#This Row],[Material Name]],Sheet2!B:C,2,0)</f>
        <v>ZTE2008</v>
      </c>
      <c r="M1078" s="242" t="s">
        <v>19</v>
      </c>
      <c r="N1078" s="227">
        <v>40</v>
      </c>
      <c r="O1078" s="221" t="s">
        <v>4785</v>
      </c>
      <c r="P1078" s="221" t="s">
        <v>4786</v>
      </c>
      <c r="Q1078" s="227" t="s">
        <v>3260</v>
      </c>
      <c r="R1078" s="227" t="s">
        <v>3260</v>
      </c>
      <c r="S1078" s="227"/>
      <c r="T1078" s="227"/>
      <c r="U1078" s="227"/>
      <c r="V1078" s="227"/>
      <c r="W1078" s="227"/>
      <c r="X1078" s="227"/>
      <c r="Y1078" s="227"/>
      <c r="Z1078" s="227" t="str">
        <f t="shared" si="43"/>
        <v>DUSUN ARDIREJO KELURAHAN SIDEREJO MALANG</v>
      </c>
      <c r="AA1078" s="276" t="e">
        <f>VLOOKUP(Logfile_S12[[#This Row],[DO number]],DO_DB!G:I,3,0)</f>
        <v>#N/A</v>
      </c>
      <c r="AB1078" s="331" t="e">
        <f>EXACT(Logfile_S12[[#This Row],[date pick]],Logfile_S12[[#This Row],[Date]])</f>
        <v>#N/A</v>
      </c>
      <c r="AC10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79" spans="1:29" ht="14.5" hidden="1">
      <c r="A1079" s="237" t="str">
        <f t="shared" si="42"/>
        <v>1075</v>
      </c>
      <c r="B1079" s="221">
        <v>1</v>
      </c>
      <c r="C1079" s="227" t="s">
        <v>49</v>
      </c>
      <c r="D1079" s="227" t="s">
        <v>4744</v>
      </c>
      <c r="E1079" s="227" t="s">
        <v>3295</v>
      </c>
      <c r="F1079" s="227" t="s">
        <v>3299</v>
      </c>
      <c r="G1079" s="239">
        <v>46006</v>
      </c>
      <c r="H1079" s="240">
        <v>0.69097222222222221</v>
      </c>
      <c r="I1079" s="227" t="s">
        <v>3295</v>
      </c>
      <c r="J1079" s="221" t="s">
        <v>3023</v>
      </c>
      <c r="K1079" s="241" t="s">
        <v>13</v>
      </c>
      <c r="L1079" s="225" t="str">
        <f>VLOOKUP(Logfile_S12[[#This Row],[Material Name]],Sheet2!B:C,2,0)</f>
        <v>ZTE2008</v>
      </c>
      <c r="M1079" s="242" t="s">
        <v>19</v>
      </c>
      <c r="N1079" s="227">
        <v>24</v>
      </c>
      <c r="O1079" s="221" t="s">
        <v>4801</v>
      </c>
      <c r="P1079" s="221" t="s">
        <v>4802</v>
      </c>
      <c r="Q1079" s="227"/>
      <c r="R1079" s="227"/>
      <c r="S1079" s="227"/>
      <c r="T1079" s="221" t="s">
        <v>3471</v>
      </c>
      <c r="U1079" s="221" t="s">
        <v>4811</v>
      </c>
      <c r="V1079" s="221" t="s">
        <v>3472</v>
      </c>
      <c r="W1079" s="221" t="s">
        <v>3545</v>
      </c>
      <c r="X1079" s="227"/>
      <c r="Y1079" s="227"/>
      <c r="Z1079" s="227" t="str">
        <f t="shared" si="43"/>
        <v>DUSUN SIDOAYU KELURAHAN SIDEREJO MALANG</v>
      </c>
      <c r="AA1079" s="276" t="e">
        <f>VLOOKUP(Logfile_S12[[#This Row],[DO number]],DO_DB!G:I,3,0)</f>
        <v>#N/A</v>
      </c>
      <c r="AB1079" s="331" t="e">
        <f>EXACT(Logfile_S12[[#This Row],[date pick]],Logfile_S12[[#This Row],[Date]])</f>
        <v>#N/A</v>
      </c>
      <c r="AC10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80" spans="1:29" ht="14.5" hidden="1">
      <c r="A1080" s="237" t="str">
        <f t="shared" si="42"/>
        <v>1076</v>
      </c>
      <c r="B1080" s="221">
        <v>1</v>
      </c>
      <c r="C1080" s="227" t="s">
        <v>3313</v>
      </c>
      <c r="D1080" s="227" t="s">
        <v>4765</v>
      </c>
      <c r="E1080" s="227" t="s">
        <v>3295</v>
      </c>
      <c r="F1080" s="227" t="s">
        <v>3299</v>
      </c>
      <c r="G1080" s="239">
        <v>46007</v>
      </c>
      <c r="H1080" s="240">
        <v>0.33333333333333331</v>
      </c>
      <c r="I1080" s="227" t="s">
        <v>3295</v>
      </c>
      <c r="J1080" s="221" t="s">
        <v>3023</v>
      </c>
      <c r="K1080" s="241" t="s">
        <v>13</v>
      </c>
      <c r="L1080" s="225" t="str">
        <f>VLOOKUP(Logfile_S12[[#This Row],[Material Name]],Sheet2!B:C,2,0)</f>
        <v>ZTE2008</v>
      </c>
      <c r="M1080" s="242" t="s">
        <v>19</v>
      </c>
      <c r="N1080" s="227">
        <v>60</v>
      </c>
      <c r="O1080" s="227"/>
      <c r="P1080" s="227"/>
      <c r="Q1080" s="227"/>
      <c r="R1080" s="227"/>
      <c r="S1080" s="227"/>
      <c r="T1080" s="227"/>
      <c r="U1080" s="227"/>
      <c r="V1080" s="227"/>
      <c r="W1080" s="227"/>
      <c r="X1080" s="227"/>
      <c r="Y1080" s="227"/>
      <c r="Z1080" s="227">
        <f t="shared" si="43"/>
        <v>0</v>
      </c>
      <c r="AA1080" s="276" t="e">
        <f>VLOOKUP(Logfile_S12[[#This Row],[DO number]],DO_DB!G:I,3,0)</f>
        <v>#N/A</v>
      </c>
      <c r="AB1080" s="331" t="e">
        <f>EXACT(Logfile_S12[[#This Row],[date pick]],Logfile_S12[[#This Row],[Date]])</f>
        <v>#N/A</v>
      </c>
      <c r="AC10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81" spans="1:29" ht="14.5" hidden="1">
      <c r="A1081" s="237" t="str">
        <f t="shared" si="42"/>
        <v>1077</v>
      </c>
      <c r="B1081" s="221">
        <v>1</v>
      </c>
      <c r="C1081" s="227" t="s">
        <v>49</v>
      </c>
      <c r="D1081" s="227" t="s">
        <v>4754</v>
      </c>
      <c r="E1081" s="227" t="s">
        <v>3295</v>
      </c>
      <c r="F1081" s="227" t="s">
        <v>3299</v>
      </c>
      <c r="G1081" s="239">
        <v>46008</v>
      </c>
      <c r="H1081" s="240">
        <v>0.69097222222222221</v>
      </c>
      <c r="I1081" s="227" t="s">
        <v>3295</v>
      </c>
      <c r="J1081" s="221" t="s">
        <v>3023</v>
      </c>
      <c r="K1081" s="241" t="s">
        <v>13</v>
      </c>
      <c r="L1081" s="225" t="str">
        <f>VLOOKUP(Logfile_S12[[#This Row],[Material Name]],Sheet2!B:C,2,0)</f>
        <v>ZTE2008</v>
      </c>
      <c r="M1081" s="242" t="s">
        <v>19</v>
      </c>
      <c r="N1081" s="227">
        <v>16</v>
      </c>
      <c r="O1081" s="221" t="s">
        <v>4801</v>
      </c>
      <c r="P1081" s="221" t="s">
        <v>4802</v>
      </c>
      <c r="Q1081" s="227"/>
      <c r="R1081" s="227"/>
      <c r="S1081" s="227"/>
      <c r="T1081" s="221" t="s">
        <v>3471</v>
      </c>
      <c r="U1081" s="221" t="s">
        <v>4811</v>
      </c>
      <c r="V1081" s="221" t="s">
        <v>3472</v>
      </c>
      <c r="W1081" s="221" t="s">
        <v>3545</v>
      </c>
      <c r="X1081" s="227"/>
      <c r="Y1081" s="227"/>
      <c r="Z1081" s="227" t="str">
        <f t="shared" si="43"/>
        <v>DUSUN SIDOAYU KELURAHAN SIDEREJO MALANG</v>
      </c>
      <c r="AA1081" s="276" t="e">
        <f>VLOOKUP(Logfile_S12[[#This Row],[DO number]],DO_DB!G:I,3,0)</f>
        <v>#N/A</v>
      </c>
      <c r="AB1081" s="331" t="e">
        <f>EXACT(Logfile_S12[[#This Row],[date pick]],Logfile_S12[[#This Row],[Date]])</f>
        <v>#N/A</v>
      </c>
      <c r="AC10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82" spans="1:29" ht="14.5" hidden="1">
      <c r="A1082" s="237" t="str">
        <f t="shared" si="42"/>
        <v>1078</v>
      </c>
      <c r="B1082" s="221">
        <v>2</v>
      </c>
      <c r="C1082" s="227" t="s">
        <v>48</v>
      </c>
      <c r="D1082" s="227" t="s">
        <v>4749</v>
      </c>
      <c r="E1082" s="227" t="s">
        <v>3295</v>
      </c>
      <c r="F1082" s="227" t="s">
        <v>3299</v>
      </c>
      <c r="G1082" s="239">
        <v>46009</v>
      </c>
      <c r="H1082" s="240">
        <v>0.54166666666666663</v>
      </c>
      <c r="I1082" s="227" t="s">
        <v>37</v>
      </c>
      <c r="J1082" s="221" t="s">
        <v>3023</v>
      </c>
      <c r="K1082" s="241" t="s">
        <v>13</v>
      </c>
      <c r="L1082" s="225" t="str">
        <f>VLOOKUP(Logfile_S12[[#This Row],[Material Name]],Sheet2!B:C,2,0)</f>
        <v>ZTE2008</v>
      </c>
      <c r="M1082" s="242" t="s">
        <v>19</v>
      </c>
      <c r="N1082" s="227">
        <v>110</v>
      </c>
      <c r="O1082" s="221"/>
      <c r="P1082" s="227"/>
      <c r="Q1082" s="227"/>
      <c r="R1082" s="227"/>
      <c r="S1082" s="227"/>
      <c r="T1082" s="227"/>
      <c r="U1082" s="227"/>
      <c r="V1082" s="227"/>
      <c r="W1082" s="227"/>
      <c r="X1082" s="227"/>
      <c r="Y1082" s="227"/>
      <c r="Z1082" s="227">
        <f t="shared" si="43"/>
        <v>0</v>
      </c>
      <c r="AA1082" s="276" t="e">
        <f>VLOOKUP(Logfile_S12[[#This Row],[DO number]],DO_DB!G:I,3,0)</f>
        <v>#N/A</v>
      </c>
      <c r="AB1082" s="331" t="e">
        <f>EXACT(Logfile_S12[[#This Row],[date pick]],Logfile_S12[[#This Row],[Date]])</f>
        <v>#N/A</v>
      </c>
      <c r="AC10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83" spans="1:29" ht="14.5" hidden="1">
      <c r="A1083" s="237" t="str">
        <f t="shared" si="42"/>
        <v>1079</v>
      </c>
      <c r="B1083" s="221">
        <v>1</v>
      </c>
      <c r="C1083" s="227" t="s">
        <v>49</v>
      </c>
      <c r="D1083" s="227" t="s">
        <v>4755</v>
      </c>
      <c r="E1083" s="227" t="s">
        <v>3295</v>
      </c>
      <c r="F1083" s="227" t="s">
        <v>3299</v>
      </c>
      <c r="G1083" s="239">
        <v>46009</v>
      </c>
      <c r="H1083" s="240">
        <v>0.69097222222222221</v>
      </c>
      <c r="I1083" s="227" t="s">
        <v>3295</v>
      </c>
      <c r="J1083" s="221" t="s">
        <v>3023</v>
      </c>
      <c r="K1083" s="241" t="s">
        <v>13</v>
      </c>
      <c r="L1083" s="225" t="str">
        <f>VLOOKUP(Logfile_S12[[#This Row],[Material Name]],Sheet2!B:C,2,0)</f>
        <v>ZTE2008</v>
      </c>
      <c r="M1083" s="242" t="s">
        <v>19</v>
      </c>
      <c r="N1083" s="227">
        <v>39</v>
      </c>
      <c r="O1083" s="221" t="s">
        <v>4801</v>
      </c>
      <c r="P1083" s="221" t="s">
        <v>4802</v>
      </c>
      <c r="Q1083" s="227"/>
      <c r="R1083" s="227"/>
      <c r="S1083" s="227"/>
      <c r="T1083" s="221" t="s">
        <v>3471</v>
      </c>
      <c r="U1083" s="221" t="s">
        <v>4811</v>
      </c>
      <c r="V1083" s="221" t="s">
        <v>3472</v>
      </c>
      <c r="W1083" s="221" t="s">
        <v>3545</v>
      </c>
      <c r="X1083" s="227"/>
      <c r="Y1083" s="227"/>
      <c r="Z1083" s="227" t="str">
        <f t="shared" si="43"/>
        <v>DUSUN SIDOAYU KELURAHAN SIDEREJO MALANG</v>
      </c>
      <c r="AA1083" s="276" t="e">
        <f>VLOOKUP(Logfile_S12[[#This Row],[DO number]],DO_DB!G:I,3,0)</f>
        <v>#N/A</v>
      </c>
      <c r="AB1083" s="331" t="e">
        <f>EXACT(Logfile_S12[[#This Row],[date pick]],Logfile_S12[[#This Row],[Date]])</f>
        <v>#N/A</v>
      </c>
      <c r="AC10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84" spans="1:29" ht="14.5" hidden="1">
      <c r="A1084" s="237" t="str">
        <f t="shared" si="42"/>
        <v>1080</v>
      </c>
      <c r="B1084" s="221">
        <v>5</v>
      </c>
      <c r="C1084" s="227" t="s">
        <v>49</v>
      </c>
      <c r="D1084" s="227" t="s">
        <v>4763</v>
      </c>
      <c r="E1084" s="227" t="s">
        <v>3295</v>
      </c>
      <c r="F1084" s="227" t="s">
        <v>3299</v>
      </c>
      <c r="G1084" s="239">
        <v>46012</v>
      </c>
      <c r="H1084" s="240">
        <v>0.33333333333333331</v>
      </c>
      <c r="I1084" s="227" t="s">
        <v>3295</v>
      </c>
      <c r="J1084" s="221" t="s">
        <v>3023</v>
      </c>
      <c r="K1084" s="241" t="s">
        <v>13</v>
      </c>
      <c r="L1084" s="225" t="str">
        <f>VLOOKUP(Logfile_S12[[#This Row],[Material Name]],Sheet2!B:C,2,0)</f>
        <v>ZTE2008</v>
      </c>
      <c r="M1084" s="242" t="s">
        <v>19</v>
      </c>
      <c r="N1084" s="227">
        <v>32</v>
      </c>
      <c r="O1084" s="221" t="s">
        <v>4785</v>
      </c>
      <c r="P1084" s="221" t="s">
        <v>4786</v>
      </c>
      <c r="Q1084" s="227"/>
      <c r="R1084" s="227"/>
      <c r="S1084" s="227"/>
      <c r="T1084" s="221" t="s">
        <v>3471</v>
      </c>
      <c r="U1084" s="221" t="s">
        <v>4811</v>
      </c>
      <c r="V1084" s="221" t="s">
        <v>3472</v>
      </c>
      <c r="W1084" s="221" t="s">
        <v>3545</v>
      </c>
      <c r="X1084" s="227"/>
      <c r="Y1084" s="227"/>
      <c r="Z1084" s="227" t="str">
        <f t="shared" si="43"/>
        <v>DUSUN ARDIREJO KELURAHAN SIDEREJO MALANG</v>
      </c>
      <c r="AA1084" s="276" t="e">
        <f>VLOOKUP(Logfile_S12[[#This Row],[DO number]],DO_DB!G:I,3,0)</f>
        <v>#N/A</v>
      </c>
      <c r="AB1084" s="331" t="e">
        <f>EXACT(Logfile_S12[[#This Row],[date pick]],Logfile_S12[[#This Row],[Date]])</f>
        <v>#N/A</v>
      </c>
      <c r="AC10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85" spans="1:29" ht="14.5" hidden="1">
      <c r="A1085" s="237" t="str">
        <f t="shared" si="42"/>
        <v>1081</v>
      </c>
      <c r="B1085" s="221">
        <v>1</v>
      </c>
      <c r="C1085" s="227" t="s">
        <v>49</v>
      </c>
      <c r="D1085" s="227" t="s">
        <v>4772</v>
      </c>
      <c r="E1085" s="227" t="s">
        <v>3295</v>
      </c>
      <c r="F1085" s="227" t="s">
        <v>3299</v>
      </c>
      <c r="G1085" s="239">
        <v>46014</v>
      </c>
      <c r="H1085" s="240">
        <v>0.625</v>
      </c>
      <c r="I1085" s="227" t="s">
        <v>3295</v>
      </c>
      <c r="J1085" s="221" t="s">
        <v>3023</v>
      </c>
      <c r="K1085" s="241" t="s">
        <v>13</v>
      </c>
      <c r="L1085" s="225" t="str">
        <f>VLOOKUP(Logfile_S12[[#This Row],[Material Name]],Sheet2!B:C,2,0)</f>
        <v>ZTE2008</v>
      </c>
      <c r="M1085" s="242" t="s">
        <v>19</v>
      </c>
      <c r="N1085" s="227">
        <v>32</v>
      </c>
      <c r="O1085" s="221" t="s">
        <v>4785</v>
      </c>
      <c r="P1085" s="221" t="s">
        <v>4786</v>
      </c>
      <c r="Q1085" s="227"/>
      <c r="R1085" s="227"/>
      <c r="S1085" s="227"/>
      <c r="T1085" s="221" t="s">
        <v>3471</v>
      </c>
      <c r="U1085" s="221" t="s">
        <v>4811</v>
      </c>
      <c r="V1085" s="221" t="s">
        <v>3472</v>
      </c>
      <c r="W1085" s="221" t="s">
        <v>3545</v>
      </c>
      <c r="X1085" s="227"/>
      <c r="Y1085" s="227"/>
      <c r="Z1085" s="227" t="str">
        <f t="shared" si="43"/>
        <v>DUSUN ARDIREJO KELURAHAN SIDEREJO MALANG</v>
      </c>
      <c r="AA1085" s="276" t="e">
        <f>VLOOKUP(Logfile_S12[[#This Row],[DO number]],DO_DB!G:I,3,0)</f>
        <v>#N/A</v>
      </c>
      <c r="AB1085" s="331" t="e">
        <f>EXACT(Logfile_S12[[#This Row],[date pick]],Logfile_S12[[#This Row],[Date]])</f>
        <v>#N/A</v>
      </c>
      <c r="AC10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86" spans="1:29" ht="14.5" hidden="1">
      <c r="A1086" s="237" t="str">
        <f t="shared" si="42"/>
        <v>1082</v>
      </c>
      <c r="B1086" s="221">
        <v>1</v>
      </c>
      <c r="C1086" s="227" t="s">
        <v>49</v>
      </c>
      <c r="D1086" s="227" t="s">
        <v>4776</v>
      </c>
      <c r="E1086" s="227" t="s">
        <v>3295</v>
      </c>
      <c r="F1086" s="227" t="s">
        <v>3299</v>
      </c>
      <c r="G1086" s="239">
        <v>46015</v>
      </c>
      <c r="H1086" s="240">
        <v>0.69097222222222221</v>
      </c>
      <c r="I1086" s="227" t="s">
        <v>3295</v>
      </c>
      <c r="J1086" s="221" t="s">
        <v>3023</v>
      </c>
      <c r="K1086" s="241" t="s">
        <v>13</v>
      </c>
      <c r="L1086" s="225" t="str">
        <f>VLOOKUP(Logfile_S12[[#This Row],[Material Name]],Sheet2!B:C,2,0)</f>
        <v>ZTE2008</v>
      </c>
      <c r="M1086" s="242" t="s">
        <v>19</v>
      </c>
      <c r="N1086" s="227">
        <v>27</v>
      </c>
      <c r="O1086" s="221" t="s">
        <v>4785</v>
      </c>
      <c r="P1086" s="221" t="s">
        <v>4786</v>
      </c>
      <c r="Q1086" s="227"/>
      <c r="R1086" s="227"/>
      <c r="S1086" s="227"/>
      <c r="T1086" s="221" t="s">
        <v>3471</v>
      </c>
      <c r="U1086" s="221" t="s">
        <v>4811</v>
      </c>
      <c r="V1086" s="221" t="s">
        <v>3472</v>
      </c>
      <c r="W1086" s="221" t="s">
        <v>3545</v>
      </c>
      <c r="X1086" s="227"/>
      <c r="Y1086" s="227"/>
      <c r="Z1086" s="227" t="str">
        <f t="shared" si="43"/>
        <v>DUSUN ARDIREJO KELURAHAN SIDEREJO MALANG</v>
      </c>
      <c r="AA1086" s="276" t="e">
        <f>VLOOKUP(Logfile_S12[[#This Row],[DO number]],DO_DB!G:I,3,0)</f>
        <v>#N/A</v>
      </c>
      <c r="AB1086" s="331" t="e">
        <f>EXACT(Logfile_S12[[#This Row],[date pick]],Logfile_S12[[#This Row],[Date]])</f>
        <v>#N/A</v>
      </c>
      <c r="AC10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87" spans="1:29" ht="14.5" hidden="1">
      <c r="A1087" s="237" t="str">
        <f t="shared" si="42"/>
        <v>1083</v>
      </c>
      <c r="B1087" s="221">
        <v>1</v>
      </c>
      <c r="C1087" s="227" t="s">
        <v>49</v>
      </c>
      <c r="D1087" s="227" t="s">
        <v>4777</v>
      </c>
      <c r="E1087" s="227" t="s">
        <v>3295</v>
      </c>
      <c r="F1087" s="227" t="s">
        <v>3299</v>
      </c>
      <c r="G1087" s="239">
        <v>46016</v>
      </c>
      <c r="H1087" s="240">
        <v>0.50902777777777775</v>
      </c>
      <c r="I1087" s="227" t="s">
        <v>3295</v>
      </c>
      <c r="J1087" s="221" t="s">
        <v>3023</v>
      </c>
      <c r="K1087" s="241" t="s">
        <v>13</v>
      </c>
      <c r="L1087" s="225" t="str">
        <f>VLOOKUP(Logfile_S12[[#This Row],[Material Name]],Sheet2!B:C,2,0)</f>
        <v>ZTE2008</v>
      </c>
      <c r="M1087" s="242" t="s">
        <v>19</v>
      </c>
      <c r="N1087" s="227">
        <v>26</v>
      </c>
      <c r="O1087" s="221" t="s">
        <v>4785</v>
      </c>
      <c r="P1087" s="221" t="s">
        <v>4786</v>
      </c>
      <c r="Q1087" s="227"/>
      <c r="R1087" s="227"/>
      <c r="S1087" s="227"/>
      <c r="T1087" s="221" t="s">
        <v>3471</v>
      </c>
      <c r="U1087" s="221" t="s">
        <v>4811</v>
      </c>
      <c r="V1087" s="221" t="s">
        <v>3472</v>
      </c>
      <c r="W1087" s="221" t="s">
        <v>3545</v>
      </c>
      <c r="X1087" s="227"/>
      <c r="Y1087" s="227"/>
      <c r="Z1087" s="227" t="str">
        <f t="shared" si="43"/>
        <v>DUSUN ARDIREJO KELURAHAN SIDEREJO MALANG</v>
      </c>
      <c r="AA1087" s="276" t="e">
        <f>VLOOKUP(Logfile_S12[[#This Row],[DO number]],DO_DB!G:I,3,0)</f>
        <v>#N/A</v>
      </c>
      <c r="AB1087" s="331" t="e">
        <f>EXACT(Logfile_S12[[#This Row],[date pick]],Logfile_S12[[#This Row],[Date]])</f>
        <v>#N/A</v>
      </c>
      <c r="AC10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88" spans="1:29" ht="14.5" hidden="1">
      <c r="A1088" s="237" t="str">
        <f t="shared" si="42"/>
        <v>1084</v>
      </c>
      <c r="B1088" s="221">
        <v>4</v>
      </c>
      <c r="C1088" s="227" t="s">
        <v>48</v>
      </c>
      <c r="D1088" s="227" t="s">
        <v>4812</v>
      </c>
      <c r="E1088" s="227" t="s">
        <v>3295</v>
      </c>
      <c r="F1088" s="227" t="s">
        <v>3299</v>
      </c>
      <c r="G1088" s="239">
        <v>46041</v>
      </c>
      <c r="H1088" s="240">
        <v>0.25138888888888888</v>
      </c>
      <c r="I1088" s="227" t="s">
        <v>37</v>
      </c>
      <c r="J1088" s="221" t="s">
        <v>3023</v>
      </c>
      <c r="K1088" s="241" t="s">
        <v>13</v>
      </c>
      <c r="L1088" s="225" t="str">
        <f>VLOOKUP(Logfile_S12[[#This Row],[Material Name]],Sheet2!B:C,2,0)</f>
        <v>ZTE2008</v>
      </c>
      <c r="M1088" s="242" t="s">
        <v>19</v>
      </c>
      <c r="N1088" s="227">
        <v>13</v>
      </c>
      <c r="O1088" s="227" t="s">
        <v>4813</v>
      </c>
      <c r="P1088" s="227" t="s">
        <v>4815</v>
      </c>
      <c r="Q1088" s="227" t="s">
        <v>4820</v>
      </c>
      <c r="R1088" s="227" t="s">
        <v>4819</v>
      </c>
      <c r="S1088" s="227"/>
      <c r="T1088" s="227" t="s">
        <v>3258</v>
      </c>
      <c r="U1088" s="227" t="s">
        <v>4811</v>
      </c>
      <c r="V1088" s="221" t="s">
        <v>3337</v>
      </c>
      <c r="W1088" s="227" t="s">
        <v>3338</v>
      </c>
      <c r="X1088" s="227"/>
      <c r="Y1088" s="227"/>
      <c r="Z1088" s="227" t="str">
        <f t="shared" si="43"/>
        <v>KEBONAGUNG RW 06 PAKISAJI</v>
      </c>
      <c r="AA1088" s="276">
        <f>VLOOKUP(Logfile_S12[[#This Row],[DO number]],DO_DB!G:I,3,0)</f>
        <v>46041</v>
      </c>
      <c r="AB1088" s="331" t="b">
        <f>EXACT(Logfile_S12[[#This Row],[date pick]],Logfile_S12[[#This Row],[Date]])</f>
        <v>1</v>
      </c>
      <c r="AC10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89" spans="1:29" ht="14.5" hidden="1">
      <c r="A1089" s="237" t="str">
        <f t="shared" si="42"/>
        <v>1085</v>
      </c>
      <c r="B1089" s="221">
        <v>5</v>
      </c>
      <c r="C1089" s="227" t="s">
        <v>48</v>
      </c>
      <c r="D1089" s="227" t="s">
        <v>4812</v>
      </c>
      <c r="E1089" s="227" t="s">
        <v>3295</v>
      </c>
      <c r="F1089" s="227" t="s">
        <v>3299</v>
      </c>
      <c r="G1089" s="239">
        <v>46041</v>
      </c>
      <c r="H1089" s="240">
        <v>0.25138888888888888</v>
      </c>
      <c r="I1089" s="227" t="s">
        <v>37</v>
      </c>
      <c r="J1089" s="221" t="s">
        <v>3023</v>
      </c>
      <c r="K1089" s="241" t="s">
        <v>13</v>
      </c>
      <c r="L1089" s="225" t="str">
        <f>VLOOKUP(Logfile_S12[[#This Row],[Material Name]],Sheet2!B:C,2,0)</f>
        <v>ZTE2008</v>
      </c>
      <c r="M1089" s="242" t="s">
        <v>19</v>
      </c>
      <c r="N1089" s="227">
        <v>15</v>
      </c>
      <c r="O1089" s="227" t="s">
        <v>4814</v>
      </c>
      <c r="P1089" s="227" t="s">
        <v>4816</v>
      </c>
      <c r="Q1089" s="227" t="s">
        <v>4818</v>
      </c>
      <c r="R1089" s="227" t="s">
        <v>4817</v>
      </c>
      <c r="S1089" s="227"/>
      <c r="T1089" s="227" t="s">
        <v>3258</v>
      </c>
      <c r="U1089" s="227" t="s">
        <v>4811</v>
      </c>
      <c r="V1089" s="221" t="s">
        <v>3337</v>
      </c>
      <c r="W1089" s="227" t="s">
        <v>3338</v>
      </c>
      <c r="X1089" s="227"/>
      <c r="Y1089" s="227"/>
      <c r="Z1089" s="227" t="str">
        <f t="shared" si="43"/>
        <v>Griya Kebon Agung Indah</v>
      </c>
      <c r="AA1089" s="276">
        <f>VLOOKUP(Logfile_S12[[#This Row],[DO number]],DO_DB!G:I,3,0)</f>
        <v>46041</v>
      </c>
      <c r="AB1089" s="331" t="b">
        <f>EXACT(Logfile_S12[[#This Row],[date pick]],Logfile_S12[[#This Row],[Date]])</f>
        <v>1</v>
      </c>
      <c r="AC10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90" spans="1:29" ht="14.5" hidden="1">
      <c r="A1090" s="237" t="str">
        <f t="shared" si="42"/>
        <v>1086</v>
      </c>
      <c r="B1090" s="221">
        <v>1</v>
      </c>
      <c r="C1090" s="227" t="s">
        <v>49</v>
      </c>
      <c r="D1090" s="227" t="s">
        <v>4824</v>
      </c>
      <c r="E1090" s="227" t="s">
        <v>3295</v>
      </c>
      <c r="F1090" s="227" t="s">
        <v>3299</v>
      </c>
      <c r="G1090" s="239">
        <v>46045</v>
      </c>
      <c r="H1090" s="240">
        <v>0.69097222222222221</v>
      </c>
      <c r="I1090" s="227" t="s">
        <v>3295</v>
      </c>
      <c r="J1090" s="221" t="s">
        <v>3023</v>
      </c>
      <c r="K1090" s="241" t="s">
        <v>13</v>
      </c>
      <c r="L1090" s="225" t="str">
        <f>VLOOKUP(Logfile_S12[[#This Row],[Material Name]],Sheet2!B:C,2,0)</f>
        <v>ZTE2008</v>
      </c>
      <c r="M1090" s="242" t="s">
        <v>19</v>
      </c>
      <c r="N1090" s="227">
        <v>27</v>
      </c>
      <c r="O1090" s="227" t="s">
        <v>4813</v>
      </c>
      <c r="P1090" s="227" t="s">
        <v>4815</v>
      </c>
      <c r="Q1090" s="227" t="s">
        <v>4820</v>
      </c>
      <c r="R1090" s="227" t="s">
        <v>4819</v>
      </c>
      <c r="S1090" s="227"/>
      <c r="T1090" s="248" t="s">
        <v>3471</v>
      </c>
      <c r="U1090" s="221" t="s">
        <v>4811</v>
      </c>
      <c r="V1090" s="248" t="s">
        <v>3472</v>
      </c>
      <c r="W1090" s="248" t="s">
        <v>3473</v>
      </c>
      <c r="X1090" s="227"/>
      <c r="Y1090" s="227"/>
      <c r="Z1090" s="227" t="str">
        <f t="shared" si="43"/>
        <v>KEBONAGUNG RW 06 PAKISAJI</v>
      </c>
      <c r="AA1090" s="276">
        <f>VLOOKUP(Logfile_S12[[#This Row],[DO number]],DO_DB!G:I,3,0)</f>
        <v>46041</v>
      </c>
      <c r="AB1090" s="331" t="b">
        <f>EXACT(Logfile_S12[[#This Row],[date pick]],Logfile_S12[[#This Row],[Date]])</f>
        <v>0</v>
      </c>
      <c r="AC10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91" spans="1:29" ht="14.5" hidden="1">
      <c r="A1091" s="237" t="str">
        <f t="shared" si="42"/>
        <v>1087</v>
      </c>
      <c r="B1091" s="221">
        <v>4</v>
      </c>
      <c r="C1091" s="227" t="s">
        <v>48</v>
      </c>
      <c r="D1091" s="227" t="s">
        <v>4829</v>
      </c>
      <c r="E1091" s="227" t="s">
        <v>3295</v>
      </c>
      <c r="F1091" s="227" t="s">
        <v>3299</v>
      </c>
      <c r="G1091" s="239">
        <v>46087</v>
      </c>
      <c r="H1091" s="240">
        <v>0.79166666666666663</v>
      </c>
      <c r="I1091" s="227" t="s">
        <v>37</v>
      </c>
      <c r="J1091" s="221" t="s">
        <v>3023</v>
      </c>
      <c r="K1091" s="241" t="s">
        <v>13</v>
      </c>
      <c r="L1091" s="225" t="str">
        <f>VLOOKUP(Logfile_S12[[#This Row],[Material Name]],Sheet2!B:C,2,0)</f>
        <v>ZTE2008</v>
      </c>
      <c r="M1091" s="242" t="s">
        <v>19</v>
      </c>
      <c r="N1091" s="227">
        <v>21</v>
      </c>
      <c r="O1091" s="227" t="s">
        <v>4835</v>
      </c>
      <c r="P1091" s="227" t="s">
        <v>4836</v>
      </c>
      <c r="Q1091" s="221" t="s">
        <v>4849</v>
      </c>
      <c r="R1091" s="221" t="s">
        <v>4852</v>
      </c>
      <c r="S1091" s="227"/>
      <c r="T1091" s="227"/>
      <c r="U1091" s="227"/>
      <c r="V1091" s="227"/>
      <c r="W1091" s="227"/>
      <c r="X1091" s="227"/>
      <c r="Y1091" s="227"/>
      <c r="Z1091" s="227" t="str">
        <f t="shared" si="43"/>
        <v>LESANPURO RW 01 MALANG</v>
      </c>
      <c r="AA1091" s="276">
        <f>VLOOKUP(Logfile_S12[[#This Row],[DO number]],DO_DB!G:I,3,0)</f>
        <v>46087</v>
      </c>
      <c r="AB1091" s="331" t="b">
        <f>EXACT(Logfile_S12[[#This Row],[date pick]],Logfile_S12[[#This Row],[Date]])</f>
        <v>1</v>
      </c>
      <c r="AC10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92" spans="1:29" ht="14.5" hidden="1">
      <c r="A1092" s="237" t="str">
        <f t="shared" si="42"/>
        <v>1088</v>
      </c>
      <c r="B1092" s="221">
        <v>4</v>
      </c>
      <c r="C1092" s="227" t="s">
        <v>49</v>
      </c>
      <c r="D1092" s="227" t="s">
        <v>4833</v>
      </c>
      <c r="E1092" s="227" t="s">
        <v>3295</v>
      </c>
      <c r="F1092" s="227" t="s">
        <v>3299</v>
      </c>
      <c r="G1092" s="239">
        <v>46090</v>
      </c>
      <c r="H1092" s="240">
        <v>0.79166666666666663</v>
      </c>
      <c r="I1092" s="227" t="s">
        <v>3295</v>
      </c>
      <c r="J1092" s="221" t="s">
        <v>3023</v>
      </c>
      <c r="K1092" s="241" t="s">
        <v>13</v>
      </c>
      <c r="L1092" s="225" t="str">
        <f>VLOOKUP(Logfile_S12[[#This Row],[Material Name]],Sheet2!B:C,2,0)</f>
        <v>ZTE2008</v>
      </c>
      <c r="M1092" s="242" t="s">
        <v>19</v>
      </c>
      <c r="N1092" s="227">
        <v>21</v>
      </c>
      <c r="O1092" s="227" t="s">
        <v>4835</v>
      </c>
      <c r="P1092" s="227" t="s">
        <v>4836</v>
      </c>
      <c r="Q1092" s="227"/>
      <c r="R1092" s="227"/>
      <c r="S1092" s="227"/>
      <c r="T1092" s="221" t="s">
        <v>3231</v>
      </c>
      <c r="U1092" s="221" t="s">
        <v>4811</v>
      </c>
      <c r="V1092" s="221" t="s">
        <v>3232</v>
      </c>
      <c r="W1092" s="221" t="s">
        <v>3254</v>
      </c>
      <c r="X1092" s="227"/>
      <c r="Y1092" s="227"/>
      <c r="Z1092" s="227" t="str">
        <f t="shared" si="43"/>
        <v>LESANPURO RW 01 MALANG</v>
      </c>
      <c r="AA1092" s="276" t="e">
        <f>VLOOKUP(Logfile_S12[[#This Row],[DO number]],DO_DB!G:I,3,0)</f>
        <v>#N/A</v>
      </c>
      <c r="AB1092" s="331" t="e">
        <f>EXACT(Logfile_S12[[#This Row],[date pick]],Logfile_S12[[#This Row],[Date]])</f>
        <v>#N/A</v>
      </c>
      <c r="AC10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93" spans="1:29" ht="14.5" hidden="1">
      <c r="A1093" s="237" t="str">
        <f t="shared" ref="A1093:A1156" si="44">TEXT(ROW(A1093)-ROW($A$4),"000")</f>
        <v>1089</v>
      </c>
      <c r="B1093" s="221">
        <v>2</v>
      </c>
      <c r="C1093" s="227" t="s">
        <v>49</v>
      </c>
      <c r="D1093" s="227" t="s">
        <v>4838</v>
      </c>
      <c r="E1093" s="227" t="s">
        <v>3295</v>
      </c>
      <c r="F1093" s="227" t="s">
        <v>3299</v>
      </c>
      <c r="G1093" s="239">
        <v>46096</v>
      </c>
      <c r="H1093" s="240">
        <v>0.79166666666666663</v>
      </c>
      <c r="I1093" s="227" t="s">
        <v>3295</v>
      </c>
      <c r="J1093" s="221" t="s">
        <v>3023</v>
      </c>
      <c r="K1093" s="224" t="s">
        <v>13</v>
      </c>
      <c r="L1093" s="225" t="str">
        <f>VLOOKUP(Logfile_S12[[#This Row],[Material Name]],Sheet2!B:C,2,0)</f>
        <v>ZTE2008</v>
      </c>
      <c r="M1093" s="242" t="s">
        <v>19</v>
      </c>
      <c r="N1093" s="227">
        <v>14</v>
      </c>
      <c r="O1093" s="227" t="s">
        <v>4839</v>
      </c>
      <c r="P1093" s="227" t="s">
        <v>4840</v>
      </c>
      <c r="Q1093" s="227"/>
      <c r="R1093" s="227"/>
      <c r="S1093" s="227"/>
      <c r="T1093" s="221" t="s">
        <v>3231</v>
      </c>
      <c r="U1093" s="221" t="s">
        <v>4811</v>
      </c>
      <c r="V1093" s="221" t="s">
        <v>3232</v>
      </c>
      <c r="W1093" s="221" t="s">
        <v>3254</v>
      </c>
      <c r="X1093" s="227"/>
      <c r="Y1093" s="227"/>
      <c r="Z1093" s="227" t="str">
        <f t="shared" si="43"/>
        <v>SEKARPURO RW 05 MALANG</v>
      </c>
      <c r="AA1093" s="276" t="e">
        <f>VLOOKUP(Logfile_S12[[#This Row],[DO number]],DO_DB!G:I,3,0)</f>
        <v>#N/A</v>
      </c>
      <c r="AB1093" s="331" t="e">
        <f>EXACT(Logfile_S12[[#This Row],[date pick]],Logfile_S12[[#This Row],[Date]])</f>
        <v>#N/A</v>
      </c>
      <c r="AC10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94" spans="1:29" ht="14.5" hidden="1">
      <c r="A1094" s="237" t="str">
        <f t="shared" si="44"/>
        <v>1090</v>
      </c>
      <c r="B1094" s="221">
        <v>2</v>
      </c>
      <c r="C1094" s="227" t="s">
        <v>48</v>
      </c>
      <c r="D1094" s="227" t="s">
        <v>4843</v>
      </c>
      <c r="E1094" s="227" t="s">
        <v>3295</v>
      </c>
      <c r="F1094" s="227" t="s">
        <v>3299</v>
      </c>
      <c r="G1094" s="239">
        <v>46097</v>
      </c>
      <c r="H1094" s="240">
        <v>0.79166666666666663</v>
      </c>
      <c r="I1094" s="227" t="s">
        <v>37</v>
      </c>
      <c r="J1094" s="221" t="s">
        <v>3023</v>
      </c>
      <c r="K1094" s="224" t="s">
        <v>13</v>
      </c>
      <c r="L1094" s="242" t="str">
        <f>VLOOKUP(Logfile_S12[[#This Row],[Material Name]],Sheet2!B:C,2,0)</f>
        <v>ZTE2008</v>
      </c>
      <c r="M1094" s="242" t="s">
        <v>19</v>
      </c>
      <c r="N1094" s="227">
        <v>3</v>
      </c>
      <c r="O1094" s="227" t="s">
        <v>4839</v>
      </c>
      <c r="P1094" s="227" t="s">
        <v>4840</v>
      </c>
      <c r="Q1094" s="221"/>
      <c r="R1094" s="221"/>
      <c r="S1094" s="227"/>
      <c r="T1094" s="227"/>
      <c r="U1094" s="227"/>
      <c r="V1094" s="227"/>
      <c r="W1094" s="227"/>
      <c r="X1094" s="227"/>
      <c r="Y1094" s="227"/>
      <c r="Z1094" s="227" t="str">
        <f t="shared" si="43"/>
        <v>SEKARPURO RW 05 MALANG</v>
      </c>
      <c r="AA1094" s="276" t="e">
        <f>VLOOKUP(Logfile_S12[[#This Row],[DO number]],DO_DB!G:I,3,0)</f>
        <v>#N/A</v>
      </c>
      <c r="AB1094" s="331" t="e">
        <f>EXACT(Logfile_S12[[#This Row],[date pick]],Logfile_S12[[#This Row],[Date]])</f>
        <v>#N/A</v>
      </c>
      <c r="AC10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95" spans="1:29" ht="14.5" hidden="1">
      <c r="A1095" s="228" t="str">
        <f t="shared" si="44"/>
        <v>1091</v>
      </c>
      <c r="B1095" s="229">
        <v>1</v>
      </c>
      <c r="C1095" s="230" t="s">
        <v>48</v>
      </c>
      <c r="D1095" s="230" t="s">
        <v>4848</v>
      </c>
      <c r="E1095" s="230" t="s">
        <v>3295</v>
      </c>
      <c r="F1095" s="230" t="s">
        <v>3299</v>
      </c>
      <c r="G1095" s="231">
        <v>46134</v>
      </c>
      <c r="H1095" s="232">
        <v>0.25</v>
      </c>
      <c r="I1095" s="229" t="s">
        <v>37</v>
      </c>
      <c r="J1095" s="229" t="s">
        <v>3023</v>
      </c>
      <c r="K1095" s="233" t="s">
        <v>13</v>
      </c>
      <c r="L1095" s="234" t="str">
        <f>VLOOKUP(Logfile_S12[[#This Row],[Material Name]],Sheet2!B:C,2,0)</f>
        <v>ZTE2008</v>
      </c>
      <c r="M1095" s="234" t="str">
        <f>_xlfn.XLOOKUP(Logfile_S12[[#This Row],[Material Name]],Sum_WH!E:E,Sum_WH!F:F,"",0)</f>
        <v>Pcs</v>
      </c>
      <c r="N1095" s="229">
        <v>17</v>
      </c>
      <c r="O1095" s="230" t="s">
        <v>4429</v>
      </c>
      <c r="P1095" s="230" t="s">
        <v>4429</v>
      </c>
      <c r="Q1095" s="230"/>
      <c r="R1095" s="230"/>
      <c r="S1095" s="230"/>
      <c r="T1095" s="230"/>
      <c r="U1095" s="230"/>
      <c r="V1095" s="230"/>
      <c r="W1095" s="230"/>
      <c r="X1095" s="230" t="s">
        <v>4429</v>
      </c>
      <c r="Y1095" s="227"/>
      <c r="Z1095" s="227" t="str">
        <f t="shared" si="43"/>
        <v>ADJUSTMENT</v>
      </c>
      <c r="AA1095" s="276" t="e">
        <f>VLOOKUP(Logfile_S12[[#This Row],[DO number]],DO_DB!G:I,3,0)</f>
        <v>#N/A</v>
      </c>
      <c r="AB1095" s="331" t="e">
        <f>EXACT(Logfile_S12[[#This Row],[date pick]],Logfile_S12[[#This Row],[Date]])</f>
        <v>#N/A</v>
      </c>
      <c r="AC10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96" spans="1:29" ht="14.5" hidden="1">
      <c r="A1096" s="237" t="str">
        <f t="shared" si="44"/>
        <v>1092</v>
      </c>
      <c r="B1096" s="221">
        <v>1</v>
      </c>
      <c r="C1096" s="227" t="s">
        <v>49</v>
      </c>
      <c r="D1096" s="227" t="s">
        <v>4838</v>
      </c>
      <c r="E1096" s="227" t="s">
        <v>3295</v>
      </c>
      <c r="F1096" s="227" t="s">
        <v>3299</v>
      </c>
      <c r="G1096" s="239">
        <v>46134</v>
      </c>
      <c r="H1096" s="240">
        <v>0.58333333333333337</v>
      </c>
      <c r="I1096" s="227" t="s">
        <v>3295</v>
      </c>
      <c r="J1096" s="221" t="s">
        <v>3023</v>
      </c>
      <c r="K1096" s="241" t="s">
        <v>13</v>
      </c>
      <c r="L1096" s="242" t="str">
        <f>VLOOKUP(Logfile_S12[[#This Row],[Material Name]],Sheet2!B:C,2,0)</f>
        <v>ZTE2008</v>
      </c>
      <c r="M1096" s="242" t="s">
        <v>19</v>
      </c>
      <c r="N1096" s="227">
        <v>14</v>
      </c>
      <c r="O1096" s="227" t="s">
        <v>4847</v>
      </c>
      <c r="P1096" s="227" t="s">
        <v>4846</v>
      </c>
      <c r="Q1096" s="227"/>
      <c r="R1096" s="227"/>
      <c r="S1096" s="227"/>
      <c r="T1096" s="221" t="s">
        <v>3231</v>
      </c>
      <c r="U1096" s="221" t="s">
        <v>4811</v>
      </c>
      <c r="V1096" s="221" t="s">
        <v>3232</v>
      </c>
      <c r="W1096" s="221" t="s">
        <v>3254</v>
      </c>
      <c r="X1096" s="227"/>
      <c r="Y1096" s="227"/>
      <c r="Z1096" s="227" t="str">
        <f t="shared" si="43"/>
        <v>SEKARPURO RW 04 MALANG</v>
      </c>
      <c r="AA1096" s="276" t="e">
        <f>VLOOKUP(Logfile_S12[[#This Row],[DO number]],DO_DB!G:I,3,0)</f>
        <v>#N/A</v>
      </c>
      <c r="AB1096" s="331" t="e">
        <f>EXACT(Logfile_S12[[#This Row],[date pick]],Logfile_S12[[#This Row],[Date]])</f>
        <v>#N/A</v>
      </c>
      <c r="AC10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97" spans="1:29" ht="14.5" hidden="1">
      <c r="A1097" s="237" t="str">
        <f t="shared" si="44"/>
        <v>1093</v>
      </c>
      <c r="B1097" s="221">
        <v>2</v>
      </c>
      <c r="C1097" s="227" t="s">
        <v>49</v>
      </c>
      <c r="D1097" s="227" t="s">
        <v>4873</v>
      </c>
      <c r="E1097" s="227" t="s">
        <v>3295</v>
      </c>
      <c r="F1097" s="227" t="s">
        <v>3299</v>
      </c>
      <c r="G1097" s="239">
        <v>46153</v>
      </c>
      <c r="H1097" s="240">
        <v>0.76250000000000007</v>
      </c>
      <c r="I1097" s="227" t="s">
        <v>3295</v>
      </c>
      <c r="J1097" s="221" t="s">
        <v>3023</v>
      </c>
      <c r="K1097" s="241" t="s">
        <v>13</v>
      </c>
      <c r="L1097" s="242" t="str">
        <f>VLOOKUP(Logfile_S12[[#This Row],[Material Name]],Sheet2!B:C,2,0)</f>
        <v>ZTE2008</v>
      </c>
      <c r="M1097" s="242" t="s">
        <v>19</v>
      </c>
      <c r="N1097" s="227">
        <v>7</v>
      </c>
      <c r="O1097" s="221" t="s">
        <v>4866</v>
      </c>
      <c r="P1097" s="221" t="s">
        <v>4867</v>
      </c>
      <c r="Q1097" s="227"/>
      <c r="R1097" s="227"/>
      <c r="S1097" s="227"/>
      <c r="T1097" s="221" t="s">
        <v>3231</v>
      </c>
      <c r="U1097" s="221" t="s">
        <v>4811</v>
      </c>
      <c r="V1097" s="221" t="s">
        <v>3232</v>
      </c>
      <c r="W1097" s="221" t="s">
        <v>3254</v>
      </c>
      <c r="X1097" s="227"/>
      <c r="Y1097" s="227"/>
      <c r="Z1097" s="227" t="str">
        <f t="shared" si="43"/>
        <v>WONOKOYO RW 05 KEDUNGKANDANG</v>
      </c>
      <c r="AA1097" s="276" t="e">
        <f>VLOOKUP(Logfile_S12[[#This Row],[DO number]],DO_DB!G:I,3,0)</f>
        <v>#N/A</v>
      </c>
      <c r="AB1097" s="331" t="e">
        <f>EXACT(Logfile_S12[[#This Row],[date pick]],Logfile_S12[[#This Row],[Date]])</f>
        <v>#N/A</v>
      </c>
      <c r="AC10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98" spans="1:29" ht="14.5" hidden="1">
      <c r="A1098" s="237" t="str">
        <f t="shared" si="44"/>
        <v>1094</v>
      </c>
      <c r="B1098" s="221">
        <v>1</v>
      </c>
      <c r="C1098" s="227" t="s">
        <v>48</v>
      </c>
      <c r="D1098" s="227" t="s">
        <v>4895</v>
      </c>
      <c r="E1098" s="227" t="s">
        <v>3295</v>
      </c>
      <c r="F1098" s="227" t="s">
        <v>3299</v>
      </c>
      <c r="G1098" s="239">
        <v>46164</v>
      </c>
      <c r="H1098" s="240">
        <v>0.74236111111111114</v>
      </c>
      <c r="I1098" s="227" t="s">
        <v>37</v>
      </c>
      <c r="J1098" s="227" t="s">
        <v>3023</v>
      </c>
      <c r="K1098" s="241" t="s">
        <v>13</v>
      </c>
      <c r="L1098" s="242" t="str">
        <f>VLOOKUP(Logfile_S12[[#This Row],[Material Name]],Sheet2!B:C,2,0)</f>
        <v>ZTE2008</v>
      </c>
      <c r="M1098" s="242" t="s">
        <v>19</v>
      </c>
      <c r="N1098" s="227">
        <v>11</v>
      </c>
      <c r="O1098" s="227" t="s">
        <v>4870</v>
      </c>
      <c r="P1098" s="227" t="s">
        <v>4871</v>
      </c>
      <c r="Q1098" s="221" t="s">
        <v>4869</v>
      </c>
      <c r="R1098" s="221">
        <v>0</v>
      </c>
      <c r="S1098" s="227"/>
      <c r="T1098" s="227"/>
      <c r="U1098" s="227"/>
      <c r="V1098" s="227"/>
      <c r="W1098" s="227"/>
      <c r="X1098" s="227"/>
      <c r="Y1098" s="227"/>
      <c r="Z1098" s="227" t="str">
        <f t="shared" si="43"/>
        <v>SUMBERSEKAR RT 07 RW 04 MALANG</v>
      </c>
      <c r="AA1098" s="276">
        <f>VLOOKUP(Logfile_S12[[#This Row],[DO number]],DO_DB!G:I,3,0)</f>
        <v>46164</v>
      </c>
      <c r="AB1098" s="331" t="b">
        <f>EXACT(Logfile_S12[[#This Row],[date pick]],Logfile_S12[[#This Row],[Date]])</f>
        <v>1</v>
      </c>
      <c r="AC10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099" spans="1:29" ht="14.5" hidden="1">
      <c r="A1099" s="237" t="str">
        <f t="shared" si="44"/>
        <v>1095</v>
      </c>
      <c r="B1099" s="221">
        <v>1</v>
      </c>
      <c r="C1099" s="227" t="s">
        <v>49</v>
      </c>
      <c r="D1099" s="227" t="s">
        <v>4896</v>
      </c>
      <c r="E1099" s="227" t="s">
        <v>3295</v>
      </c>
      <c r="F1099" s="227" t="s">
        <v>3299</v>
      </c>
      <c r="G1099" s="239">
        <v>46165</v>
      </c>
      <c r="H1099" s="240">
        <v>0.74236111111111114</v>
      </c>
      <c r="I1099" s="227" t="s">
        <v>3295</v>
      </c>
      <c r="J1099" s="227" t="s">
        <v>3023</v>
      </c>
      <c r="K1099" s="241" t="s">
        <v>13</v>
      </c>
      <c r="L1099" s="242" t="str">
        <f>VLOOKUP(Logfile_S12[[#This Row],[Material Name]],Sheet2!B:C,2,0)</f>
        <v>ZTE2008</v>
      </c>
      <c r="M1099" s="242" t="s">
        <v>19</v>
      </c>
      <c r="N1099" s="227">
        <v>11</v>
      </c>
      <c r="O1099" s="227" t="s">
        <v>4870</v>
      </c>
      <c r="P1099" s="227" t="s">
        <v>4871</v>
      </c>
      <c r="Q1099" s="227"/>
      <c r="R1099" s="227"/>
      <c r="S1099" s="227"/>
      <c r="T1099" s="248" t="s">
        <v>3471</v>
      </c>
      <c r="U1099" s="221" t="s">
        <v>4811</v>
      </c>
      <c r="V1099" s="248" t="s">
        <v>3472</v>
      </c>
      <c r="W1099" s="248" t="s">
        <v>3473</v>
      </c>
      <c r="X1099" s="227"/>
      <c r="Y1099" s="227"/>
      <c r="Z1099" s="227" t="str">
        <f t="shared" si="43"/>
        <v>SUMBERSEKAR RT 07 RW 04 MALANG</v>
      </c>
      <c r="AA1099" s="276" t="e">
        <f>VLOOKUP(Logfile_S12[[#This Row],[DO number]],DO_DB!G:I,3,0)</f>
        <v>#N/A</v>
      </c>
      <c r="AB1099" s="331" t="e">
        <f>EXACT(Logfile_S12[[#This Row],[date pick]],Logfile_S12[[#This Row],[Date]])</f>
        <v>#N/A</v>
      </c>
      <c r="AC10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00" spans="1:29" ht="14.5" hidden="1">
      <c r="A1100" s="237" t="str">
        <f t="shared" si="44"/>
        <v>1096</v>
      </c>
      <c r="B1100" s="221">
        <v>1</v>
      </c>
      <c r="C1100" s="227" t="s">
        <v>48</v>
      </c>
      <c r="D1100" s="227" t="s">
        <v>4905</v>
      </c>
      <c r="E1100" s="227" t="s">
        <v>3295</v>
      </c>
      <c r="F1100" s="227" t="s">
        <v>3299</v>
      </c>
      <c r="G1100" s="239">
        <v>46191</v>
      </c>
      <c r="H1100" s="240">
        <v>0.25</v>
      </c>
      <c r="I1100" s="227" t="s">
        <v>37</v>
      </c>
      <c r="J1100" s="227" t="s">
        <v>3023</v>
      </c>
      <c r="K1100" s="241" t="s">
        <v>13</v>
      </c>
      <c r="L1100" s="242" t="str">
        <f>VLOOKUP(Logfile_S12[[#This Row],[Material Name]],Sheet2!B:C,2,0)</f>
        <v>ZTE2008</v>
      </c>
      <c r="M1100" s="242" t="s">
        <v>19</v>
      </c>
      <c r="N1100" s="227">
        <v>25</v>
      </c>
      <c r="O1100" s="221" t="s">
        <v>4898</v>
      </c>
      <c r="P1100" s="221" t="s">
        <v>4900</v>
      </c>
      <c r="Q1100" s="221" t="s">
        <v>4904</v>
      </c>
      <c r="R1100" s="221">
        <v>0</v>
      </c>
      <c r="S1100" s="227"/>
      <c r="T1100" s="227"/>
      <c r="U1100" s="227"/>
      <c r="V1100" s="227"/>
      <c r="W1100" s="227"/>
      <c r="X1100" s="227"/>
      <c r="Y1100" s="227"/>
      <c r="Z1100" s="227" t="str">
        <f t="shared" ref="Z1100:Z1163" si="45">P1100</f>
        <v>RANDUANGUNG RW 04 SINGOSARI MALANG</v>
      </c>
      <c r="AA1100" s="276">
        <f>VLOOKUP(Logfile_S12[[#This Row],[DO number]],DO_DB!G:I,3,0)</f>
        <v>46191</v>
      </c>
      <c r="AB1100" s="331" t="b">
        <f>EXACT(Logfile_S12[[#This Row],[date pick]],Logfile_S12[[#This Row],[Date]])</f>
        <v>1</v>
      </c>
      <c r="AC11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01" spans="1:29" ht="14.5" hidden="1">
      <c r="A1101" s="237" t="str">
        <f t="shared" si="44"/>
        <v>1097</v>
      </c>
      <c r="B1101" s="221"/>
      <c r="C1101" s="227" t="s">
        <v>49</v>
      </c>
      <c r="D1101" s="227" t="s">
        <v>4910</v>
      </c>
      <c r="E1101" s="227" t="s">
        <v>3295</v>
      </c>
      <c r="F1101" s="227" t="s">
        <v>4909</v>
      </c>
      <c r="G1101" s="239">
        <v>46196</v>
      </c>
      <c r="H1101" s="240">
        <v>0.375</v>
      </c>
      <c r="I1101" s="227" t="s">
        <v>3295</v>
      </c>
      <c r="J1101" s="227" t="s">
        <v>3023</v>
      </c>
      <c r="K1101" s="241" t="s">
        <v>13</v>
      </c>
      <c r="L1101" s="242" t="str">
        <f>VLOOKUP(Logfile_S12[[#This Row],[Material Name]],Sheet2!B:C,2,0)</f>
        <v>ZTE2008</v>
      </c>
      <c r="M1101" s="242" t="s">
        <v>19</v>
      </c>
      <c r="N1101" s="227">
        <v>24</v>
      </c>
      <c r="O1101" s="227" t="s">
        <v>4898</v>
      </c>
      <c r="P1101" s="227" t="s">
        <v>4900</v>
      </c>
      <c r="Q1101" s="227"/>
      <c r="R1101" s="227"/>
      <c r="S1101" s="227"/>
      <c r="T1101" s="248" t="s">
        <v>4944</v>
      </c>
      <c r="U1101" s="221" t="s">
        <v>4811</v>
      </c>
      <c r="V1101" s="248" t="s">
        <v>3472</v>
      </c>
      <c r="W1101" s="248" t="s">
        <v>3473</v>
      </c>
      <c r="X1101" s="227"/>
      <c r="Y1101" s="227"/>
      <c r="Z1101" s="227" t="str">
        <f t="shared" si="45"/>
        <v>RANDUANGUNG RW 04 SINGOSARI MALANG</v>
      </c>
      <c r="AA1101" s="276" t="e">
        <f>VLOOKUP(Logfile_S12[[#This Row],[DO number]],DO_DB!G:I,3,0)</f>
        <v>#N/A</v>
      </c>
      <c r="AB1101" s="331" t="e">
        <f>EXACT(Logfile_S12[[#This Row],[date pick]],Logfile_S12[[#This Row],[Date]])</f>
        <v>#N/A</v>
      </c>
      <c r="AC11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02" spans="1:29" ht="14.5" hidden="1">
      <c r="A1102" s="237" t="str">
        <f t="shared" si="44"/>
        <v>1098</v>
      </c>
      <c r="B1102" s="221">
        <v>2</v>
      </c>
      <c r="C1102" s="227" t="s">
        <v>48</v>
      </c>
      <c r="D1102" s="227" t="s">
        <v>4907</v>
      </c>
      <c r="E1102" s="227" t="s">
        <v>3295</v>
      </c>
      <c r="F1102" s="227" t="s">
        <v>3299</v>
      </c>
      <c r="G1102" s="239">
        <v>46200</v>
      </c>
      <c r="H1102" s="240">
        <v>0.25</v>
      </c>
      <c r="I1102" s="227" t="s">
        <v>37</v>
      </c>
      <c r="J1102" s="227" t="s">
        <v>3023</v>
      </c>
      <c r="K1102" s="241" t="s">
        <v>13</v>
      </c>
      <c r="L1102" s="242" t="str">
        <f>VLOOKUP(Logfile_S12[[#This Row],[Material Name]],Sheet2!B:C,2,0)</f>
        <v>ZTE2008</v>
      </c>
      <c r="M1102" s="242" t="s">
        <v>19</v>
      </c>
      <c r="N1102" s="227">
        <v>19</v>
      </c>
      <c r="O1102" s="221" t="s">
        <v>4902</v>
      </c>
      <c r="P1102" s="221" t="s">
        <v>4903</v>
      </c>
      <c r="Q1102" s="221" t="s">
        <v>4901</v>
      </c>
      <c r="R1102" s="221">
        <v>0</v>
      </c>
      <c r="S1102" s="227"/>
      <c r="T1102" s="227"/>
      <c r="U1102" s="227"/>
      <c r="V1102" s="227"/>
      <c r="W1102" s="227"/>
      <c r="X1102" s="227"/>
      <c r="Y1102" s="227"/>
      <c r="Z1102" s="227" t="str">
        <f t="shared" si="45"/>
        <v>KAMBINGAN RW 04 MALANG</v>
      </c>
      <c r="AA1102" s="276">
        <f>VLOOKUP(Logfile_S12[[#This Row],[DO number]],DO_DB!G:I,3,0)</f>
        <v>46200</v>
      </c>
      <c r="AB1102" s="331" t="b">
        <f>EXACT(Logfile_S12[[#This Row],[date pick]],Logfile_S12[[#This Row],[Date]])</f>
        <v>1</v>
      </c>
      <c r="AC11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03" spans="1:29" ht="14.5" hidden="1">
      <c r="A1103" s="237" t="str">
        <f t="shared" si="44"/>
        <v>1099</v>
      </c>
      <c r="B1103" s="221"/>
      <c r="C1103" s="227" t="s">
        <v>49</v>
      </c>
      <c r="D1103" s="227" t="s">
        <v>4943</v>
      </c>
      <c r="E1103" s="227" t="s">
        <v>3295</v>
      </c>
      <c r="F1103" s="227" t="s">
        <v>3299</v>
      </c>
      <c r="G1103" s="239">
        <v>46206</v>
      </c>
      <c r="H1103" s="240">
        <v>0.25</v>
      </c>
      <c r="I1103" s="227" t="s">
        <v>3295</v>
      </c>
      <c r="J1103" s="227" t="s">
        <v>3023</v>
      </c>
      <c r="K1103" s="241" t="s">
        <v>13</v>
      </c>
      <c r="L1103" s="242" t="str">
        <f>VLOOKUP(Logfile_S12[[#This Row],[Material Name]],Sheet2!B:C,2,0)</f>
        <v>ZTE2008</v>
      </c>
      <c r="M1103" s="242" t="s">
        <v>19</v>
      </c>
      <c r="N1103" s="227">
        <v>10</v>
      </c>
      <c r="O1103" s="221" t="s">
        <v>4902</v>
      </c>
      <c r="P1103" s="221" t="s">
        <v>4903</v>
      </c>
      <c r="Q1103" s="227"/>
      <c r="R1103" s="227"/>
      <c r="S1103" s="227"/>
      <c r="T1103" s="221" t="s">
        <v>3231</v>
      </c>
      <c r="U1103" s="221" t="s">
        <v>4811</v>
      </c>
      <c r="V1103" s="221" t="s">
        <v>3232</v>
      </c>
      <c r="W1103" s="221" t="s">
        <v>3254</v>
      </c>
      <c r="X1103" s="227"/>
      <c r="Y1103" s="227"/>
      <c r="Z1103" s="227" t="str">
        <f t="shared" si="45"/>
        <v>KAMBINGAN RW 04 MALANG</v>
      </c>
      <c r="AA1103" s="276" t="e">
        <f>VLOOKUP(Logfile_S12[[#This Row],[DO number]],DO_DB!G:I,3,0)</f>
        <v>#N/A</v>
      </c>
      <c r="AB1103" s="331" t="e">
        <f>EXACT(Logfile_S12[[#This Row],[date pick]],Logfile_S12[[#This Row],[Date]])</f>
        <v>#N/A</v>
      </c>
      <c r="AC11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04" spans="1:29" ht="14.5" hidden="1">
      <c r="A1104" s="237" t="str">
        <f t="shared" si="44"/>
        <v>1100</v>
      </c>
      <c r="B1104" s="221"/>
      <c r="C1104" s="227" t="s">
        <v>49</v>
      </c>
      <c r="D1104" s="227" t="s">
        <v>5121</v>
      </c>
      <c r="E1104" s="227" t="s">
        <v>3295</v>
      </c>
      <c r="F1104" s="227" t="s">
        <v>3299</v>
      </c>
      <c r="G1104" s="239">
        <v>46207</v>
      </c>
      <c r="H1104" s="240">
        <v>0.25</v>
      </c>
      <c r="I1104" s="227" t="s">
        <v>3295</v>
      </c>
      <c r="J1104" s="227" t="s">
        <v>3023</v>
      </c>
      <c r="K1104" s="241" t="s">
        <v>13</v>
      </c>
      <c r="L1104" s="242" t="str">
        <f>VLOOKUP(Logfile_S12[[#This Row],[Material Name]],Sheet2!B:C,2,0)</f>
        <v>ZTE2008</v>
      </c>
      <c r="M1104" s="242" t="s">
        <v>19</v>
      </c>
      <c r="N1104" s="227">
        <v>8</v>
      </c>
      <c r="O1104" s="227" t="s">
        <v>4902</v>
      </c>
      <c r="P1104" s="227" t="s">
        <v>4903</v>
      </c>
      <c r="Q1104" s="227"/>
      <c r="R1104" s="227"/>
      <c r="S1104" s="227"/>
      <c r="T1104" s="227" t="s">
        <v>3231</v>
      </c>
      <c r="U1104" s="227" t="s">
        <v>4811</v>
      </c>
      <c r="V1104" s="227" t="s">
        <v>3232</v>
      </c>
      <c r="W1104" s="227" t="s">
        <v>3254</v>
      </c>
      <c r="X1104" s="227"/>
      <c r="Y1104" s="238"/>
      <c r="Z1104" s="238" t="str">
        <f t="shared" si="45"/>
        <v>KAMBINGAN RW 04 MALANG</v>
      </c>
      <c r="AA1104" s="276" t="e">
        <f>VLOOKUP(Logfile_S12[[#This Row],[DO number]],DO_DB!G:I,3,0)</f>
        <v>#N/A</v>
      </c>
      <c r="AB1104" s="334" t="e">
        <f>EXACT(Logfile_S12[[#This Row],[date pick]],Logfile_S12[[#This Row],[Date]])</f>
        <v>#N/A</v>
      </c>
      <c r="AC11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05" spans="1:29" ht="14.5" hidden="1">
      <c r="A1105" s="237" t="str">
        <f t="shared" si="44"/>
        <v>1101</v>
      </c>
      <c r="B1105" s="221"/>
      <c r="C1105" s="227" t="s">
        <v>48</v>
      </c>
      <c r="D1105" s="227" t="s">
        <v>5127</v>
      </c>
      <c r="E1105" s="227" t="s">
        <v>3295</v>
      </c>
      <c r="F1105" s="227" t="s">
        <v>3299</v>
      </c>
      <c r="G1105" s="239">
        <v>46212</v>
      </c>
      <c r="H1105" s="240">
        <v>0.25</v>
      </c>
      <c r="I1105" s="227" t="s">
        <v>37</v>
      </c>
      <c r="J1105" s="227" t="s">
        <v>3023</v>
      </c>
      <c r="K1105" s="241" t="s">
        <v>13</v>
      </c>
      <c r="L1105" s="242" t="str">
        <f>VLOOKUP(Logfile_S12[[#This Row],[Material Name]],Sheet2!B:C,2,0)</f>
        <v>ZTE2008</v>
      </c>
      <c r="M1105" s="242" t="s">
        <v>19</v>
      </c>
      <c r="N1105" s="242">
        <v>9</v>
      </c>
      <c r="O1105" s="227" t="s">
        <v>5122</v>
      </c>
      <c r="P1105" s="227" t="s">
        <v>5125</v>
      </c>
      <c r="Q1105" s="8" t="s">
        <v>5123</v>
      </c>
      <c r="R1105" s="8" t="s">
        <v>5124</v>
      </c>
      <c r="S1105" s="227"/>
      <c r="T1105" s="227"/>
      <c r="U1105" s="227"/>
      <c r="V1105" s="227"/>
      <c r="W1105" s="227"/>
      <c r="X1105" s="227"/>
      <c r="Y1105" s="238"/>
      <c r="Z1105" s="238" t="str">
        <f t="shared" si="45"/>
        <v>KESATRIAN RW 09 MALANG</v>
      </c>
      <c r="AA1105" s="276">
        <f>VLOOKUP(Logfile_S12[[#This Row],[DO number]],DO_DB!G:I,3,0)</f>
        <v>46212</v>
      </c>
      <c r="AB1105" s="334" t="b">
        <f>EXACT(Logfile_S12[[#This Row],[date pick]],Logfile_S12[[#This Row],[Date]])</f>
        <v>1</v>
      </c>
      <c r="AC11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06" spans="1:29" ht="14.5" hidden="1">
      <c r="A1106" s="237" t="str">
        <f t="shared" si="44"/>
        <v>1102</v>
      </c>
      <c r="B1106" s="221"/>
      <c r="C1106" s="227" t="s">
        <v>49</v>
      </c>
      <c r="D1106" s="227" t="s">
        <v>5131</v>
      </c>
      <c r="E1106" s="227" t="s">
        <v>3295</v>
      </c>
      <c r="F1106" s="227" t="s">
        <v>3299</v>
      </c>
      <c r="G1106" s="239">
        <v>46218</v>
      </c>
      <c r="H1106" s="240">
        <v>0.25</v>
      </c>
      <c r="I1106" s="227" t="s">
        <v>3295</v>
      </c>
      <c r="J1106" s="227" t="s">
        <v>3023</v>
      </c>
      <c r="K1106" s="241" t="s">
        <v>13</v>
      </c>
      <c r="L1106" s="242" t="str">
        <f>VLOOKUP(Logfile_S12[[#This Row],[Material Name]],Sheet2!B:C,2,0)</f>
        <v>ZTE2008</v>
      </c>
      <c r="M1106" s="242" t="s">
        <v>19</v>
      </c>
      <c r="N1106" s="227">
        <v>15</v>
      </c>
      <c r="O1106" s="227" t="s">
        <v>5122</v>
      </c>
      <c r="P1106" s="227" t="s">
        <v>5125</v>
      </c>
      <c r="Q1106" s="227"/>
      <c r="R1106" s="227"/>
      <c r="S1106" s="227"/>
      <c r="T1106" s="227" t="s">
        <v>3258</v>
      </c>
      <c r="U1106" s="227" t="s">
        <v>4811</v>
      </c>
      <c r="V1106" s="227" t="s">
        <v>3337</v>
      </c>
      <c r="W1106" s="227" t="s">
        <v>3338</v>
      </c>
      <c r="X1106" s="227"/>
      <c r="Y1106" s="238"/>
      <c r="Z1106" s="238" t="str">
        <f t="shared" si="45"/>
        <v>KESATRIAN RW 09 MALANG</v>
      </c>
      <c r="AA1106" s="276" t="e">
        <f>VLOOKUP(Logfile_S12[[#This Row],[DO number]],DO_DB!G:I,3,0)</f>
        <v>#N/A</v>
      </c>
      <c r="AB1106" s="334" t="e">
        <f>EXACT(Logfile_S12[[#This Row],[date pick]],Logfile_S12[[#This Row],[Date]])</f>
        <v>#N/A</v>
      </c>
      <c r="AC11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07" spans="1:29" ht="14.5" hidden="1">
      <c r="A1107" s="220" t="str">
        <f t="shared" si="44"/>
        <v>1103</v>
      </c>
      <c r="B1107" s="221"/>
      <c r="C1107" s="221" t="s">
        <v>48</v>
      </c>
      <c r="D1107" s="221" t="s">
        <v>3924</v>
      </c>
      <c r="E1107" s="221" t="s">
        <v>3295</v>
      </c>
      <c r="F1107" s="221" t="s">
        <v>3299</v>
      </c>
      <c r="G1107" s="222">
        <v>45337</v>
      </c>
      <c r="H1107" s="223">
        <v>15.291666666666666</v>
      </c>
      <c r="I1107" s="221" t="s">
        <v>37</v>
      </c>
      <c r="J1107" s="221" t="s">
        <v>3023</v>
      </c>
      <c r="K1107" s="224" t="s">
        <v>3103</v>
      </c>
      <c r="L1107" s="225" t="str">
        <f>VLOOKUP(Logfile_S12[[#This Row],[Material Name]],Sheet2!B:C,2,0)</f>
        <v>GCI2013</v>
      </c>
      <c r="M1107" s="225" t="str">
        <f>_xlfn.XLOOKUP(Logfile_S12[[#This Row],[Material Name]],Sum_WH!E:E,Sum_WH!F:F,"",0)</f>
        <v>Pcs</v>
      </c>
      <c r="N1107" s="221">
        <v>2</v>
      </c>
      <c r="O1107" s="221" t="s">
        <v>917</v>
      </c>
      <c r="P1107" s="221" t="s">
        <v>918</v>
      </c>
      <c r="Q1107" s="221"/>
      <c r="R1107" s="221"/>
      <c r="S1107" s="221"/>
      <c r="T1107" s="221"/>
      <c r="U1107" s="221"/>
      <c r="V1107" s="221"/>
      <c r="W1107" s="221"/>
      <c r="X1107" s="221"/>
      <c r="Y1107" s="227"/>
      <c r="Z1107" s="227" t="str">
        <f t="shared" si="45"/>
        <v>Dengkol RW 03 Singosari Malang</v>
      </c>
      <c r="AA1107" s="276" t="e">
        <f>VLOOKUP(Logfile_S12[[#This Row],[DO number]],DO_DB!G:I,3,0)</f>
        <v>#N/A</v>
      </c>
      <c r="AB1107" s="331" t="e">
        <f>EXACT(Logfile_S12[[#This Row],[date pick]],Logfile_S12[[#This Row],[Date]])</f>
        <v>#N/A</v>
      </c>
      <c r="AC11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08" spans="1:29" ht="14.5" hidden="1">
      <c r="A1108" s="220" t="str">
        <f t="shared" si="44"/>
        <v>1104</v>
      </c>
      <c r="B1108" s="221"/>
      <c r="C1108" s="221" t="s">
        <v>48</v>
      </c>
      <c r="D1108" s="221" t="s">
        <v>3924</v>
      </c>
      <c r="E1108" s="221" t="s">
        <v>3295</v>
      </c>
      <c r="F1108" s="221" t="s">
        <v>3299</v>
      </c>
      <c r="G1108" s="222">
        <v>45337</v>
      </c>
      <c r="H1108" s="223">
        <v>15.291666666666666</v>
      </c>
      <c r="I1108" s="221" t="s">
        <v>37</v>
      </c>
      <c r="J1108" s="221" t="s">
        <v>3023</v>
      </c>
      <c r="K1108" s="224" t="s">
        <v>3103</v>
      </c>
      <c r="L1108" s="225" t="str">
        <f>VLOOKUP(Logfile_S12[[#This Row],[Material Name]],Sheet2!B:C,2,0)</f>
        <v>GCI2013</v>
      </c>
      <c r="M1108" s="225" t="str">
        <f>_xlfn.XLOOKUP(Logfile_S12[[#This Row],[Material Name]],Sum_WH!E:E,Sum_WH!F:F,"",0)</f>
        <v>Pcs</v>
      </c>
      <c r="N1108" s="221">
        <v>3</v>
      </c>
      <c r="O1108" s="221" t="s">
        <v>925</v>
      </c>
      <c r="P1108" s="221" t="s">
        <v>926</v>
      </c>
      <c r="Q1108" s="221"/>
      <c r="R1108" s="221"/>
      <c r="S1108" s="221"/>
      <c r="T1108" s="221"/>
      <c r="U1108" s="221"/>
      <c r="V1108" s="221"/>
      <c r="W1108" s="221"/>
      <c r="X1108" s="221"/>
      <c r="Y1108" s="227"/>
      <c r="Z1108" s="227" t="str">
        <f t="shared" si="45"/>
        <v>Dengkol RW 02 Singosari Malang</v>
      </c>
      <c r="AA1108" s="276" t="e">
        <f>VLOOKUP(Logfile_S12[[#This Row],[DO number]],DO_DB!G:I,3,0)</f>
        <v>#N/A</v>
      </c>
      <c r="AB1108" s="331" t="e">
        <f>EXACT(Logfile_S12[[#This Row],[date pick]],Logfile_S12[[#This Row],[Date]])</f>
        <v>#N/A</v>
      </c>
      <c r="AC11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09" spans="1:29" ht="14.5" hidden="1">
      <c r="A1109" s="220" t="str">
        <f t="shared" si="44"/>
        <v>1105</v>
      </c>
      <c r="B1109" s="221"/>
      <c r="C1109" s="221" t="s">
        <v>48</v>
      </c>
      <c r="D1109" s="221" t="s">
        <v>3924</v>
      </c>
      <c r="E1109" s="221" t="s">
        <v>3295</v>
      </c>
      <c r="F1109" s="221" t="s">
        <v>3299</v>
      </c>
      <c r="G1109" s="222">
        <v>45337</v>
      </c>
      <c r="H1109" s="223">
        <v>15.291666666666666</v>
      </c>
      <c r="I1109" s="221" t="s">
        <v>37</v>
      </c>
      <c r="J1109" s="221" t="s">
        <v>3023</v>
      </c>
      <c r="K1109" s="224" t="s">
        <v>3103</v>
      </c>
      <c r="L1109" s="225" t="str">
        <f>VLOOKUP(Logfile_S12[[#This Row],[Material Name]],Sheet2!B:C,2,0)</f>
        <v>GCI2013</v>
      </c>
      <c r="M1109" s="225" t="str">
        <f>_xlfn.XLOOKUP(Logfile_S12[[#This Row],[Material Name]],Sum_WH!E:E,Sum_WH!F:F,"",0)</f>
        <v>Pcs</v>
      </c>
      <c r="N1109" s="221">
        <v>45</v>
      </c>
      <c r="O1109" s="221" t="s">
        <v>921</v>
      </c>
      <c r="P1109" s="221" t="s">
        <v>922</v>
      </c>
      <c r="Q1109" s="221"/>
      <c r="R1109" s="221"/>
      <c r="S1109" s="221"/>
      <c r="T1109" s="221"/>
      <c r="U1109" s="221"/>
      <c r="V1109" s="221"/>
      <c r="W1109" s="221"/>
      <c r="X1109" s="221"/>
      <c r="Y1109" s="227"/>
      <c r="Z1109" s="227" t="str">
        <f t="shared" si="45"/>
        <v>Bumiayu RW 03 Kedungkandang</v>
      </c>
      <c r="AA1109" s="276" t="e">
        <f>VLOOKUP(Logfile_S12[[#This Row],[DO number]],DO_DB!G:I,3,0)</f>
        <v>#N/A</v>
      </c>
      <c r="AB1109" s="331" t="e">
        <f>EXACT(Logfile_S12[[#This Row],[date pick]],Logfile_S12[[#This Row],[Date]])</f>
        <v>#N/A</v>
      </c>
      <c r="AC11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10" spans="1:29" ht="14.5" hidden="1">
      <c r="A1110" s="220" t="str">
        <f t="shared" si="44"/>
        <v>1106</v>
      </c>
      <c r="B1110" s="221"/>
      <c r="C1110" s="221" t="s">
        <v>49</v>
      </c>
      <c r="D1110" s="221" t="s">
        <v>3947</v>
      </c>
      <c r="E1110" s="221" t="s">
        <v>3295</v>
      </c>
      <c r="F1110" s="221" t="s">
        <v>3299</v>
      </c>
      <c r="G1110" s="222">
        <v>45345</v>
      </c>
      <c r="H1110" s="223">
        <v>0.79652777777777783</v>
      </c>
      <c r="I1110" s="221" t="s">
        <v>4916</v>
      </c>
      <c r="J1110" s="221" t="s">
        <v>3023</v>
      </c>
      <c r="K1110" s="224" t="s">
        <v>3103</v>
      </c>
      <c r="L1110" s="225" t="str">
        <f>VLOOKUP(Logfile_S12[[#This Row],[Material Name]],Sheet2!B:C,2,0)</f>
        <v>GCI2013</v>
      </c>
      <c r="M1110" s="225" t="str">
        <f>_xlfn.XLOOKUP(Logfile_S12[[#This Row],[Material Name]],Sum_WH!E:E,Sum_WH!F:F,"",0)</f>
        <v>Pcs</v>
      </c>
      <c r="N1110" s="221">
        <v>22</v>
      </c>
      <c r="O1110" s="221" t="s">
        <v>921</v>
      </c>
      <c r="P1110" s="221" t="s">
        <v>922</v>
      </c>
      <c r="Q1110" s="221"/>
      <c r="R1110" s="221"/>
      <c r="S1110" s="221"/>
      <c r="T1110" s="221" t="s">
        <v>3231</v>
      </c>
      <c r="U1110" s="221" t="s">
        <v>3228</v>
      </c>
      <c r="V1110" s="221" t="s">
        <v>3232</v>
      </c>
      <c r="W1110" s="221" t="s">
        <v>3246</v>
      </c>
      <c r="X1110" s="221"/>
      <c r="Y1110" s="227"/>
      <c r="Z1110" s="227" t="str">
        <f t="shared" si="45"/>
        <v>Bumiayu RW 03 Kedungkandang</v>
      </c>
      <c r="AA1110" s="276" t="e">
        <f>VLOOKUP(Logfile_S12[[#This Row],[DO number]],DO_DB!G:I,3,0)</f>
        <v>#N/A</v>
      </c>
      <c r="AB1110" s="331" t="e">
        <f>EXACT(Logfile_S12[[#This Row],[date pick]],Logfile_S12[[#This Row],[Date]])</f>
        <v>#N/A</v>
      </c>
      <c r="AC11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11" spans="1:29" ht="14.5" hidden="1">
      <c r="A1111" s="220" t="str">
        <f t="shared" si="44"/>
        <v>1107</v>
      </c>
      <c r="B1111" s="221"/>
      <c r="C1111" s="221" t="s">
        <v>49</v>
      </c>
      <c r="D1111" s="221" t="s">
        <v>3959</v>
      </c>
      <c r="E1111" s="221" t="s">
        <v>3295</v>
      </c>
      <c r="F1111" s="221" t="s">
        <v>3299</v>
      </c>
      <c r="G1111" s="222">
        <v>45351</v>
      </c>
      <c r="H1111" s="223">
        <v>0.55555555555555558</v>
      </c>
      <c r="I1111" s="221" t="s">
        <v>4916</v>
      </c>
      <c r="J1111" s="221" t="s">
        <v>3023</v>
      </c>
      <c r="K1111" s="224" t="s">
        <v>3103</v>
      </c>
      <c r="L1111" s="225" t="str">
        <f>VLOOKUP(Logfile_S12[[#This Row],[Material Name]],Sheet2!B:C,2,0)</f>
        <v>GCI2013</v>
      </c>
      <c r="M1111" s="225" t="str">
        <f>_xlfn.XLOOKUP(Logfile_S12[[#This Row],[Material Name]],Sum_WH!E:E,Sum_WH!F:F,"",0)</f>
        <v>Pcs</v>
      </c>
      <c r="N1111" s="221">
        <v>22</v>
      </c>
      <c r="O1111" s="221" t="s">
        <v>1013</v>
      </c>
      <c r="P1111" s="221" t="s">
        <v>1014</v>
      </c>
      <c r="Q1111" s="221"/>
      <c r="R1111" s="221"/>
      <c r="S1111" s="221"/>
      <c r="T1111" s="221" t="s">
        <v>3231</v>
      </c>
      <c r="U1111" s="221" t="s">
        <v>3228</v>
      </c>
      <c r="V1111" s="221" t="s">
        <v>3232</v>
      </c>
      <c r="W1111" s="221" t="s">
        <v>3246</v>
      </c>
      <c r="X1111" s="221"/>
      <c r="Y1111" s="227"/>
      <c r="Z1111" s="227" t="str">
        <f t="shared" si="45"/>
        <v>Bumiayu RW 05 Kedungkandang</v>
      </c>
      <c r="AA1111" s="276" t="e">
        <f>VLOOKUP(Logfile_S12[[#This Row],[DO number]],DO_DB!G:I,3,0)</f>
        <v>#N/A</v>
      </c>
      <c r="AB1111" s="331" t="e">
        <f>EXACT(Logfile_S12[[#This Row],[date pick]],Logfile_S12[[#This Row],[Date]])</f>
        <v>#N/A</v>
      </c>
      <c r="AC11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12" spans="1:29" ht="14.5" hidden="1">
      <c r="A1112" s="220" t="str">
        <f t="shared" si="44"/>
        <v>1108</v>
      </c>
      <c r="B1112" s="221"/>
      <c r="C1112" s="221" t="s">
        <v>3388</v>
      </c>
      <c r="D1112" s="221" t="s">
        <v>4026</v>
      </c>
      <c r="E1112" s="221" t="s">
        <v>3295</v>
      </c>
      <c r="F1112" s="221" t="s">
        <v>3299</v>
      </c>
      <c r="G1112" s="222">
        <v>45406</v>
      </c>
      <c r="H1112" s="223">
        <v>0.41666666666666669</v>
      </c>
      <c r="I1112" s="221" t="s">
        <v>4918</v>
      </c>
      <c r="J1112" s="221" t="s">
        <v>3023</v>
      </c>
      <c r="K1112" s="224" t="s">
        <v>3103</v>
      </c>
      <c r="L1112" s="225" t="str">
        <f>VLOOKUP(Logfile_S12[[#This Row],[Material Name]],Sheet2!B:C,2,0)</f>
        <v>GCI2013</v>
      </c>
      <c r="M1112" s="225" t="str">
        <f>_xlfn.XLOOKUP(Logfile_S12[[#This Row],[Material Name]],Sum_WH!E:E,Sum_WH!F:F,"",0)</f>
        <v>Pcs</v>
      </c>
      <c r="N1112" s="221">
        <v>6</v>
      </c>
      <c r="O1112" s="221" t="s">
        <v>3314</v>
      </c>
      <c r="P1112" s="221" t="s">
        <v>3223</v>
      </c>
      <c r="Q1112" s="221"/>
      <c r="R1112" s="221"/>
      <c r="S1112" s="221"/>
      <c r="T1112" s="221" t="s">
        <v>3241</v>
      </c>
      <c r="U1112" s="221">
        <v>0</v>
      </c>
      <c r="V1112" s="221" t="s">
        <v>3368</v>
      </c>
      <c r="W1112" s="221" t="s">
        <v>3242</v>
      </c>
      <c r="X1112" s="221"/>
      <c r="Y1112" s="227"/>
      <c r="Z1112" s="227" t="str">
        <f t="shared" si="45"/>
        <v>Transfer Gudang</v>
      </c>
      <c r="AA1112" s="276" t="e">
        <f>VLOOKUP(Logfile_S12[[#This Row],[DO number]],DO_DB!G:I,3,0)</f>
        <v>#N/A</v>
      </c>
      <c r="AB1112" s="331" t="e">
        <f>EXACT(Logfile_S12[[#This Row],[date pick]],Logfile_S12[[#This Row],[Date]])</f>
        <v>#N/A</v>
      </c>
      <c r="AC11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113" spans="1:29" ht="14.5" hidden="1">
      <c r="A1113" s="220" t="str">
        <f t="shared" si="44"/>
        <v>1109</v>
      </c>
      <c r="B1113" s="221">
        <v>4</v>
      </c>
      <c r="C1113" s="221" t="s">
        <v>48</v>
      </c>
      <c r="D1113" s="221" t="s">
        <v>3678</v>
      </c>
      <c r="E1113" s="221" t="s">
        <v>3295</v>
      </c>
      <c r="F1113" s="221" t="s">
        <v>3299</v>
      </c>
      <c r="G1113" s="222">
        <v>45142</v>
      </c>
      <c r="H1113" s="223">
        <v>15.291666666666666</v>
      </c>
      <c r="I1113" s="221" t="s">
        <v>37</v>
      </c>
      <c r="J1113" s="221" t="s">
        <v>3023</v>
      </c>
      <c r="K1113" s="224" t="s">
        <v>14</v>
      </c>
      <c r="L1113" s="225" t="str">
        <f>VLOOKUP(Logfile_S12[[#This Row],[Material Name]],Sheet2!B:C,2,0)</f>
        <v>ZTE2005</v>
      </c>
      <c r="M1113" s="225" t="str">
        <f>_xlfn.XLOOKUP(Logfile_S12[[#This Row],[Material Name]],Sum_WH!E:E,Sum_WH!F:F,"",0)</f>
        <v>Pcs</v>
      </c>
      <c r="N1113" s="221">
        <v>1</v>
      </c>
      <c r="O1113" s="221" t="s">
        <v>84</v>
      </c>
      <c r="P1113" s="221" t="s">
        <v>85</v>
      </c>
      <c r="Q1113" s="221" t="s">
        <v>86</v>
      </c>
      <c r="R1113" s="221" t="s">
        <v>87</v>
      </c>
      <c r="S1113" s="221"/>
      <c r="T1113" s="221"/>
      <c r="U1113" s="221"/>
      <c r="V1113" s="221"/>
      <c r="W1113" s="221"/>
      <c r="X1113" s="221"/>
      <c r="Y1113" s="227"/>
      <c r="Z1113" s="227" t="str">
        <f t="shared" si="45"/>
        <v>Perumahan Bumi Podo Rukun Dau</v>
      </c>
      <c r="AA1113" s="276">
        <f>VLOOKUP(Logfile_S12[[#This Row],[DO number]],DO_DB!G:I,3,0)</f>
        <v>45142</v>
      </c>
      <c r="AB1113" s="331" t="b">
        <f>EXACT(Logfile_S12[[#This Row],[date pick]],Logfile_S12[[#This Row],[Date]])</f>
        <v>1</v>
      </c>
      <c r="AC11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14" spans="1:29" ht="14.5" hidden="1">
      <c r="A1114" s="220" t="str">
        <f t="shared" si="44"/>
        <v>1110</v>
      </c>
      <c r="B1114" s="221"/>
      <c r="C1114" s="221" t="s">
        <v>49</v>
      </c>
      <c r="D1114" s="221" t="s">
        <v>3685</v>
      </c>
      <c r="E1114" s="221" t="s">
        <v>3295</v>
      </c>
      <c r="F1114" s="221" t="s">
        <v>3299</v>
      </c>
      <c r="G1114" s="222">
        <v>45149</v>
      </c>
      <c r="H1114" s="223">
        <v>15.619722222222222</v>
      </c>
      <c r="I1114" s="221" t="s">
        <v>4916</v>
      </c>
      <c r="J1114" s="221" t="s">
        <v>3023</v>
      </c>
      <c r="K1114" s="224" t="s">
        <v>14</v>
      </c>
      <c r="L1114" s="225" t="str">
        <f>VLOOKUP(Logfile_S12[[#This Row],[Material Name]],Sheet2!B:C,2,0)</f>
        <v>ZTE2005</v>
      </c>
      <c r="M1114" s="225" t="str">
        <f>_xlfn.XLOOKUP(Logfile_S12[[#This Row],[Material Name]],Sum_WH!E:E,Sum_WH!F:F,"",0)</f>
        <v>Pcs</v>
      </c>
      <c r="N1114" s="221">
        <v>1</v>
      </c>
      <c r="O1114" s="221" t="s">
        <v>84</v>
      </c>
      <c r="P1114" s="221" t="s">
        <v>85</v>
      </c>
      <c r="Q1114" s="221"/>
      <c r="R1114" s="221"/>
      <c r="S1114" s="221"/>
      <c r="T1114" s="221" t="s">
        <v>3329</v>
      </c>
      <c r="U1114" s="221" t="s">
        <v>3228</v>
      </c>
      <c r="V1114" s="221" t="s">
        <v>3330</v>
      </c>
      <c r="W1114" s="221" t="s">
        <v>3517</v>
      </c>
      <c r="X1114" s="221"/>
      <c r="Y1114" s="227"/>
      <c r="Z1114" s="227" t="str">
        <f t="shared" si="45"/>
        <v>Perumahan Bumi Podo Rukun Dau</v>
      </c>
      <c r="AA1114" s="276" t="e">
        <f>VLOOKUP(Logfile_S12[[#This Row],[DO number]],DO_DB!G:I,3,0)</f>
        <v>#N/A</v>
      </c>
      <c r="AB1114" s="331" t="e">
        <f>EXACT(Logfile_S12[[#This Row],[date pick]],Logfile_S12[[#This Row],[Date]])</f>
        <v>#N/A</v>
      </c>
      <c r="AC11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15" spans="1:29" ht="14.5" hidden="1">
      <c r="A1115" s="220" t="str">
        <f t="shared" si="44"/>
        <v>1111</v>
      </c>
      <c r="B1115" s="221"/>
      <c r="C1115" s="221" t="s">
        <v>48</v>
      </c>
      <c r="D1115" s="221" t="s">
        <v>3692</v>
      </c>
      <c r="E1115" s="221" t="s">
        <v>3295</v>
      </c>
      <c r="F1115" s="221" t="s">
        <v>3299</v>
      </c>
      <c r="G1115" s="222">
        <v>45170</v>
      </c>
      <c r="H1115" s="223">
        <v>15.291666666666666</v>
      </c>
      <c r="I1115" s="221" t="s">
        <v>37</v>
      </c>
      <c r="J1115" s="221" t="s">
        <v>3023</v>
      </c>
      <c r="K1115" s="224" t="s">
        <v>14</v>
      </c>
      <c r="L1115" s="225" t="str">
        <f>VLOOKUP(Logfile_S12[[#This Row],[Material Name]],Sheet2!B:C,2,0)</f>
        <v>ZTE2005</v>
      </c>
      <c r="M1115" s="225" t="str">
        <f>_xlfn.XLOOKUP(Logfile_S12[[#This Row],[Material Name]],Sum_WH!E:E,Sum_WH!F:F,"",0)</f>
        <v>Pcs</v>
      </c>
      <c r="N1115" s="221">
        <v>1</v>
      </c>
      <c r="O1115" s="221" t="s">
        <v>150</v>
      </c>
      <c r="P1115" s="221" t="s">
        <v>151</v>
      </c>
      <c r="Q1115" s="221" t="s">
        <v>152</v>
      </c>
      <c r="R1115" s="221" t="s">
        <v>153</v>
      </c>
      <c r="S1115" s="221"/>
      <c r="T1115" s="221"/>
      <c r="U1115" s="221"/>
      <c r="V1115" s="221"/>
      <c r="W1115" s="221"/>
      <c r="X1115" s="221"/>
      <c r="Y1115" s="227"/>
      <c r="Z1115" s="227" t="str">
        <f t="shared" si="45"/>
        <v>Mulyorejo RW 04 Sukun</v>
      </c>
      <c r="AA1115" s="276">
        <f>VLOOKUP(Logfile_S12[[#This Row],[DO number]],DO_DB!G:I,3,0)</f>
        <v>45170</v>
      </c>
      <c r="AB1115" s="331" t="b">
        <f>EXACT(Logfile_S12[[#This Row],[date pick]],Logfile_S12[[#This Row],[Date]])</f>
        <v>1</v>
      </c>
      <c r="AC11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16" spans="1:29" ht="14.5" hidden="1">
      <c r="A1116" s="220" t="str">
        <f t="shared" si="44"/>
        <v>1112</v>
      </c>
      <c r="B1116" s="221"/>
      <c r="C1116" s="221" t="s">
        <v>49</v>
      </c>
      <c r="D1116" s="221" t="s">
        <v>3705</v>
      </c>
      <c r="E1116" s="221" t="s">
        <v>3295</v>
      </c>
      <c r="F1116" s="221" t="s">
        <v>3299</v>
      </c>
      <c r="G1116" s="222">
        <v>45179</v>
      </c>
      <c r="H1116" s="223">
        <v>0.38124999999999998</v>
      </c>
      <c r="I1116" s="221" t="s">
        <v>4916</v>
      </c>
      <c r="J1116" s="221" t="s">
        <v>3023</v>
      </c>
      <c r="K1116" s="224" t="s">
        <v>14</v>
      </c>
      <c r="L1116" s="225" t="str">
        <f>VLOOKUP(Logfile_S12[[#This Row],[Material Name]],Sheet2!B:C,2,0)</f>
        <v>ZTE2005</v>
      </c>
      <c r="M1116" s="225" t="str">
        <f>_xlfn.XLOOKUP(Logfile_S12[[#This Row],[Material Name]],Sum_WH!E:E,Sum_WH!F:F,"",0)</f>
        <v>Pcs</v>
      </c>
      <c r="N1116" s="221">
        <v>1</v>
      </c>
      <c r="O1116" s="221" t="s">
        <v>150</v>
      </c>
      <c r="P1116" s="221" t="s">
        <v>151</v>
      </c>
      <c r="Q1116" s="221"/>
      <c r="R1116" s="221"/>
      <c r="S1116" s="221"/>
      <c r="T1116" s="221" t="s">
        <v>3518</v>
      </c>
      <c r="U1116" s="221" t="s">
        <v>3228</v>
      </c>
      <c r="V1116" s="221" t="s">
        <v>3519</v>
      </c>
      <c r="W1116" s="221" t="s">
        <v>3520</v>
      </c>
      <c r="X1116" s="221"/>
      <c r="Y1116" s="227"/>
      <c r="Z1116" s="227" t="str">
        <f t="shared" si="45"/>
        <v>Mulyorejo RW 04 Sukun</v>
      </c>
      <c r="AA1116" s="276" t="e">
        <f>VLOOKUP(Logfile_S12[[#This Row],[DO number]],DO_DB!G:I,3,0)</f>
        <v>#N/A</v>
      </c>
      <c r="AB1116" s="331" t="e">
        <f>EXACT(Logfile_S12[[#This Row],[date pick]],Logfile_S12[[#This Row],[Date]])</f>
        <v>#N/A</v>
      </c>
      <c r="AC11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17" spans="1:29" ht="14.5" hidden="1">
      <c r="A1117" s="220" t="str">
        <f t="shared" si="44"/>
        <v>1113</v>
      </c>
      <c r="B1117" s="221"/>
      <c r="C1117" s="221" t="s">
        <v>48</v>
      </c>
      <c r="D1117" s="221" t="s">
        <v>3709</v>
      </c>
      <c r="E1117" s="221" t="s">
        <v>3295</v>
      </c>
      <c r="F1117" s="221" t="s">
        <v>3299</v>
      </c>
      <c r="G1117" s="222">
        <v>45188</v>
      </c>
      <c r="H1117" s="223">
        <v>15.291666666666666</v>
      </c>
      <c r="I1117" s="221" t="s">
        <v>37</v>
      </c>
      <c r="J1117" s="221" t="s">
        <v>3023</v>
      </c>
      <c r="K1117" s="224" t="s">
        <v>14</v>
      </c>
      <c r="L1117" s="225" t="str">
        <f>VLOOKUP(Logfile_S12[[#This Row],[Material Name]],Sheet2!B:C,2,0)</f>
        <v>ZTE2005</v>
      </c>
      <c r="M1117" s="225" t="str">
        <f>_xlfn.XLOOKUP(Logfile_S12[[#This Row],[Material Name]],Sum_WH!E:E,Sum_WH!F:F,"",0)</f>
        <v>Pcs</v>
      </c>
      <c r="N1117" s="221">
        <v>1</v>
      </c>
      <c r="O1117" s="221" t="s">
        <v>180</v>
      </c>
      <c r="P1117" s="221" t="s">
        <v>181</v>
      </c>
      <c r="Q1117" s="221" t="s">
        <v>182</v>
      </c>
      <c r="R1117" s="221" t="s">
        <v>183</v>
      </c>
      <c r="S1117" s="221"/>
      <c r="T1117" s="221"/>
      <c r="U1117" s="221"/>
      <c r="V1117" s="221"/>
      <c r="W1117" s="221"/>
      <c r="X1117" s="221"/>
      <c r="Y1117" s="227"/>
      <c r="Z1117" s="227" t="str">
        <f t="shared" si="45"/>
        <v>Mulyorejo RW 06 Sukun</v>
      </c>
      <c r="AA1117" s="276">
        <f>VLOOKUP(Logfile_S12[[#This Row],[DO number]],DO_DB!G:I,3,0)</f>
        <v>45188</v>
      </c>
      <c r="AB1117" s="331" t="b">
        <f>EXACT(Logfile_S12[[#This Row],[date pick]],Logfile_S12[[#This Row],[Date]])</f>
        <v>1</v>
      </c>
      <c r="AC11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18" spans="1:29" ht="14.5" hidden="1">
      <c r="A1118" s="220" t="str">
        <f t="shared" si="44"/>
        <v>1114</v>
      </c>
      <c r="B1118" s="221"/>
      <c r="C1118" s="221" t="s">
        <v>48</v>
      </c>
      <c r="D1118" s="221" t="s">
        <v>3709</v>
      </c>
      <c r="E1118" s="221" t="s">
        <v>3295</v>
      </c>
      <c r="F1118" s="221" t="s">
        <v>3299</v>
      </c>
      <c r="G1118" s="222">
        <v>45188</v>
      </c>
      <c r="H1118" s="223">
        <v>15.291666666666666</v>
      </c>
      <c r="I1118" s="221" t="s">
        <v>37</v>
      </c>
      <c r="J1118" s="221" t="s">
        <v>3023</v>
      </c>
      <c r="K1118" s="224" t="s">
        <v>14</v>
      </c>
      <c r="L1118" s="225" t="str">
        <f>VLOOKUP(Logfile_S12[[#This Row],[Material Name]],Sheet2!B:C,2,0)</f>
        <v>ZTE2005</v>
      </c>
      <c r="M1118" s="225" t="str">
        <f>_xlfn.XLOOKUP(Logfile_S12[[#This Row],[Material Name]],Sum_WH!E:E,Sum_WH!F:F,"",0)</f>
        <v>Pcs</v>
      </c>
      <c r="N1118" s="221">
        <v>1</v>
      </c>
      <c r="O1118" s="221" t="s">
        <v>164</v>
      </c>
      <c r="P1118" s="221" t="s">
        <v>3525</v>
      </c>
      <c r="Q1118" s="221" t="s">
        <v>176</v>
      </c>
      <c r="R1118" s="221" t="s">
        <v>177</v>
      </c>
      <c r="S1118" s="221"/>
      <c r="T1118" s="221"/>
      <c r="U1118" s="221"/>
      <c r="V1118" s="221"/>
      <c r="W1118" s="221"/>
      <c r="X1118" s="221"/>
      <c r="Y1118" s="227"/>
      <c r="Z1118" s="227" t="str">
        <f t="shared" si="45"/>
        <v>Pandanlandung RW   04   Wagir</v>
      </c>
      <c r="AA1118" s="276">
        <f>VLOOKUP(Logfile_S12[[#This Row],[DO number]],DO_DB!G:I,3,0)</f>
        <v>45188</v>
      </c>
      <c r="AB1118" s="331" t="b">
        <f>EXACT(Logfile_S12[[#This Row],[date pick]],Logfile_S12[[#This Row],[Date]])</f>
        <v>1</v>
      </c>
      <c r="AC11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19" spans="1:29" ht="14.5" hidden="1">
      <c r="A1119" s="220" t="str">
        <f t="shared" si="44"/>
        <v>1115</v>
      </c>
      <c r="B1119" s="221"/>
      <c r="C1119" s="221" t="s">
        <v>48</v>
      </c>
      <c r="D1119" s="221" t="s">
        <v>3710</v>
      </c>
      <c r="E1119" s="221" t="s">
        <v>3295</v>
      </c>
      <c r="F1119" s="221" t="s">
        <v>3299</v>
      </c>
      <c r="G1119" s="222">
        <v>45189</v>
      </c>
      <c r="H1119" s="223">
        <v>15.291666666666666</v>
      </c>
      <c r="I1119" s="221" t="s">
        <v>37</v>
      </c>
      <c r="J1119" s="221" t="s">
        <v>3023</v>
      </c>
      <c r="K1119" s="224" t="s">
        <v>14</v>
      </c>
      <c r="L1119" s="225" t="str">
        <f>VLOOKUP(Logfile_S12[[#This Row],[Material Name]],Sheet2!B:C,2,0)</f>
        <v>ZTE2005</v>
      </c>
      <c r="M1119" s="225" t="str">
        <f>_xlfn.XLOOKUP(Logfile_S12[[#This Row],[Material Name]],Sum_WH!E:E,Sum_WH!F:F,"",0)</f>
        <v>Pcs</v>
      </c>
      <c r="N1119" s="221">
        <v>1</v>
      </c>
      <c r="O1119" s="221" t="s">
        <v>222</v>
      </c>
      <c r="P1119" s="221" t="s">
        <v>223</v>
      </c>
      <c r="Q1119" s="221" t="s">
        <v>224</v>
      </c>
      <c r="R1119" s="221" t="s">
        <v>225</v>
      </c>
      <c r="S1119" s="221"/>
      <c r="T1119" s="221"/>
      <c r="U1119" s="221"/>
      <c r="V1119" s="221"/>
      <c r="W1119" s="221"/>
      <c r="X1119" s="221"/>
      <c r="Y1119" s="227"/>
      <c r="Z1119" s="227" t="str">
        <f t="shared" si="45"/>
        <v>Puncak Dieng Exlusif</v>
      </c>
      <c r="AA1119" s="276">
        <f>VLOOKUP(Logfile_S12[[#This Row],[DO number]],DO_DB!G:I,3,0)</f>
        <v>45189</v>
      </c>
      <c r="AB1119" s="331" t="b">
        <f>EXACT(Logfile_S12[[#This Row],[date pick]],Logfile_S12[[#This Row],[Date]])</f>
        <v>1</v>
      </c>
      <c r="AC11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20" spans="1:29" ht="14.5" hidden="1">
      <c r="A1120" s="220" t="str">
        <f t="shared" si="44"/>
        <v>1116</v>
      </c>
      <c r="B1120" s="221"/>
      <c r="C1120" s="221" t="s">
        <v>49</v>
      </c>
      <c r="D1120" s="221" t="s">
        <v>3722</v>
      </c>
      <c r="E1120" s="221" t="s">
        <v>3295</v>
      </c>
      <c r="F1120" s="221" t="s">
        <v>3299</v>
      </c>
      <c r="G1120" s="222">
        <v>45194</v>
      </c>
      <c r="H1120" s="223">
        <v>0.27083333333333331</v>
      </c>
      <c r="I1120" s="221" t="s">
        <v>4916</v>
      </c>
      <c r="J1120" s="221" t="s">
        <v>3023</v>
      </c>
      <c r="K1120" s="224" t="s">
        <v>14</v>
      </c>
      <c r="L1120" s="225" t="str">
        <f>VLOOKUP(Logfile_S12[[#This Row],[Material Name]],Sheet2!B:C,2,0)</f>
        <v>ZTE2005</v>
      </c>
      <c r="M1120" s="225" t="str">
        <f>_xlfn.XLOOKUP(Logfile_S12[[#This Row],[Material Name]],Sum_WH!E:E,Sum_WH!F:F,"",0)</f>
        <v>Pcs</v>
      </c>
      <c r="N1120" s="221">
        <v>1</v>
      </c>
      <c r="O1120" s="221" t="s">
        <v>180</v>
      </c>
      <c r="P1120" s="221" t="s">
        <v>181</v>
      </c>
      <c r="Q1120" s="221"/>
      <c r="R1120" s="221"/>
      <c r="S1120" s="221"/>
      <c r="T1120" s="221" t="s">
        <v>3322</v>
      </c>
      <c r="U1120" s="221" t="s">
        <v>3323</v>
      </c>
      <c r="V1120" s="221" t="s">
        <v>3324</v>
      </c>
      <c r="W1120" s="221" t="s">
        <v>3386</v>
      </c>
      <c r="X1120" s="221"/>
      <c r="Y1120" s="227"/>
      <c r="Z1120" s="227" t="str">
        <f t="shared" si="45"/>
        <v>Mulyorejo RW 06 Sukun</v>
      </c>
      <c r="AA1120" s="276" t="e">
        <f>VLOOKUP(Logfile_S12[[#This Row],[DO number]],DO_DB!G:I,3,0)</f>
        <v>#N/A</v>
      </c>
      <c r="AB1120" s="331" t="e">
        <f>EXACT(Logfile_S12[[#This Row],[date pick]],Logfile_S12[[#This Row],[Date]])</f>
        <v>#N/A</v>
      </c>
      <c r="AC11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21" spans="1:29" ht="14.5" hidden="1">
      <c r="A1121" s="220" t="str">
        <f t="shared" si="44"/>
        <v>1117</v>
      </c>
      <c r="B1121" s="221"/>
      <c r="C1121" s="221" t="s">
        <v>48</v>
      </c>
      <c r="D1121" s="221" t="s">
        <v>3727</v>
      </c>
      <c r="E1121" s="221" t="s">
        <v>3295</v>
      </c>
      <c r="F1121" s="221" t="s">
        <v>3299</v>
      </c>
      <c r="G1121" s="222">
        <v>45195</v>
      </c>
      <c r="H1121" s="223">
        <v>15.291666666666666</v>
      </c>
      <c r="I1121" s="221" t="s">
        <v>37</v>
      </c>
      <c r="J1121" s="221" t="s">
        <v>3023</v>
      </c>
      <c r="K1121" s="224" t="s">
        <v>14</v>
      </c>
      <c r="L1121" s="225" t="str">
        <f>VLOOKUP(Logfile_S12[[#This Row],[Material Name]],Sheet2!B:C,2,0)</f>
        <v>ZTE2005</v>
      </c>
      <c r="M1121" s="225" t="str">
        <f>_xlfn.XLOOKUP(Logfile_S12[[#This Row],[Material Name]],Sum_WH!E:E,Sum_WH!F:F,"",0)</f>
        <v>Pcs</v>
      </c>
      <c r="N1121" s="221">
        <v>1</v>
      </c>
      <c r="O1121" s="221" t="s">
        <v>222</v>
      </c>
      <c r="P1121" s="221" t="s">
        <v>223</v>
      </c>
      <c r="Q1121" s="221" t="s">
        <v>238</v>
      </c>
      <c r="R1121" s="221" t="s">
        <v>239</v>
      </c>
      <c r="S1121" s="221"/>
      <c r="T1121" s="221"/>
      <c r="U1121" s="221"/>
      <c r="V1121" s="221"/>
      <c r="W1121" s="221"/>
      <c r="X1121" s="221"/>
      <c r="Y1121" s="227"/>
      <c r="Z1121" s="227" t="str">
        <f t="shared" si="45"/>
        <v>Puncak Dieng Exlusif</v>
      </c>
      <c r="AA1121" s="276">
        <f>VLOOKUP(Logfile_S12[[#This Row],[DO number]],DO_DB!G:I,3,0)</f>
        <v>45195</v>
      </c>
      <c r="AB1121" s="331" t="b">
        <f>EXACT(Logfile_S12[[#This Row],[date pick]],Logfile_S12[[#This Row],[Date]])</f>
        <v>1</v>
      </c>
      <c r="AC11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22" spans="1:29" ht="14.5" hidden="1">
      <c r="A1122" s="220" t="str">
        <f t="shared" si="44"/>
        <v>1118</v>
      </c>
      <c r="B1122" s="221"/>
      <c r="C1122" s="221" t="s">
        <v>49</v>
      </c>
      <c r="D1122" s="221" t="s">
        <v>3729</v>
      </c>
      <c r="E1122" s="221" t="s">
        <v>3295</v>
      </c>
      <c r="F1122" s="221" t="s">
        <v>3299</v>
      </c>
      <c r="G1122" s="222">
        <v>45196</v>
      </c>
      <c r="H1122" s="223">
        <v>0.47222222222222227</v>
      </c>
      <c r="I1122" s="221" t="s">
        <v>4916</v>
      </c>
      <c r="J1122" s="221" t="s">
        <v>3023</v>
      </c>
      <c r="K1122" s="224" t="s">
        <v>14</v>
      </c>
      <c r="L1122" s="225" t="str">
        <f>VLOOKUP(Logfile_S12[[#This Row],[Material Name]],Sheet2!B:C,2,0)</f>
        <v>ZTE2005</v>
      </c>
      <c r="M1122" s="225" t="str">
        <f>_xlfn.XLOOKUP(Logfile_S12[[#This Row],[Material Name]],Sum_WH!E:E,Sum_WH!F:F,"",0)</f>
        <v>Pcs</v>
      </c>
      <c r="N1122" s="221">
        <v>2</v>
      </c>
      <c r="O1122" s="221" t="s">
        <v>222</v>
      </c>
      <c r="P1122" s="221" t="s">
        <v>223</v>
      </c>
      <c r="Q1122" s="221"/>
      <c r="R1122" s="221"/>
      <c r="S1122" s="221"/>
      <c r="T1122" s="221" t="s">
        <v>3322</v>
      </c>
      <c r="U1122" s="221" t="s">
        <v>3323</v>
      </c>
      <c r="V1122" s="221" t="s">
        <v>3324</v>
      </c>
      <c r="W1122" s="221" t="s">
        <v>3349</v>
      </c>
      <c r="X1122" s="221"/>
      <c r="Y1122" s="227"/>
      <c r="Z1122" s="227" t="str">
        <f t="shared" si="45"/>
        <v>Puncak Dieng Exlusif</v>
      </c>
      <c r="AA1122" s="276" t="e">
        <f>VLOOKUP(Logfile_S12[[#This Row],[DO number]],DO_DB!G:I,3,0)</f>
        <v>#N/A</v>
      </c>
      <c r="AB1122" s="331" t="e">
        <f>EXACT(Logfile_S12[[#This Row],[date pick]],Logfile_S12[[#This Row],[Date]])</f>
        <v>#N/A</v>
      </c>
      <c r="AC11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23" spans="1:29" ht="14.5" hidden="1">
      <c r="A1123" s="220" t="str">
        <f t="shared" si="44"/>
        <v>1119</v>
      </c>
      <c r="B1123" s="221"/>
      <c r="C1123" s="221" t="s">
        <v>49</v>
      </c>
      <c r="D1123" s="221" t="s">
        <v>3743</v>
      </c>
      <c r="E1123" s="221" t="s">
        <v>3295</v>
      </c>
      <c r="F1123" s="221" t="s">
        <v>3299</v>
      </c>
      <c r="G1123" s="222">
        <v>45208</v>
      </c>
      <c r="H1123" s="223">
        <v>0.60763888888888895</v>
      </c>
      <c r="I1123" s="221" t="s">
        <v>4916</v>
      </c>
      <c r="J1123" s="221" t="s">
        <v>3023</v>
      </c>
      <c r="K1123" s="224" t="s">
        <v>14</v>
      </c>
      <c r="L1123" s="225" t="str">
        <f>VLOOKUP(Logfile_S12[[#This Row],[Material Name]],Sheet2!B:C,2,0)</f>
        <v>ZTE2005</v>
      </c>
      <c r="M1123" s="225" t="str">
        <f>_xlfn.XLOOKUP(Logfile_S12[[#This Row],[Material Name]],Sum_WH!E:E,Sum_WH!F:F,"",0)</f>
        <v>Pcs</v>
      </c>
      <c r="N1123" s="221">
        <v>1</v>
      </c>
      <c r="O1123" s="221" t="s">
        <v>172</v>
      </c>
      <c r="P1123" s="221" t="s">
        <v>3319</v>
      </c>
      <c r="Q1123" s="221"/>
      <c r="R1123" s="221"/>
      <c r="S1123" s="221"/>
      <c r="T1123" s="221" t="s">
        <v>3332</v>
      </c>
      <c r="U1123" s="221">
        <v>0</v>
      </c>
      <c r="V1123" s="221" t="s">
        <v>3333</v>
      </c>
      <c r="W1123" s="221" t="s">
        <v>3445</v>
      </c>
      <c r="X1123" s="221"/>
      <c r="Y1123" s="227"/>
      <c r="Z1123" s="227" t="str">
        <f t="shared" si="45"/>
        <v>Pandan Landung RW 03 Wagir</v>
      </c>
      <c r="AA1123" s="276" t="e">
        <f>VLOOKUP(Logfile_S12[[#This Row],[DO number]],DO_DB!G:I,3,0)</f>
        <v>#N/A</v>
      </c>
      <c r="AB1123" s="331" t="e">
        <f>EXACT(Logfile_S12[[#This Row],[date pick]],Logfile_S12[[#This Row],[Date]])</f>
        <v>#N/A</v>
      </c>
      <c r="AC11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24" spans="1:29" ht="14.5" hidden="1">
      <c r="A1124" s="220" t="str">
        <f t="shared" si="44"/>
        <v>1120</v>
      </c>
      <c r="B1124" s="221"/>
      <c r="C1124" s="221" t="s">
        <v>3313</v>
      </c>
      <c r="D1124" s="221" t="s">
        <v>3748</v>
      </c>
      <c r="E1124" s="221" t="s">
        <v>3295</v>
      </c>
      <c r="F1124" s="221" t="s">
        <v>3299</v>
      </c>
      <c r="G1124" s="222">
        <v>45210</v>
      </c>
      <c r="H1124" s="223">
        <v>15.291666666666666</v>
      </c>
      <c r="I1124" s="221" t="s">
        <v>4918</v>
      </c>
      <c r="J1124" s="221" t="s">
        <v>3023</v>
      </c>
      <c r="K1124" s="224" t="s">
        <v>14</v>
      </c>
      <c r="L1124" s="225" t="str">
        <f>VLOOKUP(Logfile_S12[[#This Row],[Material Name]],Sheet2!B:C,2,0)</f>
        <v>ZTE2005</v>
      </c>
      <c r="M1124" s="225" t="str">
        <f>_xlfn.XLOOKUP(Logfile_S12[[#This Row],[Material Name]],Sum_WH!E:E,Sum_WH!F:F,"",0)</f>
        <v>Pcs</v>
      </c>
      <c r="N1124" s="221">
        <v>1</v>
      </c>
      <c r="O1124" s="221" t="s">
        <v>3314</v>
      </c>
      <c r="P1124" s="221" t="s">
        <v>3384</v>
      </c>
      <c r="Q1124" s="221">
        <v>0</v>
      </c>
      <c r="R1124" s="221" t="s">
        <v>3147</v>
      </c>
      <c r="S1124" s="221"/>
      <c r="T1124" s="221"/>
      <c r="U1124" s="221"/>
      <c r="V1124" s="221"/>
      <c r="W1124" s="221"/>
      <c r="X1124" s="221" t="s">
        <v>3548</v>
      </c>
      <c r="Y1124" s="227"/>
      <c r="Z1124" s="227" t="str">
        <f t="shared" si="45"/>
        <v>GRESIK</v>
      </c>
      <c r="AA1124" s="276" t="e">
        <f>VLOOKUP(Logfile_S12[[#This Row],[DO number]],DO_DB!G:I,3,0)</f>
        <v>#N/A</v>
      </c>
      <c r="AB1124" s="331" t="e">
        <f>EXACT(Logfile_S12[[#This Row],[date pick]],Logfile_S12[[#This Row],[Date]])</f>
        <v>#N/A</v>
      </c>
      <c r="AC11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25" spans="1:29" ht="14.5" hidden="1">
      <c r="A1125" s="220" t="str">
        <f t="shared" si="44"/>
        <v>1121</v>
      </c>
      <c r="B1125" s="221"/>
      <c r="C1125" s="221" t="s">
        <v>49</v>
      </c>
      <c r="D1125" s="221" t="s">
        <v>3752</v>
      </c>
      <c r="E1125" s="221" t="s">
        <v>3295</v>
      </c>
      <c r="F1125" s="221" t="s">
        <v>3299</v>
      </c>
      <c r="G1125" s="222">
        <v>45211</v>
      </c>
      <c r="H1125" s="223">
        <v>0.85486111111111107</v>
      </c>
      <c r="I1125" s="221" t="s">
        <v>4916</v>
      </c>
      <c r="J1125" s="221" t="s">
        <v>3023</v>
      </c>
      <c r="K1125" s="224" t="s">
        <v>14</v>
      </c>
      <c r="L1125" s="225" t="str">
        <f>VLOOKUP(Logfile_S12[[#This Row],[Material Name]],Sheet2!B:C,2,0)</f>
        <v>ZTE2005</v>
      </c>
      <c r="M1125" s="225" t="str">
        <f>_xlfn.XLOOKUP(Logfile_S12[[#This Row],[Material Name]],Sum_WH!E:E,Sum_WH!F:F,"",0)</f>
        <v>Pcs</v>
      </c>
      <c r="N1125" s="221">
        <v>1</v>
      </c>
      <c r="O1125" s="221" t="s">
        <v>164</v>
      </c>
      <c r="P1125" s="221" t="s">
        <v>3320</v>
      </c>
      <c r="Q1125" s="221"/>
      <c r="R1125" s="221"/>
      <c r="S1125" s="221"/>
      <c r="T1125" s="221" t="s">
        <v>3326</v>
      </c>
      <c r="U1125" s="221">
        <v>0</v>
      </c>
      <c r="V1125" s="221" t="s">
        <v>3327</v>
      </c>
      <c r="W1125" s="221" t="s">
        <v>3328</v>
      </c>
      <c r="X1125" s="221"/>
      <c r="Y1125" s="227"/>
      <c r="Z1125" s="227" t="str">
        <f t="shared" si="45"/>
        <v>Pandan Landung RW 04 Wagir</v>
      </c>
      <c r="AA1125" s="276" t="e">
        <f>VLOOKUP(Logfile_S12[[#This Row],[DO number]],DO_DB!G:I,3,0)</f>
        <v>#N/A</v>
      </c>
      <c r="AB1125" s="331" t="e">
        <f>EXACT(Logfile_S12[[#This Row],[date pick]],Logfile_S12[[#This Row],[Date]])</f>
        <v>#N/A</v>
      </c>
      <c r="AC11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26" spans="1:29" ht="14.5" hidden="1">
      <c r="A1126" s="220" t="str">
        <f t="shared" si="44"/>
        <v>1122</v>
      </c>
      <c r="B1126" s="221"/>
      <c r="C1126" s="221" t="s">
        <v>48</v>
      </c>
      <c r="D1126" s="221" t="s">
        <v>3754</v>
      </c>
      <c r="E1126" s="221" t="s">
        <v>3295</v>
      </c>
      <c r="F1126" s="221" t="s">
        <v>3299</v>
      </c>
      <c r="G1126" s="222">
        <v>45213</v>
      </c>
      <c r="H1126" s="223">
        <v>15.291666666666666</v>
      </c>
      <c r="I1126" s="221" t="s">
        <v>37</v>
      </c>
      <c r="J1126" s="221" t="s">
        <v>3023</v>
      </c>
      <c r="K1126" s="224" t="s">
        <v>14</v>
      </c>
      <c r="L1126" s="225" t="str">
        <f>VLOOKUP(Logfile_S12[[#This Row],[Material Name]],Sheet2!B:C,2,0)</f>
        <v>ZTE2005</v>
      </c>
      <c r="M1126" s="225" t="str">
        <f>_xlfn.XLOOKUP(Logfile_S12[[#This Row],[Material Name]],Sum_WH!E:E,Sum_WH!F:F,"",0)</f>
        <v>Pcs</v>
      </c>
      <c r="N1126" s="221">
        <v>1</v>
      </c>
      <c r="O1126" s="221" t="s">
        <v>328</v>
      </c>
      <c r="P1126" s="221" t="s">
        <v>329</v>
      </c>
      <c r="Q1126" s="221" t="s">
        <v>330</v>
      </c>
      <c r="R1126" s="221" t="s">
        <v>331</v>
      </c>
      <c r="S1126" s="221"/>
      <c r="T1126" s="221"/>
      <c r="U1126" s="221"/>
      <c r="V1126" s="221"/>
      <c r="W1126" s="221"/>
      <c r="X1126" s="221"/>
      <c r="Y1126" s="227"/>
      <c r="Z1126" s="227" t="str">
        <f t="shared" si="45"/>
        <v>Sukodadi RW 01 Wagir</v>
      </c>
      <c r="AA1126" s="276">
        <f>VLOOKUP(Logfile_S12[[#This Row],[DO number]],DO_DB!G:I,3,0)</f>
        <v>45213</v>
      </c>
      <c r="AB1126" s="331" t="b">
        <f>EXACT(Logfile_S12[[#This Row],[date pick]],Logfile_S12[[#This Row],[Date]])</f>
        <v>1</v>
      </c>
      <c r="AC11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27" spans="1:29" ht="14.5" hidden="1">
      <c r="A1127" s="220" t="str">
        <f t="shared" si="44"/>
        <v>1123</v>
      </c>
      <c r="B1127" s="221"/>
      <c r="C1127" s="221" t="s">
        <v>48</v>
      </c>
      <c r="D1127" s="221" t="s">
        <v>3754</v>
      </c>
      <c r="E1127" s="221" t="s">
        <v>3295</v>
      </c>
      <c r="F1127" s="221" t="s">
        <v>3299</v>
      </c>
      <c r="G1127" s="222">
        <v>45213</v>
      </c>
      <c r="H1127" s="223">
        <v>15.291666666666666</v>
      </c>
      <c r="I1127" s="221" t="s">
        <v>37</v>
      </c>
      <c r="J1127" s="221" t="s">
        <v>3023</v>
      </c>
      <c r="K1127" s="224" t="s">
        <v>14</v>
      </c>
      <c r="L1127" s="225" t="str">
        <f>VLOOKUP(Logfile_S12[[#This Row],[Material Name]],Sheet2!B:C,2,0)</f>
        <v>ZTE2005</v>
      </c>
      <c r="M1127" s="225" t="str">
        <f>_xlfn.XLOOKUP(Logfile_S12[[#This Row],[Material Name]],Sum_WH!E:E,Sum_WH!F:F,"",0)</f>
        <v>Pcs</v>
      </c>
      <c r="N1127" s="221">
        <v>1</v>
      </c>
      <c r="O1127" s="221" t="s">
        <v>3550</v>
      </c>
      <c r="P1127" s="221" t="s">
        <v>333</v>
      </c>
      <c r="Q1127" s="221" t="s">
        <v>334</v>
      </c>
      <c r="R1127" s="221" t="s">
        <v>335</v>
      </c>
      <c r="S1127" s="221"/>
      <c r="T1127" s="221"/>
      <c r="U1127" s="221"/>
      <c r="V1127" s="221"/>
      <c r="W1127" s="221"/>
      <c r="X1127" s="221"/>
      <c r="Y1127" s="227"/>
      <c r="Z1127" s="227" t="str">
        <f t="shared" si="45"/>
        <v>Sukodadi RW 02 Wagir</v>
      </c>
      <c r="AA1127" s="276">
        <f>VLOOKUP(Logfile_S12[[#This Row],[DO number]],DO_DB!G:I,3,0)</f>
        <v>45213</v>
      </c>
      <c r="AB1127" s="331" t="b">
        <f>EXACT(Logfile_S12[[#This Row],[date pick]],Logfile_S12[[#This Row],[Date]])</f>
        <v>1</v>
      </c>
      <c r="AC11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28" spans="1:29" ht="14.5" hidden="1">
      <c r="A1128" s="220" t="str">
        <f t="shared" si="44"/>
        <v>1124</v>
      </c>
      <c r="B1128" s="221"/>
      <c r="C1128" s="221" t="s">
        <v>48</v>
      </c>
      <c r="D1128" s="221" t="s">
        <v>3754</v>
      </c>
      <c r="E1128" s="221" t="s">
        <v>3295</v>
      </c>
      <c r="F1128" s="221" t="s">
        <v>3299</v>
      </c>
      <c r="G1128" s="222">
        <v>45213</v>
      </c>
      <c r="H1128" s="223">
        <v>15.291666666666666</v>
      </c>
      <c r="I1128" s="221" t="s">
        <v>37</v>
      </c>
      <c r="J1128" s="221" t="s">
        <v>3023</v>
      </c>
      <c r="K1128" s="224" t="s">
        <v>14</v>
      </c>
      <c r="L1128" s="225" t="str">
        <f>VLOOKUP(Logfile_S12[[#This Row],[Material Name]],Sheet2!B:C,2,0)</f>
        <v>ZTE2005</v>
      </c>
      <c r="M1128" s="225" t="str">
        <f>_xlfn.XLOOKUP(Logfile_S12[[#This Row],[Material Name]],Sum_WH!E:E,Sum_WH!F:F,"",0)</f>
        <v>Pcs</v>
      </c>
      <c r="N1128" s="221">
        <v>1</v>
      </c>
      <c r="O1128" s="221" t="s">
        <v>340</v>
      </c>
      <c r="P1128" s="221" t="s">
        <v>341</v>
      </c>
      <c r="Q1128" s="221" t="s">
        <v>342</v>
      </c>
      <c r="R1128" s="221" t="s">
        <v>343</v>
      </c>
      <c r="S1128" s="221"/>
      <c r="T1128" s="221"/>
      <c r="U1128" s="221"/>
      <c r="V1128" s="221"/>
      <c r="W1128" s="221"/>
      <c r="X1128" s="221"/>
      <c r="Y1128" s="227"/>
      <c r="Z1128" s="227" t="str">
        <f t="shared" si="45"/>
        <v>Jedong RW 08 Wagir</v>
      </c>
      <c r="AA1128" s="276">
        <f>VLOOKUP(Logfile_S12[[#This Row],[DO number]],DO_DB!G:I,3,0)</f>
        <v>45213</v>
      </c>
      <c r="AB1128" s="331" t="b">
        <f>EXACT(Logfile_S12[[#This Row],[date pick]],Logfile_S12[[#This Row],[Date]])</f>
        <v>1</v>
      </c>
      <c r="AC11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29" spans="1:29" ht="14.5" hidden="1">
      <c r="A1129" s="220" t="str">
        <f t="shared" si="44"/>
        <v>1125</v>
      </c>
      <c r="B1129" s="221"/>
      <c r="C1129" s="221" t="s">
        <v>49</v>
      </c>
      <c r="D1129" s="221" t="s">
        <v>3778</v>
      </c>
      <c r="E1129" s="221" t="s">
        <v>3295</v>
      </c>
      <c r="F1129" s="221" t="s">
        <v>3299</v>
      </c>
      <c r="G1129" s="222">
        <v>45220</v>
      </c>
      <c r="H1129" s="223">
        <v>0.97499999999999998</v>
      </c>
      <c r="I1129" s="221" t="s">
        <v>4916</v>
      </c>
      <c r="J1129" s="221" t="s">
        <v>3023</v>
      </c>
      <c r="K1129" s="224" t="s">
        <v>14</v>
      </c>
      <c r="L1129" s="225" t="str">
        <f>VLOOKUP(Logfile_S12[[#This Row],[Material Name]],Sheet2!B:C,2,0)</f>
        <v>ZTE2005</v>
      </c>
      <c r="M1129" s="225" t="str">
        <f>_xlfn.XLOOKUP(Logfile_S12[[#This Row],[Material Name]],Sum_WH!E:E,Sum_WH!F:F,"",0)</f>
        <v>Pcs</v>
      </c>
      <c r="N1129" s="221">
        <v>0</v>
      </c>
      <c r="O1129" s="221">
        <v>0</v>
      </c>
      <c r="P1129" s="221">
        <v>0</v>
      </c>
      <c r="Q1129" s="221"/>
      <c r="R1129" s="221"/>
      <c r="S1129" s="221"/>
      <c r="T1129" s="221" t="s">
        <v>3332</v>
      </c>
      <c r="U1129" s="221">
        <v>0</v>
      </c>
      <c r="V1129" s="221" t="s">
        <v>3333</v>
      </c>
      <c r="W1129" s="221" t="s">
        <v>3334</v>
      </c>
      <c r="X1129" s="221"/>
      <c r="Y1129" s="227"/>
      <c r="Z1129" s="227">
        <f t="shared" si="45"/>
        <v>0</v>
      </c>
      <c r="AA1129" s="276" t="e">
        <f>VLOOKUP(Logfile_S12[[#This Row],[DO number]],DO_DB!G:I,3,0)</f>
        <v>#N/A</v>
      </c>
      <c r="AB1129" s="331" t="e">
        <f>EXACT(Logfile_S12[[#This Row],[date pick]],Logfile_S12[[#This Row],[Date]])</f>
        <v>#N/A</v>
      </c>
      <c r="AC11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30" spans="1:29" ht="14.5" hidden="1">
      <c r="A1130" s="220" t="str">
        <f t="shared" si="44"/>
        <v>1126</v>
      </c>
      <c r="B1130" s="221"/>
      <c r="C1130" s="221" t="s">
        <v>49</v>
      </c>
      <c r="D1130" s="221" t="s">
        <v>3794</v>
      </c>
      <c r="E1130" s="221" t="s">
        <v>3295</v>
      </c>
      <c r="F1130" s="221" t="s">
        <v>3299</v>
      </c>
      <c r="G1130" s="222">
        <v>45223</v>
      </c>
      <c r="H1130" s="223">
        <v>0.47222222222222227</v>
      </c>
      <c r="I1130" s="221" t="s">
        <v>4916</v>
      </c>
      <c r="J1130" s="221" t="s">
        <v>3023</v>
      </c>
      <c r="K1130" s="224" t="s">
        <v>14</v>
      </c>
      <c r="L1130" s="225" t="str">
        <f>VLOOKUP(Logfile_S12[[#This Row],[Material Name]],Sheet2!B:C,2,0)</f>
        <v>ZTE2005</v>
      </c>
      <c r="M1130" s="225" t="str">
        <f>_xlfn.XLOOKUP(Logfile_S12[[#This Row],[Material Name]],Sum_WH!E:E,Sum_WH!F:F,"",0)</f>
        <v>Pcs</v>
      </c>
      <c r="N1130" s="221">
        <v>1</v>
      </c>
      <c r="O1130" s="221" t="s">
        <v>340</v>
      </c>
      <c r="P1130" s="221" t="s">
        <v>341</v>
      </c>
      <c r="Q1130" s="221"/>
      <c r="R1130" s="221"/>
      <c r="S1130" s="221"/>
      <c r="T1130" s="221" t="s">
        <v>3322</v>
      </c>
      <c r="U1130" s="221" t="s">
        <v>3323</v>
      </c>
      <c r="V1130" s="221" t="s">
        <v>3324</v>
      </c>
      <c r="W1130" s="221" t="s">
        <v>3349</v>
      </c>
      <c r="X1130" s="221"/>
      <c r="Y1130" s="227"/>
      <c r="Z1130" s="227" t="str">
        <f t="shared" si="45"/>
        <v>Jedong RW 08 Wagir</v>
      </c>
      <c r="AA1130" s="276" t="e">
        <f>VLOOKUP(Logfile_S12[[#This Row],[DO number]],DO_DB!G:I,3,0)</f>
        <v>#N/A</v>
      </c>
      <c r="AB1130" s="331" t="e">
        <f>EXACT(Logfile_S12[[#This Row],[date pick]],Logfile_S12[[#This Row],[Date]])</f>
        <v>#N/A</v>
      </c>
      <c r="AC11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31" spans="1:29" ht="14.5" hidden="1">
      <c r="A1131" s="220" t="str">
        <f t="shared" si="44"/>
        <v>1127</v>
      </c>
      <c r="B1131" s="221"/>
      <c r="C1131" s="221" t="s">
        <v>49</v>
      </c>
      <c r="D1131" s="221" t="s">
        <v>3801</v>
      </c>
      <c r="E1131" s="221" t="s">
        <v>3295</v>
      </c>
      <c r="F1131" s="221" t="s">
        <v>3299</v>
      </c>
      <c r="G1131" s="222">
        <v>45228</v>
      </c>
      <c r="H1131" s="223">
        <v>0.9375</v>
      </c>
      <c r="I1131" s="221" t="s">
        <v>4916</v>
      </c>
      <c r="J1131" s="221" t="s">
        <v>3023</v>
      </c>
      <c r="K1131" s="224" t="s">
        <v>14</v>
      </c>
      <c r="L1131" s="225" t="str">
        <f>VLOOKUP(Logfile_S12[[#This Row],[Material Name]],Sheet2!B:C,2,0)</f>
        <v>ZTE2005</v>
      </c>
      <c r="M1131" s="225" t="str">
        <f>_xlfn.XLOOKUP(Logfile_S12[[#This Row],[Material Name]],Sum_WH!E:E,Sum_WH!F:F,"",0)</f>
        <v>Pcs</v>
      </c>
      <c r="N1131" s="221">
        <v>1</v>
      </c>
      <c r="O1131" s="221" t="s">
        <v>328</v>
      </c>
      <c r="P1131" s="221" t="s">
        <v>329</v>
      </c>
      <c r="Q1131" s="221"/>
      <c r="R1131" s="221"/>
      <c r="S1131" s="221"/>
      <c r="T1131" s="221" t="s">
        <v>3332</v>
      </c>
      <c r="U1131" s="221">
        <v>0</v>
      </c>
      <c r="V1131" s="221" t="s">
        <v>3333</v>
      </c>
      <c r="W1131" s="221" t="s">
        <v>3334</v>
      </c>
      <c r="X1131" s="221"/>
      <c r="Y1131" s="227"/>
      <c r="Z1131" s="227" t="str">
        <f t="shared" si="45"/>
        <v>Sukodadi RW 01 Wagir</v>
      </c>
      <c r="AA1131" s="276" t="e">
        <f>VLOOKUP(Logfile_S12[[#This Row],[DO number]],DO_DB!G:I,3,0)</f>
        <v>#N/A</v>
      </c>
      <c r="AB1131" s="331" t="e">
        <f>EXACT(Logfile_S12[[#This Row],[date pick]],Logfile_S12[[#This Row],[Date]])</f>
        <v>#N/A</v>
      </c>
      <c r="AC11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32" spans="1:29" ht="14.5" hidden="1">
      <c r="A1132" s="220" t="str">
        <f t="shared" si="44"/>
        <v>1128</v>
      </c>
      <c r="B1132" s="221"/>
      <c r="C1132" s="221" t="s">
        <v>48</v>
      </c>
      <c r="D1132" s="221" t="s">
        <v>3806</v>
      </c>
      <c r="E1132" s="221" t="s">
        <v>3295</v>
      </c>
      <c r="F1132" s="221" t="s">
        <v>3299</v>
      </c>
      <c r="G1132" s="222">
        <v>45245</v>
      </c>
      <c r="H1132" s="223">
        <v>15.291666666666666</v>
      </c>
      <c r="I1132" s="221" t="s">
        <v>37</v>
      </c>
      <c r="J1132" s="221" t="s">
        <v>3023</v>
      </c>
      <c r="K1132" s="224" t="s">
        <v>14</v>
      </c>
      <c r="L1132" s="225" t="str">
        <f>VLOOKUP(Logfile_S12[[#This Row],[Material Name]],Sheet2!B:C,2,0)</f>
        <v>ZTE2005</v>
      </c>
      <c r="M1132" s="225" t="str">
        <f>_xlfn.XLOOKUP(Logfile_S12[[#This Row],[Material Name]],Sum_WH!E:E,Sum_WH!F:F,"",0)</f>
        <v>Pcs</v>
      </c>
      <c r="N1132" s="221">
        <v>1</v>
      </c>
      <c r="O1132" s="221" t="s">
        <v>468</v>
      </c>
      <c r="P1132" s="221" t="s">
        <v>469</v>
      </c>
      <c r="Q1132" s="221" t="s">
        <v>540</v>
      </c>
      <c r="R1132" s="221" t="s">
        <v>541</v>
      </c>
      <c r="S1132" s="221"/>
      <c r="T1132" s="221"/>
      <c r="U1132" s="221"/>
      <c r="V1132" s="221"/>
      <c r="W1132" s="221"/>
      <c r="X1132" s="221"/>
      <c r="Y1132" s="227"/>
      <c r="Z1132" s="227" t="str">
        <f t="shared" si="45"/>
        <v>Jedong RW 07 Wagir</v>
      </c>
      <c r="AA1132" s="276">
        <f>VLOOKUP(Logfile_S12[[#This Row],[DO number]],DO_DB!G:I,3,0)</f>
        <v>45245</v>
      </c>
      <c r="AB1132" s="331" t="b">
        <f>EXACT(Logfile_S12[[#This Row],[date pick]],Logfile_S12[[#This Row],[Date]])</f>
        <v>1</v>
      </c>
      <c r="AC11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33" spans="1:29" ht="14.5" hidden="1">
      <c r="A1133" s="220" t="str">
        <f t="shared" si="44"/>
        <v>1129</v>
      </c>
      <c r="B1133" s="221"/>
      <c r="C1133" s="221" t="s">
        <v>49</v>
      </c>
      <c r="D1133" s="221" t="s">
        <v>3824</v>
      </c>
      <c r="E1133" s="221" t="s">
        <v>3295</v>
      </c>
      <c r="F1133" s="221" t="s">
        <v>3299</v>
      </c>
      <c r="G1133" s="222">
        <v>45258</v>
      </c>
      <c r="H1133" s="223">
        <v>0.65069444444444446</v>
      </c>
      <c r="I1133" s="221" t="s">
        <v>4916</v>
      </c>
      <c r="J1133" s="221" t="s">
        <v>3023</v>
      </c>
      <c r="K1133" s="224" t="s">
        <v>14</v>
      </c>
      <c r="L1133" s="225" t="str">
        <f>VLOOKUP(Logfile_S12[[#This Row],[Material Name]],Sheet2!B:C,2,0)</f>
        <v>ZTE2005</v>
      </c>
      <c r="M1133" s="225" t="str">
        <f>_xlfn.XLOOKUP(Logfile_S12[[#This Row],[Material Name]],Sum_WH!E:E,Sum_WH!F:F,"",0)</f>
        <v>Pcs</v>
      </c>
      <c r="N1133" s="221">
        <v>1</v>
      </c>
      <c r="O1133" s="221" t="s">
        <v>468</v>
      </c>
      <c r="P1133" s="221" t="s">
        <v>469</v>
      </c>
      <c r="Q1133" s="221"/>
      <c r="R1133" s="221"/>
      <c r="S1133" s="221"/>
      <c r="T1133" s="221" t="s">
        <v>3346</v>
      </c>
      <c r="U1133" s="221">
        <v>0</v>
      </c>
      <c r="V1133" s="221" t="s">
        <v>3347</v>
      </c>
      <c r="W1133" s="221" t="s">
        <v>3334</v>
      </c>
      <c r="X1133" s="221"/>
      <c r="Y1133" s="227"/>
      <c r="Z1133" s="227" t="str">
        <f t="shared" si="45"/>
        <v>Jedong RW 07 Wagir</v>
      </c>
      <c r="AA1133" s="276" t="e">
        <f>VLOOKUP(Logfile_S12[[#This Row],[DO number]],DO_DB!G:I,3,0)</f>
        <v>#N/A</v>
      </c>
      <c r="AB1133" s="331" t="e">
        <f>EXACT(Logfile_S12[[#This Row],[date pick]],Logfile_S12[[#This Row],[Date]])</f>
        <v>#N/A</v>
      </c>
      <c r="AC11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34" spans="1:29" ht="14.5" hidden="1">
      <c r="A1134" s="220" t="str">
        <f t="shared" si="44"/>
        <v>1130</v>
      </c>
      <c r="B1134" s="221"/>
      <c r="C1134" s="221" t="s">
        <v>3313</v>
      </c>
      <c r="D1134" s="221" t="s">
        <v>3843</v>
      </c>
      <c r="E1134" s="221" t="s">
        <v>3295</v>
      </c>
      <c r="F1134" s="221" t="s">
        <v>3299</v>
      </c>
      <c r="G1134" s="222">
        <v>45285</v>
      </c>
      <c r="H1134" s="223">
        <v>15.291666666666666</v>
      </c>
      <c r="I1134" s="221" t="s">
        <v>4919</v>
      </c>
      <c r="J1134" s="221" t="s">
        <v>3023</v>
      </c>
      <c r="K1134" s="224" t="s">
        <v>14</v>
      </c>
      <c r="L1134" s="225" t="str">
        <f>VLOOKUP(Logfile_S12[[#This Row],[Material Name]],Sheet2!B:C,2,0)</f>
        <v>ZTE2005</v>
      </c>
      <c r="M1134" s="225" t="str">
        <f>_xlfn.XLOOKUP(Logfile_S12[[#This Row],[Material Name]],Sum_WH!E:E,Sum_WH!F:F,"",0)</f>
        <v>Pcs</v>
      </c>
      <c r="N1134" s="221">
        <v>1</v>
      </c>
      <c r="O1134" s="221" t="s">
        <v>3314</v>
      </c>
      <c r="P1134" s="221" t="s">
        <v>3369</v>
      </c>
      <c r="Q1134" s="221">
        <v>0</v>
      </c>
      <c r="R1134" s="221" t="s">
        <v>3147</v>
      </c>
      <c r="S1134" s="221"/>
      <c r="T1134" s="221"/>
      <c r="U1134" s="221"/>
      <c r="V1134" s="221"/>
      <c r="W1134" s="221"/>
      <c r="X1134" s="221" t="s">
        <v>3354</v>
      </c>
      <c r="Y1134" s="227"/>
      <c r="Z1134" s="227" t="str">
        <f t="shared" si="45"/>
        <v>JOMBANG</v>
      </c>
      <c r="AA1134" s="276" t="e">
        <f>VLOOKUP(Logfile_S12[[#This Row],[DO number]],DO_DB!G:I,3,0)</f>
        <v>#N/A</v>
      </c>
      <c r="AB1134" s="331" t="e">
        <f>EXACT(Logfile_S12[[#This Row],[date pick]],Logfile_S12[[#This Row],[Date]])</f>
        <v>#N/A</v>
      </c>
      <c r="AC11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35" spans="1:29" ht="14.5" hidden="1">
      <c r="A1135" s="220" t="str">
        <f t="shared" si="44"/>
        <v>1131</v>
      </c>
      <c r="B1135" s="221"/>
      <c r="C1135" s="221" t="s">
        <v>49</v>
      </c>
      <c r="D1135" s="221" t="s">
        <v>3846</v>
      </c>
      <c r="E1135" s="221" t="s">
        <v>3295</v>
      </c>
      <c r="F1135" s="221" t="s">
        <v>3299</v>
      </c>
      <c r="G1135" s="222">
        <v>45286</v>
      </c>
      <c r="H1135" s="223">
        <v>0.3923611111111111</v>
      </c>
      <c r="I1135" s="221" t="s">
        <v>4916</v>
      </c>
      <c r="J1135" s="221" t="s">
        <v>3023</v>
      </c>
      <c r="K1135" s="224" t="s">
        <v>14</v>
      </c>
      <c r="L1135" s="225" t="str">
        <f>VLOOKUP(Logfile_S12[[#This Row],[Material Name]],Sheet2!B:C,2,0)</f>
        <v>ZTE2005</v>
      </c>
      <c r="M1135" s="225" t="str">
        <f>_xlfn.XLOOKUP(Logfile_S12[[#This Row],[Material Name]],Sum_WH!E:E,Sum_WH!F:F,"",0)</f>
        <v>Pcs</v>
      </c>
      <c r="N1135" s="221">
        <v>1</v>
      </c>
      <c r="O1135" s="221" t="s">
        <v>732</v>
      </c>
      <c r="P1135" s="221" t="s">
        <v>733</v>
      </c>
      <c r="Q1135" s="221"/>
      <c r="R1135" s="221"/>
      <c r="S1135" s="221"/>
      <c r="T1135" s="221" t="s">
        <v>3231</v>
      </c>
      <c r="U1135" s="221" t="s">
        <v>3228</v>
      </c>
      <c r="V1135" s="221" t="s">
        <v>3232</v>
      </c>
      <c r="W1135" s="221" t="s">
        <v>3355</v>
      </c>
      <c r="X1135" s="221"/>
      <c r="Y1135" s="227"/>
      <c r="Z1135" s="227" t="str">
        <f t="shared" si="45"/>
        <v>Sitirejo RW 01 Wagir</v>
      </c>
      <c r="AA1135" s="276" t="e">
        <f>VLOOKUP(Logfile_S12[[#This Row],[DO number]],DO_DB!G:I,3,0)</f>
        <v>#N/A</v>
      </c>
      <c r="AB1135" s="331" t="e">
        <f>EXACT(Logfile_S12[[#This Row],[date pick]],Logfile_S12[[#This Row],[Date]])</f>
        <v>#N/A</v>
      </c>
      <c r="AC11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36" spans="1:29" ht="14.5" hidden="1">
      <c r="A1136" s="220" t="str">
        <f t="shared" si="44"/>
        <v>1132</v>
      </c>
      <c r="B1136" s="221"/>
      <c r="C1136" s="221" t="s">
        <v>48</v>
      </c>
      <c r="D1136" s="221" t="s">
        <v>3851</v>
      </c>
      <c r="E1136" s="221" t="s">
        <v>3295</v>
      </c>
      <c r="F1136" s="221" t="s">
        <v>3299</v>
      </c>
      <c r="G1136" s="222">
        <v>45287</v>
      </c>
      <c r="H1136" s="223">
        <v>15.291666666666666</v>
      </c>
      <c r="I1136" s="221" t="s">
        <v>37</v>
      </c>
      <c r="J1136" s="221" t="s">
        <v>3023</v>
      </c>
      <c r="K1136" s="224" t="s">
        <v>14</v>
      </c>
      <c r="L1136" s="225" t="str">
        <f>VLOOKUP(Logfile_S12[[#This Row],[Material Name]],Sheet2!B:C,2,0)</f>
        <v>ZTE2005</v>
      </c>
      <c r="M1136" s="225" t="str">
        <f>_xlfn.XLOOKUP(Logfile_S12[[#This Row],[Material Name]],Sum_WH!E:E,Sum_WH!F:F,"",0)</f>
        <v>Pcs</v>
      </c>
      <c r="N1136" s="221">
        <v>3</v>
      </c>
      <c r="O1136" s="221" t="s">
        <v>738</v>
      </c>
      <c r="P1136" s="221" t="s">
        <v>3392</v>
      </c>
      <c r="Q1136" s="221" t="s">
        <v>740</v>
      </c>
      <c r="R1136" s="221" t="s">
        <v>741</v>
      </c>
      <c r="S1136" s="221"/>
      <c r="T1136" s="221"/>
      <c r="U1136" s="221"/>
      <c r="V1136" s="221"/>
      <c r="W1136" s="221"/>
      <c r="X1136" s="221" t="s">
        <v>3217</v>
      </c>
      <c r="Y1136" s="227"/>
      <c r="Z1136" s="227" t="str">
        <f t="shared" si="45"/>
        <v xml:space="preserve">Baturetno RW 02 Singosari </v>
      </c>
      <c r="AA1136" s="276">
        <f>VLOOKUP(Logfile_S12[[#This Row],[DO number]],DO_DB!G:I,3,0)</f>
        <v>45287</v>
      </c>
      <c r="AB1136" s="331" t="b">
        <f>EXACT(Logfile_S12[[#This Row],[date pick]],Logfile_S12[[#This Row],[Date]])</f>
        <v>1</v>
      </c>
      <c r="AC11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37" spans="1:29" ht="14.5" hidden="1">
      <c r="A1137" s="220" t="str">
        <f t="shared" si="44"/>
        <v>1133</v>
      </c>
      <c r="B1137" s="221"/>
      <c r="C1137" s="221" t="s">
        <v>3388</v>
      </c>
      <c r="D1137" s="221" t="s">
        <v>3860</v>
      </c>
      <c r="E1137" s="221" t="s">
        <v>3295</v>
      </c>
      <c r="F1137" s="221" t="s">
        <v>3299</v>
      </c>
      <c r="G1137" s="222">
        <v>45300</v>
      </c>
      <c r="H1137" s="223">
        <v>0.75555555555555554</v>
      </c>
      <c r="I1137" s="221" t="s">
        <v>4919</v>
      </c>
      <c r="J1137" s="221" t="s">
        <v>3023</v>
      </c>
      <c r="K1137" s="224" t="s">
        <v>14</v>
      </c>
      <c r="L1137" s="225" t="str">
        <f>VLOOKUP(Logfile_S12[[#This Row],[Material Name]],Sheet2!B:C,2,0)</f>
        <v>ZTE2005</v>
      </c>
      <c r="M1137" s="225" t="str">
        <f>_xlfn.XLOOKUP(Logfile_S12[[#This Row],[Material Name]],Sum_WH!E:E,Sum_WH!F:F,"",0)</f>
        <v>Pcs</v>
      </c>
      <c r="N1137" s="221">
        <v>1</v>
      </c>
      <c r="O1137" s="221" t="s">
        <v>3314</v>
      </c>
      <c r="P1137" s="221" t="s">
        <v>3223</v>
      </c>
      <c r="Q1137" s="221"/>
      <c r="R1137" s="221"/>
      <c r="S1137" s="221"/>
      <c r="T1137" s="221" t="s">
        <v>3255</v>
      </c>
      <c r="U1137" s="221">
        <v>0</v>
      </c>
      <c r="V1137" s="221">
        <v>0</v>
      </c>
      <c r="W1137" s="221" t="s">
        <v>3242</v>
      </c>
      <c r="X1137" s="221" t="s">
        <v>3496</v>
      </c>
      <c r="Y1137" s="227"/>
      <c r="Z1137" s="227" t="str">
        <f t="shared" si="45"/>
        <v>Transfer Gudang</v>
      </c>
      <c r="AA1137" s="276" t="e">
        <f>VLOOKUP(Logfile_S12[[#This Row],[DO number]],DO_DB!G:I,3,0)</f>
        <v>#N/A</v>
      </c>
      <c r="AB1137" s="331" t="e">
        <f>EXACT(Logfile_S12[[#This Row],[date pick]],Logfile_S12[[#This Row],[Date]])</f>
        <v>#N/A</v>
      </c>
      <c r="AC11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138" spans="1:29" ht="14.5" hidden="1">
      <c r="A1138" s="220" t="str">
        <f t="shared" si="44"/>
        <v>1134</v>
      </c>
      <c r="B1138" s="221"/>
      <c r="C1138" s="221" t="s">
        <v>48</v>
      </c>
      <c r="D1138" s="221" t="s">
        <v>3867</v>
      </c>
      <c r="E1138" s="221" t="s">
        <v>3295</v>
      </c>
      <c r="F1138" s="221" t="s">
        <v>3299</v>
      </c>
      <c r="G1138" s="222">
        <v>45307</v>
      </c>
      <c r="H1138" s="223">
        <v>15.291666666666666</v>
      </c>
      <c r="I1138" s="221" t="s">
        <v>37</v>
      </c>
      <c r="J1138" s="221" t="s">
        <v>3023</v>
      </c>
      <c r="K1138" s="224" t="s">
        <v>14</v>
      </c>
      <c r="L1138" s="225" t="str">
        <f>VLOOKUP(Logfile_S12[[#This Row],[Material Name]],Sheet2!B:C,2,0)</f>
        <v>ZTE2005</v>
      </c>
      <c r="M1138" s="225" t="str">
        <f>_xlfn.XLOOKUP(Logfile_S12[[#This Row],[Material Name]],Sum_WH!E:E,Sum_WH!F:F,"",0)</f>
        <v>Pcs</v>
      </c>
      <c r="N1138" s="221">
        <v>1</v>
      </c>
      <c r="O1138" s="221" t="s">
        <v>838</v>
      </c>
      <c r="P1138" s="221" t="s">
        <v>3361</v>
      </c>
      <c r="Q1138" s="221" t="s">
        <v>842</v>
      </c>
      <c r="R1138" s="221" t="s">
        <v>843</v>
      </c>
      <c r="S1138" s="221"/>
      <c r="T1138" s="221"/>
      <c r="U1138" s="221"/>
      <c r="V1138" s="221"/>
      <c r="W1138" s="221"/>
      <c r="X1138" s="221"/>
      <c r="Y1138" s="227"/>
      <c r="Z1138" s="227" t="str">
        <f t="shared" si="45"/>
        <v>TAMANHARJO RW 04 SINGOSARI</v>
      </c>
      <c r="AA1138" s="276">
        <f>VLOOKUP(Logfile_S12[[#This Row],[DO number]],DO_DB!G:I,3,0)</f>
        <v>45307</v>
      </c>
      <c r="AB1138" s="331" t="b">
        <f>EXACT(Logfile_S12[[#This Row],[date pick]],Logfile_S12[[#This Row],[Date]])</f>
        <v>1</v>
      </c>
      <c r="AC11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39" spans="1:29" ht="14.5" hidden="1">
      <c r="A1139" s="220" t="str">
        <f t="shared" si="44"/>
        <v>1135</v>
      </c>
      <c r="B1139" s="221"/>
      <c r="C1139" s="221" t="s">
        <v>48</v>
      </c>
      <c r="D1139" s="221" t="s">
        <v>3867</v>
      </c>
      <c r="E1139" s="221" t="s">
        <v>3295</v>
      </c>
      <c r="F1139" s="221" t="s">
        <v>3299</v>
      </c>
      <c r="G1139" s="222">
        <v>45307</v>
      </c>
      <c r="H1139" s="223">
        <v>15.291666666666666</v>
      </c>
      <c r="I1139" s="221" t="s">
        <v>37</v>
      </c>
      <c r="J1139" s="221" t="s">
        <v>3023</v>
      </c>
      <c r="K1139" s="224" t="s">
        <v>14</v>
      </c>
      <c r="L1139" s="225" t="str">
        <f>VLOOKUP(Logfile_S12[[#This Row],[Material Name]],Sheet2!B:C,2,0)</f>
        <v>ZTE2005</v>
      </c>
      <c r="M1139" s="225" t="str">
        <f>_xlfn.XLOOKUP(Logfile_S12[[#This Row],[Material Name]],Sum_WH!E:E,Sum_WH!F:F,"",0)</f>
        <v>Pcs</v>
      </c>
      <c r="N1139" s="221">
        <v>3</v>
      </c>
      <c r="O1139" s="221" t="s">
        <v>828</v>
      </c>
      <c r="P1139" s="221" t="s">
        <v>829</v>
      </c>
      <c r="Q1139" s="221" t="s">
        <v>852</v>
      </c>
      <c r="R1139" s="221" t="s">
        <v>853</v>
      </c>
      <c r="S1139" s="221"/>
      <c r="T1139" s="221"/>
      <c r="U1139" s="221"/>
      <c r="V1139" s="221"/>
      <c r="W1139" s="221"/>
      <c r="X1139" s="221" t="s">
        <v>3217</v>
      </c>
      <c r="Y1139" s="227"/>
      <c r="Z1139" s="227" t="str">
        <f t="shared" si="45"/>
        <v>Perumahan Pondok Mutiara Malang</v>
      </c>
      <c r="AA1139" s="276">
        <f>VLOOKUP(Logfile_S12[[#This Row],[DO number]],DO_DB!G:I,3,0)</f>
        <v>45307</v>
      </c>
      <c r="AB1139" s="331" t="b">
        <f>EXACT(Logfile_S12[[#This Row],[date pick]],Logfile_S12[[#This Row],[Date]])</f>
        <v>1</v>
      </c>
      <c r="AC11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40" spans="1:29" ht="14.5" hidden="1">
      <c r="A1140" s="220" t="str">
        <f t="shared" si="44"/>
        <v>1136</v>
      </c>
      <c r="B1140" s="221"/>
      <c r="C1140" s="221" t="s">
        <v>49</v>
      </c>
      <c r="D1140" s="221" t="s">
        <v>3887</v>
      </c>
      <c r="E1140" s="221" t="s">
        <v>3295</v>
      </c>
      <c r="F1140" s="221" t="s">
        <v>3299</v>
      </c>
      <c r="G1140" s="222">
        <v>45313</v>
      </c>
      <c r="H1140" s="223">
        <v>0.62291666666666667</v>
      </c>
      <c r="I1140" s="221" t="s">
        <v>4916</v>
      </c>
      <c r="J1140" s="221" t="s">
        <v>3023</v>
      </c>
      <c r="K1140" s="224" t="s">
        <v>14</v>
      </c>
      <c r="L1140" s="225" t="str">
        <f>VLOOKUP(Logfile_S12[[#This Row],[Material Name]],Sheet2!B:C,2,0)</f>
        <v>ZTE2005</v>
      </c>
      <c r="M1140" s="225" t="str">
        <f>_xlfn.XLOOKUP(Logfile_S12[[#This Row],[Material Name]],Sum_WH!E:E,Sum_WH!F:F,"",0)</f>
        <v>Pcs</v>
      </c>
      <c r="N1140" s="221">
        <v>1</v>
      </c>
      <c r="O1140" s="221" t="s">
        <v>738</v>
      </c>
      <c r="P1140" s="221" t="s">
        <v>3392</v>
      </c>
      <c r="Q1140" s="221"/>
      <c r="R1140" s="221"/>
      <c r="S1140" s="221"/>
      <c r="T1140" s="221" t="s">
        <v>3231</v>
      </c>
      <c r="U1140" s="221" t="s">
        <v>3228</v>
      </c>
      <c r="V1140" s="221" t="s">
        <v>3232</v>
      </c>
      <c r="W1140" s="221" t="s">
        <v>3246</v>
      </c>
      <c r="X1140" s="221"/>
      <c r="Y1140" s="227"/>
      <c r="Z1140" s="227" t="str">
        <f t="shared" si="45"/>
        <v xml:space="preserve">Baturetno RW 02 Singosari </v>
      </c>
      <c r="AA1140" s="276" t="e">
        <f>VLOOKUP(Logfile_S12[[#This Row],[DO number]],DO_DB!G:I,3,0)</f>
        <v>#N/A</v>
      </c>
      <c r="AB1140" s="331" t="e">
        <f>EXACT(Logfile_S12[[#This Row],[date pick]],Logfile_S12[[#This Row],[Date]])</f>
        <v>#N/A</v>
      </c>
      <c r="AC11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41" spans="1:29" ht="14.5" hidden="1">
      <c r="A1141" s="220" t="str">
        <f t="shared" si="44"/>
        <v>1137</v>
      </c>
      <c r="B1141" s="221"/>
      <c r="C1141" s="221" t="s">
        <v>49</v>
      </c>
      <c r="D1141" s="221" t="s">
        <v>3887</v>
      </c>
      <c r="E1141" s="221" t="s">
        <v>3295</v>
      </c>
      <c r="F1141" s="221" t="s">
        <v>3299</v>
      </c>
      <c r="G1141" s="222">
        <v>45313</v>
      </c>
      <c r="H1141" s="223">
        <v>0.62291666666666667</v>
      </c>
      <c r="I1141" s="221" t="s">
        <v>4916</v>
      </c>
      <c r="J1141" s="221" t="s">
        <v>3023</v>
      </c>
      <c r="K1141" s="224" t="s">
        <v>14</v>
      </c>
      <c r="L1141" s="225" t="str">
        <f>VLOOKUP(Logfile_S12[[#This Row],[Material Name]],Sheet2!B:C,2,0)</f>
        <v>ZTE2005</v>
      </c>
      <c r="M1141" s="225" t="str">
        <f>_xlfn.XLOOKUP(Logfile_S12[[#This Row],[Material Name]],Sum_WH!E:E,Sum_WH!F:F,"",0)</f>
        <v>Pcs</v>
      </c>
      <c r="N1141" s="221">
        <v>1</v>
      </c>
      <c r="O1141" s="221" t="s">
        <v>742</v>
      </c>
      <c r="P1141" s="221" t="s">
        <v>743</v>
      </c>
      <c r="Q1141" s="221"/>
      <c r="R1141" s="221"/>
      <c r="S1141" s="221"/>
      <c r="T1141" s="221" t="s">
        <v>3231</v>
      </c>
      <c r="U1141" s="221" t="s">
        <v>3228</v>
      </c>
      <c r="V1141" s="221" t="s">
        <v>3232</v>
      </c>
      <c r="W1141" s="221" t="s">
        <v>3246</v>
      </c>
      <c r="X1141" s="221"/>
      <c r="Y1141" s="227"/>
      <c r="Z1141" s="227" t="str">
        <f t="shared" si="45"/>
        <v>Baturetno RW 03 Singosari</v>
      </c>
      <c r="AA1141" s="276" t="e">
        <f>VLOOKUP(Logfile_S12[[#This Row],[DO number]],DO_DB!G:I,3,0)</f>
        <v>#N/A</v>
      </c>
      <c r="AB1141" s="331" t="e">
        <f>EXACT(Logfile_S12[[#This Row],[date pick]],Logfile_S12[[#This Row],[Date]])</f>
        <v>#N/A</v>
      </c>
      <c r="AC11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42" spans="1:29" ht="14.5" hidden="1">
      <c r="A1142" s="220" t="str">
        <f t="shared" si="44"/>
        <v>1138</v>
      </c>
      <c r="B1142" s="221"/>
      <c r="C1142" s="221" t="s">
        <v>49</v>
      </c>
      <c r="D1142" s="221" t="s">
        <v>3887</v>
      </c>
      <c r="E1142" s="221" t="s">
        <v>3295</v>
      </c>
      <c r="F1142" s="221" t="s">
        <v>3299</v>
      </c>
      <c r="G1142" s="222">
        <v>45313</v>
      </c>
      <c r="H1142" s="223">
        <v>0.62291666666666667</v>
      </c>
      <c r="I1142" s="221" t="s">
        <v>4916</v>
      </c>
      <c r="J1142" s="221" t="s">
        <v>3023</v>
      </c>
      <c r="K1142" s="224" t="s">
        <v>14</v>
      </c>
      <c r="L1142" s="225" t="str">
        <f>VLOOKUP(Logfile_S12[[#This Row],[Material Name]],Sheet2!B:C,2,0)</f>
        <v>ZTE2005</v>
      </c>
      <c r="M1142" s="225" t="str">
        <f>_xlfn.XLOOKUP(Logfile_S12[[#This Row],[Material Name]],Sum_WH!E:E,Sum_WH!F:F,"",0)</f>
        <v>Pcs</v>
      </c>
      <c r="N1142" s="221">
        <v>3</v>
      </c>
      <c r="O1142" s="221" t="s">
        <v>828</v>
      </c>
      <c r="P1142" s="221" t="s">
        <v>829</v>
      </c>
      <c r="Q1142" s="221"/>
      <c r="R1142" s="221"/>
      <c r="S1142" s="221"/>
      <c r="T1142" s="221" t="s">
        <v>3231</v>
      </c>
      <c r="U1142" s="221" t="s">
        <v>3228</v>
      </c>
      <c r="V1142" s="221" t="s">
        <v>3232</v>
      </c>
      <c r="W1142" s="221" t="s">
        <v>3246</v>
      </c>
      <c r="X1142" s="221"/>
      <c r="Y1142" s="227"/>
      <c r="Z1142" s="227" t="str">
        <f t="shared" si="45"/>
        <v>Perumahan Pondok Mutiara Malang</v>
      </c>
      <c r="AA1142" s="276" t="e">
        <f>VLOOKUP(Logfile_S12[[#This Row],[DO number]],DO_DB!G:I,3,0)</f>
        <v>#N/A</v>
      </c>
      <c r="AB1142" s="331" t="e">
        <f>EXACT(Logfile_S12[[#This Row],[date pick]],Logfile_S12[[#This Row],[Date]])</f>
        <v>#N/A</v>
      </c>
      <c r="AC11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43" spans="1:29" ht="14.5" hidden="1">
      <c r="A1143" s="220" t="str">
        <f t="shared" si="44"/>
        <v>1139</v>
      </c>
      <c r="B1143" s="221"/>
      <c r="C1143" s="221" t="s">
        <v>3449</v>
      </c>
      <c r="D1143" s="221" t="s">
        <v>3904</v>
      </c>
      <c r="E1143" s="221" t="s">
        <v>3295</v>
      </c>
      <c r="F1143" s="221" t="s">
        <v>3299</v>
      </c>
      <c r="G1143" s="222">
        <v>45317</v>
      </c>
      <c r="H1143" s="223">
        <v>0.94861111111111107</v>
      </c>
      <c r="I1143" s="221" t="s">
        <v>3193</v>
      </c>
      <c r="J1143" s="221" t="s">
        <v>3023</v>
      </c>
      <c r="K1143" s="224" t="s">
        <v>14</v>
      </c>
      <c r="L1143" s="225" t="str">
        <f>VLOOKUP(Logfile_S12[[#This Row],[Material Name]],Sheet2!B:C,2,0)</f>
        <v>ZTE2005</v>
      </c>
      <c r="M1143" s="225" t="str">
        <f>_xlfn.XLOOKUP(Logfile_S12[[#This Row],[Material Name]],Sum_WH!E:E,Sum_WH!F:F,"",0)</f>
        <v>Pcs</v>
      </c>
      <c r="N1143" s="221">
        <v>1</v>
      </c>
      <c r="O1143" s="221" t="s">
        <v>4925</v>
      </c>
      <c r="P1143" s="221" t="s">
        <v>3266</v>
      </c>
      <c r="Q1143" s="221"/>
      <c r="R1143" s="221"/>
      <c r="S1143" s="221"/>
      <c r="T1143" s="221" t="s">
        <v>3302</v>
      </c>
      <c r="U1143" s="221">
        <v>0</v>
      </c>
      <c r="V1143" s="221">
        <v>0</v>
      </c>
      <c r="W1143" s="221">
        <v>0</v>
      </c>
      <c r="X1143" s="221" t="s">
        <v>3251</v>
      </c>
      <c r="Y1143" s="227"/>
      <c r="Z1143" s="227" t="str">
        <f t="shared" si="45"/>
        <v>YPTT</v>
      </c>
      <c r="AA1143" s="276" t="e">
        <f>VLOOKUP(Logfile_S12[[#This Row],[DO number]],DO_DB!G:I,3,0)</f>
        <v>#N/A</v>
      </c>
      <c r="AB1143" s="331" t="e">
        <f>EXACT(Logfile_S12[[#This Row],[date pick]],Logfile_S12[[#This Row],[Date]])</f>
        <v>#N/A</v>
      </c>
      <c r="AC11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144" spans="1:29" ht="14.5" hidden="1">
      <c r="A1144" s="220" t="str">
        <f t="shared" si="44"/>
        <v>1140</v>
      </c>
      <c r="B1144" s="221"/>
      <c r="C1144" s="221" t="s">
        <v>48</v>
      </c>
      <c r="D1144" s="221" t="s">
        <v>3924</v>
      </c>
      <c r="E1144" s="221" t="s">
        <v>3295</v>
      </c>
      <c r="F1144" s="221" t="s">
        <v>3299</v>
      </c>
      <c r="G1144" s="222">
        <v>45337</v>
      </c>
      <c r="H1144" s="223">
        <v>15.291666666666666</v>
      </c>
      <c r="I1144" s="221" t="s">
        <v>37</v>
      </c>
      <c r="J1144" s="221" t="s">
        <v>3023</v>
      </c>
      <c r="K1144" s="224" t="s">
        <v>14</v>
      </c>
      <c r="L1144" s="225" t="str">
        <f>VLOOKUP(Logfile_S12[[#This Row],[Material Name]],Sheet2!B:C,2,0)</f>
        <v>ZTE2005</v>
      </c>
      <c r="M1144" s="225" t="str">
        <f>_xlfn.XLOOKUP(Logfile_S12[[#This Row],[Material Name]],Sum_WH!E:E,Sum_WH!F:F,"",0)</f>
        <v>Pcs</v>
      </c>
      <c r="N1144" s="221">
        <v>1</v>
      </c>
      <c r="O1144" s="221" t="s">
        <v>911</v>
      </c>
      <c r="P1144" s="221" t="s">
        <v>912</v>
      </c>
      <c r="Q1144" s="221" t="s">
        <v>913</v>
      </c>
      <c r="R1144" s="221" t="s">
        <v>914</v>
      </c>
      <c r="S1144" s="221"/>
      <c r="T1144" s="221"/>
      <c r="U1144" s="221"/>
      <c r="V1144" s="221"/>
      <c r="W1144" s="221"/>
      <c r="X1144" s="221"/>
      <c r="Y1144" s="227"/>
      <c r="Z1144" s="227" t="str">
        <f t="shared" si="45"/>
        <v>Bandulan RW 08 Sukun</v>
      </c>
      <c r="AA1144" s="276">
        <f>VLOOKUP(Logfile_S12[[#This Row],[DO number]],DO_DB!G:I,3,0)</f>
        <v>45337</v>
      </c>
      <c r="AB1144" s="331" t="b">
        <f>EXACT(Logfile_S12[[#This Row],[date pick]],Logfile_S12[[#This Row],[Date]])</f>
        <v>1</v>
      </c>
      <c r="AC11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45" spans="1:29" ht="14.5" hidden="1">
      <c r="A1145" s="220" t="str">
        <f t="shared" si="44"/>
        <v>1141</v>
      </c>
      <c r="B1145" s="221"/>
      <c r="C1145" s="221" t="s">
        <v>48</v>
      </c>
      <c r="D1145" s="221" t="s">
        <v>3924</v>
      </c>
      <c r="E1145" s="221" t="s">
        <v>3295</v>
      </c>
      <c r="F1145" s="221" t="s">
        <v>3299</v>
      </c>
      <c r="G1145" s="222">
        <v>45337</v>
      </c>
      <c r="H1145" s="223">
        <v>15.291666666666666</v>
      </c>
      <c r="I1145" s="221" t="s">
        <v>37</v>
      </c>
      <c r="J1145" s="221" t="s">
        <v>3023</v>
      </c>
      <c r="K1145" s="224" t="s">
        <v>14</v>
      </c>
      <c r="L1145" s="225" t="str">
        <f>VLOOKUP(Logfile_S12[[#This Row],[Material Name]],Sheet2!B:C,2,0)</f>
        <v>ZTE2005</v>
      </c>
      <c r="M1145" s="225" t="str">
        <f>_xlfn.XLOOKUP(Logfile_S12[[#This Row],[Material Name]],Sum_WH!E:E,Sum_WH!F:F,"",0)</f>
        <v>Pcs</v>
      </c>
      <c r="N1145" s="221">
        <v>2</v>
      </c>
      <c r="O1145" s="221" t="s">
        <v>921</v>
      </c>
      <c r="P1145" s="221" t="s">
        <v>922</v>
      </c>
      <c r="Q1145" s="221" t="s">
        <v>929</v>
      </c>
      <c r="R1145" s="221" t="s">
        <v>930</v>
      </c>
      <c r="S1145" s="221"/>
      <c r="T1145" s="221"/>
      <c r="U1145" s="221"/>
      <c r="V1145" s="221"/>
      <c r="W1145" s="221"/>
      <c r="X1145" s="221" t="s">
        <v>3217</v>
      </c>
      <c r="Y1145" s="227"/>
      <c r="Z1145" s="227" t="str">
        <f t="shared" si="45"/>
        <v>Bumiayu RW 03 Kedungkandang</v>
      </c>
      <c r="AA1145" s="276">
        <f>VLOOKUP(Logfile_S12[[#This Row],[DO number]],DO_DB!G:I,3,0)</f>
        <v>45337</v>
      </c>
      <c r="AB1145" s="331" t="b">
        <f>EXACT(Logfile_S12[[#This Row],[date pick]],Logfile_S12[[#This Row],[Date]])</f>
        <v>1</v>
      </c>
      <c r="AC11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46" spans="1:29" ht="14.5" hidden="1">
      <c r="A1146" s="220" t="str">
        <f t="shared" si="44"/>
        <v>1142</v>
      </c>
      <c r="B1146" s="221"/>
      <c r="C1146" s="221" t="s">
        <v>49</v>
      </c>
      <c r="D1146" s="221" t="s">
        <v>3930</v>
      </c>
      <c r="E1146" s="221" t="s">
        <v>3295</v>
      </c>
      <c r="F1146" s="221" t="s">
        <v>3299</v>
      </c>
      <c r="G1146" s="222">
        <v>45341</v>
      </c>
      <c r="H1146" s="223">
        <v>0.68958333333333333</v>
      </c>
      <c r="I1146" s="221" t="s">
        <v>4916</v>
      </c>
      <c r="J1146" s="221" t="s">
        <v>3023</v>
      </c>
      <c r="K1146" s="224" t="s">
        <v>14</v>
      </c>
      <c r="L1146" s="225" t="str">
        <f>VLOOKUP(Logfile_S12[[#This Row],[Material Name]],Sheet2!B:C,2,0)</f>
        <v>ZTE2005</v>
      </c>
      <c r="M1146" s="225" t="str">
        <f>_xlfn.XLOOKUP(Logfile_S12[[#This Row],[Material Name]],Sum_WH!E:E,Sum_WH!F:F,"",0)</f>
        <v>Pcs</v>
      </c>
      <c r="N1146" s="221">
        <v>1</v>
      </c>
      <c r="O1146" s="221" t="s">
        <v>911</v>
      </c>
      <c r="P1146" s="221" t="s">
        <v>912</v>
      </c>
      <c r="Q1146" s="221"/>
      <c r="R1146" s="221"/>
      <c r="S1146" s="221"/>
      <c r="T1146" s="221" t="s">
        <v>3231</v>
      </c>
      <c r="U1146" s="221" t="s">
        <v>3228</v>
      </c>
      <c r="V1146" s="221" t="s">
        <v>3232</v>
      </c>
      <c r="W1146" s="221" t="s">
        <v>3246</v>
      </c>
      <c r="X1146" s="221"/>
      <c r="Y1146" s="227"/>
      <c r="Z1146" s="227" t="str">
        <f t="shared" si="45"/>
        <v>Bandulan RW 08 Sukun</v>
      </c>
      <c r="AA1146" s="276" t="e">
        <f>VLOOKUP(Logfile_S12[[#This Row],[DO number]],DO_DB!G:I,3,0)</f>
        <v>#N/A</v>
      </c>
      <c r="AB1146" s="331" t="e">
        <f>EXACT(Logfile_S12[[#This Row],[date pick]],Logfile_S12[[#This Row],[Date]])</f>
        <v>#N/A</v>
      </c>
      <c r="AC11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47" spans="1:29" ht="14.5" hidden="1">
      <c r="A1147" s="220" t="str">
        <f t="shared" si="44"/>
        <v>1143</v>
      </c>
      <c r="B1147" s="221"/>
      <c r="C1147" s="221" t="s">
        <v>3429</v>
      </c>
      <c r="D1147" s="221" t="s">
        <v>3942</v>
      </c>
      <c r="E1147" s="221" t="s">
        <v>3295</v>
      </c>
      <c r="F1147" s="221" t="s">
        <v>3299</v>
      </c>
      <c r="G1147" s="222">
        <v>45344</v>
      </c>
      <c r="H1147" s="223">
        <v>15.291666666666666</v>
      </c>
      <c r="I1147" s="221" t="s">
        <v>3193</v>
      </c>
      <c r="J1147" s="221" t="s">
        <v>3023</v>
      </c>
      <c r="K1147" s="224" t="s">
        <v>14</v>
      </c>
      <c r="L1147" s="225" t="str">
        <f>VLOOKUP(Logfile_S12[[#This Row],[Material Name]],Sheet2!B:C,2,0)</f>
        <v>ZTE2005</v>
      </c>
      <c r="M1147" s="225" t="str">
        <f>_xlfn.XLOOKUP(Logfile_S12[[#This Row],[Material Name]],Sum_WH!E:E,Sum_WH!F:F,"",0)</f>
        <v>Pcs</v>
      </c>
      <c r="N1147" s="221">
        <v>1</v>
      </c>
      <c r="O1147" s="221" t="s">
        <v>4925</v>
      </c>
      <c r="P1147" s="221" t="s">
        <v>3266</v>
      </c>
      <c r="Q1147" s="221" t="s">
        <v>3533</v>
      </c>
      <c r="R1147" s="221">
        <v>0</v>
      </c>
      <c r="S1147" s="221"/>
      <c r="T1147" s="221"/>
      <c r="U1147" s="221"/>
      <c r="V1147" s="221"/>
      <c r="W1147" s="221"/>
      <c r="X1147" s="221" t="s">
        <v>3552</v>
      </c>
      <c r="Y1147" s="227"/>
      <c r="Z1147" s="227" t="str">
        <f t="shared" si="45"/>
        <v>YPTT</v>
      </c>
      <c r="AA1147" s="276" t="e">
        <f>VLOOKUP(Logfile_S12[[#This Row],[DO number]],DO_DB!G:I,3,0)</f>
        <v>#N/A</v>
      </c>
      <c r="AB1147" s="331" t="e">
        <f>EXACT(Logfile_S12[[#This Row],[date pick]],Logfile_S12[[#This Row],[Date]])</f>
        <v>#N/A</v>
      </c>
      <c r="AC11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48" spans="1:29" ht="14.5" hidden="1">
      <c r="A1148" s="220" t="str">
        <f t="shared" si="44"/>
        <v>1144</v>
      </c>
      <c r="B1148" s="221"/>
      <c r="C1148" s="221" t="s">
        <v>49</v>
      </c>
      <c r="D1148" s="221" t="s">
        <v>3945</v>
      </c>
      <c r="E1148" s="221" t="s">
        <v>3295</v>
      </c>
      <c r="F1148" s="221" t="s">
        <v>3299</v>
      </c>
      <c r="G1148" s="222">
        <v>45345</v>
      </c>
      <c r="H1148" s="223">
        <v>0.3840277777777778</v>
      </c>
      <c r="I1148" s="221" t="s">
        <v>4916</v>
      </c>
      <c r="J1148" s="221" t="s">
        <v>3023</v>
      </c>
      <c r="K1148" s="224" t="s">
        <v>14</v>
      </c>
      <c r="L1148" s="225" t="str">
        <f>VLOOKUP(Logfile_S12[[#This Row],[Material Name]],Sheet2!B:C,2,0)</f>
        <v>ZTE2005</v>
      </c>
      <c r="M1148" s="225" t="str">
        <f>_xlfn.XLOOKUP(Logfile_S12[[#This Row],[Material Name]],Sum_WH!E:E,Sum_WH!F:F,"",0)</f>
        <v>Pcs</v>
      </c>
      <c r="N1148" s="221">
        <v>1</v>
      </c>
      <c r="O1148" s="221" t="s">
        <v>838</v>
      </c>
      <c r="P1148" s="221" t="s">
        <v>3361</v>
      </c>
      <c r="Q1148" s="221"/>
      <c r="R1148" s="221"/>
      <c r="S1148" s="221"/>
      <c r="T1148" s="221" t="s">
        <v>3231</v>
      </c>
      <c r="U1148" s="221" t="s">
        <v>3228</v>
      </c>
      <c r="V1148" s="221" t="s">
        <v>3232</v>
      </c>
      <c r="W1148" s="221" t="s">
        <v>3246</v>
      </c>
      <c r="X1148" s="221"/>
      <c r="Y1148" s="227"/>
      <c r="Z1148" s="227" t="str">
        <f t="shared" si="45"/>
        <v>TAMANHARJO RW 04 SINGOSARI</v>
      </c>
      <c r="AA1148" s="276" t="e">
        <f>VLOOKUP(Logfile_S12[[#This Row],[DO number]],DO_DB!G:I,3,0)</f>
        <v>#N/A</v>
      </c>
      <c r="AB1148" s="331" t="e">
        <f>EXACT(Logfile_S12[[#This Row],[date pick]],Logfile_S12[[#This Row],[Date]])</f>
        <v>#N/A</v>
      </c>
      <c r="AC11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49" spans="1:29" ht="14.5" hidden="1">
      <c r="A1149" s="220" t="str">
        <f t="shared" si="44"/>
        <v>1145</v>
      </c>
      <c r="B1149" s="221"/>
      <c r="C1149" s="221" t="s">
        <v>49</v>
      </c>
      <c r="D1149" s="221" t="s">
        <v>3947</v>
      </c>
      <c r="E1149" s="221" t="s">
        <v>3295</v>
      </c>
      <c r="F1149" s="221" t="s">
        <v>3299</v>
      </c>
      <c r="G1149" s="222">
        <v>45345</v>
      </c>
      <c r="H1149" s="223">
        <v>0.79652777777777783</v>
      </c>
      <c r="I1149" s="221" t="s">
        <v>4916</v>
      </c>
      <c r="J1149" s="221" t="s">
        <v>3023</v>
      </c>
      <c r="K1149" s="224" t="s">
        <v>14</v>
      </c>
      <c r="L1149" s="225" t="str">
        <f>VLOOKUP(Logfile_S12[[#This Row],[Material Name]],Sheet2!B:C,2,0)</f>
        <v>ZTE2005</v>
      </c>
      <c r="M1149" s="225" t="str">
        <f>_xlfn.XLOOKUP(Logfile_S12[[#This Row],[Material Name]],Sum_WH!E:E,Sum_WH!F:F,"",0)</f>
        <v>Pcs</v>
      </c>
      <c r="N1149" s="221">
        <v>2</v>
      </c>
      <c r="O1149" s="221" t="s">
        <v>921</v>
      </c>
      <c r="P1149" s="221" t="s">
        <v>922</v>
      </c>
      <c r="Q1149" s="221"/>
      <c r="R1149" s="221"/>
      <c r="S1149" s="221"/>
      <c r="T1149" s="221" t="s">
        <v>3231</v>
      </c>
      <c r="U1149" s="221" t="s">
        <v>3228</v>
      </c>
      <c r="V1149" s="221" t="s">
        <v>3232</v>
      </c>
      <c r="W1149" s="221" t="s">
        <v>3246</v>
      </c>
      <c r="X1149" s="221"/>
      <c r="Y1149" s="227"/>
      <c r="Z1149" s="227" t="str">
        <f t="shared" si="45"/>
        <v>Bumiayu RW 03 Kedungkandang</v>
      </c>
      <c r="AA1149" s="276" t="e">
        <f>VLOOKUP(Logfile_S12[[#This Row],[DO number]],DO_DB!G:I,3,0)</f>
        <v>#N/A</v>
      </c>
      <c r="AB1149" s="331" t="e">
        <f>EXACT(Logfile_S12[[#This Row],[date pick]],Logfile_S12[[#This Row],[Date]])</f>
        <v>#N/A</v>
      </c>
      <c r="AC11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50" spans="1:29" ht="14.5" hidden="1">
      <c r="A1150" s="220" t="str">
        <f t="shared" si="44"/>
        <v>1146</v>
      </c>
      <c r="B1150" s="221"/>
      <c r="C1150" s="221" t="s">
        <v>48</v>
      </c>
      <c r="D1150" s="221" t="s">
        <v>3960</v>
      </c>
      <c r="E1150" s="221" t="s">
        <v>3295</v>
      </c>
      <c r="F1150" s="221" t="s">
        <v>3299</v>
      </c>
      <c r="G1150" s="222">
        <v>45351</v>
      </c>
      <c r="H1150" s="223">
        <v>15.291666666666666</v>
      </c>
      <c r="I1150" s="221" t="s">
        <v>37</v>
      </c>
      <c r="J1150" s="221" t="s">
        <v>3023</v>
      </c>
      <c r="K1150" s="224" t="s">
        <v>14</v>
      </c>
      <c r="L1150" s="225" t="str">
        <f>VLOOKUP(Logfile_S12[[#This Row],[Material Name]],Sheet2!B:C,2,0)</f>
        <v>ZTE2005</v>
      </c>
      <c r="M1150" s="225" t="str">
        <f>_xlfn.XLOOKUP(Logfile_S12[[#This Row],[Material Name]],Sum_WH!E:E,Sum_WH!F:F,"",0)</f>
        <v>Pcs</v>
      </c>
      <c r="N1150" s="221">
        <v>1</v>
      </c>
      <c r="O1150" s="221" t="s">
        <v>1013</v>
      </c>
      <c r="P1150" s="221" t="s">
        <v>1014</v>
      </c>
      <c r="Q1150" s="221" t="s">
        <v>1015</v>
      </c>
      <c r="R1150" s="221" t="s">
        <v>1016</v>
      </c>
      <c r="S1150" s="221"/>
      <c r="T1150" s="221"/>
      <c r="U1150" s="221"/>
      <c r="V1150" s="221"/>
      <c r="W1150" s="221"/>
      <c r="X1150" s="221"/>
      <c r="Y1150" s="227"/>
      <c r="Z1150" s="227" t="str">
        <f t="shared" si="45"/>
        <v>Bumiayu RW 05 Kedungkandang</v>
      </c>
      <c r="AA1150" s="276">
        <f>VLOOKUP(Logfile_S12[[#This Row],[DO number]],DO_DB!G:I,3,0)</f>
        <v>45351</v>
      </c>
      <c r="AB1150" s="331" t="b">
        <f>EXACT(Logfile_S12[[#This Row],[date pick]],Logfile_S12[[#This Row],[Date]])</f>
        <v>1</v>
      </c>
      <c r="AC11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51" spans="1:29" ht="14.5" hidden="1">
      <c r="A1151" s="220" t="str">
        <f t="shared" si="44"/>
        <v>1147</v>
      </c>
      <c r="B1151" s="221"/>
      <c r="C1151" s="221" t="s">
        <v>49</v>
      </c>
      <c r="D1151" s="221" t="s">
        <v>3959</v>
      </c>
      <c r="E1151" s="221" t="s">
        <v>3295</v>
      </c>
      <c r="F1151" s="221" t="s">
        <v>3299</v>
      </c>
      <c r="G1151" s="222">
        <v>45351</v>
      </c>
      <c r="H1151" s="223">
        <v>0.55555555555555558</v>
      </c>
      <c r="I1151" s="221" t="s">
        <v>4916</v>
      </c>
      <c r="J1151" s="221" t="s">
        <v>3023</v>
      </c>
      <c r="K1151" s="224" t="s">
        <v>14</v>
      </c>
      <c r="L1151" s="225" t="str">
        <f>VLOOKUP(Logfile_S12[[#This Row],[Material Name]],Sheet2!B:C,2,0)</f>
        <v>ZTE2005</v>
      </c>
      <c r="M1151" s="225" t="str">
        <f>_xlfn.XLOOKUP(Logfile_S12[[#This Row],[Material Name]],Sum_WH!E:E,Sum_WH!F:F,"",0)</f>
        <v>Pcs</v>
      </c>
      <c r="N1151" s="221">
        <v>1</v>
      </c>
      <c r="O1151" s="221" t="s">
        <v>1013</v>
      </c>
      <c r="P1151" s="221" t="s">
        <v>1014</v>
      </c>
      <c r="Q1151" s="221"/>
      <c r="R1151" s="221"/>
      <c r="S1151" s="221"/>
      <c r="T1151" s="221" t="s">
        <v>3231</v>
      </c>
      <c r="U1151" s="221" t="s">
        <v>3228</v>
      </c>
      <c r="V1151" s="221" t="s">
        <v>3232</v>
      </c>
      <c r="W1151" s="221" t="s">
        <v>3246</v>
      </c>
      <c r="X1151" s="221"/>
      <c r="Y1151" s="227"/>
      <c r="Z1151" s="227" t="str">
        <f t="shared" si="45"/>
        <v>Bumiayu RW 05 Kedungkandang</v>
      </c>
      <c r="AA1151" s="276" t="e">
        <f>VLOOKUP(Logfile_S12[[#This Row],[DO number]],DO_DB!G:I,3,0)</f>
        <v>#N/A</v>
      </c>
      <c r="AB1151" s="331" t="e">
        <f>EXACT(Logfile_S12[[#This Row],[date pick]],Logfile_S12[[#This Row],[Date]])</f>
        <v>#N/A</v>
      </c>
      <c r="AC11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52" spans="1:29" ht="14.5" hidden="1">
      <c r="A1152" s="220" t="str">
        <f t="shared" si="44"/>
        <v>1148</v>
      </c>
      <c r="B1152" s="221"/>
      <c r="C1152" s="221" t="s">
        <v>48</v>
      </c>
      <c r="D1152" s="221" t="s">
        <v>3965</v>
      </c>
      <c r="E1152" s="221" t="s">
        <v>3295</v>
      </c>
      <c r="F1152" s="221" t="s">
        <v>3299</v>
      </c>
      <c r="G1152" s="222">
        <v>45352</v>
      </c>
      <c r="H1152" s="223">
        <v>15.291666666666666</v>
      </c>
      <c r="I1152" s="221" t="s">
        <v>37</v>
      </c>
      <c r="J1152" s="221" t="s">
        <v>3023</v>
      </c>
      <c r="K1152" s="224" t="s">
        <v>14</v>
      </c>
      <c r="L1152" s="225" t="str">
        <f>VLOOKUP(Logfile_S12[[#This Row],[Material Name]],Sheet2!B:C,2,0)</f>
        <v>ZTE2005</v>
      </c>
      <c r="M1152" s="225" t="str">
        <f>_xlfn.XLOOKUP(Logfile_S12[[#This Row],[Material Name]],Sum_WH!E:E,Sum_WH!F:F,"",0)</f>
        <v>Pcs</v>
      </c>
      <c r="N1152" s="221">
        <v>1</v>
      </c>
      <c r="O1152" s="221"/>
      <c r="P1152" s="221"/>
      <c r="Q1152" s="221">
        <v>0</v>
      </c>
      <c r="R1152" s="221">
        <v>0</v>
      </c>
      <c r="S1152" s="221"/>
      <c r="T1152" s="221"/>
      <c r="U1152" s="221"/>
      <c r="V1152" s="221"/>
      <c r="W1152" s="221"/>
      <c r="X1152" s="221"/>
      <c r="Y1152" s="227"/>
      <c r="Z1152" s="227">
        <f t="shared" si="45"/>
        <v>0</v>
      </c>
      <c r="AA1152" s="276" t="e">
        <f>VLOOKUP(Logfile_S12[[#This Row],[DO number]],DO_DB!G:I,3,0)</f>
        <v>#N/A</v>
      </c>
      <c r="AB1152" s="331" t="e">
        <f>EXACT(Logfile_S12[[#This Row],[date pick]],Logfile_S12[[#This Row],[Date]])</f>
        <v>#N/A</v>
      </c>
      <c r="AC11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53" spans="1:29" ht="14.5" hidden="1">
      <c r="A1153" s="220" t="str">
        <f t="shared" si="44"/>
        <v>1149</v>
      </c>
      <c r="B1153" s="221"/>
      <c r="C1153" s="221" t="s">
        <v>3388</v>
      </c>
      <c r="D1153" s="221" t="s">
        <v>4878</v>
      </c>
      <c r="E1153" s="221" t="s">
        <v>3295</v>
      </c>
      <c r="F1153" s="221" t="s">
        <v>3299</v>
      </c>
      <c r="G1153" s="222">
        <v>45359</v>
      </c>
      <c r="H1153" s="223">
        <v>0.43611111111111112</v>
      </c>
      <c r="I1153" s="221" t="s">
        <v>4916</v>
      </c>
      <c r="J1153" s="221" t="s">
        <v>3023</v>
      </c>
      <c r="K1153" s="224" t="s">
        <v>14</v>
      </c>
      <c r="L1153" s="225" t="str">
        <f>VLOOKUP(Logfile_S12[[#This Row],[Material Name]],Sheet2!B:C,2,0)</f>
        <v>ZTE2005</v>
      </c>
      <c r="M1153" s="225" t="str">
        <f>_xlfn.XLOOKUP(Logfile_S12[[#This Row],[Material Name]],Sum_WH!E:E,Sum_WH!F:F,"",0)</f>
        <v>Pcs</v>
      </c>
      <c r="N1153" s="221">
        <v>1</v>
      </c>
      <c r="O1153" s="221" t="s">
        <v>3314</v>
      </c>
      <c r="P1153" s="221" t="s">
        <v>3223</v>
      </c>
      <c r="Q1153" s="221"/>
      <c r="R1153" s="221"/>
      <c r="S1153" s="221"/>
      <c r="T1153" s="221" t="s">
        <v>3231</v>
      </c>
      <c r="U1153" s="221" t="s">
        <v>3228</v>
      </c>
      <c r="V1153" s="221" t="s">
        <v>3232</v>
      </c>
      <c r="W1153" s="221" t="s">
        <v>3246</v>
      </c>
      <c r="X1153" s="221"/>
      <c r="Y1153" s="227"/>
      <c r="Z1153" s="227" t="str">
        <f t="shared" si="45"/>
        <v>Transfer Gudang</v>
      </c>
      <c r="AA1153" s="276" t="e">
        <f>VLOOKUP(Logfile_S12[[#This Row],[DO number]],DO_DB!G:I,3,0)</f>
        <v>#N/A</v>
      </c>
      <c r="AB1153" s="331" t="e">
        <f>EXACT(Logfile_S12[[#This Row],[date pick]],Logfile_S12[[#This Row],[Date]])</f>
        <v>#N/A</v>
      </c>
      <c r="AC11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154" spans="1:29" ht="14.5" hidden="1">
      <c r="A1154" s="220" t="str">
        <f t="shared" si="44"/>
        <v>1150</v>
      </c>
      <c r="B1154" s="221"/>
      <c r="C1154" s="221" t="s">
        <v>48</v>
      </c>
      <c r="D1154" s="221" t="s">
        <v>3980</v>
      </c>
      <c r="E1154" s="221" t="s">
        <v>3295</v>
      </c>
      <c r="F1154" s="221" t="s">
        <v>3299</v>
      </c>
      <c r="G1154" s="222">
        <v>45370</v>
      </c>
      <c r="H1154" s="223">
        <v>15.291666666666666</v>
      </c>
      <c r="I1154" s="221" t="s">
        <v>37</v>
      </c>
      <c r="J1154" s="221" t="s">
        <v>3023</v>
      </c>
      <c r="K1154" s="224" t="s">
        <v>14</v>
      </c>
      <c r="L1154" s="225" t="str">
        <f>VLOOKUP(Logfile_S12[[#This Row],[Material Name]],Sheet2!B:C,2,0)</f>
        <v>ZTE2005</v>
      </c>
      <c r="M1154" s="225" t="str">
        <f>_xlfn.XLOOKUP(Logfile_S12[[#This Row],[Material Name]],Sum_WH!E:E,Sum_WH!F:F,"",0)</f>
        <v>Pcs</v>
      </c>
      <c r="N1154" s="221">
        <v>2</v>
      </c>
      <c r="O1154" s="221"/>
      <c r="P1154" s="221"/>
      <c r="Q1154" s="221">
        <v>0</v>
      </c>
      <c r="R1154" s="221">
        <v>0</v>
      </c>
      <c r="S1154" s="221"/>
      <c r="T1154" s="221"/>
      <c r="U1154" s="221"/>
      <c r="V1154" s="221"/>
      <c r="W1154" s="221"/>
      <c r="X1154" s="221"/>
      <c r="Y1154" s="227"/>
      <c r="Z1154" s="227">
        <f t="shared" si="45"/>
        <v>0</v>
      </c>
      <c r="AA1154" s="276" t="e">
        <f>VLOOKUP(Logfile_S12[[#This Row],[DO number]],DO_DB!G:I,3,0)</f>
        <v>#N/A</v>
      </c>
      <c r="AB1154" s="331" t="e">
        <f>EXACT(Logfile_S12[[#This Row],[date pick]],Logfile_S12[[#This Row],[Date]])</f>
        <v>#N/A</v>
      </c>
      <c r="AC11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55" spans="1:29" ht="14.5" hidden="1">
      <c r="A1155" s="220" t="str">
        <f t="shared" si="44"/>
        <v>1151</v>
      </c>
      <c r="B1155" s="221"/>
      <c r="C1155" s="221" t="s">
        <v>49</v>
      </c>
      <c r="D1155" s="221" t="s">
        <v>3989</v>
      </c>
      <c r="E1155" s="221" t="s">
        <v>3295</v>
      </c>
      <c r="F1155" s="221" t="s">
        <v>3299</v>
      </c>
      <c r="G1155" s="222">
        <v>45376</v>
      </c>
      <c r="H1155" s="223">
        <v>0.43611111111111112</v>
      </c>
      <c r="I1155" s="221" t="s">
        <v>4916</v>
      </c>
      <c r="J1155" s="221" t="s">
        <v>3023</v>
      </c>
      <c r="K1155" s="224" t="s">
        <v>14</v>
      </c>
      <c r="L1155" s="225" t="str">
        <f>VLOOKUP(Logfile_S12[[#This Row],[Material Name]],Sheet2!B:C,2,0)</f>
        <v>ZTE2005</v>
      </c>
      <c r="M1155" s="225" t="str">
        <f>_xlfn.XLOOKUP(Logfile_S12[[#This Row],[Material Name]],Sum_WH!E:E,Sum_WH!F:F,"",0)</f>
        <v>Pcs</v>
      </c>
      <c r="N1155" s="221">
        <v>1</v>
      </c>
      <c r="O1155" s="221" t="s">
        <v>1103</v>
      </c>
      <c r="P1155" s="221" t="s">
        <v>1104</v>
      </c>
      <c r="Q1155" s="221"/>
      <c r="R1155" s="221"/>
      <c r="S1155" s="221"/>
      <c r="T1155" s="221" t="s">
        <v>3231</v>
      </c>
      <c r="U1155" s="221">
        <v>0</v>
      </c>
      <c r="V1155" s="221" t="s">
        <v>3232</v>
      </c>
      <c r="W1155" s="221" t="s">
        <v>3246</v>
      </c>
      <c r="X1155" s="221"/>
      <c r="Y1155" s="227"/>
      <c r="Z1155" s="227" t="str">
        <f t="shared" si="45"/>
        <v>Dalisodo RW 04 Wagir</v>
      </c>
      <c r="AA1155" s="276" t="e">
        <f>VLOOKUP(Logfile_S12[[#This Row],[DO number]],DO_DB!G:I,3,0)</f>
        <v>#N/A</v>
      </c>
      <c r="AB1155" s="331" t="e">
        <f>EXACT(Logfile_S12[[#This Row],[date pick]],Logfile_S12[[#This Row],[Date]])</f>
        <v>#N/A</v>
      </c>
      <c r="AC11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56" spans="1:29" ht="14.5" hidden="1">
      <c r="A1156" s="220" t="str">
        <f t="shared" si="44"/>
        <v>1152</v>
      </c>
      <c r="B1156" s="221"/>
      <c r="C1156" s="221" t="s">
        <v>49</v>
      </c>
      <c r="D1156" s="221" t="s">
        <v>3989</v>
      </c>
      <c r="E1156" s="221" t="s">
        <v>3295</v>
      </c>
      <c r="F1156" s="221" t="s">
        <v>3299</v>
      </c>
      <c r="G1156" s="222">
        <v>45376</v>
      </c>
      <c r="H1156" s="223">
        <v>0.43611111111111112</v>
      </c>
      <c r="I1156" s="221" t="s">
        <v>4916</v>
      </c>
      <c r="J1156" s="221" t="s">
        <v>3023</v>
      </c>
      <c r="K1156" s="224" t="s">
        <v>14</v>
      </c>
      <c r="L1156" s="225" t="str">
        <f>VLOOKUP(Logfile_S12[[#This Row],[Material Name]],Sheet2!B:C,2,0)</f>
        <v>ZTE2005</v>
      </c>
      <c r="M1156" s="225" t="str">
        <f>_xlfn.XLOOKUP(Logfile_S12[[#This Row],[Material Name]],Sum_WH!E:E,Sum_WH!F:F,"",0)</f>
        <v>Pcs</v>
      </c>
      <c r="N1156" s="221">
        <v>2</v>
      </c>
      <c r="O1156" s="221" t="s">
        <v>1161</v>
      </c>
      <c r="P1156" s="221" t="s">
        <v>1162</v>
      </c>
      <c r="Q1156" s="221"/>
      <c r="R1156" s="221"/>
      <c r="S1156" s="221"/>
      <c r="T1156" s="221" t="s">
        <v>3231</v>
      </c>
      <c r="U1156" s="221">
        <v>0</v>
      </c>
      <c r="V1156" s="221" t="s">
        <v>3232</v>
      </c>
      <c r="W1156" s="221" t="s">
        <v>3246</v>
      </c>
      <c r="X1156" s="221"/>
      <c r="Y1156" s="227"/>
      <c r="Z1156" s="227" t="str">
        <f t="shared" si="45"/>
        <v>Tunjungtirto RW 01 Singosari</v>
      </c>
      <c r="AA1156" s="276" t="e">
        <f>VLOOKUP(Logfile_S12[[#This Row],[DO number]],DO_DB!G:I,3,0)</f>
        <v>#N/A</v>
      </c>
      <c r="AB1156" s="331" t="e">
        <f>EXACT(Logfile_S12[[#This Row],[date pick]],Logfile_S12[[#This Row],[Date]])</f>
        <v>#N/A</v>
      </c>
      <c r="AC11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57" spans="1:29" ht="14.5" hidden="1">
      <c r="A1157" s="220" t="str">
        <f t="shared" ref="A1157:A1220" si="46">TEXT(ROW(A1157)-ROW($A$4),"000")</f>
        <v>1153</v>
      </c>
      <c r="B1157" s="221"/>
      <c r="C1157" s="221" t="s">
        <v>3313</v>
      </c>
      <c r="D1157" s="221" t="s">
        <v>4004</v>
      </c>
      <c r="E1157" s="221" t="s">
        <v>3295</v>
      </c>
      <c r="F1157" s="221" t="s">
        <v>3299</v>
      </c>
      <c r="G1157" s="222">
        <v>45386</v>
      </c>
      <c r="H1157" s="223">
        <v>15.291666666666666</v>
      </c>
      <c r="I1157" s="221" t="s">
        <v>37</v>
      </c>
      <c r="J1157" s="221" t="s">
        <v>3023</v>
      </c>
      <c r="K1157" s="224" t="s">
        <v>14</v>
      </c>
      <c r="L1157" s="225" t="str">
        <f>VLOOKUP(Logfile_S12[[#This Row],[Material Name]],Sheet2!B:C,2,0)</f>
        <v>ZTE2005</v>
      </c>
      <c r="M1157" s="225" t="str">
        <f>_xlfn.XLOOKUP(Logfile_S12[[#This Row],[Material Name]],Sum_WH!E:E,Sum_WH!F:F,"",0)</f>
        <v>Pcs</v>
      </c>
      <c r="N1157" s="221">
        <v>1</v>
      </c>
      <c r="O1157" s="221" t="s">
        <v>3314</v>
      </c>
      <c r="P1157" s="221">
        <v>0</v>
      </c>
      <c r="Q1157" s="221">
        <v>0</v>
      </c>
      <c r="R1157" s="221" t="s">
        <v>3147</v>
      </c>
      <c r="S1157" s="221"/>
      <c r="T1157" s="221"/>
      <c r="U1157" s="221"/>
      <c r="V1157" s="221"/>
      <c r="W1157" s="221"/>
      <c r="X1157" s="221"/>
      <c r="Y1157" s="227"/>
      <c r="Z1157" s="227">
        <f t="shared" si="45"/>
        <v>0</v>
      </c>
      <c r="AA1157" s="276" t="e">
        <f>VLOOKUP(Logfile_S12[[#This Row],[DO number]],DO_DB!G:I,3,0)</f>
        <v>#N/A</v>
      </c>
      <c r="AB1157" s="331" t="e">
        <f>EXACT(Logfile_S12[[#This Row],[date pick]],Logfile_S12[[#This Row],[Date]])</f>
        <v>#N/A</v>
      </c>
      <c r="AC11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58" spans="1:29" ht="14.5" hidden="1">
      <c r="A1158" s="220" t="str">
        <f t="shared" si="46"/>
        <v>1154</v>
      </c>
      <c r="B1158" s="221"/>
      <c r="C1158" s="221" t="s">
        <v>3313</v>
      </c>
      <c r="D1158" s="221" t="s">
        <v>4004</v>
      </c>
      <c r="E1158" s="221" t="s">
        <v>3295</v>
      </c>
      <c r="F1158" s="221" t="s">
        <v>3299</v>
      </c>
      <c r="G1158" s="222">
        <v>45386</v>
      </c>
      <c r="H1158" s="223">
        <v>15.291666666666666</v>
      </c>
      <c r="I1158" s="221" t="s">
        <v>37</v>
      </c>
      <c r="J1158" s="221" t="s">
        <v>3023</v>
      </c>
      <c r="K1158" s="224" t="s">
        <v>14</v>
      </c>
      <c r="L1158" s="225" t="str">
        <f>VLOOKUP(Logfile_S12[[#This Row],[Material Name]],Sheet2!B:C,2,0)</f>
        <v>ZTE2005</v>
      </c>
      <c r="M1158" s="225" t="str">
        <f>_xlfn.XLOOKUP(Logfile_S12[[#This Row],[Material Name]],Sum_WH!E:E,Sum_WH!F:F,"",0)</f>
        <v>Pcs</v>
      </c>
      <c r="N1158" s="221">
        <v>1</v>
      </c>
      <c r="O1158" s="221" t="s">
        <v>3314</v>
      </c>
      <c r="P1158" s="221">
        <v>0</v>
      </c>
      <c r="Q1158" s="221">
        <v>0</v>
      </c>
      <c r="R1158" s="221" t="s">
        <v>3147</v>
      </c>
      <c r="S1158" s="221"/>
      <c r="T1158" s="221"/>
      <c r="U1158" s="221"/>
      <c r="V1158" s="221"/>
      <c r="W1158" s="221"/>
      <c r="X1158" s="221"/>
      <c r="Y1158" s="227"/>
      <c r="Z1158" s="227">
        <f t="shared" si="45"/>
        <v>0</v>
      </c>
      <c r="AA1158" s="276" t="e">
        <f>VLOOKUP(Logfile_S12[[#This Row],[DO number]],DO_DB!G:I,3,0)</f>
        <v>#N/A</v>
      </c>
      <c r="AB1158" s="331" t="e">
        <f>EXACT(Logfile_S12[[#This Row],[date pick]],Logfile_S12[[#This Row],[Date]])</f>
        <v>#N/A</v>
      </c>
      <c r="AC11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59" spans="1:29" ht="14.5" hidden="1">
      <c r="A1159" s="220" t="str">
        <f t="shared" si="46"/>
        <v>1155</v>
      </c>
      <c r="B1159" s="221"/>
      <c r="C1159" s="221" t="s">
        <v>49</v>
      </c>
      <c r="D1159" s="221" t="s">
        <v>4006</v>
      </c>
      <c r="E1159" s="221" t="s">
        <v>3295</v>
      </c>
      <c r="F1159" s="221" t="s">
        <v>3299</v>
      </c>
      <c r="G1159" s="222">
        <v>45387</v>
      </c>
      <c r="H1159" s="223">
        <v>0.43611111111111112</v>
      </c>
      <c r="I1159" s="221" t="s">
        <v>4916</v>
      </c>
      <c r="J1159" s="221" t="s">
        <v>3023</v>
      </c>
      <c r="K1159" s="224" t="s">
        <v>14</v>
      </c>
      <c r="L1159" s="225" t="str">
        <f>VLOOKUP(Logfile_S12[[#This Row],[Material Name]],Sheet2!B:C,2,0)</f>
        <v>ZTE2005</v>
      </c>
      <c r="M1159" s="225" t="str">
        <f>_xlfn.XLOOKUP(Logfile_S12[[#This Row],[Material Name]],Sum_WH!E:E,Sum_WH!F:F,"",0)</f>
        <v>Pcs</v>
      </c>
      <c r="N1159" s="221">
        <v>2</v>
      </c>
      <c r="O1159" s="221" t="s">
        <v>1099</v>
      </c>
      <c r="P1159" s="221" t="s">
        <v>1100</v>
      </c>
      <c r="Q1159" s="221"/>
      <c r="R1159" s="221"/>
      <c r="S1159" s="221"/>
      <c r="T1159" s="221" t="s">
        <v>3231</v>
      </c>
      <c r="U1159" s="221">
        <v>0</v>
      </c>
      <c r="V1159" s="221" t="s">
        <v>3232</v>
      </c>
      <c r="W1159" s="221" t="s">
        <v>3246</v>
      </c>
      <c r="X1159" s="221"/>
      <c r="Y1159" s="227"/>
      <c r="Z1159" s="227" t="str">
        <f t="shared" si="45"/>
        <v>Dalisodo RW 03 Wagir</v>
      </c>
      <c r="AA1159" s="276" t="e">
        <f>VLOOKUP(Logfile_S12[[#This Row],[DO number]],DO_DB!G:I,3,0)</f>
        <v>#N/A</v>
      </c>
      <c r="AB1159" s="331" t="e">
        <f>EXACT(Logfile_S12[[#This Row],[date pick]],Logfile_S12[[#This Row],[Date]])</f>
        <v>#N/A</v>
      </c>
      <c r="AC11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60" spans="1:29" ht="14.5" hidden="1">
      <c r="A1160" s="220" t="str">
        <f t="shared" si="46"/>
        <v>1156</v>
      </c>
      <c r="B1160" s="221"/>
      <c r="C1160" s="221" t="s">
        <v>3313</v>
      </c>
      <c r="D1160" s="221" t="s">
        <v>4019</v>
      </c>
      <c r="E1160" s="221" t="s">
        <v>3295</v>
      </c>
      <c r="F1160" s="221" t="s">
        <v>3299</v>
      </c>
      <c r="G1160" s="222">
        <v>45404</v>
      </c>
      <c r="H1160" s="223">
        <v>15.291666666666666</v>
      </c>
      <c r="I1160" s="221" t="s">
        <v>37</v>
      </c>
      <c r="J1160" s="221" t="s">
        <v>3023</v>
      </c>
      <c r="K1160" s="224" t="s">
        <v>14</v>
      </c>
      <c r="L1160" s="225" t="str">
        <f>VLOOKUP(Logfile_S12[[#This Row],[Material Name]],Sheet2!B:C,2,0)</f>
        <v>ZTE2005</v>
      </c>
      <c r="M1160" s="225" t="str">
        <f>_xlfn.XLOOKUP(Logfile_S12[[#This Row],[Material Name]],Sum_WH!E:E,Sum_WH!F:F,"",0)</f>
        <v>Pcs</v>
      </c>
      <c r="N1160" s="221">
        <v>3</v>
      </c>
      <c r="O1160" s="221" t="s">
        <v>3314</v>
      </c>
      <c r="P1160" s="221">
        <v>0</v>
      </c>
      <c r="Q1160" s="221">
        <v>0</v>
      </c>
      <c r="R1160" s="221" t="s">
        <v>3147</v>
      </c>
      <c r="S1160" s="221"/>
      <c r="T1160" s="221"/>
      <c r="U1160" s="221"/>
      <c r="V1160" s="221"/>
      <c r="W1160" s="221"/>
      <c r="X1160" s="221"/>
      <c r="Y1160" s="227"/>
      <c r="Z1160" s="227">
        <f t="shared" si="45"/>
        <v>0</v>
      </c>
      <c r="AA1160" s="276" t="e">
        <f>VLOOKUP(Logfile_S12[[#This Row],[DO number]],DO_DB!G:I,3,0)</f>
        <v>#N/A</v>
      </c>
      <c r="AB1160" s="331" t="e">
        <f>EXACT(Logfile_S12[[#This Row],[date pick]],Logfile_S12[[#This Row],[Date]])</f>
        <v>#N/A</v>
      </c>
      <c r="AC11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61" spans="1:29" ht="14.5" hidden="1">
      <c r="A1161" s="220" t="str">
        <f t="shared" si="46"/>
        <v>1157</v>
      </c>
      <c r="B1161" s="221"/>
      <c r="C1161" s="221" t="s">
        <v>49</v>
      </c>
      <c r="D1161" s="221" t="s">
        <v>4027</v>
      </c>
      <c r="E1161" s="221" t="s">
        <v>3295</v>
      </c>
      <c r="F1161" s="221" t="s">
        <v>3299</v>
      </c>
      <c r="G1161" s="222">
        <v>45406</v>
      </c>
      <c r="H1161" s="223">
        <v>0.41666666666666669</v>
      </c>
      <c r="I1161" s="221" t="s">
        <v>4916</v>
      </c>
      <c r="J1161" s="221" t="s">
        <v>3023</v>
      </c>
      <c r="K1161" s="224" t="s">
        <v>14</v>
      </c>
      <c r="L1161" s="225" t="str">
        <f>VLOOKUP(Logfile_S12[[#This Row],[Material Name]],Sheet2!B:C,2,0)</f>
        <v>ZTE2005</v>
      </c>
      <c r="M1161" s="225" t="str">
        <f>_xlfn.XLOOKUP(Logfile_S12[[#This Row],[Material Name]],Sum_WH!E:E,Sum_WH!F:F,"",0)</f>
        <v>Pcs</v>
      </c>
      <c r="N1161" s="221">
        <v>3</v>
      </c>
      <c r="O1161" s="221" t="s">
        <v>1081</v>
      </c>
      <c r="P1161" s="221" t="s">
        <v>3370</v>
      </c>
      <c r="Q1161" s="221"/>
      <c r="R1161" s="221"/>
      <c r="S1161" s="221"/>
      <c r="T1161" s="221" t="s">
        <v>3356</v>
      </c>
      <c r="U1161" s="221" t="s">
        <v>3228</v>
      </c>
      <c r="V1161" s="221" t="s">
        <v>3357</v>
      </c>
      <c r="W1161" s="221" t="s">
        <v>3358</v>
      </c>
      <c r="X1161" s="221"/>
      <c r="Y1161" s="227"/>
      <c r="Z1161" s="227" t="str">
        <f t="shared" si="45"/>
        <v>Pandan Landung RW 05 Wagir</v>
      </c>
      <c r="AA1161" s="276" t="e">
        <f>VLOOKUP(Logfile_S12[[#This Row],[DO number]],DO_DB!G:I,3,0)</f>
        <v>#N/A</v>
      </c>
      <c r="AB1161" s="331" t="e">
        <f>EXACT(Logfile_S12[[#This Row],[date pick]],Logfile_S12[[#This Row],[Date]])</f>
        <v>#N/A</v>
      </c>
      <c r="AC11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62" spans="1:29" ht="14.5" hidden="1">
      <c r="A1162" s="220" t="str">
        <f t="shared" si="46"/>
        <v>1158</v>
      </c>
      <c r="B1162" s="221"/>
      <c r="C1162" s="221" t="s">
        <v>48</v>
      </c>
      <c r="D1162" s="221" t="s">
        <v>4054</v>
      </c>
      <c r="E1162" s="221" t="s">
        <v>3295</v>
      </c>
      <c r="F1162" s="221" t="s">
        <v>3299</v>
      </c>
      <c r="G1162" s="222">
        <v>45433</v>
      </c>
      <c r="H1162" s="223">
        <v>15.291666666666666</v>
      </c>
      <c r="I1162" s="221" t="s">
        <v>37</v>
      </c>
      <c r="J1162" s="221" t="s">
        <v>3023</v>
      </c>
      <c r="K1162" s="224" t="s">
        <v>14</v>
      </c>
      <c r="L1162" s="225" t="str">
        <f>VLOOKUP(Logfile_S12[[#This Row],[Material Name]],Sheet2!B:C,2,0)</f>
        <v>ZTE2005</v>
      </c>
      <c r="M1162" s="225" t="str">
        <f>_xlfn.XLOOKUP(Logfile_S12[[#This Row],[Material Name]],Sum_WH!E:E,Sum_WH!F:F,"",0)</f>
        <v>Pcs</v>
      </c>
      <c r="N1162" s="221">
        <v>4</v>
      </c>
      <c r="O1162" s="221"/>
      <c r="P1162" s="221"/>
      <c r="Q1162" s="221">
        <v>0</v>
      </c>
      <c r="R1162" s="221">
        <v>0</v>
      </c>
      <c r="S1162" s="221"/>
      <c r="T1162" s="221"/>
      <c r="U1162" s="221"/>
      <c r="V1162" s="221"/>
      <c r="W1162" s="221"/>
      <c r="X1162" s="221"/>
      <c r="Y1162" s="227"/>
      <c r="Z1162" s="227">
        <f t="shared" si="45"/>
        <v>0</v>
      </c>
      <c r="AA1162" s="276" t="e">
        <f>VLOOKUP(Logfile_S12[[#This Row],[DO number]],DO_DB!G:I,3,0)</f>
        <v>#N/A</v>
      </c>
      <c r="AB1162" s="331" t="e">
        <f>EXACT(Logfile_S12[[#This Row],[date pick]],Logfile_S12[[#This Row],[Date]])</f>
        <v>#N/A</v>
      </c>
      <c r="AC11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63" spans="1:29" ht="14.5" hidden="1">
      <c r="A1163" s="220" t="str">
        <f t="shared" si="46"/>
        <v>1159</v>
      </c>
      <c r="B1163" s="221"/>
      <c r="C1163" s="221" t="s">
        <v>49</v>
      </c>
      <c r="D1163" s="221" t="s">
        <v>4058</v>
      </c>
      <c r="E1163" s="221" t="s">
        <v>3295</v>
      </c>
      <c r="F1163" s="221" t="s">
        <v>3299</v>
      </c>
      <c r="G1163" s="222">
        <v>45435</v>
      </c>
      <c r="H1163" s="223">
        <v>0.47361111111111115</v>
      </c>
      <c r="I1163" s="221" t="s">
        <v>4916</v>
      </c>
      <c r="J1163" s="221" t="s">
        <v>3023</v>
      </c>
      <c r="K1163" s="224" t="s">
        <v>14</v>
      </c>
      <c r="L1163" s="225" t="str">
        <f>VLOOKUP(Logfile_S12[[#This Row],[Material Name]],Sheet2!B:C,2,0)</f>
        <v>ZTE2005</v>
      </c>
      <c r="M1163" s="225" t="str">
        <f>_xlfn.XLOOKUP(Logfile_S12[[#This Row],[Material Name]],Sum_WH!E:E,Sum_WH!F:F,"",0)</f>
        <v>Pcs</v>
      </c>
      <c r="N1163" s="221">
        <v>1</v>
      </c>
      <c r="O1163" s="221" t="s">
        <v>1405</v>
      </c>
      <c r="P1163" s="221" t="s">
        <v>1406</v>
      </c>
      <c r="Q1163" s="221"/>
      <c r="R1163" s="221"/>
      <c r="S1163" s="221"/>
      <c r="T1163" s="221" t="s">
        <v>3231</v>
      </c>
      <c r="U1163" s="221">
        <v>0</v>
      </c>
      <c r="V1163" s="221" t="s">
        <v>3232</v>
      </c>
      <c r="W1163" s="221" t="s">
        <v>3246</v>
      </c>
      <c r="X1163" s="221"/>
      <c r="Y1163" s="227"/>
      <c r="Z1163" s="227" t="str">
        <f t="shared" si="45"/>
        <v>Lawang RW 06 Malang</v>
      </c>
      <c r="AA1163" s="276" t="e">
        <f>VLOOKUP(Logfile_S12[[#This Row],[DO number]],DO_DB!G:I,3,0)</f>
        <v>#N/A</v>
      </c>
      <c r="AB1163" s="331" t="e">
        <f>EXACT(Logfile_S12[[#This Row],[date pick]],Logfile_S12[[#This Row],[Date]])</f>
        <v>#N/A</v>
      </c>
      <c r="AC11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64" spans="1:29" ht="14.5" hidden="1">
      <c r="A1164" s="220" t="str">
        <f t="shared" si="46"/>
        <v>1160</v>
      </c>
      <c r="B1164" s="221"/>
      <c r="C1164" s="221" t="s">
        <v>49</v>
      </c>
      <c r="D1164" s="221" t="s">
        <v>4061</v>
      </c>
      <c r="E1164" s="221" t="s">
        <v>3295</v>
      </c>
      <c r="F1164" s="221" t="s">
        <v>3299</v>
      </c>
      <c r="G1164" s="222">
        <v>45437</v>
      </c>
      <c r="H1164" s="223">
        <v>0.47361111111111115</v>
      </c>
      <c r="I1164" s="221" t="s">
        <v>4916</v>
      </c>
      <c r="J1164" s="221" t="s">
        <v>3023</v>
      </c>
      <c r="K1164" s="224" t="s">
        <v>14</v>
      </c>
      <c r="L1164" s="225" t="str">
        <f>VLOOKUP(Logfile_S12[[#This Row],[Material Name]],Sheet2!B:C,2,0)</f>
        <v>ZTE2005</v>
      </c>
      <c r="M1164" s="225" t="str">
        <f>_xlfn.XLOOKUP(Logfile_S12[[#This Row],[Material Name]],Sum_WH!E:E,Sum_WH!F:F,"",0)</f>
        <v>Pcs</v>
      </c>
      <c r="N1164" s="221">
        <v>1</v>
      </c>
      <c r="O1164" s="221" t="s">
        <v>1469</v>
      </c>
      <c r="P1164" s="221" t="s">
        <v>1470</v>
      </c>
      <c r="Q1164" s="221"/>
      <c r="R1164" s="221"/>
      <c r="S1164" s="221"/>
      <c r="T1164" s="221" t="s">
        <v>3231</v>
      </c>
      <c r="U1164" s="221">
        <v>0</v>
      </c>
      <c r="V1164" s="221" t="s">
        <v>3232</v>
      </c>
      <c r="W1164" s="221" t="s">
        <v>3246</v>
      </c>
      <c r="X1164" s="221"/>
      <c r="Y1164" s="227"/>
      <c r="Z1164" s="227" t="str">
        <f t="shared" ref="Z1164:Z1227" si="47">P1164</f>
        <v>Dusun Klaseman Kucur</v>
      </c>
      <c r="AA1164" s="276" t="e">
        <f>VLOOKUP(Logfile_S12[[#This Row],[DO number]],DO_DB!G:I,3,0)</f>
        <v>#N/A</v>
      </c>
      <c r="AB1164" s="331" t="e">
        <f>EXACT(Logfile_S12[[#This Row],[date pick]],Logfile_S12[[#This Row],[Date]])</f>
        <v>#N/A</v>
      </c>
      <c r="AC11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65" spans="1:29" ht="14.5" hidden="1">
      <c r="A1165" s="220" t="str">
        <f t="shared" si="46"/>
        <v>1161</v>
      </c>
      <c r="B1165" s="221"/>
      <c r="C1165" s="221" t="s">
        <v>49</v>
      </c>
      <c r="D1165" s="221" t="s">
        <v>4066</v>
      </c>
      <c r="E1165" s="221" t="s">
        <v>3295</v>
      </c>
      <c r="F1165" s="221" t="s">
        <v>3299</v>
      </c>
      <c r="G1165" s="222">
        <v>45440</v>
      </c>
      <c r="H1165" s="223">
        <v>0.53125</v>
      </c>
      <c r="I1165" s="221" t="s">
        <v>4916</v>
      </c>
      <c r="J1165" s="221" t="s">
        <v>3023</v>
      </c>
      <c r="K1165" s="224" t="s">
        <v>14</v>
      </c>
      <c r="L1165" s="225" t="str">
        <f>VLOOKUP(Logfile_S12[[#This Row],[Material Name]],Sheet2!B:C,2,0)</f>
        <v>ZTE2005</v>
      </c>
      <c r="M1165" s="225" t="str">
        <f>_xlfn.XLOOKUP(Logfile_S12[[#This Row],[Material Name]],Sum_WH!E:E,Sum_WH!F:F,"",0)</f>
        <v>Pcs</v>
      </c>
      <c r="N1165" s="221">
        <v>1</v>
      </c>
      <c r="O1165" s="221" t="s">
        <v>1493</v>
      </c>
      <c r="P1165" s="221" t="s">
        <v>1494</v>
      </c>
      <c r="Q1165" s="221"/>
      <c r="R1165" s="221"/>
      <c r="S1165" s="221"/>
      <c r="T1165" s="221" t="s">
        <v>3356</v>
      </c>
      <c r="U1165" s="221" t="s">
        <v>3228</v>
      </c>
      <c r="V1165" s="221" t="s">
        <v>3357</v>
      </c>
      <c r="W1165" s="221" t="s">
        <v>3358</v>
      </c>
      <c r="X1165" s="221"/>
      <c r="Y1165" s="227"/>
      <c r="Z1165" s="227" t="str">
        <f t="shared" si="47"/>
        <v>Dusun Krajan Kucur</v>
      </c>
      <c r="AA1165" s="276" t="e">
        <f>VLOOKUP(Logfile_S12[[#This Row],[DO number]],DO_DB!G:I,3,0)</f>
        <v>#N/A</v>
      </c>
      <c r="AB1165" s="331" t="e">
        <f>EXACT(Logfile_S12[[#This Row],[date pick]],Logfile_S12[[#This Row],[Date]])</f>
        <v>#N/A</v>
      </c>
      <c r="AC11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66" spans="1:29" ht="14.5" hidden="1">
      <c r="A1166" s="220" t="str">
        <f t="shared" si="46"/>
        <v>1162</v>
      </c>
      <c r="B1166" s="221"/>
      <c r="C1166" s="221" t="s">
        <v>49</v>
      </c>
      <c r="D1166" s="221" t="s">
        <v>4068</v>
      </c>
      <c r="E1166" s="221" t="s">
        <v>3295</v>
      </c>
      <c r="F1166" s="221" t="s">
        <v>3299</v>
      </c>
      <c r="G1166" s="222">
        <v>45442</v>
      </c>
      <c r="H1166" s="223">
        <v>0.47916666666666669</v>
      </c>
      <c r="I1166" s="221" t="s">
        <v>4916</v>
      </c>
      <c r="J1166" s="221" t="s">
        <v>3023</v>
      </c>
      <c r="K1166" s="224" t="s">
        <v>14</v>
      </c>
      <c r="L1166" s="225" t="str">
        <f>VLOOKUP(Logfile_S12[[#This Row],[Material Name]],Sheet2!B:C,2,0)</f>
        <v>ZTE2005</v>
      </c>
      <c r="M1166" s="225" t="str">
        <f>_xlfn.XLOOKUP(Logfile_S12[[#This Row],[Material Name]],Sum_WH!E:E,Sum_WH!F:F,"",0)</f>
        <v>Pcs</v>
      </c>
      <c r="N1166" s="221">
        <v>1</v>
      </c>
      <c r="O1166" s="221" t="s">
        <v>1477</v>
      </c>
      <c r="P1166" s="221" t="s">
        <v>1478</v>
      </c>
      <c r="Q1166" s="221"/>
      <c r="R1166" s="221"/>
      <c r="S1166" s="221"/>
      <c r="T1166" s="221" t="s">
        <v>3258</v>
      </c>
      <c r="U1166" s="221" t="s">
        <v>3228</v>
      </c>
      <c r="V1166" s="221" t="s">
        <v>3337</v>
      </c>
      <c r="W1166" s="221" t="s">
        <v>3338</v>
      </c>
      <c r="X1166" s="221"/>
      <c r="Y1166" s="227"/>
      <c r="Z1166" s="227" t="str">
        <f t="shared" si="47"/>
        <v>Dusun Ketohan Kucur</v>
      </c>
      <c r="AA1166" s="276" t="e">
        <f>VLOOKUP(Logfile_S12[[#This Row],[DO number]],DO_DB!G:I,3,0)</f>
        <v>#N/A</v>
      </c>
      <c r="AB1166" s="331" t="e">
        <f>EXACT(Logfile_S12[[#This Row],[date pick]],Logfile_S12[[#This Row],[Date]])</f>
        <v>#N/A</v>
      </c>
      <c r="AC11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67" spans="1:29" ht="14.5" hidden="1">
      <c r="A1167" s="220" t="str">
        <f t="shared" si="46"/>
        <v>1163</v>
      </c>
      <c r="B1167" s="221"/>
      <c r="C1167" s="221" t="s">
        <v>48</v>
      </c>
      <c r="D1167" s="221" t="s">
        <v>4079</v>
      </c>
      <c r="E1167" s="221" t="s">
        <v>3295</v>
      </c>
      <c r="F1167" s="221" t="s">
        <v>3299</v>
      </c>
      <c r="G1167" s="222">
        <v>45448</v>
      </c>
      <c r="H1167" s="223">
        <v>15.291666666666666</v>
      </c>
      <c r="I1167" s="221" t="s">
        <v>37</v>
      </c>
      <c r="J1167" s="221" t="s">
        <v>3023</v>
      </c>
      <c r="K1167" s="224" t="s">
        <v>14</v>
      </c>
      <c r="L1167" s="225" t="str">
        <f>VLOOKUP(Logfile_S12[[#This Row],[Material Name]],Sheet2!B:C,2,0)</f>
        <v>ZTE2005</v>
      </c>
      <c r="M1167" s="225" t="str">
        <f>_xlfn.XLOOKUP(Logfile_S12[[#This Row],[Material Name]],Sum_WH!E:E,Sum_WH!F:F,"",0)</f>
        <v>Pcs</v>
      </c>
      <c r="N1167" s="221">
        <v>4</v>
      </c>
      <c r="O1167" s="221" t="s">
        <v>1465</v>
      </c>
      <c r="P1167" s="221" t="s">
        <v>1466</v>
      </c>
      <c r="Q1167" s="221" t="s">
        <v>1509</v>
      </c>
      <c r="R1167" s="221" t="s">
        <v>1510</v>
      </c>
      <c r="S1167" s="221"/>
      <c r="T1167" s="221"/>
      <c r="U1167" s="221"/>
      <c r="V1167" s="221"/>
      <c r="W1167" s="221"/>
      <c r="X1167" s="221"/>
      <c r="Y1167" s="227"/>
      <c r="Z1167" s="227" t="str">
        <f t="shared" si="47"/>
        <v>Dusun Klampok Kucur</v>
      </c>
      <c r="AA1167" s="276">
        <f>VLOOKUP(Logfile_S12[[#This Row],[DO number]],DO_DB!G:I,3,0)</f>
        <v>45448</v>
      </c>
      <c r="AB1167" s="331" t="b">
        <f>EXACT(Logfile_S12[[#This Row],[date pick]],Logfile_S12[[#This Row],[Date]])</f>
        <v>1</v>
      </c>
      <c r="AC11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68" spans="1:29" ht="14.5" hidden="1">
      <c r="A1168" s="220" t="str">
        <f t="shared" si="46"/>
        <v>1164</v>
      </c>
      <c r="B1168" s="221"/>
      <c r="C1168" s="221" t="s">
        <v>49</v>
      </c>
      <c r="D1168" s="221" t="s">
        <v>4086</v>
      </c>
      <c r="E1168" s="221" t="s">
        <v>3295</v>
      </c>
      <c r="F1168" s="221" t="s">
        <v>3299</v>
      </c>
      <c r="G1168" s="222">
        <v>45454</v>
      </c>
      <c r="H1168" s="223">
        <v>0.58402777777777781</v>
      </c>
      <c r="I1168" s="221" t="s">
        <v>4916</v>
      </c>
      <c r="J1168" s="221" t="s">
        <v>3023</v>
      </c>
      <c r="K1168" s="224" t="s">
        <v>14</v>
      </c>
      <c r="L1168" s="225" t="str">
        <f>VLOOKUP(Logfile_S12[[#This Row],[Material Name]],Sheet2!B:C,2,0)</f>
        <v>ZTE2005</v>
      </c>
      <c r="M1168" s="225" t="str">
        <f>_xlfn.XLOOKUP(Logfile_S12[[#This Row],[Material Name]],Sum_WH!E:E,Sum_WH!F:F,"",0)</f>
        <v>Pcs</v>
      </c>
      <c r="N1168" s="221">
        <v>1</v>
      </c>
      <c r="O1168" s="221" t="s">
        <v>1465</v>
      </c>
      <c r="P1168" s="221" t="s">
        <v>1466</v>
      </c>
      <c r="Q1168" s="221"/>
      <c r="R1168" s="221"/>
      <c r="S1168" s="221"/>
      <c r="T1168" s="221" t="s">
        <v>3411</v>
      </c>
      <c r="U1168" s="221">
        <v>0</v>
      </c>
      <c r="V1168" s="221">
        <v>0</v>
      </c>
      <c r="W1168" s="221" t="s">
        <v>3412</v>
      </c>
      <c r="X1168" s="221"/>
      <c r="Y1168" s="227"/>
      <c r="Z1168" s="227" t="str">
        <f t="shared" si="47"/>
        <v>Dusun Klampok Kucur</v>
      </c>
      <c r="AA1168" s="276" t="e">
        <f>VLOOKUP(Logfile_S12[[#This Row],[DO number]],DO_DB!G:I,3,0)</f>
        <v>#N/A</v>
      </c>
      <c r="AB1168" s="331" t="e">
        <f>EXACT(Logfile_S12[[#This Row],[date pick]],Logfile_S12[[#This Row],[Date]])</f>
        <v>#N/A</v>
      </c>
      <c r="AC11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69" spans="1:29" ht="14.5" hidden="1">
      <c r="A1169" s="220" t="str">
        <f t="shared" si="46"/>
        <v>1165</v>
      </c>
      <c r="B1169" s="221"/>
      <c r="C1169" s="221" t="s">
        <v>49</v>
      </c>
      <c r="D1169" s="221" t="s">
        <v>4086</v>
      </c>
      <c r="E1169" s="221" t="s">
        <v>3295</v>
      </c>
      <c r="F1169" s="221" t="s">
        <v>3299</v>
      </c>
      <c r="G1169" s="222">
        <v>45454</v>
      </c>
      <c r="H1169" s="223">
        <v>0.58402777777777781</v>
      </c>
      <c r="I1169" s="221" t="s">
        <v>4916</v>
      </c>
      <c r="J1169" s="221" t="s">
        <v>3023</v>
      </c>
      <c r="K1169" s="224" t="s">
        <v>14</v>
      </c>
      <c r="L1169" s="225" t="str">
        <f>VLOOKUP(Logfile_S12[[#This Row],[Material Name]],Sheet2!B:C,2,0)</f>
        <v>ZTE2005</v>
      </c>
      <c r="M1169" s="225" t="str">
        <f>_xlfn.XLOOKUP(Logfile_S12[[#This Row],[Material Name]],Sum_WH!E:E,Sum_WH!F:F,"",0)</f>
        <v>Pcs</v>
      </c>
      <c r="N1169" s="221">
        <v>1</v>
      </c>
      <c r="O1169" s="221" t="s">
        <v>1473</v>
      </c>
      <c r="P1169" s="221" t="s">
        <v>1474</v>
      </c>
      <c r="Q1169" s="221"/>
      <c r="R1169" s="221"/>
      <c r="S1169" s="221"/>
      <c r="T1169" s="221" t="s">
        <v>3411</v>
      </c>
      <c r="U1169" s="221">
        <v>0</v>
      </c>
      <c r="V1169" s="221">
        <v>0</v>
      </c>
      <c r="W1169" s="221" t="s">
        <v>3412</v>
      </c>
      <c r="X1169" s="221"/>
      <c r="Y1169" s="227"/>
      <c r="Z1169" s="227" t="str">
        <f t="shared" si="47"/>
        <v>Dusun Sumber Bendo Kucur</v>
      </c>
      <c r="AA1169" s="276" t="e">
        <f>VLOOKUP(Logfile_S12[[#This Row],[DO number]],DO_DB!G:I,3,0)</f>
        <v>#N/A</v>
      </c>
      <c r="AB1169" s="331" t="e">
        <f>EXACT(Logfile_S12[[#This Row],[date pick]],Logfile_S12[[#This Row],[Date]])</f>
        <v>#N/A</v>
      </c>
      <c r="AC11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70" spans="1:29" ht="14.5" hidden="1">
      <c r="A1170" s="220" t="str">
        <f t="shared" si="46"/>
        <v>1166</v>
      </c>
      <c r="B1170" s="221"/>
      <c r="C1170" s="221" t="s">
        <v>3449</v>
      </c>
      <c r="D1170" s="221" t="s">
        <v>4090</v>
      </c>
      <c r="E1170" s="221" t="s">
        <v>3295</v>
      </c>
      <c r="F1170" s="221" t="s">
        <v>3299</v>
      </c>
      <c r="G1170" s="222">
        <v>45462</v>
      </c>
      <c r="H1170" s="223">
        <v>0.52986111111111112</v>
      </c>
      <c r="I1170" s="221" t="s">
        <v>3193</v>
      </c>
      <c r="J1170" s="221" t="s">
        <v>3023</v>
      </c>
      <c r="K1170" s="224" t="s">
        <v>14</v>
      </c>
      <c r="L1170" s="225" t="str">
        <f>VLOOKUP(Logfile_S12[[#This Row],[Material Name]],Sheet2!B:C,2,0)</f>
        <v>ZTE2005</v>
      </c>
      <c r="M1170" s="225" t="str">
        <f>_xlfn.XLOOKUP(Logfile_S12[[#This Row],[Material Name]],Sum_WH!E:E,Sum_WH!F:F,"",0)</f>
        <v>Pcs</v>
      </c>
      <c r="N1170" s="221">
        <v>1</v>
      </c>
      <c r="O1170" s="221" t="s">
        <v>4926</v>
      </c>
      <c r="P1170" s="221" t="s">
        <v>3478</v>
      </c>
      <c r="Q1170" s="221"/>
      <c r="R1170" s="221"/>
      <c r="S1170" s="221"/>
      <c r="T1170" s="221">
        <v>0</v>
      </c>
      <c r="U1170" s="221">
        <v>0</v>
      </c>
      <c r="V1170" s="221">
        <v>0</v>
      </c>
      <c r="W1170" s="221">
        <v>0</v>
      </c>
      <c r="X1170" s="221" t="s">
        <v>3554</v>
      </c>
      <c r="Y1170" s="227"/>
      <c r="Z1170" s="227" t="str">
        <f t="shared" si="47"/>
        <v>MORASHA</v>
      </c>
      <c r="AA1170" s="276" t="e">
        <f>VLOOKUP(Logfile_S12[[#This Row],[DO number]],DO_DB!G:I,3,0)</f>
        <v>#N/A</v>
      </c>
      <c r="AB1170" s="331" t="e">
        <f>EXACT(Logfile_S12[[#This Row],[date pick]],Logfile_S12[[#This Row],[Date]])</f>
        <v>#N/A</v>
      </c>
      <c r="AC11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171" spans="1:29" ht="14.5" hidden="1">
      <c r="A1171" s="220" t="str">
        <f t="shared" si="46"/>
        <v>1167</v>
      </c>
      <c r="B1171" s="221"/>
      <c r="C1171" s="221" t="s">
        <v>48</v>
      </c>
      <c r="D1171" s="221" t="s">
        <v>4103</v>
      </c>
      <c r="E1171" s="221" t="s">
        <v>3295</v>
      </c>
      <c r="F1171" s="221" t="s">
        <v>3299</v>
      </c>
      <c r="G1171" s="222">
        <v>45468</v>
      </c>
      <c r="H1171" s="223">
        <v>15.291666666666666</v>
      </c>
      <c r="I1171" s="221" t="s">
        <v>37</v>
      </c>
      <c r="J1171" s="221" t="s">
        <v>3023</v>
      </c>
      <c r="K1171" s="224" t="s">
        <v>14</v>
      </c>
      <c r="L1171" s="225" t="str">
        <f>VLOOKUP(Logfile_S12[[#This Row],[Material Name]],Sheet2!B:C,2,0)</f>
        <v>ZTE2005</v>
      </c>
      <c r="M1171" s="225" t="str">
        <f>_xlfn.XLOOKUP(Logfile_S12[[#This Row],[Material Name]],Sum_WH!E:E,Sum_WH!F:F,"",0)</f>
        <v>Pcs</v>
      </c>
      <c r="N1171" s="221">
        <v>1</v>
      </c>
      <c r="O1171" s="221"/>
      <c r="P1171" s="221"/>
      <c r="Q1171" s="221">
        <v>0</v>
      </c>
      <c r="R1171" s="221">
        <v>0</v>
      </c>
      <c r="S1171" s="221"/>
      <c r="T1171" s="221"/>
      <c r="U1171" s="221"/>
      <c r="V1171" s="221"/>
      <c r="W1171" s="221"/>
      <c r="X1171" s="221"/>
      <c r="Y1171" s="227"/>
      <c r="Z1171" s="227">
        <f t="shared" si="47"/>
        <v>0</v>
      </c>
      <c r="AA1171" s="276" t="e">
        <f>VLOOKUP(Logfile_S12[[#This Row],[DO number]],DO_DB!G:I,3,0)</f>
        <v>#N/A</v>
      </c>
      <c r="AB1171" s="331" t="e">
        <f>EXACT(Logfile_S12[[#This Row],[date pick]],Logfile_S12[[#This Row],[Date]])</f>
        <v>#N/A</v>
      </c>
      <c r="AC11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72" spans="1:29" ht="14.5" hidden="1">
      <c r="A1172" s="220" t="str">
        <f t="shared" si="46"/>
        <v>1168</v>
      </c>
      <c r="B1172" s="221"/>
      <c r="C1172" s="221" t="s">
        <v>49</v>
      </c>
      <c r="D1172" s="221" t="s">
        <v>4101</v>
      </c>
      <c r="E1172" s="221" t="s">
        <v>3295</v>
      </c>
      <c r="F1172" s="221" t="s">
        <v>3299</v>
      </c>
      <c r="G1172" s="222">
        <v>45468</v>
      </c>
      <c r="H1172" s="223">
        <v>0.53749999999999998</v>
      </c>
      <c r="I1172" s="221" t="s">
        <v>4916</v>
      </c>
      <c r="J1172" s="221" t="s">
        <v>3023</v>
      </c>
      <c r="K1172" s="224" t="s">
        <v>14</v>
      </c>
      <c r="L1172" s="225" t="str">
        <f>VLOOKUP(Logfile_S12[[#This Row],[Material Name]],Sheet2!B:C,2,0)</f>
        <v>ZTE2005</v>
      </c>
      <c r="M1172" s="225" t="str">
        <f>_xlfn.XLOOKUP(Logfile_S12[[#This Row],[Material Name]],Sum_WH!E:E,Sum_WH!F:F,"",0)</f>
        <v>Pcs</v>
      </c>
      <c r="N1172" s="221">
        <v>1</v>
      </c>
      <c r="O1172" s="221" t="s">
        <v>1683</v>
      </c>
      <c r="P1172" s="221" t="s">
        <v>1684</v>
      </c>
      <c r="Q1172" s="221"/>
      <c r="R1172" s="221"/>
      <c r="S1172" s="221"/>
      <c r="T1172" s="221" t="s">
        <v>3258</v>
      </c>
      <c r="U1172" s="221" t="s">
        <v>3228</v>
      </c>
      <c r="V1172" s="221" t="s">
        <v>3337</v>
      </c>
      <c r="W1172" s="221" t="s">
        <v>3338</v>
      </c>
      <c r="X1172" s="221"/>
      <c r="Y1172" s="227"/>
      <c r="Z1172" s="227" t="str">
        <f t="shared" si="47"/>
        <v>Lowokwaru RW 04</v>
      </c>
      <c r="AA1172" s="276" t="e">
        <f>VLOOKUP(Logfile_S12[[#This Row],[DO number]],DO_DB!G:I,3,0)</f>
        <v>#N/A</v>
      </c>
      <c r="AB1172" s="331" t="e">
        <f>EXACT(Logfile_S12[[#This Row],[date pick]],Logfile_S12[[#This Row],[Date]])</f>
        <v>#N/A</v>
      </c>
      <c r="AC11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73" spans="1:29" ht="14.5" hidden="1">
      <c r="A1173" s="220" t="str">
        <f t="shared" si="46"/>
        <v>1169</v>
      </c>
      <c r="B1173" s="221"/>
      <c r="C1173" s="221" t="s">
        <v>49</v>
      </c>
      <c r="D1173" s="221" t="s">
        <v>4105</v>
      </c>
      <c r="E1173" s="221" t="s">
        <v>3295</v>
      </c>
      <c r="F1173" s="221" t="s">
        <v>3299</v>
      </c>
      <c r="G1173" s="222">
        <v>45469</v>
      </c>
      <c r="H1173" s="223">
        <v>0.8847222222222223</v>
      </c>
      <c r="I1173" s="221" t="s">
        <v>4916</v>
      </c>
      <c r="J1173" s="221" t="s">
        <v>3023</v>
      </c>
      <c r="K1173" s="224" t="s">
        <v>14</v>
      </c>
      <c r="L1173" s="225" t="str">
        <f>VLOOKUP(Logfile_S12[[#This Row],[Material Name]],Sheet2!B:C,2,0)</f>
        <v>ZTE2005</v>
      </c>
      <c r="M1173" s="225" t="str">
        <f>_xlfn.XLOOKUP(Logfile_S12[[#This Row],[Material Name]],Sum_WH!E:E,Sum_WH!F:F,"",0)</f>
        <v>Pcs</v>
      </c>
      <c r="N1173" s="221">
        <v>1</v>
      </c>
      <c r="O1173" s="221" t="s">
        <v>1689</v>
      </c>
      <c r="P1173" s="221" t="s">
        <v>1690</v>
      </c>
      <c r="Q1173" s="221"/>
      <c r="R1173" s="221"/>
      <c r="S1173" s="221"/>
      <c r="T1173" s="221" t="s">
        <v>3471</v>
      </c>
      <c r="U1173" s="221">
        <v>0</v>
      </c>
      <c r="V1173" s="221" t="s">
        <v>3472</v>
      </c>
      <c r="W1173" s="221" t="s">
        <v>3473</v>
      </c>
      <c r="X1173" s="221"/>
      <c r="Y1173" s="227"/>
      <c r="Z1173" s="227" t="str">
        <f t="shared" si="47"/>
        <v>Kebonagung RW 13 Pakisaji</v>
      </c>
      <c r="AA1173" s="276" t="e">
        <f>VLOOKUP(Logfile_S12[[#This Row],[DO number]],DO_DB!G:I,3,0)</f>
        <v>#N/A</v>
      </c>
      <c r="AB1173" s="331" t="e">
        <f>EXACT(Logfile_S12[[#This Row],[date pick]],Logfile_S12[[#This Row],[Date]])</f>
        <v>#N/A</v>
      </c>
      <c r="AC11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74" spans="1:29" ht="14.5" hidden="1">
      <c r="A1174" s="220" t="str">
        <f t="shared" si="46"/>
        <v>1170</v>
      </c>
      <c r="B1174" s="221"/>
      <c r="C1174" s="221" t="s">
        <v>48</v>
      </c>
      <c r="D1174" s="221" t="s">
        <v>4113</v>
      </c>
      <c r="E1174" s="221" t="s">
        <v>3295</v>
      </c>
      <c r="F1174" s="221" t="s">
        <v>3299</v>
      </c>
      <c r="G1174" s="222">
        <v>45481</v>
      </c>
      <c r="H1174" s="223">
        <v>15.291666666666666</v>
      </c>
      <c r="I1174" s="221" t="s">
        <v>37</v>
      </c>
      <c r="J1174" s="221" t="s">
        <v>3023</v>
      </c>
      <c r="K1174" s="224" t="s">
        <v>14</v>
      </c>
      <c r="L1174" s="225" t="str">
        <f>VLOOKUP(Logfile_S12[[#This Row],[Material Name]],Sheet2!B:C,2,0)</f>
        <v>ZTE2005</v>
      </c>
      <c r="M1174" s="225" t="str">
        <f>_xlfn.XLOOKUP(Logfile_S12[[#This Row],[Material Name]],Sum_WH!E:E,Sum_WH!F:F,"",0)</f>
        <v>Pcs</v>
      </c>
      <c r="N1174" s="221">
        <v>6</v>
      </c>
      <c r="O1174" s="221" t="s">
        <v>1689</v>
      </c>
      <c r="P1174" s="221" t="s">
        <v>1690</v>
      </c>
      <c r="Q1174" s="221">
        <v>0</v>
      </c>
      <c r="R1174" s="221">
        <v>0</v>
      </c>
      <c r="S1174" s="221"/>
      <c r="T1174" s="221"/>
      <c r="U1174" s="221"/>
      <c r="V1174" s="221"/>
      <c r="W1174" s="221"/>
      <c r="X1174" s="221"/>
      <c r="Y1174" s="227"/>
      <c r="Z1174" s="227" t="str">
        <f t="shared" si="47"/>
        <v>Kebonagung RW 13 Pakisaji</v>
      </c>
      <c r="AA1174" s="276" t="e">
        <f>VLOOKUP(Logfile_S12[[#This Row],[DO number]],DO_DB!G:I,3,0)</f>
        <v>#N/A</v>
      </c>
      <c r="AB1174" s="331" t="e">
        <f>EXACT(Logfile_S12[[#This Row],[date pick]],Logfile_S12[[#This Row],[Date]])</f>
        <v>#N/A</v>
      </c>
      <c r="AC11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75" spans="1:29" ht="14.5" hidden="1">
      <c r="A1175" s="220" t="str">
        <f t="shared" si="46"/>
        <v>1171</v>
      </c>
      <c r="B1175" s="221"/>
      <c r="C1175" s="221" t="s">
        <v>49</v>
      </c>
      <c r="D1175" s="221" t="s">
        <v>4114</v>
      </c>
      <c r="E1175" s="221" t="s">
        <v>3295</v>
      </c>
      <c r="F1175" s="221" t="s">
        <v>3299</v>
      </c>
      <c r="G1175" s="222">
        <v>45483</v>
      </c>
      <c r="H1175" s="223">
        <v>0.40277777777777779</v>
      </c>
      <c r="I1175" s="221" t="s">
        <v>4916</v>
      </c>
      <c r="J1175" s="221" t="s">
        <v>3023</v>
      </c>
      <c r="K1175" s="224" t="s">
        <v>14</v>
      </c>
      <c r="L1175" s="225" t="str">
        <f>VLOOKUP(Logfile_S12[[#This Row],[Material Name]],Sheet2!B:C,2,0)</f>
        <v>ZTE2005</v>
      </c>
      <c r="M1175" s="225" t="str">
        <f>_xlfn.XLOOKUP(Logfile_S12[[#This Row],[Material Name]],Sum_WH!E:E,Sum_WH!F:F,"",0)</f>
        <v>Pcs</v>
      </c>
      <c r="N1175" s="221">
        <v>1</v>
      </c>
      <c r="O1175" s="221" t="s">
        <v>1721</v>
      </c>
      <c r="P1175" s="221" t="s">
        <v>1722</v>
      </c>
      <c r="Q1175" s="221"/>
      <c r="R1175" s="221"/>
      <c r="S1175" s="221"/>
      <c r="T1175" s="221" t="s">
        <v>3231</v>
      </c>
      <c r="U1175" s="221">
        <v>0</v>
      </c>
      <c r="V1175" s="221" t="s">
        <v>3232</v>
      </c>
      <c r="W1175" s="221" t="s">
        <v>3254</v>
      </c>
      <c r="X1175" s="221"/>
      <c r="Y1175" s="227"/>
      <c r="Z1175" s="227" t="str">
        <f t="shared" si="47"/>
        <v>Perumahan Perumnas Talangagung I Malang</v>
      </c>
      <c r="AA1175" s="276" t="e">
        <f>VLOOKUP(Logfile_S12[[#This Row],[DO number]],DO_DB!G:I,3,0)</f>
        <v>#N/A</v>
      </c>
      <c r="AB1175" s="331" t="e">
        <f>EXACT(Logfile_S12[[#This Row],[date pick]],Logfile_S12[[#This Row],[Date]])</f>
        <v>#N/A</v>
      </c>
      <c r="AC11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76" spans="1:29" ht="14.5" hidden="1">
      <c r="A1176" s="220" t="str">
        <f t="shared" si="46"/>
        <v>1172</v>
      </c>
      <c r="B1176" s="221"/>
      <c r="C1176" s="221" t="s">
        <v>49</v>
      </c>
      <c r="D1176" s="221" t="s">
        <v>4115</v>
      </c>
      <c r="E1176" s="221" t="s">
        <v>3295</v>
      </c>
      <c r="F1176" s="221" t="s">
        <v>3299</v>
      </c>
      <c r="G1176" s="222">
        <v>45483</v>
      </c>
      <c r="H1176" s="223">
        <v>0.65347222222222223</v>
      </c>
      <c r="I1176" s="221" t="s">
        <v>4916</v>
      </c>
      <c r="J1176" s="221" t="s">
        <v>3023</v>
      </c>
      <c r="K1176" s="224" t="s">
        <v>14</v>
      </c>
      <c r="L1176" s="225" t="str">
        <f>VLOOKUP(Logfile_S12[[#This Row],[Material Name]],Sheet2!B:C,2,0)</f>
        <v>ZTE2005</v>
      </c>
      <c r="M1176" s="225" t="str">
        <f>_xlfn.XLOOKUP(Logfile_S12[[#This Row],[Material Name]],Sum_WH!E:E,Sum_WH!F:F,"",0)</f>
        <v>Pcs</v>
      </c>
      <c r="N1176" s="221">
        <v>2</v>
      </c>
      <c r="O1176" s="221" t="s">
        <v>1705</v>
      </c>
      <c r="P1176" s="221" t="s">
        <v>1706</v>
      </c>
      <c r="Q1176" s="221"/>
      <c r="R1176" s="221"/>
      <c r="S1176" s="221"/>
      <c r="T1176" s="221" t="s">
        <v>3471</v>
      </c>
      <c r="U1176" s="221">
        <v>0</v>
      </c>
      <c r="V1176" s="221" t="s">
        <v>3472</v>
      </c>
      <c r="W1176" s="221" t="s">
        <v>3473</v>
      </c>
      <c r="X1176" s="221"/>
      <c r="Y1176" s="227"/>
      <c r="Z1176" s="227" t="str">
        <f t="shared" si="47"/>
        <v>Perumahan Kepanjen Permai II</v>
      </c>
      <c r="AA1176" s="276" t="e">
        <f>VLOOKUP(Logfile_S12[[#This Row],[DO number]],DO_DB!G:I,3,0)</f>
        <v>#N/A</v>
      </c>
      <c r="AB1176" s="331" t="e">
        <f>EXACT(Logfile_S12[[#This Row],[date pick]],Logfile_S12[[#This Row],[Date]])</f>
        <v>#N/A</v>
      </c>
      <c r="AC11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77" spans="1:29" ht="14.5" hidden="1">
      <c r="A1177" s="220" t="str">
        <f t="shared" si="46"/>
        <v>1173</v>
      </c>
      <c r="B1177" s="221"/>
      <c r="C1177" s="221" t="s">
        <v>49</v>
      </c>
      <c r="D1177" s="221" t="s">
        <v>4116</v>
      </c>
      <c r="E1177" s="221" t="s">
        <v>3295</v>
      </c>
      <c r="F1177" s="221" t="s">
        <v>3299</v>
      </c>
      <c r="G1177" s="222">
        <v>45484</v>
      </c>
      <c r="H1177" s="223">
        <v>0.89444444444444449</v>
      </c>
      <c r="I1177" s="221" t="s">
        <v>4916</v>
      </c>
      <c r="J1177" s="221" t="s">
        <v>3023</v>
      </c>
      <c r="K1177" s="224" t="s">
        <v>14</v>
      </c>
      <c r="L1177" s="225" t="str">
        <f>VLOOKUP(Logfile_S12[[#This Row],[Material Name]],Sheet2!B:C,2,0)</f>
        <v>ZTE2005</v>
      </c>
      <c r="M1177" s="225" t="str">
        <f>_xlfn.XLOOKUP(Logfile_S12[[#This Row],[Material Name]],Sum_WH!E:E,Sum_WH!F:F,"",0)</f>
        <v>Pcs</v>
      </c>
      <c r="N1177" s="221">
        <v>1</v>
      </c>
      <c r="O1177" s="221" t="s">
        <v>1721</v>
      </c>
      <c r="P1177" s="221" t="s">
        <v>1722</v>
      </c>
      <c r="Q1177" s="221"/>
      <c r="R1177" s="221"/>
      <c r="S1177" s="221"/>
      <c r="T1177" s="221" t="s">
        <v>3231</v>
      </c>
      <c r="U1177" s="221">
        <v>0</v>
      </c>
      <c r="V1177" s="221" t="s">
        <v>3232</v>
      </c>
      <c r="W1177" s="221" t="s">
        <v>3254</v>
      </c>
      <c r="X1177" s="221"/>
      <c r="Y1177" s="227"/>
      <c r="Z1177" s="227" t="str">
        <f t="shared" si="47"/>
        <v>Perumahan Perumnas Talangagung I Malang</v>
      </c>
      <c r="AA1177" s="276" t="e">
        <f>VLOOKUP(Logfile_S12[[#This Row],[DO number]],DO_DB!G:I,3,0)</f>
        <v>#N/A</v>
      </c>
      <c r="AB1177" s="331" t="e">
        <f>EXACT(Logfile_S12[[#This Row],[date pick]],Logfile_S12[[#This Row],[Date]])</f>
        <v>#N/A</v>
      </c>
      <c r="AC11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78" spans="1:29" ht="14.5" hidden="1">
      <c r="A1178" s="220" t="str">
        <f t="shared" si="46"/>
        <v>1174</v>
      </c>
      <c r="B1178" s="221"/>
      <c r="C1178" s="221" t="s">
        <v>49</v>
      </c>
      <c r="D1178" s="221" t="s">
        <v>4118</v>
      </c>
      <c r="E1178" s="221" t="s">
        <v>3295</v>
      </c>
      <c r="F1178" s="221" t="s">
        <v>3299</v>
      </c>
      <c r="G1178" s="222">
        <v>45487</v>
      </c>
      <c r="H1178" s="223">
        <v>0.67222222222222228</v>
      </c>
      <c r="I1178" s="221" t="s">
        <v>4916</v>
      </c>
      <c r="J1178" s="221" t="s">
        <v>3023</v>
      </c>
      <c r="K1178" s="224" t="s">
        <v>14</v>
      </c>
      <c r="L1178" s="225" t="str">
        <f>VLOOKUP(Logfile_S12[[#This Row],[Material Name]],Sheet2!B:C,2,0)</f>
        <v>ZTE2005</v>
      </c>
      <c r="M1178" s="225" t="str">
        <f>_xlfn.XLOOKUP(Logfile_S12[[#This Row],[Material Name]],Sum_WH!E:E,Sum_WH!F:F,"",0)</f>
        <v>Pcs</v>
      </c>
      <c r="N1178" s="221">
        <v>1</v>
      </c>
      <c r="O1178" s="221" t="s">
        <v>2013</v>
      </c>
      <c r="P1178" s="221" t="s">
        <v>2014</v>
      </c>
      <c r="Q1178" s="221"/>
      <c r="R1178" s="221"/>
      <c r="S1178" s="221"/>
      <c r="T1178" s="221" t="s">
        <v>3258</v>
      </c>
      <c r="U1178" s="221" t="s">
        <v>3228</v>
      </c>
      <c r="V1178" s="221" t="s">
        <v>3337</v>
      </c>
      <c r="W1178" s="221" t="s">
        <v>3338</v>
      </c>
      <c r="X1178" s="221"/>
      <c r="Y1178" s="227"/>
      <c r="Z1178" s="227" t="str">
        <f t="shared" si="47"/>
        <v>Perumahan Panca Garden</v>
      </c>
      <c r="AA1178" s="276" t="e">
        <f>VLOOKUP(Logfile_S12[[#This Row],[DO number]],DO_DB!G:I,3,0)</f>
        <v>#N/A</v>
      </c>
      <c r="AB1178" s="331" t="e">
        <f>EXACT(Logfile_S12[[#This Row],[date pick]],Logfile_S12[[#This Row],[Date]])</f>
        <v>#N/A</v>
      </c>
      <c r="AC11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79" spans="1:29" ht="14.5" hidden="1">
      <c r="A1179" s="220" t="str">
        <f t="shared" si="46"/>
        <v>1175</v>
      </c>
      <c r="B1179" s="221"/>
      <c r="C1179" s="221" t="s">
        <v>49</v>
      </c>
      <c r="D1179" s="221" t="s">
        <v>4119</v>
      </c>
      <c r="E1179" s="221" t="s">
        <v>3295</v>
      </c>
      <c r="F1179" s="221" t="s">
        <v>3299</v>
      </c>
      <c r="G1179" s="222">
        <v>45487</v>
      </c>
      <c r="H1179" s="223">
        <v>0.77013888888888893</v>
      </c>
      <c r="I1179" s="221" t="s">
        <v>4916</v>
      </c>
      <c r="J1179" s="221" t="s">
        <v>3023</v>
      </c>
      <c r="K1179" s="224" t="s">
        <v>14</v>
      </c>
      <c r="L1179" s="225" t="str">
        <f>VLOOKUP(Logfile_S12[[#This Row],[Material Name]],Sheet2!B:C,2,0)</f>
        <v>ZTE2005</v>
      </c>
      <c r="M1179" s="225" t="str">
        <f>_xlfn.XLOOKUP(Logfile_S12[[#This Row],[Material Name]],Sum_WH!E:E,Sum_WH!F:F,"",0)</f>
        <v>Pcs</v>
      </c>
      <c r="N1179" s="221">
        <v>1</v>
      </c>
      <c r="O1179" s="221" t="s">
        <v>2007</v>
      </c>
      <c r="P1179" s="221" t="s">
        <v>2008</v>
      </c>
      <c r="Q1179" s="221"/>
      <c r="R1179" s="221"/>
      <c r="S1179" s="221"/>
      <c r="T1179" s="221" t="s">
        <v>3471</v>
      </c>
      <c r="U1179" s="221">
        <v>0</v>
      </c>
      <c r="V1179" s="221" t="s">
        <v>3472</v>
      </c>
      <c r="W1179" s="221" t="s">
        <v>3473</v>
      </c>
      <c r="X1179" s="221"/>
      <c r="Y1179" s="227"/>
      <c r="Z1179" s="227" t="str">
        <f t="shared" si="47"/>
        <v>Ngenep RW 06 Karang Ploso</v>
      </c>
      <c r="AA1179" s="276" t="e">
        <f>VLOOKUP(Logfile_S12[[#This Row],[DO number]],DO_DB!G:I,3,0)</f>
        <v>#N/A</v>
      </c>
      <c r="AB1179" s="331" t="e">
        <f>EXACT(Logfile_S12[[#This Row],[date pick]],Logfile_S12[[#This Row],[Date]])</f>
        <v>#N/A</v>
      </c>
      <c r="AC11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80" spans="1:29" ht="14.5" hidden="1">
      <c r="A1180" s="220" t="str">
        <f t="shared" si="46"/>
        <v>1176</v>
      </c>
      <c r="B1180" s="221"/>
      <c r="C1180" s="221" t="s">
        <v>48</v>
      </c>
      <c r="D1180" s="221" t="s">
        <v>4126</v>
      </c>
      <c r="E1180" s="221" t="s">
        <v>3295</v>
      </c>
      <c r="F1180" s="221" t="s">
        <v>3299</v>
      </c>
      <c r="G1180" s="222">
        <v>45496</v>
      </c>
      <c r="H1180" s="223">
        <v>15.291666666666666</v>
      </c>
      <c r="I1180" s="221" t="s">
        <v>37</v>
      </c>
      <c r="J1180" s="221" t="s">
        <v>3023</v>
      </c>
      <c r="K1180" s="224" t="s">
        <v>14</v>
      </c>
      <c r="L1180" s="225" t="str">
        <f>VLOOKUP(Logfile_S12[[#This Row],[Material Name]],Sheet2!B:C,2,0)</f>
        <v>ZTE2005</v>
      </c>
      <c r="M1180" s="225" t="str">
        <f>_xlfn.XLOOKUP(Logfile_S12[[#This Row],[Material Name]],Sum_WH!E:E,Sum_WH!F:F,"",0)</f>
        <v>Pcs</v>
      </c>
      <c r="N1180" s="221">
        <v>2</v>
      </c>
      <c r="O1180" s="221"/>
      <c r="P1180" s="221"/>
      <c r="Q1180" s="221">
        <v>0</v>
      </c>
      <c r="R1180" s="221">
        <v>0</v>
      </c>
      <c r="S1180" s="221"/>
      <c r="T1180" s="221"/>
      <c r="U1180" s="221"/>
      <c r="V1180" s="221"/>
      <c r="W1180" s="221"/>
      <c r="X1180" s="221"/>
      <c r="Y1180" s="227"/>
      <c r="Z1180" s="227">
        <f t="shared" si="47"/>
        <v>0</v>
      </c>
      <c r="AA1180" s="276" t="e">
        <f>VLOOKUP(Logfile_S12[[#This Row],[DO number]],DO_DB!G:I,3,0)</f>
        <v>#N/A</v>
      </c>
      <c r="AB1180" s="331" t="e">
        <f>EXACT(Logfile_S12[[#This Row],[date pick]],Logfile_S12[[#This Row],[Date]])</f>
        <v>#N/A</v>
      </c>
      <c r="AC11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81" spans="1:29" ht="14.5" hidden="1">
      <c r="A1181" s="220" t="str">
        <f t="shared" si="46"/>
        <v>1177</v>
      </c>
      <c r="B1181" s="221"/>
      <c r="C1181" s="221" t="s">
        <v>49</v>
      </c>
      <c r="D1181" s="221" t="s">
        <v>4135</v>
      </c>
      <c r="E1181" s="221" t="s">
        <v>3295</v>
      </c>
      <c r="F1181" s="221" t="s">
        <v>3299</v>
      </c>
      <c r="G1181" s="222">
        <v>45503</v>
      </c>
      <c r="H1181" s="223">
        <v>0.43333333333333335</v>
      </c>
      <c r="I1181" s="221" t="s">
        <v>4916</v>
      </c>
      <c r="J1181" s="221" t="s">
        <v>3023</v>
      </c>
      <c r="K1181" s="224" t="s">
        <v>14</v>
      </c>
      <c r="L1181" s="225" t="str">
        <f>VLOOKUP(Logfile_S12[[#This Row],[Material Name]],Sheet2!B:C,2,0)</f>
        <v>ZTE2005</v>
      </c>
      <c r="M1181" s="225" t="str">
        <f>_xlfn.XLOOKUP(Logfile_S12[[#This Row],[Material Name]],Sum_WH!E:E,Sum_WH!F:F,"",0)</f>
        <v>Pcs</v>
      </c>
      <c r="N1181" s="221">
        <v>2</v>
      </c>
      <c r="O1181" s="221" t="s">
        <v>1803</v>
      </c>
      <c r="P1181" s="221" t="s">
        <v>1804</v>
      </c>
      <c r="Q1181" s="221"/>
      <c r="R1181" s="221"/>
      <c r="S1181" s="221"/>
      <c r="T1181" s="221" t="s">
        <v>3258</v>
      </c>
      <c r="U1181" s="221" t="s">
        <v>3228</v>
      </c>
      <c r="V1181" s="221" t="s">
        <v>3337</v>
      </c>
      <c r="W1181" s="221" t="s">
        <v>3338</v>
      </c>
      <c r="X1181" s="221"/>
      <c r="Y1181" s="227"/>
      <c r="Z1181" s="227" t="str">
        <f t="shared" si="47"/>
        <v>Dusun Langlang IV Singosari</v>
      </c>
      <c r="AA1181" s="276" t="e">
        <f>VLOOKUP(Logfile_S12[[#This Row],[DO number]],DO_DB!G:I,3,0)</f>
        <v>#N/A</v>
      </c>
      <c r="AB1181" s="331" t="e">
        <f>EXACT(Logfile_S12[[#This Row],[date pick]],Logfile_S12[[#This Row],[Date]])</f>
        <v>#N/A</v>
      </c>
      <c r="AC11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82" spans="1:29" ht="14.5" hidden="1">
      <c r="A1182" s="220" t="str">
        <f t="shared" si="46"/>
        <v>1178</v>
      </c>
      <c r="B1182" s="221"/>
      <c r="C1182" s="221" t="s">
        <v>3429</v>
      </c>
      <c r="D1182" s="221" t="s">
        <v>4171</v>
      </c>
      <c r="E1182" s="221" t="s">
        <v>3295</v>
      </c>
      <c r="F1182" s="221" t="s">
        <v>3299</v>
      </c>
      <c r="G1182" s="222">
        <v>45526</v>
      </c>
      <c r="H1182" s="223">
        <v>15.291666666666666</v>
      </c>
      <c r="I1182" s="221" t="s">
        <v>3193</v>
      </c>
      <c r="J1182" s="221" t="s">
        <v>3023</v>
      </c>
      <c r="K1182" s="224" t="s">
        <v>14</v>
      </c>
      <c r="L1182" s="225" t="str">
        <f>VLOOKUP(Logfile_S12[[#This Row],[Material Name]],Sheet2!B:C,2,0)</f>
        <v>ZTE2005</v>
      </c>
      <c r="M1182" s="225" t="str">
        <f>_xlfn.XLOOKUP(Logfile_S12[[#This Row],[Material Name]],Sum_WH!E:E,Sum_WH!F:F,"",0)</f>
        <v>Pcs</v>
      </c>
      <c r="N1182" s="221">
        <v>1</v>
      </c>
      <c r="O1182" s="221" t="s">
        <v>4926</v>
      </c>
      <c r="P1182" s="221" t="s">
        <v>3478</v>
      </c>
      <c r="Q1182" s="221">
        <v>0</v>
      </c>
      <c r="R1182" s="221">
        <v>0</v>
      </c>
      <c r="S1182" s="221"/>
      <c r="T1182" s="221"/>
      <c r="U1182" s="221"/>
      <c r="V1182" s="221"/>
      <c r="W1182" s="221"/>
      <c r="X1182" s="221" t="s">
        <v>3555</v>
      </c>
      <c r="Y1182" s="227"/>
      <c r="Z1182" s="227" t="str">
        <f t="shared" si="47"/>
        <v>MORASHA</v>
      </c>
      <c r="AA1182" s="276" t="e">
        <f>VLOOKUP(Logfile_S12[[#This Row],[DO number]],DO_DB!G:I,3,0)</f>
        <v>#N/A</v>
      </c>
      <c r="AB1182" s="331" t="e">
        <f>EXACT(Logfile_S12[[#This Row],[date pick]],Logfile_S12[[#This Row],[Date]])</f>
        <v>#N/A</v>
      </c>
      <c r="AC11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83" spans="1:29" ht="14.5" hidden="1">
      <c r="A1183" s="220" t="str">
        <f t="shared" si="46"/>
        <v>1179</v>
      </c>
      <c r="B1183" s="221"/>
      <c r="C1183" s="221" t="s">
        <v>48</v>
      </c>
      <c r="D1183" s="221" t="s">
        <v>4170</v>
      </c>
      <c r="E1183" s="221" t="s">
        <v>3295</v>
      </c>
      <c r="F1183" s="221" t="s">
        <v>3299</v>
      </c>
      <c r="G1183" s="222">
        <v>45526</v>
      </c>
      <c r="H1183" s="223">
        <v>15.291666666666666</v>
      </c>
      <c r="I1183" s="221" t="s">
        <v>37</v>
      </c>
      <c r="J1183" s="221" t="s">
        <v>3023</v>
      </c>
      <c r="K1183" s="224" t="s">
        <v>14</v>
      </c>
      <c r="L1183" s="225" t="str">
        <f>VLOOKUP(Logfile_S12[[#This Row],[Material Name]],Sheet2!B:C,2,0)</f>
        <v>ZTE2005</v>
      </c>
      <c r="M1183" s="225" t="str">
        <f>_xlfn.XLOOKUP(Logfile_S12[[#This Row],[Material Name]],Sum_WH!E:E,Sum_WH!F:F,"",0)</f>
        <v>Pcs</v>
      </c>
      <c r="N1183" s="221">
        <v>5</v>
      </c>
      <c r="O1183" s="221"/>
      <c r="P1183" s="221"/>
      <c r="Q1183" s="221">
        <v>0</v>
      </c>
      <c r="R1183" s="221">
        <v>0</v>
      </c>
      <c r="S1183" s="221"/>
      <c r="T1183" s="221"/>
      <c r="U1183" s="221"/>
      <c r="V1183" s="221"/>
      <c r="W1183" s="221"/>
      <c r="X1183" s="221"/>
      <c r="Y1183" s="227"/>
      <c r="Z1183" s="227">
        <f t="shared" si="47"/>
        <v>0</v>
      </c>
      <c r="AA1183" s="276" t="e">
        <f>VLOOKUP(Logfile_S12[[#This Row],[DO number]],DO_DB!G:I,3,0)</f>
        <v>#N/A</v>
      </c>
      <c r="AB1183" s="331" t="e">
        <f>EXACT(Logfile_S12[[#This Row],[date pick]],Logfile_S12[[#This Row],[Date]])</f>
        <v>#N/A</v>
      </c>
      <c r="AC11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84" spans="1:29" ht="14.5" hidden="1">
      <c r="A1184" s="220" t="str">
        <f t="shared" si="46"/>
        <v>1180</v>
      </c>
      <c r="B1184" s="221"/>
      <c r="C1184" s="221" t="s">
        <v>49</v>
      </c>
      <c r="D1184" s="221" t="s">
        <v>4168</v>
      </c>
      <c r="E1184" s="221" t="s">
        <v>3295</v>
      </c>
      <c r="F1184" s="221" t="s">
        <v>3299</v>
      </c>
      <c r="G1184" s="222">
        <v>45526</v>
      </c>
      <c r="H1184" s="223">
        <v>0.46736111111111112</v>
      </c>
      <c r="I1184" s="221" t="s">
        <v>4916</v>
      </c>
      <c r="J1184" s="221" t="s">
        <v>3023</v>
      </c>
      <c r="K1184" s="224" t="s">
        <v>14</v>
      </c>
      <c r="L1184" s="225" t="str">
        <f>VLOOKUP(Logfile_S12[[#This Row],[Material Name]],Sheet2!B:C,2,0)</f>
        <v>ZTE2005</v>
      </c>
      <c r="M1184" s="225" t="str">
        <f>_xlfn.XLOOKUP(Logfile_S12[[#This Row],[Material Name]],Sum_WH!E:E,Sum_WH!F:F,"",0)</f>
        <v>Pcs</v>
      </c>
      <c r="N1184" s="221">
        <v>1</v>
      </c>
      <c r="O1184" s="221" t="s">
        <v>1391</v>
      </c>
      <c r="P1184" s="221" t="s">
        <v>1392</v>
      </c>
      <c r="Q1184" s="221"/>
      <c r="R1184" s="221"/>
      <c r="S1184" s="221"/>
      <c r="T1184" s="221" t="s">
        <v>3471</v>
      </c>
      <c r="U1184" s="221">
        <v>0</v>
      </c>
      <c r="V1184" s="221" t="s">
        <v>3472</v>
      </c>
      <c r="W1184" s="221" t="s">
        <v>3473</v>
      </c>
      <c r="X1184" s="221"/>
      <c r="Y1184" s="227"/>
      <c r="Z1184" s="227" t="str">
        <f t="shared" si="47"/>
        <v>Klampok RW 01 Singosari</v>
      </c>
      <c r="AA1184" s="276" t="e">
        <f>VLOOKUP(Logfile_S12[[#This Row],[DO number]],DO_DB!G:I,3,0)</f>
        <v>#N/A</v>
      </c>
      <c r="AB1184" s="331" t="e">
        <f>EXACT(Logfile_S12[[#This Row],[date pick]],Logfile_S12[[#This Row],[Date]])</f>
        <v>#N/A</v>
      </c>
      <c r="AC11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85" spans="1:29" ht="14.5" hidden="1">
      <c r="A1185" s="220" t="str">
        <f t="shared" si="46"/>
        <v>1181</v>
      </c>
      <c r="B1185" s="221"/>
      <c r="C1185" s="221" t="s">
        <v>48</v>
      </c>
      <c r="D1185" s="221" t="s">
        <v>4185</v>
      </c>
      <c r="E1185" s="221" t="s">
        <v>3295</v>
      </c>
      <c r="F1185" s="221" t="s">
        <v>3299</v>
      </c>
      <c r="G1185" s="222">
        <v>45532</v>
      </c>
      <c r="H1185" s="223">
        <v>15.291666666666666</v>
      </c>
      <c r="I1185" s="221" t="s">
        <v>37</v>
      </c>
      <c r="J1185" s="221" t="s">
        <v>3023</v>
      </c>
      <c r="K1185" s="224" t="s">
        <v>14</v>
      </c>
      <c r="L1185" s="225" t="str">
        <f>VLOOKUP(Logfile_S12[[#This Row],[Material Name]],Sheet2!B:C,2,0)</f>
        <v>ZTE2005</v>
      </c>
      <c r="M1185" s="225" t="str">
        <f>_xlfn.XLOOKUP(Logfile_S12[[#This Row],[Material Name]],Sum_WH!E:E,Sum_WH!F:F,"",0)</f>
        <v>Pcs</v>
      </c>
      <c r="N1185" s="221">
        <v>4</v>
      </c>
      <c r="O1185" s="221"/>
      <c r="P1185" s="221"/>
      <c r="Q1185" s="221">
        <v>0</v>
      </c>
      <c r="R1185" s="221">
        <v>0</v>
      </c>
      <c r="S1185" s="221"/>
      <c r="T1185" s="221"/>
      <c r="U1185" s="221"/>
      <c r="V1185" s="221"/>
      <c r="W1185" s="221"/>
      <c r="X1185" s="221"/>
      <c r="Y1185" s="227"/>
      <c r="Z1185" s="227">
        <f t="shared" si="47"/>
        <v>0</v>
      </c>
      <c r="AA1185" s="276" t="e">
        <f>VLOOKUP(Logfile_S12[[#This Row],[DO number]],DO_DB!G:I,3,0)</f>
        <v>#N/A</v>
      </c>
      <c r="AB1185" s="331" t="e">
        <f>EXACT(Logfile_S12[[#This Row],[date pick]],Logfile_S12[[#This Row],[Date]])</f>
        <v>#N/A</v>
      </c>
      <c r="AC11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86" spans="1:29" ht="14.5" hidden="1">
      <c r="A1186" s="220" t="str">
        <f t="shared" si="46"/>
        <v>1182</v>
      </c>
      <c r="B1186" s="221"/>
      <c r="C1186" s="221" t="s">
        <v>49</v>
      </c>
      <c r="D1186" s="221" t="s">
        <v>4183</v>
      </c>
      <c r="E1186" s="221" t="s">
        <v>3295</v>
      </c>
      <c r="F1186" s="221" t="s">
        <v>3299</v>
      </c>
      <c r="G1186" s="222">
        <v>45532</v>
      </c>
      <c r="H1186" s="223">
        <v>0.47847222222222224</v>
      </c>
      <c r="I1186" s="221" t="s">
        <v>4916</v>
      </c>
      <c r="J1186" s="221" t="s">
        <v>3023</v>
      </c>
      <c r="K1186" s="224" t="s">
        <v>14</v>
      </c>
      <c r="L1186" s="225" t="str">
        <f>VLOOKUP(Logfile_S12[[#This Row],[Material Name]],Sheet2!B:C,2,0)</f>
        <v>ZTE2005</v>
      </c>
      <c r="M1186" s="225" t="str">
        <f>_xlfn.XLOOKUP(Logfile_S12[[#This Row],[Material Name]],Sum_WH!E:E,Sum_WH!F:F,"",0)</f>
        <v>Pcs</v>
      </c>
      <c r="N1186" s="221">
        <v>2</v>
      </c>
      <c r="O1186" s="221" t="s">
        <v>1911</v>
      </c>
      <c r="P1186" s="221" t="s">
        <v>1912</v>
      </c>
      <c r="Q1186" s="221"/>
      <c r="R1186" s="221"/>
      <c r="S1186" s="221"/>
      <c r="T1186" s="221" t="s">
        <v>3471</v>
      </c>
      <c r="U1186" s="221">
        <v>0</v>
      </c>
      <c r="V1186" s="221" t="s">
        <v>3472</v>
      </c>
      <c r="W1186" s="221" t="s">
        <v>3473</v>
      </c>
      <c r="X1186" s="221"/>
      <c r="Y1186" s="227"/>
      <c r="Z1186" s="227" t="str">
        <f t="shared" si="47"/>
        <v>Dilem RW 03 Kepanjen</v>
      </c>
      <c r="AA1186" s="276" t="e">
        <f>VLOOKUP(Logfile_S12[[#This Row],[DO number]],DO_DB!G:I,3,0)</f>
        <v>#N/A</v>
      </c>
      <c r="AB1186" s="331" t="e">
        <f>EXACT(Logfile_S12[[#This Row],[date pick]],Logfile_S12[[#This Row],[Date]])</f>
        <v>#N/A</v>
      </c>
      <c r="AC11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87" spans="1:29" ht="14.5" hidden="1">
      <c r="A1187" s="220" t="str">
        <f t="shared" si="46"/>
        <v>1183</v>
      </c>
      <c r="B1187" s="221"/>
      <c r="C1187" s="221" t="s">
        <v>49</v>
      </c>
      <c r="D1187" s="221" t="s">
        <v>4193</v>
      </c>
      <c r="E1187" s="221" t="s">
        <v>3295</v>
      </c>
      <c r="F1187" s="221" t="s">
        <v>3299</v>
      </c>
      <c r="G1187" s="222">
        <v>45535</v>
      </c>
      <c r="H1187" s="223">
        <v>0.52083333333333337</v>
      </c>
      <c r="I1187" s="221" t="s">
        <v>4916</v>
      </c>
      <c r="J1187" s="221" t="s">
        <v>3023</v>
      </c>
      <c r="K1187" s="224" t="s">
        <v>14</v>
      </c>
      <c r="L1187" s="225" t="str">
        <f>VLOOKUP(Logfile_S12[[#This Row],[Material Name]],Sheet2!B:C,2,0)</f>
        <v>ZTE2005</v>
      </c>
      <c r="M1187" s="225" t="str">
        <f>_xlfn.XLOOKUP(Logfile_S12[[#This Row],[Material Name]],Sum_WH!E:E,Sum_WH!F:F,"",0)</f>
        <v>Pcs</v>
      </c>
      <c r="N1187" s="221">
        <v>2</v>
      </c>
      <c r="O1187" s="221" t="s">
        <v>1929</v>
      </c>
      <c r="P1187" s="221" t="s">
        <v>1930</v>
      </c>
      <c r="Q1187" s="221"/>
      <c r="R1187" s="221"/>
      <c r="S1187" s="221"/>
      <c r="T1187" s="221" t="s">
        <v>3244</v>
      </c>
      <c r="U1187" s="221">
        <v>0</v>
      </c>
      <c r="V1187" s="221" t="s">
        <v>3248</v>
      </c>
      <c r="W1187" s="221" t="s">
        <v>3252</v>
      </c>
      <c r="X1187" s="221"/>
      <c r="Y1187" s="227"/>
      <c r="Z1187" s="227" t="str">
        <f t="shared" si="47"/>
        <v>Dusun Krajan Sumbersekar</v>
      </c>
      <c r="AA1187" s="276" t="e">
        <f>VLOOKUP(Logfile_S12[[#This Row],[DO number]],DO_DB!G:I,3,0)</f>
        <v>#N/A</v>
      </c>
      <c r="AB1187" s="331" t="e">
        <f>EXACT(Logfile_S12[[#This Row],[date pick]],Logfile_S12[[#This Row],[Date]])</f>
        <v>#N/A</v>
      </c>
      <c r="AC11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88" spans="1:29" ht="14.5" hidden="1">
      <c r="A1188" s="220" t="str">
        <f t="shared" si="46"/>
        <v>1184</v>
      </c>
      <c r="B1188" s="221"/>
      <c r="C1188" s="221" t="s">
        <v>49</v>
      </c>
      <c r="D1188" s="221" t="s">
        <v>4205</v>
      </c>
      <c r="E1188" s="221" t="s">
        <v>3295</v>
      </c>
      <c r="F1188" s="221" t="s">
        <v>3299</v>
      </c>
      <c r="G1188" s="222">
        <v>45540</v>
      </c>
      <c r="H1188" s="223">
        <v>8.1944444444444445E-2</v>
      </c>
      <c r="I1188" s="221" t="s">
        <v>4916</v>
      </c>
      <c r="J1188" s="221" t="s">
        <v>3023</v>
      </c>
      <c r="K1188" s="224" t="s">
        <v>14</v>
      </c>
      <c r="L1188" s="225" t="str">
        <f>VLOOKUP(Logfile_S12[[#This Row],[Material Name]],Sheet2!B:C,2,0)</f>
        <v>ZTE2005</v>
      </c>
      <c r="M1188" s="225" t="str">
        <f>_xlfn.XLOOKUP(Logfile_S12[[#This Row],[Material Name]],Sum_WH!E:E,Sum_WH!F:F,"",0)</f>
        <v>Pcs</v>
      </c>
      <c r="N1188" s="221">
        <v>1</v>
      </c>
      <c r="O1188" s="221" t="s">
        <v>1955</v>
      </c>
      <c r="P1188" s="221" t="s">
        <v>3512</v>
      </c>
      <c r="Q1188" s="221"/>
      <c r="R1188" s="221"/>
      <c r="S1188" s="221"/>
      <c r="T1188" s="221" t="s">
        <v>3231</v>
      </c>
      <c r="U1188" s="221">
        <v>0</v>
      </c>
      <c r="V1188" s="221" t="s">
        <v>3232</v>
      </c>
      <c r="W1188" s="221" t="s">
        <v>3254</v>
      </c>
      <c r="X1188" s="221"/>
      <c r="Y1188" s="227"/>
      <c r="Z1188" s="227" t="str">
        <f t="shared" si="47"/>
        <v>SENGGURUH RW 02 MALANG</v>
      </c>
      <c r="AA1188" s="276" t="e">
        <f>VLOOKUP(Logfile_S12[[#This Row],[DO number]],DO_DB!G:I,3,0)</f>
        <v>#N/A</v>
      </c>
      <c r="AB1188" s="331" t="e">
        <f>EXACT(Logfile_S12[[#This Row],[date pick]],Logfile_S12[[#This Row],[Date]])</f>
        <v>#N/A</v>
      </c>
      <c r="AC11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89" spans="1:29" ht="14.5" hidden="1">
      <c r="A1189" s="220" t="str">
        <f t="shared" si="46"/>
        <v>1185</v>
      </c>
      <c r="B1189" s="221"/>
      <c r="C1189" s="221" t="s">
        <v>3388</v>
      </c>
      <c r="D1189" s="221" t="s">
        <v>4244</v>
      </c>
      <c r="E1189" s="221" t="s">
        <v>3295</v>
      </c>
      <c r="F1189" s="221" t="s">
        <v>3299</v>
      </c>
      <c r="G1189" s="222">
        <v>45565</v>
      </c>
      <c r="H1189" s="223">
        <v>0.73263888888888884</v>
      </c>
      <c r="I1189" s="221" t="s">
        <v>4922</v>
      </c>
      <c r="J1189" s="221" t="s">
        <v>3023</v>
      </c>
      <c r="K1189" s="224" t="s">
        <v>14</v>
      </c>
      <c r="L1189" s="225" t="str">
        <f>VLOOKUP(Logfile_S12[[#This Row],[Material Name]],Sheet2!B:C,2,0)</f>
        <v>ZTE2005</v>
      </c>
      <c r="M1189" s="225" t="str">
        <f>_xlfn.XLOOKUP(Logfile_S12[[#This Row],[Material Name]],Sum_WH!E:E,Sum_WH!F:F,"",0)</f>
        <v>Pcs</v>
      </c>
      <c r="N1189" s="221">
        <v>1</v>
      </c>
      <c r="O1189" s="221">
        <v>0</v>
      </c>
      <c r="P1189" s="221" t="s">
        <v>3223</v>
      </c>
      <c r="Q1189" s="221"/>
      <c r="R1189" s="221"/>
      <c r="S1189" s="221"/>
      <c r="T1189" s="221" t="s">
        <v>3247</v>
      </c>
      <c r="U1189" s="221">
        <v>0</v>
      </c>
      <c r="V1189" s="221" t="s">
        <v>3375</v>
      </c>
      <c r="W1189" s="221" t="s">
        <v>3376</v>
      </c>
      <c r="X1189" s="221" t="s">
        <v>3477</v>
      </c>
      <c r="Y1189" s="227"/>
      <c r="Z1189" s="227" t="str">
        <f t="shared" si="47"/>
        <v>Transfer Gudang</v>
      </c>
      <c r="AA1189" s="276" t="e">
        <f>VLOOKUP(Logfile_S12[[#This Row],[DO number]],DO_DB!G:I,3,0)</f>
        <v>#N/A</v>
      </c>
      <c r="AB1189" s="331" t="e">
        <f>EXACT(Logfile_S12[[#This Row],[date pick]],Logfile_S12[[#This Row],[Date]])</f>
        <v>#N/A</v>
      </c>
      <c r="AC11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190" spans="1:29" ht="14.5" hidden="1">
      <c r="A1190" s="220" t="str">
        <f t="shared" si="46"/>
        <v>1186</v>
      </c>
      <c r="B1190" s="221"/>
      <c r="C1190" s="221" t="s">
        <v>49</v>
      </c>
      <c r="D1190" s="221" t="s">
        <v>4246</v>
      </c>
      <c r="E1190" s="221" t="s">
        <v>3295</v>
      </c>
      <c r="F1190" s="221" t="s">
        <v>3299</v>
      </c>
      <c r="G1190" s="222">
        <v>45570</v>
      </c>
      <c r="H1190" s="223">
        <v>0.79027777777777775</v>
      </c>
      <c r="I1190" s="221" t="s">
        <v>4916</v>
      </c>
      <c r="J1190" s="221" t="s">
        <v>3023</v>
      </c>
      <c r="K1190" s="224" t="s">
        <v>14</v>
      </c>
      <c r="L1190" s="225" t="str">
        <f>VLOOKUP(Logfile_S12[[#This Row],[Material Name]],Sheet2!B:C,2,0)</f>
        <v>ZTE2005</v>
      </c>
      <c r="M1190" s="225" t="str">
        <f>_xlfn.XLOOKUP(Logfile_S12[[#This Row],[Material Name]],Sum_WH!E:E,Sum_WH!F:F,"",0)</f>
        <v>Pcs</v>
      </c>
      <c r="N1190" s="221">
        <v>1</v>
      </c>
      <c r="O1190" s="221" t="s">
        <v>1923</v>
      </c>
      <c r="P1190" s="221" t="s">
        <v>1924</v>
      </c>
      <c r="Q1190" s="221"/>
      <c r="R1190" s="221"/>
      <c r="S1190" s="221"/>
      <c r="T1190" s="221" t="s">
        <v>3356</v>
      </c>
      <c r="U1190" s="221">
        <v>0</v>
      </c>
      <c r="V1190" s="221" t="s">
        <v>3357</v>
      </c>
      <c r="W1190" s="221" t="s">
        <v>3358</v>
      </c>
      <c r="X1190" s="221"/>
      <c r="Y1190" s="227"/>
      <c r="Z1190" s="227" t="str">
        <f t="shared" si="47"/>
        <v>Pakisaji RW 01 Malang</v>
      </c>
      <c r="AA1190" s="276" t="e">
        <f>VLOOKUP(Logfile_S12[[#This Row],[DO number]],DO_DB!G:I,3,0)</f>
        <v>#N/A</v>
      </c>
      <c r="AB1190" s="331" t="e">
        <f>EXACT(Logfile_S12[[#This Row],[date pick]],Logfile_S12[[#This Row],[Date]])</f>
        <v>#N/A</v>
      </c>
      <c r="AC11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91" spans="1:29" ht="14.5" hidden="1">
      <c r="A1191" s="220" t="str">
        <f t="shared" si="46"/>
        <v>1187</v>
      </c>
      <c r="B1191" s="221"/>
      <c r="C1191" s="221" t="s">
        <v>49</v>
      </c>
      <c r="D1191" s="221" t="s">
        <v>4273</v>
      </c>
      <c r="E1191" s="221" t="s">
        <v>3295</v>
      </c>
      <c r="F1191" s="221" t="s">
        <v>3299</v>
      </c>
      <c r="G1191" s="222">
        <v>45604</v>
      </c>
      <c r="H1191" s="223">
        <v>0.57152777777777775</v>
      </c>
      <c r="I1191" s="221" t="s">
        <v>4916</v>
      </c>
      <c r="J1191" s="221" t="s">
        <v>3023</v>
      </c>
      <c r="K1191" s="224" t="s">
        <v>14</v>
      </c>
      <c r="L1191" s="225" t="str">
        <f>VLOOKUP(Logfile_S12[[#This Row],[Material Name]],Sheet2!B:C,2,0)</f>
        <v>ZTE2005</v>
      </c>
      <c r="M1191" s="225" t="str">
        <f>_xlfn.XLOOKUP(Logfile_S12[[#This Row],[Material Name]],Sum_WH!E:E,Sum_WH!F:F,"",0)</f>
        <v>Pcs</v>
      </c>
      <c r="N1191" s="221">
        <v>1</v>
      </c>
      <c r="O1191" s="221" t="s">
        <v>1395</v>
      </c>
      <c r="P1191" s="221" t="s">
        <v>1396</v>
      </c>
      <c r="Q1191" s="221"/>
      <c r="R1191" s="221"/>
      <c r="S1191" s="221"/>
      <c r="T1191" s="221" t="s">
        <v>3231</v>
      </c>
      <c r="U1191" s="221">
        <v>0</v>
      </c>
      <c r="V1191" s="221" t="s">
        <v>3232</v>
      </c>
      <c r="W1191" s="221" t="s">
        <v>3254</v>
      </c>
      <c r="X1191" s="221"/>
      <c r="Y1191" s="227"/>
      <c r="Z1191" s="227" t="str">
        <f t="shared" si="47"/>
        <v>Candirenggo RW 10 Singosari</v>
      </c>
      <c r="AA1191" s="276" t="e">
        <f>VLOOKUP(Logfile_S12[[#This Row],[DO number]],DO_DB!G:I,3,0)</f>
        <v>#N/A</v>
      </c>
      <c r="AB1191" s="331" t="e">
        <f>EXACT(Logfile_S12[[#This Row],[date pick]],Logfile_S12[[#This Row],[Date]])</f>
        <v>#N/A</v>
      </c>
      <c r="AC11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92" spans="1:29" ht="14.5" hidden="1">
      <c r="A1192" s="220" t="str">
        <f t="shared" si="46"/>
        <v>1188</v>
      </c>
      <c r="B1192" s="221"/>
      <c r="C1192" s="221" t="s">
        <v>49</v>
      </c>
      <c r="D1192" s="221" t="s">
        <v>4285</v>
      </c>
      <c r="E1192" s="221" t="s">
        <v>3295</v>
      </c>
      <c r="F1192" s="221" t="s">
        <v>3299</v>
      </c>
      <c r="G1192" s="222">
        <v>45620</v>
      </c>
      <c r="H1192" s="223">
        <v>0.79027777777777775</v>
      </c>
      <c r="I1192" s="221" t="s">
        <v>4916</v>
      </c>
      <c r="J1192" s="221" t="s">
        <v>3023</v>
      </c>
      <c r="K1192" s="224" t="s">
        <v>14</v>
      </c>
      <c r="L1192" s="225" t="str">
        <f>VLOOKUP(Logfile_S12[[#This Row],[Material Name]],Sheet2!B:C,2,0)</f>
        <v>ZTE2005</v>
      </c>
      <c r="M1192" s="225" t="str">
        <f>_xlfn.XLOOKUP(Logfile_S12[[#This Row],[Material Name]],Sum_WH!E:E,Sum_WH!F:F,"",0)</f>
        <v>Pcs</v>
      </c>
      <c r="N1192" s="221">
        <v>1</v>
      </c>
      <c r="O1192" s="221" t="s">
        <v>2520</v>
      </c>
      <c r="P1192" s="221" t="s">
        <v>2521</v>
      </c>
      <c r="Q1192" s="221"/>
      <c r="R1192" s="221"/>
      <c r="S1192" s="221"/>
      <c r="T1192" s="221" t="s">
        <v>3231</v>
      </c>
      <c r="U1192" s="221">
        <v>0</v>
      </c>
      <c r="V1192" s="221" t="s">
        <v>3232</v>
      </c>
      <c r="W1192" s="221" t="s">
        <v>3254</v>
      </c>
      <c r="X1192" s="221"/>
      <c r="Y1192" s="227"/>
      <c r="Z1192" s="227" t="str">
        <f t="shared" si="47"/>
        <v>Perumahan Bukit Lawang Indah Malang</v>
      </c>
      <c r="AA1192" s="276" t="e">
        <f>VLOOKUP(Logfile_S12[[#This Row],[DO number]],DO_DB!G:I,3,0)</f>
        <v>#N/A</v>
      </c>
      <c r="AB1192" s="331" t="e">
        <f>EXACT(Logfile_S12[[#This Row],[date pick]],Logfile_S12[[#This Row],[Date]])</f>
        <v>#N/A</v>
      </c>
      <c r="AC11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93" spans="1:29" ht="14.5" hidden="1">
      <c r="A1193" s="220" t="str">
        <f t="shared" si="46"/>
        <v>1189</v>
      </c>
      <c r="B1193" s="221"/>
      <c r="C1193" s="221" t="s">
        <v>48</v>
      </c>
      <c r="D1193" s="221" t="s">
        <v>4290</v>
      </c>
      <c r="E1193" s="221" t="s">
        <v>3295</v>
      </c>
      <c r="F1193" s="221" t="s">
        <v>3299</v>
      </c>
      <c r="G1193" s="222">
        <v>45622</v>
      </c>
      <c r="H1193" s="223">
        <v>15.291666666666666</v>
      </c>
      <c r="I1193" s="221" t="s">
        <v>37</v>
      </c>
      <c r="J1193" s="221" t="s">
        <v>3023</v>
      </c>
      <c r="K1193" s="224" t="s">
        <v>14</v>
      </c>
      <c r="L1193" s="225" t="str">
        <f>VLOOKUP(Logfile_S12[[#This Row],[Material Name]],Sheet2!B:C,2,0)</f>
        <v>ZTE2005</v>
      </c>
      <c r="M1193" s="225" t="str">
        <f>_xlfn.XLOOKUP(Logfile_S12[[#This Row],[Material Name]],Sum_WH!E:E,Sum_WH!F:F,"",0)</f>
        <v>Pcs</v>
      </c>
      <c r="N1193" s="221">
        <v>1</v>
      </c>
      <c r="O1193" s="221" t="s">
        <v>2502</v>
      </c>
      <c r="P1193" s="221" t="s">
        <v>2503</v>
      </c>
      <c r="Q1193" s="221" t="s">
        <v>2506</v>
      </c>
      <c r="R1193" s="221" t="s">
        <v>2507</v>
      </c>
      <c r="S1193" s="221"/>
      <c r="T1193" s="221"/>
      <c r="U1193" s="221"/>
      <c r="V1193" s="221"/>
      <c r="W1193" s="221"/>
      <c r="X1193" s="221"/>
      <c r="Y1193" s="227"/>
      <c r="Z1193" s="227" t="str">
        <f t="shared" si="47"/>
        <v>Bedali RW 03 Kromengan</v>
      </c>
      <c r="AA1193" s="276">
        <f>VLOOKUP(Logfile_S12[[#This Row],[DO number]],DO_DB!G:I,3,0)</f>
        <v>45622</v>
      </c>
      <c r="AB1193" s="331" t="b">
        <f>EXACT(Logfile_S12[[#This Row],[date pick]],Logfile_S12[[#This Row],[Date]])</f>
        <v>1</v>
      </c>
      <c r="AC11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94" spans="1:29" ht="14.5" hidden="1">
      <c r="A1194" s="220" t="str">
        <f t="shared" si="46"/>
        <v>1190</v>
      </c>
      <c r="B1194" s="221"/>
      <c r="C1194" s="221" t="s">
        <v>48</v>
      </c>
      <c r="D1194" s="221" t="s">
        <v>4290</v>
      </c>
      <c r="E1194" s="221" t="s">
        <v>3295</v>
      </c>
      <c r="F1194" s="221" t="s">
        <v>3299</v>
      </c>
      <c r="G1194" s="222">
        <v>45622</v>
      </c>
      <c r="H1194" s="223">
        <v>15.291666666666666</v>
      </c>
      <c r="I1194" s="221" t="s">
        <v>37</v>
      </c>
      <c r="J1194" s="221" t="s">
        <v>3023</v>
      </c>
      <c r="K1194" s="224" t="s">
        <v>14</v>
      </c>
      <c r="L1194" s="225" t="str">
        <f>VLOOKUP(Logfile_S12[[#This Row],[Material Name]],Sheet2!B:C,2,0)</f>
        <v>ZTE2005</v>
      </c>
      <c r="M1194" s="225" t="str">
        <f>_xlfn.XLOOKUP(Logfile_S12[[#This Row],[Material Name]],Sum_WH!E:E,Sum_WH!F:F,"",0)</f>
        <v>Pcs</v>
      </c>
      <c r="N1194" s="221">
        <v>1</v>
      </c>
      <c r="O1194" s="221" t="s">
        <v>2508</v>
      </c>
      <c r="P1194" s="221" t="s">
        <v>3468</v>
      </c>
      <c r="Q1194" s="221" t="s">
        <v>2512</v>
      </c>
      <c r="R1194" s="221" t="s">
        <v>2513</v>
      </c>
      <c r="S1194" s="221"/>
      <c r="T1194" s="221"/>
      <c r="U1194" s="221"/>
      <c r="V1194" s="221"/>
      <c r="W1194" s="221"/>
      <c r="X1194" s="221"/>
      <c r="Y1194" s="227"/>
      <c r="Z1194" s="227" t="str">
        <f t="shared" si="47"/>
        <v>Bedali RW 04 Kromengan</v>
      </c>
      <c r="AA1194" s="276">
        <f>VLOOKUP(Logfile_S12[[#This Row],[DO number]],DO_DB!G:I,3,0)</f>
        <v>45622</v>
      </c>
      <c r="AB1194" s="331" t="b">
        <f>EXACT(Logfile_S12[[#This Row],[date pick]],Logfile_S12[[#This Row],[Date]])</f>
        <v>1</v>
      </c>
      <c r="AC11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95" spans="1:29" ht="14.5" hidden="1">
      <c r="A1195" s="220" t="str">
        <f t="shared" si="46"/>
        <v>1191</v>
      </c>
      <c r="B1195" s="221"/>
      <c r="C1195" s="221" t="s">
        <v>48</v>
      </c>
      <c r="D1195" s="221" t="s">
        <v>4290</v>
      </c>
      <c r="E1195" s="221" t="s">
        <v>3295</v>
      </c>
      <c r="F1195" s="221" t="s">
        <v>3299</v>
      </c>
      <c r="G1195" s="222">
        <v>45622</v>
      </c>
      <c r="H1195" s="223">
        <v>15.291666666666666</v>
      </c>
      <c r="I1195" s="221" t="s">
        <v>37</v>
      </c>
      <c r="J1195" s="221" t="s">
        <v>3023</v>
      </c>
      <c r="K1195" s="224" t="s">
        <v>14</v>
      </c>
      <c r="L1195" s="225" t="str">
        <f>VLOOKUP(Logfile_S12[[#This Row],[Material Name]],Sheet2!B:C,2,0)</f>
        <v>ZTE2005</v>
      </c>
      <c r="M1195" s="225" t="str">
        <f>_xlfn.XLOOKUP(Logfile_S12[[#This Row],[Material Name]],Sum_WH!E:E,Sum_WH!F:F,"",0)</f>
        <v>Pcs</v>
      </c>
      <c r="N1195" s="221">
        <v>1</v>
      </c>
      <c r="O1195" s="221" t="s">
        <v>2514</v>
      </c>
      <c r="P1195" s="221" t="s">
        <v>2515</v>
      </c>
      <c r="Q1195" s="221" t="s">
        <v>2518</v>
      </c>
      <c r="R1195" s="221" t="s">
        <v>2519</v>
      </c>
      <c r="S1195" s="221"/>
      <c r="T1195" s="221"/>
      <c r="U1195" s="221"/>
      <c r="V1195" s="221"/>
      <c r="W1195" s="221"/>
      <c r="X1195" s="221"/>
      <c r="Y1195" s="227"/>
      <c r="Z1195" s="227" t="str">
        <f t="shared" si="47"/>
        <v>Bedali RW 05 Kromengan</v>
      </c>
      <c r="AA1195" s="276">
        <f>VLOOKUP(Logfile_S12[[#This Row],[DO number]],DO_DB!G:I,3,0)</f>
        <v>45622</v>
      </c>
      <c r="AB1195" s="331" t="b">
        <f>EXACT(Logfile_S12[[#This Row],[date pick]],Logfile_S12[[#This Row],[Date]])</f>
        <v>1</v>
      </c>
      <c r="AC11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96" spans="1:29" ht="14.5" hidden="1">
      <c r="A1196" s="220" t="str">
        <f t="shared" si="46"/>
        <v>1192</v>
      </c>
      <c r="B1196" s="221"/>
      <c r="C1196" s="221" t="s">
        <v>48</v>
      </c>
      <c r="D1196" s="221" t="s">
        <v>4290</v>
      </c>
      <c r="E1196" s="221" t="s">
        <v>3295</v>
      </c>
      <c r="F1196" s="221" t="s">
        <v>3299</v>
      </c>
      <c r="G1196" s="222">
        <v>45622</v>
      </c>
      <c r="H1196" s="223">
        <v>15.291666666666666</v>
      </c>
      <c r="I1196" s="221" t="s">
        <v>37</v>
      </c>
      <c r="J1196" s="221" t="s">
        <v>3023</v>
      </c>
      <c r="K1196" s="224" t="s">
        <v>14</v>
      </c>
      <c r="L1196" s="225" t="str">
        <f>VLOOKUP(Logfile_S12[[#This Row],[Material Name]],Sheet2!B:C,2,0)</f>
        <v>ZTE2005</v>
      </c>
      <c r="M1196" s="225" t="str">
        <f>_xlfn.XLOOKUP(Logfile_S12[[#This Row],[Material Name]],Sum_WH!E:E,Sum_WH!F:F,"",0)</f>
        <v>Pcs</v>
      </c>
      <c r="N1196" s="221">
        <v>1</v>
      </c>
      <c r="O1196" s="221" t="s">
        <v>2520</v>
      </c>
      <c r="P1196" s="221" t="s">
        <v>3469</v>
      </c>
      <c r="Q1196" s="221" t="s">
        <v>2524</v>
      </c>
      <c r="R1196" s="221" t="s">
        <v>2525</v>
      </c>
      <c r="S1196" s="221"/>
      <c r="T1196" s="221"/>
      <c r="U1196" s="221"/>
      <c r="V1196" s="221"/>
      <c r="W1196" s="221"/>
      <c r="X1196" s="221"/>
      <c r="Y1196" s="227"/>
      <c r="Z1196" s="227" t="str">
        <f t="shared" si="47"/>
        <v>Perumahan Bukit Lawang Indah Malang</v>
      </c>
      <c r="AA1196" s="276">
        <f>VLOOKUP(Logfile_S12[[#This Row],[DO number]],DO_DB!G:I,3,0)</f>
        <v>45622</v>
      </c>
      <c r="AB1196" s="331" t="b">
        <f>EXACT(Logfile_S12[[#This Row],[date pick]],Logfile_S12[[#This Row],[Date]])</f>
        <v>1</v>
      </c>
      <c r="AC11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97" spans="1:29" ht="14.5" hidden="1">
      <c r="A1197" s="220" t="str">
        <f t="shared" si="46"/>
        <v>1193</v>
      </c>
      <c r="B1197" s="221"/>
      <c r="C1197" s="221" t="s">
        <v>49</v>
      </c>
      <c r="D1197" s="221" t="s">
        <v>4294</v>
      </c>
      <c r="E1197" s="221" t="s">
        <v>3295</v>
      </c>
      <c r="F1197" s="221" t="s">
        <v>3299</v>
      </c>
      <c r="G1197" s="222">
        <v>45624</v>
      </c>
      <c r="H1197" s="223">
        <v>0.3923611111111111</v>
      </c>
      <c r="I1197" s="221" t="s">
        <v>4916</v>
      </c>
      <c r="J1197" s="221" t="s">
        <v>3023</v>
      </c>
      <c r="K1197" s="224" t="s">
        <v>14</v>
      </c>
      <c r="L1197" s="225" t="str">
        <f>VLOOKUP(Logfile_S12[[#This Row],[Material Name]],Sheet2!B:C,2,0)</f>
        <v>ZTE2005</v>
      </c>
      <c r="M1197" s="225" t="str">
        <f>_xlfn.XLOOKUP(Logfile_S12[[#This Row],[Material Name]],Sum_WH!E:E,Sum_WH!F:F,"",0)</f>
        <v>Pcs</v>
      </c>
      <c r="N1197" s="221">
        <v>3</v>
      </c>
      <c r="O1197" s="221" t="s">
        <v>2502</v>
      </c>
      <c r="P1197" s="221" t="s">
        <v>2503</v>
      </c>
      <c r="Q1197" s="221"/>
      <c r="R1197" s="221"/>
      <c r="S1197" s="221"/>
      <c r="T1197" s="221" t="s">
        <v>3356</v>
      </c>
      <c r="U1197" s="221" t="s">
        <v>3228</v>
      </c>
      <c r="V1197" s="221" t="s">
        <v>3357</v>
      </c>
      <c r="W1197" s="221" t="s">
        <v>3358</v>
      </c>
      <c r="X1197" s="221"/>
      <c r="Y1197" s="227"/>
      <c r="Z1197" s="227" t="str">
        <f t="shared" si="47"/>
        <v>Bedali RW 03 Kromengan</v>
      </c>
      <c r="AA1197" s="276" t="e">
        <f>VLOOKUP(Logfile_S12[[#This Row],[DO number]],DO_DB!G:I,3,0)</f>
        <v>#N/A</v>
      </c>
      <c r="AB1197" s="331" t="e">
        <f>EXACT(Logfile_S12[[#This Row],[date pick]],Logfile_S12[[#This Row],[Date]])</f>
        <v>#N/A</v>
      </c>
      <c r="AC11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98" spans="1:29" ht="14.5" hidden="1">
      <c r="A1198" s="220" t="str">
        <f t="shared" si="46"/>
        <v>1194</v>
      </c>
      <c r="B1198" s="221"/>
      <c r="C1198" s="221" t="s">
        <v>48</v>
      </c>
      <c r="D1198" s="221" t="s">
        <v>4308</v>
      </c>
      <c r="E1198" s="221" t="s">
        <v>3295</v>
      </c>
      <c r="F1198" s="221" t="s">
        <v>3299</v>
      </c>
      <c r="G1198" s="222">
        <v>45643</v>
      </c>
      <c r="H1198" s="223">
        <v>15.291666666666666</v>
      </c>
      <c r="I1198" s="221" t="s">
        <v>37</v>
      </c>
      <c r="J1198" s="221" t="s">
        <v>3023</v>
      </c>
      <c r="K1198" s="224" t="s">
        <v>14</v>
      </c>
      <c r="L1198" s="225" t="str">
        <f>VLOOKUP(Logfile_S12[[#This Row],[Material Name]],Sheet2!B:C,2,0)</f>
        <v>ZTE2005</v>
      </c>
      <c r="M1198" s="225" t="str">
        <f>_xlfn.XLOOKUP(Logfile_S12[[#This Row],[Material Name]],Sum_WH!E:E,Sum_WH!F:F,"",0)</f>
        <v>Pcs</v>
      </c>
      <c r="N1198" s="221">
        <v>3</v>
      </c>
      <c r="O1198" s="221"/>
      <c r="P1198" s="221"/>
      <c r="Q1198" s="221">
        <v>0</v>
      </c>
      <c r="R1198" s="221">
        <v>0</v>
      </c>
      <c r="S1198" s="221"/>
      <c r="T1198" s="221"/>
      <c r="U1198" s="221"/>
      <c r="V1198" s="221"/>
      <c r="W1198" s="221"/>
      <c r="X1198" s="221"/>
      <c r="Y1198" s="227"/>
      <c r="Z1198" s="227">
        <f t="shared" si="47"/>
        <v>0</v>
      </c>
      <c r="AA1198" s="276" t="e">
        <f>VLOOKUP(Logfile_S12[[#This Row],[DO number]],DO_DB!G:I,3,0)</f>
        <v>#N/A</v>
      </c>
      <c r="AB1198" s="331" t="e">
        <f>EXACT(Logfile_S12[[#This Row],[date pick]],Logfile_S12[[#This Row],[Date]])</f>
        <v>#N/A</v>
      </c>
      <c r="AC11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199" spans="1:29" ht="14.5" hidden="1">
      <c r="A1199" s="220" t="str">
        <f t="shared" si="46"/>
        <v>1195</v>
      </c>
      <c r="B1199" s="221"/>
      <c r="C1199" s="221" t="s">
        <v>49</v>
      </c>
      <c r="D1199" s="221" t="s">
        <v>4306</v>
      </c>
      <c r="E1199" s="221" t="s">
        <v>3295</v>
      </c>
      <c r="F1199" s="221" t="s">
        <v>3299</v>
      </c>
      <c r="G1199" s="222">
        <v>45643</v>
      </c>
      <c r="H1199" s="223">
        <v>0.65902777777777777</v>
      </c>
      <c r="I1199" s="221" t="s">
        <v>4916</v>
      </c>
      <c r="J1199" s="221" t="s">
        <v>3023</v>
      </c>
      <c r="K1199" s="224" t="s">
        <v>14</v>
      </c>
      <c r="L1199" s="225" t="str">
        <f>VLOOKUP(Logfile_S12[[#This Row],[Material Name]],Sheet2!B:C,2,0)</f>
        <v>ZTE2005</v>
      </c>
      <c r="M1199" s="225" t="str">
        <f>_xlfn.XLOOKUP(Logfile_S12[[#This Row],[Material Name]],Sum_WH!E:E,Sum_WH!F:F,"",0)</f>
        <v>Pcs</v>
      </c>
      <c r="N1199" s="221">
        <v>1</v>
      </c>
      <c r="O1199" s="221" t="s">
        <v>2539</v>
      </c>
      <c r="P1199" s="221" t="s">
        <v>2540</v>
      </c>
      <c r="Q1199" s="221"/>
      <c r="R1199" s="221"/>
      <c r="S1199" s="221"/>
      <c r="T1199" s="221" t="s">
        <v>3540</v>
      </c>
      <c r="U1199" s="221">
        <v>0</v>
      </c>
      <c r="V1199" s="221">
        <v>0</v>
      </c>
      <c r="W1199" s="221" t="s">
        <v>3412</v>
      </c>
      <c r="X1199" s="221"/>
      <c r="Y1199" s="227"/>
      <c r="Z1199" s="227" t="str">
        <f t="shared" si="47"/>
        <v>Permanu RW 02 Pakisaji</v>
      </c>
      <c r="AA1199" s="276" t="e">
        <f>VLOOKUP(Logfile_S12[[#This Row],[DO number]],DO_DB!G:I,3,0)</f>
        <v>#N/A</v>
      </c>
      <c r="AB1199" s="331" t="e">
        <f>EXACT(Logfile_S12[[#This Row],[date pick]],Logfile_S12[[#This Row],[Date]])</f>
        <v>#N/A</v>
      </c>
      <c r="AC11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00" spans="1:29" ht="14.5" hidden="1">
      <c r="A1200" s="220" t="str">
        <f t="shared" si="46"/>
        <v>1196</v>
      </c>
      <c r="B1200" s="221"/>
      <c r="C1200" s="221" t="s">
        <v>49</v>
      </c>
      <c r="D1200" s="221" t="s">
        <v>4307</v>
      </c>
      <c r="E1200" s="221" t="s">
        <v>3295</v>
      </c>
      <c r="F1200" s="221" t="s">
        <v>3299</v>
      </c>
      <c r="G1200" s="222">
        <v>45643</v>
      </c>
      <c r="H1200" s="223">
        <v>0.87708333333333333</v>
      </c>
      <c r="I1200" s="221" t="s">
        <v>4916</v>
      </c>
      <c r="J1200" s="221" t="s">
        <v>3023</v>
      </c>
      <c r="K1200" s="224" t="s">
        <v>14</v>
      </c>
      <c r="L1200" s="225" t="str">
        <f>VLOOKUP(Logfile_S12[[#This Row],[Material Name]],Sheet2!B:C,2,0)</f>
        <v>ZTE2005</v>
      </c>
      <c r="M1200" s="225" t="str">
        <f>_xlfn.XLOOKUP(Logfile_S12[[#This Row],[Material Name]],Sum_WH!E:E,Sum_WH!F:F,"",0)</f>
        <v>Pcs</v>
      </c>
      <c r="N1200" s="221">
        <v>2</v>
      </c>
      <c r="O1200" s="221" t="s">
        <v>2535</v>
      </c>
      <c r="P1200" s="221" t="s">
        <v>3422</v>
      </c>
      <c r="Q1200" s="221"/>
      <c r="R1200" s="221"/>
      <c r="S1200" s="221"/>
      <c r="T1200" s="221" t="s">
        <v>3356</v>
      </c>
      <c r="U1200" s="221">
        <v>0</v>
      </c>
      <c r="V1200" s="221">
        <v>0</v>
      </c>
      <c r="W1200" s="221" t="s">
        <v>3358</v>
      </c>
      <c r="X1200" s="221"/>
      <c r="Y1200" s="227"/>
      <c r="Z1200" s="227" t="str">
        <f t="shared" si="47"/>
        <v>DUSUN CUPAK RW 01</v>
      </c>
      <c r="AA1200" s="276" t="e">
        <f>VLOOKUP(Logfile_S12[[#This Row],[DO number]],DO_DB!G:I,3,0)</f>
        <v>#N/A</v>
      </c>
      <c r="AB1200" s="331" t="e">
        <f>EXACT(Logfile_S12[[#This Row],[date pick]],Logfile_S12[[#This Row],[Date]])</f>
        <v>#N/A</v>
      </c>
      <c r="AC12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01" spans="1:29" ht="14.5" hidden="1">
      <c r="A1201" s="220" t="str">
        <f t="shared" si="46"/>
        <v>1197</v>
      </c>
      <c r="B1201" s="221"/>
      <c r="C1201" s="221" t="s">
        <v>49</v>
      </c>
      <c r="D1201" s="221" t="s">
        <v>4312</v>
      </c>
      <c r="E1201" s="221" t="s">
        <v>3295</v>
      </c>
      <c r="F1201" s="221" t="s">
        <v>3299</v>
      </c>
      <c r="G1201" s="222">
        <v>45651</v>
      </c>
      <c r="H1201" s="223">
        <v>0.72986111111111107</v>
      </c>
      <c r="I1201" s="221" t="s">
        <v>4916</v>
      </c>
      <c r="J1201" s="221" t="s">
        <v>3023</v>
      </c>
      <c r="K1201" s="224" t="s">
        <v>14</v>
      </c>
      <c r="L1201" s="225" t="str">
        <f>VLOOKUP(Logfile_S12[[#This Row],[Material Name]],Sheet2!B:C,2,0)</f>
        <v>ZTE2005</v>
      </c>
      <c r="M1201" s="225" t="str">
        <f>_xlfn.XLOOKUP(Logfile_S12[[#This Row],[Material Name]],Sum_WH!E:E,Sum_WH!F:F,"",0)</f>
        <v>Pcs</v>
      </c>
      <c r="N1201" s="221">
        <v>1</v>
      </c>
      <c r="O1201" s="221" t="s">
        <v>3377</v>
      </c>
      <c r="P1201" s="221" t="s">
        <v>3378</v>
      </c>
      <c r="Q1201" s="221"/>
      <c r="R1201" s="221"/>
      <c r="S1201" s="221"/>
      <c r="T1201" s="221" t="s">
        <v>3471</v>
      </c>
      <c r="U1201" s="221">
        <v>0</v>
      </c>
      <c r="V1201" s="221" t="s">
        <v>3472</v>
      </c>
      <c r="W1201" s="221" t="s">
        <v>3473</v>
      </c>
      <c r="X1201" s="221"/>
      <c r="Y1201" s="227"/>
      <c r="Z1201" s="227" t="str">
        <f t="shared" si="47"/>
        <v>Perum Chandra Kirana Watugede</v>
      </c>
      <c r="AA1201" s="276" t="e">
        <f>VLOOKUP(Logfile_S12[[#This Row],[DO number]],DO_DB!G:I,3,0)</f>
        <v>#N/A</v>
      </c>
      <c r="AB1201" s="331" t="e">
        <f>EXACT(Logfile_S12[[#This Row],[date pick]],Logfile_S12[[#This Row],[Date]])</f>
        <v>#N/A</v>
      </c>
      <c r="AC12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02" spans="1:29" ht="14.5" hidden="1">
      <c r="A1202" s="220" t="str">
        <f t="shared" si="46"/>
        <v>1198</v>
      </c>
      <c r="B1202" s="221"/>
      <c r="C1202" s="221" t="s">
        <v>48</v>
      </c>
      <c r="D1202" s="221" t="s">
        <v>4328</v>
      </c>
      <c r="E1202" s="221" t="s">
        <v>3295</v>
      </c>
      <c r="F1202" s="221" t="s">
        <v>3299</v>
      </c>
      <c r="G1202" s="222">
        <v>45693</v>
      </c>
      <c r="H1202" s="223">
        <v>15.291666666666666</v>
      </c>
      <c r="I1202" s="221" t="s">
        <v>37</v>
      </c>
      <c r="J1202" s="221" t="s">
        <v>3023</v>
      </c>
      <c r="K1202" s="224" t="s">
        <v>14</v>
      </c>
      <c r="L1202" s="225" t="str">
        <f>VLOOKUP(Logfile_S12[[#This Row],[Material Name]],Sheet2!B:C,2,0)</f>
        <v>ZTE2005</v>
      </c>
      <c r="M1202" s="225" t="str">
        <f>_xlfn.XLOOKUP(Logfile_S12[[#This Row],[Material Name]],Sum_WH!E:E,Sum_WH!F:F,"",0)</f>
        <v>Pcs</v>
      </c>
      <c r="N1202" s="221">
        <v>1</v>
      </c>
      <c r="O1202" s="221" t="s">
        <v>2633</v>
      </c>
      <c r="P1202" s="221" t="s">
        <v>2634</v>
      </c>
      <c r="Q1202" s="221">
        <v>0</v>
      </c>
      <c r="R1202" s="221">
        <v>0</v>
      </c>
      <c r="S1202" s="221"/>
      <c r="T1202" s="221"/>
      <c r="U1202" s="221"/>
      <c r="V1202" s="221"/>
      <c r="W1202" s="221"/>
      <c r="X1202" s="221"/>
      <c r="Y1202" s="227"/>
      <c r="Z1202" s="227" t="str">
        <f t="shared" si="47"/>
        <v>Perumahan De Wira Green View</v>
      </c>
      <c r="AA1202" s="276" t="e">
        <f>VLOOKUP(Logfile_S12[[#This Row],[DO number]],DO_DB!G:I,3,0)</f>
        <v>#N/A</v>
      </c>
      <c r="AB1202" s="331" t="e">
        <f>EXACT(Logfile_S12[[#This Row],[date pick]],Logfile_S12[[#This Row],[Date]])</f>
        <v>#N/A</v>
      </c>
      <c r="AC12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03" spans="1:29" ht="14.5" hidden="1">
      <c r="A1203" s="220" t="str">
        <f t="shared" si="46"/>
        <v>1199</v>
      </c>
      <c r="B1203" s="221"/>
      <c r="C1203" s="221" t="s">
        <v>49</v>
      </c>
      <c r="D1203" s="221" t="s">
        <v>4329</v>
      </c>
      <c r="E1203" s="221" t="s">
        <v>3295</v>
      </c>
      <c r="F1203" s="221" t="s">
        <v>3299</v>
      </c>
      <c r="G1203" s="222">
        <v>45694</v>
      </c>
      <c r="H1203" s="223">
        <v>0.39930555555555558</v>
      </c>
      <c r="I1203" s="221" t="s">
        <v>4916</v>
      </c>
      <c r="J1203" s="221" t="s">
        <v>3023</v>
      </c>
      <c r="K1203" s="224" t="s">
        <v>14</v>
      </c>
      <c r="L1203" s="225" t="str">
        <f>VLOOKUP(Logfile_S12[[#This Row],[Material Name]],Sheet2!B:C,2,0)</f>
        <v>ZTE2005</v>
      </c>
      <c r="M1203" s="225" t="str">
        <f>_xlfn.XLOOKUP(Logfile_S12[[#This Row],[Material Name]],Sum_WH!E:E,Sum_WH!F:F,"",0)</f>
        <v>Pcs</v>
      </c>
      <c r="N1203" s="221">
        <v>1</v>
      </c>
      <c r="O1203" s="221" t="s">
        <v>2633</v>
      </c>
      <c r="P1203" s="221" t="s">
        <v>3410</v>
      </c>
      <c r="Q1203" s="221"/>
      <c r="R1203" s="221"/>
      <c r="S1203" s="221"/>
      <c r="T1203" s="221" t="s">
        <v>3258</v>
      </c>
      <c r="U1203" s="221">
        <v>0</v>
      </c>
      <c r="V1203" s="221" t="s">
        <v>3337</v>
      </c>
      <c r="W1203" s="221" t="s">
        <v>3338</v>
      </c>
      <c r="X1203" s="221"/>
      <c r="Y1203" s="227"/>
      <c r="Z1203" s="227" t="str">
        <f t="shared" si="47"/>
        <v>PERUMAHAN DE WIRA GREEN VIEW</v>
      </c>
      <c r="AA1203" s="276" t="e">
        <f>VLOOKUP(Logfile_S12[[#This Row],[DO number]],DO_DB!G:I,3,0)</f>
        <v>#N/A</v>
      </c>
      <c r="AB1203" s="331" t="e">
        <f>EXACT(Logfile_S12[[#This Row],[date pick]],Logfile_S12[[#This Row],[Date]])</f>
        <v>#N/A</v>
      </c>
      <c r="AC12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04" spans="1:29" ht="14.5" hidden="1">
      <c r="A1204" s="220" t="str">
        <f t="shared" si="46"/>
        <v>1200</v>
      </c>
      <c r="B1204" s="221"/>
      <c r="C1204" s="221" t="s">
        <v>48</v>
      </c>
      <c r="D1204" s="221" t="s">
        <v>4335</v>
      </c>
      <c r="E1204" s="221" t="s">
        <v>3295</v>
      </c>
      <c r="F1204" s="221" t="s">
        <v>3299</v>
      </c>
      <c r="G1204" s="222">
        <v>45708</v>
      </c>
      <c r="H1204" s="223">
        <v>15.291666666666666</v>
      </c>
      <c r="I1204" s="221" t="s">
        <v>37</v>
      </c>
      <c r="J1204" s="221" t="s">
        <v>3023</v>
      </c>
      <c r="K1204" s="224" t="s">
        <v>14</v>
      </c>
      <c r="L1204" s="225" t="str">
        <f>VLOOKUP(Logfile_S12[[#This Row],[Material Name]],Sheet2!B:C,2,0)</f>
        <v>ZTE2005</v>
      </c>
      <c r="M1204" s="225" t="str">
        <f>_xlfn.XLOOKUP(Logfile_S12[[#This Row],[Material Name]],Sum_WH!E:E,Sum_WH!F:F,"",0)</f>
        <v>Pcs</v>
      </c>
      <c r="N1204" s="221">
        <v>1</v>
      </c>
      <c r="O1204" s="221"/>
      <c r="P1204" s="221"/>
      <c r="Q1204" s="221">
        <v>0</v>
      </c>
      <c r="R1204" s="221">
        <v>0</v>
      </c>
      <c r="S1204" s="221"/>
      <c r="T1204" s="221"/>
      <c r="U1204" s="221"/>
      <c r="V1204" s="221"/>
      <c r="W1204" s="221"/>
      <c r="X1204" s="221"/>
      <c r="Y1204" s="227"/>
      <c r="Z1204" s="227">
        <f t="shared" si="47"/>
        <v>0</v>
      </c>
      <c r="AA1204" s="276" t="e">
        <f>VLOOKUP(Logfile_S12[[#This Row],[DO number]],DO_DB!G:I,3,0)</f>
        <v>#N/A</v>
      </c>
      <c r="AB1204" s="331" t="e">
        <f>EXACT(Logfile_S12[[#This Row],[date pick]],Logfile_S12[[#This Row],[Date]])</f>
        <v>#N/A</v>
      </c>
      <c r="AC12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05" spans="1:29" ht="14.5" hidden="1">
      <c r="A1205" s="220" t="str">
        <f t="shared" si="46"/>
        <v>1201</v>
      </c>
      <c r="B1205" s="221"/>
      <c r="C1205" s="221" t="s">
        <v>49</v>
      </c>
      <c r="D1205" s="221" t="s">
        <v>4340</v>
      </c>
      <c r="E1205" s="221" t="s">
        <v>3295</v>
      </c>
      <c r="F1205" s="221" t="s">
        <v>3299</v>
      </c>
      <c r="G1205" s="222">
        <v>45709</v>
      </c>
      <c r="H1205" s="223">
        <v>0.63124999999999998</v>
      </c>
      <c r="I1205" s="221" t="s">
        <v>4916</v>
      </c>
      <c r="J1205" s="221" t="s">
        <v>3023</v>
      </c>
      <c r="K1205" s="224" t="s">
        <v>14</v>
      </c>
      <c r="L1205" s="225" t="str">
        <f>VLOOKUP(Logfile_S12[[#This Row],[Material Name]],Sheet2!B:C,2,0)</f>
        <v>ZTE2005</v>
      </c>
      <c r="M1205" s="225" t="str">
        <f>_xlfn.XLOOKUP(Logfile_S12[[#This Row],[Material Name]],Sum_WH!E:E,Sum_WH!F:F,"",0)</f>
        <v>Pcs</v>
      </c>
      <c r="N1205" s="221">
        <v>1</v>
      </c>
      <c r="O1205" s="221" t="s">
        <v>2648</v>
      </c>
      <c r="P1205" s="221" t="s">
        <v>2649</v>
      </c>
      <c r="Q1205" s="221"/>
      <c r="R1205" s="221"/>
      <c r="S1205" s="221"/>
      <c r="T1205" s="221" t="s">
        <v>3411</v>
      </c>
      <c r="U1205" s="221">
        <v>0</v>
      </c>
      <c r="V1205" s="221">
        <v>0</v>
      </c>
      <c r="W1205" s="221" t="s">
        <v>3412</v>
      </c>
      <c r="X1205" s="221"/>
      <c r="Y1205" s="227"/>
      <c r="Z1205" s="227" t="str">
        <f t="shared" si="47"/>
        <v>Sitirejo RW 04 Wagir</v>
      </c>
      <c r="AA1205" s="276" t="e">
        <f>VLOOKUP(Logfile_S12[[#This Row],[DO number]],DO_DB!G:I,3,0)</f>
        <v>#N/A</v>
      </c>
      <c r="AB1205" s="331" t="e">
        <f>EXACT(Logfile_S12[[#This Row],[date pick]],Logfile_S12[[#This Row],[Date]])</f>
        <v>#N/A</v>
      </c>
      <c r="AC12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06" spans="1:29" ht="14.5" hidden="1">
      <c r="A1206" s="220" t="str">
        <f t="shared" si="46"/>
        <v>1202</v>
      </c>
      <c r="B1206" s="221"/>
      <c r="C1206" s="221" t="s">
        <v>48</v>
      </c>
      <c r="D1206" s="221" t="s">
        <v>4351</v>
      </c>
      <c r="E1206" s="221" t="s">
        <v>3295</v>
      </c>
      <c r="F1206" s="221" t="s">
        <v>3299</v>
      </c>
      <c r="G1206" s="222">
        <v>45735</v>
      </c>
      <c r="H1206" s="223">
        <v>15.291666666666666</v>
      </c>
      <c r="I1206" s="221" t="s">
        <v>37</v>
      </c>
      <c r="J1206" s="221" t="s">
        <v>3023</v>
      </c>
      <c r="K1206" s="224" t="s">
        <v>14</v>
      </c>
      <c r="L1206" s="225" t="str">
        <f>VLOOKUP(Logfile_S12[[#This Row],[Material Name]],Sheet2!B:C,2,0)</f>
        <v>ZTE2005</v>
      </c>
      <c r="M1206" s="225" t="str">
        <f>_xlfn.XLOOKUP(Logfile_S12[[#This Row],[Material Name]],Sum_WH!E:E,Sum_WH!F:F,"",0)</f>
        <v>Pcs</v>
      </c>
      <c r="N1206" s="221">
        <v>2</v>
      </c>
      <c r="O1206" s="221"/>
      <c r="P1206" s="221"/>
      <c r="Q1206" s="221">
        <v>0</v>
      </c>
      <c r="R1206" s="221">
        <v>0</v>
      </c>
      <c r="S1206" s="221"/>
      <c r="T1206" s="221"/>
      <c r="U1206" s="221"/>
      <c r="V1206" s="221"/>
      <c r="W1206" s="221"/>
      <c r="X1206" s="221"/>
      <c r="Y1206" s="227"/>
      <c r="Z1206" s="227">
        <f t="shared" si="47"/>
        <v>0</v>
      </c>
      <c r="AA1206" s="276" t="e">
        <f>VLOOKUP(Logfile_S12[[#This Row],[DO number]],DO_DB!G:I,3,0)</f>
        <v>#N/A</v>
      </c>
      <c r="AB1206" s="331" t="e">
        <f>EXACT(Logfile_S12[[#This Row],[date pick]],Logfile_S12[[#This Row],[Date]])</f>
        <v>#N/A</v>
      </c>
      <c r="AC12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07" spans="1:29" ht="14.5" hidden="1">
      <c r="A1207" s="220" t="str">
        <f t="shared" si="46"/>
        <v>1203</v>
      </c>
      <c r="B1207" s="221"/>
      <c r="C1207" s="221" t="s">
        <v>49</v>
      </c>
      <c r="D1207" s="221" t="s">
        <v>4357</v>
      </c>
      <c r="E1207" s="221" t="s">
        <v>3295</v>
      </c>
      <c r="F1207" s="221" t="s">
        <v>3299</v>
      </c>
      <c r="G1207" s="222">
        <v>45739</v>
      </c>
      <c r="H1207" s="223">
        <v>0.83125000000000004</v>
      </c>
      <c r="I1207" s="221" t="s">
        <v>4916</v>
      </c>
      <c r="J1207" s="221" t="s">
        <v>3023</v>
      </c>
      <c r="K1207" s="224" t="s">
        <v>14</v>
      </c>
      <c r="L1207" s="225" t="str">
        <f>VLOOKUP(Logfile_S12[[#This Row],[Material Name]],Sheet2!B:C,2,0)</f>
        <v>ZTE2005</v>
      </c>
      <c r="M1207" s="225" t="str">
        <f>_xlfn.XLOOKUP(Logfile_S12[[#This Row],[Material Name]],Sum_WH!E:E,Sum_WH!F:F,"",0)</f>
        <v>Pcs</v>
      </c>
      <c r="N1207" s="221">
        <v>2</v>
      </c>
      <c r="O1207" s="221" t="s">
        <v>2668</v>
      </c>
      <c r="P1207" s="221" t="s">
        <v>2669</v>
      </c>
      <c r="Q1207" s="221"/>
      <c r="R1207" s="221"/>
      <c r="S1207" s="221"/>
      <c r="T1207" s="221" t="s">
        <v>3471</v>
      </c>
      <c r="U1207" s="221">
        <v>0</v>
      </c>
      <c r="V1207" s="221" t="s">
        <v>3472</v>
      </c>
      <c r="W1207" s="221" t="s">
        <v>3545</v>
      </c>
      <c r="X1207" s="221"/>
      <c r="Y1207" s="227"/>
      <c r="Z1207" s="227" t="str">
        <f t="shared" si="47"/>
        <v>Temas RW 05</v>
      </c>
      <c r="AA1207" s="276" t="e">
        <f>VLOOKUP(Logfile_S12[[#This Row],[DO number]],DO_DB!G:I,3,0)</f>
        <v>#N/A</v>
      </c>
      <c r="AB1207" s="331" t="e">
        <f>EXACT(Logfile_S12[[#This Row],[date pick]],Logfile_S12[[#This Row],[Date]])</f>
        <v>#N/A</v>
      </c>
      <c r="AC12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08" spans="1:29" ht="14.5" hidden="1">
      <c r="A1208" s="220" t="str">
        <f t="shared" si="46"/>
        <v>1204</v>
      </c>
      <c r="B1208" s="221"/>
      <c r="C1208" s="221" t="s">
        <v>48</v>
      </c>
      <c r="D1208" s="221" t="s">
        <v>4359</v>
      </c>
      <c r="E1208" s="221" t="s">
        <v>3295</v>
      </c>
      <c r="F1208" s="221" t="s">
        <v>3299</v>
      </c>
      <c r="G1208" s="222">
        <v>45740</v>
      </c>
      <c r="H1208" s="223">
        <v>15.291666666666666</v>
      </c>
      <c r="I1208" s="221" t="s">
        <v>37</v>
      </c>
      <c r="J1208" s="221" t="s">
        <v>3023</v>
      </c>
      <c r="K1208" s="224" t="s">
        <v>14</v>
      </c>
      <c r="L1208" s="225" t="str">
        <f>VLOOKUP(Logfile_S12[[#This Row],[Material Name]],Sheet2!B:C,2,0)</f>
        <v>ZTE2005</v>
      </c>
      <c r="M1208" s="225" t="str">
        <f>_xlfn.XLOOKUP(Logfile_S12[[#This Row],[Material Name]],Sum_WH!E:E,Sum_WH!F:F,"",0)</f>
        <v>Pcs</v>
      </c>
      <c r="N1208" s="221">
        <v>1</v>
      </c>
      <c r="O1208" s="221" t="s">
        <v>2668</v>
      </c>
      <c r="P1208" s="221" t="s">
        <v>2669</v>
      </c>
      <c r="Q1208" s="221" t="s">
        <v>2670</v>
      </c>
      <c r="R1208" s="221" t="s">
        <v>2671</v>
      </c>
      <c r="S1208" s="221"/>
      <c r="T1208" s="221"/>
      <c r="U1208" s="221"/>
      <c r="V1208" s="221"/>
      <c r="W1208" s="221"/>
      <c r="X1208" s="221"/>
      <c r="Y1208" s="227"/>
      <c r="Z1208" s="227" t="str">
        <f t="shared" si="47"/>
        <v>Temas RW 05</v>
      </c>
      <c r="AA1208" s="276">
        <f>VLOOKUP(Logfile_S12[[#This Row],[DO number]],DO_DB!G:I,3,0)</f>
        <v>45735</v>
      </c>
      <c r="AB1208" s="331" t="b">
        <f>EXACT(Logfile_S12[[#This Row],[date pick]],Logfile_S12[[#This Row],[Date]])</f>
        <v>0</v>
      </c>
      <c r="AC12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09" spans="1:29" ht="14.5" hidden="1">
      <c r="A1209" s="220" t="str">
        <f t="shared" si="46"/>
        <v>1205</v>
      </c>
      <c r="B1209" s="221"/>
      <c r="C1209" s="221" t="s">
        <v>49</v>
      </c>
      <c r="D1209" s="221" t="s">
        <v>4366</v>
      </c>
      <c r="E1209" s="221" t="s">
        <v>3295</v>
      </c>
      <c r="F1209" s="221" t="s">
        <v>3299</v>
      </c>
      <c r="G1209" s="222">
        <v>45802</v>
      </c>
      <c r="H1209" s="223">
        <v>0.83125000000000004</v>
      </c>
      <c r="I1209" s="221" t="s">
        <v>4916</v>
      </c>
      <c r="J1209" s="221" t="s">
        <v>3023</v>
      </c>
      <c r="K1209" s="224" t="s">
        <v>14</v>
      </c>
      <c r="L1209" s="225" t="str">
        <f>VLOOKUP(Logfile_S12[[#This Row],[Material Name]],Sheet2!B:C,2,0)</f>
        <v>ZTE2005</v>
      </c>
      <c r="M1209" s="225" t="str">
        <f>_xlfn.XLOOKUP(Logfile_S12[[#This Row],[Material Name]],Sum_WH!E:E,Sum_WH!F:F,"",0)</f>
        <v>Pcs</v>
      </c>
      <c r="N1209" s="221">
        <v>1</v>
      </c>
      <c r="O1209" s="221" t="s">
        <v>2821</v>
      </c>
      <c r="P1209" s="221" t="s">
        <v>2822</v>
      </c>
      <c r="Q1209" s="221"/>
      <c r="R1209" s="221"/>
      <c r="S1209" s="221"/>
      <c r="T1209" s="221" t="s">
        <v>3471</v>
      </c>
      <c r="U1209" s="221">
        <v>0</v>
      </c>
      <c r="V1209" s="221" t="s">
        <v>3472</v>
      </c>
      <c r="W1209" s="221" t="s">
        <v>3545</v>
      </c>
      <c r="X1209" s="221"/>
      <c r="Y1209" s="227"/>
      <c r="Z1209" s="227" t="str">
        <f t="shared" si="47"/>
        <v>KEBONAGUNG RW 01 MALANG</v>
      </c>
      <c r="AA1209" s="276" t="e">
        <f>VLOOKUP(Logfile_S12[[#This Row],[DO number]],DO_DB!G:I,3,0)</f>
        <v>#N/A</v>
      </c>
      <c r="AB1209" s="331" t="e">
        <f>EXACT(Logfile_S12[[#This Row],[date pick]],Logfile_S12[[#This Row],[Date]])</f>
        <v>#N/A</v>
      </c>
      <c r="AC12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10" spans="1:29" ht="14.5" hidden="1">
      <c r="A1210" s="220" t="str">
        <f t="shared" si="46"/>
        <v>1206</v>
      </c>
      <c r="B1210" s="221"/>
      <c r="C1210" s="221" t="s">
        <v>3313</v>
      </c>
      <c r="D1210" s="221" t="s">
        <v>4367</v>
      </c>
      <c r="E1210" s="221" t="s">
        <v>3295</v>
      </c>
      <c r="F1210" s="221" t="s">
        <v>3299</v>
      </c>
      <c r="G1210" s="222">
        <v>45804</v>
      </c>
      <c r="H1210" s="223">
        <v>15.291666666666666</v>
      </c>
      <c r="I1210" s="221" t="s">
        <v>4918</v>
      </c>
      <c r="J1210" s="221" t="s">
        <v>3023</v>
      </c>
      <c r="K1210" s="224" t="s">
        <v>14</v>
      </c>
      <c r="L1210" s="225" t="str">
        <f>VLOOKUP(Logfile_S12[[#This Row],[Material Name]],Sheet2!B:C,2,0)</f>
        <v>ZTE2005</v>
      </c>
      <c r="M1210" s="225" t="str">
        <f>_xlfn.XLOOKUP(Logfile_S12[[#This Row],[Material Name]],Sum_WH!E:E,Sum_WH!F:F,"",0)</f>
        <v>Pcs</v>
      </c>
      <c r="N1210" s="221">
        <v>1</v>
      </c>
      <c r="O1210" s="221" t="s">
        <v>3314</v>
      </c>
      <c r="P1210" s="221" t="s">
        <v>3384</v>
      </c>
      <c r="Q1210" s="221">
        <v>0</v>
      </c>
      <c r="R1210" s="221">
        <v>0</v>
      </c>
      <c r="S1210" s="221"/>
      <c r="T1210" s="221"/>
      <c r="U1210" s="221"/>
      <c r="V1210" s="221"/>
      <c r="W1210" s="221"/>
      <c r="X1210" s="221"/>
      <c r="Y1210" s="227"/>
      <c r="Z1210" s="227" t="str">
        <f t="shared" si="47"/>
        <v>GRESIK</v>
      </c>
      <c r="AA1210" s="276" t="e">
        <f>VLOOKUP(Logfile_S12[[#This Row],[DO number]],DO_DB!G:I,3,0)</f>
        <v>#N/A</v>
      </c>
      <c r="AB1210" s="331" t="e">
        <f>EXACT(Logfile_S12[[#This Row],[date pick]],Logfile_S12[[#This Row],[Date]])</f>
        <v>#N/A</v>
      </c>
      <c r="AC12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11" spans="1:29" ht="14.5" hidden="1">
      <c r="A1211" s="220" t="str">
        <f t="shared" si="46"/>
        <v>1207</v>
      </c>
      <c r="B1211" s="221"/>
      <c r="C1211" s="221" t="s">
        <v>49</v>
      </c>
      <c r="D1211" s="221" t="s">
        <v>4369</v>
      </c>
      <c r="E1211" s="221" t="s">
        <v>3295</v>
      </c>
      <c r="F1211" s="221" t="s">
        <v>3299</v>
      </c>
      <c r="G1211" s="222">
        <v>45806</v>
      </c>
      <c r="H1211" s="223">
        <v>0.74791666666666667</v>
      </c>
      <c r="I1211" s="221" t="s">
        <v>4916</v>
      </c>
      <c r="J1211" s="221" t="s">
        <v>3023</v>
      </c>
      <c r="K1211" s="224" t="s">
        <v>14</v>
      </c>
      <c r="L1211" s="225" t="str">
        <f>VLOOKUP(Logfile_S12[[#This Row],[Material Name]],Sheet2!B:C,2,0)</f>
        <v>ZTE2005</v>
      </c>
      <c r="M1211" s="225" t="str">
        <f>_xlfn.XLOOKUP(Logfile_S12[[#This Row],[Material Name]],Sum_WH!E:E,Sum_WH!F:F,"",0)</f>
        <v>Pcs</v>
      </c>
      <c r="N1211" s="221">
        <v>1</v>
      </c>
      <c r="O1211" s="221" t="s">
        <v>2825</v>
      </c>
      <c r="P1211" s="221" t="s">
        <v>2826</v>
      </c>
      <c r="Q1211" s="221"/>
      <c r="R1211" s="221"/>
      <c r="S1211" s="221"/>
      <c r="T1211" s="221" t="s">
        <v>3471</v>
      </c>
      <c r="U1211" s="221">
        <v>0</v>
      </c>
      <c r="V1211" s="221" t="s">
        <v>3472</v>
      </c>
      <c r="W1211" s="221" t="s">
        <v>3545</v>
      </c>
      <c r="X1211" s="221"/>
      <c r="Y1211" s="227"/>
      <c r="Z1211" s="227" t="str">
        <f t="shared" si="47"/>
        <v>ARJOWINANGUN RW 01 MALANG</v>
      </c>
      <c r="AA1211" s="276" t="e">
        <f>VLOOKUP(Logfile_S12[[#This Row],[DO number]],DO_DB!G:I,3,0)</f>
        <v>#N/A</v>
      </c>
      <c r="AB1211" s="331" t="e">
        <f>EXACT(Logfile_S12[[#This Row],[date pick]],Logfile_S12[[#This Row],[Date]])</f>
        <v>#N/A</v>
      </c>
      <c r="AC12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12" spans="1:29" ht="14.5" hidden="1">
      <c r="A1212" s="220" t="str">
        <f t="shared" si="46"/>
        <v>1208</v>
      </c>
      <c r="B1212" s="221"/>
      <c r="C1212" s="221" t="s">
        <v>48</v>
      </c>
      <c r="D1212" s="221" t="s">
        <v>4371</v>
      </c>
      <c r="E1212" s="221" t="s">
        <v>3295</v>
      </c>
      <c r="F1212" s="221" t="s">
        <v>3299</v>
      </c>
      <c r="G1212" s="222">
        <v>45821</v>
      </c>
      <c r="H1212" s="223">
        <v>15.291666666666666</v>
      </c>
      <c r="I1212" s="221" t="s">
        <v>37</v>
      </c>
      <c r="J1212" s="221" t="s">
        <v>3023</v>
      </c>
      <c r="K1212" s="224" t="s">
        <v>14</v>
      </c>
      <c r="L1212" s="225" t="str">
        <f>VLOOKUP(Logfile_S12[[#This Row],[Material Name]],Sheet2!B:C,2,0)</f>
        <v>ZTE2005</v>
      </c>
      <c r="M1212" s="225" t="str">
        <f>_xlfn.XLOOKUP(Logfile_S12[[#This Row],[Material Name]],Sum_WH!E:E,Sum_WH!F:F,"",0)</f>
        <v>Pcs</v>
      </c>
      <c r="N1212" s="221">
        <v>3</v>
      </c>
      <c r="O1212" s="221"/>
      <c r="P1212" s="221"/>
      <c r="Q1212" s="221">
        <v>0</v>
      </c>
      <c r="R1212" s="221">
        <v>0</v>
      </c>
      <c r="S1212" s="221"/>
      <c r="T1212" s="221"/>
      <c r="U1212" s="221"/>
      <c r="V1212" s="221"/>
      <c r="W1212" s="221"/>
      <c r="X1212" s="221"/>
      <c r="Y1212" s="227"/>
      <c r="Z1212" s="227">
        <f t="shared" si="47"/>
        <v>0</v>
      </c>
      <c r="AA1212" s="276" t="e">
        <f>VLOOKUP(Logfile_S12[[#This Row],[DO number]],DO_DB!G:I,3,0)</f>
        <v>#N/A</v>
      </c>
      <c r="AB1212" s="331" t="e">
        <f>EXACT(Logfile_S12[[#This Row],[date pick]],Logfile_S12[[#This Row],[Date]])</f>
        <v>#N/A</v>
      </c>
      <c r="AC12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13" spans="1:29" ht="14.5" hidden="1">
      <c r="A1213" s="220" t="str">
        <f t="shared" si="46"/>
        <v>1209</v>
      </c>
      <c r="B1213" s="221"/>
      <c r="C1213" s="221" t="s">
        <v>49</v>
      </c>
      <c r="D1213" s="221" t="s">
        <v>4373</v>
      </c>
      <c r="E1213" s="221" t="s">
        <v>3295</v>
      </c>
      <c r="F1213" s="221" t="s">
        <v>3299</v>
      </c>
      <c r="G1213" s="222">
        <v>45824</v>
      </c>
      <c r="H1213" s="223">
        <v>0.83125000000000004</v>
      </c>
      <c r="I1213" s="221" t="s">
        <v>4916</v>
      </c>
      <c r="J1213" s="221" t="s">
        <v>3023</v>
      </c>
      <c r="K1213" s="224" t="s">
        <v>14</v>
      </c>
      <c r="L1213" s="225" t="str">
        <f>VLOOKUP(Logfile_S12[[#This Row],[Material Name]],Sheet2!B:C,2,0)</f>
        <v>ZTE2005</v>
      </c>
      <c r="M1213" s="225" t="str">
        <f>_xlfn.XLOOKUP(Logfile_S12[[#This Row],[Material Name]],Sum_WH!E:E,Sum_WH!F:F,"",0)</f>
        <v>Pcs</v>
      </c>
      <c r="N1213" s="221">
        <v>1</v>
      </c>
      <c r="O1213" s="221" t="s">
        <v>2815</v>
      </c>
      <c r="P1213" s="221" t="s">
        <v>2816</v>
      </c>
      <c r="Q1213" s="221"/>
      <c r="R1213" s="221"/>
      <c r="S1213" s="221"/>
      <c r="T1213" s="221" t="s">
        <v>3411</v>
      </c>
      <c r="U1213" s="221">
        <v>0</v>
      </c>
      <c r="V1213" s="221">
        <v>0</v>
      </c>
      <c r="W1213" s="221" t="s">
        <v>3412</v>
      </c>
      <c r="X1213" s="221"/>
      <c r="Y1213" s="227"/>
      <c r="Z1213" s="227" t="str">
        <f t="shared" si="47"/>
        <v>BULULAWANG RW 05 MALANG</v>
      </c>
      <c r="AA1213" s="276" t="e">
        <f>VLOOKUP(Logfile_S12[[#This Row],[DO number]],DO_DB!G:I,3,0)</f>
        <v>#N/A</v>
      </c>
      <c r="AB1213" s="331" t="e">
        <f>EXACT(Logfile_S12[[#This Row],[date pick]],Logfile_S12[[#This Row],[Date]])</f>
        <v>#N/A</v>
      </c>
      <c r="AC12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14" spans="1:29" ht="14.5" hidden="1">
      <c r="A1214" s="220" t="str">
        <f t="shared" si="46"/>
        <v>1210</v>
      </c>
      <c r="B1214" s="221"/>
      <c r="C1214" s="221" t="s">
        <v>48</v>
      </c>
      <c r="D1214" s="221" t="s">
        <v>4374</v>
      </c>
      <c r="E1214" s="221" t="s">
        <v>3295</v>
      </c>
      <c r="F1214" s="221" t="s">
        <v>3299</v>
      </c>
      <c r="G1214" s="222">
        <v>45826</v>
      </c>
      <c r="H1214" s="223">
        <v>15.291666666666666</v>
      </c>
      <c r="I1214" s="221" t="s">
        <v>37</v>
      </c>
      <c r="J1214" s="221" t="s">
        <v>3023</v>
      </c>
      <c r="K1214" s="224" t="s">
        <v>14</v>
      </c>
      <c r="L1214" s="225" t="str">
        <f>VLOOKUP(Logfile_S12[[#This Row],[Material Name]],Sheet2!B:C,2,0)</f>
        <v>ZTE2005</v>
      </c>
      <c r="M1214" s="225" t="str">
        <f>_xlfn.XLOOKUP(Logfile_S12[[#This Row],[Material Name]],Sum_WH!E:E,Sum_WH!F:F,"",0)</f>
        <v>Pcs</v>
      </c>
      <c r="N1214" s="221">
        <v>1</v>
      </c>
      <c r="O1214" s="221"/>
      <c r="P1214" s="221"/>
      <c r="Q1214" s="221">
        <v>0</v>
      </c>
      <c r="R1214" s="221">
        <v>0</v>
      </c>
      <c r="S1214" s="221"/>
      <c r="T1214" s="221"/>
      <c r="U1214" s="221"/>
      <c r="V1214" s="221"/>
      <c r="W1214" s="221"/>
      <c r="X1214" s="221"/>
      <c r="Y1214" s="227"/>
      <c r="Z1214" s="227">
        <f t="shared" si="47"/>
        <v>0</v>
      </c>
      <c r="AA1214" s="276" t="e">
        <f>VLOOKUP(Logfile_S12[[#This Row],[DO number]],DO_DB!G:I,3,0)</f>
        <v>#N/A</v>
      </c>
      <c r="AB1214" s="331" t="e">
        <f>EXACT(Logfile_S12[[#This Row],[date pick]],Logfile_S12[[#This Row],[Date]])</f>
        <v>#N/A</v>
      </c>
      <c r="AC12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15" spans="1:29" ht="14.5" hidden="1">
      <c r="A1215" s="220" t="str">
        <f t="shared" si="46"/>
        <v>1211</v>
      </c>
      <c r="B1215" s="221"/>
      <c r="C1215" s="221" t="s">
        <v>49</v>
      </c>
      <c r="D1215" s="221" t="s">
        <v>4385</v>
      </c>
      <c r="E1215" s="221" t="s">
        <v>3295</v>
      </c>
      <c r="F1215" s="221" t="s">
        <v>3299</v>
      </c>
      <c r="G1215" s="222">
        <v>45833</v>
      </c>
      <c r="H1215" s="223">
        <v>0.87708333333333333</v>
      </c>
      <c r="I1215" s="221" t="s">
        <v>4916</v>
      </c>
      <c r="J1215" s="221" t="s">
        <v>3023</v>
      </c>
      <c r="K1215" s="224" t="s">
        <v>14</v>
      </c>
      <c r="L1215" s="225" t="str">
        <f>VLOOKUP(Logfile_S12[[#This Row],[Material Name]],Sheet2!B:C,2,0)</f>
        <v>ZTE2005</v>
      </c>
      <c r="M1215" s="225" t="str">
        <f>_xlfn.XLOOKUP(Logfile_S12[[#This Row],[Material Name]],Sum_WH!E:E,Sum_WH!F:F,"",0)</f>
        <v>Pcs</v>
      </c>
      <c r="N1215" s="221">
        <v>1</v>
      </c>
      <c r="O1215" s="221" t="s">
        <v>2855</v>
      </c>
      <c r="P1215" s="221" t="s">
        <v>2856</v>
      </c>
      <c r="Q1215" s="221"/>
      <c r="R1215" s="221"/>
      <c r="S1215" s="221"/>
      <c r="T1215" s="221" t="s">
        <v>3356</v>
      </c>
      <c r="U1215" s="221">
        <v>0</v>
      </c>
      <c r="V1215" s="221">
        <v>0</v>
      </c>
      <c r="W1215" s="221" t="s">
        <v>3358</v>
      </c>
      <c r="X1215" s="221"/>
      <c r="Y1215" s="227"/>
      <c r="Z1215" s="227" t="str">
        <f t="shared" si="47"/>
        <v>DESA KARANGANYAR KIDUL PONCOKUSUMO   MALANG</v>
      </c>
      <c r="AA1215" s="276" t="e">
        <f>VLOOKUP(Logfile_S12[[#This Row],[DO number]],DO_DB!G:I,3,0)</f>
        <v>#N/A</v>
      </c>
      <c r="AB1215" s="331" t="e">
        <f>EXACT(Logfile_S12[[#This Row],[date pick]],Logfile_S12[[#This Row],[Date]])</f>
        <v>#N/A</v>
      </c>
      <c r="AC12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16" spans="1:29" ht="14.5" hidden="1">
      <c r="A1216" s="220" t="str">
        <f t="shared" si="46"/>
        <v>1212</v>
      </c>
      <c r="B1216" s="221"/>
      <c r="C1216" s="221" t="s">
        <v>48</v>
      </c>
      <c r="D1216" s="221" t="s">
        <v>4393</v>
      </c>
      <c r="E1216" s="221" t="s">
        <v>3295</v>
      </c>
      <c r="F1216" s="221" t="s">
        <v>3299</v>
      </c>
      <c r="G1216" s="222">
        <v>45850</v>
      </c>
      <c r="H1216" s="223">
        <v>15.291666666666666</v>
      </c>
      <c r="I1216" s="221" t="s">
        <v>37</v>
      </c>
      <c r="J1216" s="221" t="s">
        <v>3023</v>
      </c>
      <c r="K1216" s="224" t="s">
        <v>14</v>
      </c>
      <c r="L1216" s="225" t="str">
        <f>VLOOKUP(Logfile_S12[[#This Row],[Material Name]],Sheet2!B:C,2,0)</f>
        <v>ZTE2005</v>
      </c>
      <c r="M1216" s="225" t="str">
        <f>_xlfn.XLOOKUP(Logfile_S12[[#This Row],[Material Name]],Sum_WH!E:E,Sum_WH!F:F,"",0)</f>
        <v>Pcs</v>
      </c>
      <c r="N1216" s="221">
        <v>2</v>
      </c>
      <c r="O1216" s="221" t="s">
        <v>2909</v>
      </c>
      <c r="P1216" s="221" t="s">
        <v>2910</v>
      </c>
      <c r="Q1216" s="221">
        <v>0</v>
      </c>
      <c r="R1216" s="221">
        <v>0</v>
      </c>
      <c r="S1216" s="221"/>
      <c r="T1216" s="221"/>
      <c r="U1216" s="221"/>
      <c r="V1216" s="221"/>
      <c r="W1216" s="221"/>
      <c r="X1216" s="221"/>
      <c r="Y1216" s="227"/>
      <c r="Z1216" s="227" t="str">
        <f t="shared" si="47"/>
        <v>KREBET RW 03</v>
      </c>
      <c r="AA1216" s="276" t="e">
        <f>VLOOKUP(Logfile_S12[[#This Row],[DO number]],DO_DB!G:I,3,0)</f>
        <v>#N/A</v>
      </c>
      <c r="AB1216" s="331" t="e">
        <f>EXACT(Logfile_S12[[#This Row],[date pick]],Logfile_S12[[#This Row],[Date]])</f>
        <v>#N/A</v>
      </c>
      <c r="AC12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17" spans="1:29" ht="14.5" hidden="1">
      <c r="A1217" s="220" t="str">
        <f t="shared" si="46"/>
        <v>1213</v>
      </c>
      <c r="B1217" s="221"/>
      <c r="C1217" s="221" t="s">
        <v>49</v>
      </c>
      <c r="D1217" s="221" t="s">
        <v>4396</v>
      </c>
      <c r="E1217" s="221" t="s">
        <v>3295</v>
      </c>
      <c r="F1217" s="221" t="s">
        <v>3299</v>
      </c>
      <c r="G1217" s="222">
        <v>45857</v>
      </c>
      <c r="H1217" s="223">
        <v>0.5395833333333333</v>
      </c>
      <c r="I1217" s="221" t="s">
        <v>4916</v>
      </c>
      <c r="J1217" s="221" t="s">
        <v>3023</v>
      </c>
      <c r="K1217" s="224" t="s">
        <v>14</v>
      </c>
      <c r="L1217" s="225" t="str">
        <f>VLOOKUP(Logfile_S12[[#This Row],[Material Name]],Sheet2!B:C,2,0)</f>
        <v>ZTE2005</v>
      </c>
      <c r="M1217" s="225" t="str">
        <f>_xlfn.XLOOKUP(Logfile_S12[[#This Row],[Material Name]],Sum_WH!E:E,Sum_WH!F:F,"",0)</f>
        <v>Pcs</v>
      </c>
      <c r="N1217" s="221">
        <v>1</v>
      </c>
      <c r="O1217" s="221" t="s">
        <v>2909</v>
      </c>
      <c r="P1217" s="221" t="s">
        <v>2910</v>
      </c>
      <c r="Q1217" s="221"/>
      <c r="R1217" s="221"/>
      <c r="S1217" s="221"/>
      <c r="T1217" s="221" t="s">
        <v>3258</v>
      </c>
      <c r="U1217" s="221">
        <v>0</v>
      </c>
      <c r="V1217" s="221" t="s">
        <v>3337</v>
      </c>
      <c r="W1217" s="221" t="s">
        <v>3338</v>
      </c>
      <c r="X1217" s="221"/>
      <c r="Y1217" s="227"/>
      <c r="Z1217" s="227" t="str">
        <f t="shared" si="47"/>
        <v>KREBET RW 03</v>
      </c>
      <c r="AA1217" s="276" t="e">
        <f>VLOOKUP(Logfile_S12[[#This Row],[DO number]],DO_DB!G:I,3,0)</f>
        <v>#N/A</v>
      </c>
      <c r="AB1217" s="331" t="e">
        <f>EXACT(Logfile_S12[[#This Row],[date pick]],Logfile_S12[[#This Row],[Date]])</f>
        <v>#N/A</v>
      </c>
      <c r="AC12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18" spans="1:29" ht="14.5" hidden="1">
      <c r="A1218" s="220" t="str">
        <f t="shared" si="46"/>
        <v>1214</v>
      </c>
      <c r="B1218" s="221"/>
      <c r="C1218" s="221" t="s">
        <v>49</v>
      </c>
      <c r="D1218" s="221" t="s">
        <v>4400</v>
      </c>
      <c r="E1218" s="221" t="s">
        <v>3295</v>
      </c>
      <c r="F1218" s="221" t="s">
        <v>3299</v>
      </c>
      <c r="G1218" s="222">
        <v>45865</v>
      </c>
      <c r="H1218" s="223">
        <v>0.83125000000000004</v>
      </c>
      <c r="I1218" s="221" t="s">
        <v>4916</v>
      </c>
      <c r="J1218" s="221" t="s">
        <v>3023</v>
      </c>
      <c r="K1218" s="224" t="s">
        <v>14</v>
      </c>
      <c r="L1218" s="225" t="str">
        <f>VLOOKUP(Logfile_S12[[#This Row],[Material Name]],Sheet2!B:C,2,0)</f>
        <v>ZTE2005</v>
      </c>
      <c r="M1218" s="225" t="str">
        <f>_xlfn.XLOOKUP(Logfile_S12[[#This Row],[Material Name]],Sum_WH!E:E,Sum_WH!F:F,"",0)</f>
        <v>Pcs</v>
      </c>
      <c r="N1218" s="221">
        <v>1</v>
      </c>
      <c r="O1218" s="221" t="s">
        <v>2925</v>
      </c>
      <c r="P1218" s="221" t="s">
        <v>2926</v>
      </c>
      <c r="Q1218" s="221"/>
      <c r="R1218" s="221"/>
      <c r="S1218" s="221"/>
      <c r="T1218" s="221" t="s">
        <v>3471</v>
      </c>
      <c r="U1218" s="221">
        <v>0</v>
      </c>
      <c r="V1218" s="221" t="s">
        <v>3472</v>
      </c>
      <c r="W1218" s="221" t="s">
        <v>3545</v>
      </c>
      <c r="X1218" s="221"/>
      <c r="Y1218" s="227"/>
      <c r="Z1218" s="227" t="str">
        <f t="shared" si="47"/>
        <v>BULULAWANG RW 07 MALANG</v>
      </c>
      <c r="AA1218" s="276" t="e">
        <f>VLOOKUP(Logfile_S12[[#This Row],[DO number]],DO_DB!G:I,3,0)</f>
        <v>#N/A</v>
      </c>
      <c r="AB1218" s="331" t="e">
        <f>EXACT(Logfile_S12[[#This Row],[date pick]],Logfile_S12[[#This Row],[Date]])</f>
        <v>#N/A</v>
      </c>
      <c r="AC12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19" spans="1:29" ht="14.5" hidden="1">
      <c r="A1219" s="220" t="str">
        <f t="shared" si="46"/>
        <v>1215</v>
      </c>
      <c r="B1219" s="221"/>
      <c r="C1219" s="221" t="s">
        <v>49</v>
      </c>
      <c r="D1219" s="221" t="s">
        <v>4407</v>
      </c>
      <c r="E1219" s="221" t="s">
        <v>3295</v>
      </c>
      <c r="F1219" s="221" t="s">
        <v>3299</v>
      </c>
      <c r="G1219" s="222">
        <v>45878</v>
      </c>
      <c r="H1219" s="223">
        <v>0.55694444444444446</v>
      </c>
      <c r="I1219" s="221" t="s">
        <v>4916</v>
      </c>
      <c r="J1219" s="221" t="s">
        <v>3023</v>
      </c>
      <c r="K1219" s="224" t="s">
        <v>14</v>
      </c>
      <c r="L1219" s="225" t="str">
        <f>VLOOKUP(Logfile_S12[[#This Row],[Material Name]],Sheet2!B:C,2,0)</f>
        <v>ZTE2005</v>
      </c>
      <c r="M1219" s="225" t="str">
        <f>_xlfn.XLOOKUP(Logfile_S12[[#This Row],[Material Name]],Sum_WH!E:E,Sum_WH!F:F,"",0)</f>
        <v>Pcs</v>
      </c>
      <c r="N1219" s="221">
        <v>1</v>
      </c>
      <c r="O1219" s="221" t="s">
        <v>2996</v>
      </c>
      <c r="P1219" s="221" t="s">
        <v>2997</v>
      </c>
      <c r="Q1219" s="221"/>
      <c r="R1219" s="221"/>
      <c r="S1219" s="221"/>
      <c r="T1219" s="221" t="s">
        <v>3471</v>
      </c>
      <c r="U1219" s="221">
        <v>0</v>
      </c>
      <c r="V1219" s="221" t="s">
        <v>3472</v>
      </c>
      <c r="W1219" s="221" t="s">
        <v>3545</v>
      </c>
      <c r="X1219" s="221"/>
      <c r="Y1219" s="227"/>
      <c r="Z1219" s="227" t="str">
        <f t="shared" si="47"/>
        <v>PERMANU RW 03 MALANG</v>
      </c>
      <c r="AA1219" s="276" t="e">
        <f>VLOOKUP(Logfile_S12[[#This Row],[DO number]],DO_DB!G:I,3,0)</f>
        <v>#N/A</v>
      </c>
      <c r="AB1219" s="331" t="e">
        <f>EXACT(Logfile_S12[[#This Row],[date pick]],Logfile_S12[[#This Row],[Date]])</f>
        <v>#N/A</v>
      </c>
      <c r="AC12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20" spans="1:29" ht="14.5" hidden="1">
      <c r="A1220" s="220" t="str">
        <f t="shared" si="46"/>
        <v>1216</v>
      </c>
      <c r="B1220" s="221"/>
      <c r="C1220" s="221" t="s">
        <v>48</v>
      </c>
      <c r="D1220" s="221" t="s">
        <v>4415</v>
      </c>
      <c r="E1220" s="221" t="s">
        <v>3295</v>
      </c>
      <c r="F1220" s="221" t="s">
        <v>3299</v>
      </c>
      <c r="G1220" s="222">
        <v>45888</v>
      </c>
      <c r="H1220" s="223">
        <v>15.291666666666666</v>
      </c>
      <c r="I1220" s="221" t="s">
        <v>37</v>
      </c>
      <c r="J1220" s="221" t="s">
        <v>3023</v>
      </c>
      <c r="K1220" s="224" t="s">
        <v>14</v>
      </c>
      <c r="L1220" s="225" t="str">
        <f>VLOOKUP(Logfile_S12[[#This Row],[Material Name]],Sheet2!B:C,2,0)</f>
        <v>ZTE2005</v>
      </c>
      <c r="M1220" s="225" t="str">
        <f>_xlfn.XLOOKUP(Logfile_S12[[#This Row],[Material Name]],Sum_WH!E:E,Sum_WH!F:F,"",0)</f>
        <v>Pcs</v>
      </c>
      <c r="N1220" s="221">
        <v>1</v>
      </c>
      <c r="O1220" s="221" t="s">
        <v>3203</v>
      </c>
      <c r="P1220" s="221" t="s">
        <v>3598</v>
      </c>
      <c r="Q1220" s="221" t="s">
        <v>3205</v>
      </c>
      <c r="R1220" s="221" t="s">
        <v>3206</v>
      </c>
      <c r="S1220" s="221"/>
      <c r="T1220" s="221"/>
      <c r="U1220" s="221"/>
      <c r="V1220" s="221"/>
      <c r="W1220" s="221"/>
      <c r="X1220" s="221"/>
      <c r="Y1220" s="227"/>
      <c r="Z1220" s="227" t="str">
        <f t="shared" si="47"/>
        <v>PERUMAHAN BULULAWANG PERMAI RW 02</v>
      </c>
      <c r="AA1220" s="276">
        <f>VLOOKUP(Logfile_S12[[#This Row],[DO number]],DO_DB!G:I,3,0)</f>
        <v>45888</v>
      </c>
      <c r="AB1220" s="331" t="b">
        <f>EXACT(Logfile_S12[[#This Row],[date pick]],Logfile_S12[[#This Row],[Date]])</f>
        <v>1</v>
      </c>
      <c r="AC12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21" spans="1:29" ht="14.5" hidden="1">
      <c r="A1221" s="220" t="str">
        <f t="shared" ref="A1221:A1284" si="48">TEXT(ROW(A1221)-ROW($A$4),"000")</f>
        <v>1217</v>
      </c>
      <c r="B1221" s="221"/>
      <c r="C1221" s="221" t="s">
        <v>48</v>
      </c>
      <c r="D1221" s="221" t="s">
        <v>4426</v>
      </c>
      <c r="E1221" s="221" t="s">
        <v>3295</v>
      </c>
      <c r="F1221" s="221" t="s">
        <v>3299</v>
      </c>
      <c r="G1221" s="222">
        <v>45899</v>
      </c>
      <c r="H1221" s="223">
        <v>0.64682870370370371</v>
      </c>
      <c r="I1221" s="221" t="s">
        <v>37</v>
      </c>
      <c r="J1221" s="221" t="s">
        <v>3023</v>
      </c>
      <c r="K1221" s="224" t="s">
        <v>14</v>
      </c>
      <c r="L1221" s="225" t="str">
        <f>VLOOKUP(Logfile_S12[[#This Row],[Material Name]],Sheet2!B:C,2,0)</f>
        <v>ZTE2005</v>
      </c>
      <c r="M1221" s="225" t="str">
        <f>_xlfn.XLOOKUP(Logfile_S12[[#This Row],[Material Name]],Sum_WH!E:E,Sum_WH!F:F,"",0)</f>
        <v>Pcs</v>
      </c>
      <c r="N1221" s="221">
        <v>1</v>
      </c>
      <c r="O1221" s="221"/>
      <c r="P1221" s="221" t="s">
        <v>3260</v>
      </c>
      <c r="Q1221" s="221" t="s">
        <v>3260</v>
      </c>
      <c r="R1221" s="221" t="s">
        <v>3260</v>
      </c>
      <c r="S1221" s="221"/>
      <c r="T1221" s="221"/>
      <c r="U1221" s="221"/>
      <c r="V1221" s="221"/>
      <c r="W1221" s="221"/>
      <c r="X1221" s="221"/>
      <c r="Y1221" s="227"/>
      <c r="Z1221" s="227" t="str">
        <f t="shared" si="47"/>
        <v>-</v>
      </c>
      <c r="AA1221" s="276" t="e">
        <f>VLOOKUP(Logfile_S12[[#This Row],[DO number]],DO_DB!G:I,3,0)</f>
        <v>#N/A</v>
      </c>
      <c r="AB1221" s="331" t="e">
        <f>EXACT(Logfile_S12[[#This Row],[date pick]],Logfile_S12[[#This Row],[Date]])</f>
        <v>#N/A</v>
      </c>
      <c r="AC12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22" spans="1:29" ht="14.5" hidden="1">
      <c r="A1222" s="237" t="str">
        <f t="shared" si="48"/>
        <v>1218</v>
      </c>
      <c r="B1222" s="221">
        <v>2</v>
      </c>
      <c r="C1222" s="227" t="s">
        <v>49</v>
      </c>
      <c r="D1222" s="227" t="s">
        <v>4653</v>
      </c>
      <c r="E1222" s="227" t="s">
        <v>3295</v>
      </c>
      <c r="F1222" s="227" t="s">
        <v>3299</v>
      </c>
      <c r="G1222" s="239">
        <v>45916</v>
      </c>
      <c r="H1222" s="240">
        <v>0.84356481481481482</v>
      </c>
      <c r="I1222" s="227" t="s">
        <v>3295</v>
      </c>
      <c r="J1222" s="227" t="s">
        <v>3023</v>
      </c>
      <c r="K1222" s="241" t="s">
        <v>14</v>
      </c>
      <c r="L1222" s="225" t="str">
        <f>VLOOKUP(Logfile_S12[[#This Row],[Material Name]],Sheet2!B:C,2,0)</f>
        <v>ZTE2005</v>
      </c>
      <c r="M1222" s="225" t="str">
        <f>_xlfn.XLOOKUP(Logfile_S12[[#This Row],[Material Name]],Sum_WH!E:E,Sum_WH!F:F,"",0)</f>
        <v>Pcs</v>
      </c>
      <c r="N1222" s="227">
        <v>1</v>
      </c>
      <c r="O1222" s="227" t="s">
        <v>3203</v>
      </c>
      <c r="P1222" s="227" t="s">
        <v>3204</v>
      </c>
      <c r="Q1222" s="227" t="s">
        <v>3205</v>
      </c>
      <c r="R1222" s="227" t="s">
        <v>3206</v>
      </c>
      <c r="S1222" s="227"/>
      <c r="T1222" s="227" t="s">
        <v>3471</v>
      </c>
      <c r="U1222" s="227">
        <v>0</v>
      </c>
      <c r="V1222" s="227" t="s">
        <v>3472</v>
      </c>
      <c r="W1222" s="227" t="s">
        <v>3545</v>
      </c>
      <c r="X1222" s="227"/>
      <c r="Y1222" s="227"/>
      <c r="Z1222" s="227" t="str">
        <f t="shared" si="47"/>
        <v>Perumahan Bululawang Permai RW 02</v>
      </c>
      <c r="AA1222" s="276">
        <f>VLOOKUP(Logfile_S12[[#This Row],[DO number]],DO_DB!G:I,3,0)</f>
        <v>45888</v>
      </c>
      <c r="AB1222" s="331" t="b">
        <f>EXACT(Logfile_S12[[#This Row],[date pick]],Logfile_S12[[#This Row],[Date]])</f>
        <v>0</v>
      </c>
      <c r="AC12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23" spans="1:29" ht="14.5" hidden="1">
      <c r="A1223" s="237" t="str">
        <f t="shared" si="48"/>
        <v>1219</v>
      </c>
      <c r="B1223" s="221">
        <v>1</v>
      </c>
      <c r="C1223" s="227" t="s">
        <v>49</v>
      </c>
      <c r="D1223" s="227" t="s">
        <v>4652</v>
      </c>
      <c r="E1223" s="227" t="s">
        <v>3295</v>
      </c>
      <c r="F1223" s="227" t="s">
        <v>3299</v>
      </c>
      <c r="G1223" s="239">
        <v>45916</v>
      </c>
      <c r="H1223" s="240">
        <v>0.63034722222222217</v>
      </c>
      <c r="I1223" s="227" t="s">
        <v>3295</v>
      </c>
      <c r="J1223" s="227" t="s">
        <v>3023</v>
      </c>
      <c r="K1223" s="241" t="s">
        <v>14</v>
      </c>
      <c r="L1223" s="225" t="str">
        <f>VLOOKUP(Logfile_S12[[#This Row],[Material Name]],Sheet2!B:C,2,0)</f>
        <v>ZTE2005</v>
      </c>
      <c r="M1223" s="225" t="str">
        <f>_xlfn.XLOOKUP(Logfile_S12[[#This Row],[Material Name]],Sum_WH!E:E,Sum_WH!F:F,"",0)</f>
        <v>Pcs</v>
      </c>
      <c r="N1223" s="227">
        <v>1</v>
      </c>
      <c r="O1223" s="227" t="s">
        <v>3668</v>
      </c>
      <c r="P1223" s="227" t="s">
        <v>3669</v>
      </c>
      <c r="Q1223" s="227" t="s">
        <v>3670</v>
      </c>
      <c r="R1223" s="227" t="s">
        <v>3671</v>
      </c>
      <c r="S1223" s="227"/>
      <c r="T1223" s="227" t="s">
        <v>3231</v>
      </c>
      <c r="U1223" s="227">
        <v>0</v>
      </c>
      <c r="V1223" s="227" t="s">
        <v>3232</v>
      </c>
      <c r="W1223" s="227" t="s">
        <v>3254</v>
      </c>
      <c r="X1223" s="227"/>
      <c r="Y1223" s="227"/>
      <c r="Z1223" s="227" t="str">
        <f t="shared" si="47"/>
        <v>KREBET SENGGRONG RW 03 MALANG</v>
      </c>
      <c r="AA1223" s="276">
        <f>VLOOKUP(Logfile_S12[[#This Row],[DO number]],DO_DB!G:I,3,0)</f>
        <v>45896</v>
      </c>
      <c r="AB1223" s="331" t="b">
        <f>EXACT(Logfile_S12[[#This Row],[date pick]],Logfile_S12[[#This Row],[Date]])</f>
        <v>0</v>
      </c>
      <c r="AC12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24" spans="1:29" ht="14.5" hidden="1">
      <c r="A1224" s="237" t="str">
        <f t="shared" si="48"/>
        <v>1220</v>
      </c>
      <c r="B1224" s="221">
        <v>3</v>
      </c>
      <c r="C1224" s="227" t="s">
        <v>48</v>
      </c>
      <c r="D1224" s="227" t="s">
        <v>4671</v>
      </c>
      <c r="E1224" s="227" t="s">
        <v>3295</v>
      </c>
      <c r="F1224" s="227" t="s">
        <v>3299</v>
      </c>
      <c r="G1224" s="239">
        <v>45953</v>
      </c>
      <c r="H1224" s="240">
        <v>0.33333333333333331</v>
      </c>
      <c r="I1224" s="227" t="s">
        <v>37</v>
      </c>
      <c r="J1224" s="221" t="s">
        <v>3023</v>
      </c>
      <c r="K1224" s="241" t="s">
        <v>14</v>
      </c>
      <c r="L1224" s="225" t="str">
        <f>VLOOKUP(Logfile_S12[[#This Row],[Material Name]],Sheet2!B:C,2,0)</f>
        <v>ZTE2005</v>
      </c>
      <c r="M1224" s="242" t="s">
        <v>19</v>
      </c>
      <c r="N1224" s="227">
        <v>1</v>
      </c>
      <c r="O1224" s="227" t="s">
        <v>4595</v>
      </c>
      <c r="P1224" s="227" t="s">
        <v>4596</v>
      </c>
      <c r="Q1224" s="221" t="s">
        <v>4669</v>
      </c>
      <c r="R1224" s="221" t="s">
        <v>4670</v>
      </c>
      <c r="S1224" s="227"/>
      <c r="T1224" s="221" t="s">
        <v>3258</v>
      </c>
      <c r="U1224" s="221">
        <v>0</v>
      </c>
      <c r="V1224" s="221" t="s">
        <v>3337</v>
      </c>
      <c r="W1224" s="221" t="s">
        <v>3338</v>
      </c>
      <c r="X1224" s="227"/>
      <c r="Y1224" s="227"/>
      <c r="Z1224" s="227" t="str">
        <f t="shared" si="47"/>
        <v>Asshofa Residence</v>
      </c>
      <c r="AA1224" s="276">
        <f>VLOOKUP(Logfile_S12[[#This Row],[DO number]],DO_DB!G:I,3,0)</f>
        <v>45951</v>
      </c>
      <c r="AB1224" s="331" t="b">
        <f>EXACT(Logfile_S12[[#This Row],[date pick]],Logfile_S12[[#This Row],[Date]])</f>
        <v>0</v>
      </c>
      <c r="AC12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25" spans="1:29" ht="14.5" hidden="1">
      <c r="A1225" s="237" t="str">
        <f t="shared" si="48"/>
        <v>1221</v>
      </c>
      <c r="B1225" s="221">
        <v>1</v>
      </c>
      <c r="C1225" s="227" t="s">
        <v>49</v>
      </c>
      <c r="D1225" s="227" t="s">
        <v>4673</v>
      </c>
      <c r="E1225" s="227" t="s">
        <v>3295</v>
      </c>
      <c r="F1225" s="227" t="s">
        <v>3299</v>
      </c>
      <c r="G1225" s="239">
        <v>45953</v>
      </c>
      <c r="H1225" s="240">
        <v>0.60763888888888884</v>
      </c>
      <c r="I1225" s="227" t="s">
        <v>3295</v>
      </c>
      <c r="J1225" s="221" t="s">
        <v>3023</v>
      </c>
      <c r="K1225" s="241" t="s">
        <v>14</v>
      </c>
      <c r="L1225" s="225" t="str">
        <f>VLOOKUP(Logfile_S12[[#This Row],[Material Name]],Sheet2!B:C,2,0)</f>
        <v>ZTE2005</v>
      </c>
      <c r="M1225" s="242" t="s">
        <v>19</v>
      </c>
      <c r="N1225" s="227">
        <v>1</v>
      </c>
      <c r="O1225" s="227" t="s">
        <v>4595</v>
      </c>
      <c r="P1225" s="227" t="s">
        <v>4596</v>
      </c>
      <c r="Q1225" s="227"/>
      <c r="R1225" s="227"/>
      <c r="S1225" s="227"/>
      <c r="T1225" s="221" t="s">
        <v>3356</v>
      </c>
      <c r="U1225" s="221">
        <v>0</v>
      </c>
      <c r="V1225" s="221">
        <v>0</v>
      </c>
      <c r="W1225" s="221" t="s">
        <v>3358</v>
      </c>
      <c r="X1225" s="227"/>
      <c r="Y1225" s="227"/>
      <c r="Z1225" s="227" t="str">
        <f t="shared" si="47"/>
        <v>Asshofa Residence</v>
      </c>
      <c r="AA1225" s="276" t="e">
        <f>VLOOKUP(Logfile_S12[[#This Row],[DO number]],DO_DB!G:I,3,0)</f>
        <v>#N/A</v>
      </c>
      <c r="AB1225" s="331" t="e">
        <f>EXACT(Logfile_S12[[#This Row],[date pick]],Logfile_S12[[#This Row],[Date]])</f>
        <v>#N/A</v>
      </c>
      <c r="AC12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26" spans="1:29" ht="14.5" hidden="1">
      <c r="A1226" s="237" t="str">
        <f t="shared" si="48"/>
        <v>1222</v>
      </c>
      <c r="B1226" s="221">
        <v>5</v>
      </c>
      <c r="C1226" s="227" t="s">
        <v>48</v>
      </c>
      <c r="D1226" s="227" t="s">
        <v>4675</v>
      </c>
      <c r="E1226" s="227" t="s">
        <v>3295</v>
      </c>
      <c r="F1226" s="227" t="s">
        <v>3299</v>
      </c>
      <c r="G1226" s="239">
        <v>45955</v>
      </c>
      <c r="H1226" s="240">
        <v>0.33333333333333331</v>
      </c>
      <c r="I1226" s="227" t="s">
        <v>37</v>
      </c>
      <c r="J1226" s="221" t="s">
        <v>3023</v>
      </c>
      <c r="K1226" s="241" t="s">
        <v>14</v>
      </c>
      <c r="L1226" s="225" t="str">
        <f>VLOOKUP(Logfile_S12[[#This Row],[Material Name]],Sheet2!B:C,2,0)</f>
        <v>ZTE2005</v>
      </c>
      <c r="M1226" s="242" t="s">
        <v>19</v>
      </c>
      <c r="N1226" s="227">
        <v>1</v>
      </c>
      <c r="O1226" s="227" t="s">
        <v>4663</v>
      </c>
      <c r="P1226" s="227" t="s">
        <v>4664</v>
      </c>
      <c r="Q1226" s="221"/>
      <c r="R1226" s="221"/>
      <c r="S1226" s="227"/>
      <c r="T1226" s="227"/>
      <c r="U1226" s="227"/>
      <c r="V1226" s="227"/>
      <c r="W1226" s="227"/>
      <c r="X1226" s="227"/>
      <c r="Y1226" s="227"/>
      <c r="Z1226" s="227" t="str">
        <f t="shared" si="47"/>
        <v>LESANPURO RW 06 MALANG</v>
      </c>
      <c r="AA1226" s="276" t="e">
        <f>VLOOKUP(Logfile_S12[[#This Row],[DO number]],DO_DB!G:I,3,0)</f>
        <v>#N/A</v>
      </c>
      <c r="AB1226" s="331" t="e">
        <f>EXACT(Logfile_S12[[#This Row],[date pick]],Logfile_S12[[#This Row],[Date]])</f>
        <v>#N/A</v>
      </c>
      <c r="AC12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27" spans="1:29" ht="14.5" hidden="1">
      <c r="A1227" s="237" t="str">
        <f t="shared" si="48"/>
        <v>1223</v>
      </c>
      <c r="B1227" s="221">
        <v>1</v>
      </c>
      <c r="C1227" s="227" t="s">
        <v>49</v>
      </c>
      <c r="D1227" s="227" t="s">
        <v>4714</v>
      </c>
      <c r="E1227" s="227" t="s">
        <v>3295</v>
      </c>
      <c r="F1227" s="227" t="s">
        <v>3299</v>
      </c>
      <c r="G1227" s="239">
        <v>45978</v>
      </c>
      <c r="H1227" s="240">
        <v>0.79722222222222228</v>
      </c>
      <c r="I1227" s="227" t="s">
        <v>3295</v>
      </c>
      <c r="J1227" s="221" t="s">
        <v>3023</v>
      </c>
      <c r="K1227" s="241" t="s">
        <v>14</v>
      </c>
      <c r="L1227" s="225" t="str">
        <f>VLOOKUP(Logfile_S12[[#This Row],[Material Name]],Sheet2!B:C,2,0)</f>
        <v>ZTE2005</v>
      </c>
      <c r="M1227" s="242" t="s">
        <v>19</v>
      </c>
      <c r="N1227" s="227">
        <v>1</v>
      </c>
      <c r="O1227" s="227" t="s">
        <v>4692</v>
      </c>
      <c r="P1227" s="227" t="s">
        <v>4693</v>
      </c>
      <c r="Q1227" s="227" t="s">
        <v>4694</v>
      </c>
      <c r="R1227" s="227" t="s">
        <v>4695</v>
      </c>
      <c r="S1227" s="227"/>
      <c r="T1227" s="221" t="s">
        <v>3471</v>
      </c>
      <c r="U1227" s="221" t="s">
        <v>4811</v>
      </c>
      <c r="V1227" s="221" t="s">
        <v>3472</v>
      </c>
      <c r="W1227" s="221" t="s">
        <v>3545</v>
      </c>
      <c r="X1227" s="227"/>
      <c r="Y1227" s="227"/>
      <c r="Z1227" s="227" t="str">
        <f t="shared" si="47"/>
        <v>PALAAN RW 01 SAMPAI 05 MALANG</v>
      </c>
      <c r="AA1227" s="276">
        <f>VLOOKUP(Logfile_S12[[#This Row],[DO number]],DO_DB!G:I,3,0)</f>
        <v>45955</v>
      </c>
      <c r="AB1227" s="331" t="b">
        <f>EXACT(Logfile_S12[[#This Row],[date pick]],Logfile_S12[[#This Row],[Date]])</f>
        <v>0</v>
      </c>
      <c r="AC12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28" spans="1:29" ht="14.5" hidden="1">
      <c r="A1228" s="237" t="str">
        <f t="shared" si="48"/>
        <v>1224</v>
      </c>
      <c r="B1228" s="221">
        <v>7</v>
      </c>
      <c r="C1228" s="227" t="s">
        <v>48</v>
      </c>
      <c r="D1228" s="227" t="s">
        <v>4730</v>
      </c>
      <c r="E1228" s="227" t="s">
        <v>3295</v>
      </c>
      <c r="F1228" s="227" t="s">
        <v>3299</v>
      </c>
      <c r="G1228" s="239">
        <v>46003</v>
      </c>
      <c r="H1228" s="240">
        <v>0.54166666666666663</v>
      </c>
      <c r="I1228" s="227" t="s">
        <v>37</v>
      </c>
      <c r="J1228" s="221" t="s">
        <v>3023</v>
      </c>
      <c r="K1228" s="241" t="s">
        <v>14</v>
      </c>
      <c r="L1228" s="225" t="str">
        <f>VLOOKUP(Logfile_S12[[#This Row],[Material Name]],Sheet2!B:C,2,0)</f>
        <v>ZTE2005</v>
      </c>
      <c r="M1228" s="242" t="s">
        <v>19</v>
      </c>
      <c r="N1228" s="227">
        <v>1</v>
      </c>
      <c r="O1228" s="221" t="s">
        <v>4785</v>
      </c>
      <c r="P1228" s="221" t="s">
        <v>4786</v>
      </c>
      <c r="Q1228" s="221" t="s">
        <v>4791</v>
      </c>
      <c r="R1228" s="221" t="s">
        <v>4792</v>
      </c>
      <c r="S1228" s="227"/>
      <c r="T1228" s="227"/>
      <c r="U1228" s="227"/>
      <c r="V1228" s="227"/>
      <c r="W1228" s="227"/>
      <c r="X1228" s="227"/>
      <c r="Y1228" s="227"/>
      <c r="Z1228" s="227" t="str">
        <f t="shared" ref="Z1228:Z1291" si="49">P1228</f>
        <v>DUSUN ARDIREJO KELURAHAN SIDEREJO MALANG</v>
      </c>
      <c r="AA1228" s="276">
        <f>VLOOKUP(Logfile_S12[[#This Row],[DO number]],DO_DB!G:I,3,0)</f>
        <v>46003</v>
      </c>
      <c r="AB1228" s="331" t="b">
        <f>EXACT(Logfile_S12[[#This Row],[date pick]],Logfile_S12[[#This Row],[Date]])</f>
        <v>1</v>
      </c>
      <c r="AC12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29" spans="1:29" ht="14.5" hidden="1">
      <c r="A1229" s="237" t="str">
        <f t="shared" si="48"/>
        <v>1225</v>
      </c>
      <c r="B1229" s="221">
        <v>4</v>
      </c>
      <c r="C1229" s="227" t="s">
        <v>49</v>
      </c>
      <c r="D1229" s="227" t="s">
        <v>4776</v>
      </c>
      <c r="E1229" s="227" t="s">
        <v>3295</v>
      </c>
      <c r="F1229" s="227" t="s">
        <v>3299</v>
      </c>
      <c r="G1229" s="239">
        <v>46015</v>
      </c>
      <c r="H1229" s="240">
        <v>0.69097222222222221</v>
      </c>
      <c r="I1229" s="227" t="s">
        <v>3295</v>
      </c>
      <c r="J1229" s="221" t="s">
        <v>3023</v>
      </c>
      <c r="K1229" s="241" t="s">
        <v>14</v>
      </c>
      <c r="L1229" s="225" t="str">
        <f>VLOOKUP(Logfile_S12[[#This Row],[Material Name]],Sheet2!B:C,2,0)</f>
        <v>ZTE2005</v>
      </c>
      <c r="M1229" s="242" t="s">
        <v>19</v>
      </c>
      <c r="N1229" s="227">
        <v>1</v>
      </c>
      <c r="O1229" s="227" t="s">
        <v>4785</v>
      </c>
      <c r="P1229" s="227" t="s">
        <v>4786</v>
      </c>
      <c r="Q1229" s="227"/>
      <c r="R1229" s="227"/>
      <c r="S1229" s="227"/>
      <c r="T1229" s="221" t="s">
        <v>3471</v>
      </c>
      <c r="U1229" s="221" t="s">
        <v>4811</v>
      </c>
      <c r="V1229" s="221" t="s">
        <v>3472</v>
      </c>
      <c r="W1229" s="221" t="s">
        <v>3545</v>
      </c>
      <c r="X1229" s="227"/>
      <c r="Y1229" s="227"/>
      <c r="Z1229" s="227" t="str">
        <f t="shared" si="49"/>
        <v>DUSUN ARDIREJO KELURAHAN SIDEREJO MALANG</v>
      </c>
      <c r="AA1229" s="276" t="e">
        <f>VLOOKUP(Logfile_S12[[#This Row],[DO number]],DO_DB!G:I,3,0)</f>
        <v>#N/A</v>
      </c>
      <c r="AB1229" s="331" t="e">
        <f>EXACT(Logfile_S12[[#This Row],[date pick]],Logfile_S12[[#This Row],[Date]])</f>
        <v>#N/A</v>
      </c>
      <c r="AC12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30" spans="1:29" ht="14.5" hidden="1">
      <c r="A1230" s="237" t="str">
        <f t="shared" si="48"/>
        <v>1226</v>
      </c>
      <c r="B1230" s="221">
        <v>3</v>
      </c>
      <c r="C1230" s="227" t="s">
        <v>49</v>
      </c>
      <c r="D1230" s="227" t="s">
        <v>4838</v>
      </c>
      <c r="E1230" s="227" t="s">
        <v>3295</v>
      </c>
      <c r="F1230" s="227" t="s">
        <v>3299</v>
      </c>
      <c r="G1230" s="239">
        <v>46096</v>
      </c>
      <c r="H1230" s="240">
        <v>0.79166666666666663</v>
      </c>
      <c r="I1230" s="227" t="s">
        <v>3295</v>
      </c>
      <c r="J1230" s="221" t="s">
        <v>3023</v>
      </c>
      <c r="K1230" s="224" t="s">
        <v>14</v>
      </c>
      <c r="L1230" s="225" t="str">
        <f>VLOOKUP(Logfile_S12[[#This Row],[Material Name]],Sheet2!B:C,2,0)</f>
        <v>ZTE2005</v>
      </c>
      <c r="M1230" s="242" t="s">
        <v>19</v>
      </c>
      <c r="N1230" s="227">
        <v>1</v>
      </c>
      <c r="O1230" s="227" t="s">
        <v>4839</v>
      </c>
      <c r="P1230" s="227" t="s">
        <v>4840</v>
      </c>
      <c r="Q1230" s="227"/>
      <c r="R1230" s="227"/>
      <c r="S1230" s="227"/>
      <c r="T1230" s="221" t="s">
        <v>3231</v>
      </c>
      <c r="U1230" s="221" t="s">
        <v>4811</v>
      </c>
      <c r="V1230" s="221" t="s">
        <v>3232</v>
      </c>
      <c r="W1230" s="221" t="s">
        <v>3254</v>
      </c>
      <c r="X1230" s="227"/>
      <c r="Y1230" s="227"/>
      <c r="Z1230" s="227" t="str">
        <f t="shared" si="49"/>
        <v>SEKARPURO RW 05 MALANG</v>
      </c>
      <c r="AA1230" s="276" t="e">
        <f>VLOOKUP(Logfile_S12[[#This Row],[DO number]],DO_DB!G:I,3,0)</f>
        <v>#N/A</v>
      </c>
      <c r="AB1230" s="331" t="e">
        <f>EXACT(Logfile_S12[[#This Row],[date pick]],Logfile_S12[[#This Row],[Date]])</f>
        <v>#N/A</v>
      </c>
      <c r="AC12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31" spans="1:29" ht="14.5" hidden="1">
      <c r="A1231" s="237" t="str">
        <f t="shared" si="48"/>
        <v>1227</v>
      </c>
      <c r="B1231" s="221">
        <v>2</v>
      </c>
      <c r="C1231" s="227" t="s">
        <v>49</v>
      </c>
      <c r="D1231" s="227" t="s">
        <v>4838</v>
      </c>
      <c r="E1231" s="227" t="s">
        <v>3295</v>
      </c>
      <c r="F1231" s="227" t="s">
        <v>3299</v>
      </c>
      <c r="G1231" s="239">
        <v>46134</v>
      </c>
      <c r="H1231" s="240">
        <v>0.58333333333333337</v>
      </c>
      <c r="I1231" s="227" t="s">
        <v>3295</v>
      </c>
      <c r="J1231" s="221" t="s">
        <v>3023</v>
      </c>
      <c r="K1231" s="241" t="s">
        <v>14</v>
      </c>
      <c r="L1231" s="242" t="str">
        <f>VLOOKUP(Logfile_S12[[#This Row],[Material Name]],Sheet2!B:C,2,0)</f>
        <v>ZTE2005</v>
      </c>
      <c r="M1231" s="242" t="s">
        <v>19</v>
      </c>
      <c r="N1231" s="227">
        <v>1</v>
      </c>
      <c r="O1231" s="227" t="s">
        <v>4847</v>
      </c>
      <c r="P1231" s="227" t="s">
        <v>4846</v>
      </c>
      <c r="Q1231" s="227"/>
      <c r="R1231" s="227"/>
      <c r="S1231" s="227"/>
      <c r="T1231" s="221" t="s">
        <v>3231</v>
      </c>
      <c r="U1231" s="221" t="s">
        <v>4811</v>
      </c>
      <c r="V1231" s="221" t="s">
        <v>3232</v>
      </c>
      <c r="W1231" s="221" t="s">
        <v>3254</v>
      </c>
      <c r="X1231" s="227"/>
      <c r="Y1231" s="227"/>
      <c r="Z1231" s="227" t="str">
        <f t="shared" si="49"/>
        <v>SEKARPURO RW 04 MALANG</v>
      </c>
      <c r="AA1231" s="276" t="e">
        <f>VLOOKUP(Logfile_S12[[#This Row],[DO number]],DO_DB!G:I,3,0)</f>
        <v>#N/A</v>
      </c>
      <c r="AB1231" s="331" t="e">
        <f>EXACT(Logfile_S12[[#This Row],[date pick]],Logfile_S12[[#This Row],[Date]])</f>
        <v>#N/A</v>
      </c>
      <c r="AC12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32" spans="1:29" ht="14.5" hidden="1">
      <c r="A1232" s="237" t="str">
        <f t="shared" si="48"/>
        <v>1228</v>
      </c>
      <c r="B1232" s="221">
        <v>4</v>
      </c>
      <c r="C1232" s="227" t="s">
        <v>48</v>
      </c>
      <c r="D1232" s="227" t="s">
        <v>4865</v>
      </c>
      <c r="E1232" s="227" t="s">
        <v>3295</v>
      </c>
      <c r="F1232" s="227" t="s">
        <v>3299</v>
      </c>
      <c r="G1232" s="239">
        <v>46151</v>
      </c>
      <c r="H1232" s="240">
        <v>0.61527777777777781</v>
      </c>
      <c r="I1232" s="227" t="s">
        <v>37</v>
      </c>
      <c r="J1232" s="221" t="s">
        <v>3023</v>
      </c>
      <c r="K1232" s="241" t="s">
        <v>14</v>
      </c>
      <c r="L1232" s="242" t="str">
        <f>VLOOKUP(Logfile_S12[[#This Row],[Material Name]],Sheet2!B:C,2,0)</f>
        <v>ZTE2005</v>
      </c>
      <c r="M1232" s="242" t="s">
        <v>19</v>
      </c>
      <c r="N1232" s="227">
        <v>1</v>
      </c>
      <c r="O1232" s="221" t="s">
        <v>4866</v>
      </c>
      <c r="P1232" s="221" t="s">
        <v>4867</v>
      </c>
      <c r="Q1232" s="221" t="s">
        <v>4868</v>
      </c>
      <c r="R1232" s="221" t="s">
        <v>4872</v>
      </c>
      <c r="S1232" s="227"/>
      <c r="T1232" s="227"/>
      <c r="U1232" s="227"/>
      <c r="V1232" s="227"/>
      <c r="W1232" s="227"/>
      <c r="X1232" s="227"/>
      <c r="Y1232" s="227"/>
      <c r="Z1232" s="227" t="str">
        <f t="shared" si="49"/>
        <v>WONOKOYO RW 05 KEDUNGKANDANG</v>
      </c>
      <c r="AA1232" s="276">
        <f>VLOOKUP(Logfile_S12[[#This Row],[DO number]],DO_DB!G:I,3,0)</f>
        <v>46151</v>
      </c>
      <c r="AB1232" s="331" t="b">
        <f>EXACT(Logfile_S12[[#This Row],[date pick]],Logfile_S12[[#This Row],[Date]])</f>
        <v>1</v>
      </c>
      <c r="AC12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33" spans="1:29" ht="14.5" hidden="1">
      <c r="A1233" s="237" t="str">
        <f t="shared" si="48"/>
        <v>1229</v>
      </c>
      <c r="B1233" s="221">
        <v>6</v>
      </c>
      <c r="C1233" s="227" t="s">
        <v>48</v>
      </c>
      <c r="D1233" s="227" t="s">
        <v>4895</v>
      </c>
      <c r="E1233" s="227" t="s">
        <v>3295</v>
      </c>
      <c r="F1233" s="227" t="s">
        <v>3299</v>
      </c>
      <c r="G1233" s="239">
        <v>46164</v>
      </c>
      <c r="H1233" s="240">
        <v>0.74236111111111114</v>
      </c>
      <c r="I1233" s="227" t="s">
        <v>37</v>
      </c>
      <c r="J1233" s="227" t="s">
        <v>3023</v>
      </c>
      <c r="K1233" s="241" t="s">
        <v>14</v>
      </c>
      <c r="L1233" s="242" t="str">
        <f>VLOOKUP(Logfile_S12[[#This Row],[Material Name]],Sheet2!B:C,2,0)</f>
        <v>ZTE2005</v>
      </c>
      <c r="M1233" s="242" t="s">
        <v>19</v>
      </c>
      <c r="N1233" s="227">
        <v>1</v>
      </c>
      <c r="O1233" s="227" t="s">
        <v>4870</v>
      </c>
      <c r="P1233" s="227" t="s">
        <v>4871</v>
      </c>
      <c r="Q1233" s="221" t="s">
        <v>4869</v>
      </c>
      <c r="R1233" s="221">
        <v>0</v>
      </c>
      <c r="S1233" s="227"/>
      <c r="T1233" s="227"/>
      <c r="U1233" s="227"/>
      <c r="V1233" s="227"/>
      <c r="W1233" s="227"/>
      <c r="X1233" s="227"/>
      <c r="Y1233" s="227"/>
      <c r="Z1233" s="227" t="str">
        <f t="shared" si="49"/>
        <v>SUMBERSEKAR RT 07 RW 04 MALANG</v>
      </c>
      <c r="AA1233" s="276">
        <f>VLOOKUP(Logfile_S12[[#This Row],[DO number]],DO_DB!G:I,3,0)</f>
        <v>46164</v>
      </c>
      <c r="AB1233" s="331" t="b">
        <f>EXACT(Logfile_S12[[#This Row],[date pick]],Logfile_S12[[#This Row],[Date]])</f>
        <v>1</v>
      </c>
      <c r="AC12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34" spans="1:29" ht="14.5" hidden="1">
      <c r="A1234" s="237" t="str">
        <f t="shared" si="48"/>
        <v>1230</v>
      </c>
      <c r="B1234" s="221">
        <v>5</v>
      </c>
      <c r="C1234" s="227" t="s">
        <v>49</v>
      </c>
      <c r="D1234" s="227" t="s">
        <v>4896</v>
      </c>
      <c r="E1234" s="227" t="s">
        <v>3295</v>
      </c>
      <c r="F1234" s="227" t="s">
        <v>3299</v>
      </c>
      <c r="G1234" s="239">
        <v>46165</v>
      </c>
      <c r="H1234" s="240">
        <v>0.74236111111111114</v>
      </c>
      <c r="I1234" s="227" t="s">
        <v>3295</v>
      </c>
      <c r="J1234" s="227" t="s">
        <v>3023</v>
      </c>
      <c r="K1234" s="241" t="s">
        <v>14</v>
      </c>
      <c r="L1234" s="242" t="str">
        <f>VLOOKUP(Logfile_S12[[#This Row],[Material Name]],Sheet2!B:C,2,0)</f>
        <v>ZTE2005</v>
      </c>
      <c r="M1234" s="242" t="s">
        <v>19</v>
      </c>
      <c r="N1234" s="227">
        <v>1</v>
      </c>
      <c r="O1234" s="227" t="s">
        <v>4870</v>
      </c>
      <c r="P1234" s="227" t="s">
        <v>4871</v>
      </c>
      <c r="Q1234" s="227"/>
      <c r="R1234" s="227"/>
      <c r="S1234" s="227"/>
      <c r="T1234" s="248" t="s">
        <v>3471</v>
      </c>
      <c r="U1234" s="221" t="s">
        <v>4811</v>
      </c>
      <c r="V1234" s="248" t="s">
        <v>3472</v>
      </c>
      <c r="W1234" s="248" t="s">
        <v>3473</v>
      </c>
      <c r="X1234" s="227"/>
      <c r="Y1234" s="227"/>
      <c r="Z1234" s="227" t="str">
        <f t="shared" si="49"/>
        <v>SUMBERSEKAR RT 07 RW 04 MALANG</v>
      </c>
      <c r="AA1234" s="276" t="e">
        <f>VLOOKUP(Logfile_S12[[#This Row],[DO number]],DO_DB!G:I,3,0)</f>
        <v>#N/A</v>
      </c>
      <c r="AB1234" s="331" t="e">
        <f>EXACT(Logfile_S12[[#This Row],[date pick]],Logfile_S12[[#This Row],[Date]])</f>
        <v>#N/A</v>
      </c>
      <c r="AC12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35" spans="1:29" ht="14.5" hidden="1">
      <c r="A1235" s="237" t="str">
        <f t="shared" si="48"/>
        <v>1231</v>
      </c>
      <c r="B1235" s="221">
        <v>3</v>
      </c>
      <c r="C1235" s="227" t="s">
        <v>48</v>
      </c>
      <c r="D1235" s="227" t="s">
        <v>4907</v>
      </c>
      <c r="E1235" s="227" t="s">
        <v>3295</v>
      </c>
      <c r="F1235" s="227" t="s">
        <v>3299</v>
      </c>
      <c r="G1235" s="239">
        <v>46200</v>
      </c>
      <c r="H1235" s="240">
        <v>0.25</v>
      </c>
      <c r="I1235" s="227" t="s">
        <v>37</v>
      </c>
      <c r="J1235" s="227" t="s">
        <v>3023</v>
      </c>
      <c r="K1235" s="241" t="s">
        <v>14</v>
      </c>
      <c r="L1235" s="242" t="str">
        <f>VLOOKUP(Logfile_S12[[#This Row],[Material Name]],Sheet2!B:C,2,0)</f>
        <v>ZTE2005</v>
      </c>
      <c r="M1235" s="242" t="s">
        <v>19</v>
      </c>
      <c r="N1235" s="227">
        <v>1</v>
      </c>
      <c r="O1235" s="221" t="s">
        <v>4902</v>
      </c>
      <c r="P1235" s="221" t="s">
        <v>4903</v>
      </c>
      <c r="Q1235" s="221" t="s">
        <v>4901</v>
      </c>
      <c r="R1235" s="221">
        <v>0</v>
      </c>
      <c r="S1235" s="227"/>
      <c r="T1235" s="227"/>
      <c r="U1235" s="227"/>
      <c r="V1235" s="227"/>
      <c r="W1235" s="227"/>
      <c r="X1235" s="227"/>
      <c r="Y1235" s="227"/>
      <c r="Z1235" s="227" t="str">
        <f t="shared" si="49"/>
        <v>KAMBINGAN RW 04 MALANG</v>
      </c>
      <c r="AA1235" s="276">
        <f>VLOOKUP(Logfile_S12[[#This Row],[DO number]],DO_DB!G:I,3,0)</f>
        <v>46200</v>
      </c>
      <c r="AB1235" s="331" t="b">
        <f>EXACT(Logfile_S12[[#This Row],[date pick]],Logfile_S12[[#This Row],[Date]])</f>
        <v>1</v>
      </c>
      <c r="AC12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36" spans="1:29" ht="14.5" hidden="1">
      <c r="A1236" s="237" t="str">
        <f t="shared" si="48"/>
        <v>1232</v>
      </c>
      <c r="B1236" s="221"/>
      <c r="C1236" s="227" t="s">
        <v>49</v>
      </c>
      <c r="D1236" s="227" t="s">
        <v>4943</v>
      </c>
      <c r="E1236" s="227" t="s">
        <v>3295</v>
      </c>
      <c r="F1236" s="227" t="s">
        <v>3299</v>
      </c>
      <c r="G1236" s="239">
        <v>46206</v>
      </c>
      <c r="H1236" s="240">
        <v>0.25</v>
      </c>
      <c r="I1236" s="227" t="s">
        <v>3295</v>
      </c>
      <c r="J1236" s="227" t="s">
        <v>3023</v>
      </c>
      <c r="K1236" s="241" t="s">
        <v>14</v>
      </c>
      <c r="L1236" s="242" t="str">
        <f>VLOOKUP(Logfile_S12[[#This Row],[Material Name]],Sheet2!B:C,2,0)</f>
        <v>ZTE2005</v>
      </c>
      <c r="M1236" s="242" t="s">
        <v>19</v>
      </c>
      <c r="N1236" s="227">
        <v>1</v>
      </c>
      <c r="O1236" s="221" t="s">
        <v>4902</v>
      </c>
      <c r="P1236" s="221" t="s">
        <v>4903</v>
      </c>
      <c r="Q1236" s="227"/>
      <c r="R1236" s="227"/>
      <c r="S1236" s="227"/>
      <c r="T1236" s="221" t="s">
        <v>3231</v>
      </c>
      <c r="U1236" s="221" t="s">
        <v>4811</v>
      </c>
      <c r="V1236" s="221" t="s">
        <v>3232</v>
      </c>
      <c r="W1236" s="221" t="s">
        <v>3254</v>
      </c>
      <c r="X1236" s="227"/>
      <c r="Y1236" s="227"/>
      <c r="Z1236" s="227" t="str">
        <f t="shared" si="49"/>
        <v>KAMBINGAN RW 04 MALANG</v>
      </c>
      <c r="AA1236" s="276" t="e">
        <f>VLOOKUP(Logfile_S12[[#This Row],[DO number]],DO_DB!G:I,3,0)</f>
        <v>#N/A</v>
      </c>
      <c r="AB1236" s="331" t="e">
        <f>EXACT(Logfile_S12[[#This Row],[date pick]],Logfile_S12[[#This Row],[Date]])</f>
        <v>#N/A</v>
      </c>
      <c r="AC12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37" spans="1:29" ht="14.5" hidden="1">
      <c r="A1237" s="237" t="str">
        <f t="shared" si="48"/>
        <v>1233</v>
      </c>
      <c r="B1237" s="221"/>
      <c r="C1237" s="227" t="s">
        <v>48</v>
      </c>
      <c r="D1237" s="227" t="s">
        <v>5127</v>
      </c>
      <c r="E1237" s="227" t="s">
        <v>3295</v>
      </c>
      <c r="F1237" s="227" t="s">
        <v>3299</v>
      </c>
      <c r="G1237" s="239">
        <v>46212</v>
      </c>
      <c r="H1237" s="240">
        <v>0.25</v>
      </c>
      <c r="I1237" s="227" t="s">
        <v>37</v>
      </c>
      <c r="J1237" s="227" t="s">
        <v>3023</v>
      </c>
      <c r="K1237" s="241" t="s">
        <v>14</v>
      </c>
      <c r="L1237" s="242" t="str">
        <f>VLOOKUP(Logfile_S12[[#This Row],[Material Name]],Sheet2!B:C,2,0)</f>
        <v>ZTE2005</v>
      </c>
      <c r="M1237" s="242" t="s">
        <v>19</v>
      </c>
      <c r="N1237" s="242">
        <v>1</v>
      </c>
      <c r="O1237" s="227" t="s">
        <v>5122</v>
      </c>
      <c r="P1237" s="227" t="s">
        <v>5125</v>
      </c>
      <c r="Q1237" s="8" t="s">
        <v>5123</v>
      </c>
      <c r="R1237" s="8" t="s">
        <v>5124</v>
      </c>
      <c r="S1237" s="227"/>
      <c r="T1237" s="227"/>
      <c r="U1237" s="227"/>
      <c r="V1237" s="227"/>
      <c r="W1237" s="227"/>
      <c r="X1237" s="227"/>
      <c r="Y1237" s="238"/>
      <c r="Z1237" s="238" t="str">
        <f t="shared" si="49"/>
        <v>KESATRIAN RW 09 MALANG</v>
      </c>
      <c r="AA1237" s="276">
        <f>VLOOKUP(Logfile_S12[[#This Row],[DO number]],DO_DB!G:I,3,0)</f>
        <v>46212</v>
      </c>
      <c r="AB1237" s="332" t="b">
        <f>EXACT(Logfile_S12[[#This Row],[date pick]],Logfile_S12[[#This Row],[Date]])</f>
        <v>1</v>
      </c>
      <c r="AC12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38" spans="1:29" ht="14.5" hidden="1">
      <c r="A1238" s="220" t="str">
        <f t="shared" si="48"/>
        <v>1234</v>
      </c>
      <c r="B1238" s="221"/>
      <c r="C1238" s="221" t="s">
        <v>48</v>
      </c>
      <c r="D1238" s="221" t="s">
        <v>3965</v>
      </c>
      <c r="E1238" s="221" t="s">
        <v>3295</v>
      </c>
      <c r="F1238" s="221" t="s">
        <v>3299</v>
      </c>
      <c r="G1238" s="222">
        <v>45352</v>
      </c>
      <c r="H1238" s="223">
        <v>15.291666666666666</v>
      </c>
      <c r="I1238" s="221" t="s">
        <v>37</v>
      </c>
      <c r="J1238" s="221" t="s">
        <v>3023</v>
      </c>
      <c r="K1238" s="224" t="s">
        <v>15</v>
      </c>
      <c r="L1238" s="225" t="str">
        <f>VLOOKUP(Logfile_S12[[#This Row],[Material Name]],Sheet2!B:C,2,0)</f>
        <v>ZTE2006</v>
      </c>
      <c r="M1238" s="225" t="str">
        <f>_xlfn.XLOOKUP(Logfile_S12[[#This Row],[Material Name]],Sum_WH!E:E,Sum_WH!F:F,"",0)</f>
        <v>Pcs</v>
      </c>
      <c r="N1238" s="221">
        <v>3</v>
      </c>
      <c r="O1238" s="221"/>
      <c r="P1238" s="221"/>
      <c r="Q1238" s="221">
        <v>0</v>
      </c>
      <c r="R1238" s="221">
        <v>0</v>
      </c>
      <c r="S1238" s="221"/>
      <c r="T1238" s="221"/>
      <c r="U1238" s="221"/>
      <c r="V1238" s="221"/>
      <c r="W1238" s="221"/>
      <c r="X1238" s="221"/>
      <c r="Y1238" s="227"/>
      <c r="Z1238" s="227">
        <f t="shared" si="49"/>
        <v>0</v>
      </c>
      <c r="AA1238" s="276" t="e">
        <f>VLOOKUP(Logfile_S12[[#This Row],[DO number]],DO_DB!G:I,3,0)</f>
        <v>#N/A</v>
      </c>
      <c r="AB1238" s="331" t="e">
        <f>EXACT(Logfile_S12[[#This Row],[date pick]],Logfile_S12[[#This Row],[Date]])</f>
        <v>#N/A</v>
      </c>
      <c r="AC12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39" spans="1:29" ht="14.5" hidden="1">
      <c r="A1239" s="220" t="str">
        <f t="shared" si="48"/>
        <v>1235</v>
      </c>
      <c r="B1239" s="221"/>
      <c r="C1239" s="221" t="s">
        <v>3388</v>
      </c>
      <c r="D1239" s="221" t="s">
        <v>4878</v>
      </c>
      <c r="E1239" s="221" t="s">
        <v>3295</v>
      </c>
      <c r="F1239" s="221" t="s">
        <v>3299</v>
      </c>
      <c r="G1239" s="222">
        <v>45359</v>
      </c>
      <c r="H1239" s="223">
        <v>0.43611111111111112</v>
      </c>
      <c r="I1239" s="221" t="s">
        <v>4916</v>
      </c>
      <c r="J1239" s="221" t="s">
        <v>3023</v>
      </c>
      <c r="K1239" s="224" t="s">
        <v>15</v>
      </c>
      <c r="L1239" s="225" t="str">
        <f>VLOOKUP(Logfile_S12[[#This Row],[Material Name]],Sheet2!B:C,2,0)</f>
        <v>ZTE2006</v>
      </c>
      <c r="M1239" s="225" t="str">
        <f>_xlfn.XLOOKUP(Logfile_S12[[#This Row],[Material Name]],Sum_WH!E:E,Sum_WH!F:F,"",0)</f>
        <v>Pcs</v>
      </c>
      <c r="N1239" s="221">
        <v>3</v>
      </c>
      <c r="O1239" s="221" t="s">
        <v>3314</v>
      </c>
      <c r="P1239" s="221" t="s">
        <v>3223</v>
      </c>
      <c r="Q1239" s="221"/>
      <c r="R1239" s="221"/>
      <c r="S1239" s="221"/>
      <c r="T1239" s="221" t="s">
        <v>3231</v>
      </c>
      <c r="U1239" s="221" t="s">
        <v>3228</v>
      </c>
      <c r="V1239" s="221" t="s">
        <v>3232</v>
      </c>
      <c r="W1239" s="221" t="s">
        <v>3246</v>
      </c>
      <c r="X1239" s="221"/>
      <c r="Y1239" s="227"/>
      <c r="Z1239" s="227" t="str">
        <f t="shared" si="49"/>
        <v>Transfer Gudang</v>
      </c>
      <c r="AA1239" s="276" t="e">
        <f>VLOOKUP(Logfile_S12[[#This Row],[DO number]],DO_DB!G:I,3,0)</f>
        <v>#N/A</v>
      </c>
      <c r="AB1239" s="331" t="e">
        <f>EXACT(Logfile_S12[[#This Row],[date pick]],Logfile_S12[[#This Row],[Date]])</f>
        <v>#N/A</v>
      </c>
      <c r="AC12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240" spans="1:29" ht="14.5" hidden="1">
      <c r="A1240" s="220" t="str">
        <f t="shared" si="48"/>
        <v>1236</v>
      </c>
      <c r="B1240" s="221"/>
      <c r="C1240" s="221" t="s">
        <v>48</v>
      </c>
      <c r="D1240" s="221" t="s">
        <v>4185</v>
      </c>
      <c r="E1240" s="221" t="s">
        <v>3295</v>
      </c>
      <c r="F1240" s="221" t="s">
        <v>3299</v>
      </c>
      <c r="G1240" s="222">
        <v>45532</v>
      </c>
      <c r="H1240" s="223">
        <v>15.291666666666666</v>
      </c>
      <c r="I1240" s="221" t="s">
        <v>37</v>
      </c>
      <c r="J1240" s="221" t="s">
        <v>3023</v>
      </c>
      <c r="K1240" s="224" t="s">
        <v>15</v>
      </c>
      <c r="L1240" s="225" t="str">
        <f>VLOOKUP(Logfile_S12[[#This Row],[Material Name]],Sheet2!B:C,2,0)</f>
        <v>ZTE2006</v>
      </c>
      <c r="M1240" s="225" t="str">
        <f>_xlfn.XLOOKUP(Logfile_S12[[#This Row],[Material Name]],Sum_WH!E:E,Sum_WH!F:F,"",0)</f>
        <v>Pcs</v>
      </c>
      <c r="N1240" s="221">
        <v>1</v>
      </c>
      <c r="O1240" s="221"/>
      <c r="P1240" s="221"/>
      <c r="Q1240" s="221">
        <v>0</v>
      </c>
      <c r="R1240" s="221">
        <v>0</v>
      </c>
      <c r="S1240" s="221"/>
      <c r="T1240" s="221"/>
      <c r="U1240" s="221"/>
      <c r="V1240" s="221"/>
      <c r="W1240" s="221"/>
      <c r="X1240" s="221"/>
      <c r="Y1240" s="227"/>
      <c r="Z1240" s="227">
        <f t="shared" si="49"/>
        <v>0</v>
      </c>
      <c r="AA1240" s="276" t="e">
        <f>VLOOKUP(Logfile_S12[[#This Row],[DO number]],DO_DB!G:I,3,0)</f>
        <v>#N/A</v>
      </c>
      <c r="AB1240" s="331" t="e">
        <f>EXACT(Logfile_S12[[#This Row],[date pick]],Logfile_S12[[#This Row],[Date]])</f>
        <v>#N/A</v>
      </c>
      <c r="AC12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41" spans="1:29" ht="14.5" hidden="1">
      <c r="A1241" s="220" t="str">
        <f t="shared" si="48"/>
        <v>1237</v>
      </c>
      <c r="B1241" s="221"/>
      <c r="C1241" s="221" t="s">
        <v>49</v>
      </c>
      <c r="D1241" s="221" t="s">
        <v>4196</v>
      </c>
      <c r="E1241" s="221" t="s">
        <v>3295</v>
      </c>
      <c r="F1241" s="221" t="s">
        <v>3299</v>
      </c>
      <c r="G1241" s="222">
        <v>45536</v>
      </c>
      <c r="H1241" s="223">
        <v>8.1944444444444445E-2</v>
      </c>
      <c r="I1241" s="221" t="s">
        <v>4916</v>
      </c>
      <c r="J1241" s="221" t="s">
        <v>3023</v>
      </c>
      <c r="K1241" s="224" t="s">
        <v>15</v>
      </c>
      <c r="L1241" s="225" t="str">
        <f>VLOOKUP(Logfile_S12[[#This Row],[Material Name]],Sheet2!B:C,2,0)</f>
        <v>ZTE2006</v>
      </c>
      <c r="M1241" s="225" t="str">
        <f>_xlfn.XLOOKUP(Logfile_S12[[#This Row],[Material Name]],Sum_WH!E:E,Sum_WH!F:F,"",0)</f>
        <v>Pcs</v>
      </c>
      <c r="N1241" s="221">
        <v>1</v>
      </c>
      <c r="O1241" s="221" t="s">
        <v>1951</v>
      </c>
      <c r="P1241" s="221" t="s">
        <v>3374</v>
      </c>
      <c r="Q1241" s="221"/>
      <c r="R1241" s="221"/>
      <c r="S1241" s="221"/>
      <c r="T1241" s="221" t="s">
        <v>3231</v>
      </c>
      <c r="U1241" s="221">
        <v>0</v>
      </c>
      <c r="V1241" s="221" t="s">
        <v>3232</v>
      </c>
      <c r="W1241" s="221" t="s">
        <v>3254</v>
      </c>
      <c r="X1241" s="221"/>
      <c r="Y1241" s="227"/>
      <c r="Z1241" s="227" t="str">
        <f t="shared" si="49"/>
        <v>SENGGURUH RW 01 MALANG</v>
      </c>
      <c r="AA1241" s="276" t="e">
        <f>VLOOKUP(Logfile_S12[[#This Row],[DO number]],DO_DB!G:I,3,0)</f>
        <v>#N/A</v>
      </c>
      <c r="AB1241" s="331" t="e">
        <f>EXACT(Logfile_S12[[#This Row],[date pick]],Logfile_S12[[#This Row],[Date]])</f>
        <v>#N/A</v>
      </c>
      <c r="AC12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42" spans="1:29" ht="14.5" hidden="1">
      <c r="A1242" s="220" t="str">
        <f t="shared" si="48"/>
        <v>1238</v>
      </c>
      <c r="B1242" s="221"/>
      <c r="C1242" s="221" t="s">
        <v>48</v>
      </c>
      <c r="D1242" s="221" t="s">
        <v>4228</v>
      </c>
      <c r="E1242" s="221" t="s">
        <v>3295</v>
      </c>
      <c r="F1242" s="221" t="s">
        <v>3299</v>
      </c>
      <c r="G1242" s="222">
        <v>45555</v>
      </c>
      <c r="H1242" s="223">
        <v>15.291666666666666</v>
      </c>
      <c r="I1242" s="221" t="s">
        <v>37</v>
      </c>
      <c r="J1242" s="221" t="s">
        <v>3023</v>
      </c>
      <c r="K1242" s="224" t="s">
        <v>15</v>
      </c>
      <c r="L1242" s="225" t="str">
        <f>VLOOKUP(Logfile_S12[[#This Row],[Material Name]],Sheet2!B:C,2,0)</f>
        <v>ZTE2006</v>
      </c>
      <c r="M1242" s="225" t="str">
        <f>_xlfn.XLOOKUP(Logfile_S12[[#This Row],[Material Name]],Sum_WH!E:E,Sum_WH!F:F,"",0)</f>
        <v>Pcs</v>
      </c>
      <c r="N1242" s="221">
        <v>1</v>
      </c>
      <c r="O1242" s="221"/>
      <c r="P1242" s="221"/>
      <c r="Q1242" s="221">
        <v>0</v>
      </c>
      <c r="R1242" s="221">
        <v>0</v>
      </c>
      <c r="S1242" s="221"/>
      <c r="T1242" s="221"/>
      <c r="U1242" s="221"/>
      <c r="V1242" s="221"/>
      <c r="W1242" s="221"/>
      <c r="X1242" s="221"/>
      <c r="Y1242" s="227"/>
      <c r="Z1242" s="227">
        <f t="shared" si="49"/>
        <v>0</v>
      </c>
      <c r="AA1242" s="276" t="e">
        <f>VLOOKUP(Logfile_S12[[#This Row],[DO number]],DO_DB!G:I,3,0)</f>
        <v>#N/A</v>
      </c>
      <c r="AB1242" s="331" t="e">
        <f>EXACT(Logfile_S12[[#This Row],[date pick]],Logfile_S12[[#This Row],[Date]])</f>
        <v>#N/A</v>
      </c>
      <c r="AC12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43" spans="1:29" ht="14.5" hidden="1">
      <c r="A1243" s="220" t="str">
        <f t="shared" si="48"/>
        <v>1239</v>
      </c>
      <c r="B1243" s="221"/>
      <c r="C1243" s="221" t="s">
        <v>49</v>
      </c>
      <c r="D1243" s="221" t="s">
        <v>4236</v>
      </c>
      <c r="E1243" s="221" t="s">
        <v>3295</v>
      </c>
      <c r="F1243" s="221" t="s">
        <v>3299</v>
      </c>
      <c r="G1243" s="222">
        <v>45561</v>
      </c>
      <c r="H1243" s="223">
        <v>0.79027777777777775</v>
      </c>
      <c r="I1243" s="221" t="s">
        <v>4916</v>
      </c>
      <c r="J1243" s="221" t="s">
        <v>3023</v>
      </c>
      <c r="K1243" s="224" t="s">
        <v>15</v>
      </c>
      <c r="L1243" s="225" t="str">
        <f>VLOOKUP(Logfile_S12[[#This Row],[Material Name]],Sheet2!B:C,2,0)</f>
        <v>ZTE2006</v>
      </c>
      <c r="M1243" s="225" t="str">
        <f>_xlfn.XLOOKUP(Logfile_S12[[#This Row],[Material Name]],Sum_WH!E:E,Sum_WH!F:F,"",0)</f>
        <v>Pcs</v>
      </c>
      <c r="N1243" s="221">
        <v>1</v>
      </c>
      <c r="O1243" s="221" t="s">
        <v>2166</v>
      </c>
      <c r="P1243" s="221" t="s">
        <v>2167</v>
      </c>
      <c r="Q1243" s="221"/>
      <c r="R1243" s="221"/>
      <c r="S1243" s="221"/>
      <c r="T1243" s="221" t="s">
        <v>3474</v>
      </c>
      <c r="U1243" s="221">
        <v>0</v>
      </c>
      <c r="V1243" s="221" t="s">
        <v>3475</v>
      </c>
      <c r="W1243" s="221" t="s">
        <v>3476</v>
      </c>
      <c r="X1243" s="221"/>
      <c r="Y1243" s="227"/>
      <c r="Z1243" s="227" t="str">
        <f t="shared" si="49"/>
        <v>Dusun Mojosari Ngenep</v>
      </c>
      <c r="AA1243" s="276" t="e">
        <f>VLOOKUP(Logfile_S12[[#This Row],[DO number]],DO_DB!G:I,3,0)</f>
        <v>#N/A</v>
      </c>
      <c r="AB1243" s="331" t="e">
        <f>EXACT(Logfile_S12[[#This Row],[date pick]],Logfile_S12[[#This Row],[Date]])</f>
        <v>#N/A</v>
      </c>
      <c r="AC12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44" spans="1:29" ht="14.5" hidden="1">
      <c r="A1244" s="220" t="str">
        <f t="shared" si="48"/>
        <v>1240</v>
      </c>
      <c r="B1244" s="221"/>
      <c r="C1244" s="221" t="s">
        <v>48</v>
      </c>
      <c r="D1244" s="221" t="s">
        <v>4272</v>
      </c>
      <c r="E1244" s="221" t="s">
        <v>3295</v>
      </c>
      <c r="F1244" s="221" t="s">
        <v>3299</v>
      </c>
      <c r="G1244" s="222">
        <v>45602</v>
      </c>
      <c r="H1244" s="223">
        <v>15.291666666666666</v>
      </c>
      <c r="I1244" s="221" t="s">
        <v>37</v>
      </c>
      <c r="J1244" s="221" t="s">
        <v>3023</v>
      </c>
      <c r="K1244" s="224" t="s">
        <v>15</v>
      </c>
      <c r="L1244" s="225" t="str">
        <f>VLOOKUP(Logfile_S12[[#This Row],[Material Name]],Sheet2!B:C,2,0)</f>
        <v>ZTE2006</v>
      </c>
      <c r="M1244" s="225" t="str">
        <f>_xlfn.XLOOKUP(Logfile_S12[[#This Row],[Material Name]],Sum_WH!E:E,Sum_WH!F:F,"",0)</f>
        <v>Pcs</v>
      </c>
      <c r="N1244" s="221">
        <v>1</v>
      </c>
      <c r="O1244" s="221" t="s">
        <v>2360</v>
      </c>
      <c r="P1244" s="221" t="s">
        <v>2361</v>
      </c>
      <c r="Q1244" s="221" t="s">
        <v>2362</v>
      </c>
      <c r="R1244" s="221" t="s">
        <v>2363</v>
      </c>
      <c r="S1244" s="221"/>
      <c r="T1244" s="221"/>
      <c r="U1244" s="221"/>
      <c r="V1244" s="221"/>
      <c r="W1244" s="221"/>
      <c r="X1244" s="221"/>
      <c r="Y1244" s="227"/>
      <c r="Z1244" s="227" t="str">
        <f t="shared" si="49"/>
        <v>Tambakasri RW 02 Tajinan</v>
      </c>
      <c r="AA1244" s="276">
        <f>VLOOKUP(Logfile_S12[[#This Row],[DO number]],DO_DB!G:I,3,0)</f>
        <v>45602</v>
      </c>
      <c r="AB1244" s="331" t="b">
        <f>EXACT(Logfile_S12[[#This Row],[date pick]],Logfile_S12[[#This Row],[Date]])</f>
        <v>1</v>
      </c>
      <c r="AC12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45" spans="1:29" ht="14.5" hidden="1">
      <c r="A1245" s="220" t="str">
        <f t="shared" si="48"/>
        <v>1241</v>
      </c>
      <c r="B1245" s="221"/>
      <c r="C1245" s="221" t="s">
        <v>49</v>
      </c>
      <c r="D1245" s="221" t="s">
        <v>4322</v>
      </c>
      <c r="E1245" s="221" t="s">
        <v>3295</v>
      </c>
      <c r="F1245" s="221" t="s">
        <v>3299</v>
      </c>
      <c r="G1245" s="222">
        <v>45671</v>
      </c>
      <c r="H1245" s="223">
        <v>0.87708333333333333</v>
      </c>
      <c r="I1245" s="221" t="s">
        <v>4916</v>
      </c>
      <c r="J1245" s="221" t="s">
        <v>3023</v>
      </c>
      <c r="K1245" s="224" t="s">
        <v>15</v>
      </c>
      <c r="L1245" s="225" t="str">
        <f>VLOOKUP(Logfile_S12[[#This Row],[Material Name]],Sheet2!B:C,2,0)</f>
        <v>ZTE2006</v>
      </c>
      <c r="M1245" s="225" t="str">
        <f>_xlfn.XLOOKUP(Logfile_S12[[#This Row],[Material Name]],Sum_WH!E:E,Sum_WH!F:F,"",0)</f>
        <v>Pcs</v>
      </c>
      <c r="N1245" s="221">
        <v>1</v>
      </c>
      <c r="O1245" s="221" t="s">
        <v>2360</v>
      </c>
      <c r="P1245" s="221" t="s">
        <v>2361</v>
      </c>
      <c r="Q1245" s="221"/>
      <c r="R1245" s="221"/>
      <c r="S1245" s="221"/>
      <c r="T1245" s="221" t="s">
        <v>3356</v>
      </c>
      <c r="U1245" s="221">
        <v>0</v>
      </c>
      <c r="V1245" s="221">
        <v>0</v>
      </c>
      <c r="W1245" s="221" t="s">
        <v>3358</v>
      </c>
      <c r="X1245" s="221"/>
      <c r="Y1245" s="227"/>
      <c r="Z1245" s="227" t="str">
        <f t="shared" si="49"/>
        <v>Tambakasri RW 02 Tajinan</v>
      </c>
      <c r="AA1245" s="276" t="e">
        <f>VLOOKUP(Logfile_S12[[#This Row],[DO number]],DO_DB!G:I,3,0)</f>
        <v>#N/A</v>
      </c>
      <c r="AB1245" s="331" t="e">
        <f>EXACT(Logfile_S12[[#This Row],[date pick]],Logfile_S12[[#This Row],[Date]])</f>
        <v>#N/A</v>
      </c>
      <c r="AC12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46" spans="1:29" ht="14.5" hidden="1">
      <c r="A1246" s="220" t="str">
        <f t="shared" si="48"/>
        <v>1242</v>
      </c>
      <c r="B1246" s="221"/>
      <c r="C1246" s="221" t="s">
        <v>48</v>
      </c>
      <c r="D1246" s="221" t="s">
        <v>4351</v>
      </c>
      <c r="E1246" s="221" t="s">
        <v>3295</v>
      </c>
      <c r="F1246" s="221" t="s">
        <v>3299</v>
      </c>
      <c r="G1246" s="222">
        <v>45735</v>
      </c>
      <c r="H1246" s="223">
        <v>15.291666666666666</v>
      </c>
      <c r="I1246" s="221" t="s">
        <v>37</v>
      </c>
      <c r="J1246" s="221" t="s">
        <v>3023</v>
      </c>
      <c r="K1246" s="224" t="s">
        <v>15</v>
      </c>
      <c r="L1246" s="225" t="str">
        <f>VLOOKUP(Logfile_S12[[#This Row],[Material Name]],Sheet2!B:C,2,0)</f>
        <v>ZTE2006</v>
      </c>
      <c r="M1246" s="225" t="str">
        <f>_xlfn.XLOOKUP(Logfile_S12[[#This Row],[Material Name]],Sum_WH!E:E,Sum_WH!F:F,"",0)</f>
        <v>Pcs</v>
      </c>
      <c r="N1246" s="221">
        <v>1</v>
      </c>
      <c r="O1246" s="221"/>
      <c r="P1246" s="221"/>
      <c r="Q1246" s="221">
        <v>0</v>
      </c>
      <c r="R1246" s="221">
        <v>0</v>
      </c>
      <c r="S1246" s="221"/>
      <c r="T1246" s="221"/>
      <c r="U1246" s="221"/>
      <c r="V1246" s="221"/>
      <c r="W1246" s="221"/>
      <c r="X1246" s="221"/>
      <c r="Y1246" s="227"/>
      <c r="Z1246" s="227">
        <f t="shared" si="49"/>
        <v>0</v>
      </c>
      <c r="AA1246" s="276" t="e">
        <f>VLOOKUP(Logfile_S12[[#This Row],[DO number]],DO_DB!G:I,3,0)</f>
        <v>#N/A</v>
      </c>
      <c r="AB1246" s="331" t="e">
        <f>EXACT(Logfile_S12[[#This Row],[date pick]],Logfile_S12[[#This Row],[Date]])</f>
        <v>#N/A</v>
      </c>
      <c r="AC12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47" spans="1:29" ht="14.5" hidden="1">
      <c r="A1247" s="220" t="str">
        <f t="shared" si="48"/>
        <v>1243</v>
      </c>
      <c r="B1247" s="221"/>
      <c r="C1247" s="221" t="s">
        <v>49</v>
      </c>
      <c r="D1247" s="221" t="s">
        <v>4358</v>
      </c>
      <c r="E1247" s="221" t="s">
        <v>3295</v>
      </c>
      <c r="F1247" s="221" t="s">
        <v>3299</v>
      </c>
      <c r="G1247" s="222">
        <v>45740</v>
      </c>
      <c r="H1247" s="223">
        <v>0.83125000000000004</v>
      </c>
      <c r="I1247" s="221" t="s">
        <v>4916</v>
      </c>
      <c r="J1247" s="221" t="s">
        <v>3023</v>
      </c>
      <c r="K1247" s="224" t="s">
        <v>15</v>
      </c>
      <c r="L1247" s="225" t="str">
        <f>VLOOKUP(Logfile_S12[[#This Row],[Material Name]],Sheet2!B:C,2,0)</f>
        <v>ZTE2006</v>
      </c>
      <c r="M1247" s="225" t="str">
        <f>_xlfn.XLOOKUP(Logfile_S12[[#This Row],[Material Name]],Sum_WH!E:E,Sum_WH!F:F,"",0)</f>
        <v>Pcs</v>
      </c>
      <c r="N1247" s="221">
        <v>1</v>
      </c>
      <c r="O1247" s="221" t="s">
        <v>2664</v>
      </c>
      <c r="P1247" s="221" t="s">
        <v>2665</v>
      </c>
      <c r="Q1247" s="221"/>
      <c r="R1247" s="221"/>
      <c r="S1247" s="221"/>
      <c r="T1247" s="221" t="s">
        <v>3411</v>
      </c>
      <c r="U1247" s="221">
        <v>0</v>
      </c>
      <c r="V1247" s="221">
        <v>0</v>
      </c>
      <c r="W1247" s="221" t="s">
        <v>3412</v>
      </c>
      <c r="X1247" s="221"/>
      <c r="Y1247" s="227"/>
      <c r="Z1247" s="227" t="str">
        <f t="shared" si="49"/>
        <v>Temas RW 04</v>
      </c>
      <c r="AA1247" s="276" t="e">
        <f>VLOOKUP(Logfile_S12[[#This Row],[DO number]],DO_DB!G:I,3,0)</f>
        <v>#N/A</v>
      </c>
      <c r="AB1247" s="331" t="e">
        <f>EXACT(Logfile_S12[[#This Row],[date pick]],Logfile_S12[[#This Row],[Date]])</f>
        <v>#N/A</v>
      </c>
      <c r="AC12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48" spans="1:29" ht="14.5" hidden="1">
      <c r="A1248" s="220" t="str">
        <f t="shared" si="48"/>
        <v>1244</v>
      </c>
      <c r="B1248" s="221"/>
      <c r="C1248" s="221" t="s">
        <v>48</v>
      </c>
      <c r="D1248" s="221" t="s">
        <v>4371</v>
      </c>
      <c r="E1248" s="221" t="s">
        <v>3295</v>
      </c>
      <c r="F1248" s="221" t="s">
        <v>3299</v>
      </c>
      <c r="G1248" s="222">
        <v>45821</v>
      </c>
      <c r="H1248" s="223">
        <v>15.291666666666666</v>
      </c>
      <c r="I1248" s="221" t="s">
        <v>37</v>
      </c>
      <c r="J1248" s="221" t="s">
        <v>3023</v>
      </c>
      <c r="K1248" s="224" t="s">
        <v>15</v>
      </c>
      <c r="L1248" s="225" t="str">
        <f>VLOOKUP(Logfile_S12[[#This Row],[Material Name]],Sheet2!B:C,2,0)</f>
        <v>ZTE2006</v>
      </c>
      <c r="M1248" s="225" t="str">
        <f>_xlfn.XLOOKUP(Logfile_S12[[#This Row],[Material Name]],Sum_WH!E:E,Sum_WH!F:F,"",0)</f>
        <v>Pcs</v>
      </c>
      <c r="N1248" s="221">
        <v>2</v>
      </c>
      <c r="O1248" s="221"/>
      <c r="P1248" s="221"/>
      <c r="Q1248" s="221">
        <v>0</v>
      </c>
      <c r="R1248" s="221">
        <v>0</v>
      </c>
      <c r="S1248" s="221"/>
      <c r="T1248" s="221"/>
      <c r="U1248" s="221"/>
      <c r="V1248" s="221"/>
      <c r="W1248" s="221"/>
      <c r="X1248" s="221"/>
      <c r="Y1248" s="227"/>
      <c r="Z1248" s="227">
        <f t="shared" si="49"/>
        <v>0</v>
      </c>
      <c r="AA1248" s="276" t="e">
        <f>VLOOKUP(Logfile_S12[[#This Row],[DO number]],DO_DB!G:I,3,0)</f>
        <v>#N/A</v>
      </c>
      <c r="AB1248" s="331" t="e">
        <f>EXACT(Logfile_S12[[#This Row],[date pick]],Logfile_S12[[#This Row],[Date]])</f>
        <v>#N/A</v>
      </c>
      <c r="AC12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49" spans="1:29" ht="14.5" hidden="1">
      <c r="A1249" s="220" t="str">
        <f t="shared" si="48"/>
        <v>1245</v>
      </c>
      <c r="B1249" s="221"/>
      <c r="C1249" s="221" t="s">
        <v>49</v>
      </c>
      <c r="D1249" s="221" t="s">
        <v>4373</v>
      </c>
      <c r="E1249" s="221" t="s">
        <v>3295</v>
      </c>
      <c r="F1249" s="221" t="s">
        <v>3299</v>
      </c>
      <c r="G1249" s="222">
        <v>45824</v>
      </c>
      <c r="H1249" s="223">
        <v>0.83125000000000004</v>
      </c>
      <c r="I1249" s="221" t="s">
        <v>4916</v>
      </c>
      <c r="J1249" s="221" t="s">
        <v>3023</v>
      </c>
      <c r="K1249" s="224" t="s">
        <v>15</v>
      </c>
      <c r="L1249" s="225" t="str">
        <f>VLOOKUP(Logfile_S12[[#This Row],[Material Name]],Sheet2!B:C,2,0)</f>
        <v>ZTE2006</v>
      </c>
      <c r="M1249" s="225" t="str">
        <f>_xlfn.XLOOKUP(Logfile_S12[[#This Row],[Material Name]],Sum_WH!E:E,Sum_WH!F:F,"",0)</f>
        <v>Pcs</v>
      </c>
      <c r="N1249" s="221">
        <v>2</v>
      </c>
      <c r="O1249" s="221" t="s">
        <v>2809</v>
      </c>
      <c r="P1249" s="221" t="s">
        <v>2810</v>
      </c>
      <c r="Q1249" s="221"/>
      <c r="R1249" s="221"/>
      <c r="S1249" s="221"/>
      <c r="T1249" s="221" t="s">
        <v>3411</v>
      </c>
      <c r="U1249" s="221">
        <v>0</v>
      </c>
      <c r="V1249" s="221">
        <v>0</v>
      </c>
      <c r="W1249" s="221" t="s">
        <v>3412</v>
      </c>
      <c r="X1249" s="221"/>
      <c r="Y1249" s="227"/>
      <c r="Z1249" s="227" t="str">
        <f t="shared" si="49"/>
        <v>BULULAWANG RW 01, 02, 03, 04, 06   MALANG</v>
      </c>
      <c r="AA1249" s="276" t="e">
        <f>VLOOKUP(Logfile_S12[[#This Row],[DO number]],DO_DB!G:I,3,0)</f>
        <v>#N/A</v>
      </c>
      <c r="AB1249" s="331" t="e">
        <f>EXACT(Logfile_S12[[#This Row],[date pick]],Logfile_S12[[#This Row],[Date]])</f>
        <v>#N/A</v>
      </c>
      <c r="AC12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50" spans="1:29" ht="14.5" hidden="1">
      <c r="A1250" s="220" t="str">
        <f t="shared" si="48"/>
        <v>1246</v>
      </c>
      <c r="B1250" s="221"/>
      <c r="C1250" s="221" t="s">
        <v>48</v>
      </c>
      <c r="D1250" s="221" t="s">
        <v>4374</v>
      </c>
      <c r="E1250" s="221" t="s">
        <v>3295</v>
      </c>
      <c r="F1250" s="221" t="s">
        <v>3299</v>
      </c>
      <c r="G1250" s="222">
        <v>45826</v>
      </c>
      <c r="H1250" s="223">
        <v>15.291666666666666</v>
      </c>
      <c r="I1250" s="221" t="s">
        <v>37</v>
      </c>
      <c r="J1250" s="221" t="s">
        <v>3023</v>
      </c>
      <c r="K1250" s="224" t="s">
        <v>15</v>
      </c>
      <c r="L1250" s="225" t="str">
        <f>VLOOKUP(Logfile_S12[[#This Row],[Material Name]],Sheet2!B:C,2,0)</f>
        <v>ZTE2006</v>
      </c>
      <c r="M1250" s="225" t="str">
        <f>_xlfn.XLOOKUP(Logfile_S12[[#This Row],[Material Name]],Sum_WH!E:E,Sum_WH!F:F,"",0)</f>
        <v>Pcs</v>
      </c>
      <c r="N1250" s="221">
        <v>2</v>
      </c>
      <c r="O1250" s="221"/>
      <c r="P1250" s="221"/>
      <c r="Q1250" s="221">
        <v>0</v>
      </c>
      <c r="R1250" s="221">
        <v>0</v>
      </c>
      <c r="S1250" s="221"/>
      <c r="T1250" s="221"/>
      <c r="U1250" s="221"/>
      <c r="V1250" s="221"/>
      <c r="W1250" s="221"/>
      <c r="X1250" s="221"/>
      <c r="Y1250" s="227"/>
      <c r="Z1250" s="227">
        <f t="shared" si="49"/>
        <v>0</v>
      </c>
      <c r="AA1250" s="276" t="e">
        <f>VLOOKUP(Logfile_S12[[#This Row],[DO number]],DO_DB!G:I,3,0)</f>
        <v>#N/A</v>
      </c>
      <c r="AB1250" s="331" t="e">
        <f>EXACT(Logfile_S12[[#This Row],[date pick]],Logfile_S12[[#This Row],[Date]])</f>
        <v>#N/A</v>
      </c>
      <c r="AC12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51" spans="1:29" ht="14.5" hidden="1">
      <c r="A1251" s="220" t="str">
        <f t="shared" si="48"/>
        <v>1247</v>
      </c>
      <c r="B1251" s="221"/>
      <c r="C1251" s="221" t="s">
        <v>49</v>
      </c>
      <c r="D1251" s="221" t="s">
        <v>4376</v>
      </c>
      <c r="E1251" s="221" t="s">
        <v>3295</v>
      </c>
      <c r="F1251" s="221" t="s">
        <v>3299</v>
      </c>
      <c r="G1251" s="222">
        <v>45827</v>
      </c>
      <c r="H1251" s="223">
        <v>0.64583333333333337</v>
      </c>
      <c r="I1251" s="221" t="s">
        <v>4916</v>
      </c>
      <c r="J1251" s="221" t="s">
        <v>3023</v>
      </c>
      <c r="K1251" s="224" t="s">
        <v>15</v>
      </c>
      <c r="L1251" s="225" t="str">
        <f>VLOOKUP(Logfile_S12[[#This Row],[Material Name]],Sheet2!B:C,2,0)</f>
        <v>ZTE2006</v>
      </c>
      <c r="M1251" s="225" t="str">
        <f>_xlfn.XLOOKUP(Logfile_S12[[#This Row],[Material Name]],Sum_WH!E:E,Sum_WH!F:F,"",0)</f>
        <v>Pcs</v>
      </c>
      <c r="N1251" s="221">
        <v>1</v>
      </c>
      <c r="O1251" s="221" t="s">
        <v>2851</v>
      </c>
      <c r="P1251" s="221" t="s">
        <v>2852</v>
      </c>
      <c r="Q1251" s="221"/>
      <c r="R1251" s="221"/>
      <c r="S1251" s="221"/>
      <c r="T1251" s="221" t="s">
        <v>3231</v>
      </c>
      <c r="U1251" s="221">
        <v>0</v>
      </c>
      <c r="V1251" s="221" t="s">
        <v>3375</v>
      </c>
      <c r="W1251" s="221" t="s">
        <v>3249</v>
      </c>
      <c r="X1251" s="221"/>
      <c r="Y1251" s="227"/>
      <c r="Z1251" s="227" t="str">
        <f t="shared" si="49"/>
        <v>DESA KRAJANI PONCOKUSUMO MALANG</v>
      </c>
      <c r="AA1251" s="276" t="e">
        <f>VLOOKUP(Logfile_S12[[#This Row],[DO number]],DO_DB!G:I,3,0)</f>
        <v>#N/A</v>
      </c>
      <c r="AB1251" s="331" t="e">
        <f>EXACT(Logfile_S12[[#This Row],[date pick]],Logfile_S12[[#This Row],[Date]])</f>
        <v>#N/A</v>
      </c>
      <c r="AC12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52" spans="1:29" ht="14.5" hidden="1">
      <c r="A1252" s="220" t="str">
        <f t="shared" si="48"/>
        <v>1248</v>
      </c>
      <c r="B1252" s="221"/>
      <c r="C1252" s="221" t="s">
        <v>49</v>
      </c>
      <c r="D1252" s="221" t="s">
        <v>4391</v>
      </c>
      <c r="E1252" s="221" t="s">
        <v>3295</v>
      </c>
      <c r="F1252" s="221" t="s">
        <v>3299</v>
      </c>
      <c r="G1252" s="222">
        <v>45849</v>
      </c>
      <c r="H1252" s="223">
        <v>0.60833333333333328</v>
      </c>
      <c r="I1252" s="221" t="s">
        <v>4916</v>
      </c>
      <c r="J1252" s="221" t="s">
        <v>3023</v>
      </c>
      <c r="K1252" s="224" t="s">
        <v>15</v>
      </c>
      <c r="L1252" s="225" t="str">
        <f>VLOOKUP(Logfile_S12[[#This Row],[Material Name]],Sheet2!B:C,2,0)</f>
        <v>ZTE2006</v>
      </c>
      <c r="M1252" s="225" t="str">
        <f>_xlfn.XLOOKUP(Logfile_S12[[#This Row],[Material Name]],Sum_WH!E:E,Sum_WH!F:F,"",0)</f>
        <v>Pcs</v>
      </c>
      <c r="N1252" s="221">
        <v>1</v>
      </c>
      <c r="O1252" s="221" t="s">
        <v>2861</v>
      </c>
      <c r="P1252" s="221" t="s">
        <v>2862</v>
      </c>
      <c r="Q1252" s="221"/>
      <c r="R1252" s="221"/>
      <c r="S1252" s="221"/>
      <c r="T1252" s="221" t="s">
        <v>3356</v>
      </c>
      <c r="U1252" s="221">
        <v>0</v>
      </c>
      <c r="V1252" s="221">
        <v>0</v>
      </c>
      <c r="W1252" s="221" t="s">
        <v>3358</v>
      </c>
      <c r="X1252" s="221"/>
      <c r="Y1252" s="227"/>
      <c r="Z1252" s="227" t="str">
        <f t="shared" si="49"/>
        <v>DESA GADUNGAN PONCOKUSUMO MALANG</v>
      </c>
      <c r="AA1252" s="276" t="e">
        <f>VLOOKUP(Logfile_S12[[#This Row],[DO number]],DO_DB!G:I,3,0)</f>
        <v>#N/A</v>
      </c>
      <c r="AB1252" s="331" t="e">
        <f>EXACT(Logfile_S12[[#This Row],[date pick]],Logfile_S12[[#This Row],[Date]])</f>
        <v>#N/A</v>
      </c>
      <c r="AC12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53" spans="1:29" ht="14.5" hidden="1">
      <c r="A1253" s="220" t="str">
        <f t="shared" si="48"/>
        <v>1249</v>
      </c>
      <c r="B1253" s="221"/>
      <c r="C1253" s="221" t="s">
        <v>48</v>
      </c>
      <c r="D1253" s="221" t="s">
        <v>4393</v>
      </c>
      <c r="E1253" s="221" t="s">
        <v>3295</v>
      </c>
      <c r="F1253" s="221" t="s">
        <v>3299</v>
      </c>
      <c r="G1253" s="222">
        <v>45850</v>
      </c>
      <c r="H1253" s="223">
        <v>15.291666666666666</v>
      </c>
      <c r="I1253" s="221" t="s">
        <v>37</v>
      </c>
      <c r="J1253" s="221" t="s">
        <v>3023</v>
      </c>
      <c r="K1253" s="224" t="s">
        <v>15</v>
      </c>
      <c r="L1253" s="225" t="str">
        <f>VLOOKUP(Logfile_S12[[#This Row],[Material Name]],Sheet2!B:C,2,0)</f>
        <v>ZTE2006</v>
      </c>
      <c r="M1253" s="225" t="str">
        <f>_xlfn.XLOOKUP(Logfile_S12[[#This Row],[Material Name]],Sum_WH!E:E,Sum_WH!F:F,"",0)</f>
        <v>Pcs</v>
      </c>
      <c r="N1253" s="221">
        <v>1</v>
      </c>
      <c r="O1253" s="221" t="s">
        <v>2915</v>
      </c>
      <c r="P1253" s="221" t="s">
        <v>2916</v>
      </c>
      <c r="Q1253" s="221">
        <v>0</v>
      </c>
      <c r="R1253" s="221">
        <v>0</v>
      </c>
      <c r="S1253" s="221"/>
      <c r="T1253" s="221"/>
      <c r="U1253" s="221"/>
      <c r="V1253" s="221"/>
      <c r="W1253" s="221"/>
      <c r="X1253" s="221"/>
      <c r="Y1253" s="227"/>
      <c r="Z1253" s="227" t="str">
        <f t="shared" si="49"/>
        <v>KREBET RW 05</v>
      </c>
      <c r="AA1253" s="276" t="e">
        <f>VLOOKUP(Logfile_S12[[#This Row],[DO number]],DO_DB!G:I,3,0)</f>
        <v>#N/A</v>
      </c>
      <c r="AB1253" s="331" t="e">
        <f>EXACT(Logfile_S12[[#This Row],[date pick]],Logfile_S12[[#This Row],[Date]])</f>
        <v>#N/A</v>
      </c>
      <c r="AC12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54" spans="1:29" ht="14.5" hidden="1">
      <c r="A1254" s="220" t="str">
        <f t="shared" si="48"/>
        <v>1250</v>
      </c>
      <c r="B1254" s="221"/>
      <c r="C1254" s="221" t="s">
        <v>49</v>
      </c>
      <c r="D1254" s="221" t="s">
        <v>4397</v>
      </c>
      <c r="E1254" s="221" t="s">
        <v>3295</v>
      </c>
      <c r="F1254" s="221" t="s">
        <v>3299</v>
      </c>
      <c r="G1254" s="222">
        <v>45861</v>
      </c>
      <c r="H1254" s="223">
        <v>0.46805555555555556</v>
      </c>
      <c r="I1254" s="221" t="s">
        <v>4916</v>
      </c>
      <c r="J1254" s="221" t="s">
        <v>3023</v>
      </c>
      <c r="K1254" s="224" t="s">
        <v>15</v>
      </c>
      <c r="L1254" s="225" t="str">
        <f>VLOOKUP(Logfile_S12[[#This Row],[Material Name]],Sheet2!B:C,2,0)</f>
        <v>ZTE2006</v>
      </c>
      <c r="M1254" s="225" t="str">
        <f>_xlfn.XLOOKUP(Logfile_S12[[#This Row],[Material Name]],Sum_WH!E:E,Sum_WH!F:F,"",0)</f>
        <v>Pcs</v>
      </c>
      <c r="N1254" s="221">
        <v>1</v>
      </c>
      <c r="O1254" s="221" t="s">
        <v>2915</v>
      </c>
      <c r="P1254" s="221" t="s">
        <v>2916</v>
      </c>
      <c r="Q1254" s="221"/>
      <c r="R1254" s="221"/>
      <c r="S1254" s="221"/>
      <c r="T1254" s="221" t="s">
        <v>3258</v>
      </c>
      <c r="U1254" s="221">
        <v>0</v>
      </c>
      <c r="V1254" s="221" t="s">
        <v>3337</v>
      </c>
      <c r="W1254" s="221" t="s">
        <v>3338</v>
      </c>
      <c r="X1254" s="221"/>
      <c r="Y1254" s="227"/>
      <c r="Z1254" s="227" t="str">
        <f t="shared" si="49"/>
        <v>KREBET RW 05</v>
      </c>
      <c r="AA1254" s="276" t="e">
        <f>VLOOKUP(Logfile_S12[[#This Row],[DO number]],DO_DB!G:I,3,0)</f>
        <v>#N/A</v>
      </c>
      <c r="AB1254" s="331" t="e">
        <f>EXACT(Logfile_S12[[#This Row],[date pick]],Logfile_S12[[#This Row],[Date]])</f>
        <v>#N/A</v>
      </c>
      <c r="AC12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55" spans="1:29" ht="14.5" hidden="1">
      <c r="A1255" s="237" t="str">
        <f t="shared" si="48"/>
        <v>1251</v>
      </c>
      <c r="B1255" s="221">
        <v>7</v>
      </c>
      <c r="C1255" s="227" t="s">
        <v>48</v>
      </c>
      <c r="D1255" s="227" t="s">
        <v>4671</v>
      </c>
      <c r="E1255" s="227" t="s">
        <v>3295</v>
      </c>
      <c r="F1255" s="227" t="s">
        <v>3299</v>
      </c>
      <c r="G1255" s="239">
        <v>45953</v>
      </c>
      <c r="H1255" s="240">
        <v>0.33333333333333331</v>
      </c>
      <c r="I1255" s="227" t="s">
        <v>37</v>
      </c>
      <c r="J1255" s="221" t="s">
        <v>3023</v>
      </c>
      <c r="K1255" s="241" t="s">
        <v>15</v>
      </c>
      <c r="L1255" s="225" t="str">
        <f>VLOOKUP(Logfile_S12[[#This Row],[Material Name]],Sheet2!B:C,2,0)</f>
        <v>ZTE2006</v>
      </c>
      <c r="M1255" s="242" t="s">
        <v>19</v>
      </c>
      <c r="N1255" s="227">
        <v>1</v>
      </c>
      <c r="O1255" s="227" t="s">
        <v>4663</v>
      </c>
      <c r="P1255" s="227" t="s">
        <v>4664</v>
      </c>
      <c r="Q1255" s="221" t="s">
        <v>4667</v>
      </c>
      <c r="R1255" s="221" t="s">
        <v>4668</v>
      </c>
      <c r="S1255" s="227"/>
      <c r="T1255" s="221" t="s">
        <v>3258</v>
      </c>
      <c r="U1255" s="221">
        <v>0</v>
      </c>
      <c r="V1255" s="221" t="s">
        <v>3337</v>
      </c>
      <c r="W1255" s="221" t="s">
        <v>3338</v>
      </c>
      <c r="X1255" s="227"/>
      <c r="Y1255" s="227"/>
      <c r="Z1255" s="227" t="str">
        <f t="shared" si="49"/>
        <v>LESANPURO RW 06 MALANG</v>
      </c>
      <c r="AA1255" s="276">
        <f>VLOOKUP(Logfile_S12[[#This Row],[DO number]],DO_DB!G:I,3,0)</f>
        <v>45951</v>
      </c>
      <c r="AB1255" s="331" t="b">
        <f>EXACT(Logfile_S12[[#This Row],[date pick]],Logfile_S12[[#This Row],[Date]])</f>
        <v>0</v>
      </c>
      <c r="AC12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56" spans="1:29" ht="14.5" hidden="1">
      <c r="A1256" s="237" t="str">
        <f t="shared" si="48"/>
        <v>1252</v>
      </c>
      <c r="B1256" s="221">
        <v>4</v>
      </c>
      <c r="C1256" s="227" t="s">
        <v>48</v>
      </c>
      <c r="D1256" s="227" t="s">
        <v>4675</v>
      </c>
      <c r="E1256" s="227" t="s">
        <v>3295</v>
      </c>
      <c r="F1256" s="227" t="s">
        <v>3299</v>
      </c>
      <c r="G1256" s="239">
        <v>45955</v>
      </c>
      <c r="H1256" s="240">
        <v>0.33333333333333331</v>
      </c>
      <c r="I1256" s="227" t="s">
        <v>37</v>
      </c>
      <c r="J1256" s="221" t="s">
        <v>3023</v>
      </c>
      <c r="K1256" s="241" t="s">
        <v>15</v>
      </c>
      <c r="L1256" s="225" t="str">
        <f>VLOOKUP(Logfile_S12[[#This Row],[Material Name]],Sheet2!B:C,2,0)</f>
        <v>ZTE2006</v>
      </c>
      <c r="M1256" s="242" t="s">
        <v>19</v>
      </c>
      <c r="N1256" s="227">
        <v>1</v>
      </c>
      <c r="O1256" s="227" t="s">
        <v>4663</v>
      </c>
      <c r="P1256" s="227" t="s">
        <v>4664</v>
      </c>
      <c r="Q1256" s="221" t="s">
        <v>4667</v>
      </c>
      <c r="R1256" s="221" t="s">
        <v>4668</v>
      </c>
      <c r="S1256" s="227"/>
      <c r="T1256" s="227"/>
      <c r="U1256" s="227"/>
      <c r="V1256" s="227"/>
      <c r="W1256" s="227"/>
      <c r="X1256" s="227"/>
      <c r="Y1256" s="227"/>
      <c r="Z1256" s="227" t="str">
        <f t="shared" si="49"/>
        <v>LESANPURO RW 06 MALANG</v>
      </c>
      <c r="AA1256" s="276">
        <f>VLOOKUP(Logfile_S12[[#This Row],[DO number]],DO_DB!G:I,3,0)</f>
        <v>45951</v>
      </c>
      <c r="AB1256" s="331" t="b">
        <f>EXACT(Logfile_S12[[#This Row],[date pick]],Logfile_S12[[#This Row],[Date]])</f>
        <v>0</v>
      </c>
      <c r="AC12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57" spans="1:29" ht="14.5" hidden="1">
      <c r="A1257" s="237" t="str">
        <f t="shared" si="48"/>
        <v>1253</v>
      </c>
      <c r="B1257" s="221">
        <v>5</v>
      </c>
      <c r="C1257" s="227" t="s">
        <v>49</v>
      </c>
      <c r="D1257" s="227" t="s">
        <v>4677</v>
      </c>
      <c r="E1257" s="227" t="s">
        <v>3295</v>
      </c>
      <c r="F1257" s="227" t="s">
        <v>3299</v>
      </c>
      <c r="G1257" s="239">
        <v>45955</v>
      </c>
      <c r="H1257" s="240">
        <v>0.45833333333333331</v>
      </c>
      <c r="I1257" s="227" t="s">
        <v>3295</v>
      </c>
      <c r="J1257" s="221" t="s">
        <v>3023</v>
      </c>
      <c r="K1257" s="241" t="s">
        <v>15</v>
      </c>
      <c r="L1257" s="225" t="str">
        <f>VLOOKUP(Logfile_S12[[#This Row],[Material Name]],Sheet2!B:C,2,0)</f>
        <v>ZTE2006</v>
      </c>
      <c r="M1257" s="242" t="s">
        <v>19</v>
      </c>
      <c r="N1257" s="227">
        <v>1</v>
      </c>
      <c r="O1257" s="227" t="s">
        <v>4663</v>
      </c>
      <c r="P1257" s="227" t="s">
        <v>4664</v>
      </c>
      <c r="Q1257" s="227"/>
      <c r="R1257" s="227"/>
      <c r="S1257" s="227"/>
      <c r="T1257" s="221" t="s">
        <v>3258</v>
      </c>
      <c r="U1257" s="221">
        <v>0</v>
      </c>
      <c r="V1257" s="221" t="s">
        <v>3337</v>
      </c>
      <c r="W1257" s="221" t="s">
        <v>3338</v>
      </c>
      <c r="X1257" s="227"/>
      <c r="Y1257" s="227"/>
      <c r="Z1257" s="227" t="str">
        <f t="shared" si="49"/>
        <v>LESANPURO RW 06 MALANG</v>
      </c>
      <c r="AA1257" s="276" t="e">
        <f>VLOOKUP(Logfile_S12[[#This Row],[DO number]],DO_DB!G:I,3,0)</f>
        <v>#N/A</v>
      </c>
      <c r="AB1257" s="331" t="e">
        <f>EXACT(Logfile_S12[[#This Row],[date pick]],Logfile_S12[[#This Row],[Date]])</f>
        <v>#N/A</v>
      </c>
      <c r="AC12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58" spans="1:29" ht="14.5" hidden="1">
      <c r="A1258" s="237" t="str">
        <f t="shared" si="48"/>
        <v>1254</v>
      </c>
      <c r="B1258" s="221">
        <v>2</v>
      </c>
      <c r="C1258" s="227" t="s">
        <v>49</v>
      </c>
      <c r="D1258" s="227" t="s">
        <v>4714</v>
      </c>
      <c r="E1258" s="227" t="s">
        <v>3295</v>
      </c>
      <c r="F1258" s="227" t="s">
        <v>3299</v>
      </c>
      <c r="G1258" s="239">
        <v>45978</v>
      </c>
      <c r="H1258" s="240">
        <v>0.79722222222222228</v>
      </c>
      <c r="I1258" s="227" t="s">
        <v>3295</v>
      </c>
      <c r="J1258" s="221" t="s">
        <v>3023</v>
      </c>
      <c r="K1258" s="241" t="s">
        <v>15</v>
      </c>
      <c r="L1258" s="225" t="str">
        <f>VLOOKUP(Logfile_S12[[#This Row],[Material Name]],Sheet2!B:C,2,0)</f>
        <v>ZTE2006</v>
      </c>
      <c r="M1258" s="242" t="s">
        <v>19</v>
      </c>
      <c r="N1258" s="227">
        <v>1</v>
      </c>
      <c r="O1258" s="227" t="s">
        <v>4696</v>
      </c>
      <c r="P1258" s="227" t="s">
        <v>4697</v>
      </c>
      <c r="Q1258" s="227" t="s">
        <v>4698</v>
      </c>
      <c r="R1258" s="227" t="s">
        <v>4699</v>
      </c>
      <c r="S1258" s="227"/>
      <c r="T1258" s="221" t="s">
        <v>3471</v>
      </c>
      <c r="U1258" s="221" t="s">
        <v>4811</v>
      </c>
      <c r="V1258" s="221" t="s">
        <v>3472</v>
      </c>
      <c r="W1258" s="221" t="s">
        <v>3545</v>
      </c>
      <c r="X1258" s="227"/>
      <c r="Y1258" s="227"/>
      <c r="Z1258" s="227" t="str">
        <f t="shared" si="49"/>
        <v>PALAAN RW 06 SAMPAI 10 MALANG</v>
      </c>
      <c r="AA1258" s="276">
        <f>VLOOKUP(Logfile_S12[[#This Row],[DO number]],DO_DB!G:I,3,0)</f>
        <v>45955</v>
      </c>
      <c r="AB1258" s="331" t="b">
        <f>EXACT(Logfile_S12[[#This Row],[date pick]],Logfile_S12[[#This Row],[Date]])</f>
        <v>0</v>
      </c>
      <c r="AC12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59" spans="1:29" ht="14.5" hidden="1">
      <c r="A1259" s="237" t="str">
        <f t="shared" si="48"/>
        <v>1255</v>
      </c>
      <c r="B1259" s="221">
        <v>6</v>
      </c>
      <c r="C1259" s="227" t="s">
        <v>48</v>
      </c>
      <c r="D1259" s="227" t="s">
        <v>4730</v>
      </c>
      <c r="E1259" s="227" t="s">
        <v>3295</v>
      </c>
      <c r="F1259" s="227" t="s">
        <v>3299</v>
      </c>
      <c r="G1259" s="239">
        <v>46002</v>
      </c>
      <c r="H1259" s="240">
        <v>0.54166666666666663</v>
      </c>
      <c r="I1259" s="227" t="s">
        <v>37</v>
      </c>
      <c r="J1259" s="221" t="s">
        <v>3023</v>
      </c>
      <c r="K1259" s="241" t="s">
        <v>15</v>
      </c>
      <c r="L1259" s="225" t="str">
        <f>VLOOKUP(Logfile_S12[[#This Row],[Material Name]],Sheet2!B:C,2,0)</f>
        <v>ZTE2006</v>
      </c>
      <c r="M1259" s="242" t="s">
        <v>19</v>
      </c>
      <c r="N1259" s="227">
        <v>6</v>
      </c>
      <c r="O1259" s="221" t="s">
        <v>4801</v>
      </c>
      <c r="P1259" s="221" t="s">
        <v>4802</v>
      </c>
      <c r="Q1259" s="221" t="s">
        <v>4827</v>
      </c>
      <c r="R1259" s="221" t="s">
        <v>4806</v>
      </c>
      <c r="S1259" s="227"/>
      <c r="T1259" s="227"/>
      <c r="U1259" s="227"/>
      <c r="V1259" s="227"/>
      <c r="W1259" s="227"/>
      <c r="X1259" s="227"/>
      <c r="Y1259" s="227"/>
      <c r="Z1259" s="227" t="str">
        <f t="shared" si="49"/>
        <v>DUSUN SIDOAYU KELURAHAN SIDEREJO MALANG</v>
      </c>
      <c r="AA1259" s="276">
        <f>VLOOKUP(Logfile_S12[[#This Row],[DO number]],DO_DB!G:I,3,0)</f>
        <v>46002</v>
      </c>
      <c r="AB1259" s="331" t="b">
        <f>EXACT(Logfile_S12[[#This Row],[date pick]],Logfile_S12[[#This Row],[Date]])</f>
        <v>1</v>
      </c>
      <c r="AC12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60" spans="1:29" ht="14.5" hidden="1">
      <c r="A1260" s="237" t="str">
        <f t="shared" si="48"/>
        <v>1256</v>
      </c>
      <c r="B1260" s="221">
        <v>2</v>
      </c>
      <c r="C1260" s="227" t="s">
        <v>49</v>
      </c>
      <c r="D1260" s="227" t="s">
        <v>4754</v>
      </c>
      <c r="E1260" s="227" t="s">
        <v>3295</v>
      </c>
      <c r="F1260" s="227" t="s">
        <v>3299</v>
      </c>
      <c r="G1260" s="239">
        <v>46008</v>
      </c>
      <c r="H1260" s="240">
        <v>0.69097222222222221</v>
      </c>
      <c r="I1260" s="227" t="s">
        <v>3295</v>
      </c>
      <c r="J1260" s="221" t="s">
        <v>3023</v>
      </c>
      <c r="K1260" s="241" t="s">
        <v>15</v>
      </c>
      <c r="L1260" s="225" t="str">
        <f>VLOOKUP(Logfile_S12[[#This Row],[Material Name]],Sheet2!B:C,2,0)</f>
        <v>ZTE2006</v>
      </c>
      <c r="M1260" s="242" t="s">
        <v>19</v>
      </c>
      <c r="N1260" s="227">
        <v>3</v>
      </c>
      <c r="O1260" s="221" t="s">
        <v>4801</v>
      </c>
      <c r="P1260" s="221" t="s">
        <v>4802</v>
      </c>
      <c r="Q1260" s="227"/>
      <c r="R1260" s="227"/>
      <c r="S1260" s="227"/>
      <c r="T1260" s="221" t="s">
        <v>3471</v>
      </c>
      <c r="U1260" s="221" t="s">
        <v>4811</v>
      </c>
      <c r="V1260" s="221" t="s">
        <v>3472</v>
      </c>
      <c r="W1260" s="221" t="s">
        <v>3545</v>
      </c>
      <c r="X1260" s="227"/>
      <c r="Y1260" s="227"/>
      <c r="Z1260" s="227" t="str">
        <f t="shared" si="49"/>
        <v>DUSUN SIDOAYU KELURAHAN SIDEREJO MALANG</v>
      </c>
      <c r="AA1260" s="276" t="e">
        <f>VLOOKUP(Logfile_S12[[#This Row],[DO number]],DO_DB!G:I,3,0)</f>
        <v>#N/A</v>
      </c>
      <c r="AB1260" s="331" t="e">
        <f>EXACT(Logfile_S12[[#This Row],[date pick]],Logfile_S12[[#This Row],[Date]])</f>
        <v>#N/A</v>
      </c>
      <c r="AC12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61" spans="1:29" ht="14.5" hidden="1">
      <c r="A1261" s="237" t="str">
        <f t="shared" si="48"/>
        <v>1257</v>
      </c>
      <c r="B1261" s="221">
        <v>5</v>
      </c>
      <c r="C1261" s="227" t="s">
        <v>49</v>
      </c>
      <c r="D1261" s="227" t="s">
        <v>4776</v>
      </c>
      <c r="E1261" s="227" t="s">
        <v>3295</v>
      </c>
      <c r="F1261" s="227" t="s">
        <v>3299</v>
      </c>
      <c r="G1261" s="239">
        <v>46015</v>
      </c>
      <c r="H1261" s="240">
        <v>0.69097222222222221</v>
      </c>
      <c r="I1261" s="227" t="s">
        <v>3295</v>
      </c>
      <c r="J1261" s="221" t="s">
        <v>3023</v>
      </c>
      <c r="K1261" s="241" t="s">
        <v>15</v>
      </c>
      <c r="L1261" s="225" t="str">
        <f>VLOOKUP(Logfile_S12[[#This Row],[Material Name]],Sheet2!B:C,2,0)</f>
        <v>ZTE2006</v>
      </c>
      <c r="M1261" s="242" t="s">
        <v>19</v>
      </c>
      <c r="N1261" s="227">
        <v>1</v>
      </c>
      <c r="O1261" s="227" t="s">
        <v>4785</v>
      </c>
      <c r="P1261" s="227" t="s">
        <v>4786</v>
      </c>
      <c r="Q1261" s="227"/>
      <c r="R1261" s="227"/>
      <c r="S1261" s="227"/>
      <c r="T1261" s="221" t="s">
        <v>3471</v>
      </c>
      <c r="U1261" s="221" t="s">
        <v>4811</v>
      </c>
      <c r="V1261" s="221" t="s">
        <v>3472</v>
      </c>
      <c r="W1261" s="221" t="s">
        <v>3545</v>
      </c>
      <c r="X1261" s="227"/>
      <c r="Y1261" s="227"/>
      <c r="Z1261" s="227" t="str">
        <f t="shared" si="49"/>
        <v>DUSUN ARDIREJO KELURAHAN SIDEREJO MALANG</v>
      </c>
      <c r="AA1261" s="276" t="e">
        <f>VLOOKUP(Logfile_S12[[#This Row],[DO number]],DO_DB!G:I,3,0)</f>
        <v>#N/A</v>
      </c>
      <c r="AB1261" s="331" t="e">
        <f>EXACT(Logfile_S12[[#This Row],[date pick]],Logfile_S12[[#This Row],[Date]])</f>
        <v>#N/A</v>
      </c>
      <c r="AC12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62" spans="1:29" ht="14.5" hidden="1">
      <c r="A1262" s="237" t="str">
        <f t="shared" si="48"/>
        <v>1258</v>
      </c>
      <c r="B1262" s="221">
        <v>2</v>
      </c>
      <c r="C1262" s="227" t="s">
        <v>49</v>
      </c>
      <c r="D1262" s="227" t="s">
        <v>4776</v>
      </c>
      <c r="E1262" s="227" t="s">
        <v>3295</v>
      </c>
      <c r="F1262" s="227" t="s">
        <v>3299</v>
      </c>
      <c r="G1262" s="239">
        <v>46015</v>
      </c>
      <c r="H1262" s="240">
        <v>0.69097222222222221</v>
      </c>
      <c r="I1262" s="227" t="s">
        <v>3295</v>
      </c>
      <c r="J1262" s="221" t="s">
        <v>3023</v>
      </c>
      <c r="K1262" s="241" t="s">
        <v>15</v>
      </c>
      <c r="L1262" s="225" t="str">
        <f>VLOOKUP(Logfile_S12[[#This Row],[Material Name]],Sheet2!B:C,2,0)</f>
        <v>ZTE2006</v>
      </c>
      <c r="M1262" s="242" t="s">
        <v>19</v>
      </c>
      <c r="N1262" s="227">
        <v>2</v>
      </c>
      <c r="O1262" s="221" t="s">
        <v>4785</v>
      </c>
      <c r="P1262" s="221" t="s">
        <v>4786</v>
      </c>
      <c r="Q1262" s="227"/>
      <c r="R1262" s="227"/>
      <c r="S1262" s="227"/>
      <c r="T1262" s="221" t="s">
        <v>3471</v>
      </c>
      <c r="U1262" s="221" t="s">
        <v>4811</v>
      </c>
      <c r="V1262" s="221" t="s">
        <v>3472</v>
      </c>
      <c r="W1262" s="221" t="s">
        <v>3545</v>
      </c>
      <c r="X1262" s="227"/>
      <c r="Y1262" s="227"/>
      <c r="Z1262" s="227" t="str">
        <f t="shared" si="49"/>
        <v>DUSUN ARDIREJO KELURAHAN SIDEREJO MALANG</v>
      </c>
      <c r="AA1262" s="276" t="e">
        <f>VLOOKUP(Logfile_S12[[#This Row],[DO number]],DO_DB!G:I,3,0)</f>
        <v>#N/A</v>
      </c>
      <c r="AB1262" s="331" t="e">
        <f>EXACT(Logfile_S12[[#This Row],[date pick]],Logfile_S12[[#This Row],[Date]])</f>
        <v>#N/A</v>
      </c>
      <c r="AC12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63" spans="1:29" ht="14.5" hidden="1">
      <c r="A1263" s="237" t="str">
        <f t="shared" si="48"/>
        <v>1259</v>
      </c>
      <c r="B1263" s="221">
        <v>6</v>
      </c>
      <c r="C1263" s="227" t="s">
        <v>48</v>
      </c>
      <c r="D1263" s="227" t="s">
        <v>4812</v>
      </c>
      <c r="E1263" s="227" t="s">
        <v>3295</v>
      </c>
      <c r="F1263" s="227" t="s">
        <v>3299</v>
      </c>
      <c r="G1263" s="239">
        <v>46041</v>
      </c>
      <c r="H1263" s="240">
        <v>0.25138888888888888</v>
      </c>
      <c r="I1263" s="227" t="s">
        <v>37</v>
      </c>
      <c r="J1263" s="221" t="s">
        <v>3023</v>
      </c>
      <c r="K1263" s="241" t="s">
        <v>15</v>
      </c>
      <c r="L1263" s="225" t="str">
        <f>VLOOKUP(Logfile_S12[[#This Row],[Material Name]],Sheet2!B:C,2,0)</f>
        <v>ZTE2006</v>
      </c>
      <c r="M1263" s="242" t="s">
        <v>19</v>
      </c>
      <c r="N1263" s="227">
        <v>1</v>
      </c>
      <c r="O1263" s="227" t="s">
        <v>4814</v>
      </c>
      <c r="P1263" s="227" t="s">
        <v>4816</v>
      </c>
      <c r="Q1263" s="227" t="s">
        <v>4818</v>
      </c>
      <c r="R1263" s="227" t="s">
        <v>4817</v>
      </c>
      <c r="S1263" s="227"/>
      <c r="T1263" s="227" t="s">
        <v>3258</v>
      </c>
      <c r="U1263" s="227" t="s">
        <v>4811</v>
      </c>
      <c r="V1263" s="221" t="s">
        <v>3337</v>
      </c>
      <c r="W1263" s="227" t="s">
        <v>3338</v>
      </c>
      <c r="X1263" s="227"/>
      <c r="Y1263" s="227"/>
      <c r="Z1263" s="227" t="str">
        <f t="shared" si="49"/>
        <v>Griya Kebon Agung Indah</v>
      </c>
      <c r="AA1263" s="276">
        <f>VLOOKUP(Logfile_S12[[#This Row],[DO number]],DO_DB!G:I,3,0)</f>
        <v>46041</v>
      </c>
      <c r="AB1263" s="331" t="b">
        <f>EXACT(Logfile_S12[[#This Row],[date pick]],Logfile_S12[[#This Row],[Date]])</f>
        <v>1</v>
      </c>
      <c r="AC12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64" spans="1:29" ht="14.5" hidden="1">
      <c r="A1264" s="237" t="str">
        <f t="shared" si="48"/>
        <v>1260</v>
      </c>
      <c r="B1264" s="221">
        <v>2</v>
      </c>
      <c r="C1264" s="227" t="s">
        <v>49</v>
      </c>
      <c r="D1264" s="227" t="s">
        <v>4824</v>
      </c>
      <c r="E1264" s="227" t="s">
        <v>3295</v>
      </c>
      <c r="F1264" s="227" t="s">
        <v>3299</v>
      </c>
      <c r="G1264" s="239">
        <v>46045</v>
      </c>
      <c r="H1264" s="240">
        <v>0.69097222222222221</v>
      </c>
      <c r="I1264" s="227" t="s">
        <v>3295</v>
      </c>
      <c r="J1264" s="221" t="s">
        <v>3023</v>
      </c>
      <c r="K1264" s="241" t="s">
        <v>15</v>
      </c>
      <c r="L1264" s="225" t="str">
        <f>VLOOKUP(Logfile_S12[[#This Row],[Material Name]],Sheet2!B:C,2,0)</f>
        <v>ZTE2006</v>
      </c>
      <c r="M1264" s="242" t="s">
        <v>19</v>
      </c>
      <c r="N1264" s="227">
        <v>1</v>
      </c>
      <c r="O1264" s="227" t="s">
        <v>4813</v>
      </c>
      <c r="P1264" s="227" t="s">
        <v>4815</v>
      </c>
      <c r="Q1264" s="227" t="s">
        <v>4820</v>
      </c>
      <c r="R1264" s="227" t="s">
        <v>4819</v>
      </c>
      <c r="S1264" s="227"/>
      <c r="T1264" s="248" t="s">
        <v>3471</v>
      </c>
      <c r="U1264" s="221" t="s">
        <v>4811</v>
      </c>
      <c r="V1264" s="248" t="s">
        <v>3472</v>
      </c>
      <c r="W1264" s="248" t="s">
        <v>3473</v>
      </c>
      <c r="X1264" s="227"/>
      <c r="Y1264" s="227"/>
      <c r="Z1264" s="227" t="str">
        <f t="shared" si="49"/>
        <v>KEBONAGUNG RW 06 PAKISAJI</v>
      </c>
      <c r="AA1264" s="276">
        <f>VLOOKUP(Logfile_S12[[#This Row],[DO number]],DO_DB!G:I,3,0)</f>
        <v>46041</v>
      </c>
      <c r="AB1264" s="331" t="b">
        <f>EXACT(Logfile_S12[[#This Row],[date pick]],Logfile_S12[[#This Row],[Date]])</f>
        <v>0</v>
      </c>
      <c r="AC12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65" spans="1:29" ht="14.5" hidden="1">
      <c r="A1265" s="237" t="str">
        <f t="shared" si="48"/>
        <v>1261</v>
      </c>
      <c r="B1265" s="221">
        <v>5</v>
      </c>
      <c r="C1265" s="227" t="s">
        <v>48</v>
      </c>
      <c r="D1265" s="227" t="s">
        <v>4829</v>
      </c>
      <c r="E1265" s="227" t="s">
        <v>3295</v>
      </c>
      <c r="F1265" s="227" t="s">
        <v>3299</v>
      </c>
      <c r="G1265" s="239">
        <v>46087</v>
      </c>
      <c r="H1265" s="240">
        <v>0.79166666666666663</v>
      </c>
      <c r="I1265" s="227" t="s">
        <v>37</v>
      </c>
      <c r="J1265" s="221" t="s">
        <v>3023</v>
      </c>
      <c r="K1265" s="241" t="s">
        <v>15</v>
      </c>
      <c r="L1265" s="225" t="str">
        <f>VLOOKUP(Logfile_S12[[#This Row],[Material Name]],Sheet2!B:C,2,0)</f>
        <v>ZTE2006</v>
      </c>
      <c r="M1265" s="242" t="s">
        <v>19</v>
      </c>
      <c r="N1265" s="227">
        <v>1</v>
      </c>
      <c r="O1265" s="227" t="s">
        <v>4835</v>
      </c>
      <c r="P1265" s="227" t="s">
        <v>4836</v>
      </c>
      <c r="Q1265" s="221" t="s">
        <v>4849</v>
      </c>
      <c r="R1265" s="221" t="s">
        <v>4852</v>
      </c>
      <c r="S1265" s="227"/>
      <c r="T1265" s="227"/>
      <c r="U1265" s="227"/>
      <c r="V1265" s="227"/>
      <c r="W1265" s="227"/>
      <c r="X1265" s="227"/>
      <c r="Y1265" s="227"/>
      <c r="Z1265" s="227" t="str">
        <f t="shared" si="49"/>
        <v>LESANPURO RW 01 MALANG</v>
      </c>
      <c r="AA1265" s="276">
        <f>VLOOKUP(Logfile_S12[[#This Row],[DO number]],DO_DB!G:I,3,0)</f>
        <v>46087</v>
      </c>
      <c r="AB1265" s="331" t="b">
        <f>EXACT(Logfile_S12[[#This Row],[date pick]],Logfile_S12[[#This Row],[Date]])</f>
        <v>1</v>
      </c>
      <c r="AC12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66" spans="1:29" ht="14.5" hidden="1">
      <c r="A1266" s="237" t="str">
        <f t="shared" si="48"/>
        <v>1262</v>
      </c>
      <c r="B1266" s="221">
        <v>5</v>
      </c>
      <c r="C1266" s="227" t="s">
        <v>49</v>
      </c>
      <c r="D1266" s="227" t="s">
        <v>4833</v>
      </c>
      <c r="E1266" s="227" t="s">
        <v>3295</v>
      </c>
      <c r="F1266" s="227" t="s">
        <v>3299</v>
      </c>
      <c r="G1266" s="239">
        <v>46090</v>
      </c>
      <c r="H1266" s="240">
        <v>0.79166666666666663</v>
      </c>
      <c r="I1266" s="227" t="s">
        <v>3295</v>
      </c>
      <c r="J1266" s="221" t="s">
        <v>3023</v>
      </c>
      <c r="K1266" s="241" t="s">
        <v>15</v>
      </c>
      <c r="L1266" s="225" t="str">
        <f>VLOOKUP(Logfile_S12[[#This Row],[Material Name]],Sheet2!B:C,2,0)</f>
        <v>ZTE2006</v>
      </c>
      <c r="M1266" s="242" t="s">
        <v>19</v>
      </c>
      <c r="N1266" s="227">
        <v>1</v>
      </c>
      <c r="O1266" s="227" t="s">
        <v>4839</v>
      </c>
      <c r="P1266" s="227" t="s">
        <v>4840</v>
      </c>
      <c r="Q1266" s="227"/>
      <c r="R1266" s="227"/>
      <c r="S1266" s="227"/>
      <c r="T1266" s="221" t="s">
        <v>3231</v>
      </c>
      <c r="U1266" s="221" t="s">
        <v>4811</v>
      </c>
      <c r="V1266" s="221" t="s">
        <v>3232</v>
      </c>
      <c r="W1266" s="221" t="s">
        <v>3254</v>
      </c>
      <c r="X1266" s="227"/>
      <c r="Y1266" s="227"/>
      <c r="Z1266" s="227" t="str">
        <f t="shared" si="49"/>
        <v>SEKARPURO RW 05 MALANG</v>
      </c>
      <c r="AA1266" s="276" t="e">
        <f>VLOOKUP(Logfile_S12[[#This Row],[DO number]],DO_DB!G:I,3,0)</f>
        <v>#N/A</v>
      </c>
      <c r="AB1266" s="331" t="e">
        <f>EXACT(Logfile_S12[[#This Row],[date pick]],Logfile_S12[[#This Row],[Date]])</f>
        <v>#N/A</v>
      </c>
      <c r="AC12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67" spans="1:29" ht="14.5" hidden="1">
      <c r="A1267" s="237" t="str">
        <f t="shared" si="48"/>
        <v>1263</v>
      </c>
      <c r="B1267" s="221">
        <v>2</v>
      </c>
      <c r="C1267" s="227" t="s">
        <v>48</v>
      </c>
      <c r="D1267" s="227" t="s">
        <v>4905</v>
      </c>
      <c r="E1267" s="227" t="s">
        <v>3295</v>
      </c>
      <c r="F1267" s="227" t="s">
        <v>3299</v>
      </c>
      <c r="G1267" s="239">
        <v>46191</v>
      </c>
      <c r="H1267" s="240">
        <v>0.25</v>
      </c>
      <c r="I1267" s="227" t="s">
        <v>37</v>
      </c>
      <c r="J1267" s="227" t="s">
        <v>3023</v>
      </c>
      <c r="K1267" s="241" t="s">
        <v>15</v>
      </c>
      <c r="L1267" s="242" t="str">
        <f>VLOOKUP(Logfile_S12[[#This Row],[Material Name]],Sheet2!B:C,2,0)</f>
        <v>ZTE2006</v>
      </c>
      <c r="M1267" s="242" t="s">
        <v>19</v>
      </c>
      <c r="N1267" s="227">
        <v>1</v>
      </c>
      <c r="O1267" s="221" t="s">
        <v>4898</v>
      </c>
      <c r="P1267" s="221" t="s">
        <v>4900</v>
      </c>
      <c r="Q1267" s="221" t="s">
        <v>4904</v>
      </c>
      <c r="R1267" s="221">
        <v>0</v>
      </c>
      <c r="S1267" s="227"/>
      <c r="T1267" s="227"/>
      <c r="U1267" s="227"/>
      <c r="V1267" s="227"/>
      <c r="W1267" s="227"/>
      <c r="X1267" s="227"/>
      <c r="Y1267" s="227"/>
      <c r="Z1267" s="227" t="str">
        <f t="shared" si="49"/>
        <v>RANDUANGUNG RW 04 SINGOSARI MALANG</v>
      </c>
      <c r="AA1267" s="276">
        <f>VLOOKUP(Logfile_S12[[#This Row],[DO number]],DO_DB!G:I,3,0)</f>
        <v>46191</v>
      </c>
      <c r="AB1267" s="331" t="b">
        <f>EXACT(Logfile_S12[[#This Row],[date pick]],Logfile_S12[[#This Row],[Date]])</f>
        <v>1</v>
      </c>
      <c r="AC12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68" spans="1:29" ht="14.5" hidden="1">
      <c r="A1268" s="237" t="str">
        <f t="shared" si="48"/>
        <v>1264</v>
      </c>
      <c r="B1268" s="221"/>
      <c r="C1268" s="227" t="s">
        <v>49</v>
      </c>
      <c r="D1268" s="227" t="s">
        <v>4910</v>
      </c>
      <c r="E1268" s="227" t="s">
        <v>3295</v>
      </c>
      <c r="F1268" s="227" t="s">
        <v>4909</v>
      </c>
      <c r="G1268" s="239">
        <v>46196</v>
      </c>
      <c r="H1268" s="240">
        <v>0.375</v>
      </c>
      <c r="I1268" s="227" t="s">
        <v>3295</v>
      </c>
      <c r="J1268" s="227" t="s">
        <v>3023</v>
      </c>
      <c r="K1268" s="241" t="s">
        <v>15</v>
      </c>
      <c r="L1268" s="242" t="str">
        <f>VLOOKUP(Logfile_S12[[#This Row],[Material Name]],Sheet2!B:C,2,0)</f>
        <v>ZTE2006</v>
      </c>
      <c r="M1268" s="242" t="str">
        <f>_xlfn.XLOOKUP(Logfile_S12[[#This Row],[Material Name]],Sum_WH!E:E,Sum_WH!F:F,"",0)</f>
        <v>Pcs</v>
      </c>
      <c r="N1268" s="227">
        <v>1</v>
      </c>
      <c r="O1268" s="227" t="s">
        <v>4898</v>
      </c>
      <c r="P1268" s="227" t="s">
        <v>4900</v>
      </c>
      <c r="Q1268" s="227"/>
      <c r="R1268" s="227"/>
      <c r="S1268" s="227"/>
      <c r="T1268" s="248" t="s">
        <v>4944</v>
      </c>
      <c r="U1268" s="221" t="s">
        <v>4811</v>
      </c>
      <c r="V1268" s="248" t="s">
        <v>3472</v>
      </c>
      <c r="W1268" s="248" t="s">
        <v>3473</v>
      </c>
      <c r="X1268" s="227"/>
      <c r="Y1268" s="227"/>
      <c r="Z1268" s="227" t="str">
        <f t="shared" si="49"/>
        <v>RANDUANGUNG RW 04 SINGOSARI MALANG</v>
      </c>
      <c r="AA1268" s="276" t="e">
        <f>VLOOKUP(Logfile_S12[[#This Row],[DO number]],DO_DB!G:I,3,0)</f>
        <v>#N/A</v>
      </c>
      <c r="AB1268" s="331" t="e">
        <f>EXACT(Logfile_S12[[#This Row],[date pick]],Logfile_S12[[#This Row],[Date]])</f>
        <v>#N/A</v>
      </c>
      <c r="AC12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69" spans="1:29" ht="14.5" hidden="1">
      <c r="A1269" s="220" t="str">
        <f t="shared" si="48"/>
        <v>1265</v>
      </c>
      <c r="B1269" s="221"/>
      <c r="C1269" s="221" t="s">
        <v>3429</v>
      </c>
      <c r="D1269" s="221" t="s">
        <v>3890</v>
      </c>
      <c r="E1269" s="221" t="s">
        <v>3295</v>
      </c>
      <c r="F1269" s="221" t="s">
        <v>3299</v>
      </c>
      <c r="G1269" s="222">
        <v>45313</v>
      </c>
      <c r="H1269" s="223">
        <v>15.291666666666666</v>
      </c>
      <c r="I1269" s="221" t="s">
        <v>3193</v>
      </c>
      <c r="J1269" s="221" t="s">
        <v>3024</v>
      </c>
      <c r="K1269" s="224" t="s">
        <v>16</v>
      </c>
      <c r="L1269" s="225" t="str">
        <f>VLOOKUP(Logfile_S12[[#This Row],[Material Name]],Sheet2!B:C,2,0)</f>
        <v>ZTE2020</v>
      </c>
      <c r="M1269" s="225" t="str">
        <f>_xlfn.XLOOKUP(Logfile_S12[[#This Row],[Material Name]],Sum_WH!E:E,Sum_WH!F:F,"",0)</f>
        <v>Meter</v>
      </c>
      <c r="N1269" s="221">
        <v>127</v>
      </c>
      <c r="O1269" s="221" t="s">
        <v>834</v>
      </c>
      <c r="P1269" s="221" t="s">
        <v>3335</v>
      </c>
      <c r="Q1269" s="221">
        <v>0</v>
      </c>
      <c r="R1269" s="221">
        <v>0</v>
      </c>
      <c r="S1269" s="221"/>
      <c r="T1269" s="221"/>
      <c r="U1269" s="221"/>
      <c r="V1269" s="221"/>
      <c r="W1269" s="221"/>
      <c r="X1269" s="221" t="s">
        <v>3891</v>
      </c>
      <c r="Y1269" s="227"/>
      <c r="Z1269" s="227" t="str">
        <f t="shared" si="49"/>
        <v>HUBFEEDER BATURETNO RW 02</v>
      </c>
      <c r="AA1269" s="276" t="e">
        <f>VLOOKUP(Logfile_S12[[#This Row],[DO number]],DO_DB!G:I,3,0)</f>
        <v>#N/A</v>
      </c>
      <c r="AB1269" s="331" t="e">
        <f>EXACT(Logfile_S12[[#This Row],[date pick]],Logfile_S12[[#This Row],[Date]])</f>
        <v>#N/A</v>
      </c>
      <c r="AC12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70" spans="1:29" ht="14.5" hidden="1">
      <c r="A1270" s="220" t="str">
        <f t="shared" si="48"/>
        <v>1266</v>
      </c>
      <c r="B1270" s="221"/>
      <c r="C1270" s="221" t="s">
        <v>49</v>
      </c>
      <c r="D1270" s="221" t="s">
        <v>3888</v>
      </c>
      <c r="E1270" s="221" t="s">
        <v>3295</v>
      </c>
      <c r="F1270" s="221" t="s">
        <v>3299</v>
      </c>
      <c r="G1270" s="222">
        <v>45313</v>
      </c>
      <c r="H1270" s="223">
        <v>0.63124999999999998</v>
      </c>
      <c r="I1270" s="221" t="s">
        <v>4916</v>
      </c>
      <c r="J1270" s="221" t="s">
        <v>3024</v>
      </c>
      <c r="K1270" s="224" t="s">
        <v>16</v>
      </c>
      <c r="L1270" s="225" t="str">
        <f>VLOOKUP(Logfile_S12[[#This Row],[Material Name]],Sheet2!B:C,2,0)</f>
        <v>ZTE2020</v>
      </c>
      <c r="M1270" s="225" t="str">
        <f>_xlfn.XLOOKUP(Logfile_S12[[#This Row],[Material Name]],Sum_WH!E:E,Sum_WH!F:F,"",0)</f>
        <v>Meter</v>
      </c>
      <c r="N1270" s="221">
        <v>127</v>
      </c>
      <c r="O1270" s="221" t="s">
        <v>834</v>
      </c>
      <c r="P1270" s="221" t="s">
        <v>3335</v>
      </c>
      <c r="Q1270" s="221"/>
      <c r="R1270" s="221"/>
      <c r="S1270" s="221"/>
      <c r="T1270" s="221" t="s">
        <v>3258</v>
      </c>
      <c r="U1270" s="221" t="s">
        <v>3228</v>
      </c>
      <c r="V1270" s="221" t="s">
        <v>3337</v>
      </c>
      <c r="W1270" s="221" t="s">
        <v>3338</v>
      </c>
      <c r="X1270" s="221"/>
      <c r="Y1270" s="227"/>
      <c r="Z1270" s="227" t="str">
        <f t="shared" si="49"/>
        <v>HUBFEEDER BATURETNO RW 02</v>
      </c>
      <c r="AA1270" s="276" t="e">
        <f>VLOOKUP(Logfile_S12[[#This Row],[DO number]],DO_DB!G:I,3,0)</f>
        <v>#N/A</v>
      </c>
      <c r="AB1270" s="331" t="e">
        <f>EXACT(Logfile_S12[[#This Row],[date pick]],Logfile_S12[[#This Row],[Date]])</f>
        <v>#N/A</v>
      </c>
      <c r="AC12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71" spans="1:29" ht="14.5" hidden="1">
      <c r="A1271" s="220" t="str">
        <f t="shared" si="48"/>
        <v>1267</v>
      </c>
      <c r="B1271" s="221"/>
      <c r="C1271" s="221" t="s">
        <v>49</v>
      </c>
      <c r="D1271" s="221" t="s">
        <v>3946</v>
      </c>
      <c r="E1271" s="221" t="s">
        <v>3295</v>
      </c>
      <c r="F1271" s="221" t="s">
        <v>3299</v>
      </c>
      <c r="G1271" s="222">
        <v>45345</v>
      </c>
      <c r="H1271" s="223">
        <v>0.78263888888888899</v>
      </c>
      <c r="I1271" s="221" t="s">
        <v>4916</v>
      </c>
      <c r="J1271" s="221" t="s">
        <v>3024</v>
      </c>
      <c r="K1271" s="224" t="s">
        <v>16</v>
      </c>
      <c r="L1271" s="225" t="str">
        <f>VLOOKUP(Logfile_S12[[#This Row],[Material Name]],Sheet2!B:C,2,0)</f>
        <v>ZTE2020</v>
      </c>
      <c r="M1271" s="225" t="str">
        <f>_xlfn.XLOOKUP(Logfile_S12[[#This Row],[Material Name]],Sum_WH!E:E,Sum_WH!F:F,"",0)</f>
        <v>Meter</v>
      </c>
      <c r="N1271" s="221">
        <v>1</v>
      </c>
      <c r="O1271" s="221" t="s">
        <v>921</v>
      </c>
      <c r="P1271" s="221" t="s">
        <v>922</v>
      </c>
      <c r="Q1271" s="221"/>
      <c r="R1271" s="221"/>
      <c r="S1271" s="221"/>
      <c r="T1271" s="221" t="s">
        <v>3363</v>
      </c>
      <c r="U1271" s="221" t="s">
        <v>3228</v>
      </c>
      <c r="V1271" s="221" t="s">
        <v>3364</v>
      </c>
      <c r="W1271" s="221" t="s">
        <v>3365</v>
      </c>
      <c r="X1271" s="221" t="s">
        <v>3427</v>
      </c>
      <c r="Y1271" s="227"/>
      <c r="Z1271" s="227" t="str">
        <f t="shared" si="49"/>
        <v>Bumiayu RW 03 Kedungkandang</v>
      </c>
      <c r="AA1271" s="276" t="e">
        <f>VLOOKUP(Logfile_S12[[#This Row],[DO number]],DO_DB!G:I,3,0)</f>
        <v>#N/A</v>
      </c>
      <c r="AB1271" s="331" t="e">
        <f>EXACT(Logfile_S12[[#This Row],[date pick]],Logfile_S12[[#This Row],[Date]])</f>
        <v>#N/A</v>
      </c>
      <c r="AC12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72" spans="1:29" ht="14.5" hidden="1">
      <c r="A1272" s="220" t="str">
        <f t="shared" si="48"/>
        <v>1268</v>
      </c>
      <c r="B1272" s="221"/>
      <c r="C1272" s="221" t="s">
        <v>49</v>
      </c>
      <c r="D1272" s="221" t="s">
        <v>3955</v>
      </c>
      <c r="E1272" s="221" t="s">
        <v>3295</v>
      </c>
      <c r="F1272" s="221" t="s">
        <v>3299</v>
      </c>
      <c r="G1272" s="222">
        <v>45350</v>
      </c>
      <c r="H1272" s="223">
        <v>0.4861111111111111</v>
      </c>
      <c r="I1272" s="221" t="s">
        <v>4916</v>
      </c>
      <c r="J1272" s="221" t="s">
        <v>3024</v>
      </c>
      <c r="K1272" s="224" t="s">
        <v>16</v>
      </c>
      <c r="L1272" s="225" t="str">
        <f>VLOOKUP(Logfile_S12[[#This Row],[Material Name]],Sheet2!B:C,2,0)</f>
        <v>ZTE2020</v>
      </c>
      <c r="M1272" s="225" t="str">
        <f>_xlfn.XLOOKUP(Logfile_S12[[#This Row],[Material Name]],Sum_WH!E:E,Sum_WH!F:F,"",0)</f>
        <v>Meter</v>
      </c>
      <c r="N1272" s="221">
        <v>1</v>
      </c>
      <c r="O1272" s="221" t="s">
        <v>921</v>
      </c>
      <c r="P1272" s="221" t="s">
        <v>922</v>
      </c>
      <c r="Q1272" s="221"/>
      <c r="R1272" s="221"/>
      <c r="S1272" s="221"/>
      <c r="T1272" s="221" t="s">
        <v>3258</v>
      </c>
      <c r="U1272" s="221" t="s">
        <v>3228</v>
      </c>
      <c r="V1272" s="221" t="s">
        <v>3337</v>
      </c>
      <c r="W1272" s="221" t="s">
        <v>3365</v>
      </c>
      <c r="X1272" s="221" t="s">
        <v>3428</v>
      </c>
      <c r="Y1272" s="227"/>
      <c r="Z1272" s="227" t="str">
        <f t="shared" si="49"/>
        <v>Bumiayu RW 03 Kedungkandang</v>
      </c>
      <c r="AA1272" s="276" t="e">
        <f>VLOOKUP(Logfile_S12[[#This Row],[DO number]],DO_DB!G:I,3,0)</f>
        <v>#N/A</v>
      </c>
      <c r="AB1272" s="331" t="e">
        <f>EXACT(Logfile_S12[[#This Row],[date pick]],Logfile_S12[[#This Row],[Date]])</f>
        <v>#N/A</v>
      </c>
      <c r="AC12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73" spans="1:29" ht="14.5" hidden="1">
      <c r="A1273" s="220" t="str">
        <f t="shared" si="48"/>
        <v>1269</v>
      </c>
      <c r="B1273" s="221"/>
      <c r="C1273" s="221" t="s">
        <v>49</v>
      </c>
      <c r="D1273" s="221" t="s">
        <v>3956</v>
      </c>
      <c r="E1273" s="221" t="s">
        <v>3295</v>
      </c>
      <c r="F1273" s="221" t="s">
        <v>3299</v>
      </c>
      <c r="G1273" s="222">
        <v>45350</v>
      </c>
      <c r="H1273" s="223">
        <v>0.4861111111111111</v>
      </c>
      <c r="I1273" s="221" t="s">
        <v>4916</v>
      </c>
      <c r="J1273" s="221" t="s">
        <v>3024</v>
      </c>
      <c r="K1273" s="224" t="s">
        <v>16</v>
      </c>
      <c r="L1273" s="225" t="str">
        <f>VLOOKUP(Logfile_S12[[#This Row],[Material Name]],Sheet2!B:C,2,0)</f>
        <v>ZTE2020</v>
      </c>
      <c r="M1273" s="225" t="str">
        <f>_xlfn.XLOOKUP(Logfile_S12[[#This Row],[Material Name]],Sum_WH!E:E,Sum_WH!F:F,"",0)</f>
        <v>Meter</v>
      </c>
      <c r="N1273" s="221">
        <v>4</v>
      </c>
      <c r="O1273" s="221" t="s">
        <v>1013</v>
      </c>
      <c r="P1273" s="221" t="s">
        <v>1014</v>
      </c>
      <c r="Q1273" s="221"/>
      <c r="R1273" s="221"/>
      <c r="S1273" s="221"/>
      <c r="T1273" s="221"/>
      <c r="U1273" s="221"/>
      <c r="V1273" s="221"/>
      <c r="W1273" s="221"/>
      <c r="X1273" s="221"/>
      <c r="Y1273" s="227"/>
      <c r="Z1273" s="227" t="str">
        <f t="shared" si="49"/>
        <v>Bumiayu RW 05 Kedungkandang</v>
      </c>
      <c r="AA1273" s="276" t="e">
        <f>VLOOKUP(Logfile_S12[[#This Row],[DO number]],DO_DB!G:I,3,0)</f>
        <v>#N/A</v>
      </c>
      <c r="AB1273" s="331" t="e">
        <f>EXACT(Logfile_S12[[#This Row],[date pick]],Logfile_S12[[#This Row],[Date]])</f>
        <v>#N/A</v>
      </c>
      <c r="AC12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74" spans="1:29" ht="14.5" hidden="1">
      <c r="A1274" s="220" t="str">
        <f t="shared" si="48"/>
        <v>1270</v>
      </c>
      <c r="B1274" s="221"/>
      <c r="C1274" s="221" t="s">
        <v>3429</v>
      </c>
      <c r="D1274" s="221" t="s">
        <v>4175</v>
      </c>
      <c r="E1274" s="221" t="s">
        <v>3295</v>
      </c>
      <c r="F1274" s="221" t="s">
        <v>3299</v>
      </c>
      <c r="G1274" s="222">
        <v>45530</v>
      </c>
      <c r="H1274" s="223">
        <v>15.291666666666666</v>
      </c>
      <c r="I1274" s="221" t="s">
        <v>3193</v>
      </c>
      <c r="J1274" s="221" t="s">
        <v>3024</v>
      </c>
      <c r="K1274" s="224" t="s">
        <v>16</v>
      </c>
      <c r="L1274" s="225" t="str">
        <f>VLOOKUP(Logfile_S12[[#This Row],[Material Name]],Sheet2!B:C,2,0)</f>
        <v>ZTE2020</v>
      </c>
      <c r="M1274" s="225" t="str">
        <f>_xlfn.XLOOKUP(Logfile_S12[[#This Row],[Material Name]],Sum_WH!E:E,Sum_WH!F:F,"",0)</f>
        <v>Meter</v>
      </c>
      <c r="N1274" s="221">
        <v>200</v>
      </c>
      <c r="O1274" s="221" t="s">
        <v>4928</v>
      </c>
      <c r="P1274" s="221" t="s">
        <v>3430</v>
      </c>
      <c r="Q1274" s="221">
        <v>0</v>
      </c>
      <c r="R1274" s="221">
        <v>0</v>
      </c>
      <c r="S1274" s="221"/>
      <c r="T1274" s="221"/>
      <c r="U1274" s="221"/>
      <c r="V1274" s="221"/>
      <c r="W1274" s="221"/>
      <c r="X1274" s="221" t="s">
        <v>3431</v>
      </c>
      <c r="Y1274" s="227"/>
      <c r="Z1274" s="227" t="str">
        <f t="shared" si="49"/>
        <v>MIDGO</v>
      </c>
      <c r="AA1274" s="276" t="e">
        <f>VLOOKUP(Logfile_S12[[#This Row],[DO number]],DO_DB!G:I,3,0)</f>
        <v>#N/A</v>
      </c>
      <c r="AB1274" s="331" t="e">
        <f>EXACT(Logfile_S12[[#This Row],[date pick]],Logfile_S12[[#This Row],[Date]])</f>
        <v>#N/A</v>
      </c>
      <c r="AC12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75" spans="1:29" ht="14.5" hidden="1">
      <c r="A1275" s="220" t="str">
        <f t="shared" si="48"/>
        <v>1271</v>
      </c>
      <c r="B1275" s="221"/>
      <c r="C1275" s="221" t="s">
        <v>49</v>
      </c>
      <c r="D1275" s="221" t="s">
        <v>4191</v>
      </c>
      <c r="E1275" s="221" t="s">
        <v>3295</v>
      </c>
      <c r="F1275" s="221" t="s">
        <v>3299</v>
      </c>
      <c r="G1275" s="222">
        <v>45535</v>
      </c>
      <c r="H1275" s="223">
        <v>0.41388888888888886</v>
      </c>
      <c r="I1275" s="221" t="s">
        <v>4916</v>
      </c>
      <c r="J1275" s="221" t="s">
        <v>3024</v>
      </c>
      <c r="K1275" s="224" t="s">
        <v>16</v>
      </c>
      <c r="L1275" s="225" t="str">
        <f>VLOOKUP(Logfile_S12[[#This Row],[Material Name]],Sheet2!B:C,2,0)</f>
        <v>ZTE2020</v>
      </c>
      <c r="M1275" s="225" t="str">
        <f>_xlfn.XLOOKUP(Logfile_S12[[#This Row],[Material Name]],Sum_WH!E:E,Sum_WH!F:F,"",0)</f>
        <v>Meter</v>
      </c>
      <c r="N1275" s="221">
        <v>160</v>
      </c>
      <c r="O1275" s="221" t="s">
        <v>2142</v>
      </c>
      <c r="P1275" s="221" t="s">
        <v>3400</v>
      </c>
      <c r="Q1275" s="221"/>
      <c r="R1275" s="221"/>
      <c r="S1275" s="221"/>
      <c r="T1275" s="221" t="s">
        <v>3244</v>
      </c>
      <c r="U1275" s="221">
        <v>0</v>
      </c>
      <c r="V1275" s="221" t="s">
        <v>3248</v>
      </c>
      <c r="W1275" s="221" t="s">
        <v>3252</v>
      </c>
      <c r="X1275" s="221"/>
      <c r="Y1275" s="227"/>
      <c r="Z1275" s="227" t="str">
        <f t="shared" si="49"/>
        <v>HUBFEEDER DINOYO SUMBERSEKAR</v>
      </c>
      <c r="AA1275" s="276" t="e">
        <f>VLOOKUP(Logfile_S12[[#This Row],[DO number]],DO_DB!G:I,3,0)</f>
        <v>#N/A</v>
      </c>
      <c r="AB1275" s="331" t="e">
        <f>EXACT(Logfile_S12[[#This Row],[date pick]],Logfile_S12[[#This Row],[Date]])</f>
        <v>#N/A</v>
      </c>
      <c r="AC12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76" spans="1:29" ht="14.5" hidden="1">
      <c r="A1276" s="220" t="str">
        <f t="shared" si="48"/>
        <v>1272</v>
      </c>
      <c r="B1276" s="221"/>
      <c r="C1276" s="221" t="s">
        <v>48</v>
      </c>
      <c r="D1276" s="221" t="s">
        <v>4228</v>
      </c>
      <c r="E1276" s="221" t="s">
        <v>3295</v>
      </c>
      <c r="F1276" s="221" t="s">
        <v>3299</v>
      </c>
      <c r="G1276" s="222">
        <v>45555</v>
      </c>
      <c r="H1276" s="223">
        <v>15.291666666666666</v>
      </c>
      <c r="I1276" s="221" t="s">
        <v>37</v>
      </c>
      <c r="J1276" s="221" t="s">
        <v>3024</v>
      </c>
      <c r="K1276" s="224" t="s">
        <v>16</v>
      </c>
      <c r="L1276" s="225" t="str">
        <f>VLOOKUP(Logfile_S12[[#This Row],[Material Name]],Sheet2!B:C,2,0)</f>
        <v>ZTE2020</v>
      </c>
      <c r="M1276" s="225" t="str">
        <f>_xlfn.XLOOKUP(Logfile_S12[[#This Row],[Material Name]],Sum_WH!E:E,Sum_WH!F:F,"",0)</f>
        <v>Meter</v>
      </c>
      <c r="N1276" s="221">
        <v>328</v>
      </c>
      <c r="O1276" s="221">
        <v>0</v>
      </c>
      <c r="P1276" s="221">
        <v>0</v>
      </c>
      <c r="Q1276" s="221">
        <v>0</v>
      </c>
      <c r="R1276" s="221">
        <v>0</v>
      </c>
      <c r="S1276" s="221"/>
      <c r="T1276" s="221"/>
      <c r="U1276" s="221"/>
      <c r="V1276" s="221"/>
      <c r="W1276" s="221"/>
      <c r="X1276" s="221"/>
      <c r="Y1276" s="227"/>
      <c r="Z1276" s="227">
        <f t="shared" si="49"/>
        <v>0</v>
      </c>
      <c r="AA1276" s="276" t="e">
        <f>VLOOKUP(Logfile_S12[[#This Row],[DO number]],DO_DB!G:I,3,0)</f>
        <v>#N/A</v>
      </c>
      <c r="AB1276" s="331" t="e">
        <f>EXACT(Logfile_S12[[#This Row],[date pick]],Logfile_S12[[#This Row],[Date]])</f>
        <v>#N/A</v>
      </c>
      <c r="AC12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77" spans="1:29" ht="14.5" hidden="1">
      <c r="A1277" s="220" t="str">
        <f t="shared" si="48"/>
        <v>1273</v>
      </c>
      <c r="B1277" s="221"/>
      <c r="C1277" s="221" t="s">
        <v>3449</v>
      </c>
      <c r="D1277" s="221" t="s">
        <v>4253</v>
      </c>
      <c r="E1277" s="221" t="s">
        <v>3295</v>
      </c>
      <c r="F1277" s="221" t="s">
        <v>3299</v>
      </c>
      <c r="G1277" s="222">
        <v>45588</v>
      </c>
      <c r="H1277" s="223">
        <v>0.79791666666666672</v>
      </c>
      <c r="I1277" s="221" t="s">
        <v>3193</v>
      </c>
      <c r="J1277" s="221" t="s">
        <v>3024</v>
      </c>
      <c r="K1277" s="224" t="s">
        <v>16</v>
      </c>
      <c r="L1277" s="225" t="str">
        <f>VLOOKUP(Logfile_S12[[#This Row],[Material Name]],Sheet2!B:C,2,0)</f>
        <v>ZTE2020</v>
      </c>
      <c r="M1277" s="225" t="str">
        <f>_xlfn.XLOOKUP(Logfile_S12[[#This Row],[Material Name]],Sum_WH!E:E,Sum_WH!F:F,"",0)</f>
        <v>Meter</v>
      </c>
      <c r="N1277" s="221">
        <v>20</v>
      </c>
      <c r="O1277" s="221" t="s">
        <v>3314</v>
      </c>
      <c r="P1277" s="221" t="s">
        <v>4254</v>
      </c>
      <c r="Q1277" s="221"/>
      <c r="R1277" s="221"/>
      <c r="S1277" s="221"/>
      <c r="T1277" s="221">
        <v>0</v>
      </c>
      <c r="U1277" s="221">
        <v>0</v>
      </c>
      <c r="V1277" s="221">
        <v>0</v>
      </c>
      <c r="W1277" s="221">
        <v>0</v>
      </c>
      <c r="X1277" s="221"/>
      <c r="Y1277" s="227"/>
      <c r="Z1277" s="227" t="str">
        <f t="shared" si="49"/>
        <v>MYREP</v>
      </c>
      <c r="AA1277" s="276" t="e">
        <f>VLOOKUP(Logfile_S12[[#This Row],[DO number]],DO_DB!G:I,3,0)</f>
        <v>#N/A</v>
      </c>
      <c r="AB1277" s="331" t="e">
        <f>EXACT(Logfile_S12[[#This Row],[date pick]],Logfile_S12[[#This Row],[Date]])</f>
        <v>#N/A</v>
      </c>
      <c r="AC12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278" spans="1:29" ht="14.5" hidden="1">
      <c r="A1278" s="220" t="str">
        <f t="shared" si="48"/>
        <v>1274</v>
      </c>
      <c r="B1278" s="221"/>
      <c r="C1278" s="221" t="s">
        <v>3449</v>
      </c>
      <c r="D1278" s="221" t="s">
        <v>4253</v>
      </c>
      <c r="E1278" s="221" t="s">
        <v>3295</v>
      </c>
      <c r="F1278" s="221" t="s">
        <v>3299</v>
      </c>
      <c r="G1278" s="222">
        <v>45588</v>
      </c>
      <c r="H1278" s="223">
        <v>0.79791666666666672</v>
      </c>
      <c r="I1278" s="221" t="s">
        <v>3193</v>
      </c>
      <c r="J1278" s="221" t="s">
        <v>3024</v>
      </c>
      <c r="K1278" s="224" t="s">
        <v>16</v>
      </c>
      <c r="L1278" s="225" t="str">
        <f>VLOOKUP(Logfile_S12[[#This Row],[Material Name]],Sheet2!B:C,2,0)</f>
        <v>ZTE2020</v>
      </c>
      <c r="M1278" s="225" t="str">
        <f>_xlfn.XLOOKUP(Logfile_S12[[#This Row],[Material Name]],Sum_WH!E:E,Sum_WH!F:F,"",0)</f>
        <v>Meter</v>
      </c>
      <c r="N1278" s="221">
        <v>200</v>
      </c>
      <c r="O1278" s="221" t="s">
        <v>4928</v>
      </c>
      <c r="P1278" s="221" t="s">
        <v>3430</v>
      </c>
      <c r="Q1278" s="221"/>
      <c r="R1278" s="221"/>
      <c r="S1278" s="221"/>
      <c r="T1278" s="221">
        <v>0</v>
      </c>
      <c r="U1278" s="221">
        <v>0</v>
      </c>
      <c r="V1278" s="221">
        <v>0</v>
      </c>
      <c r="W1278" s="221">
        <v>0</v>
      </c>
      <c r="X1278" s="221" t="s">
        <v>3432</v>
      </c>
      <c r="Y1278" s="227"/>
      <c r="Z1278" s="227" t="str">
        <f t="shared" si="49"/>
        <v>MIDGO</v>
      </c>
      <c r="AA1278" s="276" t="e">
        <f>VLOOKUP(Logfile_S12[[#This Row],[DO number]],DO_DB!G:I,3,0)</f>
        <v>#N/A</v>
      </c>
      <c r="AB1278" s="331" t="e">
        <f>EXACT(Logfile_S12[[#This Row],[date pick]],Logfile_S12[[#This Row],[Date]])</f>
        <v>#N/A</v>
      </c>
      <c r="AC12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279" spans="1:29" ht="14.5" hidden="1">
      <c r="A1279" s="220" t="str">
        <f t="shared" si="48"/>
        <v>1275</v>
      </c>
      <c r="B1279" s="221"/>
      <c r="C1279" s="221" t="s">
        <v>3449</v>
      </c>
      <c r="D1279" s="221" t="s">
        <v>4276</v>
      </c>
      <c r="E1279" s="221" t="s">
        <v>3295</v>
      </c>
      <c r="F1279" s="221" t="s">
        <v>3299</v>
      </c>
      <c r="G1279" s="222">
        <v>45609</v>
      </c>
      <c r="H1279" s="223">
        <v>0.77152777777777781</v>
      </c>
      <c r="I1279" s="221" t="s">
        <v>3193</v>
      </c>
      <c r="J1279" s="221" t="s">
        <v>3024</v>
      </c>
      <c r="K1279" s="224" t="s">
        <v>16</v>
      </c>
      <c r="L1279" s="225" t="str">
        <f>VLOOKUP(Logfile_S12[[#This Row],[Material Name]],Sheet2!B:C,2,0)</f>
        <v>ZTE2020</v>
      </c>
      <c r="M1279" s="225" t="str">
        <f>_xlfn.XLOOKUP(Logfile_S12[[#This Row],[Material Name]],Sum_WH!E:E,Sum_WH!F:F,"",0)</f>
        <v>Meter</v>
      </c>
      <c r="N1279" s="221">
        <v>100</v>
      </c>
      <c r="O1279" s="221" t="s">
        <v>4926</v>
      </c>
      <c r="P1279" s="221" t="s">
        <v>3478</v>
      </c>
      <c r="Q1279" s="221"/>
      <c r="R1279" s="221"/>
      <c r="S1279" s="221"/>
      <c r="T1279" s="221" t="s">
        <v>3434</v>
      </c>
      <c r="U1279" s="221">
        <v>0</v>
      </c>
      <c r="V1279" s="221" t="s">
        <v>3435</v>
      </c>
      <c r="W1279" s="221" t="s">
        <v>3436</v>
      </c>
      <c r="X1279" s="221" t="s">
        <v>3437</v>
      </c>
      <c r="Y1279" s="227"/>
      <c r="Z1279" s="227" t="str">
        <f t="shared" si="49"/>
        <v>MORASHA</v>
      </c>
      <c r="AA1279" s="276" t="e">
        <f>VLOOKUP(Logfile_S12[[#This Row],[DO number]],DO_DB!G:I,3,0)</f>
        <v>#N/A</v>
      </c>
      <c r="AB1279" s="331" t="e">
        <f>EXACT(Logfile_S12[[#This Row],[date pick]],Logfile_S12[[#This Row],[Date]])</f>
        <v>#N/A</v>
      </c>
      <c r="AC12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280" spans="1:29" ht="14.5" hidden="1">
      <c r="A1280" s="220" t="str">
        <f t="shared" si="48"/>
        <v>1276</v>
      </c>
      <c r="B1280" s="221"/>
      <c r="C1280" s="221" t="s">
        <v>49</v>
      </c>
      <c r="D1280" s="221" t="s">
        <v>4329</v>
      </c>
      <c r="E1280" s="221" t="s">
        <v>3295</v>
      </c>
      <c r="F1280" s="221" t="s">
        <v>3299</v>
      </c>
      <c r="G1280" s="222">
        <v>45694</v>
      </c>
      <c r="H1280" s="223">
        <v>0.39930555555555558</v>
      </c>
      <c r="I1280" s="221" t="s">
        <v>4916</v>
      </c>
      <c r="J1280" s="221" t="s">
        <v>3024</v>
      </c>
      <c r="K1280" s="224" t="s">
        <v>16</v>
      </c>
      <c r="L1280" s="225" t="str">
        <f>VLOOKUP(Logfile_S12[[#This Row],[Material Name]],Sheet2!B:C,2,0)</f>
        <v>ZTE2020</v>
      </c>
      <c r="M1280" s="225" t="str">
        <f>_xlfn.XLOOKUP(Logfile_S12[[#This Row],[Material Name]],Sum_WH!E:E,Sum_WH!F:F,"",0)</f>
        <v>Meter</v>
      </c>
      <c r="N1280" s="221">
        <v>2</v>
      </c>
      <c r="O1280" s="221" t="s">
        <v>2633</v>
      </c>
      <c r="P1280" s="221" t="s">
        <v>3410</v>
      </c>
      <c r="Q1280" s="221"/>
      <c r="R1280" s="221"/>
      <c r="S1280" s="221"/>
      <c r="T1280" s="221" t="s">
        <v>3258</v>
      </c>
      <c r="U1280" s="221">
        <v>0</v>
      </c>
      <c r="V1280" s="221" t="s">
        <v>3337</v>
      </c>
      <c r="W1280" s="221" t="s">
        <v>3338</v>
      </c>
      <c r="X1280" s="221"/>
      <c r="Y1280" s="227"/>
      <c r="Z1280" s="227" t="str">
        <f t="shared" si="49"/>
        <v>PERUMAHAN DE WIRA GREEN VIEW</v>
      </c>
      <c r="AA1280" s="276" t="e">
        <f>VLOOKUP(Logfile_S12[[#This Row],[DO number]],DO_DB!G:I,3,0)</f>
        <v>#N/A</v>
      </c>
      <c r="AB1280" s="331" t="e">
        <f>EXACT(Logfile_S12[[#This Row],[date pick]],Logfile_S12[[#This Row],[Date]])</f>
        <v>#N/A</v>
      </c>
      <c r="AC12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81" spans="1:29" ht="14.5" hidden="1">
      <c r="A1281" s="220" t="str">
        <f t="shared" si="48"/>
        <v>1277</v>
      </c>
      <c r="B1281" s="221"/>
      <c r="C1281" s="221" t="s">
        <v>48</v>
      </c>
      <c r="D1281" s="221" t="s">
        <v>4045</v>
      </c>
      <c r="E1281" s="221" t="s">
        <v>3295</v>
      </c>
      <c r="F1281" s="221" t="s">
        <v>3299</v>
      </c>
      <c r="G1281" s="222">
        <v>45429</v>
      </c>
      <c r="H1281" s="223">
        <v>15.291666666666666</v>
      </c>
      <c r="I1281" s="221" t="s">
        <v>38</v>
      </c>
      <c r="J1281" s="221" t="s">
        <v>3024</v>
      </c>
      <c r="K1281" s="224" t="s">
        <v>3108</v>
      </c>
      <c r="L1281" s="225" t="str">
        <f>VLOOKUP(Logfile_S12[[#This Row],[Material Name]],Sheet2!B:C,2,0)</f>
        <v>GCI1020</v>
      </c>
      <c r="M1281" s="225" t="str">
        <f>_xlfn.XLOOKUP(Logfile_S12[[#This Row],[Material Name]],Sum_WH!E:E,Sum_WH!F:F,"",0)</f>
        <v>Pcs</v>
      </c>
      <c r="N1281" s="221">
        <v>206</v>
      </c>
      <c r="O1281" s="221">
        <v>0</v>
      </c>
      <c r="P1281" s="221">
        <v>0</v>
      </c>
      <c r="Q1281" s="221">
        <v>0</v>
      </c>
      <c r="R1281" s="221">
        <v>0</v>
      </c>
      <c r="S1281" s="221"/>
      <c r="T1281" s="221"/>
      <c r="U1281" s="221"/>
      <c r="V1281" s="221"/>
      <c r="W1281" s="221"/>
      <c r="X1281" s="221"/>
      <c r="Y1281" s="227"/>
      <c r="Z1281" s="227">
        <f t="shared" si="49"/>
        <v>0</v>
      </c>
      <c r="AA1281" s="276" t="e">
        <f>VLOOKUP(Logfile_S12[[#This Row],[DO number]],DO_DB!G:I,3,0)</f>
        <v>#N/A</v>
      </c>
      <c r="AB1281" s="331" t="e">
        <f>EXACT(Logfile_S12[[#This Row],[date pick]],Logfile_S12[[#This Row],[Date]])</f>
        <v>#N/A</v>
      </c>
      <c r="AC12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82" spans="1:29" ht="14.5" hidden="1">
      <c r="A1282" s="220" t="str">
        <f t="shared" si="48"/>
        <v>1278</v>
      </c>
      <c r="B1282" s="221"/>
      <c r="C1282" s="221" t="s">
        <v>49</v>
      </c>
      <c r="D1282" s="221" t="s">
        <v>4043</v>
      </c>
      <c r="E1282" s="221" t="s">
        <v>3295</v>
      </c>
      <c r="F1282" s="221" t="s">
        <v>3299</v>
      </c>
      <c r="G1282" s="222">
        <v>45429</v>
      </c>
      <c r="H1282" s="223">
        <v>0.4465277777777778</v>
      </c>
      <c r="I1282" s="221" t="s">
        <v>4916</v>
      </c>
      <c r="J1282" s="221" t="s">
        <v>3024</v>
      </c>
      <c r="K1282" s="224" t="s">
        <v>3108</v>
      </c>
      <c r="L1282" s="225" t="str">
        <f>VLOOKUP(Logfile_S12[[#This Row],[Material Name]],Sheet2!B:C,2,0)</f>
        <v>GCI1020</v>
      </c>
      <c r="M1282" s="225" t="str">
        <f>_xlfn.XLOOKUP(Logfile_S12[[#This Row],[Material Name]],Sum_WH!E:E,Sum_WH!F:F,"",0)</f>
        <v>Pcs</v>
      </c>
      <c r="N1282" s="221">
        <v>206</v>
      </c>
      <c r="O1282" s="221" t="s">
        <v>1967</v>
      </c>
      <c r="P1282" s="221" t="s">
        <v>3396</v>
      </c>
      <c r="Q1282" s="221"/>
      <c r="R1282" s="221"/>
      <c r="S1282" s="221"/>
      <c r="T1282" s="221" t="s">
        <v>3258</v>
      </c>
      <c r="U1282" s="221" t="s">
        <v>3228</v>
      </c>
      <c r="V1282" s="221" t="s">
        <v>3337</v>
      </c>
      <c r="W1282" s="221" t="s">
        <v>3338</v>
      </c>
      <c r="X1282" s="221"/>
      <c r="Y1282" s="227"/>
      <c r="Z1282" s="227" t="str">
        <f t="shared" si="49"/>
        <v>HUBFEEDER DALISODO</v>
      </c>
      <c r="AA1282" s="276" t="e">
        <f>VLOOKUP(Logfile_S12[[#This Row],[DO number]],DO_DB!G:I,3,0)</f>
        <v>#N/A</v>
      </c>
      <c r="AB1282" s="331" t="e">
        <f>EXACT(Logfile_S12[[#This Row],[date pick]],Logfile_S12[[#This Row],[Date]])</f>
        <v>#N/A</v>
      </c>
      <c r="AC12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83" spans="1:29" ht="14.5" hidden="1">
      <c r="A1283" s="220" t="str">
        <f t="shared" si="48"/>
        <v>1279</v>
      </c>
      <c r="B1283" s="221"/>
      <c r="C1283" s="221" t="s">
        <v>48</v>
      </c>
      <c r="D1283" s="221" t="s">
        <v>4084</v>
      </c>
      <c r="E1283" s="221" t="s">
        <v>3295</v>
      </c>
      <c r="F1283" s="221" t="s">
        <v>3299</v>
      </c>
      <c r="G1283" s="222">
        <v>45452</v>
      </c>
      <c r="H1283" s="223">
        <v>15.291666666666666</v>
      </c>
      <c r="I1283" s="221" t="s">
        <v>38</v>
      </c>
      <c r="J1283" s="221" t="s">
        <v>3024</v>
      </c>
      <c r="K1283" s="224" t="s">
        <v>3108</v>
      </c>
      <c r="L1283" s="225" t="str">
        <f>VLOOKUP(Logfile_S12[[#This Row],[Material Name]],Sheet2!B:C,2,0)</f>
        <v>GCI1020</v>
      </c>
      <c r="M1283" s="225" t="str">
        <f>_xlfn.XLOOKUP(Logfile_S12[[#This Row],[Material Name]],Sum_WH!E:E,Sum_WH!F:F,"",0)</f>
        <v>Pcs</v>
      </c>
      <c r="N1283" s="221">
        <v>107</v>
      </c>
      <c r="O1283" s="221" t="s">
        <v>3397</v>
      </c>
      <c r="P1283" s="221">
        <v>0</v>
      </c>
      <c r="Q1283" s="221">
        <v>0</v>
      </c>
      <c r="R1283" s="221">
        <v>0</v>
      </c>
      <c r="S1283" s="221"/>
      <c r="T1283" s="221"/>
      <c r="U1283" s="221"/>
      <c r="V1283" s="221"/>
      <c r="W1283" s="221"/>
      <c r="X1283" s="221"/>
      <c r="Y1283" s="227"/>
      <c r="Z1283" s="227">
        <f t="shared" si="49"/>
        <v>0</v>
      </c>
      <c r="AA1283" s="276" t="e">
        <f>VLOOKUP(Logfile_S12[[#This Row],[DO number]],DO_DB!G:I,3,0)</f>
        <v>#N/A</v>
      </c>
      <c r="AB1283" s="331" t="e">
        <f>EXACT(Logfile_S12[[#This Row],[date pick]],Logfile_S12[[#This Row],[Date]])</f>
        <v>#N/A</v>
      </c>
      <c r="AC12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84" spans="1:29" ht="14.5" hidden="1">
      <c r="A1284" s="220" t="str">
        <f t="shared" si="48"/>
        <v>1280</v>
      </c>
      <c r="B1284" s="221"/>
      <c r="C1284" s="221" t="s">
        <v>49</v>
      </c>
      <c r="D1284" s="221" t="s">
        <v>4088</v>
      </c>
      <c r="E1284" s="221" t="s">
        <v>3295</v>
      </c>
      <c r="F1284" s="221" t="s">
        <v>3299</v>
      </c>
      <c r="G1284" s="222">
        <v>45457</v>
      </c>
      <c r="H1284" s="223">
        <v>0.57708333333333328</v>
      </c>
      <c r="I1284" s="221" t="s">
        <v>4916</v>
      </c>
      <c r="J1284" s="221" t="s">
        <v>3024</v>
      </c>
      <c r="K1284" s="224" t="s">
        <v>3108</v>
      </c>
      <c r="L1284" s="225" t="str">
        <f>VLOOKUP(Logfile_S12[[#This Row],[Material Name]],Sheet2!B:C,2,0)</f>
        <v>GCI1020</v>
      </c>
      <c r="M1284" s="225" t="str">
        <f>_xlfn.XLOOKUP(Logfile_S12[[#This Row],[Material Name]],Sum_WH!E:E,Sum_WH!F:F,"",0)</f>
        <v>Pcs</v>
      </c>
      <c r="N1284" s="221">
        <v>7</v>
      </c>
      <c r="O1284" s="221" t="s">
        <v>1473</v>
      </c>
      <c r="P1284" s="221" t="s">
        <v>1474</v>
      </c>
      <c r="Q1284" s="221"/>
      <c r="R1284" s="221"/>
      <c r="S1284" s="221"/>
      <c r="T1284" s="221" t="s">
        <v>3356</v>
      </c>
      <c r="U1284" s="221" t="s">
        <v>3228</v>
      </c>
      <c r="V1284" s="221" t="s">
        <v>3357</v>
      </c>
      <c r="W1284" s="221" t="s">
        <v>3358</v>
      </c>
      <c r="X1284" s="221"/>
      <c r="Y1284" s="227"/>
      <c r="Z1284" s="227" t="str">
        <f t="shared" si="49"/>
        <v>Dusun Sumber Bendo Kucur</v>
      </c>
      <c r="AA1284" s="276" t="e">
        <f>VLOOKUP(Logfile_S12[[#This Row],[DO number]],DO_DB!G:I,3,0)</f>
        <v>#N/A</v>
      </c>
      <c r="AB1284" s="331" t="e">
        <f>EXACT(Logfile_S12[[#This Row],[date pick]],Logfile_S12[[#This Row],[Date]])</f>
        <v>#N/A</v>
      </c>
      <c r="AC12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85" spans="1:29" ht="14.5" hidden="1">
      <c r="A1285" s="220" t="str">
        <f t="shared" ref="A1285:A1348" si="50">TEXT(ROW(A1285)-ROW($A$4),"000")</f>
        <v>1281</v>
      </c>
      <c r="B1285" s="221"/>
      <c r="C1285" s="221" t="s">
        <v>48</v>
      </c>
      <c r="D1285" s="221" t="s">
        <v>4093</v>
      </c>
      <c r="E1285" s="221" t="s">
        <v>3295</v>
      </c>
      <c r="F1285" s="221" t="s">
        <v>3299</v>
      </c>
      <c r="G1285" s="222">
        <v>45462</v>
      </c>
      <c r="H1285" s="223">
        <v>15.291666666666666</v>
      </c>
      <c r="I1285" s="221" t="s">
        <v>38</v>
      </c>
      <c r="J1285" s="221" t="s">
        <v>3024</v>
      </c>
      <c r="K1285" s="224" t="s">
        <v>3108</v>
      </c>
      <c r="L1285" s="225" t="str">
        <f>VLOOKUP(Logfile_S12[[#This Row],[Material Name]],Sheet2!B:C,2,0)</f>
        <v>GCI1020</v>
      </c>
      <c r="M1285" s="225" t="str">
        <f>_xlfn.XLOOKUP(Logfile_S12[[#This Row],[Material Name]],Sum_WH!E:E,Sum_WH!F:F,"",0)</f>
        <v>Pcs</v>
      </c>
      <c r="N1285" s="221">
        <v>120</v>
      </c>
      <c r="O1285" s="221" t="s">
        <v>3397</v>
      </c>
      <c r="P1285" s="221" t="s">
        <v>3300</v>
      </c>
      <c r="Q1285" s="221">
        <v>0</v>
      </c>
      <c r="R1285" s="221">
        <v>0</v>
      </c>
      <c r="S1285" s="221"/>
      <c r="T1285" s="221"/>
      <c r="U1285" s="221"/>
      <c r="V1285" s="221"/>
      <c r="W1285" s="221"/>
      <c r="X1285" s="221"/>
      <c r="Y1285" s="227"/>
      <c r="Z1285" s="227" t="str">
        <f t="shared" si="49"/>
        <v>Pengembalian</v>
      </c>
      <c r="AA1285" s="276" t="e">
        <f>VLOOKUP(Logfile_S12[[#This Row],[DO number]],DO_DB!G:I,3,0)</f>
        <v>#N/A</v>
      </c>
      <c r="AB1285" s="331" t="e">
        <f>EXACT(Logfile_S12[[#This Row],[date pick]],Logfile_S12[[#This Row],[Date]])</f>
        <v>#N/A</v>
      </c>
      <c r="AC12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86" spans="1:29" ht="14.5" hidden="1">
      <c r="A1286" s="220" t="str">
        <f t="shared" si="50"/>
        <v>1282</v>
      </c>
      <c r="B1286" s="221"/>
      <c r="C1286" s="221" t="s">
        <v>48</v>
      </c>
      <c r="D1286" s="221" t="s">
        <v>4126</v>
      </c>
      <c r="E1286" s="221" t="s">
        <v>3295</v>
      </c>
      <c r="F1286" s="221" t="s">
        <v>3299</v>
      </c>
      <c r="G1286" s="222">
        <v>45496</v>
      </c>
      <c r="H1286" s="223">
        <v>15.291666666666666</v>
      </c>
      <c r="I1286" s="221" t="s">
        <v>38</v>
      </c>
      <c r="J1286" s="221" t="s">
        <v>3024</v>
      </c>
      <c r="K1286" s="224" t="s">
        <v>3108</v>
      </c>
      <c r="L1286" s="225" t="str">
        <f>VLOOKUP(Logfile_S12[[#This Row],[Material Name]],Sheet2!B:C,2,0)</f>
        <v>GCI1020</v>
      </c>
      <c r="M1286" s="225" t="str">
        <f>_xlfn.XLOOKUP(Logfile_S12[[#This Row],[Material Name]],Sum_WH!E:E,Sum_WH!F:F,"",0)</f>
        <v>Pcs</v>
      </c>
      <c r="N1286" s="221">
        <v>18</v>
      </c>
      <c r="O1286" s="221">
        <v>0</v>
      </c>
      <c r="P1286" s="221">
        <v>0</v>
      </c>
      <c r="Q1286" s="221">
        <v>0</v>
      </c>
      <c r="R1286" s="221">
        <v>0</v>
      </c>
      <c r="S1286" s="221"/>
      <c r="T1286" s="221"/>
      <c r="U1286" s="221"/>
      <c r="V1286" s="221"/>
      <c r="W1286" s="221"/>
      <c r="X1286" s="221"/>
      <c r="Y1286" s="227"/>
      <c r="Z1286" s="227">
        <f t="shared" si="49"/>
        <v>0</v>
      </c>
      <c r="AA1286" s="276" t="e">
        <f>VLOOKUP(Logfile_S12[[#This Row],[DO number]],DO_DB!G:I,3,0)</f>
        <v>#N/A</v>
      </c>
      <c r="AB1286" s="331" t="e">
        <f>EXACT(Logfile_S12[[#This Row],[date pick]],Logfile_S12[[#This Row],[Date]])</f>
        <v>#N/A</v>
      </c>
      <c r="AC12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87" spans="1:29" ht="14.5" hidden="1">
      <c r="A1287" s="220" t="str">
        <f t="shared" si="50"/>
        <v>1283</v>
      </c>
      <c r="B1287" s="221"/>
      <c r="C1287" s="221" t="s">
        <v>49</v>
      </c>
      <c r="D1287" s="221" t="s">
        <v>4149</v>
      </c>
      <c r="E1287" s="221" t="s">
        <v>3295</v>
      </c>
      <c r="F1287" s="221" t="s">
        <v>3299</v>
      </c>
      <c r="G1287" s="222">
        <v>45511</v>
      </c>
      <c r="H1287" s="223">
        <v>0.44861111111111113</v>
      </c>
      <c r="I1287" s="221" t="s">
        <v>4916</v>
      </c>
      <c r="J1287" s="221" t="s">
        <v>3024</v>
      </c>
      <c r="K1287" s="224" t="s">
        <v>3108</v>
      </c>
      <c r="L1287" s="225" t="str">
        <f>VLOOKUP(Logfile_S12[[#This Row],[Material Name]],Sheet2!B:C,2,0)</f>
        <v>GCI1020</v>
      </c>
      <c r="M1287" s="225" t="str">
        <f>_xlfn.XLOOKUP(Logfile_S12[[#This Row],[Material Name]],Sum_WH!E:E,Sum_WH!F:F,"",0)</f>
        <v>Pcs</v>
      </c>
      <c r="N1287" s="221">
        <v>80</v>
      </c>
      <c r="O1287" s="221" t="s">
        <v>1807</v>
      </c>
      <c r="P1287" s="221" t="s">
        <v>3399</v>
      </c>
      <c r="Q1287" s="221"/>
      <c r="R1287" s="221"/>
      <c r="S1287" s="221"/>
      <c r="T1287" s="221" t="s">
        <v>3244</v>
      </c>
      <c r="U1287" s="221">
        <v>0</v>
      </c>
      <c r="V1287" s="221" t="s">
        <v>3248</v>
      </c>
      <c r="W1287" s="221" t="s">
        <v>3252</v>
      </c>
      <c r="X1287" s="221"/>
      <c r="Y1287" s="227"/>
      <c r="Z1287" s="227" t="str">
        <f t="shared" si="49"/>
        <v>HUBFEEDER TIRTASANI TO GIRIMOYO</v>
      </c>
      <c r="AA1287" s="276" t="e">
        <f>VLOOKUP(Logfile_S12[[#This Row],[DO number]],DO_DB!G:I,3,0)</f>
        <v>#N/A</v>
      </c>
      <c r="AB1287" s="331" t="e">
        <f>EXACT(Logfile_S12[[#This Row],[date pick]],Logfile_S12[[#This Row],[Date]])</f>
        <v>#N/A</v>
      </c>
      <c r="AC12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88" spans="1:29" ht="14.5" hidden="1">
      <c r="A1288" s="220" t="str">
        <f t="shared" si="50"/>
        <v>1284</v>
      </c>
      <c r="B1288" s="221"/>
      <c r="C1288" s="221" t="s">
        <v>49</v>
      </c>
      <c r="D1288" s="221" t="s">
        <v>4150</v>
      </c>
      <c r="E1288" s="221" t="s">
        <v>3295</v>
      </c>
      <c r="F1288" s="221" t="s">
        <v>3299</v>
      </c>
      <c r="G1288" s="222">
        <v>45511</v>
      </c>
      <c r="H1288" s="223">
        <v>0.78333333333333333</v>
      </c>
      <c r="I1288" s="221" t="s">
        <v>4916</v>
      </c>
      <c r="J1288" s="221" t="s">
        <v>3024</v>
      </c>
      <c r="K1288" s="224" t="s">
        <v>3108</v>
      </c>
      <c r="L1288" s="225" t="str">
        <f>VLOOKUP(Logfile_S12[[#This Row],[Material Name]],Sheet2!B:C,2,0)</f>
        <v>GCI1020</v>
      </c>
      <c r="M1288" s="225" t="str">
        <f>_xlfn.XLOOKUP(Logfile_S12[[#This Row],[Material Name]],Sum_WH!E:E,Sum_WH!F:F,"",0)</f>
        <v>Pcs</v>
      </c>
      <c r="N1288" s="221">
        <v>180</v>
      </c>
      <c r="O1288" s="221" t="s">
        <v>1799</v>
      </c>
      <c r="P1288" s="221" t="s">
        <v>3398</v>
      </c>
      <c r="Q1288" s="221"/>
      <c r="R1288" s="221"/>
      <c r="S1288" s="221"/>
      <c r="T1288" s="221" t="s">
        <v>3258</v>
      </c>
      <c r="U1288" s="221" t="s">
        <v>3228</v>
      </c>
      <c r="V1288" s="221" t="s">
        <v>3337</v>
      </c>
      <c r="W1288" s="221" t="s">
        <v>3338</v>
      </c>
      <c r="X1288" s="221"/>
      <c r="Y1288" s="227"/>
      <c r="Z1288" s="227" t="str">
        <f t="shared" si="49"/>
        <v>HUBFEEDER KEPANJEN TO JATIKERTO</v>
      </c>
      <c r="AA1288" s="276" t="e">
        <f>VLOOKUP(Logfile_S12[[#This Row],[DO number]],DO_DB!G:I,3,0)</f>
        <v>#N/A</v>
      </c>
      <c r="AB1288" s="331" t="e">
        <f>EXACT(Logfile_S12[[#This Row],[date pick]],Logfile_S12[[#This Row],[Date]])</f>
        <v>#N/A</v>
      </c>
      <c r="AC12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89" spans="1:29" ht="14.5" hidden="1">
      <c r="A1289" s="220" t="str">
        <f t="shared" si="50"/>
        <v>1285</v>
      </c>
      <c r="B1289" s="221"/>
      <c r="C1289" s="221" t="s">
        <v>48</v>
      </c>
      <c r="D1289" s="221" t="s">
        <v>4156</v>
      </c>
      <c r="E1289" s="221" t="s">
        <v>3295</v>
      </c>
      <c r="F1289" s="221" t="s">
        <v>3299</v>
      </c>
      <c r="G1289" s="222">
        <v>45514</v>
      </c>
      <c r="H1289" s="223">
        <v>15.291666666666666</v>
      </c>
      <c r="I1289" s="221" t="s">
        <v>38</v>
      </c>
      <c r="J1289" s="221" t="s">
        <v>3024</v>
      </c>
      <c r="K1289" s="224" t="s">
        <v>3108</v>
      </c>
      <c r="L1289" s="225" t="str">
        <f>VLOOKUP(Logfile_S12[[#This Row],[Material Name]],Sheet2!B:C,2,0)</f>
        <v>GCI1020</v>
      </c>
      <c r="M1289" s="225" t="str">
        <f>_xlfn.XLOOKUP(Logfile_S12[[#This Row],[Material Name]],Sum_WH!E:E,Sum_WH!F:F,"",0)</f>
        <v>Pcs</v>
      </c>
      <c r="N1289" s="221">
        <v>22</v>
      </c>
      <c r="O1289" s="221" t="s">
        <v>3397</v>
      </c>
      <c r="P1289" s="221" t="s">
        <v>3300</v>
      </c>
      <c r="Q1289" s="221">
        <v>0</v>
      </c>
      <c r="R1289" s="221">
        <v>0</v>
      </c>
      <c r="S1289" s="221"/>
      <c r="T1289" s="221"/>
      <c r="U1289" s="221"/>
      <c r="V1289" s="221"/>
      <c r="W1289" s="221"/>
      <c r="X1289" s="221"/>
      <c r="Y1289" s="227"/>
      <c r="Z1289" s="227" t="str">
        <f t="shared" si="49"/>
        <v>Pengembalian</v>
      </c>
      <c r="AA1289" s="276" t="e">
        <f>VLOOKUP(Logfile_S12[[#This Row],[DO number]],DO_DB!G:I,3,0)</f>
        <v>#N/A</v>
      </c>
      <c r="AB1289" s="331" t="e">
        <f>EXACT(Logfile_S12[[#This Row],[date pick]],Logfile_S12[[#This Row],[Date]])</f>
        <v>#N/A</v>
      </c>
      <c r="AC12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90" spans="1:29" ht="14.5" hidden="1">
      <c r="A1290" s="220" t="str">
        <f t="shared" si="50"/>
        <v>1286</v>
      </c>
      <c r="B1290" s="221"/>
      <c r="C1290" s="221" t="s">
        <v>49</v>
      </c>
      <c r="D1290" s="221" t="s">
        <v>4179</v>
      </c>
      <c r="E1290" s="221" t="s">
        <v>3295</v>
      </c>
      <c r="F1290" s="221" t="s">
        <v>3299</v>
      </c>
      <c r="G1290" s="222">
        <v>45531</v>
      </c>
      <c r="H1290" s="223">
        <v>0.89027777777777772</v>
      </c>
      <c r="I1290" s="221" t="s">
        <v>4916</v>
      </c>
      <c r="J1290" s="221" t="s">
        <v>3024</v>
      </c>
      <c r="K1290" s="224" t="s">
        <v>3108</v>
      </c>
      <c r="L1290" s="225" t="str">
        <f>VLOOKUP(Logfile_S12[[#This Row],[Material Name]],Sheet2!B:C,2,0)</f>
        <v>GCI1020</v>
      </c>
      <c r="M1290" s="225" t="str">
        <f>_xlfn.XLOOKUP(Logfile_S12[[#This Row],[Material Name]],Sum_WH!E:E,Sum_WH!F:F,"",0)</f>
        <v>Pcs</v>
      </c>
      <c r="N1290" s="221">
        <v>47</v>
      </c>
      <c r="O1290" s="221" t="s">
        <v>2142</v>
      </c>
      <c r="P1290" s="221" t="s">
        <v>3400</v>
      </c>
      <c r="Q1290" s="221"/>
      <c r="R1290" s="221"/>
      <c r="S1290" s="221"/>
      <c r="T1290" s="221" t="s">
        <v>3244</v>
      </c>
      <c r="U1290" s="221">
        <v>0</v>
      </c>
      <c r="V1290" s="221" t="s">
        <v>3248</v>
      </c>
      <c r="W1290" s="221" t="s">
        <v>3252</v>
      </c>
      <c r="X1290" s="221"/>
      <c r="Y1290" s="227"/>
      <c r="Z1290" s="227" t="str">
        <f t="shared" si="49"/>
        <v>HUBFEEDER DINOYO SUMBERSEKAR</v>
      </c>
      <c r="AA1290" s="276" t="e">
        <f>VLOOKUP(Logfile_S12[[#This Row],[DO number]],DO_DB!G:I,3,0)</f>
        <v>#N/A</v>
      </c>
      <c r="AB1290" s="331" t="e">
        <f>EXACT(Logfile_S12[[#This Row],[date pick]],Logfile_S12[[#This Row],[Date]])</f>
        <v>#N/A</v>
      </c>
      <c r="AC12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91" spans="1:29" ht="14.5" hidden="1">
      <c r="A1291" s="220" t="str">
        <f t="shared" si="50"/>
        <v>1287</v>
      </c>
      <c r="B1291" s="221"/>
      <c r="C1291" s="221" t="s">
        <v>3313</v>
      </c>
      <c r="D1291" s="221" t="s">
        <v>4190</v>
      </c>
      <c r="E1291" s="221" t="s">
        <v>3295</v>
      </c>
      <c r="F1291" s="221" t="s">
        <v>3299</v>
      </c>
      <c r="G1291" s="222">
        <v>45534</v>
      </c>
      <c r="H1291" s="223">
        <v>15.291666666666666</v>
      </c>
      <c r="I1291" s="221" t="s">
        <v>4918</v>
      </c>
      <c r="J1291" s="221" t="s">
        <v>3024</v>
      </c>
      <c r="K1291" s="224" t="s">
        <v>3108</v>
      </c>
      <c r="L1291" s="225" t="str">
        <f>VLOOKUP(Logfile_S12[[#This Row],[Material Name]],Sheet2!B:C,2,0)</f>
        <v>GCI1020</v>
      </c>
      <c r="M1291" s="225" t="str">
        <f>_xlfn.XLOOKUP(Logfile_S12[[#This Row],[Material Name]],Sum_WH!E:E,Sum_WH!F:F,"",0)</f>
        <v>Pcs</v>
      </c>
      <c r="N1291" s="221">
        <v>800</v>
      </c>
      <c r="O1291" s="221" t="s">
        <v>3314</v>
      </c>
      <c r="P1291" s="221" t="s">
        <v>3384</v>
      </c>
      <c r="Q1291" s="221" t="s">
        <v>3438</v>
      </c>
      <c r="R1291" s="221">
        <v>0</v>
      </c>
      <c r="S1291" s="221"/>
      <c r="T1291" s="221"/>
      <c r="U1291" s="221"/>
      <c r="V1291" s="221"/>
      <c r="W1291" s="221"/>
      <c r="X1291" s="221"/>
      <c r="Y1291" s="227"/>
      <c r="Z1291" s="227" t="str">
        <f t="shared" si="49"/>
        <v>GRESIK</v>
      </c>
      <c r="AA1291" s="276" t="e">
        <f>VLOOKUP(Logfile_S12[[#This Row],[DO number]],DO_DB!G:I,3,0)</f>
        <v>#N/A</v>
      </c>
      <c r="AB1291" s="331" t="e">
        <f>EXACT(Logfile_S12[[#This Row],[date pick]],Logfile_S12[[#This Row],[Date]])</f>
        <v>#N/A</v>
      </c>
      <c r="AC12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92" spans="1:29" ht="14.5" hidden="1">
      <c r="A1292" s="220" t="str">
        <f t="shared" si="50"/>
        <v>1288</v>
      </c>
      <c r="B1292" s="221"/>
      <c r="C1292" s="221" t="s">
        <v>48</v>
      </c>
      <c r="D1292" s="221" t="s">
        <v>4204</v>
      </c>
      <c r="E1292" s="221" t="s">
        <v>3295</v>
      </c>
      <c r="F1292" s="221" t="s">
        <v>3299</v>
      </c>
      <c r="G1292" s="222">
        <v>45539</v>
      </c>
      <c r="H1292" s="223">
        <v>15.291666666666666</v>
      </c>
      <c r="I1292" s="221" t="s">
        <v>38</v>
      </c>
      <c r="J1292" s="221" t="s">
        <v>3024</v>
      </c>
      <c r="K1292" s="224" t="s">
        <v>3108</v>
      </c>
      <c r="L1292" s="225" t="str">
        <f>VLOOKUP(Logfile_S12[[#This Row],[Material Name]],Sheet2!B:C,2,0)</f>
        <v>GCI1020</v>
      </c>
      <c r="M1292" s="225" t="str">
        <f>_xlfn.XLOOKUP(Logfile_S12[[#This Row],[Material Name]],Sum_WH!E:E,Sum_WH!F:F,"",0)</f>
        <v>Pcs</v>
      </c>
      <c r="N1292" s="221">
        <v>80</v>
      </c>
      <c r="O1292" s="221" t="s">
        <v>3397</v>
      </c>
      <c r="P1292" s="221" t="s">
        <v>3300</v>
      </c>
      <c r="Q1292" s="221">
        <v>0</v>
      </c>
      <c r="R1292" s="221">
        <v>0</v>
      </c>
      <c r="S1292" s="221"/>
      <c r="T1292" s="221"/>
      <c r="U1292" s="221"/>
      <c r="V1292" s="221"/>
      <c r="W1292" s="221"/>
      <c r="X1292" s="221"/>
      <c r="Y1292" s="227"/>
      <c r="Z1292" s="227" t="str">
        <f t="shared" ref="Z1292:Z1355" si="51">P1292</f>
        <v>Pengembalian</v>
      </c>
      <c r="AA1292" s="276" t="e">
        <f>VLOOKUP(Logfile_S12[[#This Row],[DO number]],DO_DB!G:I,3,0)</f>
        <v>#N/A</v>
      </c>
      <c r="AB1292" s="331" t="e">
        <f>EXACT(Logfile_S12[[#This Row],[date pick]],Logfile_S12[[#This Row],[Date]])</f>
        <v>#N/A</v>
      </c>
      <c r="AC12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93" spans="1:29" ht="14.5" hidden="1">
      <c r="A1293" s="220" t="str">
        <f t="shared" si="50"/>
        <v>1289</v>
      </c>
      <c r="B1293" s="221"/>
      <c r="C1293" s="221" t="s">
        <v>48</v>
      </c>
      <c r="D1293" s="221" t="s">
        <v>4212</v>
      </c>
      <c r="E1293" s="221" t="s">
        <v>3295</v>
      </c>
      <c r="F1293" s="221" t="s">
        <v>3299</v>
      </c>
      <c r="G1293" s="222">
        <v>45541</v>
      </c>
      <c r="H1293" s="223">
        <v>15.291666666666666</v>
      </c>
      <c r="I1293" s="221" t="s">
        <v>38</v>
      </c>
      <c r="J1293" s="221" t="s">
        <v>3024</v>
      </c>
      <c r="K1293" s="224" t="s">
        <v>3108</v>
      </c>
      <c r="L1293" s="225" t="str">
        <f>VLOOKUP(Logfile_S12[[#This Row],[Material Name]],Sheet2!B:C,2,0)</f>
        <v>GCI1020</v>
      </c>
      <c r="M1293" s="225" t="str">
        <f>_xlfn.XLOOKUP(Logfile_S12[[#This Row],[Material Name]],Sum_WH!E:E,Sum_WH!F:F,"",0)</f>
        <v>Pcs</v>
      </c>
      <c r="N1293" s="221">
        <v>310</v>
      </c>
      <c r="O1293" s="221">
        <v>0</v>
      </c>
      <c r="P1293" s="221">
        <v>0</v>
      </c>
      <c r="Q1293" s="221">
        <v>0</v>
      </c>
      <c r="R1293" s="221">
        <v>0</v>
      </c>
      <c r="S1293" s="221"/>
      <c r="T1293" s="221"/>
      <c r="U1293" s="221"/>
      <c r="V1293" s="221"/>
      <c r="W1293" s="221"/>
      <c r="X1293" s="221"/>
      <c r="Y1293" s="227"/>
      <c r="Z1293" s="227">
        <f t="shared" si="51"/>
        <v>0</v>
      </c>
      <c r="AA1293" s="276" t="e">
        <f>VLOOKUP(Logfile_S12[[#This Row],[DO number]],DO_DB!G:I,3,0)</f>
        <v>#N/A</v>
      </c>
      <c r="AB1293" s="331" t="e">
        <f>EXACT(Logfile_S12[[#This Row],[date pick]],Logfile_S12[[#This Row],[Date]])</f>
        <v>#N/A</v>
      </c>
      <c r="AC12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94" spans="1:29" ht="14.5" hidden="1">
      <c r="A1294" s="220" t="str">
        <f t="shared" si="50"/>
        <v>1290</v>
      </c>
      <c r="B1294" s="221"/>
      <c r="C1294" s="221" t="s">
        <v>49</v>
      </c>
      <c r="D1294" s="221" t="s">
        <v>4219</v>
      </c>
      <c r="E1294" s="221" t="s">
        <v>3295</v>
      </c>
      <c r="F1294" s="221" t="s">
        <v>3299</v>
      </c>
      <c r="G1294" s="222">
        <v>45547</v>
      </c>
      <c r="H1294" s="223">
        <v>0.43125000000000002</v>
      </c>
      <c r="I1294" s="221" t="s">
        <v>4916</v>
      </c>
      <c r="J1294" s="221" t="s">
        <v>3024</v>
      </c>
      <c r="K1294" s="224" t="s">
        <v>3108</v>
      </c>
      <c r="L1294" s="225" t="str">
        <f>VLOOKUP(Logfile_S12[[#This Row],[Material Name]],Sheet2!B:C,2,0)</f>
        <v>GCI1020</v>
      </c>
      <c r="M1294" s="225" t="str">
        <f>_xlfn.XLOOKUP(Logfile_S12[[#This Row],[Material Name]],Sum_WH!E:E,Sum_WH!F:F,"",0)</f>
        <v>Pcs</v>
      </c>
      <c r="N1294" s="221">
        <v>4</v>
      </c>
      <c r="O1294" s="221" t="s">
        <v>1803</v>
      </c>
      <c r="P1294" s="221" t="s">
        <v>1804</v>
      </c>
      <c r="Q1294" s="221"/>
      <c r="R1294" s="221"/>
      <c r="S1294" s="221"/>
      <c r="T1294" s="221" t="s">
        <v>3258</v>
      </c>
      <c r="U1294" s="221">
        <v>0</v>
      </c>
      <c r="V1294" s="221" t="s">
        <v>3337</v>
      </c>
      <c r="W1294" s="221" t="s">
        <v>3338</v>
      </c>
      <c r="X1294" s="221"/>
      <c r="Y1294" s="227"/>
      <c r="Z1294" s="227" t="str">
        <f t="shared" si="51"/>
        <v>Dusun Langlang IV Singosari</v>
      </c>
      <c r="AA1294" s="276" t="e">
        <f>VLOOKUP(Logfile_S12[[#This Row],[DO number]],DO_DB!G:I,3,0)</f>
        <v>#N/A</v>
      </c>
      <c r="AB1294" s="331" t="e">
        <f>EXACT(Logfile_S12[[#This Row],[date pick]],Logfile_S12[[#This Row],[Date]])</f>
        <v>#N/A</v>
      </c>
      <c r="AC12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95" spans="1:29" ht="14.5" hidden="1">
      <c r="A1295" s="220" t="str">
        <f t="shared" si="50"/>
        <v>1291</v>
      </c>
      <c r="B1295" s="221"/>
      <c r="C1295" s="221" t="s">
        <v>48</v>
      </c>
      <c r="D1295" s="221" t="s">
        <v>4222</v>
      </c>
      <c r="E1295" s="221" t="s">
        <v>3295</v>
      </c>
      <c r="F1295" s="221" t="s">
        <v>3299</v>
      </c>
      <c r="G1295" s="222">
        <v>45554</v>
      </c>
      <c r="H1295" s="223">
        <v>15.291666666666666</v>
      </c>
      <c r="I1295" s="221" t="s">
        <v>3586</v>
      </c>
      <c r="J1295" s="221" t="s">
        <v>3024</v>
      </c>
      <c r="K1295" s="224" t="s">
        <v>3108</v>
      </c>
      <c r="L1295" s="225" t="str">
        <f>VLOOKUP(Logfile_S12[[#This Row],[Material Name]],Sheet2!B:C,2,0)</f>
        <v>GCI1020</v>
      </c>
      <c r="M1295" s="225" t="str">
        <f>_xlfn.XLOOKUP(Logfile_S12[[#This Row],[Material Name]],Sum_WH!E:E,Sum_WH!F:F,"",0)</f>
        <v>Pcs</v>
      </c>
      <c r="N1295" s="221">
        <v>232</v>
      </c>
      <c r="O1295" s="221" t="s">
        <v>3397</v>
      </c>
      <c r="P1295" s="221" t="s">
        <v>3401</v>
      </c>
      <c r="Q1295" s="221">
        <v>0</v>
      </c>
      <c r="R1295" s="221">
        <v>0</v>
      </c>
      <c r="S1295" s="221"/>
      <c r="T1295" s="221"/>
      <c r="U1295" s="221"/>
      <c r="V1295" s="221"/>
      <c r="W1295" s="221"/>
      <c r="X1295" s="221"/>
      <c r="Y1295" s="227"/>
      <c r="Z1295" s="227" t="str">
        <f t="shared" si="51"/>
        <v>MF Sumbersekar</v>
      </c>
      <c r="AA1295" s="276" t="e">
        <f>VLOOKUP(Logfile_S12[[#This Row],[DO number]],DO_DB!G:I,3,0)</f>
        <v>#N/A</v>
      </c>
      <c r="AB1295" s="331" t="e">
        <f>EXACT(Logfile_S12[[#This Row],[date pick]],Logfile_S12[[#This Row],[Date]])</f>
        <v>#N/A</v>
      </c>
      <c r="AC12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96" spans="1:29" ht="14.5" hidden="1">
      <c r="A1296" s="220" t="str">
        <f t="shared" si="50"/>
        <v>1292</v>
      </c>
      <c r="B1296" s="221"/>
      <c r="C1296" s="221" t="s">
        <v>49</v>
      </c>
      <c r="D1296" s="221" t="s">
        <v>4229</v>
      </c>
      <c r="E1296" s="221" t="s">
        <v>3295</v>
      </c>
      <c r="F1296" s="221" t="s">
        <v>3299</v>
      </c>
      <c r="G1296" s="222">
        <v>45556</v>
      </c>
      <c r="H1296" s="223">
        <v>0.71527777777777779</v>
      </c>
      <c r="I1296" s="221" t="s">
        <v>4916</v>
      </c>
      <c r="J1296" s="221" t="s">
        <v>3024</v>
      </c>
      <c r="K1296" s="224" t="s">
        <v>3108</v>
      </c>
      <c r="L1296" s="225" t="str">
        <f>VLOOKUP(Logfile_S12[[#This Row],[Material Name]],Sheet2!B:C,2,0)</f>
        <v>GCI1020</v>
      </c>
      <c r="M1296" s="225" t="str">
        <f>_xlfn.XLOOKUP(Logfile_S12[[#This Row],[Material Name]],Sum_WH!E:E,Sum_WH!F:F,"",0)</f>
        <v>Pcs</v>
      </c>
      <c r="N1296" s="221">
        <v>200</v>
      </c>
      <c r="O1296" s="221" t="s">
        <v>2142</v>
      </c>
      <c r="P1296" s="221" t="s">
        <v>3400</v>
      </c>
      <c r="Q1296" s="221"/>
      <c r="R1296" s="221"/>
      <c r="S1296" s="221"/>
      <c r="T1296" s="221" t="s">
        <v>3363</v>
      </c>
      <c r="U1296" s="221" t="s">
        <v>3228</v>
      </c>
      <c r="V1296" s="221" t="s">
        <v>3364</v>
      </c>
      <c r="W1296" s="221" t="s">
        <v>3365</v>
      </c>
      <c r="X1296" s="221"/>
      <c r="Y1296" s="227"/>
      <c r="Z1296" s="227" t="str">
        <f t="shared" si="51"/>
        <v>HUBFEEDER DINOYO SUMBERSEKAR</v>
      </c>
      <c r="AA1296" s="276" t="e">
        <f>VLOOKUP(Logfile_S12[[#This Row],[DO number]],DO_DB!G:I,3,0)</f>
        <v>#N/A</v>
      </c>
      <c r="AB1296" s="331" t="e">
        <f>EXACT(Logfile_S12[[#This Row],[date pick]],Logfile_S12[[#This Row],[Date]])</f>
        <v>#N/A</v>
      </c>
      <c r="AC12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97" spans="1:29" ht="14.5" hidden="1">
      <c r="A1297" s="220" t="str">
        <f t="shared" si="50"/>
        <v>1293</v>
      </c>
      <c r="B1297" s="221"/>
      <c r="C1297" s="221" t="s">
        <v>49</v>
      </c>
      <c r="D1297" s="221" t="s">
        <v>4249</v>
      </c>
      <c r="E1297" s="221" t="s">
        <v>3295</v>
      </c>
      <c r="F1297" s="221" t="s">
        <v>3299</v>
      </c>
      <c r="G1297" s="222">
        <v>45575</v>
      </c>
      <c r="H1297" s="223">
        <v>0.56458333333333333</v>
      </c>
      <c r="I1297" s="221" t="s">
        <v>4916</v>
      </c>
      <c r="J1297" s="221" t="s">
        <v>3024</v>
      </c>
      <c r="K1297" s="224" t="s">
        <v>3108</v>
      </c>
      <c r="L1297" s="225" t="str">
        <f>VLOOKUP(Logfile_S12[[#This Row],[Material Name]],Sheet2!B:C,2,0)</f>
        <v>GCI1020</v>
      </c>
      <c r="M1297" s="225" t="str">
        <f>_xlfn.XLOOKUP(Logfile_S12[[#This Row],[Material Name]],Sum_WH!E:E,Sum_WH!F:F,"",0)</f>
        <v>Pcs</v>
      </c>
      <c r="N1297" s="221">
        <v>1</v>
      </c>
      <c r="O1297" s="221" t="s">
        <v>1807</v>
      </c>
      <c r="P1297" s="221" t="s">
        <v>3399</v>
      </c>
      <c r="Q1297" s="221"/>
      <c r="R1297" s="221"/>
      <c r="S1297" s="221"/>
      <c r="T1297" s="221" t="s">
        <v>3244</v>
      </c>
      <c r="U1297" s="221">
        <v>0</v>
      </c>
      <c r="V1297" s="221" t="s">
        <v>3248</v>
      </c>
      <c r="W1297" s="221" t="s">
        <v>3252</v>
      </c>
      <c r="X1297" s="221"/>
      <c r="Y1297" s="227"/>
      <c r="Z1297" s="227" t="str">
        <f t="shared" si="51"/>
        <v>HUBFEEDER TIRTASANI TO GIRIMOYO</v>
      </c>
      <c r="AA1297" s="276" t="e">
        <f>VLOOKUP(Logfile_S12[[#This Row],[DO number]],DO_DB!G:I,3,0)</f>
        <v>#N/A</v>
      </c>
      <c r="AB1297" s="331" t="e">
        <f>EXACT(Logfile_S12[[#This Row],[date pick]],Logfile_S12[[#This Row],[Date]])</f>
        <v>#N/A</v>
      </c>
      <c r="AC12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98" spans="1:29" ht="14.5" hidden="1">
      <c r="A1298" s="220" t="str">
        <f t="shared" si="50"/>
        <v>1294</v>
      </c>
      <c r="B1298" s="221"/>
      <c r="C1298" s="221" t="s">
        <v>49</v>
      </c>
      <c r="D1298" s="221" t="s">
        <v>4250</v>
      </c>
      <c r="E1298" s="221" t="s">
        <v>3295</v>
      </c>
      <c r="F1298" s="221" t="s">
        <v>3299</v>
      </c>
      <c r="G1298" s="222">
        <v>45583</v>
      </c>
      <c r="H1298" s="223">
        <v>0.38194444444444442</v>
      </c>
      <c r="I1298" s="221" t="s">
        <v>4916</v>
      </c>
      <c r="J1298" s="221" t="s">
        <v>3024</v>
      </c>
      <c r="K1298" s="224" t="s">
        <v>3108</v>
      </c>
      <c r="L1298" s="225" t="str">
        <f>VLOOKUP(Logfile_S12[[#This Row],[Material Name]],Sheet2!B:C,2,0)</f>
        <v>GCI1020</v>
      </c>
      <c r="M1298" s="225" t="str">
        <f>_xlfn.XLOOKUP(Logfile_S12[[#This Row],[Material Name]],Sum_WH!E:E,Sum_WH!F:F,"",0)</f>
        <v>Pcs</v>
      </c>
      <c r="N1298" s="221">
        <v>50</v>
      </c>
      <c r="O1298" s="221" t="s">
        <v>2322</v>
      </c>
      <c r="P1298" s="221" t="s">
        <v>3403</v>
      </c>
      <c r="Q1298" s="221"/>
      <c r="R1298" s="221"/>
      <c r="S1298" s="221"/>
      <c r="T1298" s="221" t="s">
        <v>3404</v>
      </c>
      <c r="U1298" s="221">
        <v>0</v>
      </c>
      <c r="V1298" s="221" t="s">
        <v>3405</v>
      </c>
      <c r="W1298" s="221" t="s">
        <v>3406</v>
      </c>
      <c r="X1298" s="221"/>
      <c r="Y1298" s="227"/>
      <c r="Z1298" s="227" t="str">
        <f t="shared" si="51"/>
        <v>Mainfeeder Singosari Segment 3</v>
      </c>
      <c r="AA1298" s="276" t="e">
        <f>VLOOKUP(Logfile_S12[[#This Row],[DO number]],DO_DB!G:I,3,0)</f>
        <v>#N/A</v>
      </c>
      <c r="AB1298" s="331" t="e">
        <f>EXACT(Logfile_S12[[#This Row],[date pick]],Logfile_S12[[#This Row],[Date]])</f>
        <v>#N/A</v>
      </c>
      <c r="AC12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299" spans="1:29" ht="14.5" hidden="1">
      <c r="A1299" s="220" t="str">
        <f t="shared" si="50"/>
        <v>1295</v>
      </c>
      <c r="B1299" s="221"/>
      <c r="C1299" s="221" t="s">
        <v>49</v>
      </c>
      <c r="D1299" s="221" t="s">
        <v>4256</v>
      </c>
      <c r="E1299" s="221" t="s">
        <v>3295</v>
      </c>
      <c r="F1299" s="221" t="s">
        <v>3299</v>
      </c>
      <c r="G1299" s="222">
        <v>45590</v>
      </c>
      <c r="H1299" s="223">
        <v>0.79791666666666672</v>
      </c>
      <c r="I1299" s="221" t="s">
        <v>4916</v>
      </c>
      <c r="J1299" s="221" t="s">
        <v>3024</v>
      </c>
      <c r="K1299" s="224" t="s">
        <v>3108</v>
      </c>
      <c r="L1299" s="225" t="str">
        <f>VLOOKUP(Logfile_S12[[#This Row],[Material Name]],Sheet2!B:C,2,0)</f>
        <v>GCI1020</v>
      </c>
      <c r="M1299" s="225" t="str">
        <f>_xlfn.XLOOKUP(Logfile_S12[[#This Row],[Material Name]],Sum_WH!E:E,Sum_WH!F:F,"",0)</f>
        <v>Pcs</v>
      </c>
      <c r="N1299" s="221">
        <v>100</v>
      </c>
      <c r="O1299" s="221" t="s">
        <v>2354</v>
      </c>
      <c r="P1299" s="221" t="s">
        <v>3407</v>
      </c>
      <c r="Q1299" s="221"/>
      <c r="R1299" s="221"/>
      <c r="S1299" s="221"/>
      <c r="T1299" s="221" t="s">
        <v>3404</v>
      </c>
      <c r="U1299" s="221">
        <v>0</v>
      </c>
      <c r="V1299" s="221" t="s">
        <v>3405</v>
      </c>
      <c r="W1299" s="221" t="s">
        <v>3406</v>
      </c>
      <c r="X1299" s="221"/>
      <c r="Y1299" s="227"/>
      <c r="Z1299" s="227" t="str">
        <f t="shared" si="51"/>
        <v>HUBFEEDER KLAMPOK</v>
      </c>
      <c r="AA1299" s="276" t="e">
        <f>VLOOKUP(Logfile_S12[[#This Row],[DO number]],DO_DB!G:I,3,0)</f>
        <v>#N/A</v>
      </c>
      <c r="AB1299" s="331" t="e">
        <f>EXACT(Logfile_S12[[#This Row],[date pick]],Logfile_S12[[#This Row],[Date]])</f>
        <v>#N/A</v>
      </c>
      <c r="AC12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00" spans="1:29" ht="14.5" hidden="1">
      <c r="A1300" s="220" t="str">
        <f t="shared" si="50"/>
        <v>1296</v>
      </c>
      <c r="B1300" s="221"/>
      <c r="C1300" s="221" t="s">
        <v>48</v>
      </c>
      <c r="D1300" s="221" t="s">
        <v>4266</v>
      </c>
      <c r="E1300" s="221" t="s">
        <v>3295</v>
      </c>
      <c r="F1300" s="221" t="s">
        <v>3299</v>
      </c>
      <c r="G1300" s="222">
        <v>45595</v>
      </c>
      <c r="H1300" s="223">
        <v>15.291666666666666</v>
      </c>
      <c r="I1300" s="221" t="s">
        <v>38</v>
      </c>
      <c r="J1300" s="221" t="s">
        <v>3024</v>
      </c>
      <c r="K1300" s="224" t="s">
        <v>3108</v>
      </c>
      <c r="L1300" s="225" t="str">
        <f>VLOOKUP(Logfile_S12[[#This Row],[Material Name]],Sheet2!B:C,2,0)</f>
        <v>GCI1020</v>
      </c>
      <c r="M1300" s="225" t="str">
        <f>_xlfn.XLOOKUP(Logfile_S12[[#This Row],[Material Name]],Sum_WH!E:E,Sum_WH!F:F,"",0)</f>
        <v>Pcs</v>
      </c>
      <c r="N1300" s="221">
        <v>400</v>
      </c>
      <c r="O1300" s="221">
        <v>0</v>
      </c>
      <c r="P1300" s="221">
        <v>0</v>
      </c>
      <c r="Q1300" s="221">
        <v>0</v>
      </c>
      <c r="R1300" s="221">
        <v>0</v>
      </c>
      <c r="S1300" s="221"/>
      <c r="T1300" s="221"/>
      <c r="U1300" s="221"/>
      <c r="V1300" s="221"/>
      <c r="W1300" s="221"/>
      <c r="X1300" s="221"/>
      <c r="Y1300" s="227"/>
      <c r="Z1300" s="227">
        <f t="shared" si="51"/>
        <v>0</v>
      </c>
      <c r="AA1300" s="276" t="e">
        <f>VLOOKUP(Logfile_S12[[#This Row],[DO number]],DO_DB!G:I,3,0)</f>
        <v>#N/A</v>
      </c>
      <c r="AB1300" s="331" t="e">
        <f>EXACT(Logfile_S12[[#This Row],[date pick]],Logfile_S12[[#This Row],[Date]])</f>
        <v>#N/A</v>
      </c>
      <c r="AC13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01" spans="1:29" ht="14.5" hidden="1">
      <c r="A1301" s="220" t="str">
        <f t="shared" si="50"/>
        <v>1297</v>
      </c>
      <c r="B1301" s="221"/>
      <c r="C1301" s="221" t="s">
        <v>49</v>
      </c>
      <c r="D1301" s="221" t="s">
        <v>4261</v>
      </c>
      <c r="E1301" s="221" t="s">
        <v>3295</v>
      </c>
      <c r="F1301" s="221" t="s">
        <v>3299</v>
      </c>
      <c r="G1301" s="222">
        <v>45595</v>
      </c>
      <c r="H1301" s="223">
        <v>0.97569444444444442</v>
      </c>
      <c r="I1301" s="221" t="s">
        <v>4916</v>
      </c>
      <c r="J1301" s="221" t="s">
        <v>3024</v>
      </c>
      <c r="K1301" s="224" t="s">
        <v>3108</v>
      </c>
      <c r="L1301" s="225" t="str">
        <f>VLOOKUP(Logfile_S12[[#This Row],[Material Name]],Sheet2!B:C,2,0)</f>
        <v>GCI1020</v>
      </c>
      <c r="M1301" s="225" t="str">
        <f>_xlfn.XLOOKUP(Logfile_S12[[#This Row],[Material Name]],Sum_WH!E:E,Sum_WH!F:F,"",0)</f>
        <v>Pcs</v>
      </c>
      <c r="N1301" s="221">
        <v>20</v>
      </c>
      <c r="O1301" s="221" t="s">
        <v>2322</v>
      </c>
      <c r="P1301" s="221" t="s">
        <v>3403</v>
      </c>
      <c r="Q1301" s="221"/>
      <c r="R1301" s="221"/>
      <c r="S1301" s="221"/>
      <c r="T1301" s="221" t="s">
        <v>3404</v>
      </c>
      <c r="U1301" s="221">
        <v>0</v>
      </c>
      <c r="V1301" s="221" t="s">
        <v>3405</v>
      </c>
      <c r="W1301" s="221" t="s">
        <v>3406</v>
      </c>
      <c r="X1301" s="221"/>
      <c r="Y1301" s="227"/>
      <c r="Z1301" s="227" t="str">
        <f t="shared" si="51"/>
        <v>Mainfeeder Singosari Segment 3</v>
      </c>
      <c r="AA1301" s="276" t="e">
        <f>VLOOKUP(Logfile_S12[[#This Row],[DO number]],DO_DB!G:I,3,0)</f>
        <v>#N/A</v>
      </c>
      <c r="AB1301" s="331" t="e">
        <f>EXACT(Logfile_S12[[#This Row],[date pick]],Logfile_S12[[#This Row],[Date]])</f>
        <v>#N/A</v>
      </c>
      <c r="AC13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02" spans="1:29" ht="14.5" hidden="1">
      <c r="A1302" s="220" t="str">
        <f t="shared" si="50"/>
        <v>1298</v>
      </c>
      <c r="B1302" s="221"/>
      <c r="C1302" s="221" t="s">
        <v>48</v>
      </c>
      <c r="D1302" s="221" t="s">
        <v>4268</v>
      </c>
      <c r="E1302" s="221" t="s">
        <v>3295</v>
      </c>
      <c r="F1302" s="221" t="s">
        <v>3299</v>
      </c>
      <c r="G1302" s="222">
        <v>45596</v>
      </c>
      <c r="H1302" s="223">
        <v>15.291666666666666</v>
      </c>
      <c r="I1302" s="221" t="s">
        <v>3586</v>
      </c>
      <c r="J1302" s="221" t="s">
        <v>3024</v>
      </c>
      <c r="K1302" s="224" t="s">
        <v>3108</v>
      </c>
      <c r="L1302" s="225" t="str">
        <f>VLOOKUP(Logfile_S12[[#This Row],[Material Name]],Sheet2!B:C,2,0)</f>
        <v>GCI1020</v>
      </c>
      <c r="M1302" s="225" t="str">
        <f>_xlfn.XLOOKUP(Logfile_S12[[#This Row],[Material Name]],Sum_WH!E:E,Sum_WH!F:F,"",0)</f>
        <v>Pcs</v>
      </c>
      <c r="N1302" s="221">
        <v>33</v>
      </c>
      <c r="O1302" s="221" t="s">
        <v>3397</v>
      </c>
      <c r="P1302" s="221" t="s">
        <v>3439</v>
      </c>
      <c r="Q1302" s="221">
        <v>0</v>
      </c>
      <c r="R1302" s="221">
        <v>0</v>
      </c>
      <c r="S1302" s="221"/>
      <c r="T1302" s="221"/>
      <c r="U1302" s="221"/>
      <c r="V1302" s="221"/>
      <c r="W1302" s="221"/>
      <c r="X1302" s="221"/>
      <c r="Y1302" s="227"/>
      <c r="Z1302" s="227" t="str">
        <f t="shared" si="51"/>
        <v>MF Singosari</v>
      </c>
      <c r="AA1302" s="276" t="e">
        <f>VLOOKUP(Logfile_S12[[#This Row],[DO number]],DO_DB!G:I,3,0)</f>
        <v>#N/A</v>
      </c>
      <c r="AB1302" s="331" t="e">
        <f>EXACT(Logfile_S12[[#This Row],[date pick]],Logfile_S12[[#This Row],[Date]])</f>
        <v>#N/A</v>
      </c>
      <c r="AC13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03" spans="1:29" ht="14.5" hidden="1">
      <c r="A1303" s="220" t="str">
        <f t="shared" si="50"/>
        <v>1299</v>
      </c>
      <c r="B1303" s="221"/>
      <c r="C1303" s="221" t="s">
        <v>49</v>
      </c>
      <c r="D1303" s="221" t="s">
        <v>4352</v>
      </c>
      <c r="E1303" s="221" t="s">
        <v>3295</v>
      </c>
      <c r="F1303" s="221" t="s">
        <v>3299</v>
      </c>
      <c r="G1303" s="222">
        <v>45737</v>
      </c>
      <c r="H1303" s="223">
        <v>0.78472222222222221</v>
      </c>
      <c r="I1303" s="221" t="s">
        <v>4916</v>
      </c>
      <c r="J1303" s="221" t="s">
        <v>3024</v>
      </c>
      <c r="K1303" s="224" t="s">
        <v>3108</v>
      </c>
      <c r="L1303" s="225" t="str">
        <f>VLOOKUP(Logfile_S12[[#This Row],[Material Name]],Sheet2!B:C,2,0)</f>
        <v>GCI1020</v>
      </c>
      <c r="M1303" s="225" t="str">
        <f>_xlfn.XLOOKUP(Logfile_S12[[#This Row],[Material Name]],Sum_WH!E:E,Sum_WH!F:F,"",0)</f>
        <v>Pcs</v>
      </c>
      <c r="N1303" s="221">
        <v>20</v>
      </c>
      <c r="O1303" s="221" t="s">
        <v>2322</v>
      </c>
      <c r="P1303" s="221" t="s">
        <v>3403</v>
      </c>
      <c r="Q1303" s="221"/>
      <c r="R1303" s="221"/>
      <c r="S1303" s="221"/>
      <c r="T1303" s="221" t="s">
        <v>3404</v>
      </c>
      <c r="U1303" s="221">
        <v>0</v>
      </c>
      <c r="V1303" s="221" t="s">
        <v>3405</v>
      </c>
      <c r="W1303" s="221" t="s">
        <v>3406</v>
      </c>
      <c r="X1303" s="221"/>
      <c r="Y1303" s="227"/>
      <c r="Z1303" s="227" t="str">
        <f t="shared" si="51"/>
        <v>Mainfeeder Singosari Segment 3</v>
      </c>
      <c r="AA1303" s="276" t="e">
        <f>VLOOKUP(Logfile_S12[[#This Row],[DO number]],DO_DB!G:I,3,0)</f>
        <v>#N/A</v>
      </c>
      <c r="AB1303" s="331" t="e">
        <f>EXACT(Logfile_S12[[#This Row],[date pick]],Logfile_S12[[#This Row],[Date]])</f>
        <v>#N/A</v>
      </c>
      <c r="AC13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04" spans="1:29" ht="14.5" hidden="1">
      <c r="A1304" s="220" t="str">
        <f t="shared" si="50"/>
        <v>1300</v>
      </c>
      <c r="B1304" s="221"/>
      <c r="C1304" s="221" t="s">
        <v>3388</v>
      </c>
      <c r="D1304" s="221" t="s">
        <v>4417</v>
      </c>
      <c r="E1304" s="221" t="s">
        <v>3295</v>
      </c>
      <c r="F1304" s="221" t="s">
        <v>3299</v>
      </c>
      <c r="G1304" s="222">
        <v>45890</v>
      </c>
      <c r="H1304" s="223">
        <v>0.63958333333333328</v>
      </c>
      <c r="I1304" s="221" t="s">
        <v>4918</v>
      </c>
      <c r="J1304" s="221" t="s">
        <v>3024</v>
      </c>
      <c r="K1304" s="224" t="s">
        <v>3108</v>
      </c>
      <c r="L1304" s="225" t="str">
        <f>VLOOKUP(Logfile_S12[[#This Row],[Material Name]],Sheet2!B:C,2,0)</f>
        <v>GCI1020</v>
      </c>
      <c r="M1304" s="225" t="str">
        <f>_xlfn.XLOOKUP(Logfile_S12[[#This Row],[Material Name]],Sum_WH!E:E,Sum_WH!F:F,"",0)</f>
        <v>Pcs</v>
      </c>
      <c r="N1304" s="221">
        <v>400</v>
      </c>
      <c r="O1304" s="221">
        <v>0</v>
      </c>
      <c r="P1304" s="221" t="s">
        <v>3223</v>
      </c>
      <c r="Q1304" s="221"/>
      <c r="R1304" s="221"/>
      <c r="S1304" s="221"/>
      <c r="T1304" s="221" t="s">
        <v>3241</v>
      </c>
      <c r="U1304" s="221">
        <v>0</v>
      </c>
      <c r="V1304" s="221" t="s">
        <v>3368</v>
      </c>
      <c r="W1304" s="221" t="s">
        <v>3242</v>
      </c>
      <c r="X1304" s="221" t="s">
        <v>3440</v>
      </c>
      <c r="Y1304" s="227"/>
      <c r="Z1304" s="227" t="str">
        <f t="shared" si="51"/>
        <v>Transfer Gudang</v>
      </c>
      <c r="AA1304" s="276" t="e">
        <f>VLOOKUP(Logfile_S12[[#This Row],[DO number]],DO_DB!G:I,3,0)</f>
        <v>#N/A</v>
      </c>
      <c r="AB1304" s="331" t="e">
        <f>EXACT(Logfile_S12[[#This Row],[date pick]],Logfile_S12[[#This Row],[Date]])</f>
        <v>#N/A</v>
      </c>
      <c r="AC13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305" spans="1:29" ht="14.5" hidden="1">
      <c r="A1305" s="220" t="str">
        <f t="shared" si="50"/>
        <v>1301</v>
      </c>
      <c r="B1305" s="221"/>
      <c r="C1305" s="221" t="s">
        <v>49</v>
      </c>
      <c r="D1305" s="221" t="s">
        <v>4420</v>
      </c>
      <c r="E1305" s="221" t="s">
        <v>3295</v>
      </c>
      <c r="F1305" s="221" t="s">
        <v>3299</v>
      </c>
      <c r="G1305" s="222">
        <v>45899</v>
      </c>
      <c r="H1305" s="223">
        <v>0.3830439814814815</v>
      </c>
      <c r="I1305" s="221" t="s">
        <v>3295</v>
      </c>
      <c r="J1305" s="221" t="s">
        <v>3024</v>
      </c>
      <c r="K1305" s="224" t="s">
        <v>3108</v>
      </c>
      <c r="L1305" s="225" t="str">
        <f>VLOOKUP(Logfile_S12[[#This Row],[Material Name]],Sheet2!B:C,2,0)</f>
        <v>GCI1020</v>
      </c>
      <c r="M1305" s="225" t="str">
        <f>_xlfn.XLOOKUP(Logfile_S12[[#This Row],[Material Name]],Sum_WH!E:E,Sum_WH!F:F,"",0)</f>
        <v>Pcs</v>
      </c>
      <c r="N1305" s="221">
        <v>10</v>
      </c>
      <c r="O1305" s="221" t="s">
        <v>2142</v>
      </c>
      <c r="P1305" s="221" t="s">
        <v>2143</v>
      </c>
      <c r="Q1305" s="221" t="s">
        <v>2144</v>
      </c>
      <c r="R1305" s="221" t="s">
        <v>2145</v>
      </c>
      <c r="S1305" s="221" t="s">
        <v>39</v>
      </c>
      <c r="T1305" s="221" t="s">
        <v>3258</v>
      </c>
      <c r="U1305" s="221"/>
      <c r="V1305" s="221">
        <v>3507050501950000</v>
      </c>
      <c r="W1305" s="221" t="s">
        <v>3338</v>
      </c>
      <c r="X1305" s="221" t="s">
        <v>4421</v>
      </c>
      <c r="Y1305" s="227"/>
      <c r="Z1305" s="227" t="str">
        <f t="shared" si="51"/>
        <v>Main Feeder - OLT Smart Malang Segment 8 to Sumbersekar</v>
      </c>
      <c r="AA1305" s="276">
        <f>VLOOKUP(Logfile_S12[[#This Row],[DO number]],DO_DB!G:I,3,0)</f>
        <v>45555</v>
      </c>
      <c r="AB1305" s="331" t="b">
        <f>EXACT(Logfile_S12[[#This Row],[date pick]],Logfile_S12[[#This Row],[Date]])</f>
        <v>0</v>
      </c>
      <c r="AC13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06" spans="1:29" ht="14.5" hidden="1">
      <c r="A1306" s="237" t="str">
        <f t="shared" si="50"/>
        <v>1302</v>
      </c>
      <c r="B1306" s="221">
        <v>3</v>
      </c>
      <c r="C1306" s="227" t="s">
        <v>49</v>
      </c>
      <c r="D1306" s="227" t="s">
        <v>4655</v>
      </c>
      <c r="E1306" s="227" t="s">
        <v>3295</v>
      </c>
      <c r="F1306" s="227" t="s">
        <v>3299</v>
      </c>
      <c r="G1306" s="239">
        <v>45920</v>
      </c>
      <c r="H1306" s="240">
        <v>0.67421296296296296</v>
      </c>
      <c r="I1306" s="227" t="s">
        <v>3295</v>
      </c>
      <c r="J1306" s="227" t="s">
        <v>3024</v>
      </c>
      <c r="K1306" s="241" t="s">
        <v>3108</v>
      </c>
      <c r="L1306" s="225" t="str">
        <f>VLOOKUP(Logfile_S12[[#This Row],[Material Name]],Sheet2!B:C,2,0)</f>
        <v>GCI1020</v>
      </c>
      <c r="M1306" s="225" t="str">
        <f>_xlfn.XLOOKUP(Logfile_S12[[#This Row],[Material Name]],Sum_WH!E:E,Sum_WH!F:F,"",0)</f>
        <v>Pcs</v>
      </c>
      <c r="N1306" s="227">
        <v>10</v>
      </c>
      <c r="O1306" s="227" t="s">
        <v>2142</v>
      </c>
      <c r="P1306" s="227" t="s">
        <v>2143</v>
      </c>
      <c r="Q1306" s="227" t="s">
        <v>2144</v>
      </c>
      <c r="R1306" s="227" t="s">
        <v>2145</v>
      </c>
      <c r="S1306" s="227" t="s">
        <v>39</v>
      </c>
      <c r="T1306" s="227" t="s">
        <v>3258</v>
      </c>
      <c r="U1306" s="227"/>
      <c r="V1306" s="227" t="s">
        <v>3337</v>
      </c>
      <c r="W1306" s="227" t="s">
        <v>3338</v>
      </c>
      <c r="X1306" s="227" t="s">
        <v>4421</v>
      </c>
      <c r="Y1306" s="227"/>
      <c r="Z1306" s="227" t="str">
        <f t="shared" si="51"/>
        <v>Main Feeder - OLT Smart Malang Segment 8 to Sumbersekar</v>
      </c>
      <c r="AA1306" s="276">
        <f>VLOOKUP(Logfile_S12[[#This Row],[DO number]],DO_DB!G:I,3,0)</f>
        <v>45555</v>
      </c>
      <c r="AB1306" s="331" t="b">
        <f>EXACT(Logfile_S12[[#This Row],[date pick]],Logfile_S12[[#This Row],[Date]])</f>
        <v>0</v>
      </c>
      <c r="AC13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07" spans="1:29" ht="14.5" hidden="1">
      <c r="A1307" s="237" t="str">
        <f t="shared" si="50"/>
        <v>1303</v>
      </c>
      <c r="B1307" s="221">
        <v>1</v>
      </c>
      <c r="C1307" s="227" t="s">
        <v>3388</v>
      </c>
      <c r="D1307" s="227" t="s">
        <v>4656</v>
      </c>
      <c r="E1307" s="227" t="s">
        <v>3295</v>
      </c>
      <c r="F1307" s="227" t="s">
        <v>3299</v>
      </c>
      <c r="G1307" s="239">
        <v>45931</v>
      </c>
      <c r="H1307" s="240">
        <v>0.63958333333333328</v>
      </c>
      <c r="I1307" s="227" t="s">
        <v>4918</v>
      </c>
      <c r="J1307" s="227" t="s">
        <v>3024</v>
      </c>
      <c r="K1307" s="241" t="s">
        <v>3108</v>
      </c>
      <c r="L1307" s="225" t="str">
        <f>VLOOKUP(Logfile_S12[[#This Row],[Material Name]],Sheet2!B:C,2,0)</f>
        <v>GCI1020</v>
      </c>
      <c r="M1307" s="225" t="str">
        <f>_xlfn.XLOOKUP(Logfile_S12[[#This Row],[Material Name]],Sum_WH!E:E,Sum_WH!F:F,"",0)</f>
        <v>Pcs</v>
      </c>
      <c r="N1307" s="227">
        <v>600</v>
      </c>
      <c r="O1307" s="227">
        <v>0</v>
      </c>
      <c r="P1307" s="227" t="s">
        <v>3223</v>
      </c>
      <c r="Q1307" s="227"/>
      <c r="R1307" s="227"/>
      <c r="S1307" s="227"/>
      <c r="T1307" s="227" t="s">
        <v>3241</v>
      </c>
      <c r="U1307" s="227">
        <v>0</v>
      </c>
      <c r="V1307" s="227" t="s">
        <v>3368</v>
      </c>
      <c r="W1307" s="227" t="s">
        <v>3242</v>
      </c>
      <c r="X1307" s="227" t="s">
        <v>3440</v>
      </c>
      <c r="Y1307" s="227"/>
      <c r="Z1307" s="227" t="str">
        <f t="shared" si="51"/>
        <v>Transfer Gudang</v>
      </c>
      <c r="AA1307" s="276" t="e">
        <f>VLOOKUP(Logfile_S12[[#This Row],[DO number]],DO_DB!G:I,3,0)</f>
        <v>#N/A</v>
      </c>
      <c r="AB1307" s="331" t="e">
        <f>EXACT(Logfile_S12[[#This Row],[date pick]],Logfile_S12[[#This Row],[Date]])</f>
        <v>#N/A</v>
      </c>
      <c r="AC13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308" spans="1:29" ht="14.5" hidden="1">
      <c r="A1308" s="237" t="str">
        <f t="shared" si="50"/>
        <v>1304</v>
      </c>
      <c r="B1308" s="221">
        <v>7</v>
      </c>
      <c r="C1308" s="227" t="s">
        <v>49</v>
      </c>
      <c r="D1308" s="227" t="s">
        <v>4661</v>
      </c>
      <c r="E1308" s="227" t="s">
        <v>3295</v>
      </c>
      <c r="F1308" s="227" t="s">
        <v>3299</v>
      </c>
      <c r="G1308" s="239">
        <v>45946</v>
      </c>
      <c r="H1308" s="240">
        <v>0.43125000000000002</v>
      </c>
      <c r="I1308" s="227" t="s">
        <v>3295</v>
      </c>
      <c r="J1308" s="227" t="s">
        <v>3024</v>
      </c>
      <c r="K1308" s="241" t="s">
        <v>3108</v>
      </c>
      <c r="L1308" s="225" t="str">
        <f>VLOOKUP(Logfile_S12[[#This Row],[Material Name]],Sheet2!B:C,2,0)</f>
        <v>GCI1020</v>
      </c>
      <c r="M1308" s="225" t="str">
        <f>_xlfn.XLOOKUP(Logfile_S12[[#This Row],[Material Name]],Sum_WH!E:E,Sum_WH!F:F,"",0)</f>
        <v>Pcs</v>
      </c>
      <c r="N1308" s="227">
        <v>5</v>
      </c>
      <c r="O1308" s="227" t="s">
        <v>2142</v>
      </c>
      <c r="P1308" s="227" t="s">
        <v>2143</v>
      </c>
      <c r="Q1308" s="227"/>
      <c r="R1308" s="227"/>
      <c r="S1308" s="227"/>
      <c r="T1308" s="221" t="s">
        <v>3258</v>
      </c>
      <c r="U1308" s="221">
        <v>0</v>
      </c>
      <c r="V1308" s="221" t="s">
        <v>3337</v>
      </c>
      <c r="W1308" s="221" t="s">
        <v>3338</v>
      </c>
      <c r="X1308" s="227"/>
      <c r="Y1308" s="227"/>
      <c r="Z1308" s="227" t="str">
        <f t="shared" si="51"/>
        <v>Main Feeder - OLT Smart Malang Segment 8 to Sumbersekar</v>
      </c>
      <c r="AA1308" s="276" t="e">
        <f>VLOOKUP(Logfile_S12[[#This Row],[DO number]],DO_DB!G:I,3,0)</f>
        <v>#N/A</v>
      </c>
      <c r="AB1308" s="331" t="e">
        <f>EXACT(Logfile_S12[[#This Row],[date pick]],Logfile_S12[[#This Row],[Date]])</f>
        <v>#N/A</v>
      </c>
      <c r="AC13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09" spans="1:29" ht="14.5" hidden="1">
      <c r="A1309" s="220" t="str">
        <f t="shared" si="50"/>
        <v>1305</v>
      </c>
      <c r="B1309" s="221"/>
      <c r="C1309" s="221" t="s">
        <v>48</v>
      </c>
      <c r="D1309" s="221" t="s">
        <v>3708</v>
      </c>
      <c r="E1309" s="221" t="s">
        <v>3295</v>
      </c>
      <c r="F1309" s="221" t="s">
        <v>3299</v>
      </c>
      <c r="G1309" s="222">
        <v>45185</v>
      </c>
      <c r="H1309" s="223">
        <v>15.291666666666666</v>
      </c>
      <c r="I1309" s="221" t="s">
        <v>37</v>
      </c>
      <c r="J1309" s="221" t="s">
        <v>3023</v>
      </c>
      <c r="K1309" s="224" t="s">
        <v>3072</v>
      </c>
      <c r="L1309" s="225" t="str">
        <f>VLOOKUP(Logfile_S12[[#This Row],[Material Name]],Sheet2!B:C,2,0)</f>
        <v>ZTE1004</v>
      </c>
      <c r="M1309" s="225" t="str">
        <f>_xlfn.XLOOKUP(Logfile_S12[[#This Row],[Material Name]],Sum_WH!E:E,Sum_WH!F:F,"",0)</f>
        <v>Pcs</v>
      </c>
      <c r="N1309" s="221">
        <v>1</v>
      </c>
      <c r="O1309" s="221" t="s">
        <v>172</v>
      </c>
      <c r="P1309" s="221" t="s">
        <v>3526</v>
      </c>
      <c r="Q1309" s="221" t="s">
        <v>174</v>
      </c>
      <c r="R1309" s="221" t="s">
        <v>175</v>
      </c>
      <c r="S1309" s="221"/>
      <c r="T1309" s="221"/>
      <c r="U1309" s="221"/>
      <c r="V1309" s="221"/>
      <c r="W1309" s="221"/>
      <c r="X1309" s="221"/>
      <c r="Y1309" s="227"/>
      <c r="Z1309" s="227" t="str">
        <f t="shared" si="51"/>
        <v>Pandanlandung RW   03   Wagir</v>
      </c>
      <c r="AA1309" s="276">
        <f>VLOOKUP(Logfile_S12[[#This Row],[DO number]],DO_DB!G:I,3,0)</f>
        <v>45185</v>
      </c>
      <c r="AB1309" s="331" t="b">
        <f>EXACT(Logfile_S12[[#This Row],[date pick]],Logfile_S12[[#This Row],[Date]])</f>
        <v>1</v>
      </c>
      <c r="AC13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10" spans="1:29" ht="14.5" hidden="1">
      <c r="A1310" s="220" t="str">
        <f t="shared" si="50"/>
        <v>1306</v>
      </c>
      <c r="B1310" s="221"/>
      <c r="C1310" s="221" t="s">
        <v>48</v>
      </c>
      <c r="D1310" s="221" t="s">
        <v>3708</v>
      </c>
      <c r="E1310" s="221" t="s">
        <v>3295</v>
      </c>
      <c r="F1310" s="221" t="s">
        <v>3299</v>
      </c>
      <c r="G1310" s="222">
        <v>45185</v>
      </c>
      <c r="H1310" s="223">
        <v>15.291666666666666</v>
      </c>
      <c r="I1310" s="221" t="s">
        <v>37</v>
      </c>
      <c r="J1310" s="221" t="s">
        <v>3023</v>
      </c>
      <c r="K1310" s="224" t="s">
        <v>3072</v>
      </c>
      <c r="L1310" s="225" t="str">
        <f>VLOOKUP(Logfile_S12[[#This Row],[Material Name]],Sheet2!B:C,2,0)</f>
        <v>ZTE1004</v>
      </c>
      <c r="M1310" s="225" t="str">
        <f>_xlfn.XLOOKUP(Logfile_S12[[#This Row],[Material Name]],Sum_WH!E:E,Sum_WH!F:F,"",0)</f>
        <v>Pcs</v>
      </c>
      <c r="N1310" s="221">
        <v>1</v>
      </c>
      <c r="O1310" s="221" t="s">
        <v>164</v>
      </c>
      <c r="P1310" s="221" t="s">
        <v>3525</v>
      </c>
      <c r="Q1310" s="221" t="s">
        <v>170</v>
      </c>
      <c r="R1310" s="221" t="s">
        <v>171</v>
      </c>
      <c r="S1310" s="221"/>
      <c r="T1310" s="221"/>
      <c r="U1310" s="221"/>
      <c r="V1310" s="221"/>
      <c r="W1310" s="221"/>
      <c r="X1310" s="221"/>
      <c r="Y1310" s="227"/>
      <c r="Z1310" s="227" t="str">
        <f t="shared" si="51"/>
        <v>Pandanlandung RW   04   Wagir</v>
      </c>
      <c r="AA1310" s="276">
        <f>VLOOKUP(Logfile_S12[[#This Row],[DO number]],DO_DB!G:I,3,0)</f>
        <v>45185</v>
      </c>
      <c r="AB1310" s="331" t="b">
        <f>EXACT(Logfile_S12[[#This Row],[date pick]],Logfile_S12[[#This Row],[Date]])</f>
        <v>1</v>
      </c>
      <c r="AC13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11" spans="1:29" ht="14.5" hidden="1">
      <c r="A1311" s="220" t="str">
        <f t="shared" si="50"/>
        <v>1307</v>
      </c>
      <c r="B1311" s="221"/>
      <c r="C1311" s="221" t="s">
        <v>49</v>
      </c>
      <c r="D1311" s="221" t="s">
        <v>3733</v>
      </c>
      <c r="E1311" s="221" t="s">
        <v>3295</v>
      </c>
      <c r="F1311" s="221" t="s">
        <v>3299</v>
      </c>
      <c r="G1311" s="222">
        <v>45197</v>
      </c>
      <c r="H1311" s="223">
        <v>0.9375</v>
      </c>
      <c r="I1311" s="221" t="s">
        <v>4916</v>
      </c>
      <c r="J1311" s="221" t="s">
        <v>3023</v>
      </c>
      <c r="K1311" s="224" t="s">
        <v>3072</v>
      </c>
      <c r="L1311" s="225" t="str">
        <f>VLOOKUP(Logfile_S12[[#This Row],[Material Name]],Sheet2!B:C,2,0)</f>
        <v>ZTE1004</v>
      </c>
      <c r="M1311" s="225" t="str">
        <f>_xlfn.XLOOKUP(Logfile_S12[[#This Row],[Material Name]],Sum_WH!E:E,Sum_WH!F:F,"",0)</f>
        <v>Pcs</v>
      </c>
      <c r="N1311" s="221">
        <v>2</v>
      </c>
      <c r="O1311" s="221" t="s">
        <v>222</v>
      </c>
      <c r="P1311" s="221" t="s">
        <v>223</v>
      </c>
      <c r="Q1311" s="221"/>
      <c r="R1311" s="221"/>
      <c r="S1311" s="221"/>
      <c r="T1311" s="221" t="s">
        <v>3322</v>
      </c>
      <c r="U1311" s="221" t="s">
        <v>3323</v>
      </c>
      <c r="V1311" s="221" t="s">
        <v>3324</v>
      </c>
      <c r="W1311" s="221" t="s">
        <v>3325</v>
      </c>
      <c r="X1311" s="221"/>
      <c r="Y1311" s="227"/>
      <c r="Z1311" s="227" t="str">
        <f t="shared" si="51"/>
        <v>Puncak Dieng Exlusif</v>
      </c>
      <c r="AA1311" s="276" t="e">
        <f>VLOOKUP(Logfile_S12[[#This Row],[DO number]],DO_DB!G:I,3,0)</f>
        <v>#N/A</v>
      </c>
      <c r="AB1311" s="331" t="e">
        <f>EXACT(Logfile_S12[[#This Row],[date pick]],Logfile_S12[[#This Row],[Date]])</f>
        <v>#N/A</v>
      </c>
      <c r="AC13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12" spans="1:29" ht="14.5" hidden="1">
      <c r="A1312" s="220" t="str">
        <f t="shared" si="50"/>
        <v>1308</v>
      </c>
      <c r="B1312" s="221"/>
      <c r="C1312" s="221" t="s">
        <v>3313</v>
      </c>
      <c r="D1312" s="221" t="s">
        <v>3748</v>
      </c>
      <c r="E1312" s="221" t="s">
        <v>3295</v>
      </c>
      <c r="F1312" s="221" t="s">
        <v>3299</v>
      </c>
      <c r="G1312" s="222">
        <v>45210</v>
      </c>
      <c r="H1312" s="223">
        <v>15.291666666666666</v>
      </c>
      <c r="I1312" s="221" t="s">
        <v>4918</v>
      </c>
      <c r="J1312" s="221" t="s">
        <v>3023</v>
      </c>
      <c r="K1312" s="224" t="s">
        <v>3072</v>
      </c>
      <c r="L1312" s="225" t="str">
        <f>VLOOKUP(Logfile_S12[[#This Row],[Material Name]],Sheet2!B:C,2,0)</f>
        <v>ZTE1004</v>
      </c>
      <c r="M1312" s="225" t="str">
        <f>_xlfn.XLOOKUP(Logfile_S12[[#This Row],[Material Name]],Sum_WH!E:E,Sum_WH!F:F,"",0)</f>
        <v>Pcs</v>
      </c>
      <c r="N1312" s="221">
        <v>1</v>
      </c>
      <c r="O1312" s="221" t="s">
        <v>3314</v>
      </c>
      <c r="P1312" s="221" t="s">
        <v>3384</v>
      </c>
      <c r="Q1312" s="221">
        <v>0</v>
      </c>
      <c r="R1312" s="221" t="s">
        <v>3147</v>
      </c>
      <c r="S1312" s="221"/>
      <c r="T1312" s="221"/>
      <c r="U1312" s="221"/>
      <c r="V1312" s="221"/>
      <c r="W1312" s="221"/>
      <c r="X1312" s="221" t="s">
        <v>3548</v>
      </c>
      <c r="Y1312" s="227"/>
      <c r="Z1312" s="227" t="str">
        <f t="shared" si="51"/>
        <v>GRESIK</v>
      </c>
      <c r="AA1312" s="276" t="e">
        <f>VLOOKUP(Logfile_S12[[#This Row],[DO number]],DO_DB!G:I,3,0)</f>
        <v>#N/A</v>
      </c>
      <c r="AB1312" s="331" t="e">
        <f>EXACT(Logfile_S12[[#This Row],[date pick]],Logfile_S12[[#This Row],[Date]])</f>
        <v>#N/A</v>
      </c>
      <c r="AC13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13" spans="1:29" ht="14.5" hidden="1">
      <c r="A1313" s="220" t="str">
        <f t="shared" si="50"/>
        <v>1309</v>
      </c>
      <c r="B1313" s="221"/>
      <c r="C1313" s="221" t="s">
        <v>48</v>
      </c>
      <c r="D1313" s="221" t="s">
        <v>3753</v>
      </c>
      <c r="E1313" s="221" t="s">
        <v>3295</v>
      </c>
      <c r="F1313" s="221" t="s">
        <v>3299</v>
      </c>
      <c r="G1313" s="222">
        <v>45211</v>
      </c>
      <c r="H1313" s="223">
        <v>15.291666666666666</v>
      </c>
      <c r="I1313" s="221" t="s">
        <v>37</v>
      </c>
      <c r="J1313" s="221" t="s">
        <v>3023</v>
      </c>
      <c r="K1313" s="224" t="s">
        <v>3072</v>
      </c>
      <c r="L1313" s="225" t="str">
        <f>VLOOKUP(Logfile_S12[[#This Row],[Material Name]],Sheet2!B:C,2,0)</f>
        <v>ZTE1004</v>
      </c>
      <c r="M1313" s="225" t="str">
        <f>_xlfn.XLOOKUP(Logfile_S12[[#This Row],[Material Name]],Sum_WH!E:E,Sum_WH!F:F,"",0)</f>
        <v>Pcs</v>
      </c>
      <c r="N1313" s="221">
        <v>2</v>
      </c>
      <c r="O1313" s="221" t="s">
        <v>222</v>
      </c>
      <c r="P1313" s="221" t="s">
        <v>223</v>
      </c>
      <c r="Q1313" s="221" t="s">
        <v>312</v>
      </c>
      <c r="R1313" s="221" t="s">
        <v>313</v>
      </c>
      <c r="S1313" s="221"/>
      <c r="T1313" s="221"/>
      <c r="U1313" s="221"/>
      <c r="V1313" s="221"/>
      <c r="W1313" s="221"/>
      <c r="X1313" s="221"/>
      <c r="Y1313" s="227"/>
      <c r="Z1313" s="227" t="str">
        <f t="shared" si="51"/>
        <v>Puncak Dieng Exlusif</v>
      </c>
      <c r="AA1313" s="276">
        <f>VLOOKUP(Logfile_S12[[#This Row],[DO number]],DO_DB!G:I,3,0)</f>
        <v>45211</v>
      </c>
      <c r="AB1313" s="331" t="b">
        <f>EXACT(Logfile_S12[[#This Row],[date pick]],Logfile_S12[[#This Row],[Date]])</f>
        <v>1</v>
      </c>
      <c r="AC13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14" spans="1:29" ht="14.5" hidden="1">
      <c r="A1314" s="220" t="str">
        <f t="shared" si="50"/>
        <v>1310</v>
      </c>
      <c r="B1314" s="221"/>
      <c r="C1314" s="221" t="s">
        <v>49</v>
      </c>
      <c r="D1314" s="221" t="s">
        <v>3752</v>
      </c>
      <c r="E1314" s="221" t="s">
        <v>3295</v>
      </c>
      <c r="F1314" s="221" t="s">
        <v>3299</v>
      </c>
      <c r="G1314" s="222">
        <v>45211</v>
      </c>
      <c r="H1314" s="223">
        <v>0.85486111111111107</v>
      </c>
      <c r="I1314" s="221" t="s">
        <v>4916</v>
      </c>
      <c r="J1314" s="221" t="s">
        <v>3023</v>
      </c>
      <c r="K1314" s="224" t="s">
        <v>3072</v>
      </c>
      <c r="L1314" s="225" t="str">
        <f>VLOOKUP(Logfile_S12[[#This Row],[Material Name]],Sheet2!B:C,2,0)</f>
        <v>ZTE1004</v>
      </c>
      <c r="M1314" s="225" t="str">
        <f>_xlfn.XLOOKUP(Logfile_S12[[#This Row],[Material Name]],Sum_WH!E:E,Sum_WH!F:F,"",0)</f>
        <v>Pcs</v>
      </c>
      <c r="N1314" s="221">
        <v>1</v>
      </c>
      <c r="O1314" s="221" t="s">
        <v>172</v>
      </c>
      <c r="P1314" s="221" t="s">
        <v>173</v>
      </c>
      <c r="Q1314" s="221"/>
      <c r="R1314" s="221"/>
      <c r="S1314" s="221"/>
      <c r="T1314" s="221" t="s">
        <v>3326</v>
      </c>
      <c r="U1314" s="221">
        <v>0</v>
      </c>
      <c r="V1314" s="221" t="s">
        <v>3327</v>
      </c>
      <c r="W1314" s="221" t="s">
        <v>3328</v>
      </c>
      <c r="X1314" s="221"/>
      <c r="Y1314" s="227"/>
      <c r="Z1314" s="227" t="str">
        <f t="shared" si="51"/>
        <v>Pandanlandung RW 03 Wagir</v>
      </c>
      <c r="AA1314" s="276" t="e">
        <f>VLOOKUP(Logfile_S12[[#This Row],[DO number]],DO_DB!G:I,3,0)</f>
        <v>#N/A</v>
      </c>
      <c r="AB1314" s="331" t="e">
        <f>EXACT(Logfile_S12[[#This Row],[date pick]],Logfile_S12[[#This Row],[Date]])</f>
        <v>#N/A</v>
      </c>
      <c r="AC13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15" spans="1:29" ht="14.5" hidden="1">
      <c r="A1315" s="220" t="str">
        <f t="shared" si="50"/>
        <v>1311</v>
      </c>
      <c r="B1315" s="221"/>
      <c r="C1315" s="221" t="s">
        <v>3388</v>
      </c>
      <c r="D1315" s="221" t="s">
        <v>3751</v>
      </c>
      <c r="E1315" s="221" t="s">
        <v>3295</v>
      </c>
      <c r="F1315" s="221" t="s">
        <v>3299</v>
      </c>
      <c r="G1315" s="222">
        <v>45211</v>
      </c>
      <c r="H1315" s="223">
        <v>0.80902777777777779</v>
      </c>
      <c r="I1315" s="221" t="s">
        <v>4916</v>
      </c>
      <c r="J1315" s="221" t="s">
        <v>3023</v>
      </c>
      <c r="K1315" s="224" t="s">
        <v>3072</v>
      </c>
      <c r="L1315" s="225" t="str">
        <f>VLOOKUP(Logfile_S12[[#This Row],[Material Name]],Sheet2!B:C,2,0)</f>
        <v>ZTE1004</v>
      </c>
      <c r="M1315" s="225" t="str">
        <f>_xlfn.XLOOKUP(Logfile_S12[[#This Row],[Material Name]],Sum_WH!E:E,Sum_WH!F:F,"",0)</f>
        <v>Pcs</v>
      </c>
      <c r="N1315" s="221">
        <v>1</v>
      </c>
      <c r="O1315" s="221" t="s">
        <v>3314</v>
      </c>
      <c r="P1315" s="221" t="s">
        <v>3223</v>
      </c>
      <c r="Q1315" s="221"/>
      <c r="R1315" s="221"/>
      <c r="S1315" s="221"/>
      <c r="T1315" s="221" t="s">
        <v>3389</v>
      </c>
      <c r="U1315" s="221">
        <v>0</v>
      </c>
      <c r="V1315" s="221">
        <v>0</v>
      </c>
      <c r="W1315" s="221">
        <v>0</v>
      </c>
      <c r="X1315" s="221" t="s">
        <v>3209</v>
      </c>
      <c r="Y1315" s="227"/>
      <c r="Z1315" s="227" t="str">
        <f t="shared" si="51"/>
        <v>Transfer Gudang</v>
      </c>
      <c r="AA1315" s="276" t="e">
        <f>VLOOKUP(Logfile_S12[[#This Row],[DO number]],DO_DB!G:I,3,0)</f>
        <v>#N/A</v>
      </c>
      <c r="AB1315" s="331" t="e">
        <f>EXACT(Logfile_S12[[#This Row],[date pick]],Logfile_S12[[#This Row],[Date]])</f>
        <v>#N/A</v>
      </c>
      <c r="AC13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316" spans="1:29" ht="14.5" hidden="1">
      <c r="A1316" s="220" t="str">
        <f t="shared" si="50"/>
        <v>1312</v>
      </c>
      <c r="B1316" s="221"/>
      <c r="C1316" s="221" t="s">
        <v>48</v>
      </c>
      <c r="D1316" s="221" t="s">
        <v>3754</v>
      </c>
      <c r="E1316" s="221" t="s">
        <v>3295</v>
      </c>
      <c r="F1316" s="221" t="s">
        <v>3299</v>
      </c>
      <c r="G1316" s="222">
        <v>45213</v>
      </c>
      <c r="H1316" s="223">
        <v>15.291666666666666</v>
      </c>
      <c r="I1316" s="221" t="s">
        <v>37</v>
      </c>
      <c r="J1316" s="221" t="s">
        <v>3023</v>
      </c>
      <c r="K1316" s="224" t="s">
        <v>3072</v>
      </c>
      <c r="L1316" s="225" t="str">
        <f>VLOOKUP(Logfile_S12[[#This Row],[Material Name]],Sheet2!B:C,2,0)</f>
        <v>ZTE1004</v>
      </c>
      <c r="M1316" s="225" t="str">
        <f>_xlfn.XLOOKUP(Logfile_S12[[#This Row],[Material Name]],Sum_WH!E:E,Sum_WH!F:F,"",0)</f>
        <v>Pcs</v>
      </c>
      <c r="N1316" s="221">
        <v>1</v>
      </c>
      <c r="O1316" s="221" t="s">
        <v>328</v>
      </c>
      <c r="P1316" s="221" t="s">
        <v>329</v>
      </c>
      <c r="Q1316" s="221" t="s">
        <v>348</v>
      </c>
      <c r="R1316" s="221" t="s">
        <v>349</v>
      </c>
      <c r="S1316" s="221"/>
      <c r="T1316" s="221"/>
      <c r="U1316" s="221"/>
      <c r="V1316" s="221"/>
      <c r="W1316" s="221"/>
      <c r="X1316" s="221"/>
      <c r="Y1316" s="227"/>
      <c r="Z1316" s="227" t="str">
        <f t="shared" si="51"/>
        <v>Sukodadi RW 01 Wagir</v>
      </c>
      <c r="AA1316" s="276">
        <f>VLOOKUP(Logfile_S12[[#This Row],[DO number]],DO_DB!G:I,3,0)</f>
        <v>45213</v>
      </c>
      <c r="AB1316" s="331" t="b">
        <f>EXACT(Logfile_S12[[#This Row],[date pick]],Logfile_S12[[#This Row],[Date]])</f>
        <v>1</v>
      </c>
      <c r="AC13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17" spans="1:29" ht="14.5" hidden="1">
      <c r="A1317" s="220" t="str">
        <f t="shared" si="50"/>
        <v>1313</v>
      </c>
      <c r="B1317" s="221"/>
      <c r="C1317" s="221" t="s">
        <v>49</v>
      </c>
      <c r="D1317" s="221" t="s">
        <v>3801</v>
      </c>
      <c r="E1317" s="221" t="s">
        <v>3295</v>
      </c>
      <c r="F1317" s="221" t="s">
        <v>3299</v>
      </c>
      <c r="G1317" s="222">
        <v>45228</v>
      </c>
      <c r="H1317" s="223">
        <v>0.9375</v>
      </c>
      <c r="I1317" s="221" t="s">
        <v>4916</v>
      </c>
      <c r="J1317" s="221" t="s">
        <v>3023</v>
      </c>
      <c r="K1317" s="224" t="s">
        <v>3072</v>
      </c>
      <c r="L1317" s="225" t="str">
        <f>VLOOKUP(Logfile_S12[[#This Row],[Material Name]],Sheet2!B:C,2,0)</f>
        <v>ZTE1004</v>
      </c>
      <c r="M1317" s="225" t="str">
        <f>_xlfn.XLOOKUP(Logfile_S12[[#This Row],[Material Name]],Sum_WH!E:E,Sum_WH!F:F,"",0)</f>
        <v>Pcs</v>
      </c>
      <c r="N1317" s="221">
        <v>1</v>
      </c>
      <c r="O1317" s="221" t="s">
        <v>328</v>
      </c>
      <c r="P1317" s="221" t="s">
        <v>329</v>
      </c>
      <c r="Q1317" s="221"/>
      <c r="R1317" s="221"/>
      <c r="S1317" s="221"/>
      <c r="T1317" s="221" t="s">
        <v>3332</v>
      </c>
      <c r="U1317" s="221">
        <v>0</v>
      </c>
      <c r="V1317" s="221" t="s">
        <v>3333</v>
      </c>
      <c r="W1317" s="221" t="s">
        <v>3334</v>
      </c>
      <c r="X1317" s="221"/>
      <c r="Y1317" s="227"/>
      <c r="Z1317" s="227" t="str">
        <f t="shared" si="51"/>
        <v>Sukodadi RW 01 Wagir</v>
      </c>
      <c r="AA1317" s="276" t="e">
        <f>VLOOKUP(Logfile_S12[[#This Row],[DO number]],DO_DB!G:I,3,0)</f>
        <v>#N/A</v>
      </c>
      <c r="AB1317" s="331" t="e">
        <f>EXACT(Logfile_S12[[#This Row],[date pick]],Logfile_S12[[#This Row],[Date]])</f>
        <v>#N/A</v>
      </c>
      <c r="AC13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18" spans="1:29" ht="14.5" hidden="1">
      <c r="A1318" s="220" t="str">
        <f t="shared" si="50"/>
        <v>1314</v>
      </c>
      <c r="B1318" s="221"/>
      <c r="C1318" s="221" t="s">
        <v>3313</v>
      </c>
      <c r="D1318" s="221" t="s">
        <v>3843</v>
      </c>
      <c r="E1318" s="221" t="s">
        <v>3295</v>
      </c>
      <c r="F1318" s="221" t="s">
        <v>3299</v>
      </c>
      <c r="G1318" s="222">
        <v>45285</v>
      </c>
      <c r="H1318" s="223">
        <v>15.291666666666666</v>
      </c>
      <c r="I1318" s="221" t="s">
        <v>4919</v>
      </c>
      <c r="J1318" s="221" t="s">
        <v>3023</v>
      </c>
      <c r="K1318" s="224" t="s">
        <v>3072</v>
      </c>
      <c r="L1318" s="225" t="str">
        <f>VLOOKUP(Logfile_S12[[#This Row],[Material Name]],Sheet2!B:C,2,0)</f>
        <v>ZTE1004</v>
      </c>
      <c r="M1318" s="225" t="str">
        <f>_xlfn.XLOOKUP(Logfile_S12[[#This Row],[Material Name]],Sum_WH!E:E,Sum_WH!F:F,"",0)</f>
        <v>Pcs</v>
      </c>
      <c r="N1318" s="221">
        <v>1</v>
      </c>
      <c r="O1318" s="221" t="s">
        <v>3314</v>
      </c>
      <c r="P1318" s="221" t="s">
        <v>3369</v>
      </c>
      <c r="Q1318" s="221">
        <v>0</v>
      </c>
      <c r="R1318" s="221" t="s">
        <v>3147</v>
      </c>
      <c r="S1318" s="221"/>
      <c r="T1318" s="221"/>
      <c r="U1318" s="221"/>
      <c r="V1318" s="221"/>
      <c r="W1318" s="221"/>
      <c r="X1318" s="221" t="s">
        <v>3354</v>
      </c>
      <c r="Y1318" s="227"/>
      <c r="Z1318" s="227" t="str">
        <f t="shared" si="51"/>
        <v>JOMBANG</v>
      </c>
      <c r="AA1318" s="276" t="e">
        <f>VLOOKUP(Logfile_S12[[#This Row],[DO number]],DO_DB!G:I,3,0)</f>
        <v>#N/A</v>
      </c>
      <c r="AB1318" s="331" t="e">
        <f>EXACT(Logfile_S12[[#This Row],[date pick]],Logfile_S12[[#This Row],[Date]])</f>
        <v>#N/A</v>
      </c>
      <c r="AC13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19" spans="1:29" ht="14.5" hidden="1">
      <c r="A1319" s="220" t="str">
        <f t="shared" si="50"/>
        <v>1315</v>
      </c>
      <c r="B1319" s="221"/>
      <c r="C1319" s="221" t="s">
        <v>49</v>
      </c>
      <c r="D1319" s="221" t="s">
        <v>3846</v>
      </c>
      <c r="E1319" s="221" t="s">
        <v>3295</v>
      </c>
      <c r="F1319" s="221" t="s">
        <v>3299</v>
      </c>
      <c r="G1319" s="222">
        <v>45286</v>
      </c>
      <c r="H1319" s="223">
        <v>0.3923611111111111</v>
      </c>
      <c r="I1319" s="221" t="s">
        <v>4916</v>
      </c>
      <c r="J1319" s="221" t="s">
        <v>3023</v>
      </c>
      <c r="K1319" s="224" t="s">
        <v>3072</v>
      </c>
      <c r="L1319" s="225" t="str">
        <f>VLOOKUP(Logfile_S12[[#This Row],[Material Name]],Sheet2!B:C,2,0)</f>
        <v>ZTE1004</v>
      </c>
      <c r="M1319" s="225" t="str">
        <f>_xlfn.XLOOKUP(Logfile_S12[[#This Row],[Material Name]],Sum_WH!E:E,Sum_WH!F:F,"",0)</f>
        <v>Pcs</v>
      </c>
      <c r="N1319" s="221">
        <v>1</v>
      </c>
      <c r="O1319" s="221" t="s">
        <v>732</v>
      </c>
      <c r="P1319" s="221" t="s">
        <v>733</v>
      </c>
      <c r="Q1319" s="221"/>
      <c r="R1319" s="221"/>
      <c r="S1319" s="221"/>
      <c r="T1319" s="221" t="s">
        <v>3231</v>
      </c>
      <c r="U1319" s="221" t="s">
        <v>3228</v>
      </c>
      <c r="V1319" s="221" t="s">
        <v>3232</v>
      </c>
      <c r="W1319" s="221" t="s">
        <v>3355</v>
      </c>
      <c r="X1319" s="221"/>
      <c r="Y1319" s="227"/>
      <c r="Z1319" s="227" t="str">
        <f t="shared" si="51"/>
        <v>Sitirejo RW 01 Wagir</v>
      </c>
      <c r="AA1319" s="276" t="e">
        <f>VLOOKUP(Logfile_S12[[#This Row],[DO number]],DO_DB!G:I,3,0)</f>
        <v>#N/A</v>
      </c>
      <c r="AB1319" s="331" t="e">
        <f>EXACT(Logfile_S12[[#This Row],[date pick]],Logfile_S12[[#This Row],[Date]])</f>
        <v>#N/A</v>
      </c>
      <c r="AC13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20" spans="1:29" ht="14.5" hidden="1">
      <c r="A1320" s="220" t="str">
        <f t="shared" si="50"/>
        <v>1316</v>
      </c>
      <c r="B1320" s="221"/>
      <c r="C1320" s="221" t="s">
        <v>48</v>
      </c>
      <c r="D1320" s="221" t="s">
        <v>3851</v>
      </c>
      <c r="E1320" s="221" t="s">
        <v>3295</v>
      </c>
      <c r="F1320" s="221" t="s">
        <v>3299</v>
      </c>
      <c r="G1320" s="222">
        <v>45287</v>
      </c>
      <c r="H1320" s="223">
        <v>15.291666666666666</v>
      </c>
      <c r="I1320" s="221" t="s">
        <v>37</v>
      </c>
      <c r="J1320" s="221" t="s">
        <v>3023</v>
      </c>
      <c r="K1320" s="224" t="s">
        <v>3072</v>
      </c>
      <c r="L1320" s="225" t="str">
        <f>VLOOKUP(Logfile_S12[[#This Row],[Material Name]],Sheet2!B:C,2,0)</f>
        <v>ZTE1004</v>
      </c>
      <c r="M1320" s="225" t="str">
        <f>_xlfn.XLOOKUP(Logfile_S12[[#This Row],[Material Name]],Sum_WH!E:E,Sum_WH!F:F,"",0)</f>
        <v>Pcs</v>
      </c>
      <c r="N1320" s="221">
        <v>2</v>
      </c>
      <c r="O1320" s="221" t="s">
        <v>738</v>
      </c>
      <c r="P1320" s="221" t="s">
        <v>3392</v>
      </c>
      <c r="Q1320" s="221"/>
      <c r="R1320" s="221"/>
      <c r="S1320" s="221"/>
      <c r="T1320" s="221"/>
      <c r="U1320" s="221"/>
      <c r="V1320" s="221"/>
      <c r="W1320" s="221"/>
      <c r="X1320" s="221" t="s">
        <v>3217</v>
      </c>
      <c r="Y1320" s="227"/>
      <c r="Z1320" s="227" t="str">
        <f t="shared" si="51"/>
        <v xml:space="preserve">Baturetno RW 02 Singosari </v>
      </c>
      <c r="AA1320" s="276" t="e">
        <f>VLOOKUP(Logfile_S12[[#This Row],[DO number]],DO_DB!G:I,3,0)</f>
        <v>#N/A</v>
      </c>
      <c r="AB1320" s="331" t="e">
        <f>EXACT(Logfile_S12[[#This Row],[date pick]],Logfile_S12[[#This Row],[Date]])</f>
        <v>#N/A</v>
      </c>
      <c r="AC13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21" spans="1:29" ht="14.5" hidden="1">
      <c r="A1321" s="220" t="str">
        <f t="shared" si="50"/>
        <v>1317</v>
      </c>
      <c r="B1321" s="221"/>
      <c r="C1321" s="221" t="s">
        <v>48</v>
      </c>
      <c r="D1321" s="221" t="s">
        <v>3867</v>
      </c>
      <c r="E1321" s="221" t="s">
        <v>3295</v>
      </c>
      <c r="F1321" s="221" t="s">
        <v>3299</v>
      </c>
      <c r="G1321" s="222">
        <v>45307</v>
      </c>
      <c r="H1321" s="223">
        <v>15.291666666666666</v>
      </c>
      <c r="I1321" s="221" t="s">
        <v>37</v>
      </c>
      <c r="J1321" s="221" t="s">
        <v>3023</v>
      </c>
      <c r="K1321" s="224" t="s">
        <v>3072</v>
      </c>
      <c r="L1321" s="225" t="str">
        <f>VLOOKUP(Logfile_S12[[#This Row],[Material Name]],Sheet2!B:C,2,0)</f>
        <v>ZTE1004</v>
      </c>
      <c r="M1321" s="225" t="str">
        <f>_xlfn.XLOOKUP(Logfile_S12[[#This Row],[Material Name]],Sum_WH!E:E,Sum_WH!F:F,"",0)</f>
        <v>Pcs</v>
      </c>
      <c r="N1321" s="221">
        <v>1</v>
      </c>
      <c r="O1321" s="221" t="s">
        <v>828</v>
      </c>
      <c r="P1321" s="221" t="s">
        <v>829</v>
      </c>
      <c r="Q1321" s="221"/>
      <c r="R1321" s="221"/>
      <c r="S1321" s="221"/>
      <c r="T1321" s="221"/>
      <c r="U1321" s="221"/>
      <c r="V1321" s="221"/>
      <c r="W1321" s="221"/>
      <c r="X1321" s="221"/>
      <c r="Y1321" s="227"/>
      <c r="Z1321" s="227" t="str">
        <f t="shared" si="51"/>
        <v>Perumahan Pondok Mutiara Malang</v>
      </c>
      <c r="AA1321" s="276" t="e">
        <f>VLOOKUP(Logfile_S12[[#This Row],[DO number]],DO_DB!G:I,3,0)</f>
        <v>#N/A</v>
      </c>
      <c r="AB1321" s="331" t="e">
        <f>EXACT(Logfile_S12[[#This Row],[date pick]],Logfile_S12[[#This Row],[Date]])</f>
        <v>#N/A</v>
      </c>
      <c r="AC13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22" spans="1:29" ht="14.5" hidden="1">
      <c r="A1322" s="220" t="str">
        <f t="shared" si="50"/>
        <v>1318</v>
      </c>
      <c r="B1322" s="221"/>
      <c r="C1322" s="221" t="s">
        <v>48</v>
      </c>
      <c r="D1322" s="221" t="s">
        <v>3867</v>
      </c>
      <c r="E1322" s="221" t="s">
        <v>3295</v>
      </c>
      <c r="F1322" s="221" t="s">
        <v>3299</v>
      </c>
      <c r="G1322" s="222">
        <v>45307</v>
      </c>
      <c r="H1322" s="223">
        <v>15.291666666666666</v>
      </c>
      <c r="I1322" s="221" t="s">
        <v>37</v>
      </c>
      <c r="J1322" s="221" t="s">
        <v>3023</v>
      </c>
      <c r="K1322" s="224" t="s">
        <v>3072</v>
      </c>
      <c r="L1322" s="225" t="str">
        <f>VLOOKUP(Logfile_S12[[#This Row],[Material Name]],Sheet2!B:C,2,0)</f>
        <v>ZTE1004</v>
      </c>
      <c r="M1322" s="225" t="str">
        <f>_xlfn.XLOOKUP(Logfile_S12[[#This Row],[Material Name]],Sum_WH!E:E,Sum_WH!F:F,"",0)</f>
        <v>Pcs</v>
      </c>
      <c r="N1322" s="221">
        <v>1</v>
      </c>
      <c r="O1322" s="221" t="s">
        <v>838</v>
      </c>
      <c r="P1322" s="221" t="s">
        <v>3361</v>
      </c>
      <c r="Q1322" s="221"/>
      <c r="R1322" s="221"/>
      <c r="S1322" s="221"/>
      <c r="T1322" s="221"/>
      <c r="U1322" s="221"/>
      <c r="V1322" s="221"/>
      <c r="W1322" s="221"/>
      <c r="X1322" s="221"/>
      <c r="Y1322" s="227"/>
      <c r="Z1322" s="227" t="str">
        <f t="shared" si="51"/>
        <v>TAMANHARJO RW 04 SINGOSARI</v>
      </c>
      <c r="AA1322" s="276" t="e">
        <f>VLOOKUP(Logfile_S12[[#This Row],[DO number]],DO_DB!G:I,3,0)</f>
        <v>#N/A</v>
      </c>
      <c r="AB1322" s="331" t="e">
        <f>EXACT(Logfile_S12[[#This Row],[date pick]],Logfile_S12[[#This Row],[Date]])</f>
        <v>#N/A</v>
      </c>
      <c r="AC13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23" spans="1:29" ht="14.5" hidden="1">
      <c r="A1323" s="220" t="str">
        <f t="shared" si="50"/>
        <v>1319</v>
      </c>
      <c r="B1323" s="221"/>
      <c r="C1323" s="221" t="s">
        <v>48</v>
      </c>
      <c r="D1323" s="221" t="s">
        <v>3867</v>
      </c>
      <c r="E1323" s="221" t="s">
        <v>3295</v>
      </c>
      <c r="F1323" s="221" t="s">
        <v>3299</v>
      </c>
      <c r="G1323" s="222">
        <v>45307</v>
      </c>
      <c r="H1323" s="223">
        <v>15.291666666666666</v>
      </c>
      <c r="I1323" s="221" t="s">
        <v>37</v>
      </c>
      <c r="J1323" s="221" t="s">
        <v>3023</v>
      </c>
      <c r="K1323" s="224" t="s">
        <v>3072</v>
      </c>
      <c r="L1323" s="225" t="str">
        <f>VLOOKUP(Logfile_S12[[#This Row],[Material Name]],Sheet2!B:C,2,0)</f>
        <v>ZTE1004</v>
      </c>
      <c r="M1323" s="225" t="str">
        <f>_xlfn.XLOOKUP(Logfile_S12[[#This Row],[Material Name]],Sum_WH!E:E,Sum_WH!F:F,"",0)</f>
        <v>Pcs</v>
      </c>
      <c r="N1323" s="221">
        <v>2</v>
      </c>
      <c r="O1323" s="221" t="s">
        <v>834</v>
      </c>
      <c r="P1323" s="221" t="s">
        <v>3335</v>
      </c>
      <c r="Q1323" s="221"/>
      <c r="R1323" s="221"/>
      <c r="S1323" s="221"/>
      <c r="T1323" s="221"/>
      <c r="U1323" s="221"/>
      <c r="V1323" s="221"/>
      <c r="W1323" s="221"/>
      <c r="X1323" s="221"/>
      <c r="Y1323" s="227"/>
      <c r="Z1323" s="227" t="str">
        <f t="shared" si="51"/>
        <v>HUBFEEDER BATURETNO RW 02</v>
      </c>
      <c r="AA1323" s="276" t="e">
        <f>VLOOKUP(Logfile_S12[[#This Row],[DO number]],DO_DB!G:I,3,0)</f>
        <v>#N/A</v>
      </c>
      <c r="AB1323" s="331" t="e">
        <f>EXACT(Logfile_S12[[#This Row],[date pick]],Logfile_S12[[#This Row],[Date]])</f>
        <v>#N/A</v>
      </c>
      <c r="AC13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24" spans="1:29" ht="14.5" hidden="1">
      <c r="A1324" s="220" t="str">
        <f t="shared" si="50"/>
        <v>1320</v>
      </c>
      <c r="B1324" s="221"/>
      <c r="C1324" s="221" t="s">
        <v>49</v>
      </c>
      <c r="D1324" s="221" t="s">
        <v>3887</v>
      </c>
      <c r="E1324" s="221" t="s">
        <v>3295</v>
      </c>
      <c r="F1324" s="221" t="s">
        <v>3299</v>
      </c>
      <c r="G1324" s="222">
        <v>45313</v>
      </c>
      <c r="H1324" s="223">
        <v>0.62291666666666667</v>
      </c>
      <c r="I1324" s="221" t="s">
        <v>4916</v>
      </c>
      <c r="J1324" s="221" t="s">
        <v>3023</v>
      </c>
      <c r="K1324" s="224" t="s">
        <v>3072</v>
      </c>
      <c r="L1324" s="225" t="str">
        <f>VLOOKUP(Logfile_S12[[#This Row],[Material Name]],Sheet2!B:C,2,0)</f>
        <v>ZTE1004</v>
      </c>
      <c r="M1324" s="225" t="str">
        <f>_xlfn.XLOOKUP(Logfile_S12[[#This Row],[Material Name]],Sum_WH!E:E,Sum_WH!F:F,"",0)</f>
        <v>Pcs</v>
      </c>
      <c r="N1324" s="221">
        <v>1</v>
      </c>
      <c r="O1324" s="221" t="s">
        <v>828</v>
      </c>
      <c r="P1324" s="221" t="s">
        <v>829</v>
      </c>
      <c r="Q1324" s="221"/>
      <c r="R1324" s="221"/>
      <c r="S1324" s="221"/>
      <c r="T1324" s="221" t="s">
        <v>3231</v>
      </c>
      <c r="U1324" s="221" t="s">
        <v>3228</v>
      </c>
      <c r="V1324" s="221" t="s">
        <v>3232</v>
      </c>
      <c r="W1324" s="221" t="s">
        <v>3246</v>
      </c>
      <c r="X1324" s="221"/>
      <c r="Y1324" s="227"/>
      <c r="Z1324" s="227" t="str">
        <f t="shared" si="51"/>
        <v>Perumahan Pondok Mutiara Malang</v>
      </c>
      <c r="AA1324" s="276" t="e">
        <f>VLOOKUP(Logfile_S12[[#This Row],[DO number]],DO_DB!G:I,3,0)</f>
        <v>#N/A</v>
      </c>
      <c r="AB1324" s="331" t="e">
        <f>EXACT(Logfile_S12[[#This Row],[date pick]],Logfile_S12[[#This Row],[Date]])</f>
        <v>#N/A</v>
      </c>
      <c r="AC13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25" spans="1:29" ht="14.5" hidden="1">
      <c r="A1325" s="220" t="str">
        <f t="shared" si="50"/>
        <v>1321</v>
      </c>
      <c r="B1325" s="221"/>
      <c r="C1325" s="221" t="s">
        <v>49</v>
      </c>
      <c r="D1325" s="221" t="s">
        <v>3887</v>
      </c>
      <c r="E1325" s="221" t="s">
        <v>3295</v>
      </c>
      <c r="F1325" s="221" t="s">
        <v>3299</v>
      </c>
      <c r="G1325" s="222">
        <v>45313</v>
      </c>
      <c r="H1325" s="223">
        <v>0.62291666666666667</v>
      </c>
      <c r="I1325" s="221" t="s">
        <v>4916</v>
      </c>
      <c r="J1325" s="221" t="s">
        <v>3023</v>
      </c>
      <c r="K1325" s="224" t="s">
        <v>3072</v>
      </c>
      <c r="L1325" s="225" t="str">
        <f>VLOOKUP(Logfile_S12[[#This Row],[Material Name]],Sheet2!B:C,2,0)</f>
        <v>ZTE1004</v>
      </c>
      <c r="M1325" s="225" t="str">
        <f>_xlfn.XLOOKUP(Logfile_S12[[#This Row],[Material Name]],Sum_WH!E:E,Sum_WH!F:F,"",0)</f>
        <v>Pcs</v>
      </c>
      <c r="N1325" s="221">
        <v>1</v>
      </c>
      <c r="O1325" s="221" t="s">
        <v>738</v>
      </c>
      <c r="P1325" s="221" t="s">
        <v>739</v>
      </c>
      <c r="Q1325" s="221"/>
      <c r="R1325" s="221"/>
      <c r="S1325" s="221"/>
      <c r="T1325" s="221" t="s">
        <v>3231</v>
      </c>
      <c r="U1325" s="221" t="s">
        <v>3228</v>
      </c>
      <c r="V1325" s="221" t="s">
        <v>3232</v>
      </c>
      <c r="W1325" s="221" t="s">
        <v>3246</v>
      </c>
      <c r="X1325" s="221"/>
      <c r="Y1325" s="227"/>
      <c r="Z1325" s="227" t="str">
        <f t="shared" si="51"/>
        <v>Baturetno RW 02 Singosari Malang</v>
      </c>
      <c r="AA1325" s="276" t="e">
        <f>VLOOKUP(Logfile_S12[[#This Row],[DO number]],DO_DB!G:I,3,0)</f>
        <v>#N/A</v>
      </c>
      <c r="AB1325" s="331" t="e">
        <f>EXACT(Logfile_S12[[#This Row],[date pick]],Logfile_S12[[#This Row],[Date]])</f>
        <v>#N/A</v>
      </c>
      <c r="AC13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26" spans="1:29" ht="14.5" hidden="1">
      <c r="A1326" s="220" t="str">
        <f t="shared" si="50"/>
        <v>1322</v>
      </c>
      <c r="B1326" s="221"/>
      <c r="C1326" s="221" t="s">
        <v>49</v>
      </c>
      <c r="D1326" s="221" t="s">
        <v>3887</v>
      </c>
      <c r="E1326" s="221" t="s">
        <v>3295</v>
      </c>
      <c r="F1326" s="221" t="s">
        <v>3299</v>
      </c>
      <c r="G1326" s="222">
        <v>45313</v>
      </c>
      <c r="H1326" s="223">
        <v>0.62291666666666667</v>
      </c>
      <c r="I1326" s="221" t="s">
        <v>4916</v>
      </c>
      <c r="J1326" s="221" t="s">
        <v>3023</v>
      </c>
      <c r="K1326" s="224" t="s">
        <v>3072</v>
      </c>
      <c r="L1326" s="225" t="str">
        <f>VLOOKUP(Logfile_S12[[#This Row],[Material Name]],Sheet2!B:C,2,0)</f>
        <v>ZTE1004</v>
      </c>
      <c r="M1326" s="225" t="str">
        <f>_xlfn.XLOOKUP(Logfile_S12[[#This Row],[Material Name]],Sum_WH!E:E,Sum_WH!F:F,"",0)</f>
        <v>Pcs</v>
      </c>
      <c r="N1326" s="221">
        <v>2</v>
      </c>
      <c r="O1326" s="221" t="s">
        <v>834</v>
      </c>
      <c r="P1326" s="221" t="s">
        <v>3335</v>
      </c>
      <c r="Q1326" s="221"/>
      <c r="R1326" s="221"/>
      <c r="S1326" s="221"/>
      <c r="T1326" s="221" t="s">
        <v>3231</v>
      </c>
      <c r="U1326" s="221" t="s">
        <v>3228</v>
      </c>
      <c r="V1326" s="221" t="s">
        <v>3232</v>
      </c>
      <c r="W1326" s="221" t="s">
        <v>3246</v>
      </c>
      <c r="X1326" s="221"/>
      <c r="Y1326" s="227"/>
      <c r="Z1326" s="227" t="str">
        <f t="shared" si="51"/>
        <v>HUBFEEDER BATURETNO RW 02</v>
      </c>
      <c r="AA1326" s="276" t="e">
        <f>VLOOKUP(Logfile_S12[[#This Row],[DO number]],DO_DB!G:I,3,0)</f>
        <v>#N/A</v>
      </c>
      <c r="AB1326" s="331" t="e">
        <f>EXACT(Logfile_S12[[#This Row],[date pick]],Logfile_S12[[#This Row],[Date]])</f>
        <v>#N/A</v>
      </c>
      <c r="AC13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27" spans="1:29" ht="14.5" hidden="1">
      <c r="A1327" s="220" t="str">
        <f t="shared" si="50"/>
        <v>1323</v>
      </c>
      <c r="B1327" s="221"/>
      <c r="C1327" s="221" t="s">
        <v>3449</v>
      </c>
      <c r="D1327" s="221" t="s">
        <v>3897</v>
      </c>
      <c r="E1327" s="221" t="s">
        <v>3295</v>
      </c>
      <c r="F1327" s="221" t="s">
        <v>3299</v>
      </c>
      <c r="G1327" s="222">
        <v>45315</v>
      </c>
      <c r="H1327" s="223">
        <v>0.94861111111111107</v>
      </c>
      <c r="I1327" s="221" t="s">
        <v>3193</v>
      </c>
      <c r="J1327" s="221" t="s">
        <v>3023</v>
      </c>
      <c r="K1327" s="224" t="s">
        <v>3072</v>
      </c>
      <c r="L1327" s="225" t="str">
        <f>VLOOKUP(Logfile_S12[[#This Row],[Material Name]],Sheet2!B:C,2,0)</f>
        <v>ZTE1004</v>
      </c>
      <c r="M1327" s="225" t="str">
        <f>_xlfn.XLOOKUP(Logfile_S12[[#This Row],[Material Name]],Sum_WH!E:E,Sum_WH!F:F,"",0)</f>
        <v>Pcs</v>
      </c>
      <c r="N1327" s="221">
        <v>1</v>
      </c>
      <c r="O1327" s="221" t="s">
        <v>4925</v>
      </c>
      <c r="P1327" s="221" t="s">
        <v>3266</v>
      </c>
      <c r="Q1327" s="221"/>
      <c r="R1327" s="221"/>
      <c r="S1327" s="221"/>
      <c r="T1327" s="221" t="s">
        <v>3302</v>
      </c>
      <c r="U1327" s="221">
        <v>0</v>
      </c>
      <c r="V1327" s="221">
        <v>0</v>
      </c>
      <c r="W1327" s="221">
        <v>0</v>
      </c>
      <c r="X1327" s="221" t="s">
        <v>3251</v>
      </c>
      <c r="Y1327" s="227"/>
      <c r="Z1327" s="227" t="str">
        <f t="shared" si="51"/>
        <v>YPTT</v>
      </c>
      <c r="AA1327" s="276" t="e">
        <f>VLOOKUP(Logfile_S12[[#This Row],[DO number]],DO_DB!G:I,3,0)</f>
        <v>#N/A</v>
      </c>
      <c r="AB1327" s="331" t="e">
        <f>EXACT(Logfile_S12[[#This Row],[date pick]],Logfile_S12[[#This Row],[Date]])</f>
        <v>#N/A</v>
      </c>
      <c r="AC13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328" spans="1:29" ht="14.5" hidden="1">
      <c r="A1328" s="220" t="str">
        <f t="shared" si="50"/>
        <v>1324</v>
      </c>
      <c r="B1328" s="221"/>
      <c r="C1328" s="221" t="s">
        <v>3313</v>
      </c>
      <c r="D1328" s="221" t="s">
        <v>3943</v>
      </c>
      <c r="E1328" s="221" t="s">
        <v>3295</v>
      </c>
      <c r="F1328" s="221" t="s">
        <v>3299</v>
      </c>
      <c r="G1328" s="222">
        <v>45344</v>
      </c>
      <c r="H1328" s="223">
        <v>15.291666666666666</v>
      </c>
      <c r="I1328" s="221" t="s">
        <v>37</v>
      </c>
      <c r="J1328" s="221" t="s">
        <v>3023</v>
      </c>
      <c r="K1328" s="224" t="s">
        <v>3072</v>
      </c>
      <c r="L1328" s="225" t="str">
        <f>VLOOKUP(Logfile_S12[[#This Row],[Material Name]],Sheet2!B:C,2,0)</f>
        <v>ZTE1004</v>
      </c>
      <c r="M1328" s="225" t="str">
        <f>_xlfn.XLOOKUP(Logfile_S12[[#This Row],[Material Name]],Sum_WH!E:E,Sum_WH!F:F,"",0)</f>
        <v>Pcs</v>
      </c>
      <c r="N1328" s="221">
        <v>1</v>
      </c>
      <c r="O1328" s="221" t="s">
        <v>3314</v>
      </c>
      <c r="P1328" s="221">
        <v>0</v>
      </c>
      <c r="Q1328" s="221">
        <v>0</v>
      </c>
      <c r="R1328" s="221" t="s">
        <v>3147</v>
      </c>
      <c r="S1328" s="221"/>
      <c r="T1328" s="221"/>
      <c r="U1328" s="221"/>
      <c r="V1328" s="221"/>
      <c r="W1328" s="221"/>
      <c r="X1328" s="221"/>
      <c r="Y1328" s="227"/>
      <c r="Z1328" s="227">
        <f t="shared" si="51"/>
        <v>0</v>
      </c>
      <c r="AA1328" s="276" t="e">
        <f>VLOOKUP(Logfile_S12[[#This Row],[DO number]],DO_DB!G:I,3,0)</f>
        <v>#N/A</v>
      </c>
      <c r="AB1328" s="331" t="e">
        <f>EXACT(Logfile_S12[[#This Row],[date pick]],Logfile_S12[[#This Row],[Date]])</f>
        <v>#N/A</v>
      </c>
      <c r="AC13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29" spans="1:29" ht="14.5" hidden="1">
      <c r="A1329" s="220" t="str">
        <f t="shared" si="50"/>
        <v>1325</v>
      </c>
      <c r="B1329" s="221"/>
      <c r="C1329" s="221" t="s">
        <v>49</v>
      </c>
      <c r="D1329" s="221" t="s">
        <v>3945</v>
      </c>
      <c r="E1329" s="221" t="s">
        <v>3295</v>
      </c>
      <c r="F1329" s="221" t="s">
        <v>3299</v>
      </c>
      <c r="G1329" s="222">
        <v>45345</v>
      </c>
      <c r="H1329" s="223">
        <v>0.3840277777777778</v>
      </c>
      <c r="I1329" s="221" t="s">
        <v>4916</v>
      </c>
      <c r="J1329" s="221" t="s">
        <v>3023</v>
      </c>
      <c r="K1329" s="224" t="s">
        <v>3072</v>
      </c>
      <c r="L1329" s="225" t="str">
        <f>VLOOKUP(Logfile_S12[[#This Row],[Material Name]],Sheet2!B:C,2,0)</f>
        <v>ZTE1004</v>
      </c>
      <c r="M1329" s="225" t="str">
        <f>_xlfn.XLOOKUP(Logfile_S12[[#This Row],[Material Name]],Sum_WH!E:E,Sum_WH!F:F,"",0)</f>
        <v>Pcs</v>
      </c>
      <c r="N1329" s="221">
        <v>1</v>
      </c>
      <c r="O1329" s="221" t="s">
        <v>838</v>
      </c>
      <c r="P1329" s="221" t="s">
        <v>3361</v>
      </c>
      <c r="Q1329" s="221"/>
      <c r="R1329" s="221"/>
      <c r="S1329" s="221"/>
      <c r="T1329" s="221" t="s">
        <v>3231</v>
      </c>
      <c r="U1329" s="221" t="s">
        <v>3228</v>
      </c>
      <c r="V1329" s="221" t="s">
        <v>3232</v>
      </c>
      <c r="W1329" s="221" t="s">
        <v>3246</v>
      </c>
      <c r="X1329" s="221"/>
      <c r="Y1329" s="227"/>
      <c r="Z1329" s="227" t="str">
        <f t="shared" si="51"/>
        <v>TAMANHARJO RW 04 SINGOSARI</v>
      </c>
      <c r="AA1329" s="276" t="e">
        <f>VLOOKUP(Logfile_S12[[#This Row],[DO number]],DO_DB!G:I,3,0)</f>
        <v>#N/A</v>
      </c>
      <c r="AB1329" s="331" t="e">
        <f>EXACT(Logfile_S12[[#This Row],[date pick]],Logfile_S12[[#This Row],[Date]])</f>
        <v>#N/A</v>
      </c>
      <c r="AC13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30" spans="1:29" ht="14.5" hidden="1">
      <c r="A1330" s="220" t="str">
        <f t="shared" si="50"/>
        <v>1326</v>
      </c>
      <c r="B1330" s="221"/>
      <c r="C1330" s="221" t="s">
        <v>49</v>
      </c>
      <c r="D1330" s="221" t="s">
        <v>3947</v>
      </c>
      <c r="E1330" s="221" t="s">
        <v>3295</v>
      </c>
      <c r="F1330" s="221" t="s">
        <v>3299</v>
      </c>
      <c r="G1330" s="222">
        <v>45345</v>
      </c>
      <c r="H1330" s="223">
        <v>0.79652777777777783</v>
      </c>
      <c r="I1330" s="221" t="s">
        <v>4916</v>
      </c>
      <c r="J1330" s="221" t="s">
        <v>3023</v>
      </c>
      <c r="K1330" s="224" t="s">
        <v>3072</v>
      </c>
      <c r="L1330" s="225" t="str">
        <f>VLOOKUP(Logfile_S12[[#This Row],[Material Name]],Sheet2!B:C,2,0)</f>
        <v>ZTE1004</v>
      </c>
      <c r="M1330" s="225" t="str">
        <f>_xlfn.XLOOKUP(Logfile_S12[[#This Row],[Material Name]],Sum_WH!E:E,Sum_WH!F:F,"",0)</f>
        <v>Pcs</v>
      </c>
      <c r="N1330" s="221">
        <v>2</v>
      </c>
      <c r="O1330" s="221" t="s">
        <v>921</v>
      </c>
      <c r="P1330" s="221" t="s">
        <v>922</v>
      </c>
      <c r="Q1330" s="221"/>
      <c r="R1330" s="221"/>
      <c r="S1330" s="221"/>
      <c r="T1330" s="221" t="s">
        <v>3231</v>
      </c>
      <c r="U1330" s="221" t="s">
        <v>3228</v>
      </c>
      <c r="V1330" s="221" t="s">
        <v>3232</v>
      </c>
      <c r="W1330" s="221" t="s">
        <v>3246</v>
      </c>
      <c r="X1330" s="221"/>
      <c r="Y1330" s="227"/>
      <c r="Z1330" s="227" t="str">
        <f t="shared" si="51"/>
        <v>Bumiayu RW 03 Kedungkandang</v>
      </c>
      <c r="AA1330" s="276" t="e">
        <f>VLOOKUP(Logfile_S12[[#This Row],[DO number]],DO_DB!G:I,3,0)</f>
        <v>#N/A</v>
      </c>
      <c r="AB1330" s="331" t="e">
        <f>EXACT(Logfile_S12[[#This Row],[date pick]],Logfile_S12[[#This Row],[Date]])</f>
        <v>#N/A</v>
      </c>
      <c r="AC13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31" spans="1:29" ht="14.5" hidden="1">
      <c r="A1331" s="220" t="str">
        <f t="shared" si="50"/>
        <v>1327</v>
      </c>
      <c r="B1331" s="221"/>
      <c r="C1331" s="221" t="s">
        <v>3313</v>
      </c>
      <c r="D1331" s="221" t="s">
        <v>3951</v>
      </c>
      <c r="E1331" s="221" t="s">
        <v>3295</v>
      </c>
      <c r="F1331" s="221" t="s">
        <v>3299</v>
      </c>
      <c r="G1331" s="222">
        <v>45348</v>
      </c>
      <c r="H1331" s="223">
        <v>15.291666666666666</v>
      </c>
      <c r="I1331" s="221" t="s">
        <v>37</v>
      </c>
      <c r="J1331" s="221" t="s">
        <v>3023</v>
      </c>
      <c r="K1331" s="224" t="s">
        <v>3072</v>
      </c>
      <c r="L1331" s="225" t="str">
        <f>VLOOKUP(Logfile_S12[[#This Row],[Material Name]],Sheet2!B:C,2,0)</f>
        <v>ZTE1004</v>
      </c>
      <c r="M1331" s="225" t="str">
        <f>_xlfn.XLOOKUP(Logfile_S12[[#This Row],[Material Name]],Sum_WH!E:E,Sum_WH!F:F,"",0)</f>
        <v>Pcs</v>
      </c>
      <c r="N1331" s="221">
        <v>6</v>
      </c>
      <c r="O1331" s="221" t="s">
        <v>3314</v>
      </c>
      <c r="P1331" s="221">
        <v>0</v>
      </c>
      <c r="Q1331" s="221">
        <v>0</v>
      </c>
      <c r="R1331" s="221" t="s">
        <v>3147</v>
      </c>
      <c r="S1331" s="221"/>
      <c r="T1331" s="221"/>
      <c r="U1331" s="221"/>
      <c r="V1331" s="221"/>
      <c r="W1331" s="221"/>
      <c r="X1331" s="221"/>
      <c r="Y1331" s="227"/>
      <c r="Z1331" s="227">
        <f t="shared" si="51"/>
        <v>0</v>
      </c>
      <c r="AA1331" s="276" t="e">
        <f>VLOOKUP(Logfile_S12[[#This Row],[DO number]],DO_DB!G:I,3,0)</f>
        <v>#N/A</v>
      </c>
      <c r="AB1331" s="331" t="e">
        <f>EXACT(Logfile_S12[[#This Row],[date pick]],Logfile_S12[[#This Row],[Date]])</f>
        <v>#N/A</v>
      </c>
      <c r="AC13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32" spans="1:29" ht="14.5" hidden="1">
      <c r="A1332" s="220" t="str">
        <f t="shared" si="50"/>
        <v>1328</v>
      </c>
      <c r="B1332" s="221"/>
      <c r="C1332" s="221" t="s">
        <v>49</v>
      </c>
      <c r="D1332" s="221" t="s">
        <v>3972</v>
      </c>
      <c r="E1332" s="221" t="s">
        <v>3295</v>
      </c>
      <c r="F1332" s="221" t="s">
        <v>3299</v>
      </c>
      <c r="G1332" s="222">
        <v>45357</v>
      </c>
      <c r="H1332" s="223">
        <v>0.39166666666666666</v>
      </c>
      <c r="I1332" s="221" t="s">
        <v>4916</v>
      </c>
      <c r="J1332" s="221" t="s">
        <v>3023</v>
      </c>
      <c r="K1332" s="224" t="s">
        <v>3072</v>
      </c>
      <c r="L1332" s="225" t="str">
        <f>VLOOKUP(Logfile_S12[[#This Row],[Material Name]],Sheet2!B:C,2,0)</f>
        <v>ZTE1004</v>
      </c>
      <c r="M1332" s="225" t="str">
        <f>_xlfn.XLOOKUP(Logfile_S12[[#This Row],[Material Name]],Sum_WH!E:E,Sum_WH!F:F,"",0)</f>
        <v>Pcs</v>
      </c>
      <c r="N1332" s="221">
        <v>1</v>
      </c>
      <c r="O1332" s="221" t="s">
        <v>1013</v>
      </c>
      <c r="P1332" s="221" t="s">
        <v>1014</v>
      </c>
      <c r="Q1332" s="221"/>
      <c r="R1332" s="221"/>
      <c r="S1332" s="221"/>
      <c r="T1332" s="221" t="s">
        <v>3231</v>
      </c>
      <c r="U1332" s="221" t="s">
        <v>3228</v>
      </c>
      <c r="V1332" s="221" t="s">
        <v>3232</v>
      </c>
      <c r="W1332" s="221" t="s">
        <v>3246</v>
      </c>
      <c r="X1332" s="221"/>
      <c r="Y1332" s="227"/>
      <c r="Z1332" s="227" t="str">
        <f t="shared" si="51"/>
        <v>Bumiayu RW 05 Kedungkandang</v>
      </c>
      <c r="AA1332" s="276" t="e">
        <f>VLOOKUP(Logfile_S12[[#This Row],[DO number]],DO_DB!G:I,3,0)</f>
        <v>#N/A</v>
      </c>
      <c r="AB1332" s="331" t="e">
        <f>EXACT(Logfile_S12[[#This Row],[date pick]],Logfile_S12[[#This Row],[Date]])</f>
        <v>#N/A</v>
      </c>
      <c r="AC13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33" spans="1:29" ht="14.5" hidden="1">
      <c r="A1333" s="220" t="str">
        <f t="shared" si="50"/>
        <v>1329</v>
      </c>
      <c r="B1333" s="221"/>
      <c r="C1333" s="221" t="s">
        <v>3313</v>
      </c>
      <c r="D1333" s="221" t="s">
        <v>3974</v>
      </c>
      <c r="E1333" s="221" t="s">
        <v>3295</v>
      </c>
      <c r="F1333" s="221" t="s">
        <v>3299</v>
      </c>
      <c r="G1333" s="222">
        <v>45357</v>
      </c>
      <c r="H1333" s="223">
        <v>15.291666666666666</v>
      </c>
      <c r="I1333" s="221" t="s">
        <v>4918</v>
      </c>
      <c r="J1333" s="221" t="s">
        <v>3023</v>
      </c>
      <c r="K1333" s="224" t="s">
        <v>3072</v>
      </c>
      <c r="L1333" s="225" t="str">
        <f>VLOOKUP(Logfile_S12[[#This Row],[Material Name]],Sheet2!B:C,2,0)</f>
        <v>ZTE1004</v>
      </c>
      <c r="M1333" s="225" t="str">
        <f>_xlfn.XLOOKUP(Logfile_S12[[#This Row],[Material Name]],Sum_WH!E:E,Sum_WH!F:F,"",0)</f>
        <v>Pcs</v>
      </c>
      <c r="N1333" s="221">
        <v>3</v>
      </c>
      <c r="O1333" s="221" t="s">
        <v>3314</v>
      </c>
      <c r="P1333" s="221" t="s">
        <v>3384</v>
      </c>
      <c r="Q1333" s="221">
        <v>0</v>
      </c>
      <c r="R1333" s="221" t="s">
        <v>3147</v>
      </c>
      <c r="S1333" s="221"/>
      <c r="T1333" s="221"/>
      <c r="U1333" s="221"/>
      <c r="V1333" s="221"/>
      <c r="W1333" s="221"/>
      <c r="X1333" s="221" t="s">
        <v>3535</v>
      </c>
      <c r="Y1333" s="227"/>
      <c r="Z1333" s="227" t="str">
        <f t="shared" si="51"/>
        <v>GRESIK</v>
      </c>
      <c r="AA1333" s="276" t="e">
        <f>VLOOKUP(Logfile_S12[[#This Row],[DO number]],DO_DB!G:I,3,0)</f>
        <v>#N/A</v>
      </c>
      <c r="AB1333" s="331" t="e">
        <f>EXACT(Logfile_S12[[#This Row],[date pick]],Logfile_S12[[#This Row],[Date]])</f>
        <v>#N/A</v>
      </c>
      <c r="AC13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34" spans="1:29" ht="14.5" hidden="1">
      <c r="A1334" s="220" t="str">
        <f t="shared" si="50"/>
        <v>1330</v>
      </c>
      <c r="B1334" s="221"/>
      <c r="C1334" s="221" t="s">
        <v>49</v>
      </c>
      <c r="D1334" s="221" t="s">
        <v>3989</v>
      </c>
      <c r="E1334" s="221" t="s">
        <v>3295</v>
      </c>
      <c r="F1334" s="221" t="s">
        <v>3299</v>
      </c>
      <c r="G1334" s="222">
        <v>45376</v>
      </c>
      <c r="H1334" s="223">
        <v>0.43611111111111112</v>
      </c>
      <c r="I1334" s="221" t="s">
        <v>4916</v>
      </c>
      <c r="J1334" s="221" t="s">
        <v>3023</v>
      </c>
      <c r="K1334" s="224" t="s">
        <v>3072</v>
      </c>
      <c r="L1334" s="225" t="str">
        <f>VLOOKUP(Logfile_S12[[#This Row],[Material Name]],Sheet2!B:C,2,0)</f>
        <v>ZTE1004</v>
      </c>
      <c r="M1334" s="225" t="str">
        <f>_xlfn.XLOOKUP(Logfile_S12[[#This Row],[Material Name]],Sum_WH!E:E,Sum_WH!F:F,"",0)</f>
        <v>Pcs</v>
      </c>
      <c r="N1334" s="221">
        <v>2</v>
      </c>
      <c r="O1334" s="221" t="s">
        <v>1161</v>
      </c>
      <c r="P1334" s="221" t="s">
        <v>1162</v>
      </c>
      <c r="Q1334" s="221"/>
      <c r="R1334" s="221"/>
      <c r="S1334" s="221"/>
      <c r="T1334" s="221" t="s">
        <v>3231</v>
      </c>
      <c r="U1334" s="221">
        <v>0</v>
      </c>
      <c r="V1334" s="221" t="s">
        <v>3232</v>
      </c>
      <c r="W1334" s="221" t="s">
        <v>3246</v>
      </c>
      <c r="X1334" s="221"/>
      <c r="Y1334" s="227"/>
      <c r="Z1334" s="227" t="str">
        <f t="shared" si="51"/>
        <v>Tunjungtirto RW 01 Singosari</v>
      </c>
      <c r="AA1334" s="276" t="e">
        <f>VLOOKUP(Logfile_S12[[#This Row],[DO number]],DO_DB!G:I,3,0)</f>
        <v>#N/A</v>
      </c>
      <c r="AB1334" s="331" t="e">
        <f>EXACT(Logfile_S12[[#This Row],[date pick]],Logfile_S12[[#This Row],[Date]])</f>
        <v>#N/A</v>
      </c>
      <c r="AC13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35" spans="1:29" ht="14.5" hidden="1">
      <c r="A1335" s="237" t="str">
        <f t="shared" si="50"/>
        <v>1331</v>
      </c>
      <c r="B1335" s="221"/>
      <c r="C1335" s="221" t="s">
        <v>3313</v>
      </c>
      <c r="D1335" s="221" t="s">
        <v>4019</v>
      </c>
      <c r="E1335" s="221" t="s">
        <v>3295</v>
      </c>
      <c r="F1335" s="221" t="s">
        <v>3299</v>
      </c>
      <c r="G1335" s="222">
        <v>45404</v>
      </c>
      <c r="H1335" s="223">
        <v>15.291666666666666</v>
      </c>
      <c r="I1335" s="221" t="s">
        <v>37</v>
      </c>
      <c r="J1335" s="221" t="s">
        <v>3023</v>
      </c>
      <c r="K1335" s="224" t="s">
        <v>3072</v>
      </c>
      <c r="L1335" s="225" t="str">
        <f>VLOOKUP(Logfile_S12[[#This Row],[Material Name]],Sheet2!B:C,2,0)</f>
        <v>ZTE1004</v>
      </c>
      <c r="M1335" s="225" t="str">
        <f>_xlfn.XLOOKUP(Logfile_S12[[#This Row],[Material Name]],Sum_WH!E:E,Sum_WH!F:F,"",0)</f>
        <v>Pcs</v>
      </c>
      <c r="N1335" s="221">
        <v>3</v>
      </c>
      <c r="O1335" s="221" t="s">
        <v>3314</v>
      </c>
      <c r="P1335" s="221">
        <v>0</v>
      </c>
      <c r="Q1335" s="221">
        <v>0</v>
      </c>
      <c r="R1335" s="221" t="s">
        <v>3147</v>
      </c>
      <c r="S1335" s="221"/>
      <c r="T1335" s="221"/>
      <c r="U1335" s="221"/>
      <c r="V1335" s="221"/>
      <c r="W1335" s="221"/>
      <c r="X1335" s="221"/>
      <c r="Y1335" s="227"/>
      <c r="Z1335" s="227">
        <f t="shared" si="51"/>
        <v>0</v>
      </c>
      <c r="AA1335" s="276" t="e">
        <f>VLOOKUP(Logfile_S12[[#This Row],[DO number]],DO_DB!G:I,3,0)</f>
        <v>#N/A</v>
      </c>
      <c r="AB1335" s="331" t="e">
        <f>EXACT(Logfile_S12[[#This Row],[date pick]],Logfile_S12[[#This Row],[Date]])</f>
        <v>#N/A</v>
      </c>
      <c r="AC13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36" spans="1:29" ht="14.5" hidden="1">
      <c r="A1336" s="220" t="str">
        <f t="shared" si="50"/>
        <v>1332</v>
      </c>
      <c r="B1336" s="221"/>
      <c r="C1336" s="221" t="s">
        <v>49</v>
      </c>
      <c r="D1336" s="221" t="s">
        <v>4027</v>
      </c>
      <c r="E1336" s="221" t="s">
        <v>3295</v>
      </c>
      <c r="F1336" s="221" t="s">
        <v>3299</v>
      </c>
      <c r="G1336" s="222">
        <v>45406</v>
      </c>
      <c r="H1336" s="223">
        <v>0.41666666666666669</v>
      </c>
      <c r="I1336" s="221" t="s">
        <v>4916</v>
      </c>
      <c r="J1336" s="221" t="s">
        <v>3023</v>
      </c>
      <c r="K1336" s="224" t="s">
        <v>3072</v>
      </c>
      <c r="L1336" s="225" t="str">
        <f>VLOOKUP(Logfile_S12[[#This Row],[Material Name]],Sheet2!B:C,2,0)</f>
        <v>ZTE1004</v>
      </c>
      <c r="M1336" s="225" t="str">
        <f>_xlfn.XLOOKUP(Logfile_S12[[#This Row],[Material Name]],Sum_WH!E:E,Sum_WH!F:F,"",0)</f>
        <v>Pcs</v>
      </c>
      <c r="N1336" s="221">
        <v>1</v>
      </c>
      <c r="O1336" s="221" t="s">
        <v>1081</v>
      </c>
      <c r="P1336" s="221" t="s">
        <v>3370</v>
      </c>
      <c r="Q1336" s="221"/>
      <c r="R1336" s="221"/>
      <c r="S1336" s="221"/>
      <c r="T1336" s="221" t="s">
        <v>3356</v>
      </c>
      <c r="U1336" s="221" t="s">
        <v>3228</v>
      </c>
      <c r="V1336" s="221" t="s">
        <v>3357</v>
      </c>
      <c r="W1336" s="221" t="s">
        <v>3358</v>
      </c>
      <c r="X1336" s="221"/>
      <c r="Y1336" s="227"/>
      <c r="Z1336" s="227" t="str">
        <f t="shared" si="51"/>
        <v>Pandan Landung RW 05 Wagir</v>
      </c>
      <c r="AA1336" s="276" t="e">
        <f>VLOOKUP(Logfile_S12[[#This Row],[DO number]],DO_DB!G:I,3,0)</f>
        <v>#N/A</v>
      </c>
      <c r="AB1336" s="331" t="e">
        <f>EXACT(Logfile_S12[[#This Row],[date pick]],Logfile_S12[[#This Row],[Date]])</f>
        <v>#N/A</v>
      </c>
      <c r="AC13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37" spans="1:29" ht="14.5" hidden="1">
      <c r="A1337" s="220" t="str">
        <f t="shared" si="50"/>
        <v>1333</v>
      </c>
      <c r="B1337" s="221"/>
      <c r="C1337" s="221" t="s">
        <v>49</v>
      </c>
      <c r="D1337" s="221" t="s">
        <v>4044</v>
      </c>
      <c r="E1337" s="221" t="s">
        <v>3295</v>
      </c>
      <c r="F1337" s="221" t="s">
        <v>3299</v>
      </c>
      <c r="G1337" s="222">
        <v>45429</v>
      </c>
      <c r="H1337" s="223">
        <v>0.99722222222222223</v>
      </c>
      <c r="I1337" s="221" t="s">
        <v>4916</v>
      </c>
      <c r="J1337" s="221" t="s">
        <v>3023</v>
      </c>
      <c r="K1337" s="224" t="s">
        <v>3072</v>
      </c>
      <c r="L1337" s="225" t="str">
        <f>VLOOKUP(Logfile_S12[[#This Row],[Material Name]],Sheet2!B:C,2,0)</f>
        <v>ZTE1004</v>
      </c>
      <c r="M1337" s="225" t="str">
        <f>_xlfn.XLOOKUP(Logfile_S12[[#This Row],[Material Name]],Sum_WH!E:E,Sum_WH!F:F,"",0)</f>
        <v>Pcs</v>
      </c>
      <c r="N1337" s="221">
        <v>3</v>
      </c>
      <c r="O1337" s="221" t="s">
        <v>1967</v>
      </c>
      <c r="P1337" s="221" t="s">
        <v>3396</v>
      </c>
      <c r="Q1337" s="221"/>
      <c r="R1337" s="221"/>
      <c r="S1337" s="221"/>
      <c r="T1337" s="221" t="s">
        <v>3231</v>
      </c>
      <c r="U1337" s="221">
        <v>0</v>
      </c>
      <c r="V1337" s="221" t="s">
        <v>3232</v>
      </c>
      <c r="W1337" s="221" t="s">
        <v>3246</v>
      </c>
      <c r="X1337" s="221"/>
      <c r="Y1337" s="227"/>
      <c r="Z1337" s="227" t="str">
        <f t="shared" si="51"/>
        <v>HUBFEEDER DALISODO</v>
      </c>
      <c r="AA1337" s="276" t="e">
        <f>VLOOKUP(Logfile_S12[[#This Row],[DO number]],DO_DB!G:I,3,0)</f>
        <v>#N/A</v>
      </c>
      <c r="AB1337" s="331" t="e">
        <f>EXACT(Logfile_S12[[#This Row],[date pick]],Logfile_S12[[#This Row],[Date]])</f>
        <v>#N/A</v>
      </c>
      <c r="AC13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38" spans="1:29" ht="14.5" hidden="1">
      <c r="A1338" s="220" t="str">
        <f t="shared" si="50"/>
        <v>1334</v>
      </c>
      <c r="B1338" s="221"/>
      <c r="C1338" s="221" t="s">
        <v>3313</v>
      </c>
      <c r="D1338" s="221" t="s">
        <v>4046</v>
      </c>
      <c r="E1338" s="221" t="s">
        <v>3295</v>
      </c>
      <c r="F1338" s="221" t="s">
        <v>3299</v>
      </c>
      <c r="G1338" s="222">
        <v>45429</v>
      </c>
      <c r="H1338" s="223">
        <v>15.291666666666666</v>
      </c>
      <c r="I1338" s="221" t="s">
        <v>37</v>
      </c>
      <c r="J1338" s="221" t="s">
        <v>3023</v>
      </c>
      <c r="K1338" s="224" t="s">
        <v>3072</v>
      </c>
      <c r="L1338" s="225" t="str">
        <f>VLOOKUP(Logfile_S12[[#This Row],[Material Name]],Sheet2!B:C,2,0)</f>
        <v>ZTE1004</v>
      </c>
      <c r="M1338" s="225" t="str">
        <f>_xlfn.XLOOKUP(Logfile_S12[[#This Row],[Material Name]],Sum_WH!E:E,Sum_WH!F:F,"",0)</f>
        <v>Pcs</v>
      </c>
      <c r="N1338" s="221">
        <v>5</v>
      </c>
      <c r="O1338" s="221" t="s">
        <v>3314</v>
      </c>
      <c r="P1338" s="221">
        <v>0</v>
      </c>
      <c r="Q1338" s="221">
        <v>0</v>
      </c>
      <c r="R1338" s="221" t="s">
        <v>3147</v>
      </c>
      <c r="S1338" s="221"/>
      <c r="T1338" s="221"/>
      <c r="U1338" s="221"/>
      <c r="V1338" s="221"/>
      <c r="W1338" s="221"/>
      <c r="X1338" s="221"/>
      <c r="Y1338" s="227"/>
      <c r="Z1338" s="227">
        <f t="shared" si="51"/>
        <v>0</v>
      </c>
      <c r="AA1338" s="276" t="e">
        <f>VLOOKUP(Logfile_S12[[#This Row],[DO number]],DO_DB!G:I,3,0)</f>
        <v>#N/A</v>
      </c>
      <c r="AB1338" s="331" t="e">
        <f>EXACT(Logfile_S12[[#This Row],[date pick]],Logfile_S12[[#This Row],[Date]])</f>
        <v>#N/A</v>
      </c>
      <c r="AC13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39" spans="1:29" ht="14.5" hidden="1">
      <c r="A1339" s="220" t="str">
        <f t="shared" si="50"/>
        <v>1335</v>
      </c>
      <c r="B1339" s="221"/>
      <c r="C1339" s="221" t="s">
        <v>48</v>
      </c>
      <c r="D1339" s="221" t="s">
        <v>4054</v>
      </c>
      <c r="E1339" s="221" t="s">
        <v>3295</v>
      </c>
      <c r="F1339" s="221" t="s">
        <v>3299</v>
      </c>
      <c r="G1339" s="222">
        <v>45433</v>
      </c>
      <c r="H1339" s="223">
        <v>15.291666666666666</v>
      </c>
      <c r="I1339" s="221" t="s">
        <v>37</v>
      </c>
      <c r="J1339" s="221" t="s">
        <v>3023</v>
      </c>
      <c r="K1339" s="224" t="s">
        <v>3072</v>
      </c>
      <c r="L1339" s="225" t="str">
        <f>VLOOKUP(Logfile_S12[[#This Row],[Material Name]],Sheet2!B:C,2,0)</f>
        <v>ZTE1004</v>
      </c>
      <c r="M1339" s="225" t="str">
        <f>_xlfn.XLOOKUP(Logfile_S12[[#This Row],[Material Name]],Sum_WH!E:E,Sum_WH!F:F,"",0)</f>
        <v>Pcs</v>
      </c>
      <c r="N1339" s="221">
        <v>1</v>
      </c>
      <c r="O1339" s="221"/>
      <c r="P1339" s="221"/>
      <c r="Q1339" s="221">
        <v>0</v>
      </c>
      <c r="R1339" s="221">
        <v>0</v>
      </c>
      <c r="S1339" s="221"/>
      <c r="T1339" s="221"/>
      <c r="U1339" s="221"/>
      <c r="V1339" s="221"/>
      <c r="W1339" s="221"/>
      <c r="X1339" s="221"/>
      <c r="Y1339" s="227"/>
      <c r="Z1339" s="227">
        <f t="shared" si="51"/>
        <v>0</v>
      </c>
      <c r="AA1339" s="276" t="e">
        <f>VLOOKUP(Logfile_S12[[#This Row],[DO number]],DO_DB!G:I,3,0)</f>
        <v>#N/A</v>
      </c>
      <c r="AB1339" s="331" t="e">
        <f>EXACT(Logfile_S12[[#This Row],[date pick]],Logfile_S12[[#This Row],[Date]])</f>
        <v>#N/A</v>
      </c>
      <c r="AC13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40" spans="1:29" ht="14.5" hidden="1">
      <c r="A1340" s="220" t="str">
        <f t="shared" si="50"/>
        <v>1336</v>
      </c>
      <c r="B1340" s="221"/>
      <c r="C1340" s="221" t="s">
        <v>49</v>
      </c>
      <c r="D1340" s="221" t="s">
        <v>4058</v>
      </c>
      <c r="E1340" s="221" t="s">
        <v>3295</v>
      </c>
      <c r="F1340" s="221" t="s">
        <v>3299</v>
      </c>
      <c r="G1340" s="222">
        <v>45435</v>
      </c>
      <c r="H1340" s="223">
        <v>0.47361111111111115</v>
      </c>
      <c r="I1340" s="221" t="s">
        <v>4916</v>
      </c>
      <c r="J1340" s="221" t="s">
        <v>3023</v>
      </c>
      <c r="K1340" s="224" t="s">
        <v>3072</v>
      </c>
      <c r="L1340" s="225" t="str">
        <f>VLOOKUP(Logfile_S12[[#This Row],[Material Name]],Sheet2!B:C,2,0)</f>
        <v>ZTE1004</v>
      </c>
      <c r="M1340" s="225" t="str">
        <f>_xlfn.XLOOKUP(Logfile_S12[[#This Row],[Material Name]],Sum_WH!E:E,Sum_WH!F:F,"",0)</f>
        <v>Pcs</v>
      </c>
      <c r="N1340" s="221">
        <v>1</v>
      </c>
      <c r="O1340" s="221" t="s">
        <v>1405</v>
      </c>
      <c r="P1340" s="221" t="s">
        <v>1406</v>
      </c>
      <c r="Q1340" s="221"/>
      <c r="R1340" s="221"/>
      <c r="S1340" s="221"/>
      <c r="T1340" s="221" t="s">
        <v>3231</v>
      </c>
      <c r="U1340" s="221">
        <v>0</v>
      </c>
      <c r="V1340" s="221" t="s">
        <v>3232</v>
      </c>
      <c r="W1340" s="221" t="s">
        <v>3246</v>
      </c>
      <c r="X1340" s="221"/>
      <c r="Y1340" s="227"/>
      <c r="Z1340" s="227" t="str">
        <f t="shared" si="51"/>
        <v>Lawang RW 06 Malang</v>
      </c>
      <c r="AA1340" s="276" t="e">
        <f>VLOOKUP(Logfile_S12[[#This Row],[DO number]],DO_DB!G:I,3,0)</f>
        <v>#N/A</v>
      </c>
      <c r="AB1340" s="331" t="e">
        <f>EXACT(Logfile_S12[[#This Row],[date pick]],Logfile_S12[[#This Row],[Date]])</f>
        <v>#N/A</v>
      </c>
      <c r="AC13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41" spans="1:29" ht="14.5" hidden="1">
      <c r="A1341" s="220" t="str">
        <f t="shared" si="50"/>
        <v>1337</v>
      </c>
      <c r="B1341" s="221"/>
      <c r="C1341" s="221" t="s">
        <v>49</v>
      </c>
      <c r="D1341" s="221" t="s">
        <v>4061</v>
      </c>
      <c r="E1341" s="221" t="s">
        <v>3295</v>
      </c>
      <c r="F1341" s="221" t="s">
        <v>3299</v>
      </c>
      <c r="G1341" s="222">
        <v>45437</v>
      </c>
      <c r="H1341" s="223">
        <v>0.47361111111111115</v>
      </c>
      <c r="I1341" s="221" t="s">
        <v>4916</v>
      </c>
      <c r="J1341" s="221" t="s">
        <v>3023</v>
      </c>
      <c r="K1341" s="224" t="s">
        <v>3072</v>
      </c>
      <c r="L1341" s="225" t="str">
        <f>VLOOKUP(Logfile_S12[[#This Row],[Material Name]],Sheet2!B:C,2,0)</f>
        <v>ZTE1004</v>
      </c>
      <c r="M1341" s="225" t="str">
        <f>_xlfn.XLOOKUP(Logfile_S12[[#This Row],[Material Name]],Sum_WH!E:E,Sum_WH!F:F,"",0)</f>
        <v>Pcs</v>
      </c>
      <c r="N1341" s="221">
        <v>1</v>
      </c>
      <c r="O1341" s="221" t="s">
        <v>1469</v>
      </c>
      <c r="P1341" s="221" t="s">
        <v>1470</v>
      </c>
      <c r="Q1341" s="221"/>
      <c r="R1341" s="221"/>
      <c r="S1341" s="221"/>
      <c r="T1341" s="221" t="s">
        <v>3231</v>
      </c>
      <c r="U1341" s="221">
        <v>0</v>
      </c>
      <c r="V1341" s="221" t="s">
        <v>3232</v>
      </c>
      <c r="W1341" s="221" t="s">
        <v>3246</v>
      </c>
      <c r="X1341" s="221"/>
      <c r="Y1341" s="227"/>
      <c r="Z1341" s="227" t="str">
        <f t="shared" si="51"/>
        <v>Dusun Klaseman Kucur</v>
      </c>
      <c r="AA1341" s="276" t="e">
        <f>VLOOKUP(Logfile_S12[[#This Row],[DO number]],DO_DB!G:I,3,0)</f>
        <v>#N/A</v>
      </c>
      <c r="AB1341" s="331" t="e">
        <f>EXACT(Logfile_S12[[#This Row],[date pick]],Logfile_S12[[#This Row],[Date]])</f>
        <v>#N/A</v>
      </c>
      <c r="AC13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42" spans="1:29" ht="14.5" hidden="1">
      <c r="A1342" s="220" t="str">
        <f t="shared" si="50"/>
        <v>1338</v>
      </c>
      <c r="B1342" s="221"/>
      <c r="C1342" s="221" t="s">
        <v>49</v>
      </c>
      <c r="D1342" s="221" t="s">
        <v>4066</v>
      </c>
      <c r="E1342" s="221" t="s">
        <v>3295</v>
      </c>
      <c r="F1342" s="221" t="s">
        <v>3299</v>
      </c>
      <c r="G1342" s="222">
        <v>45440</v>
      </c>
      <c r="H1342" s="223">
        <v>0.53125</v>
      </c>
      <c r="I1342" s="221" t="s">
        <v>4916</v>
      </c>
      <c r="J1342" s="221" t="s">
        <v>3023</v>
      </c>
      <c r="K1342" s="224" t="s">
        <v>3072</v>
      </c>
      <c r="L1342" s="225" t="str">
        <f>VLOOKUP(Logfile_S12[[#This Row],[Material Name]],Sheet2!B:C,2,0)</f>
        <v>ZTE1004</v>
      </c>
      <c r="M1342" s="225" t="str">
        <f>_xlfn.XLOOKUP(Logfile_S12[[#This Row],[Material Name]],Sum_WH!E:E,Sum_WH!F:F,"",0)</f>
        <v>Pcs</v>
      </c>
      <c r="N1342" s="221">
        <v>3</v>
      </c>
      <c r="O1342" s="221" t="s">
        <v>1493</v>
      </c>
      <c r="P1342" s="221" t="s">
        <v>1494</v>
      </c>
      <c r="Q1342" s="221"/>
      <c r="R1342" s="221"/>
      <c r="S1342" s="221"/>
      <c r="T1342" s="221" t="s">
        <v>3356</v>
      </c>
      <c r="U1342" s="221" t="s">
        <v>3228</v>
      </c>
      <c r="V1342" s="221" t="s">
        <v>3357</v>
      </c>
      <c r="W1342" s="221" t="s">
        <v>3358</v>
      </c>
      <c r="X1342" s="221"/>
      <c r="Y1342" s="227"/>
      <c r="Z1342" s="227" t="str">
        <f t="shared" si="51"/>
        <v>Dusun Krajan Kucur</v>
      </c>
      <c r="AA1342" s="276" t="e">
        <f>VLOOKUP(Logfile_S12[[#This Row],[DO number]],DO_DB!G:I,3,0)</f>
        <v>#N/A</v>
      </c>
      <c r="AB1342" s="331" t="e">
        <f>EXACT(Logfile_S12[[#This Row],[date pick]],Logfile_S12[[#This Row],[Date]])</f>
        <v>#N/A</v>
      </c>
      <c r="AC13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43" spans="1:29" ht="14.5" hidden="1">
      <c r="A1343" s="220" t="str">
        <f t="shared" si="50"/>
        <v>1339</v>
      </c>
      <c r="B1343" s="221"/>
      <c r="C1343" s="221" t="s">
        <v>48</v>
      </c>
      <c r="D1343" s="221" t="s">
        <v>4079</v>
      </c>
      <c r="E1343" s="221" t="s">
        <v>3295</v>
      </c>
      <c r="F1343" s="221" t="s">
        <v>3299</v>
      </c>
      <c r="G1343" s="222">
        <v>45448</v>
      </c>
      <c r="H1343" s="223">
        <v>15.291666666666666</v>
      </c>
      <c r="I1343" s="221" t="s">
        <v>37</v>
      </c>
      <c r="J1343" s="221" t="s">
        <v>3023</v>
      </c>
      <c r="K1343" s="224" t="s">
        <v>3072</v>
      </c>
      <c r="L1343" s="225" t="str">
        <f>VLOOKUP(Logfile_S12[[#This Row],[Material Name]],Sheet2!B:C,2,0)</f>
        <v>ZTE1004</v>
      </c>
      <c r="M1343" s="225" t="str">
        <f>_xlfn.XLOOKUP(Logfile_S12[[#This Row],[Material Name]],Sum_WH!E:E,Sum_WH!F:F,"",0)</f>
        <v>Pcs</v>
      </c>
      <c r="N1343" s="221">
        <v>3</v>
      </c>
      <c r="O1343" s="221" t="s">
        <v>1465</v>
      </c>
      <c r="P1343" s="221" t="s">
        <v>1466</v>
      </c>
      <c r="Q1343" s="221"/>
      <c r="R1343" s="221"/>
      <c r="S1343" s="221"/>
      <c r="T1343" s="221"/>
      <c r="U1343" s="221"/>
      <c r="V1343" s="221"/>
      <c r="W1343" s="221"/>
      <c r="X1343" s="221"/>
      <c r="Y1343" s="227"/>
      <c r="Z1343" s="227" t="str">
        <f t="shared" si="51"/>
        <v>Dusun Klampok Kucur</v>
      </c>
      <c r="AA1343" s="276" t="e">
        <f>VLOOKUP(Logfile_S12[[#This Row],[DO number]],DO_DB!G:I,3,0)</f>
        <v>#N/A</v>
      </c>
      <c r="AB1343" s="331" t="e">
        <f>EXACT(Logfile_S12[[#This Row],[date pick]],Logfile_S12[[#This Row],[Date]])</f>
        <v>#N/A</v>
      </c>
      <c r="AC13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44" spans="1:29" ht="14.5" hidden="1">
      <c r="A1344" s="220" t="str">
        <f t="shared" si="50"/>
        <v>1340</v>
      </c>
      <c r="B1344" s="221"/>
      <c r="C1344" s="221" t="s">
        <v>49</v>
      </c>
      <c r="D1344" s="221" t="s">
        <v>4105</v>
      </c>
      <c r="E1344" s="221" t="s">
        <v>3295</v>
      </c>
      <c r="F1344" s="221" t="s">
        <v>3299</v>
      </c>
      <c r="G1344" s="222">
        <v>45469</v>
      </c>
      <c r="H1344" s="223">
        <v>0.8847222222222223</v>
      </c>
      <c r="I1344" s="221" t="s">
        <v>4916</v>
      </c>
      <c r="J1344" s="221" t="s">
        <v>3023</v>
      </c>
      <c r="K1344" s="224" t="s">
        <v>3072</v>
      </c>
      <c r="L1344" s="225" t="str">
        <f>VLOOKUP(Logfile_S12[[#This Row],[Material Name]],Sheet2!B:C,2,0)</f>
        <v>ZTE1004</v>
      </c>
      <c r="M1344" s="225" t="str">
        <f>_xlfn.XLOOKUP(Logfile_S12[[#This Row],[Material Name]],Sum_WH!E:E,Sum_WH!F:F,"",0)</f>
        <v>Pcs</v>
      </c>
      <c r="N1344" s="221">
        <v>1</v>
      </c>
      <c r="O1344" s="221" t="s">
        <v>1689</v>
      </c>
      <c r="P1344" s="221" t="s">
        <v>1690</v>
      </c>
      <c r="Q1344" s="221"/>
      <c r="R1344" s="221"/>
      <c r="S1344" s="221"/>
      <c r="T1344" s="221" t="s">
        <v>3471</v>
      </c>
      <c r="U1344" s="221">
        <v>0</v>
      </c>
      <c r="V1344" s="221" t="s">
        <v>3472</v>
      </c>
      <c r="W1344" s="221" t="s">
        <v>3473</v>
      </c>
      <c r="X1344" s="221"/>
      <c r="Y1344" s="227"/>
      <c r="Z1344" s="227" t="str">
        <f t="shared" si="51"/>
        <v>Kebonagung RW 13 Pakisaji</v>
      </c>
      <c r="AA1344" s="276" t="e">
        <f>VLOOKUP(Logfile_S12[[#This Row],[DO number]],DO_DB!G:I,3,0)</f>
        <v>#N/A</v>
      </c>
      <c r="AB1344" s="331" t="e">
        <f>EXACT(Logfile_S12[[#This Row],[date pick]],Logfile_S12[[#This Row],[Date]])</f>
        <v>#N/A</v>
      </c>
      <c r="AC13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45" spans="1:29" ht="14.5" hidden="1">
      <c r="A1345" s="220" t="str">
        <f t="shared" si="50"/>
        <v>1341</v>
      </c>
      <c r="B1345" s="221"/>
      <c r="C1345" s="221" t="s">
        <v>3429</v>
      </c>
      <c r="D1345" s="221" t="s">
        <v>4127</v>
      </c>
      <c r="E1345" s="221" t="s">
        <v>3295</v>
      </c>
      <c r="F1345" s="221" t="s">
        <v>3299</v>
      </c>
      <c r="G1345" s="222">
        <v>45496</v>
      </c>
      <c r="H1345" s="223">
        <v>15.291666666666666</v>
      </c>
      <c r="I1345" s="221" t="s">
        <v>3193</v>
      </c>
      <c r="J1345" s="221" t="s">
        <v>3023</v>
      </c>
      <c r="K1345" s="224" t="s">
        <v>3072</v>
      </c>
      <c r="L1345" s="225" t="str">
        <f>VLOOKUP(Logfile_S12[[#This Row],[Material Name]],Sheet2!B:C,2,0)</f>
        <v>ZTE1004</v>
      </c>
      <c r="M1345" s="225" t="str">
        <f>_xlfn.XLOOKUP(Logfile_S12[[#This Row],[Material Name]],Sum_WH!E:E,Sum_WH!F:F,"",0)</f>
        <v>Pcs</v>
      </c>
      <c r="N1345" s="221">
        <v>1</v>
      </c>
      <c r="O1345" s="221" t="s">
        <v>4925</v>
      </c>
      <c r="P1345" s="221" t="s">
        <v>3266</v>
      </c>
      <c r="Q1345" s="221">
        <v>0</v>
      </c>
      <c r="R1345" s="221">
        <v>0</v>
      </c>
      <c r="S1345" s="221"/>
      <c r="T1345" s="221"/>
      <c r="U1345" s="221"/>
      <c r="V1345" s="221"/>
      <c r="W1345" s="221"/>
      <c r="X1345" s="221" t="s">
        <v>3221</v>
      </c>
      <c r="Y1345" s="227"/>
      <c r="Z1345" s="227" t="str">
        <f t="shared" si="51"/>
        <v>YPTT</v>
      </c>
      <c r="AA1345" s="276" t="e">
        <f>VLOOKUP(Logfile_S12[[#This Row],[DO number]],DO_DB!G:I,3,0)</f>
        <v>#N/A</v>
      </c>
      <c r="AB1345" s="331" t="e">
        <f>EXACT(Logfile_S12[[#This Row],[date pick]],Logfile_S12[[#This Row],[Date]])</f>
        <v>#N/A</v>
      </c>
      <c r="AC13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46" spans="1:29" ht="14.5" hidden="1">
      <c r="A1346" s="220" t="str">
        <f t="shared" si="50"/>
        <v>1342</v>
      </c>
      <c r="B1346" s="221"/>
      <c r="C1346" s="221" t="s">
        <v>48</v>
      </c>
      <c r="D1346" s="221" t="s">
        <v>4126</v>
      </c>
      <c r="E1346" s="221" t="s">
        <v>3295</v>
      </c>
      <c r="F1346" s="221" t="s">
        <v>3299</v>
      </c>
      <c r="G1346" s="222">
        <v>45496</v>
      </c>
      <c r="H1346" s="223">
        <v>15.291666666666666</v>
      </c>
      <c r="I1346" s="221" t="s">
        <v>37</v>
      </c>
      <c r="J1346" s="221" t="s">
        <v>3023</v>
      </c>
      <c r="K1346" s="224" t="s">
        <v>3072</v>
      </c>
      <c r="L1346" s="225" t="str">
        <f>VLOOKUP(Logfile_S12[[#This Row],[Material Name]],Sheet2!B:C,2,0)</f>
        <v>ZTE1004</v>
      </c>
      <c r="M1346" s="225" t="str">
        <f>_xlfn.XLOOKUP(Logfile_S12[[#This Row],[Material Name]],Sum_WH!E:E,Sum_WH!F:F,"",0)</f>
        <v>Pcs</v>
      </c>
      <c r="N1346" s="221">
        <v>5</v>
      </c>
      <c r="O1346" s="221"/>
      <c r="P1346" s="221"/>
      <c r="Q1346" s="221">
        <v>0</v>
      </c>
      <c r="R1346" s="221">
        <v>0</v>
      </c>
      <c r="S1346" s="221"/>
      <c r="T1346" s="221"/>
      <c r="U1346" s="221"/>
      <c r="V1346" s="221"/>
      <c r="W1346" s="221"/>
      <c r="X1346" s="221"/>
      <c r="Y1346" s="227"/>
      <c r="Z1346" s="227">
        <f t="shared" si="51"/>
        <v>0</v>
      </c>
      <c r="AA1346" s="276" t="e">
        <f>VLOOKUP(Logfile_S12[[#This Row],[DO number]],DO_DB!G:I,3,0)</f>
        <v>#N/A</v>
      </c>
      <c r="AB1346" s="331" t="e">
        <f>EXACT(Logfile_S12[[#This Row],[date pick]],Logfile_S12[[#This Row],[Date]])</f>
        <v>#N/A</v>
      </c>
      <c r="AC13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47" spans="1:29" ht="14.5" hidden="1">
      <c r="A1347" s="220" t="str">
        <f t="shared" si="50"/>
        <v>1343</v>
      </c>
      <c r="B1347" s="221"/>
      <c r="C1347" s="221" t="s">
        <v>49</v>
      </c>
      <c r="D1347" s="221" t="s">
        <v>4124</v>
      </c>
      <c r="E1347" s="221" t="s">
        <v>3295</v>
      </c>
      <c r="F1347" s="221" t="s">
        <v>3299</v>
      </c>
      <c r="G1347" s="222">
        <v>45496</v>
      </c>
      <c r="H1347" s="223">
        <v>0.7319444444444444</v>
      </c>
      <c r="I1347" s="221" t="s">
        <v>4916</v>
      </c>
      <c r="J1347" s="221" t="s">
        <v>3023</v>
      </c>
      <c r="K1347" s="224" t="s">
        <v>3072</v>
      </c>
      <c r="L1347" s="225" t="str">
        <f>VLOOKUP(Logfile_S12[[#This Row],[Material Name]],Sheet2!B:C,2,0)</f>
        <v>ZTE1004</v>
      </c>
      <c r="M1347" s="225" t="str">
        <f>_xlfn.XLOOKUP(Logfile_S12[[#This Row],[Material Name]],Sum_WH!E:E,Sum_WH!F:F,"",0)</f>
        <v>Pcs</v>
      </c>
      <c r="N1347" s="221">
        <v>1</v>
      </c>
      <c r="O1347" s="221" t="s">
        <v>2007</v>
      </c>
      <c r="P1347" s="221" t="s">
        <v>2008</v>
      </c>
      <c r="Q1347" s="221"/>
      <c r="R1347" s="221"/>
      <c r="S1347" s="221"/>
      <c r="T1347" s="221" t="s">
        <v>3471</v>
      </c>
      <c r="U1347" s="221">
        <v>0</v>
      </c>
      <c r="V1347" s="221" t="s">
        <v>3472</v>
      </c>
      <c r="W1347" s="221" t="s">
        <v>3473</v>
      </c>
      <c r="X1347" s="221"/>
      <c r="Y1347" s="227"/>
      <c r="Z1347" s="227" t="str">
        <f t="shared" si="51"/>
        <v>Ngenep RW 06 Karang Ploso</v>
      </c>
      <c r="AA1347" s="276" t="e">
        <f>VLOOKUP(Logfile_S12[[#This Row],[DO number]],DO_DB!G:I,3,0)</f>
        <v>#N/A</v>
      </c>
      <c r="AB1347" s="331" t="e">
        <f>EXACT(Logfile_S12[[#This Row],[date pick]],Logfile_S12[[#This Row],[Date]])</f>
        <v>#N/A</v>
      </c>
      <c r="AC13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48" spans="1:29" ht="14.5" hidden="1">
      <c r="A1348" s="220" t="str">
        <f t="shared" si="50"/>
        <v>1344</v>
      </c>
      <c r="B1348" s="221"/>
      <c r="C1348" s="221" t="s">
        <v>49</v>
      </c>
      <c r="D1348" s="221" t="s">
        <v>4129</v>
      </c>
      <c r="E1348" s="221" t="s">
        <v>3295</v>
      </c>
      <c r="F1348" s="221" t="s">
        <v>3299</v>
      </c>
      <c r="G1348" s="222">
        <v>45498</v>
      </c>
      <c r="H1348" s="223">
        <v>0.79166666666666663</v>
      </c>
      <c r="I1348" s="221" t="s">
        <v>4916</v>
      </c>
      <c r="J1348" s="221" t="s">
        <v>3023</v>
      </c>
      <c r="K1348" s="224" t="s">
        <v>3072</v>
      </c>
      <c r="L1348" s="225" t="str">
        <f>VLOOKUP(Logfile_S12[[#This Row],[Material Name]],Sheet2!B:C,2,0)</f>
        <v>ZTE1004</v>
      </c>
      <c r="M1348" s="225" t="str">
        <f>_xlfn.XLOOKUP(Logfile_S12[[#This Row],[Material Name]],Sum_WH!E:E,Sum_WH!F:F,"",0)</f>
        <v>Pcs</v>
      </c>
      <c r="N1348" s="221">
        <v>3</v>
      </c>
      <c r="O1348" s="221" t="s">
        <v>1807</v>
      </c>
      <c r="P1348" s="221" t="s">
        <v>3399</v>
      </c>
      <c r="Q1348" s="221"/>
      <c r="R1348" s="221"/>
      <c r="S1348" s="221"/>
      <c r="T1348" s="221" t="s">
        <v>3471</v>
      </c>
      <c r="U1348" s="221">
        <v>0</v>
      </c>
      <c r="V1348" s="221" t="s">
        <v>3472</v>
      </c>
      <c r="W1348" s="221" t="s">
        <v>3473</v>
      </c>
      <c r="X1348" s="221"/>
      <c r="Y1348" s="227"/>
      <c r="Z1348" s="227" t="str">
        <f t="shared" si="51"/>
        <v>HUBFEEDER TIRTASANI TO GIRIMOYO</v>
      </c>
      <c r="AA1348" s="276" t="e">
        <f>VLOOKUP(Logfile_S12[[#This Row],[DO number]],DO_DB!G:I,3,0)</f>
        <v>#N/A</v>
      </c>
      <c r="AB1348" s="331" t="e">
        <f>EXACT(Logfile_S12[[#This Row],[date pick]],Logfile_S12[[#This Row],[Date]])</f>
        <v>#N/A</v>
      </c>
      <c r="AC13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49" spans="1:29" ht="14.5" hidden="1">
      <c r="A1349" s="220" t="str">
        <f t="shared" ref="A1349:A1412" si="52">TEXT(ROW(A1349)-ROW($A$4),"000")</f>
        <v>1345</v>
      </c>
      <c r="B1349" s="221"/>
      <c r="C1349" s="221" t="s">
        <v>49</v>
      </c>
      <c r="D1349" s="221" t="s">
        <v>4135</v>
      </c>
      <c r="E1349" s="221" t="s">
        <v>3295</v>
      </c>
      <c r="F1349" s="221" t="s">
        <v>3299</v>
      </c>
      <c r="G1349" s="222">
        <v>45503</v>
      </c>
      <c r="H1349" s="223">
        <v>0.43333333333333335</v>
      </c>
      <c r="I1349" s="221" t="s">
        <v>4916</v>
      </c>
      <c r="J1349" s="221" t="s">
        <v>3023</v>
      </c>
      <c r="K1349" s="224" t="s">
        <v>3072</v>
      </c>
      <c r="L1349" s="225" t="str">
        <f>VLOOKUP(Logfile_S12[[#This Row],[Material Name]],Sheet2!B:C,2,0)</f>
        <v>ZTE1004</v>
      </c>
      <c r="M1349" s="225" t="str">
        <f>_xlfn.XLOOKUP(Logfile_S12[[#This Row],[Material Name]],Sum_WH!E:E,Sum_WH!F:F,"",0)</f>
        <v>Pcs</v>
      </c>
      <c r="N1349" s="221">
        <v>1</v>
      </c>
      <c r="O1349" s="221" t="s">
        <v>1803</v>
      </c>
      <c r="P1349" s="221" t="s">
        <v>1804</v>
      </c>
      <c r="Q1349" s="221"/>
      <c r="R1349" s="221"/>
      <c r="S1349" s="221"/>
      <c r="T1349" s="221" t="s">
        <v>3258</v>
      </c>
      <c r="U1349" s="221" t="s">
        <v>3228</v>
      </c>
      <c r="V1349" s="221" t="s">
        <v>3337</v>
      </c>
      <c r="W1349" s="221" t="s">
        <v>3338</v>
      </c>
      <c r="X1349" s="221"/>
      <c r="Y1349" s="227"/>
      <c r="Z1349" s="227" t="str">
        <f t="shared" si="51"/>
        <v>Dusun Langlang IV Singosari</v>
      </c>
      <c r="AA1349" s="276" t="e">
        <f>VLOOKUP(Logfile_S12[[#This Row],[DO number]],DO_DB!G:I,3,0)</f>
        <v>#N/A</v>
      </c>
      <c r="AB1349" s="331" t="e">
        <f>EXACT(Logfile_S12[[#This Row],[date pick]],Logfile_S12[[#This Row],[Date]])</f>
        <v>#N/A</v>
      </c>
      <c r="AC13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50" spans="1:29" ht="14.5" hidden="1">
      <c r="A1350" s="220" t="str">
        <f t="shared" si="52"/>
        <v>1346</v>
      </c>
      <c r="B1350" s="221"/>
      <c r="C1350" s="221" t="s">
        <v>49</v>
      </c>
      <c r="D1350" s="221" t="s">
        <v>4157</v>
      </c>
      <c r="E1350" s="221" t="s">
        <v>3295</v>
      </c>
      <c r="F1350" s="221" t="s">
        <v>3299</v>
      </c>
      <c r="G1350" s="222">
        <v>45518</v>
      </c>
      <c r="H1350" s="223">
        <v>0.2902777777777778</v>
      </c>
      <c r="I1350" s="221" t="s">
        <v>4916</v>
      </c>
      <c r="J1350" s="221" t="s">
        <v>3023</v>
      </c>
      <c r="K1350" s="224" t="s">
        <v>3072</v>
      </c>
      <c r="L1350" s="225" t="str">
        <f>VLOOKUP(Logfile_S12[[#This Row],[Material Name]],Sheet2!B:C,2,0)</f>
        <v>ZTE1004</v>
      </c>
      <c r="M1350" s="225" t="str">
        <f>_xlfn.XLOOKUP(Logfile_S12[[#This Row],[Material Name]],Sum_WH!E:E,Sum_WH!F:F,"",0)</f>
        <v>Pcs</v>
      </c>
      <c r="N1350" s="221">
        <v>2</v>
      </c>
      <c r="O1350" s="221" t="s">
        <v>1799</v>
      </c>
      <c r="P1350" s="221" t="s">
        <v>3398</v>
      </c>
      <c r="Q1350" s="221"/>
      <c r="R1350" s="221"/>
      <c r="S1350" s="221"/>
      <c r="T1350" s="221" t="s">
        <v>3231</v>
      </c>
      <c r="U1350" s="221">
        <v>0</v>
      </c>
      <c r="V1350" s="221" t="s">
        <v>3232</v>
      </c>
      <c r="W1350" s="221" t="s">
        <v>3254</v>
      </c>
      <c r="X1350" s="221"/>
      <c r="Y1350" s="227"/>
      <c r="Z1350" s="227" t="str">
        <f t="shared" si="51"/>
        <v>HUBFEEDER KEPANJEN TO JATIKERTO</v>
      </c>
      <c r="AA1350" s="276" t="e">
        <f>VLOOKUP(Logfile_S12[[#This Row],[DO number]],DO_DB!G:I,3,0)</f>
        <v>#N/A</v>
      </c>
      <c r="AB1350" s="331" t="e">
        <f>EXACT(Logfile_S12[[#This Row],[date pick]],Logfile_S12[[#This Row],[Date]])</f>
        <v>#N/A</v>
      </c>
      <c r="AC13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51" spans="1:29" ht="14.5" hidden="1">
      <c r="A1351" s="220" t="str">
        <f t="shared" si="52"/>
        <v>1347</v>
      </c>
      <c r="B1351" s="221"/>
      <c r="C1351" s="221" t="s">
        <v>48</v>
      </c>
      <c r="D1351" s="221" t="s">
        <v>4170</v>
      </c>
      <c r="E1351" s="221" t="s">
        <v>3295</v>
      </c>
      <c r="F1351" s="221" t="s">
        <v>3299</v>
      </c>
      <c r="G1351" s="222">
        <v>45526</v>
      </c>
      <c r="H1351" s="223">
        <v>15.291666666666666</v>
      </c>
      <c r="I1351" s="221" t="s">
        <v>37</v>
      </c>
      <c r="J1351" s="221" t="s">
        <v>3023</v>
      </c>
      <c r="K1351" s="224" t="s">
        <v>3072</v>
      </c>
      <c r="L1351" s="225" t="str">
        <f>VLOOKUP(Logfile_S12[[#This Row],[Material Name]],Sheet2!B:C,2,0)</f>
        <v>ZTE1004</v>
      </c>
      <c r="M1351" s="225" t="str">
        <f>_xlfn.XLOOKUP(Logfile_S12[[#This Row],[Material Name]],Sum_WH!E:E,Sum_WH!F:F,"",0)</f>
        <v>Pcs</v>
      </c>
      <c r="N1351" s="221">
        <v>1</v>
      </c>
      <c r="O1351" s="221"/>
      <c r="P1351" s="221"/>
      <c r="Q1351" s="221">
        <v>0</v>
      </c>
      <c r="R1351" s="221">
        <v>0</v>
      </c>
      <c r="S1351" s="221"/>
      <c r="T1351" s="221"/>
      <c r="U1351" s="221"/>
      <c r="V1351" s="221"/>
      <c r="W1351" s="221"/>
      <c r="X1351" s="221"/>
      <c r="Y1351" s="227"/>
      <c r="Z1351" s="227">
        <f t="shared" si="51"/>
        <v>0</v>
      </c>
      <c r="AA1351" s="276" t="e">
        <f>VLOOKUP(Logfile_S12[[#This Row],[DO number]],DO_DB!G:I,3,0)</f>
        <v>#N/A</v>
      </c>
      <c r="AB1351" s="331" t="e">
        <f>EXACT(Logfile_S12[[#This Row],[date pick]],Logfile_S12[[#This Row],[Date]])</f>
        <v>#N/A</v>
      </c>
      <c r="AC13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52" spans="1:29" ht="14.5" hidden="1">
      <c r="A1352" s="220" t="str">
        <f t="shared" si="52"/>
        <v>1348</v>
      </c>
      <c r="B1352" s="221"/>
      <c r="C1352" s="221" t="s">
        <v>48</v>
      </c>
      <c r="D1352" s="221" t="s">
        <v>4180</v>
      </c>
      <c r="E1352" s="221" t="s">
        <v>3295</v>
      </c>
      <c r="F1352" s="221" t="s">
        <v>3299</v>
      </c>
      <c r="G1352" s="222">
        <v>45531</v>
      </c>
      <c r="H1352" s="223">
        <v>15.291666666666666</v>
      </c>
      <c r="I1352" s="221" t="s">
        <v>37</v>
      </c>
      <c r="J1352" s="221" t="s">
        <v>3023</v>
      </c>
      <c r="K1352" s="224" t="s">
        <v>3072</v>
      </c>
      <c r="L1352" s="225" t="str">
        <f>VLOOKUP(Logfile_S12[[#This Row],[Material Name]],Sheet2!B:C,2,0)</f>
        <v>ZTE1004</v>
      </c>
      <c r="M1352" s="225" t="str">
        <f>_xlfn.XLOOKUP(Logfile_S12[[#This Row],[Material Name]],Sum_WH!E:E,Sum_WH!F:F,"",0)</f>
        <v>Pcs</v>
      </c>
      <c r="N1352" s="221">
        <v>2</v>
      </c>
      <c r="O1352" s="221"/>
      <c r="P1352" s="221"/>
      <c r="Q1352" s="221">
        <v>0</v>
      </c>
      <c r="R1352" s="221">
        <v>0</v>
      </c>
      <c r="S1352" s="221"/>
      <c r="T1352" s="221"/>
      <c r="U1352" s="221"/>
      <c r="V1352" s="221"/>
      <c r="W1352" s="221"/>
      <c r="X1352" s="221"/>
      <c r="Y1352" s="227"/>
      <c r="Z1352" s="227">
        <f t="shared" si="51"/>
        <v>0</v>
      </c>
      <c r="AA1352" s="276" t="e">
        <f>VLOOKUP(Logfile_S12[[#This Row],[DO number]],DO_DB!G:I,3,0)</f>
        <v>#N/A</v>
      </c>
      <c r="AB1352" s="331" t="e">
        <f>EXACT(Logfile_S12[[#This Row],[date pick]],Logfile_S12[[#This Row],[Date]])</f>
        <v>#N/A</v>
      </c>
      <c r="AC13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53" spans="1:29" ht="14.5" hidden="1">
      <c r="A1353" s="220" t="str">
        <f t="shared" si="52"/>
        <v>1349</v>
      </c>
      <c r="B1353" s="221"/>
      <c r="C1353" s="221" t="s">
        <v>49</v>
      </c>
      <c r="D1353" s="221" t="s">
        <v>4178</v>
      </c>
      <c r="E1353" s="221" t="s">
        <v>3295</v>
      </c>
      <c r="F1353" s="221" t="s">
        <v>3299</v>
      </c>
      <c r="G1353" s="222">
        <v>45531</v>
      </c>
      <c r="H1353" s="223">
        <v>0.64861111111111114</v>
      </c>
      <c r="I1353" s="221" t="s">
        <v>4916</v>
      </c>
      <c r="J1353" s="221" t="s">
        <v>3023</v>
      </c>
      <c r="K1353" s="224" t="s">
        <v>3072</v>
      </c>
      <c r="L1353" s="225" t="str">
        <f>VLOOKUP(Logfile_S12[[#This Row],[Material Name]],Sheet2!B:C,2,0)</f>
        <v>ZTE1004</v>
      </c>
      <c r="M1353" s="225" t="str">
        <f>_xlfn.XLOOKUP(Logfile_S12[[#This Row],[Material Name]],Sum_WH!E:E,Sum_WH!F:F,"",0)</f>
        <v>Pcs</v>
      </c>
      <c r="N1353" s="221">
        <v>2</v>
      </c>
      <c r="O1353" s="221" t="s">
        <v>1911</v>
      </c>
      <c r="P1353" s="221" t="s">
        <v>1912</v>
      </c>
      <c r="Q1353" s="221"/>
      <c r="R1353" s="221"/>
      <c r="S1353" s="221"/>
      <c r="T1353" s="221" t="s">
        <v>3471</v>
      </c>
      <c r="U1353" s="221">
        <v>0</v>
      </c>
      <c r="V1353" s="221" t="s">
        <v>3472</v>
      </c>
      <c r="W1353" s="221" t="s">
        <v>3473</v>
      </c>
      <c r="X1353" s="221"/>
      <c r="Y1353" s="227"/>
      <c r="Z1353" s="227" t="str">
        <f t="shared" si="51"/>
        <v>Dilem RW 03 Kepanjen</v>
      </c>
      <c r="AA1353" s="276" t="e">
        <f>VLOOKUP(Logfile_S12[[#This Row],[DO number]],DO_DB!G:I,3,0)</f>
        <v>#N/A</v>
      </c>
      <c r="AB1353" s="331" t="e">
        <f>EXACT(Logfile_S12[[#This Row],[date pick]],Logfile_S12[[#This Row],[Date]])</f>
        <v>#N/A</v>
      </c>
      <c r="AC13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54" spans="1:29" ht="14.5" hidden="1">
      <c r="A1354" s="220" t="str">
        <f t="shared" si="52"/>
        <v>1350</v>
      </c>
      <c r="B1354" s="221"/>
      <c r="C1354" s="221" t="s">
        <v>48</v>
      </c>
      <c r="D1354" s="221" t="s">
        <v>4185</v>
      </c>
      <c r="E1354" s="221" t="s">
        <v>3295</v>
      </c>
      <c r="F1354" s="221" t="s">
        <v>3299</v>
      </c>
      <c r="G1354" s="222">
        <v>45532</v>
      </c>
      <c r="H1354" s="223">
        <v>15.291666666666666</v>
      </c>
      <c r="I1354" s="221" t="s">
        <v>37</v>
      </c>
      <c r="J1354" s="221" t="s">
        <v>3023</v>
      </c>
      <c r="K1354" s="224" t="s">
        <v>3072</v>
      </c>
      <c r="L1354" s="225" t="str">
        <f>VLOOKUP(Logfile_S12[[#This Row],[Material Name]],Sheet2!B:C,2,0)</f>
        <v>ZTE1004</v>
      </c>
      <c r="M1354" s="225" t="str">
        <f>_xlfn.XLOOKUP(Logfile_S12[[#This Row],[Material Name]],Sum_WH!E:E,Sum_WH!F:F,"",0)</f>
        <v>Pcs</v>
      </c>
      <c r="N1354" s="221">
        <v>2</v>
      </c>
      <c r="O1354" s="221"/>
      <c r="P1354" s="221"/>
      <c r="Q1354" s="221">
        <v>0</v>
      </c>
      <c r="R1354" s="221">
        <v>0</v>
      </c>
      <c r="S1354" s="221"/>
      <c r="T1354" s="221"/>
      <c r="U1354" s="221"/>
      <c r="V1354" s="221"/>
      <c r="W1354" s="221"/>
      <c r="X1354" s="221"/>
      <c r="Y1354" s="227"/>
      <c r="Z1354" s="227">
        <f t="shared" si="51"/>
        <v>0</v>
      </c>
      <c r="AA1354" s="276" t="e">
        <f>VLOOKUP(Logfile_S12[[#This Row],[DO number]],DO_DB!G:I,3,0)</f>
        <v>#N/A</v>
      </c>
      <c r="AB1354" s="331" t="e">
        <f>EXACT(Logfile_S12[[#This Row],[date pick]],Logfile_S12[[#This Row],[Date]])</f>
        <v>#N/A</v>
      </c>
      <c r="AC13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55" spans="1:29" ht="14.5" hidden="1">
      <c r="A1355" s="220" t="str">
        <f t="shared" si="52"/>
        <v>1351</v>
      </c>
      <c r="B1355" s="221"/>
      <c r="C1355" s="221" t="s">
        <v>49</v>
      </c>
      <c r="D1355" s="221" t="s">
        <v>4194</v>
      </c>
      <c r="E1355" s="221" t="s">
        <v>3295</v>
      </c>
      <c r="F1355" s="221" t="s">
        <v>3299</v>
      </c>
      <c r="G1355" s="222">
        <v>45535</v>
      </c>
      <c r="H1355" s="223">
        <v>0.52083333333333337</v>
      </c>
      <c r="I1355" s="221" t="s">
        <v>4916</v>
      </c>
      <c r="J1355" s="221" t="s">
        <v>3023</v>
      </c>
      <c r="K1355" s="224" t="s">
        <v>3072</v>
      </c>
      <c r="L1355" s="225" t="str">
        <f>VLOOKUP(Logfile_S12[[#This Row],[Material Name]],Sheet2!B:C,2,0)</f>
        <v>ZTE1004</v>
      </c>
      <c r="M1355" s="225" t="str">
        <f>_xlfn.XLOOKUP(Logfile_S12[[#This Row],[Material Name]],Sum_WH!E:E,Sum_WH!F:F,"",0)</f>
        <v>Pcs</v>
      </c>
      <c r="N1355" s="221">
        <v>1</v>
      </c>
      <c r="O1355" s="221" t="s">
        <v>1929</v>
      </c>
      <c r="P1355" s="221" t="s">
        <v>1930</v>
      </c>
      <c r="Q1355" s="221"/>
      <c r="R1355" s="221"/>
      <c r="S1355" s="221"/>
      <c r="T1355" s="221" t="s">
        <v>3231</v>
      </c>
      <c r="U1355" s="221">
        <v>0</v>
      </c>
      <c r="V1355" s="221" t="s">
        <v>3232</v>
      </c>
      <c r="W1355" s="221" t="s">
        <v>3254</v>
      </c>
      <c r="X1355" s="221"/>
      <c r="Y1355" s="227"/>
      <c r="Z1355" s="227" t="str">
        <f t="shared" si="51"/>
        <v>Dusun Krajan Sumbersekar</v>
      </c>
      <c r="AA1355" s="276" t="e">
        <f>VLOOKUP(Logfile_S12[[#This Row],[DO number]],DO_DB!G:I,3,0)</f>
        <v>#N/A</v>
      </c>
      <c r="AB1355" s="331" t="e">
        <f>EXACT(Logfile_S12[[#This Row],[date pick]],Logfile_S12[[#This Row],[Date]])</f>
        <v>#N/A</v>
      </c>
      <c r="AC13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56" spans="1:29" ht="14.5" hidden="1">
      <c r="A1356" s="220" t="str">
        <f t="shared" si="52"/>
        <v>1352</v>
      </c>
      <c r="B1356" s="221"/>
      <c r="C1356" s="221" t="s">
        <v>49</v>
      </c>
      <c r="D1356" s="221" t="s">
        <v>4194</v>
      </c>
      <c r="E1356" s="221" t="s">
        <v>3295</v>
      </c>
      <c r="F1356" s="221" t="s">
        <v>3299</v>
      </c>
      <c r="G1356" s="222">
        <v>45535</v>
      </c>
      <c r="H1356" s="223">
        <v>0.52083333333333337</v>
      </c>
      <c r="I1356" s="221" t="s">
        <v>4916</v>
      </c>
      <c r="J1356" s="221" t="s">
        <v>3023</v>
      </c>
      <c r="K1356" s="224" t="s">
        <v>3072</v>
      </c>
      <c r="L1356" s="225" t="str">
        <f>VLOOKUP(Logfile_S12[[#This Row],[Material Name]],Sheet2!B:C,2,0)</f>
        <v>ZTE1004</v>
      </c>
      <c r="M1356" s="225" t="str">
        <f>_xlfn.XLOOKUP(Logfile_S12[[#This Row],[Material Name]],Sum_WH!E:E,Sum_WH!F:F,"",0)</f>
        <v>Pcs</v>
      </c>
      <c r="N1356" s="221">
        <v>3</v>
      </c>
      <c r="O1356" s="221" t="s">
        <v>2142</v>
      </c>
      <c r="P1356" s="221" t="s">
        <v>3400</v>
      </c>
      <c r="Q1356" s="221"/>
      <c r="R1356" s="221"/>
      <c r="S1356" s="221"/>
      <c r="T1356" s="221" t="s">
        <v>3231</v>
      </c>
      <c r="U1356" s="221">
        <v>0</v>
      </c>
      <c r="V1356" s="221" t="s">
        <v>3232</v>
      </c>
      <c r="W1356" s="221" t="s">
        <v>3254</v>
      </c>
      <c r="X1356" s="221"/>
      <c r="Y1356" s="227"/>
      <c r="Z1356" s="227" t="str">
        <f t="shared" ref="Z1356:Z1419" si="53">P1356</f>
        <v>HUBFEEDER DINOYO SUMBERSEKAR</v>
      </c>
      <c r="AA1356" s="276" t="e">
        <f>VLOOKUP(Logfile_S12[[#This Row],[DO number]],DO_DB!G:I,3,0)</f>
        <v>#N/A</v>
      </c>
      <c r="AB1356" s="331" t="e">
        <f>EXACT(Logfile_S12[[#This Row],[date pick]],Logfile_S12[[#This Row],[Date]])</f>
        <v>#N/A</v>
      </c>
      <c r="AC13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57" spans="1:29" ht="14.5" hidden="1">
      <c r="A1357" s="220" t="str">
        <f t="shared" si="52"/>
        <v>1353</v>
      </c>
      <c r="B1357" s="221"/>
      <c r="C1357" s="221" t="s">
        <v>49</v>
      </c>
      <c r="D1357" s="221" t="s">
        <v>4196</v>
      </c>
      <c r="E1357" s="221" t="s">
        <v>3295</v>
      </c>
      <c r="F1357" s="221" t="s">
        <v>3299</v>
      </c>
      <c r="G1357" s="222">
        <v>45536</v>
      </c>
      <c r="H1357" s="223">
        <v>8.1944444444444445E-2</v>
      </c>
      <c r="I1357" s="221" t="s">
        <v>4916</v>
      </c>
      <c r="J1357" s="221" t="s">
        <v>3023</v>
      </c>
      <c r="K1357" s="224" t="s">
        <v>3072</v>
      </c>
      <c r="L1357" s="225" t="str">
        <f>VLOOKUP(Logfile_S12[[#This Row],[Material Name]],Sheet2!B:C,2,0)</f>
        <v>ZTE1004</v>
      </c>
      <c r="M1357" s="225" t="str">
        <f>_xlfn.XLOOKUP(Logfile_S12[[#This Row],[Material Name]],Sum_WH!E:E,Sum_WH!F:F,"",0)</f>
        <v>Pcs</v>
      </c>
      <c r="N1357" s="221">
        <v>1</v>
      </c>
      <c r="O1357" s="221" t="s">
        <v>1951</v>
      </c>
      <c r="P1357" s="221" t="s">
        <v>3374</v>
      </c>
      <c r="Q1357" s="221"/>
      <c r="R1357" s="221"/>
      <c r="S1357" s="221"/>
      <c r="T1357" s="221" t="s">
        <v>3231</v>
      </c>
      <c r="U1357" s="221">
        <v>0</v>
      </c>
      <c r="V1357" s="221" t="s">
        <v>3232</v>
      </c>
      <c r="W1357" s="221" t="s">
        <v>3254</v>
      </c>
      <c r="X1357" s="221"/>
      <c r="Y1357" s="227"/>
      <c r="Z1357" s="227" t="str">
        <f t="shared" si="53"/>
        <v>SENGGURUH RW 01 MALANG</v>
      </c>
      <c r="AA1357" s="276" t="e">
        <f>VLOOKUP(Logfile_S12[[#This Row],[DO number]],DO_DB!G:I,3,0)</f>
        <v>#N/A</v>
      </c>
      <c r="AB1357" s="331" t="e">
        <f>EXACT(Logfile_S12[[#This Row],[date pick]],Logfile_S12[[#This Row],[Date]])</f>
        <v>#N/A</v>
      </c>
      <c r="AC13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58" spans="1:29" ht="14.5" hidden="1">
      <c r="A1358" s="220" t="str">
        <f t="shared" si="52"/>
        <v>1354</v>
      </c>
      <c r="B1358" s="221"/>
      <c r="C1358" s="221" t="s">
        <v>49</v>
      </c>
      <c r="D1358" s="221" t="s">
        <v>4205</v>
      </c>
      <c r="E1358" s="221" t="s">
        <v>3295</v>
      </c>
      <c r="F1358" s="221" t="s">
        <v>3299</v>
      </c>
      <c r="G1358" s="222">
        <v>45540</v>
      </c>
      <c r="H1358" s="223">
        <v>8.1944444444444445E-2</v>
      </c>
      <c r="I1358" s="221" t="s">
        <v>4916</v>
      </c>
      <c r="J1358" s="221" t="s">
        <v>3023</v>
      </c>
      <c r="K1358" s="224" t="s">
        <v>3072</v>
      </c>
      <c r="L1358" s="225" t="str">
        <f>VLOOKUP(Logfile_S12[[#This Row],[Material Name]],Sheet2!B:C,2,0)</f>
        <v>ZTE1004</v>
      </c>
      <c r="M1358" s="225" t="str">
        <f>_xlfn.XLOOKUP(Logfile_S12[[#This Row],[Material Name]],Sum_WH!E:E,Sum_WH!F:F,"",0)</f>
        <v>Pcs</v>
      </c>
      <c r="N1358" s="221">
        <v>1</v>
      </c>
      <c r="O1358" s="221" t="s">
        <v>1955</v>
      </c>
      <c r="P1358" s="221" t="s">
        <v>3512</v>
      </c>
      <c r="Q1358" s="221"/>
      <c r="R1358" s="221"/>
      <c r="S1358" s="221"/>
      <c r="T1358" s="221" t="s">
        <v>3231</v>
      </c>
      <c r="U1358" s="221">
        <v>0</v>
      </c>
      <c r="V1358" s="221" t="s">
        <v>3232</v>
      </c>
      <c r="W1358" s="221" t="s">
        <v>3254</v>
      </c>
      <c r="X1358" s="221"/>
      <c r="Y1358" s="227"/>
      <c r="Z1358" s="227" t="str">
        <f t="shared" si="53"/>
        <v>SENGGURUH RW 02 MALANG</v>
      </c>
      <c r="AA1358" s="276" t="e">
        <f>VLOOKUP(Logfile_S12[[#This Row],[DO number]],DO_DB!G:I,3,0)</f>
        <v>#N/A</v>
      </c>
      <c r="AB1358" s="331" t="e">
        <f>EXACT(Logfile_S12[[#This Row],[date pick]],Logfile_S12[[#This Row],[Date]])</f>
        <v>#N/A</v>
      </c>
      <c r="AC13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59" spans="1:29" ht="14.5" hidden="1">
      <c r="A1359" s="220" t="str">
        <f t="shared" si="52"/>
        <v>1355</v>
      </c>
      <c r="B1359" s="221"/>
      <c r="C1359" s="221" t="s">
        <v>3313</v>
      </c>
      <c r="D1359" s="221" t="s">
        <v>4223</v>
      </c>
      <c r="E1359" s="221" t="s">
        <v>3295</v>
      </c>
      <c r="F1359" s="221" t="s">
        <v>3299</v>
      </c>
      <c r="G1359" s="222">
        <v>45554</v>
      </c>
      <c r="H1359" s="223">
        <v>15.291666666666666</v>
      </c>
      <c r="I1359" s="221" t="s">
        <v>4917</v>
      </c>
      <c r="J1359" s="221" t="s">
        <v>3023</v>
      </c>
      <c r="K1359" s="224" t="s">
        <v>3072</v>
      </c>
      <c r="L1359" s="225" t="str">
        <f>VLOOKUP(Logfile_S12[[#This Row],[Material Name]],Sheet2!B:C,2,0)</f>
        <v>ZTE1004</v>
      </c>
      <c r="M1359" s="225" t="str">
        <f>_xlfn.XLOOKUP(Logfile_S12[[#This Row],[Material Name]],Sum_WH!E:E,Sum_WH!F:F,"",0)</f>
        <v>Pcs</v>
      </c>
      <c r="N1359" s="221">
        <v>1</v>
      </c>
      <c r="O1359" s="221" t="s">
        <v>3314</v>
      </c>
      <c r="P1359" s="221" t="s">
        <v>68</v>
      </c>
      <c r="Q1359" s="221">
        <v>0</v>
      </c>
      <c r="R1359" s="221" t="s">
        <v>3147</v>
      </c>
      <c r="S1359" s="221"/>
      <c r="T1359" s="221"/>
      <c r="U1359" s="221"/>
      <c r="V1359" s="221"/>
      <c r="W1359" s="221"/>
      <c r="X1359" s="221"/>
      <c r="Y1359" s="227"/>
      <c r="Z1359" s="227" t="str">
        <f t="shared" si="53"/>
        <v>Blitar</v>
      </c>
      <c r="AA1359" s="276" t="e">
        <f>VLOOKUP(Logfile_S12[[#This Row],[DO number]],DO_DB!G:I,3,0)</f>
        <v>#N/A</v>
      </c>
      <c r="AB1359" s="331" t="e">
        <f>EXACT(Logfile_S12[[#This Row],[date pick]],Logfile_S12[[#This Row],[Date]])</f>
        <v>#N/A</v>
      </c>
      <c r="AC13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60" spans="1:29" ht="14.5" hidden="1">
      <c r="A1360" s="220" t="str">
        <f t="shared" si="52"/>
        <v>1356</v>
      </c>
      <c r="B1360" s="221"/>
      <c r="C1360" s="221" t="s">
        <v>48</v>
      </c>
      <c r="D1360" s="221" t="s">
        <v>4228</v>
      </c>
      <c r="E1360" s="221" t="s">
        <v>3295</v>
      </c>
      <c r="F1360" s="221" t="s">
        <v>3299</v>
      </c>
      <c r="G1360" s="222">
        <v>45555</v>
      </c>
      <c r="H1360" s="223">
        <v>15.291666666666666</v>
      </c>
      <c r="I1360" s="221" t="s">
        <v>37</v>
      </c>
      <c r="J1360" s="221" t="s">
        <v>3023</v>
      </c>
      <c r="K1360" s="224" t="s">
        <v>3072</v>
      </c>
      <c r="L1360" s="225" t="str">
        <f>VLOOKUP(Logfile_S12[[#This Row],[Material Name]],Sheet2!B:C,2,0)</f>
        <v>ZTE1004</v>
      </c>
      <c r="M1360" s="225" t="str">
        <f>_xlfn.XLOOKUP(Logfile_S12[[#This Row],[Material Name]],Sum_WH!E:E,Sum_WH!F:F,"",0)</f>
        <v>Pcs</v>
      </c>
      <c r="N1360" s="221">
        <v>4</v>
      </c>
      <c r="O1360" s="221"/>
      <c r="P1360" s="221"/>
      <c r="Q1360" s="221">
        <v>0</v>
      </c>
      <c r="R1360" s="221">
        <v>0</v>
      </c>
      <c r="S1360" s="221"/>
      <c r="T1360" s="221"/>
      <c r="U1360" s="221"/>
      <c r="V1360" s="221"/>
      <c r="W1360" s="221"/>
      <c r="X1360" s="221"/>
      <c r="Y1360" s="227"/>
      <c r="Z1360" s="227">
        <f t="shared" si="53"/>
        <v>0</v>
      </c>
      <c r="AA1360" s="276" t="e">
        <f>VLOOKUP(Logfile_S12[[#This Row],[DO number]],DO_DB!G:I,3,0)</f>
        <v>#N/A</v>
      </c>
      <c r="AB1360" s="331" t="e">
        <f>EXACT(Logfile_S12[[#This Row],[date pick]],Logfile_S12[[#This Row],[Date]])</f>
        <v>#N/A</v>
      </c>
      <c r="AC13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61" spans="1:29" ht="14.5" hidden="1">
      <c r="A1361" s="220" t="str">
        <f t="shared" si="52"/>
        <v>1357</v>
      </c>
      <c r="B1361" s="221"/>
      <c r="C1361" s="221" t="s">
        <v>49</v>
      </c>
      <c r="D1361" s="221" t="s">
        <v>4242</v>
      </c>
      <c r="E1361" s="221" t="s">
        <v>3295</v>
      </c>
      <c r="F1361" s="221" t="s">
        <v>3299</v>
      </c>
      <c r="G1361" s="222">
        <v>45563</v>
      </c>
      <c r="H1361" s="223">
        <v>0.79027777777777775</v>
      </c>
      <c r="I1361" s="221" t="s">
        <v>4916</v>
      </c>
      <c r="J1361" s="221" t="s">
        <v>3023</v>
      </c>
      <c r="K1361" s="224" t="s">
        <v>3072</v>
      </c>
      <c r="L1361" s="225" t="str">
        <f>VLOOKUP(Logfile_S12[[#This Row],[Material Name]],Sheet2!B:C,2,0)</f>
        <v>ZTE1004</v>
      </c>
      <c r="M1361" s="225" t="str">
        <f>_xlfn.XLOOKUP(Logfile_S12[[#This Row],[Material Name]],Sum_WH!E:E,Sum_WH!F:F,"",0)</f>
        <v>Pcs</v>
      </c>
      <c r="N1361" s="221">
        <v>1</v>
      </c>
      <c r="O1361" s="221" t="s">
        <v>2166</v>
      </c>
      <c r="P1361" s="221" t="s">
        <v>2167</v>
      </c>
      <c r="Q1361" s="221"/>
      <c r="R1361" s="221"/>
      <c r="S1361" s="221"/>
      <c r="T1361" s="221" t="s">
        <v>3356</v>
      </c>
      <c r="U1361" s="221">
        <v>0</v>
      </c>
      <c r="V1361" s="221" t="s">
        <v>3357</v>
      </c>
      <c r="W1361" s="221" t="s">
        <v>3358</v>
      </c>
      <c r="X1361" s="221"/>
      <c r="Y1361" s="227"/>
      <c r="Z1361" s="227" t="str">
        <f t="shared" si="53"/>
        <v>Dusun Mojosari Ngenep</v>
      </c>
      <c r="AA1361" s="276" t="e">
        <f>VLOOKUP(Logfile_S12[[#This Row],[DO number]],DO_DB!G:I,3,0)</f>
        <v>#N/A</v>
      </c>
      <c r="AB1361" s="331" t="e">
        <f>EXACT(Logfile_S12[[#This Row],[date pick]],Logfile_S12[[#This Row],[Date]])</f>
        <v>#N/A</v>
      </c>
      <c r="AC13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62" spans="1:29" ht="14.5" hidden="1">
      <c r="A1362" s="220" t="str">
        <f t="shared" si="52"/>
        <v>1358</v>
      </c>
      <c r="B1362" s="221"/>
      <c r="C1362" s="221" t="s">
        <v>49</v>
      </c>
      <c r="D1362" s="221" t="s">
        <v>4247</v>
      </c>
      <c r="E1362" s="221" t="s">
        <v>3295</v>
      </c>
      <c r="F1362" s="221" t="s">
        <v>3299</v>
      </c>
      <c r="G1362" s="222">
        <v>45571</v>
      </c>
      <c r="H1362" s="223">
        <v>0.79166666666666663</v>
      </c>
      <c r="I1362" s="221" t="s">
        <v>4916</v>
      </c>
      <c r="J1362" s="221" t="s">
        <v>3023</v>
      </c>
      <c r="K1362" s="224" t="s">
        <v>3072</v>
      </c>
      <c r="L1362" s="225" t="str">
        <f>VLOOKUP(Logfile_S12[[#This Row],[Material Name]],Sheet2!B:C,2,0)</f>
        <v>ZTE1004</v>
      </c>
      <c r="M1362" s="225" t="str">
        <f>_xlfn.XLOOKUP(Logfile_S12[[#This Row],[Material Name]],Sum_WH!E:E,Sum_WH!F:F,"",0)</f>
        <v>Pcs</v>
      </c>
      <c r="N1362" s="221">
        <v>2</v>
      </c>
      <c r="O1362" s="221" t="s">
        <v>2142</v>
      </c>
      <c r="P1362" s="221" t="s">
        <v>3400</v>
      </c>
      <c r="Q1362" s="221"/>
      <c r="R1362" s="221"/>
      <c r="S1362" s="221"/>
      <c r="T1362" s="221" t="s">
        <v>3356</v>
      </c>
      <c r="U1362" s="221">
        <v>0</v>
      </c>
      <c r="V1362" s="221" t="s">
        <v>3357</v>
      </c>
      <c r="W1362" s="221" t="s">
        <v>3358</v>
      </c>
      <c r="X1362" s="221" t="s">
        <v>4248</v>
      </c>
      <c r="Y1362" s="227"/>
      <c r="Z1362" s="227" t="str">
        <f t="shared" si="53"/>
        <v>HUBFEEDER DINOYO SUMBERSEKAR</v>
      </c>
      <c r="AA1362" s="276" t="e">
        <f>VLOOKUP(Logfile_S12[[#This Row],[DO number]],DO_DB!G:I,3,0)</f>
        <v>#N/A</v>
      </c>
      <c r="AB1362" s="331" t="e">
        <f>EXACT(Logfile_S12[[#This Row],[date pick]],Logfile_S12[[#This Row],[Date]])</f>
        <v>#N/A</v>
      </c>
      <c r="AC13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63" spans="1:29" ht="14.5" hidden="1">
      <c r="A1363" s="220" t="str">
        <f t="shared" si="52"/>
        <v>1359</v>
      </c>
      <c r="B1363" s="221"/>
      <c r="C1363" s="221" t="s">
        <v>48</v>
      </c>
      <c r="D1363" s="221" t="s">
        <v>4255</v>
      </c>
      <c r="E1363" s="221" t="s">
        <v>3295</v>
      </c>
      <c r="F1363" s="221" t="s">
        <v>3299</v>
      </c>
      <c r="G1363" s="222">
        <v>45588</v>
      </c>
      <c r="H1363" s="223">
        <v>15.291666666666666</v>
      </c>
      <c r="I1363" s="221" t="s">
        <v>37</v>
      </c>
      <c r="J1363" s="221" t="s">
        <v>3023</v>
      </c>
      <c r="K1363" s="224" t="s">
        <v>3072</v>
      </c>
      <c r="L1363" s="225" t="str">
        <f>VLOOKUP(Logfile_S12[[#This Row],[Material Name]],Sheet2!B:C,2,0)</f>
        <v>ZTE1004</v>
      </c>
      <c r="M1363" s="225" t="str">
        <f>_xlfn.XLOOKUP(Logfile_S12[[#This Row],[Material Name]],Sum_WH!E:E,Sum_WH!F:F,"",0)</f>
        <v>Pcs</v>
      </c>
      <c r="N1363" s="221">
        <v>3</v>
      </c>
      <c r="O1363" s="221"/>
      <c r="P1363" s="221"/>
      <c r="Q1363" s="221">
        <v>0</v>
      </c>
      <c r="R1363" s="221">
        <v>0</v>
      </c>
      <c r="S1363" s="221"/>
      <c r="T1363" s="221"/>
      <c r="U1363" s="221"/>
      <c r="V1363" s="221"/>
      <c r="W1363" s="221"/>
      <c r="X1363" s="221"/>
      <c r="Y1363" s="227"/>
      <c r="Z1363" s="227">
        <f t="shared" si="53"/>
        <v>0</v>
      </c>
      <c r="AA1363" s="276" t="e">
        <f>VLOOKUP(Logfile_S12[[#This Row],[DO number]],DO_DB!G:I,3,0)</f>
        <v>#N/A</v>
      </c>
      <c r="AB1363" s="331" t="e">
        <f>EXACT(Logfile_S12[[#This Row],[date pick]],Logfile_S12[[#This Row],[Date]])</f>
        <v>#N/A</v>
      </c>
      <c r="AC13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64" spans="1:29" ht="14.5" hidden="1">
      <c r="A1364" s="220" t="str">
        <f t="shared" si="52"/>
        <v>1360</v>
      </c>
      <c r="B1364" s="221"/>
      <c r="C1364" s="221" t="s">
        <v>49</v>
      </c>
      <c r="D1364" s="221" t="s">
        <v>4269</v>
      </c>
      <c r="E1364" s="221" t="s">
        <v>3295</v>
      </c>
      <c r="F1364" s="221" t="s">
        <v>3299</v>
      </c>
      <c r="G1364" s="222">
        <v>45597</v>
      </c>
      <c r="H1364" s="223">
        <v>0.3923611111111111</v>
      </c>
      <c r="I1364" s="221" t="s">
        <v>4916</v>
      </c>
      <c r="J1364" s="221" t="s">
        <v>3023</v>
      </c>
      <c r="K1364" s="224" t="s">
        <v>3072</v>
      </c>
      <c r="L1364" s="225" t="str">
        <f>VLOOKUP(Logfile_S12[[#This Row],[Material Name]],Sheet2!B:C,2,0)</f>
        <v>ZTE1004</v>
      </c>
      <c r="M1364" s="225" t="str">
        <f>_xlfn.XLOOKUP(Logfile_S12[[#This Row],[Material Name]],Sum_WH!E:E,Sum_WH!F:F,"",0)</f>
        <v>Pcs</v>
      </c>
      <c r="N1364" s="221">
        <v>1</v>
      </c>
      <c r="O1364" s="221" t="s">
        <v>2322</v>
      </c>
      <c r="P1364" s="221" t="s">
        <v>3403</v>
      </c>
      <c r="Q1364" s="221"/>
      <c r="R1364" s="221"/>
      <c r="S1364" s="221"/>
      <c r="T1364" s="221" t="s">
        <v>3356</v>
      </c>
      <c r="U1364" s="221" t="s">
        <v>3228</v>
      </c>
      <c r="V1364" s="221" t="s">
        <v>3357</v>
      </c>
      <c r="W1364" s="221" t="s">
        <v>3358</v>
      </c>
      <c r="X1364" s="221"/>
      <c r="Y1364" s="227"/>
      <c r="Z1364" s="227" t="str">
        <f t="shared" si="53"/>
        <v>Mainfeeder Singosari Segment 3</v>
      </c>
      <c r="AA1364" s="276" t="e">
        <f>VLOOKUP(Logfile_S12[[#This Row],[DO number]],DO_DB!G:I,3,0)</f>
        <v>#N/A</v>
      </c>
      <c r="AB1364" s="331" t="e">
        <f>EXACT(Logfile_S12[[#This Row],[date pick]],Logfile_S12[[#This Row],[Date]])</f>
        <v>#N/A</v>
      </c>
      <c r="AC13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65" spans="1:29" ht="14.5" hidden="1">
      <c r="A1365" s="220" t="str">
        <f t="shared" si="52"/>
        <v>1361</v>
      </c>
      <c r="B1365" s="221"/>
      <c r="C1365" s="221" t="s">
        <v>48</v>
      </c>
      <c r="D1365" s="221" t="s">
        <v>4272</v>
      </c>
      <c r="E1365" s="221" t="s">
        <v>3295</v>
      </c>
      <c r="F1365" s="221" t="s">
        <v>3299</v>
      </c>
      <c r="G1365" s="222">
        <v>45602</v>
      </c>
      <c r="H1365" s="223">
        <v>15.291666666666666</v>
      </c>
      <c r="I1365" s="221" t="s">
        <v>37</v>
      </c>
      <c r="J1365" s="221" t="s">
        <v>3023</v>
      </c>
      <c r="K1365" s="224" t="s">
        <v>3072</v>
      </c>
      <c r="L1365" s="225" t="str">
        <f>VLOOKUP(Logfile_S12[[#This Row],[Material Name]],Sheet2!B:C,2,0)</f>
        <v>ZTE1004</v>
      </c>
      <c r="M1365" s="225" t="str">
        <f>_xlfn.XLOOKUP(Logfile_S12[[#This Row],[Material Name]],Sum_WH!E:E,Sum_WH!F:F,"",0)</f>
        <v>Pcs</v>
      </c>
      <c r="N1365" s="221">
        <v>1</v>
      </c>
      <c r="O1365" s="221" t="s">
        <v>2354</v>
      </c>
      <c r="P1365" s="221" t="s">
        <v>3407</v>
      </c>
      <c r="Q1365" s="221" t="s">
        <v>2356</v>
      </c>
      <c r="R1365" s="221" t="s">
        <v>2357</v>
      </c>
      <c r="S1365" s="221"/>
      <c r="T1365" s="221"/>
      <c r="U1365" s="221"/>
      <c r="V1365" s="221"/>
      <c r="W1365" s="221"/>
      <c r="X1365" s="221"/>
      <c r="Y1365" s="227"/>
      <c r="Z1365" s="227" t="str">
        <f t="shared" si="53"/>
        <v>HUBFEEDER KLAMPOK</v>
      </c>
      <c r="AA1365" s="276">
        <f>VLOOKUP(Logfile_S12[[#This Row],[DO number]],DO_DB!G:I,3,0)</f>
        <v>45602</v>
      </c>
      <c r="AB1365" s="331" t="b">
        <f>EXACT(Logfile_S12[[#This Row],[date pick]],Logfile_S12[[#This Row],[Date]])</f>
        <v>1</v>
      </c>
      <c r="AC13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66" spans="1:29" ht="14.5" hidden="1">
      <c r="A1366" s="220" t="str">
        <f t="shared" si="52"/>
        <v>1362</v>
      </c>
      <c r="B1366" s="221"/>
      <c r="C1366" s="221" t="s">
        <v>3449</v>
      </c>
      <c r="D1366" s="221" t="s">
        <v>4275</v>
      </c>
      <c r="E1366" s="221" t="s">
        <v>3295</v>
      </c>
      <c r="F1366" s="221" t="s">
        <v>3299</v>
      </c>
      <c r="G1366" s="222">
        <v>45609</v>
      </c>
      <c r="H1366" s="223">
        <v>0.5625</v>
      </c>
      <c r="I1366" s="221" t="s">
        <v>3193</v>
      </c>
      <c r="J1366" s="221" t="s">
        <v>3023</v>
      </c>
      <c r="K1366" s="224" t="s">
        <v>3072</v>
      </c>
      <c r="L1366" s="225" t="str">
        <f>VLOOKUP(Logfile_S12[[#This Row],[Material Name]],Sheet2!B:C,2,0)</f>
        <v>ZTE1004</v>
      </c>
      <c r="M1366" s="225" t="str">
        <f>_xlfn.XLOOKUP(Logfile_S12[[#This Row],[Material Name]],Sum_WH!E:E,Sum_WH!F:F,"",0)</f>
        <v>Pcs</v>
      </c>
      <c r="N1366" s="221">
        <v>2</v>
      </c>
      <c r="O1366" s="221" t="s">
        <v>3433</v>
      </c>
      <c r="P1366" s="221" t="s">
        <v>3450</v>
      </c>
      <c r="Q1366" s="221"/>
      <c r="R1366" s="221"/>
      <c r="S1366" s="221"/>
      <c r="T1366" s="221" t="s">
        <v>3451</v>
      </c>
      <c r="U1366" s="221">
        <v>0</v>
      </c>
      <c r="V1366" s="221" t="s">
        <v>3452</v>
      </c>
      <c r="W1366" s="221" t="s">
        <v>3453</v>
      </c>
      <c r="X1366" s="221" t="s">
        <v>3454</v>
      </c>
      <c r="Y1366" s="227"/>
      <c r="Z1366" s="227" t="str">
        <f t="shared" si="53"/>
        <v>BEAUT</v>
      </c>
      <c r="AA1366" s="276" t="e">
        <f>VLOOKUP(Logfile_S12[[#This Row],[DO number]],DO_DB!G:I,3,0)</f>
        <v>#N/A</v>
      </c>
      <c r="AB1366" s="331" t="e">
        <f>EXACT(Logfile_S12[[#This Row],[date pick]],Logfile_S12[[#This Row],[Date]])</f>
        <v>#N/A</v>
      </c>
      <c r="AC13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367" spans="1:29" ht="14.5" hidden="1">
      <c r="A1367" s="220" t="str">
        <f t="shared" si="52"/>
        <v>1363</v>
      </c>
      <c r="B1367" s="221"/>
      <c r="C1367" s="221" t="s">
        <v>3429</v>
      </c>
      <c r="D1367" s="221" t="s">
        <v>4287</v>
      </c>
      <c r="E1367" s="221" t="s">
        <v>3295</v>
      </c>
      <c r="F1367" s="221" t="s">
        <v>3299</v>
      </c>
      <c r="G1367" s="222">
        <v>45621</v>
      </c>
      <c r="H1367" s="223">
        <v>15.291666666666666</v>
      </c>
      <c r="I1367" s="221" t="s">
        <v>3193</v>
      </c>
      <c r="J1367" s="221" t="s">
        <v>3023</v>
      </c>
      <c r="K1367" s="224" t="s">
        <v>3072</v>
      </c>
      <c r="L1367" s="225" t="str">
        <f>VLOOKUP(Logfile_S12[[#This Row],[Material Name]],Sheet2!B:C,2,0)</f>
        <v>ZTE1004</v>
      </c>
      <c r="M1367" s="225" t="str">
        <f>_xlfn.XLOOKUP(Logfile_S12[[#This Row],[Material Name]],Sum_WH!E:E,Sum_WH!F:F,"",0)</f>
        <v>Pcs</v>
      </c>
      <c r="N1367" s="221">
        <v>1</v>
      </c>
      <c r="O1367" s="221" t="s">
        <v>3433</v>
      </c>
      <c r="P1367" s="221" t="s">
        <v>3450</v>
      </c>
      <c r="Q1367" s="221">
        <v>0</v>
      </c>
      <c r="R1367" s="221">
        <v>0</v>
      </c>
      <c r="S1367" s="221"/>
      <c r="T1367" s="221"/>
      <c r="U1367" s="221"/>
      <c r="V1367" s="221"/>
      <c r="W1367" s="221"/>
      <c r="X1367" s="221" t="s">
        <v>3455</v>
      </c>
      <c r="Y1367" s="227"/>
      <c r="Z1367" s="227" t="str">
        <f t="shared" si="53"/>
        <v>BEAUT</v>
      </c>
      <c r="AA1367" s="276" t="e">
        <f>VLOOKUP(Logfile_S12[[#This Row],[DO number]],DO_DB!G:I,3,0)</f>
        <v>#N/A</v>
      </c>
      <c r="AB1367" s="331" t="e">
        <f>EXACT(Logfile_S12[[#This Row],[date pick]],Logfile_S12[[#This Row],[Date]])</f>
        <v>#N/A</v>
      </c>
      <c r="AC13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68" spans="1:29" ht="14.5" hidden="1">
      <c r="A1368" s="220" t="str">
        <f t="shared" si="52"/>
        <v>1364</v>
      </c>
      <c r="B1368" s="221"/>
      <c r="C1368" s="221" t="s">
        <v>48</v>
      </c>
      <c r="D1368" s="221" t="s">
        <v>4290</v>
      </c>
      <c r="E1368" s="221" t="s">
        <v>3295</v>
      </c>
      <c r="F1368" s="221" t="s">
        <v>3299</v>
      </c>
      <c r="G1368" s="222">
        <v>45622</v>
      </c>
      <c r="H1368" s="223">
        <v>15.291666666666666</v>
      </c>
      <c r="I1368" s="221" t="s">
        <v>37</v>
      </c>
      <c r="J1368" s="221" t="s">
        <v>3023</v>
      </c>
      <c r="K1368" s="224" t="s">
        <v>3072</v>
      </c>
      <c r="L1368" s="225" t="str">
        <f>VLOOKUP(Logfile_S12[[#This Row],[Material Name]],Sheet2!B:C,2,0)</f>
        <v>ZTE1004</v>
      </c>
      <c r="M1368" s="225" t="str">
        <f>_xlfn.XLOOKUP(Logfile_S12[[#This Row],[Material Name]],Sum_WH!E:E,Sum_WH!F:F,"",0)</f>
        <v>Pcs</v>
      </c>
      <c r="N1368" s="221">
        <v>1</v>
      </c>
      <c r="O1368" s="221" t="s">
        <v>2520</v>
      </c>
      <c r="P1368" s="221" t="s">
        <v>2521</v>
      </c>
      <c r="Q1368" s="221" t="s">
        <v>2522</v>
      </c>
      <c r="R1368" s="221" t="s">
        <v>2523</v>
      </c>
      <c r="S1368" s="221"/>
      <c r="T1368" s="221"/>
      <c r="U1368" s="221"/>
      <c r="V1368" s="221"/>
      <c r="W1368" s="221"/>
      <c r="X1368" s="221"/>
      <c r="Y1368" s="227"/>
      <c r="Z1368" s="227" t="str">
        <f t="shared" si="53"/>
        <v>Perumahan Bukit Lawang Indah Malang</v>
      </c>
      <c r="AA1368" s="276">
        <f>VLOOKUP(Logfile_S12[[#This Row],[DO number]],DO_DB!G:I,3,0)</f>
        <v>45622</v>
      </c>
      <c r="AB1368" s="331" t="b">
        <f>EXACT(Logfile_S12[[#This Row],[date pick]],Logfile_S12[[#This Row],[Date]])</f>
        <v>1</v>
      </c>
      <c r="AC13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69" spans="1:29" ht="14.5" hidden="1">
      <c r="A1369" s="220" t="str">
        <f t="shared" si="52"/>
        <v>1365</v>
      </c>
      <c r="B1369" s="221"/>
      <c r="C1369" s="221" t="s">
        <v>49</v>
      </c>
      <c r="D1369" s="221" t="s">
        <v>4294</v>
      </c>
      <c r="E1369" s="221" t="s">
        <v>3295</v>
      </c>
      <c r="F1369" s="221" t="s">
        <v>3299</v>
      </c>
      <c r="G1369" s="222">
        <v>45624</v>
      </c>
      <c r="H1369" s="223">
        <v>0.3923611111111111</v>
      </c>
      <c r="I1369" s="221" t="s">
        <v>4916</v>
      </c>
      <c r="J1369" s="221" t="s">
        <v>3023</v>
      </c>
      <c r="K1369" s="224" t="s">
        <v>3072</v>
      </c>
      <c r="L1369" s="225" t="str">
        <f>VLOOKUP(Logfile_S12[[#This Row],[Material Name]],Sheet2!B:C,2,0)</f>
        <v>ZTE1004</v>
      </c>
      <c r="M1369" s="225" t="str">
        <f>_xlfn.XLOOKUP(Logfile_S12[[#This Row],[Material Name]],Sum_WH!E:E,Sum_WH!F:F,"",0)</f>
        <v>Pcs</v>
      </c>
      <c r="N1369" s="221">
        <v>1</v>
      </c>
      <c r="O1369" s="221" t="s">
        <v>2502</v>
      </c>
      <c r="P1369" s="221" t="s">
        <v>2503</v>
      </c>
      <c r="Q1369" s="221"/>
      <c r="R1369" s="221"/>
      <c r="S1369" s="221"/>
      <c r="T1369" s="221" t="s">
        <v>3356</v>
      </c>
      <c r="U1369" s="221" t="s">
        <v>3228</v>
      </c>
      <c r="V1369" s="221" t="s">
        <v>3357</v>
      </c>
      <c r="W1369" s="221" t="s">
        <v>3358</v>
      </c>
      <c r="X1369" s="221"/>
      <c r="Y1369" s="227"/>
      <c r="Z1369" s="227" t="str">
        <f t="shared" si="53"/>
        <v>Bedali RW 03 Kromengan</v>
      </c>
      <c r="AA1369" s="276" t="e">
        <f>VLOOKUP(Logfile_S12[[#This Row],[DO number]],DO_DB!G:I,3,0)</f>
        <v>#N/A</v>
      </c>
      <c r="AB1369" s="331" t="e">
        <f>EXACT(Logfile_S12[[#This Row],[date pick]],Logfile_S12[[#This Row],[Date]])</f>
        <v>#N/A</v>
      </c>
      <c r="AC13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70" spans="1:29" ht="14.5" hidden="1">
      <c r="A1370" s="220" t="str">
        <f t="shared" si="52"/>
        <v>1366</v>
      </c>
      <c r="B1370" s="221"/>
      <c r="C1370" s="221" t="s">
        <v>3429</v>
      </c>
      <c r="D1370" s="221" t="s">
        <v>4296</v>
      </c>
      <c r="E1370" s="221" t="s">
        <v>3295</v>
      </c>
      <c r="F1370" s="221" t="s">
        <v>3299</v>
      </c>
      <c r="G1370" s="222">
        <v>45626</v>
      </c>
      <c r="H1370" s="223">
        <v>15.291666666666666</v>
      </c>
      <c r="I1370" s="221" t="s">
        <v>3193</v>
      </c>
      <c r="J1370" s="221" t="s">
        <v>3023</v>
      </c>
      <c r="K1370" s="224" t="s">
        <v>3072</v>
      </c>
      <c r="L1370" s="225" t="str">
        <f>VLOOKUP(Logfile_S12[[#This Row],[Material Name]],Sheet2!B:C,2,0)</f>
        <v>ZTE1004</v>
      </c>
      <c r="M1370" s="225" t="str">
        <f>_xlfn.XLOOKUP(Logfile_S12[[#This Row],[Material Name]],Sum_WH!E:E,Sum_WH!F:F,"",0)</f>
        <v>Pcs</v>
      </c>
      <c r="N1370" s="221">
        <v>1</v>
      </c>
      <c r="O1370" s="221" t="s">
        <v>3433</v>
      </c>
      <c r="P1370" s="221" t="s">
        <v>3450</v>
      </c>
      <c r="Q1370" s="221">
        <v>0</v>
      </c>
      <c r="R1370" s="221">
        <v>0</v>
      </c>
      <c r="S1370" s="221"/>
      <c r="T1370" s="221"/>
      <c r="U1370" s="221"/>
      <c r="V1370" s="221"/>
      <c r="W1370" s="221"/>
      <c r="X1370" s="221" t="s">
        <v>3455</v>
      </c>
      <c r="Y1370" s="227"/>
      <c r="Z1370" s="227" t="str">
        <f t="shared" si="53"/>
        <v>BEAUT</v>
      </c>
      <c r="AA1370" s="276" t="e">
        <f>VLOOKUP(Logfile_S12[[#This Row],[DO number]],DO_DB!G:I,3,0)</f>
        <v>#N/A</v>
      </c>
      <c r="AB1370" s="331" t="e">
        <f>EXACT(Logfile_S12[[#This Row],[date pick]],Logfile_S12[[#This Row],[Date]])</f>
        <v>#N/A</v>
      </c>
      <c r="AC13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71" spans="1:29" ht="14.5" hidden="1">
      <c r="A1371" s="220" t="str">
        <f t="shared" si="52"/>
        <v>1367</v>
      </c>
      <c r="B1371" s="221"/>
      <c r="C1371" s="221" t="s">
        <v>48</v>
      </c>
      <c r="D1371" s="221" t="s">
        <v>4308</v>
      </c>
      <c r="E1371" s="221" t="s">
        <v>3295</v>
      </c>
      <c r="F1371" s="221" t="s">
        <v>3299</v>
      </c>
      <c r="G1371" s="222">
        <v>45643</v>
      </c>
      <c r="H1371" s="223">
        <v>15.291666666666666</v>
      </c>
      <c r="I1371" s="221" t="s">
        <v>37</v>
      </c>
      <c r="J1371" s="221" t="s">
        <v>3023</v>
      </c>
      <c r="K1371" s="224" t="s">
        <v>3072</v>
      </c>
      <c r="L1371" s="225" t="str">
        <f>VLOOKUP(Logfile_S12[[#This Row],[Material Name]],Sheet2!B:C,2,0)</f>
        <v>ZTE1004</v>
      </c>
      <c r="M1371" s="225" t="str">
        <f>_xlfn.XLOOKUP(Logfile_S12[[#This Row],[Material Name]],Sum_WH!E:E,Sum_WH!F:F,"",0)</f>
        <v>Pcs</v>
      </c>
      <c r="N1371" s="221">
        <v>1</v>
      </c>
      <c r="O1371" s="221"/>
      <c r="P1371" s="221"/>
      <c r="Q1371" s="221">
        <v>0</v>
      </c>
      <c r="R1371" s="221">
        <v>0</v>
      </c>
      <c r="S1371" s="221"/>
      <c r="T1371" s="221"/>
      <c r="U1371" s="221"/>
      <c r="V1371" s="221"/>
      <c r="W1371" s="221"/>
      <c r="X1371" s="221"/>
      <c r="Y1371" s="227"/>
      <c r="Z1371" s="227">
        <f t="shared" si="53"/>
        <v>0</v>
      </c>
      <c r="AA1371" s="276" t="e">
        <f>VLOOKUP(Logfile_S12[[#This Row],[DO number]],DO_DB!G:I,3,0)</f>
        <v>#N/A</v>
      </c>
      <c r="AB1371" s="331" t="e">
        <f>EXACT(Logfile_S12[[#This Row],[date pick]],Logfile_S12[[#This Row],[Date]])</f>
        <v>#N/A</v>
      </c>
      <c r="AC13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72" spans="1:29" ht="14.5" hidden="1">
      <c r="A1372" s="220" t="str">
        <f t="shared" si="52"/>
        <v>1368</v>
      </c>
      <c r="B1372" s="221"/>
      <c r="C1372" s="221" t="s">
        <v>49</v>
      </c>
      <c r="D1372" s="221" t="s">
        <v>4307</v>
      </c>
      <c r="E1372" s="221" t="s">
        <v>3295</v>
      </c>
      <c r="F1372" s="221" t="s">
        <v>3299</v>
      </c>
      <c r="G1372" s="222">
        <v>45643</v>
      </c>
      <c r="H1372" s="223">
        <v>0.87708333333333333</v>
      </c>
      <c r="I1372" s="221" t="s">
        <v>4916</v>
      </c>
      <c r="J1372" s="221" t="s">
        <v>3023</v>
      </c>
      <c r="K1372" s="224" t="s">
        <v>3072</v>
      </c>
      <c r="L1372" s="225" t="str">
        <f>VLOOKUP(Logfile_S12[[#This Row],[Material Name]],Sheet2!B:C,2,0)</f>
        <v>ZTE1004</v>
      </c>
      <c r="M1372" s="225" t="str">
        <f>_xlfn.XLOOKUP(Logfile_S12[[#This Row],[Material Name]],Sum_WH!E:E,Sum_WH!F:F,"",0)</f>
        <v>Pcs</v>
      </c>
      <c r="N1372" s="221">
        <v>1</v>
      </c>
      <c r="O1372" s="221" t="s">
        <v>2535</v>
      </c>
      <c r="P1372" s="221" t="s">
        <v>3422</v>
      </c>
      <c r="Q1372" s="221"/>
      <c r="R1372" s="221"/>
      <c r="S1372" s="221"/>
      <c r="T1372" s="221" t="s">
        <v>3356</v>
      </c>
      <c r="U1372" s="221">
        <v>0</v>
      </c>
      <c r="V1372" s="221">
        <v>0</v>
      </c>
      <c r="W1372" s="221" t="s">
        <v>3358</v>
      </c>
      <c r="X1372" s="221"/>
      <c r="Y1372" s="227"/>
      <c r="Z1372" s="227" t="str">
        <f t="shared" si="53"/>
        <v>DUSUN CUPAK RW 01</v>
      </c>
      <c r="AA1372" s="276" t="e">
        <f>VLOOKUP(Logfile_S12[[#This Row],[DO number]],DO_DB!G:I,3,0)</f>
        <v>#N/A</v>
      </c>
      <c r="AB1372" s="331" t="e">
        <f>EXACT(Logfile_S12[[#This Row],[date pick]],Logfile_S12[[#This Row],[Date]])</f>
        <v>#N/A</v>
      </c>
      <c r="AC13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73" spans="1:29" ht="14.5" hidden="1">
      <c r="A1373" s="220" t="str">
        <f t="shared" si="52"/>
        <v>1369</v>
      </c>
      <c r="B1373" s="221"/>
      <c r="C1373" s="221" t="s">
        <v>49</v>
      </c>
      <c r="D1373" s="221" t="s">
        <v>4322</v>
      </c>
      <c r="E1373" s="221" t="s">
        <v>3295</v>
      </c>
      <c r="F1373" s="221" t="s">
        <v>3299</v>
      </c>
      <c r="G1373" s="222">
        <v>45671</v>
      </c>
      <c r="H1373" s="223">
        <v>0.87708333333333333</v>
      </c>
      <c r="I1373" s="221" t="s">
        <v>4916</v>
      </c>
      <c r="J1373" s="221" t="s">
        <v>3023</v>
      </c>
      <c r="K1373" s="224" t="s">
        <v>3072</v>
      </c>
      <c r="L1373" s="225" t="str">
        <f>VLOOKUP(Logfile_S12[[#This Row],[Material Name]],Sheet2!B:C,2,0)</f>
        <v>ZTE1004</v>
      </c>
      <c r="M1373" s="225" t="str">
        <f>_xlfn.XLOOKUP(Logfile_S12[[#This Row],[Material Name]],Sum_WH!E:E,Sum_WH!F:F,"",0)</f>
        <v>Pcs</v>
      </c>
      <c r="N1373" s="221">
        <v>1</v>
      </c>
      <c r="O1373" s="221" t="s">
        <v>2360</v>
      </c>
      <c r="P1373" s="221" t="s">
        <v>2361</v>
      </c>
      <c r="Q1373" s="221"/>
      <c r="R1373" s="221"/>
      <c r="S1373" s="221"/>
      <c r="T1373" s="221" t="s">
        <v>3356</v>
      </c>
      <c r="U1373" s="221">
        <v>0</v>
      </c>
      <c r="V1373" s="221">
        <v>0</v>
      </c>
      <c r="W1373" s="221" t="s">
        <v>3358</v>
      </c>
      <c r="X1373" s="221"/>
      <c r="Y1373" s="227"/>
      <c r="Z1373" s="227" t="str">
        <f t="shared" si="53"/>
        <v>Tambakasri RW 02 Tajinan</v>
      </c>
      <c r="AA1373" s="276" t="e">
        <f>VLOOKUP(Logfile_S12[[#This Row],[DO number]],DO_DB!G:I,3,0)</f>
        <v>#N/A</v>
      </c>
      <c r="AB1373" s="331" t="e">
        <f>EXACT(Logfile_S12[[#This Row],[date pick]],Logfile_S12[[#This Row],[Date]])</f>
        <v>#N/A</v>
      </c>
      <c r="AC13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74" spans="1:29" ht="14.5" hidden="1">
      <c r="A1374" s="220" t="str">
        <f t="shared" si="52"/>
        <v>1370</v>
      </c>
      <c r="B1374" s="221"/>
      <c r="C1374" s="221" t="s">
        <v>3449</v>
      </c>
      <c r="D1374" s="221" t="s">
        <v>4326</v>
      </c>
      <c r="E1374" s="221" t="s">
        <v>3295</v>
      </c>
      <c r="F1374" s="221" t="s">
        <v>3299</v>
      </c>
      <c r="G1374" s="222">
        <v>45682</v>
      </c>
      <c r="H1374" s="223">
        <v>0.45902777777777776</v>
      </c>
      <c r="I1374" s="221" t="s">
        <v>3193</v>
      </c>
      <c r="J1374" s="221" t="s">
        <v>3023</v>
      </c>
      <c r="K1374" s="224" t="s">
        <v>3072</v>
      </c>
      <c r="L1374" s="225" t="str">
        <f>VLOOKUP(Logfile_S12[[#This Row],[Material Name]],Sheet2!B:C,2,0)</f>
        <v>ZTE1004</v>
      </c>
      <c r="M1374" s="225" t="str">
        <f>_xlfn.XLOOKUP(Logfile_S12[[#This Row],[Material Name]],Sum_WH!E:E,Sum_WH!F:F,"",0)</f>
        <v>Pcs</v>
      </c>
      <c r="N1374" s="221">
        <v>1</v>
      </c>
      <c r="O1374" s="221" t="s">
        <v>3433</v>
      </c>
      <c r="P1374" s="221" t="s">
        <v>3450</v>
      </c>
      <c r="Q1374" s="221"/>
      <c r="R1374" s="221"/>
      <c r="S1374" s="221"/>
      <c r="T1374" s="221" t="s">
        <v>3411</v>
      </c>
      <c r="U1374" s="221">
        <v>0</v>
      </c>
      <c r="V1374" s="221">
        <v>0</v>
      </c>
      <c r="W1374" s="221" t="s">
        <v>3558</v>
      </c>
      <c r="X1374" s="221" t="s">
        <v>3559</v>
      </c>
      <c r="Y1374" s="227"/>
      <c r="Z1374" s="227" t="str">
        <f t="shared" si="53"/>
        <v>BEAUT</v>
      </c>
      <c r="AA1374" s="276" t="e">
        <f>VLOOKUP(Logfile_S12[[#This Row],[DO number]],DO_DB!G:I,3,0)</f>
        <v>#N/A</v>
      </c>
      <c r="AB1374" s="331" t="e">
        <f>EXACT(Logfile_S12[[#This Row],[date pick]],Logfile_S12[[#This Row],[Date]])</f>
        <v>#N/A</v>
      </c>
      <c r="AC13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375" spans="1:29" ht="14.5" hidden="1">
      <c r="A1375" s="220" t="str">
        <f t="shared" si="52"/>
        <v>1371</v>
      </c>
      <c r="B1375" s="221"/>
      <c r="C1375" s="221" t="s">
        <v>49</v>
      </c>
      <c r="D1375" s="221" t="s">
        <v>4330</v>
      </c>
      <c r="E1375" s="221" t="s">
        <v>3295</v>
      </c>
      <c r="F1375" s="221" t="s">
        <v>3299</v>
      </c>
      <c r="G1375" s="222">
        <v>45698</v>
      </c>
      <c r="H1375" s="223">
        <v>0.45902777777777776</v>
      </c>
      <c r="I1375" s="221" t="s">
        <v>4916</v>
      </c>
      <c r="J1375" s="221" t="s">
        <v>3023</v>
      </c>
      <c r="K1375" s="224" t="s">
        <v>3072</v>
      </c>
      <c r="L1375" s="225" t="str">
        <f>VLOOKUP(Logfile_S12[[#This Row],[Material Name]],Sheet2!B:C,2,0)</f>
        <v>ZTE1004</v>
      </c>
      <c r="M1375" s="225" t="str">
        <f>_xlfn.XLOOKUP(Logfile_S12[[#This Row],[Material Name]],Sum_WH!E:E,Sum_WH!F:F,"",0)</f>
        <v>Pcs</v>
      </c>
      <c r="N1375" s="221">
        <v>1</v>
      </c>
      <c r="O1375" s="221" t="s">
        <v>2633</v>
      </c>
      <c r="P1375" s="221" t="s">
        <v>3410</v>
      </c>
      <c r="Q1375" s="221"/>
      <c r="R1375" s="221"/>
      <c r="S1375" s="221"/>
      <c r="T1375" s="221" t="s">
        <v>3411</v>
      </c>
      <c r="U1375" s="221">
        <v>0</v>
      </c>
      <c r="V1375" s="221">
        <v>0</v>
      </c>
      <c r="W1375" s="221" t="s">
        <v>3412</v>
      </c>
      <c r="X1375" s="221"/>
      <c r="Y1375" s="227"/>
      <c r="Z1375" s="227" t="str">
        <f t="shared" si="53"/>
        <v>PERUMAHAN DE WIRA GREEN VIEW</v>
      </c>
      <c r="AA1375" s="276" t="e">
        <f>VLOOKUP(Logfile_S12[[#This Row],[DO number]],DO_DB!G:I,3,0)</f>
        <v>#N/A</v>
      </c>
      <c r="AB1375" s="331" t="e">
        <f>EXACT(Logfile_S12[[#This Row],[date pick]],Logfile_S12[[#This Row],[Date]])</f>
        <v>#N/A</v>
      </c>
      <c r="AC13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76" spans="1:29" ht="14.5" hidden="1">
      <c r="A1376" s="220" t="str">
        <f t="shared" si="52"/>
        <v>1372</v>
      </c>
      <c r="B1376" s="221"/>
      <c r="C1376" s="221" t="s">
        <v>3429</v>
      </c>
      <c r="D1376" s="221" t="s">
        <v>4355</v>
      </c>
      <c r="E1376" s="221" t="s">
        <v>3295</v>
      </c>
      <c r="F1376" s="221" t="s">
        <v>3299</v>
      </c>
      <c r="G1376" s="222">
        <v>45737</v>
      </c>
      <c r="H1376" s="223">
        <v>0.78472222222222221</v>
      </c>
      <c r="I1376" s="221" t="s">
        <v>3193</v>
      </c>
      <c r="J1376" s="221" t="s">
        <v>3023</v>
      </c>
      <c r="K1376" s="224" t="s">
        <v>3072</v>
      </c>
      <c r="L1376" s="225" t="str">
        <f>VLOOKUP(Logfile_S12[[#This Row],[Material Name]],Sheet2!B:C,2,0)</f>
        <v>ZTE1004</v>
      </c>
      <c r="M1376" s="225" t="str">
        <f>_xlfn.XLOOKUP(Logfile_S12[[#This Row],[Material Name]],Sum_WH!E:E,Sum_WH!F:F,"",0)</f>
        <v>Pcs</v>
      </c>
      <c r="N1376" s="221">
        <v>1</v>
      </c>
      <c r="O1376" s="221" t="s">
        <v>3433</v>
      </c>
      <c r="P1376" s="221" t="s">
        <v>3450</v>
      </c>
      <c r="Q1376" s="221"/>
      <c r="R1376" s="221"/>
      <c r="S1376" s="221"/>
      <c r="T1376" s="221"/>
      <c r="U1376" s="221"/>
      <c r="V1376" s="221"/>
      <c r="W1376" s="221"/>
      <c r="X1376" s="221" t="s">
        <v>3560</v>
      </c>
      <c r="Y1376" s="227"/>
      <c r="Z1376" s="227" t="str">
        <f t="shared" si="53"/>
        <v>BEAUT</v>
      </c>
      <c r="AA1376" s="276" t="e">
        <f>VLOOKUP(Logfile_S12[[#This Row],[DO number]],DO_DB!G:I,3,0)</f>
        <v>#N/A</v>
      </c>
      <c r="AB1376" s="331" t="e">
        <f>EXACT(Logfile_S12[[#This Row],[date pick]],Logfile_S12[[#This Row],[Date]])</f>
        <v>#N/A</v>
      </c>
      <c r="AC13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77" spans="1:29" ht="14.5" hidden="1">
      <c r="A1377" s="220" t="str">
        <f t="shared" si="52"/>
        <v>1373</v>
      </c>
      <c r="B1377" s="221"/>
      <c r="C1377" s="221" t="s">
        <v>49</v>
      </c>
      <c r="D1377" s="221" t="s">
        <v>4353</v>
      </c>
      <c r="E1377" s="221" t="s">
        <v>3295</v>
      </c>
      <c r="F1377" s="221" t="s">
        <v>3299</v>
      </c>
      <c r="G1377" s="222">
        <v>45737</v>
      </c>
      <c r="H1377" s="223">
        <v>0.78472222222222221</v>
      </c>
      <c r="I1377" s="221" t="s">
        <v>4916</v>
      </c>
      <c r="J1377" s="221" t="s">
        <v>3023</v>
      </c>
      <c r="K1377" s="224" t="s">
        <v>3072</v>
      </c>
      <c r="L1377" s="225" t="str">
        <f>VLOOKUP(Logfile_S12[[#This Row],[Material Name]],Sheet2!B:C,2,0)</f>
        <v>ZTE1004</v>
      </c>
      <c r="M1377" s="225" t="str">
        <f>_xlfn.XLOOKUP(Logfile_S12[[#This Row],[Material Name]],Sum_WH!E:E,Sum_WH!F:F,"",0)</f>
        <v>Pcs</v>
      </c>
      <c r="N1377" s="221">
        <v>1</v>
      </c>
      <c r="O1377" s="221" t="s">
        <v>2322</v>
      </c>
      <c r="P1377" s="221" t="s">
        <v>3403</v>
      </c>
      <c r="Q1377" s="221"/>
      <c r="R1377" s="221"/>
      <c r="S1377" s="221"/>
      <c r="T1377" s="221" t="s">
        <v>3561</v>
      </c>
      <c r="U1377" s="221"/>
      <c r="V1377" s="221"/>
      <c r="W1377" s="221"/>
      <c r="X1377" s="221"/>
      <c r="Y1377" s="227"/>
      <c r="Z1377" s="227" t="str">
        <f t="shared" si="53"/>
        <v>Mainfeeder Singosari Segment 3</v>
      </c>
      <c r="AA1377" s="276" t="e">
        <f>VLOOKUP(Logfile_S12[[#This Row],[DO number]],DO_DB!G:I,3,0)</f>
        <v>#N/A</v>
      </c>
      <c r="AB1377" s="331" t="e">
        <f>EXACT(Logfile_S12[[#This Row],[date pick]],Logfile_S12[[#This Row],[Date]])</f>
        <v>#N/A</v>
      </c>
      <c r="AC13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78" spans="1:29" ht="14.5" hidden="1">
      <c r="A1378" s="220" t="str">
        <f t="shared" si="52"/>
        <v>1374</v>
      </c>
      <c r="B1378" s="221"/>
      <c r="C1378" s="221" t="s">
        <v>49</v>
      </c>
      <c r="D1378" s="221" t="s">
        <v>4369</v>
      </c>
      <c r="E1378" s="221" t="s">
        <v>3295</v>
      </c>
      <c r="F1378" s="221" t="s">
        <v>3299</v>
      </c>
      <c r="G1378" s="222">
        <v>45806</v>
      </c>
      <c r="H1378" s="223">
        <v>0.74791666666666667</v>
      </c>
      <c r="I1378" s="221" t="s">
        <v>4916</v>
      </c>
      <c r="J1378" s="221" t="s">
        <v>3023</v>
      </c>
      <c r="K1378" s="224" t="s">
        <v>3072</v>
      </c>
      <c r="L1378" s="225" t="str">
        <f>VLOOKUP(Logfile_S12[[#This Row],[Material Name]],Sheet2!B:C,2,0)</f>
        <v>ZTE1004</v>
      </c>
      <c r="M1378" s="225" t="str">
        <f>_xlfn.XLOOKUP(Logfile_S12[[#This Row],[Material Name]],Sum_WH!E:E,Sum_WH!F:F,"",0)</f>
        <v>Pcs</v>
      </c>
      <c r="N1378" s="221">
        <v>1</v>
      </c>
      <c r="O1378" s="221" t="s">
        <v>2825</v>
      </c>
      <c r="P1378" s="221" t="s">
        <v>2826</v>
      </c>
      <c r="Q1378" s="221"/>
      <c r="R1378" s="221"/>
      <c r="S1378" s="221"/>
      <c r="T1378" s="221" t="s">
        <v>3471</v>
      </c>
      <c r="U1378" s="221">
        <v>0</v>
      </c>
      <c r="V1378" s="221" t="s">
        <v>3472</v>
      </c>
      <c r="W1378" s="221" t="s">
        <v>3545</v>
      </c>
      <c r="X1378" s="221"/>
      <c r="Y1378" s="227"/>
      <c r="Z1378" s="227" t="str">
        <f t="shared" si="53"/>
        <v>ARJOWINANGUN RW 01 MALANG</v>
      </c>
      <c r="AA1378" s="276" t="e">
        <f>VLOOKUP(Logfile_S12[[#This Row],[DO number]],DO_DB!G:I,3,0)</f>
        <v>#N/A</v>
      </c>
      <c r="AB1378" s="331" t="e">
        <f>EXACT(Logfile_S12[[#This Row],[date pick]],Logfile_S12[[#This Row],[Date]])</f>
        <v>#N/A</v>
      </c>
      <c r="AC13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79" spans="1:29" ht="14.5" hidden="1">
      <c r="A1379" s="220" t="str">
        <f t="shared" si="52"/>
        <v>1375</v>
      </c>
      <c r="B1379" s="221"/>
      <c r="C1379" s="221" t="s">
        <v>49</v>
      </c>
      <c r="D1379" s="221" t="s">
        <v>4373</v>
      </c>
      <c r="E1379" s="221" t="s">
        <v>3295</v>
      </c>
      <c r="F1379" s="221" t="s">
        <v>3299</v>
      </c>
      <c r="G1379" s="222">
        <v>45824</v>
      </c>
      <c r="H1379" s="223">
        <v>0.83125000000000004</v>
      </c>
      <c r="I1379" s="221" t="s">
        <v>4916</v>
      </c>
      <c r="J1379" s="221" t="s">
        <v>3023</v>
      </c>
      <c r="K1379" s="224" t="s">
        <v>3072</v>
      </c>
      <c r="L1379" s="225" t="str">
        <f>VLOOKUP(Logfile_S12[[#This Row],[Material Name]],Sheet2!B:C,2,0)</f>
        <v>ZTE1004</v>
      </c>
      <c r="M1379" s="225" t="str">
        <f>_xlfn.XLOOKUP(Logfile_S12[[#This Row],[Material Name]],Sum_WH!E:E,Sum_WH!F:F,"",0)</f>
        <v>Pcs</v>
      </c>
      <c r="N1379" s="221">
        <v>1</v>
      </c>
      <c r="O1379" s="221" t="s">
        <v>2809</v>
      </c>
      <c r="P1379" s="221" t="s">
        <v>2810</v>
      </c>
      <c r="Q1379" s="221"/>
      <c r="R1379" s="221"/>
      <c r="S1379" s="221"/>
      <c r="T1379" s="221" t="s">
        <v>3411</v>
      </c>
      <c r="U1379" s="221">
        <v>0</v>
      </c>
      <c r="V1379" s="221">
        <v>0</v>
      </c>
      <c r="W1379" s="221" t="s">
        <v>3412</v>
      </c>
      <c r="X1379" s="221"/>
      <c r="Y1379" s="227"/>
      <c r="Z1379" s="227" t="str">
        <f t="shared" si="53"/>
        <v>BULULAWANG RW 01, 02, 03, 04, 06   MALANG</v>
      </c>
      <c r="AA1379" s="276" t="e">
        <f>VLOOKUP(Logfile_S12[[#This Row],[DO number]],DO_DB!G:I,3,0)</f>
        <v>#N/A</v>
      </c>
      <c r="AB1379" s="331" t="e">
        <f>EXACT(Logfile_S12[[#This Row],[date pick]],Logfile_S12[[#This Row],[Date]])</f>
        <v>#N/A</v>
      </c>
      <c r="AC13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80" spans="1:29" ht="14.5" hidden="1">
      <c r="A1380" s="220" t="str">
        <f t="shared" si="52"/>
        <v>1376</v>
      </c>
      <c r="B1380" s="221"/>
      <c r="C1380" s="221" t="s">
        <v>48</v>
      </c>
      <c r="D1380" s="221" t="s">
        <v>4374</v>
      </c>
      <c r="E1380" s="221" t="s">
        <v>3295</v>
      </c>
      <c r="F1380" s="221" t="s">
        <v>3299</v>
      </c>
      <c r="G1380" s="222">
        <v>45826</v>
      </c>
      <c r="H1380" s="223">
        <v>15.291666666666666</v>
      </c>
      <c r="I1380" s="221" t="s">
        <v>37</v>
      </c>
      <c r="J1380" s="221" t="s">
        <v>3023</v>
      </c>
      <c r="K1380" s="224" t="s">
        <v>3072</v>
      </c>
      <c r="L1380" s="225" t="str">
        <f>VLOOKUP(Logfile_S12[[#This Row],[Material Name]],Sheet2!B:C,2,0)</f>
        <v>ZTE1004</v>
      </c>
      <c r="M1380" s="225" t="str">
        <f>_xlfn.XLOOKUP(Logfile_S12[[#This Row],[Material Name]],Sum_WH!E:E,Sum_WH!F:F,"",0)</f>
        <v>Pcs</v>
      </c>
      <c r="N1380" s="221">
        <v>1</v>
      </c>
      <c r="O1380" s="221"/>
      <c r="P1380" s="221"/>
      <c r="Q1380" s="221">
        <v>0</v>
      </c>
      <c r="R1380" s="221">
        <v>0</v>
      </c>
      <c r="S1380" s="221"/>
      <c r="T1380" s="221"/>
      <c r="U1380" s="221"/>
      <c r="V1380" s="221"/>
      <c r="W1380" s="221"/>
      <c r="X1380" s="221"/>
      <c r="Y1380" s="227"/>
      <c r="Z1380" s="227">
        <f t="shared" si="53"/>
        <v>0</v>
      </c>
      <c r="AA1380" s="276" t="e">
        <f>VLOOKUP(Logfile_S12[[#This Row],[DO number]],DO_DB!G:I,3,0)</f>
        <v>#N/A</v>
      </c>
      <c r="AB1380" s="331" t="e">
        <f>EXACT(Logfile_S12[[#This Row],[date pick]],Logfile_S12[[#This Row],[Date]])</f>
        <v>#N/A</v>
      </c>
      <c r="AC13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81" spans="1:29" ht="14.5" hidden="1">
      <c r="A1381" s="220" t="str">
        <f t="shared" si="52"/>
        <v>1377</v>
      </c>
      <c r="B1381" s="221"/>
      <c r="C1381" s="221" t="s">
        <v>49</v>
      </c>
      <c r="D1381" s="221" t="s">
        <v>4377</v>
      </c>
      <c r="E1381" s="221" t="s">
        <v>3295</v>
      </c>
      <c r="F1381" s="221" t="s">
        <v>3299</v>
      </c>
      <c r="G1381" s="222">
        <v>45829</v>
      </c>
      <c r="H1381" s="223">
        <v>0.59583333333333333</v>
      </c>
      <c r="I1381" s="221" t="s">
        <v>4916</v>
      </c>
      <c r="J1381" s="221" t="s">
        <v>3023</v>
      </c>
      <c r="K1381" s="224" t="s">
        <v>3072</v>
      </c>
      <c r="L1381" s="225" t="str">
        <f>VLOOKUP(Logfile_S12[[#This Row],[Material Name]],Sheet2!B:C,2,0)</f>
        <v>ZTE1004</v>
      </c>
      <c r="M1381" s="225" t="str">
        <f>_xlfn.XLOOKUP(Logfile_S12[[#This Row],[Material Name]],Sum_WH!E:E,Sum_WH!F:F,"",0)</f>
        <v>Pcs</v>
      </c>
      <c r="N1381" s="221">
        <v>2</v>
      </c>
      <c r="O1381" s="221" t="s">
        <v>2855</v>
      </c>
      <c r="P1381" s="221" t="s">
        <v>2856</v>
      </c>
      <c r="Q1381" s="221"/>
      <c r="R1381" s="221"/>
      <c r="S1381" s="221"/>
      <c r="T1381" s="221" t="s">
        <v>3231</v>
      </c>
      <c r="U1381" s="221">
        <v>0</v>
      </c>
      <c r="V1381" s="221" t="s">
        <v>3375</v>
      </c>
      <c r="W1381" s="221" t="s">
        <v>3249</v>
      </c>
      <c r="X1381" s="221"/>
      <c r="Y1381" s="227"/>
      <c r="Z1381" s="227" t="str">
        <f t="shared" si="53"/>
        <v>DESA KARANGANYAR KIDUL PONCOKUSUMO   MALANG</v>
      </c>
      <c r="AA1381" s="276" t="e">
        <f>VLOOKUP(Logfile_S12[[#This Row],[DO number]],DO_DB!G:I,3,0)</f>
        <v>#N/A</v>
      </c>
      <c r="AB1381" s="331" t="e">
        <f>EXACT(Logfile_S12[[#This Row],[date pick]],Logfile_S12[[#This Row],[Date]])</f>
        <v>#N/A</v>
      </c>
      <c r="AC13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82" spans="1:29" ht="14.5" hidden="1">
      <c r="A1382" s="220" t="str">
        <f t="shared" si="52"/>
        <v>1378</v>
      </c>
      <c r="B1382" s="221"/>
      <c r="C1382" s="221" t="s">
        <v>48</v>
      </c>
      <c r="D1382" s="221" t="s">
        <v>4393</v>
      </c>
      <c r="E1382" s="221" t="s">
        <v>3295</v>
      </c>
      <c r="F1382" s="221" t="s">
        <v>3299</v>
      </c>
      <c r="G1382" s="222">
        <v>45850</v>
      </c>
      <c r="H1382" s="223">
        <v>15.291666666666666</v>
      </c>
      <c r="I1382" s="221" t="s">
        <v>37</v>
      </c>
      <c r="J1382" s="221" t="s">
        <v>3023</v>
      </c>
      <c r="K1382" s="224" t="s">
        <v>3072</v>
      </c>
      <c r="L1382" s="225" t="str">
        <f>VLOOKUP(Logfile_S12[[#This Row],[Material Name]],Sheet2!B:C,2,0)</f>
        <v>ZTE1004</v>
      </c>
      <c r="M1382" s="225" t="str">
        <f>_xlfn.XLOOKUP(Logfile_S12[[#This Row],[Material Name]],Sum_WH!E:E,Sum_WH!F:F,"",0)</f>
        <v>Pcs</v>
      </c>
      <c r="N1382" s="221">
        <v>1</v>
      </c>
      <c r="O1382" s="221"/>
      <c r="P1382" s="221"/>
      <c r="Q1382" s="221">
        <v>0</v>
      </c>
      <c r="R1382" s="221">
        <v>0</v>
      </c>
      <c r="S1382" s="221"/>
      <c r="T1382" s="221"/>
      <c r="U1382" s="221"/>
      <c r="V1382" s="221"/>
      <c r="W1382" s="221"/>
      <c r="X1382" s="221"/>
      <c r="Y1382" s="227"/>
      <c r="Z1382" s="227">
        <f t="shared" si="53"/>
        <v>0</v>
      </c>
      <c r="AA1382" s="276" t="e">
        <f>VLOOKUP(Logfile_S12[[#This Row],[DO number]],DO_DB!G:I,3,0)</f>
        <v>#N/A</v>
      </c>
      <c r="AB1382" s="331" t="e">
        <f>EXACT(Logfile_S12[[#This Row],[date pick]],Logfile_S12[[#This Row],[Date]])</f>
        <v>#N/A</v>
      </c>
      <c r="AC13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83" spans="1:29" ht="14.5" hidden="1">
      <c r="A1383" s="220" t="str">
        <f t="shared" si="52"/>
        <v>1379</v>
      </c>
      <c r="B1383" s="221"/>
      <c r="C1383" s="221" t="s">
        <v>48</v>
      </c>
      <c r="D1383" s="221" t="s">
        <v>4415</v>
      </c>
      <c r="E1383" s="221" t="s">
        <v>3295</v>
      </c>
      <c r="F1383" s="221" t="s">
        <v>3299</v>
      </c>
      <c r="G1383" s="222">
        <v>45888</v>
      </c>
      <c r="H1383" s="223">
        <v>15.291666666666666</v>
      </c>
      <c r="I1383" s="221" t="s">
        <v>37</v>
      </c>
      <c r="J1383" s="221" t="s">
        <v>3023</v>
      </c>
      <c r="K1383" s="224" t="s">
        <v>3072</v>
      </c>
      <c r="L1383" s="225" t="str">
        <f>VLOOKUP(Logfile_S12[[#This Row],[Material Name]],Sheet2!B:C,2,0)</f>
        <v>ZTE1004</v>
      </c>
      <c r="M1383" s="225" t="str">
        <f>_xlfn.XLOOKUP(Logfile_S12[[#This Row],[Material Name]],Sum_WH!E:E,Sum_WH!F:F,"",0)</f>
        <v>Pcs</v>
      </c>
      <c r="N1383" s="221">
        <v>1</v>
      </c>
      <c r="O1383" s="221" t="s">
        <v>3203</v>
      </c>
      <c r="P1383" s="221" t="s">
        <v>3598</v>
      </c>
      <c r="Q1383" s="221"/>
      <c r="R1383" s="221"/>
      <c r="S1383" s="221"/>
      <c r="T1383" s="221"/>
      <c r="U1383" s="221"/>
      <c r="V1383" s="221"/>
      <c r="W1383" s="221"/>
      <c r="X1383" s="221"/>
      <c r="Y1383" s="227"/>
      <c r="Z1383" s="227" t="str">
        <f t="shared" si="53"/>
        <v>PERUMAHAN BULULAWANG PERMAI RW 02</v>
      </c>
      <c r="AA1383" s="276" t="e">
        <f>VLOOKUP(Logfile_S12[[#This Row],[DO number]],DO_DB!G:I,3,0)</f>
        <v>#N/A</v>
      </c>
      <c r="AB1383" s="331" t="e">
        <f>EXACT(Logfile_S12[[#This Row],[date pick]],Logfile_S12[[#This Row],[Date]])</f>
        <v>#N/A</v>
      </c>
      <c r="AC13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84" spans="1:29" ht="14.5" hidden="1">
      <c r="A1384" s="220" t="str">
        <f t="shared" si="52"/>
        <v>1380</v>
      </c>
      <c r="B1384" s="221"/>
      <c r="C1384" s="221" t="s">
        <v>49</v>
      </c>
      <c r="D1384" s="221" t="s">
        <v>4422</v>
      </c>
      <c r="E1384" s="221" t="s">
        <v>3295</v>
      </c>
      <c r="F1384" s="221" t="s">
        <v>3299</v>
      </c>
      <c r="G1384" s="222">
        <v>45899</v>
      </c>
      <c r="H1384" s="223">
        <v>0.3830439814814815</v>
      </c>
      <c r="I1384" s="221" t="s">
        <v>3295</v>
      </c>
      <c r="J1384" s="221" t="s">
        <v>3023</v>
      </c>
      <c r="K1384" s="224" t="s">
        <v>3072</v>
      </c>
      <c r="L1384" s="225" t="str">
        <f>VLOOKUP(Logfile_S12[[#This Row],[Material Name]],Sheet2!B:C,2,0)</f>
        <v>ZTE1004</v>
      </c>
      <c r="M1384" s="225" t="str">
        <f>_xlfn.XLOOKUP(Logfile_S12[[#This Row],[Material Name]],Sum_WH!E:E,Sum_WH!F:F,"",0)</f>
        <v>Pcs</v>
      </c>
      <c r="N1384" s="221">
        <v>2</v>
      </c>
      <c r="O1384" s="221" t="s">
        <v>2142</v>
      </c>
      <c r="P1384" s="221" t="s">
        <v>2143</v>
      </c>
      <c r="Q1384" s="221" t="s">
        <v>2144</v>
      </c>
      <c r="R1384" s="221" t="s">
        <v>2145</v>
      </c>
      <c r="S1384" s="221" t="s">
        <v>39</v>
      </c>
      <c r="T1384" s="221" t="s">
        <v>3258</v>
      </c>
      <c r="U1384" s="221"/>
      <c r="V1384" s="221">
        <v>3507050501950000</v>
      </c>
      <c r="W1384" s="221" t="s">
        <v>3338</v>
      </c>
      <c r="X1384" s="221" t="s">
        <v>4421</v>
      </c>
      <c r="Y1384" s="227"/>
      <c r="Z1384" s="227" t="str">
        <f t="shared" si="53"/>
        <v>Main Feeder - OLT Smart Malang Segment 8 to Sumbersekar</v>
      </c>
      <c r="AA1384" s="276">
        <f>VLOOKUP(Logfile_S12[[#This Row],[DO number]],DO_DB!G:I,3,0)</f>
        <v>45555</v>
      </c>
      <c r="AB1384" s="331" t="b">
        <f>EXACT(Logfile_S12[[#This Row],[date pick]],Logfile_S12[[#This Row],[Date]])</f>
        <v>0</v>
      </c>
      <c r="AC13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85" spans="1:29" ht="14.5" hidden="1">
      <c r="A1385" s="244" t="str">
        <f t="shared" si="52"/>
        <v>1381</v>
      </c>
      <c r="B1385" s="229">
        <v>2</v>
      </c>
      <c r="C1385" s="229" t="s">
        <v>49</v>
      </c>
      <c r="D1385" s="229" t="s">
        <v>4486</v>
      </c>
      <c r="E1385" s="229" t="s">
        <v>3295</v>
      </c>
      <c r="F1385" s="229" t="s">
        <v>3299</v>
      </c>
      <c r="G1385" s="245">
        <v>45902</v>
      </c>
      <c r="H1385" s="246">
        <v>0.64307870370370368</v>
      </c>
      <c r="I1385" s="229" t="s">
        <v>37</v>
      </c>
      <c r="J1385" s="229" t="s">
        <v>3023</v>
      </c>
      <c r="K1385" s="233" t="s">
        <v>3072</v>
      </c>
      <c r="L1385" s="234" t="str">
        <f>VLOOKUP(Logfile_S12[[#This Row],[Material Name]],Sheet2!B:C,2,0)</f>
        <v>ZTE1004</v>
      </c>
      <c r="M1385" s="234" t="str">
        <f>_xlfn.XLOOKUP(Logfile_S12[[#This Row],[Material Name]],Sum_WH!E:E,Sum_WH!F:F,"",0)</f>
        <v>Pcs</v>
      </c>
      <c r="N1385" s="229">
        <v>1</v>
      </c>
      <c r="O1385" s="230" t="s">
        <v>4429</v>
      </c>
      <c r="P1385" s="230" t="s">
        <v>4429</v>
      </c>
      <c r="Q1385" s="229"/>
      <c r="R1385" s="229"/>
      <c r="S1385" s="229"/>
      <c r="T1385" s="229"/>
      <c r="U1385" s="229"/>
      <c r="V1385" s="229"/>
      <c r="W1385" s="229"/>
      <c r="X1385" s="229" t="s">
        <v>4429</v>
      </c>
      <c r="Y1385" s="227"/>
      <c r="Z1385" s="227" t="str">
        <f t="shared" si="53"/>
        <v>ADJUSTMENT</v>
      </c>
      <c r="AA1385" s="276" t="e">
        <f>VLOOKUP(Logfile_S12[[#This Row],[DO number]],DO_DB!G:I,3,0)</f>
        <v>#N/A</v>
      </c>
      <c r="AB1385" s="331" t="e">
        <f>EXACT(Logfile_S12[[#This Row],[date pick]],Logfile_S12[[#This Row],[Date]])</f>
        <v>#N/A</v>
      </c>
      <c r="AC13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86" spans="1:29" ht="14.5" hidden="1">
      <c r="A1386" s="237" t="str">
        <f t="shared" si="52"/>
        <v>1382</v>
      </c>
      <c r="B1386" s="221">
        <v>1</v>
      </c>
      <c r="C1386" s="227" t="s">
        <v>49</v>
      </c>
      <c r="D1386" s="227" t="s">
        <v>4653</v>
      </c>
      <c r="E1386" s="227" t="s">
        <v>3295</v>
      </c>
      <c r="F1386" s="227" t="s">
        <v>3299</v>
      </c>
      <c r="G1386" s="239">
        <v>45916</v>
      </c>
      <c r="H1386" s="240">
        <v>0.84336805555555561</v>
      </c>
      <c r="I1386" s="227" t="s">
        <v>3295</v>
      </c>
      <c r="J1386" s="227" t="s">
        <v>3023</v>
      </c>
      <c r="K1386" s="241" t="s">
        <v>3072</v>
      </c>
      <c r="L1386" s="225" t="str">
        <f>VLOOKUP(Logfile_S12[[#This Row],[Material Name]],Sheet2!B:C,2,0)</f>
        <v>ZTE1004</v>
      </c>
      <c r="M1386" s="225" t="str">
        <f>_xlfn.XLOOKUP(Logfile_S12[[#This Row],[Material Name]],Sum_WH!E:E,Sum_WH!F:F,"",0)</f>
        <v>Pcs</v>
      </c>
      <c r="N1386" s="227">
        <v>1</v>
      </c>
      <c r="O1386" s="227" t="s">
        <v>3203</v>
      </c>
      <c r="P1386" s="227" t="s">
        <v>3204</v>
      </c>
      <c r="Q1386" s="227" t="s">
        <v>3205</v>
      </c>
      <c r="R1386" s="227" t="s">
        <v>3206</v>
      </c>
      <c r="S1386" s="227"/>
      <c r="T1386" s="227" t="s">
        <v>3471</v>
      </c>
      <c r="U1386" s="227">
        <v>0</v>
      </c>
      <c r="V1386" s="227" t="s">
        <v>3472</v>
      </c>
      <c r="W1386" s="227" t="s">
        <v>3545</v>
      </c>
      <c r="X1386" s="227"/>
      <c r="Y1386" s="227"/>
      <c r="Z1386" s="227" t="str">
        <f t="shared" si="53"/>
        <v>Perumahan Bululawang Permai RW 02</v>
      </c>
      <c r="AA1386" s="276">
        <f>VLOOKUP(Logfile_S12[[#This Row],[DO number]],DO_DB!G:I,3,0)</f>
        <v>45888</v>
      </c>
      <c r="AB1386" s="331" t="b">
        <f>EXACT(Logfile_S12[[#This Row],[date pick]],Logfile_S12[[#This Row],[Date]])</f>
        <v>0</v>
      </c>
      <c r="AC13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87" spans="1:29" ht="14.5" hidden="1">
      <c r="A1387" s="237" t="str">
        <f t="shared" si="52"/>
        <v>1383</v>
      </c>
      <c r="B1387" s="221">
        <v>1</v>
      </c>
      <c r="C1387" s="227" t="s">
        <v>49</v>
      </c>
      <c r="D1387" s="227" t="s">
        <v>4655</v>
      </c>
      <c r="E1387" s="227" t="s">
        <v>3295</v>
      </c>
      <c r="F1387" s="227" t="s">
        <v>3299</v>
      </c>
      <c r="G1387" s="239">
        <v>45920</v>
      </c>
      <c r="H1387" s="240">
        <v>0.67421296296296296</v>
      </c>
      <c r="I1387" s="227" t="s">
        <v>3295</v>
      </c>
      <c r="J1387" s="221" t="s">
        <v>3023</v>
      </c>
      <c r="K1387" s="241" t="s">
        <v>3072</v>
      </c>
      <c r="L1387" s="225" t="str">
        <f>VLOOKUP(Logfile_S12[[#This Row],[Material Name]],Sheet2!B:C,2,0)</f>
        <v>ZTE1004</v>
      </c>
      <c r="M1387" s="225" t="str">
        <f>_xlfn.XLOOKUP(Logfile_S12[[#This Row],[Material Name]],Sum_WH!E:E,Sum_WH!F:F,"",0)</f>
        <v>Pcs</v>
      </c>
      <c r="N1387" s="227">
        <v>1</v>
      </c>
      <c r="O1387" s="227" t="s">
        <v>2142</v>
      </c>
      <c r="P1387" s="227" t="s">
        <v>2143</v>
      </c>
      <c r="Q1387" s="227" t="s">
        <v>2144</v>
      </c>
      <c r="R1387" s="227" t="s">
        <v>2145</v>
      </c>
      <c r="S1387" s="227" t="s">
        <v>39</v>
      </c>
      <c r="T1387" s="227" t="s">
        <v>3258</v>
      </c>
      <c r="U1387" s="227"/>
      <c r="V1387" s="227" t="s">
        <v>3337</v>
      </c>
      <c r="W1387" s="227" t="s">
        <v>3338</v>
      </c>
      <c r="X1387" s="227" t="s">
        <v>4421</v>
      </c>
      <c r="Y1387" s="227"/>
      <c r="Z1387" s="227" t="str">
        <f t="shared" si="53"/>
        <v>Main Feeder - OLT Smart Malang Segment 8 to Sumbersekar</v>
      </c>
      <c r="AA1387" s="276">
        <f>VLOOKUP(Logfile_S12[[#This Row],[DO number]],DO_DB!G:I,3,0)</f>
        <v>45555</v>
      </c>
      <c r="AB1387" s="331" t="b">
        <f>EXACT(Logfile_S12[[#This Row],[date pick]],Logfile_S12[[#This Row],[Date]])</f>
        <v>0</v>
      </c>
      <c r="AC13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88" spans="1:29" ht="14.5" hidden="1">
      <c r="A1388" s="237" t="str">
        <f t="shared" si="52"/>
        <v>1384</v>
      </c>
      <c r="B1388" s="221">
        <v>1</v>
      </c>
      <c r="C1388" s="227" t="s">
        <v>48</v>
      </c>
      <c r="D1388" s="227" t="s">
        <v>4828</v>
      </c>
      <c r="E1388" s="227" t="s">
        <v>3295</v>
      </c>
      <c r="F1388" s="227" t="s">
        <v>3299</v>
      </c>
      <c r="G1388" s="239">
        <v>46084</v>
      </c>
      <c r="H1388" s="240">
        <v>0.70833333333333337</v>
      </c>
      <c r="I1388" s="227" t="s">
        <v>38</v>
      </c>
      <c r="J1388" s="221" t="s">
        <v>3023</v>
      </c>
      <c r="K1388" s="241" t="s">
        <v>3072</v>
      </c>
      <c r="L1388" s="225" t="str">
        <f>VLOOKUP(Logfile_S12[[#This Row],[Material Name]],Sheet2!B:C,2,0)</f>
        <v>ZTE1004</v>
      </c>
      <c r="M1388" s="242" t="s">
        <v>19</v>
      </c>
      <c r="N1388" s="227">
        <v>1</v>
      </c>
      <c r="O1388" s="224" t="s">
        <v>2142</v>
      </c>
      <c r="P1388" s="224" t="s">
        <v>2143</v>
      </c>
      <c r="Q1388" s="221"/>
      <c r="R1388" s="221"/>
      <c r="S1388" s="227"/>
      <c r="T1388" s="227"/>
      <c r="U1388" s="227"/>
      <c r="V1388" s="227"/>
      <c r="W1388" s="227"/>
      <c r="X1388" s="227" t="s">
        <v>4914</v>
      </c>
      <c r="Y1388" s="227"/>
      <c r="Z1388" s="227" t="str">
        <f t="shared" si="53"/>
        <v>Main Feeder - OLT Smart Malang Segment 8 to Sumbersekar</v>
      </c>
      <c r="AA1388" s="276" t="e">
        <f>VLOOKUP(Logfile_S12[[#This Row],[DO number]],DO_DB!G:I,3,0)</f>
        <v>#N/A</v>
      </c>
      <c r="AB1388" s="331" t="e">
        <f>EXACT(Logfile_S12[[#This Row],[date pick]],Logfile_S12[[#This Row],[Date]])</f>
        <v>#N/A</v>
      </c>
      <c r="AC13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89" spans="1:29" ht="14.5" hidden="1">
      <c r="A1389" s="237" t="str">
        <f t="shared" si="52"/>
        <v>1385</v>
      </c>
      <c r="B1389" s="221">
        <v>2</v>
      </c>
      <c r="C1389" s="227" t="s">
        <v>49</v>
      </c>
      <c r="D1389" s="227" t="s">
        <v>4830</v>
      </c>
      <c r="E1389" s="227" t="s">
        <v>3295</v>
      </c>
      <c r="F1389" s="227" t="s">
        <v>3299</v>
      </c>
      <c r="G1389" s="239">
        <v>46084</v>
      </c>
      <c r="H1389" s="240">
        <v>0.70833333333333337</v>
      </c>
      <c r="I1389" s="227" t="s">
        <v>3295</v>
      </c>
      <c r="J1389" s="221" t="s">
        <v>3023</v>
      </c>
      <c r="K1389" s="241" t="s">
        <v>3072</v>
      </c>
      <c r="L1389" s="225" t="str">
        <f>VLOOKUP(Logfile_S12[[#This Row],[Material Name]],Sheet2!B:C,2,0)</f>
        <v>ZTE1004</v>
      </c>
      <c r="M1389" s="242" t="s">
        <v>19</v>
      </c>
      <c r="N1389" s="227">
        <v>1</v>
      </c>
      <c r="O1389" s="224" t="s">
        <v>2142</v>
      </c>
      <c r="P1389" s="224" t="s">
        <v>2143</v>
      </c>
      <c r="Q1389" s="227"/>
      <c r="R1389" s="227"/>
      <c r="S1389" s="227"/>
      <c r="T1389" s="227"/>
      <c r="U1389" s="227"/>
      <c r="V1389" s="227"/>
      <c r="W1389" s="227"/>
      <c r="X1389" s="227" t="s">
        <v>4915</v>
      </c>
      <c r="Y1389" s="227"/>
      <c r="Z1389" s="227" t="str">
        <f t="shared" si="53"/>
        <v>Main Feeder - OLT Smart Malang Segment 8 to Sumbersekar</v>
      </c>
      <c r="AA1389" s="276" t="e">
        <f>VLOOKUP(Logfile_S12[[#This Row],[DO number]],DO_DB!G:I,3,0)</f>
        <v>#N/A</v>
      </c>
      <c r="AB1389" s="331" t="e">
        <f>EXACT(Logfile_S12[[#This Row],[date pick]],Logfile_S12[[#This Row],[Date]])</f>
        <v>#N/A</v>
      </c>
      <c r="AC13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90" spans="1:29" ht="14.5" hidden="1">
      <c r="A1390" s="237" t="str">
        <f t="shared" si="52"/>
        <v>1386</v>
      </c>
      <c r="B1390" s="221">
        <v>3</v>
      </c>
      <c r="C1390" s="227" t="s">
        <v>48</v>
      </c>
      <c r="D1390" s="227" t="s">
        <v>4829</v>
      </c>
      <c r="E1390" s="227" t="s">
        <v>3295</v>
      </c>
      <c r="F1390" s="227" t="s">
        <v>3299</v>
      </c>
      <c r="G1390" s="239">
        <v>46087</v>
      </c>
      <c r="H1390" s="240">
        <v>0.79166666666666663</v>
      </c>
      <c r="I1390" s="227" t="s">
        <v>37</v>
      </c>
      <c r="J1390" s="221" t="s">
        <v>3023</v>
      </c>
      <c r="K1390" s="241" t="s">
        <v>3072</v>
      </c>
      <c r="L1390" s="225" t="str">
        <f>VLOOKUP(Logfile_S12[[#This Row],[Material Name]],Sheet2!B:C,2,0)</f>
        <v>ZTE1004</v>
      </c>
      <c r="M1390" s="242" t="s">
        <v>19</v>
      </c>
      <c r="N1390" s="227">
        <v>1</v>
      </c>
      <c r="O1390" s="227" t="s">
        <v>4835</v>
      </c>
      <c r="P1390" s="227" t="s">
        <v>4836</v>
      </c>
      <c r="Q1390" s="221"/>
      <c r="R1390" s="221"/>
      <c r="S1390" s="227"/>
      <c r="T1390" s="227"/>
      <c r="U1390" s="227"/>
      <c r="V1390" s="227"/>
      <c r="W1390" s="227"/>
      <c r="X1390" s="227"/>
      <c r="Y1390" s="227"/>
      <c r="Z1390" s="227" t="str">
        <f t="shared" si="53"/>
        <v>LESANPURO RW 01 MALANG</v>
      </c>
      <c r="AA1390" s="276" t="e">
        <f>VLOOKUP(Logfile_S12[[#This Row],[DO number]],DO_DB!G:I,3,0)</f>
        <v>#N/A</v>
      </c>
      <c r="AB1390" s="331" t="e">
        <f>EXACT(Logfile_S12[[#This Row],[date pick]],Logfile_S12[[#This Row],[Date]])</f>
        <v>#N/A</v>
      </c>
      <c r="AC13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91" spans="1:29" ht="14.5" hidden="1">
      <c r="A1391" s="237" t="str">
        <f t="shared" si="52"/>
        <v>1387</v>
      </c>
      <c r="B1391" s="221">
        <v>3</v>
      </c>
      <c r="C1391" s="227" t="s">
        <v>49</v>
      </c>
      <c r="D1391" s="227" t="s">
        <v>4833</v>
      </c>
      <c r="E1391" s="227" t="s">
        <v>3295</v>
      </c>
      <c r="F1391" s="227" t="s">
        <v>3299</v>
      </c>
      <c r="G1391" s="239">
        <v>46090</v>
      </c>
      <c r="H1391" s="240">
        <v>0.79166666666666663</v>
      </c>
      <c r="I1391" s="227" t="s">
        <v>3295</v>
      </c>
      <c r="J1391" s="221" t="s">
        <v>3023</v>
      </c>
      <c r="K1391" s="241" t="s">
        <v>3072</v>
      </c>
      <c r="L1391" s="225" t="str">
        <f>VLOOKUP(Logfile_S12[[#This Row],[Material Name]],Sheet2!B:C,2,0)</f>
        <v>ZTE1004</v>
      </c>
      <c r="M1391" s="242" t="s">
        <v>19</v>
      </c>
      <c r="N1391" s="227">
        <v>1</v>
      </c>
      <c r="O1391" s="227" t="s">
        <v>4835</v>
      </c>
      <c r="P1391" s="227" t="s">
        <v>4836</v>
      </c>
      <c r="Q1391" s="227"/>
      <c r="R1391" s="227"/>
      <c r="S1391" s="227"/>
      <c r="T1391" s="221" t="s">
        <v>3258</v>
      </c>
      <c r="U1391" s="221" t="s">
        <v>4811</v>
      </c>
      <c r="V1391" s="221" t="s">
        <v>3337</v>
      </c>
      <c r="W1391" s="221" t="s">
        <v>3338</v>
      </c>
      <c r="X1391" s="227"/>
      <c r="Y1391" s="227"/>
      <c r="Z1391" s="227" t="str">
        <f t="shared" si="53"/>
        <v>LESANPURO RW 01 MALANG</v>
      </c>
      <c r="AA1391" s="276" t="e">
        <f>VLOOKUP(Logfile_S12[[#This Row],[DO number]],DO_DB!G:I,3,0)</f>
        <v>#N/A</v>
      </c>
      <c r="AB1391" s="331" t="e">
        <f>EXACT(Logfile_S12[[#This Row],[date pick]],Logfile_S12[[#This Row],[Date]])</f>
        <v>#N/A</v>
      </c>
      <c r="AC13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92" spans="1:29" ht="14.5" hidden="1">
      <c r="A1392" s="237" t="str">
        <f t="shared" si="52"/>
        <v>1388</v>
      </c>
      <c r="B1392" s="221">
        <v>3</v>
      </c>
      <c r="C1392" s="227" t="s">
        <v>48</v>
      </c>
      <c r="D1392" s="227" t="s">
        <v>4837</v>
      </c>
      <c r="E1392" s="227" t="s">
        <v>3295</v>
      </c>
      <c r="F1392" s="227" t="s">
        <v>3299</v>
      </c>
      <c r="G1392" s="239">
        <v>46094</v>
      </c>
      <c r="H1392" s="240">
        <v>0.79166666666666663</v>
      </c>
      <c r="I1392" s="227" t="s">
        <v>37</v>
      </c>
      <c r="J1392" s="221" t="s">
        <v>3023</v>
      </c>
      <c r="K1392" s="241" t="s">
        <v>3072</v>
      </c>
      <c r="L1392" s="225" t="str">
        <f>VLOOKUP(Logfile_S12[[#This Row],[Material Name]],Sheet2!B:C,2,0)</f>
        <v>ZTE1004</v>
      </c>
      <c r="M1392" s="242" t="s">
        <v>19</v>
      </c>
      <c r="N1392" s="227">
        <v>1</v>
      </c>
      <c r="O1392" s="227" t="s">
        <v>4839</v>
      </c>
      <c r="P1392" s="227" t="s">
        <v>4840</v>
      </c>
      <c r="Q1392" s="221"/>
      <c r="R1392" s="221"/>
      <c r="S1392" s="227"/>
      <c r="T1392" s="227"/>
      <c r="U1392" s="227"/>
      <c r="V1392" s="227"/>
      <c r="W1392" s="227"/>
      <c r="X1392" s="227"/>
      <c r="Y1392" s="227"/>
      <c r="Z1392" s="227" t="str">
        <f t="shared" si="53"/>
        <v>SEKARPURO RW 05 MALANG</v>
      </c>
      <c r="AA1392" s="276" t="e">
        <f>VLOOKUP(Logfile_S12[[#This Row],[DO number]],DO_DB!G:I,3,0)</f>
        <v>#N/A</v>
      </c>
      <c r="AB1392" s="331" t="e">
        <f>EXACT(Logfile_S12[[#This Row],[date pick]],Logfile_S12[[#This Row],[Date]])</f>
        <v>#N/A</v>
      </c>
      <c r="AC13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93" spans="1:29" ht="14.5" hidden="1">
      <c r="A1393" s="237" t="str">
        <f t="shared" si="52"/>
        <v>1389</v>
      </c>
      <c r="B1393" s="221">
        <v>3</v>
      </c>
      <c r="C1393" s="227" t="s">
        <v>49</v>
      </c>
      <c r="D1393" s="227" t="s">
        <v>4838</v>
      </c>
      <c r="E1393" s="227" t="s">
        <v>3295</v>
      </c>
      <c r="F1393" s="227" t="s">
        <v>3299</v>
      </c>
      <c r="G1393" s="239">
        <v>46095</v>
      </c>
      <c r="H1393" s="240">
        <v>0.79166666666666663</v>
      </c>
      <c r="I1393" s="227" t="s">
        <v>3295</v>
      </c>
      <c r="J1393" s="221" t="s">
        <v>3023</v>
      </c>
      <c r="K1393" s="241" t="s">
        <v>3072</v>
      </c>
      <c r="L1393" s="225" t="str">
        <f>VLOOKUP(Logfile_S12[[#This Row],[Material Name]],Sheet2!B:C,2,0)</f>
        <v>ZTE1004</v>
      </c>
      <c r="M1393" s="242" t="s">
        <v>19</v>
      </c>
      <c r="N1393" s="227">
        <v>1</v>
      </c>
      <c r="O1393" s="227" t="s">
        <v>4839</v>
      </c>
      <c r="P1393" s="227" t="s">
        <v>4840</v>
      </c>
      <c r="Q1393" s="227"/>
      <c r="R1393" s="227"/>
      <c r="S1393" s="227"/>
      <c r="T1393" s="221" t="s">
        <v>3258</v>
      </c>
      <c r="U1393" s="221" t="s">
        <v>4811</v>
      </c>
      <c r="V1393" s="221" t="s">
        <v>3337</v>
      </c>
      <c r="W1393" s="221" t="s">
        <v>3338</v>
      </c>
      <c r="X1393" s="227"/>
      <c r="Y1393" s="227"/>
      <c r="Z1393" s="227" t="str">
        <f t="shared" si="53"/>
        <v>SEKARPURO RW 05 MALANG</v>
      </c>
      <c r="AA1393" s="276" t="e">
        <f>VLOOKUP(Logfile_S12[[#This Row],[DO number]],DO_DB!G:I,3,0)</f>
        <v>#N/A</v>
      </c>
      <c r="AB1393" s="331" t="e">
        <f>EXACT(Logfile_S12[[#This Row],[date pick]],Logfile_S12[[#This Row],[Date]])</f>
        <v>#N/A</v>
      </c>
      <c r="AC13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94" spans="1:29" ht="14.5" hidden="1">
      <c r="A1394" s="237" t="str">
        <f t="shared" si="52"/>
        <v>1390</v>
      </c>
      <c r="B1394" s="221">
        <v>4</v>
      </c>
      <c r="C1394" s="227" t="s">
        <v>48</v>
      </c>
      <c r="D1394" s="227" t="s">
        <v>4848</v>
      </c>
      <c r="E1394" s="227" t="s">
        <v>3295</v>
      </c>
      <c r="F1394" s="227" t="s">
        <v>3299</v>
      </c>
      <c r="G1394" s="239">
        <v>46134</v>
      </c>
      <c r="H1394" s="240">
        <v>0.25</v>
      </c>
      <c r="I1394" s="227" t="s">
        <v>37</v>
      </c>
      <c r="J1394" s="227" t="s">
        <v>3023</v>
      </c>
      <c r="K1394" s="241" t="s">
        <v>3072</v>
      </c>
      <c r="L1394" s="242" t="str">
        <f>VLOOKUP(Logfile_S12[[#This Row],[Material Name]],Sheet2!B:C,2,0)</f>
        <v>ZTE1004</v>
      </c>
      <c r="M1394" s="242" t="s">
        <v>19</v>
      </c>
      <c r="N1394" s="227">
        <v>3</v>
      </c>
      <c r="O1394" s="224" t="s">
        <v>2142</v>
      </c>
      <c r="P1394" s="224" t="s">
        <v>2143</v>
      </c>
      <c r="Q1394" s="221"/>
      <c r="R1394" s="221"/>
      <c r="S1394" s="227"/>
      <c r="T1394" s="227"/>
      <c r="U1394" s="227"/>
      <c r="V1394" s="227"/>
      <c r="W1394" s="227"/>
      <c r="X1394" s="227"/>
      <c r="Y1394" s="227"/>
      <c r="Z1394" s="227" t="str">
        <f t="shared" si="53"/>
        <v>Main Feeder - OLT Smart Malang Segment 8 to Sumbersekar</v>
      </c>
      <c r="AA1394" s="276" t="e">
        <f>VLOOKUP(Logfile_S12[[#This Row],[DO number]],DO_DB!G:I,3,0)</f>
        <v>#N/A</v>
      </c>
      <c r="AB1394" s="331" t="e">
        <f>EXACT(Logfile_S12[[#This Row],[date pick]],Logfile_S12[[#This Row],[Date]])</f>
        <v>#N/A</v>
      </c>
      <c r="AC13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95" spans="1:29" ht="14.5" hidden="1">
      <c r="A1395" s="237" t="str">
        <f t="shared" si="52"/>
        <v>1391</v>
      </c>
      <c r="B1395" s="221">
        <v>3</v>
      </c>
      <c r="C1395" s="227" t="s">
        <v>49</v>
      </c>
      <c r="D1395" s="227" t="s">
        <v>4838</v>
      </c>
      <c r="E1395" s="227" t="s">
        <v>3295</v>
      </c>
      <c r="F1395" s="227" t="s">
        <v>3299</v>
      </c>
      <c r="G1395" s="239">
        <v>46134</v>
      </c>
      <c r="H1395" s="240">
        <v>0.58333333333333337</v>
      </c>
      <c r="I1395" s="227" t="s">
        <v>3295</v>
      </c>
      <c r="J1395" s="221" t="s">
        <v>3023</v>
      </c>
      <c r="K1395" s="241" t="s">
        <v>3072</v>
      </c>
      <c r="L1395" s="242" t="str">
        <f>VLOOKUP(Logfile_S12[[#This Row],[Material Name]],Sheet2!B:C,2,0)</f>
        <v>ZTE1004</v>
      </c>
      <c r="M1395" s="242" t="s">
        <v>19</v>
      </c>
      <c r="N1395" s="227">
        <v>3</v>
      </c>
      <c r="O1395" s="224" t="s">
        <v>2142</v>
      </c>
      <c r="P1395" s="224" t="s">
        <v>2143</v>
      </c>
      <c r="Q1395" s="227"/>
      <c r="R1395" s="227"/>
      <c r="S1395" s="227"/>
      <c r="T1395" s="227"/>
      <c r="U1395" s="227"/>
      <c r="V1395" s="227"/>
      <c r="W1395" s="227"/>
      <c r="X1395" s="227"/>
      <c r="Y1395" s="227"/>
      <c r="Z1395" s="227" t="str">
        <f t="shared" si="53"/>
        <v>Main Feeder - OLT Smart Malang Segment 8 to Sumbersekar</v>
      </c>
      <c r="AA1395" s="276" t="e">
        <f>VLOOKUP(Logfile_S12[[#This Row],[DO number]],DO_DB!G:I,3,0)</f>
        <v>#N/A</v>
      </c>
      <c r="AB1395" s="331" t="e">
        <f>EXACT(Logfile_S12[[#This Row],[date pick]],Logfile_S12[[#This Row],[Date]])</f>
        <v>#N/A</v>
      </c>
      <c r="AC13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96" spans="1:29" ht="14.5" hidden="1">
      <c r="A1396" s="237" t="str">
        <f t="shared" si="52"/>
        <v>1392</v>
      </c>
      <c r="B1396" s="221">
        <v>1</v>
      </c>
      <c r="C1396" s="227" t="s">
        <v>48</v>
      </c>
      <c r="D1396" s="227" t="s">
        <v>4718</v>
      </c>
      <c r="E1396" s="227" t="s">
        <v>3295</v>
      </c>
      <c r="F1396" s="227" t="s">
        <v>3299</v>
      </c>
      <c r="G1396" s="239">
        <v>45983</v>
      </c>
      <c r="H1396" s="240">
        <v>0.54166666666666663</v>
      </c>
      <c r="I1396" s="221" t="s">
        <v>38</v>
      </c>
      <c r="J1396" s="221" t="s">
        <v>3023</v>
      </c>
      <c r="K1396" s="241" t="s">
        <v>4524</v>
      </c>
      <c r="L1396" s="225" t="str">
        <f>VLOOKUP(Logfile_S12[[#This Row],[Material Name]],Sheet2!B:C,2,0)</f>
        <v>ZTE1005</v>
      </c>
      <c r="M1396" s="242" t="s">
        <v>19</v>
      </c>
      <c r="N1396" s="227">
        <v>1</v>
      </c>
      <c r="O1396" s="227" t="s">
        <v>4719</v>
      </c>
      <c r="P1396" s="227"/>
      <c r="Q1396" s="227"/>
      <c r="R1396" s="227"/>
      <c r="S1396" s="227"/>
      <c r="T1396" s="227"/>
      <c r="U1396" s="227"/>
      <c r="V1396" s="227"/>
      <c r="W1396" s="227"/>
      <c r="X1396" s="227"/>
      <c r="Y1396" s="227"/>
      <c r="Z1396" s="227">
        <f t="shared" si="53"/>
        <v>0</v>
      </c>
      <c r="AA1396" s="276" t="e">
        <f>VLOOKUP(Logfile_S12[[#This Row],[DO number]],DO_DB!G:I,3,0)</f>
        <v>#N/A</v>
      </c>
      <c r="AB1396" s="331" t="e">
        <f>EXACT(Logfile_S12[[#This Row],[date pick]],Logfile_S12[[#This Row],[Date]])</f>
        <v>#N/A</v>
      </c>
      <c r="AC13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97" spans="1:29" ht="14.5" hidden="1">
      <c r="A1397" s="237" t="str">
        <f t="shared" si="52"/>
        <v>1393</v>
      </c>
      <c r="B1397" s="221">
        <v>1</v>
      </c>
      <c r="C1397" s="227" t="s">
        <v>49</v>
      </c>
      <c r="D1397" s="227" t="s">
        <v>4720</v>
      </c>
      <c r="E1397" s="227" t="s">
        <v>3295</v>
      </c>
      <c r="F1397" s="227" t="s">
        <v>3299</v>
      </c>
      <c r="G1397" s="239">
        <v>45984</v>
      </c>
      <c r="H1397" s="240">
        <v>0.54166666666666663</v>
      </c>
      <c r="I1397" s="227" t="s">
        <v>3295</v>
      </c>
      <c r="J1397" s="221" t="s">
        <v>3023</v>
      </c>
      <c r="K1397" s="241" t="s">
        <v>4524</v>
      </c>
      <c r="L1397" s="225" t="str">
        <f>VLOOKUP(Logfile_S12[[#This Row],[Material Name]],Sheet2!B:C,2,0)</f>
        <v>ZTE1005</v>
      </c>
      <c r="M1397" s="242" t="s">
        <v>19</v>
      </c>
      <c r="N1397" s="227">
        <v>1</v>
      </c>
      <c r="O1397" s="227"/>
      <c r="P1397" s="227"/>
      <c r="Q1397" s="227"/>
      <c r="R1397" s="227"/>
      <c r="S1397" s="227"/>
      <c r="T1397" s="227" t="s">
        <v>3356</v>
      </c>
      <c r="U1397" s="227"/>
      <c r="V1397" s="227"/>
      <c r="W1397" s="227" t="s">
        <v>4681</v>
      </c>
      <c r="X1397" s="227"/>
      <c r="Y1397" s="227"/>
      <c r="Z1397" s="227">
        <f t="shared" si="53"/>
        <v>0</v>
      </c>
      <c r="AA1397" s="276" t="e">
        <f>VLOOKUP(Logfile_S12[[#This Row],[DO number]],DO_DB!G:I,3,0)</f>
        <v>#N/A</v>
      </c>
      <c r="AB1397" s="331" t="e">
        <f>EXACT(Logfile_S12[[#This Row],[date pick]],Logfile_S12[[#This Row],[Date]])</f>
        <v>#N/A</v>
      </c>
      <c r="AC13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98" spans="1:29" ht="14.5" hidden="1">
      <c r="A1398" s="220" t="str">
        <f t="shared" si="52"/>
        <v>1394</v>
      </c>
      <c r="B1398" s="221"/>
      <c r="C1398" s="221" t="s">
        <v>48</v>
      </c>
      <c r="D1398" s="221" t="s">
        <v>3686</v>
      </c>
      <c r="E1398" s="221" t="s">
        <v>3295</v>
      </c>
      <c r="F1398" s="221" t="s">
        <v>3299</v>
      </c>
      <c r="G1398" s="222">
        <v>45152</v>
      </c>
      <c r="H1398" s="223">
        <v>15.291666666666666</v>
      </c>
      <c r="I1398" s="221" t="s">
        <v>38</v>
      </c>
      <c r="J1398" s="221" t="s">
        <v>3024</v>
      </c>
      <c r="K1398" s="224" t="s">
        <v>3099</v>
      </c>
      <c r="L1398" s="225" t="str">
        <f>VLOOKUP(Logfile_S12[[#This Row],[Material Name]],Sheet2!B:C,2,0)</f>
        <v>GCI1013</v>
      </c>
      <c r="M1398" s="225" t="str">
        <f>_xlfn.XLOOKUP(Logfile_S12[[#This Row],[Material Name]],Sum_WH!E:E,Sum_WH!F:F,"",0)</f>
        <v>Pcs</v>
      </c>
      <c r="N1398" s="221">
        <v>37</v>
      </c>
      <c r="O1398" s="221" t="s">
        <v>84</v>
      </c>
      <c r="P1398" s="221" t="s">
        <v>85</v>
      </c>
      <c r="Q1398" s="221">
        <v>0</v>
      </c>
      <c r="R1398" s="221">
        <v>0</v>
      </c>
      <c r="S1398" s="221"/>
      <c r="T1398" s="221"/>
      <c r="U1398" s="221"/>
      <c r="V1398" s="221"/>
      <c r="W1398" s="221"/>
      <c r="X1398" s="221"/>
      <c r="Y1398" s="227"/>
      <c r="Z1398" s="227" t="str">
        <f t="shared" si="53"/>
        <v>Perumahan Bumi Podo Rukun Dau</v>
      </c>
      <c r="AA1398" s="276" t="e">
        <f>VLOOKUP(Logfile_S12[[#This Row],[DO number]],DO_DB!G:I,3,0)</f>
        <v>#N/A</v>
      </c>
      <c r="AB1398" s="331" t="e">
        <f>EXACT(Logfile_S12[[#This Row],[date pick]],Logfile_S12[[#This Row],[Date]])</f>
        <v>#N/A</v>
      </c>
      <c r="AC13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399" spans="1:29" ht="14.5" hidden="1">
      <c r="A1399" s="220" t="str">
        <f t="shared" si="52"/>
        <v>1395</v>
      </c>
      <c r="B1399" s="221"/>
      <c r="C1399" s="221" t="s">
        <v>49</v>
      </c>
      <c r="D1399" s="221" t="s">
        <v>3687</v>
      </c>
      <c r="E1399" s="221" t="s">
        <v>3295</v>
      </c>
      <c r="F1399" s="221" t="s">
        <v>3299</v>
      </c>
      <c r="G1399" s="222">
        <v>45154</v>
      </c>
      <c r="H1399" s="223">
        <v>15.3725</v>
      </c>
      <c r="I1399" s="221" t="s">
        <v>4916</v>
      </c>
      <c r="J1399" s="221" t="s">
        <v>3024</v>
      </c>
      <c r="K1399" s="224" t="s">
        <v>3099</v>
      </c>
      <c r="L1399" s="225" t="str">
        <f>VLOOKUP(Logfile_S12[[#This Row],[Material Name]],Sheet2!B:C,2,0)</f>
        <v>GCI1013</v>
      </c>
      <c r="M1399" s="225" t="str">
        <f>_xlfn.XLOOKUP(Logfile_S12[[#This Row],[Material Name]],Sum_WH!E:E,Sum_WH!F:F,"",0)</f>
        <v>Pcs</v>
      </c>
      <c r="N1399" s="221">
        <v>37</v>
      </c>
      <c r="O1399" s="221" t="s">
        <v>84</v>
      </c>
      <c r="P1399" s="221" t="s">
        <v>85</v>
      </c>
      <c r="Q1399" s="221"/>
      <c r="R1399" s="221"/>
      <c r="S1399" s="221"/>
      <c r="T1399" s="221" t="s">
        <v>3305</v>
      </c>
      <c r="U1399" s="221" t="s">
        <v>3228</v>
      </c>
      <c r="V1399" s="221" t="s">
        <v>3306</v>
      </c>
      <c r="W1399" s="221" t="s">
        <v>3307</v>
      </c>
      <c r="X1399" s="221"/>
      <c r="Y1399" s="227"/>
      <c r="Z1399" s="227" t="str">
        <f t="shared" si="53"/>
        <v>Perumahan Bumi Podo Rukun Dau</v>
      </c>
      <c r="AA1399" s="276" t="e">
        <f>VLOOKUP(Logfile_S12[[#This Row],[DO number]],DO_DB!G:I,3,0)</f>
        <v>#N/A</v>
      </c>
      <c r="AB1399" s="331" t="e">
        <f>EXACT(Logfile_S12[[#This Row],[date pick]],Logfile_S12[[#This Row],[Date]])</f>
        <v>#N/A</v>
      </c>
      <c r="AC13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00" spans="1:29" ht="14.5" hidden="1">
      <c r="A1400" s="220" t="str">
        <f t="shared" si="52"/>
        <v>1396</v>
      </c>
      <c r="B1400" s="221"/>
      <c r="C1400" s="221" t="s">
        <v>48</v>
      </c>
      <c r="D1400" s="221" t="s">
        <v>3704</v>
      </c>
      <c r="E1400" s="221" t="s">
        <v>3295</v>
      </c>
      <c r="F1400" s="221" t="s">
        <v>3299</v>
      </c>
      <c r="G1400" s="222">
        <v>45177</v>
      </c>
      <c r="H1400" s="223">
        <v>15.291666666666666</v>
      </c>
      <c r="I1400" s="221" t="s">
        <v>38</v>
      </c>
      <c r="J1400" s="221" t="s">
        <v>3024</v>
      </c>
      <c r="K1400" s="224" t="s">
        <v>3099</v>
      </c>
      <c r="L1400" s="225" t="str">
        <f>VLOOKUP(Logfile_S12[[#This Row],[Material Name]],Sheet2!B:C,2,0)</f>
        <v>GCI1013</v>
      </c>
      <c r="M1400" s="225" t="str">
        <f>_xlfn.XLOOKUP(Logfile_S12[[#This Row],[Material Name]],Sum_WH!E:E,Sum_WH!F:F,"",0)</f>
        <v>Pcs</v>
      </c>
      <c r="N1400" s="221">
        <v>36</v>
      </c>
      <c r="O1400" s="221" t="s">
        <v>150</v>
      </c>
      <c r="P1400" s="221" t="s">
        <v>151</v>
      </c>
      <c r="Q1400" s="221">
        <v>0</v>
      </c>
      <c r="R1400" s="221">
        <v>0</v>
      </c>
      <c r="S1400" s="221"/>
      <c r="T1400" s="221"/>
      <c r="U1400" s="221"/>
      <c r="V1400" s="221"/>
      <c r="W1400" s="221"/>
      <c r="X1400" s="221"/>
      <c r="Y1400" s="227"/>
      <c r="Z1400" s="227" t="str">
        <f t="shared" si="53"/>
        <v>Mulyorejo RW 04 Sukun</v>
      </c>
      <c r="AA1400" s="276" t="e">
        <f>VLOOKUP(Logfile_S12[[#This Row],[DO number]],DO_DB!G:I,3,0)</f>
        <v>#N/A</v>
      </c>
      <c r="AB1400" s="331" t="e">
        <f>EXACT(Logfile_S12[[#This Row],[date pick]],Logfile_S12[[#This Row],[Date]])</f>
        <v>#N/A</v>
      </c>
      <c r="AC14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01" spans="1:29" ht="14.5" hidden="1">
      <c r="A1401" s="220" t="str">
        <f t="shared" si="52"/>
        <v>1397</v>
      </c>
      <c r="B1401" s="221"/>
      <c r="C1401" s="221" t="s">
        <v>49</v>
      </c>
      <c r="D1401" s="221" t="s">
        <v>3701</v>
      </c>
      <c r="E1401" s="221" t="s">
        <v>3295</v>
      </c>
      <c r="F1401" s="221" t="s">
        <v>3299</v>
      </c>
      <c r="G1401" s="222">
        <v>45177</v>
      </c>
      <c r="H1401" s="223">
        <v>0.37083333333333335</v>
      </c>
      <c r="I1401" s="221" t="s">
        <v>4916</v>
      </c>
      <c r="J1401" s="221" t="s">
        <v>3024</v>
      </c>
      <c r="K1401" s="224" t="s">
        <v>3099</v>
      </c>
      <c r="L1401" s="225" t="str">
        <f>VLOOKUP(Logfile_S12[[#This Row],[Material Name]],Sheet2!B:C,2,0)</f>
        <v>GCI1013</v>
      </c>
      <c r="M1401" s="225" t="str">
        <f>_xlfn.XLOOKUP(Logfile_S12[[#This Row],[Material Name]],Sum_WH!E:E,Sum_WH!F:F,"",0)</f>
        <v>Pcs</v>
      </c>
      <c r="N1401" s="221">
        <v>36</v>
      </c>
      <c r="O1401" s="221" t="s">
        <v>150</v>
      </c>
      <c r="P1401" s="221" t="s">
        <v>151</v>
      </c>
      <c r="Q1401" s="221"/>
      <c r="R1401" s="221"/>
      <c r="S1401" s="221"/>
      <c r="T1401" s="221" t="s">
        <v>3309</v>
      </c>
      <c r="U1401" s="221" t="s">
        <v>3228</v>
      </c>
      <c r="V1401" s="221" t="s">
        <v>3310</v>
      </c>
      <c r="W1401" s="221" t="s">
        <v>3311</v>
      </c>
      <c r="X1401" s="221"/>
      <c r="Y1401" s="227"/>
      <c r="Z1401" s="227" t="str">
        <f t="shared" si="53"/>
        <v>Mulyorejo RW 04 Sukun</v>
      </c>
      <c r="AA1401" s="276" t="e">
        <f>VLOOKUP(Logfile_S12[[#This Row],[DO number]],DO_DB!G:I,3,0)</f>
        <v>#N/A</v>
      </c>
      <c r="AB1401" s="331" t="e">
        <f>EXACT(Logfile_S12[[#This Row],[date pick]],Logfile_S12[[#This Row],[Date]])</f>
        <v>#N/A</v>
      </c>
      <c r="AC14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02" spans="1:29" ht="14.5" hidden="1">
      <c r="A1402" s="220" t="str">
        <f t="shared" si="52"/>
        <v>1398</v>
      </c>
      <c r="B1402" s="221"/>
      <c r="C1402" s="221" t="s">
        <v>48</v>
      </c>
      <c r="D1402" s="221" t="s">
        <v>3800</v>
      </c>
      <c r="E1402" s="221" t="s">
        <v>3295</v>
      </c>
      <c r="F1402" s="221" t="s">
        <v>3299</v>
      </c>
      <c r="G1402" s="222">
        <v>45227</v>
      </c>
      <c r="H1402" s="223">
        <v>15.291666666666666</v>
      </c>
      <c r="I1402" s="221" t="s">
        <v>38</v>
      </c>
      <c r="J1402" s="221" t="s">
        <v>3024</v>
      </c>
      <c r="K1402" s="224" t="s">
        <v>3107</v>
      </c>
      <c r="L1402" s="225" t="str">
        <f>VLOOKUP(Logfile_S12[[#This Row],[Material Name]],Sheet2!B:C,2,0)</f>
        <v>GCI1019</v>
      </c>
      <c r="M1402" s="225" t="str">
        <f>_xlfn.XLOOKUP(Logfile_S12[[#This Row],[Material Name]],Sum_WH!E:E,Sum_WH!F:F,"",0)</f>
        <v>Pcs</v>
      </c>
      <c r="N1402" s="221">
        <v>200</v>
      </c>
      <c r="O1402" s="221" t="s">
        <v>3344</v>
      </c>
      <c r="P1402" s="221" t="s">
        <v>3345</v>
      </c>
      <c r="Q1402" s="221">
        <v>0</v>
      </c>
      <c r="R1402" s="221">
        <v>0</v>
      </c>
      <c r="S1402" s="221"/>
      <c r="T1402" s="221"/>
      <c r="U1402" s="221"/>
      <c r="V1402" s="221"/>
      <c r="W1402" s="221"/>
      <c r="X1402" s="221" t="s">
        <v>3356</v>
      </c>
      <c r="Y1402" s="227"/>
      <c r="Z1402" s="227" t="str">
        <f t="shared" si="53"/>
        <v>Purchase</v>
      </c>
      <c r="AA1402" s="276" t="e">
        <f>VLOOKUP(Logfile_S12[[#This Row],[DO number]],DO_DB!G:I,3,0)</f>
        <v>#N/A</v>
      </c>
      <c r="AB1402" s="331" t="e">
        <f>EXACT(Logfile_S12[[#This Row],[date pick]],Logfile_S12[[#This Row],[Date]])</f>
        <v>#N/A</v>
      </c>
      <c r="AC14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03" spans="1:29" ht="14.5" hidden="1">
      <c r="A1403" s="220" t="str">
        <f t="shared" si="52"/>
        <v>1399</v>
      </c>
      <c r="B1403" s="221"/>
      <c r="C1403" s="221" t="s">
        <v>49</v>
      </c>
      <c r="D1403" s="221" t="s">
        <v>3824</v>
      </c>
      <c r="E1403" s="221" t="s">
        <v>3295</v>
      </c>
      <c r="F1403" s="221" t="s">
        <v>3299</v>
      </c>
      <c r="G1403" s="222">
        <v>45258</v>
      </c>
      <c r="H1403" s="223">
        <v>0.65069444444444446</v>
      </c>
      <c r="I1403" s="221" t="s">
        <v>4916</v>
      </c>
      <c r="J1403" s="221" t="s">
        <v>3024</v>
      </c>
      <c r="K1403" s="224" t="s">
        <v>3441</v>
      </c>
      <c r="L1403" s="225" t="str">
        <f>VLOOKUP(Logfile_S12[[#This Row],[Material Name]],Sheet2!B:C,2,0)</f>
        <v>GCI1019</v>
      </c>
      <c r="M1403" s="225" t="str">
        <f>_xlfn.XLOOKUP(Logfile_S12[[#This Row],[Material Name]],Sum_WH!E:E,Sum_WH!F:F,"",0)</f>
        <v>Pcs</v>
      </c>
      <c r="N1403" s="221">
        <v>25</v>
      </c>
      <c r="O1403" s="221" t="s">
        <v>468</v>
      </c>
      <c r="P1403" s="221" t="s">
        <v>469</v>
      </c>
      <c r="Q1403" s="221"/>
      <c r="R1403" s="221"/>
      <c r="S1403" s="221"/>
      <c r="T1403" s="221" t="s">
        <v>3346</v>
      </c>
      <c r="U1403" s="221">
        <v>0</v>
      </c>
      <c r="V1403" s="221" t="s">
        <v>3347</v>
      </c>
      <c r="W1403" s="221" t="s">
        <v>3334</v>
      </c>
      <c r="X1403" s="221"/>
      <c r="Y1403" s="227"/>
      <c r="Z1403" s="227" t="str">
        <f t="shared" si="53"/>
        <v>Jedong RW 07 Wagir</v>
      </c>
      <c r="AA1403" s="276" t="e">
        <f>VLOOKUP(Logfile_S12[[#This Row],[DO number]],DO_DB!G:I,3,0)</f>
        <v>#N/A</v>
      </c>
      <c r="AB1403" s="331" t="e">
        <f>EXACT(Logfile_S12[[#This Row],[date pick]],Logfile_S12[[#This Row],[Date]])</f>
        <v>#N/A</v>
      </c>
      <c r="AC14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04" spans="1:29" ht="14.5" hidden="1">
      <c r="A1404" s="244" t="str">
        <f t="shared" si="52"/>
        <v>1400</v>
      </c>
      <c r="B1404" s="229"/>
      <c r="C1404" s="229" t="s">
        <v>49</v>
      </c>
      <c r="D1404" s="229" t="s">
        <v>4428</v>
      </c>
      <c r="E1404" s="229" t="s">
        <v>3295</v>
      </c>
      <c r="F1404" s="229" t="s">
        <v>3299</v>
      </c>
      <c r="G1404" s="245">
        <v>45900</v>
      </c>
      <c r="H1404" s="246">
        <v>0.90028935185185188</v>
      </c>
      <c r="I1404" s="229" t="s">
        <v>3295</v>
      </c>
      <c r="J1404" s="229" t="s">
        <v>3024</v>
      </c>
      <c r="K1404" s="233" t="s">
        <v>3107</v>
      </c>
      <c r="L1404" s="234" t="str">
        <f>VLOOKUP(Logfile_S12[[#This Row],[Material Name]],Sheet2!B:C,2,0)</f>
        <v>GCI1019</v>
      </c>
      <c r="M1404" s="234" t="str">
        <f>_xlfn.XLOOKUP(Logfile_S12[[#This Row],[Material Name]],Sum_WH!E:E,Sum_WH!F:F,"",0)</f>
        <v>Pcs</v>
      </c>
      <c r="N1404" s="229">
        <v>175</v>
      </c>
      <c r="O1404" s="230" t="s">
        <v>4429</v>
      </c>
      <c r="P1404" s="230" t="s">
        <v>4429</v>
      </c>
      <c r="Q1404" s="229"/>
      <c r="R1404" s="229"/>
      <c r="S1404" s="229"/>
      <c r="T1404" s="229"/>
      <c r="U1404" s="229"/>
      <c r="V1404" s="229"/>
      <c r="W1404" s="229"/>
      <c r="X1404" s="229" t="s">
        <v>4429</v>
      </c>
      <c r="Y1404" s="227"/>
      <c r="Z1404" s="227" t="str">
        <f t="shared" si="53"/>
        <v>ADJUSTMENT</v>
      </c>
      <c r="AA1404" s="276" t="e">
        <f>VLOOKUP(Logfile_S12[[#This Row],[DO number]],DO_DB!G:I,3,0)</f>
        <v>#N/A</v>
      </c>
      <c r="AB1404" s="331" t="e">
        <f>EXACT(Logfile_S12[[#This Row],[date pick]],Logfile_S12[[#This Row],[Date]])</f>
        <v>#N/A</v>
      </c>
      <c r="AC14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05" spans="1:29" ht="14.5" hidden="1">
      <c r="A1405" s="220" t="str">
        <f t="shared" si="52"/>
        <v>1401</v>
      </c>
      <c r="B1405" s="221"/>
      <c r="C1405" s="221" t="s">
        <v>48</v>
      </c>
      <c r="D1405" s="221" t="s">
        <v>3892</v>
      </c>
      <c r="E1405" s="221" t="s">
        <v>3295</v>
      </c>
      <c r="F1405" s="221" t="s">
        <v>3299</v>
      </c>
      <c r="G1405" s="222">
        <v>45313</v>
      </c>
      <c r="H1405" s="223">
        <v>15.291666666666666</v>
      </c>
      <c r="I1405" s="221" t="s">
        <v>38</v>
      </c>
      <c r="J1405" s="221" t="s">
        <v>3024</v>
      </c>
      <c r="K1405" s="224" t="s">
        <v>3442</v>
      </c>
      <c r="L1405" s="225" t="str">
        <f>VLOOKUP(Logfile_S12[[#This Row],[Material Name]],Sheet2!B:C,2,0)</f>
        <v>GCI1021</v>
      </c>
      <c r="M1405" s="225" t="str">
        <f>_xlfn.XLOOKUP(Logfile_S12[[#This Row],[Material Name]],Sum_WH!E:E,Sum_WH!F:F,"",0)</f>
        <v>Pcs</v>
      </c>
      <c r="N1405" s="221">
        <v>2</v>
      </c>
      <c r="O1405" s="221" t="s">
        <v>3344</v>
      </c>
      <c r="P1405" s="221" t="s">
        <v>3345</v>
      </c>
      <c r="Q1405" s="221">
        <v>0</v>
      </c>
      <c r="R1405" s="221">
        <v>0</v>
      </c>
      <c r="S1405" s="221"/>
      <c r="T1405" s="221"/>
      <c r="U1405" s="221"/>
      <c r="V1405" s="221"/>
      <c r="W1405" s="221"/>
      <c r="X1405" s="221"/>
      <c r="Y1405" s="227"/>
      <c r="Z1405" s="227" t="str">
        <f t="shared" si="53"/>
        <v>Purchase</v>
      </c>
      <c r="AA1405" s="276" t="e">
        <f>VLOOKUP(Logfile_S12[[#This Row],[DO number]],DO_DB!G:I,3,0)</f>
        <v>#N/A</v>
      </c>
      <c r="AB1405" s="331" t="e">
        <f>EXACT(Logfile_S12[[#This Row],[date pick]],Logfile_S12[[#This Row],[Date]])</f>
        <v>#N/A</v>
      </c>
      <c r="AC14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06" spans="1:29" ht="14.5" hidden="1">
      <c r="A1406" s="220" t="str">
        <f t="shared" si="52"/>
        <v>1402</v>
      </c>
      <c r="B1406" s="221"/>
      <c r="C1406" s="221" t="s">
        <v>48</v>
      </c>
      <c r="D1406" s="221" t="s">
        <v>3683</v>
      </c>
      <c r="E1406" s="221" t="s">
        <v>3295</v>
      </c>
      <c r="F1406" s="221" t="s">
        <v>3299</v>
      </c>
      <c r="G1406" s="222">
        <v>45147</v>
      </c>
      <c r="H1406" s="223">
        <v>15.291666666666666</v>
      </c>
      <c r="I1406" s="221" t="s">
        <v>38</v>
      </c>
      <c r="J1406" s="221" t="s">
        <v>3024</v>
      </c>
      <c r="K1406" s="224" t="s">
        <v>3088</v>
      </c>
      <c r="L1406" s="225" t="str">
        <f>VLOOKUP(Logfile_S12[[#This Row],[Material Name]],Sheet2!B:C,2,0)</f>
        <v>GCI1002</v>
      </c>
      <c r="M1406" s="225" t="str">
        <f>_xlfn.XLOOKUP(Logfile_S12[[#This Row],[Material Name]],Sum_WH!E:E,Sum_WH!F:F,"",0)</f>
        <v>Pcs</v>
      </c>
      <c r="N1406" s="221">
        <v>1</v>
      </c>
      <c r="O1406" s="221" t="s">
        <v>84</v>
      </c>
      <c r="P1406" s="221" t="s">
        <v>85</v>
      </c>
      <c r="Q1406" s="221">
        <v>0</v>
      </c>
      <c r="R1406" s="221">
        <v>0</v>
      </c>
      <c r="S1406" s="221"/>
      <c r="T1406" s="221"/>
      <c r="U1406" s="221"/>
      <c r="V1406" s="221"/>
      <c r="W1406" s="221"/>
      <c r="X1406" s="221"/>
      <c r="Y1406" s="227"/>
      <c r="Z1406" s="227" t="str">
        <f t="shared" si="53"/>
        <v>Perumahan Bumi Podo Rukun Dau</v>
      </c>
      <c r="AA1406" s="276" t="e">
        <f>VLOOKUP(Logfile_S12[[#This Row],[DO number]],DO_DB!G:I,3,0)</f>
        <v>#N/A</v>
      </c>
      <c r="AB1406" s="331" t="e">
        <f>EXACT(Logfile_S12[[#This Row],[date pick]],Logfile_S12[[#This Row],[Date]])</f>
        <v>#N/A</v>
      </c>
      <c r="AC14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07" spans="1:29" ht="14.5" hidden="1">
      <c r="A1407" s="220" t="str">
        <f t="shared" si="52"/>
        <v>1403</v>
      </c>
      <c r="B1407" s="221"/>
      <c r="C1407" s="221" t="s">
        <v>49</v>
      </c>
      <c r="D1407" s="221" t="s">
        <v>3684</v>
      </c>
      <c r="E1407" s="221" t="s">
        <v>3295</v>
      </c>
      <c r="F1407" s="221" t="s">
        <v>3299</v>
      </c>
      <c r="G1407" s="222">
        <v>45148</v>
      </c>
      <c r="H1407" s="223">
        <v>15.692638888888888</v>
      </c>
      <c r="I1407" s="221" t="s">
        <v>4916</v>
      </c>
      <c r="J1407" s="221" t="s">
        <v>3024</v>
      </c>
      <c r="K1407" s="224" t="s">
        <v>3088</v>
      </c>
      <c r="L1407" s="225" t="str">
        <f>VLOOKUP(Logfile_S12[[#This Row],[Material Name]],Sheet2!B:C,2,0)</f>
        <v>GCI1002</v>
      </c>
      <c r="M1407" s="225" t="str">
        <f>_xlfn.XLOOKUP(Logfile_S12[[#This Row],[Material Name]],Sum_WH!E:E,Sum_WH!F:F,"",0)</f>
        <v>Pcs</v>
      </c>
      <c r="N1407" s="221">
        <v>1</v>
      </c>
      <c r="O1407" s="221" t="s">
        <v>84</v>
      </c>
      <c r="P1407" s="221" t="s">
        <v>85</v>
      </c>
      <c r="Q1407" s="221"/>
      <c r="R1407" s="221"/>
      <c r="S1407" s="221"/>
      <c r="T1407" s="221" t="s">
        <v>3305</v>
      </c>
      <c r="U1407" s="221" t="s">
        <v>3228</v>
      </c>
      <c r="V1407" s="221" t="s">
        <v>3306</v>
      </c>
      <c r="W1407" s="221" t="s">
        <v>3307</v>
      </c>
      <c r="X1407" s="221"/>
      <c r="Y1407" s="227"/>
      <c r="Z1407" s="227" t="str">
        <f t="shared" si="53"/>
        <v>Perumahan Bumi Podo Rukun Dau</v>
      </c>
      <c r="AA1407" s="276" t="e">
        <f>VLOOKUP(Logfile_S12[[#This Row],[DO number]],DO_DB!G:I,3,0)</f>
        <v>#N/A</v>
      </c>
      <c r="AB1407" s="331" t="e">
        <f>EXACT(Logfile_S12[[#This Row],[date pick]],Logfile_S12[[#This Row],[Date]])</f>
        <v>#N/A</v>
      </c>
      <c r="AC14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08" spans="1:29" ht="14.5" hidden="1">
      <c r="A1408" s="220" t="str">
        <f t="shared" si="52"/>
        <v>1404</v>
      </c>
      <c r="B1408" s="221"/>
      <c r="C1408" s="221" t="s">
        <v>48</v>
      </c>
      <c r="D1408" s="221" t="s">
        <v>3691</v>
      </c>
      <c r="E1408" s="221" t="s">
        <v>3295</v>
      </c>
      <c r="F1408" s="221" t="s">
        <v>3299</v>
      </c>
      <c r="G1408" s="222">
        <v>45162</v>
      </c>
      <c r="H1408" s="223">
        <v>15.291666666666666</v>
      </c>
      <c r="I1408" s="221" t="s">
        <v>38</v>
      </c>
      <c r="J1408" s="221" t="s">
        <v>3024</v>
      </c>
      <c r="K1408" s="224" t="s">
        <v>3088</v>
      </c>
      <c r="L1408" s="225" t="str">
        <f>VLOOKUP(Logfile_S12[[#This Row],[Material Name]],Sheet2!B:C,2,0)</f>
        <v>GCI1002</v>
      </c>
      <c r="M1408" s="225" t="str">
        <f>_xlfn.XLOOKUP(Logfile_S12[[#This Row],[Material Name]],Sum_WH!E:E,Sum_WH!F:F,"",0)</f>
        <v>Pcs</v>
      </c>
      <c r="N1408" s="221">
        <v>2</v>
      </c>
      <c r="O1408" s="221" t="s">
        <v>150</v>
      </c>
      <c r="P1408" s="221" t="s">
        <v>151</v>
      </c>
      <c r="Q1408" s="221">
        <v>0</v>
      </c>
      <c r="R1408" s="221">
        <v>0</v>
      </c>
      <c r="S1408" s="221"/>
      <c r="T1408" s="221"/>
      <c r="U1408" s="221"/>
      <c r="V1408" s="221"/>
      <c r="W1408" s="221"/>
      <c r="X1408" s="221"/>
      <c r="Y1408" s="227"/>
      <c r="Z1408" s="227" t="str">
        <f t="shared" si="53"/>
        <v>Mulyorejo RW 04 Sukun</v>
      </c>
      <c r="AA1408" s="276" t="e">
        <f>VLOOKUP(Logfile_S12[[#This Row],[DO number]],DO_DB!G:I,3,0)</f>
        <v>#N/A</v>
      </c>
      <c r="AB1408" s="331" t="e">
        <f>EXACT(Logfile_S12[[#This Row],[date pick]],Logfile_S12[[#This Row],[Date]])</f>
        <v>#N/A</v>
      </c>
      <c r="AC14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09" spans="1:29" ht="14.5" hidden="1">
      <c r="A1409" s="220" t="str">
        <f t="shared" si="52"/>
        <v>1405</v>
      </c>
      <c r="B1409" s="221"/>
      <c r="C1409" s="221" t="s">
        <v>49</v>
      </c>
      <c r="D1409" s="221" t="s">
        <v>3696</v>
      </c>
      <c r="E1409" s="221" t="s">
        <v>3295</v>
      </c>
      <c r="F1409" s="221" t="s">
        <v>3299</v>
      </c>
      <c r="G1409" s="222">
        <v>45173</v>
      </c>
      <c r="H1409" s="223">
        <v>0.69236111111111109</v>
      </c>
      <c r="I1409" s="221" t="s">
        <v>4916</v>
      </c>
      <c r="J1409" s="221" t="s">
        <v>3024</v>
      </c>
      <c r="K1409" s="224" t="s">
        <v>3088</v>
      </c>
      <c r="L1409" s="225" t="str">
        <f>VLOOKUP(Logfile_S12[[#This Row],[Material Name]],Sheet2!B:C,2,0)</f>
        <v>GCI1002</v>
      </c>
      <c r="M1409" s="225" t="str">
        <f>_xlfn.XLOOKUP(Logfile_S12[[#This Row],[Material Name]],Sum_WH!E:E,Sum_WH!F:F,"",0)</f>
        <v>Pcs</v>
      </c>
      <c r="N1409" s="221">
        <v>1</v>
      </c>
      <c r="O1409" s="221" t="s">
        <v>150</v>
      </c>
      <c r="P1409" s="221" t="s">
        <v>151</v>
      </c>
      <c r="Q1409" s="221"/>
      <c r="R1409" s="221"/>
      <c r="S1409" s="221"/>
      <c r="T1409" s="221" t="s">
        <v>3309</v>
      </c>
      <c r="U1409" s="221" t="s">
        <v>3228</v>
      </c>
      <c r="V1409" s="221" t="s">
        <v>3310</v>
      </c>
      <c r="W1409" s="221" t="s">
        <v>3311</v>
      </c>
      <c r="X1409" s="221"/>
      <c r="Y1409" s="227"/>
      <c r="Z1409" s="227" t="str">
        <f t="shared" si="53"/>
        <v>Mulyorejo RW 04 Sukun</v>
      </c>
      <c r="AA1409" s="276" t="e">
        <f>VLOOKUP(Logfile_S12[[#This Row],[DO number]],DO_DB!G:I,3,0)</f>
        <v>#N/A</v>
      </c>
      <c r="AB1409" s="331" t="e">
        <f>EXACT(Logfile_S12[[#This Row],[date pick]],Logfile_S12[[#This Row],[Date]])</f>
        <v>#N/A</v>
      </c>
      <c r="AC14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10" spans="1:29" ht="14.5" hidden="1">
      <c r="A1410" s="220" t="str">
        <f t="shared" si="52"/>
        <v>1406</v>
      </c>
      <c r="B1410" s="221"/>
      <c r="C1410" s="221" t="s">
        <v>48</v>
      </c>
      <c r="D1410" s="221" t="s">
        <v>3715</v>
      </c>
      <c r="E1410" s="221" t="s">
        <v>3295</v>
      </c>
      <c r="F1410" s="221" t="s">
        <v>3299</v>
      </c>
      <c r="G1410" s="222">
        <v>45191</v>
      </c>
      <c r="H1410" s="223">
        <v>15.291666666666666</v>
      </c>
      <c r="I1410" s="221" t="s">
        <v>38</v>
      </c>
      <c r="J1410" s="221" t="s">
        <v>3024</v>
      </c>
      <c r="K1410" s="224" t="s">
        <v>3224</v>
      </c>
      <c r="L1410" s="225" t="str">
        <f>VLOOKUP(Logfile_S12[[#This Row],[Material Name]],Sheet2!B:C,2,0)</f>
        <v>GCI1002</v>
      </c>
      <c r="M1410" s="225" t="str">
        <f>_xlfn.XLOOKUP(Logfile_S12[[#This Row],[Material Name]],Sum_WH!E:E,Sum_WH!F:F,"",0)</f>
        <v>Pcs</v>
      </c>
      <c r="N1410" s="221">
        <v>4</v>
      </c>
      <c r="O1410" s="221" t="s">
        <v>222</v>
      </c>
      <c r="P1410" s="221" t="s">
        <v>223</v>
      </c>
      <c r="Q1410" s="221">
        <v>0</v>
      </c>
      <c r="R1410" s="221">
        <v>0</v>
      </c>
      <c r="S1410" s="221"/>
      <c r="T1410" s="221"/>
      <c r="U1410" s="221"/>
      <c r="V1410" s="221"/>
      <c r="W1410" s="221"/>
      <c r="X1410" s="221" t="s">
        <v>3343</v>
      </c>
      <c r="Y1410" s="227"/>
      <c r="Z1410" s="227" t="str">
        <f t="shared" si="53"/>
        <v>Puncak Dieng Exlusif</v>
      </c>
      <c r="AA1410" s="276" t="e">
        <f>VLOOKUP(Logfile_S12[[#This Row],[DO number]],DO_DB!G:I,3,0)</f>
        <v>#N/A</v>
      </c>
      <c r="AB1410" s="331" t="e">
        <f>EXACT(Logfile_S12[[#This Row],[date pick]],Logfile_S12[[#This Row],[Date]])</f>
        <v>#N/A</v>
      </c>
      <c r="AC14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11" spans="1:29" ht="14.5" hidden="1">
      <c r="A1411" s="220" t="str">
        <f t="shared" si="52"/>
        <v>1407</v>
      </c>
      <c r="B1411" s="221"/>
      <c r="C1411" s="221" t="s">
        <v>49</v>
      </c>
      <c r="D1411" s="221" t="s">
        <v>3719</v>
      </c>
      <c r="E1411" s="221" t="s">
        <v>3295</v>
      </c>
      <c r="F1411" s="221" t="s">
        <v>3299</v>
      </c>
      <c r="G1411" s="222">
        <v>45193</v>
      </c>
      <c r="H1411" s="223">
        <v>0.31666666666666665</v>
      </c>
      <c r="I1411" s="221" t="s">
        <v>4916</v>
      </c>
      <c r="J1411" s="221" t="s">
        <v>3024</v>
      </c>
      <c r="K1411" s="224" t="s">
        <v>3088</v>
      </c>
      <c r="L1411" s="225" t="str">
        <f>VLOOKUP(Logfile_S12[[#This Row],[Material Name]],Sheet2!B:C,2,0)</f>
        <v>GCI1002</v>
      </c>
      <c r="M1411" s="225" t="str">
        <f>_xlfn.XLOOKUP(Logfile_S12[[#This Row],[Material Name]],Sum_WH!E:E,Sum_WH!F:F,"",0)</f>
        <v>Pcs</v>
      </c>
      <c r="N1411" s="221">
        <v>1</v>
      </c>
      <c r="O1411" s="221" t="s">
        <v>180</v>
      </c>
      <c r="P1411" s="221" t="s">
        <v>181</v>
      </c>
      <c r="Q1411" s="221"/>
      <c r="R1411" s="221"/>
      <c r="S1411" s="221"/>
      <c r="T1411" s="221" t="s">
        <v>3322</v>
      </c>
      <c r="U1411" s="221" t="s">
        <v>3323</v>
      </c>
      <c r="V1411" s="221" t="s">
        <v>3324</v>
      </c>
      <c r="W1411" s="221" t="s">
        <v>3386</v>
      </c>
      <c r="X1411" s="221"/>
      <c r="Y1411" s="227"/>
      <c r="Z1411" s="227" t="str">
        <f t="shared" si="53"/>
        <v>Mulyorejo RW 06 Sukun</v>
      </c>
      <c r="AA1411" s="276" t="e">
        <f>VLOOKUP(Logfile_S12[[#This Row],[DO number]],DO_DB!G:I,3,0)</f>
        <v>#N/A</v>
      </c>
      <c r="AB1411" s="331" t="e">
        <f>EXACT(Logfile_S12[[#This Row],[date pick]],Logfile_S12[[#This Row],[Date]])</f>
        <v>#N/A</v>
      </c>
      <c r="AC14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12" spans="1:29" ht="14.5" hidden="1">
      <c r="A1412" s="220" t="str">
        <f t="shared" si="52"/>
        <v>1408</v>
      </c>
      <c r="B1412" s="221"/>
      <c r="C1412" s="221" t="s">
        <v>49</v>
      </c>
      <c r="D1412" s="221" t="s">
        <v>3719</v>
      </c>
      <c r="E1412" s="221" t="s">
        <v>3295</v>
      </c>
      <c r="F1412" s="221" t="s">
        <v>3299</v>
      </c>
      <c r="G1412" s="222">
        <v>45193</v>
      </c>
      <c r="H1412" s="223">
        <v>0.31666666666666665</v>
      </c>
      <c r="I1412" s="221" t="s">
        <v>4916</v>
      </c>
      <c r="J1412" s="221" t="s">
        <v>3024</v>
      </c>
      <c r="K1412" s="224" t="s">
        <v>3088</v>
      </c>
      <c r="L1412" s="225" t="str">
        <f>VLOOKUP(Logfile_S12[[#This Row],[Material Name]],Sheet2!B:C,2,0)</f>
        <v>GCI1002</v>
      </c>
      <c r="M1412" s="225" t="str">
        <f>_xlfn.XLOOKUP(Logfile_S12[[#This Row],[Material Name]],Sum_WH!E:E,Sum_WH!F:F,"",0)</f>
        <v>Pcs</v>
      </c>
      <c r="N1412" s="221">
        <v>2</v>
      </c>
      <c r="O1412" s="221" t="s">
        <v>222</v>
      </c>
      <c r="P1412" s="221" t="s">
        <v>223</v>
      </c>
      <c r="Q1412" s="221"/>
      <c r="R1412" s="221"/>
      <c r="S1412" s="221"/>
      <c r="T1412" s="221" t="s">
        <v>3322</v>
      </c>
      <c r="U1412" s="221" t="s">
        <v>3323</v>
      </c>
      <c r="V1412" s="221" t="s">
        <v>3324</v>
      </c>
      <c r="W1412" s="221" t="s">
        <v>3386</v>
      </c>
      <c r="X1412" s="221"/>
      <c r="Y1412" s="227"/>
      <c r="Z1412" s="227" t="str">
        <f t="shared" si="53"/>
        <v>Puncak Dieng Exlusif</v>
      </c>
      <c r="AA1412" s="276" t="e">
        <f>VLOOKUP(Logfile_S12[[#This Row],[DO number]],DO_DB!G:I,3,0)</f>
        <v>#N/A</v>
      </c>
      <c r="AB1412" s="331" t="e">
        <f>EXACT(Logfile_S12[[#This Row],[date pick]],Logfile_S12[[#This Row],[Date]])</f>
        <v>#N/A</v>
      </c>
      <c r="AC14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13" spans="1:29" ht="14.5" hidden="1">
      <c r="A1413" s="220" t="str">
        <f t="shared" ref="A1413:A1476" si="54">TEXT(ROW(A1413)-ROW($A$4),"000")</f>
        <v>1409</v>
      </c>
      <c r="B1413" s="221"/>
      <c r="C1413" s="221" t="s">
        <v>49</v>
      </c>
      <c r="D1413" s="221" t="s">
        <v>3730</v>
      </c>
      <c r="E1413" s="221" t="s">
        <v>3295</v>
      </c>
      <c r="F1413" s="221" t="s">
        <v>3299</v>
      </c>
      <c r="G1413" s="222">
        <v>45196</v>
      </c>
      <c r="H1413" s="223">
        <v>0.52083333333333337</v>
      </c>
      <c r="I1413" s="221" t="s">
        <v>4916</v>
      </c>
      <c r="J1413" s="221" t="s">
        <v>3024</v>
      </c>
      <c r="K1413" s="224" t="s">
        <v>3088</v>
      </c>
      <c r="L1413" s="225" t="str">
        <f>VLOOKUP(Logfile_S12[[#This Row],[Material Name]],Sheet2!B:C,2,0)</f>
        <v>GCI1002</v>
      </c>
      <c r="M1413" s="225" t="str">
        <f>_xlfn.XLOOKUP(Logfile_S12[[#This Row],[Material Name]],Sum_WH!E:E,Sum_WH!F:F,"",0)</f>
        <v>Pcs</v>
      </c>
      <c r="N1413" s="221">
        <v>1</v>
      </c>
      <c r="O1413" s="221" t="s">
        <v>172</v>
      </c>
      <c r="P1413" s="221" t="s">
        <v>3319</v>
      </c>
      <c r="Q1413" s="221"/>
      <c r="R1413" s="221"/>
      <c r="S1413" s="221"/>
      <c r="T1413" s="221" t="s">
        <v>3346</v>
      </c>
      <c r="U1413" s="221" t="s">
        <v>3323</v>
      </c>
      <c r="V1413" s="221" t="s">
        <v>3347</v>
      </c>
      <c r="W1413" s="221" t="s">
        <v>3387</v>
      </c>
      <c r="X1413" s="221"/>
      <c r="Y1413" s="227"/>
      <c r="Z1413" s="227" t="str">
        <f t="shared" si="53"/>
        <v>Pandan Landung RW 03 Wagir</v>
      </c>
      <c r="AA1413" s="276" t="e">
        <f>VLOOKUP(Logfile_S12[[#This Row],[DO number]],DO_DB!G:I,3,0)</f>
        <v>#N/A</v>
      </c>
      <c r="AB1413" s="331" t="e">
        <f>EXACT(Logfile_S12[[#This Row],[date pick]],Logfile_S12[[#This Row],[Date]])</f>
        <v>#N/A</v>
      </c>
      <c r="AC14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14" spans="1:29" ht="14.5" hidden="1">
      <c r="A1414" s="220" t="str">
        <f t="shared" si="54"/>
        <v>1410</v>
      </c>
      <c r="B1414" s="221"/>
      <c r="C1414" s="221" t="s">
        <v>48</v>
      </c>
      <c r="D1414" s="221" t="s">
        <v>3737</v>
      </c>
      <c r="E1414" s="221" t="s">
        <v>3295</v>
      </c>
      <c r="F1414" s="221" t="s">
        <v>3299</v>
      </c>
      <c r="G1414" s="222">
        <v>45201</v>
      </c>
      <c r="H1414" s="223">
        <v>15.291666666666666</v>
      </c>
      <c r="I1414" s="221" t="s">
        <v>38</v>
      </c>
      <c r="J1414" s="221" t="s">
        <v>3024</v>
      </c>
      <c r="K1414" s="224" t="s">
        <v>3443</v>
      </c>
      <c r="L1414" s="225" t="str">
        <f>VLOOKUP(Logfile_S12[[#This Row],[Material Name]],Sheet2!B:C,2,0)</f>
        <v>GCI1002</v>
      </c>
      <c r="M1414" s="225" t="str">
        <f>_xlfn.XLOOKUP(Logfile_S12[[#This Row],[Material Name]],Sum_WH!E:E,Sum_WH!F:F,"",0)</f>
        <v>Pcs</v>
      </c>
      <c r="N1414" s="221">
        <v>2</v>
      </c>
      <c r="O1414" s="221" t="s">
        <v>3344</v>
      </c>
      <c r="P1414" s="221" t="s">
        <v>3345</v>
      </c>
      <c r="Q1414" s="221">
        <v>0</v>
      </c>
      <c r="R1414" s="221">
        <v>0</v>
      </c>
      <c r="S1414" s="221"/>
      <c r="T1414" s="221"/>
      <c r="U1414" s="221"/>
      <c r="V1414" s="221"/>
      <c r="W1414" s="221"/>
      <c r="X1414" s="221"/>
      <c r="Y1414" s="227"/>
      <c r="Z1414" s="227" t="str">
        <f t="shared" si="53"/>
        <v>Purchase</v>
      </c>
      <c r="AA1414" s="276" t="e">
        <f>VLOOKUP(Logfile_S12[[#This Row],[DO number]],DO_DB!G:I,3,0)</f>
        <v>#N/A</v>
      </c>
      <c r="AB1414" s="331" t="e">
        <f>EXACT(Logfile_S12[[#This Row],[date pick]],Logfile_S12[[#This Row],[Date]])</f>
        <v>#N/A</v>
      </c>
      <c r="AC14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15" spans="1:29" ht="14.5" hidden="1">
      <c r="A1415" s="220" t="str">
        <f t="shared" si="54"/>
        <v>1411</v>
      </c>
      <c r="B1415" s="221"/>
      <c r="C1415" s="221" t="s">
        <v>49</v>
      </c>
      <c r="D1415" s="221" t="s">
        <v>3738</v>
      </c>
      <c r="E1415" s="221" t="s">
        <v>3295</v>
      </c>
      <c r="F1415" s="221" t="s">
        <v>3299</v>
      </c>
      <c r="G1415" s="222">
        <v>45203</v>
      </c>
      <c r="H1415" s="223">
        <v>0.40277777777777773</v>
      </c>
      <c r="I1415" s="221" t="s">
        <v>4916</v>
      </c>
      <c r="J1415" s="221" t="s">
        <v>3024</v>
      </c>
      <c r="K1415" s="224" t="s">
        <v>3235</v>
      </c>
      <c r="L1415" s="225" t="str">
        <f>VLOOKUP(Logfile_S12[[#This Row],[Material Name]],Sheet2!B:C,2,0)</f>
        <v>GCI1002</v>
      </c>
      <c r="M1415" s="225" t="str">
        <f>_xlfn.XLOOKUP(Logfile_S12[[#This Row],[Material Name]],Sum_WH!E:E,Sum_WH!F:F,"",0)</f>
        <v>Pcs</v>
      </c>
      <c r="N1415" s="221">
        <v>1</v>
      </c>
      <c r="O1415" s="221" t="s">
        <v>164</v>
      </c>
      <c r="P1415" s="221" t="s">
        <v>3320</v>
      </c>
      <c r="Q1415" s="221"/>
      <c r="R1415" s="221"/>
      <c r="S1415" s="221"/>
      <c r="T1415" s="221" t="s">
        <v>3346</v>
      </c>
      <c r="U1415" s="221">
        <v>0</v>
      </c>
      <c r="V1415" s="221" t="s">
        <v>3347</v>
      </c>
      <c r="W1415" s="221" t="s">
        <v>3334</v>
      </c>
      <c r="X1415" s="221"/>
      <c r="Y1415" s="227"/>
      <c r="Z1415" s="227" t="str">
        <f t="shared" si="53"/>
        <v>Pandan Landung RW 04 Wagir</v>
      </c>
      <c r="AA1415" s="276" t="e">
        <f>VLOOKUP(Logfile_S12[[#This Row],[DO number]],DO_DB!G:I,3,0)</f>
        <v>#N/A</v>
      </c>
      <c r="AB1415" s="331" t="e">
        <f>EXACT(Logfile_S12[[#This Row],[date pick]],Logfile_S12[[#This Row],[Date]])</f>
        <v>#N/A</v>
      </c>
      <c r="AC14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16" spans="1:29" ht="14.5" hidden="1">
      <c r="A1416" s="220" t="str">
        <f t="shared" si="54"/>
        <v>1412</v>
      </c>
      <c r="B1416" s="221"/>
      <c r="C1416" s="221" t="s">
        <v>48</v>
      </c>
      <c r="D1416" s="221" t="s">
        <v>3787</v>
      </c>
      <c r="E1416" s="221" t="s">
        <v>3295</v>
      </c>
      <c r="F1416" s="221" t="s">
        <v>3299</v>
      </c>
      <c r="G1416" s="222">
        <v>45220</v>
      </c>
      <c r="H1416" s="223">
        <v>15.291666666666666</v>
      </c>
      <c r="I1416" s="221" t="s">
        <v>38</v>
      </c>
      <c r="J1416" s="221" t="s">
        <v>3024</v>
      </c>
      <c r="K1416" s="224" t="s">
        <v>3088</v>
      </c>
      <c r="L1416" s="225" t="str">
        <f>VLOOKUP(Logfile_S12[[#This Row],[Material Name]],Sheet2!B:C,2,0)</f>
        <v>GCI1002</v>
      </c>
      <c r="M1416" s="225" t="str">
        <f>_xlfn.XLOOKUP(Logfile_S12[[#This Row],[Material Name]],Sum_WH!E:E,Sum_WH!F:F,"",0)</f>
        <v>Pcs</v>
      </c>
      <c r="N1416" s="221">
        <v>9</v>
      </c>
      <c r="O1416" s="221" t="s">
        <v>3344</v>
      </c>
      <c r="P1416" s="221" t="s">
        <v>3345</v>
      </c>
      <c r="Q1416" s="221">
        <v>0</v>
      </c>
      <c r="R1416" s="221">
        <v>0</v>
      </c>
      <c r="S1416" s="221"/>
      <c r="T1416" s="221"/>
      <c r="U1416" s="221"/>
      <c r="V1416" s="221"/>
      <c r="W1416" s="221"/>
      <c r="X1416" s="221" t="s">
        <v>3350</v>
      </c>
      <c r="Y1416" s="227"/>
      <c r="Z1416" s="227" t="str">
        <f t="shared" si="53"/>
        <v>Purchase</v>
      </c>
      <c r="AA1416" s="276" t="e">
        <f>VLOOKUP(Logfile_S12[[#This Row],[DO number]],DO_DB!G:I,3,0)</f>
        <v>#N/A</v>
      </c>
      <c r="AB1416" s="331" t="e">
        <f>EXACT(Logfile_S12[[#This Row],[date pick]],Logfile_S12[[#This Row],[Date]])</f>
        <v>#N/A</v>
      </c>
      <c r="AC14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17" spans="1:29" ht="14.5" hidden="1">
      <c r="A1417" s="220" t="str">
        <f t="shared" si="54"/>
        <v>1413</v>
      </c>
      <c r="B1417" s="221"/>
      <c r="C1417" s="221" t="s">
        <v>49</v>
      </c>
      <c r="D1417" s="221" t="s">
        <v>3779</v>
      </c>
      <c r="E1417" s="221" t="s">
        <v>3295</v>
      </c>
      <c r="F1417" s="221" t="s">
        <v>3299</v>
      </c>
      <c r="G1417" s="222">
        <v>45220</v>
      </c>
      <c r="H1417" s="223">
        <v>0.97499999999999998</v>
      </c>
      <c r="I1417" s="221" t="s">
        <v>4916</v>
      </c>
      <c r="J1417" s="221" t="s">
        <v>3024</v>
      </c>
      <c r="K1417" s="224" t="s">
        <v>3224</v>
      </c>
      <c r="L1417" s="225" t="str">
        <f>VLOOKUP(Logfile_S12[[#This Row],[Material Name]],Sheet2!B:C,2,0)</f>
        <v>GCI1002</v>
      </c>
      <c r="M1417" s="225" t="str">
        <f>_xlfn.XLOOKUP(Logfile_S12[[#This Row],[Material Name]],Sum_WH!E:E,Sum_WH!F:F,"",0)</f>
        <v>Pcs</v>
      </c>
      <c r="N1417" s="221">
        <v>1</v>
      </c>
      <c r="O1417" s="221" t="s">
        <v>324</v>
      </c>
      <c r="P1417" s="221" t="s">
        <v>325</v>
      </c>
      <c r="Q1417" s="221"/>
      <c r="R1417" s="221"/>
      <c r="S1417" s="221"/>
      <c r="T1417" s="221" t="s">
        <v>3322</v>
      </c>
      <c r="U1417" s="221" t="s">
        <v>3323</v>
      </c>
      <c r="V1417" s="221" t="s">
        <v>3324</v>
      </c>
      <c r="W1417" s="221" t="s">
        <v>3325</v>
      </c>
      <c r="X1417" s="221"/>
      <c r="Y1417" s="227"/>
      <c r="Z1417" s="227" t="str">
        <f t="shared" si="53"/>
        <v>Jedong RW 09 Wagir</v>
      </c>
      <c r="AA1417" s="276" t="e">
        <f>VLOOKUP(Logfile_S12[[#This Row],[DO number]],DO_DB!G:I,3,0)</f>
        <v>#N/A</v>
      </c>
      <c r="AB1417" s="331" t="e">
        <f>EXACT(Logfile_S12[[#This Row],[date pick]],Logfile_S12[[#This Row],[Date]])</f>
        <v>#N/A</v>
      </c>
      <c r="AC14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18" spans="1:29" ht="14.5" hidden="1">
      <c r="A1418" s="220" t="str">
        <f t="shared" si="54"/>
        <v>1414</v>
      </c>
      <c r="B1418" s="221"/>
      <c r="C1418" s="221" t="s">
        <v>49</v>
      </c>
      <c r="D1418" s="221" t="s">
        <v>3779</v>
      </c>
      <c r="E1418" s="221" t="s">
        <v>3295</v>
      </c>
      <c r="F1418" s="221" t="s">
        <v>3299</v>
      </c>
      <c r="G1418" s="222">
        <v>45220</v>
      </c>
      <c r="H1418" s="223">
        <v>0.97499999999999998</v>
      </c>
      <c r="I1418" s="221" t="s">
        <v>4916</v>
      </c>
      <c r="J1418" s="221" t="s">
        <v>3024</v>
      </c>
      <c r="K1418" s="224" t="s">
        <v>3224</v>
      </c>
      <c r="L1418" s="225" t="str">
        <f>VLOOKUP(Logfile_S12[[#This Row],[Material Name]],Sheet2!B:C,2,0)</f>
        <v>GCI1002</v>
      </c>
      <c r="M1418" s="225" t="str">
        <f>_xlfn.XLOOKUP(Logfile_S12[[#This Row],[Material Name]],Sum_WH!E:E,Sum_WH!F:F,"",0)</f>
        <v>Pcs</v>
      </c>
      <c r="N1418" s="221">
        <v>3</v>
      </c>
      <c r="O1418" s="221" t="s">
        <v>340</v>
      </c>
      <c r="P1418" s="221" t="s">
        <v>341</v>
      </c>
      <c r="Q1418" s="221"/>
      <c r="R1418" s="221"/>
      <c r="S1418" s="221"/>
      <c r="T1418" s="221" t="s">
        <v>3322</v>
      </c>
      <c r="U1418" s="221" t="s">
        <v>3323</v>
      </c>
      <c r="V1418" s="221" t="s">
        <v>3324</v>
      </c>
      <c r="W1418" s="221" t="s">
        <v>3325</v>
      </c>
      <c r="X1418" s="221"/>
      <c r="Y1418" s="227"/>
      <c r="Z1418" s="227" t="str">
        <f t="shared" si="53"/>
        <v>Jedong RW 08 Wagir</v>
      </c>
      <c r="AA1418" s="276" t="e">
        <f>VLOOKUP(Logfile_S12[[#This Row],[DO number]],DO_DB!G:I,3,0)</f>
        <v>#N/A</v>
      </c>
      <c r="AB1418" s="331" t="e">
        <f>EXACT(Logfile_S12[[#This Row],[date pick]],Logfile_S12[[#This Row],[Date]])</f>
        <v>#N/A</v>
      </c>
      <c r="AC14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19" spans="1:29" ht="14.5" hidden="1">
      <c r="A1419" s="220" t="str">
        <f t="shared" si="54"/>
        <v>1415</v>
      </c>
      <c r="B1419" s="221"/>
      <c r="C1419" s="221" t="s">
        <v>49</v>
      </c>
      <c r="D1419" s="221" t="s">
        <v>3788</v>
      </c>
      <c r="E1419" s="221" t="s">
        <v>3295</v>
      </c>
      <c r="F1419" s="221" t="s">
        <v>3299</v>
      </c>
      <c r="G1419" s="222">
        <v>45221</v>
      </c>
      <c r="H1419" s="223">
        <v>0.9375</v>
      </c>
      <c r="I1419" s="221" t="s">
        <v>4916</v>
      </c>
      <c r="J1419" s="221" t="s">
        <v>3024</v>
      </c>
      <c r="K1419" s="224" t="s">
        <v>3224</v>
      </c>
      <c r="L1419" s="225" t="str">
        <f>VLOOKUP(Logfile_S12[[#This Row],[Material Name]],Sheet2!B:C,2,0)</f>
        <v>GCI1002</v>
      </c>
      <c r="M1419" s="225" t="str">
        <f>_xlfn.XLOOKUP(Logfile_S12[[#This Row],[Material Name]],Sum_WH!E:E,Sum_WH!F:F,"",0)</f>
        <v>Pcs</v>
      </c>
      <c r="N1419" s="221">
        <v>1</v>
      </c>
      <c r="O1419" s="221" t="s">
        <v>328</v>
      </c>
      <c r="P1419" s="221" t="s">
        <v>329</v>
      </c>
      <c r="Q1419" s="221"/>
      <c r="R1419" s="221"/>
      <c r="S1419" s="221"/>
      <c r="T1419" s="221" t="s">
        <v>3332</v>
      </c>
      <c r="U1419" s="221">
        <v>0</v>
      </c>
      <c r="V1419" s="221" t="s">
        <v>3333</v>
      </c>
      <c r="W1419" s="221" t="s">
        <v>3334</v>
      </c>
      <c r="X1419" s="221"/>
      <c r="Y1419" s="227"/>
      <c r="Z1419" s="227" t="str">
        <f t="shared" si="53"/>
        <v>Sukodadi RW 01 Wagir</v>
      </c>
      <c r="AA1419" s="276" t="e">
        <f>VLOOKUP(Logfile_S12[[#This Row],[DO number]],DO_DB!G:I,3,0)</f>
        <v>#N/A</v>
      </c>
      <c r="AB1419" s="331" t="e">
        <f>EXACT(Logfile_S12[[#This Row],[date pick]],Logfile_S12[[#This Row],[Date]])</f>
        <v>#N/A</v>
      </c>
      <c r="AC14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20" spans="1:29" ht="14.5" hidden="1">
      <c r="A1420" s="220" t="str">
        <f t="shared" si="54"/>
        <v>1416</v>
      </c>
      <c r="B1420" s="221"/>
      <c r="C1420" s="221" t="s">
        <v>49</v>
      </c>
      <c r="D1420" s="221" t="s">
        <v>3788</v>
      </c>
      <c r="E1420" s="221" t="s">
        <v>3295</v>
      </c>
      <c r="F1420" s="221" t="s">
        <v>3299</v>
      </c>
      <c r="G1420" s="222">
        <v>45221</v>
      </c>
      <c r="H1420" s="223">
        <v>0.9375</v>
      </c>
      <c r="I1420" s="221" t="s">
        <v>4916</v>
      </c>
      <c r="J1420" s="221" t="s">
        <v>3024</v>
      </c>
      <c r="K1420" s="224" t="s">
        <v>3088</v>
      </c>
      <c r="L1420" s="225" t="str">
        <f>VLOOKUP(Logfile_S12[[#This Row],[Material Name]],Sheet2!B:C,2,0)</f>
        <v>GCI1002</v>
      </c>
      <c r="M1420" s="225" t="str">
        <f>_xlfn.XLOOKUP(Logfile_S12[[#This Row],[Material Name]],Sum_WH!E:E,Sum_WH!F:F,"",0)</f>
        <v>Pcs</v>
      </c>
      <c r="N1420" s="221">
        <v>1</v>
      </c>
      <c r="O1420" s="221" t="s">
        <v>336</v>
      </c>
      <c r="P1420" s="221" t="s">
        <v>337</v>
      </c>
      <c r="Q1420" s="221"/>
      <c r="R1420" s="221"/>
      <c r="S1420" s="221"/>
      <c r="T1420" s="221" t="s">
        <v>3332</v>
      </c>
      <c r="U1420" s="221">
        <v>0</v>
      </c>
      <c r="V1420" s="221" t="s">
        <v>3333</v>
      </c>
      <c r="W1420" s="221" t="s">
        <v>3334</v>
      </c>
      <c r="X1420" s="221"/>
      <c r="Y1420" s="227"/>
      <c r="Z1420" s="227" t="str">
        <f t="shared" ref="Z1420:Z1483" si="55">P1420</f>
        <v>Sidorahayu RW 02 Wagir</v>
      </c>
      <c r="AA1420" s="276" t="e">
        <f>VLOOKUP(Logfile_S12[[#This Row],[DO number]],DO_DB!G:I,3,0)</f>
        <v>#N/A</v>
      </c>
      <c r="AB1420" s="331" t="e">
        <f>EXACT(Logfile_S12[[#This Row],[date pick]],Logfile_S12[[#This Row],[Date]])</f>
        <v>#N/A</v>
      </c>
      <c r="AC14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21" spans="1:29" ht="14.5" hidden="1">
      <c r="A1421" s="220" t="str">
        <f t="shared" si="54"/>
        <v>1417</v>
      </c>
      <c r="B1421" s="221"/>
      <c r="C1421" s="221" t="s">
        <v>49</v>
      </c>
      <c r="D1421" s="221" t="s">
        <v>3788</v>
      </c>
      <c r="E1421" s="221" t="s">
        <v>3295</v>
      </c>
      <c r="F1421" s="221" t="s">
        <v>3299</v>
      </c>
      <c r="G1421" s="222">
        <v>45221</v>
      </c>
      <c r="H1421" s="223">
        <v>0.9375</v>
      </c>
      <c r="I1421" s="221" t="s">
        <v>4916</v>
      </c>
      <c r="J1421" s="221" t="s">
        <v>3024</v>
      </c>
      <c r="K1421" s="224" t="s">
        <v>3224</v>
      </c>
      <c r="L1421" s="225" t="str">
        <f>VLOOKUP(Logfile_S12[[#This Row],[Material Name]],Sheet2!B:C,2,0)</f>
        <v>GCI1002</v>
      </c>
      <c r="M1421" s="225" t="str">
        <f>_xlfn.XLOOKUP(Logfile_S12[[#This Row],[Material Name]],Sum_WH!E:E,Sum_WH!F:F,"",0)</f>
        <v>Pcs</v>
      </c>
      <c r="N1421" s="221">
        <v>2</v>
      </c>
      <c r="O1421" s="221" t="s">
        <v>332</v>
      </c>
      <c r="P1421" s="221" t="s">
        <v>333</v>
      </c>
      <c r="Q1421" s="221"/>
      <c r="R1421" s="221"/>
      <c r="S1421" s="221"/>
      <c r="T1421" s="221" t="s">
        <v>3332</v>
      </c>
      <c r="U1421" s="221">
        <v>0</v>
      </c>
      <c r="V1421" s="221" t="s">
        <v>3333</v>
      </c>
      <c r="W1421" s="221" t="s">
        <v>3334</v>
      </c>
      <c r="X1421" s="221"/>
      <c r="Y1421" s="227"/>
      <c r="Z1421" s="227" t="str">
        <f t="shared" si="55"/>
        <v>Sukodadi RW 02 Wagir</v>
      </c>
      <c r="AA1421" s="276" t="e">
        <f>VLOOKUP(Logfile_S12[[#This Row],[DO number]],DO_DB!G:I,3,0)</f>
        <v>#N/A</v>
      </c>
      <c r="AB1421" s="331" t="e">
        <f>EXACT(Logfile_S12[[#This Row],[date pick]],Logfile_S12[[#This Row],[Date]])</f>
        <v>#N/A</v>
      </c>
      <c r="AC14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22" spans="1:29" ht="14.5" hidden="1">
      <c r="A1422" s="220" t="str">
        <f t="shared" si="54"/>
        <v>1418</v>
      </c>
      <c r="B1422" s="221"/>
      <c r="C1422" s="221" t="s">
        <v>49</v>
      </c>
      <c r="D1422" s="221" t="s">
        <v>3812</v>
      </c>
      <c r="E1422" s="221" t="s">
        <v>3295</v>
      </c>
      <c r="F1422" s="221" t="s">
        <v>3299</v>
      </c>
      <c r="G1422" s="222">
        <v>45255</v>
      </c>
      <c r="H1422" s="223">
        <v>0.3</v>
      </c>
      <c r="I1422" s="221" t="s">
        <v>4916</v>
      </c>
      <c r="J1422" s="221" t="s">
        <v>3024</v>
      </c>
      <c r="K1422" s="224" t="s">
        <v>3088</v>
      </c>
      <c r="L1422" s="225" t="str">
        <f>VLOOKUP(Logfile_S12[[#This Row],[Material Name]],Sheet2!B:C,2,0)</f>
        <v>GCI1002</v>
      </c>
      <c r="M1422" s="225" t="str">
        <f>_xlfn.XLOOKUP(Logfile_S12[[#This Row],[Material Name]],Sum_WH!E:E,Sum_WH!F:F,"",0)</f>
        <v>Pcs</v>
      </c>
      <c r="N1422" s="221">
        <v>1</v>
      </c>
      <c r="O1422" s="221" t="s">
        <v>340</v>
      </c>
      <c r="P1422" s="221" t="s">
        <v>341</v>
      </c>
      <c r="Q1422" s="221"/>
      <c r="R1422" s="221"/>
      <c r="S1422" s="221"/>
      <c r="T1422" s="221" t="s">
        <v>3351</v>
      </c>
      <c r="U1422" s="221">
        <v>0</v>
      </c>
      <c r="V1422" s="221" t="s">
        <v>3352</v>
      </c>
      <c r="W1422" s="221" t="s">
        <v>3353</v>
      </c>
      <c r="X1422" s="221"/>
      <c r="Y1422" s="227"/>
      <c r="Z1422" s="227" t="str">
        <f t="shared" si="55"/>
        <v>Jedong RW 08 Wagir</v>
      </c>
      <c r="AA1422" s="276" t="e">
        <f>VLOOKUP(Logfile_S12[[#This Row],[DO number]],DO_DB!G:I,3,0)</f>
        <v>#N/A</v>
      </c>
      <c r="AB1422" s="331" t="e">
        <f>EXACT(Logfile_S12[[#This Row],[date pick]],Logfile_S12[[#This Row],[Date]])</f>
        <v>#N/A</v>
      </c>
      <c r="AC14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23" spans="1:29" ht="14.5" hidden="1">
      <c r="A1423" s="220" t="str">
        <f t="shared" si="54"/>
        <v>1419</v>
      </c>
      <c r="B1423" s="221"/>
      <c r="C1423" s="221" t="s">
        <v>48</v>
      </c>
      <c r="D1423" s="221" t="s">
        <v>3823</v>
      </c>
      <c r="E1423" s="221" t="s">
        <v>3295</v>
      </c>
      <c r="F1423" s="221" t="s">
        <v>3299</v>
      </c>
      <c r="G1423" s="222">
        <v>45257</v>
      </c>
      <c r="H1423" s="223">
        <v>15.291666666666666</v>
      </c>
      <c r="I1423" s="221" t="s">
        <v>38</v>
      </c>
      <c r="J1423" s="221" t="s">
        <v>3024</v>
      </c>
      <c r="K1423" s="224" t="s">
        <v>3088</v>
      </c>
      <c r="L1423" s="225" t="str">
        <f>VLOOKUP(Logfile_S12[[#This Row],[Material Name]],Sheet2!B:C,2,0)</f>
        <v>GCI1002</v>
      </c>
      <c r="M1423" s="225" t="str">
        <f>_xlfn.XLOOKUP(Logfile_S12[[#This Row],[Material Name]],Sum_WH!E:E,Sum_WH!F:F,"",0)</f>
        <v>Pcs</v>
      </c>
      <c r="N1423" s="221">
        <v>1</v>
      </c>
      <c r="O1423" s="221" t="s">
        <v>340</v>
      </c>
      <c r="P1423" s="221" t="s">
        <v>341</v>
      </c>
      <c r="Q1423" s="221">
        <v>0</v>
      </c>
      <c r="R1423" s="221">
        <v>0</v>
      </c>
      <c r="S1423" s="221"/>
      <c r="T1423" s="221"/>
      <c r="U1423" s="221"/>
      <c r="V1423" s="221"/>
      <c r="W1423" s="221"/>
      <c r="X1423" s="221" t="s">
        <v>3444</v>
      </c>
      <c r="Y1423" s="227"/>
      <c r="Z1423" s="227" t="str">
        <f t="shared" si="55"/>
        <v>Jedong RW 08 Wagir</v>
      </c>
      <c r="AA1423" s="276" t="e">
        <f>VLOOKUP(Logfile_S12[[#This Row],[DO number]],DO_DB!G:I,3,0)</f>
        <v>#N/A</v>
      </c>
      <c r="AB1423" s="331" t="e">
        <f>EXACT(Logfile_S12[[#This Row],[date pick]],Logfile_S12[[#This Row],[Date]])</f>
        <v>#N/A</v>
      </c>
      <c r="AC14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24" spans="1:29" ht="14.5" hidden="1">
      <c r="A1424" s="220" t="str">
        <f t="shared" si="54"/>
        <v>1420</v>
      </c>
      <c r="B1424" s="221"/>
      <c r="C1424" s="221" t="s">
        <v>49</v>
      </c>
      <c r="D1424" s="221" t="s">
        <v>3830</v>
      </c>
      <c r="E1424" s="221" t="s">
        <v>3295</v>
      </c>
      <c r="F1424" s="221" t="s">
        <v>3299</v>
      </c>
      <c r="G1424" s="222">
        <v>45266</v>
      </c>
      <c r="H1424" s="223">
        <v>0.39999999999999997</v>
      </c>
      <c r="I1424" s="221" t="s">
        <v>4916</v>
      </c>
      <c r="J1424" s="221" t="s">
        <v>3024</v>
      </c>
      <c r="K1424" s="224" t="s">
        <v>3088</v>
      </c>
      <c r="L1424" s="225" t="str">
        <f>VLOOKUP(Logfile_S12[[#This Row],[Material Name]],Sheet2!B:C,2,0)</f>
        <v>GCI1002</v>
      </c>
      <c r="M1424" s="225" t="str">
        <f>_xlfn.XLOOKUP(Logfile_S12[[#This Row],[Material Name]],Sum_WH!E:E,Sum_WH!F:F,"",0)</f>
        <v>Pcs</v>
      </c>
      <c r="N1424" s="221">
        <v>1</v>
      </c>
      <c r="O1424" s="221" t="s">
        <v>468</v>
      </c>
      <c r="P1424" s="221" t="s">
        <v>469</v>
      </c>
      <c r="Q1424" s="221"/>
      <c r="R1424" s="221"/>
      <c r="S1424" s="221"/>
      <c r="T1424" s="221" t="s">
        <v>3346</v>
      </c>
      <c r="U1424" s="221">
        <v>0</v>
      </c>
      <c r="V1424" s="221" t="s">
        <v>3347</v>
      </c>
      <c r="W1424" s="221" t="s">
        <v>3334</v>
      </c>
      <c r="X1424" s="221"/>
      <c r="Y1424" s="227"/>
      <c r="Z1424" s="227" t="str">
        <f t="shared" si="55"/>
        <v>Jedong RW 07 Wagir</v>
      </c>
      <c r="AA1424" s="276" t="e">
        <f>VLOOKUP(Logfile_S12[[#This Row],[DO number]],DO_DB!G:I,3,0)</f>
        <v>#N/A</v>
      </c>
      <c r="AB1424" s="331" t="e">
        <f>EXACT(Logfile_S12[[#This Row],[date pick]],Logfile_S12[[#This Row],[Date]])</f>
        <v>#N/A</v>
      </c>
      <c r="AC14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25" spans="1:29" ht="14.5" hidden="1">
      <c r="A1425" s="220" t="str">
        <f t="shared" si="54"/>
        <v>1421</v>
      </c>
      <c r="B1425" s="221"/>
      <c r="C1425" s="221" t="s">
        <v>49</v>
      </c>
      <c r="D1425" s="221" t="s">
        <v>3839</v>
      </c>
      <c r="E1425" s="221" t="s">
        <v>3295</v>
      </c>
      <c r="F1425" s="221" t="s">
        <v>3299</v>
      </c>
      <c r="G1425" s="222">
        <v>45282</v>
      </c>
      <c r="H1425" s="223">
        <v>0.56041666666666667</v>
      </c>
      <c r="I1425" s="221" t="s">
        <v>4916</v>
      </c>
      <c r="J1425" s="221" t="s">
        <v>3024</v>
      </c>
      <c r="K1425" s="224" t="s">
        <v>3088</v>
      </c>
      <c r="L1425" s="225" t="str">
        <f>VLOOKUP(Logfile_S12[[#This Row],[Material Name]],Sheet2!B:C,2,0)</f>
        <v>GCI1002</v>
      </c>
      <c r="M1425" s="225" t="str">
        <f>_xlfn.XLOOKUP(Logfile_S12[[#This Row],[Material Name]],Sum_WH!E:E,Sum_WH!F:F,"",0)</f>
        <v>Pcs</v>
      </c>
      <c r="N1425" s="221">
        <v>1</v>
      </c>
      <c r="O1425" s="221" t="s">
        <v>732</v>
      </c>
      <c r="P1425" s="221" t="s">
        <v>733</v>
      </c>
      <c r="Q1425" s="221"/>
      <c r="R1425" s="221"/>
      <c r="S1425" s="221"/>
      <c r="T1425" s="221" t="s">
        <v>3258</v>
      </c>
      <c r="U1425" s="221" t="s">
        <v>3228</v>
      </c>
      <c r="V1425" s="221" t="s">
        <v>3337</v>
      </c>
      <c r="W1425" s="221" t="s">
        <v>3338</v>
      </c>
      <c r="X1425" s="221"/>
      <c r="Y1425" s="227"/>
      <c r="Z1425" s="227" t="str">
        <f t="shared" si="55"/>
        <v>Sitirejo RW 01 Wagir</v>
      </c>
      <c r="AA1425" s="276" t="e">
        <f>VLOOKUP(Logfile_S12[[#This Row],[DO number]],DO_DB!G:I,3,0)</f>
        <v>#N/A</v>
      </c>
      <c r="AB1425" s="331" t="e">
        <f>EXACT(Logfile_S12[[#This Row],[date pick]],Logfile_S12[[#This Row],[Date]])</f>
        <v>#N/A</v>
      </c>
      <c r="AC14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26" spans="1:29" ht="14.5" hidden="1">
      <c r="A1426" s="220" t="str">
        <f t="shared" si="54"/>
        <v>1422</v>
      </c>
      <c r="B1426" s="221"/>
      <c r="C1426" s="221" t="s">
        <v>49</v>
      </c>
      <c r="D1426" s="221" t="s">
        <v>3839</v>
      </c>
      <c r="E1426" s="221" t="s">
        <v>3295</v>
      </c>
      <c r="F1426" s="221" t="s">
        <v>3299</v>
      </c>
      <c r="G1426" s="222">
        <v>45282</v>
      </c>
      <c r="H1426" s="223">
        <v>0.56041666666666667</v>
      </c>
      <c r="I1426" s="221" t="s">
        <v>4916</v>
      </c>
      <c r="J1426" s="221" t="s">
        <v>3024</v>
      </c>
      <c r="K1426" s="224" t="s">
        <v>3088</v>
      </c>
      <c r="L1426" s="225" t="str">
        <f>VLOOKUP(Logfile_S12[[#This Row],[Material Name]],Sheet2!B:C,2,0)</f>
        <v>GCI1002</v>
      </c>
      <c r="M1426" s="225" t="str">
        <f>_xlfn.XLOOKUP(Logfile_S12[[#This Row],[Material Name]],Sum_WH!E:E,Sum_WH!F:F,"",0)</f>
        <v>Pcs</v>
      </c>
      <c r="N1426" s="221">
        <v>1</v>
      </c>
      <c r="O1426" s="221" t="s">
        <v>732</v>
      </c>
      <c r="P1426" s="221" t="s">
        <v>733</v>
      </c>
      <c r="Q1426" s="221"/>
      <c r="R1426" s="221"/>
      <c r="S1426" s="221"/>
      <c r="T1426" s="221" t="s">
        <v>3258</v>
      </c>
      <c r="U1426" s="221" t="s">
        <v>3228</v>
      </c>
      <c r="V1426" s="221" t="s">
        <v>3337</v>
      </c>
      <c r="W1426" s="221" t="s">
        <v>3338</v>
      </c>
      <c r="X1426" s="221"/>
      <c r="Y1426" s="227"/>
      <c r="Z1426" s="227" t="str">
        <f t="shared" si="55"/>
        <v>Sitirejo RW 01 Wagir</v>
      </c>
      <c r="AA1426" s="276" t="e">
        <f>VLOOKUP(Logfile_S12[[#This Row],[DO number]],DO_DB!G:I,3,0)</f>
        <v>#N/A</v>
      </c>
      <c r="AB1426" s="331" t="e">
        <f>EXACT(Logfile_S12[[#This Row],[date pick]],Logfile_S12[[#This Row],[Date]])</f>
        <v>#N/A</v>
      </c>
      <c r="AC14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27" spans="1:29" ht="14.5" hidden="1">
      <c r="A1427" s="220" t="str">
        <f t="shared" si="54"/>
        <v>1423</v>
      </c>
      <c r="B1427" s="221"/>
      <c r="C1427" s="221" t="s">
        <v>48</v>
      </c>
      <c r="D1427" s="221" t="s">
        <v>3854</v>
      </c>
      <c r="E1427" s="221" t="s">
        <v>3295</v>
      </c>
      <c r="F1427" s="221" t="s">
        <v>3299</v>
      </c>
      <c r="G1427" s="222">
        <v>45295</v>
      </c>
      <c r="H1427" s="223">
        <v>15.291666666666666</v>
      </c>
      <c r="I1427" s="221" t="s">
        <v>38</v>
      </c>
      <c r="J1427" s="221" t="s">
        <v>3024</v>
      </c>
      <c r="K1427" s="224" t="s">
        <v>3088</v>
      </c>
      <c r="L1427" s="225" t="str">
        <f>VLOOKUP(Logfile_S12[[#This Row],[Material Name]],Sheet2!B:C,2,0)</f>
        <v>GCI1002</v>
      </c>
      <c r="M1427" s="225" t="str">
        <f>_xlfn.XLOOKUP(Logfile_S12[[#This Row],[Material Name]],Sum_WH!E:E,Sum_WH!F:F,"",0)</f>
        <v>Pcs</v>
      </c>
      <c r="N1427" s="221">
        <v>5</v>
      </c>
      <c r="O1427" s="221" t="s">
        <v>3344</v>
      </c>
      <c r="P1427" s="221" t="s">
        <v>3345</v>
      </c>
      <c r="Q1427" s="221">
        <v>0</v>
      </c>
      <c r="R1427" s="221">
        <v>0</v>
      </c>
      <c r="S1427" s="221"/>
      <c r="T1427" s="221"/>
      <c r="U1427" s="221"/>
      <c r="V1427" s="221"/>
      <c r="W1427" s="221"/>
      <c r="X1427" s="221" t="s">
        <v>3218</v>
      </c>
      <c r="Y1427" s="227"/>
      <c r="Z1427" s="227" t="str">
        <f t="shared" si="55"/>
        <v>Purchase</v>
      </c>
      <c r="AA1427" s="276" t="e">
        <f>VLOOKUP(Logfile_S12[[#This Row],[DO number]],DO_DB!G:I,3,0)</f>
        <v>#N/A</v>
      </c>
      <c r="AB1427" s="331" t="e">
        <f>EXACT(Logfile_S12[[#This Row],[date pick]],Logfile_S12[[#This Row],[Date]])</f>
        <v>#N/A</v>
      </c>
      <c r="AC14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28" spans="1:29" ht="14.5" hidden="1">
      <c r="A1428" s="220" t="str">
        <f t="shared" si="54"/>
        <v>1424</v>
      </c>
      <c r="B1428" s="221"/>
      <c r="C1428" s="221" t="s">
        <v>48</v>
      </c>
      <c r="D1428" s="221" t="s">
        <v>3876</v>
      </c>
      <c r="E1428" s="221" t="s">
        <v>3295</v>
      </c>
      <c r="F1428" s="221" t="s">
        <v>3299</v>
      </c>
      <c r="G1428" s="222">
        <v>45309</v>
      </c>
      <c r="H1428" s="223">
        <v>15.291666666666666</v>
      </c>
      <c r="I1428" s="221" t="s">
        <v>38</v>
      </c>
      <c r="J1428" s="221" t="s">
        <v>3024</v>
      </c>
      <c r="K1428" s="224" t="s">
        <v>3088</v>
      </c>
      <c r="L1428" s="225" t="str">
        <f>VLOOKUP(Logfile_S12[[#This Row],[Material Name]],Sheet2!B:C,2,0)</f>
        <v>GCI1002</v>
      </c>
      <c r="M1428" s="225" t="str">
        <f>_xlfn.XLOOKUP(Logfile_S12[[#This Row],[Material Name]],Sum_WH!E:E,Sum_WH!F:F,"",0)</f>
        <v>Pcs</v>
      </c>
      <c r="N1428" s="221">
        <v>11</v>
      </c>
      <c r="O1428" s="221" t="s">
        <v>3344</v>
      </c>
      <c r="P1428" s="221" t="s">
        <v>3345</v>
      </c>
      <c r="Q1428" s="221">
        <v>0</v>
      </c>
      <c r="R1428" s="221">
        <v>0</v>
      </c>
      <c r="S1428" s="221"/>
      <c r="T1428" s="221"/>
      <c r="U1428" s="221"/>
      <c r="V1428" s="221"/>
      <c r="W1428" s="221"/>
      <c r="X1428" s="221" t="s">
        <v>3218</v>
      </c>
      <c r="Y1428" s="227"/>
      <c r="Z1428" s="227" t="str">
        <f t="shared" si="55"/>
        <v>Purchase</v>
      </c>
      <c r="AA1428" s="276" t="e">
        <f>VLOOKUP(Logfile_S12[[#This Row],[DO number]],DO_DB!G:I,3,0)</f>
        <v>#N/A</v>
      </c>
      <c r="AB1428" s="331" t="e">
        <f>EXACT(Logfile_S12[[#This Row],[date pick]],Logfile_S12[[#This Row],[Date]])</f>
        <v>#N/A</v>
      </c>
      <c r="AC14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29" spans="1:29" ht="14.5" hidden="1">
      <c r="A1429" s="220" t="str">
        <f t="shared" si="54"/>
        <v>1425</v>
      </c>
      <c r="B1429" s="221"/>
      <c r="C1429" s="221" t="s">
        <v>49</v>
      </c>
      <c r="D1429" s="221" t="s">
        <v>3889</v>
      </c>
      <c r="E1429" s="221" t="s">
        <v>3295</v>
      </c>
      <c r="F1429" s="221" t="s">
        <v>3299</v>
      </c>
      <c r="G1429" s="222">
        <v>45313</v>
      </c>
      <c r="H1429" s="223">
        <v>0.81041666666666667</v>
      </c>
      <c r="I1429" s="221" t="s">
        <v>4916</v>
      </c>
      <c r="J1429" s="221" t="s">
        <v>3024</v>
      </c>
      <c r="K1429" s="224" t="s">
        <v>3088</v>
      </c>
      <c r="L1429" s="225" t="str">
        <f>VLOOKUP(Logfile_S12[[#This Row],[Material Name]],Sheet2!B:C,2,0)</f>
        <v>GCI1002</v>
      </c>
      <c r="M1429" s="225" t="str">
        <f>_xlfn.XLOOKUP(Logfile_S12[[#This Row],[Material Name]],Sum_WH!E:E,Sum_WH!F:F,"",0)</f>
        <v>Pcs</v>
      </c>
      <c r="N1429" s="221">
        <v>1</v>
      </c>
      <c r="O1429" s="221" t="s">
        <v>742</v>
      </c>
      <c r="P1429" s="221" t="s">
        <v>743</v>
      </c>
      <c r="Q1429" s="221"/>
      <c r="R1429" s="221"/>
      <c r="S1429" s="221"/>
      <c r="T1429" s="221" t="s">
        <v>3258</v>
      </c>
      <c r="U1429" s="221" t="s">
        <v>3228</v>
      </c>
      <c r="V1429" s="221" t="s">
        <v>3337</v>
      </c>
      <c r="W1429" s="221" t="s">
        <v>3338</v>
      </c>
      <c r="X1429" s="221"/>
      <c r="Y1429" s="227"/>
      <c r="Z1429" s="227" t="str">
        <f t="shared" si="55"/>
        <v>Baturetno RW 03 Singosari</v>
      </c>
      <c r="AA1429" s="276" t="e">
        <f>VLOOKUP(Logfile_S12[[#This Row],[DO number]],DO_DB!G:I,3,0)</f>
        <v>#N/A</v>
      </c>
      <c r="AB1429" s="331" t="e">
        <f>EXACT(Logfile_S12[[#This Row],[date pick]],Logfile_S12[[#This Row],[Date]])</f>
        <v>#N/A</v>
      </c>
      <c r="AC14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30" spans="1:29" ht="14.5" hidden="1">
      <c r="A1430" s="220" t="str">
        <f t="shared" si="54"/>
        <v>1426</v>
      </c>
      <c r="B1430" s="221"/>
      <c r="C1430" s="221" t="s">
        <v>49</v>
      </c>
      <c r="D1430" s="221" t="s">
        <v>3886</v>
      </c>
      <c r="E1430" s="221" t="s">
        <v>3295</v>
      </c>
      <c r="F1430" s="221" t="s">
        <v>3299</v>
      </c>
      <c r="G1430" s="222">
        <v>45313</v>
      </c>
      <c r="H1430" s="223">
        <v>0.38750000000000001</v>
      </c>
      <c r="I1430" s="221" t="s">
        <v>4916</v>
      </c>
      <c r="J1430" s="221" t="s">
        <v>3024</v>
      </c>
      <c r="K1430" s="224" t="s">
        <v>3088</v>
      </c>
      <c r="L1430" s="225" t="str">
        <f>VLOOKUP(Logfile_S12[[#This Row],[Material Name]],Sheet2!B:C,2,0)</f>
        <v>GCI1002</v>
      </c>
      <c r="M1430" s="225" t="str">
        <f>_xlfn.XLOOKUP(Logfile_S12[[#This Row],[Material Name]],Sum_WH!E:E,Sum_WH!F:F,"",0)</f>
        <v>Pcs</v>
      </c>
      <c r="N1430" s="221">
        <v>5</v>
      </c>
      <c r="O1430" s="221" t="s">
        <v>828</v>
      </c>
      <c r="P1430" s="221" t="s">
        <v>829</v>
      </c>
      <c r="Q1430" s="221"/>
      <c r="R1430" s="221"/>
      <c r="S1430" s="221"/>
      <c r="T1430" s="221" t="s">
        <v>3339</v>
      </c>
      <c r="U1430" s="221" t="s">
        <v>3228</v>
      </c>
      <c r="V1430" s="221" t="s">
        <v>3340</v>
      </c>
      <c r="W1430" s="221" t="s">
        <v>3245</v>
      </c>
      <c r="X1430" s="221"/>
      <c r="Y1430" s="227"/>
      <c r="Z1430" s="227" t="str">
        <f t="shared" si="55"/>
        <v>Perumahan Pondok Mutiara Malang</v>
      </c>
      <c r="AA1430" s="276" t="e">
        <f>VLOOKUP(Logfile_S12[[#This Row],[DO number]],DO_DB!G:I,3,0)</f>
        <v>#N/A</v>
      </c>
      <c r="AB1430" s="331" t="e">
        <f>EXACT(Logfile_S12[[#This Row],[date pick]],Logfile_S12[[#This Row],[Date]])</f>
        <v>#N/A</v>
      </c>
      <c r="AC14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31" spans="1:29" ht="14.5" hidden="1">
      <c r="A1431" s="220" t="str">
        <f t="shared" si="54"/>
        <v>1427</v>
      </c>
      <c r="B1431" s="221"/>
      <c r="C1431" s="221" t="s">
        <v>49</v>
      </c>
      <c r="D1431" s="221" t="s">
        <v>3903</v>
      </c>
      <c r="E1431" s="221" t="s">
        <v>3295</v>
      </c>
      <c r="F1431" s="221" t="s">
        <v>3299</v>
      </c>
      <c r="G1431" s="222">
        <v>45317</v>
      </c>
      <c r="H1431" s="223">
        <v>0.40902777777777777</v>
      </c>
      <c r="I1431" s="221" t="s">
        <v>4916</v>
      </c>
      <c r="J1431" s="221" t="s">
        <v>3024</v>
      </c>
      <c r="K1431" s="224" t="s">
        <v>3088</v>
      </c>
      <c r="L1431" s="225" t="str">
        <f>VLOOKUP(Logfile_S12[[#This Row],[Material Name]],Sheet2!B:C,2,0)</f>
        <v>GCI1002</v>
      </c>
      <c r="M1431" s="225" t="str">
        <f>_xlfn.XLOOKUP(Logfile_S12[[#This Row],[Material Name]],Sum_WH!E:E,Sum_WH!F:F,"",0)</f>
        <v>Pcs</v>
      </c>
      <c r="N1431" s="221">
        <v>1</v>
      </c>
      <c r="O1431" s="221" t="s">
        <v>738</v>
      </c>
      <c r="P1431" s="221" t="s">
        <v>3392</v>
      </c>
      <c r="Q1431" s="221"/>
      <c r="R1431" s="221"/>
      <c r="S1431" s="221"/>
      <c r="T1431" s="221" t="s">
        <v>3258</v>
      </c>
      <c r="U1431" s="221" t="s">
        <v>3228</v>
      </c>
      <c r="V1431" s="221" t="s">
        <v>3337</v>
      </c>
      <c r="W1431" s="221" t="s">
        <v>3338</v>
      </c>
      <c r="X1431" s="221"/>
      <c r="Y1431" s="227"/>
      <c r="Z1431" s="227" t="str">
        <f t="shared" si="55"/>
        <v xml:space="preserve">Baturetno RW 02 Singosari </v>
      </c>
      <c r="AA1431" s="276" t="e">
        <f>VLOOKUP(Logfile_S12[[#This Row],[DO number]],DO_DB!G:I,3,0)</f>
        <v>#N/A</v>
      </c>
      <c r="AB1431" s="331" t="e">
        <f>EXACT(Logfile_S12[[#This Row],[date pick]],Logfile_S12[[#This Row],[Date]])</f>
        <v>#N/A</v>
      </c>
      <c r="AC14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32" spans="1:29" ht="14.5" hidden="1">
      <c r="A1432" s="220" t="str">
        <f t="shared" si="54"/>
        <v>1428</v>
      </c>
      <c r="B1432" s="221"/>
      <c r="C1432" s="221" t="s">
        <v>48</v>
      </c>
      <c r="D1432" s="221" t="s">
        <v>3906</v>
      </c>
      <c r="E1432" s="221" t="s">
        <v>3295</v>
      </c>
      <c r="F1432" s="221" t="s">
        <v>3299</v>
      </c>
      <c r="G1432" s="222">
        <v>45318</v>
      </c>
      <c r="H1432" s="223">
        <v>15.291666666666666</v>
      </c>
      <c r="I1432" s="221" t="s">
        <v>3017</v>
      </c>
      <c r="J1432" s="221" t="s">
        <v>3024</v>
      </c>
      <c r="K1432" s="224" t="s">
        <v>3088</v>
      </c>
      <c r="L1432" s="225" t="str">
        <f>VLOOKUP(Logfile_S12[[#This Row],[Material Name]],Sheet2!B:C,2,0)</f>
        <v>GCI1002</v>
      </c>
      <c r="M1432" s="225" t="str">
        <f>_xlfn.XLOOKUP(Logfile_S12[[#This Row],[Material Name]],Sum_WH!E:E,Sum_WH!F:F,"",0)</f>
        <v>Pcs</v>
      </c>
      <c r="N1432" s="221">
        <v>2</v>
      </c>
      <c r="O1432" s="221" t="s">
        <v>828</v>
      </c>
      <c r="P1432" s="221" t="s">
        <v>829</v>
      </c>
      <c r="Q1432" s="221" t="s">
        <v>3359</v>
      </c>
      <c r="R1432" s="221">
        <v>0</v>
      </c>
      <c r="S1432" s="221"/>
      <c r="T1432" s="221"/>
      <c r="U1432" s="221"/>
      <c r="V1432" s="221"/>
      <c r="W1432" s="221"/>
      <c r="X1432" s="221"/>
      <c r="Y1432" s="227"/>
      <c r="Z1432" s="227" t="str">
        <f t="shared" si="55"/>
        <v>Perumahan Pondok Mutiara Malang</v>
      </c>
      <c r="AA1432" s="276" t="e">
        <f>VLOOKUP(Logfile_S12[[#This Row],[DO number]],DO_DB!G:I,3,0)</f>
        <v>#N/A</v>
      </c>
      <c r="AB1432" s="331" t="e">
        <f>EXACT(Logfile_S12[[#This Row],[date pick]],Logfile_S12[[#This Row],[Date]])</f>
        <v>#N/A</v>
      </c>
      <c r="AC14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33" spans="1:29" ht="14.5" hidden="1">
      <c r="A1433" s="220" t="str">
        <f t="shared" si="54"/>
        <v>1429</v>
      </c>
      <c r="B1433" s="221"/>
      <c r="C1433" s="221" t="s">
        <v>49</v>
      </c>
      <c r="D1433" s="221" t="s">
        <v>3917</v>
      </c>
      <c r="E1433" s="221" t="s">
        <v>3295</v>
      </c>
      <c r="F1433" s="221" t="s">
        <v>3299</v>
      </c>
      <c r="G1433" s="222">
        <v>45331</v>
      </c>
      <c r="H1433" s="223">
        <v>0.42569444444444443</v>
      </c>
      <c r="I1433" s="221" t="s">
        <v>4916</v>
      </c>
      <c r="J1433" s="221" t="s">
        <v>3024</v>
      </c>
      <c r="K1433" s="224" t="s">
        <v>3088</v>
      </c>
      <c r="L1433" s="225" t="str">
        <f>VLOOKUP(Logfile_S12[[#This Row],[Material Name]],Sheet2!B:C,2,0)</f>
        <v>GCI1002</v>
      </c>
      <c r="M1433" s="225" t="str">
        <f>_xlfn.XLOOKUP(Logfile_S12[[#This Row],[Material Name]],Sum_WH!E:E,Sum_WH!F:F,"",0)</f>
        <v>Pcs</v>
      </c>
      <c r="N1433" s="221">
        <v>1</v>
      </c>
      <c r="O1433" s="221" t="s">
        <v>925</v>
      </c>
      <c r="P1433" s="221" t="s">
        <v>926</v>
      </c>
      <c r="Q1433" s="221"/>
      <c r="R1433" s="221"/>
      <c r="S1433" s="221"/>
      <c r="T1433" s="221" t="s">
        <v>3258</v>
      </c>
      <c r="U1433" s="221" t="s">
        <v>3228</v>
      </c>
      <c r="V1433" s="221" t="s">
        <v>3337</v>
      </c>
      <c r="W1433" s="221" t="s">
        <v>3338</v>
      </c>
      <c r="X1433" s="221"/>
      <c r="Y1433" s="227"/>
      <c r="Z1433" s="227" t="str">
        <f t="shared" si="55"/>
        <v>Dengkol RW 02 Singosari Malang</v>
      </c>
      <c r="AA1433" s="276" t="e">
        <f>VLOOKUP(Logfile_S12[[#This Row],[DO number]],DO_DB!G:I,3,0)</f>
        <v>#N/A</v>
      </c>
      <c r="AB1433" s="331" t="e">
        <f>EXACT(Logfile_S12[[#This Row],[date pick]],Logfile_S12[[#This Row],[Date]])</f>
        <v>#N/A</v>
      </c>
      <c r="AC14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34" spans="1:29" ht="14.5" hidden="1">
      <c r="A1434" s="220" t="str">
        <f t="shared" si="54"/>
        <v>1430</v>
      </c>
      <c r="B1434" s="221"/>
      <c r="C1434" s="221" t="s">
        <v>48</v>
      </c>
      <c r="D1434" s="221" t="s">
        <v>3941</v>
      </c>
      <c r="E1434" s="221" t="s">
        <v>3295</v>
      </c>
      <c r="F1434" s="221" t="s">
        <v>3299</v>
      </c>
      <c r="G1434" s="222">
        <v>45344</v>
      </c>
      <c r="H1434" s="223">
        <v>15.291666666666666</v>
      </c>
      <c r="I1434" s="221" t="s">
        <v>38</v>
      </c>
      <c r="J1434" s="221" t="s">
        <v>3024</v>
      </c>
      <c r="K1434" s="224" t="s">
        <v>3088</v>
      </c>
      <c r="L1434" s="225" t="str">
        <f>VLOOKUP(Logfile_S12[[#This Row],[Material Name]],Sheet2!B:C,2,0)</f>
        <v>GCI1002</v>
      </c>
      <c r="M1434" s="225" t="str">
        <f>_xlfn.XLOOKUP(Logfile_S12[[#This Row],[Material Name]],Sum_WH!E:E,Sum_WH!F:F,"",0)</f>
        <v>Pcs</v>
      </c>
      <c r="N1434" s="221">
        <v>1</v>
      </c>
      <c r="O1434" s="221" t="s">
        <v>921</v>
      </c>
      <c r="P1434" s="221" t="s">
        <v>922</v>
      </c>
      <c r="Q1434" s="221">
        <v>0</v>
      </c>
      <c r="R1434" s="221">
        <v>0</v>
      </c>
      <c r="S1434" s="221"/>
      <c r="T1434" s="221"/>
      <c r="U1434" s="221"/>
      <c r="V1434" s="221"/>
      <c r="W1434" s="221"/>
      <c r="X1434" s="221" t="s">
        <v>3360</v>
      </c>
      <c r="Y1434" s="227"/>
      <c r="Z1434" s="227" t="str">
        <f t="shared" si="55"/>
        <v>Bumiayu RW 03 Kedungkandang</v>
      </c>
      <c r="AA1434" s="276" t="e">
        <f>VLOOKUP(Logfile_S12[[#This Row],[DO number]],DO_DB!G:I,3,0)</f>
        <v>#N/A</v>
      </c>
      <c r="AB1434" s="331" t="e">
        <f>EXACT(Logfile_S12[[#This Row],[date pick]],Logfile_S12[[#This Row],[Date]])</f>
        <v>#N/A</v>
      </c>
      <c r="AC14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35" spans="1:29" ht="14.5" hidden="1">
      <c r="A1435" s="220" t="str">
        <f t="shared" si="54"/>
        <v>1431</v>
      </c>
      <c r="B1435" s="221"/>
      <c r="C1435" s="221" t="s">
        <v>49</v>
      </c>
      <c r="D1435" s="221" t="s">
        <v>3950</v>
      </c>
      <c r="E1435" s="221" t="s">
        <v>3295</v>
      </c>
      <c r="F1435" s="221" t="s">
        <v>3299</v>
      </c>
      <c r="G1435" s="222">
        <v>45348</v>
      </c>
      <c r="H1435" s="223">
        <v>0.35902777777777778</v>
      </c>
      <c r="I1435" s="221" t="s">
        <v>4916</v>
      </c>
      <c r="J1435" s="221" t="s">
        <v>3024</v>
      </c>
      <c r="K1435" s="224" t="s">
        <v>3088</v>
      </c>
      <c r="L1435" s="225" t="str">
        <f>VLOOKUP(Logfile_S12[[#This Row],[Material Name]],Sheet2!B:C,2,0)</f>
        <v>GCI1002</v>
      </c>
      <c r="M1435" s="225" t="str">
        <f>_xlfn.XLOOKUP(Logfile_S12[[#This Row],[Material Name]],Sum_WH!E:E,Sum_WH!F:F,"",0)</f>
        <v>Pcs</v>
      </c>
      <c r="N1435" s="221">
        <v>3</v>
      </c>
      <c r="O1435" s="221" t="s">
        <v>921</v>
      </c>
      <c r="P1435" s="221" t="s">
        <v>922</v>
      </c>
      <c r="Q1435" s="221"/>
      <c r="R1435" s="221"/>
      <c r="S1435" s="221"/>
      <c r="T1435" s="221" t="s">
        <v>3363</v>
      </c>
      <c r="U1435" s="221" t="s">
        <v>3228</v>
      </c>
      <c r="V1435" s="221" t="s">
        <v>3364</v>
      </c>
      <c r="W1435" s="221" t="s">
        <v>3365</v>
      </c>
      <c r="X1435" s="221"/>
      <c r="Y1435" s="227"/>
      <c r="Z1435" s="227" t="str">
        <f t="shared" si="55"/>
        <v>Bumiayu RW 03 Kedungkandang</v>
      </c>
      <c r="AA1435" s="276" t="e">
        <f>VLOOKUP(Logfile_S12[[#This Row],[DO number]],DO_DB!G:I,3,0)</f>
        <v>#N/A</v>
      </c>
      <c r="AB1435" s="331" t="e">
        <f>EXACT(Logfile_S12[[#This Row],[date pick]],Logfile_S12[[#This Row],[Date]])</f>
        <v>#N/A</v>
      </c>
      <c r="AC14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36" spans="1:29" ht="14.5" hidden="1">
      <c r="A1436" s="220" t="str">
        <f t="shared" si="54"/>
        <v>1432</v>
      </c>
      <c r="B1436" s="221"/>
      <c r="C1436" s="221" t="s">
        <v>49</v>
      </c>
      <c r="D1436" s="221" t="s">
        <v>3969</v>
      </c>
      <c r="E1436" s="221" t="s">
        <v>3295</v>
      </c>
      <c r="F1436" s="221" t="s">
        <v>3299</v>
      </c>
      <c r="G1436" s="222">
        <v>45355</v>
      </c>
      <c r="H1436" s="223">
        <v>0.57916666666666672</v>
      </c>
      <c r="I1436" s="221" t="s">
        <v>4916</v>
      </c>
      <c r="J1436" s="221" t="s">
        <v>3024</v>
      </c>
      <c r="K1436" s="224" t="s">
        <v>3088</v>
      </c>
      <c r="L1436" s="225" t="str">
        <f>VLOOKUP(Logfile_S12[[#This Row],[Material Name]],Sheet2!B:C,2,0)</f>
        <v>GCI1002</v>
      </c>
      <c r="M1436" s="225" t="str">
        <f>_xlfn.XLOOKUP(Logfile_S12[[#This Row],[Material Name]],Sum_WH!E:E,Sum_WH!F:F,"",0)</f>
        <v>Pcs</v>
      </c>
      <c r="N1436" s="221">
        <v>1</v>
      </c>
      <c r="O1436" s="221" t="s">
        <v>1013</v>
      </c>
      <c r="P1436" s="221" t="s">
        <v>1014</v>
      </c>
      <c r="Q1436" s="221"/>
      <c r="R1436" s="221"/>
      <c r="S1436" s="221"/>
      <c r="T1436" s="221" t="s">
        <v>3258</v>
      </c>
      <c r="U1436" s="221" t="s">
        <v>3228</v>
      </c>
      <c r="V1436" s="221" t="s">
        <v>3337</v>
      </c>
      <c r="W1436" s="221" t="s">
        <v>3338</v>
      </c>
      <c r="X1436" s="221"/>
      <c r="Y1436" s="227"/>
      <c r="Z1436" s="227" t="str">
        <f t="shared" si="55"/>
        <v>Bumiayu RW 05 Kedungkandang</v>
      </c>
      <c r="AA1436" s="276" t="e">
        <f>VLOOKUP(Logfile_S12[[#This Row],[DO number]],DO_DB!G:I,3,0)</f>
        <v>#N/A</v>
      </c>
      <c r="AB1436" s="331" t="e">
        <f>EXACT(Logfile_S12[[#This Row],[date pick]],Logfile_S12[[#This Row],[Date]])</f>
        <v>#N/A</v>
      </c>
      <c r="AC14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37" spans="1:29" ht="14.5" hidden="1">
      <c r="A1437" s="220" t="str">
        <f t="shared" si="54"/>
        <v>1433</v>
      </c>
      <c r="B1437" s="221"/>
      <c r="C1437" s="221" t="s">
        <v>49</v>
      </c>
      <c r="D1437" s="221" t="s">
        <v>3988</v>
      </c>
      <c r="E1437" s="221" t="s">
        <v>3295</v>
      </c>
      <c r="F1437" s="221" t="s">
        <v>3299</v>
      </c>
      <c r="G1437" s="222">
        <v>45374</v>
      </c>
      <c r="H1437" s="223">
        <v>0.76666666666666661</v>
      </c>
      <c r="I1437" s="221" t="s">
        <v>4916</v>
      </c>
      <c r="J1437" s="221" t="s">
        <v>3024</v>
      </c>
      <c r="K1437" s="224" t="s">
        <v>3088</v>
      </c>
      <c r="L1437" s="225" t="str">
        <f>VLOOKUP(Logfile_S12[[#This Row],[Material Name]],Sheet2!B:C,2,0)</f>
        <v>GCI1002</v>
      </c>
      <c r="M1437" s="225" t="str">
        <f>_xlfn.XLOOKUP(Logfile_S12[[#This Row],[Material Name]],Sum_WH!E:E,Sum_WH!F:F,"",0)</f>
        <v>Pcs</v>
      </c>
      <c r="N1437" s="221">
        <v>2</v>
      </c>
      <c r="O1437" s="221" t="s">
        <v>1087</v>
      </c>
      <c r="P1437" s="221" t="s">
        <v>1088</v>
      </c>
      <c r="Q1437" s="221"/>
      <c r="R1437" s="221"/>
      <c r="S1437" s="221"/>
      <c r="T1437" s="221" t="s">
        <v>3258</v>
      </c>
      <c r="U1437" s="221" t="s">
        <v>3228</v>
      </c>
      <c r="V1437" s="221" t="s">
        <v>3337</v>
      </c>
      <c r="W1437" s="221" t="s">
        <v>3338</v>
      </c>
      <c r="X1437" s="221"/>
      <c r="Y1437" s="227"/>
      <c r="Z1437" s="227" t="str">
        <f t="shared" si="55"/>
        <v>Dalisodo RW 01 Wagir</v>
      </c>
      <c r="AA1437" s="276" t="e">
        <f>VLOOKUP(Logfile_S12[[#This Row],[DO number]],DO_DB!G:I,3,0)</f>
        <v>#N/A</v>
      </c>
      <c r="AB1437" s="331" t="e">
        <f>EXACT(Logfile_S12[[#This Row],[date pick]],Logfile_S12[[#This Row],[Date]])</f>
        <v>#N/A</v>
      </c>
      <c r="AC14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38" spans="1:29" ht="14.5" hidden="1">
      <c r="A1438" s="220" t="str">
        <f t="shared" si="54"/>
        <v>1434</v>
      </c>
      <c r="B1438" s="221"/>
      <c r="C1438" s="221" t="s">
        <v>48</v>
      </c>
      <c r="D1438" s="221" t="s">
        <v>3990</v>
      </c>
      <c r="E1438" s="221" t="s">
        <v>3295</v>
      </c>
      <c r="F1438" s="221" t="s">
        <v>3299</v>
      </c>
      <c r="G1438" s="222">
        <v>45376</v>
      </c>
      <c r="H1438" s="223">
        <v>15.291666666666666</v>
      </c>
      <c r="I1438" s="221" t="s">
        <v>38</v>
      </c>
      <c r="J1438" s="221" t="s">
        <v>3024</v>
      </c>
      <c r="K1438" s="224" t="s">
        <v>3088</v>
      </c>
      <c r="L1438" s="225" t="str">
        <f>VLOOKUP(Logfile_S12[[#This Row],[Material Name]],Sheet2!B:C,2,0)</f>
        <v>GCI1002</v>
      </c>
      <c r="M1438" s="225" t="str">
        <f>_xlfn.XLOOKUP(Logfile_S12[[#This Row],[Material Name]],Sum_WH!E:E,Sum_WH!F:F,"",0)</f>
        <v>Pcs</v>
      </c>
      <c r="N1438" s="221">
        <v>5</v>
      </c>
      <c r="O1438" s="221">
        <v>0</v>
      </c>
      <c r="P1438" s="221" t="s">
        <v>3393</v>
      </c>
      <c r="Q1438" s="221">
        <v>0</v>
      </c>
      <c r="R1438" s="221">
        <v>0</v>
      </c>
      <c r="S1438" s="221"/>
      <c r="T1438" s="221"/>
      <c r="U1438" s="221"/>
      <c r="V1438" s="221"/>
      <c r="W1438" s="221"/>
      <c r="X1438" s="221"/>
      <c r="Y1438" s="227"/>
      <c r="Z1438" s="227" t="str">
        <f t="shared" si="55"/>
        <v>TEGAL</v>
      </c>
      <c r="AA1438" s="276" t="e">
        <f>VLOOKUP(Logfile_S12[[#This Row],[DO number]],DO_DB!G:I,3,0)</f>
        <v>#N/A</v>
      </c>
      <c r="AB1438" s="331" t="e">
        <f>EXACT(Logfile_S12[[#This Row],[date pick]],Logfile_S12[[#This Row],[Date]])</f>
        <v>#N/A</v>
      </c>
      <c r="AC14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39" spans="1:29" ht="14.5" hidden="1">
      <c r="A1439" s="220" t="str">
        <f t="shared" si="54"/>
        <v>1435</v>
      </c>
      <c r="B1439" s="221"/>
      <c r="C1439" s="221" t="s">
        <v>49</v>
      </c>
      <c r="D1439" s="221" t="s">
        <v>3993</v>
      </c>
      <c r="E1439" s="221" t="s">
        <v>3295</v>
      </c>
      <c r="F1439" s="221" t="s">
        <v>3299</v>
      </c>
      <c r="G1439" s="222">
        <v>45379</v>
      </c>
      <c r="H1439" s="223">
        <v>0.4145833333333333</v>
      </c>
      <c r="I1439" s="221" t="s">
        <v>4916</v>
      </c>
      <c r="J1439" s="221" t="s">
        <v>3024</v>
      </c>
      <c r="K1439" s="224" t="s">
        <v>3088</v>
      </c>
      <c r="L1439" s="225" t="str">
        <f>VLOOKUP(Logfile_S12[[#This Row],[Material Name]],Sheet2!B:C,2,0)</f>
        <v>GCI1002</v>
      </c>
      <c r="M1439" s="225" t="str">
        <f>_xlfn.XLOOKUP(Logfile_S12[[#This Row],[Material Name]],Sum_WH!E:E,Sum_WH!F:F,"",0)</f>
        <v>Pcs</v>
      </c>
      <c r="N1439" s="221">
        <v>2</v>
      </c>
      <c r="O1439" s="221" t="s">
        <v>1161</v>
      </c>
      <c r="P1439" s="221" t="s">
        <v>1162</v>
      </c>
      <c r="Q1439" s="221"/>
      <c r="R1439" s="221"/>
      <c r="S1439" s="221"/>
      <c r="T1439" s="221" t="s">
        <v>3363</v>
      </c>
      <c r="U1439" s="221" t="s">
        <v>3228</v>
      </c>
      <c r="V1439" s="221" t="s">
        <v>3364</v>
      </c>
      <c r="W1439" s="221" t="s">
        <v>3365</v>
      </c>
      <c r="X1439" s="221"/>
      <c r="Y1439" s="227"/>
      <c r="Z1439" s="227" t="str">
        <f t="shared" si="55"/>
        <v>Tunjungtirto RW 01 Singosari</v>
      </c>
      <c r="AA1439" s="276" t="e">
        <f>VLOOKUP(Logfile_S12[[#This Row],[DO number]],DO_DB!G:I,3,0)</f>
        <v>#N/A</v>
      </c>
      <c r="AB1439" s="331" t="e">
        <f>EXACT(Logfile_S12[[#This Row],[date pick]],Logfile_S12[[#This Row],[Date]])</f>
        <v>#N/A</v>
      </c>
      <c r="AC14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40" spans="1:29" ht="14.5" hidden="1">
      <c r="A1440" s="220" t="str">
        <f t="shared" si="54"/>
        <v>1436</v>
      </c>
      <c r="B1440" s="221"/>
      <c r="C1440" s="221" t="s">
        <v>49</v>
      </c>
      <c r="D1440" s="221" t="s">
        <v>3997</v>
      </c>
      <c r="E1440" s="221" t="s">
        <v>3295</v>
      </c>
      <c r="F1440" s="221" t="s">
        <v>3299</v>
      </c>
      <c r="G1440" s="222">
        <v>45383</v>
      </c>
      <c r="H1440" s="223">
        <v>0.38472222222222219</v>
      </c>
      <c r="I1440" s="221" t="s">
        <v>4916</v>
      </c>
      <c r="J1440" s="221" t="s">
        <v>3024</v>
      </c>
      <c r="K1440" s="224" t="s">
        <v>3088</v>
      </c>
      <c r="L1440" s="225" t="str">
        <f>VLOOKUP(Logfile_S12[[#This Row],[Material Name]],Sheet2!B:C,2,0)</f>
        <v>GCI1002</v>
      </c>
      <c r="M1440" s="225" t="str">
        <f>_xlfn.XLOOKUP(Logfile_S12[[#This Row],[Material Name]],Sum_WH!E:E,Sum_WH!F:F,"",0)</f>
        <v>Pcs</v>
      </c>
      <c r="N1440" s="221">
        <v>1</v>
      </c>
      <c r="O1440" s="221" t="s">
        <v>1151</v>
      </c>
      <c r="P1440" s="221" t="s">
        <v>1152</v>
      </c>
      <c r="Q1440" s="221"/>
      <c r="R1440" s="221"/>
      <c r="S1440" s="221"/>
      <c r="T1440" s="221" t="s">
        <v>3363</v>
      </c>
      <c r="U1440" s="221" t="s">
        <v>3228</v>
      </c>
      <c r="V1440" s="221" t="s">
        <v>3364</v>
      </c>
      <c r="W1440" s="221" t="s">
        <v>3365</v>
      </c>
      <c r="X1440" s="221"/>
      <c r="Y1440" s="227"/>
      <c r="Z1440" s="227" t="str">
        <f t="shared" si="55"/>
        <v>Tunjungtirto RW 08 Singosari</v>
      </c>
      <c r="AA1440" s="276" t="e">
        <f>VLOOKUP(Logfile_S12[[#This Row],[DO number]],DO_DB!G:I,3,0)</f>
        <v>#N/A</v>
      </c>
      <c r="AB1440" s="331" t="e">
        <f>EXACT(Logfile_S12[[#This Row],[date pick]],Logfile_S12[[#This Row],[Date]])</f>
        <v>#N/A</v>
      </c>
      <c r="AC14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41" spans="1:29" ht="14.5" hidden="1">
      <c r="A1441" s="220" t="str">
        <f t="shared" si="54"/>
        <v>1437</v>
      </c>
      <c r="B1441" s="221"/>
      <c r="C1441" s="221" t="s">
        <v>49</v>
      </c>
      <c r="D1441" s="221" t="s">
        <v>4022</v>
      </c>
      <c r="E1441" s="221" t="s">
        <v>3295</v>
      </c>
      <c r="F1441" s="221" t="s">
        <v>3299</v>
      </c>
      <c r="G1441" s="222">
        <v>45405</v>
      </c>
      <c r="H1441" s="223">
        <v>0.71666666666666667</v>
      </c>
      <c r="I1441" s="221" t="s">
        <v>4916</v>
      </c>
      <c r="J1441" s="221" t="s">
        <v>3024</v>
      </c>
      <c r="K1441" s="224" t="s">
        <v>3088</v>
      </c>
      <c r="L1441" s="225" t="str">
        <f>VLOOKUP(Logfile_S12[[#This Row],[Material Name]],Sheet2!B:C,2,0)</f>
        <v>GCI1002</v>
      </c>
      <c r="M1441" s="225" t="str">
        <f>_xlfn.XLOOKUP(Logfile_S12[[#This Row],[Material Name]],Sum_WH!E:E,Sum_WH!F:F,"",0)</f>
        <v>Pcs</v>
      </c>
      <c r="N1441" s="221">
        <v>2</v>
      </c>
      <c r="O1441" s="221" t="s">
        <v>1081</v>
      </c>
      <c r="P1441" s="221" t="s">
        <v>3370</v>
      </c>
      <c r="Q1441" s="221"/>
      <c r="R1441" s="221"/>
      <c r="S1441" s="221"/>
      <c r="T1441" s="221" t="s">
        <v>3258</v>
      </c>
      <c r="U1441" s="221" t="s">
        <v>3228</v>
      </c>
      <c r="V1441" s="221" t="s">
        <v>3337</v>
      </c>
      <c r="W1441" s="221" t="s">
        <v>3338</v>
      </c>
      <c r="X1441" s="221"/>
      <c r="Y1441" s="227"/>
      <c r="Z1441" s="227" t="str">
        <f t="shared" si="55"/>
        <v>Pandan Landung RW 05 Wagir</v>
      </c>
      <c r="AA1441" s="276" t="e">
        <f>VLOOKUP(Logfile_S12[[#This Row],[DO number]],DO_DB!G:I,3,0)</f>
        <v>#N/A</v>
      </c>
      <c r="AB1441" s="331" t="e">
        <f>EXACT(Logfile_S12[[#This Row],[date pick]],Logfile_S12[[#This Row],[Date]])</f>
        <v>#N/A</v>
      </c>
      <c r="AC14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42" spans="1:29" ht="14.5" hidden="1">
      <c r="A1442" s="220" t="str">
        <f t="shared" si="54"/>
        <v>1438</v>
      </c>
      <c r="B1442" s="221"/>
      <c r="C1442" s="221" t="s">
        <v>3313</v>
      </c>
      <c r="D1442" s="221" t="s">
        <v>4023</v>
      </c>
      <c r="E1442" s="221" t="s">
        <v>3295</v>
      </c>
      <c r="F1442" s="221" t="s">
        <v>3299</v>
      </c>
      <c r="G1442" s="222">
        <v>45405</v>
      </c>
      <c r="H1442" s="223">
        <v>15.291666666666666</v>
      </c>
      <c r="I1442" s="221" t="s">
        <v>4922</v>
      </c>
      <c r="J1442" s="221" t="s">
        <v>3024</v>
      </c>
      <c r="K1442" s="224" t="s">
        <v>3088</v>
      </c>
      <c r="L1442" s="225" t="str">
        <f>VLOOKUP(Logfile_S12[[#This Row],[Material Name]],Sheet2!B:C,2,0)</f>
        <v>GCI1002</v>
      </c>
      <c r="M1442" s="225" t="str">
        <f>_xlfn.XLOOKUP(Logfile_S12[[#This Row],[Material Name]],Sum_WH!E:E,Sum_WH!F:F,"",0)</f>
        <v>Pcs</v>
      </c>
      <c r="N1442" s="221">
        <v>6</v>
      </c>
      <c r="O1442" s="221" t="s">
        <v>3314</v>
      </c>
      <c r="P1442" s="221" t="s">
        <v>3395</v>
      </c>
      <c r="Q1442" s="221">
        <v>0</v>
      </c>
      <c r="R1442" s="221">
        <v>0</v>
      </c>
      <c r="S1442" s="221"/>
      <c r="T1442" s="221"/>
      <c r="U1442" s="221"/>
      <c r="V1442" s="221"/>
      <c r="W1442" s="221"/>
      <c r="X1442" s="221"/>
      <c r="Y1442" s="227"/>
      <c r="Z1442" s="227" t="str">
        <f t="shared" si="55"/>
        <v>NGAWI</v>
      </c>
      <c r="AA1442" s="276" t="e">
        <f>VLOOKUP(Logfile_S12[[#This Row],[DO number]],DO_DB!G:I,3,0)</f>
        <v>#N/A</v>
      </c>
      <c r="AB1442" s="331" t="e">
        <f>EXACT(Logfile_S12[[#This Row],[date pick]],Logfile_S12[[#This Row],[Date]])</f>
        <v>#N/A</v>
      </c>
      <c r="AC14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43" spans="1:29" ht="14.5" hidden="1">
      <c r="A1443" s="220" t="str">
        <f t="shared" si="54"/>
        <v>1439</v>
      </c>
      <c r="B1443" s="221"/>
      <c r="C1443" s="221" t="s">
        <v>48</v>
      </c>
      <c r="D1443" s="221" t="s">
        <v>4038</v>
      </c>
      <c r="E1443" s="221" t="s">
        <v>3295</v>
      </c>
      <c r="F1443" s="221" t="s">
        <v>3299</v>
      </c>
      <c r="G1443" s="222">
        <v>45420</v>
      </c>
      <c r="H1443" s="223">
        <v>15.291666666666666</v>
      </c>
      <c r="I1443" s="221" t="s">
        <v>38</v>
      </c>
      <c r="J1443" s="221" t="s">
        <v>3024</v>
      </c>
      <c r="K1443" s="224" t="s">
        <v>3088</v>
      </c>
      <c r="L1443" s="225" t="str">
        <f>VLOOKUP(Logfile_S12[[#This Row],[Material Name]],Sheet2!B:C,2,0)</f>
        <v>GCI1002</v>
      </c>
      <c r="M1443" s="225" t="str">
        <f>_xlfn.XLOOKUP(Logfile_S12[[#This Row],[Material Name]],Sum_WH!E:E,Sum_WH!F:F,"",0)</f>
        <v>Pcs</v>
      </c>
      <c r="N1443" s="221">
        <v>1</v>
      </c>
      <c r="O1443" s="221">
        <v>0</v>
      </c>
      <c r="P1443" s="221">
        <v>0</v>
      </c>
      <c r="Q1443" s="221">
        <v>0</v>
      </c>
      <c r="R1443" s="221">
        <v>0</v>
      </c>
      <c r="S1443" s="221"/>
      <c r="T1443" s="221"/>
      <c r="U1443" s="221"/>
      <c r="V1443" s="221"/>
      <c r="W1443" s="221"/>
      <c r="X1443" s="221"/>
      <c r="Y1443" s="227"/>
      <c r="Z1443" s="227">
        <f t="shared" si="55"/>
        <v>0</v>
      </c>
      <c r="AA1443" s="276" t="e">
        <f>VLOOKUP(Logfile_S12[[#This Row],[DO number]],DO_DB!G:I,3,0)</f>
        <v>#N/A</v>
      </c>
      <c r="AB1443" s="331" t="e">
        <f>EXACT(Logfile_S12[[#This Row],[date pick]],Logfile_S12[[#This Row],[Date]])</f>
        <v>#N/A</v>
      </c>
      <c r="AC14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44" spans="1:29" ht="14.5" hidden="1">
      <c r="A1444" s="220" t="str">
        <f t="shared" si="54"/>
        <v>1440</v>
      </c>
      <c r="B1444" s="221"/>
      <c r="C1444" s="221" t="s">
        <v>48</v>
      </c>
      <c r="D1444" s="221" t="s">
        <v>4045</v>
      </c>
      <c r="E1444" s="221" t="s">
        <v>3295</v>
      </c>
      <c r="F1444" s="221" t="s">
        <v>3299</v>
      </c>
      <c r="G1444" s="222">
        <v>45429</v>
      </c>
      <c r="H1444" s="223">
        <v>15.291666666666666</v>
      </c>
      <c r="I1444" s="221" t="s">
        <v>38</v>
      </c>
      <c r="J1444" s="221" t="s">
        <v>3024</v>
      </c>
      <c r="K1444" s="224" t="s">
        <v>3088</v>
      </c>
      <c r="L1444" s="225" t="str">
        <f>VLOOKUP(Logfile_S12[[#This Row],[Material Name]],Sheet2!B:C,2,0)</f>
        <v>GCI1002</v>
      </c>
      <c r="M1444" s="225" t="str">
        <f>_xlfn.XLOOKUP(Logfile_S12[[#This Row],[Material Name]],Sum_WH!E:E,Sum_WH!F:F,"",0)</f>
        <v>Pcs</v>
      </c>
      <c r="N1444" s="221">
        <v>1</v>
      </c>
      <c r="O1444" s="221">
        <v>0</v>
      </c>
      <c r="P1444" s="221">
        <v>0</v>
      </c>
      <c r="Q1444" s="221">
        <v>0</v>
      </c>
      <c r="R1444" s="221">
        <v>0</v>
      </c>
      <c r="S1444" s="221"/>
      <c r="T1444" s="221"/>
      <c r="U1444" s="221"/>
      <c r="V1444" s="221"/>
      <c r="W1444" s="221"/>
      <c r="X1444" s="221"/>
      <c r="Y1444" s="227"/>
      <c r="Z1444" s="227">
        <f t="shared" si="55"/>
        <v>0</v>
      </c>
      <c r="AA1444" s="276" t="e">
        <f>VLOOKUP(Logfile_S12[[#This Row],[DO number]],DO_DB!G:I,3,0)</f>
        <v>#N/A</v>
      </c>
      <c r="AB1444" s="331" t="e">
        <f>EXACT(Logfile_S12[[#This Row],[date pick]],Logfile_S12[[#This Row],[Date]])</f>
        <v>#N/A</v>
      </c>
      <c r="AC14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45" spans="1:29" ht="14.5" hidden="1">
      <c r="A1445" s="220" t="str">
        <f t="shared" si="54"/>
        <v>1441</v>
      </c>
      <c r="B1445" s="221"/>
      <c r="C1445" s="221" t="s">
        <v>49</v>
      </c>
      <c r="D1445" s="221" t="s">
        <v>4043</v>
      </c>
      <c r="E1445" s="221" t="s">
        <v>3295</v>
      </c>
      <c r="F1445" s="221" t="s">
        <v>3299</v>
      </c>
      <c r="G1445" s="222">
        <v>45429</v>
      </c>
      <c r="H1445" s="223">
        <v>0.4465277777777778</v>
      </c>
      <c r="I1445" s="221" t="s">
        <v>4916</v>
      </c>
      <c r="J1445" s="221" t="s">
        <v>3024</v>
      </c>
      <c r="K1445" s="224" t="s">
        <v>3088</v>
      </c>
      <c r="L1445" s="225" t="str">
        <f>VLOOKUP(Logfile_S12[[#This Row],[Material Name]],Sheet2!B:C,2,0)</f>
        <v>GCI1002</v>
      </c>
      <c r="M1445" s="225" t="str">
        <f>_xlfn.XLOOKUP(Logfile_S12[[#This Row],[Material Name]],Sum_WH!E:E,Sum_WH!F:F,"",0)</f>
        <v>Pcs</v>
      </c>
      <c r="N1445" s="221">
        <v>1</v>
      </c>
      <c r="O1445" s="221" t="s">
        <v>1967</v>
      </c>
      <c r="P1445" s="221" t="s">
        <v>3396</v>
      </c>
      <c r="Q1445" s="221"/>
      <c r="R1445" s="221"/>
      <c r="S1445" s="221"/>
      <c r="T1445" s="221" t="s">
        <v>3258</v>
      </c>
      <c r="U1445" s="221" t="s">
        <v>3228</v>
      </c>
      <c r="V1445" s="221" t="s">
        <v>3337</v>
      </c>
      <c r="W1445" s="221" t="s">
        <v>3338</v>
      </c>
      <c r="X1445" s="221"/>
      <c r="Y1445" s="227"/>
      <c r="Z1445" s="227" t="str">
        <f t="shared" si="55"/>
        <v>HUBFEEDER DALISODO</v>
      </c>
      <c r="AA1445" s="276" t="e">
        <f>VLOOKUP(Logfile_S12[[#This Row],[DO number]],DO_DB!G:I,3,0)</f>
        <v>#N/A</v>
      </c>
      <c r="AB1445" s="331" t="e">
        <f>EXACT(Logfile_S12[[#This Row],[date pick]],Logfile_S12[[#This Row],[Date]])</f>
        <v>#N/A</v>
      </c>
      <c r="AC14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46" spans="1:29" ht="14.5" hidden="1">
      <c r="A1446" s="220" t="str">
        <f t="shared" si="54"/>
        <v>1442</v>
      </c>
      <c r="B1446" s="221"/>
      <c r="C1446" s="221" t="s">
        <v>49</v>
      </c>
      <c r="D1446" s="221" t="s">
        <v>4049</v>
      </c>
      <c r="E1446" s="221" t="s">
        <v>3295</v>
      </c>
      <c r="F1446" s="221" t="s">
        <v>3299</v>
      </c>
      <c r="G1446" s="222">
        <v>45432</v>
      </c>
      <c r="H1446" s="223">
        <v>0.3979166666666667</v>
      </c>
      <c r="I1446" s="221" t="s">
        <v>4916</v>
      </c>
      <c r="J1446" s="221" t="s">
        <v>3024</v>
      </c>
      <c r="K1446" s="224" t="s">
        <v>3088</v>
      </c>
      <c r="L1446" s="225" t="str">
        <f>VLOOKUP(Logfile_S12[[#This Row],[Material Name]],Sheet2!B:C,2,0)</f>
        <v>GCI1002</v>
      </c>
      <c r="M1446" s="225" t="str">
        <f>_xlfn.XLOOKUP(Logfile_S12[[#This Row],[Material Name]],Sum_WH!E:E,Sum_WH!F:F,"",0)</f>
        <v>Pcs</v>
      </c>
      <c r="N1446" s="221">
        <v>1</v>
      </c>
      <c r="O1446" s="221" t="s">
        <v>1405</v>
      </c>
      <c r="P1446" s="221" t="s">
        <v>1406</v>
      </c>
      <c r="Q1446" s="221"/>
      <c r="R1446" s="221"/>
      <c r="S1446" s="221"/>
      <c r="T1446" s="221" t="s">
        <v>3258</v>
      </c>
      <c r="U1446" s="221" t="s">
        <v>3228</v>
      </c>
      <c r="V1446" s="221" t="s">
        <v>3337</v>
      </c>
      <c r="W1446" s="221" t="s">
        <v>3338</v>
      </c>
      <c r="X1446" s="221"/>
      <c r="Y1446" s="227"/>
      <c r="Z1446" s="227" t="str">
        <f t="shared" si="55"/>
        <v>Lawang RW 06 Malang</v>
      </c>
      <c r="AA1446" s="276" t="e">
        <f>VLOOKUP(Logfile_S12[[#This Row],[DO number]],DO_DB!G:I,3,0)</f>
        <v>#N/A</v>
      </c>
      <c r="AB1446" s="331" t="e">
        <f>EXACT(Logfile_S12[[#This Row],[date pick]],Logfile_S12[[#This Row],[Date]])</f>
        <v>#N/A</v>
      </c>
      <c r="AC14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47" spans="1:29" ht="14.5" hidden="1">
      <c r="A1447" s="220" t="str">
        <f t="shared" si="54"/>
        <v>1443</v>
      </c>
      <c r="B1447" s="221"/>
      <c r="C1447" s="221" t="s">
        <v>49</v>
      </c>
      <c r="D1447" s="221" t="s">
        <v>4060</v>
      </c>
      <c r="E1447" s="221" t="s">
        <v>3295</v>
      </c>
      <c r="F1447" s="221" t="s">
        <v>3299</v>
      </c>
      <c r="G1447" s="222">
        <v>45437</v>
      </c>
      <c r="H1447" s="223">
        <v>0.40277777777777773</v>
      </c>
      <c r="I1447" s="221" t="s">
        <v>4916</v>
      </c>
      <c r="J1447" s="221" t="s">
        <v>3024</v>
      </c>
      <c r="K1447" s="224" t="s">
        <v>3088</v>
      </c>
      <c r="L1447" s="225" t="str">
        <f>VLOOKUP(Logfile_S12[[#This Row],[Material Name]],Sheet2!B:C,2,0)</f>
        <v>GCI1002</v>
      </c>
      <c r="M1447" s="225" t="str">
        <f>_xlfn.XLOOKUP(Logfile_S12[[#This Row],[Material Name]],Sum_WH!E:E,Sum_WH!F:F,"",0)</f>
        <v>Pcs</v>
      </c>
      <c r="N1447" s="221">
        <v>1</v>
      </c>
      <c r="O1447" s="221" t="s">
        <v>1493</v>
      </c>
      <c r="P1447" s="221" t="s">
        <v>1494</v>
      </c>
      <c r="Q1447" s="221"/>
      <c r="R1447" s="221"/>
      <c r="S1447" s="221"/>
      <c r="T1447" s="221" t="s">
        <v>3258</v>
      </c>
      <c r="U1447" s="221" t="s">
        <v>3228</v>
      </c>
      <c r="V1447" s="221" t="s">
        <v>3337</v>
      </c>
      <c r="W1447" s="221" t="s">
        <v>3338</v>
      </c>
      <c r="X1447" s="221"/>
      <c r="Y1447" s="227"/>
      <c r="Z1447" s="227" t="str">
        <f t="shared" si="55"/>
        <v>Dusun Krajan Kucur</v>
      </c>
      <c r="AA1447" s="276" t="e">
        <f>VLOOKUP(Logfile_S12[[#This Row],[DO number]],DO_DB!G:I,3,0)</f>
        <v>#N/A</v>
      </c>
      <c r="AB1447" s="331" t="e">
        <f>EXACT(Logfile_S12[[#This Row],[date pick]],Logfile_S12[[#This Row],[Date]])</f>
        <v>#N/A</v>
      </c>
      <c r="AC14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48" spans="1:29" ht="14.5" hidden="1">
      <c r="A1448" s="220" t="str">
        <f t="shared" si="54"/>
        <v>1444</v>
      </c>
      <c r="B1448" s="221"/>
      <c r="C1448" s="221" t="s">
        <v>49</v>
      </c>
      <c r="D1448" s="221" t="s">
        <v>4068</v>
      </c>
      <c r="E1448" s="221" t="s">
        <v>3295</v>
      </c>
      <c r="F1448" s="221" t="s">
        <v>3299</v>
      </c>
      <c r="G1448" s="222">
        <v>45442</v>
      </c>
      <c r="H1448" s="223">
        <v>0.47916666666666669</v>
      </c>
      <c r="I1448" s="221" t="s">
        <v>4916</v>
      </c>
      <c r="J1448" s="221" t="s">
        <v>3024</v>
      </c>
      <c r="K1448" s="224" t="s">
        <v>3088</v>
      </c>
      <c r="L1448" s="225" t="str">
        <f>VLOOKUP(Logfile_S12[[#This Row],[Material Name]],Sheet2!B:C,2,0)</f>
        <v>GCI1002</v>
      </c>
      <c r="M1448" s="225" t="str">
        <f>_xlfn.XLOOKUP(Logfile_S12[[#This Row],[Material Name]],Sum_WH!E:E,Sum_WH!F:F,"",0)</f>
        <v>Pcs</v>
      </c>
      <c r="N1448" s="221">
        <v>2</v>
      </c>
      <c r="O1448" s="221" t="s">
        <v>1477</v>
      </c>
      <c r="P1448" s="221" t="s">
        <v>1478</v>
      </c>
      <c r="Q1448" s="221"/>
      <c r="R1448" s="221"/>
      <c r="S1448" s="221"/>
      <c r="T1448" s="221" t="s">
        <v>3258</v>
      </c>
      <c r="U1448" s="221" t="s">
        <v>3228</v>
      </c>
      <c r="V1448" s="221" t="s">
        <v>3337</v>
      </c>
      <c r="W1448" s="221" t="s">
        <v>3338</v>
      </c>
      <c r="X1448" s="221"/>
      <c r="Y1448" s="227"/>
      <c r="Z1448" s="227" t="str">
        <f t="shared" si="55"/>
        <v>Dusun Ketohan Kucur</v>
      </c>
      <c r="AA1448" s="276" t="e">
        <f>VLOOKUP(Logfile_S12[[#This Row],[DO number]],DO_DB!G:I,3,0)</f>
        <v>#N/A</v>
      </c>
      <c r="AB1448" s="331" t="e">
        <f>EXACT(Logfile_S12[[#This Row],[date pick]],Logfile_S12[[#This Row],[Date]])</f>
        <v>#N/A</v>
      </c>
      <c r="AC14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49" spans="1:29" ht="14.5" hidden="1">
      <c r="A1449" s="220" t="str">
        <f t="shared" si="54"/>
        <v>1445</v>
      </c>
      <c r="B1449" s="221"/>
      <c r="C1449" s="221" t="s">
        <v>48</v>
      </c>
      <c r="D1449" s="221" t="s">
        <v>4072</v>
      </c>
      <c r="E1449" s="221" t="s">
        <v>3295</v>
      </c>
      <c r="F1449" s="221" t="s">
        <v>3299</v>
      </c>
      <c r="G1449" s="222">
        <v>45447</v>
      </c>
      <c r="H1449" s="223">
        <v>15.291666666666666</v>
      </c>
      <c r="I1449" s="221" t="s">
        <v>38</v>
      </c>
      <c r="J1449" s="221" t="s">
        <v>3024</v>
      </c>
      <c r="K1449" s="224" t="s">
        <v>3088</v>
      </c>
      <c r="L1449" s="225" t="str">
        <f>VLOOKUP(Logfile_S12[[#This Row],[Material Name]],Sheet2!B:C,2,0)</f>
        <v>GCI1002</v>
      </c>
      <c r="M1449" s="225" t="str">
        <f>_xlfn.XLOOKUP(Logfile_S12[[#This Row],[Material Name]],Sum_WH!E:E,Sum_WH!F:F,"",0)</f>
        <v>Pcs</v>
      </c>
      <c r="N1449" s="221">
        <v>5</v>
      </c>
      <c r="O1449" s="221">
        <v>0</v>
      </c>
      <c r="P1449" s="221">
        <v>0</v>
      </c>
      <c r="Q1449" s="221">
        <v>0</v>
      </c>
      <c r="R1449" s="221">
        <v>0</v>
      </c>
      <c r="S1449" s="221"/>
      <c r="T1449" s="221"/>
      <c r="U1449" s="221"/>
      <c r="V1449" s="221"/>
      <c r="W1449" s="221"/>
      <c r="X1449" s="221"/>
      <c r="Y1449" s="227"/>
      <c r="Z1449" s="227">
        <f t="shared" si="55"/>
        <v>0</v>
      </c>
      <c r="AA1449" s="276" t="e">
        <f>VLOOKUP(Logfile_S12[[#This Row],[DO number]],DO_DB!G:I,3,0)</f>
        <v>#N/A</v>
      </c>
      <c r="AB1449" s="331" t="e">
        <f>EXACT(Logfile_S12[[#This Row],[date pick]],Logfile_S12[[#This Row],[Date]])</f>
        <v>#N/A</v>
      </c>
      <c r="AC14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50" spans="1:29" ht="14.5" hidden="1">
      <c r="A1450" s="220" t="str">
        <f t="shared" si="54"/>
        <v>1446</v>
      </c>
      <c r="B1450" s="221"/>
      <c r="C1450" s="221" t="s">
        <v>49</v>
      </c>
      <c r="D1450" s="221" t="s">
        <v>4083</v>
      </c>
      <c r="E1450" s="221" t="s">
        <v>3295</v>
      </c>
      <c r="F1450" s="221" t="s">
        <v>3299</v>
      </c>
      <c r="G1450" s="222">
        <v>45450</v>
      </c>
      <c r="H1450" s="223">
        <v>0.72291666666666676</v>
      </c>
      <c r="I1450" s="221" t="s">
        <v>4916</v>
      </c>
      <c r="J1450" s="221" t="s">
        <v>3024</v>
      </c>
      <c r="K1450" s="224" t="s">
        <v>3088</v>
      </c>
      <c r="L1450" s="225" t="str">
        <f>VLOOKUP(Logfile_S12[[#This Row],[Material Name]],Sheet2!B:C,2,0)</f>
        <v>GCI1002</v>
      </c>
      <c r="M1450" s="225" t="str">
        <f>_xlfn.XLOOKUP(Logfile_S12[[#This Row],[Material Name]],Sum_WH!E:E,Sum_WH!F:F,"",0)</f>
        <v>Pcs</v>
      </c>
      <c r="N1450" s="221">
        <v>2</v>
      </c>
      <c r="O1450" s="221" t="s">
        <v>1493</v>
      </c>
      <c r="P1450" s="221" t="s">
        <v>1494</v>
      </c>
      <c r="Q1450" s="221"/>
      <c r="R1450" s="221"/>
      <c r="S1450" s="221"/>
      <c r="T1450" s="221" t="s">
        <v>3258</v>
      </c>
      <c r="U1450" s="221" t="s">
        <v>3228</v>
      </c>
      <c r="V1450" s="221" t="s">
        <v>3337</v>
      </c>
      <c r="W1450" s="221" t="s">
        <v>3338</v>
      </c>
      <c r="X1450" s="221"/>
      <c r="Y1450" s="227"/>
      <c r="Z1450" s="227" t="str">
        <f t="shared" si="55"/>
        <v>Dusun Krajan Kucur</v>
      </c>
      <c r="AA1450" s="276" t="e">
        <f>VLOOKUP(Logfile_S12[[#This Row],[DO number]],DO_DB!G:I,3,0)</f>
        <v>#N/A</v>
      </c>
      <c r="AB1450" s="331" t="e">
        <f>EXACT(Logfile_S12[[#This Row],[date pick]],Logfile_S12[[#This Row],[Date]])</f>
        <v>#N/A</v>
      </c>
      <c r="AC14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51" spans="1:29" ht="14.5" hidden="1">
      <c r="A1451" s="220" t="str">
        <f t="shared" si="54"/>
        <v>1447</v>
      </c>
      <c r="B1451" s="221"/>
      <c r="C1451" s="221" t="s">
        <v>49</v>
      </c>
      <c r="D1451" s="221" t="s">
        <v>4094</v>
      </c>
      <c r="E1451" s="221" t="s">
        <v>3295</v>
      </c>
      <c r="F1451" s="221" t="s">
        <v>3299</v>
      </c>
      <c r="G1451" s="222">
        <v>45463</v>
      </c>
      <c r="H1451" s="223">
        <v>0.44444444444444442</v>
      </c>
      <c r="I1451" s="221" t="s">
        <v>4916</v>
      </c>
      <c r="J1451" s="221" t="s">
        <v>3024</v>
      </c>
      <c r="K1451" s="224" t="s">
        <v>3088</v>
      </c>
      <c r="L1451" s="225" t="str">
        <f>VLOOKUP(Logfile_S12[[#This Row],[Material Name]],Sheet2!B:C,2,0)</f>
        <v>GCI1002</v>
      </c>
      <c r="M1451" s="225" t="str">
        <f>_xlfn.XLOOKUP(Logfile_S12[[#This Row],[Material Name]],Sum_WH!E:E,Sum_WH!F:F,"",0)</f>
        <v>Pcs</v>
      </c>
      <c r="N1451" s="221">
        <v>1</v>
      </c>
      <c r="O1451" s="221" t="s">
        <v>1683</v>
      </c>
      <c r="P1451" s="221" t="s">
        <v>1684</v>
      </c>
      <c r="Q1451" s="221"/>
      <c r="R1451" s="221"/>
      <c r="S1451" s="221"/>
      <c r="T1451" s="221" t="s">
        <v>3258</v>
      </c>
      <c r="U1451" s="221" t="s">
        <v>3228</v>
      </c>
      <c r="V1451" s="221" t="s">
        <v>3337</v>
      </c>
      <c r="W1451" s="221" t="s">
        <v>3338</v>
      </c>
      <c r="X1451" s="221"/>
      <c r="Y1451" s="227"/>
      <c r="Z1451" s="227" t="str">
        <f t="shared" si="55"/>
        <v>Lowokwaru RW 04</v>
      </c>
      <c r="AA1451" s="276" t="e">
        <f>VLOOKUP(Logfile_S12[[#This Row],[DO number]],DO_DB!G:I,3,0)</f>
        <v>#N/A</v>
      </c>
      <c r="AB1451" s="331" t="e">
        <f>EXACT(Logfile_S12[[#This Row],[date pick]],Logfile_S12[[#This Row],[Date]])</f>
        <v>#N/A</v>
      </c>
      <c r="AC14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52" spans="1:29" ht="14.5" hidden="1">
      <c r="A1452" s="220" t="str">
        <f t="shared" si="54"/>
        <v>1448</v>
      </c>
      <c r="B1452" s="221"/>
      <c r="C1452" s="221" t="s">
        <v>48</v>
      </c>
      <c r="D1452" s="221" t="s">
        <v>4103</v>
      </c>
      <c r="E1452" s="221" t="s">
        <v>3295</v>
      </c>
      <c r="F1452" s="221" t="s">
        <v>3299</v>
      </c>
      <c r="G1452" s="222">
        <v>45468</v>
      </c>
      <c r="H1452" s="223">
        <v>15.291666666666666</v>
      </c>
      <c r="I1452" s="221" t="s">
        <v>38</v>
      </c>
      <c r="J1452" s="221" t="s">
        <v>3024</v>
      </c>
      <c r="K1452" s="224" t="s">
        <v>3088</v>
      </c>
      <c r="L1452" s="225" t="str">
        <f>VLOOKUP(Logfile_S12[[#This Row],[Material Name]],Sheet2!B:C,2,0)</f>
        <v>GCI1002</v>
      </c>
      <c r="M1452" s="225" t="str">
        <f>_xlfn.XLOOKUP(Logfile_S12[[#This Row],[Material Name]],Sum_WH!E:E,Sum_WH!F:F,"",0)</f>
        <v>Pcs</v>
      </c>
      <c r="N1452" s="221">
        <v>31</v>
      </c>
      <c r="O1452" s="221">
        <v>0</v>
      </c>
      <c r="P1452" s="221">
        <v>0</v>
      </c>
      <c r="Q1452" s="221">
        <v>0</v>
      </c>
      <c r="R1452" s="221">
        <v>0</v>
      </c>
      <c r="S1452" s="221"/>
      <c r="T1452" s="221"/>
      <c r="U1452" s="221"/>
      <c r="V1452" s="221"/>
      <c r="W1452" s="221"/>
      <c r="X1452" s="221"/>
      <c r="Y1452" s="227"/>
      <c r="Z1452" s="227">
        <f t="shared" si="55"/>
        <v>0</v>
      </c>
      <c r="AA1452" s="276" t="e">
        <f>VLOOKUP(Logfile_S12[[#This Row],[DO number]],DO_DB!G:I,3,0)</f>
        <v>#N/A</v>
      </c>
      <c r="AB1452" s="331" t="e">
        <f>EXACT(Logfile_S12[[#This Row],[date pick]],Logfile_S12[[#This Row],[Date]])</f>
        <v>#N/A</v>
      </c>
      <c r="AC14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53" spans="1:29" ht="14.5" hidden="1">
      <c r="A1453" s="220" t="str">
        <f t="shared" si="54"/>
        <v>1449</v>
      </c>
      <c r="B1453" s="221"/>
      <c r="C1453" s="221" t="s">
        <v>49</v>
      </c>
      <c r="D1453" s="221" t="s">
        <v>4106</v>
      </c>
      <c r="E1453" s="221" t="s">
        <v>3295</v>
      </c>
      <c r="F1453" s="221" t="s">
        <v>3299</v>
      </c>
      <c r="G1453" s="222">
        <v>45470</v>
      </c>
      <c r="H1453" s="223">
        <v>0.53680555555555554</v>
      </c>
      <c r="I1453" s="221" t="s">
        <v>4916</v>
      </c>
      <c r="J1453" s="221" t="s">
        <v>3024</v>
      </c>
      <c r="K1453" s="224" t="s">
        <v>3088</v>
      </c>
      <c r="L1453" s="225" t="str">
        <f>VLOOKUP(Logfile_S12[[#This Row],[Material Name]],Sheet2!B:C,2,0)</f>
        <v>GCI1002</v>
      </c>
      <c r="M1453" s="225" t="str">
        <f>_xlfn.XLOOKUP(Logfile_S12[[#This Row],[Material Name]],Sum_WH!E:E,Sum_WH!F:F,"",0)</f>
        <v>Pcs</v>
      </c>
      <c r="N1453" s="221">
        <v>2</v>
      </c>
      <c r="O1453" s="221" t="s">
        <v>1705</v>
      </c>
      <c r="P1453" s="221" t="s">
        <v>1706</v>
      </c>
      <c r="Q1453" s="221"/>
      <c r="R1453" s="221"/>
      <c r="S1453" s="221"/>
      <c r="T1453" s="221" t="s">
        <v>3258</v>
      </c>
      <c r="U1453" s="221" t="s">
        <v>3228</v>
      </c>
      <c r="V1453" s="221" t="s">
        <v>3337</v>
      </c>
      <c r="W1453" s="221" t="s">
        <v>3338</v>
      </c>
      <c r="X1453" s="221"/>
      <c r="Y1453" s="227"/>
      <c r="Z1453" s="227" t="str">
        <f t="shared" si="55"/>
        <v>Perumahan Kepanjen Permai II</v>
      </c>
      <c r="AA1453" s="276" t="e">
        <f>VLOOKUP(Logfile_S12[[#This Row],[DO number]],DO_DB!G:I,3,0)</f>
        <v>#N/A</v>
      </c>
      <c r="AB1453" s="331" t="e">
        <f>EXACT(Logfile_S12[[#This Row],[date pick]],Logfile_S12[[#This Row],[Date]])</f>
        <v>#N/A</v>
      </c>
      <c r="AC14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54" spans="1:29" ht="14.5" hidden="1">
      <c r="A1454" s="220" t="str">
        <f t="shared" si="54"/>
        <v>1450</v>
      </c>
      <c r="B1454" s="221"/>
      <c r="C1454" s="221" t="s">
        <v>48</v>
      </c>
      <c r="D1454" s="221" t="s">
        <v>4112</v>
      </c>
      <c r="E1454" s="221" t="s">
        <v>3295</v>
      </c>
      <c r="F1454" s="221" t="s">
        <v>3299</v>
      </c>
      <c r="G1454" s="222">
        <v>45478</v>
      </c>
      <c r="H1454" s="223">
        <v>15.291666666666666</v>
      </c>
      <c r="I1454" s="221" t="s">
        <v>38</v>
      </c>
      <c r="J1454" s="221" t="s">
        <v>3024</v>
      </c>
      <c r="K1454" s="224" t="s">
        <v>3088</v>
      </c>
      <c r="L1454" s="225" t="str">
        <f>VLOOKUP(Logfile_S12[[#This Row],[Material Name]],Sheet2!B:C,2,0)</f>
        <v>GCI1002</v>
      </c>
      <c r="M1454" s="225" t="str">
        <f>_xlfn.XLOOKUP(Logfile_S12[[#This Row],[Material Name]],Sum_WH!E:E,Sum_WH!F:F,"",0)</f>
        <v>Pcs</v>
      </c>
      <c r="N1454" s="221">
        <v>9</v>
      </c>
      <c r="O1454" s="221">
        <v>0</v>
      </c>
      <c r="P1454" s="221">
        <v>0</v>
      </c>
      <c r="Q1454" s="221">
        <v>0</v>
      </c>
      <c r="R1454" s="221">
        <v>0</v>
      </c>
      <c r="S1454" s="221"/>
      <c r="T1454" s="221"/>
      <c r="U1454" s="221"/>
      <c r="V1454" s="221"/>
      <c r="W1454" s="221"/>
      <c r="X1454" s="221"/>
      <c r="Y1454" s="227"/>
      <c r="Z1454" s="227">
        <f t="shared" si="55"/>
        <v>0</v>
      </c>
      <c r="AA1454" s="276" t="e">
        <f>VLOOKUP(Logfile_S12[[#This Row],[DO number]],DO_DB!G:I,3,0)</f>
        <v>#N/A</v>
      </c>
      <c r="AB1454" s="331" t="e">
        <f>EXACT(Logfile_S12[[#This Row],[date pick]],Logfile_S12[[#This Row],[Date]])</f>
        <v>#N/A</v>
      </c>
      <c r="AC14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55" spans="1:29" ht="14.5" hidden="1">
      <c r="A1455" s="220" t="str">
        <f t="shared" si="54"/>
        <v>1451</v>
      </c>
      <c r="B1455" s="221"/>
      <c r="C1455" s="221" t="s">
        <v>48</v>
      </c>
      <c r="D1455" s="221" t="s">
        <v>4126</v>
      </c>
      <c r="E1455" s="221" t="s">
        <v>3295</v>
      </c>
      <c r="F1455" s="221" t="s">
        <v>3299</v>
      </c>
      <c r="G1455" s="222">
        <v>45496</v>
      </c>
      <c r="H1455" s="223">
        <v>15.291666666666666</v>
      </c>
      <c r="I1455" s="221" t="s">
        <v>38</v>
      </c>
      <c r="J1455" s="221" t="s">
        <v>3024</v>
      </c>
      <c r="K1455" s="224" t="s">
        <v>3088</v>
      </c>
      <c r="L1455" s="225" t="str">
        <f>VLOOKUP(Logfile_S12[[#This Row],[Material Name]],Sheet2!B:C,2,0)</f>
        <v>GCI1002</v>
      </c>
      <c r="M1455" s="225" t="str">
        <f>_xlfn.XLOOKUP(Logfile_S12[[#This Row],[Material Name]],Sum_WH!E:E,Sum_WH!F:F,"",0)</f>
        <v>Pcs</v>
      </c>
      <c r="N1455" s="221">
        <v>8</v>
      </c>
      <c r="O1455" s="221">
        <v>0</v>
      </c>
      <c r="P1455" s="221">
        <v>0</v>
      </c>
      <c r="Q1455" s="221">
        <v>0</v>
      </c>
      <c r="R1455" s="221">
        <v>0</v>
      </c>
      <c r="S1455" s="221"/>
      <c r="T1455" s="221"/>
      <c r="U1455" s="221"/>
      <c r="V1455" s="221"/>
      <c r="W1455" s="221"/>
      <c r="X1455" s="221"/>
      <c r="Y1455" s="227"/>
      <c r="Z1455" s="227">
        <f t="shared" si="55"/>
        <v>0</v>
      </c>
      <c r="AA1455" s="276" t="e">
        <f>VLOOKUP(Logfile_S12[[#This Row],[DO number]],DO_DB!G:I,3,0)</f>
        <v>#N/A</v>
      </c>
      <c r="AB1455" s="331" t="e">
        <f>EXACT(Logfile_S12[[#This Row],[date pick]],Logfile_S12[[#This Row],[Date]])</f>
        <v>#N/A</v>
      </c>
      <c r="AC14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56" spans="1:29" ht="14.5" hidden="1">
      <c r="A1456" s="220" t="str">
        <f t="shared" si="54"/>
        <v>1452</v>
      </c>
      <c r="B1456" s="221"/>
      <c r="C1456" s="221" t="s">
        <v>49</v>
      </c>
      <c r="D1456" s="221" t="s">
        <v>4133</v>
      </c>
      <c r="E1456" s="221" t="s">
        <v>3295</v>
      </c>
      <c r="F1456" s="221" t="s">
        <v>3299</v>
      </c>
      <c r="G1456" s="222">
        <v>45502</v>
      </c>
      <c r="H1456" s="223">
        <v>0.59027777777777779</v>
      </c>
      <c r="I1456" s="221" t="s">
        <v>4916</v>
      </c>
      <c r="J1456" s="221" t="s">
        <v>3024</v>
      </c>
      <c r="K1456" s="224" t="s">
        <v>3088</v>
      </c>
      <c r="L1456" s="225" t="str">
        <f>VLOOKUP(Logfile_S12[[#This Row],[Material Name]],Sheet2!B:C,2,0)</f>
        <v>GCI1002</v>
      </c>
      <c r="M1456" s="225" t="str">
        <f>_xlfn.XLOOKUP(Logfile_S12[[#This Row],[Material Name]],Sum_WH!E:E,Sum_WH!F:F,"",0)</f>
        <v>Pcs</v>
      </c>
      <c r="N1456" s="221">
        <v>1</v>
      </c>
      <c r="O1456" s="221" t="s">
        <v>1803</v>
      </c>
      <c r="P1456" s="221" t="s">
        <v>1804</v>
      </c>
      <c r="Q1456" s="221"/>
      <c r="R1456" s="221"/>
      <c r="S1456" s="221"/>
      <c r="T1456" s="221" t="s">
        <v>3258</v>
      </c>
      <c r="U1456" s="221" t="s">
        <v>3228</v>
      </c>
      <c r="V1456" s="221" t="s">
        <v>3337</v>
      </c>
      <c r="W1456" s="221" t="s">
        <v>3338</v>
      </c>
      <c r="X1456" s="221"/>
      <c r="Y1456" s="227"/>
      <c r="Z1456" s="227" t="str">
        <f t="shared" si="55"/>
        <v>Dusun Langlang IV Singosari</v>
      </c>
      <c r="AA1456" s="276" t="e">
        <f>VLOOKUP(Logfile_S12[[#This Row],[DO number]],DO_DB!G:I,3,0)</f>
        <v>#N/A</v>
      </c>
      <c r="AB1456" s="331" t="e">
        <f>EXACT(Logfile_S12[[#This Row],[date pick]],Logfile_S12[[#This Row],[Date]])</f>
        <v>#N/A</v>
      </c>
      <c r="AC14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57" spans="1:29" ht="14.5" hidden="1">
      <c r="A1457" s="220" t="str">
        <f t="shared" si="54"/>
        <v>1453</v>
      </c>
      <c r="B1457" s="221"/>
      <c r="C1457" s="221" t="s">
        <v>49</v>
      </c>
      <c r="D1457" s="221" t="s">
        <v>4149</v>
      </c>
      <c r="E1457" s="221" t="s">
        <v>3295</v>
      </c>
      <c r="F1457" s="221" t="s">
        <v>3299</v>
      </c>
      <c r="G1457" s="222">
        <v>45511</v>
      </c>
      <c r="H1457" s="223">
        <v>0.44861111111111113</v>
      </c>
      <c r="I1457" s="221" t="s">
        <v>4916</v>
      </c>
      <c r="J1457" s="221" t="s">
        <v>3024</v>
      </c>
      <c r="K1457" s="224" t="s">
        <v>3088</v>
      </c>
      <c r="L1457" s="225" t="str">
        <f>VLOOKUP(Logfile_S12[[#This Row],[Material Name]],Sheet2!B:C,2,0)</f>
        <v>GCI1002</v>
      </c>
      <c r="M1457" s="225" t="str">
        <f>_xlfn.XLOOKUP(Logfile_S12[[#This Row],[Material Name]],Sum_WH!E:E,Sum_WH!F:F,"",0)</f>
        <v>Pcs</v>
      </c>
      <c r="N1457" s="221">
        <v>1</v>
      </c>
      <c r="O1457" s="221" t="s">
        <v>1807</v>
      </c>
      <c r="P1457" s="221" t="s">
        <v>3399</v>
      </c>
      <c r="Q1457" s="221"/>
      <c r="R1457" s="221"/>
      <c r="S1457" s="221"/>
      <c r="T1457" s="221" t="s">
        <v>3244</v>
      </c>
      <c r="U1457" s="221">
        <v>0</v>
      </c>
      <c r="V1457" s="221" t="s">
        <v>3248</v>
      </c>
      <c r="W1457" s="221" t="s">
        <v>3252</v>
      </c>
      <c r="X1457" s="221"/>
      <c r="Y1457" s="227"/>
      <c r="Z1457" s="227" t="str">
        <f t="shared" si="55"/>
        <v>HUBFEEDER TIRTASANI TO GIRIMOYO</v>
      </c>
      <c r="AA1457" s="276" t="e">
        <f>VLOOKUP(Logfile_S12[[#This Row],[DO number]],DO_DB!G:I,3,0)</f>
        <v>#N/A</v>
      </c>
      <c r="AB1457" s="331" t="e">
        <f>EXACT(Logfile_S12[[#This Row],[date pick]],Logfile_S12[[#This Row],[Date]])</f>
        <v>#N/A</v>
      </c>
      <c r="AC14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58" spans="1:29" ht="14.5" hidden="1">
      <c r="A1458" s="220" t="str">
        <f t="shared" si="54"/>
        <v>1454</v>
      </c>
      <c r="B1458" s="221"/>
      <c r="C1458" s="221" t="s">
        <v>49</v>
      </c>
      <c r="D1458" s="221" t="s">
        <v>4150</v>
      </c>
      <c r="E1458" s="221" t="s">
        <v>3295</v>
      </c>
      <c r="F1458" s="221" t="s">
        <v>3299</v>
      </c>
      <c r="G1458" s="222">
        <v>45511</v>
      </c>
      <c r="H1458" s="223">
        <v>0.78333333333333333</v>
      </c>
      <c r="I1458" s="221" t="s">
        <v>4916</v>
      </c>
      <c r="J1458" s="221" t="s">
        <v>3024</v>
      </c>
      <c r="K1458" s="224" t="s">
        <v>3088</v>
      </c>
      <c r="L1458" s="225" t="str">
        <f>VLOOKUP(Logfile_S12[[#This Row],[Material Name]],Sheet2!B:C,2,0)</f>
        <v>GCI1002</v>
      </c>
      <c r="M1458" s="225" t="str">
        <f>_xlfn.XLOOKUP(Logfile_S12[[#This Row],[Material Name]],Sum_WH!E:E,Sum_WH!F:F,"",0)</f>
        <v>Pcs</v>
      </c>
      <c r="N1458" s="221">
        <v>1</v>
      </c>
      <c r="O1458" s="221" t="s">
        <v>1799</v>
      </c>
      <c r="P1458" s="221" t="s">
        <v>3398</v>
      </c>
      <c r="Q1458" s="221"/>
      <c r="R1458" s="221"/>
      <c r="S1458" s="221"/>
      <c r="T1458" s="221" t="s">
        <v>3258</v>
      </c>
      <c r="U1458" s="221" t="s">
        <v>3228</v>
      </c>
      <c r="V1458" s="221" t="s">
        <v>3337</v>
      </c>
      <c r="W1458" s="221" t="s">
        <v>3338</v>
      </c>
      <c r="X1458" s="221"/>
      <c r="Y1458" s="227"/>
      <c r="Z1458" s="227" t="str">
        <f t="shared" si="55"/>
        <v>HUBFEEDER KEPANJEN TO JATIKERTO</v>
      </c>
      <c r="AA1458" s="276" t="e">
        <f>VLOOKUP(Logfile_S12[[#This Row],[DO number]],DO_DB!G:I,3,0)</f>
        <v>#N/A</v>
      </c>
      <c r="AB1458" s="331" t="e">
        <f>EXACT(Logfile_S12[[#This Row],[date pick]],Logfile_S12[[#This Row],[Date]])</f>
        <v>#N/A</v>
      </c>
      <c r="AC14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59" spans="1:29" ht="14.5" hidden="1">
      <c r="A1459" s="220" t="str">
        <f t="shared" si="54"/>
        <v>1455</v>
      </c>
      <c r="B1459" s="221"/>
      <c r="C1459" s="221" t="s">
        <v>49</v>
      </c>
      <c r="D1459" s="221" t="s">
        <v>4158</v>
      </c>
      <c r="E1459" s="221" t="s">
        <v>3295</v>
      </c>
      <c r="F1459" s="221" t="s">
        <v>3299</v>
      </c>
      <c r="G1459" s="222">
        <v>45518</v>
      </c>
      <c r="H1459" s="223">
        <v>0.41666666666666669</v>
      </c>
      <c r="I1459" s="221" t="s">
        <v>4916</v>
      </c>
      <c r="J1459" s="221" t="s">
        <v>3024</v>
      </c>
      <c r="K1459" s="224" t="s">
        <v>3088</v>
      </c>
      <c r="L1459" s="225" t="str">
        <f>VLOOKUP(Logfile_S12[[#This Row],[Material Name]],Sheet2!B:C,2,0)</f>
        <v>GCI1002</v>
      </c>
      <c r="M1459" s="225" t="str">
        <f>_xlfn.XLOOKUP(Logfile_S12[[#This Row],[Material Name]],Sum_WH!E:E,Sum_WH!F:F,"",0)</f>
        <v>Pcs</v>
      </c>
      <c r="N1459" s="221">
        <v>1</v>
      </c>
      <c r="O1459" s="221" t="s">
        <v>1807</v>
      </c>
      <c r="P1459" s="221" t="s">
        <v>3399</v>
      </c>
      <c r="Q1459" s="221"/>
      <c r="R1459" s="221"/>
      <c r="S1459" s="221"/>
      <c r="T1459" s="221" t="s">
        <v>3258</v>
      </c>
      <c r="U1459" s="221" t="s">
        <v>3228</v>
      </c>
      <c r="V1459" s="221" t="s">
        <v>3337</v>
      </c>
      <c r="W1459" s="221" t="s">
        <v>3338</v>
      </c>
      <c r="X1459" s="221"/>
      <c r="Y1459" s="227"/>
      <c r="Z1459" s="227" t="str">
        <f t="shared" si="55"/>
        <v>HUBFEEDER TIRTASANI TO GIRIMOYO</v>
      </c>
      <c r="AA1459" s="276" t="e">
        <f>VLOOKUP(Logfile_S12[[#This Row],[DO number]],DO_DB!G:I,3,0)</f>
        <v>#N/A</v>
      </c>
      <c r="AB1459" s="331" t="e">
        <f>EXACT(Logfile_S12[[#This Row],[date pick]],Logfile_S12[[#This Row],[Date]])</f>
        <v>#N/A</v>
      </c>
      <c r="AC14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60" spans="1:29" ht="14.5" hidden="1">
      <c r="A1460" s="220" t="str">
        <f t="shared" si="54"/>
        <v>1456</v>
      </c>
      <c r="B1460" s="221"/>
      <c r="C1460" s="221" t="s">
        <v>49</v>
      </c>
      <c r="D1460" s="221" t="s">
        <v>4173</v>
      </c>
      <c r="E1460" s="221" t="s">
        <v>3295</v>
      </c>
      <c r="F1460" s="221" t="s">
        <v>3299</v>
      </c>
      <c r="G1460" s="222">
        <v>45527</v>
      </c>
      <c r="H1460" s="223">
        <v>0.46736111111111112</v>
      </c>
      <c r="I1460" s="221" t="s">
        <v>4916</v>
      </c>
      <c r="J1460" s="221" t="s">
        <v>3024</v>
      </c>
      <c r="K1460" s="224" t="s">
        <v>3088</v>
      </c>
      <c r="L1460" s="225" t="str">
        <f>VLOOKUP(Logfile_S12[[#This Row],[Material Name]],Sheet2!B:C,2,0)</f>
        <v>GCI1002</v>
      </c>
      <c r="M1460" s="225" t="str">
        <f>_xlfn.XLOOKUP(Logfile_S12[[#This Row],[Material Name]],Sum_WH!E:E,Sum_WH!F:F,"",0)</f>
        <v>Pcs</v>
      </c>
      <c r="N1460" s="221">
        <v>1</v>
      </c>
      <c r="O1460" s="221" t="s">
        <v>1911</v>
      </c>
      <c r="P1460" s="221" t="s">
        <v>1912</v>
      </c>
      <c r="Q1460" s="221"/>
      <c r="R1460" s="221"/>
      <c r="S1460" s="221"/>
      <c r="T1460" s="221" t="s">
        <v>3258</v>
      </c>
      <c r="U1460" s="221" t="s">
        <v>3228</v>
      </c>
      <c r="V1460" s="221" t="s">
        <v>3337</v>
      </c>
      <c r="W1460" s="221" t="s">
        <v>3338</v>
      </c>
      <c r="X1460" s="221"/>
      <c r="Y1460" s="227"/>
      <c r="Z1460" s="227" t="str">
        <f t="shared" si="55"/>
        <v>Dilem RW 03 Kepanjen</v>
      </c>
      <c r="AA1460" s="276" t="e">
        <f>VLOOKUP(Logfile_S12[[#This Row],[DO number]],DO_DB!G:I,3,0)</f>
        <v>#N/A</v>
      </c>
      <c r="AB1460" s="331" t="e">
        <f>EXACT(Logfile_S12[[#This Row],[date pick]],Logfile_S12[[#This Row],[Date]])</f>
        <v>#N/A</v>
      </c>
      <c r="AC14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61" spans="1:29" ht="14.5" hidden="1">
      <c r="A1461" s="220" t="str">
        <f t="shared" si="54"/>
        <v>1457</v>
      </c>
      <c r="B1461" s="221"/>
      <c r="C1461" s="221" t="s">
        <v>49</v>
      </c>
      <c r="D1461" s="221" t="s">
        <v>4179</v>
      </c>
      <c r="E1461" s="221" t="s">
        <v>3295</v>
      </c>
      <c r="F1461" s="221" t="s">
        <v>3299</v>
      </c>
      <c r="G1461" s="222">
        <v>45531</v>
      </c>
      <c r="H1461" s="223">
        <v>0.89027777777777772</v>
      </c>
      <c r="I1461" s="221" t="s">
        <v>4916</v>
      </c>
      <c r="J1461" s="221" t="s">
        <v>3024</v>
      </c>
      <c r="K1461" s="224" t="s">
        <v>3088</v>
      </c>
      <c r="L1461" s="225" t="str">
        <f>VLOOKUP(Logfile_S12[[#This Row],[Material Name]],Sheet2!B:C,2,0)</f>
        <v>GCI1002</v>
      </c>
      <c r="M1461" s="225" t="str">
        <f>_xlfn.XLOOKUP(Logfile_S12[[#This Row],[Material Name]],Sum_WH!E:E,Sum_WH!F:F,"",0)</f>
        <v>Pcs</v>
      </c>
      <c r="N1461" s="221">
        <v>1</v>
      </c>
      <c r="O1461" s="221" t="s">
        <v>2142</v>
      </c>
      <c r="P1461" s="221" t="s">
        <v>3400</v>
      </c>
      <c r="Q1461" s="221"/>
      <c r="R1461" s="221"/>
      <c r="S1461" s="221"/>
      <c r="T1461" s="221" t="s">
        <v>3244</v>
      </c>
      <c r="U1461" s="221">
        <v>0</v>
      </c>
      <c r="V1461" s="221" t="s">
        <v>3248</v>
      </c>
      <c r="W1461" s="221" t="s">
        <v>3252</v>
      </c>
      <c r="X1461" s="221"/>
      <c r="Y1461" s="227"/>
      <c r="Z1461" s="227" t="str">
        <f t="shared" si="55"/>
        <v>HUBFEEDER DINOYO SUMBERSEKAR</v>
      </c>
      <c r="AA1461" s="276" t="e">
        <f>VLOOKUP(Logfile_S12[[#This Row],[DO number]],DO_DB!G:I,3,0)</f>
        <v>#N/A</v>
      </c>
      <c r="AB1461" s="331" t="e">
        <f>EXACT(Logfile_S12[[#This Row],[date pick]],Logfile_S12[[#This Row],[Date]])</f>
        <v>#N/A</v>
      </c>
      <c r="AC14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62" spans="1:29" ht="14.5" hidden="1">
      <c r="A1462" s="220" t="str">
        <f t="shared" si="54"/>
        <v>1458</v>
      </c>
      <c r="B1462" s="221"/>
      <c r="C1462" s="221" t="s">
        <v>49</v>
      </c>
      <c r="D1462" s="221" t="s">
        <v>4198</v>
      </c>
      <c r="E1462" s="221" t="s">
        <v>3295</v>
      </c>
      <c r="F1462" s="221" t="s">
        <v>3299</v>
      </c>
      <c r="G1462" s="222">
        <v>45537</v>
      </c>
      <c r="H1462" s="223">
        <v>0.32847222222222222</v>
      </c>
      <c r="I1462" s="221" t="s">
        <v>4916</v>
      </c>
      <c r="J1462" s="221" t="s">
        <v>3024</v>
      </c>
      <c r="K1462" s="224" t="s">
        <v>3088</v>
      </c>
      <c r="L1462" s="225" t="str">
        <f>VLOOKUP(Logfile_S12[[#This Row],[Material Name]],Sheet2!B:C,2,0)</f>
        <v>GCI1002</v>
      </c>
      <c r="M1462" s="225" t="str">
        <f>_xlfn.XLOOKUP(Logfile_S12[[#This Row],[Material Name]],Sum_WH!E:E,Sum_WH!F:F,"",0)</f>
        <v>Pcs</v>
      </c>
      <c r="N1462" s="221">
        <v>1</v>
      </c>
      <c r="O1462" s="221" t="s">
        <v>1929</v>
      </c>
      <c r="P1462" s="221" t="s">
        <v>1930</v>
      </c>
      <c r="Q1462" s="221"/>
      <c r="R1462" s="221"/>
      <c r="S1462" s="221"/>
      <c r="T1462" s="221" t="s">
        <v>3244</v>
      </c>
      <c r="U1462" s="221">
        <v>0</v>
      </c>
      <c r="V1462" s="221" t="s">
        <v>3248</v>
      </c>
      <c r="W1462" s="221" t="s">
        <v>3252</v>
      </c>
      <c r="X1462" s="221"/>
      <c r="Y1462" s="227"/>
      <c r="Z1462" s="227" t="str">
        <f t="shared" si="55"/>
        <v>Dusun Krajan Sumbersekar</v>
      </c>
      <c r="AA1462" s="276" t="e">
        <f>VLOOKUP(Logfile_S12[[#This Row],[DO number]],DO_DB!G:I,3,0)</f>
        <v>#N/A</v>
      </c>
      <c r="AB1462" s="331" t="e">
        <f>EXACT(Logfile_S12[[#This Row],[date pick]],Logfile_S12[[#This Row],[Date]])</f>
        <v>#N/A</v>
      </c>
      <c r="AC14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63" spans="1:29" ht="14.5" hidden="1">
      <c r="A1463" s="220" t="str">
        <f t="shared" si="54"/>
        <v>1459</v>
      </c>
      <c r="B1463" s="221"/>
      <c r="C1463" s="221" t="s">
        <v>48</v>
      </c>
      <c r="D1463" s="221" t="s">
        <v>4212</v>
      </c>
      <c r="E1463" s="221" t="s">
        <v>3295</v>
      </c>
      <c r="F1463" s="221" t="s">
        <v>3299</v>
      </c>
      <c r="G1463" s="222">
        <v>45541</v>
      </c>
      <c r="H1463" s="223">
        <v>15.291666666666666</v>
      </c>
      <c r="I1463" s="221" t="s">
        <v>38</v>
      </c>
      <c r="J1463" s="221" t="s">
        <v>3024</v>
      </c>
      <c r="K1463" s="224" t="s">
        <v>3088</v>
      </c>
      <c r="L1463" s="225" t="str">
        <f>VLOOKUP(Logfile_S12[[#This Row],[Material Name]],Sheet2!B:C,2,0)</f>
        <v>GCI1002</v>
      </c>
      <c r="M1463" s="225" t="str">
        <f>_xlfn.XLOOKUP(Logfile_S12[[#This Row],[Material Name]],Sum_WH!E:E,Sum_WH!F:F,"",0)</f>
        <v>Pcs</v>
      </c>
      <c r="N1463" s="221">
        <v>7</v>
      </c>
      <c r="O1463" s="221">
        <v>0</v>
      </c>
      <c r="P1463" s="221">
        <v>0</v>
      </c>
      <c r="Q1463" s="221">
        <v>0</v>
      </c>
      <c r="R1463" s="221">
        <v>0</v>
      </c>
      <c r="S1463" s="221"/>
      <c r="T1463" s="221"/>
      <c r="U1463" s="221"/>
      <c r="V1463" s="221"/>
      <c r="W1463" s="221"/>
      <c r="X1463" s="221"/>
      <c r="Y1463" s="227"/>
      <c r="Z1463" s="227">
        <f t="shared" si="55"/>
        <v>0</v>
      </c>
      <c r="AA1463" s="276" t="e">
        <f>VLOOKUP(Logfile_S12[[#This Row],[DO number]],DO_DB!G:I,3,0)</f>
        <v>#N/A</v>
      </c>
      <c r="AB1463" s="331" t="e">
        <f>EXACT(Logfile_S12[[#This Row],[date pick]],Logfile_S12[[#This Row],[Date]])</f>
        <v>#N/A</v>
      </c>
      <c r="AC14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64" spans="1:29" ht="14.5" hidden="1">
      <c r="A1464" s="220" t="str">
        <f t="shared" si="54"/>
        <v>1460</v>
      </c>
      <c r="B1464" s="221"/>
      <c r="C1464" s="221" t="s">
        <v>49</v>
      </c>
      <c r="D1464" s="221" t="s">
        <v>4211</v>
      </c>
      <c r="E1464" s="221" t="s">
        <v>3295</v>
      </c>
      <c r="F1464" s="221" t="s">
        <v>3299</v>
      </c>
      <c r="G1464" s="222">
        <v>45541</v>
      </c>
      <c r="H1464" s="223">
        <v>0.80069444444444449</v>
      </c>
      <c r="I1464" s="221" t="s">
        <v>4916</v>
      </c>
      <c r="J1464" s="221" t="s">
        <v>3024</v>
      </c>
      <c r="K1464" s="224" t="s">
        <v>3088</v>
      </c>
      <c r="L1464" s="225" t="str">
        <f>VLOOKUP(Logfile_S12[[#This Row],[Material Name]],Sheet2!B:C,2,0)</f>
        <v>GCI1002</v>
      </c>
      <c r="M1464" s="225" t="str">
        <f>_xlfn.XLOOKUP(Logfile_S12[[#This Row],[Material Name]],Sum_WH!E:E,Sum_WH!F:F,"",0)</f>
        <v>Pcs</v>
      </c>
      <c r="N1464" s="221">
        <v>1</v>
      </c>
      <c r="O1464" s="221" t="s">
        <v>2025</v>
      </c>
      <c r="P1464" s="221" t="s">
        <v>2026</v>
      </c>
      <c r="Q1464" s="221"/>
      <c r="R1464" s="221"/>
      <c r="S1464" s="221"/>
      <c r="T1464" s="221" t="s">
        <v>3244</v>
      </c>
      <c r="U1464" s="221">
        <v>0</v>
      </c>
      <c r="V1464" s="221" t="s">
        <v>3248</v>
      </c>
      <c r="W1464" s="221" t="s">
        <v>3252</v>
      </c>
      <c r="X1464" s="221"/>
      <c r="Y1464" s="227"/>
      <c r="Z1464" s="227" t="str">
        <f t="shared" si="55"/>
        <v>NGENEP UTARA RW 03 MALANG</v>
      </c>
      <c r="AA1464" s="276" t="e">
        <f>VLOOKUP(Logfile_S12[[#This Row],[DO number]],DO_DB!G:I,3,0)</f>
        <v>#N/A</v>
      </c>
      <c r="AB1464" s="331" t="e">
        <f>EXACT(Logfile_S12[[#This Row],[date pick]],Logfile_S12[[#This Row],[Date]])</f>
        <v>#N/A</v>
      </c>
      <c r="AC14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65" spans="1:29" ht="14.5" hidden="1">
      <c r="A1465" s="220" t="str">
        <f t="shared" si="54"/>
        <v>1461</v>
      </c>
      <c r="B1465" s="221"/>
      <c r="C1465" s="221" t="s">
        <v>49</v>
      </c>
      <c r="D1465" s="221" t="s">
        <v>4215</v>
      </c>
      <c r="E1465" s="221" t="s">
        <v>3295</v>
      </c>
      <c r="F1465" s="221" t="s">
        <v>3299</v>
      </c>
      <c r="G1465" s="222">
        <v>45542</v>
      </c>
      <c r="H1465" s="223">
        <v>0.73750000000000004</v>
      </c>
      <c r="I1465" s="221" t="s">
        <v>4916</v>
      </c>
      <c r="J1465" s="221" t="s">
        <v>3024</v>
      </c>
      <c r="K1465" s="224" t="s">
        <v>3088</v>
      </c>
      <c r="L1465" s="225" t="str">
        <f>VLOOKUP(Logfile_S12[[#This Row],[Material Name]],Sheet2!B:C,2,0)</f>
        <v>GCI1002</v>
      </c>
      <c r="M1465" s="225" t="str">
        <f>_xlfn.XLOOKUP(Logfile_S12[[#This Row],[Material Name]],Sum_WH!E:E,Sum_WH!F:F,"",0)</f>
        <v>Pcs</v>
      </c>
      <c r="N1465" s="221">
        <v>2</v>
      </c>
      <c r="O1465" s="221" t="s">
        <v>1951</v>
      </c>
      <c r="P1465" s="221" t="s">
        <v>3374</v>
      </c>
      <c r="Q1465" s="221"/>
      <c r="R1465" s="221"/>
      <c r="S1465" s="221"/>
      <c r="T1465" s="221" t="s">
        <v>3258</v>
      </c>
      <c r="U1465" s="221">
        <v>0</v>
      </c>
      <c r="V1465" s="221" t="s">
        <v>3337</v>
      </c>
      <c r="W1465" s="221" t="s">
        <v>3338</v>
      </c>
      <c r="X1465" s="221"/>
      <c r="Y1465" s="227"/>
      <c r="Z1465" s="227" t="str">
        <f t="shared" si="55"/>
        <v>SENGGURUH RW 01 MALANG</v>
      </c>
      <c r="AA1465" s="276" t="e">
        <f>VLOOKUP(Logfile_S12[[#This Row],[DO number]],DO_DB!G:I,3,0)</f>
        <v>#N/A</v>
      </c>
      <c r="AB1465" s="331" t="e">
        <f>EXACT(Logfile_S12[[#This Row],[date pick]],Logfile_S12[[#This Row],[Date]])</f>
        <v>#N/A</v>
      </c>
      <c r="AC14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66" spans="1:29" ht="14.5" hidden="1">
      <c r="A1466" s="220" t="str">
        <f t="shared" si="54"/>
        <v>1462</v>
      </c>
      <c r="B1466" s="221"/>
      <c r="C1466" s="221" t="s">
        <v>49</v>
      </c>
      <c r="D1466" s="221" t="s">
        <v>4218</v>
      </c>
      <c r="E1466" s="221" t="s">
        <v>3295</v>
      </c>
      <c r="F1466" s="221" t="s">
        <v>3299</v>
      </c>
      <c r="G1466" s="222">
        <v>45545</v>
      </c>
      <c r="H1466" s="223">
        <v>0.74722222222222223</v>
      </c>
      <c r="I1466" s="221" t="s">
        <v>4916</v>
      </c>
      <c r="J1466" s="221" t="s">
        <v>3024</v>
      </c>
      <c r="K1466" s="224" t="s">
        <v>3088</v>
      </c>
      <c r="L1466" s="225" t="str">
        <f>VLOOKUP(Logfile_S12[[#This Row],[Material Name]],Sheet2!B:C,2,0)</f>
        <v>GCI1002</v>
      </c>
      <c r="M1466" s="225" t="str">
        <f>_xlfn.XLOOKUP(Logfile_S12[[#This Row],[Material Name]],Sum_WH!E:E,Sum_WH!F:F,"",0)</f>
        <v>Pcs</v>
      </c>
      <c r="N1466" s="221">
        <v>1</v>
      </c>
      <c r="O1466" s="221" t="s">
        <v>1911</v>
      </c>
      <c r="P1466" s="221" t="s">
        <v>1912</v>
      </c>
      <c r="Q1466" s="221"/>
      <c r="R1466" s="221"/>
      <c r="S1466" s="221"/>
      <c r="T1466" s="221" t="s">
        <v>3258</v>
      </c>
      <c r="U1466" s="221">
        <v>0</v>
      </c>
      <c r="V1466" s="221" t="s">
        <v>3337</v>
      </c>
      <c r="W1466" s="221" t="s">
        <v>3338</v>
      </c>
      <c r="X1466" s="221"/>
      <c r="Y1466" s="227"/>
      <c r="Z1466" s="227" t="str">
        <f t="shared" si="55"/>
        <v>Dilem RW 03 Kepanjen</v>
      </c>
      <c r="AA1466" s="276" t="e">
        <f>VLOOKUP(Logfile_S12[[#This Row],[DO number]],DO_DB!G:I,3,0)</f>
        <v>#N/A</v>
      </c>
      <c r="AB1466" s="331" t="e">
        <f>EXACT(Logfile_S12[[#This Row],[date pick]],Logfile_S12[[#This Row],[Date]])</f>
        <v>#N/A</v>
      </c>
      <c r="AC14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67" spans="1:29" ht="14.5" hidden="1">
      <c r="A1467" s="220" t="str">
        <f t="shared" si="54"/>
        <v>1463</v>
      </c>
      <c r="B1467" s="221"/>
      <c r="C1467" s="221" t="s">
        <v>49</v>
      </c>
      <c r="D1467" s="221" t="s">
        <v>4217</v>
      </c>
      <c r="E1467" s="221" t="s">
        <v>3295</v>
      </c>
      <c r="F1467" s="221" t="s">
        <v>3299</v>
      </c>
      <c r="G1467" s="222">
        <v>45545</v>
      </c>
      <c r="H1467" s="223">
        <v>0.3659722222222222</v>
      </c>
      <c r="I1467" s="221" t="s">
        <v>4916</v>
      </c>
      <c r="J1467" s="221" t="s">
        <v>3024</v>
      </c>
      <c r="K1467" s="224" t="s">
        <v>3088</v>
      </c>
      <c r="L1467" s="225" t="str">
        <f>VLOOKUP(Logfile_S12[[#This Row],[Material Name]],Sheet2!B:C,2,0)</f>
        <v>GCI1002</v>
      </c>
      <c r="M1467" s="225" t="str">
        <f>_xlfn.XLOOKUP(Logfile_S12[[#This Row],[Material Name]],Sum_WH!E:E,Sum_WH!F:F,"",0)</f>
        <v>Pcs</v>
      </c>
      <c r="N1467" s="221">
        <v>2</v>
      </c>
      <c r="O1467" s="221" t="s">
        <v>2142</v>
      </c>
      <c r="P1467" s="221" t="s">
        <v>3400</v>
      </c>
      <c r="Q1467" s="221"/>
      <c r="R1467" s="221"/>
      <c r="S1467" s="221"/>
      <c r="T1467" s="221" t="s">
        <v>3244</v>
      </c>
      <c r="U1467" s="221">
        <v>0</v>
      </c>
      <c r="V1467" s="221" t="s">
        <v>3248</v>
      </c>
      <c r="W1467" s="221" t="s">
        <v>3252</v>
      </c>
      <c r="X1467" s="221"/>
      <c r="Y1467" s="227"/>
      <c r="Z1467" s="227" t="str">
        <f t="shared" si="55"/>
        <v>HUBFEEDER DINOYO SUMBERSEKAR</v>
      </c>
      <c r="AA1467" s="276" t="e">
        <f>VLOOKUP(Logfile_S12[[#This Row],[DO number]],DO_DB!G:I,3,0)</f>
        <v>#N/A</v>
      </c>
      <c r="AB1467" s="331" t="e">
        <f>EXACT(Logfile_S12[[#This Row],[date pick]],Logfile_S12[[#This Row],[Date]])</f>
        <v>#N/A</v>
      </c>
      <c r="AC14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68" spans="1:29" ht="14.5" hidden="1">
      <c r="A1468" s="220" t="str">
        <f t="shared" si="54"/>
        <v>1464</v>
      </c>
      <c r="B1468" s="221"/>
      <c r="C1468" s="221" t="s">
        <v>3313</v>
      </c>
      <c r="D1468" s="221" t="s">
        <v>4223</v>
      </c>
      <c r="E1468" s="221" t="s">
        <v>3295</v>
      </c>
      <c r="F1468" s="221" t="s">
        <v>3299</v>
      </c>
      <c r="G1468" s="222">
        <v>45554</v>
      </c>
      <c r="H1468" s="223">
        <v>15.291666666666666</v>
      </c>
      <c r="I1468" s="221" t="s">
        <v>4917</v>
      </c>
      <c r="J1468" s="221" t="s">
        <v>3024</v>
      </c>
      <c r="K1468" s="224" t="s">
        <v>3088</v>
      </c>
      <c r="L1468" s="225" t="str">
        <f>VLOOKUP(Logfile_S12[[#This Row],[Material Name]],Sheet2!B:C,2,0)</f>
        <v>GCI1002</v>
      </c>
      <c r="M1468" s="225" t="str">
        <f>_xlfn.XLOOKUP(Logfile_S12[[#This Row],[Material Name]],Sum_WH!E:E,Sum_WH!F:F,"",0)</f>
        <v>Pcs</v>
      </c>
      <c r="N1468" s="221">
        <v>3</v>
      </c>
      <c r="O1468" s="221" t="s">
        <v>3314</v>
      </c>
      <c r="P1468" s="221" t="s">
        <v>68</v>
      </c>
      <c r="Q1468" s="221">
        <v>0</v>
      </c>
      <c r="R1468" s="221">
        <v>0</v>
      </c>
      <c r="S1468" s="221"/>
      <c r="T1468" s="221"/>
      <c r="U1468" s="221"/>
      <c r="V1468" s="221"/>
      <c r="W1468" s="221"/>
      <c r="X1468" s="221"/>
      <c r="Y1468" s="227"/>
      <c r="Z1468" s="227" t="str">
        <f t="shared" si="55"/>
        <v>Blitar</v>
      </c>
      <c r="AA1468" s="276" t="e">
        <f>VLOOKUP(Logfile_S12[[#This Row],[DO number]],DO_DB!G:I,3,0)</f>
        <v>#N/A</v>
      </c>
      <c r="AB1468" s="331" t="e">
        <f>EXACT(Logfile_S12[[#This Row],[date pick]],Logfile_S12[[#This Row],[Date]])</f>
        <v>#N/A</v>
      </c>
      <c r="AC14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69" spans="1:29" ht="14.5" hidden="1">
      <c r="A1469" s="220" t="str">
        <f t="shared" si="54"/>
        <v>1465</v>
      </c>
      <c r="B1469" s="221"/>
      <c r="C1469" s="221" t="s">
        <v>49</v>
      </c>
      <c r="D1469" s="221" t="s">
        <v>4229</v>
      </c>
      <c r="E1469" s="221" t="s">
        <v>3295</v>
      </c>
      <c r="F1469" s="221" t="s">
        <v>3299</v>
      </c>
      <c r="G1469" s="222">
        <v>45556</v>
      </c>
      <c r="H1469" s="223">
        <v>0.71527777777777779</v>
      </c>
      <c r="I1469" s="221" t="s">
        <v>4916</v>
      </c>
      <c r="J1469" s="221" t="s">
        <v>3024</v>
      </c>
      <c r="K1469" s="224" t="s">
        <v>3088</v>
      </c>
      <c r="L1469" s="225" t="str">
        <f>VLOOKUP(Logfile_S12[[#This Row],[Material Name]],Sheet2!B:C,2,0)</f>
        <v>GCI1002</v>
      </c>
      <c r="M1469" s="225" t="str">
        <f>_xlfn.XLOOKUP(Logfile_S12[[#This Row],[Material Name]],Sum_WH!E:E,Sum_WH!F:F,"",0)</f>
        <v>Pcs</v>
      </c>
      <c r="N1469" s="221">
        <v>1</v>
      </c>
      <c r="O1469" s="221" t="s">
        <v>2142</v>
      </c>
      <c r="P1469" s="221" t="s">
        <v>3400</v>
      </c>
      <c r="Q1469" s="221"/>
      <c r="R1469" s="221"/>
      <c r="S1469" s="221"/>
      <c r="T1469" s="221" t="s">
        <v>3363</v>
      </c>
      <c r="U1469" s="221" t="s">
        <v>3228</v>
      </c>
      <c r="V1469" s="221" t="s">
        <v>3364</v>
      </c>
      <c r="W1469" s="221" t="s">
        <v>3365</v>
      </c>
      <c r="X1469" s="221"/>
      <c r="Y1469" s="227"/>
      <c r="Z1469" s="227" t="str">
        <f t="shared" si="55"/>
        <v>HUBFEEDER DINOYO SUMBERSEKAR</v>
      </c>
      <c r="AA1469" s="276" t="e">
        <f>VLOOKUP(Logfile_S12[[#This Row],[DO number]],DO_DB!G:I,3,0)</f>
        <v>#N/A</v>
      </c>
      <c r="AB1469" s="331" t="e">
        <f>EXACT(Logfile_S12[[#This Row],[date pick]],Logfile_S12[[#This Row],[Date]])</f>
        <v>#N/A</v>
      </c>
      <c r="AC14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70" spans="1:29" ht="14.5" hidden="1">
      <c r="A1470" s="220" t="str">
        <f t="shared" si="54"/>
        <v>1466</v>
      </c>
      <c r="B1470" s="221"/>
      <c r="C1470" s="221" t="s">
        <v>49</v>
      </c>
      <c r="D1470" s="221" t="s">
        <v>4233</v>
      </c>
      <c r="E1470" s="221" t="s">
        <v>3295</v>
      </c>
      <c r="F1470" s="221" t="s">
        <v>3299</v>
      </c>
      <c r="G1470" s="222">
        <v>45561</v>
      </c>
      <c r="H1470" s="223">
        <v>0.64097222222222228</v>
      </c>
      <c r="I1470" s="221" t="s">
        <v>4916</v>
      </c>
      <c r="J1470" s="221" t="s">
        <v>3024</v>
      </c>
      <c r="K1470" s="224" t="s">
        <v>3088</v>
      </c>
      <c r="L1470" s="225" t="str">
        <f>VLOOKUP(Logfile_S12[[#This Row],[Material Name]],Sheet2!B:C,2,0)</f>
        <v>GCI1002</v>
      </c>
      <c r="M1470" s="225" t="str">
        <f>_xlfn.XLOOKUP(Logfile_S12[[#This Row],[Material Name]],Sum_WH!E:E,Sum_WH!F:F,"",0)</f>
        <v>Pcs</v>
      </c>
      <c r="N1470" s="221">
        <v>1</v>
      </c>
      <c r="O1470" s="221" t="s">
        <v>2166</v>
      </c>
      <c r="P1470" s="221" t="s">
        <v>2167</v>
      </c>
      <c r="Q1470" s="221"/>
      <c r="R1470" s="221"/>
      <c r="S1470" s="221"/>
      <c r="T1470" s="221" t="s">
        <v>3247</v>
      </c>
      <c r="U1470" s="221">
        <v>0</v>
      </c>
      <c r="V1470" s="221" t="s">
        <v>3375</v>
      </c>
      <c r="W1470" s="221" t="s">
        <v>3376</v>
      </c>
      <c r="X1470" s="221"/>
      <c r="Y1470" s="227"/>
      <c r="Z1470" s="227" t="str">
        <f t="shared" si="55"/>
        <v>Dusun Mojosari Ngenep</v>
      </c>
      <c r="AA1470" s="276" t="e">
        <f>VLOOKUP(Logfile_S12[[#This Row],[DO number]],DO_DB!G:I,3,0)</f>
        <v>#N/A</v>
      </c>
      <c r="AB1470" s="331" t="e">
        <f>EXACT(Logfile_S12[[#This Row],[date pick]],Logfile_S12[[#This Row],[Date]])</f>
        <v>#N/A</v>
      </c>
      <c r="AC14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71" spans="1:29" ht="14.5" hidden="1">
      <c r="A1471" s="220" t="str">
        <f t="shared" si="54"/>
        <v>1467</v>
      </c>
      <c r="B1471" s="221"/>
      <c r="C1471" s="221" t="s">
        <v>49</v>
      </c>
      <c r="D1471" s="221" t="s">
        <v>4249</v>
      </c>
      <c r="E1471" s="221" t="s">
        <v>3295</v>
      </c>
      <c r="F1471" s="221" t="s">
        <v>3299</v>
      </c>
      <c r="G1471" s="222">
        <v>45575</v>
      </c>
      <c r="H1471" s="223">
        <v>0.56458333333333333</v>
      </c>
      <c r="I1471" s="221" t="s">
        <v>4916</v>
      </c>
      <c r="J1471" s="221" t="s">
        <v>3024</v>
      </c>
      <c r="K1471" s="224" t="s">
        <v>3088</v>
      </c>
      <c r="L1471" s="225" t="str">
        <f>VLOOKUP(Logfile_S12[[#This Row],[Material Name]],Sheet2!B:C,2,0)</f>
        <v>GCI1002</v>
      </c>
      <c r="M1471" s="225" t="str">
        <f>_xlfn.XLOOKUP(Logfile_S12[[#This Row],[Material Name]],Sum_WH!E:E,Sum_WH!F:F,"",0)</f>
        <v>Pcs</v>
      </c>
      <c r="N1471" s="221">
        <v>1</v>
      </c>
      <c r="O1471" s="221" t="s">
        <v>1391</v>
      </c>
      <c r="P1471" s="221" t="s">
        <v>1392</v>
      </c>
      <c r="Q1471" s="221"/>
      <c r="R1471" s="221"/>
      <c r="S1471" s="221"/>
      <c r="T1471" s="221" t="s">
        <v>3244</v>
      </c>
      <c r="U1471" s="221">
        <v>0</v>
      </c>
      <c r="V1471" s="221" t="s">
        <v>3248</v>
      </c>
      <c r="W1471" s="221" t="s">
        <v>3252</v>
      </c>
      <c r="X1471" s="221"/>
      <c r="Y1471" s="227"/>
      <c r="Z1471" s="227" t="str">
        <f t="shared" si="55"/>
        <v>Klampok RW 01 Singosari</v>
      </c>
      <c r="AA1471" s="276" t="e">
        <f>VLOOKUP(Logfile_S12[[#This Row],[DO number]],DO_DB!G:I,3,0)</f>
        <v>#N/A</v>
      </c>
      <c r="AB1471" s="331" t="e">
        <f>EXACT(Logfile_S12[[#This Row],[date pick]],Logfile_S12[[#This Row],[Date]])</f>
        <v>#N/A</v>
      </c>
      <c r="AC14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72" spans="1:29" ht="14.5" hidden="1">
      <c r="A1472" s="220" t="str">
        <f t="shared" si="54"/>
        <v>1468</v>
      </c>
      <c r="B1472" s="221"/>
      <c r="C1472" s="221" t="s">
        <v>48</v>
      </c>
      <c r="D1472" s="221" t="s">
        <v>4266</v>
      </c>
      <c r="E1472" s="221" t="s">
        <v>3295</v>
      </c>
      <c r="F1472" s="221" t="s">
        <v>3299</v>
      </c>
      <c r="G1472" s="222">
        <v>45595</v>
      </c>
      <c r="H1472" s="223">
        <v>15.291666666666666</v>
      </c>
      <c r="I1472" s="221" t="s">
        <v>38</v>
      </c>
      <c r="J1472" s="221" t="s">
        <v>3024</v>
      </c>
      <c r="K1472" s="224" t="s">
        <v>3088</v>
      </c>
      <c r="L1472" s="225" t="str">
        <f>VLOOKUP(Logfile_S12[[#This Row],[Material Name]],Sheet2!B:C,2,0)</f>
        <v>GCI1002</v>
      </c>
      <c r="M1472" s="225" t="str">
        <f>_xlfn.XLOOKUP(Logfile_S12[[#This Row],[Material Name]],Sum_WH!E:E,Sum_WH!F:F,"",0)</f>
        <v>Pcs</v>
      </c>
      <c r="N1472" s="221">
        <v>1</v>
      </c>
      <c r="O1472" s="221">
        <v>0</v>
      </c>
      <c r="P1472" s="221">
        <v>0</v>
      </c>
      <c r="Q1472" s="221">
        <v>0</v>
      </c>
      <c r="R1472" s="221">
        <v>0</v>
      </c>
      <c r="S1472" s="221"/>
      <c r="T1472" s="221"/>
      <c r="U1472" s="221"/>
      <c r="V1472" s="221"/>
      <c r="W1472" s="221"/>
      <c r="X1472" s="221"/>
      <c r="Y1472" s="227"/>
      <c r="Z1472" s="227">
        <f t="shared" si="55"/>
        <v>0</v>
      </c>
      <c r="AA1472" s="276" t="e">
        <f>VLOOKUP(Logfile_S12[[#This Row],[DO number]],DO_DB!G:I,3,0)</f>
        <v>#N/A</v>
      </c>
      <c r="AB1472" s="331" t="e">
        <f>EXACT(Logfile_S12[[#This Row],[date pick]],Logfile_S12[[#This Row],[Date]])</f>
        <v>#N/A</v>
      </c>
      <c r="AC14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73" spans="1:29" ht="14.5" hidden="1">
      <c r="A1473" s="220" t="str">
        <f t="shared" si="54"/>
        <v>1469</v>
      </c>
      <c r="B1473" s="221"/>
      <c r="C1473" s="221" t="s">
        <v>49</v>
      </c>
      <c r="D1473" s="221" t="s">
        <v>4261</v>
      </c>
      <c r="E1473" s="221" t="s">
        <v>3295</v>
      </c>
      <c r="F1473" s="221" t="s">
        <v>3299</v>
      </c>
      <c r="G1473" s="222">
        <v>45595</v>
      </c>
      <c r="H1473" s="223">
        <v>0.97569444444444442</v>
      </c>
      <c r="I1473" s="221" t="s">
        <v>4916</v>
      </c>
      <c r="J1473" s="221" t="s">
        <v>3024</v>
      </c>
      <c r="K1473" s="224" t="s">
        <v>3088</v>
      </c>
      <c r="L1473" s="225" t="str">
        <f>VLOOKUP(Logfile_S12[[#This Row],[Material Name]],Sheet2!B:C,2,0)</f>
        <v>GCI1002</v>
      </c>
      <c r="M1473" s="225" t="str">
        <f>_xlfn.XLOOKUP(Logfile_S12[[#This Row],[Material Name]],Sum_WH!E:E,Sum_WH!F:F,"",0)</f>
        <v>Pcs</v>
      </c>
      <c r="N1473" s="221">
        <v>1</v>
      </c>
      <c r="O1473" s="221" t="s">
        <v>2322</v>
      </c>
      <c r="P1473" s="221" t="s">
        <v>3403</v>
      </c>
      <c r="Q1473" s="221"/>
      <c r="R1473" s="221"/>
      <c r="S1473" s="221"/>
      <c r="T1473" s="221" t="s">
        <v>3404</v>
      </c>
      <c r="U1473" s="221">
        <v>0</v>
      </c>
      <c r="V1473" s="221" t="s">
        <v>3405</v>
      </c>
      <c r="W1473" s="221" t="s">
        <v>3406</v>
      </c>
      <c r="X1473" s="221"/>
      <c r="Y1473" s="227"/>
      <c r="Z1473" s="227" t="str">
        <f t="shared" si="55"/>
        <v>Mainfeeder Singosari Segment 3</v>
      </c>
      <c r="AA1473" s="276" t="e">
        <f>VLOOKUP(Logfile_S12[[#This Row],[DO number]],DO_DB!G:I,3,0)</f>
        <v>#N/A</v>
      </c>
      <c r="AB1473" s="331" t="e">
        <f>EXACT(Logfile_S12[[#This Row],[date pick]],Logfile_S12[[#This Row],[Date]])</f>
        <v>#N/A</v>
      </c>
      <c r="AC14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74" spans="1:29" ht="14.5" hidden="1">
      <c r="A1474" s="220" t="str">
        <f t="shared" si="54"/>
        <v>1470</v>
      </c>
      <c r="B1474" s="221"/>
      <c r="C1474" s="221" t="s">
        <v>49</v>
      </c>
      <c r="D1474" s="221" t="s">
        <v>4271</v>
      </c>
      <c r="E1474" s="221" t="s">
        <v>3295</v>
      </c>
      <c r="F1474" s="221" t="s">
        <v>3299</v>
      </c>
      <c r="G1474" s="222">
        <v>45602</v>
      </c>
      <c r="H1474" s="223">
        <v>0.35069444444444442</v>
      </c>
      <c r="I1474" s="221" t="s">
        <v>4916</v>
      </c>
      <c r="J1474" s="221" t="s">
        <v>3024</v>
      </c>
      <c r="K1474" s="224" t="s">
        <v>3088</v>
      </c>
      <c r="L1474" s="225" t="str">
        <f>VLOOKUP(Logfile_S12[[#This Row],[Material Name]],Sheet2!B:C,2,0)</f>
        <v>GCI1002</v>
      </c>
      <c r="M1474" s="225" t="str">
        <f>_xlfn.XLOOKUP(Logfile_S12[[#This Row],[Material Name]],Sum_WH!E:E,Sum_WH!F:F,"",0)</f>
        <v>Pcs</v>
      </c>
      <c r="N1474" s="221">
        <v>1</v>
      </c>
      <c r="O1474" s="221" t="s">
        <v>1395</v>
      </c>
      <c r="P1474" s="221" t="s">
        <v>1396</v>
      </c>
      <c r="Q1474" s="221"/>
      <c r="R1474" s="221"/>
      <c r="S1474" s="221"/>
      <c r="T1474" s="221" t="s">
        <v>3258</v>
      </c>
      <c r="U1474" s="221">
        <v>0</v>
      </c>
      <c r="V1474" s="221" t="s">
        <v>3337</v>
      </c>
      <c r="W1474" s="221" t="s">
        <v>3338</v>
      </c>
      <c r="X1474" s="221"/>
      <c r="Y1474" s="227"/>
      <c r="Z1474" s="227" t="str">
        <f t="shared" si="55"/>
        <v>Candirenggo RW 10 Singosari</v>
      </c>
      <c r="AA1474" s="276" t="e">
        <f>VLOOKUP(Logfile_S12[[#This Row],[DO number]],DO_DB!G:I,3,0)</f>
        <v>#N/A</v>
      </c>
      <c r="AB1474" s="331" t="e">
        <f>EXACT(Logfile_S12[[#This Row],[date pick]],Logfile_S12[[#This Row],[Date]])</f>
        <v>#N/A</v>
      </c>
      <c r="AC14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75" spans="1:29" ht="14.5" hidden="1">
      <c r="A1475" s="220" t="str">
        <f t="shared" si="54"/>
        <v>1471</v>
      </c>
      <c r="B1475" s="221"/>
      <c r="C1475" s="221" t="s">
        <v>49</v>
      </c>
      <c r="D1475" s="221" t="s">
        <v>4289</v>
      </c>
      <c r="E1475" s="221" t="s">
        <v>3295</v>
      </c>
      <c r="F1475" s="221" t="s">
        <v>3299</v>
      </c>
      <c r="G1475" s="222">
        <v>45622</v>
      </c>
      <c r="H1475" s="223">
        <v>0.39583333333333331</v>
      </c>
      <c r="I1475" s="221" t="s">
        <v>4916</v>
      </c>
      <c r="J1475" s="221" t="s">
        <v>3024</v>
      </c>
      <c r="K1475" s="224" t="s">
        <v>3088</v>
      </c>
      <c r="L1475" s="225" t="str">
        <f>VLOOKUP(Logfile_S12[[#This Row],[Material Name]],Sheet2!B:C,2,0)</f>
        <v>GCI1002</v>
      </c>
      <c r="M1475" s="225" t="str">
        <f>_xlfn.XLOOKUP(Logfile_S12[[#This Row],[Material Name]],Sum_WH!E:E,Sum_WH!F:F,"",0)</f>
        <v>Pcs</v>
      </c>
      <c r="N1475" s="221">
        <v>1</v>
      </c>
      <c r="O1475" s="221" t="s">
        <v>2502</v>
      </c>
      <c r="P1475" s="221" t="s">
        <v>2503</v>
      </c>
      <c r="Q1475" s="221"/>
      <c r="R1475" s="221"/>
      <c r="S1475" s="221"/>
      <c r="T1475" s="221" t="s">
        <v>3258</v>
      </c>
      <c r="U1475" s="221">
        <v>0</v>
      </c>
      <c r="V1475" s="221" t="s">
        <v>3337</v>
      </c>
      <c r="W1475" s="221" t="s">
        <v>3338</v>
      </c>
      <c r="X1475" s="221"/>
      <c r="Y1475" s="227"/>
      <c r="Z1475" s="227" t="str">
        <f t="shared" si="55"/>
        <v>Bedali RW 03 Kromengan</v>
      </c>
      <c r="AA1475" s="276" t="e">
        <f>VLOOKUP(Logfile_S12[[#This Row],[DO number]],DO_DB!G:I,3,0)</f>
        <v>#N/A</v>
      </c>
      <c r="AB1475" s="331" t="e">
        <f>EXACT(Logfile_S12[[#This Row],[date pick]],Logfile_S12[[#This Row],[Date]])</f>
        <v>#N/A</v>
      </c>
      <c r="AC14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76" spans="1:29" ht="14.5" hidden="1">
      <c r="A1476" s="220" t="str">
        <f t="shared" si="54"/>
        <v>1472</v>
      </c>
      <c r="B1476" s="221"/>
      <c r="C1476" s="221" t="s">
        <v>49</v>
      </c>
      <c r="D1476" s="221" t="s">
        <v>4297</v>
      </c>
      <c r="E1476" s="221" t="s">
        <v>3295</v>
      </c>
      <c r="F1476" s="221" t="s">
        <v>3299</v>
      </c>
      <c r="G1476" s="222">
        <v>45627</v>
      </c>
      <c r="H1476" s="223">
        <v>0.39583333333333331</v>
      </c>
      <c r="I1476" s="221" t="s">
        <v>4916</v>
      </c>
      <c r="J1476" s="221" t="s">
        <v>3024</v>
      </c>
      <c r="K1476" s="224" t="s">
        <v>3088</v>
      </c>
      <c r="L1476" s="225" t="str">
        <f>VLOOKUP(Logfile_S12[[#This Row],[Material Name]],Sheet2!B:C,2,0)</f>
        <v>GCI1002</v>
      </c>
      <c r="M1476" s="225" t="str">
        <f>_xlfn.XLOOKUP(Logfile_S12[[#This Row],[Material Name]],Sum_WH!E:E,Sum_WH!F:F,"",0)</f>
        <v>Pcs</v>
      </c>
      <c r="N1476" s="221">
        <v>1</v>
      </c>
      <c r="O1476" s="221" t="s">
        <v>2502</v>
      </c>
      <c r="P1476" s="221" t="s">
        <v>2503</v>
      </c>
      <c r="Q1476" s="221"/>
      <c r="R1476" s="221"/>
      <c r="S1476" s="221"/>
      <c r="T1476" s="221" t="s">
        <v>3258</v>
      </c>
      <c r="U1476" s="221">
        <v>0</v>
      </c>
      <c r="V1476" s="221" t="s">
        <v>3337</v>
      </c>
      <c r="W1476" s="221" t="s">
        <v>3338</v>
      </c>
      <c r="X1476" s="221"/>
      <c r="Y1476" s="227"/>
      <c r="Z1476" s="227" t="str">
        <f t="shared" si="55"/>
        <v>Bedali RW 03 Kromengan</v>
      </c>
      <c r="AA1476" s="276" t="e">
        <f>VLOOKUP(Logfile_S12[[#This Row],[DO number]],DO_DB!G:I,3,0)</f>
        <v>#N/A</v>
      </c>
      <c r="AB1476" s="331" t="e">
        <f>EXACT(Logfile_S12[[#This Row],[date pick]],Logfile_S12[[#This Row],[Date]])</f>
        <v>#N/A</v>
      </c>
      <c r="AC14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77" spans="1:29" ht="14.5" hidden="1">
      <c r="A1477" s="220" t="str">
        <f t="shared" ref="A1477:A1540" si="56">TEXT(ROW(A1477)-ROW($A$4),"000")</f>
        <v>1473</v>
      </c>
      <c r="B1477" s="221"/>
      <c r="C1477" s="221" t="s">
        <v>49</v>
      </c>
      <c r="D1477" s="221" t="s">
        <v>4300</v>
      </c>
      <c r="E1477" s="221" t="s">
        <v>3295</v>
      </c>
      <c r="F1477" s="221" t="s">
        <v>3299</v>
      </c>
      <c r="G1477" s="222">
        <v>45637</v>
      </c>
      <c r="H1477" s="223">
        <v>0.57847222222222228</v>
      </c>
      <c r="I1477" s="221" t="s">
        <v>4916</v>
      </c>
      <c r="J1477" s="221" t="s">
        <v>3024</v>
      </c>
      <c r="K1477" s="224" t="s">
        <v>3088</v>
      </c>
      <c r="L1477" s="225" t="str">
        <f>VLOOKUP(Logfile_S12[[#This Row],[Material Name]],Sheet2!B:C,2,0)</f>
        <v>GCI1002</v>
      </c>
      <c r="M1477" s="225" t="str">
        <f>_xlfn.XLOOKUP(Logfile_S12[[#This Row],[Material Name]],Sum_WH!E:E,Sum_WH!F:F,"",0)</f>
        <v>Pcs</v>
      </c>
      <c r="N1477" s="221">
        <v>1</v>
      </c>
      <c r="O1477" s="221" t="s">
        <v>2350</v>
      </c>
      <c r="P1477" s="221" t="s">
        <v>3409</v>
      </c>
      <c r="Q1477" s="221"/>
      <c r="R1477" s="221"/>
      <c r="S1477" s="221"/>
      <c r="T1477" s="221" t="s">
        <v>3258</v>
      </c>
      <c r="U1477" s="221">
        <v>0</v>
      </c>
      <c r="V1477" s="221" t="s">
        <v>3337</v>
      </c>
      <c r="W1477" s="221" t="s">
        <v>3338</v>
      </c>
      <c r="X1477" s="221"/>
      <c r="Y1477" s="227"/>
      <c r="Z1477" s="227" t="str">
        <f t="shared" si="55"/>
        <v>Kalirejo RW 13 Lawang Malang</v>
      </c>
      <c r="AA1477" s="276" t="e">
        <f>VLOOKUP(Logfile_S12[[#This Row],[DO number]],DO_DB!G:I,3,0)</f>
        <v>#N/A</v>
      </c>
      <c r="AB1477" s="331" t="e">
        <f>EXACT(Logfile_S12[[#This Row],[date pick]],Logfile_S12[[#This Row],[Date]])</f>
        <v>#N/A</v>
      </c>
      <c r="AC14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78" spans="1:29" ht="14.5" hidden="1">
      <c r="A1478" s="220" t="str">
        <f t="shared" si="56"/>
        <v>1474</v>
      </c>
      <c r="B1478" s="221"/>
      <c r="C1478" s="221" t="s">
        <v>49</v>
      </c>
      <c r="D1478" s="221" t="s">
        <v>4316</v>
      </c>
      <c r="E1478" s="221" t="s">
        <v>3295</v>
      </c>
      <c r="F1478" s="221" t="s">
        <v>3299</v>
      </c>
      <c r="G1478" s="222">
        <v>45656</v>
      </c>
      <c r="H1478" s="223">
        <v>0.40625</v>
      </c>
      <c r="I1478" s="221" t="s">
        <v>4916</v>
      </c>
      <c r="J1478" s="221" t="s">
        <v>3024</v>
      </c>
      <c r="K1478" s="224" t="s">
        <v>3088</v>
      </c>
      <c r="L1478" s="225" t="str">
        <f>VLOOKUP(Logfile_S12[[#This Row],[Material Name]],Sheet2!B:C,2,0)</f>
        <v>GCI1002</v>
      </c>
      <c r="M1478" s="225" t="str">
        <f>_xlfn.XLOOKUP(Logfile_S12[[#This Row],[Material Name]],Sum_WH!E:E,Sum_WH!F:F,"",0)</f>
        <v>Pcs</v>
      </c>
      <c r="N1478" s="221">
        <v>1</v>
      </c>
      <c r="O1478" s="221" t="s">
        <v>3377</v>
      </c>
      <c r="P1478" s="221" t="s">
        <v>3378</v>
      </c>
      <c r="Q1478" s="221"/>
      <c r="R1478" s="221"/>
      <c r="S1478" s="221"/>
      <c r="T1478" s="221" t="s">
        <v>3258</v>
      </c>
      <c r="U1478" s="221">
        <v>0</v>
      </c>
      <c r="V1478" s="221" t="s">
        <v>3337</v>
      </c>
      <c r="W1478" s="221" t="s">
        <v>3338</v>
      </c>
      <c r="X1478" s="221"/>
      <c r="Y1478" s="227"/>
      <c r="Z1478" s="227" t="str">
        <f t="shared" si="55"/>
        <v>Perum Chandra Kirana Watugede</v>
      </c>
      <c r="AA1478" s="276" t="e">
        <f>VLOOKUP(Logfile_S12[[#This Row],[DO number]],DO_DB!G:I,3,0)</f>
        <v>#N/A</v>
      </c>
      <c r="AB1478" s="331" t="e">
        <f>EXACT(Logfile_S12[[#This Row],[date pick]],Logfile_S12[[#This Row],[Date]])</f>
        <v>#N/A</v>
      </c>
      <c r="AC14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79" spans="1:29" ht="14.5" hidden="1">
      <c r="A1479" s="220" t="str">
        <f t="shared" si="56"/>
        <v>1475</v>
      </c>
      <c r="B1479" s="221"/>
      <c r="C1479" s="221" t="s">
        <v>49</v>
      </c>
      <c r="D1479" s="221" t="s">
        <v>4321</v>
      </c>
      <c r="E1479" s="221" t="s">
        <v>3295</v>
      </c>
      <c r="F1479" s="221" t="s">
        <v>3299</v>
      </c>
      <c r="G1479" s="222">
        <v>45670</v>
      </c>
      <c r="H1479" s="223">
        <v>0.54166666666666663</v>
      </c>
      <c r="I1479" s="221" t="s">
        <v>4916</v>
      </c>
      <c r="J1479" s="221" t="s">
        <v>3024</v>
      </c>
      <c r="K1479" s="224" t="s">
        <v>3088</v>
      </c>
      <c r="L1479" s="225" t="str">
        <f>VLOOKUP(Logfile_S12[[#This Row],[Material Name]],Sheet2!B:C,2,0)</f>
        <v>GCI1002</v>
      </c>
      <c r="M1479" s="225" t="str">
        <f>_xlfn.XLOOKUP(Logfile_S12[[#This Row],[Material Name]],Sum_WH!E:E,Sum_WH!F:F,"",0)</f>
        <v>Pcs</v>
      </c>
      <c r="N1479" s="221">
        <v>1</v>
      </c>
      <c r="O1479" s="221" t="s">
        <v>2360</v>
      </c>
      <c r="P1479" s="221" t="s">
        <v>2361</v>
      </c>
      <c r="Q1479" s="221"/>
      <c r="R1479" s="221"/>
      <c r="S1479" s="221"/>
      <c r="T1479" s="221" t="s">
        <v>3258</v>
      </c>
      <c r="U1479" s="221">
        <v>0</v>
      </c>
      <c r="V1479" s="221" t="s">
        <v>3337</v>
      </c>
      <c r="W1479" s="221" t="s">
        <v>3338</v>
      </c>
      <c r="X1479" s="221"/>
      <c r="Y1479" s="227"/>
      <c r="Z1479" s="227" t="str">
        <f t="shared" si="55"/>
        <v>Tambakasri RW 02 Tajinan</v>
      </c>
      <c r="AA1479" s="276" t="e">
        <f>VLOOKUP(Logfile_S12[[#This Row],[DO number]],DO_DB!G:I,3,0)</f>
        <v>#N/A</v>
      </c>
      <c r="AB1479" s="331" t="e">
        <f>EXACT(Logfile_S12[[#This Row],[date pick]],Logfile_S12[[#This Row],[Date]])</f>
        <v>#N/A</v>
      </c>
      <c r="AC14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80" spans="1:29" ht="14.5" hidden="1">
      <c r="A1480" s="220" t="str">
        <f t="shared" si="56"/>
        <v>1476</v>
      </c>
      <c r="B1480" s="221"/>
      <c r="C1480" s="221" t="s">
        <v>49</v>
      </c>
      <c r="D1480" s="221" t="s">
        <v>4332</v>
      </c>
      <c r="E1480" s="221" t="s">
        <v>3295</v>
      </c>
      <c r="F1480" s="221" t="s">
        <v>3299</v>
      </c>
      <c r="G1480" s="222">
        <v>45707</v>
      </c>
      <c r="H1480" s="223">
        <v>0.39930555555555558</v>
      </c>
      <c r="I1480" s="221" t="s">
        <v>4916</v>
      </c>
      <c r="J1480" s="221" t="s">
        <v>3024</v>
      </c>
      <c r="K1480" s="224" t="s">
        <v>3088</v>
      </c>
      <c r="L1480" s="225" t="str">
        <f>VLOOKUP(Logfile_S12[[#This Row],[Material Name]],Sheet2!B:C,2,0)</f>
        <v>GCI1002</v>
      </c>
      <c r="M1480" s="225" t="str">
        <f>_xlfn.XLOOKUP(Logfile_S12[[#This Row],[Material Name]],Sum_WH!E:E,Sum_WH!F:F,"",0)</f>
        <v>Pcs</v>
      </c>
      <c r="N1480" s="221">
        <v>1</v>
      </c>
      <c r="O1480" s="221" t="s">
        <v>2648</v>
      </c>
      <c r="P1480" s="221" t="s">
        <v>2649</v>
      </c>
      <c r="Q1480" s="221"/>
      <c r="R1480" s="221"/>
      <c r="S1480" s="221"/>
      <c r="T1480" s="221" t="s">
        <v>3258</v>
      </c>
      <c r="U1480" s="221">
        <v>0</v>
      </c>
      <c r="V1480" s="221" t="s">
        <v>3337</v>
      </c>
      <c r="W1480" s="221" t="s">
        <v>3338</v>
      </c>
      <c r="X1480" s="221"/>
      <c r="Y1480" s="227"/>
      <c r="Z1480" s="227" t="str">
        <f t="shared" si="55"/>
        <v>Sitirejo RW 04 Wagir</v>
      </c>
      <c r="AA1480" s="276" t="e">
        <f>VLOOKUP(Logfile_S12[[#This Row],[DO number]],DO_DB!G:I,3,0)</f>
        <v>#N/A</v>
      </c>
      <c r="AB1480" s="331" t="e">
        <f>EXACT(Logfile_S12[[#This Row],[date pick]],Logfile_S12[[#This Row],[Date]])</f>
        <v>#N/A</v>
      </c>
      <c r="AC14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81" spans="1:29" ht="14.5" hidden="1">
      <c r="A1481" s="220" t="str">
        <f t="shared" si="56"/>
        <v>1477</v>
      </c>
      <c r="B1481" s="221"/>
      <c r="C1481" s="221" t="s">
        <v>49</v>
      </c>
      <c r="D1481" s="221" t="s">
        <v>4354</v>
      </c>
      <c r="E1481" s="221" t="s">
        <v>3295</v>
      </c>
      <c r="F1481" s="221" t="s">
        <v>3299</v>
      </c>
      <c r="G1481" s="222">
        <v>45737</v>
      </c>
      <c r="H1481" s="223">
        <v>0.78472222222222221</v>
      </c>
      <c r="I1481" s="221" t="s">
        <v>4916</v>
      </c>
      <c r="J1481" s="221" t="s">
        <v>3024</v>
      </c>
      <c r="K1481" s="224" t="s">
        <v>3088</v>
      </c>
      <c r="L1481" s="225" t="str">
        <f>VLOOKUP(Logfile_S12[[#This Row],[Material Name]],Sheet2!B:C,2,0)</f>
        <v>GCI1002</v>
      </c>
      <c r="M1481" s="225" t="str">
        <f>_xlfn.XLOOKUP(Logfile_S12[[#This Row],[Material Name]],Sum_WH!E:E,Sum_WH!F:F,"",0)</f>
        <v>Pcs</v>
      </c>
      <c r="N1481" s="221">
        <v>1</v>
      </c>
      <c r="O1481" s="221" t="s">
        <v>2322</v>
      </c>
      <c r="P1481" s="221" t="s">
        <v>3403</v>
      </c>
      <c r="Q1481" s="221"/>
      <c r="R1481" s="221"/>
      <c r="S1481" s="221"/>
      <c r="T1481" s="221" t="s">
        <v>3404</v>
      </c>
      <c r="U1481" s="221">
        <v>0</v>
      </c>
      <c r="V1481" s="221" t="s">
        <v>3405</v>
      </c>
      <c r="W1481" s="221" t="s">
        <v>3406</v>
      </c>
      <c r="X1481" s="221"/>
      <c r="Y1481" s="227"/>
      <c r="Z1481" s="227" t="str">
        <f t="shared" si="55"/>
        <v>Mainfeeder Singosari Segment 3</v>
      </c>
      <c r="AA1481" s="276" t="e">
        <f>VLOOKUP(Logfile_S12[[#This Row],[DO number]],DO_DB!G:I,3,0)</f>
        <v>#N/A</v>
      </c>
      <c r="AB1481" s="331" t="e">
        <f>EXACT(Logfile_S12[[#This Row],[date pick]],Logfile_S12[[#This Row],[Date]])</f>
        <v>#N/A</v>
      </c>
      <c r="AC14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82" spans="1:29" ht="14.5" hidden="1">
      <c r="A1482" s="220" t="str">
        <f t="shared" si="56"/>
        <v>1478</v>
      </c>
      <c r="B1482" s="221"/>
      <c r="C1482" s="221" t="s">
        <v>49</v>
      </c>
      <c r="D1482" s="221" t="s">
        <v>4356</v>
      </c>
      <c r="E1482" s="221" t="s">
        <v>3295</v>
      </c>
      <c r="F1482" s="221" t="s">
        <v>3299</v>
      </c>
      <c r="G1482" s="222">
        <v>45738</v>
      </c>
      <c r="H1482" s="223">
        <v>0.67291666666666672</v>
      </c>
      <c r="I1482" s="221" t="s">
        <v>4916</v>
      </c>
      <c r="J1482" s="221" t="s">
        <v>3024</v>
      </c>
      <c r="K1482" s="224" t="s">
        <v>3088</v>
      </c>
      <c r="L1482" s="225" t="str">
        <f>VLOOKUP(Logfile_S12[[#This Row],[Material Name]],Sheet2!B:C,2,0)</f>
        <v>GCI1002</v>
      </c>
      <c r="M1482" s="225" t="str">
        <f>_xlfn.XLOOKUP(Logfile_S12[[#This Row],[Material Name]],Sum_WH!E:E,Sum_WH!F:F,"",0)</f>
        <v>Pcs</v>
      </c>
      <c r="N1482" s="221">
        <v>1</v>
      </c>
      <c r="O1482" s="221" t="s">
        <v>2664</v>
      </c>
      <c r="P1482" s="221" t="s">
        <v>2665</v>
      </c>
      <c r="Q1482" s="221"/>
      <c r="R1482" s="221"/>
      <c r="S1482" s="221"/>
      <c r="T1482" s="221" t="s">
        <v>3258</v>
      </c>
      <c r="U1482" s="221">
        <v>0</v>
      </c>
      <c r="V1482" s="221" t="s">
        <v>3337</v>
      </c>
      <c r="W1482" s="221" t="s">
        <v>3338</v>
      </c>
      <c r="X1482" s="221"/>
      <c r="Y1482" s="227"/>
      <c r="Z1482" s="227" t="str">
        <f t="shared" si="55"/>
        <v>Temas RW 04</v>
      </c>
      <c r="AA1482" s="276" t="e">
        <f>VLOOKUP(Logfile_S12[[#This Row],[DO number]],DO_DB!G:I,3,0)</f>
        <v>#N/A</v>
      </c>
      <c r="AB1482" s="331" t="e">
        <f>EXACT(Logfile_S12[[#This Row],[date pick]],Logfile_S12[[#This Row],[Date]])</f>
        <v>#N/A</v>
      </c>
      <c r="AC14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83" spans="1:29" ht="14.5" hidden="1">
      <c r="A1483" s="220" t="str">
        <f t="shared" si="56"/>
        <v>1479</v>
      </c>
      <c r="B1483" s="221"/>
      <c r="C1483" s="221" t="s">
        <v>49</v>
      </c>
      <c r="D1483" s="221" t="s">
        <v>4372</v>
      </c>
      <c r="E1483" s="221" t="s">
        <v>3295</v>
      </c>
      <c r="F1483" s="221" t="s">
        <v>3299</v>
      </c>
      <c r="G1483" s="222">
        <v>45822</v>
      </c>
      <c r="H1483" s="223">
        <v>0.5395833333333333</v>
      </c>
      <c r="I1483" s="221" t="s">
        <v>4916</v>
      </c>
      <c r="J1483" s="221" t="s">
        <v>3024</v>
      </c>
      <c r="K1483" s="224" t="s">
        <v>3088</v>
      </c>
      <c r="L1483" s="225" t="str">
        <f>VLOOKUP(Logfile_S12[[#This Row],[Material Name]],Sheet2!B:C,2,0)</f>
        <v>GCI1002</v>
      </c>
      <c r="M1483" s="225" t="str">
        <f>_xlfn.XLOOKUP(Logfile_S12[[#This Row],[Material Name]],Sum_WH!E:E,Sum_WH!F:F,"",0)</f>
        <v>Pcs</v>
      </c>
      <c r="N1483" s="221">
        <v>1</v>
      </c>
      <c r="O1483" s="221">
        <v>0</v>
      </c>
      <c r="P1483" s="221" t="s">
        <v>3381</v>
      </c>
      <c r="Q1483" s="221"/>
      <c r="R1483" s="221"/>
      <c r="S1483" s="221"/>
      <c r="T1483" s="221" t="s">
        <v>3258</v>
      </c>
      <c r="U1483" s="221">
        <v>0</v>
      </c>
      <c r="V1483" s="221" t="s">
        <v>3337</v>
      </c>
      <c r="W1483" s="221" t="s">
        <v>3338</v>
      </c>
      <c r="X1483" s="221"/>
      <c r="Y1483" s="227"/>
      <c r="Z1483" s="227" t="str">
        <f t="shared" si="55"/>
        <v>Kebonagung RW 01</v>
      </c>
      <c r="AA1483" s="276" t="e">
        <f>VLOOKUP(Logfile_S12[[#This Row],[DO number]],DO_DB!G:I,3,0)</f>
        <v>#N/A</v>
      </c>
      <c r="AB1483" s="331" t="e">
        <f>EXACT(Logfile_S12[[#This Row],[date pick]],Logfile_S12[[#This Row],[Date]])</f>
        <v>#N/A</v>
      </c>
      <c r="AC14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84" spans="1:29" ht="14.5" hidden="1">
      <c r="A1484" s="220" t="str">
        <f t="shared" si="56"/>
        <v>1480</v>
      </c>
      <c r="B1484" s="221"/>
      <c r="C1484" s="221" t="s">
        <v>49</v>
      </c>
      <c r="D1484" s="221" t="s">
        <v>4382</v>
      </c>
      <c r="E1484" s="221" t="s">
        <v>3295</v>
      </c>
      <c r="F1484" s="221" t="s">
        <v>3299</v>
      </c>
      <c r="G1484" s="222">
        <v>45832</v>
      </c>
      <c r="H1484" s="223">
        <v>0.64583333333333337</v>
      </c>
      <c r="I1484" s="221" t="s">
        <v>4916</v>
      </c>
      <c r="J1484" s="221" t="s">
        <v>3024</v>
      </c>
      <c r="K1484" s="224" t="s">
        <v>3088</v>
      </c>
      <c r="L1484" s="225" t="str">
        <f>VLOOKUP(Logfile_S12[[#This Row],[Material Name]],Sheet2!B:C,2,0)</f>
        <v>GCI1002</v>
      </c>
      <c r="M1484" s="225" t="str">
        <f>_xlfn.XLOOKUP(Logfile_S12[[#This Row],[Material Name]],Sum_WH!E:E,Sum_WH!F:F,"",0)</f>
        <v>Pcs</v>
      </c>
      <c r="N1484" s="221">
        <v>3</v>
      </c>
      <c r="O1484" s="221">
        <v>0</v>
      </c>
      <c r="P1484" s="221" t="s">
        <v>3382</v>
      </c>
      <c r="Q1484" s="221"/>
      <c r="R1484" s="221"/>
      <c r="S1484" s="221"/>
      <c r="T1484" s="221" t="s">
        <v>3231</v>
      </c>
      <c r="U1484" s="221">
        <v>0</v>
      </c>
      <c r="V1484" s="221" t="s">
        <v>3375</v>
      </c>
      <c r="W1484" s="221" t="s">
        <v>3249</v>
      </c>
      <c r="X1484" s="221"/>
      <c r="Y1484" s="227"/>
      <c r="Z1484" s="227" t="str">
        <f t="shared" ref="Z1484:Z1547" si="57">P1484</f>
        <v>Pncokusumo</v>
      </c>
      <c r="AA1484" s="276" t="e">
        <f>VLOOKUP(Logfile_S12[[#This Row],[DO number]],DO_DB!G:I,3,0)</f>
        <v>#N/A</v>
      </c>
      <c r="AB1484" s="331" t="e">
        <f>EXACT(Logfile_S12[[#This Row],[date pick]],Logfile_S12[[#This Row],[Date]])</f>
        <v>#N/A</v>
      </c>
      <c r="AC14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85" spans="1:29" ht="14.5" hidden="1">
      <c r="A1485" s="220" t="str">
        <f t="shared" si="56"/>
        <v>1481</v>
      </c>
      <c r="B1485" s="221"/>
      <c r="C1485" s="221" t="s">
        <v>3313</v>
      </c>
      <c r="D1485" s="221" t="s">
        <v>4383</v>
      </c>
      <c r="E1485" s="221" t="s">
        <v>3295</v>
      </c>
      <c r="F1485" s="221" t="s">
        <v>3299</v>
      </c>
      <c r="G1485" s="222">
        <v>45832</v>
      </c>
      <c r="H1485" s="223">
        <v>15.291666666666666</v>
      </c>
      <c r="I1485" s="227" t="s">
        <v>3297</v>
      </c>
      <c r="J1485" s="221" t="s">
        <v>3024</v>
      </c>
      <c r="K1485" s="224" t="s">
        <v>3088</v>
      </c>
      <c r="L1485" s="225" t="str">
        <f>VLOOKUP(Logfile_S12[[#This Row],[Material Name]],Sheet2!B:C,2,0)</f>
        <v>GCI1002</v>
      </c>
      <c r="M1485" s="225" t="str">
        <f>_xlfn.XLOOKUP(Logfile_S12[[#This Row],[Material Name]],Sum_WH!E:E,Sum_WH!F:F,"",0)</f>
        <v>Pcs</v>
      </c>
      <c r="N1485" s="221">
        <v>4</v>
      </c>
      <c r="O1485" s="221" t="s">
        <v>3314</v>
      </c>
      <c r="P1485" s="221" t="s">
        <v>3423</v>
      </c>
      <c r="Q1485" s="221">
        <v>0</v>
      </c>
      <c r="R1485" s="221">
        <v>0</v>
      </c>
      <c r="S1485" s="221"/>
      <c r="T1485" s="221"/>
      <c r="U1485" s="221"/>
      <c r="V1485" s="221"/>
      <c r="W1485" s="221"/>
      <c r="X1485" s="221"/>
      <c r="Y1485" s="227"/>
      <c r="Z1485" s="227" t="str">
        <f t="shared" si="57"/>
        <v>LAMONGAN</v>
      </c>
      <c r="AA1485" s="276" t="e">
        <f>VLOOKUP(Logfile_S12[[#This Row],[DO number]],DO_DB!G:I,3,0)</f>
        <v>#N/A</v>
      </c>
      <c r="AB1485" s="331" t="e">
        <f>EXACT(Logfile_S12[[#This Row],[date pick]],Logfile_S12[[#This Row],[Date]])</f>
        <v>#N/A</v>
      </c>
      <c r="AC14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86" spans="1:29" ht="14.5" hidden="1">
      <c r="A1486" s="220" t="str">
        <f t="shared" si="56"/>
        <v>1482</v>
      </c>
      <c r="B1486" s="221"/>
      <c r="C1486" s="221" t="s">
        <v>49</v>
      </c>
      <c r="D1486" s="221" t="s">
        <v>4389</v>
      </c>
      <c r="E1486" s="221" t="s">
        <v>3295</v>
      </c>
      <c r="F1486" s="221" t="s">
        <v>3299</v>
      </c>
      <c r="G1486" s="222">
        <v>45835</v>
      </c>
      <c r="H1486" s="223">
        <v>0.59583333333333333</v>
      </c>
      <c r="I1486" s="221" t="s">
        <v>4916</v>
      </c>
      <c r="J1486" s="221" t="s">
        <v>3024</v>
      </c>
      <c r="K1486" s="224" t="s">
        <v>3088</v>
      </c>
      <c r="L1486" s="225" t="str">
        <f>VLOOKUP(Logfile_S12[[#This Row],[Material Name]],Sheet2!B:C,2,0)</f>
        <v>GCI1002</v>
      </c>
      <c r="M1486" s="225" t="str">
        <f>_xlfn.XLOOKUP(Logfile_S12[[#This Row],[Material Name]],Sum_WH!E:E,Sum_WH!F:F,"",0)</f>
        <v>Pcs</v>
      </c>
      <c r="N1486" s="221">
        <v>1</v>
      </c>
      <c r="O1486" s="221">
        <v>0</v>
      </c>
      <c r="P1486" s="221" t="s">
        <v>3382</v>
      </c>
      <c r="Q1486" s="221"/>
      <c r="R1486" s="221"/>
      <c r="S1486" s="221"/>
      <c r="T1486" s="221" t="s">
        <v>3231</v>
      </c>
      <c r="U1486" s="221">
        <v>0</v>
      </c>
      <c r="V1486" s="221" t="s">
        <v>3375</v>
      </c>
      <c r="W1486" s="221" t="s">
        <v>3249</v>
      </c>
      <c r="X1486" s="221"/>
      <c r="Y1486" s="227"/>
      <c r="Z1486" s="227" t="str">
        <f t="shared" si="57"/>
        <v>Pncokusumo</v>
      </c>
      <c r="AA1486" s="276" t="e">
        <f>VLOOKUP(Logfile_S12[[#This Row],[DO number]],DO_DB!G:I,3,0)</f>
        <v>#N/A</v>
      </c>
      <c r="AB1486" s="331" t="e">
        <f>EXACT(Logfile_S12[[#This Row],[date pick]],Logfile_S12[[#This Row],[Date]])</f>
        <v>#N/A</v>
      </c>
      <c r="AC14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87" spans="1:29" ht="14.5" hidden="1">
      <c r="A1487" s="220" t="str">
        <f t="shared" si="56"/>
        <v>1483</v>
      </c>
      <c r="B1487" s="221"/>
      <c r="C1487" s="221" t="s">
        <v>49</v>
      </c>
      <c r="D1487" s="221" t="s">
        <v>4391</v>
      </c>
      <c r="E1487" s="221" t="s">
        <v>3295</v>
      </c>
      <c r="F1487" s="221" t="s">
        <v>3299</v>
      </c>
      <c r="G1487" s="222">
        <v>45849</v>
      </c>
      <c r="H1487" s="223">
        <v>0.60833333333333328</v>
      </c>
      <c r="I1487" s="221" t="s">
        <v>4916</v>
      </c>
      <c r="J1487" s="221" t="s">
        <v>3024</v>
      </c>
      <c r="K1487" s="224" t="s">
        <v>3088</v>
      </c>
      <c r="L1487" s="225" t="str">
        <f>VLOOKUP(Logfile_S12[[#This Row],[Material Name]],Sheet2!B:C,2,0)</f>
        <v>GCI1002</v>
      </c>
      <c r="M1487" s="225" t="str">
        <f>_xlfn.XLOOKUP(Logfile_S12[[#This Row],[Material Name]],Sum_WH!E:E,Sum_WH!F:F,"",0)</f>
        <v>Pcs</v>
      </c>
      <c r="N1487" s="221">
        <v>1</v>
      </c>
      <c r="O1487" s="221">
        <v>0</v>
      </c>
      <c r="P1487" s="221" t="s">
        <v>3383</v>
      </c>
      <c r="Q1487" s="221"/>
      <c r="R1487" s="221"/>
      <c r="S1487" s="221"/>
      <c r="T1487" s="221" t="s">
        <v>3356</v>
      </c>
      <c r="U1487" s="221">
        <v>0</v>
      </c>
      <c r="V1487" s="221">
        <v>0</v>
      </c>
      <c r="W1487" s="221" t="s">
        <v>3358</v>
      </c>
      <c r="X1487" s="221"/>
      <c r="Y1487" s="227"/>
      <c r="Z1487" s="227" t="str">
        <f t="shared" si="57"/>
        <v>Bululawang</v>
      </c>
      <c r="AA1487" s="276" t="e">
        <f>VLOOKUP(Logfile_S12[[#This Row],[DO number]],DO_DB!G:I,3,0)</f>
        <v>#N/A</v>
      </c>
      <c r="AB1487" s="331" t="e">
        <f>EXACT(Logfile_S12[[#This Row],[date pick]],Logfile_S12[[#This Row],[Date]])</f>
        <v>#N/A</v>
      </c>
      <c r="AC14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88" spans="1:29" ht="14.5" hidden="1">
      <c r="A1488" s="220" t="str">
        <f t="shared" si="56"/>
        <v>1484</v>
      </c>
      <c r="B1488" s="221"/>
      <c r="C1488" s="221" t="s">
        <v>48</v>
      </c>
      <c r="D1488" s="221" t="s">
        <v>4401</v>
      </c>
      <c r="E1488" s="221" t="s">
        <v>3295</v>
      </c>
      <c r="F1488" s="221" t="s">
        <v>3299</v>
      </c>
      <c r="G1488" s="222">
        <v>45868</v>
      </c>
      <c r="H1488" s="223">
        <v>15.291666666666666</v>
      </c>
      <c r="I1488" s="221" t="s">
        <v>38</v>
      </c>
      <c r="J1488" s="221" t="s">
        <v>3024</v>
      </c>
      <c r="K1488" s="224" t="s">
        <v>3088</v>
      </c>
      <c r="L1488" s="225" t="str">
        <f>VLOOKUP(Logfile_S12[[#This Row],[Material Name]],Sheet2!B:C,2,0)</f>
        <v>GCI1002</v>
      </c>
      <c r="M1488" s="225" t="str">
        <f>_xlfn.XLOOKUP(Logfile_S12[[#This Row],[Material Name]],Sum_WH!E:E,Sum_WH!F:F,"",0)</f>
        <v>Pcs</v>
      </c>
      <c r="N1488" s="221">
        <v>1</v>
      </c>
      <c r="O1488" s="221">
        <v>0</v>
      </c>
      <c r="P1488" s="221">
        <v>0</v>
      </c>
      <c r="Q1488" s="221">
        <v>0</v>
      </c>
      <c r="R1488" s="221">
        <v>0</v>
      </c>
      <c r="S1488" s="221"/>
      <c r="T1488" s="221"/>
      <c r="U1488" s="221"/>
      <c r="V1488" s="221"/>
      <c r="W1488" s="221"/>
      <c r="X1488" s="221"/>
      <c r="Y1488" s="227"/>
      <c r="Z1488" s="227">
        <f t="shared" si="57"/>
        <v>0</v>
      </c>
      <c r="AA1488" s="276" t="e">
        <f>VLOOKUP(Logfile_S12[[#This Row],[DO number]],DO_DB!G:I,3,0)</f>
        <v>#N/A</v>
      </c>
      <c r="AB1488" s="331" t="e">
        <f>EXACT(Logfile_S12[[#This Row],[date pick]],Logfile_S12[[#This Row],[Date]])</f>
        <v>#N/A</v>
      </c>
      <c r="AC14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89" spans="1:29" ht="14.5" hidden="1">
      <c r="A1489" s="220" t="str">
        <f t="shared" si="56"/>
        <v>1485</v>
      </c>
      <c r="B1489" s="221"/>
      <c r="C1489" s="221" t="s">
        <v>49</v>
      </c>
      <c r="D1489" s="221" t="s">
        <v>4402</v>
      </c>
      <c r="E1489" s="221" t="s">
        <v>3295</v>
      </c>
      <c r="F1489" s="221" t="s">
        <v>3299</v>
      </c>
      <c r="G1489" s="222">
        <v>45869</v>
      </c>
      <c r="H1489" s="223">
        <v>0.47291666666666665</v>
      </c>
      <c r="I1489" s="221" t="s">
        <v>4916</v>
      </c>
      <c r="J1489" s="221" t="s">
        <v>3024</v>
      </c>
      <c r="K1489" s="224" t="s">
        <v>3088</v>
      </c>
      <c r="L1489" s="225" t="str">
        <f>VLOOKUP(Logfile_S12[[#This Row],[Material Name]],Sheet2!B:C,2,0)</f>
        <v>GCI1002</v>
      </c>
      <c r="M1489" s="225" t="str">
        <f>_xlfn.XLOOKUP(Logfile_S12[[#This Row],[Material Name]],Sum_WH!E:E,Sum_WH!F:F,"",0)</f>
        <v>Pcs</v>
      </c>
      <c r="N1489" s="221">
        <v>1</v>
      </c>
      <c r="O1489" s="221">
        <v>0</v>
      </c>
      <c r="P1489" s="221" t="s">
        <v>3413</v>
      </c>
      <c r="Q1489" s="221"/>
      <c r="R1489" s="221"/>
      <c r="S1489" s="221"/>
      <c r="T1489" s="221" t="s">
        <v>3258</v>
      </c>
      <c r="U1489" s="221">
        <v>0</v>
      </c>
      <c r="V1489" s="221" t="s">
        <v>3337</v>
      </c>
      <c r="W1489" s="221" t="s">
        <v>3338</v>
      </c>
      <c r="X1489" s="221"/>
      <c r="Y1489" s="227"/>
      <c r="Z1489" s="227" t="str">
        <f t="shared" si="57"/>
        <v>Krebet</v>
      </c>
      <c r="AA1489" s="276" t="e">
        <f>VLOOKUP(Logfile_S12[[#This Row],[DO number]],DO_DB!G:I,3,0)</f>
        <v>#N/A</v>
      </c>
      <c r="AB1489" s="331" t="e">
        <f>EXACT(Logfile_S12[[#This Row],[date pick]],Logfile_S12[[#This Row],[Date]])</f>
        <v>#N/A</v>
      </c>
      <c r="AC14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90" spans="1:29" ht="14.5" hidden="1">
      <c r="A1490" s="220" t="str">
        <f t="shared" si="56"/>
        <v>1486</v>
      </c>
      <c r="B1490" s="221"/>
      <c r="C1490" s="221" t="s">
        <v>48</v>
      </c>
      <c r="D1490" s="221" t="s">
        <v>4405</v>
      </c>
      <c r="E1490" s="221" t="s">
        <v>3295</v>
      </c>
      <c r="F1490" s="221" t="s">
        <v>3299</v>
      </c>
      <c r="G1490" s="222">
        <v>45875</v>
      </c>
      <c r="H1490" s="223">
        <v>15.291666666666666</v>
      </c>
      <c r="I1490" s="221" t="s">
        <v>38</v>
      </c>
      <c r="J1490" s="221" t="s">
        <v>3024</v>
      </c>
      <c r="K1490" s="224" t="s">
        <v>3088</v>
      </c>
      <c r="L1490" s="225" t="str">
        <f>VLOOKUP(Logfile_S12[[#This Row],[Material Name]],Sheet2!B:C,2,0)</f>
        <v>GCI1002</v>
      </c>
      <c r="M1490" s="225" t="str">
        <f>_xlfn.XLOOKUP(Logfile_S12[[#This Row],[Material Name]],Sum_WH!E:E,Sum_WH!F:F,"",0)</f>
        <v>Pcs</v>
      </c>
      <c r="N1490" s="221">
        <v>4</v>
      </c>
      <c r="O1490" s="221">
        <v>0</v>
      </c>
      <c r="P1490" s="221" t="s">
        <v>3384</v>
      </c>
      <c r="Q1490" s="221">
        <v>0</v>
      </c>
      <c r="R1490" s="221">
        <v>0</v>
      </c>
      <c r="S1490" s="221"/>
      <c r="T1490" s="221"/>
      <c r="U1490" s="221"/>
      <c r="V1490" s="221"/>
      <c r="W1490" s="221"/>
      <c r="X1490" s="221"/>
      <c r="Y1490" s="227"/>
      <c r="Z1490" s="227" t="str">
        <f t="shared" si="57"/>
        <v>GRESIK</v>
      </c>
      <c r="AA1490" s="276" t="e">
        <f>VLOOKUP(Logfile_S12[[#This Row],[DO number]],DO_DB!G:I,3,0)</f>
        <v>#N/A</v>
      </c>
      <c r="AB1490" s="331" t="e">
        <f>EXACT(Logfile_S12[[#This Row],[date pick]],Logfile_S12[[#This Row],[Date]])</f>
        <v>#N/A</v>
      </c>
      <c r="AC14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91" spans="1:29" ht="14.5" hidden="1">
      <c r="A1491" s="220" t="str">
        <f t="shared" si="56"/>
        <v>1487</v>
      </c>
      <c r="B1491" s="221"/>
      <c r="C1491" s="221" t="s">
        <v>49</v>
      </c>
      <c r="D1491" s="221" t="s">
        <v>4406</v>
      </c>
      <c r="E1491" s="221" t="s">
        <v>3295</v>
      </c>
      <c r="F1491" s="221" t="s">
        <v>3299</v>
      </c>
      <c r="G1491" s="222">
        <v>45876</v>
      </c>
      <c r="H1491" s="223">
        <v>0.47291666666666665</v>
      </c>
      <c r="I1491" s="221" t="s">
        <v>4916</v>
      </c>
      <c r="J1491" s="221" t="s">
        <v>3024</v>
      </c>
      <c r="K1491" s="224" t="s">
        <v>3088</v>
      </c>
      <c r="L1491" s="225" t="str">
        <f>VLOOKUP(Logfile_S12[[#This Row],[Material Name]],Sheet2!B:C,2,0)</f>
        <v>GCI1002</v>
      </c>
      <c r="M1491" s="225" t="str">
        <f>_xlfn.XLOOKUP(Logfile_S12[[#This Row],[Material Name]],Sum_WH!E:E,Sum_WH!F:F,"",0)</f>
        <v>Pcs</v>
      </c>
      <c r="N1491" s="221">
        <v>1</v>
      </c>
      <c r="O1491" s="221" t="s">
        <v>2996</v>
      </c>
      <c r="P1491" s="221" t="s">
        <v>2997</v>
      </c>
      <c r="Q1491" s="221"/>
      <c r="R1491" s="221"/>
      <c r="S1491" s="221"/>
      <c r="T1491" s="221" t="s">
        <v>3258</v>
      </c>
      <c r="U1491" s="221">
        <v>0</v>
      </c>
      <c r="V1491" s="221" t="s">
        <v>3337</v>
      </c>
      <c r="W1491" s="221" t="s">
        <v>3338</v>
      </c>
      <c r="X1491" s="221"/>
      <c r="Y1491" s="227"/>
      <c r="Z1491" s="227" t="str">
        <f t="shared" si="57"/>
        <v>PERMANU RW 03 MALANG</v>
      </c>
      <c r="AA1491" s="276" t="e">
        <f>VLOOKUP(Logfile_S12[[#This Row],[DO number]],DO_DB!G:I,3,0)</f>
        <v>#N/A</v>
      </c>
      <c r="AB1491" s="331" t="e">
        <f>EXACT(Logfile_S12[[#This Row],[date pick]],Logfile_S12[[#This Row],[Date]])</f>
        <v>#N/A</v>
      </c>
      <c r="AC14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92" spans="1:29" ht="14.5" hidden="1">
      <c r="A1492" s="220" t="str">
        <f t="shared" si="56"/>
        <v>1488</v>
      </c>
      <c r="B1492" s="221"/>
      <c r="C1492" s="221" t="s">
        <v>49</v>
      </c>
      <c r="D1492" s="221" t="s">
        <v>4419</v>
      </c>
      <c r="E1492" s="221" t="s">
        <v>3295</v>
      </c>
      <c r="F1492" s="221" t="s">
        <v>3299</v>
      </c>
      <c r="G1492" s="222">
        <v>45892</v>
      </c>
      <c r="H1492" s="223">
        <v>0.4284722222222222</v>
      </c>
      <c r="I1492" s="221" t="s">
        <v>4916</v>
      </c>
      <c r="J1492" s="221" t="s">
        <v>3024</v>
      </c>
      <c r="K1492" s="224" t="s">
        <v>3088</v>
      </c>
      <c r="L1492" s="225" t="str">
        <f>VLOOKUP(Logfile_S12[[#This Row],[Material Name]],Sheet2!B:C,2,0)</f>
        <v>GCI1002</v>
      </c>
      <c r="M1492" s="225" t="str">
        <f>_xlfn.XLOOKUP(Logfile_S12[[#This Row],[Material Name]],Sum_WH!E:E,Sum_WH!F:F,"",0)</f>
        <v>Pcs</v>
      </c>
      <c r="N1492" s="221">
        <v>2</v>
      </c>
      <c r="O1492" s="221">
        <v>0</v>
      </c>
      <c r="P1492" s="221" t="s">
        <v>3385</v>
      </c>
      <c r="Q1492" s="221"/>
      <c r="R1492" s="221"/>
      <c r="S1492" s="221"/>
      <c r="T1492" s="221" t="s">
        <v>3258</v>
      </c>
      <c r="U1492" s="221">
        <v>0</v>
      </c>
      <c r="V1492" s="221" t="s">
        <v>3337</v>
      </c>
      <c r="W1492" s="221" t="s">
        <v>3338</v>
      </c>
      <c r="X1492" s="221"/>
      <c r="Y1492" s="227"/>
      <c r="Z1492" s="227" t="str">
        <f t="shared" si="57"/>
        <v>Bululawang Permai</v>
      </c>
      <c r="AA1492" s="276" t="e">
        <f>VLOOKUP(Logfile_S12[[#This Row],[DO number]],DO_DB!G:I,3,0)</f>
        <v>#N/A</v>
      </c>
      <c r="AB1492" s="331" t="e">
        <f>EXACT(Logfile_S12[[#This Row],[date pick]],Logfile_S12[[#This Row],[Date]])</f>
        <v>#N/A</v>
      </c>
      <c r="AC14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93" spans="1:29" ht="14.5" hidden="1">
      <c r="A1493" s="237" t="str">
        <f t="shared" si="56"/>
        <v>1489</v>
      </c>
      <c r="B1493" s="221">
        <v>8</v>
      </c>
      <c r="C1493" s="227" t="s">
        <v>49</v>
      </c>
      <c r="D1493" s="227" t="s">
        <v>4661</v>
      </c>
      <c r="E1493" s="227" t="s">
        <v>3295</v>
      </c>
      <c r="F1493" s="227" t="s">
        <v>3299</v>
      </c>
      <c r="G1493" s="239">
        <v>45946</v>
      </c>
      <c r="H1493" s="240">
        <v>0.43125000000000002</v>
      </c>
      <c r="I1493" s="227" t="s">
        <v>3295</v>
      </c>
      <c r="J1493" s="227" t="s">
        <v>3024</v>
      </c>
      <c r="K1493" s="241" t="s">
        <v>3088</v>
      </c>
      <c r="L1493" s="225" t="str">
        <f>VLOOKUP(Logfile_S12[[#This Row],[Material Name]],Sheet2!B:C,2,0)</f>
        <v>GCI1002</v>
      </c>
      <c r="M1493" s="225" t="str">
        <f>_xlfn.XLOOKUP(Logfile_S12[[#This Row],[Material Name]],Sum_WH!E:E,Sum_WH!F:F,"",0)</f>
        <v>Pcs</v>
      </c>
      <c r="N1493" s="227">
        <v>2</v>
      </c>
      <c r="O1493" s="227" t="s">
        <v>4595</v>
      </c>
      <c r="P1493" s="227" t="s">
        <v>4596</v>
      </c>
      <c r="Q1493" s="227"/>
      <c r="R1493" s="227"/>
      <c r="S1493" s="227"/>
      <c r="T1493" s="221" t="s">
        <v>3258</v>
      </c>
      <c r="U1493" s="221">
        <v>0</v>
      </c>
      <c r="V1493" s="221" t="s">
        <v>3337</v>
      </c>
      <c r="W1493" s="221" t="s">
        <v>3338</v>
      </c>
      <c r="X1493" s="227"/>
      <c r="Y1493" s="227"/>
      <c r="Z1493" s="227" t="str">
        <f t="shared" si="57"/>
        <v>Asshofa Residence</v>
      </c>
      <c r="AA1493" s="276" t="e">
        <f>VLOOKUP(Logfile_S12[[#This Row],[DO number]],DO_DB!G:I,3,0)</f>
        <v>#N/A</v>
      </c>
      <c r="AB1493" s="331" t="e">
        <f>EXACT(Logfile_S12[[#This Row],[date pick]],Logfile_S12[[#This Row],[Date]])</f>
        <v>#N/A</v>
      </c>
      <c r="AC14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94" spans="1:29" ht="14.5" hidden="1">
      <c r="A1494" s="237" t="str">
        <f t="shared" si="56"/>
        <v>1490</v>
      </c>
      <c r="B1494" s="221">
        <v>4</v>
      </c>
      <c r="C1494" s="227" t="s">
        <v>49</v>
      </c>
      <c r="D1494" s="227" t="s">
        <v>4672</v>
      </c>
      <c r="E1494" s="227" t="s">
        <v>3295</v>
      </c>
      <c r="F1494" s="227" t="s">
        <v>3299</v>
      </c>
      <c r="G1494" s="239">
        <v>45953</v>
      </c>
      <c r="H1494" s="240">
        <v>0.60763888888888884</v>
      </c>
      <c r="I1494" s="227" t="s">
        <v>3295</v>
      </c>
      <c r="J1494" s="227" t="s">
        <v>3024</v>
      </c>
      <c r="K1494" s="241" t="s">
        <v>3088</v>
      </c>
      <c r="L1494" s="225" t="str">
        <f>VLOOKUP(Logfile_S12[[#This Row],[Material Name]],Sheet2!B:C,2,0)</f>
        <v>GCI1002</v>
      </c>
      <c r="M1494" s="242" t="s">
        <v>19</v>
      </c>
      <c r="N1494" s="227">
        <v>2</v>
      </c>
      <c r="O1494" s="227" t="s">
        <v>4663</v>
      </c>
      <c r="P1494" s="227" t="s">
        <v>4664</v>
      </c>
      <c r="Q1494" s="227"/>
      <c r="R1494" s="227"/>
      <c r="S1494" s="227"/>
      <c r="T1494" s="221" t="s">
        <v>3258</v>
      </c>
      <c r="U1494" s="221">
        <v>0</v>
      </c>
      <c r="V1494" s="221" t="s">
        <v>3337</v>
      </c>
      <c r="W1494" s="221" t="s">
        <v>3338</v>
      </c>
      <c r="X1494" s="227"/>
      <c r="Y1494" s="227"/>
      <c r="Z1494" s="227" t="str">
        <f t="shared" si="57"/>
        <v>LESANPURO RW 06 MALANG</v>
      </c>
      <c r="AA1494" s="276" t="e">
        <f>VLOOKUP(Logfile_S12[[#This Row],[DO number]],DO_DB!G:I,3,0)</f>
        <v>#N/A</v>
      </c>
      <c r="AB1494" s="331" t="e">
        <f>EXACT(Logfile_S12[[#This Row],[date pick]],Logfile_S12[[#This Row],[Date]])</f>
        <v>#N/A</v>
      </c>
      <c r="AC14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95" spans="1:29" ht="14.5" hidden="1">
      <c r="A1495" s="237" t="str">
        <f t="shared" si="56"/>
        <v>1491</v>
      </c>
      <c r="B1495" s="221">
        <v>3</v>
      </c>
      <c r="C1495" s="227" t="s">
        <v>49</v>
      </c>
      <c r="D1495" s="227" t="s">
        <v>4686</v>
      </c>
      <c r="E1495" s="227" t="s">
        <v>3295</v>
      </c>
      <c r="F1495" s="227" t="s">
        <v>3299</v>
      </c>
      <c r="G1495" s="239">
        <v>45970</v>
      </c>
      <c r="H1495" s="240">
        <v>0.80555555555555558</v>
      </c>
      <c r="I1495" s="227" t="s">
        <v>3295</v>
      </c>
      <c r="J1495" s="227" t="s">
        <v>3024</v>
      </c>
      <c r="K1495" s="241" t="s">
        <v>3088</v>
      </c>
      <c r="L1495" s="225" t="str">
        <f>VLOOKUP(Logfile_S12[[#This Row],[Material Name]],Sheet2!B:C,2,0)</f>
        <v>GCI1002</v>
      </c>
      <c r="M1495" s="242" t="s">
        <v>19</v>
      </c>
      <c r="N1495" s="227">
        <v>2</v>
      </c>
      <c r="O1495" s="227" t="s">
        <v>3260</v>
      </c>
      <c r="P1495" s="227"/>
      <c r="Q1495" s="227" t="s">
        <v>3260</v>
      </c>
      <c r="R1495" s="227" t="s">
        <v>3260</v>
      </c>
      <c r="S1495" s="227"/>
      <c r="T1495" s="221" t="s">
        <v>3258</v>
      </c>
      <c r="U1495" s="221">
        <v>0</v>
      </c>
      <c r="V1495" s="221" t="s">
        <v>3337</v>
      </c>
      <c r="W1495" s="221" t="s">
        <v>3338</v>
      </c>
      <c r="X1495" s="227"/>
      <c r="Y1495" s="227"/>
      <c r="Z1495" s="227">
        <f t="shared" si="57"/>
        <v>0</v>
      </c>
      <c r="AA1495" s="276" t="e">
        <f>VLOOKUP(Logfile_S12[[#This Row],[DO number]],DO_DB!G:I,3,0)</f>
        <v>#N/A</v>
      </c>
      <c r="AB1495" s="331" t="e">
        <f>EXACT(Logfile_S12[[#This Row],[date pick]],Logfile_S12[[#This Row],[Date]])</f>
        <v>#N/A</v>
      </c>
      <c r="AC14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96" spans="1:29" ht="14.5" hidden="1">
      <c r="A1496" s="237" t="str">
        <f t="shared" si="56"/>
        <v>1492</v>
      </c>
      <c r="B1496" s="221">
        <v>6</v>
      </c>
      <c r="C1496" s="227" t="s">
        <v>49</v>
      </c>
      <c r="D1496" s="227" t="s">
        <v>4737</v>
      </c>
      <c r="E1496" s="227" t="s">
        <v>3295</v>
      </c>
      <c r="F1496" s="227" t="s">
        <v>3299</v>
      </c>
      <c r="G1496" s="239">
        <v>46006</v>
      </c>
      <c r="H1496" s="240">
        <v>0.36805555555555558</v>
      </c>
      <c r="I1496" s="227" t="s">
        <v>3295</v>
      </c>
      <c r="J1496" s="227" t="s">
        <v>3024</v>
      </c>
      <c r="K1496" s="241" t="s">
        <v>3088</v>
      </c>
      <c r="L1496" s="225" t="str">
        <f>VLOOKUP(Logfile_S12[[#This Row],[Material Name]],Sheet2!B:C,2,0)</f>
        <v>GCI1002</v>
      </c>
      <c r="M1496" s="242" t="s">
        <v>19</v>
      </c>
      <c r="N1496" s="227">
        <v>5</v>
      </c>
      <c r="O1496" s="227" t="s">
        <v>3260</v>
      </c>
      <c r="P1496" s="227"/>
      <c r="Q1496" s="227" t="s">
        <v>3260</v>
      </c>
      <c r="R1496" s="227" t="s">
        <v>3260</v>
      </c>
      <c r="S1496" s="227"/>
      <c r="T1496" s="221" t="s">
        <v>3258</v>
      </c>
      <c r="U1496" s="221" t="s">
        <v>4811</v>
      </c>
      <c r="V1496" s="221" t="s">
        <v>3337</v>
      </c>
      <c r="W1496" s="221" t="s">
        <v>3338</v>
      </c>
      <c r="X1496" s="227"/>
      <c r="Y1496" s="227"/>
      <c r="Z1496" s="227">
        <f t="shared" si="57"/>
        <v>0</v>
      </c>
      <c r="AA1496" s="276" t="e">
        <f>VLOOKUP(Logfile_S12[[#This Row],[DO number]],DO_DB!G:I,3,0)</f>
        <v>#N/A</v>
      </c>
      <c r="AB1496" s="331" t="e">
        <f>EXACT(Logfile_S12[[#This Row],[date pick]],Logfile_S12[[#This Row],[Date]])</f>
        <v>#N/A</v>
      </c>
      <c r="AC14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97" spans="1:29" ht="14.5" hidden="1">
      <c r="A1497" s="237" t="str">
        <f t="shared" si="56"/>
        <v>1493</v>
      </c>
      <c r="B1497" s="221">
        <v>3</v>
      </c>
      <c r="C1497" s="227" t="s">
        <v>48</v>
      </c>
      <c r="D1497" s="227" t="s">
        <v>4778</v>
      </c>
      <c r="E1497" s="227" t="s">
        <v>3295</v>
      </c>
      <c r="F1497" s="227" t="s">
        <v>3299</v>
      </c>
      <c r="G1497" s="239">
        <v>46014</v>
      </c>
      <c r="H1497" s="240">
        <v>0.33333333333333331</v>
      </c>
      <c r="I1497" s="221" t="s">
        <v>38</v>
      </c>
      <c r="J1497" s="227" t="s">
        <v>3024</v>
      </c>
      <c r="K1497" s="241" t="s">
        <v>3088</v>
      </c>
      <c r="L1497" s="225" t="str">
        <f>VLOOKUP(Logfile_S12[[#This Row],[Material Name]],Sheet2!B:C,2,0)</f>
        <v>GCI1002</v>
      </c>
      <c r="M1497" s="242" t="s">
        <v>19</v>
      </c>
      <c r="N1497" s="227">
        <v>9</v>
      </c>
      <c r="O1497" s="227"/>
      <c r="P1497" s="227"/>
      <c r="Q1497" s="227"/>
      <c r="R1497" s="227"/>
      <c r="S1497" s="227"/>
      <c r="T1497" s="227"/>
      <c r="U1497" s="227"/>
      <c r="V1497" s="227"/>
      <c r="W1497" s="227"/>
      <c r="X1497" s="227"/>
      <c r="Y1497" s="227"/>
      <c r="Z1497" s="227">
        <f t="shared" si="57"/>
        <v>0</v>
      </c>
      <c r="AA1497" s="276" t="e">
        <f>VLOOKUP(Logfile_S12[[#This Row],[DO number]],DO_DB!G:I,3,0)</f>
        <v>#N/A</v>
      </c>
      <c r="AB1497" s="331" t="e">
        <f>EXACT(Logfile_S12[[#This Row],[date pick]],Logfile_S12[[#This Row],[Date]])</f>
        <v>#N/A</v>
      </c>
      <c r="AC14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98" spans="1:29" ht="14.5" hidden="1">
      <c r="A1498" s="237" t="str">
        <f t="shared" si="56"/>
        <v>1494</v>
      </c>
      <c r="B1498" s="221">
        <v>6</v>
      </c>
      <c r="C1498" s="227" t="s">
        <v>49</v>
      </c>
      <c r="D1498" s="227" t="s">
        <v>4777</v>
      </c>
      <c r="E1498" s="227" t="s">
        <v>3295</v>
      </c>
      <c r="F1498" s="227" t="s">
        <v>3299</v>
      </c>
      <c r="G1498" s="239">
        <v>46016</v>
      </c>
      <c r="H1498" s="240">
        <v>0.50902777777777775</v>
      </c>
      <c r="I1498" s="227" t="s">
        <v>3295</v>
      </c>
      <c r="J1498" s="227" t="s">
        <v>3024</v>
      </c>
      <c r="K1498" s="241" t="s">
        <v>3088</v>
      </c>
      <c r="L1498" s="225" t="str">
        <f>VLOOKUP(Logfile_S12[[#This Row],[Material Name]],Sheet2!B:C,2,0)</f>
        <v>GCI1002</v>
      </c>
      <c r="M1498" s="242" t="s">
        <v>19</v>
      </c>
      <c r="N1498" s="227">
        <v>9</v>
      </c>
      <c r="O1498" s="227"/>
      <c r="P1498" s="227"/>
      <c r="Q1498" s="227"/>
      <c r="R1498" s="227"/>
      <c r="S1498" s="227"/>
      <c r="T1498" s="221" t="s">
        <v>3258</v>
      </c>
      <c r="U1498" s="221" t="s">
        <v>4811</v>
      </c>
      <c r="V1498" s="221" t="s">
        <v>3337</v>
      </c>
      <c r="W1498" s="221" t="s">
        <v>3338</v>
      </c>
      <c r="X1498" s="227"/>
      <c r="Y1498" s="227"/>
      <c r="Z1498" s="227">
        <f t="shared" si="57"/>
        <v>0</v>
      </c>
      <c r="AA1498" s="276" t="e">
        <f>VLOOKUP(Logfile_S12[[#This Row],[DO number]],DO_DB!G:I,3,0)</f>
        <v>#N/A</v>
      </c>
      <c r="AB1498" s="331" t="e">
        <f>EXACT(Logfile_S12[[#This Row],[date pick]],Logfile_S12[[#This Row],[Date]])</f>
        <v>#N/A</v>
      </c>
      <c r="AC14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499" spans="1:29" ht="14.5" hidden="1">
      <c r="A1499" s="237" t="str">
        <f t="shared" si="56"/>
        <v>1495</v>
      </c>
      <c r="B1499" s="221">
        <v>1</v>
      </c>
      <c r="C1499" s="227" t="s">
        <v>48</v>
      </c>
      <c r="D1499" s="227" t="s">
        <v>4749</v>
      </c>
      <c r="E1499" s="227" t="s">
        <v>3295</v>
      </c>
      <c r="F1499" s="227" t="s">
        <v>3299</v>
      </c>
      <c r="G1499" s="239">
        <v>46003</v>
      </c>
      <c r="H1499" s="240">
        <v>0.54166666666666663</v>
      </c>
      <c r="I1499" s="227" t="s">
        <v>37</v>
      </c>
      <c r="J1499" s="221" t="s">
        <v>3023</v>
      </c>
      <c r="K1499" s="241" t="s">
        <v>4731</v>
      </c>
      <c r="L1499" s="225" t="str">
        <f>VLOOKUP(Logfile_S12[[#This Row],[Material Name]],Sheet2!B:C,2,0)</f>
        <v>ZTE1007</v>
      </c>
      <c r="M1499" s="242" t="s">
        <v>19</v>
      </c>
      <c r="N1499" s="227">
        <v>226</v>
      </c>
      <c r="O1499" s="227" t="s">
        <v>4785</v>
      </c>
      <c r="P1499" s="227" t="s">
        <v>4786</v>
      </c>
      <c r="Q1499" s="221" t="s">
        <v>4795</v>
      </c>
      <c r="R1499" s="221" t="s">
        <v>4796</v>
      </c>
      <c r="S1499" s="227"/>
      <c r="T1499" s="227"/>
      <c r="U1499" s="227"/>
      <c r="V1499" s="227"/>
      <c r="W1499" s="227"/>
      <c r="X1499" s="227"/>
      <c r="Y1499" s="227"/>
      <c r="Z1499" s="227" t="str">
        <f t="shared" si="57"/>
        <v>DUSUN ARDIREJO KELURAHAN SIDEREJO MALANG</v>
      </c>
      <c r="AA1499" s="276">
        <f>VLOOKUP(Logfile_S12[[#This Row],[DO number]],DO_DB!G:I,3,0)</f>
        <v>46003</v>
      </c>
      <c r="AB1499" s="331" t="b">
        <f>EXACT(Logfile_S12[[#This Row],[date pick]],Logfile_S12[[#This Row],[Date]])</f>
        <v>1</v>
      </c>
      <c r="AC14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00" spans="1:29" ht="14.5" hidden="1">
      <c r="A1500" s="237" t="str">
        <f t="shared" si="56"/>
        <v>1496</v>
      </c>
      <c r="B1500" s="221">
        <v>2</v>
      </c>
      <c r="C1500" s="227" t="s">
        <v>49</v>
      </c>
      <c r="D1500" s="227" t="s">
        <v>4734</v>
      </c>
      <c r="E1500" s="227" t="s">
        <v>3295</v>
      </c>
      <c r="F1500" s="227" t="s">
        <v>3299</v>
      </c>
      <c r="G1500" s="239">
        <v>46004</v>
      </c>
      <c r="H1500" s="240">
        <v>0.33333333333333331</v>
      </c>
      <c r="I1500" s="227" t="s">
        <v>3295</v>
      </c>
      <c r="J1500" s="221" t="s">
        <v>3023</v>
      </c>
      <c r="K1500" s="241" t="s">
        <v>4731</v>
      </c>
      <c r="L1500" s="225" t="str">
        <f>VLOOKUP(Logfile_S12[[#This Row],[Material Name]],Sheet2!B:C,2,0)</f>
        <v>ZTE1007</v>
      </c>
      <c r="M1500" s="242" t="s">
        <v>19</v>
      </c>
      <c r="N1500" s="227">
        <v>29</v>
      </c>
      <c r="O1500" s="227" t="s">
        <v>4785</v>
      </c>
      <c r="P1500" s="227" t="s">
        <v>4786</v>
      </c>
      <c r="Q1500" s="227" t="s">
        <v>3260</v>
      </c>
      <c r="R1500" s="227" t="s">
        <v>3260</v>
      </c>
      <c r="S1500" s="227"/>
      <c r="T1500" s="221" t="s">
        <v>3258</v>
      </c>
      <c r="U1500" s="221" t="s">
        <v>4811</v>
      </c>
      <c r="V1500" s="221" t="s">
        <v>3337</v>
      </c>
      <c r="W1500" s="221" t="s">
        <v>3338</v>
      </c>
      <c r="X1500" s="227"/>
      <c r="Y1500" s="227"/>
      <c r="Z1500" s="227" t="str">
        <f t="shared" si="57"/>
        <v>DUSUN ARDIREJO KELURAHAN SIDEREJO MALANG</v>
      </c>
      <c r="AA1500" s="276" t="e">
        <f>VLOOKUP(Logfile_S12[[#This Row],[DO number]],DO_DB!G:I,3,0)</f>
        <v>#N/A</v>
      </c>
      <c r="AB1500" s="331" t="e">
        <f>EXACT(Logfile_S12[[#This Row],[date pick]],Logfile_S12[[#This Row],[Date]])</f>
        <v>#N/A</v>
      </c>
      <c r="AC15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01" spans="1:29" ht="14.5" hidden="1">
      <c r="A1501" s="237" t="str">
        <f t="shared" si="56"/>
        <v>1497</v>
      </c>
      <c r="B1501" s="221">
        <v>1</v>
      </c>
      <c r="C1501" s="227" t="s">
        <v>49</v>
      </c>
      <c r="D1501" s="227" t="s">
        <v>4735</v>
      </c>
      <c r="E1501" s="227" t="s">
        <v>3295</v>
      </c>
      <c r="F1501" s="227" t="s">
        <v>3299</v>
      </c>
      <c r="G1501" s="239">
        <v>46004</v>
      </c>
      <c r="H1501" s="240">
        <v>0.625</v>
      </c>
      <c r="I1501" s="227" t="s">
        <v>3295</v>
      </c>
      <c r="J1501" s="221" t="s">
        <v>3023</v>
      </c>
      <c r="K1501" s="241" t="s">
        <v>4731</v>
      </c>
      <c r="L1501" s="225" t="str">
        <f>VLOOKUP(Logfile_S12[[#This Row],[Material Name]],Sheet2!B:C,2,0)</f>
        <v>ZTE1007</v>
      </c>
      <c r="M1501" s="242" t="s">
        <v>19</v>
      </c>
      <c r="N1501" s="227">
        <v>40</v>
      </c>
      <c r="O1501" s="221" t="s">
        <v>4801</v>
      </c>
      <c r="P1501" s="221" t="s">
        <v>4802</v>
      </c>
      <c r="Q1501" s="227" t="s">
        <v>3260</v>
      </c>
      <c r="R1501" s="227" t="s">
        <v>3260</v>
      </c>
      <c r="S1501" s="227"/>
      <c r="T1501" s="221" t="s">
        <v>3258</v>
      </c>
      <c r="U1501" s="221" t="s">
        <v>4811</v>
      </c>
      <c r="V1501" s="221" t="s">
        <v>3337</v>
      </c>
      <c r="W1501" s="221" t="s">
        <v>3338</v>
      </c>
      <c r="X1501" s="227"/>
      <c r="Y1501" s="227"/>
      <c r="Z1501" s="227" t="str">
        <f t="shared" si="57"/>
        <v>DUSUN SIDOAYU KELURAHAN SIDEREJO MALANG</v>
      </c>
      <c r="AA1501" s="276" t="e">
        <f>VLOOKUP(Logfile_S12[[#This Row],[DO number]],DO_DB!G:I,3,0)</f>
        <v>#N/A</v>
      </c>
      <c r="AB1501" s="331" t="e">
        <f>EXACT(Logfile_S12[[#This Row],[date pick]],Logfile_S12[[#This Row],[Date]])</f>
        <v>#N/A</v>
      </c>
      <c r="AC15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02" spans="1:29" ht="14.5" hidden="1">
      <c r="A1502" s="237" t="str">
        <f t="shared" si="56"/>
        <v>1498</v>
      </c>
      <c r="B1502" s="221">
        <v>2</v>
      </c>
      <c r="C1502" s="227" t="s">
        <v>49</v>
      </c>
      <c r="D1502" s="227" t="s">
        <v>4736</v>
      </c>
      <c r="E1502" s="227" t="s">
        <v>3295</v>
      </c>
      <c r="F1502" s="227" t="s">
        <v>3299</v>
      </c>
      <c r="G1502" s="239">
        <v>46005</v>
      </c>
      <c r="H1502" s="240">
        <v>0.33333333333333331</v>
      </c>
      <c r="I1502" s="227" t="s">
        <v>3295</v>
      </c>
      <c r="J1502" s="221" t="s">
        <v>3023</v>
      </c>
      <c r="K1502" s="241" t="s">
        <v>4731</v>
      </c>
      <c r="L1502" s="225" t="str">
        <f>VLOOKUP(Logfile_S12[[#This Row],[Material Name]],Sheet2!B:C,2,0)</f>
        <v>ZTE1007</v>
      </c>
      <c r="M1502" s="242" t="s">
        <v>19</v>
      </c>
      <c r="N1502" s="227">
        <v>29</v>
      </c>
      <c r="O1502" s="221" t="s">
        <v>4801</v>
      </c>
      <c r="P1502" s="221" t="s">
        <v>4802</v>
      </c>
      <c r="Q1502" s="227"/>
      <c r="R1502" s="227"/>
      <c r="S1502" s="227"/>
      <c r="T1502" s="221" t="s">
        <v>3258</v>
      </c>
      <c r="U1502" s="221" t="s">
        <v>4811</v>
      </c>
      <c r="V1502" s="221" t="s">
        <v>3337</v>
      </c>
      <c r="W1502" s="221" t="s">
        <v>3338</v>
      </c>
      <c r="X1502" s="227"/>
      <c r="Y1502" s="227"/>
      <c r="Z1502" s="227" t="str">
        <f t="shared" si="57"/>
        <v>DUSUN SIDOAYU KELURAHAN SIDEREJO MALANG</v>
      </c>
      <c r="AA1502" s="276" t="e">
        <f>VLOOKUP(Logfile_S12[[#This Row],[DO number]],DO_DB!G:I,3,0)</f>
        <v>#N/A</v>
      </c>
      <c r="AB1502" s="331" t="e">
        <f>EXACT(Logfile_S12[[#This Row],[date pick]],Logfile_S12[[#This Row],[Date]])</f>
        <v>#N/A</v>
      </c>
      <c r="AC15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03" spans="1:29" ht="14.5" hidden="1">
      <c r="A1503" s="237" t="str">
        <f t="shared" si="56"/>
        <v>1499</v>
      </c>
      <c r="B1503" s="221">
        <v>13</v>
      </c>
      <c r="C1503" s="227" t="s">
        <v>49</v>
      </c>
      <c r="D1503" s="227" t="s">
        <v>4740</v>
      </c>
      <c r="E1503" s="227" t="s">
        <v>3295</v>
      </c>
      <c r="F1503" s="227" t="s">
        <v>3299</v>
      </c>
      <c r="G1503" s="239">
        <v>46006</v>
      </c>
      <c r="H1503" s="240">
        <v>0.49305555555555558</v>
      </c>
      <c r="I1503" s="227" t="s">
        <v>3295</v>
      </c>
      <c r="J1503" s="221" t="s">
        <v>3023</v>
      </c>
      <c r="K1503" s="241" t="s">
        <v>4731</v>
      </c>
      <c r="L1503" s="225" t="str">
        <f>VLOOKUP(Logfile_S12[[#This Row],[Material Name]],Sheet2!B:C,2,0)</f>
        <v>ZTE1007</v>
      </c>
      <c r="M1503" s="242" t="s">
        <v>19</v>
      </c>
      <c r="N1503" s="227">
        <v>9</v>
      </c>
      <c r="O1503" s="221" t="s">
        <v>4801</v>
      </c>
      <c r="P1503" s="221" t="s">
        <v>4802</v>
      </c>
      <c r="Q1503" s="227"/>
      <c r="R1503" s="227"/>
      <c r="S1503" s="227"/>
      <c r="T1503" s="221" t="s">
        <v>3258</v>
      </c>
      <c r="U1503" s="221" t="s">
        <v>4811</v>
      </c>
      <c r="V1503" s="221" t="s">
        <v>3337</v>
      </c>
      <c r="W1503" s="221" t="s">
        <v>3338</v>
      </c>
      <c r="X1503" s="227"/>
      <c r="Y1503" s="227"/>
      <c r="Z1503" s="227" t="str">
        <f t="shared" si="57"/>
        <v>DUSUN SIDOAYU KELURAHAN SIDEREJO MALANG</v>
      </c>
      <c r="AA1503" s="276" t="e">
        <f>VLOOKUP(Logfile_S12[[#This Row],[DO number]],DO_DB!G:I,3,0)</f>
        <v>#N/A</v>
      </c>
      <c r="AB1503" s="331" t="e">
        <f>EXACT(Logfile_S12[[#This Row],[date pick]],Logfile_S12[[#This Row],[Date]])</f>
        <v>#N/A</v>
      </c>
      <c r="AC15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04" spans="1:29" ht="14.5" hidden="1">
      <c r="A1504" s="237" t="str">
        <f t="shared" si="56"/>
        <v>1500</v>
      </c>
      <c r="B1504" s="221">
        <v>3</v>
      </c>
      <c r="C1504" s="227" t="s">
        <v>48</v>
      </c>
      <c r="D1504" s="227" t="s">
        <v>4730</v>
      </c>
      <c r="E1504" s="227" t="s">
        <v>3295</v>
      </c>
      <c r="F1504" s="227" t="s">
        <v>3299</v>
      </c>
      <c r="G1504" s="239">
        <v>46007</v>
      </c>
      <c r="H1504" s="240">
        <v>0.54166666666666663</v>
      </c>
      <c r="I1504" s="227" t="s">
        <v>37</v>
      </c>
      <c r="J1504" s="221" t="s">
        <v>3023</v>
      </c>
      <c r="K1504" s="241" t="s">
        <v>4731</v>
      </c>
      <c r="L1504" s="225" t="str">
        <f>VLOOKUP(Logfile_S12[[#This Row],[Material Name]],Sheet2!B:C,2,0)</f>
        <v>ZTE1007</v>
      </c>
      <c r="M1504" s="242" t="s">
        <v>19</v>
      </c>
      <c r="N1504" s="227">
        <v>119</v>
      </c>
      <c r="O1504" s="221" t="s">
        <v>4801</v>
      </c>
      <c r="P1504" s="221" t="s">
        <v>4802</v>
      </c>
      <c r="Q1504" s="221" t="s">
        <v>4807</v>
      </c>
      <c r="R1504" s="221" t="s">
        <v>4808</v>
      </c>
      <c r="S1504" s="227"/>
      <c r="T1504" s="227"/>
      <c r="U1504" s="227"/>
      <c r="V1504" s="227"/>
      <c r="W1504" s="227"/>
      <c r="X1504" s="227"/>
      <c r="Y1504" s="227"/>
      <c r="Z1504" s="227" t="str">
        <f t="shared" si="57"/>
        <v>DUSUN SIDOAYU KELURAHAN SIDEREJO MALANG</v>
      </c>
      <c r="AA1504" s="276">
        <f>VLOOKUP(Logfile_S12[[#This Row],[DO number]],DO_DB!G:I,3,0)</f>
        <v>46007</v>
      </c>
      <c r="AB1504" s="331" t="b">
        <f>EXACT(Logfile_S12[[#This Row],[date pick]],Logfile_S12[[#This Row],[Date]])</f>
        <v>1</v>
      </c>
      <c r="AC15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05" spans="1:29" ht="14.5" hidden="1">
      <c r="A1505" s="237" t="str">
        <f t="shared" si="56"/>
        <v>1501</v>
      </c>
      <c r="B1505" s="221">
        <v>1</v>
      </c>
      <c r="C1505" s="227" t="s">
        <v>49</v>
      </c>
      <c r="D1505" s="227" t="s">
        <v>4756</v>
      </c>
      <c r="E1505" s="227" t="s">
        <v>3295</v>
      </c>
      <c r="F1505" s="227" t="s">
        <v>3299</v>
      </c>
      <c r="G1505" s="239">
        <v>46009</v>
      </c>
      <c r="H1505" s="240">
        <v>0.33333333333333331</v>
      </c>
      <c r="I1505" s="227" t="s">
        <v>3295</v>
      </c>
      <c r="J1505" s="221" t="s">
        <v>3023</v>
      </c>
      <c r="K1505" s="241" t="s">
        <v>4731</v>
      </c>
      <c r="L1505" s="225" t="str">
        <f>VLOOKUP(Logfile_S12[[#This Row],[Material Name]],Sheet2!B:C,2,0)</f>
        <v>ZTE1007</v>
      </c>
      <c r="M1505" s="242" t="s">
        <v>19</v>
      </c>
      <c r="N1505" s="227">
        <v>10</v>
      </c>
      <c r="O1505" s="221" t="s">
        <v>4801</v>
      </c>
      <c r="P1505" s="221" t="s">
        <v>4802</v>
      </c>
      <c r="Q1505" s="227"/>
      <c r="R1505" s="227"/>
      <c r="S1505" s="227"/>
      <c r="T1505" s="221" t="s">
        <v>3258</v>
      </c>
      <c r="U1505" s="221" t="s">
        <v>4811</v>
      </c>
      <c r="V1505" s="221" t="s">
        <v>3337</v>
      </c>
      <c r="W1505" s="221" t="s">
        <v>3338</v>
      </c>
      <c r="X1505" s="227"/>
      <c r="Y1505" s="227"/>
      <c r="Z1505" s="227" t="str">
        <f t="shared" si="57"/>
        <v>DUSUN SIDOAYU KELURAHAN SIDEREJO MALANG</v>
      </c>
      <c r="AA1505" s="276" t="e">
        <f>VLOOKUP(Logfile_S12[[#This Row],[DO number]],DO_DB!G:I,3,0)</f>
        <v>#N/A</v>
      </c>
      <c r="AB1505" s="331" t="e">
        <f>EXACT(Logfile_S12[[#This Row],[date pick]],Logfile_S12[[#This Row],[Date]])</f>
        <v>#N/A</v>
      </c>
      <c r="AC15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06" spans="1:29" ht="14.5" hidden="1">
      <c r="A1506" s="237" t="str">
        <f t="shared" si="56"/>
        <v>1502</v>
      </c>
      <c r="B1506" s="221">
        <v>1</v>
      </c>
      <c r="C1506" s="227" t="s">
        <v>49</v>
      </c>
      <c r="D1506" s="227" t="s">
        <v>4755</v>
      </c>
      <c r="E1506" s="227" t="s">
        <v>3295</v>
      </c>
      <c r="F1506" s="227" t="s">
        <v>3299</v>
      </c>
      <c r="G1506" s="239">
        <v>46010</v>
      </c>
      <c r="H1506" s="240">
        <v>0.33333333333333331</v>
      </c>
      <c r="I1506" s="227" t="s">
        <v>3295</v>
      </c>
      <c r="J1506" s="221" t="s">
        <v>3023</v>
      </c>
      <c r="K1506" s="241" t="s">
        <v>4731</v>
      </c>
      <c r="L1506" s="225" t="str">
        <f>VLOOKUP(Logfile_S12[[#This Row],[Material Name]],Sheet2!B:C,2,0)</f>
        <v>ZTE1007</v>
      </c>
      <c r="M1506" s="242" t="s">
        <v>19</v>
      </c>
      <c r="N1506" s="227">
        <v>9</v>
      </c>
      <c r="O1506" s="221" t="s">
        <v>4801</v>
      </c>
      <c r="P1506" s="221" t="s">
        <v>4802</v>
      </c>
      <c r="Q1506" s="227"/>
      <c r="R1506" s="227"/>
      <c r="S1506" s="227"/>
      <c r="T1506" s="221" t="s">
        <v>3258</v>
      </c>
      <c r="U1506" s="221" t="s">
        <v>4811</v>
      </c>
      <c r="V1506" s="221" t="s">
        <v>3337</v>
      </c>
      <c r="W1506" s="221" t="s">
        <v>3338</v>
      </c>
      <c r="X1506" s="227"/>
      <c r="Y1506" s="227"/>
      <c r="Z1506" s="227" t="str">
        <f t="shared" si="57"/>
        <v>DUSUN SIDOAYU KELURAHAN SIDEREJO MALANG</v>
      </c>
      <c r="AA1506" s="276" t="e">
        <f>VLOOKUP(Logfile_S12[[#This Row],[DO number]],DO_DB!G:I,3,0)</f>
        <v>#N/A</v>
      </c>
      <c r="AB1506" s="331" t="e">
        <f>EXACT(Logfile_S12[[#This Row],[date pick]],Logfile_S12[[#This Row],[Date]])</f>
        <v>#N/A</v>
      </c>
      <c r="AC15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07" spans="1:29" ht="14.5" hidden="1">
      <c r="A1507" s="237" t="str">
        <f t="shared" si="56"/>
        <v>1503</v>
      </c>
      <c r="B1507" s="221">
        <v>1</v>
      </c>
      <c r="C1507" s="227" t="s">
        <v>49</v>
      </c>
      <c r="D1507" s="227" t="s">
        <v>4759</v>
      </c>
      <c r="E1507" s="227" t="s">
        <v>3295</v>
      </c>
      <c r="F1507" s="227" t="s">
        <v>3299</v>
      </c>
      <c r="G1507" s="239">
        <v>46010</v>
      </c>
      <c r="H1507" s="240">
        <v>0.54166666666666663</v>
      </c>
      <c r="I1507" s="227" t="s">
        <v>3295</v>
      </c>
      <c r="J1507" s="221" t="s">
        <v>3023</v>
      </c>
      <c r="K1507" s="241" t="s">
        <v>4731</v>
      </c>
      <c r="L1507" s="225" t="str">
        <f>VLOOKUP(Logfile_S12[[#This Row],[Material Name]],Sheet2!B:C,2,0)</f>
        <v>ZTE1007</v>
      </c>
      <c r="M1507" s="242" t="s">
        <v>19</v>
      </c>
      <c r="N1507" s="227">
        <v>39</v>
      </c>
      <c r="O1507" s="221" t="s">
        <v>4801</v>
      </c>
      <c r="P1507" s="221" t="s">
        <v>4802</v>
      </c>
      <c r="Q1507" s="227"/>
      <c r="R1507" s="227"/>
      <c r="S1507" s="227"/>
      <c r="T1507" s="221" t="s">
        <v>3258</v>
      </c>
      <c r="U1507" s="221" t="s">
        <v>4811</v>
      </c>
      <c r="V1507" s="221" t="s">
        <v>3337</v>
      </c>
      <c r="W1507" s="221" t="s">
        <v>3338</v>
      </c>
      <c r="X1507" s="227"/>
      <c r="Y1507" s="227"/>
      <c r="Z1507" s="227" t="str">
        <f t="shared" si="57"/>
        <v>DUSUN SIDOAYU KELURAHAN SIDEREJO MALANG</v>
      </c>
      <c r="AA1507" s="276" t="e">
        <f>VLOOKUP(Logfile_S12[[#This Row],[DO number]],DO_DB!G:I,3,0)</f>
        <v>#N/A</v>
      </c>
      <c r="AB1507" s="331" t="e">
        <f>EXACT(Logfile_S12[[#This Row],[date pick]],Logfile_S12[[#This Row],[Date]])</f>
        <v>#N/A</v>
      </c>
      <c r="AC15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08" spans="1:29" ht="14.5" hidden="1">
      <c r="A1508" s="237" t="str">
        <f t="shared" si="56"/>
        <v>1504</v>
      </c>
      <c r="B1508" s="221">
        <v>2</v>
      </c>
      <c r="C1508" s="227" t="s">
        <v>49</v>
      </c>
      <c r="D1508" s="227" t="s">
        <v>4760</v>
      </c>
      <c r="E1508" s="227" t="s">
        <v>3295</v>
      </c>
      <c r="F1508" s="227" t="s">
        <v>3299</v>
      </c>
      <c r="G1508" s="239">
        <v>46011</v>
      </c>
      <c r="H1508" s="240">
        <v>0.33333333333333331</v>
      </c>
      <c r="I1508" s="227" t="s">
        <v>3295</v>
      </c>
      <c r="J1508" s="221" t="s">
        <v>3023</v>
      </c>
      <c r="K1508" s="241" t="s">
        <v>4731</v>
      </c>
      <c r="L1508" s="225" t="str">
        <f>VLOOKUP(Logfile_S12[[#This Row],[Material Name]],Sheet2!B:C,2,0)</f>
        <v>ZTE1007</v>
      </c>
      <c r="M1508" s="242" t="s">
        <v>19</v>
      </c>
      <c r="N1508" s="227">
        <v>50</v>
      </c>
      <c r="O1508" s="227" t="s">
        <v>4785</v>
      </c>
      <c r="P1508" s="227" t="s">
        <v>4786</v>
      </c>
      <c r="Q1508" s="227"/>
      <c r="R1508" s="227"/>
      <c r="S1508" s="227"/>
      <c r="T1508" s="221" t="s">
        <v>3258</v>
      </c>
      <c r="U1508" s="221" t="s">
        <v>4811</v>
      </c>
      <c r="V1508" s="221" t="s">
        <v>3337</v>
      </c>
      <c r="W1508" s="221" t="s">
        <v>3338</v>
      </c>
      <c r="X1508" s="227"/>
      <c r="Y1508" s="227"/>
      <c r="Z1508" s="227" t="str">
        <f t="shared" si="57"/>
        <v>DUSUN ARDIREJO KELURAHAN SIDEREJO MALANG</v>
      </c>
      <c r="AA1508" s="276" t="e">
        <f>VLOOKUP(Logfile_S12[[#This Row],[DO number]],DO_DB!G:I,3,0)</f>
        <v>#N/A</v>
      </c>
      <c r="AB1508" s="331" t="e">
        <f>EXACT(Logfile_S12[[#This Row],[date pick]],Logfile_S12[[#This Row],[Date]])</f>
        <v>#N/A</v>
      </c>
      <c r="AC15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09" spans="1:29" ht="14.5" hidden="1">
      <c r="A1509" s="237" t="str">
        <f t="shared" si="56"/>
        <v>1505</v>
      </c>
      <c r="B1509" s="221">
        <v>3</v>
      </c>
      <c r="C1509" s="227" t="s">
        <v>49</v>
      </c>
      <c r="D1509" s="227" t="s">
        <v>4763</v>
      </c>
      <c r="E1509" s="227" t="s">
        <v>3295</v>
      </c>
      <c r="F1509" s="227" t="s">
        <v>3299</v>
      </c>
      <c r="G1509" s="239">
        <v>46012</v>
      </c>
      <c r="H1509" s="240">
        <v>0.33333333333333331</v>
      </c>
      <c r="I1509" s="227" t="s">
        <v>3295</v>
      </c>
      <c r="J1509" s="221" t="s">
        <v>3023</v>
      </c>
      <c r="K1509" s="241" t="s">
        <v>4731</v>
      </c>
      <c r="L1509" s="225" t="str">
        <f>VLOOKUP(Logfile_S12[[#This Row],[Material Name]],Sheet2!B:C,2,0)</f>
        <v>ZTE1007</v>
      </c>
      <c r="M1509" s="242" t="s">
        <v>19</v>
      </c>
      <c r="N1509" s="227">
        <v>26</v>
      </c>
      <c r="O1509" s="227" t="s">
        <v>4785</v>
      </c>
      <c r="P1509" s="227" t="s">
        <v>4786</v>
      </c>
      <c r="Q1509" s="227"/>
      <c r="R1509" s="227"/>
      <c r="S1509" s="227"/>
      <c r="T1509" s="221" t="s">
        <v>3258</v>
      </c>
      <c r="U1509" s="221" t="s">
        <v>4811</v>
      </c>
      <c r="V1509" s="221" t="s">
        <v>3337</v>
      </c>
      <c r="W1509" s="221" t="s">
        <v>3338</v>
      </c>
      <c r="X1509" s="227"/>
      <c r="Y1509" s="227"/>
      <c r="Z1509" s="227" t="str">
        <f t="shared" si="57"/>
        <v>DUSUN ARDIREJO KELURAHAN SIDEREJO MALANG</v>
      </c>
      <c r="AA1509" s="276" t="e">
        <f>VLOOKUP(Logfile_S12[[#This Row],[DO number]],DO_DB!G:I,3,0)</f>
        <v>#N/A</v>
      </c>
      <c r="AB1509" s="331" t="e">
        <f>EXACT(Logfile_S12[[#This Row],[date pick]],Logfile_S12[[#This Row],[Date]])</f>
        <v>#N/A</v>
      </c>
      <c r="AC15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10" spans="1:29" ht="14.5" hidden="1">
      <c r="A1510" s="237" t="str">
        <f t="shared" si="56"/>
        <v>1506</v>
      </c>
      <c r="B1510" s="221">
        <v>1</v>
      </c>
      <c r="C1510" s="227" t="s">
        <v>49</v>
      </c>
      <c r="D1510" s="227" t="s">
        <v>4770</v>
      </c>
      <c r="E1510" s="227" t="s">
        <v>3295</v>
      </c>
      <c r="F1510" s="227" t="s">
        <v>3299</v>
      </c>
      <c r="G1510" s="239">
        <v>46013</v>
      </c>
      <c r="H1510" s="240">
        <v>0.54166666666666663</v>
      </c>
      <c r="I1510" s="227" t="s">
        <v>3295</v>
      </c>
      <c r="J1510" s="221" t="s">
        <v>3023</v>
      </c>
      <c r="K1510" s="241" t="s">
        <v>4731</v>
      </c>
      <c r="L1510" s="225" t="str">
        <f>VLOOKUP(Logfile_S12[[#This Row],[Material Name]],Sheet2!B:C,2,0)</f>
        <v>ZTE1007</v>
      </c>
      <c r="M1510" s="242" t="s">
        <v>19</v>
      </c>
      <c r="N1510" s="227">
        <v>53</v>
      </c>
      <c r="O1510" s="227" t="s">
        <v>4785</v>
      </c>
      <c r="P1510" s="227" t="s">
        <v>4786</v>
      </c>
      <c r="Q1510" s="227"/>
      <c r="R1510" s="227"/>
      <c r="S1510" s="227"/>
      <c r="T1510" s="221" t="s">
        <v>3258</v>
      </c>
      <c r="U1510" s="221" t="s">
        <v>4811</v>
      </c>
      <c r="V1510" s="221" t="s">
        <v>3337</v>
      </c>
      <c r="W1510" s="221" t="s">
        <v>3338</v>
      </c>
      <c r="X1510" s="227"/>
      <c r="Y1510" s="227"/>
      <c r="Z1510" s="227" t="str">
        <f t="shared" si="57"/>
        <v>DUSUN ARDIREJO KELURAHAN SIDEREJO MALANG</v>
      </c>
      <c r="AA1510" s="276" t="e">
        <f>VLOOKUP(Logfile_S12[[#This Row],[DO number]],DO_DB!G:I,3,0)</f>
        <v>#N/A</v>
      </c>
      <c r="AB1510" s="331" t="e">
        <f>EXACT(Logfile_S12[[#This Row],[date pick]],Logfile_S12[[#This Row],[Date]])</f>
        <v>#N/A</v>
      </c>
      <c r="AC15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11" spans="1:29" ht="14.5" hidden="1">
      <c r="A1511" s="237" t="str">
        <f t="shared" si="56"/>
        <v>1507</v>
      </c>
      <c r="B1511" s="221">
        <v>1</v>
      </c>
      <c r="C1511" s="227" t="s">
        <v>49</v>
      </c>
      <c r="D1511" s="227" t="s">
        <v>4771</v>
      </c>
      <c r="E1511" s="227" t="s">
        <v>3295</v>
      </c>
      <c r="F1511" s="227" t="s">
        <v>3299</v>
      </c>
      <c r="G1511" s="239">
        <v>46014</v>
      </c>
      <c r="H1511" s="240">
        <v>0.33333333333333331</v>
      </c>
      <c r="I1511" s="227" t="s">
        <v>3295</v>
      </c>
      <c r="J1511" s="221" t="s">
        <v>3023</v>
      </c>
      <c r="K1511" s="241" t="s">
        <v>4731</v>
      </c>
      <c r="L1511" s="225" t="str">
        <f>VLOOKUP(Logfile_S12[[#This Row],[Material Name]],Sheet2!B:C,2,0)</f>
        <v>ZTE1007</v>
      </c>
      <c r="M1511" s="242" t="s">
        <v>19</v>
      </c>
      <c r="N1511" s="227">
        <v>52</v>
      </c>
      <c r="O1511" s="227" t="s">
        <v>4785</v>
      </c>
      <c r="P1511" s="227" t="s">
        <v>4786</v>
      </c>
      <c r="Q1511" s="227"/>
      <c r="R1511" s="227"/>
      <c r="S1511" s="227"/>
      <c r="T1511" s="221" t="s">
        <v>3258</v>
      </c>
      <c r="U1511" s="221" t="s">
        <v>4811</v>
      </c>
      <c r="V1511" s="221" t="s">
        <v>3337</v>
      </c>
      <c r="W1511" s="221" t="s">
        <v>3338</v>
      </c>
      <c r="X1511" s="227"/>
      <c r="Y1511" s="227"/>
      <c r="Z1511" s="227" t="str">
        <f t="shared" si="57"/>
        <v>DUSUN ARDIREJO KELURAHAN SIDEREJO MALANG</v>
      </c>
      <c r="AA1511" s="276" t="e">
        <f>VLOOKUP(Logfile_S12[[#This Row],[DO number]],DO_DB!G:I,3,0)</f>
        <v>#N/A</v>
      </c>
      <c r="AB1511" s="331" t="e">
        <f>EXACT(Logfile_S12[[#This Row],[date pick]],Logfile_S12[[#This Row],[Date]])</f>
        <v>#N/A</v>
      </c>
      <c r="AC15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12" spans="1:29" ht="14.5" hidden="1">
      <c r="A1512" s="237" t="str">
        <f t="shared" si="56"/>
        <v>1508</v>
      </c>
      <c r="B1512" s="221">
        <v>9</v>
      </c>
      <c r="C1512" s="227" t="s">
        <v>48</v>
      </c>
      <c r="D1512" s="227" t="s">
        <v>4812</v>
      </c>
      <c r="E1512" s="227" t="s">
        <v>3295</v>
      </c>
      <c r="F1512" s="227" t="s">
        <v>3299</v>
      </c>
      <c r="G1512" s="239">
        <v>46041</v>
      </c>
      <c r="H1512" s="240">
        <v>0.25138888888888888</v>
      </c>
      <c r="I1512" s="227" t="s">
        <v>37</v>
      </c>
      <c r="J1512" s="221" t="s">
        <v>3023</v>
      </c>
      <c r="K1512" s="241" t="s">
        <v>4731</v>
      </c>
      <c r="L1512" s="225" t="str">
        <f>VLOOKUP(Logfile_S12[[#This Row],[Material Name]],Sheet2!B:C,2,0)</f>
        <v>ZTE1007</v>
      </c>
      <c r="M1512" s="242" t="s">
        <v>19</v>
      </c>
      <c r="N1512" s="227">
        <v>6</v>
      </c>
      <c r="O1512" s="227" t="s">
        <v>4814</v>
      </c>
      <c r="P1512" s="227" t="s">
        <v>4816</v>
      </c>
      <c r="Q1512" s="227" t="s">
        <v>4818</v>
      </c>
      <c r="R1512" s="227" t="s">
        <v>4817</v>
      </c>
      <c r="S1512" s="227"/>
      <c r="T1512" s="227" t="s">
        <v>3258</v>
      </c>
      <c r="U1512" s="227" t="s">
        <v>4811</v>
      </c>
      <c r="V1512" s="221" t="s">
        <v>3337</v>
      </c>
      <c r="W1512" s="227" t="s">
        <v>3338</v>
      </c>
      <c r="X1512" s="227"/>
      <c r="Y1512" s="227"/>
      <c r="Z1512" s="227" t="str">
        <f t="shared" si="57"/>
        <v>Griya Kebon Agung Indah</v>
      </c>
      <c r="AA1512" s="276">
        <f>VLOOKUP(Logfile_S12[[#This Row],[DO number]],DO_DB!G:I,3,0)</f>
        <v>46041</v>
      </c>
      <c r="AB1512" s="331" t="b">
        <f>EXACT(Logfile_S12[[#This Row],[date pick]],Logfile_S12[[#This Row],[Date]])</f>
        <v>1</v>
      </c>
      <c r="AC15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13" spans="1:29" ht="14.5" hidden="1">
      <c r="A1513" s="237" t="str">
        <f t="shared" si="56"/>
        <v>1509</v>
      </c>
      <c r="B1513" s="221">
        <v>3</v>
      </c>
      <c r="C1513" s="227" t="s">
        <v>48</v>
      </c>
      <c r="D1513" s="227" t="s">
        <v>4812</v>
      </c>
      <c r="E1513" s="227" t="s">
        <v>3295</v>
      </c>
      <c r="F1513" s="227" t="s">
        <v>3299</v>
      </c>
      <c r="G1513" s="239">
        <v>46041</v>
      </c>
      <c r="H1513" s="240">
        <v>0.25138888888888888</v>
      </c>
      <c r="I1513" s="227" t="s">
        <v>37</v>
      </c>
      <c r="J1513" s="221" t="s">
        <v>3023</v>
      </c>
      <c r="K1513" s="241" t="s">
        <v>4731</v>
      </c>
      <c r="L1513" s="225" t="str">
        <f>VLOOKUP(Logfile_S12[[#This Row],[Material Name]],Sheet2!B:C,2,0)</f>
        <v>ZTE1007</v>
      </c>
      <c r="M1513" s="242" t="s">
        <v>19</v>
      </c>
      <c r="N1513" s="227">
        <v>12</v>
      </c>
      <c r="O1513" s="227" t="s">
        <v>4813</v>
      </c>
      <c r="P1513" s="227" t="s">
        <v>4815</v>
      </c>
      <c r="Q1513" s="227" t="s">
        <v>4820</v>
      </c>
      <c r="R1513" s="227" t="s">
        <v>4819</v>
      </c>
      <c r="S1513" s="227"/>
      <c r="T1513" s="227" t="s">
        <v>3258</v>
      </c>
      <c r="U1513" s="227" t="s">
        <v>4811</v>
      </c>
      <c r="V1513" s="221" t="s">
        <v>3337</v>
      </c>
      <c r="W1513" s="227" t="s">
        <v>3338</v>
      </c>
      <c r="X1513" s="227"/>
      <c r="Y1513" s="227"/>
      <c r="Z1513" s="227" t="str">
        <f t="shared" si="57"/>
        <v>KEBONAGUNG RW 06 PAKISAJI</v>
      </c>
      <c r="AA1513" s="276">
        <f>VLOOKUP(Logfile_S12[[#This Row],[DO number]],DO_DB!G:I,3,0)</f>
        <v>46041</v>
      </c>
      <c r="AB1513" s="331" t="b">
        <f>EXACT(Logfile_S12[[#This Row],[date pick]],Logfile_S12[[#This Row],[Date]])</f>
        <v>1</v>
      </c>
      <c r="AC15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14" spans="1:29" ht="14.5" hidden="1">
      <c r="A1514" s="237" t="str">
        <f t="shared" si="56"/>
        <v>1510</v>
      </c>
      <c r="B1514" s="221">
        <v>2</v>
      </c>
      <c r="C1514" s="227" t="s">
        <v>49</v>
      </c>
      <c r="D1514" s="227" t="s">
        <v>4823</v>
      </c>
      <c r="E1514" s="227" t="s">
        <v>3295</v>
      </c>
      <c r="F1514" s="227" t="s">
        <v>3299</v>
      </c>
      <c r="G1514" s="239">
        <v>46042</v>
      </c>
      <c r="H1514" s="240">
        <v>0.68888888888888899</v>
      </c>
      <c r="I1514" s="227" t="s">
        <v>3295</v>
      </c>
      <c r="J1514" s="221" t="s">
        <v>3023</v>
      </c>
      <c r="K1514" s="241" t="s">
        <v>4731</v>
      </c>
      <c r="L1514" s="225" t="str">
        <f>VLOOKUP(Logfile_S12[[#This Row],[Material Name]],Sheet2!B:C,2,0)</f>
        <v>ZTE1007</v>
      </c>
      <c r="M1514" s="242" t="s">
        <v>19</v>
      </c>
      <c r="N1514" s="227">
        <v>6</v>
      </c>
      <c r="O1514" s="227" t="s">
        <v>4813</v>
      </c>
      <c r="P1514" s="227" t="s">
        <v>4816</v>
      </c>
      <c r="Q1514" s="227" t="s">
        <v>4818</v>
      </c>
      <c r="R1514" s="227" t="s">
        <v>4819</v>
      </c>
      <c r="S1514" s="227"/>
      <c r="T1514" s="227" t="s">
        <v>3258</v>
      </c>
      <c r="U1514" s="227" t="s">
        <v>4811</v>
      </c>
      <c r="V1514" s="227" t="s">
        <v>3337</v>
      </c>
      <c r="W1514" s="227" t="s">
        <v>3338</v>
      </c>
      <c r="X1514" s="227"/>
      <c r="Y1514" s="227"/>
      <c r="Z1514" s="227" t="str">
        <f t="shared" si="57"/>
        <v>Griya Kebon Agung Indah</v>
      </c>
      <c r="AA1514" s="276">
        <f>VLOOKUP(Logfile_S12[[#This Row],[DO number]],DO_DB!G:I,3,0)</f>
        <v>46041</v>
      </c>
      <c r="AB1514" s="331" t="b">
        <f>EXACT(Logfile_S12[[#This Row],[date pick]],Logfile_S12[[#This Row],[Date]])</f>
        <v>0</v>
      </c>
      <c r="AC15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15" spans="1:29" ht="14.5" hidden="1">
      <c r="A1515" s="237" t="str">
        <f t="shared" si="56"/>
        <v>1511</v>
      </c>
      <c r="B1515" s="221">
        <v>2</v>
      </c>
      <c r="C1515" s="227" t="s">
        <v>49</v>
      </c>
      <c r="D1515" s="227" t="s">
        <v>4822</v>
      </c>
      <c r="E1515" s="227" t="s">
        <v>3295</v>
      </c>
      <c r="F1515" s="227" t="s">
        <v>3299</v>
      </c>
      <c r="G1515" s="239">
        <v>46042</v>
      </c>
      <c r="H1515" s="240">
        <v>0.68888888888888899</v>
      </c>
      <c r="I1515" s="227" t="s">
        <v>3295</v>
      </c>
      <c r="J1515" s="221" t="s">
        <v>3023</v>
      </c>
      <c r="K1515" s="241" t="s">
        <v>4731</v>
      </c>
      <c r="L1515" s="225" t="str">
        <f>VLOOKUP(Logfile_S12[[#This Row],[Material Name]],Sheet2!B:C,2,0)</f>
        <v>ZTE1007</v>
      </c>
      <c r="M1515" s="242" t="s">
        <v>19</v>
      </c>
      <c r="N1515" s="227">
        <v>12</v>
      </c>
      <c r="O1515" s="227" t="s">
        <v>4813</v>
      </c>
      <c r="P1515" s="227" t="s">
        <v>4815</v>
      </c>
      <c r="Q1515" s="227" t="s">
        <v>4820</v>
      </c>
      <c r="R1515" s="227" t="s">
        <v>4819</v>
      </c>
      <c r="S1515" s="227"/>
      <c r="T1515" s="227" t="s">
        <v>3258</v>
      </c>
      <c r="U1515" s="227" t="s">
        <v>4811</v>
      </c>
      <c r="V1515" s="221" t="s">
        <v>3337</v>
      </c>
      <c r="W1515" s="227" t="s">
        <v>3338</v>
      </c>
      <c r="X1515" s="227"/>
      <c r="Y1515" s="227"/>
      <c r="Z1515" s="227" t="str">
        <f t="shared" si="57"/>
        <v>KEBONAGUNG RW 06 PAKISAJI</v>
      </c>
      <c r="AA1515" s="276">
        <f>VLOOKUP(Logfile_S12[[#This Row],[DO number]],DO_DB!G:I,3,0)</f>
        <v>46041</v>
      </c>
      <c r="AB1515" s="331" t="b">
        <f>EXACT(Logfile_S12[[#This Row],[date pick]],Logfile_S12[[#This Row],[Date]])</f>
        <v>0</v>
      </c>
      <c r="AC15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16" spans="1:29" ht="14.5" hidden="1">
      <c r="A1516" s="237" t="str">
        <f t="shared" si="56"/>
        <v>1512</v>
      </c>
      <c r="B1516" s="221"/>
      <c r="C1516" s="227" t="s">
        <v>48</v>
      </c>
      <c r="D1516" s="227" t="s">
        <v>4832</v>
      </c>
      <c r="E1516" s="227" t="s">
        <v>3295</v>
      </c>
      <c r="F1516" s="227" t="s">
        <v>3299</v>
      </c>
      <c r="G1516" s="239">
        <v>46042</v>
      </c>
      <c r="H1516" s="240">
        <v>0.25138888888888888</v>
      </c>
      <c r="I1516" s="227" t="s">
        <v>3586</v>
      </c>
      <c r="J1516" s="227" t="s">
        <v>3023</v>
      </c>
      <c r="K1516" s="241" t="s">
        <v>4731</v>
      </c>
      <c r="L1516" s="242" t="str">
        <f>VLOOKUP(Logfile_S12[[#This Row],[Material Name]],Sheet2!B:C,2,0)</f>
        <v>ZTE1007</v>
      </c>
      <c r="M1516" s="242" t="s">
        <v>19</v>
      </c>
      <c r="N1516" s="227">
        <v>6</v>
      </c>
      <c r="O1516" s="227" t="s">
        <v>4813</v>
      </c>
      <c r="P1516" s="227" t="s">
        <v>4815</v>
      </c>
      <c r="Q1516" s="227"/>
      <c r="R1516" s="227"/>
      <c r="S1516" s="227"/>
      <c r="T1516" s="227"/>
      <c r="U1516" s="227"/>
      <c r="V1516" s="227"/>
      <c r="W1516" s="227"/>
      <c r="X1516" s="227"/>
      <c r="Y1516" s="227"/>
      <c r="Z1516" s="227" t="str">
        <f t="shared" si="57"/>
        <v>KEBONAGUNG RW 06 PAKISAJI</v>
      </c>
      <c r="AA1516" s="276" t="e">
        <f>VLOOKUP(Logfile_S12[[#This Row],[DO number]],DO_DB!G:I,3,0)</f>
        <v>#N/A</v>
      </c>
      <c r="AB1516" s="331" t="e">
        <f>EXACT(Logfile_S12[[#This Row],[date pick]],Logfile_S12[[#This Row],[Date]])</f>
        <v>#N/A</v>
      </c>
      <c r="AC15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17" spans="1:29" ht="14.5" hidden="1">
      <c r="A1517" s="237" t="str">
        <f t="shared" si="56"/>
        <v>1513</v>
      </c>
      <c r="B1517" s="221">
        <v>2</v>
      </c>
      <c r="C1517" s="227" t="s">
        <v>48</v>
      </c>
      <c r="D1517" s="227" t="s">
        <v>4829</v>
      </c>
      <c r="E1517" s="227" t="s">
        <v>3295</v>
      </c>
      <c r="F1517" s="227" t="s">
        <v>3299</v>
      </c>
      <c r="G1517" s="239">
        <v>46087</v>
      </c>
      <c r="H1517" s="240">
        <v>0.79166666666666663</v>
      </c>
      <c r="I1517" s="227" t="s">
        <v>37</v>
      </c>
      <c r="J1517" s="221" t="s">
        <v>3023</v>
      </c>
      <c r="K1517" s="241" t="s">
        <v>4731</v>
      </c>
      <c r="L1517" s="225" t="str">
        <f>VLOOKUP(Logfile_S12[[#This Row],[Material Name]],Sheet2!B:C,2,0)</f>
        <v>ZTE1007</v>
      </c>
      <c r="M1517" s="242" t="s">
        <v>19</v>
      </c>
      <c r="N1517" s="227">
        <v>13</v>
      </c>
      <c r="O1517" s="227" t="s">
        <v>4835</v>
      </c>
      <c r="P1517" s="227" t="s">
        <v>4836</v>
      </c>
      <c r="Q1517" s="221" t="s">
        <v>4849</v>
      </c>
      <c r="R1517" s="221" t="s">
        <v>4852</v>
      </c>
      <c r="S1517" s="227"/>
      <c r="T1517" s="227"/>
      <c r="U1517" s="227"/>
      <c r="V1517" s="227"/>
      <c r="W1517" s="227"/>
      <c r="X1517" s="227"/>
      <c r="Y1517" s="227"/>
      <c r="Z1517" s="227" t="str">
        <f t="shared" si="57"/>
        <v>LESANPURO RW 01 MALANG</v>
      </c>
      <c r="AA1517" s="276">
        <f>VLOOKUP(Logfile_S12[[#This Row],[DO number]],DO_DB!G:I,3,0)</f>
        <v>46087</v>
      </c>
      <c r="AB1517" s="331" t="b">
        <f>EXACT(Logfile_S12[[#This Row],[date pick]],Logfile_S12[[#This Row],[Date]])</f>
        <v>1</v>
      </c>
      <c r="AC15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18" spans="1:29" ht="14.5" hidden="1">
      <c r="A1518" s="237" t="str">
        <f t="shared" si="56"/>
        <v>1514</v>
      </c>
      <c r="B1518" s="221">
        <v>2</v>
      </c>
      <c r="C1518" s="227" t="s">
        <v>49</v>
      </c>
      <c r="D1518" s="227" t="s">
        <v>4833</v>
      </c>
      <c r="E1518" s="227" t="s">
        <v>3295</v>
      </c>
      <c r="F1518" s="227" t="s">
        <v>3299</v>
      </c>
      <c r="G1518" s="239">
        <v>46090</v>
      </c>
      <c r="H1518" s="240">
        <v>0.79166666666666663</v>
      </c>
      <c r="I1518" s="227" t="s">
        <v>3295</v>
      </c>
      <c r="J1518" s="221" t="s">
        <v>3023</v>
      </c>
      <c r="K1518" s="241" t="s">
        <v>4731</v>
      </c>
      <c r="L1518" s="225" t="str">
        <f>VLOOKUP(Logfile_S12[[#This Row],[Material Name]],Sheet2!B:C,2,0)</f>
        <v>ZTE1007</v>
      </c>
      <c r="M1518" s="242" t="s">
        <v>19</v>
      </c>
      <c r="N1518" s="227">
        <v>13</v>
      </c>
      <c r="O1518" s="227" t="s">
        <v>4835</v>
      </c>
      <c r="P1518" s="227" t="s">
        <v>4836</v>
      </c>
      <c r="Q1518" s="227"/>
      <c r="R1518" s="227"/>
      <c r="S1518" s="227"/>
      <c r="T1518" s="221" t="s">
        <v>3258</v>
      </c>
      <c r="U1518" s="221" t="s">
        <v>4811</v>
      </c>
      <c r="V1518" s="221" t="s">
        <v>3337</v>
      </c>
      <c r="W1518" s="221" t="s">
        <v>3338</v>
      </c>
      <c r="X1518" s="227"/>
      <c r="Y1518" s="227"/>
      <c r="Z1518" s="227" t="str">
        <f t="shared" si="57"/>
        <v>LESANPURO RW 01 MALANG</v>
      </c>
      <c r="AA1518" s="276" t="e">
        <f>VLOOKUP(Logfile_S12[[#This Row],[DO number]],DO_DB!G:I,3,0)</f>
        <v>#N/A</v>
      </c>
      <c r="AB1518" s="331" t="e">
        <f>EXACT(Logfile_S12[[#This Row],[date pick]],Logfile_S12[[#This Row],[Date]])</f>
        <v>#N/A</v>
      </c>
      <c r="AC15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19" spans="1:29" ht="14.5" hidden="1">
      <c r="A1519" s="237" t="str">
        <f t="shared" si="56"/>
        <v>1515</v>
      </c>
      <c r="B1519" s="221"/>
      <c r="C1519" s="227" t="s">
        <v>49</v>
      </c>
      <c r="D1519" s="227" t="s">
        <v>4858</v>
      </c>
      <c r="E1519" s="227" t="s">
        <v>3295</v>
      </c>
      <c r="F1519" s="227" t="s">
        <v>3299</v>
      </c>
      <c r="G1519" s="239">
        <v>46091</v>
      </c>
      <c r="H1519" s="240">
        <v>0.79166666666666663</v>
      </c>
      <c r="I1519" s="227" t="s">
        <v>3295</v>
      </c>
      <c r="J1519" s="221" t="s">
        <v>3023</v>
      </c>
      <c r="K1519" s="241" t="s">
        <v>4731</v>
      </c>
      <c r="L1519" s="242" t="str">
        <f>VLOOKUP(Logfile_S12[[#This Row],[Material Name]],Sheet2!B:C,2,0)</f>
        <v>ZTE1007</v>
      </c>
      <c r="M1519" s="242" t="s">
        <v>19</v>
      </c>
      <c r="N1519" s="227">
        <v>3</v>
      </c>
      <c r="O1519" s="227" t="s">
        <v>4835</v>
      </c>
      <c r="P1519" s="227" t="s">
        <v>4836</v>
      </c>
      <c r="Q1519" s="227"/>
      <c r="R1519" s="227"/>
      <c r="S1519" s="227"/>
      <c r="T1519" s="221" t="s">
        <v>3258</v>
      </c>
      <c r="U1519" s="221" t="s">
        <v>4811</v>
      </c>
      <c r="V1519" s="221" t="s">
        <v>3337</v>
      </c>
      <c r="W1519" s="221" t="s">
        <v>3338</v>
      </c>
      <c r="X1519" s="227"/>
      <c r="Y1519" s="227"/>
      <c r="Z1519" s="227" t="str">
        <f t="shared" si="57"/>
        <v>LESANPURO RW 01 MALANG</v>
      </c>
      <c r="AA1519" s="276" t="e">
        <f>VLOOKUP(Logfile_S12[[#This Row],[DO number]],DO_DB!G:I,3,0)</f>
        <v>#N/A</v>
      </c>
      <c r="AB1519" s="331" t="e">
        <f>EXACT(Logfile_S12[[#This Row],[date pick]],Logfile_S12[[#This Row],[Date]])</f>
        <v>#N/A</v>
      </c>
      <c r="AC15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20" spans="1:29" ht="14.5" hidden="1">
      <c r="A1520" s="237" t="str">
        <f t="shared" si="56"/>
        <v>1516</v>
      </c>
      <c r="B1520" s="221">
        <v>2</v>
      </c>
      <c r="C1520" s="227" t="s">
        <v>48</v>
      </c>
      <c r="D1520" s="227" t="s">
        <v>4837</v>
      </c>
      <c r="E1520" s="227" t="s">
        <v>3295</v>
      </c>
      <c r="F1520" s="227" t="s">
        <v>3299</v>
      </c>
      <c r="G1520" s="239">
        <v>46093</v>
      </c>
      <c r="H1520" s="240">
        <v>0.79166666666666663</v>
      </c>
      <c r="I1520" s="227" t="s">
        <v>37</v>
      </c>
      <c r="J1520" s="221" t="s">
        <v>3023</v>
      </c>
      <c r="K1520" s="241" t="s">
        <v>4731</v>
      </c>
      <c r="L1520" s="225" t="str">
        <f>VLOOKUP(Logfile_S12[[#This Row],[Material Name]],Sheet2!B:C,2,0)</f>
        <v>ZTE1007</v>
      </c>
      <c r="M1520" s="242" t="s">
        <v>19</v>
      </c>
      <c r="N1520" s="227">
        <v>11</v>
      </c>
      <c r="O1520" s="227" t="s">
        <v>4839</v>
      </c>
      <c r="P1520" s="227" t="s">
        <v>4840</v>
      </c>
      <c r="Q1520" s="221" t="s">
        <v>4851</v>
      </c>
      <c r="R1520" s="221" t="s">
        <v>4854</v>
      </c>
      <c r="S1520" s="227"/>
      <c r="T1520" s="227"/>
      <c r="U1520" s="227"/>
      <c r="V1520" s="227"/>
      <c r="W1520" s="227"/>
      <c r="X1520" s="227"/>
      <c r="Y1520" s="227"/>
      <c r="Z1520" s="227" t="str">
        <f t="shared" si="57"/>
        <v>SEKARPURO RW 05 MALANG</v>
      </c>
      <c r="AA1520" s="276">
        <f>VLOOKUP(Logfile_S12[[#This Row],[DO number]],DO_DB!G:I,3,0)</f>
        <v>46093</v>
      </c>
      <c r="AB1520" s="331" t="b">
        <f>EXACT(Logfile_S12[[#This Row],[date pick]],Logfile_S12[[#This Row],[Date]])</f>
        <v>1</v>
      </c>
      <c r="AC15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21" spans="1:29" ht="14.5" hidden="1">
      <c r="A1521" s="237" t="str">
        <f t="shared" si="56"/>
        <v>1517</v>
      </c>
      <c r="B1521" s="221"/>
      <c r="C1521" s="227" t="s">
        <v>49</v>
      </c>
      <c r="D1521" s="227" t="s">
        <v>4838</v>
      </c>
      <c r="E1521" s="227" t="s">
        <v>3295</v>
      </c>
      <c r="F1521" s="227" t="s">
        <v>3299</v>
      </c>
      <c r="G1521" s="239">
        <v>46095</v>
      </c>
      <c r="H1521" s="240">
        <v>0.79166666666666663</v>
      </c>
      <c r="I1521" s="227" t="s">
        <v>3295</v>
      </c>
      <c r="J1521" s="227" t="s">
        <v>3023</v>
      </c>
      <c r="K1521" s="241" t="s">
        <v>4731</v>
      </c>
      <c r="L1521" s="242" t="str">
        <f>VLOOKUP(Logfile_S12[[#This Row],[Material Name]],Sheet2!B:C,2,0)</f>
        <v>ZTE1007</v>
      </c>
      <c r="M1521" s="242" t="s">
        <v>19</v>
      </c>
      <c r="N1521" s="227">
        <v>1</v>
      </c>
      <c r="O1521" s="247" t="s">
        <v>4841</v>
      </c>
      <c r="P1521" s="224" t="s">
        <v>4842</v>
      </c>
      <c r="Q1521" s="227"/>
      <c r="R1521" s="227"/>
      <c r="S1521" s="227"/>
      <c r="T1521" s="221" t="s">
        <v>3258</v>
      </c>
      <c r="U1521" s="221" t="s">
        <v>4811</v>
      </c>
      <c r="V1521" s="221" t="s">
        <v>3337</v>
      </c>
      <c r="W1521" s="221" t="s">
        <v>3338</v>
      </c>
      <c r="X1521" s="227"/>
      <c r="Y1521" s="227"/>
      <c r="Z1521" s="227" t="str">
        <f t="shared" si="57"/>
        <v>SEKARPURO RW 08 MALANG</v>
      </c>
      <c r="AA1521" s="276" t="e">
        <f>VLOOKUP(Logfile_S12[[#This Row],[DO number]],DO_DB!G:I,3,0)</f>
        <v>#N/A</v>
      </c>
      <c r="AB1521" s="331" t="e">
        <f>EXACT(Logfile_S12[[#This Row],[date pick]],Logfile_S12[[#This Row],[Date]])</f>
        <v>#N/A</v>
      </c>
      <c r="AC15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22" spans="1:29" ht="14.5" hidden="1">
      <c r="A1522" s="237" t="str">
        <f t="shared" si="56"/>
        <v>1518</v>
      </c>
      <c r="B1522" s="221">
        <v>2</v>
      </c>
      <c r="C1522" s="227" t="s">
        <v>49</v>
      </c>
      <c r="D1522" s="227" t="s">
        <v>4838</v>
      </c>
      <c r="E1522" s="227" t="s">
        <v>3295</v>
      </c>
      <c r="F1522" s="227" t="s">
        <v>3299</v>
      </c>
      <c r="G1522" s="239">
        <v>46095</v>
      </c>
      <c r="H1522" s="240">
        <v>0.79166666666666663</v>
      </c>
      <c r="I1522" s="227" t="s">
        <v>3295</v>
      </c>
      <c r="J1522" s="221" t="s">
        <v>3023</v>
      </c>
      <c r="K1522" s="241" t="s">
        <v>4731</v>
      </c>
      <c r="L1522" s="225" t="str">
        <f>VLOOKUP(Logfile_S12[[#This Row],[Material Name]],Sheet2!B:C,2,0)</f>
        <v>ZTE1007</v>
      </c>
      <c r="M1522" s="242" t="s">
        <v>19</v>
      </c>
      <c r="N1522" s="227">
        <v>10</v>
      </c>
      <c r="O1522" s="227" t="s">
        <v>4839</v>
      </c>
      <c r="P1522" s="227" t="s">
        <v>4840</v>
      </c>
      <c r="Q1522" s="227"/>
      <c r="R1522" s="227"/>
      <c r="S1522" s="227"/>
      <c r="T1522" s="221" t="s">
        <v>3258</v>
      </c>
      <c r="U1522" s="221" t="s">
        <v>4811</v>
      </c>
      <c r="V1522" s="221" t="s">
        <v>3337</v>
      </c>
      <c r="W1522" s="221" t="s">
        <v>3338</v>
      </c>
      <c r="X1522" s="227"/>
      <c r="Y1522" s="227"/>
      <c r="Z1522" s="227" t="str">
        <f t="shared" si="57"/>
        <v>SEKARPURO RW 05 MALANG</v>
      </c>
      <c r="AA1522" s="276" t="e">
        <f>VLOOKUP(Logfile_S12[[#This Row],[DO number]],DO_DB!G:I,3,0)</f>
        <v>#N/A</v>
      </c>
      <c r="AB1522" s="331" t="e">
        <f>EXACT(Logfile_S12[[#This Row],[date pick]],Logfile_S12[[#This Row],[Date]])</f>
        <v>#N/A</v>
      </c>
      <c r="AC15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23" spans="1:29" ht="14.5" hidden="1">
      <c r="A1523" s="237" t="str">
        <f t="shared" si="56"/>
        <v>1519</v>
      </c>
      <c r="B1523" s="221"/>
      <c r="C1523" s="227" t="s">
        <v>48</v>
      </c>
      <c r="D1523" s="227" t="s">
        <v>4843</v>
      </c>
      <c r="E1523" s="227" t="s">
        <v>3295</v>
      </c>
      <c r="F1523" s="227" t="s">
        <v>3299</v>
      </c>
      <c r="G1523" s="239">
        <v>46096</v>
      </c>
      <c r="H1523" s="240">
        <v>0.79166666666666663</v>
      </c>
      <c r="I1523" s="221" t="s">
        <v>3586</v>
      </c>
      <c r="J1523" s="221" t="s">
        <v>3023</v>
      </c>
      <c r="K1523" s="241" t="s">
        <v>4731</v>
      </c>
      <c r="L1523" s="225" t="str">
        <f>VLOOKUP(Logfile_S12[[#This Row],[Material Name]],Sheet2!B:C,2,0)</f>
        <v>ZTE1007</v>
      </c>
      <c r="M1523" s="242" t="s">
        <v>19</v>
      </c>
      <c r="N1523" s="227">
        <v>6</v>
      </c>
      <c r="O1523" s="227" t="s">
        <v>4839</v>
      </c>
      <c r="P1523" s="227" t="s">
        <v>4840</v>
      </c>
      <c r="Q1523" s="227"/>
      <c r="R1523" s="227"/>
      <c r="S1523" s="227"/>
      <c r="T1523" s="227"/>
      <c r="U1523" s="227"/>
      <c r="V1523" s="227"/>
      <c r="W1523" s="227"/>
      <c r="X1523" s="227"/>
      <c r="Y1523" s="227"/>
      <c r="Z1523" s="227" t="str">
        <f t="shared" si="57"/>
        <v>SEKARPURO RW 05 MALANG</v>
      </c>
      <c r="AA1523" s="276" t="e">
        <f>VLOOKUP(Logfile_S12[[#This Row],[DO number]],DO_DB!G:I,3,0)</f>
        <v>#N/A</v>
      </c>
      <c r="AB1523" s="331" t="e">
        <f>EXACT(Logfile_S12[[#This Row],[date pick]],Logfile_S12[[#This Row],[Date]])</f>
        <v>#N/A</v>
      </c>
      <c r="AC15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24" spans="1:29" ht="14.5" hidden="1">
      <c r="A1524" s="237" t="str">
        <f t="shared" si="56"/>
        <v>1520</v>
      </c>
      <c r="B1524" s="221">
        <v>2</v>
      </c>
      <c r="C1524" s="227" t="s">
        <v>49</v>
      </c>
      <c r="D1524" s="227" t="s">
        <v>4845</v>
      </c>
      <c r="E1524" s="227" t="s">
        <v>3295</v>
      </c>
      <c r="F1524" s="227" t="s">
        <v>3299</v>
      </c>
      <c r="G1524" s="239">
        <v>46133</v>
      </c>
      <c r="H1524" s="240">
        <v>0.29166666666666669</v>
      </c>
      <c r="I1524" s="227" t="s">
        <v>3295</v>
      </c>
      <c r="J1524" s="221" t="s">
        <v>3023</v>
      </c>
      <c r="K1524" s="241" t="s">
        <v>4731</v>
      </c>
      <c r="L1524" s="242" t="str">
        <f>VLOOKUP(Logfile_S12[[#This Row],[Material Name]],Sheet2!B:C,2,0)</f>
        <v>ZTE1007</v>
      </c>
      <c r="M1524" s="242" t="s">
        <v>19</v>
      </c>
      <c r="N1524" s="227">
        <v>5</v>
      </c>
      <c r="O1524" s="227" t="s">
        <v>4847</v>
      </c>
      <c r="P1524" s="227" t="s">
        <v>4846</v>
      </c>
      <c r="Q1524" s="227"/>
      <c r="R1524" s="227"/>
      <c r="S1524" s="227"/>
      <c r="T1524" s="221" t="s">
        <v>3258</v>
      </c>
      <c r="U1524" s="221" t="s">
        <v>4811</v>
      </c>
      <c r="V1524" s="221" t="s">
        <v>3337</v>
      </c>
      <c r="W1524" s="221" t="s">
        <v>3338</v>
      </c>
      <c r="X1524" s="227"/>
      <c r="Y1524" s="227"/>
      <c r="Z1524" s="227" t="str">
        <f t="shared" si="57"/>
        <v>SEKARPURO RW 04 MALANG</v>
      </c>
      <c r="AA1524" s="276" t="e">
        <f>VLOOKUP(Logfile_S12[[#This Row],[DO number]],DO_DB!G:I,3,0)</f>
        <v>#N/A</v>
      </c>
      <c r="AB1524" s="331" t="e">
        <f>EXACT(Logfile_S12[[#This Row],[date pick]],Logfile_S12[[#This Row],[Date]])</f>
        <v>#N/A</v>
      </c>
      <c r="AC15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25" spans="1:29" ht="14.5" hidden="1">
      <c r="A1525" s="228" t="str">
        <f t="shared" si="56"/>
        <v>1521</v>
      </c>
      <c r="B1525" s="229">
        <v>3</v>
      </c>
      <c r="C1525" s="230" t="s">
        <v>48</v>
      </c>
      <c r="D1525" s="230" t="s">
        <v>4848</v>
      </c>
      <c r="E1525" s="230" t="s">
        <v>3295</v>
      </c>
      <c r="F1525" s="230" t="s">
        <v>3299</v>
      </c>
      <c r="G1525" s="231">
        <v>46134</v>
      </c>
      <c r="H1525" s="232">
        <v>0.25</v>
      </c>
      <c r="I1525" s="230" t="s">
        <v>37</v>
      </c>
      <c r="J1525" s="229" t="s">
        <v>3023</v>
      </c>
      <c r="K1525" s="233" t="s">
        <v>4731</v>
      </c>
      <c r="L1525" s="234" t="str">
        <f>VLOOKUP(Logfile_S12[[#This Row],[Material Name]],Sheet2!B:C,2,0)</f>
        <v>ZTE1007</v>
      </c>
      <c r="M1525" s="234" t="s">
        <v>19</v>
      </c>
      <c r="N1525" s="230">
        <v>0</v>
      </c>
      <c r="O1525" s="230" t="s">
        <v>4429</v>
      </c>
      <c r="P1525" s="230" t="s">
        <v>4429</v>
      </c>
      <c r="Q1525" s="230"/>
      <c r="R1525" s="230"/>
      <c r="S1525" s="230"/>
      <c r="T1525" s="230"/>
      <c r="U1525" s="230"/>
      <c r="V1525" s="230"/>
      <c r="W1525" s="230"/>
      <c r="X1525" s="230" t="s">
        <v>4429</v>
      </c>
      <c r="Y1525" s="227"/>
      <c r="Z1525" s="227" t="str">
        <f t="shared" si="57"/>
        <v>ADJUSTMENT</v>
      </c>
      <c r="AA1525" s="276" t="e">
        <f>VLOOKUP(Logfile_S12[[#This Row],[DO number]],DO_DB!G:I,3,0)</f>
        <v>#N/A</v>
      </c>
      <c r="AB1525" s="331" t="e">
        <f>EXACT(Logfile_S12[[#This Row],[date pick]],Logfile_S12[[#This Row],[Date]])</f>
        <v>#N/A</v>
      </c>
      <c r="AC15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26" spans="1:29" ht="14.5" hidden="1">
      <c r="A1526" s="237" t="str">
        <f t="shared" si="56"/>
        <v>1522</v>
      </c>
      <c r="B1526" s="221">
        <v>1</v>
      </c>
      <c r="C1526" s="227" t="s">
        <v>48</v>
      </c>
      <c r="D1526" s="227" t="s">
        <v>4865</v>
      </c>
      <c r="E1526" s="227" t="s">
        <v>3295</v>
      </c>
      <c r="F1526" s="227" t="s">
        <v>3299</v>
      </c>
      <c r="G1526" s="239">
        <v>46151</v>
      </c>
      <c r="H1526" s="240">
        <v>0.61527777777777781</v>
      </c>
      <c r="I1526" s="227" t="s">
        <v>37</v>
      </c>
      <c r="J1526" s="227" t="s">
        <v>3023</v>
      </c>
      <c r="K1526" s="241" t="s">
        <v>4731</v>
      </c>
      <c r="L1526" s="242" t="str">
        <f>VLOOKUP(Logfile_S12[[#This Row],[Material Name]],Sheet2!B:C,2,0)</f>
        <v>ZTE1007</v>
      </c>
      <c r="M1526" s="242" t="str">
        <f>_xlfn.XLOOKUP(Logfile_S12[[#This Row],[Material Name]],Sum_WH!E:E,Sum_WH!F:F,"",0)</f>
        <v>Pcs</v>
      </c>
      <c r="N1526" s="227">
        <v>14</v>
      </c>
      <c r="O1526" s="221" t="s">
        <v>4866</v>
      </c>
      <c r="P1526" s="221" t="s">
        <v>4867</v>
      </c>
      <c r="Q1526" s="221" t="s">
        <v>4868</v>
      </c>
      <c r="R1526" s="221" t="s">
        <v>4872</v>
      </c>
      <c r="S1526" s="227"/>
      <c r="T1526" s="227"/>
      <c r="U1526" s="227"/>
      <c r="V1526" s="227"/>
      <c r="W1526" s="227"/>
      <c r="X1526" s="227"/>
      <c r="Y1526" s="227"/>
      <c r="Z1526" s="227" t="str">
        <f t="shared" si="57"/>
        <v>WONOKOYO RW 05 KEDUNGKANDANG</v>
      </c>
      <c r="AA1526" s="276">
        <f>VLOOKUP(Logfile_S12[[#This Row],[DO number]],DO_DB!G:I,3,0)</f>
        <v>46151</v>
      </c>
      <c r="AB1526" s="331" t="b">
        <f>EXACT(Logfile_S12[[#This Row],[date pick]],Logfile_S12[[#This Row],[Date]])</f>
        <v>1</v>
      </c>
      <c r="AC15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27" spans="1:29" ht="14.5" hidden="1">
      <c r="A1527" s="237" t="str">
        <f t="shared" si="56"/>
        <v>1523</v>
      </c>
      <c r="B1527" s="221">
        <v>3</v>
      </c>
      <c r="C1527" s="227" t="s">
        <v>49</v>
      </c>
      <c r="D1527" s="227" t="s">
        <v>4873</v>
      </c>
      <c r="E1527" s="227" t="s">
        <v>3295</v>
      </c>
      <c r="F1527" s="227" t="s">
        <v>3299</v>
      </c>
      <c r="G1527" s="239">
        <v>46153</v>
      </c>
      <c r="H1527" s="240">
        <v>0.76250000000000007</v>
      </c>
      <c r="I1527" s="227" t="s">
        <v>3295</v>
      </c>
      <c r="J1527" s="227" t="s">
        <v>3023</v>
      </c>
      <c r="K1527" s="241" t="s">
        <v>4731</v>
      </c>
      <c r="L1527" s="242" t="str">
        <f>VLOOKUP(Logfile_S12[[#This Row],[Material Name]],Sheet2!B:C,2,0)</f>
        <v>ZTE1007</v>
      </c>
      <c r="M1527" s="242" t="s">
        <v>19</v>
      </c>
      <c r="N1527" s="227">
        <v>14</v>
      </c>
      <c r="O1527" s="221" t="s">
        <v>4866</v>
      </c>
      <c r="P1527" s="221" t="s">
        <v>4867</v>
      </c>
      <c r="Q1527" s="227"/>
      <c r="R1527" s="227"/>
      <c r="S1527" s="227"/>
      <c r="T1527" s="221" t="s">
        <v>3231</v>
      </c>
      <c r="U1527" s="221" t="s">
        <v>4811</v>
      </c>
      <c r="V1527" s="221" t="s">
        <v>3232</v>
      </c>
      <c r="W1527" s="221" t="s">
        <v>3254</v>
      </c>
      <c r="X1527" s="227"/>
      <c r="Y1527" s="227"/>
      <c r="Z1527" s="227" t="str">
        <f t="shared" si="57"/>
        <v>WONOKOYO RW 05 KEDUNGKANDANG</v>
      </c>
      <c r="AA1527" s="276" t="e">
        <f>VLOOKUP(Logfile_S12[[#This Row],[DO number]],DO_DB!G:I,3,0)</f>
        <v>#N/A</v>
      </c>
      <c r="AB1527" s="331" t="e">
        <f>EXACT(Logfile_S12[[#This Row],[date pick]],Logfile_S12[[#This Row],[Date]])</f>
        <v>#N/A</v>
      </c>
      <c r="AC15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28" spans="1:29" ht="14.5" hidden="1">
      <c r="A1528" s="237" t="str">
        <f t="shared" si="56"/>
        <v>1524</v>
      </c>
      <c r="B1528" s="221">
        <v>3</v>
      </c>
      <c r="C1528" s="227" t="s">
        <v>48</v>
      </c>
      <c r="D1528" s="227" t="s">
        <v>4895</v>
      </c>
      <c r="E1528" s="227" t="s">
        <v>3295</v>
      </c>
      <c r="F1528" s="227" t="s">
        <v>3299</v>
      </c>
      <c r="G1528" s="239">
        <v>46164</v>
      </c>
      <c r="H1528" s="240">
        <v>0.74236111111111114</v>
      </c>
      <c r="I1528" s="227" t="s">
        <v>37</v>
      </c>
      <c r="J1528" s="227" t="s">
        <v>3023</v>
      </c>
      <c r="K1528" s="241" t="s">
        <v>4731</v>
      </c>
      <c r="L1528" s="242" t="str">
        <f>VLOOKUP(Logfile_S12[[#This Row],[Material Name]],Sheet2!B:C,2,0)</f>
        <v>ZTE1007</v>
      </c>
      <c r="M1528" s="242" t="s">
        <v>19</v>
      </c>
      <c r="N1528" s="227">
        <v>8</v>
      </c>
      <c r="O1528" s="227" t="s">
        <v>4870</v>
      </c>
      <c r="P1528" s="227" t="s">
        <v>4871</v>
      </c>
      <c r="Q1528" s="221" t="s">
        <v>4869</v>
      </c>
      <c r="R1528" s="221">
        <v>0</v>
      </c>
      <c r="S1528" s="227"/>
      <c r="T1528" s="227"/>
      <c r="U1528" s="227"/>
      <c r="V1528" s="227"/>
      <c r="W1528" s="227"/>
      <c r="X1528" s="227"/>
      <c r="Y1528" s="227"/>
      <c r="Z1528" s="227" t="str">
        <f t="shared" si="57"/>
        <v>SUMBERSEKAR RT 07 RW 04 MALANG</v>
      </c>
      <c r="AA1528" s="276">
        <f>VLOOKUP(Logfile_S12[[#This Row],[DO number]],DO_DB!G:I,3,0)</f>
        <v>46164</v>
      </c>
      <c r="AB1528" s="331" t="b">
        <f>EXACT(Logfile_S12[[#This Row],[date pick]],Logfile_S12[[#This Row],[Date]])</f>
        <v>1</v>
      </c>
      <c r="AC15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29" spans="1:29" ht="14.5" hidden="1">
      <c r="A1529" s="237" t="str">
        <f t="shared" si="56"/>
        <v>1525</v>
      </c>
      <c r="B1529" s="221">
        <v>3</v>
      </c>
      <c r="C1529" s="227" t="s">
        <v>49</v>
      </c>
      <c r="D1529" s="227" t="s">
        <v>4896</v>
      </c>
      <c r="E1529" s="227" t="s">
        <v>3295</v>
      </c>
      <c r="F1529" s="227" t="s">
        <v>3299</v>
      </c>
      <c r="G1529" s="239">
        <v>46165</v>
      </c>
      <c r="H1529" s="240">
        <v>0.74236111111111114</v>
      </c>
      <c r="I1529" s="227" t="s">
        <v>3295</v>
      </c>
      <c r="J1529" s="227" t="s">
        <v>3023</v>
      </c>
      <c r="K1529" s="241" t="s">
        <v>4731</v>
      </c>
      <c r="L1529" s="242" t="str">
        <f>VLOOKUP(Logfile_S12[[#This Row],[Material Name]],Sheet2!B:C,2,0)</f>
        <v>ZTE1007</v>
      </c>
      <c r="M1529" s="242" t="s">
        <v>19</v>
      </c>
      <c r="N1529" s="227">
        <v>8</v>
      </c>
      <c r="O1529" s="227" t="s">
        <v>4870</v>
      </c>
      <c r="P1529" s="227" t="s">
        <v>4871</v>
      </c>
      <c r="Q1529" s="227"/>
      <c r="R1529" s="227"/>
      <c r="S1529" s="227"/>
      <c r="T1529" s="221" t="s">
        <v>3258</v>
      </c>
      <c r="U1529" s="221" t="s">
        <v>4811</v>
      </c>
      <c r="V1529" s="221" t="s">
        <v>3337</v>
      </c>
      <c r="W1529" s="221" t="s">
        <v>3338</v>
      </c>
      <c r="X1529" s="227"/>
      <c r="Y1529" s="227"/>
      <c r="Z1529" s="227" t="str">
        <f t="shared" si="57"/>
        <v>SUMBERSEKAR RT 07 RW 04 MALANG</v>
      </c>
      <c r="AA1529" s="276" t="e">
        <f>VLOOKUP(Logfile_S12[[#This Row],[DO number]],DO_DB!G:I,3,0)</f>
        <v>#N/A</v>
      </c>
      <c r="AB1529" s="331" t="e">
        <f>EXACT(Logfile_S12[[#This Row],[date pick]],Logfile_S12[[#This Row],[Date]])</f>
        <v>#N/A</v>
      </c>
      <c r="AC15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30" spans="1:29" ht="14.5" hidden="1">
      <c r="A1530" s="237" t="str">
        <f t="shared" si="56"/>
        <v>1526</v>
      </c>
      <c r="B1530" s="221">
        <v>3</v>
      </c>
      <c r="C1530" s="227" t="s">
        <v>48</v>
      </c>
      <c r="D1530" s="227" t="s">
        <v>4905</v>
      </c>
      <c r="E1530" s="227" t="s">
        <v>3295</v>
      </c>
      <c r="F1530" s="227" t="s">
        <v>3299</v>
      </c>
      <c r="G1530" s="239">
        <v>46191</v>
      </c>
      <c r="H1530" s="240">
        <v>0.25</v>
      </c>
      <c r="I1530" s="227" t="s">
        <v>37</v>
      </c>
      <c r="J1530" s="227" t="s">
        <v>3023</v>
      </c>
      <c r="K1530" s="241" t="s">
        <v>4731</v>
      </c>
      <c r="L1530" s="242" t="str">
        <f>VLOOKUP(Logfile_S12[[#This Row],[Material Name]],Sheet2!B:C,2,0)</f>
        <v>ZTE1007</v>
      </c>
      <c r="M1530" s="242" t="str">
        <f>_xlfn.XLOOKUP(Logfile_S12[[#This Row],[Material Name]],Sum_WH!E:E,Sum_WH!F:F,"",0)</f>
        <v>Pcs</v>
      </c>
      <c r="N1530" s="227">
        <v>34</v>
      </c>
      <c r="O1530" s="221" t="s">
        <v>4898</v>
      </c>
      <c r="P1530" s="221" t="s">
        <v>4900</v>
      </c>
      <c r="Q1530" s="221" t="s">
        <v>4904</v>
      </c>
      <c r="R1530" s="221">
        <v>0</v>
      </c>
      <c r="S1530" s="227"/>
      <c r="T1530" s="227"/>
      <c r="U1530" s="227"/>
      <c r="V1530" s="227"/>
      <c r="W1530" s="227"/>
      <c r="X1530" s="227"/>
      <c r="Y1530" s="227"/>
      <c r="Z1530" s="227" t="str">
        <f t="shared" si="57"/>
        <v>RANDUANGUNG RW 04 SINGOSARI MALANG</v>
      </c>
      <c r="AA1530" s="276">
        <f>VLOOKUP(Logfile_S12[[#This Row],[DO number]],DO_DB!G:I,3,0)</f>
        <v>46191</v>
      </c>
      <c r="AB1530" s="331" t="b">
        <f>EXACT(Logfile_S12[[#This Row],[date pick]],Logfile_S12[[#This Row],[Date]])</f>
        <v>1</v>
      </c>
      <c r="AC15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31" spans="1:29" ht="14.5" hidden="1">
      <c r="A1531" s="237" t="str">
        <f t="shared" si="56"/>
        <v>1527</v>
      </c>
      <c r="B1531" s="221"/>
      <c r="C1531" s="227" t="s">
        <v>49</v>
      </c>
      <c r="D1531" s="227" t="s">
        <v>4908</v>
      </c>
      <c r="E1531" s="227" t="s">
        <v>3295</v>
      </c>
      <c r="F1531" s="227" t="s">
        <v>4909</v>
      </c>
      <c r="G1531" s="239">
        <v>46195</v>
      </c>
      <c r="H1531" s="240">
        <v>0.375</v>
      </c>
      <c r="I1531" s="227" t="s">
        <v>3295</v>
      </c>
      <c r="J1531" s="227" t="s">
        <v>3023</v>
      </c>
      <c r="K1531" s="241" t="s">
        <v>4731</v>
      </c>
      <c r="L1531" s="242" t="str">
        <f>VLOOKUP(Logfile_S12[[#This Row],[Material Name]],Sheet2!B:C,2,0)</f>
        <v>ZTE1007</v>
      </c>
      <c r="M1531" s="242" t="str">
        <f>_xlfn.XLOOKUP(Logfile_S12[[#This Row],[Material Name]],Sum_WH!E:E,Sum_WH!F:F,"",0)</f>
        <v>Pcs</v>
      </c>
      <c r="N1531" s="227">
        <v>16</v>
      </c>
      <c r="O1531" s="221" t="s">
        <v>4898</v>
      </c>
      <c r="P1531" s="221" t="s">
        <v>4900</v>
      </c>
      <c r="Q1531" s="227"/>
      <c r="R1531" s="227"/>
      <c r="S1531" s="227"/>
      <c r="T1531" s="221" t="s">
        <v>3258</v>
      </c>
      <c r="U1531" s="221" t="s">
        <v>4811</v>
      </c>
      <c r="V1531" s="221" t="s">
        <v>3337</v>
      </c>
      <c r="W1531" s="221" t="s">
        <v>3338</v>
      </c>
      <c r="X1531" s="227"/>
      <c r="Y1531" s="227"/>
      <c r="Z1531" s="227" t="str">
        <f t="shared" si="57"/>
        <v>RANDUANGUNG RW 04 SINGOSARI MALANG</v>
      </c>
      <c r="AA1531" s="276" t="e">
        <f>VLOOKUP(Logfile_S12[[#This Row],[DO number]],DO_DB!G:I,3,0)</f>
        <v>#N/A</v>
      </c>
      <c r="AB1531" s="331" t="e">
        <f>EXACT(Logfile_S12[[#This Row],[date pick]],Logfile_S12[[#This Row],[Date]])</f>
        <v>#N/A</v>
      </c>
      <c r="AC15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32" spans="1:29" ht="14.5" hidden="1">
      <c r="A1532" s="237" t="str">
        <f t="shared" si="56"/>
        <v>1528</v>
      </c>
      <c r="B1532" s="221"/>
      <c r="C1532" s="227" t="s">
        <v>49</v>
      </c>
      <c r="D1532" s="227" t="s">
        <v>4910</v>
      </c>
      <c r="E1532" s="227" t="s">
        <v>3295</v>
      </c>
      <c r="F1532" s="227" t="s">
        <v>4909</v>
      </c>
      <c r="G1532" s="239">
        <v>46196</v>
      </c>
      <c r="H1532" s="240">
        <v>0.375</v>
      </c>
      <c r="I1532" s="227" t="s">
        <v>3295</v>
      </c>
      <c r="J1532" s="227" t="s">
        <v>3023</v>
      </c>
      <c r="K1532" s="241" t="s">
        <v>4731</v>
      </c>
      <c r="L1532" s="242" t="str">
        <f>VLOOKUP(Logfile_S12[[#This Row],[Material Name]],Sheet2!B:C,2,0)</f>
        <v>ZTE1007</v>
      </c>
      <c r="M1532" s="242" t="s">
        <v>19</v>
      </c>
      <c r="N1532" s="227">
        <v>2</v>
      </c>
      <c r="O1532" s="227" t="s">
        <v>4898</v>
      </c>
      <c r="P1532" s="227" t="s">
        <v>4900</v>
      </c>
      <c r="Q1532" s="227"/>
      <c r="R1532" s="227"/>
      <c r="S1532" s="227"/>
      <c r="T1532" s="221" t="s">
        <v>3258</v>
      </c>
      <c r="U1532" s="221" t="s">
        <v>4811</v>
      </c>
      <c r="V1532" s="221" t="s">
        <v>3337</v>
      </c>
      <c r="W1532" s="221" t="s">
        <v>3338</v>
      </c>
      <c r="X1532" s="227"/>
      <c r="Y1532" s="227"/>
      <c r="Z1532" s="227" t="str">
        <f t="shared" si="57"/>
        <v>RANDUANGUNG RW 04 SINGOSARI MALANG</v>
      </c>
      <c r="AA1532" s="276" t="e">
        <f>VLOOKUP(Logfile_S12[[#This Row],[DO number]],DO_DB!G:I,3,0)</f>
        <v>#N/A</v>
      </c>
      <c r="AB1532" s="331" t="e">
        <f>EXACT(Logfile_S12[[#This Row],[date pick]],Logfile_S12[[#This Row],[Date]])</f>
        <v>#N/A</v>
      </c>
      <c r="AC15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33" spans="1:29" ht="14.5" hidden="1">
      <c r="A1533" s="237" t="str">
        <f t="shared" si="56"/>
        <v>1529</v>
      </c>
      <c r="B1533" s="221"/>
      <c r="C1533" s="227" t="s">
        <v>49</v>
      </c>
      <c r="D1533" s="227" t="s">
        <v>4910</v>
      </c>
      <c r="E1533" s="227" t="s">
        <v>3295</v>
      </c>
      <c r="F1533" s="227" t="s">
        <v>4909</v>
      </c>
      <c r="G1533" s="239">
        <v>46196</v>
      </c>
      <c r="H1533" s="240">
        <v>0.375</v>
      </c>
      <c r="I1533" s="227" t="s">
        <v>3295</v>
      </c>
      <c r="J1533" s="227" t="s">
        <v>3023</v>
      </c>
      <c r="K1533" s="241" t="s">
        <v>4731</v>
      </c>
      <c r="L1533" s="242" t="str">
        <f>VLOOKUP(Logfile_S12[[#This Row],[Material Name]],Sheet2!B:C,2,0)</f>
        <v>ZTE1007</v>
      </c>
      <c r="M1533" s="242" t="str">
        <f>_xlfn.XLOOKUP(Logfile_S12[[#This Row],[Material Name]],Sum_WH!E:E,Sum_WH!F:F,"",0)</f>
        <v>Pcs</v>
      </c>
      <c r="N1533" s="227">
        <v>7</v>
      </c>
      <c r="O1533" s="227" t="s">
        <v>4898</v>
      </c>
      <c r="P1533" s="227" t="s">
        <v>4900</v>
      </c>
      <c r="Q1533" s="227"/>
      <c r="R1533" s="227"/>
      <c r="S1533" s="227"/>
      <c r="T1533" s="221" t="s">
        <v>3258</v>
      </c>
      <c r="U1533" s="221" t="s">
        <v>4811</v>
      </c>
      <c r="V1533" s="221" t="s">
        <v>3337</v>
      </c>
      <c r="W1533" s="221" t="s">
        <v>3338</v>
      </c>
      <c r="X1533" s="227"/>
      <c r="Y1533" s="227"/>
      <c r="Z1533" s="227" t="str">
        <f t="shared" si="57"/>
        <v>RANDUANGUNG RW 04 SINGOSARI MALANG</v>
      </c>
      <c r="AA1533" s="276" t="e">
        <f>VLOOKUP(Logfile_S12[[#This Row],[DO number]],DO_DB!G:I,3,0)</f>
        <v>#N/A</v>
      </c>
      <c r="AB1533" s="331" t="e">
        <f>EXACT(Logfile_S12[[#This Row],[date pick]],Logfile_S12[[#This Row],[Date]])</f>
        <v>#N/A</v>
      </c>
      <c r="AC15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34" spans="1:29" ht="14.5" hidden="1">
      <c r="A1534" s="237" t="str">
        <f t="shared" si="56"/>
        <v>1530</v>
      </c>
      <c r="B1534" s="221"/>
      <c r="C1534" s="227" t="s">
        <v>49</v>
      </c>
      <c r="D1534" s="227" t="s">
        <v>4912</v>
      </c>
      <c r="E1534" s="227" t="s">
        <v>3295</v>
      </c>
      <c r="F1534" s="227" t="s">
        <v>4909</v>
      </c>
      <c r="G1534" s="239">
        <v>46198</v>
      </c>
      <c r="H1534" s="240">
        <v>0.875</v>
      </c>
      <c r="I1534" s="227" t="s">
        <v>3295</v>
      </c>
      <c r="J1534" s="227" t="s">
        <v>3023</v>
      </c>
      <c r="K1534" s="241" t="s">
        <v>4731</v>
      </c>
      <c r="L1534" s="242" t="str">
        <f>VLOOKUP(Logfile_S12[[#This Row],[Material Name]],Sheet2!B:C,2,0)</f>
        <v>ZTE1007</v>
      </c>
      <c r="M1534" s="242" t="s">
        <v>19</v>
      </c>
      <c r="N1534" s="227">
        <v>12</v>
      </c>
      <c r="O1534" s="227" t="s">
        <v>4902</v>
      </c>
      <c r="P1534" s="227" t="s">
        <v>4903</v>
      </c>
      <c r="Q1534" s="227"/>
      <c r="R1534" s="227"/>
      <c r="S1534" s="227"/>
      <c r="T1534" s="221" t="s">
        <v>3258</v>
      </c>
      <c r="U1534" s="221" t="s">
        <v>4811</v>
      </c>
      <c r="V1534" s="221" t="s">
        <v>3337</v>
      </c>
      <c r="W1534" s="221" t="s">
        <v>3338</v>
      </c>
      <c r="X1534" s="227"/>
      <c r="Y1534" s="227"/>
      <c r="Z1534" s="227" t="str">
        <f t="shared" si="57"/>
        <v>KAMBINGAN RW 04 MALANG</v>
      </c>
      <c r="AA1534" s="276" t="e">
        <f>VLOOKUP(Logfile_S12[[#This Row],[DO number]],DO_DB!G:I,3,0)</f>
        <v>#N/A</v>
      </c>
      <c r="AB1534" s="331" t="e">
        <f>EXACT(Logfile_S12[[#This Row],[date pick]],Logfile_S12[[#This Row],[Date]])</f>
        <v>#N/A</v>
      </c>
      <c r="AC15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35" spans="1:29" ht="14.5" hidden="1">
      <c r="A1535" s="237" t="str">
        <f t="shared" si="56"/>
        <v>1531</v>
      </c>
      <c r="B1535" s="221">
        <v>4</v>
      </c>
      <c r="C1535" s="227" t="s">
        <v>48</v>
      </c>
      <c r="D1535" s="227" t="s">
        <v>4907</v>
      </c>
      <c r="E1535" s="227" t="s">
        <v>3295</v>
      </c>
      <c r="F1535" s="227" t="s">
        <v>3299</v>
      </c>
      <c r="G1535" s="239">
        <v>46200</v>
      </c>
      <c r="H1535" s="240">
        <v>0.25</v>
      </c>
      <c r="I1535" s="227" t="s">
        <v>37</v>
      </c>
      <c r="J1535" s="227" t="s">
        <v>3023</v>
      </c>
      <c r="K1535" s="241" t="s">
        <v>4731</v>
      </c>
      <c r="L1535" s="242" t="str">
        <f>VLOOKUP(Logfile_S12[[#This Row],[Material Name]],Sheet2!B:C,2,0)</f>
        <v>ZTE1007</v>
      </c>
      <c r="M1535" s="242" t="str">
        <f>_xlfn.XLOOKUP(Logfile_S12[[#This Row],[Material Name]],Sum_WH!E:E,Sum_WH!F:F,"",0)</f>
        <v>Pcs</v>
      </c>
      <c r="N1535" s="227">
        <v>24</v>
      </c>
      <c r="O1535" s="221" t="s">
        <v>4902</v>
      </c>
      <c r="P1535" s="221" t="s">
        <v>4903</v>
      </c>
      <c r="Q1535" s="221" t="s">
        <v>4901</v>
      </c>
      <c r="R1535" s="221">
        <v>0</v>
      </c>
      <c r="S1535" s="227"/>
      <c r="T1535" s="227"/>
      <c r="U1535" s="227"/>
      <c r="V1535" s="227"/>
      <c r="W1535" s="227"/>
      <c r="X1535" s="227"/>
      <c r="Y1535" s="227"/>
      <c r="Z1535" s="227" t="str">
        <f t="shared" si="57"/>
        <v>KAMBINGAN RW 04 MALANG</v>
      </c>
      <c r="AA1535" s="276">
        <f>VLOOKUP(Logfile_S12[[#This Row],[DO number]],DO_DB!G:I,3,0)</f>
        <v>46200</v>
      </c>
      <c r="AB1535" s="331" t="b">
        <f>EXACT(Logfile_S12[[#This Row],[date pick]],Logfile_S12[[#This Row],[Date]])</f>
        <v>1</v>
      </c>
      <c r="AC15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36" spans="1:29" ht="14.5" hidden="1">
      <c r="A1536" s="237" t="str">
        <f t="shared" si="56"/>
        <v>1532</v>
      </c>
      <c r="B1536" s="221"/>
      <c r="C1536" s="227" t="s">
        <v>49</v>
      </c>
      <c r="D1536" s="227" t="s">
        <v>4937</v>
      </c>
      <c r="E1536" s="227" t="s">
        <v>3295</v>
      </c>
      <c r="F1536" s="227" t="s">
        <v>4909</v>
      </c>
      <c r="G1536" s="239">
        <v>46202</v>
      </c>
      <c r="H1536" s="240">
        <v>0.25</v>
      </c>
      <c r="I1536" s="227" t="s">
        <v>3295</v>
      </c>
      <c r="J1536" s="227" t="s">
        <v>3023</v>
      </c>
      <c r="K1536" s="241" t="s">
        <v>4731</v>
      </c>
      <c r="L1536" s="242" t="str">
        <f>VLOOKUP(Logfile_S12[[#This Row],[Material Name]],Sheet2!B:C,2,0)</f>
        <v>ZTE1007</v>
      </c>
      <c r="M1536" s="242" t="s">
        <v>19</v>
      </c>
      <c r="N1536" s="227">
        <v>12</v>
      </c>
      <c r="O1536" s="227" t="s">
        <v>4902</v>
      </c>
      <c r="P1536" s="227" t="s">
        <v>4903</v>
      </c>
      <c r="Q1536" s="227"/>
      <c r="R1536" s="227"/>
      <c r="S1536" s="227"/>
      <c r="T1536" s="221" t="s">
        <v>3258</v>
      </c>
      <c r="U1536" s="221" t="s">
        <v>4811</v>
      </c>
      <c r="V1536" s="221" t="s">
        <v>3337</v>
      </c>
      <c r="W1536" s="221" t="s">
        <v>3338</v>
      </c>
      <c r="X1536" s="227"/>
      <c r="Y1536" s="227"/>
      <c r="Z1536" s="227" t="str">
        <f t="shared" si="57"/>
        <v>KAMBINGAN RW 04 MALANG</v>
      </c>
      <c r="AA1536" s="276" t="e">
        <f>VLOOKUP(Logfile_S12[[#This Row],[DO number]],DO_DB!G:I,3,0)</f>
        <v>#N/A</v>
      </c>
      <c r="AB1536" s="331" t="e">
        <f>EXACT(Logfile_S12[[#This Row],[date pick]],Logfile_S12[[#This Row],[Date]])</f>
        <v>#N/A</v>
      </c>
      <c r="AC15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37" spans="1:29" ht="14.5" hidden="1">
      <c r="A1537" s="237" t="str">
        <f t="shared" si="56"/>
        <v>1533</v>
      </c>
      <c r="B1537" s="221"/>
      <c r="C1537" s="227" t="s">
        <v>49</v>
      </c>
      <c r="D1537" s="227" t="s">
        <v>4942</v>
      </c>
      <c r="E1537" s="227" t="s">
        <v>3295</v>
      </c>
      <c r="F1537" s="227" t="s">
        <v>4909</v>
      </c>
      <c r="G1537" s="239">
        <v>46203</v>
      </c>
      <c r="H1537" s="240">
        <v>0.25</v>
      </c>
      <c r="I1537" s="227" t="s">
        <v>3295</v>
      </c>
      <c r="J1537" s="227" t="s">
        <v>3023</v>
      </c>
      <c r="K1537" s="241" t="s">
        <v>4731</v>
      </c>
      <c r="L1537" s="242" t="str">
        <f>VLOOKUP(Logfile_S12[[#This Row],[Material Name]],Sheet2!B:C,2,0)</f>
        <v>ZTE1007</v>
      </c>
      <c r="M1537" s="242" t="s">
        <v>19</v>
      </c>
      <c r="N1537" s="227">
        <v>2</v>
      </c>
      <c r="O1537" s="227" t="s">
        <v>4902</v>
      </c>
      <c r="P1537" s="227" t="s">
        <v>4903</v>
      </c>
      <c r="Q1537" s="227"/>
      <c r="R1537" s="227"/>
      <c r="S1537" s="227"/>
      <c r="T1537" s="221" t="s">
        <v>3258</v>
      </c>
      <c r="U1537" s="221" t="s">
        <v>4811</v>
      </c>
      <c r="V1537" s="221" t="s">
        <v>3337</v>
      </c>
      <c r="W1537" s="221" t="s">
        <v>3338</v>
      </c>
      <c r="X1537" s="227"/>
      <c r="Y1537" s="227"/>
      <c r="Z1537" s="227" t="str">
        <f t="shared" si="57"/>
        <v>KAMBINGAN RW 04 MALANG</v>
      </c>
      <c r="AA1537" s="276" t="e">
        <f>VLOOKUP(Logfile_S12[[#This Row],[DO number]],DO_DB!G:I,3,0)</f>
        <v>#N/A</v>
      </c>
      <c r="AB1537" s="331" t="e">
        <f>EXACT(Logfile_S12[[#This Row],[date pick]],Logfile_S12[[#This Row],[Date]])</f>
        <v>#N/A</v>
      </c>
      <c r="AC15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38" spans="1:29" ht="14.5" hidden="1">
      <c r="A1538" s="237" t="str">
        <f t="shared" si="56"/>
        <v>1534</v>
      </c>
      <c r="B1538" s="221"/>
      <c r="C1538" s="227" t="s">
        <v>48</v>
      </c>
      <c r="D1538" s="227" t="s">
        <v>5127</v>
      </c>
      <c r="E1538" s="227" t="s">
        <v>3295</v>
      </c>
      <c r="F1538" s="227" t="s">
        <v>3299</v>
      </c>
      <c r="G1538" s="239">
        <v>46212</v>
      </c>
      <c r="H1538" s="240">
        <v>0.25</v>
      </c>
      <c r="I1538" s="227" t="s">
        <v>37</v>
      </c>
      <c r="J1538" s="227" t="s">
        <v>3023</v>
      </c>
      <c r="K1538" s="241" t="s">
        <v>4731</v>
      </c>
      <c r="L1538" s="242" t="str">
        <f>VLOOKUP(Logfile_S12[[#This Row],[Material Name]],Sheet2!B:C,2,0)</f>
        <v>ZTE1007</v>
      </c>
      <c r="M1538" s="242" t="s">
        <v>19</v>
      </c>
      <c r="N1538" s="242">
        <v>9</v>
      </c>
      <c r="O1538" s="227" t="s">
        <v>5122</v>
      </c>
      <c r="P1538" s="227" t="s">
        <v>5125</v>
      </c>
      <c r="Q1538" s="8" t="s">
        <v>5123</v>
      </c>
      <c r="R1538" s="8" t="s">
        <v>5124</v>
      </c>
      <c r="S1538" s="227"/>
      <c r="T1538" s="227"/>
      <c r="U1538" s="227"/>
      <c r="V1538" s="227"/>
      <c r="W1538" s="227"/>
      <c r="X1538" s="227"/>
      <c r="Y1538" s="238"/>
      <c r="Z1538" s="238" t="str">
        <f t="shared" si="57"/>
        <v>KESATRIAN RW 09 MALANG</v>
      </c>
      <c r="AA1538" s="276">
        <f>VLOOKUP(Logfile_S12[[#This Row],[DO number]],DO_DB!G:I,3,0)</f>
        <v>46212</v>
      </c>
      <c r="AB1538" s="332" t="b">
        <f>EXACT(Logfile_S12[[#This Row],[date pick]],Logfile_S12[[#This Row],[Date]])</f>
        <v>1</v>
      </c>
      <c r="AC15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39" spans="1:29" ht="14.5" hidden="1">
      <c r="A1539" s="237" t="str">
        <f t="shared" si="56"/>
        <v>1535</v>
      </c>
      <c r="B1539" s="221"/>
      <c r="C1539" s="227" t="s">
        <v>49</v>
      </c>
      <c r="D1539" s="227" t="s">
        <v>5126</v>
      </c>
      <c r="E1539" s="227" t="s">
        <v>3295</v>
      </c>
      <c r="F1539" s="227" t="s">
        <v>3299</v>
      </c>
      <c r="G1539" s="239">
        <v>46214</v>
      </c>
      <c r="H1539" s="240">
        <v>0.25</v>
      </c>
      <c r="I1539" s="227" t="s">
        <v>3295</v>
      </c>
      <c r="J1539" s="227" t="s">
        <v>3023</v>
      </c>
      <c r="K1539" s="241" t="s">
        <v>4731</v>
      </c>
      <c r="L1539" s="242" t="str">
        <f>VLOOKUP(Logfile_S12[[#This Row],[Material Name]],Sheet2!B:C,2,0)</f>
        <v>ZTE1007</v>
      </c>
      <c r="M1539" s="242" t="s">
        <v>19</v>
      </c>
      <c r="N1539" s="227">
        <v>9</v>
      </c>
      <c r="O1539" s="227" t="s">
        <v>5122</v>
      </c>
      <c r="P1539" s="227" t="s">
        <v>5125</v>
      </c>
      <c r="Q1539" s="227"/>
      <c r="R1539" s="227"/>
      <c r="S1539" s="227"/>
      <c r="T1539" s="221" t="s">
        <v>3258</v>
      </c>
      <c r="U1539" s="221" t="s">
        <v>4811</v>
      </c>
      <c r="V1539" s="221" t="s">
        <v>3337</v>
      </c>
      <c r="W1539" s="221" t="s">
        <v>3338</v>
      </c>
      <c r="X1539" s="227"/>
      <c r="Y1539" s="238"/>
      <c r="Z1539" s="238" t="str">
        <f t="shared" si="57"/>
        <v>KESATRIAN RW 09 MALANG</v>
      </c>
      <c r="AA1539" s="276" t="e">
        <f>VLOOKUP(Logfile_S12[[#This Row],[DO number]],DO_DB!G:I,3,0)</f>
        <v>#N/A</v>
      </c>
      <c r="AB1539" s="334" t="e">
        <f>EXACT(Logfile_S12[[#This Row],[date pick]],Logfile_S12[[#This Row],[Date]])</f>
        <v>#N/A</v>
      </c>
      <c r="AC15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40" spans="1:29" ht="14.5" hidden="1">
      <c r="A1540" s="237" t="str">
        <f t="shared" si="56"/>
        <v>1536</v>
      </c>
      <c r="B1540" s="221"/>
      <c r="C1540" s="227" t="s">
        <v>49</v>
      </c>
      <c r="D1540" s="227" t="s">
        <v>5128</v>
      </c>
      <c r="E1540" s="227" t="s">
        <v>3295</v>
      </c>
      <c r="F1540" s="227" t="s">
        <v>3299</v>
      </c>
      <c r="G1540" s="239">
        <v>46215</v>
      </c>
      <c r="H1540" s="240">
        <v>0.25</v>
      </c>
      <c r="I1540" s="227" t="s">
        <v>3295</v>
      </c>
      <c r="J1540" s="227" t="s">
        <v>3023</v>
      </c>
      <c r="K1540" s="241" t="s">
        <v>4731</v>
      </c>
      <c r="L1540" s="242" t="str">
        <f>VLOOKUP(Logfile_S12[[#This Row],[Material Name]],Sheet2!B:C,2,0)</f>
        <v>ZTE1007</v>
      </c>
      <c r="M1540" s="242" t="s">
        <v>19</v>
      </c>
      <c r="N1540" s="227">
        <v>10</v>
      </c>
      <c r="O1540" s="227" t="s">
        <v>5122</v>
      </c>
      <c r="P1540" s="227" t="s">
        <v>5125</v>
      </c>
      <c r="Q1540" s="227"/>
      <c r="R1540" s="227"/>
      <c r="S1540" s="227"/>
      <c r="T1540" s="227" t="s">
        <v>3258</v>
      </c>
      <c r="U1540" s="227" t="s">
        <v>4811</v>
      </c>
      <c r="V1540" s="227" t="s">
        <v>3337</v>
      </c>
      <c r="W1540" s="227" t="s">
        <v>3338</v>
      </c>
      <c r="X1540" s="227"/>
      <c r="Y1540" s="238"/>
      <c r="Z1540" s="238" t="str">
        <f t="shared" si="57"/>
        <v>KESATRIAN RW 09 MALANG</v>
      </c>
      <c r="AA1540" s="276" t="e">
        <f>VLOOKUP(Logfile_S12[[#This Row],[DO number]],DO_DB!G:I,3,0)</f>
        <v>#N/A</v>
      </c>
      <c r="AB1540" s="332" t="e">
        <f>EXACT(Logfile_S12[[#This Row],[date pick]],Logfile_S12[[#This Row],[Date]])</f>
        <v>#N/A</v>
      </c>
      <c r="AC15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41" spans="1:29" ht="14.5" hidden="1">
      <c r="A1541" s="220" t="str">
        <f t="shared" ref="A1541:A1604" si="58">TEXT(ROW(A1541)-ROW($A$4),"000")</f>
        <v>1537</v>
      </c>
      <c r="B1541" s="221">
        <v>5</v>
      </c>
      <c r="C1541" s="221" t="s">
        <v>48</v>
      </c>
      <c r="D1541" s="221" t="s">
        <v>3678</v>
      </c>
      <c r="E1541" s="221" t="s">
        <v>3295</v>
      </c>
      <c r="F1541" s="221" t="s">
        <v>3299</v>
      </c>
      <c r="G1541" s="222">
        <v>45142</v>
      </c>
      <c r="H1541" s="223">
        <v>15.291666666666666</v>
      </c>
      <c r="I1541" s="221" t="s">
        <v>37</v>
      </c>
      <c r="J1541" s="221" t="s">
        <v>3023</v>
      </c>
      <c r="K1541" s="224" t="s">
        <v>3070</v>
      </c>
      <c r="L1541" s="225" t="str">
        <f>VLOOKUP(Logfile_S12[[#This Row],[Material Name]],Sheet2!B:C,2,0)</f>
        <v>ZTE1002</v>
      </c>
      <c r="M1541" s="225" t="str">
        <f>_xlfn.XLOOKUP(Logfile_S12[[#This Row],[Material Name]],Sum_WH!E:E,Sum_WH!F:F,"",0)</f>
        <v>Pcs</v>
      </c>
      <c r="N1541" s="221">
        <v>7</v>
      </c>
      <c r="O1541" s="221" t="s">
        <v>84</v>
      </c>
      <c r="P1541" s="221" t="s">
        <v>85</v>
      </c>
      <c r="Q1541" s="221" t="s">
        <v>88</v>
      </c>
      <c r="R1541" s="221" t="s">
        <v>89</v>
      </c>
      <c r="S1541" s="221"/>
      <c r="T1541" s="221"/>
      <c r="U1541" s="221"/>
      <c r="V1541" s="221"/>
      <c r="W1541" s="221"/>
      <c r="X1541" s="221"/>
      <c r="Y1541" s="227"/>
      <c r="Z1541" s="227" t="str">
        <f t="shared" si="57"/>
        <v>Perumahan Bumi Podo Rukun Dau</v>
      </c>
      <c r="AA1541" s="276">
        <f>VLOOKUP(Logfile_S12[[#This Row],[DO number]],DO_DB!G:I,3,0)</f>
        <v>45142</v>
      </c>
      <c r="AB1541" s="331" t="b">
        <f>EXACT(Logfile_S12[[#This Row],[date pick]],Logfile_S12[[#This Row],[Date]])</f>
        <v>1</v>
      </c>
      <c r="AC15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42" spans="1:29" ht="14.5" hidden="1">
      <c r="A1542" s="220" t="str">
        <f t="shared" si="58"/>
        <v>1538</v>
      </c>
      <c r="B1542" s="221"/>
      <c r="C1542" s="221" t="s">
        <v>49</v>
      </c>
      <c r="D1542" s="221" t="s">
        <v>3679</v>
      </c>
      <c r="E1542" s="221" t="s">
        <v>3295</v>
      </c>
      <c r="F1542" s="221" t="s">
        <v>3299</v>
      </c>
      <c r="G1542" s="222">
        <v>45144</v>
      </c>
      <c r="H1542" s="223">
        <v>15.291944444444445</v>
      </c>
      <c r="I1542" s="221" t="s">
        <v>4916</v>
      </c>
      <c r="J1542" s="221" t="s">
        <v>3023</v>
      </c>
      <c r="K1542" s="224" t="s">
        <v>3070</v>
      </c>
      <c r="L1542" s="225" t="str">
        <f>VLOOKUP(Logfile_S12[[#This Row],[Material Name]],Sheet2!B:C,2,0)</f>
        <v>ZTE1002</v>
      </c>
      <c r="M1542" s="225" t="str">
        <f>_xlfn.XLOOKUP(Logfile_S12[[#This Row],[Material Name]],Sum_WH!E:E,Sum_WH!F:F,"",0)</f>
        <v>Pcs</v>
      </c>
      <c r="N1542" s="221">
        <v>3</v>
      </c>
      <c r="O1542" s="221" t="s">
        <v>84</v>
      </c>
      <c r="P1542" s="221" t="s">
        <v>85</v>
      </c>
      <c r="Q1542" s="221"/>
      <c r="R1542" s="221"/>
      <c r="S1542" s="221"/>
      <c r="T1542" s="221" t="s">
        <v>3339</v>
      </c>
      <c r="U1542" s="221" t="s">
        <v>3228</v>
      </c>
      <c r="V1542" s="221" t="s">
        <v>3571</v>
      </c>
      <c r="W1542" s="221" t="s">
        <v>3307</v>
      </c>
      <c r="X1542" s="221"/>
      <c r="Y1542" s="227"/>
      <c r="Z1542" s="227" t="str">
        <f t="shared" si="57"/>
        <v>Perumahan Bumi Podo Rukun Dau</v>
      </c>
      <c r="AA1542" s="276" t="e">
        <f>VLOOKUP(Logfile_S12[[#This Row],[DO number]],DO_DB!G:I,3,0)</f>
        <v>#N/A</v>
      </c>
      <c r="AB1542" s="331" t="e">
        <f>EXACT(Logfile_S12[[#This Row],[date pick]],Logfile_S12[[#This Row],[Date]])</f>
        <v>#N/A</v>
      </c>
      <c r="AC15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43" spans="1:29" ht="14.5" hidden="1">
      <c r="A1543" s="220" t="str">
        <f t="shared" si="58"/>
        <v>1539</v>
      </c>
      <c r="B1543" s="221"/>
      <c r="C1543" s="221" t="s">
        <v>49</v>
      </c>
      <c r="D1543" s="221" t="s">
        <v>3682</v>
      </c>
      <c r="E1543" s="221" t="s">
        <v>3295</v>
      </c>
      <c r="F1543" s="221" t="s">
        <v>3299</v>
      </c>
      <c r="G1543" s="222">
        <v>45147</v>
      </c>
      <c r="H1543" s="223">
        <v>15.317638888888888</v>
      </c>
      <c r="I1543" s="221" t="s">
        <v>4916</v>
      </c>
      <c r="J1543" s="221" t="s">
        <v>3023</v>
      </c>
      <c r="K1543" s="224" t="s">
        <v>3070</v>
      </c>
      <c r="L1543" s="225" t="str">
        <f>VLOOKUP(Logfile_S12[[#This Row],[Material Name]],Sheet2!B:C,2,0)</f>
        <v>ZTE1002</v>
      </c>
      <c r="M1543" s="225" t="str">
        <f>_xlfn.XLOOKUP(Logfile_S12[[#This Row],[Material Name]],Sum_WH!E:E,Sum_WH!F:F,"",0)</f>
        <v>Pcs</v>
      </c>
      <c r="N1543" s="221">
        <v>3</v>
      </c>
      <c r="O1543" s="221" t="s">
        <v>84</v>
      </c>
      <c r="P1543" s="221" t="s">
        <v>85</v>
      </c>
      <c r="Q1543" s="221"/>
      <c r="R1543" s="221"/>
      <c r="S1543" s="221"/>
      <c r="T1543" s="221" t="s">
        <v>3305</v>
      </c>
      <c r="U1543" s="221" t="s">
        <v>3228</v>
      </c>
      <c r="V1543" s="221" t="s">
        <v>3306</v>
      </c>
      <c r="W1543" s="221" t="s">
        <v>3307</v>
      </c>
      <c r="X1543" s="221"/>
      <c r="Y1543" s="227"/>
      <c r="Z1543" s="227" t="str">
        <f t="shared" si="57"/>
        <v>Perumahan Bumi Podo Rukun Dau</v>
      </c>
      <c r="AA1543" s="276" t="e">
        <f>VLOOKUP(Logfile_S12[[#This Row],[DO number]],DO_DB!G:I,3,0)</f>
        <v>#N/A</v>
      </c>
      <c r="AB1543" s="331" t="e">
        <f>EXACT(Logfile_S12[[#This Row],[date pick]],Logfile_S12[[#This Row],[Date]])</f>
        <v>#N/A</v>
      </c>
      <c r="AC15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44" spans="1:29" ht="14.5" hidden="1">
      <c r="A1544" s="220" t="str">
        <f t="shared" si="58"/>
        <v>1540</v>
      </c>
      <c r="B1544" s="221"/>
      <c r="C1544" s="221" t="s">
        <v>49</v>
      </c>
      <c r="D1544" s="221" t="s">
        <v>3684</v>
      </c>
      <c r="E1544" s="221" t="s">
        <v>3295</v>
      </c>
      <c r="F1544" s="221" t="s">
        <v>3299</v>
      </c>
      <c r="G1544" s="222">
        <v>45148</v>
      </c>
      <c r="H1544" s="223">
        <v>15.692638888888888</v>
      </c>
      <c r="I1544" s="221" t="s">
        <v>4916</v>
      </c>
      <c r="J1544" s="221" t="s">
        <v>3023</v>
      </c>
      <c r="K1544" s="224" t="s">
        <v>3070</v>
      </c>
      <c r="L1544" s="225" t="str">
        <f>VLOOKUP(Logfile_S12[[#This Row],[Material Name]],Sheet2!B:C,2,0)</f>
        <v>ZTE1002</v>
      </c>
      <c r="M1544" s="225" t="str">
        <f>_xlfn.XLOOKUP(Logfile_S12[[#This Row],[Material Name]],Sum_WH!E:E,Sum_WH!F:F,"",0)</f>
        <v>Pcs</v>
      </c>
      <c r="N1544" s="221">
        <v>1</v>
      </c>
      <c r="O1544" s="221" t="s">
        <v>84</v>
      </c>
      <c r="P1544" s="221" t="s">
        <v>85</v>
      </c>
      <c r="Q1544" s="221"/>
      <c r="R1544" s="221"/>
      <c r="S1544" s="221"/>
      <c r="T1544" s="221" t="s">
        <v>3305</v>
      </c>
      <c r="U1544" s="221" t="s">
        <v>3228</v>
      </c>
      <c r="V1544" s="221" t="s">
        <v>3306</v>
      </c>
      <c r="W1544" s="221" t="s">
        <v>3307</v>
      </c>
      <c r="X1544" s="221"/>
      <c r="Y1544" s="227"/>
      <c r="Z1544" s="227" t="str">
        <f t="shared" si="57"/>
        <v>Perumahan Bumi Podo Rukun Dau</v>
      </c>
      <c r="AA1544" s="276" t="e">
        <f>VLOOKUP(Logfile_S12[[#This Row],[DO number]],DO_DB!G:I,3,0)</f>
        <v>#N/A</v>
      </c>
      <c r="AB1544" s="331" t="e">
        <f>EXACT(Logfile_S12[[#This Row],[date pick]],Logfile_S12[[#This Row],[Date]])</f>
        <v>#N/A</v>
      </c>
      <c r="AC15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45" spans="1:29" ht="14.5" hidden="1">
      <c r="A1545" s="220" t="str">
        <f t="shared" si="58"/>
        <v>1541</v>
      </c>
      <c r="B1545" s="221"/>
      <c r="C1545" s="221" t="s">
        <v>48</v>
      </c>
      <c r="D1545" s="221" t="s">
        <v>3692</v>
      </c>
      <c r="E1545" s="221" t="s">
        <v>3295</v>
      </c>
      <c r="F1545" s="221" t="s">
        <v>3299</v>
      </c>
      <c r="G1545" s="222">
        <v>45170</v>
      </c>
      <c r="H1545" s="223">
        <v>15.291666666666666</v>
      </c>
      <c r="I1545" s="221" t="s">
        <v>37</v>
      </c>
      <c r="J1545" s="221" t="s">
        <v>3023</v>
      </c>
      <c r="K1545" s="224" t="s">
        <v>3070</v>
      </c>
      <c r="L1545" s="225" t="str">
        <f>VLOOKUP(Logfile_S12[[#This Row],[Material Name]],Sheet2!B:C,2,0)</f>
        <v>ZTE1002</v>
      </c>
      <c r="M1545" s="225" t="str">
        <f>_xlfn.XLOOKUP(Logfile_S12[[#This Row],[Material Name]],Sum_WH!E:E,Sum_WH!F:F,"",0)</f>
        <v>Pcs</v>
      </c>
      <c r="N1545" s="221">
        <v>8</v>
      </c>
      <c r="O1545" s="221" t="s">
        <v>150</v>
      </c>
      <c r="P1545" s="221" t="s">
        <v>151</v>
      </c>
      <c r="Q1545" s="221" t="s">
        <v>156</v>
      </c>
      <c r="R1545" s="221" t="s">
        <v>157</v>
      </c>
      <c r="S1545" s="221"/>
      <c r="T1545" s="221"/>
      <c r="U1545" s="221"/>
      <c r="V1545" s="221"/>
      <c r="W1545" s="221"/>
      <c r="X1545" s="221"/>
      <c r="Y1545" s="227"/>
      <c r="Z1545" s="227" t="str">
        <f t="shared" si="57"/>
        <v>Mulyorejo RW 04 Sukun</v>
      </c>
      <c r="AA1545" s="276">
        <f>VLOOKUP(Logfile_S12[[#This Row],[DO number]],DO_DB!G:I,3,0)</f>
        <v>45170</v>
      </c>
      <c r="AB1545" s="331" t="b">
        <f>EXACT(Logfile_S12[[#This Row],[date pick]],Logfile_S12[[#This Row],[Date]])</f>
        <v>1</v>
      </c>
      <c r="AC15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46" spans="1:29" ht="14.5" hidden="1">
      <c r="A1546" s="220" t="str">
        <f t="shared" si="58"/>
        <v>1542</v>
      </c>
      <c r="B1546" s="221"/>
      <c r="C1546" s="221" t="s">
        <v>49</v>
      </c>
      <c r="D1546" s="221" t="s">
        <v>3694</v>
      </c>
      <c r="E1546" s="221" t="s">
        <v>3295</v>
      </c>
      <c r="F1546" s="221" t="s">
        <v>3299</v>
      </c>
      <c r="G1546" s="222">
        <v>45172</v>
      </c>
      <c r="H1546" s="223">
        <v>0.32430555555555557</v>
      </c>
      <c r="I1546" s="221" t="s">
        <v>4916</v>
      </c>
      <c r="J1546" s="221" t="s">
        <v>3023</v>
      </c>
      <c r="K1546" s="224" t="s">
        <v>3070</v>
      </c>
      <c r="L1546" s="225" t="str">
        <f>VLOOKUP(Logfile_S12[[#This Row],[Material Name]],Sheet2!B:C,2,0)</f>
        <v>ZTE1002</v>
      </c>
      <c r="M1546" s="225" t="str">
        <f>_xlfn.XLOOKUP(Logfile_S12[[#This Row],[Material Name]],Sum_WH!E:E,Sum_WH!F:F,"",0)</f>
        <v>Pcs</v>
      </c>
      <c r="N1546" s="221">
        <v>6</v>
      </c>
      <c r="O1546" s="221" t="s">
        <v>150</v>
      </c>
      <c r="P1546" s="221" t="s">
        <v>151</v>
      </c>
      <c r="Q1546" s="221"/>
      <c r="R1546" s="221"/>
      <c r="S1546" s="221"/>
      <c r="T1546" s="221" t="s">
        <v>3309</v>
      </c>
      <c r="U1546" s="221" t="s">
        <v>3228</v>
      </c>
      <c r="V1546" s="221" t="s">
        <v>3340</v>
      </c>
      <c r="W1546" s="221" t="s">
        <v>3229</v>
      </c>
      <c r="X1546" s="221"/>
      <c r="Y1546" s="227"/>
      <c r="Z1546" s="227" t="str">
        <f t="shared" si="57"/>
        <v>Mulyorejo RW 04 Sukun</v>
      </c>
      <c r="AA1546" s="276" t="e">
        <f>VLOOKUP(Logfile_S12[[#This Row],[DO number]],DO_DB!G:I,3,0)</f>
        <v>#N/A</v>
      </c>
      <c r="AB1546" s="331" t="e">
        <f>EXACT(Logfile_S12[[#This Row],[date pick]],Logfile_S12[[#This Row],[Date]])</f>
        <v>#N/A</v>
      </c>
      <c r="AC15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47" spans="1:29" ht="14.5" hidden="1">
      <c r="A1547" s="220" t="str">
        <f t="shared" si="58"/>
        <v>1543</v>
      </c>
      <c r="B1547" s="221"/>
      <c r="C1547" s="221" t="s">
        <v>48</v>
      </c>
      <c r="D1547" s="221" t="s">
        <v>3697</v>
      </c>
      <c r="E1547" s="221" t="s">
        <v>3295</v>
      </c>
      <c r="F1547" s="221" t="s">
        <v>3299</v>
      </c>
      <c r="G1547" s="222">
        <v>45173</v>
      </c>
      <c r="H1547" s="223">
        <v>15.291666666666666</v>
      </c>
      <c r="I1547" s="221" t="s">
        <v>3586</v>
      </c>
      <c r="J1547" s="221" t="s">
        <v>3023</v>
      </c>
      <c r="K1547" s="224" t="s">
        <v>3070</v>
      </c>
      <c r="L1547" s="225" t="str">
        <f>VLOOKUP(Logfile_S12[[#This Row],[Material Name]],Sheet2!B:C,2,0)</f>
        <v>ZTE1002</v>
      </c>
      <c r="M1547" s="225" t="str">
        <f>_xlfn.XLOOKUP(Logfile_S12[[#This Row],[Material Name]],Sum_WH!E:E,Sum_WH!F:F,"",0)</f>
        <v>Pcs</v>
      </c>
      <c r="N1547" s="221">
        <v>2</v>
      </c>
      <c r="O1547" s="221" t="s">
        <v>150</v>
      </c>
      <c r="P1547" s="221" t="s">
        <v>151</v>
      </c>
      <c r="Q1547" s="221">
        <v>0</v>
      </c>
      <c r="R1547" s="221">
        <v>0</v>
      </c>
      <c r="S1547" s="221"/>
      <c r="T1547" s="221"/>
      <c r="U1547" s="221"/>
      <c r="V1547" s="221"/>
      <c r="W1547" s="221"/>
      <c r="X1547" s="221"/>
      <c r="Y1547" s="227"/>
      <c r="Z1547" s="227" t="str">
        <f t="shared" si="57"/>
        <v>Mulyorejo RW 04 Sukun</v>
      </c>
      <c r="AA1547" s="276" t="e">
        <f>VLOOKUP(Logfile_S12[[#This Row],[DO number]],DO_DB!G:I,3,0)</f>
        <v>#N/A</v>
      </c>
      <c r="AB1547" s="331" t="e">
        <f>EXACT(Logfile_S12[[#This Row],[date pick]],Logfile_S12[[#This Row],[Date]])</f>
        <v>#N/A</v>
      </c>
      <c r="AC15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48" spans="1:29" ht="14.5" hidden="1">
      <c r="A1548" s="220" t="str">
        <f t="shared" si="58"/>
        <v>1544</v>
      </c>
      <c r="B1548" s="221"/>
      <c r="C1548" s="221" t="s">
        <v>49</v>
      </c>
      <c r="D1548" s="221" t="s">
        <v>3695</v>
      </c>
      <c r="E1548" s="221" t="s">
        <v>3295</v>
      </c>
      <c r="F1548" s="221" t="s">
        <v>3299</v>
      </c>
      <c r="G1548" s="222">
        <v>45173</v>
      </c>
      <c r="H1548" s="223">
        <v>0.31805555555555554</v>
      </c>
      <c r="I1548" s="221" t="s">
        <v>4916</v>
      </c>
      <c r="J1548" s="221" t="s">
        <v>3023</v>
      </c>
      <c r="K1548" s="224" t="s">
        <v>3070</v>
      </c>
      <c r="L1548" s="225" t="str">
        <f>VLOOKUP(Logfile_S12[[#This Row],[Material Name]],Sheet2!B:C,2,0)</f>
        <v>ZTE1002</v>
      </c>
      <c r="M1548" s="225" t="str">
        <f>_xlfn.XLOOKUP(Logfile_S12[[#This Row],[Material Name]],Sum_WH!E:E,Sum_WH!F:F,"",0)</f>
        <v>Pcs</v>
      </c>
      <c r="N1548" s="221">
        <v>2</v>
      </c>
      <c r="O1548" s="221" t="s">
        <v>150</v>
      </c>
      <c r="P1548" s="221" t="s">
        <v>151</v>
      </c>
      <c r="Q1548" s="221"/>
      <c r="R1548" s="221"/>
      <c r="S1548" s="221"/>
      <c r="T1548" s="221" t="s">
        <v>3309</v>
      </c>
      <c r="U1548" s="221" t="s">
        <v>3228</v>
      </c>
      <c r="V1548" s="221" t="s">
        <v>3310</v>
      </c>
      <c r="W1548" s="221" t="s">
        <v>3311</v>
      </c>
      <c r="X1548" s="221"/>
      <c r="Y1548" s="227"/>
      <c r="Z1548" s="227" t="str">
        <f t="shared" ref="Z1548:Z1611" si="59">P1548</f>
        <v>Mulyorejo RW 04 Sukun</v>
      </c>
      <c r="AA1548" s="276" t="e">
        <f>VLOOKUP(Logfile_S12[[#This Row],[DO number]],DO_DB!G:I,3,0)</f>
        <v>#N/A</v>
      </c>
      <c r="AB1548" s="331" t="e">
        <f>EXACT(Logfile_S12[[#This Row],[date pick]],Logfile_S12[[#This Row],[Date]])</f>
        <v>#N/A</v>
      </c>
      <c r="AC15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49" spans="1:29" ht="14.5" hidden="1">
      <c r="A1549" s="220" t="str">
        <f t="shared" si="58"/>
        <v>1545</v>
      </c>
      <c r="B1549" s="221"/>
      <c r="C1549" s="221" t="s">
        <v>49</v>
      </c>
      <c r="D1549" s="221" t="s">
        <v>3700</v>
      </c>
      <c r="E1549" s="221" t="s">
        <v>3295</v>
      </c>
      <c r="F1549" s="221" t="s">
        <v>3299</v>
      </c>
      <c r="G1549" s="222">
        <v>45175</v>
      </c>
      <c r="H1549" s="223">
        <v>0.33888888888888885</v>
      </c>
      <c r="I1549" s="221" t="s">
        <v>4916</v>
      </c>
      <c r="J1549" s="221" t="s">
        <v>3023</v>
      </c>
      <c r="K1549" s="224" t="s">
        <v>3208</v>
      </c>
      <c r="L1549" s="225" t="str">
        <f>VLOOKUP(Logfile_S12[[#This Row],[Material Name]],Sheet2!B:C,2,0)</f>
        <v>ZTE1002</v>
      </c>
      <c r="M1549" s="225" t="str">
        <f>_xlfn.XLOOKUP(Logfile_S12[[#This Row],[Material Name]],Sum_WH!E:E,Sum_WH!F:F,"",0)</f>
        <v>Pcs</v>
      </c>
      <c r="N1549" s="221">
        <v>2</v>
      </c>
      <c r="O1549" s="221" t="s">
        <v>150</v>
      </c>
      <c r="P1549" s="221" t="s">
        <v>151</v>
      </c>
      <c r="Q1549" s="221"/>
      <c r="R1549" s="221"/>
      <c r="S1549" s="221"/>
      <c r="T1549" s="221" t="s">
        <v>3309</v>
      </c>
      <c r="U1549" s="221" t="s">
        <v>3228</v>
      </c>
      <c r="V1549" s="221" t="s">
        <v>3310</v>
      </c>
      <c r="W1549" s="221" t="s">
        <v>3311</v>
      </c>
      <c r="X1549" s="221"/>
      <c r="Y1549" s="227"/>
      <c r="Z1549" s="227" t="str">
        <f t="shared" si="59"/>
        <v>Mulyorejo RW 04 Sukun</v>
      </c>
      <c r="AA1549" s="276" t="e">
        <f>VLOOKUP(Logfile_S12[[#This Row],[DO number]],DO_DB!G:I,3,0)</f>
        <v>#N/A</v>
      </c>
      <c r="AB1549" s="331" t="e">
        <f>EXACT(Logfile_S12[[#This Row],[date pick]],Logfile_S12[[#This Row],[Date]])</f>
        <v>#N/A</v>
      </c>
      <c r="AC15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50" spans="1:29" ht="14.5" hidden="1">
      <c r="A1550" s="220" t="str">
        <f t="shared" si="58"/>
        <v>1546</v>
      </c>
      <c r="B1550" s="221"/>
      <c r="C1550" s="221" t="s">
        <v>48</v>
      </c>
      <c r="D1550" s="221" t="s">
        <v>3708</v>
      </c>
      <c r="E1550" s="221" t="s">
        <v>3295</v>
      </c>
      <c r="F1550" s="221" t="s">
        <v>3299</v>
      </c>
      <c r="G1550" s="222">
        <v>45185</v>
      </c>
      <c r="H1550" s="223">
        <v>15.291666666666666</v>
      </c>
      <c r="I1550" s="221" t="s">
        <v>37</v>
      </c>
      <c r="J1550" s="221" t="s">
        <v>3023</v>
      </c>
      <c r="K1550" s="224" t="s">
        <v>3070</v>
      </c>
      <c r="L1550" s="225" t="str">
        <f>VLOOKUP(Logfile_S12[[#This Row],[Material Name]],Sheet2!B:C,2,0)</f>
        <v>ZTE1002</v>
      </c>
      <c r="M1550" s="225" t="str">
        <f>_xlfn.XLOOKUP(Logfile_S12[[#This Row],[Material Name]],Sum_WH!E:E,Sum_WH!F:F,"",0)</f>
        <v>Pcs</v>
      </c>
      <c r="N1550" s="221">
        <v>3</v>
      </c>
      <c r="O1550" s="221" t="s">
        <v>172</v>
      </c>
      <c r="P1550" s="221" t="s">
        <v>3319</v>
      </c>
      <c r="Q1550" s="221" t="s">
        <v>174</v>
      </c>
      <c r="R1550" s="221" t="s">
        <v>175</v>
      </c>
      <c r="S1550" s="221"/>
      <c r="T1550" s="221" t="s">
        <v>3346</v>
      </c>
      <c r="U1550" s="221"/>
      <c r="V1550" s="221"/>
      <c r="W1550" s="221"/>
      <c r="X1550" s="221"/>
      <c r="Y1550" s="227"/>
      <c r="Z1550" s="227" t="str">
        <f t="shared" si="59"/>
        <v>Pandan Landung RW 03 Wagir</v>
      </c>
      <c r="AA1550" s="276">
        <f>VLOOKUP(Logfile_S12[[#This Row],[DO number]],DO_DB!G:I,3,0)</f>
        <v>45185</v>
      </c>
      <c r="AB1550" s="331" t="b">
        <f>EXACT(Logfile_S12[[#This Row],[date pick]],Logfile_S12[[#This Row],[Date]])</f>
        <v>1</v>
      </c>
      <c r="AC15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51" spans="1:29" ht="14.5" hidden="1">
      <c r="A1551" s="220" t="str">
        <f t="shared" si="58"/>
        <v>1547</v>
      </c>
      <c r="B1551" s="221"/>
      <c r="C1551" s="221" t="s">
        <v>48</v>
      </c>
      <c r="D1551" s="221" t="s">
        <v>3708</v>
      </c>
      <c r="E1551" s="221" t="s">
        <v>3295</v>
      </c>
      <c r="F1551" s="221" t="s">
        <v>3299</v>
      </c>
      <c r="G1551" s="222">
        <v>45185</v>
      </c>
      <c r="H1551" s="223">
        <v>15.291666666666666</v>
      </c>
      <c r="I1551" s="221" t="s">
        <v>37</v>
      </c>
      <c r="J1551" s="221" t="s">
        <v>3023</v>
      </c>
      <c r="K1551" s="224" t="s">
        <v>3070</v>
      </c>
      <c r="L1551" s="225" t="str">
        <f>VLOOKUP(Logfile_S12[[#This Row],[Material Name]],Sheet2!B:C,2,0)</f>
        <v>ZTE1002</v>
      </c>
      <c r="M1551" s="225" t="str">
        <f>_xlfn.XLOOKUP(Logfile_S12[[#This Row],[Material Name]],Sum_WH!E:E,Sum_WH!F:F,"",0)</f>
        <v>Pcs</v>
      </c>
      <c r="N1551" s="221">
        <v>4</v>
      </c>
      <c r="O1551" s="221" t="s">
        <v>164</v>
      </c>
      <c r="P1551" s="221" t="s">
        <v>3320</v>
      </c>
      <c r="Q1551" s="221" t="s">
        <v>170</v>
      </c>
      <c r="R1551" s="221" t="s">
        <v>171</v>
      </c>
      <c r="S1551" s="221"/>
      <c r="T1551" s="221" t="s">
        <v>3346</v>
      </c>
      <c r="U1551" s="221"/>
      <c r="V1551" s="221"/>
      <c r="W1551" s="221"/>
      <c r="X1551" s="221"/>
      <c r="Y1551" s="227"/>
      <c r="Z1551" s="227" t="str">
        <f t="shared" si="59"/>
        <v>Pandan Landung RW 04 Wagir</v>
      </c>
      <c r="AA1551" s="276">
        <f>VLOOKUP(Logfile_S12[[#This Row],[DO number]],DO_DB!G:I,3,0)</f>
        <v>45185</v>
      </c>
      <c r="AB1551" s="331" t="b">
        <f>EXACT(Logfile_S12[[#This Row],[date pick]],Logfile_S12[[#This Row],[Date]])</f>
        <v>1</v>
      </c>
      <c r="AC15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52" spans="1:29" ht="14.5" hidden="1">
      <c r="A1552" s="220" t="str">
        <f t="shared" si="58"/>
        <v>1548</v>
      </c>
      <c r="B1552" s="221"/>
      <c r="C1552" s="221" t="s">
        <v>48</v>
      </c>
      <c r="D1552" s="221" t="s">
        <v>3709</v>
      </c>
      <c r="E1552" s="221" t="s">
        <v>3295</v>
      </c>
      <c r="F1552" s="221" t="s">
        <v>3299</v>
      </c>
      <c r="G1552" s="222">
        <v>45188</v>
      </c>
      <c r="H1552" s="223">
        <v>15.291666666666666</v>
      </c>
      <c r="I1552" s="221" t="s">
        <v>37</v>
      </c>
      <c r="J1552" s="221" t="s">
        <v>3023</v>
      </c>
      <c r="K1552" s="224" t="s">
        <v>3070</v>
      </c>
      <c r="L1552" s="225" t="str">
        <f>VLOOKUP(Logfile_S12[[#This Row],[Material Name]],Sheet2!B:C,2,0)</f>
        <v>ZTE1002</v>
      </c>
      <c r="M1552" s="225" t="str">
        <f>_xlfn.XLOOKUP(Logfile_S12[[#This Row],[Material Name]],Sum_WH!E:E,Sum_WH!F:F,"",0)</f>
        <v>Pcs</v>
      </c>
      <c r="N1552" s="221">
        <v>3</v>
      </c>
      <c r="O1552" s="221" t="s">
        <v>180</v>
      </c>
      <c r="P1552" s="221" t="s">
        <v>181</v>
      </c>
      <c r="Q1552" s="221" t="s">
        <v>184</v>
      </c>
      <c r="R1552" s="221" t="s">
        <v>185</v>
      </c>
      <c r="S1552" s="221"/>
      <c r="T1552" s="221"/>
      <c r="U1552" s="221"/>
      <c r="V1552" s="221"/>
      <c r="W1552" s="221"/>
      <c r="X1552" s="221"/>
      <c r="Y1552" s="227"/>
      <c r="Z1552" s="227" t="str">
        <f t="shared" si="59"/>
        <v>Mulyorejo RW 06 Sukun</v>
      </c>
      <c r="AA1552" s="276">
        <f>VLOOKUP(Logfile_S12[[#This Row],[DO number]],DO_DB!G:I,3,0)</f>
        <v>45188</v>
      </c>
      <c r="AB1552" s="331" t="b">
        <f>EXACT(Logfile_S12[[#This Row],[date pick]],Logfile_S12[[#This Row],[Date]])</f>
        <v>1</v>
      </c>
      <c r="AC15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53" spans="1:29" ht="14.5" hidden="1">
      <c r="A1553" s="220" t="str">
        <f t="shared" si="58"/>
        <v>1549</v>
      </c>
      <c r="B1553" s="221"/>
      <c r="C1553" s="221" t="s">
        <v>48</v>
      </c>
      <c r="D1553" s="221" t="s">
        <v>3710</v>
      </c>
      <c r="E1553" s="221" t="s">
        <v>3295</v>
      </c>
      <c r="F1553" s="221" t="s">
        <v>3299</v>
      </c>
      <c r="G1553" s="222">
        <v>45189</v>
      </c>
      <c r="H1553" s="223">
        <v>15.291666666666666</v>
      </c>
      <c r="I1553" s="221" t="s">
        <v>37</v>
      </c>
      <c r="J1553" s="221" t="s">
        <v>3023</v>
      </c>
      <c r="K1553" s="224" t="s">
        <v>3070</v>
      </c>
      <c r="L1553" s="225" t="str">
        <f>VLOOKUP(Logfile_S12[[#This Row],[Material Name]],Sheet2!B:C,2,0)</f>
        <v>ZTE1002</v>
      </c>
      <c r="M1553" s="225" t="str">
        <f>_xlfn.XLOOKUP(Logfile_S12[[#This Row],[Material Name]],Sum_WH!E:E,Sum_WH!F:F,"",0)</f>
        <v>Pcs</v>
      </c>
      <c r="N1553" s="221">
        <v>18</v>
      </c>
      <c r="O1553" s="221" t="s">
        <v>222</v>
      </c>
      <c r="P1553" s="221" t="s">
        <v>223</v>
      </c>
      <c r="Q1553" s="221" t="s">
        <v>226</v>
      </c>
      <c r="R1553" s="221" t="s">
        <v>227</v>
      </c>
      <c r="S1553" s="221"/>
      <c r="T1553" s="221"/>
      <c r="U1553" s="221"/>
      <c r="V1553" s="221"/>
      <c r="W1553" s="221"/>
      <c r="X1553" s="221"/>
      <c r="Y1553" s="227"/>
      <c r="Z1553" s="227" t="str">
        <f t="shared" si="59"/>
        <v>Puncak Dieng Exlusif</v>
      </c>
      <c r="AA1553" s="276">
        <f>VLOOKUP(Logfile_S12[[#This Row],[DO number]],DO_DB!G:I,3,0)</f>
        <v>45189</v>
      </c>
      <c r="AB1553" s="331" t="b">
        <f>EXACT(Logfile_S12[[#This Row],[date pick]],Logfile_S12[[#This Row],[Date]])</f>
        <v>1</v>
      </c>
      <c r="AC15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54" spans="1:29" ht="14.5" hidden="1">
      <c r="A1554" s="220" t="str">
        <f t="shared" si="58"/>
        <v>1550</v>
      </c>
      <c r="B1554" s="221"/>
      <c r="C1554" s="221" t="s">
        <v>49</v>
      </c>
      <c r="D1554" s="221" t="s">
        <v>3714</v>
      </c>
      <c r="E1554" s="221" t="s">
        <v>3295</v>
      </c>
      <c r="F1554" s="221" t="s">
        <v>3299</v>
      </c>
      <c r="G1554" s="222">
        <v>45191</v>
      </c>
      <c r="H1554" s="223">
        <v>0.3888888888888889</v>
      </c>
      <c r="I1554" s="221" t="s">
        <v>4916</v>
      </c>
      <c r="J1554" s="221" t="s">
        <v>3023</v>
      </c>
      <c r="K1554" s="224" t="s">
        <v>3070</v>
      </c>
      <c r="L1554" s="225" t="str">
        <f>VLOOKUP(Logfile_S12[[#This Row],[Material Name]],Sheet2!B:C,2,0)</f>
        <v>ZTE1002</v>
      </c>
      <c r="M1554" s="225" t="str">
        <f>_xlfn.XLOOKUP(Logfile_S12[[#This Row],[Material Name]],Sum_WH!E:E,Sum_WH!F:F,"",0)</f>
        <v>Pcs</v>
      </c>
      <c r="N1554" s="221">
        <v>3</v>
      </c>
      <c r="O1554" s="221" t="s">
        <v>172</v>
      </c>
      <c r="P1554" s="221" t="s">
        <v>3319</v>
      </c>
      <c r="Q1554" s="221"/>
      <c r="R1554" s="221"/>
      <c r="S1554" s="221"/>
      <c r="T1554" s="221" t="s">
        <v>3346</v>
      </c>
      <c r="U1554" s="221" t="s">
        <v>3323</v>
      </c>
      <c r="V1554" s="221" t="s">
        <v>3347</v>
      </c>
      <c r="W1554" s="221" t="s">
        <v>3334</v>
      </c>
      <c r="X1554" s="221"/>
      <c r="Y1554" s="227"/>
      <c r="Z1554" s="227" t="str">
        <f t="shared" si="59"/>
        <v>Pandan Landung RW 03 Wagir</v>
      </c>
      <c r="AA1554" s="276" t="e">
        <f>VLOOKUP(Logfile_S12[[#This Row],[DO number]],DO_DB!G:I,3,0)</f>
        <v>#N/A</v>
      </c>
      <c r="AB1554" s="331" t="e">
        <f>EXACT(Logfile_S12[[#This Row],[date pick]],Logfile_S12[[#This Row],[Date]])</f>
        <v>#N/A</v>
      </c>
      <c r="AC15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55" spans="1:29" ht="14.5" hidden="1">
      <c r="A1555" s="220" t="str">
        <f t="shared" si="58"/>
        <v>1551</v>
      </c>
      <c r="B1555" s="221"/>
      <c r="C1555" s="221" t="s">
        <v>48</v>
      </c>
      <c r="D1555" s="221" t="s">
        <v>3718</v>
      </c>
      <c r="E1555" s="221" t="s">
        <v>3295</v>
      </c>
      <c r="F1555" s="221" t="s">
        <v>3299</v>
      </c>
      <c r="G1555" s="222">
        <v>45192</v>
      </c>
      <c r="H1555" s="223">
        <v>0.67013888888888884</v>
      </c>
      <c r="I1555" s="221" t="s">
        <v>3586</v>
      </c>
      <c r="J1555" s="221" t="s">
        <v>3023</v>
      </c>
      <c r="K1555" s="224" t="s">
        <v>3070</v>
      </c>
      <c r="L1555" s="225" t="str">
        <f>VLOOKUP(Logfile_S12[[#This Row],[Material Name]],Sheet2!B:C,2,0)</f>
        <v>ZTE1002</v>
      </c>
      <c r="M1555" s="225" t="str">
        <f>_xlfn.XLOOKUP(Logfile_S12[[#This Row],[Material Name]],Sum_WH!E:E,Sum_WH!F:F,"",0)</f>
        <v>Pcs</v>
      </c>
      <c r="N1555" s="221">
        <v>1</v>
      </c>
      <c r="O1555" s="221" t="s">
        <v>180</v>
      </c>
      <c r="P1555" s="221" t="s">
        <v>181</v>
      </c>
      <c r="Q1555" s="221">
        <v>0</v>
      </c>
      <c r="R1555" s="221">
        <v>0</v>
      </c>
      <c r="S1555" s="221"/>
      <c r="T1555" s="221"/>
      <c r="U1555" s="221"/>
      <c r="V1555" s="221"/>
      <c r="W1555" s="221"/>
      <c r="X1555" s="221"/>
      <c r="Y1555" s="227"/>
      <c r="Z1555" s="227" t="str">
        <f t="shared" si="59"/>
        <v>Mulyorejo RW 06 Sukun</v>
      </c>
      <c r="AA1555" s="276" t="e">
        <f>VLOOKUP(Logfile_S12[[#This Row],[DO number]],DO_DB!G:I,3,0)</f>
        <v>#N/A</v>
      </c>
      <c r="AB1555" s="331" t="e">
        <f>EXACT(Logfile_S12[[#This Row],[date pick]],Logfile_S12[[#This Row],[Date]])</f>
        <v>#N/A</v>
      </c>
      <c r="AC15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56" spans="1:29" ht="14.5" hidden="1">
      <c r="A1556" s="220" t="str">
        <f t="shared" si="58"/>
        <v>1552</v>
      </c>
      <c r="B1556" s="221"/>
      <c r="C1556" s="221" t="s">
        <v>49</v>
      </c>
      <c r="D1556" s="221" t="s">
        <v>3717</v>
      </c>
      <c r="E1556" s="221" t="s">
        <v>3295</v>
      </c>
      <c r="F1556" s="221" t="s">
        <v>3299</v>
      </c>
      <c r="G1556" s="222">
        <v>45192</v>
      </c>
      <c r="H1556" s="223">
        <v>0.58888888888888891</v>
      </c>
      <c r="I1556" s="221" t="s">
        <v>4916</v>
      </c>
      <c r="J1556" s="221" t="s">
        <v>3023</v>
      </c>
      <c r="K1556" s="224" t="s">
        <v>3070</v>
      </c>
      <c r="L1556" s="225" t="str">
        <f>VLOOKUP(Logfile_S12[[#This Row],[Material Name]],Sheet2!B:C,2,0)</f>
        <v>ZTE1002</v>
      </c>
      <c r="M1556" s="225" t="str">
        <f>_xlfn.XLOOKUP(Logfile_S12[[#This Row],[Material Name]],Sum_WH!E:E,Sum_WH!F:F,"",0)</f>
        <v>Pcs</v>
      </c>
      <c r="N1556" s="221">
        <v>4</v>
      </c>
      <c r="O1556" s="221" t="s">
        <v>180</v>
      </c>
      <c r="P1556" s="221" t="s">
        <v>181</v>
      </c>
      <c r="Q1556" s="221"/>
      <c r="R1556" s="221"/>
      <c r="S1556" s="221"/>
      <c r="T1556" s="221" t="s">
        <v>3322</v>
      </c>
      <c r="U1556" s="221" t="s">
        <v>3323</v>
      </c>
      <c r="V1556" s="221" t="s">
        <v>3324</v>
      </c>
      <c r="W1556" s="221" t="s">
        <v>3325</v>
      </c>
      <c r="X1556" s="221"/>
      <c r="Y1556" s="227"/>
      <c r="Z1556" s="227" t="str">
        <f t="shared" si="59"/>
        <v>Mulyorejo RW 06 Sukun</v>
      </c>
      <c r="AA1556" s="276" t="e">
        <f>VLOOKUP(Logfile_S12[[#This Row],[DO number]],DO_DB!G:I,3,0)</f>
        <v>#N/A</v>
      </c>
      <c r="AB1556" s="331" t="e">
        <f>EXACT(Logfile_S12[[#This Row],[date pick]],Logfile_S12[[#This Row],[Date]])</f>
        <v>#N/A</v>
      </c>
      <c r="AC15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57" spans="1:29" ht="14.5" hidden="1">
      <c r="A1557" s="220" t="str">
        <f t="shared" si="58"/>
        <v>1553</v>
      </c>
      <c r="B1557" s="221"/>
      <c r="C1557" s="221" t="s">
        <v>49</v>
      </c>
      <c r="D1557" s="221" t="s">
        <v>3725</v>
      </c>
      <c r="E1557" s="221" t="s">
        <v>3295</v>
      </c>
      <c r="F1557" s="221" t="s">
        <v>3299</v>
      </c>
      <c r="G1557" s="222">
        <v>45195</v>
      </c>
      <c r="H1557" s="223">
        <v>0.27083333333333331</v>
      </c>
      <c r="I1557" s="221" t="s">
        <v>4916</v>
      </c>
      <c r="J1557" s="221" t="s">
        <v>3023</v>
      </c>
      <c r="K1557" s="224" t="s">
        <v>3211</v>
      </c>
      <c r="L1557" s="225" t="str">
        <f>VLOOKUP(Logfile_S12[[#This Row],[Material Name]],Sheet2!B:C,2,0)</f>
        <v>ZTE1002</v>
      </c>
      <c r="M1557" s="225" t="str">
        <f>_xlfn.XLOOKUP(Logfile_S12[[#This Row],[Material Name]],Sum_WH!E:E,Sum_WH!F:F,"",0)</f>
        <v>Pcs</v>
      </c>
      <c r="N1557" s="221">
        <v>1</v>
      </c>
      <c r="O1557" s="221" t="s">
        <v>222</v>
      </c>
      <c r="P1557" s="221" t="s">
        <v>223</v>
      </c>
      <c r="Q1557" s="221"/>
      <c r="R1557" s="221"/>
      <c r="S1557" s="221"/>
      <c r="T1557" s="221" t="s">
        <v>3322</v>
      </c>
      <c r="U1557" s="221" t="s">
        <v>3323</v>
      </c>
      <c r="V1557" s="221" t="s">
        <v>3324</v>
      </c>
      <c r="W1557" s="221" t="s">
        <v>3325</v>
      </c>
      <c r="X1557" s="221"/>
      <c r="Y1557" s="227"/>
      <c r="Z1557" s="227" t="str">
        <f t="shared" si="59"/>
        <v>Puncak Dieng Exlusif</v>
      </c>
      <c r="AA1557" s="276" t="e">
        <f>VLOOKUP(Logfile_S12[[#This Row],[DO number]],DO_DB!G:I,3,0)</f>
        <v>#N/A</v>
      </c>
      <c r="AB1557" s="331" t="e">
        <f>EXACT(Logfile_S12[[#This Row],[date pick]],Logfile_S12[[#This Row],[Date]])</f>
        <v>#N/A</v>
      </c>
      <c r="AC15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58" spans="1:29" ht="14.5" hidden="1">
      <c r="A1558" s="220" t="str">
        <f t="shared" si="58"/>
        <v>1554</v>
      </c>
      <c r="B1558" s="221"/>
      <c r="C1558" s="221" t="s">
        <v>49</v>
      </c>
      <c r="D1558" s="221" t="s">
        <v>3738</v>
      </c>
      <c r="E1558" s="221" t="s">
        <v>3295</v>
      </c>
      <c r="F1558" s="221" t="s">
        <v>3299</v>
      </c>
      <c r="G1558" s="222">
        <v>45203</v>
      </c>
      <c r="H1558" s="223">
        <v>0.40277777777777773</v>
      </c>
      <c r="I1558" s="221" t="s">
        <v>4916</v>
      </c>
      <c r="J1558" s="221" t="s">
        <v>3023</v>
      </c>
      <c r="K1558" s="224" t="s">
        <v>3211</v>
      </c>
      <c r="L1558" s="225" t="str">
        <f>VLOOKUP(Logfile_S12[[#This Row],[Material Name]],Sheet2!B:C,2,0)</f>
        <v>ZTE1002</v>
      </c>
      <c r="M1558" s="225" t="str">
        <f>_xlfn.XLOOKUP(Logfile_S12[[#This Row],[Material Name]],Sum_WH!E:E,Sum_WH!F:F,"",0)</f>
        <v>Pcs</v>
      </c>
      <c r="N1558" s="221">
        <v>2</v>
      </c>
      <c r="O1558" s="221" t="s">
        <v>164</v>
      </c>
      <c r="P1558" s="221" t="s">
        <v>3320</v>
      </c>
      <c r="Q1558" s="221"/>
      <c r="R1558" s="221"/>
      <c r="S1558" s="221"/>
      <c r="T1558" s="221" t="s">
        <v>3346</v>
      </c>
      <c r="U1558" s="221">
        <v>0</v>
      </c>
      <c r="V1558" s="221" t="s">
        <v>3347</v>
      </c>
      <c r="W1558" s="221" t="s">
        <v>3334</v>
      </c>
      <c r="X1558" s="221"/>
      <c r="Y1558" s="227"/>
      <c r="Z1558" s="227" t="str">
        <f t="shared" si="59"/>
        <v>Pandan Landung RW 04 Wagir</v>
      </c>
      <c r="AA1558" s="276" t="e">
        <f>VLOOKUP(Logfile_S12[[#This Row],[DO number]],DO_DB!G:I,3,0)</f>
        <v>#N/A</v>
      </c>
      <c r="AB1558" s="331" t="e">
        <f>EXACT(Logfile_S12[[#This Row],[date pick]],Logfile_S12[[#This Row],[Date]])</f>
        <v>#N/A</v>
      </c>
      <c r="AC15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59" spans="1:29" ht="14.5" hidden="1">
      <c r="A1559" s="220" t="str">
        <f t="shared" si="58"/>
        <v>1555</v>
      </c>
      <c r="B1559" s="221"/>
      <c r="C1559" s="221" t="s">
        <v>49</v>
      </c>
      <c r="D1559" s="221" t="s">
        <v>3739</v>
      </c>
      <c r="E1559" s="221" t="s">
        <v>3295</v>
      </c>
      <c r="F1559" s="221" t="s">
        <v>3299</v>
      </c>
      <c r="G1559" s="222">
        <v>45204</v>
      </c>
      <c r="H1559" s="223">
        <v>0.61597222222222225</v>
      </c>
      <c r="I1559" s="221" t="s">
        <v>4916</v>
      </c>
      <c r="J1559" s="221" t="s">
        <v>3023</v>
      </c>
      <c r="K1559" s="224" t="s">
        <v>3208</v>
      </c>
      <c r="L1559" s="225" t="str">
        <f>VLOOKUP(Logfile_S12[[#This Row],[Material Name]],Sheet2!B:C,2,0)</f>
        <v>ZTE1002</v>
      </c>
      <c r="M1559" s="225" t="str">
        <f>_xlfn.XLOOKUP(Logfile_S12[[#This Row],[Material Name]],Sum_WH!E:E,Sum_WH!F:F,"",0)</f>
        <v>Pcs</v>
      </c>
      <c r="N1559" s="221">
        <v>7</v>
      </c>
      <c r="O1559" s="221" t="s">
        <v>222</v>
      </c>
      <c r="P1559" s="221" t="s">
        <v>223</v>
      </c>
      <c r="Q1559" s="221"/>
      <c r="R1559" s="221"/>
      <c r="S1559" s="221"/>
      <c r="T1559" s="221" t="s">
        <v>3322</v>
      </c>
      <c r="U1559" s="221" t="s">
        <v>3323</v>
      </c>
      <c r="V1559" s="221" t="s">
        <v>3324</v>
      </c>
      <c r="W1559" s="221" t="s">
        <v>3325</v>
      </c>
      <c r="X1559" s="221"/>
      <c r="Y1559" s="227"/>
      <c r="Z1559" s="227" t="str">
        <f t="shared" si="59"/>
        <v>Puncak Dieng Exlusif</v>
      </c>
      <c r="AA1559" s="276" t="e">
        <f>VLOOKUP(Logfile_S12[[#This Row],[DO number]],DO_DB!G:I,3,0)</f>
        <v>#N/A</v>
      </c>
      <c r="AB1559" s="331" t="e">
        <f>EXACT(Logfile_S12[[#This Row],[date pick]],Logfile_S12[[#This Row],[Date]])</f>
        <v>#N/A</v>
      </c>
      <c r="AC15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60" spans="1:29" ht="14.5" hidden="1">
      <c r="A1560" s="220" t="str">
        <f t="shared" si="58"/>
        <v>1556</v>
      </c>
      <c r="B1560" s="221"/>
      <c r="C1560" s="221" t="s">
        <v>49</v>
      </c>
      <c r="D1560" s="221" t="s">
        <v>3741</v>
      </c>
      <c r="E1560" s="221" t="s">
        <v>3295</v>
      </c>
      <c r="F1560" s="221" t="s">
        <v>3299</v>
      </c>
      <c r="G1560" s="222">
        <v>45205</v>
      </c>
      <c r="H1560" s="223">
        <v>0.39374999999999999</v>
      </c>
      <c r="I1560" s="221" t="s">
        <v>4916</v>
      </c>
      <c r="J1560" s="221" t="s">
        <v>3023</v>
      </c>
      <c r="K1560" s="224" t="s">
        <v>3211</v>
      </c>
      <c r="L1560" s="225" t="str">
        <f>VLOOKUP(Logfile_S12[[#This Row],[Material Name]],Sheet2!B:C,2,0)</f>
        <v>ZTE1002</v>
      </c>
      <c r="M1560" s="225" t="str">
        <f>_xlfn.XLOOKUP(Logfile_S12[[#This Row],[Material Name]],Sum_WH!E:E,Sum_WH!F:F,"",0)</f>
        <v>Pcs</v>
      </c>
      <c r="N1560" s="221">
        <v>1</v>
      </c>
      <c r="O1560" s="221" t="s">
        <v>222</v>
      </c>
      <c r="P1560" s="221" t="s">
        <v>223</v>
      </c>
      <c r="Q1560" s="221"/>
      <c r="R1560" s="221"/>
      <c r="S1560" s="221"/>
      <c r="T1560" s="221" t="s">
        <v>3322</v>
      </c>
      <c r="U1560" s="221" t="s">
        <v>3323</v>
      </c>
      <c r="V1560" s="221" t="s">
        <v>3324</v>
      </c>
      <c r="W1560" s="221" t="s">
        <v>3325</v>
      </c>
      <c r="X1560" s="221"/>
      <c r="Y1560" s="227"/>
      <c r="Z1560" s="227" t="str">
        <f t="shared" si="59"/>
        <v>Puncak Dieng Exlusif</v>
      </c>
      <c r="AA1560" s="276" t="e">
        <f>VLOOKUP(Logfile_S12[[#This Row],[DO number]],DO_DB!G:I,3,0)</f>
        <v>#N/A</v>
      </c>
      <c r="AB1560" s="331" t="e">
        <f>EXACT(Logfile_S12[[#This Row],[date pick]],Logfile_S12[[#This Row],[Date]])</f>
        <v>#N/A</v>
      </c>
      <c r="AC15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61" spans="1:29" ht="14.5" hidden="1">
      <c r="A1561" s="220" t="str">
        <f t="shared" si="58"/>
        <v>1557</v>
      </c>
      <c r="B1561" s="221"/>
      <c r="C1561" s="221" t="s">
        <v>48</v>
      </c>
      <c r="D1561" s="221" t="s">
        <v>3754</v>
      </c>
      <c r="E1561" s="221" t="s">
        <v>3295</v>
      </c>
      <c r="F1561" s="221" t="s">
        <v>3299</v>
      </c>
      <c r="G1561" s="222">
        <v>45213</v>
      </c>
      <c r="H1561" s="223">
        <v>15.291666666666666</v>
      </c>
      <c r="I1561" s="221" t="s">
        <v>37</v>
      </c>
      <c r="J1561" s="221" t="s">
        <v>3023</v>
      </c>
      <c r="K1561" s="224" t="s">
        <v>3211</v>
      </c>
      <c r="L1561" s="225" t="str">
        <f>VLOOKUP(Logfile_S12[[#This Row],[Material Name]],Sheet2!B:C,2,0)</f>
        <v>ZTE1002</v>
      </c>
      <c r="M1561" s="225" t="str">
        <f>_xlfn.XLOOKUP(Logfile_S12[[#This Row],[Material Name]],Sum_WH!E:E,Sum_WH!F:F,"",0)</f>
        <v>Pcs</v>
      </c>
      <c r="N1561" s="221">
        <v>2</v>
      </c>
      <c r="O1561" s="221" t="s">
        <v>332</v>
      </c>
      <c r="P1561" s="221" t="s">
        <v>333</v>
      </c>
      <c r="Q1561" s="221" t="s">
        <v>350</v>
      </c>
      <c r="R1561" s="221" t="s">
        <v>351</v>
      </c>
      <c r="S1561" s="221"/>
      <c r="T1561" s="221"/>
      <c r="U1561" s="221"/>
      <c r="V1561" s="221"/>
      <c r="W1561" s="221"/>
      <c r="X1561" s="221"/>
      <c r="Y1561" s="227"/>
      <c r="Z1561" s="227" t="str">
        <f t="shared" si="59"/>
        <v>Sukodadi RW 02 Wagir</v>
      </c>
      <c r="AA1561" s="276">
        <f>VLOOKUP(Logfile_S12[[#This Row],[DO number]],DO_DB!G:I,3,0)</f>
        <v>45213</v>
      </c>
      <c r="AB1561" s="331" t="b">
        <f>EXACT(Logfile_S12[[#This Row],[date pick]],Logfile_S12[[#This Row],[Date]])</f>
        <v>1</v>
      </c>
      <c r="AC15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62" spans="1:29" ht="14.5" hidden="1">
      <c r="A1562" s="220" t="str">
        <f t="shared" si="58"/>
        <v>1558</v>
      </c>
      <c r="B1562" s="221"/>
      <c r="C1562" s="221" t="s">
        <v>48</v>
      </c>
      <c r="D1562" s="221" t="s">
        <v>3754</v>
      </c>
      <c r="E1562" s="221" t="s">
        <v>3295</v>
      </c>
      <c r="F1562" s="221" t="s">
        <v>3299</v>
      </c>
      <c r="G1562" s="222">
        <v>45213</v>
      </c>
      <c r="H1562" s="223">
        <v>15.291666666666666</v>
      </c>
      <c r="I1562" s="221" t="s">
        <v>37</v>
      </c>
      <c r="J1562" s="221" t="s">
        <v>3023</v>
      </c>
      <c r="K1562" s="224" t="s">
        <v>3208</v>
      </c>
      <c r="L1562" s="225" t="str">
        <f>VLOOKUP(Logfile_S12[[#This Row],[Material Name]],Sheet2!B:C,2,0)</f>
        <v>ZTE1002</v>
      </c>
      <c r="M1562" s="225" t="str">
        <f>_xlfn.XLOOKUP(Logfile_S12[[#This Row],[Material Name]],Sum_WH!E:E,Sum_WH!F:F,"",0)</f>
        <v>Pcs</v>
      </c>
      <c r="N1562" s="221">
        <v>2</v>
      </c>
      <c r="O1562" s="221" t="s">
        <v>340</v>
      </c>
      <c r="P1562" s="221" t="s">
        <v>341</v>
      </c>
      <c r="Q1562" s="221" t="s">
        <v>344</v>
      </c>
      <c r="R1562" s="221" t="s">
        <v>345</v>
      </c>
      <c r="S1562" s="221"/>
      <c r="T1562" s="221"/>
      <c r="U1562" s="221"/>
      <c r="V1562" s="221"/>
      <c r="W1562" s="221"/>
      <c r="X1562" s="221"/>
      <c r="Y1562" s="227"/>
      <c r="Z1562" s="227" t="str">
        <f t="shared" si="59"/>
        <v>Jedong RW 08 Wagir</v>
      </c>
      <c r="AA1562" s="276">
        <f>VLOOKUP(Logfile_S12[[#This Row],[DO number]],DO_DB!G:I,3,0)</f>
        <v>45213</v>
      </c>
      <c r="AB1562" s="331" t="b">
        <f>EXACT(Logfile_S12[[#This Row],[date pick]],Logfile_S12[[#This Row],[Date]])</f>
        <v>1</v>
      </c>
      <c r="AC15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63" spans="1:29" ht="14.5" hidden="1">
      <c r="A1563" s="220" t="str">
        <f t="shared" si="58"/>
        <v>1559</v>
      </c>
      <c r="B1563" s="221"/>
      <c r="C1563" s="221" t="s">
        <v>48</v>
      </c>
      <c r="D1563" s="221" t="s">
        <v>3754</v>
      </c>
      <c r="E1563" s="221" t="s">
        <v>3295</v>
      </c>
      <c r="F1563" s="221" t="s">
        <v>3299</v>
      </c>
      <c r="G1563" s="222">
        <v>45213</v>
      </c>
      <c r="H1563" s="223">
        <v>15.291666666666666</v>
      </c>
      <c r="I1563" s="221" t="s">
        <v>37</v>
      </c>
      <c r="J1563" s="221" t="s">
        <v>3023</v>
      </c>
      <c r="K1563" s="224" t="s">
        <v>3211</v>
      </c>
      <c r="L1563" s="225" t="str">
        <f>VLOOKUP(Logfile_S12[[#This Row],[Material Name]],Sheet2!B:C,2,0)</f>
        <v>ZTE1002</v>
      </c>
      <c r="M1563" s="225" t="str">
        <f>_xlfn.XLOOKUP(Logfile_S12[[#This Row],[Material Name]],Sum_WH!E:E,Sum_WH!F:F,"",0)</f>
        <v>Pcs</v>
      </c>
      <c r="N1563" s="221">
        <v>2</v>
      </c>
      <c r="O1563" s="221" t="s">
        <v>324</v>
      </c>
      <c r="P1563" s="221" t="s">
        <v>325</v>
      </c>
      <c r="Q1563" s="221" t="s">
        <v>346</v>
      </c>
      <c r="R1563" s="221" t="s">
        <v>347</v>
      </c>
      <c r="S1563" s="221"/>
      <c r="T1563" s="221"/>
      <c r="U1563" s="221"/>
      <c r="V1563" s="221"/>
      <c r="W1563" s="221"/>
      <c r="X1563" s="221"/>
      <c r="Y1563" s="227"/>
      <c r="Z1563" s="227" t="str">
        <f t="shared" si="59"/>
        <v>Jedong RW 09 Wagir</v>
      </c>
      <c r="AA1563" s="276">
        <f>VLOOKUP(Logfile_S12[[#This Row],[DO number]],DO_DB!G:I,3,0)</f>
        <v>45213</v>
      </c>
      <c r="AB1563" s="331" t="b">
        <f>EXACT(Logfile_S12[[#This Row],[date pick]],Logfile_S12[[#This Row],[Date]])</f>
        <v>1</v>
      </c>
      <c r="AC15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64" spans="1:29" ht="14.5" hidden="1">
      <c r="A1564" s="220" t="str">
        <f t="shared" si="58"/>
        <v>1560</v>
      </c>
      <c r="B1564" s="221"/>
      <c r="C1564" s="221" t="s">
        <v>48</v>
      </c>
      <c r="D1564" s="221" t="s">
        <v>3754</v>
      </c>
      <c r="E1564" s="221" t="s">
        <v>3295</v>
      </c>
      <c r="F1564" s="221" t="s">
        <v>3299</v>
      </c>
      <c r="G1564" s="222">
        <v>45213</v>
      </c>
      <c r="H1564" s="223">
        <v>15.291666666666666</v>
      </c>
      <c r="I1564" s="221" t="s">
        <v>37</v>
      </c>
      <c r="J1564" s="221" t="s">
        <v>3023</v>
      </c>
      <c r="K1564" s="224" t="s">
        <v>3211</v>
      </c>
      <c r="L1564" s="225" t="str">
        <f>VLOOKUP(Logfile_S12[[#This Row],[Material Name]],Sheet2!B:C,2,0)</f>
        <v>ZTE1002</v>
      </c>
      <c r="M1564" s="225" t="str">
        <f>_xlfn.XLOOKUP(Logfile_S12[[#This Row],[Material Name]],Sum_WH!E:E,Sum_WH!F:F,"",0)</f>
        <v>Pcs</v>
      </c>
      <c r="N1564" s="221">
        <v>4</v>
      </c>
      <c r="O1564" s="221" t="s">
        <v>336</v>
      </c>
      <c r="P1564" s="221" t="s">
        <v>337</v>
      </c>
      <c r="Q1564" s="221" t="s">
        <v>352</v>
      </c>
      <c r="R1564" s="221" t="s">
        <v>353</v>
      </c>
      <c r="S1564" s="221"/>
      <c r="T1564" s="221"/>
      <c r="U1564" s="221"/>
      <c r="V1564" s="221"/>
      <c r="W1564" s="221"/>
      <c r="X1564" s="221"/>
      <c r="Y1564" s="227"/>
      <c r="Z1564" s="227" t="str">
        <f t="shared" si="59"/>
        <v>Sidorahayu RW 02 Wagir</v>
      </c>
      <c r="AA1564" s="276">
        <f>VLOOKUP(Logfile_S12[[#This Row],[DO number]],DO_DB!G:I,3,0)</f>
        <v>45213</v>
      </c>
      <c r="AB1564" s="331" t="b">
        <f>EXACT(Logfile_S12[[#This Row],[date pick]],Logfile_S12[[#This Row],[Date]])</f>
        <v>1</v>
      </c>
      <c r="AC15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65" spans="1:29" ht="14.5" hidden="1">
      <c r="A1565" s="220" t="str">
        <f t="shared" si="58"/>
        <v>1561</v>
      </c>
      <c r="B1565" s="221"/>
      <c r="C1565" s="221" t="s">
        <v>49</v>
      </c>
      <c r="D1565" s="221" t="s">
        <v>3756</v>
      </c>
      <c r="E1565" s="221" t="s">
        <v>3295</v>
      </c>
      <c r="F1565" s="221" t="s">
        <v>3299</v>
      </c>
      <c r="G1565" s="222">
        <v>45215</v>
      </c>
      <c r="H1565" s="223">
        <v>0.2986111111111111</v>
      </c>
      <c r="I1565" s="221" t="s">
        <v>4916</v>
      </c>
      <c r="J1565" s="221" t="s">
        <v>3023</v>
      </c>
      <c r="K1565" s="224" t="s">
        <v>3211</v>
      </c>
      <c r="L1565" s="225" t="str">
        <f>VLOOKUP(Logfile_S12[[#This Row],[Material Name]],Sheet2!B:C,2,0)</f>
        <v>ZTE1002</v>
      </c>
      <c r="M1565" s="225" t="str">
        <f>_xlfn.XLOOKUP(Logfile_S12[[#This Row],[Material Name]],Sum_WH!E:E,Sum_WH!F:F,"",0)</f>
        <v>Pcs</v>
      </c>
      <c r="N1565" s="221">
        <v>3</v>
      </c>
      <c r="O1565" s="221" t="s">
        <v>324</v>
      </c>
      <c r="P1565" s="221" t="s">
        <v>325</v>
      </c>
      <c r="Q1565" s="221"/>
      <c r="R1565" s="221"/>
      <c r="S1565" s="221"/>
      <c r="T1565" s="221" t="s">
        <v>3322</v>
      </c>
      <c r="U1565" s="221" t="s">
        <v>3323</v>
      </c>
      <c r="V1565" s="221" t="s">
        <v>3324</v>
      </c>
      <c r="W1565" s="221" t="s">
        <v>3325</v>
      </c>
      <c r="X1565" s="221"/>
      <c r="Y1565" s="227"/>
      <c r="Z1565" s="227" t="str">
        <f t="shared" si="59"/>
        <v>Jedong RW 09 Wagir</v>
      </c>
      <c r="AA1565" s="276" t="e">
        <f>VLOOKUP(Logfile_S12[[#This Row],[DO number]],DO_DB!G:I,3,0)</f>
        <v>#N/A</v>
      </c>
      <c r="AB1565" s="331" t="e">
        <f>EXACT(Logfile_S12[[#This Row],[date pick]],Logfile_S12[[#This Row],[Date]])</f>
        <v>#N/A</v>
      </c>
      <c r="AC15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66" spans="1:29" ht="14.5" hidden="1">
      <c r="A1566" s="220" t="str">
        <f t="shared" si="58"/>
        <v>1562</v>
      </c>
      <c r="B1566" s="221"/>
      <c r="C1566" s="221" t="s">
        <v>49</v>
      </c>
      <c r="D1566" s="221" t="s">
        <v>3779</v>
      </c>
      <c r="E1566" s="221" t="s">
        <v>3295</v>
      </c>
      <c r="F1566" s="221" t="s">
        <v>3299</v>
      </c>
      <c r="G1566" s="222">
        <v>45220</v>
      </c>
      <c r="H1566" s="223">
        <v>0.97499999999999998</v>
      </c>
      <c r="I1566" s="221" t="s">
        <v>4916</v>
      </c>
      <c r="J1566" s="221" t="s">
        <v>3023</v>
      </c>
      <c r="K1566" s="224" t="s">
        <v>3070</v>
      </c>
      <c r="L1566" s="225" t="str">
        <f>VLOOKUP(Logfile_S12[[#This Row],[Material Name]],Sheet2!B:C,2,0)</f>
        <v>ZTE1002</v>
      </c>
      <c r="M1566" s="225" t="str">
        <f>_xlfn.XLOOKUP(Logfile_S12[[#This Row],[Material Name]],Sum_WH!E:E,Sum_WH!F:F,"",0)</f>
        <v>Pcs</v>
      </c>
      <c r="N1566" s="221">
        <v>12</v>
      </c>
      <c r="O1566" s="221" t="s">
        <v>324</v>
      </c>
      <c r="P1566" s="221" t="s">
        <v>325</v>
      </c>
      <c r="Q1566" s="221"/>
      <c r="R1566" s="221"/>
      <c r="S1566" s="221"/>
      <c r="T1566" s="221" t="s">
        <v>3322</v>
      </c>
      <c r="U1566" s="221" t="s">
        <v>3323</v>
      </c>
      <c r="V1566" s="221" t="s">
        <v>3324</v>
      </c>
      <c r="W1566" s="221" t="s">
        <v>3325</v>
      </c>
      <c r="X1566" s="221"/>
      <c r="Y1566" s="227"/>
      <c r="Z1566" s="227" t="str">
        <f t="shared" si="59"/>
        <v>Jedong RW 09 Wagir</v>
      </c>
      <c r="AA1566" s="276" t="e">
        <f>VLOOKUP(Logfile_S12[[#This Row],[DO number]],DO_DB!G:I,3,0)</f>
        <v>#N/A</v>
      </c>
      <c r="AB1566" s="331" t="e">
        <f>EXACT(Logfile_S12[[#This Row],[date pick]],Logfile_S12[[#This Row],[Date]])</f>
        <v>#N/A</v>
      </c>
      <c r="AC15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67" spans="1:29" ht="14.5" hidden="1">
      <c r="A1567" s="220" t="str">
        <f t="shared" si="58"/>
        <v>1563</v>
      </c>
      <c r="B1567" s="221"/>
      <c r="C1567" s="221" t="s">
        <v>49</v>
      </c>
      <c r="D1567" s="221" t="s">
        <v>3790</v>
      </c>
      <c r="E1567" s="221" t="s">
        <v>3295</v>
      </c>
      <c r="F1567" s="221" t="s">
        <v>3299</v>
      </c>
      <c r="G1567" s="222">
        <v>45222</v>
      </c>
      <c r="H1567" s="223">
        <v>0.34652777777777777</v>
      </c>
      <c r="I1567" s="221" t="s">
        <v>4916</v>
      </c>
      <c r="J1567" s="221" t="s">
        <v>3023</v>
      </c>
      <c r="K1567" s="224" t="s">
        <v>3070</v>
      </c>
      <c r="L1567" s="225" t="str">
        <f>VLOOKUP(Logfile_S12[[#This Row],[Material Name]],Sheet2!B:C,2,0)</f>
        <v>ZTE1002</v>
      </c>
      <c r="M1567" s="225" t="str">
        <f>_xlfn.XLOOKUP(Logfile_S12[[#This Row],[Material Name]],Sum_WH!E:E,Sum_WH!F:F,"",0)</f>
        <v>Pcs</v>
      </c>
      <c r="N1567" s="221">
        <v>1</v>
      </c>
      <c r="O1567" s="221" t="s">
        <v>332</v>
      </c>
      <c r="P1567" s="221" t="s">
        <v>333</v>
      </c>
      <c r="Q1567" s="221"/>
      <c r="R1567" s="221"/>
      <c r="S1567" s="221"/>
      <c r="T1567" s="221" t="s">
        <v>3487</v>
      </c>
      <c r="U1567" s="221">
        <v>0</v>
      </c>
      <c r="V1567" s="221" t="s">
        <v>3488</v>
      </c>
      <c r="W1567" s="221" t="s">
        <v>3489</v>
      </c>
      <c r="X1567" s="221"/>
      <c r="Y1567" s="227"/>
      <c r="Z1567" s="227" t="str">
        <f t="shared" si="59"/>
        <v>Sukodadi RW 02 Wagir</v>
      </c>
      <c r="AA1567" s="276" t="e">
        <f>VLOOKUP(Logfile_S12[[#This Row],[DO number]],DO_DB!G:I,3,0)</f>
        <v>#N/A</v>
      </c>
      <c r="AB1567" s="331" t="e">
        <f>EXACT(Logfile_S12[[#This Row],[date pick]],Logfile_S12[[#This Row],[Date]])</f>
        <v>#N/A</v>
      </c>
      <c r="AC15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68" spans="1:29" ht="14.5" hidden="1">
      <c r="A1568" s="220" t="str">
        <f t="shared" si="58"/>
        <v>1564</v>
      </c>
      <c r="B1568" s="221"/>
      <c r="C1568" s="221" t="s">
        <v>48</v>
      </c>
      <c r="D1568" s="221" t="s">
        <v>3806</v>
      </c>
      <c r="E1568" s="221" t="s">
        <v>3295</v>
      </c>
      <c r="F1568" s="221" t="s">
        <v>3299</v>
      </c>
      <c r="G1568" s="222">
        <v>45245</v>
      </c>
      <c r="H1568" s="223">
        <v>15.291666666666666</v>
      </c>
      <c r="I1568" s="221" t="s">
        <v>37</v>
      </c>
      <c r="J1568" s="221" t="s">
        <v>3023</v>
      </c>
      <c r="K1568" s="224" t="s">
        <v>3070</v>
      </c>
      <c r="L1568" s="225" t="str">
        <f>VLOOKUP(Logfile_S12[[#This Row],[Material Name]],Sheet2!B:C,2,0)</f>
        <v>ZTE1002</v>
      </c>
      <c r="M1568" s="225" t="str">
        <f>_xlfn.XLOOKUP(Logfile_S12[[#This Row],[Material Name]],Sum_WH!E:E,Sum_WH!F:F,"",0)</f>
        <v>Pcs</v>
      </c>
      <c r="N1568" s="221">
        <v>26</v>
      </c>
      <c r="O1568" s="221" t="s">
        <v>468</v>
      </c>
      <c r="P1568" s="221" t="s">
        <v>469</v>
      </c>
      <c r="Q1568" s="221" t="s">
        <v>542</v>
      </c>
      <c r="R1568" s="221" t="s">
        <v>543</v>
      </c>
      <c r="S1568" s="221"/>
      <c r="T1568" s="221"/>
      <c r="U1568" s="221"/>
      <c r="V1568" s="221"/>
      <c r="W1568" s="221"/>
      <c r="X1568" s="221"/>
      <c r="Y1568" s="227"/>
      <c r="Z1568" s="227" t="str">
        <f t="shared" si="59"/>
        <v>Jedong RW 07 Wagir</v>
      </c>
      <c r="AA1568" s="276">
        <f>VLOOKUP(Logfile_S12[[#This Row],[DO number]],DO_DB!G:I,3,0)</f>
        <v>45245</v>
      </c>
      <c r="AB1568" s="331" t="b">
        <f>EXACT(Logfile_S12[[#This Row],[date pick]],Logfile_S12[[#This Row],[Date]])</f>
        <v>1</v>
      </c>
      <c r="AC15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69" spans="1:29" ht="14.5" hidden="1">
      <c r="A1569" s="220" t="str">
        <f t="shared" si="58"/>
        <v>1565</v>
      </c>
      <c r="B1569" s="221"/>
      <c r="C1569" s="221" t="s">
        <v>49</v>
      </c>
      <c r="D1569" s="221" t="s">
        <v>3810</v>
      </c>
      <c r="E1569" s="221" t="s">
        <v>3295</v>
      </c>
      <c r="F1569" s="221" t="s">
        <v>3299</v>
      </c>
      <c r="G1569" s="222">
        <v>45251</v>
      </c>
      <c r="H1569" s="223">
        <v>0.63472222222222219</v>
      </c>
      <c r="I1569" s="221" t="s">
        <v>4916</v>
      </c>
      <c r="J1569" s="221" t="s">
        <v>3023</v>
      </c>
      <c r="K1569" s="224" t="s">
        <v>3070</v>
      </c>
      <c r="L1569" s="225" t="str">
        <f>VLOOKUP(Logfile_S12[[#This Row],[Material Name]],Sheet2!B:C,2,0)</f>
        <v>ZTE1002</v>
      </c>
      <c r="M1569" s="225" t="str">
        <f>_xlfn.XLOOKUP(Logfile_S12[[#This Row],[Material Name]],Sum_WH!E:E,Sum_WH!F:F,"",0)</f>
        <v>Pcs</v>
      </c>
      <c r="N1569" s="221">
        <v>4</v>
      </c>
      <c r="O1569" s="221" t="s">
        <v>468</v>
      </c>
      <c r="P1569" s="221" t="s">
        <v>469</v>
      </c>
      <c r="Q1569" s="221"/>
      <c r="R1569" s="221"/>
      <c r="S1569" s="221"/>
      <c r="T1569" s="221" t="s">
        <v>3332</v>
      </c>
      <c r="U1569" s="221">
        <v>0</v>
      </c>
      <c r="V1569" s="221" t="s">
        <v>3333</v>
      </c>
      <c r="W1569" s="221" t="s">
        <v>3572</v>
      </c>
      <c r="X1569" s="221"/>
      <c r="Y1569" s="227"/>
      <c r="Z1569" s="227" t="str">
        <f t="shared" si="59"/>
        <v>Jedong RW 07 Wagir</v>
      </c>
      <c r="AA1569" s="276" t="e">
        <f>VLOOKUP(Logfile_S12[[#This Row],[DO number]],DO_DB!G:I,3,0)</f>
        <v>#N/A</v>
      </c>
      <c r="AB1569" s="331" t="e">
        <f>EXACT(Logfile_S12[[#This Row],[date pick]],Logfile_S12[[#This Row],[Date]])</f>
        <v>#N/A</v>
      </c>
      <c r="AC15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70" spans="1:29" ht="14.5" hidden="1">
      <c r="A1570" s="220" t="str">
        <f t="shared" si="58"/>
        <v>1566</v>
      </c>
      <c r="B1570" s="221"/>
      <c r="C1570" s="221" t="s">
        <v>49</v>
      </c>
      <c r="D1570" s="221" t="s">
        <v>3831</v>
      </c>
      <c r="E1570" s="221" t="s">
        <v>3295</v>
      </c>
      <c r="F1570" s="221" t="s">
        <v>3299</v>
      </c>
      <c r="G1570" s="222">
        <v>45267</v>
      </c>
      <c r="H1570" s="223">
        <v>0.89583333333333337</v>
      </c>
      <c r="I1570" s="221" t="s">
        <v>4916</v>
      </c>
      <c r="J1570" s="221" t="s">
        <v>3023</v>
      </c>
      <c r="K1570" s="224" t="s">
        <v>3070</v>
      </c>
      <c r="L1570" s="225" t="str">
        <f>VLOOKUP(Logfile_S12[[#This Row],[Material Name]],Sheet2!B:C,2,0)</f>
        <v>ZTE1002</v>
      </c>
      <c r="M1570" s="225" t="str">
        <f>_xlfn.XLOOKUP(Logfile_S12[[#This Row],[Material Name]],Sum_WH!E:E,Sum_WH!F:F,"",0)</f>
        <v>Pcs</v>
      </c>
      <c r="N1570" s="221">
        <v>1</v>
      </c>
      <c r="O1570" s="221" t="s">
        <v>164</v>
      </c>
      <c r="P1570" s="221" t="s">
        <v>3320</v>
      </c>
      <c r="Q1570" s="221"/>
      <c r="R1570" s="221"/>
      <c r="S1570" s="221"/>
      <c r="T1570" s="221" t="s">
        <v>3231</v>
      </c>
      <c r="U1570" s="221">
        <v>0</v>
      </c>
      <c r="V1570" s="221" t="s">
        <v>3375</v>
      </c>
      <c r="W1570" s="221" t="s">
        <v>3249</v>
      </c>
      <c r="X1570" s="221"/>
      <c r="Y1570" s="227"/>
      <c r="Z1570" s="227" t="str">
        <f t="shared" si="59"/>
        <v>Pandan Landung RW 04 Wagir</v>
      </c>
      <c r="AA1570" s="276" t="e">
        <f>VLOOKUP(Logfile_S12[[#This Row],[DO number]],DO_DB!G:I,3,0)</f>
        <v>#N/A</v>
      </c>
      <c r="AB1570" s="331" t="e">
        <f>EXACT(Logfile_S12[[#This Row],[date pick]],Logfile_S12[[#This Row],[Date]])</f>
        <v>#N/A</v>
      </c>
      <c r="AC15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71" spans="1:29" ht="14.5" hidden="1">
      <c r="A1571" s="220" t="str">
        <f t="shared" si="58"/>
        <v>1567</v>
      </c>
      <c r="B1571" s="221"/>
      <c r="C1571" s="221" t="s">
        <v>48</v>
      </c>
      <c r="D1571" s="221" t="s">
        <v>3832</v>
      </c>
      <c r="E1571" s="221" t="s">
        <v>3295</v>
      </c>
      <c r="F1571" s="221" t="s">
        <v>3299</v>
      </c>
      <c r="G1571" s="222">
        <v>45268</v>
      </c>
      <c r="H1571" s="223">
        <v>15.291666666666666</v>
      </c>
      <c r="I1571" s="221" t="s">
        <v>3586</v>
      </c>
      <c r="J1571" s="221" t="s">
        <v>3023</v>
      </c>
      <c r="K1571" s="224" t="s">
        <v>3070</v>
      </c>
      <c r="L1571" s="225" t="str">
        <f>VLOOKUP(Logfile_S12[[#This Row],[Material Name]],Sheet2!B:C,2,0)</f>
        <v>ZTE1002</v>
      </c>
      <c r="M1571" s="225" t="str">
        <f>_xlfn.XLOOKUP(Logfile_S12[[#This Row],[Material Name]],Sum_WH!E:E,Sum_WH!F:F,"",0)</f>
        <v>Pcs</v>
      </c>
      <c r="N1571" s="221">
        <v>1</v>
      </c>
      <c r="O1571" s="221" t="s">
        <v>164</v>
      </c>
      <c r="P1571" s="221" t="s">
        <v>3320</v>
      </c>
      <c r="Q1571" s="221" t="s">
        <v>170</v>
      </c>
      <c r="R1571" s="221" t="s">
        <v>171</v>
      </c>
      <c r="S1571" s="221"/>
      <c r="T1571" s="221" t="s">
        <v>3346</v>
      </c>
      <c r="U1571" s="221"/>
      <c r="V1571" s="221"/>
      <c r="W1571" s="221"/>
      <c r="X1571" s="221"/>
      <c r="Y1571" s="227"/>
      <c r="Z1571" s="227" t="str">
        <f t="shared" si="59"/>
        <v>Pandan Landung RW 04 Wagir</v>
      </c>
      <c r="AA1571" s="276">
        <f>VLOOKUP(Logfile_S12[[#This Row],[DO number]],DO_DB!G:I,3,0)</f>
        <v>45185</v>
      </c>
      <c r="AB1571" s="331" t="b">
        <f>EXACT(Logfile_S12[[#This Row],[date pick]],Logfile_S12[[#This Row],[Date]])</f>
        <v>0</v>
      </c>
      <c r="AC15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72" spans="1:29" ht="14.5" hidden="1">
      <c r="A1572" s="220" t="str">
        <f t="shared" si="58"/>
        <v>1568</v>
      </c>
      <c r="B1572" s="221"/>
      <c r="C1572" s="221" t="s">
        <v>49</v>
      </c>
      <c r="D1572" s="221" t="s">
        <v>3834</v>
      </c>
      <c r="E1572" s="221" t="s">
        <v>3295</v>
      </c>
      <c r="F1572" s="221" t="s">
        <v>3299</v>
      </c>
      <c r="G1572" s="222">
        <v>45271</v>
      </c>
      <c r="H1572" s="223">
        <v>0.47916666666666669</v>
      </c>
      <c r="I1572" s="221" t="s">
        <v>4916</v>
      </c>
      <c r="J1572" s="221" t="s">
        <v>3023</v>
      </c>
      <c r="K1572" s="224" t="s">
        <v>3211</v>
      </c>
      <c r="L1572" s="225" t="str">
        <f>VLOOKUP(Logfile_S12[[#This Row],[Material Name]],Sheet2!B:C,2,0)</f>
        <v>ZTE1002</v>
      </c>
      <c r="M1572" s="225" t="str">
        <f>_xlfn.XLOOKUP(Logfile_S12[[#This Row],[Material Name]],Sum_WH!E:E,Sum_WH!F:F,"",0)</f>
        <v>Pcs</v>
      </c>
      <c r="N1572" s="221">
        <v>2</v>
      </c>
      <c r="O1572" s="221" t="s">
        <v>468</v>
      </c>
      <c r="P1572" s="221" t="s">
        <v>469</v>
      </c>
      <c r="Q1572" s="221"/>
      <c r="R1572" s="221"/>
      <c r="S1572" s="221"/>
      <c r="T1572" s="221" t="s">
        <v>3346</v>
      </c>
      <c r="U1572" s="221">
        <v>0</v>
      </c>
      <c r="V1572" s="221" t="s">
        <v>3347</v>
      </c>
      <c r="W1572" s="221" t="s">
        <v>3334</v>
      </c>
      <c r="X1572" s="221"/>
      <c r="Y1572" s="227"/>
      <c r="Z1572" s="227" t="str">
        <f t="shared" si="59"/>
        <v>Jedong RW 07 Wagir</v>
      </c>
      <c r="AA1572" s="276" t="e">
        <f>VLOOKUP(Logfile_S12[[#This Row],[DO number]],DO_DB!G:I,3,0)</f>
        <v>#N/A</v>
      </c>
      <c r="AB1572" s="331" t="e">
        <f>EXACT(Logfile_S12[[#This Row],[date pick]],Logfile_S12[[#This Row],[Date]])</f>
        <v>#N/A</v>
      </c>
      <c r="AC15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73" spans="1:29" ht="14.5" hidden="1">
      <c r="A1573" s="220" t="str">
        <f t="shared" si="58"/>
        <v>1569</v>
      </c>
      <c r="B1573" s="221"/>
      <c r="C1573" s="221" t="s">
        <v>49</v>
      </c>
      <c r="D1573" s="221" t="s">
        <v>3835</v>
      </c>
      <c r="E1573" s="221" t="s">
        <v>3295</v>
      </c>
      <c r="F1573" s="221" t="s">
        <v>3299</v>
      </c>
      <c r="G1573" s="222">
        <v>45275</v>
      </c>
      <c r="H1573" s="223">
        <v>0.44097222222222227</v>
      </c>
      <c r="I1573" s="221" t="s">
        <v>4916</v>
      </c>
      <c r="J1573" s="221" t="s">
        <v>3023</v>
      </c>
      <c r="K1573" s="224" t="s">
        <v>3070</v>
      </c>
      <c r="L1573" s="225" t="str">
        <f>VLOOKUP(Logfile_S12[[#This Row],[Material Name]],Sheet2!B:C,2,0)</f>
        <v>ZTE1002</v>
      </c>
      <c r="M1573" s="225" t="str">
        <f>_xlfn.XLOOKUP(Logfile_S12[[#This Row],[Material Name]],Sum_WH!E:E,Sum_WH!F:F,"",0)</f>
        <v>Pcs</v>
      </c>
      <c r="N1573" s="221">
        <v>1</v>
      </c>
      <c r="O1573" s="221" t="s">
        <v>164</v>
      </c>
      <c r="P1573" s="221" t="s">
        <v>3320</v>
      </c>
      <c r="Q1573" s="221"/>
      <c r="R1573" s="221"/>
      <c r="S1573" s="221"/>
      <c r="T1573" s="221" t="s">
        <v>3351</v>
      </c>
      <c r="U1573" s="221">
        <v>0</v>
      </c>
      <c r="V1573" s="221" t="s">
        <v>3352</v>
      </c>
      <c r="W1573" s="221" t="s">
        <v>3353</v>
      </c>
      <c r="X1573" s="221"/>
      <c r="Y1573" s="227"/>
      <c r="Z1573" s="227" t="str">
        <f t="shared" si="59"/>
        <v>Pandan Landung RW 04 Wagir</v>
      </c>
      <c r="AA1573" s="276" t="e">
        <f>VLOOKUP(Logfile_S12[[#This Row],[DO number]],DO_DB!G:I,3,0)</f>
        <v>#N/A</v>
      </c>
      <c r="AB1573" s="331" t="e">
        <f>EXACT(Logfile_S12[[#This Row],[date pick]],Logfile_S12[[#This Row],[Date]])</f>
        <v>#N/A</v>
      </c>
      <c r="AC15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74" spans="1:29" ht="14.5" hidden="1">
      <c r="A1574" s="220" t="str">
        <f t="shared" si="58"/>
        <v>1570</v>
      </c>
      <c r="B1574" s="221"/>
      <c r="C1574" s="221" t="s">
        <v>49</v>
      </c>
      <c r="D1574" s="221" t="s">
        <v>3835</v>
      </c>
      <c r="E1574" s="221" t="s">
        <v>3295</v>
      </c>
      <c r="F1574" s="221" t="s">
        <v>3299</v>
      </c>
      <c r="G1574" s="222">
        <v>45275</v>
      </c>
      <c r="H1574" s="223">
        <v>0.44097222222222227</v>
      </c>
      <c r="I1574" s="221" t="s">
        <v>4916</v>
      </c>
      <c r="J1574" s="221" t="s">
        <v>3023</v>
      </c>
      <c r="K1574" s="224" t="s">
        <v>3211</v>
      </c>
      <c r="L1574" s="225" t="str">
        <f>VLOOKUP(Logfile_S12[[#This Row],[Material Name]],Sheet2!B:C,2,0)</f>
        <v>ZTE1002</v>
      </c>
      <c r="M1574" s="225" t="str">
        <f>_xlfn.XLOOKUP(Logfile_S12[[#This Row],[Material Name]],Sum_WH!E:E,Sum_WH!F:F,"",0)</f>
        <v>Pcs</v>
      </c>
      <c r="N1574" s="221">
        <v>1</v>
      </c>
      <c r="O1574" s="221" t="s">
        <v>336</v>
      </c>
      <c r="P1574" s="221" t="s">
        <v>337</v>
      </c>
      <c r="Q1574" s="221"/>
      <c r="R1574" s="221"/>
      <c r="S1574" s="221"/>
      <c r="T1574" s="221" t="s">
        <v>3351</v>
      </c>
      <c r="U1574" s="221">
        <v>0</v>
      </c>
      <c r="V1574" s="221" t="s">
        <v>3352</v>
      </c>
      <c r="W1574" s="221" t="s">
        <v>3353</v>
      </c>
      <c r="X1574" s="221"/>
      <c r="Y1574" s="227"/>
      <c r="Z1574" s="227" t="str">
        <f t="shared" si="59"/>
        <v>Sidorahayu RW 02 Wagir</v>
      </c>
      <c r="AA1574" s="276" t="e">
        <f>VLOOKUP(Logfile_S12[[#This Row],[DO number]],DO_DB!G:I,3,0)</f>
        <v>#N/A</v>
      </c>
      <c r="AB1574" s="331" t="e">
        <f>EXACT(Logfile_S12[[#This Row],[date pick]],Logfile_S12[[#This Row],[Date]])</f>
        <v>#N/A</v>
      </c>
      <c r="AC15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75" spans="1:29" ht="14.5" hidden="1">
      <c r="A1575" s="220" t="str">
        <f t="shared" si="58"/>
        <v>1571</v>
      </c>
      <c r="B1575" s="221"/>
      <c r="C1575" s="221" t="s">
        <v>49</v>
      </c>
      <c r="D1575" s="221" t="s">
        <v>3839</v>
      </c>
      <c r="E1575" s="221" t="s">
        <v>3295</v>
      </c>
      <c r="F1575" s="221" t="s">
        <v>3299</v>
      </c>
      <c r="G1575" s="222">
        <v>45282</v>
      </c>
      <c r="H1575" s="223">
        <v>0.56041666666666667</v>
      </c>
      <c r="I1575" s="221" t="s">
        <v>4916</v>
      </c>
      <c r="J1575" s="221" t="s">
        <v>3023</v>
      </c>
      <c r="K1575" s="224" t="s">
        <v>3070</v>
      </c>
      <c r="L1575" s="225" t="str">
        <f>VLOOKUP(Logfile_S12[[#This Row],[Material Name]],Sheet2!B:C,2,0)</f>
        <v>ZTE1002</v>
      </c>
      <c r="M1575" s="225" t="str">
        <f>_xlfn.XLOOKUP(Logfile_S12[[#This Row],[Material Name]],Sum_WH!E:E,Sum_WH!F:F,"",0)</f>
        <v>Pcs</v>
      </c>
      <c r="N1575" s="221">
        <v>5</v>
      </c>
      <c r="O1575" s="221" t="s">
        <v>732</v>
      </c>
      <c r="P1575" s="221" t="s">
        <v>733</v>
      </c>
      <c r="Q1575" s="221"/>
      <c r="R1575" s="221"/>
      <c r="S1575" s="221"/>
      <c r="T1575" s="221" t="s">
        <v>3258</v>
      </c>
      <c r="U1575" s="221" t="s">
        <v>3228</v>
      </c>
      <c r="V1575" s="221" t="s">
        <v>3337</v>
      </c>
      <c r="W1575" s="221" t="s">
        <v>3338</v>
      </c>
      <c r="X1575" s="221"/>
      <c r="Y1575" s="227"/>
      <c r="Z1575" s="227" t="str">
        <f t="shared" si="59"/>
        <v>Sitirejo RW 01 Wagir</v>
      </c>
      <c r="AA1575" s="276" t="e">
        <f>VLOOKUP(Logfile_S12[[#This Row],[DO number]],DO_DB!G:I,3,0)</f>
        <v>#N/A</v>
      </c>
      <c r="AB1575" s="331" t="e">
        <f>EXACT(Logfile_S12[[#This Row],[date pick]],Logfile_S12[[#This Row],[Date]])</f>
        <v>#N/A</v>
      </c>
      <c r="AC15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76" spans="1:29" ht="14.5" hidden="1">
      <c r="A1576" s="220" t="str">
        <f t="shared" si="58"/>
        <v>1572</v>
      </c>
      <c r="B1576" s="221"/>
      <c r="C1576" s="221" t="s">
        <v>48</v>
      </c>
      <c r="D1576" s="221" t="s">
        <v>3851</v>
      </c>
      <c r="E1576" s="221" t="s">
        <v>3295</v>
      </c>
      <c r="F1576" s="221" t="s">
        <v>3299</v>
      </c>
      <c r="G1576" s="222">
        <v>45287</v>
      </c>
      <c r="H1576" s="223">
        <v>15.291666666666666</v>
      </c>
      <c r="I1576" s="221" t="s">
        <v>3586</v>
      </c>
      <c r="J1576" s="221" t="s">
        <v>3023</v>
      </c>
      <c r="K1576" s="224" t="s">
        <v>3070</v>
      </c>
      <c r="L1576" s="225" t="str">
        <f>VLOOKUP(Logfile_S12[[#This Row],[Material Name]],Sheet2!B:C,2,0)</f>
        <v>ZTE1002</v>
      </c>
      <c r="M1576" s="225" t="str">
        <f>_xlfn.XLOOKUP(Logfile_S12[[#This Row],[Material Name]],Sum_WH!E:E,Sum_WH!F:F,"",0)</f>
        <v>Pcs</v>
      </c>
      <c r="N1576" s="221">
        <v>27</v>
      </c>
      <c r="O1576" s="221" t="s">
        <v>164</v>
      </c>
      <c r="P1576" s="221" t="s">
        <v>3320</v>
      </c>
      <c r="Q1576" s="221" t="s">
        <v>170</v>
      </c>
      <c r="R1576" s="221" t="s">
        <v>171</v>
      </c>
      <c r="S1576" s="221"/>
      <c r="T1576" s="221"/>
      <c r="U1576" s="221"/>
      <c r="V1576" s="221"/>
      <c r="W1576" s="221"/>
      <c r="X1576" s="221" t="s">
        <v>3217</v>
      </c>
      <c r="Y1576" s="227"/>
      <c r="Z1576" s="227" t="str">
        <f t="shared" si="59"/>
        <v>Pandan Landung RW 04 Wagir</v>
      </c>
      <c r="AA1576" s="276">
        <f>VLOOKUP(Logfile_S12[[#This Row],[DO number]],DO_DB!G:I,3,0)</f>
        <v>45185</v>
      </c>
      <c r="AB1576" s="331" t="b">
        <f>EXACT(Logfile_S12[[#This Row],[date pick]],Logfile_S12[[#This Row],[Date]])</f>
        <v>0</v>
      </c>
      <c r="AC15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77" spans="1:29" ht="14.5" hidden="1">
      <c r="A1577" s="220" t="str">
        <f t="shared" si="58"/>
        <v>1573</v>
      </c>
      <c r="B1577" s="221"/>
      <c r="C1577" s="221" t="s">
        <v>49</v>
      </c>
      <c r="D1577" s="221" t="s">
        <v>3852</v>
      </c>
      <c r="E1577" s="221" t="s">
        <v>3295</v>
      </c>
      <c r="F1577" s="221" t="s">
        <v>3299</v>
      </c>
      <c r="G1577" s="222">
        <v>45294</v>
      </c>
      <c r="H1577" s="223">
        <v>0.56944444444444442</v>
      </c>
      <c r="I1577" s="221" t="s">
        <v>4916</v>
      </c>
      <c r="J1577" s="221" t="s">
        <v>3023</v>
      </c>
      <c r="K1577" s="224" t="s">
        <v>3070</v>
      </c>
      <c r="L1577" s="225" t="str">
        <f>VLOOKUP(Logfile_S12[[#This Row],[Material Name]],Sheet2!B:C,2,0)</f>
        <v>ZTE1002</v>
      </c>
      <c r="M1577" s="225" t="str">
        <f>_xlfn.XLOOKUP(Logfile_S12[[#This Row],[Material Name]],Sum_WH!E:E,Sum_WH!F:F,"",0)</f>
        <v>Pcs</v>
      </c>
      <c r="N1577" s="221">
        <v>3</v>
      </c>
      <c r="O1577" s="221" t="s">
        <v>738</v>
      </c>
      <c r="P1577" s="221" t="s">
        <v>3392</v>
      </c>
      <c r="Q1577" s="221"/>
      <c r="R1577" s="221"/>
      <c r="S1577" s="221"/>
      <c r="T1577" s="221" t="s">
        <v>3258</v>
      </c>
      <c r="U1577" s="221" t="s">
        <v>3228</v>
      </c>
      <c r="V1577" s="221" t="s">
        <v>3337</v>
      </c>
      <c r="W1577" s="221" t="s">
        <v>3338</v>
      </c>
      <c r="X1577" s="221"/>
      <c r="Y1577" s="227"/>
      <c r="Z1577" s="227" t="str">
        <f t="shared" si="59"/>
        <v xml:space="preserve">Baturetno RW 02 Singosari </v>
      </c>
      <c r="AA1577" s="276" t="e">
        <f>VLOOKUP(Logfile_S12[[#This Row],[DO number]],DO_DB!G:I,3,0)</f>
        <v>#N/A</v>
      </c>
      <c r="AB1577" s="331" t="e">
        <f>EXACT(Logfile_S12[[#This Row],[date pick]],Logfile_S12[[#This Row],[Date]])</f>
        <v>#N/A</v>
      </c>
      <c r="AC15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78" spans="1:29" ht="14.5" hidden="1">
      <c r="A1578" s="220" t="str">
        <f t="shared" si="58"/>
        <v>1574</v>
      </c>
      <c r="B1578" s="221"/>
      <c r="C1578" s="221" t="s">
        <v>49</v>
      </c>
      <c r="D1578" s="221" t="s">
        <v>3862</v>
      </c>
      <c r="E1578" s="221" t="s">
        <v>3295</v>
      </c>
      <c r="F1578" s="221" t="s">
        <v>3299</v>
      </c>
      <c r="G1578" s="222">
        <v>45306</v>
      </c>
      <c r="H1578" s="223">
        <v>0.375</v>
      </c>
      <c r="I1578" s="221" t="s">
        <v>4916</v>
      </c>
      <c r="J1578" s="221" t="s">
        <v>3023</v>
      </c>
      <c r="K1578" s="224" t="s">
        <v>3070</v>
      </c>
      <c r="L1578" s="225" t="str">
        <f>VLOOKUP(Logfile_S12[[#This Row],[Material Name]],Sheet2!B:C,2,0)</f>
        <v>ZTE1002</v>
      </c>
      <c r="M1578" s="225" t="str">
        <f>_xlfn.XLOOKUP(Logfile_S12[[#This Row],[Material Name]],Sum_WH!E:E,Sum_WH!F:F,"",0)</f>
        <v>Pcs</v>
      </c>
      <c r="N1578" s="221">
        <v>1</v>
      </c>
      <c r="O1578" s="221" t="s">
        <v>828</v>
      </c>
      <c r="P1578" s="221" t="s">
        <v>829</v>
      </c>
      <c r="Q1578" s="221"/>
      <c r="R1578" s="221"/>
      <c r="S1578" s="221"/>
      <c r="T1578" s="221" t="s">
        <v>3339</v>
      </c>
      <c r="U1578" s="221" t="s">
        <v>3228</v>
      </c>
      <c r="V1578" s="221" t="s">
        <v>3340</v>
      </c>
      <c r="W1578" s="221" t="s">
        <v>3245</v>
      </c>
      <c r="X1578" s="221"/>
      <c r="Y1578" s="227"/>
      <c r="Z1578" s="227" t="str">
        <f t="shared" si="59"/>
        <v>Perumahan Pondok Mutiara Malang</v>
      </c>
      <c r="AA1578" s="276" t="e">
        <f>VLOOKUP(Logfile_S12[[#This Row],[DO number]],DO_DB!G:I,3,0)</f>
        <v>#N/A</v>
      </c>
      <c r="AB1578" s="331" t="e">
        <f>EXACT(Logfile_S12[[#This Row],[date pick]],Logfile_S12[[#This Row],[Date]])</f>
        <v>#N/A</v>
      </c>
      <c r="AC15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79" spans="1:29" ht="14.5" hidden="1">
      <c r="A1579" s="220" t="str">
        <f t="shared" si="58"/>
        <v>1575</v>
      </c>
      <c r="B1579" s="221"/>
      <c r="C1579" s="221" t="s">
        <v>48</v>
      </c>
      <c r="D1579" s="221" t="s">
        <v>3867</v>
      </c>
      <c r="E1579" s="221" t="s">
        <v>3295</v>
      </c>
      <c r="F1579" s="221" t="s">
        <v>3299</v>
      </c>
      <c r="G1579" s="222">
        <v>45307</v>
      </c>
      <c r="H1579" s="223">
        <v>15.291666666666666</v>
      </c>
      <c r="I1579" s="221" t="s">
        <v>37</v>
      </c>
      <c r="J1579" s="221" t="s">
        <v>3023</v>
      </c>
      <c r="K1579" s="224" t="s">
        <v>3070</v>
      </c>
      <c r="L1579" s="225" t="str">
        <f>VLOOKUP(Logfile_S12[[#This Row],[Material Name]],Sheet2!B:C,2,0)</f>
        <v>ZTE1002</v>
      </c>
      <c r="M1579" s="225" t="str">
        <f>_xlfn.XLOOKUP(Logfile_S12[[#This Row],[Material Name]],Sum_WH!E:E,Sum_WH!F:F,"",0)</f>
        <v>Pcs</v>
      </c>
      <c r="N1579" s="221">
        <v>17</v>
      </c>
      <c r="O1579" s="221" t="s">
        <v>838</v>
      </c>
      <c r="P1579" s="221" t="s">
        <v>3361</v>
      </c>
      <c r="Q1579" s="221" t="s">
        <v>840</v>
      </c>
      <c r="R1579" s="221" t="s">
        <v>841</v>
      </c>
      <c r="S1579" s="221"/>
      <c r="T1579" s="221"/>
      <c r="U1579" s="221"/>
      <c r="V1579" s="221"/>
      <c r="W1579" s="221"/>
      <c r="X1579" s="221"/>
      <c r="Y1579" s="227"/>
      <c r="Z1579" s="227" t="str">
        <f t="shared" si="59"/>
        <v>TAMANHARJO RW 04 SINGOSARI</v>
      </c>
      <c r="AA1579" s="276">
        <f>VLOOKUP(Logfile_S12[[#This Row],[DO number]],DO_DB!G:I,3,0)</f>
        <v>45307</v>
      </c>
      <c r="AB1579" s="331" t="b">
        <f>EXACT(Logfile_S12[[#This Row],[date pick]],Logfile_S12[[#This Row],[Date]])</f>
        <v>1</v>
      </c>
      <c r="AC15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80" spans="1:29" ht="14.5" hidden="1">
      <c r="A1580" s="220" t="str">
        <f t="shared" si="58"/>
        <v>1576</v>
      </c>
      <c r="B1580" s="221"/>
      <c r="C1580" s="221" t="s">
        <v>48</v>
      </c>
      <c r="D1580" s="221" t="s">
        <v>3867</v>
      </c>
      <c r="E1580" s="221" t="s">
        <v>3295</v>
      </c>
      <c r="F1580" s="221" t="s">
        <v>3299</v>
      </c>
      <c r="G1580" s="222">
        <v>45307</v>
      </c>
      <c r="H1580" s="223">
        <v>15.291666666666666</v>
      </c>
      <c r="I1580" s="221" t="s">
        <v>37</v>
      </c>
      <c r="J1580" s="221" t="s">
        <v>3023</v>
      </c>
      <c r="K1580" s="224" t="s">
        <v>3070</v>
      </c>
      <c r="L1580" s="225" t="str">
        <f>VLOOKUP(Logfile_S12[[#This Row],[Material Name]],Sheet2!B:C,2,0)</f>
        <v>ZTE1002</v>
      </c>
      <c r="M1580" s="225" t="str">
        <f>_xlfn.XLOOKUP(Logfile_S12[[#This Row],[Material Name]],Sum_WH!E:E,Sum_WH!F:F,"",0)</f>
        <v>Pcs</v>
      </c>
      <c r="N1580" s="221">
        <v>21</v>
      </c>
      <c r="O1580" s="221" t="s">
        <v>828</v>
      </c>
      <c r="P1580" s="221" t="s">
        <v>829</v>
      </c>
      <c r="Q1580" s="221" t="s">
        <v>830</v>
      </c>
      <c r="R1580" s="221" t="s">
        <v>831</v>
      </c>
      <c r="S1580" s="221"/>
      <c r="T1580" s="221"/>
      <c r="U1580" s="221"/>
      <c r="V1580" s="221"/>
      <c r="W1580" s="221"/>
      <c r="X1580" s="221"/>
      <c r="Y1580" s="227"/>
      <c r="Z1580" s="227" t="str">
        <f t="shared" si="59"/>
        <v>Perumahan Pondok Mutiara Malang</v>
      </c>
      <c r="AA1580" s="276">
        <f>VLOOKUP(Logfile_S12[[#This Row],[DO number]],DO_DB!G:I,3,0)</f>
        <v>45307</v>
      </c>
      <c r="AB1580" s="331" t="b">
        <f>EXACT(Logfile_S12[[#This Row],[date pick]],Logfile_S12[[#This Row],[Date]])</f>
        <v>1</v>
      </c>
      <c r="AC15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81" spans="1:29" ht="14.5" hidden="1">
      <c r="A1581" s="220" t="str">
        <f t="shared" si="58"/>
        <v>1577</v>
      </c>
      <c r="B1581" s="221"/>
      <c r="C1581" s="221" t="s">
        <v>49</v>
      </c>
      <c r="D1581" s="221" t="s">
        <v>3865</v>
      </c>
      <c r="E1581" s="221" t="s">
        <v>3295</v>
      </c>
      <c r="F1581" s="221" t="s">
        <v>3299</v>
      </c>
      <c r="G1581" s="222">
        <v>45307</v>
      </c>
      <c r="H1581" s="223">
        <v>0.375</v>
      </c>
      <c r="I1581" s="221" t="s">
        <v>4916</v>
      </c>
      <c r="J1581" s="221" t="s">
        <v>3023</v>
      </c>
      <c r="K1581" s="224" t="s">
        <v>3070</v>
      </c>
      <c r="L1581" s="225" t="str">
        <f>VLOOKUP(Logfile_S12[[#This Row],[Material Name]],Sheet2!B:C,2,0)</f>
        <v>ZTE1002</v>
      </c>
      <c r="M1581" s="225" t="str">
        <f>_xlfn.XLOOKUP(Logfile_S12[[#This Row],[Material Name]],Sum_WH!E:E,Sum_WH!F:F,"",0)</f>
        <v>Pcs</v>
      </c>
      <c r="N1581" s="221">
        <v>2</v>
      </c>
      <c r="O1581" s="221" t="s">
        <v>828</v>
      </c>
      <c r="P1581" s="221" t="s">
        <v>829</v>
      </c>
      <c r="Q1581" s="221"/>
      <c r="R1581" s="221"/>
      <c r="S1581" s="221"/>
      <c r="T1581" s="221" t="s">
        <v>3339</v>
      </c>
      <c r="U1581" s="221" t="s">
        <v>3228</v>
      </c>
      <c r="V1581" s="221" t="s">
        <v>3340</v>
      </c>
      <c r="W1581" s="221" t="s">
        <v>3245</v>
      </c>
      <c r="X1581" s="221"/>
      <c r="Y1581" s="227"/>
      <c r="Z1581" s="227" t="str">
        <f t="shared" si="59"/>
        <v>Perumahan Pondok Mutiara Malang</v>
      </c>
      <c r="AA1581" s="276" t="e">
        <f>VLOOKUP(Logfile_S12[[#This Row],[DO number]],DO_DB!G:I,3,0)</f>
        <v>#N/A</v>
      </c>
      <c r="AB1581" s="331" t="e">
        <f>EXACT(Logfile_S12[[#This Row],[date pick]],Logfile_S12[[#This Row],[Date]])</f>
        <v>#N/A</v>
      </c>
      <c r="AC15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82" spans="1:29" ht="14.5" hidden="1">
      <c r="A1582" s="220" t="str">
        <f t="shared" si="58"/>
        <v>1578</v>
      </c>
      <c r="B1582" s="221"/>
      <c r="C1582" s="221" t="s">
        <v>49</v>
      </c>
      <c r="D1582" s="221" t="s">
        <v>3864</v>
      </c>
      <c r="E1582" s="221" t="s">
        <v>3295</v>
      </c>
      <c r="F1582" s="221" t="s">
        <v>3299</v>
      </c>
      <c r="G1582" s="222">
        <v>45307</v>
      </c>
      <c r="H1582" s="223">
        <v>0.3520833333333333</v>
      </c>
      <c r="I1582" s="221" t="s">
        <v>4916</v>
      </c>
      <c r="J1582" s="221" t="s">
        <v>3023</v>
      </c>
      <c r="K1582" s="224" t="s">
        <v>3070</v>
      </c>
      <c r="L1582" s="225" t="str">
        <f>VLOOKUP(Logfile_S12[[#This Row],[Material Name]],Sheet2!B:C,2,0)</f>
        <v>ZTE1002</v>
      </c>
      <c r="M1582" s="225" t="str">
        <f>_xlfn.XLOOKUP(Logfile_S12[[#This Row],[Material Name]],Sum_WH!E:E,Sum_WH!F:F,"",0)</f>
        <v>Pcs</v>
      </c>
      <c r="N1582" s="221">
        <v>6</v>
      </c>
      <c r="O1582" s="221" t="s">
        <v>738</v>
      </c>
      <c r="P1582" s="221" t="s">
        <v>3392</v>
      </c>
      <c r="Q1582" s="221"/>
      <c r="R1582" s="221"/>
      <c r="S1582" s="221"/>
      <c r="T1582" s="221" t="s">
        <v>3258</v>
      </c>
      <c r="U1582" s="221" t="s">
        <v>3228</v>
      </c>
      <c r="V1582" s="221" t="s">
        <v>3337</v>
      </c>
      <c r="W1582" s="221" t="s">
        <v>3338</v>
      </c>
      <c r="X1582" s="221"/>
      <c r="Y1582" s="227"/>
      <c r="Z1582" s="227" t="str">
        <f t="shared" si="59"/>
        <v xml:space="preserve">Baturetno RW 02 Singosari </v>
      </c>
      <c r="AA1582" s="276" t="e">
        <f>VLOOKUP(Logfile_S12[[#This Row],[DO number]],DO_DB!G:I,3,0)</f>
        <v>#N/A</v>
      </c>
      <c r="AB1582" s="331" t="e">
        <f>EXACT(Logfile_S12[[#This Row],[date pick]],Logfile_S12[[#This Row],[Date]])</f>
        <v>#N/A</v>
      </c>
      <c r="AC15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83" spans="1:29" ht="14.5" hidden="1">
      <c r="A1583" s="220" t="str">
        <f t="shared" si="58"/>
        <v>1579</v>
      </c>
      <c r="B1583" s="221"/>
      <c r="C1583" s="221" t="s">
        <v>49</v>
      </c>
      <c r="D1583" s="221" t="s">
        <v>3864</v>
      </c>
      <c r="E1583" s="221" t="s">
        <v>3295</v>
      </c>
      <c r="F1583" s="221" t="s">
        <v>3299</v>
      </c>
      <c r="G1583" s="222">
        <v>45307</v>
      </c>
      <c r="H1583" s="223">
        <v>0.3520833333333333</v>
      </c>
      <c r="I1583" s="221" t="s">
        <v>4916</v>
      </c>
      <c r="J1583" s="221" t="s">
        <v>3023</v>
      </c>
      <c r="K1583" s="224" t="s">
        <v>3070</v>
      </c>
      <c r="L1583" s="225" t="str">
        <f>VLOOKUP(Logfile_S12[[#This Row],[Material Name]],Sheet2!B:C,2,0)</f>
        <v>ZTE1002</v>
      </c>
      <c r="M1583" s="225" t="str">
        <f>_xlfn.XLOOKUP(Logfile_S12[[#This Row],[Material Name]],Sum_WH!E:E,Sum_WH!F:F,"",0)</f>
        <v>Pcs</v>
      </c>
      <c r="N1583" s="221">
        <v>9</v>
      </c>
      <c r="O1583" s="221" t="s">
        <v>742</v>
      </c>
      <c r="P1583" s="221" t="s">
        <v>743</v>
      </c>
      <c r="Q1583" s="221"/>
      <c r="R1583" s="221"/>
      <c r="S1583" s="221"/>
      <c r="T1583" s="221" t="s">
        <v>3258</v>
      </c>
      <c r="U1583" s="221" t="s">
        <v>3228</v>
      </c>
      <c r="V1583" s="221" t="s">
        <v>3337</v>
      </c>
      <c r="W1583" s="221" t="s">
        <v>3338</v>
      </c>
      <c r="X1583" s="221"/>
      <c r="Y1583" s="227"/>
      <c r="Z1583" s="227" t="str">
        <f t="shared" si="59"/>
        <v>Baturetno RW 03 Singosari</v>
      </c>
      <c r="AA1583" s="276" t="e">
        <f>VLOOKUP(Logfile_S12[[#This Row],[DO number]],DO_DB!G:I,3,0)</f>
        <v>#N/A</v>
      </c>
      <c r="AB1583" s="331" t="e">
        <f>EXACT(Logfile_S12[[#This Row],[date pick]],Logfile_S12[[#This Row],[Date]])</f>
        <v>#N/A</v>
      </c>
      <c r="AC15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84" spans="1:29" ht="14.5" hidden="1">
      <c r="A1584" s="220" t="str">
        <f t="shared" si="58"/>
        <v>1580</v>
      </c>
      <c r="B1584" s="221"/>
      <c r="C1584" s="221" t="s">
        <v>48</v>
      </c>
      <c r="D1584" s="221" t="s">
        <v>3872</v>
      </c>
      <c r="E1584" s="221" t="s">
        <v>3295</v>
      </c>
      <c r="F1584" s="221" t="s">
        <v>3299</v>
      </c>
      <c r="G1584" s="222">
        <v>45308</v>
      </c>
      <c r="H1584" s="223">
        <v>15.291666666666666</v>
      </c>
      <c r="I1584" s="221" t="s">
        <v>37</v>
      </c>
      <c r="J1584" s="221" t="s">
        <v>3023</v>
      </c>
      <c r="K1584" s="224" t="s">
        <v>3070</v>
      </c>
      <c r="L1584" s="225" t="str">
        <f>VLOOKUP(Logfile_S12[[#This Row],[Material Name]],Sheet2!B:C,2,0)</f>
        <v>ZTE1002</v>
      </c>
      <c r="M1584" s="225" t="str">
        <f>_xlfn.XLOOKUP(Logfile_S12[[#This Row],[Material Name]],Sum_WH!E:E,Sum_WH!F:F,"",0)</f>
        <v>Pcs</v>
      </c>
      <c r="N1584" s="221">
        <v>2</v>
      </c>
      <c r="O1584" s="221" t="s">
        <v>738</v>
      </c>
      <c r="P1584" s="221" t="s">
        <v>3392</v>
      </c>
      <c r="Q1584" s="221" t="s">
        <v>748</v>
      </c>
      <c r="R1584" s="221" t="s">
        <v>749</v>
      </c>
      <c r="S1584" s="221"/>
      <c r="T1584" s="221"/>
      <c r="U1584" s="221"/>
      <c r="V1584" s="221"/>
      <c r="W1584" s="221"/>
      <c r="X1584" s="221"/>
      <c r="Y1584" s="227"/>
      <c r="Z1584" s="227" t="str">
        <f t="shared" si="59"/>
        <v xml:space="preserve">Baturetno RW 02 Singosari </v>
      </c>
      <c r="AA1584" s="276">
        <f>VLOOKUP(Logfile_S12[[#This Row],[DO number]],DO_DB!G:I,3,0)</f>
        <v>45287</v>
      </c>
      <c r="AB1584" s="331" t="b">
        <f>EXACT(Logfile_S12[[#This Row],[date pick]],Logfile_S12[[#This Row],[Date]])</f>
        <v>0</v>
      </c>
      <c r="AC15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85" spans="1:29" ht="14.5" hidden="1">
      <c r="A1585" s="220" t="str">
        <f t="shared" si="58"/>
        <v>1581</v>
      </c>
      <c r="B1585" s="221"/>
      <c r="C1585" s="221" t="s">
        <v>49</v>
      </c>
      <c r="D1585" s="221" t="s">
        <v>3873</v>
      </c>
      <c r="E1585" s="221" t="s">
        <v>3295</v>
      </c>
      <c r="F1585" s="221" t="s">
        <v>3299</v>
      </c>
      <c r="G1585" s="222">
        <v>45309</v>
      </c>
      <c r="H1585" s="223">
        <v>0.47569444444444442</v>
      </c>
      <c r="I1585" s="221" t="s">
        <v>4916</v>
      </c>
      <c r="J1585" s="221" t="s">
        <v>3023</v>
      </c>
      <c r="K1585" s="224" t="s">
        <v>3070</v>
      </c>
      <c r="L1585" s="225" t="str">
        <f>VLOOKUP(Logfile_S12[[#This Row],[Material Name]],Sheet2!B:C,2,0)</f>
        <v>ZTE1002</v>
      </c>
      <c r="M1585" s="225" t="str">
        <f>_xlfn.XLOOKUP(Logfile_S12[[#This Row],[Material Name]],Sum_WH!E:E,Sum_WH!F:F,"",0)</f>
        <v>Pcs</v>
      </c>
      <c r="N1585" s="221">
        <v>6</v>
      </c>
      <c r="O1585" s="221" t="s">
        <v>828</v>
      </c>
      <c r="P1585" s="221" t="s">
        <v>829</v>
      </c>
      <c r="Q1585" s="221"/>
      <c r="R1585" s="221"/>
      <c r="S1585" s="221"/>
      <c r="T1585" s="221" t="s">
        <v>3339</v>
      </c>
      <c r="U1585" s="221" t="s">
        <v>3228</v>
      </c>
      <c r="V1585" s="221" t="s">
        <v>3340</v>
      </c>
      <c r="W1585" s="221" t="s">
        <v>3245</v>
      </c>
      <c r="X1585" s="221"/>
      <c r="Y1585" s="227"/>
      <c r="Z1585" s="227" t="str">
        <f t="shared" si="59"/>
        <v>Perumahan Pondok Mutiara Malang</v>
      </c>
      <c r="AA1585" s="276" t="e">
        <f>VLOOKUP(Logfile_S12[[#This Row],[DO number]],DO_DB!G:I,3,0)</f>
        <v>#N/A</v>
      </c>
      <c r="AB1585" s="331" t="e">
        <f>EXACT(Logfile_S12[[#This Row],[date pick]],Logfile_S12[[#This Row],[Date]])</f>
        <v>#N/A</v>
      </c>
      <c r="AC15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86" spans="1:29" ht="14.5" hidden="1">
      <c r="A1586" s="220" t="str">
        <f t="shared" si="58"/>
        <v>1582</v>
      </c>
      <c r="B1586" s="221"/>
      <c r="C1586" s="221" t="s">
        <v>49</v>
      </c>
      <c r="D1586" s="221" t="s">
        <v>3874</v>
      </c>
      <c r="E1586" s="221" t="s">
        <v>3295</v>
      </c>
      <c r="F1586" s="221" t="s">
        <v>3299</v>
      </c>
      <c r="G1586" s="222">
        <v>45309</v>
      </c>
      <c r="H1586" s="223">
        <v>0.67986111111111114</v>
      </c>
      <c r="I1586" s="221" t="s">
        <v>4916</v>
      </c>
      <c r="J1586" s="221" t="s">
        <v>3023</v>
      </c>
      <c r="K1586" s="224" t="s">
        <v>3070</v>
      </c>
      <c r="L1586" s="225" t="str">
        <f>VLOOKUP(Logfile_S12[[#This Row],[Material Name]],Sheet2!B:C,2,0)</f>
        <v>ZTE1002</v>
      </c>
      <c r="M1586" s="225" t="str">
        <f>_xlfn.XLOOKUP(Logfile_S12[[#This Row],[Material Name]],Sum_WH!E:E,Sum_WH!F:F,"",0)</f>
        <v>Pcs</v>
      </c>
      <c r="N1586" s="221">
        <v>9</v>
      </c>
      <c r="O1586" s="221" t="s">
        <v>828</v>
      </c>
      <c r="P1586" s="221" t="s">
        <v>829</v>
      </c>
      <c r="Q1586" s="221"/>
      <c r="R1586" s="221"/>
      <c r="S1586" s="221"/>
      <c r="T1586" s="221" t="s">
        <v>3339</v>
      </c>
      <c r="U1586" s="221" t="s">
        <v>3228</v>
      </c>
      <c r="V1586" s="221" t="s">
        <v>3340</v>
      </c>
      <c r="W1586" s="221" t="s">
        <v>3245</v>
      </c>
      <c r="X1586" s="221"/>
      <c r="Y1586" s="227"/>
      <c r="Z1586" s="227" t="str">
        <f t="shared" si="59"/>
        <v>Perumahan Pondok Mutiara Malang</v>
      </c>
      <c r="AA1586" s="276" t="e">
        <f>VLOOKUP(Logfile_S12[[#This Row],[DO number]],DO_DB!G:I,3,0)</f>
        <v>#N/A</v>
      </c>
      <c r="AB1586" s="331" t="e">
        <f>EXACT(Logfile_S12[[#This Row],[date pick]],Logfile_S12[[#This Row],[Date]])</f>
        <v>#N/A</v>
      </c>
      <c r="AC15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87" spans="1:29" ht="14.5" hidden="1">
      <c r="A1587" s="220" t="str">
        <f t="shared" si="58"/>
        <v>1583</v>
      </c>
      <c r="B1587" s="221"/>
      <c r="C1587" s="221" t="s">
        <v>49</v>
      </c>
      <c r="D1587" s="221" t="s">
        <v>3884</v>
      </c>
      <c r="E1587" s="221" t="s">
        <v>3295</v>
      </c>
      <c r="F1587" s="221" t="s">
        <v>3299</v>
      </c>
      <c r="G1587" s="222">
        <v>45312</v>
      </c>
      <c r="H1587" s="223">
        <v>0.35694444444444445</v>
      </c>
      <c r="I1587" s="221" t="s">
        <v>4916</v>
      </c>
      <c r="J1587" s="221" t="s">
        <v>3023</v>
      </c>
      <c r="K1587" s="224" t="s">
        <v>3070</v>
      </c>
      <c r="L1587" s="225" t="str">
        <f>VLOOKUP(Logfile_S12[[#This Row],[Material Name]],Sheet2!B:C,2,0)</f>
        <v>ZTE1002</v>
      </c>
      <c r="M1587" s="225" t="str">
        <f>_xlfn.XLOOKUP(Logfile_S12[[#This Row],[Material Name]],Sum_WH!E:E,Sum_WH!F:F,"",0)</f>
        <v>Pcs</v>
      </c>
      <c r="N1587" s="221">
        <v>3</v>
      </c>
      <c r="O1587" s="221" t="s">
        <v>828</v>
      </c>
      <c r="P1587" s="221" t="s">
        <v>829</v>
      </c>
      <c r="Q1587" s="221"/>
      <c r="R1587" s="221"/>
      <c r="S1587" s="221"/>
      <c r="T1587" s="221" t="s">
        <v>3339</v>
      </c>
      <c r="U1587" s="221" t="s">
        <v>3228</v>
      </c>
      <c r="V1587" s="221" t="s">
        <v>3340</v>
      </c>
      <c r="W1587" s="221" t="s">
        <v>3245</v>
      </c>
      <c r="X1587" s="221"/>
      <c r="Y1587" s="227"/>
      <c r="Z1587" s="227" t="str">
        <f t="shared" si="59"/>
        <v>Perumahan Pondok Mutiara Malang</v>
      </c>
      <c r="AA1587" s="276" t="e">
        <f>VLOOKUP(Logfile_S12[[#This Row],[DO number]],DO_DB!G:I,3,0)</f>
        <v>#N/A</v>
      </c>
      <c r="AB1587" s="331" t="e">
        <f>EXACT(Logfile_S12[[#This Row],[date pick]],Logfile_S12[[#This Row],[Date]])</f>
        <v>#N/A</v>
      </c>
      <c r="AC15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88" spans="1:29" ht="14.5" hidden="1">
      <c r="A1588" s="220" t="str">
        <f t="shared" si="58"/>
        <v>1584</v>
      </c>
      <c r="B1588" s="221"/>
      <c r="C1588" s="221" t="s">
        <v>48</v>
      </c>
      <c r="D1588" s="221" t="s">
        <v>3892</v>
      </c>
      <c r="E1588" s="221" t="s">
        <v>3295</v>
      </c>
      <c r="F1588" s="221" t="s">
        <v>3299</v>
      </c>
      <c r="G1588" s="222">
        <v>45313</v>
      </c>
      <c r="H1588" s="223">
        <v>15.291666666666666</v>
      </c>
      <c r="I1588" s="221" t="s">
        <v>37</v>
      </c>
      <c r="J1588" s="221" t="s">
        <v>3023</v>
      </c>
      <c r="K1588" s="224" t="s">
        <v>3070</v>
      </c>
      <c r="L1588" s="225" t="str">
        <f>VLOOKUP(Logfile_S12[[#This Row],[Material Name]],Sheet2!B:C,2,0)</f>
        <v>ZTE1002</v>
      </c>
      <c r="M1588" s="225" t="str">
        <f>_xlfn.XLOOKUP(Logfile_S12[[#This Row],[Material Name]],Sum_WH!E:E,Sum_WH!F:F,"",0)</f>
        <v>Pcs</v>
      </c>
      <c r="N1588" s="221">
        <v>1</v>
      </c>
      <c r="O1588" s="221" t="s">
        <v>738</v>
      </c>
      <c r="P1588" s="221" t="s">
        <v>3392</v>
      </c>
      <c r="Q1588" s="221" t="s">
        <v>748</v>
      </c>
      <c r="R1588" s="221" t="s">
        <v>749</v>
      </c>
      <c r="S1588" s="221"/>
      <c r="T1588" s="221"/>
      <c r="U1588" s="221"/>
      <c r="V1588" s="221"/>
      <c r="W1588" s="221"/>
      <c r="X1588" s="221"/>
      <c r="Y1588" s="227"/>
      <c r="Z1588" s="227" t="str">
        <f t="shared" si="59"/>
        <v xml:space="preserve">Baturetno RW 02 Singosari </v>
      </c>
      <c r="AA1588" s="276">
        <f>VLOOKUP(Logfile_S12[[#This Row],[DO number]],DO_DB!G:I,3,0)</f>
        <v>45287</v>
      </c>
      <c r="AB1588" s="331" t="b">
        <f>EXACT(Logfile_S12[[#This Row],[date pick]],Logfile_S12[[#This Row],[Date]])</f>
        <v>0</v>
      </c>
      <c r="AC15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89" spans="1:29" ht="14.5" hidden="1">
      <c r="A1589" s="220" t="str">
        <f t="shared" si="58"/>
        <v>1585</v>
      </c>
      <c r="B1589" s="221"/>
      <c r="C1589" s="221" t="s">
        <v>49</v>
      </c>
      <c r="D1589" s="221" t="s">
        <v>3909</v>
      </c>
      <c r="E1589" s="221" t="s">
        <v>3295</v>
      </c>
      <c r="F1589" s="221" t="s">
        <v>3299</v>
      </c>
      <c r="G1589" s="222">
        <v>45322</v>
      </c>
      <c r="H1589" s="223">
        <v>0.72013888888888899</v>
      </c>
      <c r="I1589" s="221" t="s">
        <v>4916</v>
      </c>
      <c r="J1589" s="221" t="s">
        <v>3023</v>
      </c>
      <c r="K1589" s="224" t="s">
        <v>3070</v>
      </c>
      <c r="L1589" s="225" t="str">
        <f>VLOOKUP(Logfile_S12[[#This Row],[Material Name]],Sheet2!B:C,2,0)</f>
        <v>ZTE1002</v>
      </c>
      <c r="M1589" s="225" t="str">
        <f>_xlfn.XLOOKUP(Logfile_S12[[#This Row],[Material Name]],Sum_WH!E:E,Sum_WH!F:F,"",0)</f>
        <v>Pcs</v>
      </c>
      <c r="N1589" s="221">
        <v>1</v>
      </c>
      <c r="O1589" s="221" t="s">
        <v>742</v>
      </c>
      <c r="P1589" s="221" t="s">
        <v>743</v>
      </c>
      <c r="Q1589" s="221"/>
      <c r="R1589" s="221"/>
      <c r="S1589" s="221"/>
      <c r="T1589" s="221" t="s">
        <v>3258</v>
      </c>
      <c r="U1589" s="221" t="s">
        <v>3228</v>
      </c>
      <c r="V1589" s="221" t="s">
        <v>3337</v>
      </c>
      <c r="W1589" s="221" t="s">
        <v>3338</v>
      </c>
      <c r="X1589" s="221"/>
      <c r="Y1589" s="227"/>
      <c r="Z1589" s="227" t="str">
        <f t="shared" si="59"/>
        <v>Baturetno RW 03 Singosari</v>
      </c>
      <c r="AA1589" s="276" t="e">
        <f>VLOOKUP(Logfile_S12[[#This Row],[DO number]],DO_DB!G:I,3,0)</f>
        <v>#N/A</v>
      </c>
      <c r="AB1589" s="331" t="e">
        <f>EXACT(Logfile_S12[[#This Row],[date pick]],Logfile_S12[[#This Row],[Date]])</f>
        <v>#N/A</v>
      </c>
      <c r="AC15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90" spans="1:29" ht="14.5" hidden="1">
      <c r="A1590" s="220" t="str">
        <f t="shared" si="58"/>
        <v>1586</v>
      </c>
      <c r="B1590" s="221"/>
      <c r="C1590" s="221" t="s">
        <v>3449</v>
      </c>
      <c r="D1590" s="221" t="s">
        <v>3910</v>
      </c>
      <c r="E1590" s="221" t="s">
        <v>3295</v>
      </c>
      <c r="F1590" s="221" t="s">
        <v>3299</v>
      </c>
      <c r="G1590" s="222">
        <v>45323</v>
      </c>
      <c r="H1590" s="223">
        <v>0.35416666666666669</v>
      </c>
      <c r="I1590" s="221" t="s">
        <v>3193</v>
      </c>
      <c r="J1590" s="221" t="s">
        <v>3023</v>
      </c>
      <c r="K1590" s="224" t="s">
        <v>3070</v>
      </c>
      <c r="L1590" s="225" t="str">
        <f>VLOOKUP(Logfile_S12[[#This Row],[Material Name]],Sheet2!B:C,2,0)</f>
        <v>ZTE1002</v>
      </c>
      <c r="M1590" s="225" t="str">
        <f>_xlfn.XLOOKUP(Logfile_S12[[#This Row],[Material Name]],Sum_WH!E:E,Sum_WH!F:F,"",0)</f>
        <v>Pcs</v>
      </c>
      <c r="N1590" s="221">
        <v>3</v>
      </c>
      <c r="O1590" s="221" t="s">
        <v>4925</v>
      </c>
      <c r="P1590" s="221" t="s">
        <v>3266</v>
      </c>
      <c r="Q1590" s="221"/>
      <c r="R1590" s="221"/>
      <c r="S1590" s="221"/>
      <c r="T1590" s="221" t="s">
        <v>3573</v>
      </c>
      <c r="U1590" s="221">
        <v>0</v>
      </c>
      <c r="V1590" s="221">
        <v>0</v>
      </c>
      <c r="W1590" s="221">
        <v>0</v>
      </c>
      <c r="X1590" s="221" t="s">
        <v>3266</v>
      </c>
      <c r="Y1590" s="227"/>
      <c r="Z1590" s="227" t="str">
        <f t="shared" si="59"/>
        <v>YPTT</v>
      </c>
      <c r="AA1590" s="276" t="e">
        <f>VLOOKUP(Logfile_S12[[#This Row],[DO number]],DO_DB!G:I,3,0)</f>
        <v>#N/A</v>
      </c>
      <c r="AB1590" s="331" t="e">
        <f>EXACT(Logfile_S12[[#This Row],[date pick]],Logfile_S12[[#This Row],[Date]])</f>
        <v>#N/A</v>
      </c>
      <c r="AC15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591" spans="1:29" ht="14.5" hidden="1">
      <c r="A1591" s="220" t="str">
        <f t="shared" si="58"/>
        <v>1587</v>
      </c>
      <c r="B1591" s="221"/>
      <c r="C1591" s="221" t="s">
        <v>48</v>
      </c>
      <c r="D1591" s="221" t="s">
        <v>3924</v>
      </c>
      <c r="E1591" s="221" t="s">
        <v>3295</v>
      </c>
      <c r="F1591" s="221" t="s">
        <v>3299</v>
      </c>
      <c r="G1591" s="222">
        <v>45337</v>
      </c>
      <c r="H1591" s="223">
        <v>15.291666666666666</v>
      </c>
      <c r="I1591" s="221" t="s">
        <v>37</v>
      </c>
      <c r="J1591" s="221" t="s">
        <v>3023</v>
      </c>
      <c r="K1591" s="224" t="s">
        <v>3070</v>
      </c>
      <c r="L1591" s="225" t="str">
        <f>VLOOKUP(Logfile_S12[[#This Row],[Material Name]],Sheet2!B:C,2,0)</f>
        <v>ZTE1002</v>
      </c>
      <c r="M1591" s="225" t="str">
        <f>_xlfn.XLOOKUP(Logfile_S12[[#This Row],[Material Name]],Sum_WH!E:E,Sum_WH!F:F,"",0)</f>
        <v>Pcs</v>
      </c>
      <c r="N1591" s="221">
        <v>7</v>
      </c>
      <c r="O1591" s="221" t="s">
        <v>911</v>
      </c>
      <c r="P1591" s="221" t="s">
        <v>912</v>
      </c>
      <c r="Q1591" s="221" t="s">
        <v>915</v>
      </c>
      <c r="R1591" s="221" t="s">
        <v>916</v>
      </c>
      <c r="S1591" s="221"/>
      <c r="T1591" s="221"/>
      <c r="U1591" s="221"/>
      <c r="V1591" s="221"/>
      <c r="W1591" s="221"/>
      <c r="X1591" s="221"/>
      <c r="Y1591" s="227"/>
      <c r="Z1591" s="227" t="str">
        <f t="shared" si="59"/>
        <v>Bandulan RW 08 Sukun</v>
      </c>
      <c r="AA1591" s="276">
        <f>VLOOKUP(Logfile_S12[[#This Row],[DO number]],DO_DB!G:I,3,0)</f>
        <v>45337</v>
      </c>
      <c r="AB1591" s="331" t="b">
        <f>EXACT(Logfile_S12[[#This Row],[date pick]],Logfile_S12[[#This Row],[Date]])</f>
        <v>1</v>
      </c>
      <c r="AC15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92" spans="1:29" ht="14.5" hidden="1">
      <c r="A1592" s="220" t="str">
        <f t="shared" si="58"/>
        <v>1588</v>
      </c>
      <c r="B1592" s="221"/>
      <c r="C1592" s="221" t="s">
        <v>48</v>
      </c>
      <c r="D1592" s="221" t="s">
        <v>3924</v>
      </c>
      <c r="E1592" s="221" t="s">
        <v>3295</v>
      </c>
      <c r="F1592" s="221" t="s">
        <v>3299</v>
      </c>
      <c r="G1592" s="222">
        <v>45337</v>
      </c>
      <c r="H1592" s="223">
        <v>15.291666666666666</v>
      </c>
      <c r="I1592" s="221" t="s">
        <v>37</v>
      </c>
      <c r="J1592" s="221" t="s">
        <v>3023</v>
      </c>
      <c r="K1592" s="224" t="s">
        <v>3070</v>
      </c>
      <c r="L1592" s="225" t="str">
        <f>VLOOKUP(Logfile_S12[[#This Row],[Material Name]],Sheet2!B:C,2,0)</f>
        <v>ZTE1002</v>
      </c>
      <c r="M1592" s="225" t="str">
        <f>_xlfn.XLOOKUP(Logfile_S12[[#This Row],[Material Name]],Sum_WH!E:E,Sum_WH!F:F,"",0)</f>
        <v>Pcs</v>
      </c>
      <c r="N1592" s="221">
        <v>15</v>
      </c>
      <c r="O1592" s="221" t="s">
        <v>921</v>
      </c>
      <c r="P1592" s="221" t="s">
        <v>922</v>
      </c>
      <c r="Q1592" s="221" t="s">
        <v>923</v>
      </c>
      <c r="R1592" s="221" t="s">
        <v>924</v>
      </c>
      <c r="S1592" s="221"/>
      <c r="T1592" s="221"/>
      <c r="U1592" s="221"/>
      <c r="V1592" s="221"/>
      <c r="W1592" s="221"/>
      <c r="X1592" s="221"/>
      <c r="Y1592" s="227"/>
      <c r="Z1592" s="227" t="str">
        <f t="shared" si="59"/>
        <v>Bumiayu RW 03 Kedungkandang</v>
      </c>
      <c r="AA1592" s="276">
        <f>VLOOKUP(Logfile_S12[[#This Row],[DO number]],DO_DB!G:I,3,0)</f>
        <v>45337</v>
      </c>
      <c r="AB1592" s="331" t="b">
        <f>EXACT(Logfile_S12[[#This Row],[date pick]],Logfile_S12[[#This Row],[Date]])</f>
        <v>1</v>
      </c>
      <c r="AC15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93" spans="1:29" ht="14.5" hidden="1">
      <c r="A1593" s="220" t="str">
        <f t="shared" si="58"/>
        <v>1589</v>
      </c>
      <c r="B1593" s="221"/>
      <c r="C1593" s="221" t="s">
        <v>49</v>
      </c>
      <c r="D1593" s="221" t="s">
        <v>3923</v>
      </c>
      <c r="E1593" s="221" t="s">
        <v>3295</v>
      </c>
      <c r="F1593" s="221" t="s">
        <v>3299</v>
      </c>
      <c r="G1593" s="222">
        <v>45337</v>
      </c>
      <c r="H1593" s="223">
        <v>0.46111111111111108</v>
      </c>
      <c r="I1593" s="221" t="s">
        <v>4916</v>
      </c>
      <c r="J1593" s="221" t="s">
        <v>3023</v>
      </c>
      <c r="K1593" s="224" t="s">
        <v>3070</v>
      </c>
      <c r="L1593" s="225" t="str">
        <f>VLOOKUP(Logfile_S12[[#This Row],[Material Name]],Sheet2!B:C,2,0)</f>
        <v>ZTE1002</v>
      </c>
      <c r="M1593" s="225" t="str">
        <f>_xlfn.XLOOKUP(Logfile_S12[[#This Row],[Material Name]],Sum_WH!E:E,Sum_WH!F:F,"",0)</f>
        <v>Pcs</v>
      </c>
      <c r="N1593" s="221">
        <v>7</v>
      </c>
      <c r="O1593" s="221" t="s">
        <v>911</v>
      </c>
      <c r="P1593" s="221" t="s">
        <v>912</v>
      </c>
      <c r="Q1593" s="221"/>
      <c r="R1593" s="221"/>
      <c r="S1593" s="221"/>
      <c r="T1593" s="221" t="s">
        <v>3258</v>
      </c>
      <c r="U1593" s="221" t="s">
        <v>3228</v>
      </c>
      <c r="V1593" s="221" t="s">
        <v>3337</v>
      </c>
      <c r="W1593" s="221" t="s">
        <v>3338</v>
      </c>
      <c r="X1593" s="221"/>
      <c r="Y1593" s="227"/>
      <c r="Z1593" s="227" t="str">
        <f t="shared" si="59"/>
        <v>Bandulan RW 08 Sukun</v>
      </c>
      <c r="AA1593" s="276" t="e">
        <f>VLOOKUP(Logfile_S12[[#This Row],[DO number]],DO_DB!G:I,3,0)</f>
        <v>#N/A</v>
      </c>
      <c r="AB1593" s="331" t="e">
        <f>EXACT(Logfile_S12[[#This Row],[date pick]],Logfile_S12[[#This Row],[Date]])</f>
        <v>#N/A</v>
      </c>
      <c r="AC15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94" spans="1:29" ht="14.5" hidden="1">
      <c r="A1594" s="220" t="str">
        <f t="shared" si="58"/>
        <v>1590</v>
      </c>
      <c r="B1594" s="221"/>
      <c r="C1594" s="221" t="s">
        <v>48</v>
      </c>
      <c r="D1594" s="221" t="s">
        <v>3926</v>
      </c>
      <c r="E1594" s="221" t="s">
        <v>3295</v>
      </c>
      <c r="F1594" s="221" t="s">
        <v>3299</v>
      </c>
      <c r="G1594" s="222">
        <v>45338</v>
      </c>
      <c r="H1594" s="223">
        <v>15.291666666666666</v>
      </c>
      <c r="I1594" s="221" t="s">
        <v>3017</v>
      </c>
      <c r="J1594" s="221" t="s">
        <v>3023</v>
      </c>
      <c r="K1594" s="224" t="s">
        <v>3070</v>
      </c>
      <c r="L1594" s="225" t="str">
        <f>VLOOKUP(Logfile_S12[[#This Row],[Material Name]],Sheet2!B:C,2,0)</f>
        <v>ZTE1002</v>
      </c>
      <c r="M1594" s="225" t="str">
        <f>_xlfn.XLOOKUP(Logfile_S12[[#This Row],[Material Name]],Sum_WH!E:E,Sum_WH!F:F,"",0)</f>
        <v>Pcs</v>
      </c>
      <c r="N1594" s="221">
        <v>1</v>
      </c>
      <c r="O1594" s="221" t="s">
        <v>911</v>
      </c>
      <c r="P1594" s="221" t="s">
        <v>912</v>
      </c>
      <c r="Q1594" s="221" t="s">
        <v>3359</v>
      </c>
      <c r="R1594" s="221">
        <v>0</v>
      </c>
      <c r="S1594" s="221"/>
      <c r="T1594" s="221"/>
      <c r="U1594" s="221"/>
      <c r="V1594" s="221"/>
      <c r="W1594" s="221"/>
      <c r="X1594" s="221"/>
      <c r="Y1594" s="227"/>
      <c r="Z1594" s="227" t="str">
        <f t="shared" si="59"/>
        <v>Bandulan RW 08 Sukun</v>
      </c>
      <c r="AA1594" s="276" t="e">
        <f>VLOOKUP(Logfile_S12[[#This Row],[DO number]],DO_DB!G:I,3,0)</f>
        <v>#N/A</v>
      </c>
      <c r="AB1594" s="331" t="e">
        <f>EXACT(Logfile_S12[[#This Row],[date pick]],Logfile_S12[[#This Row],[Date]])</f>
        <v>#N/A</v>
      </c>
      <c r="AC15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95" spans="1:29" ht="14.5" hidden="1">
      <c r="A1595" s="220" t="str">
        <f t="shared" si="58"/>
        <v>1591</v>
      </c>
      <c r="B1595" s="221"/>
      <c r="C1595" s="221" t="s">
        <v>49</v>
      </c>
      <c r="D1595" s="221" t="s">
        <v>3934</v>
      </c>
      <c r="E1595" s="221" t="s">
        <v>3295</v>
      </c>
      <c r="F1595" s="221" t="s">
        <v>3299</v>
      </c>
      <c r="G1595" s="222">
        <v>45342</v>
      </c>
      <c r="H1595" s="223">
        <v>0.69861111111111107</v>
      </c>
      <c r="I1595" s="221" t="s">
        <v>4916</v>
      </c>
      <c r="J1595" s="221" t="s">
        <v>3023</v>
      </c>
      <c r="K1595" s="224" t="s">
        <v>3070</v>
      </c>
      <c r="L1595" s="225" t="str">
        <f>VLOOKUP(Logfile_S12[[#This Row],[Material Name]],Sheet2!B:C,2,0)</f>
        <v>ZTE1002</v>
      </c>
      <c r="M1595" s="225" t="str">
        <f>_xlfn.XLOOKUP(Logfile_S12[[#This Row],[Material Name]],Sum_WH!E:E,Sum_WH!F:F,"",0)</f>
        <v>Pcs</v>
      </c>
      <c r="N1595" s="221">
        <v>9</v>
      </c>
      <c r="O1595" s="221" t="s">
        <v>921</v>
      </c>
      <c r="P1595" s="221" t="s">
        <v>922</v>
      </c>
      <c r="Q1595" s="221"/>
      <c r="R1595" s="221"/>
      <c r="S1595" s="221"/>
      <c r="T1595" s="221" t="s">
        <v>3363</v>
      </c>
      <c r="U1595" s="221" t="s">
        <v>3228</v>
      </c>
      <c r="V1595" s="221" t="s">
        <v>3364</v>
      </c>
      <c r="W1595" s="221" t="s">
        <v>3365</v>
      </c>
      <c r="X1595" s="221"/>
      <c r="Y1595" s="227"/>
      <c r="Z1595" s="227" t="str">
        <f t="shared" si="59"/>
        <v>Bumiayu RW 03 Kedungkandang</v>
      </c>
      <c r="AA1595" s="276" t="e">
        <f>VLOOKUP(Logfile_S12[[#This Row],[DO number]],DO_DB!G:I,3,0)</f>
        <v>#N/A</v>
      </c>
      <c r="AB1595" s="331" t="e">
        <f>EXACT(Logfile_S12[[#This Row],[date pick]],Logfile_S12[[#This Row],[Date]])</f>
        <v>#N/A</v>
      </c>
      <c r="AC15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96" spans="1:29" ht="14.5" hidden="1">
      <c r="A1596" s="220" t="str">
        <f t="shared" si="58"/>
        <v>1592</v>
      </c>
      <c r="B1596" s="221"/>
      <c r="C1596" s="221" t="s">
        <v>49</v>
      </c>
      <c r="D1596" s="221" t="s">
        <v>3936</v>
      </c>
      <c r="E1596" s="221" t="s">
        <v>3295</v>
      </c>
      <c r="F1596" s="221" t="s">
        <v>3299</v>
      </c>
      <c r="G1596" s="222">
        <v>45343</v>
      </c>
      <c r="H1596" s="223">
        <v>0.68055555555555547</v>
      </c>
      <c r="I1596" s="221" t="s">
        <v>4916</v>
      </c>
      <c r="J1596" s="221" t="s">
        <v>3023</v>
      </c>
      <c r="K1596" s="224" t="s">
        <v>3070</v>
      </c>
      <c r="L1596" s="225" t="str">
        <f>VLOOKUP(Logfile_S12[[#This Row],[Material Name]],Sheet2!B:C,2,0)</f>
        <v>ZTE1002</v>
      </c>
      <c r="M1596" s="225" t="str">
        <f>_xlfn.XLOOKUP(Logfile_S12[[#This Row],[Material Name]],Sum_WH!E:E,Sum_WH!F:F,"",0)</f>
        <v>Pcs</v>
      </c>
      <c r="N1596" s="221">
        <v>7</v>
      </c>
      <c r="O1596" s="221" t="s">
        <v>838</v>
      </c>
      <c r="P1596" s="221" t="s">
        <v>3361</v>
      </c>
      <c r="Q1596" s="221"/>
      <c r="R1596" s="221"/>
      <c r="S1596" s="221"/>
      <c r="T1596" s="221" t="s">
        <v>3258</v>
      </c>
      <c r="U1596" s="221" t="s">
        <v>3228</v>
      </c>
      <c r="V1596" s="221" t="s">
        <v>3337</v>
      </c>
      <c r="W1596" s="221" t="s">
        <v>3338</v>
      </c>
      <c r="X1596" s="221"/>
      <c r="Y1596" s="227"/>
      <c r="Z1596" s="227" t="str">
        <f t="shared" si="59"/>
        <v>TAMANHARJO RW 04 SINGOSARI</v>
      </c>
      <c r="AA1596" s="276" t="e">
        <f>VLOOKUP(Logfile_S12[[#This Row],[DO number]],DO_DB!G:I,3,0)</f>
        <v>#N/A</v>
      </c>
      <c r="AB1596" s="331" t="e">
        <f>EXACT(Logfile_S12[[#This Row],[date pick]],Logfile_S12[[#This Row],[Date]])</f>
        <v>#N/A</v>
      </c>
      <c r="AC15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97" spans="1:29" ht="14.5" hidden="1">
      <c r="A1597" s="220" t="str">
        <f t="shared" si="58"/>
        <v>1593</v>
      </c>
      <c r="B1597" s="221"/>
      <c r="C1597" s="221" t="s">
        <v>49</v>
      </c>
      <c r="D1597" s="221" t="s">
        <v>3950</v>
      </c>
      <c r="E1597" s="221" t="s">
        <v>3295</v>
      </c>
      <c r="F1597" s="221" t="s">
        <v>3299</v>
      </c>
      <c r="G1597" s="222">
        <v>45348</v>
      </c>
      <c r="H1597" s="223">
        <v>0.35902777777777778</v>
      </c>
      <c r="I1597" s="221" t="s">
        <v>4916</v>
      </c>
      <c r="J1597" s="221" t="s">
        <v>3023</v>
      </c>
      <c r="K1597" s="224" t="s">
        <v>3070</v>
      </c>
      <c r="L1597" s="225" t="str">
        <f>VLOOKUP(Logfile_S12[[#This Row],[Material Name]],Sheet2!B:C,2,0)</f>
        <v>ZTE1002</v>
      </c>
      <c r="M1597" s="225" t="str">
        <f>_xlfn.XLOOKUP(Logfile_S12[[#This Row],[Material Name]],Sum_WH!E:E,Sum_WH!F:F,"",0)</f>
        <v>Pcs</v>
      </c>
      <c r="N1597" s="221">
        <v>5</v>
      </c>
      <c r="O1597" s="221" t="s">
        <v>921</v>
      </c>
      <c r="P1597" s="221" t="s">
        <v>922</v>
      </c>
      <c r="Q1597" s="221"/>
      <c r="R1597" s="221"/>
      <c r="S1597" s="221"/>
      <c r="T1597" s="221" t="s">
        <v>3363</v>
      </c>
      <c r="U1597" s="221" t="s">
        <v>3228</v>
      </c>
      <c r="V1597" s="221" t="s">
        <v>3364</v>
      </c>
      <c r="W1597" s="221" t="s">
        <v>3365</v>
      </c>
      <c r="X1597" s="221"/>
      <c r="Y1597" s="227"/>
      <c r="Z1597" s="227" t="str">
        <f t="shared" si="59"/>
        <v>Bumiayu RW 03 Kedungkandang</v>
      </c>
      <c r="AA1597" s="276" t="e">
        <f>VLOOKUP(Logfile_S12[[#This Row],[DO number]],DO_DB!G:I,3,0)</f>
        <v>#N/A</v>
      </c>
      <c r="AB1597" s="331" t="e">
        <f>EXACT(Logfile_S12[[#This Row],[date pick]],Logfile_S12[[#This Row],[Date]])</f>
        <v>#N/A</v>
      </c>
      <c r="AC15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98" spans="1:29" ht="14.5" hidden="1">
      <c r="A1598" s="220" t="str">
        <f t="shared" si="58"/>
        <v>1594</v>
      </c>
      <c r="B1598" s="221"/>
      <c r="C1598" s="221" t="s">
        <v>49</v>
      </c>
      <c r="D1598" s="221" t="s">
        <v>3957</v>
      </c>
      <c r="E1598" s="221" t="s">
        <v>3295</v>
      </c>
      <c r="F1598" s="221" t="s">
        <v>3299</v>
      </c>
      <c r="G1598" s="222">
        <v>45350</v>
      </c>
      <c r="H1598" s="223">
        <v>0.4861111111111111</v>
      </c>
      <c r="I1598" s="221" t="s">
        <v>4916</v>
      </c>
      <c r="J1598" s="221" t="s">
        <v>3023</v>
      </c>
      <c r="K1598" s="224" t="s">
        <v>3070</v>
      </c>
      <c r="L1598" s="225" t="str">
        <f>VLOOKUP(Logfile_S12[[#This Row],[Material Name]],Sheet2!B:C,2,0)</f>
        <v>ZTE1002</v>
      </c>
      <c r="M1598" s="225" t="str">
        <f>_xlfn.XLOOKUP(Logfile_S12[[#This Row],[Material Name]],Sum_WH!E:E,Sum_WH!F:F,"",0)</f>
        <v>Pcs</v>
      </c>
      <c r="N1598" s="221">
        <v>1</v>
      </c>
      <c r="O1598" s="221" t="s">
        <v>1013</v>
      </c>
      <c r="P1598" s="221" t="s">
        <v>1014</v>
      </c>
      <c r="Q1598" s="221"/>
      <c r="R1598" s="221"/>
      <c r="S1598" s="221"/>
      <c r="T1598" s="221" t="s">
        <v>3258</v>
      </c>
      <c r="U1598" s="221" t="s">
        <v>3228</v>
      </c>
      <c r="V1598" s="221" t="s">
        <v>3337</v>
      </c>
      <c r="W1598" s="221" t="s">
        <v>3338</v>
      </c>
      <c r="X1598" s="221"/>
      <c r="Y1598" s="227"/>
      <c r="Z1598" s="227" t="str">
        <f t="shared" si="59"/>
        <v>Bumiayu RW 05 Kedungkandang</v>
      </c>
      <c r="AA1598" s="276" t="e">
        <f>VLOOKUP(Logfile_S12[[#This Row],[DO number]],DO_DB!G:I,3,0)</f>
        <v>#N/A</v>
      </c>
      <c r="AB1598" s="331" t="e">
        <f>EXACT(Logfile_S12[[#This Row],[date pick]],Logfile_S12[[#This Row],[Date]])</f>
        <v>#N/A</v>
      </c>
      <c r="AC15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599" spans="1:29" ht="14.5" hidden="1">
      <c r="A1599" s="220" t="str">
        <f t="shared" si="58"/>
        <v>1595</v>
      </c>
      <c r="B1599" s="221"/>
      <c r="C1599" s="221" t="s">
        <v>48</v>
      </c>
      <c r="D1599" s="221" t="s">
        <v>3960</v>
      </c>
      <c r="E1599" s="221" t="s">
        <v>3295</v>
      </c>
      <c r="F1599" s="221" t="s">
        <v>3299</v>
      </c>
      <c r="G1599" s="222">
        <v>45351</v>
      </c>
      <c r="H1599" s="223">
        <v>15.291666666666666</v>
      </c>
      <c r="I1599" s="221" t="s">
        <v>37</v>
      </c>
      <c r="J1599" s="221" t="s">
        <v>3023</v>
      </c>
      <c r="K1599" s="224" t="s">
        <v>3070</v>
      </c>
      <c r="L1599" s="225" t="str">
        <f>VLOOKUP(Logfile_S12[[#This Row],[Material Name]],Sheet2!B:C,2,0)</f>
        <v>ZTE1002</v>
      </c>
      <c r="M1599" s="225" t="str">
        <f>_xlfn.XLOOKUP(Logfile_S12[[#This Row],[Material Name]],Sum_WH!E:E,Sum_WH!F:F,"",0)</f>
        <v>Pcs</v>
      </c>
      <c r="N1599" s="221">
        <v>17</v>
      </c>
      <c r="O1599" s="221" t="s">
        <v>1013</v>
      </c>
      <c r="P1599" s="221" t="s">
        <v>1014</v>
      </c>
      <c r="Q1599" s="221" t="s">
        <v>1017</v>
      </c>
      <c r="R1599" s="221" t="s">
        <v>1018</v>
      </c>
      <c r="S1599" s="221"/>
      <c r="T1599" s="221"/>
      <c r="U1599" s="221"/>
      <c r="V1599" s="221"/>
      <c r="W1599" s="221"/>
      <c r="X1599" s="221"/>
      <c r="Y1599" s="227"/>
      <c r="Z1599" s="227" t="str">
        <f t="shared" si="59"/>
        <v>Bumiayu RW 05 Kedungkandang</v>
      </c>
      <c r="AA1599" s="276">
        <f>VLOOKUP(Logfile_S12[[#This Row],[DO number]],DO_DB!G:I,3,0)</f>
        <v>45351</v>
      </c>
      <c r="AB1599" s="331" t="b">
        <f>EXACT(Logfile_S12[[#This Row],[date pick]],Logfile_S12[[#This Row],[Date]])</f>
        <v>1</v>
      </c>
      <c r="AC15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00" spans="1:29" ht="14.5" hidden="1">
      <c r="A1600" s="220" t="str">
        <f t="shared" si="58"/>
        <v>1596</v>
      </c>
      <c r="B1600" s="221"/>
      <c r="C1600" s="221" t="s">
        <v>48</v>
      </c>
      <c r="D1600" s="221" t="s">
        <v>3965</v>
      </c>
      <c r="E1600" s="221" t="s">
        <v>3295</v>
      </c>
      <c r="F1600" s="221" t="s">
        <v>3299</v>
      </c>
      <c r="G1600" s="222">
        <v>45352</v>
      </c>
      <c r="H1600" s="223">
        <v>15.291666666666666</v>
      </c>
      <c r="I1600" s="221" t="s">
        <v>37</v>
      </c>
      <c r="J1600" s="221" t="s">
        <v>3023</v>
      </c>
      <c r="K1600" s="224" t="s">
        <v>3070</v>
      </c>
      <c r="L1600" s="225" t="str">
        <f>VLOOKUP(Logfile_S12[[#This Row],[Material Name]],Sheet2!B:C,2,0)</f>
        <v>ZTE1002</v>
      </c>
      <c r="M1600" s="225" t="str">
        <f>_xlfn.XLOOKUP(Logfile_S12[[#This Row],[Material Name]],Sum_WH!E:E,Sum_WH!F:F,"",0)</f>
        <v>Pcs</v>
      </c>
      <c r="N1600" s="221">
        <v>28</v>
      </c>
      <c r="O1600" s="221"/>
      <c r="P1600" s="221"/>
      <c r="Q1600" s="221">
        <v>0</v>
      </c>
      <c r="R1600" s="221">
        <v>0</v>
      </c>
      <c r="S1600" s="221"/>
      <c r="T1600" s="221"/>
      <c r="U1600" s="221"/>
      <c r="V1600" s="221"/>
      <c r="W1600" s="221"/>
      <c r="X1600" s="221"/>
      <c r="Y1600" s="227"/>
      <c r="Z1600" s="227">
        <f t="shared" si="59"/>
        <v>0</v>
      </c>
      <c r="AA1600" s="276" t="e">
        <f>VLOOKUP(Logfile_S12[[#This Row],[DO number]],DO_DB!G:I,3,0)</f>
        <v>#N/A</v>
      </c>
      <c r="AB1600" s="331" t="e">
        <f>EXACT(Logfile_S12[[#This Row],[date pick]],Logfile_S12[[#This Row],[Date]])</f>
        <v>#N/A</v>
      </c>
      <c r="AC16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01" spans="1:29" ht="14.5" hidden="1">
      <c r="A1601" s="220" t="str">
        <f t="shared" si="58"/>
        <v>1597</v>
      </c>
      <c r="B1601" s="221"/>
      <c r="C1601" s="221" t="s">
        <v>48</v>
      </c>
      <c r="D1601" s="221" t="s">
        <v>3968</v>
      </c>
      <c r="E1601" s="221" t="s">
        <v>3295</v>
      </c>
      <c r="F1601" s="221" t="s">
        <v>3299</v>
      </c>
      <c r="G1601" s="222">
        <v>45353</v>
      </c>
      <c r="H1601" s="223">
        <v>15.291666666666666</v>
      </c>
      <c r="I1601" s="221" t="s">
        <v>37</v>
      </c>
      <c r="J1601" s="221" t="s">
        <v>3023</v>
      </c>
      <c r="K1601" s="224" t="s">
        <v>3070</v>
      </c>
      <c r="L1601" s="225" t="str">
        <f>VLOOKUP(Logfile_S12[[#This Row],[Material Name]],Sheet2!B:C,2,0)</f>
        <v>ZTE1002</v>
      </c>
      <c r="M1601" s="225" t="str">
        <f>_xlfn.XLOOKUP(Logfile_S12[[#This Row],[Material Name]],Sum_WH!E:E,Sum_WH!F:F,"",0)</f>
        <v>Pcs</v>
      </c>
      <c r="N1601" s="221">
        <v>1</v>
      </c>
      <c r="O1601" s="221" t="s">
        <v>921</v>
      </c>
      <c r="P1601" s="221" t="s">
        <v>922</v>
      </c>
      <c r="Q1601" s="221" t="s">
        <v>923</v>
      </c>
      <c r="R1601" s="221" t="s">
        <v>924</v>
      </c>
      <c r="S1601" s="221"/>
      <c r="T1601" s="221"/>
      <c r="U1601" s="221"/>
      <c r="V1601" s="221"/>
      <c r="W1601" s="221"/>
      <c r="X1601" s="221"/>
      <c r="Y1601" s="227"/>
      <c r="Z1601" s="227" t="str">
        <f t="shared" si="59"/>
        <v>Bumiayu RW 03 Kedungkandang</v>
      </c>
      <c r="AA1601" s="276">
        <f>VLOOKUP(Logfile_S12[[#This Row],[DO number]],DO_DB!G:I,3,0)</f>
        <v>45337</v>
      </c>
      <c r="AB1601" s="331" t="b">
        <f>EXACT(Logfile_S12[[#This Row],[date pick]],Logfile_S12[[#This Row],[Date]])</f>
        <v>0</v>
      </c>
      <c r="AC16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02" spans="1:29" ht="14.5" hidden="1">
      <c r="A1602" s="220" t="str">
        <f t="shared" si="58"/>
        <v>1598</v>
      </c>
      <c r="B1602" s="221"/>
      <c r="C1602" s="221" t="s">
        <v>49</v>
      </c>
      <c r="D1602" s="221" t="s">
        <v>3969</v>
      </c>
      <c r="E1602" s="221" t="s">
        <v>3295</v>
      </c>
      <c r="F1602" s="221" t="s">
        <v>3299</v>
      </c>
      <c r="G1602" s="222">
        <v>45355</v>
      </c>
      <c r="H1602" s="223">
        <v>0.57916666666666672</v>
      </c>
      <c r="I1602" s="221" t="s">
        <v>4916</v>
      </c>
      <c r="J1602" s="221" t="s">
        <v>3023</v>
      </c>
      <c r="K1602" s="224" t="s">
        <v>3070</v>
      </c>
      <c r="L1602" s="225" t="str">
        <f>VLOOKUP(Logfile_S12[[#This Row],[Material Name]],Sheet2!B:C,2,0)</f>
        <v>ZTE1002</v>
      </c>
      <c r="M1602" s="225" t="str">
        <f>_xlfn.XLOOKUP(Logfile_S12[[#This Row],[Material Name]],Sum_WH!E:E,Sum_WH!F:F,"",0)</f>
        <v>Pcs</v>
      </c>
      <c r="N1602" s="221">
        <v>5</v>
      </c>
      <c r="O1602" s="221" t="s">
        <v>1013</v>
      </c>
      <c r="P1602" s="221" t="s">
        <v>1014</v>
      </c>
      <c r="Q1602" s="221"/>
      <c r="R1602" s="221"/>
      <c r="S1602" s="221"/>
      <c r="T1602" s="221" t="s">
        <v>3258</v>
      </c>
      <c r="U1602" s="221" t="s">
        <v>3228</v>
      </c>
      <c r="V1602" s="221" t="s">
        <v>3337</v>
      </c>
      <c r="W1602" s="221" t="s">
        <v>3338</v>
      </c>
      <c r="X1602" s="221"/>
      <c r="Y1602" s="227"/>
      <c r="Z1602" s="227" t="str">
        <f t="shared" si="59"/>
        <v>Bumiayu RW 05 Kedungkandang</v>
      </c>
      <c r="AA1602" s="276" t="e">
        <f>VLOOKUP(Logfile_S12[[#This Row],[DO number]],DO_DB!G:I,3,0)</f>
        <v>#N/A</v>
      </c>
      <c r="AB1602" s="331" t="e">
        <f>EXACT(Logfile_S12[[#This Row],[date pick]],Logfile_S12[[#This Row],[Date]])</f>
        <v>#N/A</v>
      </c>
      <c r="AC16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03" spans="1:29" ht="14.5" hidden="1">
      <c r="A1603" s="220" t="str">
        <f t="shared" si="58"/>
        <v>1599</v>
      </c>
      <c r="B1603" s="221"/>
      <c r="C1603" s="221" t="s">
        <v>49</v>
      </c>
      <c r="D1603" s="221" t="s">
        <v>3977</v>
      </c>
      <c r="E1603" s="221" t="s">
        <v>3295</v>
      </c>
      <c r="F1603" s="221" t="s">
        <v>3299</v>
      </c>
      <c r="G1603" s="222">
        <v>45363</v>
      </c>
      <c r="H1603" s="223">
        <v>0.42499999999999999</v>
      </c>
      <c r="I1603" s="221" t="s">
        <v>4916</v>
      </c>
      <c r="J1603" s="221" t="s">
        <v>3023</v>
      </c>
      <c r="K1603" s="224" t="s">
        <v>3070</v>
      </c>
      <c r="L1603" s="225" t="str">
        <f>VLOOKUP(Logfile_S12[[#This Row],[Material Name]],Sheet2!B:C,2,0)</f>
        <v>ZTE1002</v>
      </c>
      <c r="M1603" s="225" t="str">
        <f>_xlfn.XLOOKUP(Logfile_S12[[#This Row],[Material Name]],Sum_WH!E:E,Sum_WH!F:F,"",0)</f>
        <v>Pcs</v>
      </c>
      <c r="N1603" s="221">
        <v>8</v>
      </c>
      <c r="O1603" s="221" t="s">
        <v>1087</v>
      </c>
      <c r="P1603" s="221" t="s">
        <v>1088</v>
      </c>
      <c r="Q1603" s="221"/>
      <c r="R1603" s="221"/>
      <c r="S1603" s="221"/>
      <c r="T1603" s="221" t="s">
        <v>3258</v>
      </c>
      <c r="U1603" s="221" t="s">
        <v>3228</v>
      </c>
      <c r="V1603" s="221" t="s">
        <v>3337</v>
      </c>
      <c r="W1603" s="221" t="s">
        <v>3338</v>
      </c>
      <c r="X1603" s="221"/>
      <c r="Y1603" s="227"/>
      <c r="Z1603" s="227" t="str">
        <f t="shared" si="59"/>
        <v>Dalisodo RW 01 Wagir</v>
      </c>
      <c r="AA1603" s="276" t="e">
        <f>VLOOKUP(Logfile_S12[[#This Row],[DO number]],DO_DB!G:I,3,0)</f>
        <v>#N/A</v>
      </c>
      <c r="AB1603" s="331" t="e">
        <f>EXACT(Logfile_S12[[#This Row],[date pick]],Logfile_S12[[#This Row],[Date]])</f>
        <v>#N/A</v>
      </c>
      <c r="AC16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04" spans="1:29" ht="14.5" hidden="1">
      <c r="A1604" s="220" t="str">
        <f t="shared" si="58"/>
        <v>1600</v>
      </c>
      <c r="B1604" s="221"/>
      <c r="C1604" s="221" t="s">
        <v>3429</v>
      </c>
      <c r="D1604" s="221" t="s">
        <v>3979</v>
      </c>
      <c r="E1604" s="221" t="s">
        <v>3295</v>
      </c>
      <c r="F1604" s="221" t="s">
        <v>3299</v>
      </c>
      <c r="G1604" s="222">
        <v>45366</v>
      </c>
      <c r="H1604" s="223">
        <v>15.291666666666666</v>
      </c>
      <c r="I1604" s="221" t="s">
        <v>3193</v>
      </c>
      <c r="J1604" s="221" t="s">
        <v>3023</v>
      </c>
      <c r="K1604" s="224" t="s">
        <v>3070</v>
      </c>
      <c r="L1604" s="225" t="str">
        <f>VLOOKUP(Logfile_S12[[#This Row],[Material Name]],Sheet2!B:C,2,0)</f>
        <v>ZTE1002</v>
      </c>
      <c r="M1604" s="225" t="str">
        <f>_xlfn.XLOOKUP(Logfile_S12[[#This Row],[Material Name]],Sum_WH!E:E,Sum_WH!F:F,"",0)</f>
        <v>Pcs</v>
      </c>
      <c r="N1604" s="221">
        <v>3</v>
      </c>
      <c r="O1604" s="221" t="s">
        <v>4925</v>
      </c>
      <c r="P1604" s="221" t="s">
        <v>3266</v>
      </c>
      <c r="Q1604" s="221">
        <v>0</v>
      </c>
      <c r="R1604" s="221"/>
      <c r="S1604" s="221"/>
      <c r="T1604" s="221"/>
      <c r="U1604" s="221"/>
      <c r="V1604" s="221"/>
      <c r="W1604" s="221"/>
      <c r="X1604" s="221" t="s">
        <v>3534</v>
      </c>
      <c r="Y1604" s="227"/>
      <c r="Z1604" s="227" t="str">
        <f t="shared" si="59"/>
        <v>YPTT</v>
      </c>
      <c r="AA1604" s="276" t="e">
        <f>VLOOKUP(Logfile_S12[[#This Row],[DO number]],DO_DB!G:I,3,0)</f>
        <v>#N/A</v>
      </c>
      <c r="AB1604" s="331" t="e">
        <f>EXACT(Logfile_S12[[#This Row],[date pick]],Logfile_S12[[#This Row],[Date]])</f>
        <v>#N/A</v>
      </c>
      <c r="AC16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05" spans="1:29" ht="14.5" hidden="1">
      <c r="A1605" s="220" t="str">
        <f t="shared" ref="A1605:A1668" si="60">TEXT(ROW(A1605)-ROW($A$4),"000")</f>
        <v>1601</v>
      </c>
      <c r="B1605" s="221"/>
      <c r="C1605" s="221" t="s">
        <v>48</v>
      </c>
      <c r="D1605" s="221" t="s">
        <v>3980</v>
      </c>
      <c r="E1605" s="221" t="s">
        <v>3295</v>
      </c>
      <c r="F1605" s="221" t="s">
        <v>3299</v>
      </c>
      <c r="G1605" s="222">
        <v>45370</v>
      </c>
      <c r="H1605" s="223">
        <v>15.291666666666666</v>
      </c>
      <c r="I1605" s="221" t="s">
        <v>37</v>
      </c>
      <c r="J1605" s="221" t="s">
        <v>3023</v>
      </c>
      <c r="K1605" s="224" t="s">
        <v>3070</v>
      </c>
      <c r="L1605" s="225" t="str">
        <f>VLOOKUP(Logfile_S12[[#This Row],[Material Name]],Sheet2!B:C,2,0)</f>
        <v>ZTE1002</v>
      </c>
      <c r="M1605" s="225" t="str">
        <f>_xlfn.XLOOKUP(Logfile_S12[[#This Row],[Material Name]],Sum_WH!E:E,Sum_WH!F:F,"",0)</f>
        <v>Pcs</v>
      </c>
      <c r="N1605" s="221">
        <v>7</v>
      </c>
      <c r="O1605" s="221"/>
      <c r="P1605" s="221"/>
      <c r="Q1605" s="221">
        <v>0</v>
      </c>
      <c r="R1605" s="221">
        <v>0</v>
      </c>
      <c r="S1605" s="221"/>
      <c r="T1605" s="221"/>
      <c r="U1605" s="221"/>
      <c r="V1605" s="221"/>
      <c r="W1605" s="221"/>
      <c r="X1605" s="221"/>
      <c r="Y1605" s="227"/>
      <c r="Z1605" s="227">
        <f t="shared" si="59"/>
        <v>0</v>
      </c>
      <c r="AA1605" s="276" t="e">
        <f>VLOOKUP(Logfile_S12[[#This Row],[DO number]],DO_DB!G:I,3,0)</f>
        <v>#N/A</v>
      </c>
      <c r="AB1605" s="331" t="e">
        <f>EXACT(Logfile_S12[[#This Row],[date pick]],Logfile_S12[[#This Row],[Date]])</f>
        <v>#N/A</v>
      </c>
      <c r="AC16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06" spans="1:29" ht="14.5" hidden="1">
      <c r="A1606" s="220" t="str">
        <f t="shared" si="60"/>
        <v>1602</v>
      </c>
      <c r="B1606" s="221"/>
      <c r="C1606" s="221" t="s">
        <v>49</v>
      </c>
      <c r="D1606" s="221" t="s">
        <v>3982</v>
      </c>
      <c r="E1606" s="221" t="s">
        <v>3295</v>
      </c>
      <c r="F1606" s="221" t="s">
        <v>3299</v>
      </c>
      <c r="G1606" s="222">
        <v>45371</v>
      </c>
      <c r="H1606" s="223">
        <v>0.4284722222222222</v>
      </c>
      <c r="I1606" s="221" t="s">
        <v>4916</v>
      </c>
      <c r="J1606" s="221" t="s">
        <v>3023</v>
      </c>
      <c r="K1606" s="224" t="s">
        <v>3070</v>
      </c>
      <c r="L1606" s="225" t="str">
        <f>VLOOKUP(Logfile_S12[[#This Row],[Material Name]],Sheet2!B:C,2,0)</f>
        <v>ZTE1002</v>
      </c>
      <c r="M1606" s="225" t="str">
        <f>_xlfn.XLOOKUP(Logfile_S12[[#This Row],[Material Name]],Sum_WH!E:E,Sum_WH!F:F,"",0)</f>
        <v>Pcs</v>
      </c>
      <c r="N1606" s="221">
        <v>4</v>
      </c>
      <c r="O1606" s="221" t="s">
        <v>1161</v>
      </c>
      <c r="P1606" s="221" t="s">
        <v>1162</v>
      </c>
      <c r="Q1606" s="221"/>
      <c r="R1606" s="221"/>
      <c r="S1606" s="221"/>
      <c r="T1606" s="221" t="s">
        <v>3363</v>
      </c>
      <c r="U1606" s="221" t="s">
        <v>3228</v>
      </c>
      <c r="V1606" s="221" t="s">
        <v>3364</v>
      </c>
      <c r="W1606" s="221" t="s">
        <v>3365</v>
      </c>
      <c r="X1606" s="221"/>
      <c r="Y1606" s="227"/>
      <c r="Z1606" s="227" t="str">
        <f t="shared" si="59"/>
        <v>Tunjungtirto RW 01 Singosari</v>
      </c>
      <c r="AA1606" s="276" t="e">
        <f>VLOOKUP(Logfile_S12[[#This Row],[DO number]],DO_DB!G:I,3,0)</f>
        <v>#N/A</v>
      </c>
      <c r="AB1606" s="331" t="e">
        <f>EXACT(Logfile_S12[[#This Row],[date pick]],Logfile_S12[[#This Row],[Date]])</f>
        <v>#N/A</v>
      </c>
      <c r="AC16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07" spans="1:29" ht="14.5" hidden="1">
      <c r="A1607" s="220" t="str">
        <f t="shared" si="60"/>
        <v>1603</v>
      </c>
      <c r="B1607" s="221"/>
      <c r="C1607" s="221" t="s">
        <v>49</v>
      </c>
      <c r="D1607" s="221" t="s">
        <v>3987</v>
      </c>
      <c r="E1607" s="221" t="s">
        <v>3295</v>
      </c>
      <c r="F1607" s="221" t="s">
        <v>3299</v>
      </c>
      <c r="G1607" s="222">
        <v>45374</v>
      </c>
      <c r="H1607" s="223">
        <v>0.4284722222222222</v>
      </c>
      <c r="I1607" s="221" t="s">
        <v>4916</v>
      </c>
      <c r="J1607" s="221" t="s">
        <v>3023</v>
      </c>
      <c r="K1607" s="224" t="s">
        <v>3070</v>
      </c>
      <c r="L1607" s="225" t="str">
        <f>VLOOKUP(Logfile_S12[[#This Row],[Material Name]],Sheet2!B:C,2,0)</f>
        <v>ZTE1002</v>
      </c>
      <c r="M1607" s="225" t="str">
        <f>_xlfn.XLOOKUP(Logfile_S12[[#This Row],[Material Name]],Sum_WH!E:E,Sum_WH!F:F,"",0)</f>
        <v>Pcs</v>
      </c>
      <c r="N1607" s="221">
        <v>3</v>
      </c>
      <c r="O1607" s="221" t="s">
        <v>1161</v>
      </c>
      <c r="P1607" s="221" t="s">
        <v>1162</v>
      </c>
      <c r="Q1607" s="221"/>
      <c r="R1607" s="221"/>
      <c r="S1607" s="221"/>
      <c r="T1607" s="221" t="s">
        <v>3363</v>
      </c>
      <c r="U1607" s="221" t="s">
        <v>3228</v>
      </c>
      <c r="V1607" s="221" t="s">
        <v>3364</v>
      </c>
      <c r="W1607" s="221" t="s">
        <v>3365</v>
      </c>
      <c r="X1607" s="221"/>
      <c r="Y1607" s="227"/>
      <c r="Z1607" s="227" t="str">
        <f t="shared" si="59"/>
        <v>Tunjungtirto RW 01 Singosari</v>
      </c>
      <c r="AA1607" s="276" t="e">
        <f>VLOOKUP(Logfile_S12[[#This Row],[DO number]],DO_DB!G:I,3,0)</f>
        <v>#N/A</v>
      </c>
      <c r="AB1607" s="331" t="e">
        <f>EXACT(Logfile_S12[[#This Row],[date pick]],Logfile_S12[[#This Row],[Date]])</f>
        <v>#N/A</v>
      </c>
      <c r="AC16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08" spans="1:29" ht="14.5" hidden="1">
      <c r="A1608" s="220" t="str">
        <f t="shared" si="60"/>
        <v>1604</v>
      </c>
      <c r="B1608" s="221"/>
      <c r="C1608" s="221" t="s">
        <v>48</v>
      </c>
      <c r="D1608" s="221" t="s">
        <v>3995</v>
      </c>
      <c r="E1608" s="221" t="s">
        <v>3295</v>
      </c>
      <c r="F1608" s="221" t="s">
        <v>3299</v>
      </c>
      <c r="G1608" s="222">
        <v>45379</v>
      </c>
      <c r="H1608" s="223">
        <v>15.291666666666666</v>
      </c>
      <c r="I1608" s="221" t="s">
        <v>37</v>
      </c>
      <c r="J1608" s="221" t="s">
        <v>3023</v>
      </c>
      <c r="K1608" s="224" t="s">
        <v>3070</v>
      </c>
      <c r="L1608" s="225" t="str">
        <f>VLOOKUP(Logfile_S12[[#This Row],[Material Name]],Sheet2!B:C,2,0)</f>
        <v>ZTE1002</v>
      </c>
      <c r="M1608" s="225" t="str">
        <f>_xlfn.XLOOKUP(Logfile_S12[[#This Row],[Material Name]],Sum_WH!E:E,Sum_WH!F:F,"",0)</f>
        <v>Pcs</v>
      </c>
      <c r="N1608" s="221">
        <v>4</v>
      </c>
      <c r="O1608" s="221" t="s">
        <v>1161</v>
      </c>
      <c r="P1608" s="221" t="s">
        <v>1162</v>
      </c>
      <c r="Q1608" s="221" t="s">
        <v>1165</v>
      </c>
      <c r="R1608" s="221" t="s">
        <v>1166</v>
      </c>
      <c r="S1608" s="221"/>
      <c r="T1608" s="221"/>
      <c r="U1608" s="221"/>
      <c r="V1608" s="221"/>
      <c r="W1608" s="221"/>
      <c r="X1608" s="221"/>
      <c r="Y1608" s="227"/>
      <c r="Z1608" s="227" t="str">
        <f t="shared" si="59"/>
        <v>Tunjungtirto RW 01 Singosari</v>
      </c>
      <c r="AA1608" s="276">
        <f>VLOOKUP(Logfile_S12[[#This Row],[DO number]],DO_DB!G:I,3,0)</f>
        <v>45370</v>
      </c>
      <c r="AB1608" s="331" t="b">
        <f>EXACT(Logfile_S12[[#This Row],[date pick]],Logfile_S12[[#This Row],[Date]])</f>
        <v>0</v>
      </c>
      <c r="AC16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09" spans="1:29" ht="14.5" hidden="1">
      <c r="A1609" s="220" t="str">
        <f t="shared" si="60"/>
        <v>1605</v>
      </c>
      <c r="B1609" s="221"/>
      <c r="C1609" s="221" t="s">
        <v>49</v>
      </c>
      <c r="D1609" s="221" t="s">
        <v>3999</v>
      </c>
      <c r="E1609" s="221" t="s">
        <v>3295</v>
      </c>
      <c r="F1609" s="221" t="s">
        <v>3299</v>
      </c>
      <c r="G1609" s="222">
        <v>45383</v>
      </c>
      <c r="H1609" s="223">
        <v>0.55486111111111114</v>
      </c>
      <c r="I1609" s="221" t="s">
        <v>4916</v>
      </c>
      <c r="J1609" s="221" t="s">
        <v>3023</v>
      </c>
      <c r="K1609" s="224" t="s">
        <v>3070</v>
      </c>
      <c r="L1609" s="225" t="str">
        <f>VLOOKUP(Logfile_S12[[#This Row],[Material Name]],Sheet2!B:C,2,0)</f>
        <v>ZTE1002</v>
      </c>
      <c r="M1609" s="225" t="str">
        <f>_xlfn.XLOOKUP(Logfile_S12[[#This Row],[Material Name]],Sum_WH!E:E,Sum_WH!F:F,"",0)</f>
        <v>Pcs</v>
      </c>
      <c r="N1609" s="221">
        <v>1</v>
      </c>
      <c r="O1609" s="221" t="s">
        <v>1151</v>
      </c>
      <c r="P1609" s="221" t="s">
        <v>1152</v>
      </c>
      <c r="Q1609" s="221"/>
      <c r="R1609" s="221"/>
      <c r="S1609" s="221"/>
      <c r="T1609" s="221" t="s">
        <v>3363</v>
      </c>
      <c r="U1609" s="221" t="s">
        <v>3228</v>
      </c>
      <c r="V1609" s="221" t="s">
        <v>3364</v>
      </c>
      <c r="W1609" s="221" t="s">
        <v>3365</v>
      </c>
      <c r="X1609" s="221"/>
      <c r="Y1609" s="227"/>
      <c r="Z1609" s="227" t="str">
        <f t="shared" si="59"/>
        <v>Tunjungtirto RW 08 Singosari</v>
      </c>
      <c r="AA1609" s="276" t="e">
        <f>VLOOKUP(Logfile_S12[[#This Row],[DO number]],DO_DB!G:I,3,0)</f>
        <v>#N/A</v>
      </c>
      <c r="AB1609" s="331" t="e">
        <f>EXACT(Logfile_S12[[#This Row],[date pick]],Logfile_S12[[#This Row],[Date]])</f>
        <v>#N/A</v>
      </c>
      <c r="AC16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10" spans="1:29" ht="14.5" hidden="1">
      <c r="A1610" s="220" t="str">
        <f t="shared" si="60"/>
        <v>1606</v>
      </c>
      <c r="B1610" s="221"/>
      <c r="C1610" s="221" t="s">
        <v>49</v>
      </c>
      <c r="D1610" s="221" t="s">
        <v>4012</v>
      </c>
      <c r="E1610" s="221" t="s">
        <v>3295</v>
      </c>
      <c r="F1610" s="221" t="s">
        <v>3299</v>
      </c>
      <c r="G1610" s="222">
        <v>45401</v>
      </c>
      <c r="H1610" s="223">
        <v>0.52430555555555558</v>
      </c>
      <c r="I1610" s="221" t="s">
        <v>4916</v>
      </c>
      <c r="J1610" s="221" t="s">
        <v>3023</v>
      </c>
      <c r="K1610" s="224" t="s">
        <v>3070</v>
      </c>
      <c r="L1610" s="225" t="str">
        <f>VLOOKUP(Logfile_S12[[#This Row],[Material Name]],Sheet2!B:C,2,0)</f>
        <v>ZTE1002</v>
      </c>
      <c r="M1610" s="225" t="str">
        <f>_xlfn.XLOOKUP(Logfile_S12[[#This Row],[Material Name]],Sum_WH!E:E,Sum_WH!F:F,"",0)</f>
        <v>Pcs</v>
      </c>
      <c r="N1610" s="221">
        <v>1</v>
      </c>
      <c r="O1610" s="221" t="s">
        <v>1295</v>
      </c>
      <c r="P1610" s="221" t="s">
        <v>1296</v>
      </c>
      <c r="Q1610" s="221"/>
      <c r="R1610" s="221"/>
      <c r="S1610" s="221"/>
      <c r="T1610" s="221" t="s">
        <v>3258</v>
      </c>
      <c r="U1610" s="221" t="s">
        <v>3228</v>
      </c>
      <c r="V1610" s="221" t="s">
        <v>3337</v>
      </c>
      <c r="W1610" s="221" t="s">
        <v>3338</v>
      </c>
      <c r="X1610" s="221"/>
      <c r="Y1610" s="227"/>
      <c r="Z1610" s="227" t="str">
        <f t="shared" si="59"/>
        <v>Pandanlandung RW 01 Wagir</v>
      </c>
      <c r="AA1610" s="276" t="e">
        <f>VLOOKUP(Logfile_S12[[#This Row],[DO number]],DO_DB!G:I,3,0)</f>
        <v>#N/A</v>
      </c>
      <c r="AB1610" s="331" t="e">
        <f>EXACT(Logfile_S12[[#This Row],[date pick]],Logfile_S12[[#This Row],[Date]])</f>
        <v>#N/A</v>
      </c>
      <c r="AC16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11" spans="1:29" ht="14.5" hidden="1">
      <c r="A1611" s="220" t="str">
        <f t="shared" si="60"/>
        <v>1607</v>
      </c>
      <c r="B1611" s="221"/>
      <c r="C1611" s="221" t="s">
        <v>49</v>
      </c>
      <c r="D1611" s="221" t="s">
        <v>4017</v>
      </c>
      <c r="E1611" s="221" t="s">
        <v>3295</v>
      </c>
      <c r="F1611" s="221" t="s">
        <v>3299</v>
      </c>
      <c r="G1611" s="222">
        <v>45404</v>
      </c>
      <c r="H1611" s="223">
        <v>0.77430555555555547</v>
      </c>
      <c r="I1611" s="221" t="s">
        <v>4916</v>
      </c>
      <c r="J1611" s="221" t="s">
        <v>3023</v>
      </c>
      <c r="K1611" s="224" t="s">
        <v>3070</v>
      </c>
      <c r="L1611" s="225" t="str">
        <f>VLOOKUP(Logfile_S12[[#This Row],[Material Name]],Sheet2!B:C,2,0)</f>
        <v>ZTE1002</v>
      </c>
      <c r="M1611" s="225" t="str">
        <f>_xlfn.XLOOKUP(Logfile_S12[[#This Row],[Material Name]],Sum_WH!E:E,Sum_WH!F:F,"",0)</f>
        <v>Pcs</v>
      </c>
      <c r="N1611" s="221">
        <v>8</v>
      </c>
      <c r="O1611" s="221" t="s">
        <v>1081</v>
      </c>
      <c r="P1611" s="221" t="s">
        <v>3370</v>
      </c>
      <c r="Q1611" s="221"/>
      <c r="R1611" s="221"/>
      <c r="S1611" s="221"/>
      <c r="T1611" s="221" t="s">
        <v>3258</v>
      </c>
      <c r="U1611" s="221" t="s">
        <v>3228</v>
      </c>
      <c r="V1611" s="221" t="s">
        <v>3337</v>
      </c>
      <c r="W1611" s="221" t="s">
        <v>3338</v>
      </c>
      <c r="X1611" s="221"/>
      <c r="Y1611" s="227"/>
      <c r="Z1611" s="227" t="str">
        <f t="shared" si="59"/>
        <v>Pandan Landung RW 05 Wagir</v>
      </c>
      <c r="AA1611" s="276" t="e">
        <f>VLOOKUP(Logfile_S12[[#This Row],[DO number]],DO_DB!G:I,3,0)</f>
        <v>#N/A</v>
      </c>
      <c r="AB1611" s="331" t="e">
        <f>EXACT(Logfile_S12[[#This Row],[date pick]],Logfile_S12[[#This Row],[Date]])</f>
        <v>#N/A</v>
      </c>
      <c r="AC16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12" spans="1:29" ht="14.5" hidden="1">
      <c r="A1612" s="220" t="str">
        <f t="shared" si="60"/>
        <v>1608</v>
      </c>
      <c r="B1612" s="221"/>
      <c r="C1612" s="221" t="s">
        <v>49</v>
      </c>
      <c r="D1612" s="221" t="s">
        <v>4021</v>
      </c>
      <c r="E1612" s="221" t="s">
        <v>3295</v>
      </c>
      <c r="F1612" s="221" t="s">
        <v>3299</v>
      </c>
      <c r="G1612" s="222">
        <v>45405</v>
      </c>
      <c r="H1612" s="223">
        <v>0.3756944444444445</v>
      </c>
      <c r="I1612" s="221" t="s">
        <v>4916</v>
      </c>
      <c r="J1612" s="221" t="s">
        <v>3023</v>
      </c>
      <c r="K1612" s="224" t="s">
        <v>3070</v>
      </c>
      <c r="L1612" s="225" t="str">
        <f>VLOOKUP(Logfile_S12[[#This Row],[Material Name]],Sheet2!B:C,2,0)</f>
        <v>ZTE1002</v>
      </c>
      <c r="M1612" s="225" t="str">
        <f>_xlfn.XLOOKUP(Logfile_S12[[#This Row],[Material Name]],Sum_WH!E:E,Sum_WH!F:F,"",0)</f>
        <v>Pcs</v>
      </c>
      <c r="N1612" s="221">
        <v>3</v>
      </c>
      <c r="O1612" s="221" t="s">
        <v>1401</v>
      </c>
      <c r="P1612" s="221" t="s">
        <v>3371</v>
      </c>
      <c r="Q1612" s="221"/>
      <c r="R1612" s="221"/>
      <c r="S1612" s="221"/>
      <c r="T1612" s="221" t="s">
        <v>3363</v>
      </c>
      <c r="U1612" s="221" t="s">
        <v>3228</v>
      </c>
      <c r="V1612" s="221" t="s">
        <v>3364</v>
      </c>
      <c r="W1612" s="221" t="s">
        <v>3372</v>
      </c>
      <c r="X1612" s="221"/>
      <c r="Y1612" s="227"/>
      <c r="Z1612" s="227" t="str">
        <f t="shared" ref="Z1612:Z1675" si="61">P1612</f>
        <v>Lowokwaru RW14</v>
      </c>
      <c r="AA1612" s="276" t="e">
        <f>VLOOKUP(Logfile_S12[[#This Row],[DO number]],DO_DB!G:I,3,0)</f>
        <v>#N/A</v>
      </c>
      <c r="AB1612" s="331" t="e">
        <f>EXACT(Logfile_S12[[#This Row],[date pick]],Logfile_S12[[#This Row],[Date]])</f>
        <v>#N/A</v>
      </c>
      <c r="AC16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13" spans="1:29" ht="14.5" hidden="1">
      <c r="A1613" s="220" t="str">
        <f t="shared" si="60"/>
        <v>1609</v>
      </c>
      <c r="B1613" s="221"/>
      <c r="C1613" s="221" t="s">
        <v>49</v>
      </c>
      <c r="D1613" s="221" t="s">
        <v>4022</v>
      </c>
      <c r="E1613" s="221" t="s">
        <v>3295</v>
      </c>
      <c r="F1613" s="221" t="s">
        <v>3299</v>
      </c>
      <c r="G1613" s="222">
        <v>45405</v>
      </c>
      <c r="H1613" s="223">
        <v>0.71666666666666667</v>
      </c>
      <c r="I1613" s="221" t="s">
        <v>4916</v>
      </c>
      <c r="J1613" s="221" t="s">
        <v>3023</v>
      </c>
      <c r="K1613" s="224" t="s">
        <v>3070</v>
      </c>
      <c r="L1613" s="225" t="str">
        <f>VLOOKUP(Logfile_S12[[#This Row],[Material Name]],Sheet2!B:C,2,0)</f>
        <v>ZTE1002</v>
      </c>
      <c r="M1613" s="225" t="str">
        <f>_xlfn.XLOOKUP(Logfile_S12[[#This Row],[Material Name]],Sum_WH!E:E,Sum_WH!F:F,"",0)</f>
        <v>Pcs</v>
      </c>
      <c r="N1613" s="221">
        <v>5</v>
      </c>
      <c r="O1613" s="221" t="s">
        <v>1081</v>
      </c>
      <c r="P1613" s="221" t="s">
        <v>3370</v>
      </c>
      <c r="Q1613" s="221"/>
      <c r="R1613" s="221"/>
      <c r="S1613" s="221"/>
      <c r="T1613" s="221" t="s">
        <v>3258</v>
      </c>
      <c r="U1613" s="221" t="s">
        <v>3228</v>
      </c>
      <c r="V1613" s="221" t="s">
        <v>3337</v>
      </c>
      <c r="W1613" s="221" t="s">
        <v>3338</v>
      </c>
      <c r="X1613" s="221"/>
      <c r="Y1613" s="227"/>
      <c r="Z1613" s="227" t="str">
        <f t="shared" si="61"/>
        <v>Pandan Landung RW 05 Wagir</v>
      </c>
      <c r="AA1613" s="276" t="e">
        <f>VLOOKUP(Logfile_S12[[#This Row],[DO number]],DO_DB!G:I,3,0)</f>
        <v>#N/A</v>
      </c>
      <c r="AB1613" s="331" t="e">
        <f>EXACT(Logfile_S12[[#This Row],[date pick]],Logfile_S12[[#This Row],[Date]])</f>
        <v>#N/A</v>
      </c>
      <c r="AC16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14" spans="1:29" ht="14.5" hidden="1">
      <c r="A1614" s="220" t="str">
        <f t="shared" si="60"/>
        <v>1610</v>
      </c>
      <c r="B1614" s="221"/>
      <c r="C1614" s="221" t="s">
        <v>49</v>
      </c>
      <c r="D1614" s="221" t="s">
        <v>4035</v>
      </c>
      <c r="E1614" s="221" t="s">
        <v>3295</v>
      </c>
      <c r="F1614" s="221" t="s">
        <v>3299</v>
      </c>
      <c r="G1614" s="222">
        <v>45416</v>
      </c>
      <c r="H1614" s="223">
        <v>0.42708333333333331</v>
      </c>
      <c r="I1614" s="221" t="s">
        <v>4916</v>
      </c>
      <c r="J1614" s="221" t="s">
        <v>3023</v>
      </c>
      <c r="K1614" s="224" t="s">
        <v>3070</v>
      </c>
      <c r="L1614" s="225" t="str">
        <f>VLOOKUP(Logfile_S12[[#This Row],[Material Name]],Sheet2!B:C,2,0)</f>
        <v>ZTE1002</v>
      </c>
      <c r="M1614" s="225" t="str">
        <f>_xlfn.XLOOKUP(Logfile_S12[[#This Row],[Material Name]],Sum_WH!E:E,Sum_WH!F:F,"",0)</f>
        <v>Pcs</v>
      </c>
      <c r="N1614" s="221">
        <v>1</v>
      </c>
      <c r="O1614" s="221" t="s">
        <v>1161</v>
      </c>
      <c r="P1614" s="221" t="s">
        <v>1162</v>
      </c>
      <c r="Q1614" s="221"/>
      <c r="R1614" s="221"/>
      <c r="S1614" s="221"/>
      <c r="T1614" s="221" t="s">
        <v>3363</v>
      </c>
      <c r="U1614" s="221" t="s">
        <v>3228</v>
      </c>
      <c r="V1614" s="221" t="s">
        <v>3364</v>
      </c>
      <c r="W1614" s="221" t="s">
        <v>3372</v>
      </c>
      <c r="X1614" s="221"/>
      <c r="Y1614" s="227"/>
      <c r="Z1614" s="227" t="str">
        <f t="shared" si="61"/>
        <v>Tunjungtirto RW 01 Singosari</v>
      </c>
      <c r="AA1614" s="276" t="e">
        <f>VLOOKUP(Logfile_S12[[#This Row],[DO number]],DO_DB!G:I,3,0)</f>
        <v>#N/A</v>
      </c>
      <c r="AB1614" s="331" t="e">
        <f>EXACT(Logfile_S12[[#This Row],[date pick]],Logfile_S12[[#This Row],[Date]])</f>
        <v>#N/A</v>
      </c>
      <c r="AC16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15" spans="1:29" ht="14.5" hidden="1">
      <c r="A1615" s="220" t="str">
        <f t="shared" si="60"/>
        <v>1611</v>
      </c>
      <c r="B1615" s="221"/>
      <c r="C1615" s="221" t="s">
        <v>48</v>
      </c>
      <c r="D1615" s="221" t="s">
        <v>4054</v>
      </c>
      <c r="E1615" s="221" t="s">
        <v>3295</v>
      </c>
      <c r="F1615" s="221" t="s">
        <v>3299</v>
      </c>
      <c r="G1615" s="222">
        <v>45433</v>
      </c>
      <c r="H1615" s="223">
        <v>15.291666666666666</v>
      </c>
      <c r="I1615" s="221" t="s">
        <v>37</v>
      </c>
      <c r="J1615" s="221" t="s">
        <v>3023</v>
      </c>
      <c r="K1615" s="224" t="s">
        <v>3070</v>
      </c>
      <c r="L1615" s="225" t="str">
        <f>VLOOKUP(Logfile_S12[[#This Row],[Material Name]],Sheet2!B:C,2,0)</f>
        <v>ZTE1002</v>
      </c>
      <c r="M1615" s="225" t="str">
        <f>_xlfn.XLOOKUP(Logfile_S12[[#This Row],[Material Name]],Sum_WH!E:E,Sum_WH!F:F,"",0)</f>
        <v>Pcs</v>
      </c>
      <c r="N1615" s="221">
        <v>7</v>
      </c>
      <c r="O1615" s="221"/>
      <c r="P1615" s="221"/>
      <c r="Q1615" s="221">
        <v>0</v>
      </c>
      <c r="R1615" s="221">
        <v>0</v>
      </c>
      <c r="S1615" s="221"/>
      <c r="T1615" s="221"/>
      <c r="U1615" s="221"/>
      <c r="V1615" s="221"/>
      <c r="W1615" s="221"/>
      <c r="X1615" s="221"/>
      <c r="Y1615" s="227"/>
      <c r="Z1615" s="227">
        <f t="shared" si="61"/>
        <v>0</v>
      </c>
      <c r="AA1615" s="276" t="e">
        <f>VLOOKUP(Logfile_S12[[#This Row],[DO number]],DO_DB!G:I,3,0)</f>
        <v>#N/A</v>
      </c>
      <c r="AB1615" s="331" t="e">
        <f>EXACT(Logfile_S12[[#This Row],[date pick]],Logfile_S12[[#This Row],[Date]])</f>
        <v>#N/A</v>
      </c>
      <c r="AC16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16" spans="1:29" ht="14.5" hidden="1">
      <c r="A1616" s="220" t="str">
        <f t="shared" si="60"/>
        <v>1612</v>
      </c>
      <c r="B1616" s="221"/>
      <c r="C1616" s="221" t="s">
        <v>49</v>
      </c>
      <c r="D1616" s="221" t="s">
        <v>4052</v>
      </c>
      <c r="E1616" s="221" t="s">
        <v>3295</v>
      </c>
      <c r="F1616" s="221" t="s">
        <v>3299</v>
      </c>
      <c r="G1616" s="222">
        <v>45433</v>
      </c>
      <c r="H1616" s="223">
        <v>0.37708333333333338</v>
      </c>
      <c r="I1616" s="221" t="s">
        <v>4916</v>
      </c>
      <c r="J1616" s="221" t="s">
        <v>3023</v>
      </c>
      <c r="K1616" s="224" t="s">
        <v>3070</v>
      </c>
      <c r="L1616" s="225" t="str">
        <f>VLOOKUP(Logfile_S12[[#This Row],[Material Name]],Sheet2!B:C,2,0)</f>
        <v>ZTE1002</v>
      </c>
      <c r="M1616" s="225" t="str">
        <f>_xlfn.XLOOKUP(Logfile_S12[[#This Row],[Material Name]],Sum_WH!E:E,Sum_WH!F:F,"",0)</f>
        <v>Pcs</v>
      </c>
      <c r="N1616" s="221">
        <v>5</v>
      </c>
      <c r="O1616" s="221" t="s">
        <v>1405</v>
      </c>
      <c r="P1616" s="221" t="s">
        <v>1406</v>
      </c>
      <c r="Q1616" s="221"/>
      <c r="R1616" s="221"/>
      <c r="S1616" s="221"/>
      <c r="T1616" s="221" t="s">
        <v>3258</v>
      </c>
      <c r="U1616" s="221">
        <v>0</v>
      </c>
      <c r="V1616" s="221" t="s">
        <v>3337</v>
      </c>
      <c r="W1616" s="221" t="s">
        <v>3338</v>
      </c>
      <c r="X1616" s="221"/>
      <c r="Y1616" s="227"/>
      <c r="Z1616" s="227" t="str">
        <f t="shared" si="61"/>
        <v>Lawang RW 06 Malang</v>
      </c>
      <c r="AA1616" s="276" t="e">
        <f>VLOOKUP(Logfile_S12[[#This Row],[DO number]],DO_DB!G:I,3,0)</f>
        <v>#N/A</v>
      </c>
      <c r="AB1616" s="331" t="e">
        <f>EXACT(Logfile_S12[[#This Row],[date pick]],Logfile_S12[[#This Row],[Date]])</f>
        <v>#N/A</v>
      </c>
      <c r="AC16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17" spans="1:29" ht="14.5" hidden="1">
      <c r="A1617" s="220" t="str">
        <f t="shared" si="60"/>
        <v>1613</v>
      </c>
      <c r="B1617" s="221"/>
      <c r="C1617" s="221" t="s">
        <v>49</v>
      </c>
      <c r="D1617" s="221" t="s">
        <v>4062</v>
      </c>
      <c r="E1617" s="221" t="s">
        <v>3295</v>
      </c>
      <c r="F1617" s="221" t="s">
        <v>3299</v>
      </c>
      <c r="G1617" s="222">
        <v>45437</v>
      </c>
      <c r="H1617" s="223">
        <v>0.71180555555555547</v>
      </c>
      <c r="I1617" s="221" t="s">
        <v>4916</v>
      </c>
      <c r="J1617" s="221" t="s">
        <v>3023</v>
      </c>
      <c r="K1617" s="224" t="s">
        <v>3070</v>
      </c>
      <c r="L1617" s="225" t="str">
        <f>VLOOKUP(Logfile_S12[[#This Row],[Material Name]],Sheet2!B:C,2,0)</f>
        <v>ZTE1002</v>
      </c>
      <c r="M1617" s="225" t="str">
        <f>_xlfn.XLOOKUP(Logfile_S12[[#This Row],[Material Name]],Sum_WH!E:E,Sum_WH!F:F,"",0)</f>
        <v>Pcs</v>
      </c>
      <c r="N1617" s="221">
        <v>24</v>
      </c>
      <c r="O1617" s="221" t="s">
        <v>1493</v>
      </c>
      <c r="P1617" s="221" t="s">
        <v>1494</v>
      </c>
      <c r="Q1617" s="221"/>
      <c r="R1617" s="221"/>
      <c r="S1617" s="221"/>
      <c r="T1617" s="221" t="s">
        <v>3258</v>
      </c>
      <c r="U1617" s="221" t="s">
        <v>3228</v>
      </c>
      <c r="V1617" s="221" t="s">
        <v>3337</v>
      </c>
      <c r="W1617" s="221" t="s">
        <v>3338</v>
      </c>
      <c r="X1617" s="221"/>
      <c r="Y1617" s="227"/>
      <c r="Z1617" s="227" t="str">
        <f t="shared" si="61"/>
        <v>Dusun Krajan Kucur</v>
      </c>
      <c r="AA1617" s="276" t="e">
        <f>VLOOKUP(Logfile_S12[[#This Row],[DO number]],DO_DB!G:I,3,0)</f>
        <v>#N/A</v>
      </c>
      <c r="AB1617" s="331" t="e">
        <f>EXACT(Logfile_S12[[#This Row],[date pick]],Logfile_S12[[#This Row],[Date]])</f>
        <v>#N/A</v>
      </c>
      <c r="AC16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18" spans="1:29" ht="14.5" hidden="1">
      <c r="A1618" s="220" t="str">
        <f t="shared" si="60"/>
        <v>1614</v>
      </c>
      <c r="B1618" s="221"/>
      <c r="C1618" s="221" t="s">
        <v>49</v>
      </c>
      <c r="D1618" s="221" t="s">
        <v>4071</v>
      </c>
      <c r="E1618" s="221" t="s">
        <v>3295</v>
      </c>
      <c r="F1618" s="221" t="s">
        <v>3299</v>
      </c>
      <c r="G1618" s="222">
        <v>45446</v>
      </c>
      <c r="H1618" s="223">
        <v>0.42222222222222222</v>
      </c>
      <c r="I1618" s="221" t="s">
        <v>4916</v>
      </c>
      <c r="J1618" s="221" t="s">
        <v>3023</v>
      </c>
      <c r="K1618" s="224" t="s">
        <v>3070</v>
      </c>
      <c r="L1618" s="225" t="str">
        <f>VLOOKUP(Logfile_S12[[#This Row],[Material Name]],Sheet2!B:C,2,0)</f>
        <v>ZTE1002</v>
      </c>
      <c r="M1618" s="225" t="str">
        <f>_xlfn.XLOOKUP(Logfile_S12[[#This Row],[Material Name]],Sum_WH!E:E,Sum_WH!F:F,"",0)</f>
        <v>Pcs</v>
      </c>
      <c r="N1618" s="221">
        <v>1</v>
      </c>
      <c r="O1618" s="221" t="s">
        <v>1395</v>
      </c>
      <c r="P1618" s="221" t="s">
        <v>1396</v>
      </c>
      <c r="Q1618" s="221"/>
      <c r="R1618" s="221"/>
      <c r="S1618" s="221"/>
      <c r="T1618" s="221" t="s">
        <v>3258</v>
      </c>
      <c r="U1618" s="221" t="s">
        <v>3228</v>
      </c>
      <c r="V1618" s="221" t="s">
        <v>3337</v>
      </c>
      <c r="W1618" s="221" t="s">
        <v>3338</v>
      </c>
      <c r="X1618" s="221"/>
      <c r="Y1618" s="227"/>
      <c r="Z1618" s="227" t="str">
        <f t="shared" si="61"/>
        <v>Candirenggo RW 10 Singosari</v>
      </c>
      <c r="AA1618" s="276" t="e">
        <f>VLOOKUP(Logfile_S12[[#This Row],[DO number]],DO_DB!G:I,3,0)</f>
        <v>#N/A</v>
      </c>
      <c r="AB1618" s="331" t="e">
        <f>EXACT(Logfile_S12[[#This Row],[date pick]],Logfile_S12[[#This Row],[Date]])</f>
        <v>#N/A</v>
      </c>
      <c r="AC16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19" spans="1:29" ht="14.5" hidden="1">
      <c r="A1619" s="220" t="str">
        <f t="shared" si="60"/>
        <v>1615</v>
      </c>
      <c r="B1619" s="221"/>
      <c r="C1619" s="221" t="s">
        <v>49</v>
      </c>
      <c r="D1619" s="221" t="s">
        <v>4087</v>
      </c>
      <c r="E1619" s="221" t="s">
        <v>3295</v>
      </c>
      <c r="F1619" s="221" t="s">
        <v>3299</v>
      </c>
      <c r="G1619" s="222">
        <v>45454</v>
      </c>
      <c r="H1619" s="223">
        <v>0.77777777777777779</v>
      </c>
      <c r="I1619" s="221" t="s">
        <v>4916</v>
      </c>
      <c r="J1619" s="221" t="s">
        <v>3023</v>
      </c>
      <c r="K1619" s="224" t="s">
        <v>3070</v>
      </c>
      <c r="L1619" s="225" t="str">
        <f>VLOOKUP(Logfile_S12[[#This Row],[Material Name]],Sheet2!B:C,2,0)</f>
        <v>ZTE1002</v>
      </c>
      <c r="M1619" s="225" t="str">
        <f>_xlfn.XLOOKUP(Logfile_S12[[#This Row],[Material Name]],Sum_WH!E:E,Sum_WH!F:F,"",0)</f>
        <v>Pcs</v>
      </c>
      <c r="N1619" s="221">
        <v>1</v>
      </c>
      <c r="O1619" s="221" t="s">
        <v>1473</v>
      </c>
      <c r="P1619" s="221" t="s">
        <v>1474</v>
      </c>
      <c r="Q1619" s="221"/>
      <c r="R1619" s="221"/>
      <c r="S1619" s="221"/>
      <c r="T1619" s="221" t="s">
        <v>3258</v>
      </c>
      <c r="U1619" s="221" t="s">
        <v>3228</v>
      </c>
      <c r="V1619" s="221" t="s">
        <v>3337</v>
      </c>
      <c r="W1619" s="221" t="s">
        <v>3338</v>
      </c>
      <c r="X1619" s="221"/>
      <c r="Y1619" s="227"/>
      <c r="Z1619" s="227" t="str">
        <f t="shared" si="61"/>
        <v>Dusun Sumber Bendo Kucur</v>
      </c>
      <c r="AA1619" s="276" t="e">
        <f>VLOOKUP(Logfile_S12[[#This Row],[DO number]],DO_DB!G:I,3,0)</f>
        <v>#N/A</v>
      </c>
      <c r="AB1619" s="331" t="e">
        <f>EXACT(Logfile_S12[[#This Row],[date pick]],Logfile_S12[[#This Row],[Date]])</f>
        <v>#N/A</v>
      </c>
      <c r="AC16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20" spans="1:29" ht="14.5" hidden="1">
      <c r="A1620" s="220" t="str">
        <f t="shared" si="60"/>
        <v>1616</v>
      </c>
      <c r="B1620" s="221"/>
      <c r="C1620" s="221" t="s">
        <v>49</v>
      </c>
      <c r="D1620" s="221" t="s">
        <v>4094</v>
      </c>
      <c r="E1620" s="221" t="s">
        <v>3295</v>
      </c>
      <c r="F1620" s="221" t="s">
        <v>3299</v>
      </c>
      <c r="G1620" s="222">
        <v>45463</v>
      </c>
      <c r="H1620" s="223">
        <v>0.44444444444444442</v>
      </c>
      <c r="I1620" s="221" t="s">
        <v>4916</v>
      </c>
      <c r="J1620" s="221" t="s">
        <v>3023</v>
      </c>
      <c r="K1620" s="224" t="s">
        <v>3070</v>
      </c>
      <c r="L1620" s="225" t="str">
        <f>VLOOKUP(Logfile_S12[[#This Row],[Material Name]],Sheet2!B:C,2,0)</f>
        <v>ZTE1002</v>
      </c>
      <c r="M1620" s="225" t="str">
        <f>_xlfn.XLOOKUP(Logfile_S12[[#This Row],[Material Name]],Sum_WH!E:E,Sum_WH!F:F,"",0)</f>
        <v>Pcs</v>
      </c>
      <c r="N1620" s="221">
        <v>4</v>
      </c>
      <c r="O1620" s="221" t="s">
        <v>1683</v>
      </c>
      <c r="P1620" s="221" t="s">
        <v>1684</v>
      </c>
      <c r="Q1620" s="221"/>
      <c r="R1620" s="221"/>
      <c r="S1620" s="221"/>
      <c r="T1620" s="221" t="s">
        <v>3258</v>
      </c>
      <c r="U1620" s="221">
        <v>0</v>
      </c>
      <c r="V1620" s="221" t="s">
        <v>3337</v>
      </c>
      <c r="W1620" s="221" t="s">
        <v>3338</v>
      </c>
      <c r="X1620" s="221"/>
      <c r="Y1620" s="227"/>
      <c r="Z1620" s="227" t="str">
        <f t="shared" si="61"/>
        <v>Lowokwaru RW 04</v>
      </c>
      <c r="AA1620" s="276" t="e">
        <f>VLOOKUP(Logfile_S12[[#This Row],[DO number]],DO_DB!G:I,3,0)</f>
        <v>#N/A</v>
      </c>
      <c r="AB1620" s="331" t="e">
        <f>EXACT(Logfile_S12[[#This Row],[date pick]],Logfile_S12[[#This Row],[Date]])</f>
        <v>#N/A</v>
      </c>
      <c r="AC16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21" spans="1:29" ht="14.5" hidden="1">
      <c r="A1621" s="220" t="str">
        <f t="shared" si="60"/>
        <v>1617</v>
      </c>
      <c r="B1621" s="221"/>
      <c r="C1621" s="221" t="s">
        <v>49</v>
      </c>
      <c r="D1621" s="221" t="s">
        <v>4096</v>
      </c>
      <c r="E1621" s="221" t="s">
        <v>3295</v>
      </c>
      <c r="F1621" s="221" t="s">
        <v>3299</v>
      </c>
      <c r="G1621" s="222">
        <v>45464</v>
      </c>
      <c r="H1621" s="223">
        <v>0.51180555555555551</v>
      </c>
      <c r="I1621" s="221" t="s">
        <v>4916</v>
      </c>
      <c r="J1621" s="221" t="s">
        <v>3023</v>
      </c>
      <c r="K1621" s="224" t="s">
        <v>3070</v>
      </c>
      <c r="L1621" s="225" t="str">
        <f>VLOOKUP(Logfile_S12[[#This Row],[Material Name]],Sheet2!B:C,2,0)</f>
        <v>ZTE1002</v>
      </c>
      <c r="M1621" s="225" t="str">
        <f>_xlfn.XLOOKUP(Logfile_S12[[#This Row],[Material Name]],Sum_WH!E:E,Sum_WH!F:F,"",0)</f>
        <v>Pcs</v>
      </c>
      <c r="N1621" s="221">
        <v>4</v>
      </c>
      <c r="O1621" s="221" t="s">
        <v>1689</v>
      </c>
      <c r="P1621" s="221" t="s">
        <v>1690</v>
      </c>
      <c r="Q1621" s="221"/>
      <c r="R1621" s="221"/>
      <c r="S1621" s="221"/>
      <c r="T1621" s="221" t="s">
        <v>3258</v>
      </c>
      <c r="U1621" s="221" t="s">
        <v>3228</v>
      </c>
      <c r="V1621" s="221" t="s">
        <v>3337</v>
      </c>
      <c r="W1621" s="221" t="s">
        <v>3338</v>
      </c>
      <c r="X1621" s="221"/>
      <c r="Y1621" s="227"/>
      <c r="Z1621" s="227" t="str">
        <f t="shared" si="61"/>
        <v>Kebonagung RW 13 Pakisaji</v>
      </c>
      <c r="AA1621" s="276" t="e">
        <f>VLOOKUP(Logfile_S12[[#This Row],[DO number]],DO_DB!G:I,3,0)</f>
        <v>#N/A</v>
      </c>
      <c r="AB1621" s="331" t="e">
        <f>EXACT(Logfile_S12[[#This Row],[date pick]],Logfile_S12[[#This Row],[Date]])</f>
        <v>#N/A</v>
      </c>
      <c r="AC16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22" spans="1:29" ht="14.5" hidden="1">
      <c r="A1622" s="220" t="str">
        <f t="shared" si="60"/>
        <v>1618</v>
      </c>
      <c r="B1622" s="221"/>
      <c r="C1622" s="221" t="s">
        <v>49</v>
      </c>
      <c r="D1622" s="221" t="s">
        <v>4097</v>
      </c>
      <c r="E1622" s="221" t="s">
        <v>3295</v>
      </c>
      <c r="F1622" s="221" t="s">
        <v>3299</v>
      </c>
      <c r="G1622" s="222">
        <v>45465</v>
      </c>
      <c r="H1622" s="223">
        <v>0.62569444444444444</v>
      </c>
      <c r="I1622" s="221" t="s">
        <v>4916</v>
      </c>
      <c r="J1622" s="221" t="s">
        <v>3023</v>
      </c>
      <c r="K1622" s="224" t="s">
        <v>3070</v>
      </c>
      <c r="L1622" s="225" t="str">
        <f>VLOOKUP(Logfile_S12[[#This Row],[Material Name]],Sheet2!B:C,2,0)</f>
        <v>ZTE1002</v>
      </c>
      <c r="M1622" s="225" t="str">
        <f>_xlfn.XLOOKUP(Logfile_S12[[#This Row],[Material Name]],Sum_WH!E:E,Sum_WH!F:F,"",0)</f>
        <v>Pcs</v>
      </c>
      <c r="N1622" s="221">
        <v>3</v>
      </c>
      <c r="O1622" s="221" t="s">
        <v>1689</v>
      </c>
      <c r="P1622" s="221" t="s">
        <v>1690</v>
      </c>
      <c r="Q1622" s="221"/>
      <c r="R1622" s="221"/>
      <c r="S1622" s="221"/>
      <c r="T1622" s="221" t="s">
        <v>3258</v>
      </c>
      <c r="U1622" s="221" t="s">
        <v>3228</v>
      </c>
      <c r="V1622" s="221" t="s">
        <v>3337</v>
      </c>
      <c r="W1622" s="221" t="s">
        <v>3338</v>
      </c>
      <c r="X1622" s="221"/>
      <c r="Y1622" s="227"/>
      <c r="Z1622" s="227" t="str">
        <f t="shared" si="61"/>
        <v>Kebonagung RW 13 Pakisaji</v>
      </c>
      <c r="AA1622" s="276" t="e">
        <f>VLOOKUP(Logfile_S12[[#This Row],[DO number]],DO_DB!G:I,3,0)</f>
        <v>#N/A</v>
      </c>
      <c r="AB1622" s="331" t="e">
        <f>EXACT(Logfile_S12[[#This Row],[date pick]],Logfile_S12[[#This Row],[Date]])</f>
        <v>#N/A</v>
      </c>
      <c r="AC16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23" spans="1:29" ht="14.5" hidden="1">
      <c r="A1623" s="220" t="str">
        <f t="shared" si="60"/>
        <v>1619</v>
      </c>
      <c r="B1623" s="221"/>
      <c r="C1623" s="221" t="s">
        <v>48</v>
      </c>
      <c r="D1623" s="221" t="s">
        <v>4098</v>
      </c>
      <c r="E1623" s="221" t="s">
        <v>3295</v>
      </c>
      <c r="F1623" s="221" t="s">
        <v>3299</v>
      </c>
      <c r="G1623" s="222">
        <v>45467</v>
      </c>
      <c r="H1623" s="223">
        <v>15.291666666666666</v>
      </c>
      <c r="I1623" s="221" t="s">
        <v>37</v>
      </c>
      <c r="J1623" s="221" t="s">
        <v>3023</v>
      </c>
      <c r="K1623" s="224" t="s">
        <v>3070</v>
      </c>
      <c r="L1623" s="225" t="str">
        <f>VLOOKUP(Logfile_S12[[#This Row],[Material Name]],Sheet2!B:C,2,0)</f>
        <v>ZTE1002</v>
      </c>
      <c r="M1623" s="225" t="str">
        <f>_xlfn.XLOOKUP(Logfile_S12[[#This Row],[Material Name]],Sum_WH!E:E,Sum_WH!F:F,"",0)</f>
        <v>Pcs</v>
      </c>
      <c r="N1623" s="221">
        <v>13</v>
      </c>
      <c r="O1623" s="221"/>
      <c r="P1623" s="221"/>
      <c r="Q1623" s="221">
        <v>0</v>
      </c>
      <c r="R1623" s="221">
        <v>0</v>
      </c>
      <c r="S1623" s="221"/>
      <c r="T1623" s="221"/>
      <c r="U1623" s="221"/>
      <c r="V1623" s="221"/>
      <c r="W1623" s="221"/>
      <c r="X1623" s="221"/>
      <c r="Y1623" s="227"/>
      <c r="Z1623" s="227">
        <f t="shared" si="61"/>
        <v>0</v>
      </c>
      <c r="AA1623" s="276" t="e">
        <f>VLOOKUP(Logfile_S12[[#This Row],[DO number]],DO_DB!G:I,3,0)</f>
        <v>#N/A</v>
      </c>
      <c r="AB1623" s="331" t="e">
        <f>EXACT(Logfile_S12[[#This Row],[date pick]],Logfile_S12[[#This Row],[Date]])</f>
        <v>#N/A</v>
      </c>
      <c r="AC16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24" spans="1:29" ht="14.5" hidden="1">
      <c r="A1624" s="220" t="str">
        <f t="shared" si="60"/>
        <v>1620</v>
      </c>
      <c r="B1624" s="221"/>
      <c r="C1624" s="221" t="s">
        <v>49</v>
      </c>
      <c r="D1624" s="221" t="s">
        <v>4107</v>
      </c>
      <c r="E1624" s="221" t="s">
        <v>3295</v>
      </c>
      <c r="F1624" s="221" t="s">
        <v>3299</v>
      </c>
      <c r="G1624" s="222">
        <v>45476</v>
      </c>
      <c r="H1624" s="223">
        <v>0.60416666666666663</v>
      </c>
      <c r="I1624" s="221" t="s">
        <v>4916</v>
      </c>
      <c r="J1624" s="221" t="s">
        <v>3023</v>
      </c>
      <c r="K1624" s="224" t="s">
        <v>3070</v>
      </c>
      <c r="L1624" s="225" t="str">
        <f>VLOOKUP(Logfile_S12[[#This Row],[Material Name]],Sheet2!B:C,2,0)</f>
        <v>ZTE1002</v>
      </c>
      <c r="M1624" s="225" t="str">
        <f>_xlfn.XLOOKUP(Logfile_S12[[#This Row],[Material Name]],Sum_WH!E:E,Sum_WH!F:F,"",0)</f>
        <v>Pcs</v>
      </c>
      <c r="N1624" s="221">
        <v>9</v>
      </c>
      <c r="O1624" s="221" t="s">
        <v>1705</v>
      </c>
      <c r="P1624" s="221" t="s">
        <v>1706</v>
      </c>
      <c r="Q1624" s="221"/>
      <c r="R1624" s="221"/>
      <c r="S1624" s="221"/>
      <c r="T1624" s="221" t="s">
        <v>3258</v>
      </c>
      <c r="U1624" s="221" t="s">
        <v>3228</v>
      </c>
      <c r="V1624" s="221" t="s">
        <v>3337</v>
      </c>
      <c r="W1624" s="221" t="s">
        <v>3338</v>
      </c>
      <c r="X1624" s="221"/>
      <c r="Y1624" s="227"/>
      <c r="Z1624" s="227" t="str">
        <f t="shared" si="61"/>
        <v>Perumahan Kepanjen Permai II</v>
      </c>
      <c r="AA1624" s="276" t="e">
        <f>VLOOKUP(Logfile_S12[[#This Row],[DO number]],DO_DB!G:I,3,0)</f>
        <v>#N/A</v>
      </c>
      <c r="AB1624" s="331" t="e">
        <f>EXACT(Logfile_S12[[#This Row],[date pick]],Logfile_S12[[#This Row],[Date]])</f>
        <v>#N/A</v>
      </c>
      <c r="AC16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25" spans="1:29" ht="14.5" hidden="1">
      <c r="A1625" s="220" t="str">
        <f t="shared" si="60"/>
        <v>1621</v>
      </c>
      <c r="B1625" s="221"/>
      <c r="C1625" s="221" t="s">
        <v>49</v>
      </c>
      <c r="D1625" s="221" t="s">
        <v>4117</v>
      </c>
      <c r="E1625" s="221" t="s">
        <v>3295</v>
      </c>
      <c r="F1625" s="221" t="s">
        <v>3299</v>
      </c>
      <c r="G1625" s="222">
        <v>45485</v>
      </c>
      <c r="H1625" s="223">
        <v>0.4</v>
      </c>
      <c r="I1625" s="221" t="s">
        <v>4916</v>
      </c>
      <c r="J1625" s="221" t="s">
        <v>3023</v>
      </c>
      <c r="K1625" s="224" t="s">
        <v>3070</v>
      </c>
      <c r="L1625" s="225" t="str">
        <f>VLOOKUP(Logfile_S12[[#This Row],[Material Name]],Sheet2!B:C,2,0)</f>
        <v>ZTE1002</v>
      </c>
      <c r="M1625" s="225" t="str">
        <f>_xlfn.XLOOKUP(Logfile_S12[[#This Row],[Material Name]],Sum_WH!E:E,Sum_WH!F:F,"",0)</f>
        <v>Pcs</v>
      </c>
      <c r="N1625" s="221">
        <v>3</v>
      </c>
      <c r="O1625" s="221" t="s">
        <v>2007</v>
      </c>
      <c r="P1625" s="221" t="s">
        <v>2008</v>
      </c>
      <c r="Q1625" s="221"/>
      <c r="R1625" s="221"/>
      <c r="S1625" s="221"/>
      <c r="T1625" s="221" t="s">
        <v>3258</v>
      </c>
      <c r="U1625" s="221" t="s">
        <v>3228</v>
      </c>
      <c r="V1625" s="221" t="s">
        <v>3337</v>
      </c>
      <c r="W1625" s="221" t="s">
        <v>3338</v>
      </c>
      <c r="X1625" s="221"/>
      <c r="Y1625" s="227"/>
      <c r="Z1625" s="227" t="str">
        <f t="shared" si="61"/>
        <v>Ngenep RW 06 Karang Ploso</v>
      </c>
      <c r="AA1625" s="276" t="e">
        <f>VLOOKUP(Logfile_S12[[#This Row],[DO number]],DO_DB!G:I,3,0)</f>
        <v>#N/A</v>
      </c>
      <c r="AB1625" s="331" t="e">
        <f>EXACT(Logfile_S12[[#This Row],[date pick]],Logfile_S12[[#This Row],[Date]])</f>
        <v>#N/A</v>
      </c>
      <c r="AC16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26" spans="1:29" ht="14.5" hidden="1">
      <c r="A1626" s="220" t="str">
        <f t="shared" si="60"/>
        <v>1622</v>
      </c>
      <c r="B1626" s="221"/>
      <c r="C1626" s="221" t="s">
        <v>49</v>
      </c>
      <c r="D1626" s="221" t="s">
        <v>4120</v>
      </c>
      <c r="E1626" s="221" t="s">
        <v>3295</v>
      </c>
      <c r="F1626" s="221" t="s">
        <v>3299</v>
      </c>
      <c r="G1626" s="222">
        <v>45492</v>
      </c>
      <c r="H1626" s="223">
        <v>0.40277777777777779</v>
      </c>
      <c r="I1626" s="221" t="s">
        <v>4916</v>
      </c>
      <c r="J1626" s="221" t="s">
        <v>3023</v>
      </c>
      <c r="K1626" s="224" t="s">
        <v>3070</v>
      </c>
      <c r="L1626" s="225" t="str">
        <f>VLOOKUP(Logfile_S12[[#This Row],[Material Name]],Sheet2!B:C,2,0)</f>
        <v>ZTE1002</v>
      </c>
      <c r="M1626" s="225" t="str">
        <f>_xlfn.XLOOKUP(Logfile_S12[[#This Row],[Material Name]],Sum_WH!E:E,Sum_WH!F:F,"",0)</f>
        <v>Pcs</v>
      </c>
      <c r="N1626" s="221">
        <v>2</v>
      </c>
      <c r="O1626" s="221" t="s">
        <v>2007</v>
      </c>
      <c r="P1626" s="221" t="s">
        <v>2008</v>
      </c>
      <c r="Q1626" s="221"/>
      <c r="R1626" s="221"/>
      <c r="S1626" s="221"/>
      <c r="T1626" s="221" t="s">
        <v>3258</v>
      </c>
      <c r="U1626" s="221" t="s">
        <v>3228</v>
      </c>
      <c r="V1626" s="221" t="s">
        <v>3337</v>
      </c>
      <c r="W1626" s="221" t="s">
        <v>3338</v>
      </c>
      <c r="X1626" s="221"/>
      <c r="Y1626" s="227"/>
      <c r="Z1626" s="227" t="str">
        <f t="shared" si="61"/>
        <v>Ngenep RW 06 Karang Ploso</v>
      </c>
      <c r="AA1626" s="276" t="e">
        <f>VLOOKUP(Logfile_S12[[#This Row],[DO number]],DO_DB!G:I,3,0)</f>
        <v>#N/A</v>
      </c>
      <c r="AB1626" s="331" t="e">
        <f>EXACT(Logfile_S12[[#This Row],[date pick]],Logfile_S12[[#This Row],[Date]])</f>
        <v>#N/A</v>
      </c>
      <c r="AC16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27" spans="1:29" ht="14.5" hidden="1">
      <c r="A1627" s="220" t="str">
        <f t="shared" si="60"/>
        <v>1623</v>
      </c>
      <c r="B1627" s="221"/>
      <c r="C1627" s="221" t="s">
        <v>49</v>
      </c>
      <c r="D1627" s="221" t="s">
        <v>4140</v>
      </c>
      <c r="E1627" s="221" t="s">
        <v>3295</v>
      </c>
      <c r="F1627" s="221" t="s">
        <v>3299</v>
      </c>
      <c r="G1627" s="222">
        <v>45506</v>
      </c>
      <c r="H1627" s="223">
        <v>0.56319444444444444</v>
      </c>
      <c r="I1627" s="221" t="s">
        <v>4916</v>
      </c>
      <c r="J1627" s="221" t="s">
        <v>3023</v>
      </c>
      <c r="K1627" s="224" t="s">
        <v>3070</v>
      </c>
      <c r="L1627" s="225" t="str">
        <f>VLOOKUP(Logfile_S12[[#This Row],[Material Name]],Sheet2!B:C,2,0)</f>
        <v>ZTE1002</v>
      </c>
      <c r="M1627" s="225" t="str">
        <f>_xlfn.XLOOKUP(Logfile_S12[[#This Row],[Material Name]],Sum_WH!E:E,Sum_WH!F:F,"",0)</f>
        <v>Pcs</v>
      </c>
      <c r="N1627" s="221">
        <v>9</v>
      </c>
      <c r="O1627" s="221" t="s">
        <v>1803</v>
      </c>
      <c r="P1627" s="221" t="s">
        <v>1804</v>
      </c>
      <c r="Q1627" s="221"/>
      <c r="R1627" s="221"/>
      <c r="S1627" s="221"/>
      <c r="T1627" s="221" t="s">
        <v>3258</v>
      </c>
      <c r="U1627" s="221" t="s">
        <v>3228</v>
      </c>
      <c r="V1627" s="221" t="s">
        <v>3337</v>
      </c>
      <c r="W1627" s="221" t="s">
        <v>3338</v>
      </c>
      <c r="X1627" s="221"/>
      <c r="Y1627" s="227"/>
      <c r="Z1627" s="227" t="str">
        <f t="shared" si="61"/>
        <v>Dusun Langlang IV Singosari</v>
      </c>
      <c r="AA1627" s="276" t="e">
        <f>VLOOKUP(Logfile_S12[[#This Row],[DO number]],DO_DB!G:I,3,0)</f>
        <v>#N/A</v>
      </c>
      <c r="AB1627" s="331" t="e">
        <f>EXACT(Logfile_S12[[#This Row],[date pick]],Logfile_S12[[#This Row],[Date]])</f>
        <v>#N/A</v>
      </c>
      <c r="AC16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28" spans="1:29" ht="14.5" hidden="1">
      <c r="A1628" s="220" t="str">
        <f t="shared" si="60"/>
        <v>1624</v>
      </c>
      <c r="B1628" s="221"/>
      <c r="C1628" s="221" t="s">
        <v>49</v>
      </c>
      <c r="D1628" s="221" t="s">
        <v>4143</v>
      </c>
      <c r="E1628" s="221" t="s">
        <v>3295</v>
      </c>
      <c r="F1628" s="221" t="s">
        <v>3299</v>
      </c>
      <c r="G1628" s="222">
        <v>45507</v>
      </c>
      <c r="H1628" s="223">
        <v>0.4</v>
      </c>
      <c r="I1628" s="221" t="s">
        <v>4916</v>
      </c>
      <c r="J1628" s="221" t="s">
        <v>3023</v>
      </c>
      <c r="K1628" s="224" t="s">
        <v>3070</v>
      </c>
      <c r="L1628" s="225" t="str">
        <f>VLOOKUP(Logfile_S12[[#This Row],[Material Name]],Sheet2!B:C,2,0)</f>
        <v>ZTE1002</v>
      </c>
      <c r="M1628" s="225" t="str">
        <f>_xlfn.XLOOKUP(Logfile_S12[[#This Row],[Material Name]],Sum_WH!E:E,Sum_WH!F:F,"",0)</f>
        <v>Pcs</v>
      </c>
      <c r="N1628" s="221">
        <v>3</v>
      </c>
      <c r="O1628" s="221" t="s">
        <v>1803</v>
      </c>
      <c r="P1628" s="221" t="s">
        <v>1804</v>
      </c>
      <c r="Q1628" s="221"/>
      <c r="R1628" s="221"/>
      <c r="S1628" s="221"/>
      <c r="T1628" s="221" t="s">
        <v>3258</v>
      </c>
      <c r="U1628" s="221" t="s">
        <v>3228</v>
      </c>
      <c r="V1628" s="221" t="s">
        <v>3337</v>
      </c>
      <c r="W1628" s="221" t="s">
        <v>3338</v>
      </c>
      <c r="X1628" s="221"/>
      <c r="Y1628" s="227"/>
      <c r="Z1628" s="227" t="str">
        <f t="shared" si="61"/>
        <v>Dusun Langlang IV Singosari</v>
      </c>
      <c r="AA1628" s="276" t="e">
        <f>VLOOKUP(Logfile_S12[[#This Row],[DO number]],DO_DB!G:I,3,0)</f>
        <v>#N/A</v>
      </c>
      <c r="AB1628" s="331" t="e">
        <f>EXACT(Logfile_S12[[#This Row],[date pick]],Logfile_S12[[#This Row],[Date]])</f>
        <v>#N/A</v>
      </c>
      <c r="AC16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29" spans="1:29" ht="14.5" hidden="1">
      <c r="A1629" s="220" t="str">
        <f t="shared" si="60"/>
        <v>1625</v>
      </c>
      <c r="B1629" s="221"/>
      <c r="C1629" s="221" t="s">
        <v>49</v>
      </c>
      <c r="D1629" s="221" t="s">
        <v>4151</v>
      </c>
      <c r="E1629" s="221" t="s">
        <v>3295</v>
      </c>
      <c r="F1629" s="221" t="s">
        <v>3299</v>
      </c>
      <c r="G1629" s="222">
        <v>45511</v>
      </c>
      <c r="H1629" s="223">
        <v>0.81874999999999998</v>
      </c>
      <c r="I1629" s="221" t="s">
        <v>4916</v>
      </c>
      <c r="J1629" s="221" t="s">
        <v>3023</v>
      </c>
      <c r="K1629" s="224" t="s">
        <v>3070</v>
      </c>
      <c r="L1629" s="225" t="str">
        <f>VLOOKUP(Logfile_S12[[#This Row],[Material Name]],Sheet2!B:C,2,0)</f>
        <v>ZTE1002</v>
      </c>
      <c r="M1629" s="225" t="str">
        <f>_xlfn.XLOOKUP(Logfile_S12[[#This Row],[Material Name]],Sum_WH!E:E,Sum_WH!F:F,"",0)</f>
        <v>Pcs</v>
      </c>
      <c r="N1629" s="221">
        <v>3</v>
      </c>
      <c r="O1629" s="221" t="s">
        <v>1799</v>
      </c>
      <c r="P1629" s="221" t="s">
        <v>3398</v>
      </c>
      <c r="Q1629" s="221"/>
      <c r="R1629" s="221"/>
      <c r="S1629" s="221"/>
      <c r="T1629" s="221" t="s">
        <v>3258</v>
      </c>
      <c r="U1629" s="221" t="s">
        <v>3228</v>
      </c>
      <c r="V1629" s="221" t="s">
        <v>3337</v>
      </c>
      <c r="W1629" s="221" t="s">
        <v>3338</v>
      </c>
      <c r="X1629" s="221"/>
      <c r="Y1629" s="227"/>
      <c r="Z1629" s="227" t="str">
        <f t="shared" si="61"/>
        <v>HUBFEEDER KEPANJEN TO JATIKERTO</v>
      </c>
      <c r="AA1629" s="276" t="e">
        <f>VLOOKUP(Logfile_S12[[#This Row],[DO number]],DO_DB!G:I,3,0)</f>
        <v>#N/A</v>
      </c>
      <c r="AB1629" s="331" t="e">
        <f>EXACT(Logfile_S12[[#This Row],[date pick]],Logfile_S12[[#This Row],[Date]])</f>
        <v>#N/A</v>
      </c>
      <c r="AC16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30" spans="1:29" ht="14.5" hidden="1">
      <c r="A1630" s="220" t="str">
        <f t="shared" si="60"/>
        <v>1626</v>
      </c>
      <c r="B1630" s="221"/>
      <c r="C1630" s="221" t="s">
        <v>49</v>
      </c>
      <c r="D1630" s="221" t="s">
        <v>4155</v>
      </c>
      <c r="E1630" s="221" t="s">
        <v>3295</v>
      </c>
      <c r="F1630" s="221" t="s">
        <v>3299</v>
      </c>
      <c r="G1630" s="222">
        <v>45513</v>
      </c>
      <c r="H1630" s="223">
        <v>0.42152777777777778</v>
      </c>
      <c r="I1630" s="221" t="s">
        <v>4916</v>
      </c>
      <c r="J1630" s="221" t="s">
        <v>3023</v>
      </c>
      <c r="K1630" s="224" t="s">
        <v>3070</v>
      </c>
      <c r="L1630" s="225" t="str">
        <f>VLOOKUP(Logfile_S12[[#This Row],[Material Name]],Sheet2!B:C,2,0)</f>
        <v>ZTE1002</v>
      </c>
      <c r="M1630" s="225" t="str">
        <f>_xlfn.XLOOKUP(Logfile_S12[[#This Row],[Material Name]],Sum_WH!E:E,Sum_WH!F:F,"",0)</f>
        <v>Pcs</v>
      </c>
      <c r="N1630" s="221">
        <v>9</v>
      </c>
      <c r="O1630" s="221" t="s">
        <v>1951</v>
      </c>
      <c r="P1630" s="221" t="s">
        <v>3374</v>
      </c>
      <c r="Q1630" s="221"/>
      <c r="R1630" s="221"/>
      <c r="S1630" s="221"/>
      <c r="T1630" s="221" t="s">
        <v>3258</v>
      </c>
      <c r="U1630" s="221" t="s">
        <v>3228</v>
      </c>
      <c r="V1630" s="221" t="s">
        <v>3337</v>
      </c>
      <c r="W1630" s="221" t="s">
        <v>3338</v>
      </c>
      <c r="X1630" s="221"/>
      <c r="Y1630" s="227"/>
      <c r="Z1630" s="227" t="str">
        <f t="shared" si="61"/>
        <v>SENGGURUH RW 01 MALANG</v>
      </c>
      <c r="AA1630" s="276" t="e">
        <f>VLOOKUP(Logfile_S12[[#This Row],[DO number]],DO_DB!G:I,3,0)</f>
        <v>#N/A</v>
      </c>
      <c r="AB1630" s="331" t="e">
        <f>EXACT(Logfile_S12[[#This Row],[date pick]],Logfile_S12[[#This Row],[Date]])</f>
        <v>#N/A</v>
      </c>
      <c r="AC16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31" spans="1:29" ht="14.5" hidden="1">
      <c r="A1631" s="220" t="str">
        <f t="shared" si="60"/>
        <v>1627</v>
      </c>
      <c r="B1631" s="221"/>
      <c r="C1631" s="221" t="s">
        <v>49</v>
      </c>
      <c r="D1631" s="221" t="s">
        <v>4163</v>
      </c>
      <c r="E1631" s="221" t="s">
        <v>3295</v>
      </c>
      <c r="F1631" s="221" t="s">
        <v>3299</v>
      </c>
      <c r="G1631" s="222">
        <v>45524</v>
      </c>
      <c r="H1631" s="223">
        <v>0.55555555555555558</v>
      </c>
      <c r="I1631" s="221" t="s">
        <v>4916</v>
      </c>
      <c r="J1631" s="221" t="s">
        <v>3023</v>
      </c>
      <c r="K1631" s="224" t="s">
        <v>3070</v>
      </c>
      <c r="L1631" s="225" t="str">
        <f>VLOOKUP(Logfile_S12[[#This Row],[Material Name]],Sheet2!B:C,2,0)</f>
        <v>ZTE1002</v>
      </c>
      <c r="M1631" s="225" t="str">
        <f>_xlfn.XLOOKUP(Logfile_S12[[#This Row],[Material Name]],Sum_WH!E:E,Sum_WH!F:F,"",0)</f>
        <v>Pcs</v>
      </c>
      <c r="N1631" s="221">
        <v>3</v>
      </c>
      <c r="O1631" s="221" t="s">
        <v>1391</v>
      </c>
      <c r="P1631" s="221" t="s">
        <v>1392</v>
      </c>
      <c r="Q1631" s="221"/>
      <c r="R1631" s="221"/>
      <c r="S1631" s="221"/>
      <c r="T1631" s="221" t="s">
        <v>3244</v>
      </c>
      <c r="U1631" s="221">
        <v>0</v>
      </c>
      <c r="V1631" s="221" t="s">
        <v>3248</v>
      </c>
      <c r="W1631" s="221" t="s">
        <v>3252</v>
      </c>
      <c r="X1631" s="221"/>
      <c r="Y1631" s="227"/>
      <c r="Z1631" s="227" t="str">
        <f t="shared" si="61"/>
        <v>Klampok RW 01 Singosari</v>
      </c>
      <c r="AA1631" s="276" t="e">
        <f>VLOOKUP(Logfile_S12[[#This Row],[DO number]],DO_DB!G:I,3,0)</f>
        <v>#N/A</v>
      </c>
      <c r="AB1631" s="331" t="e">
        <f>EXACT(Logfile_S12[[#This Row],[date pick]],Logfile_S12[[#This Row],[Date]])</f>
        <v>#N/A</v>
      </c>
      <c r="AC16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32" spans="1:29" s="202" customFormat="1" ht="14.5" hidden="1">
      <c r="A1632" s="220" t="str">
        <f t="shared" si="60"/>
        <v>1628</v>
      </c>
      <c r="B1632" s="221"/>
      <c r="C1632" s="221" t="s">
        <v>48</v>
      </c>
      <c r="D1632" s="221" t="s">
        <v>4170</v>
      </c>
      <c r="E1632" s="221" t="s">
        <v>3295</v>
      </c>
      <c r="F1632" s="221" t="s">
        <v>3299</v>
      </c>
      <c r="G1632" s="222">
        <v>45526</v>
      </c>
      <c r="H1632" s="223">
        <v>15.291666666666666</v>
      </c>
      <c r="I1632" s="221" t="s">
        <v>37</v>
      </c>
      <c r="J1632" s="221" t="s">
        <v>3023</v>
      </c>
      <c r="K1632" s="224" t="s">
        <v>3070</v>
      </c>
      <c r="L1632" s="225" t="str">
        <f>VLOOKUP(Logfile_S12[[#This Row],[Material Name]],Sheet2!B:C,2,0)</f>
        <v>ZTE1002</v>
      </c>
      <c r="M1632" s="225" t="str">
        <f>_xlfn.XLOOKUP(Logfile_S12[[#This Row],[Material Name]],Sum_WH!E:E,Sum_WH!F:F,"",0)</f>
        <v>Pcs</v>
      </c>
      <c r="N1632" s="221">
        <v>19</v>
      </c>
      <c r="O1632" s="221"/>
      <c r="P1632" s="221"/>
      <c r="Q1632" s="221">
        <v>0</v>
      </c>
      <c r="R1632" s="221">
        <v>0</v>
      </c>
      <c r="S1632" s="221"/>
      <c r="T1632" s="221"/>
      <c r="U1632" s="221"/>
      <c r="V1632" s="221"/>
      <c r="W1632" s="221"/>
      <c r="X1632" s="221"/>
      <c r="Y1632" s="227"/>
      <c r="Z1632" s="227">
        <f t="shared" si="61"/>
        <v>0</v>
      </c>
      <c r="AA1632" s="276" t="e">
        <f>VLOOKUP(Logfile_S12[[#This Row],[DO number]],DO_DB!G:I,3,0)</f>
        <v>#N/A</v>
      </c>
      <c r="AB1632" s="331" t="e">
        <f>EXACT(Logfile_S12[[#This Row],[date pick]],Logfile_S12[[#This Row],[Date]])</f>
        <v>#N/A</v>
      </c>
      <c r="AC16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33" spans="1:29" s="202" customFormat="1" ht="14.5" hidden="1">
      <c r="A1633" s="220" t="str">
        <f t="shared" si="60"/>
        <v>1629</v>
      </c>
      <c r="B1633" s="221"/>
      <c r="C1633" s="221" t="s">
        <v>49</v>
      </c>
      <c r="D1633" s="221" t="s">
        <v>4173</v>
      </c>
      <c r="E1633" s="221" t="s">
        <v>3295</v>
      </c>
      <c r="F1633" s="221" t="s">
        <v>3299</v>
      </c>
      <c r="G1633" s="222">
        <v>45527</v>
      </c>
      <c r="H1633" s="223">
        <v>0.46736111111111112</v>
      </c>
      <c r="I1633" s="221" t="s">
        <v>4916</v>
      </c>
      <c r="J1633" s="221" t="s">
        <v>3023</v>
      </c>
      <c r="K1633" s="224" t="s">
        <v>3070</v>
      </c>
      <c r="L1633" s="225" t="str">
        <f>VLOOKUP(Logfile_S12[[#This Row],[Material Name]],Sheet2!B:C,2,0)</f>
        <v>ZTE1002</v>
      </c>
      <c r="M1633" s="225" t="str">
        <f>_xlfn.XLOOKUP(Logfile_S12[[#This Row],[Material Name]],Sum_WH!E:E,Sum_WH!F:F,"",0)</f>
        <v>Pcs</v>
      </c>
      <c r="N1633" s="221">
        <v>1</v>
      </c>
      <c r="O1633" s="221" t="s">
        <v>1911</v>
      </c>
      <c r="P1633" s="221" t="s">
        <v>1912</v>
      </c>
      <c r="Q1633" s="221"/>
      <c r="R1633" s="221"/>
      <c r="S1633" s="221"/>
      <c r="T1633" s="221" t="s">
        <v>3258</v>
      </c>
      <c r="U1633" s="221" t="s">
        <v>3228</v>
      </c>
      <c r="V1633" s="221" t="s">
        <v>3337</v>
      </c>
      <c r="W1633" s="221" t="s">
        <v>3338</v>
      </c>
      <c r="X1633" s="221"/>
      <c r="Y1633" s="227"/>
      <c r="Z1633" s="227" t="str">
        <f t="shared" si="61"/>
        <v>Dilem RW 03 Kepanjen</v>
      </c>
      <c r="AA1633" s="276" t="e">
        <f>VLOOKUP(Logfile_S12[[#This Row],[DO number]],DO_DB!G:I,3,0)</f>
        <v>#N/A</v>
      </c>
      <c r="AB1633" s="331" t="e">
        <f>EXACT(Logfile_S12[[#This Row],[date pick]],Logfile_S12[[#This Row],[Date]])</f>
        <v>#N/A</v>
      </c>
      <c r="AC16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34" spans="1:29" s="202" customFormat="1" ht="14.5" hidden="1">
      <c r="A1634" s="220" t="str">
        <f t="shared" si="60"/>
        <v>1630</v>
      </c>
      <c r="B1634" s="221"/>
      <c r="C1634" s="221" t="s">
        <v>48</v>
      </c>
      <c r="D1634" s="221" t="s">
        <v>4185</v>
      </c>
      <c r="E1634" s="221" t="s">
        <v>3295</v>
      </c>
      <c r="F1634" s="221" t="s">
        <v>3299</v>
      </c>
      <c r="G1634" s="222">
        <v>45532</v>
      </c>
      <c r="H1634" s="223">
        <v>15.291666666666666</v>
      </c>
      <c r="I1634" s="221" t="s">
        <v>37</v>
      </c>
      <c r="J1634" s="221" t="s">
        <v>3023</v>
      </c>
      <c r="K1634" s="224" t="s">
        <v>3070</v>
      </c>
      <c r="L1634" s="225" t="str">
        <f>VLOOKUP(Logfile_S12[[#This Row],[Material Name]],Sheet2!B:C,2,0)</f>
        <v>ZTE1002</v>
      </c>
      <c r="M1634" s="225" t="str">
        <f>_xlfn.XLOOKUP(Logfile_S12[[#This Row],[Material Name]],Sum_WH!E:E,Sum_WH!F:F,"",0)</f>
        <v>Pcs</v>
      </c>
      <c r="N1634" s="221">
        <v>22</v>
      </c>
      <c r="O1634" s="221"/>
      <c r="P1634" s="221"/>
      <c r="Q1634" s="221">
        <v>0</v>
      </c>
      <c r="R1634" s="221">
        <v>0</v>
      </c>
      <c r="S1634" s="221"/>
      <c r="T1634" s="221"/>
      <c r="U1634" s="221"/>
      <c r="V1634" s="221"/>
      <c r="W1634" s="221"/>
      <c r="X1634" s="221"/>
      <c r="Y1634" s="227"/>
      <c r="Z1634" s="227">
        <f t="shared" si="61"/>
        <v>0</v>
      </c>
      <c r="AA1634" s="276" t="e">
        <f>VLOOKUP(Logfile_S12[[#This Row],[DO number]],DO_DB!G:I,3,0)</f>
        <v>#N/A</v>
      </c>
      <c r="AB1634" s="331" t="e">
        <f>EXACT(Logfile_S12[[#This Row],[date pick]],Logfile_S12[[#This Row],[Date]])</f>
        <v>#N/A</v>
      </c>
      <c r="AC16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35" spans="1:29" s="202" customFormat="1" ht="14.5" hidden="1">
      <c r="A1635" s="220" t="str">
        <f t="shared" si="60"/>
        <v>1631</v>
      </c>
      <c r="B1635" s="221"/>
      <c r="C1635" s="221" t="s">
        <v>49</v>
      </c>
      <c r="D1635" s="221" t="s">
        <v>4182</v>
      </c>
      <c r="E1635" s="221" t="s">
        <v>3295</v>
      </c>
      <c r="F1635" s="221" t="s">
        <v>3299</v>
      </c>
      <c r="G1635" s="222">
        <v>45532</v>
      </c>
      <c r="H1635" s="223">
        <v>0.35208333333333336</v>
      </c>
      <c r="I1635" s="221" t="s">
        <v>4916</v>
      </c>
      <c r="J1635" s="221" t="s">
        <v>3023</v>
      </c>
      <c r="K1635" s="224" t="s">
        <v>3070</v>
      </c>
      <c r="L1635" s="225" t="str">
        <f>VLOOKUP(Logfile_S12[[#This Row],[Material Name]],Sheet2!B:C,2,0)</f>
        <v>ZTE1002</v>
      </c>
      <c r="M1635" s="225" t="str">
        <f>_xlfn.XLOOKUP(Logfile_S12[[#This Row],[Material Name]],Sum_WH!E:E,Sum_WH!F:F,"",0)</f>
        <v>Pcs</v>
      </c>
      <c r="N1635" s="221">
        <v>4</v>
      </c>
      <c r="O1635" s="221" t="s">
        <v>1929</v>
      </c>
      <c r="P1635" s="221" t="s">
        <v>1930</v>
      </c>
      <c r="Q1635" s="221"/>
      <c r="R1635" s="221"/>
      <c r="S1635" s="221"/>
      <c r="T1635" s="221" t="s">
        <v>3244</v>
      </c>
      <c r="U1635" s="221">
        <v>0</v>
      </c>
      <c r="V1635" s="221" t="s">
        <v>3248</v>
      </c>
      <c r="W1635" s="221" t="s">
        <v>3252</v>
      </c>
      <c r="X1635" s="221"/>
      <c r="Y1635" s="227"/>
      <c r="Z1635" s="227" t="str">
        <f t="shared" si="61"/>
        <v>Dusun Krajan Sumbersekar</v>
      </c>
      <c r="AA1635" s="276" t="e">
        <f>VLOOKUP(Logfile_S12[[#This Row],[DO number]],DO_DB!G:I,3,0)</f>
        <v>#N/A</v>
      </c>
      <c r="AB1635" s="331" t="e">
        <f>EXACT(Logfile_S12[[#This Row],[date pick]],Logfile_S12[[#This Row],[Date]])</f>
        <v>#N/A</v>
      </c>
      <c r="AC16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36" spans="1:29" s="202" customFormat="1" ht="14.5" hidden="1">
      <c r="A1636" s="220" t="str">
        <f t="shared" si="60"/>
        <v>1632</v>
      </c>
      <c r="B1636" s="221"/>
      <c r="C1636" s="221" t="s">
        <v>49</v>
      </c>
      <c r="D1636" s="221" t="s">
        <v>4187</v>
      </c>
      <c r="E1636" s="221" t="s">
        <v>3295</v>
      </c>
      <c r="F1636" s="221" t="s">
        <v>3299</v>
      </c>
      <c r="G1636" s="222">
        <v>45533</v>
      </c>
      <c r="H1636" s="223">
        <v>0.34652777777777777</v>
      </c>
      <c r="I1636" s="221" t="s">
        <v>4916</v>
      </c>
      <c r="J1636" s="221" t="s">
        <v>3023</v>
      </c>
      <c r="K1636" s="224" t="s">
        <v>3070</v>
      </c>
      <c r="L1636" s="225" t="str">
        <f>VLOOKUP(Logfile_S12[[#This Row],[Material Name]],Sheet2!B:C,2,0)</f>
        <v>ZTE1002</v>
      </c>
      <c r="M1636" s="225" t="str">
        <f>_xlfn.XLOOKUP(Logfile_S12[[#This Row],[Material Name]],Sum_WH!E:E,Sum_WH!F:F,"",0)</f>
        <v>Pcs</v>
      </c>
      <c r="N1636" s="221">
        <v>2</v>
      </c>
      <c r="O1636" s="221" t="s">
        <v>1929</v>
      </c>
      <c r="P1636" s="221" t="s">
        <v>1930</v>
      </c>
      <c r="Q1636" s="221"/>
      <c r="R1636" s="221"/>
      <c r="S1636" s="221"/>
      <c r="T1636" s="221" t="s">
        <v>3244</v>
      </c>
      <c r="U1636" s="221">
        <v>0</v>
      </c>
      <c r="V1636" s="221" t="s">
        <v>3248</v>
      </c>
      <c r="W1636" s="221" t="s">
        <v>3252</v>
      </c>
      <c r="X1636" s="221"/>
      <c r="Y1636" s="227"/>
      <c r="Z1636" s="227" t="str">
        <f t="shared" si="61"/>
        <v>Dusun Krajan Sumbersekar</v>
      </c>
      <c r="AA1636" s="276" t="e">
        <f>VLOOKUP(Logfile_S12[[#This Row],[DO number]],DO_DB!G:I,3,0)</f>
        <v>#N/A</v>
      </c>
      <c r="AB1636" s="331" t="e">
        <f>EXACT(Logfile_S12[[#This Row],[date pick]],Logfile_S12[[#This Row],[Date]])</f>
        <v>#N/A</v>
      </c>
      <c r="AC16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37" spans="1:29" s="202" customFormat="1" ht="14.5" hidden="1">
      <c r="A1637" s="220" t="str">
        <f t="shared" si="60"/>
        <v>1633</v>
      </c>
      <c r="B1637" s="221"/>
      <c r="C1637" s="221" t="s">
        <v>49</v>
      </c>
      <c r="D1637" s="221" t="s">
        <v>4198</v>
      </c>
      <c r="E1637" s="221" t="s">
        <v>3295</v>
      </c>
      <c r="F1637" s="221" t="s">
        <v>3299</v>
      </c>
      <c r="G1637" s="222">
        <v>45537</v>
      </c>
      <c r="H1637" s="223">
        <v>0.32847222222222222</v>
      </c>
      <c r="I1637" s="221" t="s">
        <v>4916</v>
      </c>
      <c r="J1637" s="221" t="s">
        <v>3023</v>
      </c>
      <c r="K1637" s="224" t="s">
        <v>3070</v>
      </c>
      <c r="L1637" s="225" t="str">
        <f>VLOOKUP(Logfile_S12[[#This Row],[Material Name]],Sheet2!B:C,2,0)</f>
        <v>ZTE1002</v>
      </c>
      <c r="M1637" s="225" t="str">
        <f>_xlfn.XLOOKUP(Logfile_S12[[#This Row],[Material Name]],Sum_WH!E:E,Sum_WH!F:F,"",0)</f>
        <v>Pcs</v>
      </c>
      <c r="N1637" s="221">
        <v>5</v>
      </c>
      <c r="O1637" s="221" t="s">
        <v>1929</v>
      </c>
      <c r="P1637" s="221" t="s">
        <v>1930</v>
      </c>
      <c r="Q1637" s="221"/>
      <c r="R1637" s="221"/>
      <c r="S1637" s="221"/>
      <c r="T1637" s="221" t="s">
        <v>3244</v>
      </c>
      <c r="U1637" s="221">
        <v>0</v>
      </c>
      <c r="V1637" s="221" t="s">
        <v>3248</v>
      </c>
      <c r="W1637" s="221" t="s">
        <v>3252</v>
      </c>
      <c r="X1637" s="221"/>
      <c r="Y1637" s="227"/>
      <c r="Z1637" s="227" t="str">
        <f t="shared" si="61"/>
        <v>Dusun Krajan Sumbersekar</v>
      </c>
      <c r="AA1637" s="276" t="e">
        <f>VLOOKUP(Logfile_S12[[#This Row],[DO number]],DO_DB!G:I,3,0)</f>
        <v>#N/A</v>
      </c>
      <c r="AB1637" s="331" t="e">
        <f>EXACT(Logfile_S12[[#This Row],[date pick]],Logfile_S12[[#This Row],[Date]])</f>
        <v>#N/A</v>
      </c>
      <c r="AC16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38" spans="1:29" s="202" customFormat="1" ht="14.5" hidden="1">
      <c r="A1638" s="220" t="str">
        <f t="shared" si="60"/>
        <v>1634</v>
      </c>
      <c r="B1638" s="221"/>
      <c r="C1638" s="221" t="s">
        <v>49</v>
      </c>
      <c r="D1638" s="221" t="s">
        <v>4220</v>
      </c>
      <c r="E1638" s="221" t="s">
        <v>3295</v>
      </c>
      <c r="F1638" s="221" t="s">
        <v>3299</v>
      </c>
      <c r="G1638" s="222">
        <v>45548</v>
      </c>
      <c r="H1638" s="223">
        <v>0.34791666666666665</v>
      </c>
      <c r="I1638" s="221" t="s">
        <v>4916</v>
      </c>
      <c r="J1638" s="221" t="s">
        <v>3023</v>
      </c>
      <c r="K1638" s="224" t="s">
        <v>3070</v>
      </c>
      <c r="L1638" s="225" t="str">
        <f>VLOOKUP(Logfile_S12[[#This Row],[Material Name]],Sheet2!B:C,2,0)</f>
        <v>ZTE1002</v>
      </c>
      <c r="M1638" s="225" t="str">
        <f>_xlfn.XLOOKUP(Logfile_S12[[#This Row],[Material Name]],Sum_WH!E:E,Sum_WH!F:F,"",0)</f>
        <v>Pcs</v>
      </c>
      <c r="N1638" s="221">
        <v>2</v>
      </c>
      <c r="O1638" s="221" t="s">
        <v>1917</v>
      </c>
      <c r="P1638" s="221" t="s">
        <v>1918</v>
      </c>
      <c r="Q1638" s="221"/>
      <c r="R1638" s="221"/>
      <c r="S1638" s="221"/>
      <c r="T1638" s="221" t="s">
        <v>3258</v>
      </c>
      <c r="U1638" s="221" t="s">
        <v>3228</v>
      </c>
      <c r="V1638" s="221" t="s">
        <v>3337</v>
      </c>
      <c r="W1638" s="221" t="s">
        <v>3338</v>
      </c>
      <c r="X1638" s="221"/>
      <c r="Y1638" s="227"/>
      <c r="Z1638" s="227" t="str">
        <f t="shared" si="61"/>
        <v>Dilem RW 04 Kepanjen</v>
      </c>
      <c r="AA1638" s="276" t="e">
        <f>VLOOKUP(Logfile_S12[[#This Row],[DO number]],DO_DB!G:I,3,0)</f>
        <v>#N/A</v>
      </c>
      <c r="AB1638" s="331" t="e">
        <f>EXACT(Logfile_S12[[#This Row],[date pick]],Logfile_S12[[#This Row],[Date]])</f>
        <v>#N/A</v>
      </c>
      <c r="AC16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39" spans="1:29" s="202" customFormat="1" ht="14.5" hidden="1">
      <c r="A1639" s="220" t="str">
        <f t="shared" si="60"/>
        <v>1635</v>
      </c>
      <c r="B1639" s="221"/>
      <c r="C1639" s="221" t="s">
        <v>49</v>
      </c>
      <c r="D1639" s="221" t="s">
        <v>4221</v>
      </c>
      <c r="E1639" s="221" t="s">
        <v>3295</v>
      </c>
      <c r="F1639" s="221" t="s">
        <v>3299</v>
      </c>
      <c r="G1639" s="222">
        <v>45553</v>
      </c>
      <c r="H1639" s="223">
        <v>0.43125000000000002</v>
      </c>
      <c r="I1639" s="221" t="s">
        <v>4916</v>
      </c>
      <c r="J1639" s="221" t="s">
        <v>3023</v>
      </c>
      <c r="K1639" s="224" t="s">
        <v>3070</v>
      </c>
      <c r="L1639" s="225" t="str">
        <f>VLOOKUP(Logfile_S12[[#This Row],[Material Name]],Sheet2!B:C,2,0)</f>
        <v>ZTE1002</v>
      </c>
      <c r="M1639" s="225" t="str">
        <f>_xlfn.XLOOKUP(Logfile_S12[[#This Row],[Material Name]],Sum_WH!E:E,Sum_WH!F:F,"",0)</f>
        <v>Pcs</v>
      </c>
      <c r="N1639" s="221">
        <v>3</v>
      </c>
      <c r="O1639" s="221" t="s">
        <v>1923</v>
      </c>
      <c r="P1639" s="221" t="s">
        <v>1924</v>
      </c>
      <c r="Q1639" s="221"/>
      <c r="R1639" s="221"/>
      <c r="S1639" s="221"/>
      <c r="T1639" s="221" t="s">
        <v>3258</v>
      </c>
      <c r="U1639" s="221">
        <v>0</v>
      </c>
      <c r="V1639" s="221" t="s">
        <v>3337</v>
      </c>
      <c r="W1639" s="221" t="s">
        <v>3338</v>
      </c>
      <c r="X1639" s="221"/>
      <c r="Y1639" s="227"/>
      <c r="Z1639" s="227" t="str">
        <f t="shared" si="61"/>
        <v>Pakisaji RW 01 Malang</v>
      </c>
      <c r="AA1639" s="276" t="e">
        <f>VLOOKUP(Logfile_S12[[#This Row],[DO number]],DO_DB!G:I,3,0)</f>
        <v>#N/A</v>
      </c>
      <c r="AB1639" s="331" t="e">
        <f>EXACT(Logfile_S12[[#This Row],[date pick]],Logfile_S12[[#This Row],[Date]])</f>
        <v>#N/A</v>
      </c>
      <c r="AC16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40" spans="1:29" s="202" customFormat="1" ht="14.5" hidden="1">
      <c r="A1640" s="220" t="str">
        <f t="shared" si="60"/>
        <v>1636</v>
      </c>
      <c r="B1640" s="221"/>
      <c r="C1640" s="221" t="s">
        <v>3313</v>
      </c>
      <c r="D1640" s="221" t="s">
        <v>4223</v>
      </c>
      <c r="E1640" s="221" t="s">
        <v>3295</v>
      </c>
      <c r="F1640" s="221" t="s">
        <v>3299</v>
      </c>
      <c r="G1640" s="222">
        <v>45554</v>
      </c>
      <c r="H1640" s="223">
        <v>15.291666666666666</v>
      </c>
      <c r="I1640" s="221" t="s">
        <v>4917</v>
      </c>
      <c r="J1640" s="221" t="s">
        <v>3023</v>
      </c>
      <c r="K1640" s="224" t="s">
        <v>3070</v>
      </c>
      <c r="L1640" s="225" t="str">
        <f>VLOOKUP(Logfile_S12[[#This Row],[Material Name]],Sheet2!B:C,2,0)</f>
        <v>ZTE1002</v>
      </c>
      <c r="M1640" s="225" t="str">
        <f>_xlfn.XLOOKUP(Logfile_S12[[#This Row],[Material Name]],Sum_WH!E:E,Sum_WH!F:F,"",0)</f>
        <v>Pcs</v>
      </c>
      <c r="N1640" s="221">
        <v>1</v>
      </c>
      <c r="O1640" s="221" t="s">
        <v>3314</v>
      </c>
      <c r="P1640" s="221" t="s">
        <v>68</v>
      </c>
      <c r="Q1640" s="221">
        <v>0</v>
      </c>
      <c r="R1640" s="221">
        <v>0</v>
      </c>
      <c r="S1640" s="221"/>
      <c r="T1640" s="221"/>
      <c r="U1640" s="221"/>
      <c r="V1640" s="221"/>
      <c r="W1640" s="221"/>
      <c r="X1640" s="221"/>
      <c r="Y1640" s="227"/>
      <c r="Z1640" s="227" t="str">
        <f t="shared" si="61"/>
        <v>Blitar</v>
      </c>
      <c r="AA1640" s="276" t="e">
        <f>VLOOKUP(Logfile_S12[[#This Row],[DO number]],DO_DB!G:I,3,0)</f>
        <v>#N/A</v>
      </c>
      <c r="AB1640" s="331" t="e">
        <f>EXACT(Logfile_S12[[#This Row],[date pick]],Logfile_S12[[#This Row],[Date]])</f>
        <v>#N/A</v>
      </c>
      <c r="AC16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41" spans="1:29" s="202" customFormat="1" ht="14.5" hidden="1">
      <c r="A1641" s="220" t="str">
        <f t="shared" si="60"/>
        <v>1637</v>
      </c>
      <c r="B1641" s="221"/>
      <c r="C1641" s="221" t="s">
        <v>48</v>
      </c>
      <c r="D1641" s="221" t="s">
        <v>4228</v>
      </c>
      <c r="E1641" s="221" t="s">
        <v>3295</v>
      </c>
      <c r="F1641" s="221" t="s">
        <v>3299</v>
      </c>
      <c r="G1641" s="222">
        <v>45555</v>
      </c>
      <c r="H1641" s="223">
        <v>15.291666666666666</v>
      </c>
      <c r="I1641" s="221" t="s">
        <v>37</v>
      </c>
      <c r="J1641" s="221" t="s">
        <v>3023</v>
      </c>
      <c r="K1641" s="224" t="s">
        <v>3070</v>
      </c>
      <c r="L1641" s="225" t="str">
        <f>VLOOKUP(Logfile_S12[[#This Row],[Material Name]],Sheet2!B:C,2,0)</f>
        <v>ZTE1002</v>
      </c>
      <c r="M1641" s="225" t="str">
        <f>_xlfn.XLOOKUP(Logfile_S12[[#This Row],[Material Name]],Sum_WH!E:E,Sum_WH!F:F,"",0)</f>
        <v>Pcs</v>
      </c>
      <c r="N1641" s="221">
        <v>14</v>
      </c>
      <c r="O1641" s="221"/>
      <c r="P1641" s="221"/>
      <c r="Q1641" s="221">
        <v>0</v>
      </c>
      <c r="R1641" s="221">
        <v>0</v>
      </c>
      <c r="S1641" s="221"/>
      <c r="T1641" s="221"/>
      <c r="U1641" s="221"/>
      <c r="V1641" s="221"/>
      <c r="W1641" s="221"/>
      <c r="X1641" s="221"/>
      <c r="Y1641" s="227"/>
      <c r="Z1641" s="227">
        <f t="shared" si="61"/>
        <v>0</v>
      </c>
      <c r="AA1641" s="276" t="e">
        <f>VLOOKUP(Logfile_S12[[#This Row],[DO number]],DO_DB!G:I,3,0)</f>
        <v>#N/A</v>
      </c>
      <c r="AB1641" s="331" t="e">
        <f>EXACT(Logfile_S12[[#This Row],[date pick]],Logfile_S12[[#This Row],[Date]])</f>
        <v>#N/A</v>
      </c>
      <c r="AC16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42" spans="1:29" s="202" customFormat="1" ht="14.5" hidden="1">
      <c r="A1642" s="220" t="str">
        <f t="shared" si="60"/>
        <v>1638</v>
      </c>
      <c r="B1642" s="221"/>
      <c r="C1642" s="221" t="s">
        <v>49</v>
      </c>
      <c r="D1642" s="221" t="s">
        <v>4230</v>
      </c>
      <c r="E1642" s="221" t="s">
        <v>3295</v>
      </c>
      <c r="F1642" s="221" t="s">
        <v>3299</v>
      </c>
      <c r="G1642" s="222">
        <v>45558</v>
      </c>
      <c r="H1642" s="223">
        <v>0.53125</v>
      </c>
      <c r="I1642" s="221" t="s">
        <v>4916</v>
      </c>
      <c r="J1642" s="221" t="s">
        <v>3023</v>
      </c>
      <c r="K1642" s="224" t="s">
        <v>3070</v>
      </c>
      <c r="L1642" s="225" t="str">
        <f>VLOOKUP(Logfile_S12[[#This Row],[Material Name]],Sheet2!B:C,2,0)</f>
        <v>ZTE1002</v>
      </c>
      <c r="M1642" s="225" t="str">
        <f>_xlfn.XLOOKUP(Logfile_S12[[#This Row],[Material Name]],Sum_WH!E:E,Sum_WH!F:F,"",0)</f>
        <v>Pcs</v>
      </c>
      <c r="N1642" s="221">
        <v>1</v>
      </c>
      <c r="O1642" s="221" t="s">
        <v>2166</v>
      </c>
      <c r="P1642" s="221" t="s">
        <v>2167</v>
      </c>
      <c r="Q1642" s="221"/>
      <c r="R1642" s="221"/>
      <c r="S1642" s="221"/>
      <c r="T1642" s="221" t="s">
        <v>3247</v>
      </c>
      <c r="U1642" s="221">
        <v>0</v>
      </c>
      <c r="V1642" s="221" t="s">
        <v>3375</v>
      </c>
      <c r="W1642" s="221" t="s">
        <v>3376</v>
      </c>
      <c r="X1642" s="221"/>
      <c r="Y1642" s="227"/>
      <c r="Z1642" s="227" t="str">
        <f t="shared" si="61"/>
        <v>Dusun Mojosari Ngenep</v>
      </c>
      <c r="AA1642" s="276" t="e">
        <f>VLOOKUP(Logfile_S12[[#This Row],[DO number]],DO_DB!G:I,3,0)</f>
        <v>#N/A</v>
      </c>
      <c r="AB1642" s="331" t="e">
        <f>EXACT(Logfile_S12[[#This Row],[date pick]],Logfile_S12[[#This Row],[Date]])</f>
        <v>#N/A</v>
      </c>
      <c r="AC16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43" spans="1:29" s="202" customFormat="1" ht="14.5" hidden="1">
      <c r="A1643" s="220" t="str">
        <f t="shared" si="60"/>
        <v>1639</v>
      </c>
      <c r="B1643" s="221"/>
      <c r="C1643" s="221" t="s">
        <v>49</v>
      </c>
      <c r="D1643" s="221" t="s">
        <v>4235</v>
      </c>
      <c r="E1643" s="221" t="s">
        <v>3295</v>
      </c>
      <c r="F1643" s="221" t="s">
        <v>3299</v>
      </c>
      <c r="G1643" s="222">
        <v>45561</v>
      </c>
      <c r="H1643" s="223">
        <v>0.73263888888888884</v>
      </c>
      <c r="I1643" s="221" t="s">
        <v>4916</v>
      </c>
      <c r="J1643" s="221" t="s">
        <v>3023</v>
      </c>
      <c r="K1643" s="224" t="s">
        <v>3070</v>
      </c>
      <c r="L1643" s="225" t="str">
        <f>VLOOKUP(Logfile_S12[[#This Row],[Material Name]],Sheet2!B:C,2,0)</f>
        <v>ZTE1002</v>
      </c>
      <c r="M1643" s="225" t="str">
        <f>_xlfn.XLOOKUP(Logfile_S12[[#This Row],[Material Name]],Sum_WH!E:E,Sum_WH!F:F,"",0)</f>
        <v>Pcs</v>
      </c>
      <c r="N1643" s="221">
        <v>2</v>
      </c>
      <c r="O1643" s="221" t="s">
        <v>2166</v>
      </c>
      <c r="P1643" s="221" t="s">
        <v>2167</v>
      </c>
      <c r="Q1643" s="221"/>
      <c r="R1643" s="221"/>
      <c r="S1643" s="221"/>
      <c r="T1643" s="221" t="s">
        <v>3247</v>
      </c>
      <c r="U1643" s="221">
        <v>0</v>
      </c>
      <c r="V1643" s="221" t="s">
        <v>3375</v>
      </c>
      <c r="W1643" s="221" t="s">
        <v>3376</v>
      </c>
      <c r="X1643" s="221"/>
      <c r="Y1643" s="227"/>
      <c r="Z1643" s="227" t="str">
        <f t="shared" si="61"/>
        <v>Dusun Mojosari Ngenep</v>
      </c>
      <c r="AA1643" s="276" t="e">
        <f>VLOOKUP(Logfile_S12[[#This Row],[DO number]],DO_DB!G:I,3,0)</f>
        <v>#N/A</v>
      </c>
      <c r="AB1643" s="331" t="e">
        <f>EXACT(Logfile_S12[[#This Row],[date pick]],Logfile_S12[[#This Row],[Date]])</f>
        <v>#N/A</v>
      </c>
      <c r="AC16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44" spans="1:29" s="202" customFormat="1" ht="14.5" hidden="1">
      <c r="A1644" s="220" t="str">
        <f t="shared" si="60"/>
        <v>1640</v>
      </c>
      <c r="B1644" s="221"/>
      <c r="C1644" s="221" t="s">
        <v>49</v>
      </c>
      <c r="D1644" s="221" t="s">
        <v>4243</v>
      </c>
      <c r="E1644" s="221" t="s">
        <v>3295</v>
      </c>
      <c r="F1644" s="221" t="s">
        <v>3299</v>
      </c>
      <c r="G1644" s="222">
        <v>45564</v>
      </c>
      <c r="H1644" s="223">
        <v>0.73263888888888884</v>
      </c>
      <c r="I1644" s="221" t="s">
        <v>4916</v>
      </c>
      <c r="J1644" s="221" t="s">
        <v>3023</v>
      </c>
      <c r="K1644" s="224" t="s">
        <v>3070</v>
      </c>
      <c r="L1644" s="225" t="str">
        <f>VLOOKUP(Logfile_S12[[#This Row],[Material Name]],Sheet2!B:C,2,0)</f>
        <v>ZTE1002</v>
      </c>
      <c r="M1644" s="225" t="str">
        <f>_xlfn.XLOOKUP(Logfile_S12[[#This Row],[Material Name]],Sum_WH!E:E,Sum_WH!F:F,"",0)</f>
        <v>Pcs</v>
      </c>
      <c r="N1644" s="221">
        <v>1</v>
      </c>
      <c r="O1644" s="221" t="s">
        <v>2166</v>
      </c>
      <c r="P1644" s="221" t="s">
        <v>2167</v>
      </c>
      <c r="Q1644" s="221"/>
      <c r="R1644" s="221"/>
      <c r="S1644" s="221"/>
      <c r="T1644" s="221" t="s">
        <v>3247</v>
      </c>
      <c r="U1644" s="221">
        <v>0</v>
      </c>
      <c r="V1644" s="221" t="s">
        <v>3375</v>
      </c>
      <c r="W1644" s="221" t="s">
        <v>3376</v>
      </c>
      <c r="X1644" s="221"/>
      <c r="Y1644" s="227"/>
      <c r="Z1644" s="227" t="str">
        <f t="shared" si="61"/>
        <v>Dusun Mojosari Ngenep</v>
      </c>
      <c r="AA1644" s="276" t="e">
        <f>VLOOKUP(Logfile_S12[[#This Row],[DO number]],DO_DB!G:I,3,0)</f>
        <v>#N/A</v>
      </c>
      <c r="AB1644" s="331" t="e">
        <f>EXACT(Logfile_S12[[#This Row],[date pick]],Logfile_S12[[#This Row],[Date]])</f>
        <v>#N/A</v>
      </c>
      <c r="AC16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45" spans="1:29" s="202" customFormat="1" ht="14.5" hidden="1">
      <c r="A1645" s="220" t="str">
        <f t="shared" si="60"/>
        <v>1641</v>
      </c>
      <c r="B1645" s="221"/>
      <c r="C1645" s="221" t="s">
        <v>48</v>
      </c>
      <c r="D1645" s="221" t="s">
        <v>4272</v>
      </c>
      <c r="E1645" s="221" t="s">
        <v>3295</v>
      </c>
      <c r="F1645" s="221" t="s">
        <v>3299</v>
      </c>
      <c r="G1645" s="222">
        <v>45602</v>
      </c>
      <c r="H1645" s="223">
        <v>15.291666666666666</v>
      </c>
      <c r="I1645" s="221" t="s">
        <v>37</v>
      </c>
      <c r="J1645" s="221" t="s">
        <v>3023</v>
      </c>
      <c r="K1645" s="224" t="s">
        <v>3070</v>
      </c>
      <c r="L1645" s="225" t="str">
        <f>VLOOKUP(Logfile_S12[[#This Row],[Material Name]],Sheet2!B:C,2,0)</f>
        <v>ZTE1002</v>
      </c>
      <c r="M1645" s="225" t="str">
        <f>_xlfn.XLOOKUP(Logfile_S12[[#This Row],[Material Name]],Sum_WH!E:E,Sum_WH!F:F,"",0)</f>
        <v>Pcs</v>
      </c>
      <c r="N1645" s="221">
        <v>5</v>
      </c>
      <c r="O1645" s="221" t="s">
        <v>2350</v>
      </c>
      <c r="P1645" s="221" t="s">
        <v>3470</v>
      </c>
      <c r="Q1645" s="221" t="s">
        <v>2358</v>
      </c>
      <c r="R1645" s="221" t="s">
        <v>2359</v>
      </c>
      <c r="S1645" s="221"/>
      <c r="T1645" s="221"/>
      <c r="U1645" s="221"/>
      <c r="V1645" s="221"/>
      <c r="W1645" s="221"/>
      <c r="X1645" s="221"/>
      <c r="Y1645" s="227"/>
      <c r="Z1645" s="227" t="str">
        <f t="shared" si="61"/>
        <v>Kalirejo RW 13 Lawang</v>
      </c>
      <c r="AA1645" s="276">
        <f>VLOOKUP(Logfile_S12[[#This Row],[DO number]],DO_DB!G:I,3,0)</f>
        <v>45602</v>
      </c>
      <c r="AB1645" s="331" t="b">
        <f>EXACT(Logfile_S12[[#This Row],[date pick]],Logfile_S12[[#This Row],[Date]])</f>
        <v>1</v>
      </c>
      <c r="AC16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46" spans="1:29" s="202" customFormat="1" ht="14.5" hidden="1">
      <c r="A1646" s="220" t="str">
        <f t="shared" si="60"/>
        <v>1642</v>
      </c>
      <c r="B1646" s="221"/>
      <c r="C1646" s="221" t="s">
        <v>48</v>
      </c>
      <c r="D1646" s="221" t="s">
        <v>4272</v>
      </c>
      <c r="E1646" s="221" t="s">
        <v>3295</v>
      </c>
      <c r="F1646" s="221" t="s">
        <v>3299</v>
      </c>
      <c r="G1646" s="222">
        <v>45602</v>
      </c>
      <c r="H1646" s="223">
        <v>15.291666666666666</v>
      </c>
      <c r="I1646" s="221" t="s">
        <v>37</v>
      </c>
      <c r="J1646" s="221" t="s">
        <v>3023</v>
      </c>
      <c r="K1646" s="224" t="s">
        <v>3070</v>
      </c>
      <c r="L1646" s="225" t="str">
        <f>VLOOKUP(Logfile_S12[[#This Row],[Material Name]],Sheet2!B:C,2,0)</f>
        <v>ZTE1002</v>
      </c>
      <c r="M1646" s="225" t="str">
        <f>_xlfn.XLOOKUP(Logfile_S12[[#This Row],[Material Name]],Sum_WH!E:E,Sum_WH!F:F,"",0)</f>
        <v>Pcs</v>
      </c>
      <c r="N1646" s="221">
        <v>8</v>
      </c>
      <c r="O1646" s="221" t="s">
        <v>2354</v>
      </c>
      <c r="P1646" s="221" t="s">
        <v>3407</v>
      </c>
      <c r="Q1646" s="221" t="s">
        <v>2356</v>
      </c>
      <c r="R1646" s="221" t="s">
        <v>2357</v>
      </c>
      <c r="S1646" s="221"/>
      <c r="T1646" s="221"/>
      <c r="U1646" s="221"/>
      <c r="V1646" s="221"/>
      <c r="W1646" s="221"/>
      <c r="X1646" s="221"/>
      <c r="Y1646" s="227"/>
      <c r="Z1646" s="227" t="str">
        <f t="shared" si="61"/>
        <v>HUBFEEDER KLAMPOK</v>
      </c>
      <c r="AA1646" s="276">
        <f>VLOOKUP(Logfile_S12[[#This Row],[DO number]],DO_DB!G:I,3,0)</f>
        <v>45602</v>
      </c>
      <c r="AB1646" s="331" t="b">
        <f>EXACT(Logfile_S12[[#This Row],[date pick]],Logfile_S12[[#This Row],[Date]])</f>
        <v>1</v>
      </c>
      <c r="AC16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47" spans="1:29" s="202" customFormat="1" ht="14.5" hidden="1">
      <c r="A1647" s="220" t="str">
        <f t="shared" si="60"/>
        <v>1643</v>
      </c>
      <c r="B1647" s="221"/>
      <c r="C1647" s="221" t="s">
        <v>48</v>
      </c>
      <c r="D1647" s="221" t="s">
        <v>4272</v>
      </c>
      <c r="E1647" s="221" t="s">
        <v>3295</v>
      </c>
      <c r="F1647" s="221" t="s">
        <v>3299</v>
      </c>
      <c r="G1647" s="222">
        <v>45602</v>
      </c>
      <c r="H1647" s="223">
        <v>15.291666666666666</v>
      </c>
      <c r="I1647" s="221" t="s">
        <v>37</v>
      </c>
      <c r="J1647" s="221" t="s">
        <v>3023</v>
      </c>
      <c r="K1647" s="224" t="s">
        <v>3070</v>
      </c>
      <c r="L1647" s="225" t="str">
        <f>VLOOKUP(Logfile_S12[[#This Row],[Material Name]],Sheet2!B:C,2,0)</f>
        <v>ZTE1002</v>
      </c>
      <c r="M1647" s="225" t="str">
        <f>_xlfn.XLOOKUP(Logfile_S12[[#This Row],[Material Name]],Sum_WH!E:E,Sum_WH!F:F,"",0)</f>
        <v>Pcs</v>
      </c>
      <c r="N1647" s="221">
        <v>10</v>
      </c>
      <c r="O1647" s="221" t="s">
        <v>2360</v>
      </c>
      <c r="P1647" s="221" t="s">
        <v>2361</v>
      </c>
      <c r="Q1647" s="221" t="s">
        <v>2364</v>
      </c>
      <c r="R1647" s="221" t="s">
        <v>2363</v>
      </c>
      <c r="S1647" s="221"/>
      <c r="T1647" s="221"/>
      <c r="U1647" s="221"/>
      <c r="V1647" s="221"/>
      <c r="W1647" s="221"/>
      <c r="X1647" s="221"/>
      <c r="Y1647" s="227"/>
      <c r="Z1647" s="227" t="str">
        <f t="shared" si="61"/>
        <v>Tambakasri RW 02 Tajinan</v>
      </c>
      <c r="AA1647" s="276">
        <f>VLOOKUP(Logfile_S12[[#This Row],[DO number]],DO_DB!G:I,3,0)</f>
        <v>45602</v>
      </c>
      <c r="AB1647" s="331" t="b">
        <f>EXACT(Logfile_S12[[#This Row],[date pick]],Logfile_S12[[#This Row],[Date]])</f>
        <v>1</v>
      </c>
      <c r="AC16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48" spans="1:29" s="202" customFormat="1" ht="14.5" hidden="1">
      <c r="A1648" s="220" t="str">
        <f t="shared" si="60"/>
        <v>1644</v>
      </c>
      <c r="B1648" s="221"/>
      <c r="C1648" s="221" t="s">
        <v>49</v>
      </c>
      <c r="D1648" s="221" t="s">
        <v>4271</v>
      </c>
      <c r="E1648" s="221" t="s">
        <v>3295</v>
      </c>
      <c r="F1648" s="221" t="s">
        <v>3299</v>
      </c>
      <c r="G1648" s="222">
        <v>45602</v>
      </c>
      <c r="H1648" s="223">
        <v>0.35069444444444442</v>
      </c>
      <c r="I1648" s="221" t="s">
        <v>4916</v>
      </c>
      <c r="J1648" s="221" t="s">
        <v>3023</v>
      </c>
      <c r="K1648" s="224" t="s">
        <v>3070</v>
      </c>
      <c r="L1648" s="225" t="str">
        <f>VLOOKUP(Logfile_S12[[#This Row],[Material Name]],Sheet2!B:C,2,0)</f>
        <v>ZTE1002</v>
      </c>
      <c r="M1648" s="225" t="str">
        <f>_xlfn.XLOOKUP(Logfile_S12[[#This Row],[Material Name]],Sum_WH!E:E,Sum_WH!F:F,"",0)</f>
        <v>Pcs</v>
      </c>
      <c r="N1648" s="221">
        <v>3</v>
      </c>
      <c r="O1648" s="221" t="s">
        <v>1395</v>
      </c>
      <c r="P1648" s="221" t="s">
        <v>1396</v>
      </c>
      <c r="Q1648" s="221"/>
      <c r="R1648" s="221"/>
      <c r="S1648" s="221"/>
      <c r="T1648" s="221" t="s">
        <v>3258</v>
      </c>
      <c r="U1648" s="221">
        <v>0</v>
      </c>
      <c r="V1648" s="221" t="s">
        <v>3337</v>
      </c>
      <c r="W1648" s="221" t="s">
        <v>3338</v>
      </c>
      <c r="X1648" s="221"/>
      <c r="Y1648" s="227"/>
      <c r="Z1648" s="227" t="str">
        <f t="shared" si="61"/>
        <v>Candirenggo RW 10 Singosari</v>
      </c>
      <c r="AA1648" s="276" t="e">
        <f>VLOOKUP(Logfile_S12[[#This Row],[DO number]],DO_DB!G:I,3,0)</f>
        <v>#N/A</v>
      </c>
      <c r="AB1648" s="331" t="e">
        <f>EXACT(Logfile_S12[[#This Row],[date pick]],Logfile_S12[[#This Row],[Date]])</f>
        <v>#N/A</v>
      </c>
      <c r="AC16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49" spans="1:29" s="202" customFormat="1" ht="14.5" hidden="1">
      <c r="A1649" s="220" t="str">
        <f t="shared" si="60"/>
        <v>1645</v>
      </c>
      <c r="B1649" s="221"/>
      <c r="C1649" s="221" t="s">
        <v>49</v>
      </c>
      <c r="D1649" s="221" t="s">
        <v>4277</v>
      </c>
      <c r="E1649" s="221" t="s">
        <v>3295</v>
      </c>
      <c r="F1649" s="221" t="s">
        <v>3299</v>
      </c>
      <c r="G1649" s="222">
        <v>45616</v>
      </c>
      <c r="H1649" s="223">
        <v>0.55902777777777779</v>
      </c>
      <c r="I1649" s="221" t="s">
        <v>4916</v>
      </c>
      <c r="J1649" s="221" t="s">
        <v>3023</v>
      </c>
      <c r="K1649" s="224" t="s">
        <v>3070</v>
      </c>
      <c r="L1649" s="225" t="str">
        <f>VLOOKUP(Logfile_S12[[#This Row],[Material Name]],Sheet2!B:C,2,0)</f>
        <v>ZTE1002</v>
      </c>
      <c r="M1649" s="225" t="str">
        <f>_xlfn.XLOOKUP(Logfile_S12[[#This Row],[Material Name]],Sum_WH!E:E,Sum_WH!F:F,"",0)</f>
        <v>Pcs</v>
      </c>
      <c r="N1649" s="221">
        <v>2</v>
      </c>
      <c r="O1649" s="221" t="s">
        <v>2350</v>
      </c>
      <c r="P1649" s="221" t="s">
        <v>3409</v>
      </c>
      <c r="Q1649" s="221"/>
      <c r="R1649" s="221"/>
      <c r="S1649" s="221"/>
      <c r="T1649" s="221" t="s">
        <v>3258</v>
      </c>
      <c r="U1649" s="221">
        <v>0</v>
      </c>
      <c r="V1649" s="221" t="s">
        <v>3337</v>
      </c>
      <c r="W1649" s="221" t="s">
        <v>3338</v>
      </c>
      <c r="X1649" s="221"/>
      <c r="Y1649" s="227"/>
      <c r="Z1649" s="227" t="str">
        <f t="shared" si="61"/>
        <v>Kalirejo RW 13 Lawang Malang</v>
      </c>
      <c r="AA1649" s="276" t="e">
        <f>VLOOKUP(Logfile_S12[[#This Row],[DO number]],DO_DB!G:I,3,0)</f>
        <v>#N/A</v>
      </c>
      <c r="AB1649" s="331" t="e">
        <f>EXACT(Logfile_S12[[#This Row],[date pick]],Logfile_S12[[#This Row],[Date]])</f>
        <v>#N/A</v>
      </c>
      <c r="AC16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50" spans="1:29" s="202" customFormat="1" ht="14.5" hidden="1">
      <c r="A1650" s="220" t="str">
        <f t="shared" si="60"/>
        <v>1646</v>
      </c>
      <c r="B1650" s="221"/>
      <c r="C1650" s="221" t="s">
        <v>49</v>
      </c>
      <c r="D1650" s="221" t="s">
        <v>4282</v>
      </c>
      <c r="E1650" s="221" t="s">
        <v>3295</v>
      </c>
      <c r="F1650" s="221" t="s">
        <v>3299</v>
      </c>
      <c r="G1650" s="222">
        <v>45617</v>
      </c>
      <c r="H1650" s="223">
        <v>0.58819444444444446</v>
      </c>
      <c r="I1650" s="221" t="s">
        <v>4916</v>
      </c>
      <c r="J1650" s="221" t="s">
        <v>3023</v>
      </c>
      <c r="K1650" s="224" t="s">
        <v>3070</v>
      </c>
      <c r="L1650" s="225" t="str">
        <f>VLOOKUP(Logfile_S12[[#This Row],[Material Name]],Sheet2!B:C,2,0)</f>
        <v>ZTE1002</v>
      </c>
      <c r="M1650" s="225" t="str">
        <f>_xlfn.XLOOKUP(Logfile_S12[[#This Row],[Material Name]],Sum_WH!E:E,Sum_WH!F:F,"",0)</f>
        <v>Pcs</v>
      </c>
      <c r="N1650" s="221">
        <v>3</v>
      </c>
      <c r="O1650" s="221" t="s">
        <v>2350</v>
      </c>
      <c r="P1650" s="221" t="s">
        <v>3409</v>
      </c>
      <c r="Q1650" s="221"/>
      <c r="R1650" s="221"/>
      <c r="S1650" s="221"/>
      <c r="T1650" s="221" t="s">
        <v>3258</v>
      </c>
      <c r="U1650" s="221">
        <v>0</v>
      </c>
      <c r="V1650" s="221" t="s">
        <v>3337</v>
      </c>
      <c r="W1650" s="221" t="s">
        <v>3338</v>
      </c>
      <c r="X1650" s="221"/>
      <c r="Y1650" s="227"/>
      <c r="Z1650" s="227" t="str">
        <f t="shared" si="61"/>
        <v>Kalirejo RW 13 Lawang Malang</v>
      </c>
      <c r="AA1650" s="276" t="e">
        <f>VLOOKUP(Logfile_S12[[#This Row],[DO number]],DO_DB!G:I,3,0)</f>
        <v>#N/A</v>
      </c>
      <c r="AB1650" s="331" t="e">
        <f>EXACT(Logfile_S12[[#This Row],[date pick]],Logfile_S12[[#This Row],[Date]])</f>
        <v>#N/A</v>
      </c>
      <c r="AC16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51" spans="1:29" s="202" customFormat="1" ht="14.5" hidden="1">
      <c r="A1651" s="220" t="str">
        <f t="shared" si="60"/>
        <v>1647</v>
      </c>
      <c r="B1651" s="221"/>
      <c r="C1651" s="221" t="s">
        <v>48</v>
      </c>
      <c r="D1651" s="221" t="s">
        <v>4290</v>
      </c>
      <c r="E1651" s="221" t="s">
        <v>3295</v>
      </c>
      <c r="F1651" s="221" t="s">
        <v>3299</v>
      </c>
      <c r="G1651" s="222">
        <v>45622</v>
      </c>
      <c r="H1651" s="223">
        <v>15.291666666666666</v>
      </c>
      <c r="I1651" s="221" t="s">
        <v>37</v>
      </c>
      <c r="J1651" s="221" t="s">
        <v>3023</v>
      </c>
      <c r="K1651" s="224" t="s">
        <v>3070</v>
      </c>
      <c r="L1651" s="225" t="str">
        <f>VLOOKUP(Logfile_S12[[#This Row],[Material Name]],Sheet2!B:C,2,0)</f>
        <v>ZTE1002</v>
      </c>
      <c r="M1651" s="225" t="str">
        <f>_xlfn.XLOOKUP(Logfile_S12[[#This Row],[Material Name]],Sum_WH!E:E,Sum_WH!F:F,"",0)</f>
        <v>Pcs</v>
      </c>
      <c r="N1651" s="221">
        <v>2</v>
      </c>
      <c r="O1651" s="221" t="s">
        <v>2520</v>
      </c>
      <c r="P1651" s="221" t="s">
        <v>2521</v>
      </c>
      <c r="Q1651" s="221" t="s">
        <v>2522</v>
      </c>
      <c r="R1651" s="221" t="s">
        <v>2523</v>
      </c>
      <c r="S1651" s="221"/>
      <c r="T1651" s="221"/>
      <c r="U1651" s="221"/>
      <c r="V1651" s="221"/>
      <c r="W1651" s="221"/>
      <c r="X1651" s="221"/>
      <c r="Y1651" s="227"/>
      <c r="Z1651" s="227" t="str">
        <f t="shared" si="61"/>
        <v>Perumahan Bukit Lawang Indah Malang</v>
      </c>
      <c r="AA1651" s="276">
        <f>VLOOKUP(Logfile_S12[[#This Row],[DO number]],DO_DB!G:I,3,0)</f>
        <v>45622</v>
      </c>
      <c r="AB1651" s="331" t="b">
        <f>EXACT(Logfile_S12[[#This Row],[date pick]],Logfile_S12[[#This Row],[Date]])</f>
        <v>1</v>
      </c>
      <c r="AC16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52" spans="1:29" s="202" customFormat="1" ht="14.5" hidden="1">
      <c r="A1652" s="220" t="str">
        <f t="shared" si="60"/>
        <v>1648</v>
      </c>
      <c r="B1652" s="221"/>
      <c r="C1652" s="221" t="s">
        <v>48</v>
      </c>
      <c r="D1652" s="221" t="s">
        <v>4290</v>
      </c>
      <c r="E1652" s="221" t="s">
        <v>3295</v>
      </c>
      <c r="F1652" s="221" t="s">
        <v>3299</v>
      </c>
      <c r="G1652" s="222">
        <v>45622</v>
      </c>
      <c r="H1652" s="223">
        <v>15.291666666666666</v>
      </c>
      <c r="I1652" s="221" t="s">
        <v>37</v>
      </c>
      <c r="J1652" s="221" t="s">
        <v>3023</v>
      </c>
      <c r="K1652" s="224" t="s">
        <v>3070</v>
      </c>
      <c r="L1652" s="225" t="str">
        <f>VLOOKUP(Logfile_S12[[#This Row],[Material Name]],Sheet2!B:C,2,0)</f>
        <v>ZTE1002</v>
      </c>
      <c r="M1652" s="225" t="str">
        <f>_xlfn.XLOOKUP(Logfile_S12[[#This Row],[Material Name]],Sum_WH!E:E,Sum_WH!F:F,"",0)</f>
        <v>Pcs</v>
      </c>
      <c r="N1652" s="221">
        <v>4</v>
      </c>
      <c r="O1652" s="221" t="s">
        <v>2502</v>
      </c>
      <c r="P1652" s="221" t="s">
        <v>2503</v>
      </c>
      <c r="Q1652" s="221" t="s">
        <v>2504</v>
      </c>
      <c r="R1652" s="221" t="s">
        <v>2505</v>
      </c>
      <c r="S1652" s="221"/>
      <c r="T1652" s="221"/>
      <c r="U1652" s="221"/>
      <c r="V1652" s="221"/>
      <c r="W1652" s="221"/>
      <c r="X1652" s="221"/>
      <c r="Y1652" s="227"/>
      <c r="Z1652" s="227" t="str">
        <f t="shared" si="61"/>
        <v>Bedali RW 03 Kromengan</v>
      </c>
      <c r="AA1652" s="276">
        <f>VLOOKUP(Logfile_S12[[#This Row],[DO number]],DO_DB!G:I,3,0)</f>
        <v>45622</v>
      </c>
      <c r="AB1652" s="331" t="b">
        <f>EXACT(Logfile_S12[[#This Row],[date pick]],Logfile_S12[[#This Row],[Date]])</f>
        <v>1</v>
      </c>
      <c r="AC16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53" spans="1:29" ht="14.5" hidden="1">
      <c r="A1653" s="220" t="str">
        <f t="shared" si="60"/>
        <v>1649</v>
      </c>
      <c r="B1653" s="221"/>
      <c r="C1653" s="221" t="s">
        <v>48</v>
      </c>
      <c r="D1653" s="221" t="s">
        <v>4290</v>
      </c>
      <c r="E1653" s="221" t="s">
        <v>3295</v>
      </c>
      <c r="F1653" s="221" t="s">
        <v>3299</v>
      </c>
      <c r="G1653" s="222">
        <v>45622</v>
      </c>
      <c r="H1653" s="223">
        <v>15.291666666666666</v>
      </c>
      <c r="I1653" s="221" t="s">
        <v>37</v>
      </c>
      <c r="J1653" s="221" t="s">
        <v>3023</v>
      </c>
      <c r="K1653" s="224" t="s">
        <v>3070</v>
      </c>
      <c r="L1653" s="225" t="str">
        <f>VLOOKUP(Logfile_S12[[#This Row],[Material Name]],Sheet2!B:C,2,0)</f>
        <v>ZTE1002</v>
      </c>
      <c r="M1653" s="225" t="str">
        <f>_xlfn.XLOOKUP(Logfile_S12[[#This Row],[Material Name]],Sum_WH!E:E,Sum_WH!F:F,"",0)</f>
        <v>Pcs</v>
      </c>
      <c r="N1653" s="221">
        <v>7</v>
      </c>
      <c r="O1653" s="221" t="s">
        <v>2514</v>
      </c>
      <c r="P1653" s="221" t="s">
        <v>2515</v>
      </c>
      <c r="Q1653" s="221" t="s">
        <v>2516</v>
      </c>
      <c r="R1653" s="221" t="s">
        <v>2517</v>
      </c>
      <c r="S1653" s="221"/>
      <c r="T1653" s="221"/>
      <c r="U1653" s="221"/>
      <c r="V1653" s="221"/>
      <c r="W1653" s="221"/>
      <c r="X1653" s="221"/>
      <c r="Y1653" s="227"/>
      <c r="Z1653" s="227" t="str">
        <f t="shared" si="61"/>
        <v>Bedali RW 05 Kromengan</v>
      </c>
      <c r="AA1653" s="276">
        <f>VLOOKUP(Logfile_S12[[#This Row],[DO number]],DO_DB!G:I,3,0)</f>
        <v>45622</v>
      </c>
      <c r="AB1653" s="331" t="b">
        <f>EXACT(Logfile_S12[[#This Row],[date pick]],Logfile_S12[[#This Row],[Date]])</f>
        <v>1</v>
      </c>
      <c r="AC16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54" spans="1:29" ht="14.5" hidden="1">
      <c r="A1654" s="220" t="str">
        <f t="shared" si="60"/>
        <v>1650</v>
      </c>
      <c r="B1654" s="221"/>
      <c r="C1654" s="221" t="s">
        <v>49</v>
      </c>
      <c r="D1654" s="221" t="s">
        <v>4289</v>
      </c>
      <c r="E1654" s="221" t="s">
        <v>3295</v>
      </c>
      <c r="F1654" s="221" t="s">
        <v>3299</v>
      </c>
      <c r="G1654" s="222">
        <v>45622</v>
      </c>
      <c r="H1654" s="223">
        <v>0.39583333333333331</v>
      </c>
      <c r="I1654" s="221" t="s">
        <v>4916</v>
      </c>
      <c r="J1654" s="221" t="s">
        <v>3023</v>
      </c>
      <c r="K1654" s="224" t="s">
        <v>3070</v>
      </c>
      <c r="L1654" s="225" t="str">
        <f>VLOOKUP(Logfile_S12[[#This Row],[Material Name]],Sheet2!B:C,2,0)</f>
        <v>ZTE1002</v>
      </c>
      <c r="M1654" s="225" t="str">
        <f>_xlfn.XLOOKUP(Logfile_S12[[#This Row],[Material Name]],Sum_WH!E:E,Sum_WH!F:F,"",0)</f>
        <v>Pcs</v>
      </c>
      <c r="N1654" s="221">
        <v>2</v>
      </c>
      <c r="O1654" s="221" t="s">
        <v>2502</v>
      </c>
      <c r="P1654" s="221" t="s">
        <v>2503</v>
      </c>
      <c r="Q1654" s="221"/>
      <c r="R1654" s="221"/>
      <c r="S1654" s="221"/>
      <c r="T1654" s="221" t="s">
        <v>3258</v>
      </c>
      <c r="U1654" s="221">
        <v>0</v>
      </c>
      <c r="V1654" s="221" t="s">
        <v>3337</v>
      </c>
      <c r="W1654" s="221" t="s">
        <v>3338</v>
      </c>
      <c r="X1654" s="221"/>
      <c r="Y1654" s="227"/>
      <c r="Z1654" s="227" t="str">
        <f t="shared" si="61"/>
        <v>Bedali RW 03 Kromengan</v>
      </c>
      <c r="AA1654" s="276" t="e">
        <f>VLOOKUP(Logfile_S12[[#This Row],[DO number]],DO_DB!G:I,3,0)</f>
        <v>#N/A</v>
      </c>
      <c r="AB1654" s="331" t="e">
        <f>EXACT(Logfile_S12[[#This Row],[date pick]],Logfile_S12[[#This Row],[Date]])</f>
        <v>#N/A</v>
      </c>
      <c r="AC16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55" spans="1:29" ht="14.5" hidden="1">
      <c r="A1655" s="220" t="str">
        <f t="shared" si="60"/>
        <v>1651</v>
      </c>
      <c r="B1655" s="221"/>
      <c r="C1655" s="221" t="s">
        <v>49</v>
      </c>
      <c r="D1655" s="221" t="s">
        <v>4297</v>
      </c>
      <c r="E1655" s="221" t="s">
        <v>3295</v>
      </c>
      <c r="F1655" s="221" t="s">
        <v>3299</v>
      </c>
      <c r="G1655" s="222">
        <v>45627</v>
      </c>
      <c r="H1655" s="223">
        <v>0.39583333333333331</v>
      </c>
      <c r="I1655" s="221" t="s">
        <v>4916</v>
      </c>
      <c r="J1655" s="221" t="s">
        <v>3023</v>
      </c>
      <c r="K1655" s="224" t="s">
        <v>3070</v>
      </c>
      <c r="L1655" s="225" t="str">
        <f>VLOOKUP(Logfile_S12[[#This Row],[Material Name]],Sheet2!B:C,2,0)</f>
        <v>ZTE1002</v>
      </c>
      <c r="M1655" s="225" t="str">
        <f>_xlfn.XLOOKUP(Logfile_S12[[#This Row],[Material Name]],Sum_WH!E:E,Sum_WH!F:F,"",0)</f>
        <v>Pcs</v>
      </c>
      <c r="N1655" s="221">
        <v>4</v>
      </c>
      <c r="O1655" s="221" t="s">
        <v>2502</v>
      </c>
      <c r="P1655" s="221" t="s">
        <v>2503</v>
      </c>
      <c r="Q1655" s="221"/>
      <c r="R1655" s="221"/>
      <c r="S1655" s="221"/>
      <c r="T1655" s="221" t="s">
        <v>3258</v>
      </c>
      <c r="U1655" s="221">
        <v>0</v>
      </c>
      <c r="V1655" s="221" t="s">
        <v>3337</v>
      </c>
      <c r="W1655" s="221" t="s">
        <v>3338</v>
      </c>
      <c r="X1655" s="221"/>
      <c r="Y1655" s="227"/>
      <c r="Z1655" s="227" t="str">
        <f t="shared" si="61"/>
        <v>Bedali RW 03 Kromengan</v>
      </c>
      <c r="AA1655" s="276" t="e">
        <f>VLOOKUP(Logfile_S12[[#This Row],[DO number]],DO_DB!G:I,3,0)</f>
        <v>#N/A</v>
      </c>
      <c r="AB1655" s="331" t="e">
        <f>EXACT(Logfile_S12[[#This Row],[date pick]],Logfile_S12[[#This Row],[Date]])</f>
        <v>#N/A</v>
      </c>
      <c r="AC16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56" spans="1:29" ht="14.5" hidden="1">
      <c r="A1656" s="220" t="str">
        <f t="shared" si="60"/>
        <v>1652</v>
      </c>
      <c r="B1656" s="221"/>
      <c r="C1656" s="221" t="s">
        <v>49</v>
      </c>
      <c r="D1656" s="221" t="s">
        <v>4301</v>
      </c>
      <c r="E1656" s="221" t="s">
        <v>3295</v>
      </c>
      <c r="F1656" s="221" t="s">
        <v>3299</v>
      </c>
      <c r="G1656" s="222">
        <v>45640</v>
      </c>
      <c r="H1656" s="223">
        <v>0.48541666666666666</v>
      </c>
      <c r="I1656" s="221" t="s">
        <v>4916</v>
      </c>
      <c r="J1656" s="221" t="s">
        <v>3023</v>
      </c>
      <c r="K1656" s="224" t="s">
        <v>3070</v>
      </c>
      <c r="L1656" s="225" t="str">
        <f>VLOOKUP(Logfile_S12[[#This Row],[Material Name]],Sheet2!B:C,2,0)</f>
        <v>ZTE1002</v>
      </c>
      <c r="M1656" s="225" t="str">
        <f>_xlfn.XLOOKUP(Logfile_S12[[#This Row],[Material Name]],Sum_WH!E:E,Sum_WH!F:F,"",0)</f>
        <v>Pcs</v>
      </c>
      <c r="N1656" s="221">
        <v>7</v>
      </c>
      <c r="O1656" s="221" t="s">
        <v>2549</v>
      </c>
      <c r="P1656" s="221" t="s">
        <v>2550</v>
      </c>
      <c r="Q1656" s="221"/>
      <c r="R1656" s="221"/>
      <c r="S1656" s="221"/>
      <c r="T1656" s="221" t="s">
        <v>3258</v>
      </c>
      <c r="U1656" s="221">
        <v>0</v>
      </c>
      <c r="V1656" s="221" t="s">
        <v>3337</v>
      </c>
      <c r="W1656" s="221" t="s">
        <v>3338</v>
      </c>
      <c r="X1656" s="221"/>
      <c r="Y1656" s="227"/>
      <c r="Z1656" s="227" t="str">
        <f t="shared" si="61"/>
        <v>PERMANU RW 01 MALANG</v>
      </c>
      <c r="AA1656" s="276" t="e">
        <f>VLOOKUP(Logfile_S12[[#This Row],[DO number]],DO_DB!G:I,3,0)</f>
        <v>#N/A</v>
      </c>
      <c r="AB1656" s="331" t="e">
        <f>EXACT(Logfile_S12[[#This Row],[date pick]],Logfile_S12[[#This Row],[Date]])</f>
        <v>#N/A</v>
      </c>
      <c r="AC16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57" spans="1:29" ht="14.5" hidden="1">
      <c r="A1657" s="220" t="str">
        <f t="shared" si="60"/>
        <v>1653</v>
      </c>
      <c r="B1657" s="221"/>
      <c r="C1657" s="221" t="s">
        <v>49</v>
      </c>
      <c r="D1657" s="221" t="s">
        <v>4301</v>
      </c>
      <c r="E1657" s="221" t="s">
        <v>3295</v>
      </c>
      <c r="F1657" s="221" t="s">
        <v>3299</v>
      </c>
      <c r="G1657" s="222">
        <v>45640</v>
      </c>
      <c r="H1657" s="223">
        <v>0.48541666666666666</v>
      </c>
      <c r="I1657" s="221" t="s">
        <v>4916</v>
      </c>
      <c r="J1657" s="221" t="s">
        <v>3023</v>
      </c>
      <c r="K1657" s="224" t="s">
        <v>3070</v>
      </c>
      <c r="L1657" s="225" t="str">
        <f>VLOOKUP(Logfile_S12[[#This Row],[Material Name]],Sheet2!B:C,2,0)</f>
        <v>ZTE1002</v>
      </c>
      <c r="M1657" s="225" t="str">
        <f>_xlfn.XLOOKUP(Logfile_S12[[#This Row],[Material Name]],Sum_WH!E:E,Sum_WH!F:F,"",0)</f>
        <v>Pcs</v>
      </c>
      <c r="N1657" s="221">
        <v>8</v>
      </c>
      <c r="O1657" s="221" t="s">
        <v>2535</v>
      </c>
      <c r="P1657" s="221" t="s">
        <v>3422</v>
      </c>
      <c r="Q1657" s="221"/>
      <c r="R1657" s="221"/>
      <c r="S1657" s="221"/>
      <c r="T1657" s="221" t="s">
        <v>3258</v>
      </c>
      <c r="U1657" s="221">
        <v>0</v>
      </c>
      <c r="V1657" s="221" t="s">
        <v>3337</v>
      </c>
      <c r="W1657" s="221" t="s">
        <v>3338</v>
      </c>
      <c r="X1657" s="221"/>
      <c r="Y1657" s="227"/>
      <c r="Z1657" s="227" t="str">
        <f t="shared" si="61"/>
        <v>DUSUN CUPAK RW 01</v>
      </c>
      <c r="AA1657" s="276" t="e">
        <f>VLOOKUP(Logfile_S12[[#This Row],[DO number]],DO_DB!G:I,3,0)</f>
        <v>#N/A</v>
      </c>
      <c r="AB1657" s="331" t="e">
        <f>EXACT(Logfile_S12[[#This Row],[date pick]],Logfile_S12[[#This Row],[Date]])</f>
        <v>#N/A</v>
      </c>
      <c r="AC16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58" spans="1:29" ht="14.5" hidden="1">
      <c r="A1658" s="220" t="str">
        <f t="shared" si="60"/>
        <v>1654</v>
      </c>
      <c r="B1658" s="221"/>
      <c r="C1658" s="221" t="s">
        <v>48</v>
      </c>
      <c r="D1658" s="221" t="s">
        <v>4308</v>
      </c>
      <c r="E1658" s="221" t="s">
        <v>3295</v>
      </c>
      <c r="F1658" s="221" t="s">
        <v>3299</v>
      </c>
      <c r="G1658" s="222">
        <v>45643</v>
      </c>
      <c r="H1658" s="223">
        <v>15.291666666666666</v>
      </c>
      <c r="I1658" s="221" t="s">
        <v>37</v>
      </c>
      <c r="J1658" s="221" t="s">
        <v>3023</v>
      </c>
      <c r="K1658" s="224" t="s">
        <v>3070</v>
      </c>
      <c r="L1658" s="225" t="str">
        <f>VLOOKUP(Logfile_S12[[#This Row],[Material Name]],Sheet2!B:C,2,0)</f>
        <v>ZTE1002</v>
      </c>
      <c r="M1658" s="225" t="str">
        <f>_xlfn.XLOOKUP(Logfile_S12[[#This Row],[Material Name]],Sum_WH!E:E,Sum_WH!F:F,"",0)</f>
        <v>Pcs</v>
      </c>
      <c r="N1658" s="221">
        <v>16</v>
      </c>
      <c r="O1658" s="221"/>
      <c r="P1658" s="221"/>
      <c r="Q1658" s="221">
        <v>0</v>
      </c>
      <c r="R1658" s="221">
        <v>0</v>
      </c>
      <c r="S1658" s="221"/>
      <c r="T1658" s="221"/>
      <c r="U1658" s="221"/>
      <c r="V1658" s="221"/>
      <c r="W1658" s="221"/>
      <c r="X1658" s="221"/>
      <c r="Y1658" s="227"/>
      <c r="Z1658" s="227">
        <f t="shared" si="61"/>
        <v>0</v>
      </c>
      <c r="AA1658" s="276" t="e">
        <f>VLOOKUP(Logfile_S12[[#This Row],[DO number]],DO_DB!G:I,3,0)</f>
        <v>#N/A</v>
      </c>
      <c r="AB1658" s="331" t="e">
        <f>EXACT(Logfile_S12[[#This Row],[date pick]],Logfile_S12[[#This Row],[Date]])</f>
        <v>#N/A</v>
      </c>
      <c r="AC16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59" spans="1:29" ht="14.5" hidden="1">
      <c r="A1659" s="220" t="str">
        <f t="shared" si="60"/>
        <v>1655</v>
      </c>
      <c r="B1659" s="221"/>
      <c r="C1659" s="221" t="s">
        <v>49</v>
      </c>
      <c r="D1659" s="221" t="s">
        <v>4314</v>
      </c>
      <c r="E1659" s="221" t="s">
        <v>3295</v>
      </c>
      <c r="F1659" s="221" t="s">
        <v>3299</v>
      </c>
      <c r="G1659" s="222">
        <v>45652</v>
      </c>
      <c r="H1659" s="223">
        <v>0.87708333333333333</v>
      </c>
      <c r="I1659" s="221" t="s">
        <v>4916</v>
      </c>
      <c r="J1659" s="221" t="s">
        <v>3023</v>
      </c>
      <c r="K1659" s="224" t="s">
        <v>3070</v>
      </c>
      <c r="L1659" s="225" t="str">
        <f>VLOOKUP(Logfile_S12[[#This Row],[Material Name]],Sheet2!B:C,2,0)</f>
        <v>ZTE1002</v>
      </c>
      <c r="M1659" s="225" t="str">
        <f>_xlfn.XLOOKUP(Logfile_S12[[#This Row],[Material Name]],Sum_WH!E:E,Sum_WH!F:F,"",0)</f>
        <v>Pcs</v>
      </c>
      <c r="N1659" s="221">
        <v>3</v>
      </c>
      <c r="O1659" s="221" t="s">
        <v>2543</v>
      </c>
      <c r="P1659" s="221" t="s">
        <v>2544</v>
      </c>
      <c r="Q1659" s="221"/>
      <c r="R1659" s="221"/>
      <c r="S1659" s="221"/>
      <c r="T1659" s="221" t="s">
        <v>3258</v>
      </c>
      <c r="U1659" s="221">
        <v>0</v>
      </c>
      <c r="V1659" s="221" t="s">
        <v>3337</v>
      </c>
      <c r="W1659" s="221" t="s">
        <v>3338</v>
      </c>
      <c r="X1659" s="221"/>
      <c r="Y1659" s="227"/>
      <c r="Z1659" s="227" t="str">
        <f t="shared" si="61"/>
        <v>Dusun Cupak RW 02</v>
      </c>
      <c r="AA1659" s="276" t="e">
        <f>VLOOKUP(Logfile_S12[[#This Row],[DO number]],DO_DB!G:I,3,0)</f>
        <v>#N/A</v>
      </c>
      <c r="AB1659" s="331" t="e">
        <f>EXACT(Logfile_S12[[#This Row],[date pick]],Logfile_S12[[#This Row],[Date]])</f>
        <v>#N/A</v>
      </c>
      <c r="AC16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60" spans="1:29" ht="14.5" hidden="1">
      <c r="A1660" s="220" t="str">
        <f t="shared" si="60"/>
        <v>1656</v>
      </c>
      <c r="B1660" s="221"/>
      <c r="C1660" s="221" t="s">
        <v>49</v>
      </c>
      <c r="D1660" s="221" t="s">
        <v>4320</v>
      </c>
      <c r="E1660" s="221" t="s">
        <v>3295</v>
      </c>
      <c r="F1660" s="221" t="s">
        <v>3299</v>
      </c>
      <c r="G1660" s="222">
        <v>45666</v>
      </c>
      <c r="H1660" s="223">
        <v>0.71180555555555558</v>
      </c>
      <c r="I1660" s="221" t="s">
        <v>4916</v>
      </c>
      <c r="J1660" s="221" t="s">
        <v>3023</v>
      </c>
      <c r="K1660" s="224" t="s">
        <v>3070</v>
      </c>
      <c r="L1660" s="225" t="str">
        <f>VLOOKUP(Logfile_S12[[#This Row],[Material Name]],Sheet2!B:C,2,0)</f>
        <v>ZTE1002</v>
      </c>
      <c r="M1660" s="225" t="str">
        <f>_xlfn.XLOOKUP(Logfile_S12[[#This Row],[Material Name]],Sum_WH!E:E,Sum_WH!F:F,"",0)</f>
        <v>Pcs</v>
      </c>
      <c r="N1660" s="221">
        <v>9</v>
      </c>
      <c r="O1660" s="221" t="s">
        <v>2360</v>
      </c>
      <c r="P1660" s="221" t="s">
        <v>2361</v>
      </c>
      <c r="Q1660" s="221"/>
      <c r="R1660" s="221"/>
      <c r="S1660" s="221"/>
      <c r="T1660" s="221" t="s">
        <v>3258</v>
      </c>
      <c r="U1660" s="221">
        <v>0</v>
      </c>
      <c r="V1660" s="221" t="s">
        <v>3337</v>
      </c>
      <c r="W1660" s="221" t="s">
        <v>3338</v>
      </c>
      <c r="X1660" s="221"/>
      <c r="Y1660" s="227"/>
      <c r="Z1660" s="227" t="str">
        <f t="shared" si="61"/>
        <v>Tambakasri RW 02 Tajinan</v>
      </c>
      <c r="AA1660" s="276" t="e">
        <f>VLOOKUP(Logfile_S12[[#This Row],[DO number]],DO_DB!G:I,3,0)</f>
        <v>#N/A</v>
      </c>
      <c r="AB1660" s="331" t="e">
        <f>EXACT(Logfile_S12[[#This Row],[date pick]],Logfile_S12[[#This Row],[Date]])</f>
        <v>#N/A</v>
      </c>
      <c r="AC16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61" spans="1:29" ht="14.5" hidden="1">
      <c r="A1661" s="220" t="str">
        <f t="shared" si="60"/>
        <v>1657</v>
      </c>
      <c r="B1661" s="221"/>
      <c r="C1661" s="221" t="s">
        <v>49</v>
      </c>
      <c r="D1661" s="221" t="s">
        <v>4321</v>
      </c>
      <c r="E1661" s="221" t="s">
        <v>3295</v>
      </c>
      <c r="F1661" s="221" t="s">
        <v>3299</v>
      </c>
      <c r="G1661" s="222">
        <v>45670</v>
      </c>
      <c r="H1661" s="223">
        <v>0.54166666666666663</v>
      </c>
      <c r="I1661" s="221" t="s">
        <v>4916</v>
      </c>
      <c r="J1661" s="221" t="s">
        <v>3023</v>
      </c>
      <c r="K1661" s="224" t="s">
        <v>3070</v>
      </c>
      <c r="L1661" s="225" t="str">
        <f>VLOOKUP(Logfile_S12[[#This Row],[Material Name]],Sheet2!B:C,2,0)</f>
        <v>ZTE1002</v>
      </c>
      <c r="M1661" s="225" t="str">
        <f>_xlfn.XLOOKUP(Logfile_S12[[#This Row],[Material Name]],Sum_WH!E:E,Sum_WH!F:F,"",0)</f>
        <v>Pcs</v>
      </c>
      <c r="N1661" s="221">
        <v>1</v>
      </c>
      <c r="O1661" s="221" t="s">
        <v>2360</v>
      </c>
      <c r="P1661" s="221" t="s">
        <v>2361</v>
      </c>
      <c r="Q1661" s="221"/>
      <c r="R1661" s="221"/>
      <c r="S1661" s="221"/>
      <c r="T1661" s="221" t="s">
        <v>3258</v>
      </c>
      <c r="U1661" s="221">
        <v>0</v>
      </c>
      <c r="V1661" s="221" t="s">
        <v>3337</v>
      </c>
      <c r="W1661" s="221" t="s">
        <v>3338</v>
      </c>
      <c r="X1661" s="221"/>
      <c r="Y1661" s="227"/>
      <c r="Z1661" s="227" t="str">
        <f t="shared" si="61"/>
        <v>Tambakasri RW 02 Tajinan</v>
      </c>
      <c r="AA1661" s="276" t="e">
        <f>VLOOKUP(Logfile_S12[[#This Row],[DO number]],DO_DB!G:I,3,0)</f>
        <v>#N/A</v>
      </c>
      <c r="AB1661" s="331" t="e">
        <f>EXACT(Logfile_S12[[#This Row],[date pick]],Logfile_S12[[#This Row],[Date]])</f>
        <v>#N/A</v>
      </c>
      <c r="AC16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62" spans="1:29" ht="14.5" hidden="1">
      <c r="A1662" s="220" t="str">
        <f t="shared" si="60"/>
        <v>1658</v>
      </c>
      <c r="B1662" s="221"/>
      <c r="C1662" s="221" t="s">
        <v>49</v>
      </c>
      <c r="D1662" s="221" t="s">
        <v>4325</v>
      </c>
      <c r="E1662" s="221" t="s">
        <v>3295</v>
      </c>
      <c r="F1662" s="221" t="s">
        <v>3299</v>
      </c>
      <c r="G1662" s="222">
        <v>45678</v>
      </c>
      <c r="H1662" s="223">
        <v>0.56944444444444442</v>
      </c>
      <c r="I1662" s="221" t="s">
        <v>4916</v>
      </c>
      <c r="J1662" s="221" t="s">
        <v>3023</v>
      </c>
      <c r="K1662" s="224" t="s">
        <v>3070</v>
      </c>
      <c r="L1662" s="225" t="str">
        <f>VLOOKUP(Logfile_S12[[#This Row],[Material Name]],Sheet2!B:C,2,0)</f>
        <v>ZTE1002</v>
      </c>
      <c r="M1662" s="225" t="str">
        <f>_xlfn.XLOOKUP(Logfile_S12[[#This Row],[Material Name]],Sum_WH!E:E,Sum_WH!F:F,"",0)</f>
        <v>Pcs</v>
      </c>
      <c r="N1662" s="221">
        <v>3</v>
      </c>
      <c r="O1662" s="221" t="s">
        <v>3379</v>
      </c>
      <c r="P1662" s="221" t="s">
        <v>3380</v>
      </c>
      <c r="Q1662" s="221"/>
      <c r="R1662" s="221"/>
      <c r="S1662" s="221"/>
      <c r="T1662" s="221" t="s">
        <v>3258</v>
      </c>
      <c r="U1662" s="221">
        <v>0</v>
      </c>
      <c r="V1662" s="221" t="s">
        <v>3337</v>
      </c>
      <c r="W1662" s="221" t="s">
        <v>3338</v>
      </c>
      <c r="X1662" s="221"/>
      <c r="Y1662" s="227"/>
      <c r="Z1662" s="227" t="str">
        <f t="shared" si="61"/>
        <v>Citra Kayane Residence</v>
      </c>
      <c r="AA1662" s="276" t="e">
        <f>VLOOKUP(Logfile_S12[[#This Row],[DO number]],DO_DB!G:I,3,0)</f>
        <v>#N/A</v>
      </c>
      <c r="AB1662" s="331" t="e">
        <f>EXACT(Logfile_S12[[#This Row],[date pick]],Logfile_S12[[#This Row],[Date]])</f>
        <v>#N/A</v>
      </c>
      <c r="AC16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63" spans="1:29" ht="14.5" hidden="1">
      <c r="A1663" s="220" t="str">
        <f t="shared" si="60"/>
        <v>1659</v>
      </c>
      <c r="B1663" s="221"/>
      <c r="C1663" s="221" t="s">
        <v>49</v>
      </c>
      <c r="D1663" s="221" t="s">
        <v>4329</v>
      </c>
      <c r="E1663" s="221" t="s">
        <v>3295</v>
      </c>
      <c r="F1663" s="221" t="s">
        <v>3299</v>
      </c>
      <c r="G1663" s="222">
        <v>45694</v>
      </c>
      <c r="H1663" s="223">
        <v>0.39930555555555558</v>
      </c>
      <c r="I1663" s="221" t="s">
        <v>4916</v>
      </c>
      <c r="J1663" s="221" t="s">
        <v>3023</v>
      </c>
      <c r="K1663" s="224" t="s">
        <v>3070</v>
      </c>
      <c r="L1663" s="225" t="str">
        <f>VLOOKUP(Logfile_S12[[#This Row],[Material Name]],Sheet2!B:C,2,0)</f>
        <v>ZTE1002</v>
      </c>
      <c r="M1663" s="225" t="str">
        <f>_xlfn.XLOOKUP(Logfile_S12[[#This Row],[Material Name]],Sum_WH!E:E,Sum_WH!F:F,"",0)</f>
        <v>Pcs</v>
      </c>
      <c r="N1663" s="221">
        <v>21</v>
      </c>
      <c r="O1663" s="221" t="s">
        <v>2633</v>
      </c>
      <c r="P1663" s="221" t="s">
        <v>3410</v>
      </c>
      <c r="Q1663" s="221"/>
      <c r="R1663" s="221"/>
      <c r="S1663" s="221"/>
      <c r="T1663" s="221" t="s">
        <v>3258</v>
      </c>
      <c r="U1663" s="221">
        <v>0</v>
      </c>
      <c r="V1663" s="221" t="s">
        <v>3337</v>
      </c>
      <c r="W1663" s="221" t="s">
        <v>3338</v>
      </c>
      <c r="X1663" s="221"/>
      <c r="Y1663" s="227"/>
      <c r="Z1663" s="227" t="str">
        <f t="shared" si="61"/>
        <v>PERUMAHAN DE WIRA GREEN VIEW</v>
      </c>
      <c r="AA1663" s="276" t="e">
        <f>VLOOKUP(Logfile_S12[[#This Row],[DO number]],DO_DB!G:I,3,0)</f>
        <v>#N/A</v>
      </c>
      <c r="AB1663" s="331" t="e">
        <f>EXACT(Logfile_S12[[#This Row],[date pick]],Logfile_S12[[#This Row],[Date]])</f>
        <v>#N/A</v>
      </c>
      <c r="AC16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64" spans="1:29" ht="14.5" hidden="1">
      <c r="A1664" s="220" t="str">
        <f t="shared" si="60"/>
        <v>1660</v>
      </c>
      <c r="B1664" s="221"/>
      <c r="C1664" s="221" t="s">
        <v>48</v>
      </c>
      <c r="D1664" s="221" t="s">
        <v>4335</v>
      </c>
      <c r="E1664" s="221" t="s">
        <v>3295</v>
      </c>
      <c r="F1664" s="221" t="s">
        <v>3299</v>
      </c>
      <c r="G1664" s="222">
        <v>45707</v>
      </c>
      <c r="H1664" s="223">
        <v>15.291666666666666</v>
      </c>
      <c r="I1664" s="221" t="s">
        <v>37</v>
      </c>
      <c r="J1664" s="221" t="s">
        <v>3023</v>
      </c>
      <c r="K1664" s="224" t="s">
        <v>3070</v>
      </c>
      <c r="L1664" s="225" t="str">
        <f>VLOOKUP(Logfile_S12[[#This Row],[Material Name]],Sheet2!B:C,2,0)</f>
        <v>ZTE1002</v>
      </c>
      <c r="M1664" s="225" t="str">
        <f>_xlfn.XLOOKUP(Logfile_S12[[#This Row],[Material Name]],Sum_WH!E:E,Sum_WH!F:F,"",0)</f>
        <v>Pcs</v>
      </c>
      <c r="N1664" s="221">
        <v>153</v>
      </c>
      <c r="O1664" s="221" t="s">
        <v>2648</v>
      </c>
      <c r="P1664" s="221" t="s">
        <v>2649</v>
      </c>
      <c r="Q1664" s="221" t="s">
        <v>2646</v>
      </c>
      <c r="R1664" s="221">
        <v>0</v>
      </c>
      <c r="S1664" s="221"/>
      <c r="T1664" s="221"/>
      <c r="U1664" s="221"/>
      <c r="V1664" s="221"/>
      <c r="W1664" s="221"/>
      <c r="X1664" s="221">
        <v>153</v>
      </c>
      <c r="Y1664" s="227"/>
      <c r="Z1664" s="227" t="str">
        <f t="shared" si="61"/>
        <v>Sitirejo RW 04 Wagir</v>
      </c>
      <c r="AA1664" s="276">
        <f>VLOOKUP(Logfile_S12[[#This Row],[DO number]],DO_DB!G:I,3,0)</f>
        <v>45707</v>
      </c>
      <c r="AB1664" s="331" t="b">
        <f>EXACT(Logfile_S12[[#This Row],[date pick]],Logfile_S12[[#This Row],[Date]])</f>
        <v>1</v>
      </c>
      <c r="AC16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65" spans="1:29" ht="14.5" hidden="1">
      <c r="A1665" s="220" t="str">
        <f t="shared" si="60"/>
        <v>1661</v>
      </c>
      <c r="B1665" s="221"/>
      <c r="C1665" s="221" t="s">
        <v>49</v>
      </c>
      <c r="D1665" s="221" t="s">
        <v>4332</v>
      </c>
      <c r="E1665" s="221" t="s">
        <v>3295</v>
      </c>
      <c r="F1665" s="221" t="s">
        <v>3299</v>
      </c>
      <c r="G1665" s="222">
        <v>45707</v>
      </c>
      <c r="H1665" s="223">
        <v>0.39930555555555558</v>
      </c>
      <c r="I1665" s="221" t="s">
        <v>4916</v>
      </c>
      <c r="J1665" s="221" t="s">
        <v>3023</v>
      </c>
      <c r="K1665" s="224" t="s">
        <v>3070</v>
      </c>
      <c r="L1665" s="225" t="str">
        <f>VLOOKUP(Logfile_S12[[#This Row],[Material Name]],Sheet2!B:C,2,0)</f>
        <v>ZTE1002</v>
      </c>
      <c r="M1665" s="225" t="str">
        <f>_xlfn.XLOOKUP(Logfile_S12[[#This Row],[Material Name]],Sum_WH!E:E,Sum_WH!F:F,"",0)</f>
        <v>Pcs</v>
      </c>
      <c r="N1665" s="221">
        <v>16</v>
      </c>
      <c r="O1665" s="221" t="s">
        <v>2648</v>
      </c>
      <c r="P1665" s="221" t="s">
        <v>2649</v>
      </c>
      <c r="Q1665" s="221"/>
      <c r="R1665" s="221"/>
      <c r="S1665" s="221"/>
      <c r="T1665" s="221" t="s">
        <v>3258</v>
      </c>
      <c r="U1665" s="221">
        <v>0</v>
      </c>
      <c r="V1665" s="221" t="s">
        <v>3337</v>
      </c>
      <c r="W1665" s="221" t="s">
        <v>3338</v>
      </c>
      <c r="X1665" s="221"/>
      <c r="Y1665" s="227"/>
      <c r="Z1665" s="227" t="str">
        <f t="shared" si="61"/>
        <v>Sitirejo RW 04 Wagir</v>
      </c>
      <c r="AA1665" s="276" t="e">
        <f>VLOOKUP(Logfile_S12[[#This Row],[DO number]],DO_DB!G:I,3,0)</f>
        <v>#N/A</v>
      </c>
      <c r="AB1665" s="331" t="e">
        <f>EXACT(Logfile_S12[[#This Row],[date pick]],Logfile_S12[[#This Row],[Date]])</f>
        <v>#N/A</v>
      </c>
      <c r="AC16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66" spans="1:29" ht="14.5" hidden="1">
      <c r="A1666" s="220" t="str">
        <f t="shared" si="60"/>
        <v>1662</v>
      </c>
      <c r="B1666" s="221"/>
      <c r="C1666" s="221" t="s">
        <v>49</v>
      </c>
      <c r="D1666" s="221" t="s">
        <v>4334</v>
      </c>
      <c r="E1666" s="221" t="s">
        <v>3295</v>
      </c>
      <c r="F1666" s="221" t="s">
        <v>3299</v>
      </c>
      <c r="G1666" s="222">
        <v>45708</v>
      </c>
      <c r="H1666" s="223">
        <v>0.39930555555555558</v>
      </c>
      <c r="I1666" s="221" t="s">
        <v>4916</v>
      </c>
      <c r="J1666" s="221" t="s">
        <v>3023</v>
      </c>
      <c r="K1666" s="224" t="s">
        <v>3070</v>
      </c>
      <c r="L1666" s="225" t="str">
        <f>VLOOKUP(Logfile_S12[[#This Row],[Material Name]],Sheet2!B:C,2,0)</f>
        <v>ZTE1002</v>
      </c>
      <c r="M1666" s="225" t="str">
        <f>_xlfn.XLOOKUP(Logfile_S12[[#This Row],[Material Name]],Sum_WH!E:E,Sum_WH!F:F,"",0)</f>
        <v>Pcs</v>
      </c>
      <c r="N1666" s="221">
        <v>32</v>
      </c>
      <c r="O1666" s="221" t="s">
        <v>2648</v>
      </c>
      <c r="P1666" s="221" t="s">
        <v>2649</v>
      </c>
      <c r="Q1666" s="221"/>
      <c r="R1666" s="221"/>
      <c r="S1666" s="221"/>
      <c r="T1666" s="221" t="s">
        <v>3258</v>
      </c>
      <c r="U1666" s="221">
        <v>0</v>
      </c>
      <c r="V1666" s="221" t="s">
        <v>3337</v>
      </c>
      <c r="W1666" s="221" t="s">
        <v>3338</v>
      </c>
      <c r="X1666" s="221"/>
      <c r="Y1666" s="227"/>
      <c r="Z1666" s="227" t="str">
        <f t="shared" si="61"/>
        <v>Sitirejo RW 04 Wagir</v>
      </c>
      <c r="AA1666" s="276" t="e">
        <f>VLOOKUP(Logfile_S12[[#This Row],[DO number]],DO_DB!G:I,3,0)</f>
        <v>#N/A</v>
      </c>
      <c r="AB1666" s="331" t="e">
        <f>EXACT(Logfile_S12[[#This Row],[date pick]],Logfile_S12[[#This Row],[Date]])</f>
        <v>#N/A</v>
      </c>
      <c r="AC16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67" spans="1:29" ht="14.5" hidden="1">
      <c r="A1667" s="220" t="str">
        <f t="shared" si="60"/>
        <v>1663</v>
      </c>
      <c r="B1667" s="221"/>
      <c r="C1667" s="221" t="s">
        <v>3449</v>
      </c>
      <c r="D1667" s="221" t="s">
        <v>4337</v>
      </c>
      <c r="E1667" s="221" t="s">
        <v>3295</v>
      </c>
      <c r="F1667" s="221" t="s">
        <v>3299</v>
      </c>
      <c r="G1667" s="222">
        <v>45709</v>
      </c>
      <c r="H1667" s="223">
        <v>0.27430555555555558</v>
      </c>
      <c r="I1667" s="221" t="s">
        <v>3193</v>
      </c>
      <c r="J1667" s="221" t="s">
        <v>3023</v>
      </c>
      <c r="K1667" s="224" t="s">
        <v>3070</v>
      </c>
      <c r="L1667" s="225" t="str">
        <f>VLOOKUP(Logfile_S12[[#This Row],[Material Name]],Sheet2!B:C,2,0)</f>
        <v>ZTE1002</v>
      </c>
      <c r="M1667" s="225" t="str">
        <f>_xlfn.XLOOKUP(Logfile_S12[[#This Row],[Material Name]],Sum_WH!E:E,Sum_WH!F:F,"",0)</f>
        <v>Pcs</v>
      </c>
      <c r="N1667" s="221">
        <v>62</v>
      </c>
      <c r="O1667" s="221" t="s">
        <v>4927</v>
      </c>
      <c r="P1667" s="221" t="s">
        <v>3579</v>
      </c>
      <c r="Q1667" s="221"/>
      <c r="R1667" s="221"/>
      <c r="S1667" s="221"/>
      <c r="T1667" s="221" t="s">
        <v>3574</v>
      </c>
      <c r="U1667" s="221">
        <v>0</v>
      </c>
      <c r="V1667" s="221" t="s">
        <v>3575</v>
      </c>
      <c r="W1667" s="221" t="s">
        <v>3576</v>
      </c>
      <c r="X1667" s="221" t="s">
        <v>3577</v>
      </c>
      <c r="Y1667" s="227"/>
      <c r="Z1667" s="227" t="str">
        <f t="shared" si="61"/>
        <v>MDP</v>
      </c>
      <c r="AA1667" s="276" t="e">
        <f>VLOOKUP(Logfile_S12[[#This Row],[DO number]],DO_DB!G:I,3,0)</f>
        <v>#N/A</v>
      </c>
      <c r="AB1667" s="331" t="e">
        <f>EXACT(Logfile_S12[[#This Row],[date pick]],Logfile_S12[[#This Row],[Date]])</f>
        <v>#N/A</v>
      </c>
      <c r="AC16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668" spans="1:29" ht="14.5" hidden="1">
      <c r="A1668" s="220" t="str">
        <f t="shared" si="60"/>
        <v>1664</v>
      </c>
      <c r="B1668" s="221"/>
      <c r="C1668" s="221" t="s">
        <v>49</v>
      </c>
      <c r="D1668" s="221" t="s">
        <v>4341</v>
      </c>
      <c r="E1668" s="221" t="s">
        <v>3295</v>
      </c>
      <c r="F1668" s="221" t="s">
        <v>3299</v>
      </c>
      <c r="G1668" s="222">
        <v>45709</v>
      </c>
      <c r="H1668" s="223">
        <v>0.63124999999999998</v>
      </c>
      <c r="I1668" s="221" t="s">
        <v>4916</v>
      </c>
      <c r="J1668" s="221" t="s">
        <v>3023</v>
      </c>
      <c r="K1668" s="224" t="s">
        <v>3070</v>
      </c>
      <c r="L1668" s="225" t="str">
        <f>VLOOKUP(Logfile_S12[[#This Row],[Material Name]],Sheet2!B:C,2,0)</f>
        <v>ZTE1002</v>
      </c>
      <c r="M1668" s="225" t="str">
        <f>_xlfn.XLOOKUP(Logfile_S12[[#This Row],[Material Name]],Sum_WH!E:E,Sum_WH!F:F,"",0)</f>
        <v>Pcs</v>
      </c>
      <c r="N1668" s="221">
        <v>8</v>
      </c>
      <c r="O1668" s="221" t="s">
        <v>2648</v>
      </c>
      <c r="P1668" s="221" t="s">
        <v>2649</v>
      </c>
      <c r="Q1668" s="221"/>
      <c r="R1668" s="221"/>
      <c r="S1668" s="221"/>
      <c r="T1668" s="221" t="s">
        <v>3258</v>
      </c>
      <c r="U1668" s="221">
        <v>0</v>
      </c>
      <c r="V1668" s="221" t="s">
        <v>3337</v>
      </c>
      <c r="W1668" s="221" t="s">
        <v>3338</v>
      </c>
      <c r="X1668" s="221"/>
      <c r="Y1668" s="227"/>
      <c r="Z1668" s="227" t="str">
        <f t="shared" si="61"/>
        <v>Sitirejo RW 04 Wagir</v>
      </c>
      <c r="AA1668" s="276" t="e">
        <f>VLOOKUP(Logfile_S12[[#This Row],[DO number]],DO_DB!G:I,3,0)</f>
        <v>#N/A</v>
      </c>
      <c r="AB1668" s="331" t="e">
        <f>EXACT(Logfile_S12[[#This Row],[date pick]],Logfile_S12[[#This Row],[Date]])</f>
        <v>#N/A</v>
      </c>
      <c r="AC16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69" spans="1:29" ht="14.5" hidden="1">
      <c r="A1669" s="220" t="str">
        <f t="shared" ref="A1669:A1732" si="62">TEXT(ROW(A1669)-ROW($A$4),"000")</f>
        <v>1665</v>
      </c>
      <c r="B1669" s="221"/>
      <c r="C1669" s="221" t="s">
        <v>49</v>
      </c>
      <c r="D1669" s="221" t="s">
        <v>4344</v>
      </c>
      <c r="E1669" s="221" t="s">
        <v>3295</v>
      </c>
      <c r="F1669" s="221" t="s">
        <v>3299</v>
      </c>
      <c r="G1669" s="222">
        <v>45716</v>
      </c>
      <c r="H1669" s="223">
        <v>0.63124999999999998</v>
      </c>
      <c r="I1669" s="221" t="s">
        <v>4916</v>
      </c>
      <c r="J1669" s="221" t="s">
        <v>3023</v>
      </c>
      <c r="K1669" s="224" t="s">
        <v>3070</v>
      </c>
      <c r="L1669" s="225" t="str">
        <f>VLOOKUP(Logfile_S12[[#This Row],[Material Name]],Sheet2!B:C,2,0)</f>
        <v>ZTE1002</v>
      </c>
      <c r="M1669" s="225" t="str">
        <f>_xlfn.XLOOKUP(Logfile_S12[[#This Row],[Material Name]],Sum_WH!E:E,Sum_WH!F:F,"",0)</f>
        <v>Pcs</v>
      </c>
      <c r="N1669" s="221">
        <v>16</v>
      </c>
      <c r="O1669" s="221" t="s">
        <v>4345</v>
      </c>
      <c r="P1669" s="221" t="s">
        <v>3578</v>
      </c>
      <c r="Q1669" s="221"/>
      <c r="R1669" s="221"/>
      <c r="S1669" s="221"/>
      <c r="T1669" s="221" t="s">
        <v>3258</v>
      </c>
      <c r="U1669" s="221">
        <v>0</v>
      </c>
      <c r="V1669" s="221" t="s">
        <v>3337</v>
      </c>
      <c r="W1669" s="221" t="s">
        <v>3338</v>
      </c>
      <c r="X1669" s="221"/>
      <c r="Y1669" s="227"/>
      <c r="Z1669" s="227" t="str">
        <f t="shared" si="61"/>
        <v>Perum Bayu Asri</v>
      </c>
      <c r="AA1669" s="276" t="e">
        <f>VLOOKUP(Logfile_S12[[#This Row],[DO number]],DO_DB!G:I,3,0)</f>
        <v>#N/A</v>
      </c>
      <c r="AB1669" s="331" t="e">
        <f>EXACT(Logfile_S12[[#This Row],[date pick]],Logfile_S12[[#This Row],[Date]])</f>
        <v>#N/A</v>
      </c>
      <c r="AC16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70" spans="1:29" ht="14.5" hidden="1">
      <c r="A1670" s="220" t="str">
        <f t="shared" si="62"/>
        <v>1666</v>
      </c>
      <c r="B1670" s="221"/>
      <c r="C1670" s="221" t="s">
        <v>3429</v>
      </c>
      <c r="D1670" s="221" t="s">
        <v>4348</v>
      </c>
      <c r="E1670" s="221" t="s">
        <v>3295</v>
      </c>
      <c r="F1670" s="221" t="s">
        <v>3299</v>
      </c>
      <c r="G1670" s="222">
        <v>45723</v>
      </c>
      <c r="H1670" s="223">
        <v>15.291666666666666</v>
      </c>
      <c r="I1670" s="221" t="s">
        <v>3193</v>
      </c>
      <c r="J1670" s="221" t="s">
        <v>3023</v>
      </c>
      <c r="K1670" s="224" t="s">
        <v>3070</v>
      </c>
      <c r="L1670" s="225" t="str">
        <f>VLOOKUP(Logfile_S12[[#This Row],[Material Name]],Sheet2!B:C,2,0)</f>
        <v>ZTE1002</v>
      </c>
      <c r="M1670" s="225" t="str">
        <f>_xlfn.XLOOKUP(Logfile_S12[[#This Row],[Material Name]],Sum_WH!E:E,Sum_WH!F:F,"",0)</f>
        <v>Pcs</v>
      </c>
      <c r="N1670" s="221">
        <v>62</v>
      </c>
      <c r="O1670" s="221" t="s">
        <v>4927</v>
      </c>
      <c r="P1670" s="221" t="s">
        <v>3579</v>
      </c>
      <c r="Q1670" s="221">
        <v>0</v>
      </c>
      <c r="R1670" s="221">
        <v>0</v>
      </c>
      <c r="S1670" s="221"/>
      <c r="T1670" s="221"/>
      <c r="U1670" s="221"/>
      <c r="V1670" s="221"/>
      <c r="W1670" s="221"/>
      <c r="X1670" s="221"/>
      <c r="Y1670" s="227"/>
      <c r="Z1670" s="227" t="str">
        <f t="shared" si="61"/>
        <v>MDP</v>
      </c>
      <c r="AA1670" s="276" t="e">
        <f>VLOOKUP(Logfile_S12[[#This Row],[DO number]],DO_DB!G:I,3,0)</f>
        <v>#N/A</v>
      </c>
      <c r="AB1670" s="331" t="e">
        <f>EXACT(Logfile_S12[[#This Row],[date pick]],Logfile_S12[[#This Row],[Date]])</f>
        <v>#N/A</v>
      </c>
      <c r="AC16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71" spans="1:29" ht="14.5" hidden="1">
      <c r="A1671" s="220" t="str">
        <f t="shared" si="62"/>
        <v>1667</v>
      </c>
      <c r="B1671" s="221"/>
      <c r="C1671" s="221" t="s">
        <v>49</v>
      </c>
      <c r="D1671" s="221" t="s">
        <v>4356</v>
      </c>
      <c r="E1671" s="221" t="s">
        <v>3295</v>
      </c>
      <c r="F1671" s="221" t="s">
        <v>3299</v>
      </c>
      <c r="G1671" s="222">
        <v>45738</v>
      </c>
      <c r="H1671" s="223">
        <v>0.67291666666666672</v>
      </c>
      <c r="I1671" s="221" t="s">
        <v>4916</v>
      </c>
      <c r="J1671" s="221" t="s">
        <v>3023</v>
      </c>
      <c r="K1671" s="224" t="s">
        <v>3070</v>
      </c>
      <c r="L1671" s="225" t="str">
        <f>VLOOKUP(Logfile_S12[[#This Row],[Material Name]],Sheet2!B:C,2,0)</f>
        <v>ZTE1002</v>
      </c>
      <c r="M1671" s="225" t="str">
        <f>_xlfn.XLOOKUP(Logfile_S12[[#This Row],[Material Name]],Sum_WH!E:E,Sum_WH!F:F,"",0)</f>
        <v>Pcs</v>
      </c>
      <c r="N1671" s="221">
        <v>25</v>
      </c>
      <c r="O1671" s="221" t="s">
        <v>2664</v>
      </c>
      <c r="P1671" s="221" t="s">
        <v>2665</v>
      </c>
      <c r="Q1671" s="221"/>
      <c r="R1671" s="221"/>
      <c r="S1671" s="221"/>
      <c r="T1671" s="221" t="s">
        <v>3258</v>
      </c>
      <c r="U1671" s="221">
        <v>0</v>
      </c>
      <c r="V1671" s="221" t="s">
        <v>3337</v>
      </c>
      <c r="W1671" s="221" t="s">
        <v>3338</v>
      </c>
      <c r="X1671" s="221"/>
      <c r="Y1671" s="227"/>
      <c r="Z1671" s="227" t="str">
        <f t="shared" si="61"/>
        <v>Temas RW 04</v>
      </c>
      <c r="AA1671" s="276" t="e">
        <f>VLOOKUP(Logfile_S12[[#This Row],[DO number]],DO_DB!G:I,3,0)</f>
        <v>#N/A</v>
      </c>
      <c r="AB1671" s="331" t="e">
        <f>EXACT(Logfile_S12[[#This Row],[date pick]],Logfile_S12[[#This Row],[Date]])</f>
        <v>#N/A</v>
      </c>
      <c r="AC16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72" spans="1:29" ht="14.5" hidden="1">
      <c r="A1672" s="220" t="str">
        <f t="shared" si="62"/>
        <v>1668</v>
      </c>
      <c r="B1672" s="221"/>
      <c r="C1672" s="221" t="s">
        <v>49</v>
      </c>
      <c r="D1672" s="221" t="s">
        <v>4360</v>
      </c>
      <c r="E1672" s="221" t="s">
        <v>3295</v>
      </c>
      <c r="F1672" s="221" t="s">
        <v>3299</v>
      </c>
      <c r="G1672" s="222">
        <v>45741</v>
      </c>
      <c r="H1672" s="223">
        <v>0.83125000000000004</v>
      </c>
      <c r="I1672" s="221" t="s">
        <v>4916</v>
      </c>
      <c r="J1672" s="221" t="s">
        <v>3023</v>
      </c>
      <c r="K1672" s="224" t="s">
        <v>3070</v>
      </c>
      <c r="L1672" s="225" t="str">
        <f>VLOOKUP(Logfile_S12[[#This Row],[Material Name]],Sheet2!B:C,2,0)</f>
        <v>ZTE1002</v>
      </c>
      <c r="M1672" s="225" t="str">
        <f>_xlfn.XLOOKUP(Logfile_S12[[#This Row],[Material Name]],Sum_WH!E:E,Sum_WH!F:F,"",0)</f>
        <v>Pcs</v>
      </c>
      <c r="N1672" s="221">
        <v>4</v>
      </c>
      <c r="O1672" s="221" t="s">
        <v>2664</v>
      </c>
      <c r="P1672" s="221" t="s">
        <v>2665</v>
      </c>
      <c r="Q1672" s="221"/>
      <c r="R1672" s="221"/>
      <c r="S1672" s="221"/>
      <c r="T1672" s="221" t="s">
        <v>3258</v>
      </c>
      <c r="U1672" s="221">
        <v>0</v>
      </c>
      <c r="V1672" s="221" t="s">
        <v>3337</v>
      </c>
      <c r="W1672" s="221" t="s">
        <v>3338</v>
      </c>
      <c r="X1672" s="221"/>
      <c r="Y1672" s="227"/>
      <c r="Z1672" s="227" t="str">
        <f t="shared" si="61"/>
        <v>Temas RW 04</v>
      </c>
      <c r="AA1672" s="276" t="e">
        <f>VLOOKUP(Logfile_S12[[#This Row],[DO number]],DO_DB!G:I,3,0)</f>
        <v>#N/A</v>
      </c>
      <c r="AB1672" s="331" t="e">
        <f>EXACT(Logfile_S12[[#This Row],[date pick]],Logfile_S12[[#This Row],[Date]])</f>
        <v>#N/A</v>
      </c>
      <c r="AC16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73" spans="1:29" ht="14.5" hidden="1">
      <c r="A1673" s="220" t="str">
        <f t="shared" si="62"/>
        <v>1669</v>
      </c>
      <c r="B1673" s="221"/>
      <c r="C1673" s="221" t="s">
        <v>49</v>
      </c>
      <c r="D1673" s="221" t="s">
        <v>4360</v>
      </c>
      <c r="E1673" s="221" t="s">
        <v>3295</v>
      </c>
      <c r="F1673" s="221" t="s">
        <v>3299</v>
      </c>
      <c r="G1673" s="222">
        <v>45741</v>
      </c>
      <c r="H1673" s="223">
        <v>0.83125000000000004</v>
      </c>
      <c r="I1673" s="221" t="s">
        <v>4916</v>
      </c>
      <c r="J1673" s="221" t="s">
        <v>3023</v>
      </c>
      <c r="K1673" s="224" t="s">
        <v>3070</v>
      </c>
      <c r="L1673" s="225" t="str">
        <f>VLOOKUP(Logfile_S12[[#This Row],[Material Name]],Sheet2!B:C,2,0)</f>
        <v>ZTE1002</v>
      </c>
      <c r="M1673" s="225" t="str">
        <f>_xlfn.XLOOKUP(Logfile_S12[[#This Row],[Material Name]],Sum_WH!E:E,Sum_WH!F:F,"",0)</f>
        <v>Pcs</v>
      </c>
      <c r="N1673" s="221">
        <v>25</v>
      </c>
      <c r="O1673" s="221" t="s">
        <v>2664</v>
      </c>
      <c r="P1673" s="221" t="s">
        <v>2665</v>
      </c>
      <c r="Q1673" s="221"/>
      <c r="R1673" s="221"/>
      <c r="S1673" s="221"/>
      <c r="T1673" s="221" t="s">
        <v>3258</v>
      </c>
      <c r="U1673" s="221">
        <v>0</v>
      </c>
      <c r="V1673" s="221" t="s">
        <v>3337</v>
      </c>
      <c r="W1673" s="221" t="s">
        <v>3338</v>
      </c>
      <c r="X1673" s="221"/>
      <c r="Y1673" s="227"/>
      <c r="Z1673" s="227" t="str">
        <f t="shared" si="61"/>
        <v>Temas RW 04</v>
      </c>
      <c r="AA1673" s="276" t="e">
        <f>VLOOKUP(Logfile_S12[[#This Row],[DO number]],DO_DB!G:I,3,0)</f>
        <v>#N/A</v>
      </c>
      <c r="AB1673" s="331" t="e">
        <f>EXACT(Logfile_S12[[#This Row],[date pick]],Logfile_S12[[#This Row],[Date]])</f>
        <v>#N/A</v>
      </c>
      <c r="AC16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74" spans="1:29" ht="14.5" hidden="1">
      <c r="A1674" s="220" t="str">
        <f t="shared" si="62"/>
        <v>1670</v>
      </c>
      <c r="B1674" s="221"/>
      <c r="C1674" s="221" t="s">
        <v>3449</v>
      </c>
      <c r="D1674" s="221" t="s">
        <v>4362</v>
      </c>
      <c r="E1674" s="221" t="s">
        <v>3295</v>
      </c>
      <c r="F1674" s="221" t="s">
        <v>3299</v>
      </c>
      <c r="G1674" s="222">
        <v>45776</v>
      </c>
      <c r="H1674" s="223">
        <v>0.40069444444444446</v>
      </c>
      <c r="I1674" s="221" t="s">
        <v>3193</v>
      </c>
      <c r="J1674" s="221" t="s">
        <v>3023</v>
      </c>
      <c r="K1674" s="224" t="s">
        <v>3070</v>
      </c>
      <c r="L1674" s="225" t="str">
        <f>VLOOKUP(Logfile_S12[[#This Row],[Material Name]],Sheet2!B:C,2,0)</f>
        <v>ZTE1002</v>
      </c>
      <c r="M1674" s="225" t="str">
        <f>_xlfn.XLOOKUP(Logfile_S12[[#This Row],[Material Name]],Sum_WH!E:E,Sum_WH!F:F,"",0)</f>
        <v>Pcs</v>
      </c>
      <c r="N1674" s="221">
        <v>23</v>
      </c>
      <c r="O1674" s="221" t="s">
        <v>3433</v>
      </c>
      <c r="P1674" s="221" t="s">
        <v>3450</v>
      </c>
      <c r="Q1674" s="221"/>
      <c r="R1674" s="221"/>
      <c r="S1674" s="221"/>
      <c r="T1674" s="221" t="s">
        <v>3540</v>
      </c>
      <c r="U1674" s="221">
        <v>0</v>
      </c>
      <c r="V1674" s="221">
        <v>0</v>
      </c>
      <c r="W1674" s="221" t="s">
        <v>3581</v>
      </c>
      <c r="X1674" s="221" t="s">
        <v>3580</v>
      </c>
      <c r="Y1674" s="227"/>
      <c r="Z1674" s="227" t="str">
        <f t="shared" si="61"/>
        <v>BEAUT</v>
      </c>
      <c r="AA1674" s="276" t="e">
        <f>VLOOKUP(Logfile_S12[[#This Row],[DO number]],DO_DB!G:I,3,0)</f>
        <v>#N/A</v>
      </c>
      <c r="AB1674" s="331" t="e">
        <f>EXACT(Logfile_S12[[#This Row],[date pick]],Logfile_S12[[#This Row],[Date]])</f>
        <v>#N/A</v>
      </c>
      <c r="AC16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675" spans="1:29" ht="14.5" hidden="1">
      <c r="A1675" s="220" t="str">
        <f t="shared" si="62"/>
        <v>1671</v>
      </c>
      <c r="B1675" s="221"/>
      <c r="C1675" s="221" t="s">
        <v>3429</v>
      </c>
      <c r="D1675" s="221" t="s">
        <v>4363</v>
      </c>
      <c r="E1675" s="221" t="s">
        <v>3295</v>
      </c>
      <c r="F1675" s="221" t="s">
        <v>3299</v>
      </c>
      <c r="G1675" s="222">
        <v>45795</v>
      </c>
      <c r="H1675" s="223">
        <v>15.291666666666666</v>
      </c>
      <c r="I1675" s="221" t="s">
        <v>3193</v>
      </c>
      <c r="J1675" s="221" t="s">
        <v>3023</v>
      </c>
      <c r="K1675" s="224" t="s">
        <v>3070</v>
      </c>
      <c r="L1675" s="225" t="str">
        <f>VLOOKUP(Logfile_S12[[#This Row],[Material Name]],Sheet2!B:C,2,0)</f>
        <v>ZTE1002</v>
      </c>
      <c r="M1675" s="225" t="str">
        <f>_xlfn.XLOOKUP(Logfile_S12[[#This Row],[Material Name]],Sum_WH!E:E,Sum_WH!F:F,"",0)</f>
        <v>Pcs</v>
      </c>
      <c r="N1675" s="221">
        <v>23</v>
      </c>
      <c r="O1675" s="221" t="s">
        <v>3433</v>
      </c>
      <c r="P1675" s="221" t="s">
        <v>3450</v>
      </c>
      <c r="Q1675" s="221">
        <v>0</v>
      </c>
      <c r="R1675" s="221">
        <v>0</v>
      </c>
      <c r="S1675" s="221"/>
      <c r="T1675" s="221"/>
      <c r="U1675" s="221"/>
      <c r="V1675" s="221"/>
      <c r="W1675" s="221"/>
      <c r="X1675" s="221"/>
      <c r="Y1675" s="227"/>
      <c r="Z1675" s="227" t="str">
        <f t="shared" si="61"/>
        <v>BEAUT</v>
      </c>
      <c r="AA1675" s="276" t="e">
        <f>VLOOKUP(Logfile_S12[[#This Row],[DO number]],DO_DB!G:I,3,0)</f>
        <v>#N/A</v>
      </c>
      <c r="AB1675" s="331" t="e">
        <f>EXACT(Logfile_S12[[#This Row],[date pick]],Logfile_S12[[#This Row],[Date]])</f>
        <v>#N/A</v>
      </c>
      <c r="AC16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76" spans="1:29" ht="14.5" hidden="1">
      <c r="A1676" s="220" t="str">
        <f t="shared" si="62"/>
        <v>1672</v>
      </c>
      <c r="B1676" s="221"/>
      <c r="C1676" s="221" t="s">
        <v>49</v>
      </c>
      <c r="D1676" s="221" t="s">
        <v>4365</v>
      </c>
      <c r="E1676" s="221" t="s">
        <v>3295</v>
      </c>
      <c r="F1676" s="221" t="s">
        <v>3299</v>
      </c>
      <c r="G1676" s="222">
        <v>45802</v>
      </c>
      <c r="H1676" s="223">
        <v>0.5395833333333333</v>
      </c>
      <c r="I1676" s="221" t="s">
        <v>4916</v>
      </c>
      <c r="J1676" s="221" t="s">
        <v>3023</v>
      </c>
      <c r="K1676" s="224" t="s">
        <v>3070</v>
      </c>
      <c r="L1676" s="225" t="str">
        <f>VLOOKUP(Logfile_S12[[#This Row],[Material Name]],Sheet2!B:C,2,0)</f>
        <v>ZTE1002</v>
      </c>
      <c r="M1676" s="225" t="str">
        <f>_xlfn.XLOOKUP(Logfile_S12[[#This Row],[Material Name]],Sum_WH!E:E,Sum_WH!F:F,"",0)</f>
        <v>Pcs</v>
      </c>
      <c r="N1676" s="221">
        <v>26</v>
      </c>
      <c r="O1676" s="221" t="s">
        <v>2821</v>
      </c>
      <c r="P1676" s="221" t="s">
        <v>2822</v>
      </c>
      <c r="Q1676" s="221"/>
      <c r="R1676" s="221"/>
      <c r="S1676" s="221"/>
      <c r="T1676" s="221" t="s">
        <v>3258</v>
      </c>
      <c r="U1676" s="221">
        <v>0</v>
      </c>
      <c r="V1676" s="221" t="s">
        <v>3337</v>
      </c>
      <c r="W1676" s="221" t="s">
        <v>3338</v>
      </c>
      <c r="X1676" s="221"/>
      <c r="Y1676" s="227"/>
      <c r="Z1676" s="227" t="str">
        <f t="shared" ref="Z1676:Z1739" si="63">P1676</f>
        <v>KEBONAGUNG RW 01 MALANG</v>
      </c>
      <c r="AA1676" s="276" t="e">
        <f>VLOOKUP(Logfile_S12[[#This Row],[DO number]],DO_DB!G:I,3,0)</f>
        <v>#N/A</v>
      </c>
      <c r="AB1676" s="331" t="e">
        <f>EXACT(Logfile_S12[[#This Row],[date pick]],Logfile_S12[[#This Row],[Date]])</f>
        <v>#N/A</v>
      </c>
      <c r="AC16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77" spans="1:29" ht="14.5" hidden="1">
      <c r="A1677" s="220" t="str">
        <f t="shared" si="62"/>
        <v>1673</v>
      </c>
      <c r="B1677" s="221"/>
      <c r="C1677" s="221" t="s">
        <v>49</v>
      </c>
      <c r="D1677" s="221" t="s">
        <v>4368</v>
      </c>
      <c r="E1677" s="221" t="s">
        <v>3295</v>
      </c>
      <c r="F1677" s="221" t="s">
        <v>3299</v>
      </c>
      <c r="G1677" s="222">
        <v>45805</v>
      </c>
      <c r="H1677" s="223">
        <v>0.5395833333333333</v>
      </c>
      <c r="I1677" s="221" t="s">
        <v>4916</v>
      </c>
      <c r="J1677" s="221" t="s">
        <v>3023</v>
      </c>
      <c r="K1677" s="224" t="s">
        <v>3070</v>
      </c>
      <c r="L1677" s="225" t="str">
        <f>VLOOKUP(Logfile_S12[[#This Row],[Material Name]],Sheet2!B:C,2,0)</f>
        <v>ZTE1002</v>
      </c>
      <c r="M1677" s="225" t="str">
        <f>_xlfn.XLOOKUP(Logfile_S12[[#This Row],[Material Name]],Sum_WH!E:E,Sum_WH!F:F,"",0)</f>
        <v>Pcs</v>
      </c>
      <c r="N1677" s="221">
        <v>21</v>
      </c>
      <c r="O1677" s="221" t="s">
        <v>2825</v>
      </c>
      <c r="P1677" s="221" t="s">
        <v>2826</v>
      </c>
      <c r="Q1677" s="221"/>
      <c r="R1677" s="221"/>
      <c r="S1677" s="221"/>
      <c r="T1677" s="221" t="s">
        <v>3258</v>
      </c>
      <c r="U1677" s="221">
        <v>0</v>
      </c>
      <c r="V1677" s="221" t="s">
        <v>3337</v>
      </c>
      <c r="W1677" s="221" t="s">
        <v>3338</v>
      </c>
      <c r="X1677" s="221"/>
      <c r="Y1677" s="227"/>
      <c r="Z1677" s="227" t="str">
        <f t="shared" si="63"/>
        <v>ARJOWINANGUN RW 01 MALANG</v>
      </c>
      <c r="AA1677" s="276" t="e">
        <f>VLOOKUP(Logfile_S12[[#This Row],[DO number]],DO_DB!G:I,3,0)</f>
        <v>#N/A</v>
      </c>
      <c r="AB1677" s="331" t="e">
        <f>EXACT(Logfile_S12[[#This Row],[date pick]],Logfile_S12[[#This Row],[Date]])</f>
        <v>#N/A</v>
      </c>
      <c r="AC16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78" spans="1:29" ht="14.5" hidden="1">
      <c r="A1678" s="220" t="str">
        <f t="shared" si="62"/>
        <v>1674</v>
      </c>
      <c r="B1678" s="221"/>
      <c r="C1678" s="221" t="s">
        <v>48</v>
      </c>
      <c r="D1678" s="221" t="s">
        <v>4371</v>
      </c>
      <c r="E1678" s="221" t="s">
        <v>3295</v>
      </c>
      <c r="F1678" s="221" t="s">
        <v>3299</v>
      </c>
      <c r="G1678" s="222">
        <v>45821</v>
      </c>
      <c r="H1678" s="223">
        <v>15.291666666666666</v>
      </c>
      <c r="I1678" s="221" t="s">
        <v>37</v>
      </c>
      <c r="J1678" s="221" t="s">
        <v>3023</v>
      </c>
      <c r="K1678" s="224" t="s">
        <v>3070</v>
      </c>
      <c r="L1678" s="225" t="str">
        <f>VLOOKUP(Logfile_S12[[#This Row],[Material Name]],Sheet2!B:C,2,0)</f>
        <v>ZTE1002</v>
      </c>
      <c r="M1678" s="225" t="str">
        <f>_xlfn.XLOOKUP(Logfile_S12[[#This Row],[Material Name]],Sum_WH!E:E,Sum_WH!F:F,"",0)</f>
        <v>Pcs</v>
      </c>
      <c r="N1678" s="221">
        <v>159</v>
      </c>
      <c r="O1678" s="221"/>
      <c r="P1678" s="221"/>
      <c r="Q1678" s="221">
        <v>0</v>
      </c>
      <c r="R1678" s="221">
        <v>0</v>
      </c>
      <c r="S1678" s="221"/>
      <c r="T1678" s="221"/>
      <c r="U1678" s="221"/>
      <c r="V1678" s="221"/>
      <c r="W1678" s="221"/>
      <c r="X1678" s="221"/>
      <c r="Y1678" s="227"/>
      <c r="Z1678" s="227">
        <f t="shared" si="63"/>
        <v>0</v>
      </c>
      <c r="AA1678" s="276" t="e">
        <f>VLOOKUP(Logfile_S12[[#This Row],[DO number]],DO_DB!G:I,3,0)</f>
        <v>#N/A</v>
      </c>
      <c r="AB1678" s="331" t="e">
        <f>EXACT(Logfile_S12[[#This Row],[date pick]],Logfile_S12[[#This Row],[Date]])</f>
        <v>#N/A</v>
      </c>
      <c r="AC16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79" spans="1:29" ht="14.5" hidden="1">
      <c r="A1679" s="220" t="str">
        <f t="shared" si="62"/>
        <v>1675</v>
      </c>
      <c r="B1679" s="221"/>
      <c r="C1679" s="221" t="s">
        <v>49</v>
      </c>
      <c r="D1679" s="221" t="s">
        <v>4372</v>
      </c>
      <c r="E1679" s="221" t="s">
        <v>3295</v>
      </c>
      <c r="F1679" s="221" t="s">
        <v>3299</v>
      </c>
      <c r="G1679" s="222">
        <v>45822</v>
      </c>
      <c r="H1679" s="223">
        <v>0.5395833333333333</v>
      </c>
      <c r="I1679" s="221" t="s">
        <v>4916</v>
      </c>
      <c r="J1679" s="221" t="s">
        <v>3023</v>
      </c>
      <c r="K1679" s="224" t="s">
        <v>3070</v>
      </c>
      <c r="L1679" s="225" t="str">
        <f>VLOOKUP(Logfile_S12[[#This Row],[Material Name]],Sheet2!B:C,2,0)</f>
        <v>ZTE1002</v>
      </c>
      <c r="M1679" s="225" t="str">
        <f>_xlfn.XLOOKUP(Logfile_S12[[#This Row],[Material Name]],Sum_WH!E:E,Sum_WH!F:F,"",0)</f>
        <v>Pcs</v>
      </c>
      <c r="N1679" s="221">
        <v>112</v>
      </c>
      <c r="O1679" s="221" t="s">
        <v>2809</v>
      </c>
      <c r="P1679" s="221" t="s">
        <v>2810</v>
      </c>
      <c r="Q1679" s="221"/>
      <c r="R1679" s="221"/>
      <c r="S1679" s="221"/>
      <c r="T1679" s="221" t="s">
        <v>3258</v>
      </c>
      <c r="U1679" s="221">
        <v>0</v>
      </c>
      <c r="V1679" s="221" t="s">
        <v>3337</v>
      </c>
      <c r="W1679" s="221" t="s">
        <v>3338</v>
      </c>
      <c r="X1679" s="221"/>
      <c r="Y1679" s="227"/>
      <c r="Z1679" s="227" t="str">
        <f t="shared" si="63"/>
        <v>BULULAWANG RW 01, 02, 03, 04, 06   MALANG</v>
      </c>
      <c r="AA1679" s="276" t="e">
        <f>VLOOKUP(Logfile_S12[[#This Row],[DO number]],DO_DB!G:I,3,0)</f>
        <v>#N/A</v>
      </c>
      <c r="AB1679" s="331" t="e">
        <f>EXACT(Logfile_S12[[#This Row],[date pick]],Logfile_S12[[#This Row],[Date]])</f>
        <v>#N/A</v>
      </c>
      <c r="AC16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80" spans="1:29" ht="14.5" hidden="1">
      <c r="A1680" s="220" t="str">
        <f t="shared" si="62"/>
        <v>1676</v>
      </c>
      <c r="B1680" s="221"/>
      <c r="C1680" s="221" t="s">
        <v>48</v>
      </c>
      <c r="D1680" s="221" t="s">
        <v>4374</v>
      </c>
      <c r="E1680" s="221" t="s">
        <v>3295</v>
      </c>
      <c r="F1680" s="221" t="s">
        <v>3299</v>
      </c>
      <c r="G1680" s="222">
        <v>45826</v>
      </c>
      <c r="H1680" s="223">
        <v>15.291666666666666</v>
      </c>
      <c r="I1680" s="221" t="s">
        <v>37</v>
      </c>
      <c r="J1680" s="221" t="s">
        <v>3023</v>
      </c>
      <c r="K1680" s="224" t="s">
        <v>3070</v>
      </c>
      <c r="L1680" s="225" t="str">
        <f>VLOOKUP(Logfile_S12[[#This Row],[Material Name]],Sheet2!B:C,2,0)</f>
        <v>ZTE1002</v>
      </c>
      <c r="M1680" s="225" t="str">
        <f>_xlfn.XLOOKUP(Logfile_S12[[#This Row],[Material Name]],Sum_WH!E:E,Sum_WH!F:F,"",0)</f>
        <v>Pcs</v>
      </c>
      <c r="N1680" s="221">
        <v>192</v>
      </c>
      <c r="O1680" s="221"/>
      <c r="P1680" s="221"/>
      <c r="Q1680" s="221">
        <v>0</v>
      </c>
      <c r="R1680" s="221">
        <v>0</v>
      </c>
      <c r="S1680" s="221"/>
      <c r="T1680" s="221"/>
      <c r="U1680" s="221"/>
      <c r="V1680" s="221"/>
      <c r="W1680" s="221"/>
      <c r="X1680" s="221"/>
      <c r="Y1680" s="227"/>
      <c r="Z1680" s="227">
        <f t="shared" si="63"/>
        <v>0</v>
      </c>
      <c r="AA1680" s="276" t="e">
        <f>VLOOKUP(Logfile_S12[[#This Row],[DO number]],DO_DB!G:I,3,0)</f>
        <v>#N/A</v>
      </c>
      <c r="AB1680" s="331" t="e">
        <f>EXACT(Logfile_S12[[#This Row],[date pick]],Logfile_S12[[#This Row],[Date]])</f>
        <v>#N/A</v>
      </c>
      <c r="AC16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81" spans="1:29" ht="14.5" hidden="1">
      <c r="A1681" s="220" t="str">
        <f t="shared" si="62"/>
        <v>1677</v>
      </c>
      <c r="B1681" s="221"/>
      <c r="C1681" s="221" t="s">
        <v>49</v>
      </c>
      <c r="D1681" s="221" t="s">
        <v>4376</v>
      </c>
      <c r="E1681" s="221" t="s">
        <v>3295</v>
      </c>
      <c r="F1681" s="221" t="s">
        <v>3299</v>
      </c>
      <c r="G1681" s="222">
        <v>45827</v>
      </c>
      <c r="H1681" s="223">
        <v>0.64583333333333337</v>
      </c>
      <c r="I1681" s="221" t="s">
        <v>4916</v>
      </c>
      <c r="J1681" s="221" t="s">
        <v>3023</v>
      </c>
      <c r="K1681" s="224" t="s">
        <v>3070</v>
      </c>
      <c r="L1681" s="225" t="str">
        <f>VLOOKUP(Logfile_S12[[#This Row],[Material Name]],Sheet2!B:C,2,0)</f>
        <v>ZTE1002</v>
      </c>
      <c r="M1681" s="225" t="str">
        <f>_xlfn.XLOOKUP(Logfile_S12[[#This Row],[Material Name]],Sum_WH!E:E,Sum_WH!F:F,"",0)</f>
        <v>Pcs</v>
      </c>
      <c r="N1681" s="221">
        <v>10</v>
      </c>
      <c r="O1681" s="221" t="s">
        <v>2855</v>
      </c>
      <c r="P1681" s="221" t="s">
        <v>2856</v>
      </c>
      <c r="Q1681" s="221"/>
      <c r="R1681" s="221"/>
      <c r="S1681" s="221"/>
      <c r="T1681" s="221" t="s">
        <v>3231</v>
      </c>
      <c r="U1681" s="221">
        <v>0</v>
      </c>
      <c r="V1681" s="221" t="s">
        <v>3375</v>
      </c>
      <c r="W1681" s="221" t="s">
        <v>3249</v>
      </c>
      <c r="X1681" s="221"/>
      <c r="Y1681" s="227"/>
      <c r="Z1681" s="227" t="str">
        <f t="shared" si="63"/>
        <v>DESA KARANGANYAR KIDUL PONCOKUSUMO   MALANG</v>
      </c>
      <c r="AA1681" s="276" t="e">
        <f>VLOOKUP(Logfile_S12[[#This Row],[DO number]],DO_DB!G:I,3,0)</f>
        <v>#N/A</v>
      </c>
      <c r="AB1681" s="331" t="e">
        <f>EXACT(Logfile_S12[[#This Row],[date pick]],Logfile_S12[[#This Row],[Date]])</f>
        <v>#N/A</v>
      </c>
      <c r="AC16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82" spans="1:29" ht="14.5" hidden="1">
      <c r="A1682" s="220" t="str">
        <f t="shared" si="62"/>
        <v>1678</v>
      </c>
      <c r="B1682" s="221"/>
      <c r="C1682" s="221" t="s">
        <v>49</v>
      </c>
      <c r="D1682" s="221" t="s">
        <v>4375</v>
      </c>
      <c r="E1682" s="221" t="s">
        <v>3295</v>
      </c>
      <c r="F1682" s="221" t="s">
        <v>3299</v>
      </c>
      <c r="G1682" s="222">
        <v>45827</v>
      </c>
      <c r="H1682" s="223">
        <v>0.53541666666666665</v>
      </c>
      <c r="I1682" s="221" t="s">
        <v>4916</v>
      </c>
      <c r="J1682" s="221" t="s">
        <v>3023</v>
      </c>
      <c r="K1682" s="224" t="s">
        <v>3070</v>
      </c>
      <c r="L1682" s="225" t="str">
        <f>VLOOKUP(Logfile_S12[[#This Row],[Material Name]],Sheet2!B:C,2,0)</f>
        <v>ZTE1002</v>
      </c>
      <c r="M1682" s="225" t="str">
        <f>_xlfn.XLOOKUP(Logfile_S12[[#This Row],[Material Name]],Sum_WH!E:E,Sum_WH!F:F,"",0)</f>
        <v>Pcs</v>
      </c>
      <c r="N1682" s="221">
        <v>167</v>
      </c>
      <c r="O1682" s="221" t="s">
        <v>2851</v>
      </c>
      <c r="P1682" s="221" t="s">
        <v>2852</v>
      </c>
      <c r="Q1682" s="221"/>
      <c r="R1682" s="221"/>
      <c r="S1682" s="221"/>
      <c r="T1682" s="221" t="s">
        <v>3231</v>
      </c>
      <c r="U1682" s="221">
        <v>0</v>
      </c>
      <c r="V1682" s="221" t="s">
        <v>3375</v>
      </c>
      <c r="W1682" s="221" t="s">
        <v>3249</v>
      </c>
      <c r="X1682" s="221"/>
      <c r="Y1682" s="227"/>
      <c r="Z1682" s="227" t="str">
        <f t="shared" si="63"/>
        <v>DESA KRAJANI PONCOKUSUMO MALANG</v>
      </c>
      <c r="AA1682" s="276" t="e">
        <f>VLOOKUP(Logfile_S12[[#This Row],[DO number]],DO_DB!G:I,3,0)</f>
        <v>#N/A</v>
      </c>
      <c r="AB1682" s="331" t="e">
        <f>EXACT(Logfile_S12[[#This Row],[date pick]],Logfile_S12[[#This Row],[Date]])</f>
        <v>#N/A</v>
      </c>
      <c r="AC16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83" spans="1:29" ht="14.5" hidden="1">
      <c r="A1683" s="220" t="str">
        <f t="shared" si="62"/>
        <v>1679</v>
      </c>
      <c r="B1683" s="221"/>
      <c r="C1683" s="221" t="s">
        <v>49</v>
      </c>
      <c r="D1683" s="221" t="s">
        <v>4386</v>
      </c>
      <c r="E1683" s="221" t="s">
        <v>3295</v>
      </c>
      <c r="F1683" s="221" t="s">
        <v>3299</v>
      </c>
      <c r="G1683" s="222">
        <v>45834</v>
      </c>
      <c r="H1683" s="223">
        <v>0.64583333333333337</v>
      </c>
      <c r="I1683" s="221" t="s">
        <v>4916</v>
      </c>
      <c r="J1683" s="221" t="s">
        <v>3023</v>
      </c>
      <c r="K1683" s="224" t="s">
        <v>3070</v>
      </c>
      <c r="L1683" s="225" t="str">
        <f>VLOOKUP(Logfile_S12[[#This Row],[Material Name]],Sheet2!B:C,2,0)</f>
        <v>ZTE1002</v>
      </c>
      <c r="M1683" s="225" t="str">
        <f>_xlfn.XLOOKUP(Logfile_S12[[#This Row],[Material Name]],Sum_WH!E:E,Sum_WH!F:F,"",0)</f>
        <v>Pcs</v>
      </c>
      <c r="N1683" s="221">
        <v>10</v>
      </c>
      <c r="O1683" s="221" t="s">
        <v>2843</v>
      </c>
      <c r="P1683" s="221" t="s">
        <v>2844</v>
      </c>
      <c r="Q1683" s="221"/>
      <c r="R1683" s="221"/>
      <c r="S1683" s="221"/>
      <c r="T1683" s="221" t="s">
        <v>3231</v>
      </c>
      <c r="U1683" s="221">
        <v>0</v>
      </c>
      <c r="V1683" s="221" t="s">
        <v>3375</v>
      </c>
      <c r="W1683" s="221" t="s">
        <v>3249</v>
      </c>
      <c r="X1683" s="221"/>
      <c r="Y1683" s="227"/>
      <c r="Z1683" s="227" t="str">
        <f t="shared" si="63"/>
        <v>DUSUN LOR KALI PONCOKUSUMO MALANG</v>
      </c>
      <c r="AA1683" s="276" t="e">
        <f>VLOOKUP(Logfile_S12[[#This Row],[DO number]],DO_DB!G:I,3,0)</f>
        <v>#N/A</v>
      </c>
      <c r="AB1683" s="331" t="e">
        <f>EXACT(Logfile_S12[[#This Row],[date pick]],Logfile_S12[[#This Row],[Date]])</f>
        <v>#N/A</v>
      </c>
      <c r="AC16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84" spans="1:29" ht="14.5" hidden="1">
      <c r="A1684" s="220" t="str">
        <f t="shared" si="62"/>
        <v>1680</v>
      </c>
      <c r="B1684" s="221"/>
      <c r="C1684" s="221" t="s">
        <v>49</v>
      </c>
      <c r="D1684" s="221" t="s">
        <v>4390</v>
      </c>
      <c r="E1684" s="221" t="s">
        <v>3295</v>
      </c>
      <c r="F1684" s="221" t="s">
        <v>3299</v>
      </c>
      <c r="G1684" s="222">
        <v>45837</v>
      </c>
      <c r="H1684" s="223">
        <v>0.64583333333333337</v>
      </c>
      <c r="I1684" s="221" t="s">
        <v>4916</v>
      </c>
      <c r="J1684" s="221" t="s">
        <v>3023</v>
      </c>
      <c r="K1684" s="224" t="s">
        <v>3070</v>
      </c>
      <c r="L1684" s="225" t="str">
        <f>VLOOKUP(Logfile_S12[[#This Row],[Material Name]],Sheet2!B:C,2,0)</f>
        <v>ZTE1002</v>
      </c>
      <c r="M1684" s="225" t="str">
        <f>_xlfn.XLOOKUP(Logfile_S12[[#This Row],[Material Name]],Sum_WH!E:E,Sum_WH!F:F,"",0)</f>
        <v>Pcs</v>
      </c>
      <c r="N1684" s="221">
        <v>8</v>
      </c>
      <c r="O1684" s="221" t="s">
        <v>2847</v>
      </c>
      <c r="P1684" s="221" t="s">
        <v>2848</v>
      </c>
      <c r="Q1684" s="221"/>
      <c r="R1684" s="221"/>
      <c r="S1684" s="221"/>
      <c r="T1684" s="221" t="s">
        <v>3231</v>
      </c>
      <c r="U1684" s="221">
        <v>0</v>
      </c>
      <c r="V1684" s="221" t="s">
        <v>3375</v>
      </c>
      <c r="W1684" s="221" t="s">
        <v>3249</v>
      </c>
      <c r="X1684" s="221"/>
      <c r="Y1684" s="227"/>
      <c r="Z1684" s="227" t="str">
        <f t="shared" si="63"/>
        <v>DESA PANCURAN PONCOKUSUMO MALANG</v>
      </c>
      <c r="AA1684" s="276" t="e">
        <f>VLOOKUP(Logfile_S12[[#This Row],[DO number]],DO_DB!G:I,3,0)</f>
        <v>#N/A</v>
      </c>
      <c r="AB1684" s="331" t="e">
        <f>EXACT(Logfile_S12[[#This Row],[date pick]],Logfile_S12[[#This Row],[Date]])</f>
        <v>#N/A</v>
      </c>
      <c r="AC16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85" spans="1:29" ht="14.5" hidden="1">
      <c r="A1685" s="220" t="str">
        <f t="shared" si="62"/>
        <v>1681</v>
      </c>
      <c r="B1685" s="221"/>
      <c r="C1685" s="221" t="s">
        <v>48</v>
      </c>
      <c r="D1685" s="221" t="s">
        <v>4393</v>
      </c>
      <c r="E1685" s="221" t="s">
        <v>3295</v>
      </c>
      <c r="F1685" s="221" t="s">
        <v>3299</v>
      </c>
      <c r="G1685" s="222">
        <v>45850</v>
      </c>
      <c r="H1685" s="223">
        <v>15.291666666666666</v>
      </c>
      <c r="I1685" s="221" t="s">
        <v>37</v>
      </c>
      <c r="J1685" s="221" t="s">
        <v>3023</v>
      </c>
      <c r="K1685" s="224" t="s">
        <v>3070</v>
      </c>
      <c r="L1685" s="225" t="str">
        <f>VLOOKUP(Logfile_S12[[#This Row],[Material Name]],Sheet2!B:C,2,0)</f>
        <v>ZTE1002</v>
      </c>
      <c r="M1685" s="225" t="str">
        <f>_xlfn.XLOOKUP(Logfile_S12[[#This Row],[Material Name]],Sum_WH!E:E,Sum_WH!F:F,"",0)</f>
        <v>Pcs</v>
      </c>
      <c r="N1685" s="221">
        <v>156</v>
      </c>
      <c r="O1685" s="221" t="s">
        <v>2909</v>
      </c>
      <c r="P1685" s="221" t="s">
        <v>2910</v>
      </c>
      <c r="Q1685" s="221" t="s">
        <v>2911</v>
      </c>
      <c r="R1685" s="221" t="s">
        <v>2912</v>
      </c>
      <c r="S1685" s="221"/>
      <c r="T1685" s="221"/>
      <c r="U1685" s="221"/>
      <c r="V1685" s="221"/>
      <c r="W1685" s="221"/>
      <c r="X1685" s="221"/>
      <c r="Y1685" s="227"/>
      <c r="Z1685" s="227" t="str">
        <f t="shared" si="63"/>
        <v>KREBET RW 03</v>
      </c>
      <c r="AA1685" s="276">
        <f>VLOOKUP(Logfile_S12[[#This Row],[DO number]],DO_DB!G:I,3,0)</f>
        <v>45850</v>
      </c>
      <c r="AB1685" s="331" t="b">
        <f>EXACT(Logfile_S12[[#This Row],[date pick]],Logfile_S12[[#This Row],[Date]])</f>
        <v>1</v>
      </c>
      <c r="AC16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86" spans="1:29" ht="14.5" hidden="1">
      <c r="A1686" s="220" t="str">
        <f t="shared" si="62"/>
        <v>1682</v>
      </c>
      <c r="B1686" s="221"/>
      <c r="C1686" s="221" t="s">
        <v>49</v>
      </c>
      <c r="D1686" s="221" t="s">
        <v>4394</v>
      </c>
      <c r="E1686" s="221" t="s">
        <v>3295</v>
      </c>
      <c r="F1686" s="221" t="s">
        <v>3299</v>
      </c>
      <c r="G1686" s="222">
        <v>45854</v>
      </c>
      <c r="H1686" s="223">
        <v>0.46805555555555556</v>
      </c>
      <c r="I1686" s="221" t="s">
        <v>4916</v>
      </c>
      <c r="J1686" s="221" t="s">
        <v>3023</v>
      </c>
      <c r="K1686" s="224" t="s">
        <v>3070</v>
      </c>
      <c r="L1686" s="225" t="str">
        <f>VLOOKUP(Logfile_S12[[#This Row],[Material Name]],Sheet2!B:C,2,0)</f>
        <v>ZTE1002</v>
      </c>
      <c r="M1686" s="225" t="str">
        <f>_xlfn.XLOOKUP(Logfile_S12[[#This Row],[Material Name]],Sum_WH!E:E,Sum_WH!F:F,"",0)</f>
        <v>Pcs</v>
      </c>
      <c r="N1686" s="221">
        <v>154</v>
      </c>
      <c r="O1686" s="221" t="s">
        <v>2909</v>
      </c>
      <c r="P1686" s="221" t="s">
        <v>2910</v>
      </c>
      <c r="Q1686" s="221"/>
      <c r="R1686" s="221"/>
      <c r="S1686" s="221"/>
      <c r="T1686" s="221" t="s">
        <v>3258</v>
      </c>
      <c r="U1686" s="221">
        <v>0</v>
      </c>
      <c r="V1686" s="221" t="s">
        <v>3337</v>
      </c>
      <c r="W1686" s="221" t="s">
        <v>3338</v>
      </c>
      <c r="X1686" s="221"/>
      <c r="Y1686" s="227"/>
      <c r="Z1686" s="227" t="str">
        <f t="shared" si="63"/>
        <v>KREBET RW 03</v>
      </c>
      <c r="AA1686" s="276" t="e">
        <f>VLOOKUP(Logfile_S12[[#This Row],[DO number]],DO_DB!G:I,3,0)</f>
        <v>#N/A</v>
      </c>
      <c r="AB1686" s="331" t="e">
        <f>EXACT(Logfile_S12[[#This Row],[date pick]],Logfile_S12[[#This Row],[Date]])</f>
        <v>#N/A</v>
      </c>
      <c r="AC16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87" spans="1:29" ht="14.5" hidden="1">
      <c r="A1687" s="220" t="str">
        <f t="shared" si="62"/>
        <v>1683</v>
      </c>
      <c r="B1687" s="221"/>
      <c r="C1687" s="221" t="s">
        <v>49</v>
      </c>
      <c r="D1687" s="221" t="s">
        <v>4404</v>
      </c>
      <c r="E1687" s="221" t="s">
        <v>3295</v>
      </c>
      <c r="F1687" s="221" t="s">
        <v>3299</v>
      </c>
      <c r="G1687" s="222">
        <v>45875</v>
      </c>
      <c r="H1687" s="223">
        <v>0.47291666666666665</v>
      </c>
      <c r="I1687" s="221" t="s">
        <v>4916</v>
      </c>
      <c r="J1687" s="221" t="s">
        <v>3023</v>
      </c>
      <c r="K1687" s="224" t="s">
        <v>3070</v>
      </c>
      <c r="L1687" s="225" t="str">
        <f>VLOOKUP(Logfile_S12[[#This Row],[Material Name]],Sheet2!B:C,2,0)</f>
        <v>ZTE1002</v>
      </c>
      <c r="M1687" s="225" t="str">
        <f>_xlfn.XLOOKUP(Logfile_S12[[#This Row],[Material Name]],Sum_WH!E:E,Sum_WH!F:F,"",0)</f>
        <v>Pcs</v>
      </c>
      <c r="N1687" s="221">
        <v>36</v>
      </c>
      <c r="O1687" s="221" t="s">
        <v>2996</v>
      </c>
      <c r="P1687" s="221" t="s">
        <v>2997</v>
      </c>
      <c r="Q1687" s="221"/>
      <c r="R1687" s="221"/>
      <c r="S1687" s="221"/>
      <c r="T1687" s="221" t="s">
        <v>3258</v>
      </c>
      <c r="U1687" s="221">
        <v>0</v>
      </c>
      <c r="V1687" s="221" t="s">
        <v>3337</v>
      </c>
      <c r="W1687" s="221" t="s">
        <v>3338</v>
      </c>
      <c r="X1687" s="221"/>
      <c r="Y1687" s="227"/>
      <c r="Z1687" s="227" t="str">
        <f t="shared" si="63"/>
        <v>PERMANU RW 03 MALANG</v>
      </c>
      <c r="AA1687" s="276" t="e">
        <f>VLOOKUP(Logfile_S12[[#This Row],[DO number]],DO_DB!G:I,3,0)</f>
        <v>#N/A</v>
      </c>
      <c r="AB1687" s="331" t="e">
        <f>EXACT(Logfile_S12[[#This Row],[date pick]],Logfile_S12[[#This Row],[Date]])</f>
        <v>#N/A</v>
      </c>
      <c r="AC16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88" spans="1:29" ht="14.5" hidden="1">
      <c r="A1688" s="220" t="str">
        <f t="shared" si="62"/>
        <v>1684</v>
      </c>
      <c r="B1688" s="221"/>
      <c r="C1688" s="221" t="s">
        <v>49</v>
      </c>
      <c r="D1688" s="221" t="s">
        <v>4406</v>
      </c>
      <c r="E1688" s="221" t="s">
        <v>3295</v>
      </c>
      <c r="F1688" s="221" t="s">
        <v>3299</v>
      </c>
      <c r="G1688" s="222">
        <v>45876</v>
      </c>
      <c r="H1688" s="223">
        <v>0.47291666666666665</v>
      </c>
      <c r="I1688" s="221" t="s">
        <v>4916</v>
      </c>
      <c r="J1688" s="221" t="s">
        <v>3023</v>
      </c>
      <c r="K1688" s="224" t="s">
        <v>3070</v>
      </c>
      <c r="L1688" s="225" t="str">
        <f>VLOOKUP(Logfile_S12[[#This Row],[Material Name]],Sheet2!B:C,2,0)</f>
        <v>ZTE1002</v>
      </c>
      <c r="M1688" s="225" t="str">
        <f>_xlfn.XLOOKUP(Logfile_S12[[#This Row],[Material Name]],Sum_WH!E:E,Sum_WH!F:F,"",0)</f>
        <v>Pcs</v>
      </c>
      <c r="N1688" s="221">
        <v>1</v>
      </c>
      <c r="O1688" s="221" t="s">
        <v>2996</v>
      </c>
      <c r="P1688" s="221" t="s">
        <v>2997</v>
      </c>
      <c r="Q1688" s="221"/>
      <c r="R1688" s="221"/>
      <c r="S1688" s="221"/>
      <c r="T1688" s="221" t="s">
        <v>3258</v>
      </c>
      <c r="U1688" s="221">
        <v>0</v>
      </c>
      <c r="V1688" s="221" t="s">
        <v>3337</v>
      </c>
      <c r="W1688" s="221" t="s">
        <v>3338</v>
      </c>
      <c r="X1688" s="221"/>
      <c r="Y1688" s="227"/>
      <c r="Z1688" s="227" t="str">
        <f t="shared" si="63"/>
        <v>PERMANU RW 03 MALANG</v>
      </c>
      <c r="AA1688" s="276" t="e">
        <f>VLOOKUP(Logfile_S12[[#This Row],[DO number]],DO_DB!G:I,3,0)</f>
        <v>#N/A</v>
      </c>
      <c r="AB1688" s="331" t="e">
        <f>EXACT(Logfile_S12[[#This Row],[date pick]],Logfile_S12[[#This Row],[Date]])</f>
        <v>#N/A</v>
      </c>
      <c r="AC16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89" spans="1:29" ht="14.5" hidden="1">
      <c r="A1689" s="220" t="str">
        <f t="shared" si="62"/>
        <v>1685</v>
      </c>
      <c r="B1689" s="221"/>
      <c r="C1689" s="221" t="s">
        <v>48</v>
      </c>
      <c r="D1689" s="221" t="s">
        <v>4415</v>
      </c>
      <c r="E1689" s="221" t="s">
        <v>3295</v>
      </c>
      <c r="F1689" s="221" t="s">
        <v>3299</v>
      </c>
      <c r="G1689" s="222">
        <v>45888</v>
      </c>
      <c r="H1689" s="223">
        <v>15.291666666666666</v>
      </c>
      <c r="I1689" s="221" t="s">
        <v>37</v>
      </c>
      <c r="J1689" s="221" t="s">
        <v>3023</v>
      </c>
      <c r="K1689" s="224" t="s">
        <v>3070</v>
      </c>
      <c r="L1689" s="225" t="str">
        <f>VLOOKUP(Logfile_S12[[#This Row],[Material Name]],Sheet2!B:C,2,0)</f>
        <v>ZTE1002</v>
      </c>
      <c r="M1689" s="225" t="str">
        <f>_xlfn.XLOOKUP(Logfile_S12[[#This Row],[Material Name]],Sum_WH!E:E,Sum_WH!F:F,"",0)</f>
        <v>Pcs</v>
      </c>
      <c r="N1689" s="221">
        <v>145</v>
      </c>
      <c r="O1689" s="221" t="s">
        <v>3203</v>
      </c>
      <c r="P1689" s="221" t="s">
        <v>3598</v>
      </c>
      <c r="Q1689" s="221" t="s">
        <v>3205</v>
      </c>
      <c r="R1689" s="221" t="s">
        <v>3206</v>
      </c>
      <c r="S1689" s="221"/>
      <c r="T1689" s="221" t="s">
        <v>3258</v>
      </c>
      <c r="U1689" s="221">
        <v>0</v>
      </c>
      <c r="V1689" s="221" t="s">
        <v>3337</v>
      </c>
      <c r="W1689" s="221" t="s">
        <v>3338</v>
      </c>
      <c r="X1689" s="221"/>
      <c r="Y1689" s="227"/>
      <c r="Z1689" s="227" t="str">
        <f t="shared" si="63"/>
        <v>PERUMAHAN BULULAWANG PERMAI RW 02</v>
      </c>
      <c r="AA1689" s="276">
        <f>VLOOKUP(Logfile_S12[[#This Row],[DO number]],DO_DB!G:I,3,0)</f>
        <v>45888</v>
      </c>
      <c r="AB1689" s="331" t="b">
        <f>EXACT(Logfile_S12[[#This Row],[date pick]],Logfile_S12[[#This Row],[Date]])</f>
        <v>1</v>
      </c>
      <c r="AC16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90" spans="1:29" ht="14.5" hidden="1">
      <c r="A1690" s="220" t="str">
        <f t="shared" si="62"/>
        <v>1686</v>
      </c>
      <c r="B1690" s="221"/>
      <c r="C1690" s="221" t="s">
        <v>49</v>
      </c>
      <c r="D1690" s="221" t="s">
        <v>4414</v>
      </c>
      <c r="E1690" s="221" t="s">
        <v>3295</v>
      </c>
      <c r="F1690" s="221" t="s">
        <v>3299</v>
      </c>
      <c r="G1690" s="222">
        <v>45888</v>
      </c>
      <c r="H1690" s="223">
        <v>0.43819444444444444</v>
      </c>
      <c r="I1690" s="221" t="s">
        <v>4916</v>
      </c>
      <c r="J1690" s="221" t="s">
        <v>3023</v>
      </c>
      <c r="K1690" s="224" t="s">
        <v>3070</v>
      </c>
      <c r="L1690" s="225" t="str">
        <f>VLOOKUP(Logfile_S12[[#This Row],[Material Name]],Sheet2!B:C,2,0)</f>
        <v>ZTE1002</v>
      </c>
      <c r="M1690" s="225" t="str">
        <f>_xlfn.XLOOKUP(Logfile_S12[[#This Row],[Material Name]],Sum_WH!E:E,Sum_WH!F:F,"",0)</f>
        <v>Pcs</v>
      </c>
      <c r="N1690" s="221">
        <v>19</v>
      </c>
      <c r="O1690" s="221" t="s">
        <v>3203</v>
      </c>
      <c r="P1690" s="221" t="s">
        <v>3598</v>
      </c>
      <c r="Q1690" s="221"/>
      <c r="R1690" s="221"/>
      <c r="S1690" s="221"/>
      <c r="T1690" s="221" t="s">
        <v>3258</v>
      </c>
      <c r="U1690" s="221">
        <v>0</v>
      </c>
      <c r="V1690" s="221" t="s">
        <v>3337</v>
      </c>
      <c r="W1690" s="221" t="s">
        <v>3338</v>
      </c>
      <c r="X1690" s="221"/>
      <c r="Y1690" s="227"/>
      <c r="Z1690" s="227" t="str">
        <f t="shared" si="63"/>
        <v>PERUMAHAN BULULAWANG PERMAI RW 02</v>
      </c>
      <c r="AA1690" s="276" t="e">
        <f>VLOOKUP(Logfile_S12[[#This Row],[DO number]],DO_DB!G:I,3,0)</f>
        <v>#N/A</v>
      </c>
      <c r="AB1690" s="331" t="e">
        <f>EXACT(Logfile_S12[[#This Row],[date pick]],Logfile_S12[[#This Row],[Date]])</f>
        <v>#N/A</v>
      </c>
      <c r="AC16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91" spans="1:29" ht="14.5" hidden="1">
      <c r="A1691" s="220" t="str">
        <f t="shared" si="62"/>
        <v>1687</v>
      </c>
      <c r="B1691" s="221"/>
      <c r="C1691" s="221" t="s">
        <v>49</v>
      </c>
      <c r="D1691" s="221" t="s">
        <v>4416</v>
      </c>
      <c r="E1691" s="221" t="s">
        <v>3295</v>
      </c>
      <c r="F1691" s="221" t="s">
        <v>3299</v>
      </c>
      <c r="G1691" s="222">
        <v>45889</v>
      </c>
      <c r="H1691" s="223">
        <v>0.44097222222222221</v>
      </c>
      <c r="I1691" s="221" t="s">
        <v>4916</v>
      </c>
      <c r="J1691" s="221" t="s">
        <v>3023</v>
      </c>
      <c r="K1691" s="224" t="s">
        <v>3070</v>
      </c>
      <c r="L1691" s="225" t="str">
        <f>VLOOKUP(Logfile_S12[[#This Row],[Material Name]],Sheet2!B:C,2,0)</f>
        <v>ZTE1002</v>
      </c>
      <c r="M1691" s="225" t="str">
        <f>_xlfn.XLOOKUP(Logfile_S12[[#This Row],[Material Name]],Sum_WH!E:E,Sum_WH!F:F,"",0)</f>
        <v>Pcs</v>
      </c>
      <c r="N1691" s="221">
        <v>25</v>
      </c>
      <c r="O1691" s="221" t="s">
        <v>3203</v>
      </c>
      <c r="P1691" s="221" t="s">
        <v>3598</v>
      </c>
      <c r="Q1691" s="221"/>
      <c r="R1691" s="221"/>
      <c r="S1691" s="221"/>
      <c r="T1691" s="221" t="s">
        <v>3258</v>
      </c>
      <c r="U1691" s="221">
        <v>0</v>
      </c>
      <c r="V1691" s="221" t="s">
        <v>3337</v>
      </c>
      <c r="W1691" s="221" t="s">
        <v>3338</v>
      </c>
      <c r="X1691" s="221"/>
      <c r="Y1691" s="227"/>
      <c r="Z1691" s="227" t="str">
        <f t="shared" si="63"/>
        <v>PERUMAHAN BULULAWANG PERMAI RW 02</v>
      </c>
      <c r="AA1691" s="276" t="e">
        <f>VLOOKUP(Logfile_S12[[#This Row],[DO number]],DO_DB!G:I,3,0)</f>
        <v>#N/A</v>
      </c>
      <c r="AB1691" s="331" t="e">
        <f>EXACT(Logfile_S12[[#This Row],[date pick]],Logfile_S12[[#This Row],[Date]])</f>
        <v>#N/A</v>
      </c>
      <c r="AC16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92" spans="1:29" ht="14.5" hidden="1">
      <c r="A1692" s="220" t="str">
        <f t="shared" si="62"/>
        <v>1688</v>
      </c>
      <c r="B1692" s="221"/>
      <c r="C1692" s="221" t="s">
        <v>48</v>
      </c>
      <c r="D1692" s="221" t="s">
        <v>4425</v>
      </c>
      <c r="E1692" s="221" t="s">
        <v>3295</v>
      </c>
      <c r="F1692" s="221" t="s">
        <v>3299</v>
      </c>
      <c r="G1692" s="222">
        <v>45899</v>
      </c>
      <c r="H1692" s="223">
        <v>0.64620370370370372</v>
      </c>
      <c r="I1692" s="221" t="s">
        <v>37</v>
      </c>
      <c r="J1692" s="221" t="s">
        <v>3023</v>
      </c>
      <c r="K1692" s="224" t="s">
        <v>3070</v>
      </c>
      <c r="L1692" s="225" t="str">
        <f>VLOOKUP(Logfile_S12[[#This Row],[Material Name]],Sheet2!B:C,2,0)</f>
        <v>ZTE1002</v>
      </c>
      <c r="M1692" s="225" t="str">
        <f>_xlfn.XLOOKUP(Logfile_S12[[#This Row],[Material Name]],Sum_WH!E:E,Sum_WH!F:F,"",0)</f>
        <v>Pcs</v>
      </c>
      <c r="N1692" s="221">
        <v>49</v>
      </c>
      <c r="O1692" s="221" t="s">
        <v>3662</v>
      </c>
      <c r="P1692" s="221" t="s">
        <v>3663</v>
      </c>
      <c r="Q1692" s="221" t="s">
        <v>3664</v>
      </c>
      <c r="R1692" s="221" t="s">
        <v>3665</v>
      </c>
      <c r="S1692" s="221"/>
      <c r="T1692" s="221"/>
      <c r="U1692" s="221"/>
      <c r="V1692" s="221"/>
      <c r="W1692" s="221"/>
      <c r="X1692" s="221"/>
      <c r="Y1692" s="227"/>
      <c r="Z1692" s="227" t="str">
        <f t="shared" si="63"/>
        <v>KREBET SENGGRONG RW 02 MALANG</v>
      </c>
      <c r="AA1692" s="276">
        <f>VLOOKUP(Logfile_S12[[#This Row],[DO number]],DO_DB!G:I,3,0)</f>
        <v>45896</v>
      </c>
      <c r="AB1692" s="331" t="b">
        <f>EXACT(Logfile_S12[[#This Row],[date pick]],Logfile_S12[[#This Row],[Date]])</f>
        <v>0</v>
      </c>
      <c r="AC16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93" spans="1:29" ht="14.5" hidden="1">
      <c r="A1693" s="220" t="str">
        <f t="shared" si="62"/>
        <v>1689</v>
      </c>
      <c r="B1693" s="221">
        <v>1</v>
      </c>
      <c r="C1693" s="221" t="s">
        <v>49</v>
      </c>
      <c r="D1693" s="221" t="s">
        <v>4486</v>
      </c>
      <c r="E1693" s="221" t="s">
        <v>3295</v>
      </c>
      <c r="F1693" s="221" t="s">
        <v>3299</v>
      </c>
      <c r="G1693" s="222">
        <v>45902</v>
      </c>
      <c r="H1693" s="223">
        <v>0.64307870370370368</v>
      </c>
      <c r="I1693" s="221" t="s">
        <v>37</v>
      </c>
      <c r="J1693" s="221" t="s">
        <v>3023</v>
      </c>
      <c r="K1693" s="224" t="s">
        <v>3070</v>
      </c>
      <c r="L1693" s="225" t="str">
        <f>VLOOKUP(Logfile_S12[[#This Row],[Material Name]],Sheet2!B:C,2,0)</f>
        <v>ZTE1002</v>
      </c>
      <c r="M1693" s="225" t="str">
        <f>_xlfn.XLOOKUP(Logfile_S12[[#This Row],[Material Name]],Sum_WH!E:E,Sum_WH!F:F,"",0)</f>
        <v>Pcs</v>
      </c>
      <c r="N1693" s="221">
        <v>36</v>
      </c>
      <c r="O1693" s="221" t="s">
        <v>3662</v>
      </c>
      <c r="P1693" s="221" t="s">
        <v>3663</v>
      </c>
      <c r="Q1693" s="221" t="s">
        <v>3664</v>
      </c>
      <c r="R1693" s="221" t="s">
        <v>3665</v>
      </c>
      <c r="S1693" s="221"/>
      <c r="T1693" s="221" t="s">
        <v>3258</v>
      </c>
      <c r="U1693" s="221">
        <v>0</v>
      </c>
      <c r="V1693" s="221" t="s">
        <v>3337</v>
      </c>
      <c r="W1693" s="221" t="s">
        <v>3338</v>
      </c>
      <c r="X1693" s="221"/>
      <c r="Y1693" s="227"/>
      <c r="Z1693" s="227" t="str">
        <f t="shared" si="63"/>
        <v>KREBET SENGGRONG RW 02 MALANG</v>
      </c>
      <c r="AA1693" s="276">
        <f>VLOOKUP(Logfile_S12[[#This Row],[DO number]],DO_DB!G:I,3,0)</f>
        <v>45896</v>
      </c>
      <c r="AB1693" s="331" t="b">
        <f>EXACT(Logfile_S12[[#This Row],[date pick]],Logfile_S12[[#This Row],[Date]])</f>
        <v>0</v>
      </c>
      <c r="AC16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94" spans="1:29" ht="14.5" hidden="1">
      <c r="A1694" s="237" t="str">
        <f t="shared" si="62"/>
        <v>1690</v>
      </c>
      <c r="B1694" s="221">
        <v>2</v>
      </c>
      <c r="C1694" s="227" t="s">
        <v>49</v>
      </c>
      <c r="D1694" s="227" t="s">
        <v>4647</v>
      </c>
      <c r="E1694" s="227" t="s">
        <v>3295</v>
      </c>
      <c r="F1694" s="227" t="s">
        <v>3299</v>
      </c>
      <c r="G1694" s="239">
        <v>45909</v>
      </c>
      <c r="H1694" s="240">
        <v>0.44376157407407407</v>
      </c>
      <c r="I1694" s="227" t="s">
        <v>3295</v>
      </c>
      <c r="J1694" s="227" t="s">
        <v>3023</v>
      </c>
      <c r="K1694" s="241" t="s">
        <v>3070</v>
      </c>
      <c r="L1694" s="225" t="str">
        <f>VLOOKUP(Logfile_S12[[#This Row],[Material Name]],Sheet2!B:C,2,0)</f>
        <v>ZTE1002</v>
      </c>
      <c r="M1694" s="225" t="str">
        <f>_xlfn.XLOOKUP(Logfile_S12[[#This Row],[Material Name]],Sum_WH!E:E,Sum_WH!F:F,"",0)</f>
        <v>Pcs</v>
      </c>
      <c r="N1694" s="227">
        <v>15</v>
      </c>
      <c r="O1694" s="227" t="s">
        <v>3668</v>
      </c>
      <c r="P1694" s="227" t="s">
        <v>3669</v>
      </c>
      <c r="Q1694" s="227" t="s">
        <v>3670</v>
      </c>
      <c r="R1694" s="227" t="s">
        <v>3671</v>
      </c>
      <c r="S1694" s="227"/>
      <c r="T1694" s="221" t="s">
        <v>3258</v>
      </c>
      <c r="U1694" s="221">
        <v>0</v>
      </c>
      <c r="V1694" s="221" t="s">
        <v>3337</v>
      </c>
      <c r="W1694" s="221" t="s">
        <v>3338</v>
      </c>
      <c r="X1694" s="227"/>
      <c r="Y1694" s="227"/>
      <c r="Z1694" s="227" t="str">
        <f t="shared" si="63"/>
        <v>KREBET SENGGRONG RW 03 MALANG</v>
      </c>
      <c r="AA1694" s="276">
        <f>VLOOKUP(Logfile_S12[[#This Row],[DO number]],DO_DB!G:I,3,0)</f>
        <v>45896</v>
      </c>
      <c r="AB1694" s="331" t="b">
        <f>EXACT(Logfile_S12[[#This Row],[date pick]],Logfile_S12[[#This Row],[Date]])</f>
        <v>0</v>
      </c>
      <c r="AC16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95" spans="1:29" ht="14.5" hidden="1">
      <c r="A1695" s="237" t="str">
        <f t="shared" si="62"/>
        <v>1691</v>
      </c>
      <c r="B1695" s="221">
        <v>10</v>
      </c>
      <c r="C1695" s="227" t="s">
        <v>49</v>
      </c>
      <c r="D1695" s="227" t="s">
        <v>4661</v>
      </c>
      <c r="E1695" s="227" t="s">
        <v>3295</v>
      </c>
      <c r="F1695" s="227" t="s">
        <v>3299</v>
      </c>
      <c r="G1695" s="239">
        <v>45946</v>
      </c>
      <c r="H1695" s="240">
        <v>0.43125000000000002</v>
      </c>
      <c r="I1695" s="227" t="s">
        <v>3295</v>
      </c>
      <c r="J1695" s="221" t="s">
        <v>3023</v>
      </c>
      <c r="K1695" s="241" t="s">
        <v>3070</v>
      </c>
      <c r="L1695" s="225" t="str">
        <f>VLOOKUP(Logfile_S12[[#This Row],[Material Name]],Sheet2!B:C,2,0)</f>
        <v>ZTE1002</v>
      </c>
      <c r="M1695" s="225" t="str">
        <f>_xlfn.XLOOKUP(Logfile_S12[[#This Row],[Material Name]],Sum_WH!E:E,Sum_WH!F:F,"",0)</f>
        <v>Pcs</v>
      </c>
      <c r="N1695" s="227">
        <v>19</v>
      </c>
      <c r="O1695" s="227" t="s">
        <v>4595</v>
      </c>
      <c r="P1695" s="227" t="s">
        <v>4596</v>
      </c>
      <c r="Q1695" s="227"/>
      <c r="R1695" s="227"/>
      <c r="S1695" s="227"/>
      <c r="T1695" s="221" t="s">
        <v>3258</v>
      </c>
      <c r="U1695" s="221">
        <v>0</v>
      </c>
      <c r="V1695" s="221" t="s">
        <v>3337</v>
      </c>
      <c r="W1695" s="221" t="s">
        <v>3338</v>
      </c>
      <c r="X1695" s="227"/>
      <c r="Y1695" s="227"/>
      <c r="Z1695" s="227" t="str">
        <f t="shared" si="63"/>
        <v>Asshofa Residence</v>
      </c>
      <c r="AA1695" s="276" t="e">
        <f>VLOOKUP(Logfile_S12[[#This Row],[DO number]],DO_DB!G:I,3,0)</f>
        <v>#N/A</v>
      </c>
      <c r="AB1695" s="331" t="e">
        <f>EXACT(Logfile_S12[[#This Row],[date pick]],Logfile_S12[[#This Row],[Date]])</f>
        <v>#N/A</v>
      </c>
      <c r="AC16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96" spans="1:29" ht="14.5" hidden="1">
      <c r="A1696" s="237" t="str">
        <f t="shared" si="62"/>
        <v>1692</v>
      </c>
      <c r="B1696" s="221">
        <v>2</v>
      </c>
      <c r="C1696" s="227" t="s">
        <v>48</v>
      </c>
      <c r="D1696" s="227" t="s">
        <v>4671</v>
      </c>
      <c r="E1696" s="227" t="s">
        <v>3295</v>
      </c>
      <c r="F1696" s="227" t="s">
        <v>3299</v>
      </c>
      <c r="G1696" s="239">
        <v>45953</v>
      </c>
      <c r="H1696" s="240">
        <v>0.33333333333333331</v>
      </c>
      <c r="I1696" s="227" t="s">
        <v>37</v>
      </c>
      <c r="J1696" s="221" t="s">
        <v>3023</v>
      </c>
      <c r="K1696" s="241" t="s">
        <v>3070</v>
      </c>
      <c r="L1696" s="225" t="str">
        <f>VLOOKUP(Logfile_S12[[#This Row],[Material Name]],Sheet2!B:C,2,0)</f>
        <v>ZTE1002</v>
      </c>
      <c r="M1696" s="242" t="s">
        <v>19</v>
      </c>
      <c r="N1696" s="227">
        <v>24</v>
      </c>
      <c r="O1696" s="227" t="s">
        <v>4595</v>
      </c>
      <c r="P1696" s="227" t="s">
        <v>4596</v>
      </c>
      <c r="Q1696" s="221" t="s">
        <v>4669</v>
      </c>
      <c r="R1696" s="221" t="s">
        <v>4670</v>
      </c>
      <c r="S1696" s="227"/>
      <c r="T1696" s="221" t="s">
        <v>3258</v>
      </c>
      <c r="U1696" s="221">
        <v>0</v>
      </c>
      <c r="V1696" s="221" t="s">
        <v>3337</v>
      </c>
      <c r="W1696" s="221" t="s">
        <v>3338</v>
      </c>
      <c r="X1696" s="227"/>
      <c r="Y1696" s="227"/>
      <c r="Z1696" s="227" t="str">
        <f t="shared" si="63"/>
        <v>Asshofa Residence</v>
      </c>
      <c r="AA1696" s="276">
        <f>VLOOKUP(Logfile_S12[[#This Row],[DO number]],DO_DB!G:I,3,0)</f>
        <v>45951</v>
      </c>
      <c r="AB1696" s="331" t="b">
        <f>EXACT(Logfile_S12[[#This Row],[date pick]],Logfile_S12[[#This Row],[Date]])</f>
        <v>0</v>
      </c>
      <c r="AC16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97" spans="1:29" ht="14.5" hidden="1">
      <c r="A1697" s="237" t="str">
        <f t="shared" si="62"/>
        <v>1693</v>
      </c>
      <c r="B1697" s="221">
        <v>5</v>
      </c>
      <c r="C1697" s="227" t="s">
        <v>48</v>
      </c>
      <c r="D1697" s="227" t="s">
        <v>4671</v>
      </c>
      <c r="E1697" s="227" t="s">
        <v>3295</v>
      </c>
      <c r="F1697" s="227" t="s">
        <v>3299</v>
      </c>
      <c r="G1697" s="239">
        <v>45953</v>
      </c>
      <c r="H1697" s="240">
        <v>0.33333333333333331</v>
      </c>
      <c r="I1697" s="227" t="s">
        <v>37</v>
      </c>
      <c r="J1697" s="221" t="s">
        <v>3023</v>
      </c>
      <c r="K1697" s="241" t="s">
        <v>3070</v>
      </c>
      <c r="L1697" s="225" t="str">
        <f>VLOOKUP(Logfile_S12[[#This Row],[Material Name]],Sheet2!B:C,2,0)</f>
        <v>ZTE1002</v>
      </c>
      <c r="M1697" s="242" t="s">
        <v>19</v>
      </c>
      <c r="N1697" s="227">
        <v>37</v>
      </c>
      <c r="O1697" s="227" t="s">
        <v>4663</v>
      </c>
      <c r="P1697" s="227" t="s">
        <v>4664</v>
      </c>
      <c r="Q1697" s="221" t="s">
        <v>4665</v>
      </c>
      <c r="R1697" s="221" t="s">
        <v>4666</v>
      </c>
      <c r="S1697" s="227"/>
      <c r="T1697" s="221" t="s">
        <v>3258</v>
      </c>
      <c r="U1697" s="221">
        <v>0</v>
      </c>
      <c r="V1697" s="221" t="s">
        <v>3337</v>
      </c>
      <c r="W1697" s="221" t="s">
        <v>3338</v>
      </c>
      <c r="X1697" s="227"/>
      <c r="Y1697" s="227"/>
      <c r="Z1697" s="227" t="str">
        <f t="shared" si="63"/>
        <v>LESANPURO RW 06 MALANG</v>
      </c>
      <c r="AA1697" s="276">
        <f>VLOOKUP(Logfile_S12[[#This Row],[DO number]],DO_DB!G:I,3,0)</f>
        <v>45951</v>
      </c>
      <c r="AB1697" s="331" t="b">
        <f>EXACT(Logfile_S12[[#This Row],[date pick]],Logfile_S12[[#This Row],[Date]])</f>
        <v>0</v>
      </c>
      <c r="AC16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98" spans="1:29" ht="14.5" hidden="1">
      <c r="A1698" s="237" t="str">
        <f t="shared" si="62"/>
        <v>1694</v>
      </c>
      <c r="B1698" s="221">
        <v>1</v>
      </c>
      <c r="C1698" s="227" t="s">
        <v>49</v>
      </c>
      <c r="D1698" s="227" t="s">
        <v>4672</v>
      </c>
      <c r="E1698" s="227" t="s">
        <v>3295</v>
      </c>
      <c r="F1698" s="227" t="s">
        <v>3299</v>
      </c>
      <c r="G1698" s="239">
        <v>45953</v>
      </c>
      <c r="H1698" s="240">
        <v>0.60763888888888884</v>
      </c>
      <c r="I1698" s="227" t="s">
        <v>3295</v>
      </c>
      <c r="J1698" s="221" t="s">
        <v>3023</v>
      </c>
      <c r="K1698" s="241" t="s">
        <v>3070</v>
      </c>
      <c r="L1698" s="225" t="str">
        <f>VLOOKUP(Logfile_S12[[#This Row],[Material Name]],Sheet2!B:C,2,0)</f>
        <v>ZTE1002</v>
      </c>
      <c r="M1698" s="242" t="s">
        <v>19</v>
      </c>
      <c r="N1698" s="227">
        <v>36</v>
      </c>
      <c r="O1698" s="227" t="s">
        <v>4663</v>
      </c>
      <c r="P1698" s="227" t="s">
        <v>4664</v>
      </c>
      <c r="Q1698" s="227"/>
      <c r="R1698" s="227"/>
      <c r="S1698" s="227"/>
      <c r="T1698" s="221" t="s">
        <v>3258</v>
      </c>
      <c r="U1698" s="221">
        <v>0</v>
      </c>
      <c r="V1698" s="221" t="s">
        <v>3337</v>
      </c>
      <c r="W1698" s="221" t="s">
        <v>3338</v>
      </c>
      <c r="X1698" s="227"/>
      <c r="Y1698" s="227"/>
      <c r="Z1698" s="227" t="str">
        <f t="shared" si="63"/>
        <v>LESANPURO RW 06 MALANG</v>
      </c>
      <c r="AA1698" s="276" t="e">
        <f>VLOOKUP(Logfile_S12[[#This Row],[DO number]],DO_DB!G:I,3,0)</f>
        <v>#N/A</v>
      </c>
      <c r="AB1698" s="331" t="e">
        <f>EXACT(Logfile_S12[[#This Row],[date pick]],Logfile_S12[[#This Row],[Date]])</f>
        <v>#N/A</v>
      </c>
      <c r="AC16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699" spans="1:29" ht="14.5" hidden="1">
      <c r="A1699" s="237" t="str">
        <f t="shared" si="62"/>
        <v>1695</v>
      </c>
      <c r="B1699" s="221">
        <v>3</v>
      </c>
      <c r="C1699" s="227" t="s">
        <v>48</v>
      </c>
      <c r="D1699" s="227" t="s">
        <v>4675</v>
      </c>
      <c r="E1699" s="227" t="s">
        <v>3295</v>
      </c>
      <c r="F1699" s="227" t="s">
        <v>3299</v>
      </c>
      <c r="G1699" s="239">
        <v>45955</v>
      </c>
      <c r="H1699" s="240">
        <v>0.33333333333333331</v>
      </c>
      <c r="I1699" s="227" t="s">
        <v>37</v>
      </c>
      <c r="J1699" s="221" t="s">
        <v>3023</v>
      </c>
      <c r="K1699" s="241" t="s">
        <v>3070</v>
      </c>
      <c r="L1699" s="225" t="str">
        <f>VLOOKUP(Logfile_S12[[#This Row],[Material Name]],Sheet2!B:C,2,0)</f>
        <v>ZTE1002</v>
      </c>
      <c r="M1699" s="242" t="s">
        <v>19</v>
      </c>
      <c r="N1699" s="227">
        <v>117</v>
      </c>
      <c r="O1699" s="227" t="s">
        <v>4663</v>
      </c>
      <c r="P1699" s="227" t="s">
        <v>4664</v>
      </c>
      <c r="Q1699" s="221" t="s">
        <v>4665</v>
      </c>
      <c r="R1699" s="221" t="s">
        <v>4666</v>
      </c>
      <c r="S1699" s="227"/>
      <c r="T1699" s="227"/>
      <c r="U1699" s="227"/>
      <c r="V1699" s="227"/>
      <c r="W1699" s="227"/>
      <c r="X1699" s="227"/>
      <c r="Y1699" s="227"/>
      <c r="Z1699" s="227" t="str">
        <f t="shared" si="63"/>
        <v>LESANPURO RW 06 MALANG</v>
      </c>
      <c r="AA1699" s="276">
        <f>VLOOKUP(Logfile_S12[[#This Row],[DO number]],DO_DB!G:I,3,0)</f>
        <v>45951</v>
      </c>
      <c r="AB1699" s="331" t="b">
        <f>EXACT(Logfile_S12[[#This Row],[date pick]],Logfile_S12[[#This Row],[Date]])</f>
        <v>0</v>
      </c>
      <c r="AC16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00" spans="1:29" ht="14.5" hidden="1">
      <c r="A1700" s="237" t="str">
        <f t="shared" si="62"/>
        <v>1696</v>
      </c>
      <c r="B1700" s="221">
        <v>2</v>
      </c>
      <c r="C1700" s="227" t="s">
        <v>49</v>
      </c>
      <c r="D1700" s="227" t="s">
        <v>4677</v>
      </c>
      <c r="E1700" s="227" t="s">
        <v>3295</v>
      </c>
      <c r="F1700" s="227" t="s">
        <v>3299</v>
      </c>
      <c r="G1700" s="239">
        <v>45955</v>
      </c>
      <c r="H1700" s="240">
        <v>0.45833333333333331</v>
      </c>
      <c r="I1700" s="227" t="s">
        <v>3295</v>
      </c>
      <c r="J1700" s="221" t="s">
        <v>3023</v>
      </c>
      <c r="K1700" s="241" t="s">
        <v>3070</v>
      </c>
      <c r="L1700" s="225" t="str">
        <f>VLOOKUP(Logfile_S12[[#This Row],[Material Name]],Sheet2!B:C,2,0)</f>
        <v>ZTE1002</v>
      </c>
      <c r="M1700" s="242" t="s">
        <v>19</v>
      </c>
      <c r="N1700" s="227">
        <v>5</v>
      </c>
      <c r="O1700" s="227" t="s">
        <v>4663</v>
      </c>
      <c r="P1700" s="227" t="s">
        <v>4664</v>
      </c>
      <c r="Q1700" s="227"/>
      <c r="R1700" s="227"/>
      <c r="S1700" s="227"/>
      <c r="T1700" s="221" t="s">
        <v>3258</v>
      </c>
      <c r="U1700" s="221">
        <v>0</v>
      </c>
      <c r="V1700" s="221" t="s">
        <v>3337</v>
      </c>
      <c r="W1700" s="221" t="s">
        <v>3338</v>
      </c>
      <c r="X1700" s="227"/>
      <c r="Y1700" s="227"/>
      <c r="Z1700" s="227" t="str">
        <f t="shared" si="63"/>
        <v>LESANPURO RW 06 MALANG</v>
      </c>
      <c r="AA1700" s="276" t="e">
        <f>VLOOKUP(Logfile_S12[[#This Row],[DO number]],DO_DB!G:I,3,0)</f>
        <v>#N/A</v>
      </c>
      <c r="AB1700" s="331" t="e">
        <f>EXACT(Logfile_S12[[#This Row],[date pick]],Logfile_S12[[#This Row],[Date]])</f>
        <v>#N/A</v>
      </c>
      <c r="AC17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01" spans="1:29" ht="14.5" hidden="1">
      <c r="A1701" s="237" t="str">
        <f t="shared" si="62"/>
        <v>1697</v>
      </c>
      <c r="B1701" s="221"/>
      <c r="C1701" s="227" t="s">
        <v>49</v>
      </c>
      <c r="D1701" s="227" t="s">
        <v>4683</v>
      </c>
      <c r="E1701" s="227" t="s">
        <v>3295</v>
      </c>
      <c r="F1701" s="227" t="s">
        <v>3299</v>
      </c>
      <c r="G1701" s="239">
        <v>45967</v>
      </c>
      <c r="H1701" s="240">
        <v>0.70833333333333337</v>
      </c>
      <c r="I1701" s="227" t="s">
        <v>3295</v>
      </c>
      <c r="J1701" s="227" t="s">
        <v>3023</v>
      </c>
      <c r="K1701" s="241" t="s">
        <v>3070</v>
      </c>
      <c r="L1701" s="242" t="str">
        <f>VLOOKUP(Logfile_S12[[#This Row],[Material Name]],Sheet2!B:C,2,0)</f>
        <v>ZTE1002</v>
      </c>
      <c r="M1701" s="242" t="s">
        <v>19</v>
      </c>
      <c r="N1701" s="227">
        <v>50</v>
      </c>
      <c r="O1701" s="227" t="s">
        <v>4696</v>
      </c>
      <c r="P1701" s="227" t="s">
        <v>4697</v>
      </c>
      <c r="Q1701" s="227"/>
      <c r="R1701" s="227"/>
      <c r="S1701" s="227"/>
      <c r="T1701" s="221" t="s">
        <v>3258</v>
      </c>
      <c r="U1701" s="221">
        <v>0</v>
      </c>
      <c r="V1701" s="221" t="s">
        <v>3337</v>
      </c>
      <c r="W1701" s="221" t="s">
        <v>3338</v>
      </c>
      <c r="X1701" s="227"/>
      <c r="Y1701" s="227"/>
      <c r="Z1701" s="227" t="str">
        <f t="shared" si="63"/>
        <v>PALAAN RW 06 SAMPAI 10 MALANG</v>
      </c>
      <c r="AA1701" s="276" t="e">
        <f>VLOOKUP(Logfile_S12[[#This Row],[DO number]],DO_DB!G:I,3,0)</f>
        <v>#N/A</v>
      </c>
      <c r="AB1701" s="331" t="e">
        <f>EXACT(Logfile_S12[[#This Row],[date pick]],Logfile_S12[[#This Row],[Date]])</f>
        <v>#N/A</v>
      </c>
      <c r="AC17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02" spans="1:29" ht="14.5" hidden="1">
      <c r="A1702" s="237" t="str">
        <f t="shared" si="62"/>
        <v>1698</v>
      </c>
      <c r="B1702" s="221">
        <v>2</v>
      </c>
      <c r="C1702" s="227" t="s">
        <v>49</v>
      </c>
      <c r="D1702" s="227" t="s">
        <v>4683</v>
      </c>
      <c r="E1702" s="227" t="s">
        <v>3295</v>
      </c>
      <c r="F1702" s="227" t="s">
        <v>3299</v>
      </c>
      <c r="G1702" s="239">
        <v>45967</v>
      </c>
      <c r="H1702" s="240">
        <v>0.70833333333333337</v>
      </c>
      <c r="I1702" s="227" t="s">
        <v>3295</v>
      </c>
      <c r="J1702" s="221" t="s">
        <v>3023</v>
      </c>
      <c r="K1702" s="241" t="s">
        <v>3070</v>
      </c>
      <c r="L1702" s="225" t="str">
        <f>VLOOKUP(Logfile_S12[[#This Row],[Material Name]],Sheet2!B:C,2,0)</f>
        <v>ZTE1002</v>
      </c>
      <c r="M1702" s="242" t="s">
        <v>19</v>
      </c>
      <c r="N1702" s="227">
        <v>58</v>
      </c>
      <c r="O1702" s="227" t="s">
        <v>4692</v>
      </c>
      <c r="P1702" s="227" t="s">
        <v>4693</v>
      </c>
      <c r="Q1702" s="227" t="s">
        <v>3260</v>
      </c>
      <c r="R1702" s="227" t="s">
        <v>3260</v>
      </c>
      <c r="S1702" s="227"/>
      <c r="T1702" s="221" t="s">
        <v>3258</v>
      </c>
      <c r="U1702" s="221">
        <v>0</v>
      </c>
      <c r="V1702" s="221" t="s">
        <v>3337</v>
      </c>
      <c r="W1702" s="221" t="s">
        <v>3338</v>
      </c>
      <c r="X1702" s="227"/>
      <c r="Y1702" s="227"/>
      <c r="Z1702" s="227" t="str">
        <f t="shared" si="63"/>
        <v>PALAAN RW 01 SAMPAI 05 MALANG</v>
      </c>
      <c r="AA1702" s="276" t="e">
        <f>VLOOKUP(Logfile_S12[[#This Row],[DO number]],DO_DB!G:I,3,0)</f>
        <v>#N/A</v>
      </c>
      <c r="AB1702" s="331" t="e">
        <f>EXACT(Logfile_S12[[#This Row],[date pick]],Logfile_S12[[#This Row],[Date]])</f>
        <v>#N/A</v>
      </c>
      <c r="AC17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03" spans="1:29" ht="14.5" hidden="1">
      <c r="A1703" s="237" t="str">
        <f t="shared" si="62"/>
        <v>1699</v>
      </c>
      <c r="B1703" s="221">
        <v>10</v>
      </c>
      <c r="C1703" s="227" t="s">
        <v>48</v>
      </c>
      <c r="D1703" s="227" t="s">
        <v>4730</v>
      </c>
      <c r="E1703" s="227" t="s">
        <v>3295</v>
      </c>
      <c r="F1703" s="227" t="s">
        <v>3299</v>
      </c>
      <c r="G1703" s="239">
        <v>46003</v>
      </c>
      <c r="H1703" s="240">
        <v>0.54166666666666663</v>
      </c>
      <c r="I1703" s="227" t="s">
        <v>37</v>
      </c>
      <c r="J1703" s="221" t="s">
        <v>3023</v>
      </c>
      <c r="K1703" s="241" t="s">
        <v>3070</v>
      </c>
      <c r="L1703" s="225" t="str">
        <f>VLOOKUP(Logfile_S12[[#This Row],[Material Name]],Sheet2!B:C,2,0)</f>
        <v>ZTE1002</v>
      </c>
      <c r="M1703" s="242" t="s">
        <v>19</v>
      </c>
      <c r="N1703" s="227">
        <v>86</v>
      </c>
      <c r="O1703" s="221"/>
      <c r="P1703" s="227"/>
      <c r="Q1703" s="227" t="s">
        <v>3260</v>
      </c>
      <c r="R1703" s="227" t="s">
        <v>3260</v>
      </c>
      <c r="S1703" s="227"/>
      <c r="T1703" s="227"/>
      <c r="U1703" s="227"/>
      <c r="V1703" s="227"/>
      <c r="W1703" s="227"/>
      <c r="X1703" s="227"/>
      <c r="Y1703" s="227"/>
      <c r="Z1703" s="227">
        <f t="shared" si="63"/>
        <v>0</v>
      </c>
      <c r="AA1703" s="276" t="e">
        <f>VLOOKUP(Logfile_S12[[#This Row],[DO number]],DO_DB!G:I,3,0)</f>
        <v>#N/A</v>
      </c>
      <c r="AB1703" s="331" t="e">
        <f>EXACT(Logfile_S12[[#This Row],[date pick]],Logfile_S12[[#This Row],[Date]])</f>
        <v>#N/A</v>
      </c>
      <c r="AC17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04" spans="1:29" ht="14.5" hidden="1">
      <c r="A1704" s="237" t="str">
        <f t="shared" si="62"/>
        <v>1700</v>
      </c>
      <c r="B1704" s="221">
        <v>2</v>
      </c>
      <c r="C1704" s="227" t="s">
        <v>48</v>
      </c>
      <c r="D1704" s="227" t="s">
        <v>4730</v>
      </c>
      <c r="E1704" s="227" t="s">
        <v>3295</v>
      </c>
      <c r="F1704" s="227" t="s">
        <v>3299</v>
      </c>
      <c r="G1704" s="239">
        <v>46003</v>
      </c>
      <c r="H1704" s="240">
        <v>0.54166666666666663</v>
      </c>
      <c r="I1704" s="227" t="s">
        <v>37</v>
      </c>
      <c r="J1704" s="221" t="s">
        <v>3023</v>
      </c>
      <c r="K1704" s="241" t="s">
        <v>3070</v>
      </c>
      <c r="L1704" s="225" t="str">
        <f>VLOOKUP(Logfile_S12[[#This Row],[Material Name]],Sheet2!B:C,2,0)</f>
        <v>ZTE1002</v>
      </c>
      <c r="M1704" s="242" t="s">
        <v>19</v>
      </c>
      <c r="N1704" s="227">
        <v>134</v>
      </c>
      <c r="O1704" s="221"/>
      <c r="P1704" s="227"/>
      <c r="Q1704" s="227" t="s">
        <v>3260</v>
      </c>
      <c r="R1704" s="227" t="s">
        <v>3260</v>
      </c>
      <c r="S1704" s="227"/>
      <c r="T1704" s="227"/>
      <c r="U1704" s="227"/>
      <c r="V1704" s="227"/>
      <c r="W1704" s="227"/>
      <c r="X1704" s="227"/>
      <c r="Y1704" s="227"/>
      <c r="Z1704" s="227">
        <f t="shared" si="63"/>
        <v>0</v>
      </c>
      <c r="AA1704" s="276" t="e">
        <f>VLOOKUP(Logfile_S12[[#This Row],[DO number]],DO_DB!G:I,3,0)</f>
        <v>#N/A</v>
      </c>
      <c r="AB1704" s="331" t="e">
        <f>EXACT(Logfile_S12[[#This Row],[date pick]],Logfile_S12[[#This Row],[Date]])</f>
        <v>#N/A</v>
      </c>
      <c r="AC17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05" spans="1:29" ht="14.5" hidden="1">
      <c r="A1705" s="237" t="str">
        <f t="shared" si="62"/>
        <v>1701</v>
      </c>
      <c r="B1705" s="221">
        <v>2</v>
      </c>
      <c r="C1705" s="227" t="s">
        <v>49</v>
      </c>
      <c r="D1705" s="227" t="s">
        <v>4733</v>
      </c>
      <c r="E1705" s="227" t="s">
        <v>3295</v>
      </c>
      <c r="F1705" s="227" t="s">
        <v>3299</v>
      </c>
      <c r="G1705" s="239">
        <v>46003</v>
      </c>
      <c r="H1705" s="240">
        <v>0.33333333333333331</v>
      </c>
      <c r="I1705" s="227" t="s">
        <v>3295</v>
      </c>
      <c r="J1705" s="221" t="s">
        <v>3023</v>
      </c>
      <c r="K1705" s="241" t="s">
        <v>3070</v>
      </c>
      <c r="L1705" s="225" t="str">
        <f>VLOOKUP(Logfile_S12[[#This Row],[Material Name]],Sheet2!B:C,2,0)</f>
        <v>ZTE1002</v>
      </c>
      <c r="M1705" s="242" t="s">
        <v>19</v>
      </c>
      <c r="N1705" s="227">
        <v>14</v>
      </c>
      <c r="O1705" s="221" t="s">
        <v>4801</v>
      </c>
      <c r="P1705" s="221" t="s">
        <v>4802</v>
      </c>
      <c r="Q1705" s="227" t="s">
        <v>3260</v>
      </c>
      <c r="R1705" s="227" t="s">
        <v>3260</v>
      </c>
      <c r="S1705" s="227"/>
      <c r="T1705" s="221" t="s">
        <v>3258</v>
      </c>
      <c r="U1705" s="221" t="s">
        <v>4811</v>
      </c>
      <c r="V1705" s="221" t="s">
        <v>3337</v>
      </c>
      <c r="W1705" s="221" t="s">
        <v>3338</v>
      </c>
      <c r="X1705" s="227"/>
      <c r="Y1705" s="227"/>
      <c r="Z1705" s="227" t="str">
        <f t="shared" si="63"/>
        <v>DUSUN SIDOAYU KELURAHAN SIDEREJO MALANG</v>
      </c>
      <c r="AA1705" s="276" t="e">
        <f>VLOOKUP(Logfile_S12[[#This Row],[DO number]],DO_DB!G:I,3,0)</f>
        <v>#N/A</v>
      </c>
      <c r="AB1705" s="331" t="e">
        <f>EXACT(Logfile_S12[[#This Row],[date pick]],Logfile_S12[[#This Row],[Date]])</f>
        <v>#N/A</v>
      </c>
      <c r="AC17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06" spans="1:29" ht="14.5" hidden="1">
      <c r="A1706" s="237" t="str">
        <f t="shared" si="62"/>
        <v>1702</v>
      </c>
      <c r="B1706" s="221">
        <v>1</v>
      </c>
      <c r="C1706" s="227" t="s">
        <v>49</v>
      </c>
      <c r="D1706" s="227" t="s">
        <v>4734</v>
      </c>
      <c r="E1706" s="227" t="s">
        <v>3295</v>
      </c>
      <c r="F1706" s="227" t="s">
        <v>3299</v>
      </c>
      <c r="G1706" s="239">
        <v>46004</v>
      </c>
      <c r="H1706" s="240">
        <v>0.33333333333333331</v>
      </c>
      <c r="I1706" s="227" t="s">
        <v>3295</v>
      </c>
      <c r="J1706" s="221" t="s">
        <v>3023</v>
      </c>
      <c r="K1706" s="241" t="s">
        <v>3070</v>
      </c>
      <c r="L1706" s="225" t="str">
        <f>VLOOKUP(Logfile_S12[[#This Row],[Material Name]],Sheet2!B:C,2,0)</f>
        <v>ZTE1002</v>
      </c>
      <c r="M1706" s="242" t="s">
        <v>19</v>
      </c>
      <c r="N1706" s="227">
        <v>25</v>
      </c>
      <c r="O1706" s="221" t="s">
        <v>4801</v>
      </c>
      <c r="P1706" s="221" t="s">
        <v>4802</v>
      </c>
      <c r="Q1706" s="227" t="s">
        <v>3260</v>
      </c>
      <c r="R1706" s="227" t="s">
        <v>3260</v>
      </c>
      <c r="S1706" s="227"/>
      <c r="T1706" s="221" t="s">
        <v>3258</v>
      </c>
      <c r="U1706" s="221" t="s">
        <v>4811</v>
      </c>
      <c r="V1706" s="221" t="s">
        <v>3337</v>
      </c>
      <c r="W1706" s="221" t="s">
        <v>3338</v>
      </c>
      <c r="X1706" s="227"/>
      <c r="Y1706" s="227"/>
      <c r="Z1706" s="227" t="str">
        <f t="shared" si="63"/>
        <v>DUSUN SIDOAYU KELURAHAN SIDEREJO MALANG</v>
      </c>
      <c r="AA1706" s="276" t="e">
        <f>VLOOKUP(Logfile_S12[[#This Row],[DO number]],DO_DB!G:I,3,0)</f>
        <v>#N/A</v>
      </c>
      <c r="AB1706" s="331" t="e">
        <f>EXACT(Logfile_S12[[#This Row],[date pick]],Logfile_S12[[#This Row],[Date]])</f>
        <v>#N/A</v>
      </c>
      <c r="AC17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07" spans="1:29" ht="14.5" hidden="1">
      <c r="A1707" s="237" t="str">
        <f t="shared" si="62"/>
        <v>1703</v>
      </c>
      <c r="B1707" s="221">
        <v>1</v>
      </c>
      <c r="C1707" s="227" t="s">
        <v>49</v>
      </c>
      <c r="D1707" s="227" t="s">
        <v>4736</v>
      </c>
      <c r="E1707" s="227" t="s">
        <v>3295</v>
      </c>
      <c r="F1707" s="227" t="s">
        <v>3299</v>
      </c>
      <c r="G1707" s="239">
        <v>46005</v>
      </c>
      <c r="H1707" s="240">
        <v>0.33333333333333331</v>
      </c>
      <c r="I1707" s="227" t="s">
        <v>3295</v>
      </c>
      <c r="J1707" s="221" t="s">
        <v>3023</v>
      </c>
      <c r="K1707" s="241" t="s">
        <v>3070</v>
      </c>
      <c r="L1707" s="225" t="str">
        <f>VLOOKUP(Logfile_S12[[#This Row],[Material Name]],Sheet2!B:C,2,0)</f>
        <v>ZTE1002</v>
      </c>
      <c r="M1707" s="242" t="s">
        <v>19</v>
      </c>
      <c r="N1707" s="227">
        <v>25</v>
      </c>
      <c r="O1707" s="227" t="s">
        <v>4785</v>
      </c>
      <c r="P1707" s="227" t="s">
        <v>4786</v>
      </c>
      <c r="Q1707" s="227"/>
      <c r="R1707" s="227"/>
      <c r="S1707" s="227"/>
      <c r="T1707" s="221" t="s">
        <v>3258</v>
      </c>
      <c r="U1707" s="221" t="s">
        <v>4811</v>
      </c>
      <c r="V1707" s="221" t="s">
        <v>3337</v>
      </c>
      <c r="W1707" s="221" t="s">
        <v>3338</v>
      </c>
      <c r="X1707" s="227"/>
      <c r="Y1707" s="227"/>
      <c r="Z1707" s="227" t="str">
        <f t="shared" si="63"/>
        <v>DUSUN ARDIREJO KELURAHAN SIDEREJO MALANG</v>
      </c>
      <c r="AA1707" s="276" t="e">
        <f>VLOOKUP(Logfile_S12[[#This Row],[DO number]],DO_DB!G:I,3,0)</f>
        <v>#N/A</v>
      </c>
      <c r="AB1707" s="331" t="e">
        <f>EXACT(Logfile_S12[[#This Row],[date pick]],Logfile_S12[[#This Row],[Date]])</f>
        <v>#N/A</v>
      </c>
      <c r="AC17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08" spans="1:29" ht="14.5" hidden="1">
      <c r="A1708" s="237" t="str">
        <f t="shared" si="62"/>
        <v>1704</v>
      </c>
      <c r="B1708" s="221">
        <v>12</v>
      </c>
      <c r="C1708" s="227" t="s">
        <v>49</v>
      </c>
      <c r="D1708" s="227" t="s">
        <v>4740</v>
      </c>
      <c r="E1708" s="227" t="s">
        <v>3295</v>
      </c>
      <c r="F1708" s="227" t="s">
        <v>3299</v>
      </c>
      <c r="G1708" s="239">
        <v>46006</v>
      </c>
      <c r="H1708" s="240">
        <v>0.49305555555555558</v>
      </c>
      <c r="I1708" s="227" t="s">
        <v>3295</v>
      </c>
      <c r="J1708" s="221" t="s">
        <v>3023</v>
      </c>
      <c r="K1708" s="241" t="s">
        <v>3070</v>
      </c>
      <c r="L1708" s="225" t="str">
        <f>VLOOKUP(Logfile_S12[[#This Row],[Material Name]],Sheet2!B:C,2,0)</f>
        <v>ZTE1002</v>
      </c>
      <c r="M1708" s="242" t="s">
        <v>19</v>
      </c>
      <c r="N1708" s="227">
        <v>31</v>
      </c>
      <c r="O1708" s="221" t="s">
        <v>4801</v>
      </c>
      <c r="P1708" s="221" t="s">
        <v>4802</v>
      </c>
      <c r="Q1708" s="227"/>
      <c r="R1708" s="227"/>
      <c r="S1708" s="227"/>
      <c r="T1708" s="221" t="s">
        <v>3258</v>
      </c>
      <c r="U1708" s="221" t="s">
        <v>4811</v>
      </c>
      <c r="V1708" s="221" t="s">
        <v>3337</v>
      </c>
      <c r="W1708" s="221" t="s">
        <v>3338</v>
      </c>
      <c r="X1708" s="227"/>
      <c r="Y1708" s="227"/>
      <c r="Z1708" s="227" t="str">
        <f t="shared" si="63"/>
        <v>DUSUN SIDOAYU KELURAHAN SIDEREJO MALANG</v>
      </c>
      <c r="AA1708" s="276" t="e">
        <f>VLOOKUP(Logfile_S12[[#This Row],[DO number]],DO_DB!G:I,3,0)</f>
        <v>#N/A</v>
      </c>
      <c r="AB1708" s="331" t="e">
        <f>EXACT(Logfile_S12[[#This Row],[date pick]],Logfile_S12[[#This Row],[Date]])</f>
        <v>#N/A</v>
      </c>
      <c r="AC17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09" spans="1:29" ht="14.5" hidden="1">
      <c r="A1709" s="237" t="str">
        <f t="shared" si="62"/>
        <v>1705</v>
      </c>
      <c r="B1709" s="221">
        <v>2</v>
      </c>
      <c r="C1709" s="227" t="s">
        <v>49</v>
      </c>
      <c r="D1709" s="227" t="s">
        <v>4756</v>
      </c>
      <c r="E1709" s="227" t="s">
        <v>3295</v>
      </c>
      <c r="F1709" s="227" t="s">
        <v>3299</v>
      </c>
      <c r="G1709" s="239">
        <v>46009</v>
      </c>
      <c r="H1709" s="240">
        <v>0.33333333333333331</v>
      </c>
      <c r="I1709" s="227" t="s">
        <v>3295</v>
      </c>
      <c r="J1709" s="221" t="s">
        <v>3023</v>
      </c>
      <c r="K1709" s="241" t="s">
        <v>3070</v>
      </c>
      <c r="L1709" s="225" t="str">
        <f>VLOOKUP(Logfile_S12[[#This Row],[Material Name]],Sheet2!B:C,2,0)</f>
        <v>ZTE1002</v>
      </c>
      <c r="M1709" s="242" t="s">
        <v>19</v>
      </c>
      <c r="N1709" s="227">
        <v>20</v>
      </c>
      <c r="O1709" s="221" t="s">
        <v>4801</v>
      </c>
      <c r="P1709" s="221" t="s">
        <v>4802</v>
      </c>
      <c r="Q1709" s="227"/>
      <c r="R1709" s="227"/>
      <c r="S1709" s="227"/>
      <c r="T1709" s="221" t="s">
        <v>3258</v>
      </c>
      <c r="U1709" s="221" t="s">
        <v>4811</v>
      </c>
      <c r="V1709" s="221" t="s">
        <v>3337</v>
      </c>
      <c r="W1709" s="221" t="s">
        <v>3338</v>
      </c>
      <c r="X1709" s="227"/>
      <c r="Y1709" s="227"/>
      <c r="Z1709" s="227" t="str">
        <f t="shared" si="63"/>
        <v>DUSUN SIDOAYU KELURAHAN SIDEREJO MALANG</v>
      </c>
      <c r="AA1709" s="276" t="e">
        <f>VLOOKUP(Logfile_S12[[#This Row],[DO number]],DO_DB!G:I,3,0)</f>
        <v>#N/A</v>
      </c>
      <c r="AB1709" s="331" t="e">
        <f>EXACT(Logfile_S12[[#This Row],[date pick]],Logfile_S12[[#This Row],[Date]])</f>
        <v>#N/A</v>
      </c>
      <c r="AC17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10" spans="1:29" ht="14.5" hidden="1">
      <c r="A1710" s="237" t="str">
        <f t="shared" si="62"/>
        <v>1706</v>
      </c>
      <c r="B1710" s="221">
        <v>2</v>
      </c>
      <c r="C1710" s="227" t="s">
        <v>49</v>
      </c>
      <c r="D1710" s="227" t="s">
        <v>4755</v>
      </c>
      <c r="E1710" s="227" t="s">
        <v>3295</v>
      </c>
      <c r="F1710" s="227" t="s">
        <v>3299</v>
      </c>
      <c r="G1710" s="239">
        <v>46010</v>
      </c>
      <c r="H1710" s="240">
        <v>0.33333333333333331</v>
      </c>
      <c r="I1710" s="227" t="s">
        <v>3295</v>
      </c>
      <c r="J1710" s="221" t="s">
        <v>3023</v>
      </c>
      <c r="K1710" s="241" t="s">
        <v>3070</v>
      </c>
      <c r="L1710" s="225" t="str">
        <f>VLOOKUP(Logfile_S12[[#This Row],[Material Name]],Sheet2!B:C,2,0)</f>
        <v>ZTE1002</v>
      </c>
      <c r="M1710" s="242" t="s">
        <v>19</v>
      </c>
      <c r="N1710" s="227">
        <v>10</v>
      </c>
      <c r="O1710" s="227" t="s">
        <v>4785</v>
      </c>
      <c r="P1710" s="227" t="s">
        <v>4786</v>
      </c>
      <c r="Q1710" s="227"/>
      <c r="R1710" s="227"/>
      <c r="S1710" s="227"/>
      <c r="T1710" s="221" t="s">
        <v>3258</v>
      </c>
      <c r="U1710" s="221" t="s">
        <v>4811</v>
      </c>
      <c r="V1710" s="221" t="s">
        <v>3337</v>
      </c>
      <c r="W1710" s="221" t="s">
        <v>3338</v>
      </c>
      <c r="X1710" s="227"/>
      <c r="Y1710" s="227"/>
      <c r="Z1710" s="227" t="str">
        <f t="shared" si="63"/>
        <v>DUSUN ARDIREJO KELURAHAN SIDEREJO MALANG</v>
      </c>
      <c r="AA1710" s="276" t="e">
        <f>VLOOKUP(Logfile_S12[[#This Row],[DO number]],DO_DB!G:I,3,0)</f>
        <v>#N/A</v>
      </c>
      <c r="AB1710" s="331" t="e">
        <f>EXACT(Logfile_S12[[#This Row],[date pick]],Logfile_S12[[#This Row],[Date]])</f>
        <v>#N/A</v>
      </c>
      <c r="AC17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11" spans="1:29" ht="14.5" hidden="1">
      <c r="A1711" s="237" t="str">
        <f t="shared" si="62"/>
        <v>1707</v>
      </c>
      <c r="B1711" s="221">
        <v>2</v>
      </c>
      <c r="C1711" s="227" t="s">
        <v>49</v>
      </c>
      <c r="D1711" s="227" t="s">
        <v>4759</v>
      </c>
      <c r="E1711" s="227" t="s">
        <v>3295</v>
      </c>
      <c r="F1711" s="227" t="s">
        <v>3299</v>
      </c>
      <c r="G1711" s="239">
        <v>46010</v>
      </c>
      <c r="H1711" s="240">
        <v>0.54166666666666663</v>
      </c>
      <c r="I1711" s="227" t="s">
        <v>3295</v>
      </c>
      <c r="J1711" s="221" t="s">
        <v>3023</v>
      </c>
      <c r="K1711" s="241" t="s">
        <v>3070</v>
      </c>
      <c r="L1711" s="225" t="str">
        <f>VLOOKUP(Logfile_S12[[#This Row],[Material Name]],Sheet2!B:C,2,0)</f>
        <v>ZTE1002</v>
      </c>
      <c r="M1711" s="242" t="s">
        <v>19</v>
      </c>
      <c r="N1711" s="227">
        <v>18</v>
      </c>
      <c r="O1711" s="227" t="s">
        <v>4785</v>
      </c>
      <c r="P1711" s="227" t="s">
        <v>4786</v>
      </c>
      <c r="Q1711" s="227"/>
      <c r="R1711" s="227"/>
      <c r="S1711" s="227"/>
      <c r="T1711" s="221" t="s">
        <v>3258</v>
      </c>
      <c r="U1711" s="221" t="s">
        <v>4811</v>
      </c>
      <c r="V1711" s="221" t="s">
        <v>3337</v>
      </c>
      <c r="W1711" s="221" t="s">
        <v>3338</v>
      </c>
      <c r="X1711" s="227"/>
      <c r="Y1711" s="227"/>
      <c r="Z1711" s="227" t="str">
        <f t="shared" si="63"/>
        <v>DUSUN ARDIREJO KELURAHAN SIDEREJO MALANG</v>
      </c>
      <c r="AA1711" s="276" t="e">
        <f>VLOOKUP(Logfile_S12[[#This Row],[DO number]],DO_DB!G:I,3,0)</f>
        <v>#N/A</v>
      </c>
      <c r="AB1711" s="331" t="e">
        <f>EXACT(Logfile_S12[[#This Row],[date pick]],Logfile_S12[[#This Row],[Date]])</f>
        <v>#N/A</v>
      </c>
      <c r="AC17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12" spans="1:29" ht="14.5" hidden="1">
      <c r="A1712" s="237" t="str">
        <f t="shared" si="62"/>
        <v>1708</v>
      </c>
      <c r="B1712" s="221">
        <v>3</v>
      </c>
      <c r="C1712" s="227" t="s">
        <v>49</v>
      </c>
      <c r="D1712" s="227" t="s">
        <v>4760</v>
      </c>
      <c r="E1712" s="227" t="s">
        <v>3295</v>
      </c>
      <c r="F1712" s="227" t="s">
        <v>3299</v>
      </c>
      <c r="G1712" s="239">
        <v>46011</v>
      </c>
      <c r="H1712" s="240">
        <v>0.33333333333333331</v>
      </c>
      <c r="I1712" s="227" t="s">
        <v>3295</v>
      </c>
      <c r="J1712" s="221" t="s">
        <v>3023</v>
      </c>
      <c r="K1712" s="241" t="s">
        <v>3070</v>
      </c>
      <c r="L1712" s="225" t="str">
        <f>VLOOKUP(Logfile_S12[[#This Row],[Material Name]],Sheet2!B:C,2,0)</f>
        <v>ZTE1002</v>
      </c>
      <c r="M1712" s="242" t="s">
        <v>19</v>
      </c>
      <c r="N1712" s="227">
        <v>48</v>
      </c>
      <c r="O1712" s="227" t="s">
        <v>4785</v>
      </c>
      <c r="P1712" s="227" t="s">
        <v>4786</v>
      </c>
      <c r="Q1712" s="227"/>
      <c r="R1712" s="227"/>
      <c r="S1712" s="227"/>
      <c r="T1712" s="221" t="s">
        <v>3258</v>
      </c>
      <c r="U1712" s="221" t="s">
        <v>4811</v>
      </c>
      <c r="V1712" s="221" t="s">
        <v>3337</v>
      </c>
      <c r="W1712" s="221" t="s">
        <v>3338</v>
      </c>
      <c r="X1712" s="227"/>
      <c r="Y1712" s="227"/>
      <c r="Z1712" s="227" t="str">
        <f t="shared" si="63"/>
        <v>DUSUN ARDIREJO KELURAHAN SIDEREJO MALANG</v>
      </c>
      <c r="AA1712" s="276" t="e">
        <f>VLOOKUP(Logfile_S12[[#This Row],[DO number]],DO_DB!G:I,3,0)</f>
        <v>#N/A</v>
      </c>
      <c r="AB1712" s="331" t="e">
        <f>EXACT(Logfile_S12[[#This Row],[date pick]],Logfile_S12[[#This Row],[Date]])</f>
        <v>#N/A</v>
      </c>
      <c r="AC17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13" spans="1:29" ht="14.5" hidden="1">
      <c r="A1713" s="237" t="str">
        <f t="shared" si="62"/>
        <v>1709</v>
      </c>
      <c r="B1713" s="221">
        <v>4</v>
      </c>
      <c r="C1713" s="227" t="s">
        <v>49</v>
      </c>
      <c r="D1713" s="227" t="s">
        <v>4763</v>
      </c>
      <c r="E1713" s="227" t="s">
        <v>3295</v>
      </c>
      <c r="F1713" s="227" t="s">
        <v>3299</v>
      </c>
      <c r="G1713" s="239">
        <v>46012</v>
      </c>
      <c r="H1713" s="240">
        <v>0.33333333333333331</v>
      </c>
      <c r="I1713" s="227" t="s">
        <v>3295</v>
      </c>
      <c r="J1713" s="221" t="s">
        <v>3023</v>
      </c>
      <c r="K1713" s="241" t="s">
        <v>3070</v>
      </c>
      <c r="L1713" s="225" t="str">
        <f>VLOOKUP(Logfile_S12[[#This Row],[Material Name]],Sheet2!B:C,2,0)</f>
        <v>ZTE1002</v>
      </c>
      <c r="M1713" s="242" t="s">
        <v>19</v>
      </c>
      <c r="N1713" s="227">
        <v>9</v>
      </c>
      <c r="O1713" s="227" t="s">
        <v>4785</v>
      </c>
      <c r="P1713" s="227" t="s">
        <v>4786</v>
      </c>
      <c r="Q1713" s="227"/>
      <c r="R1713" s="227"/>
      <c r="S1713" s="227"/>
      <c r="T1713" s="221" t="s">
        <v>3258</v>
      </c>
      <c r="U1713" s="221" t="s">
        <v>4811</v>
      </c>
      <c r="V1713" s="221" t="s">
        <v>3337</v>
      </c>
      <c r="W1713" s="221" t="s">
        <v>3338</v>
      </c>
      <c r="X1713" s="227"/>
      <c r="Y1713" s="227"/>
      <c r="Z1713" s="227" t="str">
        <f t="shared" si="63"/>
        <v>DUSUN ARDIREJO KELURAHAN SIDEREJO MALANG</v>
      </c>
      <c r="AA1713" s="276" t="e">
        <f>VLOOKUP(Logfile_S12[[#This Row],[DO number]],DO_DB!G:I,3,0)</f>
        <v>#N/A</v>
      </c>
      <c r="AB1713" s="331" t="e">
        <f>EXACT(Logfile_S12[[#This Row],[date pick]],Logfile_S12[[#This Row],[Date]])</f>
        <v>#N/A</v>
      </c>
      <c r="AC17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14" spans="1:29" ht="14.5" hidden="1">
      <c r="A1714" s="237" t="str">
        <f t="shared" si="62"/>
        <v>1710</v>
      </c>
      <c r="B1714" s="221">
        <v>2</v>
      </c>
      <c r="C1714" s="227" t="s">
        <v>49</v>
      </c>
      <c r="D1714" s="227" t="s">
        <v>4770</v>
      </c>
      <c r="E1714" s="227" t="s">
        <v>3295</v>
      </c>
      <c r="F1714" s="227" t="s">
        <v>3299</v>
      </c>
      <c r="G1714" s="239">
        <v>46013</v>
      </c>
      <c r="H1714" s="240">
        <v>0.54166666666666663</v>
      </c>
      <c r="I1714" s="227" t="s">
        <v>3295</v>
      </c>
      <c r="J1714" s="221" t="s">
        <v>3023</v>
      </c>
      <c r="K1714" s="241" t="s">
        <v>3070</v>
      </c>
      <c r="L1714" s="225" t="str">
        <f>VLOOKUP(Logfile_S12[[#This Row],[Material Name]],Sheet2!B:C,2,0)</f>
        <v>ZTE1002</v>
      </c>
      <c r="M1714" s="242" t="s">
        <v>19</v>
      </c>
      <c r="N1714" s="227">
        <v>17</v>
      </c>
      <c r="O1714" s="227" t="s">
        <v>4785</v>
      </c>
      <c r="P1714" s="227" t="s">
        <v>4786</v>
      </c>
      <c r="Q1714" s="227"/>
      <c r="R1714" s="227"/>
      <c r="S1714" s="227"/>
      <c r="T1714" s="221" t="s">
        <v>3258</v>
      </c>
      <c r="U1714" s="221" t="s">
        <v>4811</v>
      </c>
      <c r="V1714" s="221" t="s">
        <v>3337</v>
      </c>
      <c r="W1714" s="221" t="s">
        <v>3338</v>
      </c>
      <c r="X1714" s="227"/>
      <c r="Y1714" s="227"/>
      <c r="Z1714" s="227" t="str">
        <f t="shared" si="63"/>
        <v>DUSUN ARDIREJO KELURAHAN SIDEREJO MALANG</v>
      </c>
      <c r="AA1714" s="276" t="e">
        <f>VLOOKUP(Logfile_S12[[#This Row],[DO number]],DO_DB!G:I,3,0)</f>
        <v>#N/A</v>
      </c>
      <c r="AB1714" s="331" t="e">
        <f>EXACT(Logfile_S12[[#This Row],[date pick]],Logfile_S12[[#This Row],[Date]])</f>
        <v>#N/A</v>
      </c>
      <c r="AC17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15" spans="1:29" ht="14.5" hidden="1">
      <c r="A1715" s="237" t="str">
        <f t="shared" si="62"/>
        <v>1711</v>
      </c>
      <c r="B1715" s="221">
        <v>2</v>
      </c>
      <c r="C1715" s="227" t="s">
        <v>49</v>
      </c>
      <c r="D1715" s="227" t="s">
        <v>4771</v>
      </c>
      <c r="E1715" s="227" t="s">
        <v>3295</v>
      </c>
      <c r="F1715" s="227" t="s">
        <v>3299</v>
      </c>
      <c r="G1715" s="239">
        <v>46014</v>
      </c>
      <c r="H1715" s="240">
        <v>0.33333333333333331</v>
      </c>
      <c r="I1715" s="227" t="s">
        <v>3295</v>
      </c>
      <c r="J1715" s="221" t="s">
        <v>3023</v>
      </c>
      <c r="K1715" s="241" t="s">
        <v>3070</v>
      </c>
      <c r="L1715" s="225" t="str">
        <f>VLOOKUP(Logfile_S12[[#This Row],[Material Name]],Sheet2!B:C,2,0)</f>
        <v>ZTE1002</v>
      </c>
      <c r="M1715" s="242" t="s">
        <v>19</v>
      </c>
      <c r="N1715" s="227">
        <v>3</v>
      </c>
      <c r="O1715" s="221" t="s">
        <v>4801</v>
      </c>
      <c r="P1715" s="221" t="s">
        <v>4802</v>
      </c>
      <c r="Q1715" s="227"/>
      <c r="R1715" s="227"/>
      <c r="S1715" s="227"/>
      <c r="T1715" s="221" t="s">
        <v>3258</v>
      </c>
      <c r="U1715" s="221" t="s">
        <v>4811</v>
      </c>
      <c r="V1715" s="221" t="s">
        <v>3337</v>
      </c>
      <c r="W1715" s="221" t="s">
        <v>3338</v>
      </c>
      <c r="X1715" s="227"/>
      <c r="Y1715" s="227"/>
      <c r="Z1715" s="227" t="str">
        <f t="shared" si="63"/>
        <v>DUSUN SIDOAYU KELURAHAN SIDEREJO MALANG</v>
      </c>
      <c r="AA1715" s="276" t="e">
        <f>VLOOKUP(Logfile_S12[[#This Row],[DO number]],DO_DB!G:I,3,0)</f>
        <v>#N/A</v>
      </c>
      <c r="AB1715" s="331" t="e">
        <f>EXACT(Logfile_S12[[#This Row],[date pick]],Logfile_S12[[#This Row],[Date]])</f>
        <v>#N/A</v>
      </c>
      <c r="AC17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16" spans="1:29" ht="14.5" hidden="1">
      <c r="A1716" s="237" t="str">
        <f t="shared" si="62"/>
        <v>1712</v>
      </c>
      <c r="B1716" s="221">
        <v>1</v>
      </c>
      <c r="C1716" s="227" t="s">
        <v>49</v>
      </c>
      <c r="D1716" s="227" t="s">
        <v>4784</v>
      </c>
      <c r="E1716" s="227" t="s">
        <v>3295</v>
      </c>
      <c r="F1716" s="227" t="s">
        <v>3299</v>
      </c>
      <c r="G1716" s="239">
        <v>46035</v>
      </c>
      <c r="H1716" s="240">
        <v>0.43888888888888888</v>
      </c>
      <c r="I1716" s="227" t="s">
        <v>3295</v>
      </c>
      <c r="J1716" s="221" t="s">
        <v>3023</v>
      </c>
      <c r="K1716" s="241" t="s">
        <v>3070</v>
      </c>
      <c r="L1716" s="225" t="str">
        <f>VLOOKUP(Logfile_S12[[#This Row],[Material Name]],Sheet2!B:C,2,0)</f>
        <v>ZTE1002</v>
      </c>
      <c r="M1716" s="242" t="s">
        <v>19</v>
      </c>
      <c r="N1716" s="227">
        <v>16</v>
      </c>
      <c r="O1716" s="227" t="s">
        <v>4785</v>
      </c>
      <c r="P1716" s="227" t="s">
        <v>4786</v>
      </c>
      <c r="Q1716" s="227" t="s">
        <v>4787</v>
      </c>
      <c r="R1716" s="227" t="s">
        <v>4788</v>
      </c>
      <c r="S1716" s="227" t="s">
        <v>39</v>
      </c>
      <c r="T1716" s="227" t="s">
        <v>3258</v>
      </c>
      <c r="U1716" s="227" t="s">
        <v>4811</v>
      </c>
      <c r="V1716" s="221" t="s">
        <v>3337</v>
      </c>
      <c r="W1716" s="227" t="s">
        <v>3338</v>
      </c>
      <c r="X1716" s="227"/>
      <c r="Y1716" s="227"/>
      <c r="Z1716" s="227" t="str">
        <f t="shared" si="63"/>
        <v>DUSUN ARDIREJO KELURAHAN SIDEREJO MALANG</v>
      </c>
      <c r="AA1716" s="276">
        <f>VLOOKUP(Logfile_S12[[#This Row],[DO number]],DO_DB!G:I,3,0)</f>
        <v>46002</v>
      </c>
      <c r="AB1716" s="331" t="b">
        <f>EXACT(Logfile_S12[[#This Row],[date pick]],Logfile_S12[[#This Row],[Date]])</f>
        <v>0</v>
      </c>
      <c r="AC17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17" spans="1:29" ht="14.5" hidden="1">
      <c r="A1717" s="237" t="str">
        <f t="shared" si="62"/>
        <v>1713</v>
      </c>
      <c r="B1717" s="221">
        <v>2</v>
      </c>
      <c r="C1717" s="227" t="s">
        <v>48</v>
      </c>
      <c r="D1717" s="227" t="s">
        <v>4812</v>
      </c>
      <c r="E1717" s="227" t="s">
        <v>3295</v>
      </c>
      <c r="F1717" s="227" t="s">
        <v>3299</v>
      </c>
      <c r="G1717" s="239">
        <v>46041</v>
      </c>
      <c r="H1717" s="240">
        <v>0.25138888888888888</v>
      </c>
      <c r="I1717" s="227" t="s">
        <v>37</v>
      </c>
      <c r="J1717" s="221" t="s">
        <v>3023</v>
      </c>
      <c r="K1717" s="241" t="s">
        <v>3070</v>
      </c>
      <c r="L1717" s="225" t="str">
        <f>VLOOKUP(Logfile_S12[[#This Row],[Material Name]],Sheet2!B:C,2,0)</f>
        <v>ZTE1002</v>
      </c>
      <c r="M1717" s="242" t="s">
        <v>19</v>
      </c>
      <c r="N1717" s="227">
        <v>13</v>
      </c>
      <c r="O1717" s="227" t="s">
        <v>4813</v>
      </c>
      <c r="P1717" s="227" t="s">
        <v>4815</v>
      </c>
      <c r="Q1717" s="227" t="s">
        <v>4820</v>
      </c>
      <c r="R1717" s="227" t="s">
        <v>4819</v>
      </c>
      <c r="S1717" s="227"/>
      <c r="T1717" s="227" t="s">
        <v>3258</v>
      </c>
      <c r="U1717" s="227" t="s">
        <v>4811</v>
      </c>
      <c r="V1717" s="221" t="s">
        <v>3337</v>
      </c>
      <c r="W1717" s="227" t="s">
        <v>3338</v>
      </c>
      <c r="X1717" s="227"/>
      <c r="Y1717" s="227"/>
      <c r="Z1717" s="227" t="str">
        <f t="shared" si="63"/>
        <v>KEBONAGUNG RW 06 PAKISAJI</v>
      </c>
      <c r="AA1717" s="276">
        <f>VLOOKUP(Logfile_S12[[#This Row],[DO number]],DO_DB!G:I,3,0)</f>
        <v>46041</v>
      </c>
      <c r="AB1717" s="331" t="b">
        <f>EXACT(Logfile_S12[[#This Row],[date pick]],Logfile_S12[[#This Row],[Date]])</f>
        <v>1</v>
      </c>
      <c r="AC17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18" spans="1:29" ht="14.5" hidden="1">
      <c r="A1718" s="237" t="str">
        <f t="shared" si="62"/>
        <v>1714</v>
      </c>
      <c r="B1718" s="221">
        <v>8</v>
      </c>
      <c r="C1718" s="227" t="s">
        <v>48</v>
      </c>
      <c r="D1718" s="227" t="s">
        <v>4812</v>
      </c>
      <c r="E1718" s="227" t="s">
        <v>3295</v>
      </c>
      <c r="F1718" s="227" t="s">
        <v>3299</v>
      </c>
      <c r="G1718" s="239">
        <v>46041</v>
      </c>
      <c r="H1718" s="240">
        <v>0.25138888888888888</v>
      </c>
      <c r="I1718" s="227" t="s">
        <v>37</v>
      </c>
      <c r="J1718" s="221" t="s">
        <v>3023</v>
      </c>
      <c r="K1718" s="241" t="s">
        <v>3070</v>
      </c>
      <c r="L1718" s="225" t="str">
        <f>VLOOKUP(Logfile_S12[[#This Row],[Material Name]],Sheet2!B:C,2,0)</f>
        <v>ZTE1002</v>
      </c>
      <c r="M1718" s="242" t="s">
        <v>19</v>
      </c>
      <c r="N1718" s="227">
        <v>25</v>
      </c>
      <c r="O1718" s="227" t="s">
        <v>4814</v>
      </c>
      <c r="P1718" s="227" t="s">
        <v>4816</v>
      </c>
      <c r="Q1718" s="227" t="s">
        <v>4818</v>
      </c>
      <c r="R1718" s="227" t="s">
        <v>4817</v>
      </c>
      <c r="S1718" s="227"/>
      <c r="T1718" s="227" t="s">
        <v>3258</v>
      </c>
      <c r="U1718" s="227" t="s">
        <v>4811</v>
      </c>
      <c r="V1718" s="221" t="s">
        <v>3337</v>
      </c>
      <c r="W1718" s="227" t="s">
        <v>3338</v>
      </c>
      <c r="X1718" s="227"/>
      <c r="Y1718" s="227"/>
      <c r="Z1718" s="227" t="str">
        <f t="shared" si="63"/>
        <v>Griya Kebon Agung Indah</v>
      </c>
      <c r="AA1718" s="276">
        <f>VLOOKUP(Logfile_S12[[#This Row],[DO number]],DO_DB!G:I,3,0)</f>
        <v>46041</v>
      </c>
      <c r="AB1718" s="331" t="b">
        <f>EXACT(Logfile_S12[[#This Row],[date pick]],Logfile_S12[[#This Row],[Date]])</f>
        <v>1</v>
      </c>
      <c r="AC17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19" spans="1:29" ht="14.5" hidden="1">
      <c r="A1719" s="237" t="str">
        <f t="shared" si="62"/>
        <v>1715</v>
      </c>
      <c r="B1719" s="221">
        <v>1</v>
      </c>
      <c r="C1719" s="227" t="s">
        <v>49</v>
      </c>
      <c r="D1719" s="227" t="s">
        <v>4822</v>
      </c>
      <c r="E1719" s="227" t="s">
        <v>3295</v>
      </c>
      <c r="F1719" s="227" t="s">
        <v>3299</v>
      </c>
      <c r="G1719" s="239">
        <v>46042</v>
      </c>
      <c r="H1719" s="240">
        <v>0.68888888888888899</v>
      </c>
      <c r="I1719" s="227" t="s">
        <v>3295</v>
      </c>
      <c r="J1719" s="221" t="s">
        <v>3023</v>
      </c>
      <c r="K1719" s="241" t="s">
        <v>3070</v>
      </c>
      <c r="L1719" s="225" t="str">
        <f>VLOOKUP(Logfile_S12[[#This Row],[Material Name]],Sheet2!B:C,2,0)</f>
        <v>ZTE1002</v>
      </c>
      <c r="M1719" s="242" t="s">
        <v>19</v>
      </c>
      <c r="N1719" s="227">
        <v>20</v>
      </c>
      <c r="O1719" s="227" t="s">
        <v>4813</v>
      </c>
      <c r="P1719" s="227" t="s">
        <v>4815</v>
      </c>
      <c r="Q1719" s="227" t="s">
        <v>4820</v>
      </c>
      <c r="R1719" s="227" t="s">
        <v>4819</v>
      </c>
      <c r="S1719" s="227"/>
      <c r="T1719" s="227" t="s">
        <v>3258</v>
      </c>
      <c r="U1719" s="227" t="s">
        <v>4811</v>
      </c>
      <c r="V1719" s="221" t="s">
        <v>3337</v>
      </c>
      <c r="W1719" s="227" t="s">
        <v>3338</v>
      </c>
      <c r="X1719" s="227"/>
      <c r="Y1719" s="227"/>
      <c r="Z1719" s="227" t="str">
        <f t="shared" si="63"/>
        <v>KEBONAGUNG RW 06 PAKISAJI</v>
      </c>
      <c r="AA1719" s="276">
        <f>VLOOKUP(Logfile_S12[[#This Row],[DO number]],DO_DB!G:I,3,0)</f>
        <v>46041</v>
      </c>
      <c r="AB1719" s="331" t="b">
        <f>EXACT(Logfile_S12[[#This Row],[date pick]],Logfile_S12[[#This Row],[Date]])</f>
        <v>0</v>
      </c>
      <c r="AC17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20" spans="1:29" ht="14.5" hidden="1">
      <c r="A1720" s="237" t="str">
        <f t="shared" si="62"/>
        <v>1716</v>
      </c>
      <c r="B1720" s="221">
        <v>1</v>
      </c>
      <c r="C1720" s="227" t="s">
        <v>49</v>
      </c>
      <c r="D1720" s="227" t="s">
        <v>4823</v>
      </c>
      <c r="E1720" s="227" t="s">
        <v>3295</v>
      </c>
      <c r="F1720" s="227" t="s">
        <v>3299</v>
      </c>
      <c r="G1720" s="239">
        <v>46042</v>
      </c>
      <c r="H1720" s="240">
        <v>0.68888888888888899</v>
      </c>
      <c r="I1720" s="227" t="s">
        <v>3295</v>
      </c>
      <c r="J1720" s="221" t="s">
        <v>3023</v>
      </c>
      <c r="K1720" s="241" t="s">
        <v>3070</v>
      </c>
      <c r="L1720" s="225" t="str">
        <f>VLOOKUP(Logfile_S12[[#This Row],[Material Name]],Sheet2!B:C,2,0)</f>
        <v>ZTE1002</v>
      </c>
      <c r="M1720" s="242" t="s">
        <v>19</v>
      </c>
      <c r="N1720" s="227">
        <v>25</v>
      </c>
      <c r="O1720" s="227" t="s">
        <v>4813</v>
      </c>
      <c r="P1720" s="227" t="s">
        <v>4816</v>
      </c>
      <c r="Q1720" s="227" t="s">
        <v>4818</v>
      </c>
      <c r="R1720" s="227" t="s">
        <v>4819</v>
      </c>
      <c r="S1720" s="227"/>
      <c r="T1720" s="227" t="s">
        <v>3258</v>
      </c>
      <c r="U1720" s="227" t="s">
        <v>4811</v>
      </c>
      <c r="V1720" s="227" t="s">
        <v>3337</v>
      </c>
      <c r="W1720" s="227" t="s">
        <v>3338</v>
      </c>
      <c r="X1720" s="227"/>
      <c r="Y1720" s="227"/>
      <c r="Z1720" s="227" t="str">
        <f t="shared" si="63"/>
        <v>Griya Kebon Agung Indah</v>
      </c>
      <c r="AA1720" s="276">
        <f>VLOOKUP(Logfile_S12[[#This Row],[DO number]],DO_DB!G:I,3,0)</f>
        <v>46041</v>
      </c>
      <c r="AB1720" s="331" t="b">
        <f>EXACT(Logfile_S12[[#This Row],[date pick]],Logfile_S12[[#This Row],[Date]])</f>
        <v>0</v>
      </c>
      <c r="AC17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21" spans="1:29" ht="14.5" hidden="1">
      <c r="A1721" s="237" t="str">
        <f t="shared" si="62"/>
        <v>1717</v>
      </c>
      <c r="B1721" s="221"/>
      <c r="C1721" s="227" t="s">
        <v>48</v>
      </c>
      <c r="D1721" s="227" t="s">
        <v>4832</v>
      </c>
      <c r="E1721" s="227" t="s">
        <v>3295</v>
      </c>
      <c r="F1721" s="227" t="s">
        <v>3299</v>
      </c>
      <c r="G1721" s="239">
        <v>46042</v>
      </c>
      <c r="H1721" s="240">
        <v>0.25138888888888888</v>
      </c>
      <c r="I1721" s="227" t="s">
        <v>3586</v>
      </c>
      <c r="J1721" s="227" t="s">
        <v>3023</v>
      </c>
      <c r="K1721" s="241" t="s">
        <v>3070</v>
      </c>
      <c r="L1721" s="242" t="str">
        <f>VLOOKUP(Logfile_S12[[#This Row],[Material Name]],Sheet2!B:C,2,0)</f>
        <v>ZTE1002</v>
      </c>
      <c r="M1721" s="242" t="s">
        <v>19</v>
      </c>
      <c r="N1721" s="227">
        <v>8</v>
      </c>
      <c r="O1721" s="227" t="s">
        <v>4813</v>
      </c>
      <c r="P1721" s="227" t="s">
        <v>4815</v>
      </c>
      <c r="Q1721" s="227"/>
      <c r="R1721" s="227"/>
      <c r="S1721" s="227"/>
      <c r="T1721" s="227"/>
      <c r="U1721" s="227"/>
      <c r="V1721" s="227"/>
      <c r="W1721" s="227"/>
      <c r="X1721" s="227"/>
      <c r="Y1721" s="227"/>
      <c r="Z1721" s="227" t="str">
        <f t="shared" si="63"/>
        <v>KEBONAGUNG RW 06 PAKISAJI</v>
      </c>
      <c r="AA1721" s="276" t="e">
        <f>VLOOKUP(Logfile_S12[[#This Row],[DO number]],DO_DB!G:I,3,0)</f>
        <v>#N/A</v>
      </c>
      <c r="AB1721" s="331" t="e">
        <f>EXACT(Logfile_S12[[#This Row],[date pick]],Logfile_S12[[#This Row],[Date]])</f>
        <v>#N/A</v>
      </c>
      <c r="AC17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22" spans="1:29" ht="14.5" hidden="1">
      <c r="A1722" s="237" t="str">
        <f t="shared" si="62"/>
        <v>1718</v>
      </c>
      <c r="B1722" s="221">
        <v>2</v>
      </c>
      <c r="C1722" s="227" t="s">
        <v>49</v>
      </c>
      <c r="D1722" s="227" t="s">
        <v>4833</v>
      </c>
      <c r="E1722" s="227" t="s">
        <v>3295</v>
      </c>
      <c r="F1722" s="227" t="s">
        <v>3299</v>
      </c>
      <c r="G1722" s="239">
        <v>46090</v>
      </c>
      <c r="H1722" s="240">
        <v>0.79166666666666663</v>
      </c>
      <c r="I1722" s="227" t="s">
        <v>3295</v>
      </c>
      <c r="J1722" s="221" t="s">
        <v>3023</v>
      </c>
      <c r="K1722" s="241" t="s">
        <v>3070</v>
      </c>
      <c r="L1722" s="242" t="str">
        <f>VLOOKUP(Logfile_S12[[#This Row],[Material Name]],Sheet2!B:C,2,0)</f>
        <v>ZTE1002</v>
      </c>
      <c r="M1722" s="242" t="s">
        <v>19</v>
      </c>
      <c r="N1722" s="227">
        <v>25</v>
      </c>
      <c r="O1722" s="227" t="s">
        <v>4835</v>
      </c>
      <c r="P1722" s="227" t="s">
        <v>4836</v>
      </c>
      <c r="Q1722" s="227"/>
      <c r="R1722" s="227"/>
      <c r="S1722" s="227"/>
      <c r="T1722" s="221" t="s">
        <v>3258</v>
      </c>
      <c r="U1722" s="221" t="s">
        <v>4811</v>
      </c>
      <c r="V1722" s="221" t="s">
        <v>3337</v>
      </c>
      <c r="W1722" s="221" t="s">
        <v>3338</v>
      </c>
      <c r="X1722" s="227"/>
      <c r="Y1722" s="227"/>
      <c r="Z1722" s="227" t="str">
        <f t="shared" si="63"/>
        <v>LESANPURO RW 01 MALANG</v>
      </c>
      <c r="AA1722" s="276" t="e">
        <f>VLOOKUP(Logfile_S12[[#This Row],[DO number]],DO_DB!G:I,3,0)</f>
        <v>#N/A</v>
      </c>
      <c r="AB1722" s="331" t="e">
        <f>EXACT(Logfile_S12[[#This Row],[date pick]],Logfile_S12[[#This Row],[Date]])</f>
        <v>#N/A</v>
      </c>
      <c r="AC17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23" spans="1:29" ht="14.5" hidden="1">
      <c r="A1723" s="237" t="str">
        <f t="shared" si="62"/>
        <v>1719</v>
      </c>
      <c r="B1723" s="221"/>
      <c r="C1723" s="227" t="s">
        <v>49</v>
      </c>
      <c r="D1723" s="227" t="s">
        <v>4858</v>
      </c>
      <c r="E1723" s="227" t="s">
        <v>3295</v>
      </c>
      <c r="F1723" s="227" t="s">
        <v>3299</v>
      </c>
      <c r="G1723" s="239">
        <v>46091</v>
      </c>
      <c r="H1723" s="240">
        <v>0.79166666666666663</v>
      </c>
      <c r="I1723" s="227" t="s">
        <v>3295</v>
      </c>
      <c r="J1723" s="221" t="s">
        <v>3023</v>
      </c>
      <c r="K1723" s="241" t="s">
        <v>3070</v>
      </c>
      <c r="L1723" s="242" t="str">
        <f>VLOOKUP(Logfile_S12[[#This Row],[Material Name]],Sheet2!B:C,2,0)</f>
        <v>ZTE1002</v>
      </c>
      <c r="M1723" s="242" t="s">
        <v>19</v>
      </c>
      <c r="N1723" s="227">
        <v>3</v>
      </c>
      <c r="O1723" s="227" t="s">
        <v>4835</v>
      </c>
      <c r="P1723" s="227" t="s">
        <v>4836</v>
      </c>
      <c r="Q1723" s="227"/>
      <c r="R1723" s="227"/>
      <c r="S1723" s="227"/>
      <c r="T1723" s="221" t="s">
        <v>3258</v>
      </c>
      <c r="U1723" s="221" t="s">
        <v>4811</v>
      </c>
      <c r="V1723" s="221" t="s">
        <v>3337</v>
      </c>
      <c r="W1723" s="221" t="s">
        <v>3338</v>
      </c>
      <c r="X1723" s="227"/>
      <c r="Y1723" s="227"/>
      <c r="Z1723" s="227" t="str">
        <f t="shared" si="63"/>
        <v>LESANPURO RW 01 MALANG</v>
      </c>
      <c r="AA1723" s="276" t="e">
        <f>VLOOKUP(Logfile_S12[[#This Row],[DO number]],DO_DB!G:I,3,0)</f>
        <v>#N/A</v>
      </c>
      <c r="AB1723" s="331" t="e">
        <f>EXACT(Logfile_S12[[#This Row],[date pick]],Logfile_S12[[#This Row],[Date]])</f>
        <v>#N/A</v>
      </c>
      <c r="AC17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24" spans="1:29" ht="14.5" hidden="1">
      <c r="A1724" s="237" t="str">
        <f t="shared" si="62"/>
        <v>1720</v>
      </c>
      <c r="B1724" s="221"/>
      <c r="C1724" s="227" t="s">
        <v>48</v>
      </c>
      <c r="D1724" s="227" t="s">
        <v>4843</v>
      </c>
      <c r="E1724" s="227" t="s">
        <v>3295</v>
      </c>
      <c r="F1724" s="227" t="s">
        <v>3299</v>
      </c>
      <c r="G1724" s="239">
        <v>46096</v>
      </c>
      <c r="H1724" s="240">
        <v>0.79166666666666663</v>
      </c>
      <c r="I1724" s="221" t="s">
        <v>3586</v>
      </c>
      <c r="J1724" s="221" t="s">
        <v>3023</v>
      </c>
      <c r="K1724" s="241" t="s">
        <v>3070</v>
      </c>
      <c r="L1724" s="225" t="str">
        <f>VLOOKUP(Logfile_S12[[#This Row],[Material Name]],Sheet2!B:C,2,0)</f>
        <v>ZTE1002</v>
      </c>
      <c r="M1724" s="242" t="s">
        <v>19</v>
      </c>
      <c r="N1724" s="227">
        <v>5</v>
      </c>
      <c r="O1724" s="227" t="s">
        <v>4839</v>
      </c>
      <c r="P1724" s="227" t="s">
        <v>4840</v>
      </c>
      <c r="Q1724" s="227"/>
      <c r="R1724" s="227"/>
      <c r="S1724" s="227"/>
      <c r="T1724" s="227"/>
      <c r="U1724" s="227"/>
      <c r="V1724" s="227"/>
      <c r="W1724" s="227"/>
      <c r="X1724" s="227"/>
      <c r="Y1724" s="227"/>
      <c r="Z1724" s="227" t="str">
        <f t="shared" si="63"/>
        <v>SEKARPURO RW 05 MALANG</v>
      </c>
      <c r="AA1724" s="276" t="e">
        <f>VLOOKUP(Logfile_S12[[#This Row],[DO number]],DO_DB!G:I,3,0)</f>
        <v>#N/A</v>
      </c>
      <c r="AB1724" s="331" t="e">
        <f>EXACT(Logfile_S12[[#This Row],[date pick]],Logfile_S12[[#This Row],[Date]])</f>
        <v>#N/A</v>
      </c>
      <c r="AC17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25" spans="1:29" ht="14.5" hidden="1">
      <c r="A1725" s="237" t="str">
        <f t="shared" si="62"/>
        <v>1721</v>
      </c>
      <c r="B1725" s="221">
        <v>4</v>
      </c>
      <c r="C1725" s="227" t="s">
        <v>49</v>
      </c>
      <c r="D1725" s="227" t="s">
        <v>4838</v>
      </c>
      <c r="E1725" s="227" t="s">
        <v>3295</v>
      </c>
      <c r="F1725" s="227" t="s">
        <v>3299</v>
      </c>
      <c r="G1725" s="239">
        <v>46096</v>
      </c>
      <c r="H1725" s="240">
        <v>0.79166666666666663</v>
      </c>
      <c r="I1725" s="227" t="s">
        <v>3295</v>
      </c>
      <c r="J1725" s="221" t="s">
        <v>3023</v>
      </c>
      <c r="K1725" s="241" t="s">
        <v>3070</v>
      </c>
      <c r="L1725" s="225" t="str">
        <f>VLOOKUP(Logfile_S12[[#This Row],[Material Name]],Sheet2!B:C,2,0)</f>
        <v>ZTE1002</v>
      </c>
      <c r="M1725" s="242" t="s">
        <v>19</v>
      </c>
      <c r="N1725" s="227">
        <v>11</v>
      </c>
      <c r="O1725" s="227" t="s">
        <v>4839</v>
      </c>
      <c r="P1725" s="227" t="s">
        <v>4840</v>
      </c>
      <c r="Q1725" s="227"/>
      <c r="R1725" s="227"/>
      <c r="S1725" s="227"/>
      <c r="T1725" s="221" t="s">
        <v>3258</v>
      </c>
      <c r="U1725" s="221" t="s">
        <v>4811</v>
      </c>
      <c r="V1725" s="221" t="s">
        <v>3337</v>
      </c>
      <c r="W1725" s="221" t="s">
        <v>3338</v>
      </c>
      <c r="X1725" s="227"/>
      <c r="Y1725" s="227"/>
      <c r="Z1725" s="227" t="str">
        <f t="shared" si="63"/>
        <v>SEKARPURO RW 05 MALANG</v>
      </c>
      <c r="AA1725" s="276" t="e">
        <f>VLOOKUP(Logfile_S12[[#This Row],[DO number]],DO_DB!G:I,3,0)</f>
        <v>#N/A</v>
      </c>
      <c r="AB1725" s="331" t="e">
        <f>EXACT(Logfile_S12[[#This Row],[date pick]],Logfile_S12[[#This Row],[Date]])</f>
        <v>#N/A</v>
      </c>
      <c r="AC17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26" spans="1:29" ht="14.5" hidden="1">
      <c r="A1726" s="237" t="str">
        <f t="shared" si="62"/>
        <v>1722</v>
      </c>
      <c r="B1726" s="221">
        <v>1</v>
      </c>
      <c r="C1726" s="227" t="s">
        <v>49</v>
      </c>
      <c r="D1726" s="227" t="s">
        <v>4845</v>
      </c>
      <c r="E1726" s="227" t="s">
        <v>3295</v>
      </c>
      <c r="F1726" s="227" t="s">
        <v>3299</v>
      </c>
      <c r="G1726" s="239">
        <v>46133</v>
      </c>
      <c r="H1726" s="240">
        <v>0.29166666666666669</v>
      </c>
      <c r="I1726" s="227" t="s">
        <v>3295</v>
      </c>
      <c r="J1726" s="221" t="s">
        <v>3023</v>
      </c>
      <c r="K1726" s="241" t="s">
        <v>3070</v>
      </c>
      <c r="L1726" s="242" t="str">
        <f>VLOOKUP(Logfile_S12[[#This Row],[Material Name]],Sheet2!B:C,2,0)</f>
        <v>ZTE1002</v>
      </c>
      <c r="M1726" s="242" t="s">
        <v>19</v>
      </c>
      <c r="N1726" s="227">
        <v>10</v>
      </c>
      <c r="O1726" s="227" t="s">
        <v>4847</v>
      </c>
      <c r="P1726" s="227" t="s">
        <v>4846</v>
      </c>
      <c r="Q1726" s="227"/>
      <c r="R1726" s="227"/>
      <c r="S1726" s="227"/>
      <c r="T1726" s="221" t="s">
        <v>3258</v>
      </c>
      <c r="U1726" s="221" t="s">
        <v>4811</v>
      </c>
      <c r="V1726" s="221" t="s">
        <v>3337</v>
      </c>
      <c r="W1726" s="221" t="s">
        <v>3338</v>
      </c>
      <c r="X1726" s="227"/>
      <c r="Y1726" s="227"/>
      <c r="Z1726" s="227" t="str">
        <f t="shared" si="63"/>
        <v>SEKARPURO RW 04 MALANG</v>
      </c>
      <c r="AA1726" s="276" t="e">
        <f>VLOOKUP(Logfile_S12[[#This Row],[DO number]],DO_DB!G:I,3,0)</f>
        <v>#N/A</v>
      </c>
      <c r="AB1726" s="331" t="e">
        <f>EXACT(Logfile_S12[[#This Row],[date pick]],Logfile_S12[[#This Row],[Date]])</f>
        <v>#N/A</v>
      </c>
      <c r="AC17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27" spans="1:29" ht="14.5" hidden="1">
      <c r="A1727" s="228" t="str">
        <f t="shared" si="62"/>
        <v>1723</v>
      </c>
      <c r="B1727" s="229">
        <v>3</v>
      </c>
      <c r="C1727" s="230" t="s">
        <v>49</v>
      </c>
      <c r="D1727" s="230" t="s">
        <v>4858</v>
      </c>
      <c r="E1727" s="230" t="s">
        <v>3295</v>
      </c>
      <c r="F1727" s="230" t="s">
        <v>3299</v>
      </c>
      <c r="G1727" s="231">
        <v>46134</v>
      </c>
      <c r="H1727" s="232">
        <v>0.25</v>
      </c>
      <c r="I1727" s="230" t="s">
        <v>3295</v>
      </c>
      <c r="J1727" s="229" t="s">
        <v>3023</v>
      </c>
      <c r="K1727" s="233" t="s">
        <v>3070</v>
      </c>
      <c r="L1727" s="234" t="str">
        <f>VLOOKUP(Logfile_S12[[#This Row],[Material Name]],Sheet2!B:C,2,0)</f>
        <v>ZTE1002</v>
      </c>
      <c r="M1727" s="234" t="s">
        <v>19</v>
      </c>
      <c r="N1727" s="230">
        <v>1</v>
      </c>
      <c r="O1727" s="230" t="s">
        <v>4429</v>
      </c>
      <c r="P1727" s="230" t="s">
        <v>4429</v>
      </c>
      <c r="Q1727" s="230"/>
      <c r="R1727" s="230"/>
      <c r="S1727" s="230"/>
      <c r="T1727" s="221" t="s">
        <v>3231</v>
      </c>
      <c r="U1727" s="221" t="s">
        <v>4811</v>
      </c>
      <c r="V1727" s="221" t="s">
        <v>3232</v>
      </c>
      <c r="W1727" s="221" t="s">
        <v>3254</v>
      </c>
      <c r="X1727" s="230" t="s">
        <v>4429</v>
      </c>
      <c r="Y1727" s="227"/>
      <c r="Z1727" s="227" t="str">
        <f t="shared" si="63"/>
        <v>ADJUSTMENT</v>
      </c>
      <c r="AA1727" s="276" t="e">
        <f>VLOOKUP(Logfile_S12[[#This Row],[DO number]],DO_DB!G:I,3,0)</f>
        <v>#N/A</v>
      </c>
      <c r="AB1727" s="331" t="e">
        <f>EXACT(Logfile_S12[[#This Row],[date pick]],Logfile_S12[[#This Row],[Date]])</f>
        <v>#N/A</v>
      </c>
      <c r="AC17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28" spans="1:29" ht="14.5" hidden="1">
      <c r="A1728" s="237" t="str">
        <f t="shared" si="62"/>
        <v>1724</v>
      </c>
      <c r="B1728" s="221">
        <v>1</v>
      </c>
      <c r="C1728" s="227" t="s">
        <v>49</v>
      </c>
      <c r="D1728" s="227" t="s">
        <v>4873</v>
      </c>
      <c r="E1728" s="227" t="s">
        <v>3295</v>
      </c>
      <c r="F1728" s="227" t="s">
        <v>3299</v>
      </c>
      <c r="G1728" s="239">
        <v>46153</v>
      </c>
      <c r="H1728" s="240">
        <v>0.76250000000000007</v>
      </c>
      <c r="I1728" s="227" t="s">
        <v>3295</v>
      </c>
      <c r="J1728" s="221" t="s">
        <v>3023</v>
      </c>
      <c r="K1728" s="241" t="s">
        <v>3070</v>
      </c>
      <c r="L1728" s="242" t="str">
        <f>VLOOKUP(Logfile_S12[[#This Row],[Material Name]],Sheet2!B:C,2,0)</f>
        <v>ZTE1002</v>
      </c>
      <c r="M1728" s="242" t="s">
        <v>19</v>
      </c>
      <c r="N1728" s="227">
        <v>8</v>
      </c>
      <c r="O1728" s="221" t="s">
        <v>4866</v>
      </c>
      <c r="P1728" s="221" t="s">
        <v>4867</v>
      </c>
      <c r="Q1728" s="227"/>
      <c r="R1728" s="227"/>
      <c r="S1728" s="227"/>
      <c r="T1728" s="221" t="s">
        <v>3258</v>
      </c>
      <c r="U1728" s="221" t="s">
        <v>4811</v>
      </c>
      <c r="V1728" s="221" t="s">
        <v>3337</v>
      </c>
      <c r="W1728" s="221" t="s">
        <v>3338</v>
      </c>
      <c r="X1728" s="227"/>
      <c r="Y1728" s="227"/>
      <c r="Z1728" s="227" t="str">
        <f t="shared" si="63"/>
        <v>WONOKOYO RW 05 KEDUNGKANDANG</v>
      </c>
      <c r="AA1728" s="276" t="e">
        <f>VLOOKUP(Logfile_S12[[#This Row],[DO number]],DO_DB!G:I,3,0)</f>
        <v>#N/A</v>
      </c>
      <c r="AB1728" s="331" t="e">
        <f>EXACT(Logfile_S12[[#This Row],[date pick]],Logfile_S12[[#This Row],[Date]])</f>
        <v>#N/A</v>
      </c>
      <c r="AC17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29" spans="1:29" ht="14.5" hidden="1">
      <c r="A1729" s="237" t="str">
        <f t="shared" si="62"/>
        <v>1725</v>
      </c>
      <c r="B1729" s="221">
        <v>2</v>
      </c>
      <c r="C1729" s="227" t="s">
        <v>48</v>
      </c>
      <c r="D1729" s="227" t="s">
        <v>4895</v>
      </c>
      <c r="E1729" s="227" t="s">
        <v>3295</v>
      </c>
      <c r="F1729" s="227" t="s">
        <v>3299</v>
      </c>
      <c r="G1729" s="239">
        <v>46164</v>
      </c>
      <c r="H1729" s="240">
        <v>0.74236111111111114</v>
      </c>
      <c r="I1729" s="227" t="s">
        <v>37</v>
      </c>
      <c r="J1729" s="227" t="s">
        <v>3023</v>
      </c>
      <c r="K1729" s="241" t="s">
        <v>3070</v>
      </c>
      <c r="L1729" s="242" t="str">
        <f>VLOOKUP(Logfile_S12[[#This Row],[Material Name]],Sheet2!B:C,2,0)</f>
        <v>ZTE1002</v>
      </c>
      <c r="M1729" s="242" t="s">
        <v>19</v>
      </c>
      <c r="N1729" s="227">
        <v>8</v>
      </c>
      <c r="O1729" s="227" t="s">
        <v>4870</v>
      </c>
      <c r="P1729" s="227" t="s">
        <v>4871</v>
      </c>
      <c r="Q1729" s="221" t="s">
        <v>4869</v>
      </c>
      <c r="R1729" s="221">
        <v>0</v>
      </c>
      <c r="S1729" s="227"/>
      <c r="T1729" s="227"/>
      <c r="U1729" s="227"/>
      <c r="V1729" s="227"/>
      <c r="W1729" s="227"/>
      <c r="X1729" s="227"/>
      <c r="Y1729" s="227"/>
      <c r="Z1729" s="227" t="str">
        <f t="shared" si="63"/>
        <v>SUMBERSEKAR RT 07 RW 04 MALANG</v>
      </c>
      <c r="AA1729" s="276">
        <f>VLOOKUP(Logfile_S12[[#This Row],[DO number]],DO_DB!G:I,3,0)</f>
        <v>46164</v>
      </c>
      <c r="AB1729" s="331" t="b">
        <f>EXACT(Logfile_S12[[#This Row],[date pick]],Logfile_S12[[#This Row],[Date]])</f>
        <v>1</v>
      </c>
      <c r="AC17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30" spans="1:29" ht="14.5" hidden="1">
      <c r="A1730" s="237" t="str">
        <f t="shared" si="62"/>
        <v>1726</v>
      </c>
      <c r="B1730" s="221">
        <v>2</v>
      </c>
      <c r="C1730" s="227" t="s">
        <v>49</v>
      </c>
      <c r="D1730" s="227" t="s">
        <v>4896</v>
      </c>
      <c r="E1730" s="227" t="s">
        <v>3295</v>
      </c>
      <c r="F1730" s="227" t="s">
        <v>3299</v>
      </c>
      <c r="G1730" s="239">
        <v>46165</v>
      </c>
      <c r="H1730" s="240">
        <v>0.74236111111111114</v>
      </c>
      <c r="I1730" s="227" t="s">
        <v>3295</v>
      </c>
      <c r="J1730" s="227" t="s">
        <v>3023</v>
      </c>
      <c r="K1730" s="241" t="s">
        <v>3070</v>
      </c>
      <c r="L1730" s="242" t="str">
        <f>VLOOKUP(Logfile_S12[[#This Row],[Material Name]],Sheet2!B:C,2,0)</f>
        <v>ZTE1002</v>
      </c>
      <c r="M1730" s="242" t="s">
        <v>19</v>
      </c>
      <c r="N1730" s="227">
        <v>13</v>
      </c>
      <c r="O1730" s="227" t="s">
        <v>4870</v>
      </c>
      <c r="P1730" s="227" t="s">
        <v>4871</v>
      </c>
      <c r="Q1730" s="227"/>
      <c r="R1730" s="227"/>
      <c r="S1730" s="227"/>
      <c r="T1730" s="248" t="s">
        <v>3471</v>
      </c>
      <c r="U1730" s="221" t="s">
        <v>4811</v>
      </c>
      <c r="V1730" s="248" t="s">
        <v>3472</v>
      </c>
      <c r="W1730" s="248" t="s">
        <v>3473</v>
      </c>
      <c r="X1730" s="227"/>
      <c r="Y1730" s="227"/>
      <c r="Z1730" s="227" t="str">
        <f t="shared" si="63"/>
        <v>SUMBERSEKAR RT 07 RW 04 MALANG</v>
      </c>
      <c r="AA1730" s="276" t="e">
        <f>VLOOKUP(Logfile_S12[[#This Row],[DO number]],DO_DB!G:I,3,0)</f>
        <v>#N/A</v>
      </c>
      <c r="AB1730" s="331" t="e">
        <f>EXACT(Logfile_S12[[#This Row],[date pick]],Logfile_S12[[#This Row],[Date]])</f>
        <v>#N/A</v>
      </c>
      <c r="AC17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31" spans="1:29" ht="14.5" hidden="1">
      <c r="A1731" s="237" t="str">
        <f t="shared" si="62"/>
        <v>1727</v>
      </c>
      <c r="B1731" s="221">
        <v>4</v>
      </c>
      <c r="C1731" s="227" t="s">
        <v>48</v>
      </c>
      <c r="D1731" s="227" t="s">
        <v>4905</v>
      </c>
      <c r="E1731" s="227" t="s">
        <v>3295</v>
      </c>
      <c r="F1731" s="227" t="s">
        <v>3299</v>
      </c>
      <c r="G1731" s="239">
        <v>46191</v>
      </c>
      <c r="H1731" s="240">
        <v>0.25</v>
      </c>
      <c r="I1731" s="227" t="s">
        <v>37</v>
      </c>
      <c r="J1731" s="227" t="s">
        <v>3023</v>
      </c>
      <c r="K1731" s="241" t="s">
        <v>3070</v>
      </c>
      <c r="L1731" s="242" t="str">
        <f>VLOOKUP(Logfile_S12[[#This Row],[Material Name]],Sheet2!B:C,2,0)</f>
        <v>ZTE1002</v>
      </c>
      <c r="M1731" s="242" t="s">
        <v>19</v>
      </c>
      <c r="N1731" s="227">
        <v>16</v>
      </c>
      <c r="O1731" s="221" t="s">
        <v>4898</v>
      </c>
      <c r="P1731" s="221" t="s">
        <v>4900</v>
      </c>
      <c r="Q1731" s="221" t="s">
        <v>4904</v>
      </c>
      <c r="R1731" s="221">
        <v>0</v>
      </c>
      <c r="S1731" s="227"/>
      <c r="T1731" s="227"/>
      <c r="U1731" s="227"/>
      <c r="V1731" s="227"/>
      <c r="W1731" s="227"/>
      <c r="X1731" s="227"/>
      <c r="Y1731" s="227"/>
      <c r="Z1731" s="227" t="str">
        <f t="shared" si="63"/>
        <v>RANDUANGUNG RW 04 SINGOSARI MALANG</v>
      </c>
      <c r="AA1731" s="276">
        <f>VLOOKUP(Logfile_S12[[#This Row],[DO number]],DO_DB!G:I,3,0)</f>
        <v>46191</v>
      </c>
      <c r="AB1731" s="331" t="b">
        <f>EXACT(Logfile_S12[[#This Row],[date pick]],Logfile_S12[[#This Row],[Date]])</f>
        <v>1</v>
      </c>
      <c r="AC17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32" spans="1:29" ht="14.5" hidden="1">
      <c r="A1732" s="237" t="str">
        <f t="shared" si="62"/>
        <v>1728</v>
      </c>
      <c r="B1732" s="221"/>
      <c r="C1732" s="227" t="s">
        <v>49</v>
      </c>
      <c r="D1732" s="227" t="s">
        <v>4908</v>
      </c>
      <c r="E1732" s="227" t="s">
        <v>3295</v>
      </c>
      <c r="F1732" s="227" t="s">
        <v>4909</v>
      </c>
      <c r="G1732" s="239">
        <v>46195</v>
      </c>
      <c r="H1732" s="240">
        <v>0.375</v>
      </c>
      <c r="I1732" s="227" t="s">
        <v>3295</v>
      </c>
      <c r="J1732" s="227" t="s">
        <v>3023</v>
      </c>
      <c r="K1732" s="241" t="s">
        <v>3070</v>
      </c>
      <c r="L1732" s="242" t="str">
        <f>VLOOKUP(Logfile_S12[[#This Row],[Material Name]],Sheet2!B:C,2,0)</f>
        <v>ZTE1002</v>
      </c>
      <c r="M1732" s="242" t="s">
        <v>19</v>
      </c>
      <c r="N1732" s="227">
        <v>21</v>
      </c>
      <c r="O1732" s="221" t="s">
        <v>4898</v>
      </c>
      <c r="P1732" s="221" t="s">
        <v>4900</v>
      </c>
      <c r="Q1732" s="227"/>
      <c r="R1732" s="227"/>
      <c r="S1732" s="227"/>
      <c r="T1732" s="221" t="s">
        <v>3258</v>
      </c>
      <c r="U1732" s="221" t="s">
        <v>4811</v>
      </c>
      <c r="V1732" s="221" t="s">
        <v>3337</v>
      </c>
      <c r="W1732" s="221" t="s">
        <v>3338</v>
      </c>
      <c r="X1732" s="227"/>
      <c r="Y1732" s="227"/>
      <c r="Z1732" s="227" t="str">
        <f t="shared" si="63"/>
        <v>RANDUANGUNG RW 04 SINGOSARI MALANG</v>
      </c>
      <c r="AA1732" s="276" t="e">
        <f>VLOOKUP(Logfile_S12[[#This Row],[DO number]],DO_DB!G:I,3,0)</f>
        <v>#N/A</v>
      </c>
      <c r="AB1732" s="331" t="e">
        <f>EXACT(Logfile_S12[[#This Row],[date pick]],Logfile_S12[[#This Row],[Date]])</f>
        <v>#N/A</v>
      </c>
      <c r="AC17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33" spans="1:29" ht="14.5" hidden="1">
      <c r="A1733" s="237" t="str">
        <f t="shared" ref="A1733:A1796" si="64">TEXT(ROW(A1733)-ROW($A$4),"000")</f>
        <v>1729</v>
      </c>
      <c r="B1733" s="221"/>
      <c r="C1733" s="227" t="s">
        <v>49</v>
      </c>
      <c r="D1733" s="227" t="s">
        <v>4910</v>
      </c>
      <c r="E1733" s="227" t="s">
        <v>3295</v>
      </c>
      <c r="F1733" s="227" t="s">
        <v>4909</v>
      </c>
      <c r="G1733" s="239">
        <v>46196</v>
      </c>
      <c r="H1733" s="240">
        <v>0.375</v>
      </c>
      <c r="I1733" s="227" t="s">
        <v>3295</v>
      </c>
      <c r="J1733" s="227" t="s">
        <v>3023</v>
      </c>
      <c r="K1733" s="241" t="s">
        <v>3070</v>
      </c>
      <c r="L1733" s="242" t="str">
        <f>VLOOKUP(Logfile_S12[[#This Row],[Material Name]],Sheet2!B:C,2,0)</f>
        <v>ZTE1002</v>
      </c>
      <c r="M1733" s="242" t="s">
        <v>19</v>
      </c>
      <c r="N1733" s="227">
        <v>7</v>
      </c>
      <c r="O1733" s="227" t="s">
        <v>4898</v>
      </c>
      <c r="P1733" s="227" t="s">
        <v>4900</v>
      </c>
      <c r="Q1733" s="227"/>
      <c r="R1733" s="227"/>
      <c r="S1733" s="227"/>
      <c r="T1733" s="221" t="s">
        <v>3258</v>
      </c>
      <c r="U1733" s="221" t="s">
        <v>4811</v>
      </c>
      <c r="V1733" s="221" t="s">
        <v>3337</v>
      </c>
      <c r="W1733" s="221" t="s">
        <v>3338</v>
      </c>
      <c r="X1733" s="227"/>
      <c r="Y1733" s="227"/>
      <c r="Z1733" s="227" t="str">
        <f t="shared" si="63"/>
        <v>RANDUANGUNG RW 04 SINGOSARI MALANG</v>
      </c>
      <c r="AA1733" s="276" t="e">
        <f>VLOOKUP(Logfile_S12[[#This Row],[DO number]],DO_DB!G:I,3,0)</f>
        <v>#N/A</v>
      </c>
      <c r="AB1733" s="331" t="e">
        <f>EXACT(Logfile_S12[[#This Row],[date pick]],Logfile_S12[[#This Row],[Date]])</f>
        <v>#N/A</v>
      </c>
      <c r="AC17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34" spans="1:29" ht="14.5" hidden="1">
      <c r="A1734" s="237" t="str">
        <f t="shared" si="64"/>
        <v>1730</v>
      </c>
      <c r="B1734" s="221"/>
      <c r="C1734" s="227" t="s">
        <v>49</v>
      </c>
      <c r="D1734" s="227" t="s">
        <v>4912</v>
      </c>
      <c r="E1734" s="227" t="s">
        <v>3295</v>
      </c>
      <c r="F1734" s="227" t="s">
        <v>4909</v>
      </c>
      <c r="G1734" s="239">
        <v>46198</v>
      </c>
      <c r="H1734" s="240">
        <v>0.875</v>
      </c>
      <c r="I1734" s="227" t="s">
        <v>3295</v>
      </c>
      <c r="J1734" s="227" t="s">
        <v>3023</v>
      </c>
      <c r="K1734" s="241" t="s">
        <v>3070</v>
      </c>
      <c r="L1734" s="242" t="str">
        <f>VLOOKUP(Logfile_S12[[#This Row],[Material Name]],Sheet2!B:C,2,0)</f>
        <v>ZTE1002</v>
      </c>
      <c r="M1734" s="242" t="s">
        <v>19</v>
      </c>
      <c r="N1734" s="227">
        <v>13</v>
      </c>
      <c r="O1734" s="227" t="s">
        <v>4902</v>
      </c>
      <c r="P1734" s="227" t="s">
        <v>4903</v>
      </c>
      <c r="Q1734" s="227"/>
      <c r="R1734" s="227"/>
      <c r="S1734" s="227"/>
      <c r="T1734" s="221" t="s">
        <v>3258</v>
      </c>
      <c r="U1734" s="221" t="s">
        <v>4811</v>
      </c>
      <c r="V1734" s="221" t="s">
        <v>3337</v>
      </c>
      <c r="W1734" s="221" t="s">
        <v>3338</v>
      </c>
      <c r="X1734" s="227"/>
      <c r="Y1734" s="227"/>
      <c r="Z1734" s="227" t="str">
        <f t="shared" si="63"/>
        <v>KAMBINGAN RW 04 MALANG</v>
      </c>
      <c r="AA1734" s="276" t="e">
        <f>VLOOKUP(Logfile_S12[[#This Row],[DO number]],DO_DB!G:I,3,0)</f>
        <v>#N/A</v>
      </c>
      <c r="AB1734" s="331" t="e">
        <f>EXACT(Logfile_S12[[#This Row],[date pick]],Logfile_S12[[#This Row],[Date]])</f>
        <v>#N/A</v>
      </c>
      <c r="AC17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35" spans="1:29" ht="14.5" hidden="1">
      <c r="A1735" s="237" t="str">
        <f t="shared" si="64"/>
        <v>1731</v>
      </c>
      <c r="B1735" s="221"/>
      <c r="C1735" s="227" t="s">
        <v>49</v>
      </c>
      <c r="D1735" s="227" t="s">
        <v>4937</v>
      </c>
      <c r="E1735" s="227" t="s">
        <v>3295</v>
      </c>
      <c r="F1735" s="227" t="s">
        <v>4909</v>
      </c>
      <c r="G1735" s="239">
        <v>46202</v>
      </c>
      <c r="H1735" s="240">
        <v>0.25</v>
      </c>
      <c r="I1735" s="227" t="s">
        <v>3295</v>
      </c>
      <c r="J1735" s="227" t="s">
        <v>3023</v>
      </c>
      <c r="K1735" s="241" t="s">
        <v>3070</v>
      </c>
      <c r="L1735" s="242" t="str">
        <f>VLOOKUP(Logfile_S12[[#This Row],[Material Name]],Sheet2!B:C,2,0)</f>
        <v>ZTE1002</v>
      </c>
      <c r="M1735" s="242" t="s">
        <v>19</v>
      </c>
      <c r="N1735" s="227">
        <v>14</v>
      </c>
      <c r="O1735" s="227" t="s">
        <v>4902</v>
      </c>
      <c r="P1735" s="227" t="s">
        <v>4903</v>
      </c>
      <c r="Q1735" s="227"/>
      <c r="R1735" s="227"/>
      <c r="S1735" s="227"/>
      <c r="T1735" s="221" t="s">
        <v>3258</v>
      </c>
      <c r="U1735" s="221" t="s">
        <v>4811</v>
      </c>
      <c r="V1735" s="221" t="s">
        <v>3337</v>
      </c>
      <c r="W1735" s="221" t="s">
        <v>3338</v>
      </c>
      <c r="X1735" s="227"/>
      <c r="Y1735" s="227"/>
      <c r="Z1735" s="227" t="str">
        <f t="shared" si="63"/>
        <v>KAMBINGAN RW 04 MALANG</v>
      </c>
      <c r="AA1735" s="276" t="e">
        <f>VLOOKUP(Logfile_S12[[#This Row],[DO number]],DO_DB!G:I,3,0)</f>
        <v>#N/A</v>
      </c>
      <c r="AB1735" s="331" t="e">
        <f>EXACT(Logfile_S12[[#This Row],[date pick]],Logfile_S12[[#This Row],[Date]])</f>
        <v>#N/A</v>
      </c>
      <c r="AC17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36" spans="1:29" ht="14.5" hidden="1">
      <c r="A1736" s="237" t="str">
        <f t="shared" si="64"/>
        <v>1732</v>
      </c>
      <c r="B1736" s="221"/>
      <c r="C1736" s="227" t="s">
        <v>48</v>
      </c>
      <c r="D1736" s="227" t="s">
        <v>5127</v>
      </c>
      <c r="E1736" s="227" t="s">
        <v>3295</v>
      </c>
      <c r="F1736" s="227" t="s">
        <v>3299</v>
      </c>
      <c r="G1736" s="239">
        <v>46212</v>
      </c>
      <c r="H1736" s="240">
        <v>0.25</v>
      </c>
      <c r="I1736" s="227" t="s">
        <v>37</v>
      </c>
      <c r="J1736" s="227" t="s">
        <v>3023</v>
      </c>
      <c r="K1736" s="241" t="s">
        <v>3070</v>
      </c>
      <c r="L1736" s="242" t="str">
        <f>VLOOKUP(Logfile_S12[[#This Row],[Material Name]],Sheet2!B:C,2,0)</f>
        <v>ZTE1002</v>
      </c>
      <c r="M1736" s="242" t="s">
        <v>19</v>
      </c>
      <c r="N1736" s="242">
        <v>23</v>
      </c>
      <c r="O1736" s="227" t="s">
        <v>5122</v>
      </c>
      <c r="P1736" s="227" t="s">
        <v>5125</v>
      </c>
      <c r="Q1736" s="8" t="s">
        <v>5123</v>
      </c>
      <c r="R1736" s="8" t="s">
        <v>5124</v>
      </c>
      <c r="S1736" s="227"/>
      <c r="T1736" s="227"/>
      <c r="U1736" s="227"/>
      <c r="V1736" s="227"/>
      <c r="W1736" s="227"/>
      <c r="X1736" s="227"/>
      <c r="Y1736" s="238"/>
      <c r="Z1736" s="238" t="str">
        <f t="shared" si="63"/>
        <v>KESATRIAN RW 09 MALANG</v>
      </c>
      <c r="AA1736" s="276">
        <f>VLOOKUP(Logfile_S12[[#This Row],[DO number]],DO_DB!G:I,3,0)</f>
        <v>46212</v>
      </c>
      <c r="AB1736" s="332" t="b">
        <f>EXACT(Logfile_S12[[#This Row],[date pick]],Logfile_S12[[#This Row],[Date]])</f>
        <v>1</v>
      </c>
      <c r="AC17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37" spans="1:29" ht="14.5" hidden="1">
      <c r="A1737" s="237" t="str">
        <f t="shared" si="64"/>
        <v>1733</v>
      </c>
      <c r="B1737" s="221"/>
      <c r="C1737" s="227" t="s">
        <v>49</v>
      </c>
      <c r="D1737" s="227" t="s">
        <v>5126</v>
      </c>
      <c r="E1737" s="227" t="s">
        <v>3295</v>
      </c>
      <c r="F1737" s="227" t="s">
        <v>3299</v>
      </c>
      <c r="G1737" s="239">
        <v>46214</v>
      </c>
      <c r="H1737" s="240">
        <v>0.25</v>
      </c>
      <c r="I1737" s="227" t="s">
        <v>3295</v>
      </c>
      <c r="J1737" s="227" t="s">
        <v>3023</v>
      </c>
      <c r="K1737" s="241" t="s">
        <v>3070</v>
      </c>
      <c r="L1737" s="242" t="str">
        <f>VLOOKUP(Logfile_S12[[#This Row],[Material Name]],Sheet2!B:C,2,0)</f>
        <v>ZTE1002</v>
      </c>
      <c r="M1737" s="242" t="s">
        <v>19</v>
      </c>
      <c r="N1737" s="227">
        <v>14</v>
      </c>
      <c r="O1737" s="227" t="s">
        <v>5122</v>
      </c>
      <c r="P1737" s="227" t="s">
        <v>5125</v>
      </c>
      <c r="Q1737" s="227"/>
      <c r="R1737" s="227"/>
      <c r="S1737" s="227"/>
      <c r="T1737" s="221" t="s">
        <v>3258</v>
      </c>
      <c r="U1737" s="221" t="s">
        <v>4811</v>
      </c>
      <c r="V1737" s="221" t="s">
        <v>3337</v>
      </c>
      <c r="W1737" s="221" t="s">
        <v>3338</v>
      </c>
      <c r="X1737" s="227"/>
      <c r="Y1737" s="238"/>
      <c r="Z1737" s="238" t="str">
        <f t="shared" si="63"/>
        <v>KESATRIAN RW 09 MALANG</v>
      </c>
      <c r="AA1737" s="276" t="e">
        <f>VLOOKUP(Logfile_S12[[#This Row],[DO number]],DO_DB!G:I,3,0)</f>
        <v>#N/A</v>
      </c>
      <c r="AB1737" s="334" t="e">
        <f>EXACT(Logfile_S12[[#This Row],[date pick]],Logfile_S12[[#This Row],[Date]])</f>
        <v>#N/A</v>
      </c>
      <c r="AC17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38" spans="1:29" ht="14.5" hidden="1">
      <c r="A1738" s="237" t="str">
        <f t="shared" si="64"/>
        <v>1734</v>
      </c>
      <c r="B1738" s="221"/>
      <c r="C1738" s="227" t="s">
        <v>49</v>
      </c>
      <c r="D1738" s="227" t="s">
        <v>5128</v>
      </c>
      <c r="E1738" s="227" t="s">
        <v>3295</v>
      </c>
      <c r="F1738" s="227" t="s">
        <v>3299</v>
      </c>
      <c r="G1738" s="239">
        <v>46215</v>
      </c>
      <c r="H1738" s="240">
        <v>0.25</v>
      </c>
      <c r="I1738" s="227" t="s">
        <v>3295</v>
      </c>
      <c r="J1738" s="227" t="s">
        <v>3023</v>
      </c>
      <c r="K1738" s="241" t="s">
        <v>3070</v>
      </c>
      <c r="L1738" s="242" t="str">
        <f>VLOOKUP(Logfile_S12[[#This Row],[Material Name]],Sheet2!B:C,2,0)</f>
        <v>ZTE1002</v>
      </c>
      <c r="M1738" s="242" t="s">
        <v>19</v>
      </c>
      <c r="N1738" s="227">
        <v>9</v>
      </c>
      <c r="O1738" s="227" t="s">
        <v>5122</v>
      </c>
      <c r="P1738" s="227" t="s">
        <v>5125</v>
      </c>
      <c r="Q1738" s="227"/>
      <c r="R1738" s="227"/>
      <c r="S1738" s="227"/>
      <c r="T1738" s="227" t="s">
        <v>3258</v>
      </c>
      <c r="U1738" s="227" t="s">
        <v>4811</v>
      </c>
      <c r="V1738" s="227" t="s">
        <v>3337</v>
      </c>
      <c r="W1738" s="227" t="s">
        <v>3338</v>
      </c>
      <c r="X1738" s="227"/>
      <c r="Y1738" s="238"/>
      <c r="Z1738" s="238" t="str">
        <f t="shared" si="63"/>
        <v>KESATRIAN RW 09 MALANG</v>
      </c>
      <c r="AA1738" s="276" t="e">
        <f>VLOOKUP(Logfile_S12[[#This Row],[DO number]],DO_DB!G:I,3,0)</f>
        <v>#N/A</v>
      </c>
      <c r="AB1738" s="334" t="e">
        <f>EXACT(Logfile_S12[[#This Row],[date pick]],Logfile_S12[[#This Row],[Date]])</f>
        <v>#N/A</v>
      </c>
      <c r="AC17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39" spans="1:29" ht="14.5" hidden="1">
      <c r="A1739" s="220" t="str">
        <f t="shared" si="64"/>
        <v>1735</v>
      </c>
      <c r="B1739" s="221">
        <v>6</v>
      </c>
      <c r="C1739" s="221" t="s">
        <v>48</v>
      </c>
      <c r="D1739" s="221" t="s">
        <v>3678</v>
      </c>
      <c r="E1739" s="221" t="s">
        <v>3295</v>
      </c>
      <c r="F1739" s="221" t="s">
        <v>3299</v>
      </c>
      <c r="G1739" s="222">
        <v>45142</v>
      </c>
      <c r="H1739" s="223">
        <v>15.291666666666666</v>
      </c>
      <c r="I1739" s="221" t="s">
        <v>37</v>
      </c>
      <c r="J1739" s="221" t="s">
        <v>3023</v>
      </c>
      <c r="K1739" s="224" t="s">
        <v>3069</v>
      </c>
      <c r="L1739" s="225" t="str">
        <f>VLOOKUP(Logfile_S12[[#This Row],[Material Name]],Sheet2!B:C,2,0)</f>
        <v>ZTE1001</v>
      </c>
      <c r="M1739" s="225" t="str">
        <f>_xlfn.XLOOKUP(Logfile_S12[[#This Row],[Material Name]],Sum_WH!E:E,Sum_WH!F:F,"",0)</f>
        <v>Pcs</v>
      </c>
      <c r="N1739" s="221">
        <v>56</v>
      </c>
      <c r="O1739" s="221" t="s">
        <v>84</v>
      </c>
      <c r="P1739" s="221" t="s">
        <v>85</v>
      </c>
      <c r="Q1739" s="221" t="s">
        <v>88</v>
      </c>
      <c r="R1739" s="221" t="s">
        <v>89</v>
      </c>
      <c r="S1739" s="221"/>
      <c r="T1739" s="221"/>
      <c r="U1739" s="221"/>
      <c r="V1739" s="221"/>
      <c r="W1739" s="221"/>
      <c r="X1739" s="221"/>
      <c r="Y1739" s="227"/>
      <c r="Z1739" s="227" t="str">
        <f t="shared" si="63"/>
        <v>Perumahan Bumi Podo Rukun Dau</v>
      </c>
      <c r="AA1739" s="276">
        <f>VLOOKUP(Logfile_S12[[#This Row],[DO number]],DO_DB!G:I,3,0)</f>
        <v>45142</v>
      </c>
      <c r="AB1739" s="331" t="b">
        <f>EXACT(Logfile_S12[[#This Row],[date pick]],Logfile_S12[[#This Row],[Date]])</f>
        <v>1</v>
      </c>
      <c r="AC17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40" spans="1:29" ht="14.5" hidden="1">
      <c r="A1740" s="220" t="str">
        <f t="shared" si="64"/>
        <v>1736</v>
      </c>
      <c r="B1740" s="221"/>
      <c r="C1740" s="221" t="s">
        <v>49</v>
      </c>
      <c r="D1740" s="221" t="s">
        <v>3679</v>
      </c>
      <c r="E1740" s="221" t="s">
        <v>3295</v>
      </c>
      <c r="F1740" s="221" t="s">
        <v>3299</v>
      </c>
      <c r="G1740" s="222">
        <v>45144</v>
      </c>
      <c r="H1740" s="223">
        <v>15.291944444444445</v>
      </c>
      <c r="I1740" s="221" t="s">
        <v>4916</v>
      </c>
      <c r="J1740" s="221" t="s">
        <v>3023</v>
      </c>
      <c r="K1740" s="224" t="s">
        <v>3069</v>
      </c>
      <c r="L1740" s="225" t="str">
        <f>VLOOKUP(Logfile_S12[[#This Row],[Material Name]],Sheet2!B:C,2,0)</f>
        <v>ZTE1001</v>
      </c>
      <c r="M1740" s="225" t="str">
        <f>_xlfn.XLOOKUP(Logfile_S12[[#This Row],[Material Name]],Sum_WH!E:E,Sum_WH!F:F,"",0)</f>
        <v>Pcs</v>
      </c>
      <c r="N1740" s="221">
        <v>12</v>
      </c>
      <c r="O1740" s="221" t="s">
        <v>84</v>
      </c>
      <c r="P1740" s="221" t="s">
        <v>85</v>
      </c>
      <c r="Q1740" s="221"/>
      <c r="R1740" s="221"/>
      <c r="S1740" s="221"/>
      <c r="T1740" s="221" t="s">
        <v>3339</v>
      </c>
      <c r="U1740" s="221" t="s">
        <v>3228</v>
      </c>
      <c r="V1740" s="221" t="s">
        <v>3571</v>
      </c>
      <c r="W1740" s="221" t="s">
        <v>3307</v>
      </c>
      <c r="X1740" s="221"/>
      <c r="Y1740" s="227"/>
      <c r="Z1740" s="227" t="str">
        <f t="shared" ref="Z1740:Z1803" si="65">P1740</f>
        <v>Perumahan Bumi Podo Rukun Dau</v>
      </c>
      <c r="AA1740" s="276" t="e">
        <f>VLOOKUP(Logfile_S12[[#This Row],[DO number]],DO_DB!G:I,3,0)</f>
        <v>#N/A</v>
      </c>
      <c r="AB1740" s="331" t="e">
        <f>EXACT(Logfile_S12[[#This Row],[date pick]],Logfile_S12[[#This Row],[Date]])</f>
        <v>#N/A</v>
      </c>
      <c r="AC17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41" spans="1:29" ht="14.5" hidden="1">
      <c r="A1741" s="220" t="str">
        <f t="shared" si="64"/>
        <v>1737</v>
      </c>
      <c r="B1741" s="221"/>
      <c r="C1741" s="221" t="s">
        <v>49</v>
      </c>
      <c r="D1741" s="221" t="s">
        <v>3680</v>
      </c>
      <c r="E1741" s="221" t="s">
        <v>3295</v>
      </c>
      <c r="F1741" s="221" t="s">
        <v>3299</v>
      </c>
      <c r="G1741" s="222">
        <v>45145</v>
      </c>
      <c r="H1741" s="223">
        <v>15.3336111111111</v>
      </c>
      <c r="I1741" s="221" t="s">
        <v>4916</v>
      </c>
      <c r="J1741" s="221" t="s">
        <v>3023</v>
      </c>
      <c r="K1741" s="224" t="s">
        <v>3069</v>
      </c>
      <c r="L1741" s="225" t="str">
        <f>VLOOKUP(Logfile_S12[[#This Row],[Material Name]],Sheet2!B:C,2,0)</f>
        <v>ZTE1001</v>
      </c>
      <c r="M1741" s="225" t="str">
        <f>_xlfn.XLOOKUP(Logfile_S12[[#This Row],[Material Name]],Sum_WH!E:E,Sum_WH!F:F,"",0)</f>
        <v>Pcs</v>
      </c>
      <c r="N1741" s="221">
        <v>15</v>
      </c>
      <c r="O1741" s="221" t="s">
        <v>84</v>
      </c>
      <c r="P1741" s="221" t="s">
        <v>85</v>
      </c>
      <c r="Q1741" s="221"/>
      <c r="R1741" s="221"/>
      <c r="S1741" s="221"/>
      <c r="T1741" s="221" t="s">
        <v>3305</v>
      </c>
      <c r="U1741" s="221" t="s">
        <v>3228</v>
      </c>
      <c r="V1741" s="221" t="s">
        <v>3306</v>
      </c>
      <c r="W1741" s="221" t="s">
        <v>3307</v>
      </c>
      <c r="X1741" s="221"/>
      <c r="Y1741" s="227"/>
      <c r="Z1741" s="227" t="str">
        <f t="shared" si="65"/>
        <v>Perumahan Bumi Podo Rukun Dau</v>
      </c>
      <c r="AA1741" s="276" t="e">
        <f>VLOOKUP(Logfile_S12[[#This Row],[DO number]],DO_DB!G:I,3,0)</f>
        <v>#N/A</v>
      </c>
      <c r="AB1741" s="331" t="e">
        <f>EXACT(Logfile_S12[[#This Row],[date pick]],Logfile_S12[[#This Row],[Date]])</f>
        <v>#N/A</v>
      </c>
      <c r="AC17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42" spans="1:29" ht="14.5" hidden="1">
      <c r="A1742" s="220" t="str">
        <f t="shared" si="64"/>
        <v>1738</v>
      </c>
      <c r="B1742" s="221"/>
      <c r="C1742" s="221" t="s">
        <v>49</v>
      </c>
      <c r="D1742" s="221" t="s">
        <v>3681</v>
      </c>
      <c r="E1742" s="221" t="s">
        <v>3295</v>
      </c>
      <c r="F1742" s="221" t="s">
        <v>3299</v>
      </c>
      <c r="G1742" s="222">
        <v>45146</v>
      </c>
      <c r="H1742" s="223">
        <v>15.334305555555556</v>
      </c>
      <c r="I1742" s="221" t="s">
        <v>4916</v>
      </c>
      <c r="J1742" s="221" t="s">
        <v>3023</v>
      </c>
      <c r="K1742" s="224" t="s">
        <v>3069</v>
      </c>
      <c r="L1742" s="225" t="str">
        <f>VLOOKUP(Logfile_S12[[#This Row],[Material Name]],Sheet2!B:C,2,0)</f>
        <v>ZTE1001</v>
      </c>
      <c r="M1742" s="225" t="str">
        <f>_xlfn.XLOOKUP(Logfile_S12[[#This Row],[Material Name]],Sum_WH!E:E,Sum_WH!F:F,"",0)</f>
        <v>Pcs</v>
      </c>
      <c r="N1742" s="221">
        <v>13</v>
      </c>
      <c r="O1742" s="221" t="s">
        <v>84</v>
      </c>
      <c r="P1742" s="221" t="s">
        <v>85</v>
      </c>
      <c r="Q1742" s="221"/>
      <c r="R1742" s="221"/>
      <c r="S1742" s="221"/>
      <c r="T1742" s="221" t="s">
        <v>3305</v>
      </c>
      <c r="U1742" s="221" t="s">
        <v>3228</v>
      </c>
      <c r="V1742" s="221" t="s">
        <v>3306</v>
      </c>
      <c r="W1742" s="221" t="s">
        <v>3307</v>
      </c>
      <c r="X1742" s="221"/>
      <c r="Y1742" s="227"/>
      <c r="Z1742" s="227" t="str">
        <f t="shared" si="65"/>
        <v>Perumahan Bumi Podo Rukun Dau</v>
      </c>
      <c r="AA1742" s="276" t="e">
        <f>VLOOKUP(Logfile_S12[[#This Row],[DO number]],DO_DB!G:I,3,0)</f>
        <v>#N/A</v>
      </c>
      <c r="AB1742" s="331" t="e">
        <f>EXACT(Logfile_S12[[#This Row],[date pick]],Logfile_S12[[#This Row],[Date]])</f>
        <v>#N/A</v>
      </c>
      <c r="AC17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43" spans="1:29" ht="14.5" hidden="1">
      <c r="A1743" s="220" t="str">
        <f t="shared" si="64"/>
        <v>1739</v>
      </c>
      <c r="B1743" s="221"/>
      <c r="C1743" s="221" t="s">
        <v>49</v>
      </c>
      <c r="D1743" s="221" t="s">
        <v>3682</v>
      </c>
      <c r="E1743" s="221" t="s">
        <v>3295</v>
      </c>
      <c r="F1743" s="221" t="s">
        <v>3299</v>
      </c>
      <c r="G1743" s="222">
        <v>45147</v>
      </c>
      <c r="H1743" s="223">
        <v>15.317638888888888</v>
      </c>
      <c r="I1743" s="221" t="s">
        <v>4916</v>
      </c>
      <c r="J1743" s="221" t="s">
        <v>3023</v>
      </c>
      <c r="K1743" s="224" t="s">
        <v>3069</v>
      </c>
      <c r="L1743" s="225" t="str">
        <f>VLOOKUP(Logfile_S12[[#This Row],[Material Name]],Sheet2!B:C,2,0)</f>
        <v>ZTE1001</v>
      </c>
      <c r="M1743" s="225" t="str">
        <f>_xlfn.XLOOKUP(Logfile_S12[[#This Row],[Material Name]],Sum_WH!E:E,Sum_WH!F:F,"",0)</f>
        <v>Pcs</v>
      </c>
      <c r="N1743" s="221">
        <v>16</v>
      </c>
      <c r="O1743" s="221" t="s">
        <v>84</v>
      </c>
      <c r="P1743" s="221" t="s">
        <v>85</v>
      </c>
      <c r="Q1743" s="221"/>
      <c r="R1743" s="221"/>
      <c r="S1743" s="221"/>
      <c r="T1743" s="221" t="s">
        <v>3305</v>
      </c>
      <c r="U1743" s="221" t="s">
        <v>3228</v>
      </c>
      <c r="V1743" s="221" t="s">
        <v>3306</v>
      </c>
      <c r="W1743" s="221" t="s">
        <v>3307</v>
      </c>
      <c r="X1743" s="221"/>
      <c r="Y1743" s="227"/>
      <c r="Z1743" s="227" t="str">
        <f t="shared" si="65"/>
        <v>Perumahan Bumi Podo Rukun Dau</v>
      </c>
      <c r="AA1743" s="276" t="e">
        <f>VLOOKUP(Logfile_S12[[#This Row],[DO number]],DO_DB!G:I,3,0)</f>
        <v>#N/A</v>
      </c>
      <c r="AB1743" s="331" t="e">
        <f>EXACT(Logfile_S12[[#This Row],[date pick]],Logfile_S12[[#This Row],[Date]])</f>
        <v>#N/A</v>
      </c>
      <c r="AC17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44" spans="1:29" ht="14.5" hidden="1">
      <c r="A1744" s="220" t="str">
        <f t="shared" si="64"/>
        <v>1740</v>
      </c>
      <c r="B1744" s="221"/>
      <c r="C1744" s="221" t="s">
        <v>48</v>
      </c>
      <c r="D1744" s="221" t="s">
        <v>3692</v>
      </c>
      <c r="E1744" s="221" t="s">
        <v>3295</v>
      </c>
      <c r="F1744" s="221" t="s">
        <v>3299</v>
      </c>
      <c r="G1744" s="222">
        <v>45170</v>
      </c>
      <c r="H1744" s="223">
        <v>15.291666666666666</v>
      </c>
      <c r="I1744" s="221" t="s">
        <v>37</v>
      </c>
      <c r="J1744" s="221" t="s">
        <v>3023</v>
      </c>
      <c r="K1744" s="224" t="s">
        <v>3069</v>
      </c>
      <c r="L1744" s="225" t="str">
        <f>VLOOKUP(Logfile_S12[[#This Row],[Material Name]],Sheet2!B:C,2,0)</f>
        <v>ZTE1001</v>
      </c>
      <c r="M1744" s="225" t="str">
        <f>_xlfn.XLOOKUP(Logfile_S12[[#This Row],[Material Name]],Sum_WH!E:E,Sum_WH!F:F,"",0)</f>
        <v>Pcs</v>
      </c>
      <c r="N1744" s="221">
        <v>30</v>
      </c>
      <c r="O1744" s="221" t="s">
        <v>150</v>
      </c>
      <c r="P1744" s="221" t="s">
        <v>151</v>
      </c>
      <c r="Q1744" s="221" t="s">
        <v>156</v>
      </c>
      <c r="R1744" s="221" t="s">
        <v>157</v>
      </c>
      <c r="S1744" s="221"/>
      <c r="T1744" s="221"/>
      <c r="U1744" s="221"/>
      <c r="V1744" s="221"/>
      <c r="W1744" s="221"/>
      <c r="X1744" s="221"/>
      <c r="Y1744" s="227"/>
      <c r="Z1744" s="227" t="str">
        <f t="shared" si="65"/>
        <v>Mulyorejo RW 04 Sukun</v>
      </c>
      <c r="AA1744" s="276">
        <f>VLOOKUP(Logfile_S12[[#This Row],[DO number]],DO_DB!G:I,3,0)</f>
        <v>45170</v>
      </c>
      <c r="AB1744" s="331" t="b">
        <f>EXACT(Logfile_S12[[#This Row],[date pick]],Logfile_S12[[#This Row],[Date]])</f>
        <v>1</v>
      </c>
      <c r="AC17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45" spans="1:29" ht="14.5" hidden="1">
      <c r="A1745" s="220" t="str">
        <f t="shared" si="64"/>
        <v>1741</v>
      </c>
      <c r="B1745" s="221"/>
      <c r="C1745" s="221" t="s">
        <v>49</v>
      </c>
      <c r="D1745" s="221" t="s">
        <v>3693</v>
      </c>
      <c r="E1745" s="221" t="s">
        <v>3295</v>
      </c>
      <c r="F1745" s="221" t="s">
        <v>3299</v>
      </c>
      <c r="G1745" s="222">
        <v>45171</v>
      </c>
      <c r="H1745" s="223">
        <v>0.33819444444444446</v>
      </c>
      <c r="I1745" s="221" t="s">
        <v>4916</v>
      </c>
      <c r="J1745" s="221" t="s">
        <v>3023</v>
      </c>
      <c r="K1745" s="224" t="s">
        <v>3069</v>
      </c>
      <c r="L1745" s="225" t="str">
        <f>VLOOKUP(Logfile_S12[[#This Row],[Material Name]],Sheet2!B:C,2,0)</f>
        <v>ZTE1001</v>
      </c>
      <c r="M1745" s="225" t="str">
        <f>_xlfn.XLOOKUP(Logfile_S12[[#This Row],[Material Name]],Sum_WH!E:E,Sum_WH!F:F,"",0)</f>
        <v>Pcs</v>
      </c>
      <c r="N1745" s="221">
        <v>16</v>
      </c>
      <c r="O1745" s="221" t="s">
        <v>150</v>
      </c>
      <c r="P1745" s="221" t="s">
        <v>151</v>
      </c>
      <c r="Q1745" s="221"/>
      <c r="R1745" s="221"/>
      <c r="S1745" s="221"/>
      <c r="T1745" s="221" t="s">
        <v>3339</v>
      </c>
      <c r="U1745" s="221" t="s">
        <v>3228</v>
      </c>
      <c r="V1745" s="221" t="s">
        <v>3340</v>
      </c>
      <c r="W1745" s="221" t="s">
        <v>3229</v>
      </c>
      <c r="X1745" s="221"/>
      <c r="Y1745" s="227"/>
      <c r="Z1745" s="227" t="str">
        <f t="shared" si="65"/>
        <v>Mulyorejo RW 04 Sukun</v>
      </c>
      <c r="AA1745" s="276" t="e">
        <f>VLOOKUP(Logfile_S12[[#This Row],[DO number]],DO_DB!G:I,3,0)</f>
        <v>#N/A</v>
      </c>
      <c r="AB1745" s="331" t="e">
        <f>EXACT(Logfile_S12[[#This Row],[date pick]],Logfile_S12[[#This Row],[Date]])</f>
        <v>#N/A</v>
      </c>
      <c r="AC17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46" spans="1:29" ht="14.5" hidden="1">
      <c r="A1746" s="220" t="str">
        <f t="shared" si="64"/>
        <v>1742</v>
      </c>
      <c r="B1746" s="221"/>
      <c r="C1746" s="221" t="s">
        <v>49</v>
      </c>
      <c r="D1746" s="221" t="s">
        <v>3694</v>
      </c>
      <c r="E1746" s="221" t="s">
        <v>3295</v>
      </c>
      <c r="F1746" s="221" t="s">
        <v>3299</v>
      </c>
      <c r="G1746" s="222">
        <v>45172</v>
      </c>
      <c r="H1746" s="223">
        <v>0.32430555555555557</v>
      </c>
      <c r="I1746" s="221" t="s">
        <v>4916</v>
      </c>
      <c r="J1746" s="221" t="s">
        <v>3023</v>
      </c>
      <c r="K1746" s="224" t="s">
        <v>3069</v>
      </c>
      <c r="L1746" s="225" t="str">
        <f>VLOOKUP(Logfile_S12[[#This Row],[Material Name]],Sheet2!B:C,2,0)</f>
        <v>ZTE1001</v>
      </c>
      <c r="M1746" s="225" t="str">
        <f>_xlfn.XLOOKUP(Logfile_S12[[#This Row],[Material Name]],Sum_WH!E:E,Sum_WH!F:F,"",0)</f>
        <v>Pcs</v>
      </c>
      <c r="N1746" s="221">
        <v>12</v>
      </c>
      <c r="O1746" s="221" t="s">
        <v>150</v>
      </c>
      <c r="P1746" s="221" t="s">
        <v>151</v>
      </c>
      <c r="Q1746" s="221"/>
      <c r="R1746" s="221"/>
      <c r="S1746" s="221"/>
      <c r="T1746" s="221" t="s">
        <v>3309</v>
      </c>
      <c r="U1746" s="221" t="s">
        <v>3228</v>
      </c>
      <c r="V1746" s="221" t="s">
        <v>3340</v>
      </c>
      <c r="W1746" s="221" t="s">
        <v>3229</v>
      </c>
      <c r="X1746" s="221"/>
      <c r="Y1746" s="227"/>
      <c r="Z1746" s="227" t="str">
        <f t="shared" si="65"/>
        <v>Mulyorejo RW 04 Sukun</v>
      </c>
      <c r="AA1746" s="276" t="e">
        <f>VLOOKUP(Logfile_S12[[#This Row],[DO number]],DO_DB!G:I,3,0)</f>
        <v>#N/A</v>
      </c>
      <c r="AB1746" s="331" t="e">
        <f>EXACT(Logfile_S12[[#This Row],[date pick]],Logfile_S12[[#This Row],[Date]])</f>
        <v>#N/A</v>
      </c>
      <c r="AC17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47" spans="1:29" ht="14.5" hidden="1">
      <c r="A1747" s="220" t="str">
        <f t="shared" si="64"/>
        <v>1743</v>
      </c>
      <c r="B1747" s="221"/>
      <c r="C1747" s="221" t="s">
        <v>49</v>
      </c>
      <c r="D1747" s="221" t="s">
        <v>3695</v>
      </c>
      <c r="E1747" s="221" t="s">
        <v>3295</v>
      </c>
      <c r="F1747" s="221" t="s">
        <v>3299</v>
      </c>
      <c r="G1747" s="222">
        <v>45173</v>
      </c>
      <c r="H1747" s="223">
        <v>0.31805555555555554</v>
      </c>
      <c r="I1747" s="221" t="s">
        <v>4916</v>
      </c>
      <c r="J1747" s="221" t="s">
        <v>3023</v>
      </c>
      <c r="K1747" s="224" t="s">
        <v>3069</v>
      </c>
      <c r="L1747" s="225" t="str">
        <f>VLOOKUP(Logfile_S12[[#This Row],[Material Name]],Sheet2!B:C,2,0)</f>
        <v>ZTE1001</v>
      </c>
      <c r="M1747" s="225" t="str">
        <f>_xlfn.XLOOKUP(Logfile_S12[[#This Row],[Material Name]],Sum_WH!E:E,Sum_WH!F:F,"",0)</f>
        <v>Pcs</v>
      </c>
      <c r="N1747" s="221">
        <v>2</v>
      </c>
      <c r="O1747" s="221" t="s">
        <v>150</v>
      </c>
      <c r="P1747" s="221" t="s">
        <v>151</v>
      </c>
      <c r="Q1747" s="221"/>
      <c r="R1747" s="221"/>
      <c r="S1747" s="221"/>
      <c r="T1747" s="221" t="s">
        <v>3309</v>
      </c>
      <c r="U1747" s="221" t="s">
        <v>3228</v>
      </c>
      <c r="V1747" s="221" t="s">
        <v>3310</v>
      </c>
      <c r="W1747" s="221" t="s">
        <v>3311</v>
      </c>
      <c r="X1747" s="221"/>
      <c r="Y1747" s="227"/>
      <c r="Z1747" s="227" t="str">
        <f t="shared" si="65"/>
        <v>Mulyorejo RW 04 Sukun</v>
      </c>
      <c r="AA1747" s="276" t="e">
        <f>VLOOKUP(Logfile_S12[[#This Row],[DO number]],DO_DB!G:I,3,0)</f>
        <v>#N/A</v>
      </c>
      <c r="AB1747" s="331" t="e">
        <f>EXACT(Logfile_S12[[#This Row],[date pick]],Logfile_S12[[#This Row],[Date]])</f>
        <v>#N/A</v>
      </c>
      <c r="AC17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48" spans="1:29" ht="14.5" hidden="1">
      <c r="A1748" s="220" t="str">
        <f t="shared" si="64"/>
        <v>1744</v>
      </c>
      <c r="B1748" s="221"/>
      <c r="C1748" s="221" t="s">
        <v>48</v>
      </c>
      <c r="D1748" s="221" t="s">
        <v>3708</v>
      </c>
      <c r="E1748" s="221" t="s">
        <v>3295</v>
      </c>
      <c r="F1748" s="221" t="s">
        <v>3299</v>
      </c>
      <c r="G1748" s="222">
        <v>45185</v>
      </c>
      <c r="H1748" s="223">
        <v>15.291666666666666</v>
      </c>
      <c r="I1748" s="221" t="s">
        <v>37</v>
      </c>
      <c r="J1748" s="221" t="s">
        <v>3023</v>
      </c>
      <c r="K1748" s="224" t="s">
        <v>3069</v>
      </c>
      <c r="L1748" s="225" t="str">
        <f>VLOOKUP(Logfile_S12[[#This Row],[Material Name]],Sheet2!B:C,2,0)</f>
        <v>ZTE1001</v>
      </c>
      <c r="M1748" s="225" t="str">
        <f>_xlfn.XLOOKUP(Logfile_S12[[#This Row],[Material Name]],Sum_WH!E:E,Sum_WH!F:F,"",0)</f>
        <v>Pcs</v>
      </c>
      <c r="N1748" s="221">
        <v>23</v>
      </c>
      <c r="O1748" s="221" t="s">
        <v>172</v>
      </c>
      <c r="P1748" s="221" t="s">
        <v>3319</v>
      </c>
      <c r="Q1748" s="221" t="s">
        <v>174</v>
      </c>
      <c r="R1748" s="221" t="s">
        <v>175</v>
      </c>
      <c r="S1748" s="221"/>
      <c r="T1748" s="221" t="s">
        <v>3346</v>
      </c>
      <c r="U1748" s="221"/>
      <c r="V1748" s="221"/>
      <c r="W1748" s="221"/>
      <c r="X1748" s="221"/>
      <c r="Y1748" s="227"/>
      <c r="Z1748" s="227" t="str">
        <f t="shared" si="65"/>
        <v>Pandan Landung RW 03 Wagir</v>
      </c>
      <c r="AA1748" s="276">
        <f>VLOOKUP(Logfile_S12[[#This Row],[DO number]],DO_DB!G:I,3,0)</f>
        <v>45185</v>
      </c>
      <c r="AB1748" s="331" t="b">
        <f>EXACT(Logfile_S12[[#This Row],[date pick]],Logfile_S12[[#This Row],[Date]])</f>
        <v>1</v>
      </c>
      <c r="AC17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49" spans="1:29" ht="14.5" hidden="1">
      <c r="A1749" s="220" t="str">
        <f t="shared" si="64"/>
        <v>1745</v>
      </c>
      <c r="B1749" s="221"/>
      <c r="C1749" s="221" t="s">
        <v>48</v>
      </c>
      <c r="D1749" s="221" t="s">
        <v>3708</v>
      </c>
      <c r="E1749" s="221" t="s">
        <v>3295</v>
      </c>
      <c r="F1749" s="221" t="s">
        <v>3299</v>
      </c>
      <c r="G1749" s="222">
        <v>45185</v>
      </c>
      <c r="H1749" s="223">
        <v>15.291666666666666</v>
      </c>
      <c r="I1749" s="221" t="s">
        <v>37</v>
      </c>
      <c r="J1749" s="221" t="s">
        <v>3023</v>
      </c>
      <c r="K1749" s="224" t="s">
        <v>3069</v>
      </c>
      <c r="L1749" s="225" t="str">
        <f>VLOOKUP(Logfile_S12[[#This Row],[Material Name]],Sheet2!B:C,2,0)</f>
        <v>ZTE1001</v>
      </c>
      <c r="M1749" s="225" t="str">
        <f>_xlfn.XLOOKUP(Logfile_S12[[#This Row],[Material Name]],Sum_WH!E:E,Sum_WH!F:F,"",0)</f>
        <v>Pcs</v>
      </c>
      <c r="N1749" s="221">
        <v>42</v>
      </c>
      <c r="O1749" s="221" t="s">
        <v>164</v>
      </c>
      <c r="P1749" s="221" t="s">
        <v>3320</v>
      </c>
      <c r="Q1749" s="221" t="s">
        <v>170</v>
      </c>
      <c r="R1749" s="221" t="s">
        <v>171</v>
      </c>
      <c r="S1749" s="221"/>
      <c r="T1749" s="221" t="s">
        <v>3346</v>
      </c>
      <c r="U1749" s="221"/>
      <c r="V1749" s="221"/>
      <c r="W1749" s="221"/>
      <c r="X1749" s="221"/>
      <c r="Y1749" s="227"/>
      <c r="Z1749" s="227" t="str">
        <f t="shared" si="65"/>
        <v>Pandan Landung RW 04 Wagir</v>
      </c>
      <c r="AA1749" s="276">
        <f>VLOOKUP(Logfile_S12[[#This Row],[DO number]],DO_DB!G:I,3,0)</f>
        <v>45185</v>
      </c>
      <c r="AB1749" s="331" t="b">
        <f>EXACT(Logfile_S12[[#This Row],[date pick]],Logfile_S12[[#This Row],[Date]])</f>
        <v>1</v>
      </c>
      <c r="AC17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50" spans="1:29" ht="14.5" hidden="1">
      <c r="A1750" s="220" t="str">
        <f t="shared" si="64"/>
        <v>1746</v>
      </c>
      <c r="B1750" s="221"/>
      <c r="C1750" s="221" t="s">
        <v>48</v>
      </c>
      <c r="D1750" s="221" t="s">
        <v>3709</v>
      </c>
      <c r="E1750" s="221" t="s">
        <v>3295</v>
      </c>
      <c r="F1750" s="221" t="s">
        <v>3299</v>
      </c>
      <c r="G1750" s="222">
        <v>45188</v>
      </c>
      <c r="H1750" s="223">
        <v>15.291666666666666</v>
      </c>
      <c r="I1750" s="221" t="s">
        <v>37</v>
      </c>
      <c r="J1750" s="221" t="s">
        <v>3023</v>
      </c>
      <c r="K1750" s="224" t="s">
        <v>3069</v>
      </c>
      <c r="L1750" s="225" t="str">
        <f>VLOOKUP(Logfile_S12[[#This Row],[Material Name]],Sheet2!B:C,2,0)</f>
        <v>ZTE1001</v>
      </c>
      <c r="M1750" s="225" t="str">
        <f>_xlfn.XLOOKUP(Logfile_S12[[#This Row],[Material Name]],Sum_WH!E:E,Sum_WH!F:F,"",0)</f>
        <v>Pcs</v>
      </c>
      <c r="N1750" s="221">
        <v>18</v>
      </c>
      <c r="O1750" s="221" t="s">
        <v>180</v>
      </c>
      <c r="P1750" s="221" t="s">
        <v>181</v>
      </c>
      <c r="Q1750" s="221" t="s">
        <v>184</v>
      </c>
      <c r="R1750" s="221" t="s">
        <v>185</v>
      </c>
      <c r="S1750" s="221"/>
      <c r="T1750" s="221"/>
      <c r="U1750" s="221"/>
      <c r="V1750" s="221"/>
      <c r="W1750" s="221"/>
      <c r="X1750" s="221"/>
      <c r="Y1750" s="227"/>
      <c r="Z1750" s="227" t="str">
        <f t="shared" si="65"/>
        <v>Mulyorejo RW 06 Sukun</v>
      </c>
      <c r="AA1750" s="276">
        <f>VLOOKUP(Logfile_S12[[#This Row],[DO number]],DO_DB!G:I,3,0)</f>
        <v>45188</v>
      </c>
      <c r="AB1750" s="331" t="b">
        <f>EXACT(Logfile_S12[[#This Row],[date pick]],Logfile_S12[[#This Row],[Date]])</f>
        <v>1</v>
      </c>
      <c r="AC17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51" spans="1:29" ht="14.5" hidden="1">
      <c r="A1751" s="220" t="str">
        <f t="shared" si="64"/>
        <v>1747</v>
      </c>
      <c r="B1751" s="221"/>
      <c r="C1751" s="221" t="s">
        <v>48</v>
      </c>
      <c r="D1751" s="221" t="s">
        <v>3710</v>
      </c>
      <c r="E1751" s="221" t="s">
        <v>3295</v>
      </c>
      <c r="F1751" s="221" t="s">
        <v>3299</v>
      </c>
      <c r="G1751" s="222">
        <v>45189</v>
      </c>
      <c r="H1751" s="223">
        <v>15.291666666666666</v>
      </c>
      <c r="I1751" s="221" t="s">
        <v>37</v>
      </c>
      <c r="J1751" s="221" t="s">
        <v>3023</v>
      </c>
      <c r="K1751" s="224" t="s">
        <v>3069</v>
      </c>
      <c r="L1751" s="225" t="str">
        <f>VLOOKUP(Logfile_S12[[#This Row],[Material Name]],Sheet2!B:C,2,0)</f>
        <v>ZTE1001</v>
      </c>
      <c r="M1751" s="225" t="str">
        <f>_xlfn.XLOOKUP(Logfile_S12[[#This Row],[Material Name]],Sum_WH!E:E,Sum_WH!F:F,"",0)</f>
        <v>Pcs</v>
      </c>
      <c r="N1751" s="221">
        <v>120</v>
      </c>
      <c r="O1751" s="221" t="s">
        <v>222</v>
      </c>
      <c r="P1751" s="221" t="s">
        <v>223</v>
      </c>
      <c r="Q1751" s="221" t="s">
        <v>226</v>
      </c>
      <c r="R1751" s="221" t="s">
        <v>227</v>
      </c>
      <c r="S1751" s="221"/>
      <c r="T1751" s="221"/>
      <c r="U1751" s="221"/>
      <c r="V1751" s="221"/>
      <c r="W1751" s="221"/>
      <c r="X1751" s="221"/>
      <c r="Y1751" s="227"/>
      <c r="Z1751" s="227" t="str">
        <f t="shared" si="65"/>
        <v>Puncak Dieng Exlusif</v>
      </c>
      <c r="AA1751" s="276">
        <f>VLOOKUP(Logfile_S12[[#This Row],[DO number]],DO_DB!G:I,3,0)</f>
        <v>45189</v>
      </c>
      <c r="AB1751" s="331" t="b">
        <f>EXACT(Logfile_S12[[#This Row],[date pick]],Logfile_S12[[#This Row],[Date]])</f>
        <v>1</v>
      </c>
      <c r="AC17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52" spans="1:29" ht="14.5" hidden="1">
      <c r="A1752" s="220" t="str">
        <f t="shared" si="64"/>
        <v>1748</v>
      </c>
      <c r="B1752" s="221"/>
      <c r="C1752" s="221" t="s">
        <v>49</v>
      </c>
      <c r="D1752" s="221" t="s">
        <v>3711</v>
      </c>
      <c r="E1752" s="221" t="s">
        <v>3295</v>
      </c>
      <c r="F1752" s="221" t="s">
        <v>3299</v>
      </c>
      <c r="G1752" s="222">
        <v>45190</v>
      </c>
      <c r="H1752" s="223">
        <v>0.38124999999999998</v>
      </c>
      <c r="I1752" s="221" t="s">
        <v>4916</v>
      </c>
      <c r="J1752" s="221" t="s">
        <v>3023</v>
      </c>
      <c r="K1752" s="224" t="s">
        <v>3069</v>
      </c>
      <c r="L1752" s="225" t="str">
        <f>VLOOKUP(Logfile_S12[[#This Row],[Material Name]],Sheet2!B:C,2,0)</f>
        <v>ZTE1001</v>
      </c>
      <c r="M1752" s="225" t="str">
        <f>_xlfn.XLOOKUP(Logfile_S12[[#This Row],[Material Name]],Sum_WH!E:E,Sum_WH!F:F,"",0)</f>
        <v>Pcs</v>
      </c>
      <c r="N1752" s="221">
        <v>17</v>
      </c>
      <c r="O1752" s="221" t="s">
        <v>222</v>
      </c>
      <c r="P1752" s="221" t="s">
        <v>223</v>
      </c>
      <c r="Q1752" s="221"/>
      <c r="R1752" s="221"/>
      <c r="S1752" s="221"/>
      <c r="T1752" s="221" t="s">
        <v>3522</v>
      </c>
      <c r="U1752" s="221" t="s">
        <v>3323</v>
      </c>
      <c r="V1752" s="221" t="s">
        <v>3324</v>
      </c>
      <c r="W1752" s="221" t="s">
        <v>3386</v>
      </c>
      <c r="X1752" s="221"/>
      <c r="Y1752" s="227"/>
      <c r="Z1752" s="227" t="str">
        <f t="shared" si="65"/>
        <v>Puncak Dieng Exlusif</v>
      </c>
      <c r="AA1752" s="276" t="e">
        <f>VLOOKUP(Logfile_S12[[#This Row],[DO number]],DO_DB!G:I,3,0)</f>
        <v>#N/A</v>
      </c>
      <c r="AB1752" s="331" t="e">
        <f>EXACT(Logfile_S12[[#This Row],[date pick]],Logfile_S12[[#This Row],[Date]])</f>
        <v>#N/A</v>
      </c>
      <c r="AC17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53" spans="1:29" ht="14.5" hidden="1">
      <c r="A1753" s="220" t="str">
        <f t="shared" si="64"/>
        <v>1749</v>
      </c>
      <c r="B1753" s="221"/>
      <c r="C1753" s="221" t="s">
        <v>49</v>
      </c>
      <c r="D1753" s="221" t="s">
        <v>3712</v>
      </c>
      <c r="E1753" s="221" t="s">
        <v>3295</v>
      </c>
      <c r="F1753" s="221" t="s">
        <v>3299</v>
      </c>
      <c r="G1753" s="222">
        <v>45190</v>
      </c>
      <c r="H1753" s="223">
        <v>0.39583333333333331</v>
      </c>
      <c r="I1753" s="221" t="s">
        <v>4916</v>
      </c>
      <c r="J1753" s="221" t="s">
        <v>3023</v>
      </c>
      <c r="K1753" s="224" t="s">
        <v>3069</v>
      </c>
      <c r="L1753" s="225" t="str">
        <f>VLOOKUP(Logfile_S12[[#This Row],[Material Name]],Sheet2!B:C,2,0)</f>
        <v>ZTE1001</v>
      </c>
      <c r="M1753" s="225" t="str">
        <f>_xlfn.XLOOKUP(Logfile_S12[[#This Row],[Material Name]],Sum_WH!E:E,Sum_WH!F:F,"",0)</f>
        <v>Pcs</v>
      </c>
      <c r="N1753" s="221">
        <v>17</v>
      </c>
      <c r="O1753" s="221" t="s">
        <v>222</v>
      </c>
      <c r="P1753" s="221" t="s">
        <v>223</v>
      </c>
      <c r="Q1753" s="221"/>
      <c r="R1753" s="221"/>
      <c r="S1753" s="221"/>
      <c r="T1753" s="221" t="s">
        <v>3522</v>
      </c>
      <c r="U1753" s="221" t="s">
        <v>3323</v>
      </c>
      <c r="V1753" s="221" t="s">
        <v>3324</v>
      </c>
      <c r="W1753" s="221" t="s">
        <v>3325</v>
      </c>
      <c r="X1753" s="221"/>
      <c r="Y1753" s="227"/>
      <c r="Z1753" s="227" t="str">
        <f t="shared" si="65"/>
        <v>Puncak Dieng Exlusif</v>
      </c>
      <c r="AA1753" s="276" t="e">
        <f>VLOOKUP(Logfile_S12[[#This Row],[DO number]],DO_DB!G:I,3,0)</f>
        <v>#N/A</v>
      </c>
      <c r="AB1753" s="331" t="e">
        <f>EXACT(Logfile_S12[[#This Row],[date pick]],Logfile_S12[[#This Row],[Date]])</f>
        <v>#N/A</v>
      </c>
      <c r="AC17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54" spans="1:29" ht="14.5" hidden="1">
      <c r="A1754" s="220" t="str">
        <f t="shared" si="64"/>
        <v>1750</v>
      </c>
      <c r="B1754" s="221"/>
      <c r="C1754" s="221" t="s">
        <v>49</v>
      </c>
      <c r="D1754" s="221" t="s">
        <v>3713</v>
      </c>
      <c r="E1754" s="221" t="s">
        <v>3295</v>
      </c>
      <c r="F1754" s="221" t="s">
        <v>3299</v>
      </c>
      <c r="G1754" s="222">
        <v>45190</v>
      </c>
      <c r="H1754" s="223">
        <v>0.4375</v>
      </c>
      <c r="I1754" s="221" t="s">
        <v>4916</v>
      </c>
      <c r="J1754" s="221" t="s">
        <v>3023</v>
      </c>
      <c r="K1754" s="224" t="s">
        <v>3069</v>
      </c>
      <c r="L1754" s="225" t="str">
        <f>VLOOKUP(Logfile_S12[[#This Row],[Material Name]],Sheet2!B:C,2,0)</f>
        <v>ZTE1001</v>
      </c>
      <c r="M1754" s="225" t="str">
        <f>_xlfn.XLOOKUP(Logfile_S12[[#This Row],[Material Name]],Sum_WH!E:E,Sum_WH!F:F,"",0)</f>
        <v>Pcs</v>
      </c>
      <c r="N1754" s="221">
        <v>22</v>
      </c>
      <c r="O1754" s="221" t="s">
        <v>172</v>
      </c>
      <c r="P1754" s="221" t="s">
        <v>3319</v>
      </c>
      <c r="Q1754" s="221"/>
      <c r="R1754" s="221"/>
      <c r="S1754" s="221"/>
      <c r="T1754" s="221" t="s">
        <v>3346</v>
      </c>
      <c r="U1754" s="221" t="s">
        <v>3323</v>
      </c>
      <c r="V1754" s="221" t="s">
        <v>3347</v>
      </c>
      <c r="W1754" s="221" t="s">
        <v>3334</v>
      </c>
      <c r="X1754" s="221"/>
      <c r="Y1754" s="227"/>
      <c r="Z1754" s="227" t="str">
        <f t="shared" si="65"/>
        <v>Pandan Landung RW 03 Wagir</v>
      </c>
      <c r="AA1754" s="276" t="e">
        <f>VLOOKUP(Logfile_S12[[#This Row],[DO number]],DO_DB!G:I,3,0)</f>
        <v>#N/A</v>
      </c>
      <c r="AB1754" s="331" t="e">
        <f>EXACT(Logfile_S12[[#This Row],[date pick]],Logfile_S12[[#This Row],[Date]])</f>
        <v>#N/A</v>
      </c>
      <c r="AC17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55" spans="1:29" ht="14.5" hidden="1">
      <c r="A1755" s="220" t="str">
        <f t="shared" si="64"/>
        <v>1751</v>
      </c>
      <c r="B1755" s="221"/>
      <c r="C1755" s="221" t="s">
        <v>49</v>
      </c>
      <c r="D1755" s="221" t="s">
        <v>3714</v>
      </c>
      <c r="E1755" s="221" t="s">
        <v>3295</v>
      </c>
      <c r="F1755" s="221" t="s">
        <v>3299</v>
      </c>
      <c r="G1755" s="222">
        <v>45191</v>
      </c>
      <c r="H1755" s="223">
        <v>0.3888888888888889</v>
      </c>
      <c r="I1755" s="221" t="s">
        <v>4916</v>
      </c>
      <c r="J1755" s="221" t="s">
        <v>3023</v>
      </c>
      <c r="K1755" s="224" t="s">
        <v>3069</v>
      </c>
      <c r="L1755" s="225" t="str">
        <f>VLOOKUP(Logfile_S12[[#This Row],[Material Name]],Sheet2!B:C,2,0)</f>
        <v>ZTE1001</v>
      </c>
      <c r="M1755" s="225" t="str">
        <f>_xlfn.XLOOKUP(Logfile_S12[[#This Row],[Material Name]],Sum_WH!E:E,Sum_WH!F:F,"",0)</f>
        <v>Pcs</v>
      </c>
      <c r="N1755" s="221">
        <v>19</v>
      </c>
      <c r="O1755" s="221" t="s">
        <v>164</v>
      </c>
      <c r="P1755" s="221" t="s">
        <v>3320</v>
      </c>
      <c r="Q1755" s="221"/>
      <c r="R1755" s="221"/>
      <c r="S1755" s="221"/>
      <c r="T1755" s="221" t="s">
        <v>3346</v>
      </c>
      <c r="U1755" s="221" t="s">
        <v>3323</v>
      </c>
      <c r="V1755" s="221" t="s">
        <v>3347</v>
      </c>
      <c r="W1755" s="221" t="s">
        <v>3334</v>
      </c>
      <c r="X1755" s="221"/>
      <c r="Y1755" s="227"/>
      <c r="Z1755" s="227" t="str">
        <f t="shared" si="65"/>
        <v>Pandan Landung RW 04 Wagir</v>
      </c>
      <c r="AA1755" s="276" t="e">
        <f>VLOOKUP(Logfile_S12[[#This Row],[DO number]],DO_DB!G:I,3,0)</f>
        <v>#N/A</v>
      </c>
      <c r="AB1755" s="331" t="e">
        <f>EXACT(Logfile_S12[[#This Row],[date pick]],Logfile_S12[[#This Row],[Date]])</f>
        <v>#N/A</v>
      </c>
      <c r="AC17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56" spans="1:29" ht="14.5" hidden="1">
      <c r="A1756" s="220" t="str">
        <f t="shared" si="64"/>
        <v>1752</v>
      </c>
      <c r="B1756" s="221"/>
      <c r="C1756" s="221" t="s">
        <v>49</v>
      </c>
      <c r="D1756" s="221" t="s">
        <v>3717</v>
      </c>
      <c r="E1756" s="221" t="s">
        <v>3295</v>
      </c>
      <c r="F1756" s="221" t="s">
        <v>3299</v>
      </c>
      <c r="G1756" s="222">
        <v>45192</v>
      </c>
      <c r="H1756" s="223">
        <v>0.58888888888888891</v>
      </c>
      <c r="I1756" s="221" t="s">
        <v>4916</v>
      </c>
      <c r="J1756" s="221" t="s">
        <v>3023</v>
      </c>
      <c r="K1756" s="224" t="s">
        <v>3069</v>
      </c>
      <c r="L1756" s="225" t="str">
        <f>VLOOKUP(Logfile_S12[[#This Row],[Material Name]],Sheet2!B:C,2,0)</f>
        <v>ZTE1001</v>
      </c>
      <c r="M1756" s="225" t="str">
        <f>_xlfn.XLOOKUP(Logfile_S12[[#This Row],[Material Name]],Sum_WH!E:E,Sum_WH!F:F,"",0)</f>
        <v>Pcs</v>
      </c>
      <c r="N1756" s="221">
        <v>5</v>
      </c>
      <c r="O1756" s="221" t="s">
        <v>180</v>
      </c>
      <c r="P1756" s="221" t="s">
        <v>181</v>
      </c>
      <c r="Q1756" s="221"/>
      <c r="R1756" s="221"/>
      <c r="S1756" s="221"/>
      <c r="T1756" s="221" t="s">
        <v>3322</v>
      </c>
      <c r="U1756" s="221" t="s">
        <v>3323</v>
      </c>
      <c r="V1756" s="221" t="s">
        <v>3324</v>
      </c>
      <c r="W1756" s="221" t="s">
        <v>3325</v>
      </c>
      <c r="X1756" s="221"/>
      <c r="Y1756" s="227"/>
      <c r="Z1756" s="227" t="str">
        <f t="shared" si="65"/>
        <v>Mulyorejo RW 06 Sukun</v>
      </c>
      <c r="AA1756" s="276" t="e">
        <f>VLOOKUP(Logfile_S12[[#This Row],[DO number]],DO_DB!G:I,3,0)</f>
        <v>#N/A</v>
      </c>
      <c r="AB1756" s="331" t="e">
        <f>EXACT(Logfile_S12[[#This Row],[date pick]],Logfile_S12[[#This Row],[Date]])</f>
        <v>#N/A</v>
      </c>
      <c r="AC17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57" spans="1:29" ht="14.5" hidden="1">
      <c r="A1757" s="220" t="str">
        <f t="shared" si="64"/>
        <v>1753</v>
      </c>
      <c r="B1757" s="221"/>
      <c r="C1757" s="221" t="s">
        <v>49</v>
      </c>
      <c r="D1757" s="221" t="s">
        <v>3717</v>
      </c>
      <c r="E1757" s="221" t="s">
        <v>3295</v>
      </c>
      <c r="F1757" s="221" t="s">
        <v>3299</v>
      </c>
      <c r="G1757" s="222">
        <v>45192</v>
      </c>
      <c r="H1757" s="223">
        <v>0.58888888888888891</v>
      </c>
      <c r="I1757" s="221" t="s">
        <v>4916</v>
      </c>
      <c r="J1757" s="221" t="s">
        <v>3023</v>
      </c>
      <c r="K1757" s="224" t="s">
        <v>3069</v>
      </c>
      <c r="L1757" s="225" t="str">
        <f>VLOOKUP(Logfile_S12[[#This Row],[Material Name]],Sheet2!B:C,2,0)</f>
        <v>ZTE1001</v>
      </c>
      <c r="M1757" s="225" t="str">
        <f>_xlfn.XLOOKUP(Logfile_S12[[#This Row],[Material Name]],Sum_WH!E:E,Sum_WH!F:F,"",0)</f>
        <v>Pcs</v>
      </c>
      <c r="N1757" s="221">
        <v>9</v>
      </c>
      <c r="O1757" s="221" t="s">
        <v>222</v>
      </c>
      <c r="P1757" s="221" t="s">
        <v>223</v>
      </c>
      <c r="Q1757" s="221"/>
      <c r="R1757" s="221"/>
      <c r="S1757" s="221"/>
      <c r="T1757" s="221" t="s">
        <v>3322</v>
      </c>
      <c r="U1757" s="221" t="s">
        <v>3323</v>
      </c>
      <c r="V1757" s="221" t="s">
        <v>3324</v>
      </c>
      <c r="W1757" s="221" t="s">
        <v>3386</v>
      </c>
      <c r="X1757" s="221"/>
      <c r="Y1757" s="227"/>
      <c r="Z1757" s="227" t="str">
        <f t="shared" si="65"/>
        <v>Puncak Dieng Exlusif</v>
      </c>
      <c r="AA1757" s="276" t="e">
        <f>VLOOKUP(Logfile_S12[[#This Row],[DO number]],DO_DB!G:I,3,0)</f>
        <v>#N/A</v>
      </c>
      <c r="AB1757" s="331" t="e">
        <f>EXACT(Logfile_S12[[#This Row],[date pick]],Logfile_S12[[#This Row],[Date]])</f>
        <v>#N/A</v>
      </c>
      <c r="AC17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58" spans="1:29" ht="14.5" hidden="1">
      <c r="A1758" s="220" t="str">
        <f t="shared" si="64"/>
        <v>1754</v>
      </c>
      <c r="B1758" s="221"/>
      <c r="C1758" s="221" t="s">
        <v>49</v>
      </c>
      <c r="D1758" s="221" t="s">
        <v>3716</v>
      </c>
      <c r="E1758" s="221" t="s">
        <v>3295</v>
      </c>
      <c r="F1758" s="221" t="s">
        <v>3299</v>
      </c>
      <c r="G1758" s="222">
        <v>45192</v>
      </c>
      <c r="H1758" s="223">
        <v>0.29652777777777778</v>
      </c>
      <c r="I1758" s="221" t="s">
        <v>4916</v>
      </c>
      <c r="J1758" s="221" t="s">
        <v>3023</v>
      </c>
      <c r="K1758" s="224" t="s">
        <v>3069</v>
      </c>
      <c r="L1758" s="225" t="str">
        <f>VLOOKUP(Logfile_S12[[#This Row],[Material Name]],Sheet2!B:C,2,0)</f>
        <v>ZTE1001</v>
      </c>
      <c r="M1758" s="225" t="str">
        <f>_xlfn.XLOOKUP(Logfile_S12[[#This Row],[Material Name]],Sum_WH!E:E,Sum_WH!F:F,"",0)</f>
        <v>Pcs</v>
      </c>
      <c r="N1758" s="221">
        <v>11</v>
      </c>
      <c r="O1758" s="221" t="s">
        <v>180</v>
      </c>
      <c r="P1758" s="221" t="s">
        <v>181</v>
      </c>
      <c r="Q1758" s="221"/>
      <c r="R1758" s="221"/>
      <c r="S1758" s="221"/>
      <c r="T1758" s="221" t="s">
        <v>3322</v>
      </c>
      <c r="U1758" s="221" t="s">
        <v>3323</v>
      </c>
      <c r="V1758" s="221" t="s">
        <v>3324</v>
      </c>
      <c r="W1758" s="221" t="s">
        <v>3325</v>
      </c>
      <c r="X1758" s="221"/>
      <c r="Y1758" s="227"/>
      <c r="Z1758" s="227" t="str">
        <f t="shared" si="65"/>
        <v>Mulyorejo RW 06 Sukun</v>
      </c>
      <c r="AA1758" s="276" t="e">
        <f>VLOOKUP(Logfile_S12[[#This Row],[DO number]],DO_DB!G:I,3,0)</f>
        <v>#N/A</v>
      </c>
      <c r="AB1758" s="331" t="e">
        <f>EXACT(Logfile_S12[[#This Row],[date pick]],Logfile_S12[[#This Row],[Date]])</f>
        <v>#N/A</v>
      </c>
      <c r="AC17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59" spans="1:29" ht="14.5" hidden="1">
      <c r="A1759" s="220" t="str">
        <f t="shared" si="64"/>
        <v>1755</v>
      </c>
      <c r="B1759" s="221"/>
      <c r="C1759" s="221" t="s">
        <v>49</v>
      </c>
      <c r="D1759" s="221" t="s">
        <v>3716</v>
      </c>
      <c r="E1759" s="221" t="s">
        <v>3295</v>
      </c>
      <c r="F1759" s="221" t="s">
        <v>3299</v>
      </c>
      <c r="G1759" s="222">
        <v>45192</v>
      </c>
      <c r="H1759" s="223">
        <v>0.29652777777777778</v>
      </c>
      <c r="I1759" s="221" t="s">
        <v>4916</v>
      </c>
      <c r="J1759" s="221" t="s">
        <v>3023</v>
      </c>
      <c r="K1759" s="224" t="s">
        <v>3069</v>
      </c>
      <c r="L1759" s="225" t="str">
        <f>VLOOKUP(Logfile_S12[[#This Row],[Material Name]],Sheet2!B:C,2,0)</f>
        <v>ZTE1001</v>
      </c>
      <c r="M1759" s="225" t="str">
        <f>_xlfn.XLOOKUP(Logfile_S12[[#This Row],[Material Name]],Sum_WH!E:E,Sum_WH!F:F,"",0)</f>
        <v>Pcs</v>
      </c>
      <c r="N1759" s="221">
        <v>17</v>
      </c>
      <c r="O1759" s="221" t="s">
        <v>222</v>
      </c>
      <c r="P1759" s="221" t="s">
        <v>223</v>
      </c>
      <c r="Q1759" s="221"/>
      <c r="R1759" s="221"/>
      <c r="S1759" s="221"/>
      <c r="T1759" s="221" t="s">
        <v>3322</v>
      </c>
      <c r="U1759" s="221" t="s">
        <v>3323</v>
      </c>
      <c r="V1759" s="221" t="s">
        <v>3324</v>
      </c>
      <c r="W1759" s="221" t="s">
        <v>3386</v>
      </c>
      <c r="X1759" s="221"/>
      <c r="Y1759" s="227"/>
      <c r="Z1759" s="227" t="str">
        <f t="shared" si="65"/>
        <v>Puncak Dieng Exlusif</v>
      </c>
      <c r="AA1759" s="276" t="e">
        <f>VLOOKUP(Logfile_S12[[#This Row],[DO number]],DO_DB!G:I,3,0)</f>
        <v>#N/A</v>
      </c>
      <c r="AB1759" s="331" t="e">
        <f>EXACT(Logfile_S12[[#This Row],[date pick]],Logfile_S12[[#This Row],[Date]])</f>
        <v>#N/A</v>
      </c>
      <c r="AC17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60" spans="1:29" ht="14.5" hidden="1">
      <c r="A1760" s="220" t="str">
        <f t="shared" si="64"/>
        <v>1756</v>
      </c>
      <c r="B1760" s="221"/>
      <c r="C1760" s="221" t="s">
        <v>49</v>
      </c>
      <c r="D1760" s="221" t="s">
        <v>3719</v>
      </c>
      <c r="E1760" s="221" t="s">
        <v>3295</v>
      </c>
      <c r="F1760" s="221" t="s">
        <v>3299</v>
      </c>
      <c r="G1760" s="222">
        <v>45193</v>
      </c>
      <c r="H1760" s="223">
        <v>0.31666666666666665</v>
      </c>
      <c r="I1760" s="221" t="s">
        <v>4916</v>
      </c>
      <c r="J1760" s="221" t="s">
        <v>3023</v>
      </c>
      <c r="K1760" s="224" t="s">
        <v>3069</v>
      </c>
      <c r="L1760" s="225" t="str">
        <f>VLOOKUP(Logfile_S12[[#This Row],[Material Name]],Sheet2!B:C,2,0)</f>
        <v>ZTE1001</v>
      </c>
      <c r="M1760" s="225" t="str">
        <f>_xlfn.XLOOKUP(Logfile_S12[[#This Row],[Material Name]],Sum_WH!E:E,Sum_WH!F:F,"",0)</f>
        <v>Pcs</v>
      </c>
      <c r="N1760" s="221">
        <v>1</v>
      </c>
      <c r="O1760" s="221" t="s">
        <v>180</v>
      </c>
      <c r="P1760" s="221" t="s">
        <v>181</v>
      </c>
      <c r="Q1760" s="221"/>
      <c r="R1760" s="221"/>
      <c r="S1760" s="221"/>
      <c r="T1760" s="221" t="s">
        <v>3322</v>
      </c>
      <c r="U1760" s="221" t="s">
        <v>3323</v>
      </c>
      <c r="V1760" s="221" t="s">
        <v>3324</v>
      </c>
      <c r="W1760" s="221" t="s">
        <v>3386</v>
      </c>
      <c r="X1760" s="221"/>
      <c r="Y1760" s="227"/>
      <c r="Z1760" s="227" t="str">
        <f t="shared" si="65"/>
        <v>Mulyorejo RW 06 Sukun</v>
      </c>
      <c r="AA1760" s="276" t="e">
        <f>VLOOKUP(Logfile_S12[[#This Row],[DO number]],DO_DB!G:I,3,0)</f>
        <v>#N/A</v>
      </c>
      <c r="AB1760" s="331" t="e">
        <f>EXACT(Logfile_S12[[#This Row],[date pick]],Logfile_S12[[#This Row],[Date]])</f>
        <v>#N/A</v>
      </c>
      <c r="AC17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61" spans="1:29" ht="14.5" hidden="1">
      <c r="A1761" s="220" t="str">
        <f t="shared" si="64"/>
        <v>1757</v>
      </c>
      <c r="B1761" s="221"/>
      <c r="C1761" s="221" t="s">
        <v>49</v>
      </c>
      <c r="D1761" s="221" t="s">
        <v>3725</v>
      </c>
      <c r="E1761" s="221" t="s">
        <v>3295</v>
      </c>
      <c r="F1761" s="221" t="s">
        <v>3299</v>
      </c>
      <c r="G1761" s="222">
        <v>45195</v>
      </c>
      <c r="H1761" s="223">
        <v>0.27083333333333331</v>
      </c>
      <c r="I1761" s="221" t="s">
        <v>4916</v>
      </c>
      <c r="J1761" s="221" t="s">
        <v>3023</v>
      </c>
      <c r="K1761" s="224" t="s">
        <v>3227</v>
      </c>
      <c r="L1761" s="225" t="str">
        <f>VLOOKUP(Logfile_S12[[#This Row],[Material Name]],Sheet2!B:C,2,0)</f>
        <v>ZTE1001</v>
      </c>
      <c r="M1761" s="225" t="str">
        <f>_xlfn.XLOOKUP(Logfile_S12[[#This Row],[Material Name]],Sum_WH!E:E,Sum_WH!F:F,"",0)</f>
        <v>Pcs</v>
      </c>
      <c r="N1761" s="221">
        <v>2</v>
      </c>
      <c r="O1761" s="221" t="s">
        <v>222</v>
      </c>
      <c r="P1761" s="221" t="s">
        <v>223</v>
      </c>
      <c r="Q1761" s="221"/>
      <c r="R1761" s="221"/>
      <c r="S1761" s="221"/>
      <c r="T1761" s="221" t="s">
        <v>3322</v>
      </c>
      <c r="U1761" s="221" t="s">
        <v>3323</v>
      </c>
      <c r="V1761" s="221" t="s">
        <v>3324</v>
      </c>
      <c r="W1761" s="221" t="s">
        <v>3325</v>
      </c>
      <c r="X1761" s="221"/>
      <c r="Y1761" s="227"/>
      <c r="Z1761" s="227" t="str">
        <f t="shared" si="65"/>
        <v>Puncak Dieng Exlusif</v>
      </c>
      <c r="AA1761" s="276" t="e">
        <f>VLOOKUP(Logfile_S12[[#This Row],[DO number]],DO_DB!G:I,3,0)</f>
        <v>#N/A</v>
      </c>
      <c r="AB1761" s="331" t="e">
        <f>EXACT(Logfile_S12[[#This Row],[date pick]],Logfile_S12[[#This Row],[Date]])</f>
        <v>#N/A</v>
      </c>
      <c r="AC17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62" spans="1:29" ht="14.5" hidden="1">
      <c r="A1762" s="220" t="str">
        <f t="shared" si="64"/>
        <v>1758</v>
      </c>
      <c r="B1762" s="221"/>
      <c r="C1762" s="221" t="s">
        <v>49</v>
      </c>
      <c r="D1762" s="221" t="s">
        <v>3728</v>
      </c>
      <c r="E1762" s="221" t="s">
        <v>3295</v>
      </c>
      <c r="F1762" s="221" t="s">
        <v>3299</v>
      </c>
      <c r="G1762" s="222">
        <v>45196</v>
      </c>
      <c r="H1762" s="223">
        <v>0.27569444444444446</v>
      </c>
      <c r="I1762" s="221" t="s">
        <v>4916</v>
      </c>
      <c r="J1762" s="221" t="s">
        <v>3023</v>
      </c>
      <c r="K1762" s="224" t="s">
        <v>3069</v>
      </c>
      <c r="L1762" s="225" t="str">
        <f>VLOOKUP(Logfile_S12[[#This Row],[Material Name]],Sheet2!B:C,2,0)</f>
        <v>ZTE1001</v>
      </c>
      <c r="M1762" s="225" t="str">
        <f>_xlfn.XLOOKUP(Logfile_S12[[#This Row],[Material Name]],Sum_WH!E:E,Sum_WH!F:F,"",0)</f>
        <v>Pcs</v>
      </c>
      <c r="N1762" s="221">
        <v>4</v>
      </c>
      <c r="O1762" s="221" t="s">
        <v>222</v>
      </c>
      <c r="P1762" s="221" t="s">
        <v>223</v>
      </c>
      <c r="Q1762" s="221"/>
      <c r="R1762" s="221"/>
      <c r="S1762" s="221"/>
      <c r="T1762" s="221" t="s">
        <v>3522</v>
      </c>
      <c r="U1762" s="221" t="s">
        <v>3323</v>
      </c>
      <c r="V1762" s="221" t="s">
        <v>3324</v>
      </c>
      <c r="W1762" s="221" t="s">
        <v>3386</v>
      </c>
      <c r="X1762" s="221"/>
      <c r="Y1762" s="227"/>
      <c r="Z1762" s="227" t="str">
        <f t="shared" si="65"/>
        <v>Puncak Dieng Exlusif</v>
      </c>
      <c r="AA1762" s="276" t="e">
        <f>VLOOKUP(Logfile_S12[[#This Row],[DO number]],DO_DB!G:I,3,0)</f>
        <v>#N/A</v>
      </c>
      <c r="AB1762" s="331" t="e">
        <f>EXACT(Logfile_S12[[#This Row],[date pick]],Logfile_S12[[#This Row],[Date]])</f>
        <v>#N/A</v>
      </c>
      <c r="AC17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63" spans="1:29" ht="14.5" hidden="1">
      <c r="A1763" s="220" t="str">
        <f t="shared" si="64"/>
        <v>1759</v>
      </c>
      <c r="B1763" s="221"/>
      <c r="C1763" s="221" t="s">
        <v>49</v>
      </c>
      <c r="D1763" s="221" t="s">
        <v>3731</v>
      </c>
      <c r="E1763" s="221" t="s">
        <v>3295</v>
      </c>
      <c r="F1763" s="221" t="s">
        <v>3299</v>
      </c>
      <c r="G1763" s="222">
        <v>45197</v>
      </c>
      <c r="H1763" s="223">
        <v>0.28958333333333336</v>
      </c>
      <c r="I1763" s="221" t="s">
        <v>4916</v>
      </c>
      <c r="J1763" s="221" t="s">
        <v>3023</v>
      </c>
      <c r="K1763" s="224" t="s">
        <v>3227</v>
      </c>
      <c r="L1763" s="225" t="str">
        <f>VLOOKUP(Logfile_S12[[#This Row],[Material Name]],Sheet2!B:C,2,0)</f>
        <v>ZTE1001</v>
      </c>
      <c r="M1763" s="225" t="str">
        <f>_xlfn.XLOOKUP(Logfile_S12[[#This Row],[Material Name]],Sum_WH!E:E,Sum_WH!F:F,"",0)</f>
        <v>Pcs</v>
      </c>
      <c r="N1763" s="221">
        <v>9</v>
      </c>
      <c r="O1763" s="221" t="s">
        <v>222</v>
      </c>
      <c r="P1763" s="221" t="s">
        <v>223</v>
      </c>
      <c r="Q1763" s="221"/>
      <c r="R1763" s="221"/>
      <c r="S1763" s="221"/>
      <c r="T1763" s="221" t="s">
        <v>3322</v>
      </c>
      <c r="U1763" s="221" t="s">
        <v>3323</v>
      </c>
      <c r="V1763" s="221" t="s">
        <v>3324</v>
      </c>
      <c r="W1763" s="221" t="s">
        <v>3325</v>
      </c>
      <c r="X1763" s="221"/>
      <c r="Y1763" s="227"/>
      <c r="Z1763" s="227" t="str">
        <f t="shared" si="65"/>
        <v>Puncak Dieng Exlusif</v>
      </c>
      <c r="AA1763" s="276" t="e">
        <f>VLOOKUP(Logfile_S12[[#This Row],[DO number]],DO_DB!G:I,3,0)</f>
        <v>#N/A</v>
      </c>
      <c r="AB1763" s="331" t="e">
        <f>EXACT(Logfile_S12[[#This Row],[date pick]],Logfile_S12[[#This Row],[Date]])</f>
        <v>#N/A</v>
      </c>
      <c r="AC17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64" spans="1:29" ht="14.5" hidden="1">
      <c r="A1764" s="220" t="str">
        <f t="shared" si="64"/>
        <v>1760</v>
      </c>
      <c r="B1764" s="221"/>
      <c r="C1764" s="221" t="s">
        <v>49</v>
      </c>
      <c r="D1764" s="221" t="s">
        <v>3732</v>
      </c>
      <c r="E1764" s="221" t="s">
        <v>3295</v>
      </c>
      <c r="F1764" s="221" t="s">
        <v>3299</v>
      </c>
      <c r="G1764" s="222">
        <v>45197</v>
      </c>
      <c r="H1764" s="223">
        <v>0.3659722222222222</v>
      </c>
      <c r="I1764" s="221" t="s">
        <v>4916</v>
      </c>
      <c r="J1764" s="221" t="s">
        <v>3023</v>
      </c>
      <c r="K1764" s="224" t="s">
        <v>3227</v>
      </c>
      <c r="L1764" s="225" t="str">
        <f>VLOOKUP(Logfile_S12[[#This Row],[Material Name]],Sheet2!B:C,2,0)</f>
        <v>ZTE1001</v>
      </c>
      <c r="M1764" s="225" t="str">
        <f>_xlfn.XLOOKUP(Logfile_S12[[#This Row],[Material Name]],Sum_WH!E:E,Sum_WH!F:F,"",0)</f>
        <v>Pcs</v>
      </c>
      <c r="N1764" s="221">
        <v>17</v>
      </c>
      <c r="O1764" s="221" t="s">
        <v>222</v>
      </c>
      <c r="P1764" s="221" t="s">
        <v>223</v>
      </c>
      <c r="Q1764" s="221"/>
      <c r="R1764" s="221"/>
      <c r="S1764" s="221"/>
      <c r="T1764" s="221" t="s">
        <v>3322</v>
      </c>
      <c r="U1764" s="221" t="s">
        <v>3323</v>
      </c>
      <c r="V1764" s="221" t="s">
        <v>3324</v>
      </c>
      <c r="W1764" s="221" t="s">
        <v>3325</v>
      </c>
      <c r="X1764" s="221"/>
      <c r="Y1764" s="227"/>
      <c r="Z1764" s="227" t="str">
        <f t="shared" si="65"/>
        <v>Puncak Dieng Exlusif</v>
      </c>
      <c r="AA1764" s="276" t="e">
        <f>VLOOKUP(Logfile_S12[[#This Row],[DO number]],DO_DB!G:I,3,0)</f>
        <v>#N/A</v>
      </c>
      <c r="AB1764" s="331" t="e">
        <f>EXACT(Logfile_S12[[#This Row],[date pick]],Logfile_S12[[#This Row],[Date]])</f>
        <v>#N/A</v>
      </c>
      <c r="AC17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65" spans="1:29" ht="14.5" hidden="1">
      <c r="A1765" s="220" t="str">
        <f t="shared" si="64"/>
        <v>1761</v>
      </c>
      <c r="B1765" s="221"/>
      <c r="C1765" s="221" t="s">
        <v>49</v>
      </c>
      <c r="D1765" s="221" t="s">
        <v>3734</v>
      </c>
      <c r="E1765" s="221" t="s">
        <v>3295</v>
      </c>
      <c r="F1765" s="221" t="s">
        <v>3299</v>
      </c>
      <c r="G1765" s="222">
        <v>45200</v>
      </c>
      <c r="H1765" s="223">
        <v>0.27083333333333331</v>
      </c>
      <c r="I1765" s="221" t="s">
        <v>4916</v>
      </c>
      <c r="J1765" s="221" t="s">
        <v>3023</v>
      </c>
      <c r="K1765" s="224" t="s">
        <v>3227</v>
      </c>
      <c r="L1765" s="225" t="str">
        <f>VLOOKUP(Logfile_S12[[#This Row],[Material Name]],Sheet2!B:C,2,0)</f>
        <v>ZTE1001</v>
      </c>
      <c r="M1765" s="225" t="str">
        <f>_xlfn.XLOOKUP(Logfile_S12[[#This Row],[Material Name]],Sum_WH!E:E,Sum_WH!F:F,"",0)</f>
        <v>Pcs</v>
      </c>
      <c r="N1765" s="221">
        <v>17</v>
      </c>
      <c r="O1765" s="221" t="s">
        <v>222</v>
      </c>
      <c r="P1765" s="221" t="s">
        <v>223</v>
      </c>
      <c r="Q1765" s="221"/>
      <c r="R1765" s="221"/>
      <c r="S1765" s="221"/>
      <c r="T1765" s="221" t="s">
        <v>3322</v>
      </c>
      <c r="U1765" s="221" t="s">
        <v>3323</v>
      </c>
      <c r="V1765" s="221" t="s">
        <v>3324</v>
      </c>
      <c r="W1765" s="221" t="s">
        <v>3386</v>
      </c>
      <c r="X1765" s="221"/>
      <c r="Y1765" s="227"/>
      <c r="Z1765" s="227" t="str">
        <f t="shared" si="65"/>
        <v>Puncak Dieng Exlusif</v>
      </c>
      <c r="AA1765" s="276" t="e">
        <f>VLOOKUP(Logfile_S12[[#This Row],[DO number]],DO_DB!G:I,3,0)</f>
        <v>#N/A</v>
      </c>
      <c r="AB1765" s="331" t="e">
        <f>EXACT(Logfile_S12[[#This Row],[date pick]],Logfile_S12[[#This Row],[Date]])</f>
        <v>#N/A</v>
      </c>
      <c r="AC17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66" spans="1:29" ht="14.5" hidden="1">
      <c r="A1766" s="220" t="str">
        <f t="shared" si="64"/>
        <v>1762</v>
      </c>
      <c r="B1766" s="221"/>
      <c r="C1766" s="221" t="s">
        <v>49</v>
      </c>
      <c r="D1766" s="221" t="s">
        <v>3738</v>
      </c>
      <c r="E1766" s="221" t="s">
        <v>3295</v>
      </c>
      <c r="F1766" s="221" t="s">
        <v>3299</v>
      </c>
      <c r="G1766" s="222">
        <v>45203</v>
      </c>
      <c r="H1766" s="223">
        <v>0.40277777777777773</v>
      </c>
      <c r="I1766" s="221" t="s">
        <v>4916</v>
      </c>
      <c r="J1766" s="221" t="s">
        <v>3023</v>
      </c>
      <c r="K1766" s="224" t="s">
        <v>3069</v>
      </c>
      <c r="L1766" s="225" t="str">
        <f>VLOOKUP(Logfile_S12[[#This Row],[Material Name]],Sheet2!B:C,2,0)</f>
        <v>ZTE1001</v>
      </c>
      <c r="M1766" s="225" t="str">
        <f>_xlfn.XLOOKUP(Logfile_S12[[#This Row],[Material Name]],Sum_WH!E:E,Sum_WH!F:F,"",0)</f>
        <v>Pcs</v>
      </c>
      <c r="N1766" s="221">
        <v>1</v>
      </c>
      <c r="O1766" s="221" t="s">
        <v>164</v>
      </c>
      <c r="P1766" s="221" t="s">
        <v>3320</v>
      </c>
      <c r="Q1766" s="221"/>
      <c r="R1766" s="221"/>
      <c r="S1766" s="221"/>
      <c r="T1766" s="221" t="s">
        <v>3346</v>
      </c>
      <c r="U1766" s="221">
        <v>0</v>
      </c>
      <c r="V1766" s="221" t="s">
        <v>3347</v>
      </c>
      <c r="W1766" s="221" t="s">
        <v>3334</v>
      </c>
      <c r="X1766" s="221"/>
      <c r="Y1766" s="227"/>
      <c r="Z1766" s="227" t="str">
        <f t="shared" si="65"/>
        <v>Pandan Landung RW 04 Wagir</v>
      </c>
      <c r="AA1766" s="276" t="e">
        <f>VLOOKUP(Logfile_S12[[#This Row],[DO number]],DO_DB!G:I,3,0)</f>
        <v>#N/A</v>
      </c>
      <c r="AB1766" s="331" t="e">
        <f>EXACT(Logfile_S12[[#This Row],[date pick]],Logfile_S12[[#This Row],[Date]])</f>
        <v>#N/A</v>
      </c>
      <c r="AC17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67" spans="1:29" ht="14.5" hidden="1">
      <c r="A1767" s="220" t="str">
        <f t="shared" si="64"/>
        <v>1763</v>
      </c>
      <c r="B1767" s="221"/>
      <c r="C1767" s="221" t="s">
        <v>49</v>
      </c>
      <c r="D1767" s="221" t="s">
        <v>3741</v>
      </c>
      <c r="E1767" s="221" t="s">
        <v>3295</v>
      </c>
      <c r="F1767" s="221" t="s">
        <v>3299</v>
      </c>
      <c r="G1767" s="222">
        <v>45205</v>
      </c>
      <c r="H1767" s="223">
        <v>0.39374999999999999</v>
      </c>
      <c r="I1767" s="221" t="s">
        <v>4916</v>
      </c>
      <c r="J1767" s="221" t="s">
        <v>3023</v>
      </c>
      <c r="K1767" s="224" t="s">
        <v>3227</v>
      </c>
      <c r="L1767" s="225" t="str">
        <f>VLOOKUP(Logfile_S12[[#This Row],[Material Name]],Sheet2!B:C,2,0)</f>
        <v>ZTE1001</v>
      </c>
      <c r="M1767" s="225" t="str">
        <f>_xlfn.XLOOKUP(Logfile_S12[[#This Row],[Material Name]],Sum_WH!E:E,Sum_WH!F:F,"",0)</f>
        <v>Pcs</v>
      </c>
      <c r="N1767" s="221">
        <v>4</v>
      </c>
      <c r="O1767" s="221" t="s">
        <v>222</v>
      </c>
      <c r="P1767" s="221" t="s">
        <v>223</v>
      </c>
      <c r="Q1767" s="221"/>
      <c r="R1767" s="221"/>
      <c r="S1767" s="221"/>
      <c r="T1767" s="221" t="s">
        <v>3322</v>
      </c>
      <c r="U1767" s="221" t="s">
        <v>3323</v>
      </c>
      <c r="V1767" s="221" t="s">
        <v>3324</v>
      </c>
      <c r="W1767" s="221" t="s">
        <v>3325</v>
      </c>
      <c r="X1767" s="221"/>
      <c r="Y1767" s="227"/>
      <c r="Z1767" s="227" t="str">
        <f t="shared" si="65"/>
        <v>Puncak Dieng Exlusif</v>
      </c>
      <c r="AA1767" s="276" t="e">
        <f>VLOOKUP(Logfile_S12[[#This Row],[DO number]],DO_DB!G:I,3,0)</f>
        <v>#N/A</v>
      </c>
      <c r="AB1767" s="331" t="e">
        <f>EXACT(Logfile_S12[[#This Row],[date pick]],Logfile_S12[[#This Row],[Date]])</f>
        <v>#N/A</v>
      </c>
      <c r="AC17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68" spans="1:29" ht="14.5" hidden="1">
      <c r="A1768" s="220" t="str">
        <f t="shared" si="64"/>
        <v>1764</v>
      </c>
      <c r="B1768" s="221"/>
      <c r="C1768" s="221" t="s">
        <v>49</v>
      </c>
      <c r="D1768" s="221" t="s">
        <v>3747</v>
      </c>
      <c r="E1768" s="221" t="s">
        <v>3295</v>
      </c>
      <c r="F1768" s="221" t="s">
        <v>3299</v>
      </c>
      <c r="G1768" s="222">
        <v>45210</v>
      </c>
      <c r="H1768" s="223">
        <v>0.89861111111111114</v>
      </c>
      <c r="I1768" s="221" t="s">
        <v>4916</v>
      </c>
      <c r="J1768" s="221" t="s">
        <v>3023</v>
      </c>
      <c r="K1768" s="224" t="s">
        <v>3227</v>
      </c>
      <c r="L1768" s="225" t="str">
        <f>VLOOKUP(Logfile_S12[[#This Row],[Material Name]],Sheet2!B:C,2,0)</f>
        <v>ZTE1001</v>
      </c>
      <c r="M1768" s="225" t="str">
        <f>_xlfn.XLOOKUP(Logfile_S12[[#This Row],[Material Name]],Sum_WH!E:E,Sum_WH!F:F,"",0)</f>
        <v>Pcs</v>
      </c>
      <c r="N1768" s="221">
        <v>1</v>
      </c>
      <c r="O1768" s="221" t="s">
        <v>84</v>
      </c>
      <c r="P1768" s="221" t="s">
        <v>85</v>
      </c>
      <c r="Q1768" s="221"/>
      <c r="R1768" s="221"/>
      <c r="S1768" s="221"/>
      <c r="T1768" s="221" t="s">
        <v>3329</v>
      </c>
      <c r="U1768" s="221" t="s">
        <v>3228</v>
      </c>
      <c r="V1768" s="221" t="s">
        <v>3330</v>
      </c>
      <c r="W1768" s="221" t="s">
        <v>3331</v>
      </c>
      <c r="X1768" s="221"/>
      <c r="Y1768" s="227"/>
      <c r="Z1768" s="227" t="str">
        <f t="shared" si="65"/>
        <v>Perumahan Bumi Podo Rukun Dau</v>
      </c>
      <c r="AA1768" s="276" t="e">
        <f>VLOOKUP(Logfile_S12[[#This Row],[DO number]],DO_DB!G:I,3,0)</f>
        <v>#N/A</v>
      </c>
      <c r="AB1768" s="331" t="e">
        <f>EXACT(Logfile_S12[[#This Row],[date pick]],Logfile_S12[[#This Row],[Date]])</f>
        <v>#N/A</v>
      </c>
      <c r="AC17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69" spans="1:29" ht="14.5" hidden="1">
      <c r="A1769" s="220" t="str">
        <f t="shared" si="64"/>
        <v>1765</v>
      </c>
      <c r="B1769" s="221"/>
      <c r="C1769" s="221" t="s">
        <v>48</v>
      </c>
      <c r="D1769" s="221" t="s">
        <v>3754</v>
      </c>
      <c r="E1769" s="221" t="s">
        <v>3295</v>
      </c>
      <c r="F1769" s="221" t="s">
        <v>3299</v>
      </c>
      <c r="G1769" s="222">
        <v>45213</v>
      </c>
      <c r="H1769" s="223">
        <v>15.291666666666666</v>
      </c>
      <c r="I1769" s="221" t="s">
        <v>37</v>
      </c>
      <c r="J1769" s="221" t="s">
        <v>3023</v>
      </c>
      <c r="K1769" s="224" t="s">
        <v>3227</v>
      </c>
      <c r="L1769" s="225" t="str">
        <f>VLOOKUP(Logfile_S12[[#This Row],[Material Name]],Sheet2!B:C,2,0)</f>
        <v>ZTE1001</v>
      </c>
      <c r="M1769" s="225" t="str">
        <f>_xlfn.XLOOKUP(Logfile_S12[[#This Row],[Material Name]],Sum_WH!E:E,Sum_WH!F:F,"",0)</f>
        <v>Pcs</v>
      </c>
      <c r="N1769" s="221">
        <v>14</v>
      </c>
      <c r="O1769" s="221" t="s">
        <v>324</v>
      </c>
      <c r="P1769" s="221" t="s">
        <v>325</v>
      </c>
      <c r="Q1769" s="221" t="s">
        <v>346</v>
      </c>
      <c r="R1769" s="221" t="s">
        <v>347</v>
      </c>
      <c r="S1769" s="221"/>
      <c r="T1769" s="221"/>
      <c r="U1769" s="221"/>
      <c r="V1769" s="221"/>
      <c r="W1769" s="221"/>
      <c r="X1769" s="221"/>
      <c r="Y1769" s="227"/>
      <c r="Z1769" s="227" t="str">
        <f t="shared" si="65"/>
        <v>Jedong RW 09 Wagir</v>
      </c>
      <c r="AA1769" s="276">
        <f>VLOOKUP(Logfile_S12[[#This Row],[DO number]],DO_DB!G:I,3,0)</f>
        <v>45213</v>
      </c>
      <c r="AB1769" s="331" t="b">
        <f>EXACT(Logfile_S12[[#This Row],[date pick]],Logfile_S12[[#This Row],[Date]])</f>
        <v>1</v>
      </c>
      <c r="AC17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70" spans="1:29" ht="14.5" hidden="1">
      <c r="A1770" s="220" t="str">
        <f t="shared" si="64"/>
        <v>1766</v>
      </c>
      <c r="B1770" s="221"/>
      <c r="C1770" s="221" t="s">
        <v>48</v>
      </c>
      <c r="D1770" s="221" t="s">
        <v>3754</v>
      </c>
      <c r="E1770" s="221" t="s">
        <v>3295</v>
      </c>
      <c r="F1770" s="221" t="s">
        <v>3299</v>
      </c>
      <c r="G1770" s="222">
        <v>45213</v>
      </c>
      <c r="H1770" s="223">
        <v>15.291666666666666</v>
      </c>
      <c r="I1770" s="221" t="s">
        <v>37</v>
      </c>
      <c r="J1770" s="221" t="s">
        <v>3023</v>
      </c>
      <c r="K1770" s="224" t="s">
        <v>3227</v>
      </c>
      <c r="L1770" s="225" t="str">
        <f>VLOOKUP(Logfile_S12[[#This Row],[Material Name]],Sheet2!B:C,2,0)</f>
        <v>ZTE1001</v>
      </c>
      <c r="M1770" s="225" t="str">
        <f>_xlfn.XLOOKUP(Logfile_S12[[#This Row],[Material Name]],Sum_WH!E:E,Sum_WH!F:F,"",0)</f>
        <v>Pcs</v>
      </c>
      <c r="N1770" s="221">
        <v>22</v>
      </c>
      <c r="O1770" s="221" t="s">
        <v>324</v>
      </c>
      <c r="P1770" s="221" t="s">
        <v>325</v>
      </c>
      <c r="Q1770" s="221" t="s">
        <v>346</v>
      </c>
      <c r="R1770" s="221" t="s">
        <v>347</v>
      </c>
      <c r="S1770" s="221"/>
      <c r="T1770" s="221"/>
      <c r="U1770" s="221"/>
      <c r="V1770" s="221"/>
      <c r="W1770" s="221"/>
      <c r="X1770" s="221"/>
      <c r="Y1770" s="227"/>
      <c r="Z1770" s="227" t="str">
        <f t="shared" si="65"/>
        <v>Jedong RW 09 Wagir</v>
      </c>
      <c r="AA1770" s="276">
        <f>VLOOKUP(Logfile_S12[[#This Row],[DO number]],DO_DB!G:I,3,0)</f>
        <v>45213</v>
      </c>
      <c r="AB1770" s="331" t="b">
        <f>EXACT(Logfile_S12[[#This Row],[date pick]],Logfile_S12[[#This Row],[Date]])</f>
        <v>1</v>
      </c>
      <c r="AC17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71" spans="1:29" ht="14.5" hidden="1">
      <c r="A1771" s="220" t="str">
        <f t="shared" si="64"/>
        <v>1767</v>
      </c>
      <c r="B1771" s="221"/>
      <c r="C1771" s="221" t="s">
        <v>48</v>
      </c>
      <c r="D1771" s="221" t="s">
        <v>3754</v>
      </c>
      <c r="E1771" s="221" t="s">
        <v>3295</v>
      </c>
      <c r="F1771" s="221" t="s">
        <v>3299</v>
      </c>
      <c r="G1771" s="222">
        <v>45213</v>
      </c>
      <c r="H1771" s="223">
        <v>15.291666666666666</v>
      </c>
      <c r="I1771" s="221" t="s">
        <v>37</v>
      </c>
      <c r="J1771" s="221" t="s">
        <v>3023</v>
      </c>
      <c r="K1771" s="224" t="s">
        <v>3227</v>
      </c>
      <c r="L1771" s="225" t="str">
        <f>VLOOKUP(Logfile_S12[[#This Row],[Material Name]],Sheet2!B:C,2,0)</f>
        <v>ZTE1001</v>
      </c>
      <c r="M1771" s="225" t="str">
        <f>_xlfn.XLOOKUP(Logfile_S12[[#This Row],[Material Name]],Sum_WH!E:E,Sum_WH!F:F,"",0)</f>
        <v>Pcs</v>
      </c>
      <c r="N1771" s="221">
        <v>24</v>
      </c>
      <c r="O1771" s="221" t="s">
        <v>328</v>
      </c>
      <c r="P1771" s="221" t="s">
        <v>329</v>
      </c>
      <c r="Q1771" s="221" t="s">
        <v>348</v>
      </c>
      <c r="R1771" s="221" t="s">
        <v>349</v>
      </c>
      <c r="S1771" s="221"/>
      <c r="T1771" s="221"/>
      <c r="U1771" s="221"/>
      <c r="V1771" s="221"/>
      <c r="W1771" s="221"/>
      <c r="X1771" s="221"/>
      <c r="Y1771" s="227"/>
      <c r="Z1771" s="227" t="str">
        <f t="shared" si="65"/>
        <v>Sukodadi RW 01 Wagir</v>
      </c>
      <c r="AA1771" s="276">
        <f>VLOOKUP(Logfile_S12[[#This Row],[DO number]],DO_DB!G:I,3,0)</f>
        <v>45213</v>
      </c>
      <c r="AB1771" s="331" t="b">
        <f>EXACT(Logfile_S12[[#This Row],[date pick]],Logfile_S12[[#This Row],[Date]])</f>
        <v>1</v>
      </c>
      <c r="AC17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72" spans="1:29" ht="14.5" hidden="1">
      <c r="A1772" s="220" t="str">
        <f t="shared" si="64"/>
        <v>1768</v>
      </c>
      <c r="B1772" s="221"/>
      <c r="C1772" s="221" t="s">
        <v>48</v>
      </c>
      <c r="D1772" s="221" t="s">
        <v>3754</v>
      </c>
      <c r="E1772" s="221" t="s">
        <v>3295</v>
      </c>
      <c r="F1772" s="221" t="s">
        <v>3299</v>
      </c>
      <c r="G1772" s="222">
        <v>45213</v>
      </c>
      <c r="H1772" s="223">
        <v>15.291666666666666</v>
      </c>
      <c r="I1772" s="221" t="s">
        <v>37</v>
      </c>
      <c r="J1772" s="221" t="s">
        <v>3023</v>
      </c>
      <c r="K1772" s="224" t="s">
        <v>3227</v>
      </c>
      <c r="L1772" s="225" t="str">
        <f>VLOOKUP(Logfile_S12[[#This Row],[Material Name]],Sheet2!B:C,2,0)</f>
        <v>ZTE1001</v>
      </c>
      <c r="M1772" s="225" t="str">
        <f>_xlfn.XLOOKUP(Logfile_S12[[#This Row],[Material Name]],Sum_WH!E:E,Sum_WH!F:F,"",0)</f>
        <v>Pcs</v>
      </c>
      <c r="N1772" s="221">
        <v>27</v>
      </c>
      <c r="O1772" s="221" t="s">
        <v>328</v>
      </c>
      <c r="P1772" s="221" t="s">
        <v>329</v>
      </c>
      <c r="Q1772" s="221" t="s">
        <v>348</v>
      </c>
      <c r="R1772" s="221" t="s">
        <v>349</v>
      </c>
      <c r="S1772" s="221"/>
      <c r="T1772" s="221"/>
      <c r="U1772" s="221"/>
      <c r="V1772" s="221"/>
      <c r="W1772" s="221"/>
      <c r="X1772" s="221"/>
      <c r="Y1772" s="227"/>
      <c r="Z1772" s="227" t="str">
        <f t="shared" si="65"/>
        <v>Sukodadi RW 01 Wagir</v>
      </c>
      <c r="AA1772" s="276">
        <f>VLOOKUP(Logfile_S12[[#This Row],[DO number]],DO_DB!G:I,3,0)</f>
        <v>45213</v>
      </c>
      <c r="AB1772" s="331" t="b">
        <f>EXACT(Logfile_S12[[#This Row],[date pick]],Logfile_S12[[#This Row],[Date]])</f>
        <v>1</v>
      </c>
      <c r="AC17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73" spans="1:29" ht="14.5" hidden="1">
      <c r="A1773" s="220" t="str">
        <f t="shared" si="64"/>
        <v>1769</v>
      </c>
      <c r="B1773" s="221"/>
      <c r="C1773" s="221" t="s">
        <v>48</v>
      </c>
      <c r="D1773" s="221" t="s">
        <v>3754</v>
      </c>
      <c r="E1773" s="221" t="s">
        <v>3295</v>
      </c>
      <c r="F1773" s="221" t="s">
        <v>3299</v>
      </c>
      <c r="G1773" s="222">
        <v>45213</v>
      </c>
      <c r="H1773" s="223">
        <v>15.291666666666666</v>
      </c>
      <c r="I1773" s="221" t="s">
        <v>37</v>
      </c>
      <c r="J1773" s="221" t="s">
        <v>3023</v>
      </c>
      <c r="K1773" s="224" t="s">
        <v>3227</v>
      </c>
      <c r="L1773" s="225" t="str">
        <f>VLOOKUP(Logfile_S12[[#This Row],[Material Name]],Sheet2!B:C,2,0)</f>
        <v>ZTE1001</v>
      </c>
      <c r="M1773" s="225" t="str">
        <f>_xlfn.XLOOKUP(Logfile_S12[[#This Row],[Material Name]],Sum_WH!E:E,Sum_WH!F:F,"",0)</f>
        <v>Pcs</v>
      </c>
      <c r="N1773" s="221">
        <v>34</v>
      </c>
      <c r="O1773" s="221" t="s">
        <v>340</v>
      </c>
      <c r="P1773" s="221" t="s">
        <v>341</v>
      </c>
      <c r="Q1773" s="221" t="s">
        <v>344</v>
      </c>
      <c r="R1773" s="221" t="s">
        <v>345</v>
      </c>
      <c r="S1773" s="221"/>
      <c r="T1773" s="221"/>
      <c r="U1773" s="221"/>
      <c r="V1773" s="221"/>
      <c r="W1773" s="221"/>
      <c r="X1773" s="221"/>
      <c r="Y1773" s="227"/>
      <c r="Z1773" s="227" t="str">
        <f t="shared" si="65"/>
        <v>Jedong RW 08 Wagir</v>
      </c>
      <c r="AA1773" s="276">
        <f>VLOOKUP(Logfile_S12[[#This Row],[DO number]],DO_DB!G:I,3,0)</f>
        <v>45213</v>
      </c>
      <c r="AB1773" s="331" t="b">
        <f>EXACT(Logfile_S12[[#This Row],[date pick]],Logfile_S12[[#This Row],[Date]])</f>
        <v>1</v>
      </c>
      <c r="AC17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74" spans="1:29" ht="14.5" hidden="1">
      <c r="A1774" s="220" t="str">
        <f t="shared" si="64"/>
        <v>1770</v>
      </c>
      <c r="B1774" s="221"/>
      <c r="C1774" s="221" t="s">
        <v>48</v>
      </c>
      <c r="D1774" s="221" t="s">
        <v>3754</v>
      </c>
      <c r="E1774" s="221" t="s">
        <v>3295</v>
      </c>
      <c r="F1774" s="221" t="s">
        <v>3299</v>
      </c>
      <c r="G1774" s="222">
        <v>45213</v>
      </c>
      <c r="H1774" s="223">
        <v>15.291666666666666</v>
      </c>
      <c r="I1774" s="221" t="s">
        <v>37</v>
      </c>
      <c r="J1774" s="221" t="s">
        <v>3023</v>
      </c>
      <c r="K1774" s="224" t="s">
        <v>3227</v>
      </c>
      <c r="L1774" s="225" t="str">
        <f>VLOOKUP(Logfile_S12[[#This Row],[Material Name]],Sheet2!B:C,2,0)</f>
        <v>ZTE1001</v>
      </c>
      <c r="M1774" s="225" t="str">
        <f>_xlfn.XLOOKUP(Logfile_S12[[#This Row],[Material Name]],Sum_WH!E:E,Sum_WH!F:F,"",0)</f>
        <v>Pcs</v>
      </c>
      <c r="N1774" s="221">
        <v>50</v>
      </c>
      <c r="O1774" s="221" t="s">
        <v>332</v>
      </c>
      <c r="P1774" s="221" t="s">
        <v>333</v>
      </c>
      <c r="Q1774" s="221" t="s">
        <v>350</v>
      </c>
      <c r="R1774" s="221" t="s">
        <v>351</v>
      </c>
      <c r="S1774" s="221"/>
      <c r="T1774" s="221"/>
      <c r="U1774" s="221"/>
      <c r="V1774" s="221"/>
      <c r="W1774" s="221"/>
      <c r="X1774" s="221"/>
      <c r="Y1774" s="227"/>
      <c r="Z1774" s="227" t="str">
        <f t="shared" si="65"/>
        <v>Sukodadi RW 02 Wagir</v>
      </c>
      <c r="AA1774" s="276">
        <f>VLOOKUP(Logfile_S12[[#This Row],[DO number]],DO_DB!G:I,3,0)</f>
        <v>45213</v>
      </c>
      <c r="AB1774" s="331" t="b">
        <f>EXACT(Logfile_S12[[#This Row],[date pick]],Logfile_S12[[#This Row],[Date]])</f>
        <v>1</v>
      </c>
      <c r="AC17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75" spans="1:29" ht="14.5" hidden="1">
      <c r="A1775" s="220" t="str">
        <f t="shared" si="64"/>
        <v>1771</v>
      </c>
      <c r="B1775" s="221"/>
      <c r="C1775" s="221" t="s">
        <v>48</v>
      </c>
      <c r="D1775" s="221" t="s">
        <v>3754</v>
      </c>
      <c r="E1775" s="221" t="s">
        <v>3295</v>
      </c>
      <c r="F1775" s="221" t="s">
        <v>3299</v>
      </c>
      <c r="G1775" s="222">
        <v>45213</v>
      </c>
      <c r="H1775" s="223">
        <v>15.291666666666666</v>
      </c>
      <c r="I1775" s="221" t="s">
        <v>3586</v>
      </c>
      <c r="J1775" s="221" t="s">
        <v>3023</v>
      </c>
      <c r="K1775" s="224" t="s">
        <v>3227</v>
      </c>
      <c r="L1775" s="225" t="str">
        <f>VLOOKUP(Logfile_S12[[#This Row],[Material Name]],Sheet2!B:C,2,0)</f>
        <v>ZTE1001</v>
      </c>
      <c r="M1775" s="225" t="str">
        <f>_xlfn.XLOOKUP(Logfile_S12[[#This Row],[Material Name]],Sum_WH!E:E,Sum_WH!F:F,"",0)</f>
        <v>Pcs</v>
      </c>
      <c r="N1775" s="221">
        <v>3</v>
      </c>
      <c r="O1775" s="221" t="s">
        <v>336</v>
      </c>
      <c r="P1775" s="221" t="s">
        <v>337</v>
      </c>
      <c r="Q1775" s="221">
        <v>0</v>
      </c>
      <c r="R1775" s="221" t="s">
        <v>3147</v>
      </c>
      <c r="S1775" s="221"/>
      <c r="T1775" s="221"/>
      <c r="U1775" s="221"/>
      <c r="V1775" s="221"/>
      <c r="W1775" s="221"/>
      <c r="X1775" s="221" t="s">
        <v>3300</v>
      </c>
      <c r="Y1775" s="227"/>
      <c r="Z1775" s="227" t="str">
        <f t="shared" si="65"/>
        <v>Sidorahayu RW 02 Wagir</v>
      </c>
      <c r="AA1775" s="276" t="e">
        <f>VLOOKUP(Logfile_S12[[#This Row],[DO number]],DO_DB!G:I,3,0)</f>
        <v>#N/A</v>
      </c>
      <c r="AB1775" s="331" t="e">
        <f>EXACT(Logfile_S12[[#This Row],[date pick]],Logfile_S12[[#This Row],[Date]])</f>
        <v>#N/A</v>
      </c>
      <c r="AC17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76" spans="1:29" ht="14.5" hidden="1">
      <c r="A1776" s="220" t="str">
        <f t="shared" si="64"/>
        <v>1772</v>
      </c>
      <c r="B1776" s="221"/>
      <c r="C1776" s="221" t="s">
        <v>3313</v>
      </c>
      <c r="D1776" s="221" t="s">
        <v>3755</v>
      </c>
      <c r="E1776" s="221" t="s">
        <v>3295</v>
      </c>
      <c r="F1776" s="221" t="s">
        <v>3299</v>
      </c>
      <c r="G1776" s="222">
        <v>45213</v>
      </c>
      <c r="H1776" s="223">
        <v>15.291666666666666</v>
      </c>
      <c r="I1776" s="221" t="s">
        <v>37</v>
      </c>
      <c r="J1776" s="221" t="s">
        <v>3023</v>
      </c>
      <c r="K1776" s="224" t="s">
        <v>3227</v>
      </c>
      <c r="L1776" s="225" t="str">
        <f>VLOOKUP(Logfile_S12[[#This Row],[Material Name]],Sheet2!B:C,2,0)</f>
        <v>ZTE1001</v>
      </c>
      <c r="M1776" s="225" t="str">
        <f>_xlfn.XLOOKUP(Logfile_S12[[#This Row],[Material Name]],Sum_WH!E:E,Sum_WH!F:F,"",0)</f>
        <v>Pcs</v>
      </c>
      <c r="N1776" s="221">
        <v>4</v>
      </c>
      <c r="O1776" s="221" t="s">
        <v>3314</v>
      </c>
      <c r="P1776" s="221">
        <v>0</v>
      </c>
      <c r="Q1776" s="221">
        <v>0</v>
      </c>
      <c r="R1776" s="221" t="s">
        <v>3147</v>
      </c>
      <c r="S1776" s="221"/>
      <c r="T1776" s="221"/>
      <c r="U1776" s="221"/>
      <c r="V1776" s="221"/>
      <c r="W1776" s="221"/>
      <c r="X1776" s="221"/>
      <c r="Y1776" s="227"/>
      <c r="Z1776" s="227">
        <f t="shared" si="65"/>
        <v>0</v>
      </c>
      <c r="AA1776" s="276" t="e">
        <f>VLOOKUP(Logfile_S12[[#This Row],[DO number]],DO_DB!G:I,3,0)</f>
        <v>#N/A</v>
      </c>
      <c r="AB1776" s="331" t="e">
        <f>EXACT(Logfile_S12[[#This Row],[date pick]],Logfile_S12[[#This Row],[Date]])</f>
        <v>#N/A</v>
      </c>
      <c r="AC17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77" spans="1:29" ht="14.5" hidden="1">
      <c r="A1777" s="220" t="str">
        <f t="shared" si="64"/>
        <v>1773</v>
      </c>
      <c r="B1777" s="221"/>
      <c r="C1777" s="221" t="s">
        <v>49</v>
      </c>
      <c r="D1777" s="221" t="s">
        <v>3758</v>
      </c>
      <c r="E1777" s="221" t="s">
        <v>3295</v>
      </c>
      <c r="F1777" s="221" t="s">
        <v>3299</v>
      </c>
      <c r="G1777" s="222">
        <v>45215</v>
      </c>
      <c r="H1777" s="223">
        <v>0.2986111111111111</v>
      </c>
      <c r="I1777" s="221" t="s">
        <v>4916</v>
      </c>
      <c r="J1777" s="221" t="s">
        <v>3023</v>
      </c>
      <c r="K1777" s="224" t="s">
        <v>3227</v>
      </c>
      <c r="L1777" s="225" t="str">
        <f>VLOOKUP(Logfile_S12[[#This Row],[Material Name]],Sheet2!B:C,2,0)</f>
        <v>ZTE1001</v>
      </c>
      <c r="M1777" s="225" t="str">
        <f>_xlfn.XLOOKUP(Logfile_S12[[#This Row],[Material Name]],Sum_WH!E:E,Sum_WH!F:F,"",0)</f>
        <v>Pcs</v>
      </c>
      <c r="N1777" s="221">
        <v>14</v>
      </c>
      <c r="O1777" s="221" t="s">
        <v>324</v>
      </c>
      <c r="P1777" s="221" t="s">
        <v>325</v>
      </c>
      <c r="Q1777" s="221"/>
      <c r="R1777" s="221"/>
      <c r="S1777" s="221"/>
      <c r="T1777" s="221" t="s">
        <v>3322</v>
      </c>
      <c r="U1777" s="221" t="s">
        <v>3323</v>
      </c>
      <c r="V1777" s="221" t="s">
        <v>3324</v>
      </c>
      <c r="W1777" s="221" t="s">
        <v>3325</v>
      </c>
      <c r="X1777" s="221"/>
      <c r="Y1777" s="227"/>
      <c r="Z1777" s="227" t="str">
        <f t="shared" si="65"/>
        <v>Jedong RW 09 Wagir</v>
      </c>
      <c r="AA1777" s="276" t="e">
        <f>VLOOKUP(Logfile_S12[[#This Row],[DO number]],DO_DB!G:I,3,0)</f>
        <v>#N/A</v>
      </c>
      <c r="AB1777" s="331" t="e">
        <f>EXACT(Logfile_S12[[#This Row],[date pick]],Logfile_S12[[#This Row],[Date]])</f>
        <v>#N/A</v>
      </c>
      <c r="AC17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78" spans="1:29" ht="14.5" hidden="1">
      <c r="A1778" s="220" t="str">
        <f t="shared" si="64"/>
        <v>1774</v>
      </c>
      <c r="B1778" s="221"/>
      <c r="C1778" s="221" t="s">
        <v>49</v>
      </c>
      <c r="D1778" s="221" t="s">
        <v>3757</v>
      </c>
      <c r="E1778" s="221" t="s">
        <v>3295</v>
      </c>
      <c r="F1778" s="221" t="s">
        <v>3299</v>
      </c>
      <c r="G1778" s="222">
        <v>45215</v>
      </c>
      <c r="H1778" s="223">
        <v>0.2986111111111111</v>
      </c>
      <c r="I1778" s="221" t="s">
        <v>4916</v>
      </c>
      <c r="J1778" s="221" t="s">
        <v>3023</v>
      </c>
      <c r="K1778" s="224" t="s">
        <v>3069</v>
      </c>
      <c r="L1778" s="225" t="str">
        <f>VLOOKUP(Logfile_S12[[#This Row],[Material Name]],Sheet2!B:C,2,0)</f>
        <v>ZTE1001</v>
      </c>
      <c r="M1778" s="225" t="str">
        <f>_xlfn.XLOOKUP(Logfile_S12[[#This Row],[Material Name]],Sum_WH!E:E,Sum_WH!F:F,"",0)</f>
        <v>Pcs</v>
      </c>
      <c r="N1778" s="221">
        <v>17</v>
      </c>
      <c r="O1778" s="221" t="s">
        <v>328</v>
      </c>
      <c r="P1778" s="221" t="s">
        <v>329</v>
      </c>
      <c r="Q1778" s="221"/>
      <c r="R1778" s="221"/>
      <c r="S1778" s="221"/>
      <c r="T1778" s="221" t="s">
        <v>3487</v>
      </c>
      <c r="U1778" s="221">
        <v>0</v>
      </c>
      <c r="V1778" s="221" t="s">
        <v>3488</v>
      </c>
      <c r="W1778" s="221" t="s">
        <v>3489</v>
      </c>
      <c r="X1778" s="221"/>
      <c r="Y1778" s="227"/>
      <c r="Z1778" s="227" t="str">
        <f t="shared" si="65"/>
        <v>Sukodadi RW 01 Wagir</v>
      </c>
      <c r="AA1778" s="276" t="e">
        <f>VLOOKUP(Logfile_S12[[#This Row],[DO number]],DO_DB!G:I,3,0)</f>
        <v>#N/A</v>
      </c>
      <c r="AB1778" s="331" t="e">
        <f>EXACT(Logfile_S12[[#This Row],[date pick]],Logfile_S12[[#This Row],[Date]])</f>
        <v>#N/A</v>
      </c>
      <c r="AC17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79" spans="1:29" ht="14.5" hidden="1">
      <c r="A1779" s="220" t="str">
        <f t="shared" si="64"/>
        <v>1775</v>
      </c>
      <c r="B1779" s="221"/>
      <c r="C1779" s="221" t="s">
        <v>49</v>
      </c>
      <c r="D1779" s="221" t="s">
        <v>3759</v>
      </c>
      <c r="E1779" s="221" t="s">
        <v>3295</v>
      </c>
      <c r="F1779" s="221" t="s">
        <v>3299</v>
      </c>
      <c r="G1779" s="222">
        <v>45216</v>
      </c>
      <c r="H1779" s="223">
        <v>0.34652777777777777</v>
      </c>
      <c r="I1779" s="221" t="s">
        <v>4916</v>
      </c>
      <c r="J1779" s="221" t="s">
        <v>3023</v>
      </c>
      <c r="K1779" s="224" t="s">
        <v>3069</v>
      </c>
      <c r="L1779" s="225" t="str">
        <f>VLOOKUP(Logfile_S12[[#This Row],[Material Name]],Sheet2!B:C,2,0)</f>
        <v>ZTE1001</v>
      </c>
      <c r="M1779" s="225" t="str">
        <f>_xlfn.XLOOKUP(Logfile_S12[[#This Row],[Material Name]],Sum_WH!E:E,Sum_WH!F:F,"",0)</f>
        <v>Pcs</v>
      </c>
      <c r="N1779" s="221">
        <v>17</v>
      </c>
      <c r="O1779" s="221" t="s">
        <v>328</v>
      </c>
      <c r="P1779" s="221" t="s">
        <v>329</v>
      </c>
      <c r="Q1779" s="221"/>
      <c r="R1779" s="221"/>
      <c r="S1779" s="221"/>
      <c r="T1779" s="221" t="s">
        <v>3487</v>
      </c>
      <c r="U1779" s="221">
        <v>0</v>
      </c>
      <c r="V1779" s="221" t="s">
        <v>3488</v>
      </c>
      <c r="W1779" s="221" t="s">
        <v>3489</v>
      </c>
      <c r="X1779" s="221"/>
      <c r="Y1779" s="227"/>
      <c r="Z1779" s="227" t="str">
        <f t="shared" si="65"/>
        <v>Sukodadi RW 01 Wagir</v>
      </c>
      <c r="AA1779" s="276" t="e">
        <f>VLOOKUP(Logfile_S12[[#This Row],[DO number]],DO_DB!G:I,3,0)</f>
        <v>#N/A</v>
      </c>
      <c r="AB1779" s="331" t="e">
        <f>EXACT(Logfile_S12[[#This Row],[date pick]],Logfile_S12[[#This Row],[Date]])</f>
        <v>#N/A</v>
      </c>
      <c r="AC17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80" spans="1:29" ht="14.5" hidden="1">
      <c r="A1780" s="220" t="str">
        <f t="shared" si="64"/>
        <v>1776</v>
      </c>
      <c r="B1780" s="221"/>
      <c r="C1780" s="221" t="s">
        <v>49</v>
      </c>
      <c r="D1780" s="221" t="s">
        <v>3760</v>
      </c>
      <c r="E1780" s="221" t="s">
        <v>3295</v>
      </c>
      <c r="F1780" s="221" t="s">
        <v>3299</v>
      </c>
      <c r="G1780" s="222">
        <v>45216</v>
      </c>
      <c r="H1780" s="223">
        <v>0.34652777777777777</v>
      </c>
      <c r="I1780" s="221" t="s">
        <v>4916</v>
      </c>
      <c r="J1780" s="221" t="s">
        <v>3023</v>
      </c>
      <c r="K1780" s="224" t="s">
        <v>3227</v>
      </c>
      <c r="L1780" s="225" t="str">
        <f>VLOOKUP(Logfile_S12[[#This Row],[Material Name]],Sheet2!B:C,2,0)</f>
        <v>ZTE1001</v>
      </c>
      <c r="M1780" s="225" t="str">
        <f>_xlfn.XLOOKUP(Logfile_S12[[#This Row],[Material Name]],Sum_WH!E:E,Sum_WH!F:F,"",0)</f>
        <v>Pcs</v>
      </c>
      <c r="N1780" s="221">
        <v>17</v>
      </c>
      <c r="O1780" s="221" t="s">
        <v>324</v>
      </c>
      <c r="P1780" s="221" t="s">
        <v>325</v>
      </c>
      <c r="Q1780" s="221"/>
      <c r="R1780" s="221"/>
      <c r="S1780" s="221"/>
      <c r="T1780" s="221" t="s">
        <v>3322</v>
      </c>
      <c r="U1780" s="221" t="s">
        <v>3323</v>
      </c>
      <c r="V1780" s="221" t="s">
        <v>3324</v>
      </c>
      <c r="W1780" s="221" t="s">
        <v>3325</v>
      </c>
      <c r="X1780" s="221"/>
      <c r="Y1780" s="227"/>
      <c r="Z1780" s="227" t="str">
        <f t="shared" si="65"/>
        <v>Jedong RW 09 Wagir</v>
      </c>
      <c r="AA1780" s="276" t="e">
        <f>VLOOKUP(Logfile_S12[[#This Row],[DO number]],DO_DB!G:I,3,0)</f>
        <v>#N/A</v>
      </c>
      <c r="AB1780" s="331" t="e">
        <f>EXACT(Logfile_S12[[#This Row],[date pick]],Logfile_S12[[#This Row],[Date]])</f>
        <v>#N/A</v>
      </c>
      <c r="AC17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81" spans="1:29" ht="14.5" hidden="1">
      <c r="A1781" s="220" t="str">
        <f t="shared" si="64"/>
        <v>1777</v>
      </c>
      <c r="B1781" s="221"/>
      <c r="C1781" s="221" t="s">
        <v>49</v>
      </c>
      <c r="D1781" s="221" t="s">
        <v>3763</v>
      </c>
      <c r="E1781" s="221" t="s">
        <v>3295</v>
      </c>
      <c r="F1781" s="221" t="s">
        <v>3299</v>
      </c>
      <c r="G1781" s="222">
        <v>45217</v>
      </c>
      <c r="H1781" s="223">
        <v>0.30069444444444443</v>
      </c>
      <c r="I1781" s="221" t="s">
        <v>4916</v>
      </c>
      <c r="J1781" s="221" t="s">
        <v>3023</v>
      </c>
      <c r="K1781" s="224" t="s">
        <v>3227</v>
      </c>
      <c r="L1781" s="225" t="str">
        <f>VLOOKUP(Logfile_S12[[#This Row],[Material Name]],Sheet2!B:C,2,0)</f>
        <v>ZTE1001</v>
      </c>
      <c r="M1781" s="225" t="str">
        <f>_xlfn.XLOOKUP(Logfile_S12[[#This Row],[Material Name]],Sum_WH!E:E,Sum_WH!F:F,"",0)</f>
        <v>Pcs</v>
      </c>
      <c r="N1781" s="221">
        <v>3</v>
      </c>
      <c r="O1781" s="221" t="s">
        <v>324</v>
      </c>
      <c r="P1781" s="221" t="s">
        <v>325</v>
      </c>
      <c r="Q1781" s="221"/>
      <c r="R1781" s="221"/>
      <c r="S1781" s="221"/>
      <c r="T1781" s="221" t="s">
        <v>3322</v>
      </c>
      <c r="U1781" s="221" t="s">
        <v>3323</v>
      </c>
      <c r="V1781" s="221" t="s">
        <v>3324</v>
      </c>
      <c r="W1781" s="221" t="s">
        <v>3325</v>
      </c>
      <c r="X1781" s="221"/>
      <c r="Y1781" s="227"/>
      <c r="Z1781" s="227" t="str">
        <f t="shared" si="65"/>
        <v>Jedong RW 09 Wagir</v>
      </c>
      <c r="AA1781" s="276" t="e">
        <f>VLOOKUP(Logfile_S12[[#This Row],[DO number]],DO_DB!G:I,3,0)</f>
        <v>#N/A</v>
      </c>
      <c r="AB1781" s="331" t="e">
        <f>EXACT(Logfile_S12[[#This Row],[date pick]],Logfile_S12[[#This Row],[Date]])</f>
        <v>#N/A</v>
      </c>
      <c r="AC17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82" spans="1:29" ht="14.5" hidden="1">
      <c r="A1782" s="220" t="str">
        <f t="shared" si="64"/>
        <v>1778</v>
      </c>
      <c r="B1782" s="221"/>
      <c r="C1782" s="221" t="s">
        <v>49</v>
      </c>
      <c r="D1782" s="221" t="s">
        <v>3763</v>
      </c>
      <c r="E1782" s="221" t="s">
        <v>3295</v>
      </c>
      <c r="F1782" s="221" t="s">
        <v>3299</v>
      </c>
      <c r="G1782" s="222">
        <v>45217</v>
      </c>
      <c r="H1782" s="223">
        <v>0.30069444444444443</v>
      </c>
      <c r="I1782" s="221" t="s">
        <v>4916</v>
      </c>
      <c r="J1782" s="221" t="s">
        <v>3023</v>
      </c>
      <c r="K1782" s="224" t="s">
        <v>3227</v>
      </c>
      <c r="L1782" s="225" t="str">
        <f>VLOOKUP(Logfile_S12[[#This Row],[Material Name]],Sheet2!B:C,2,0)</f>
        <v>ZTE1001</v>
      </c>
      <c r="M1782" s="225" t="str">
        <f>_xlfn.XLOOKUP(Logfile_S12[[#This Row],[Material Name]],Sum_WH!E:E,Sum_WH!F:F,"",0)</f>
        <v>Pcs</v>
      </c>
      <c r="N1782" s="221">
        <v>11</v>
      </c>
      <c r="O1782" s="221" t="s">
        <v>340</v>
      </c>
      <c r="P1782" s="221" t="s">
        <v>341</v>
      </c>
      <c r="Q1782" s="221"/>
      <c r="R1782" s="221"/>
      <c r="S1782" s="221"/>
      <c r="T1782" s="221" t="s">
        <v>3322</v>
      </c>
      <c r="U1782" s="221" t="s">
        <v>3323</v>
      </c>
      <c r="V1782" s="221" t="s">
        <v>3324</v>
      </c>
      <c r="W1782" s="221" t="s">
        <v>3325</v>
      </c>
      <c r="X1782" s="221"/>
      <c r="Y1782" s="227"/>
      <c r="Z1782" s="227" t="str">
        <f t="shared" si="65"/>
        <v>Jedong RW 08 Wagir</v>
      </c>
      <c r="AA1782" s="276" t="e">
        <f>VLOOKUP(Logfile_S12[[#This Row],[DO number]],DO_DB!G:I,3,0)</f>
        <v>#N/A</v>
      </c>
      <c r="AB1782" s="331" t="e">
        <f>EXACT(Logfile_S12[[#This Row],[date pick]],Logfile_S12[[#This Row],[Date]])</f>
        <v>#N/A</v>
      </c>
      <c r="AC17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83" spans="1:29" ht="14.5" hidden="1">
      <c r="A1783" s="220" t="str">
        <f t="shared" si="64"/>
        <v>1779</v>
      </c>
      <c r="B1783" s="221"/>
      <c r="C1783" s="221" t="s">
        <v>49</v>
      </c>
      <c r="D1783" s="221" t="s">
        <v>3764</v>
      </c>
      <c r="E1783" s="221" t="s">
        <v>3295</v>
      </c>
      <c r="F1783" s="221" t="s">
        <v>3299</v>
      </c>
      <c r="G1783" s="222">
        <v>45217</v>
      </c>
      <c r="H1783" s="223">
        <v>0.34652777777777777</v>
      </c>
      <c r="I1783" s="221" t="s">
        <v>4916</v>
      </c>
      <c r="J1783" s="221" t="s">
        <v>3023</v>
      </c>
      <c r="K1783" s="224" t="s">
        <v>3069</v>
      </c>
      <c r="L1783" s="225" t="str">
        <f>VLOOKUP(Logfile_S12[[#This Row],[Material Name]],Sheet2!B:C,2,0)</f>
        <v>ZTE1001</v>
      </c>
      <c r="M1783" s="225" t="str">
        <f>_xlfn.XLOOKUP(Logfile_S12[[#This Row],[Material Name]],Sum_WH!E:E,Sum_WH!F:F,"",0)</f>
        <v>Pcs</v>
      </c>
      <c r="N1783" s="221">
        <v>17</v>
      </c>
      <c r="O1783" s="221" t="s">
        <v>336</v>
      </c>
      <c r="P1783" s="221" t="s">
        <v>337</v>
      </c>
      <c r="Q1783" s="221"/>
      <c r="R1783" s="221"/>
      <c r="S1783" s="221"/>
      <c r="T1783" s="221" t="s">
        <v>3487</v>
      </c>
      <c r="U1783" s="221">
        <v>0</v>
      </c>
      <c r="V1783" s="221" t="s">
        <v>3488</v>
      </c>
      <c r="W1783" s="221" t="s">
        <v>3489</v>
      </c>
      <c r="X1783" s="221"/>
      <c r="Y1783" s="227"/>
      <c r="Z1783" s="227" t="str">
        <f t="shared" si="65"/>
        <v>Sidorahayu RW 02 Wagir</v>
      </c>
      <c r="AA1783" s="276" t="e">
        <f>VLOOKUP(Logfile_S12[[#This Row],[DO number]],DO_DB!G:I,3,0)</f>
        <v>#N/A</v>
      </c>
      <c r="AB1783" s="331" t="e">
        <f>EXACT(Logfile_S12[[#This Row],[date pick]],Logfile_S12[[#This Row],[Date]])</f>
        <v>#N/A</v>
      </c>
      <c r="AC17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84" spans="1:29" ht="14.5" hidden="1">
      <c r="A1784" s="220" t="str">
        <f t="shared" si="64"/>
        <v>1780</v>
      </c>
      <c r="B1784" s="221"/>
      <c r="C1784" s="221" t="s">
        <v>49</v>
      </c>
      <c r="D1784" s="221" t="s">
        <v>3767</v>
      </c>
      <c r="E1784" s="221" t="s">
        <v>3295</v>
      </c>
      <c r="F1784" s="221" t="s">
        <v>3299</v>
      </c>
      <c r="G1784" s="222">
        <v>45218</v>
      </c>
      <c r="H1784" s="223">
        <v>0.34652777777777777</v>
      </c>
      <c r="I1784" s="221" t="s">
        <v>4916</v>
      </c>
      <c r="J1784" s="221" t="s">
        <v>3023</v>
      </c>
      <c r="K1784" s="224" t="s">
        <v>3069</v>
      </c>
      <c r="L1784" s="225" t="str">
        <f>VLOOKUP(Logfile_S12[[#This Row],[Material Name]],Sheet2!B:C,2,0)</f>
        <v>ZTE1001</v>
      </c>
      <c r="M1784" s="225" t="str">
        <f>_xlfn.XLOOKUP(Logfile_S12[[#This Row],[Material Name]],Sum_WH!E:E,Sum_WH!F:F,"",0)</f>
        <v>Pcs</v>
      </c>
      <c r="N1784" s="221">
        <v>17</v>
      </c>
      <c r="O1784" s="221" t="s">
        <v>328</v>
      </c>
      <c r="P1784" s="221" t="s">
        <v>329</v>
      </c>
      <c r="Q1784" s="221"/>
      <c r="R1784" s="221"/>
      <c r="S1784" s="221"/>
      <c r="T1784" s="221" t="s">
        <v>3487</v>
      </c>
      <c r="U1784" s="221">
        <v>0</v>
      </c>
      <c r="V1784" s="221" t="s">
        <v>3488</v>
      </c>
      <c r="W1784" s="221" t="s">
        <v>3489</v>
      </c>
      <c r="X1784" s="221"/>
      <c r="Y1784" s="227"/>
      <c r="Z1784" s="227" t="str">
        <f t="shared" si="65"/>
        <v>Sukodadi RW 01 Wagir</v>
      </c>
      <c r="AA1784" s="276" t="e">
        <f>VLOOKUP(Logfile_S12[[#This Row],[DO number]],DO_DB!G:I,3,0)</f>
        <v>#N/A</v>
      </c>
      <c r="AB1784" s="331" t="e">
        <f>EXACT(Logfile_S12[[#This Row],[date pick]],Logfile_S12[[#This Row],[Date]])</f>
        <v>#N/A</v>
      </c>
      <c r="AC17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85" spans="1:29" ht="14.5" hidden="1">
      <c r="A1785" s="220" t="str">
        <f t="shared" si="64"/>
        <v>1781</v>
      </c>
      <c r="B1785" s="221"/>
      <c r="C1785" s="221" t="s">
        <v>49</v>
      </c>
      <c r="D1785" s="221" t="s">
        <v>3769</v>
      </c>
      <c r="E1785" s="221" t="s">
        <v>3295</v>
      </c>
      <c r="F1785" s="221" t="s">
        <v>3299</v>
      </c>
      <c r="G1785" s="222">
        <v>45219</v>
      </c>
      <c r="H1785" s="223">
        <v>0.34652777777777777</v>
      </c>
      <c r="I1785" s="221" t="s">
        <v>4916</v>
      </c>
      <c r="J1785" s="221" t="s">
        <v>3023</v>
      </c>
      <c r="K1785" s="224" t="s">
        <v>3069</v>
      </c>
      <c r="L1785" s="225" t="str">
        <f>VLOOKUP(Logfile_S12[[#This Row],[Material Name]],Sheet2!B:C,2,0)</f>
        <v>ZTE1001</v>
      </c>
      <c r="M1785" s="225" t="str">
        <f>_xlfn.XLOOKUP(Logfile_S12[[#This Row],[Material Name]],Sum_WH!E:E,Sum_WH!F:F,"",0)</f>
        <v>Pcs</v>
      </c>
      <c r="N1785" s="221">
        <v>16</v>
      </c>
      <c r="O1785" s="221" t="s">
        <v>332</v>
      </c>
      <c r="P1785" s="221" t="s">
        <v>333</v>
      </c>
      <c r="Q1785" s="221"/>
      <c r="R1785" s="221"/>
      <c r="S1785" s="221"/>
      <c r="T1785" s="221" t="s">
        <v>3487</v>
      </c>
      <c r="U1785" s="221">
        <v>0</v>
      </c>
      <c r="V1785" s="221" t="s">
        <v>3488</v>
      </c>
      <c r="W1785" s="221" t="s">
        <v>3489</v>
      </c>
      <c r="X1785" s="221"/>
      <c r="Y1785" s="227"/>
      <c r="Z1785" s="227" t="str">
        <f t="shared" si="65"/>
        <v>Sukodadi RW 02 Wagir</v>
      </c>
      <c r="AA1785" s="276" t="e">
        <f>VLOOKUP(Logfile_S12[[#This Row],[DO number]],DO_DB!G:I,3,0)</f>
        <v>#N/A</v>
      </c>
      <c r="AB1785" s="331" t="e">
        <f>EXACT(Logfile_S12[[#This Row],[date pick]],Logfile_S12[[#This Row],[Date]])</f>
        <v>#N/A</v>
      </c>
      <c r="AC17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86" spans="1:29" ht="14.5" hidden="1">
      <c r="A1786" s="220" t="str">
        <f t="shared" si="64"/>
        <v>1782</v>
      </c>
      <c r="B1786" s="221"/>
      <c r="C1786" s="221" t="s">
        <v>49</v>
      </c>
      <c r="D1786" s="221" t="s">
        <v>3770</v>
      </c>
      <c r="E1786" s="221" t="s">
        <v>3295</v>
      </c>
      <c r="F1786" s="221" t="s">
        <v>3299</v>
      </c>
      <c r="G1786" s="222">
        <v>45220</v>
      </c>
      <c r="H1786" s="223">
        <v>0.34652777777777777</v>
      </c>
      <c r="I1786" s="221" t="s">
        <v>4916</v>
      </c>
      <c r="J1786" s="221" t="s">
        <v>3023</v>
      </c>
      <c r="K1786" s="224" t="s">
        <v>3069</v>
      </c>
      <c r="L1786" s="225" t="str">
        <f>VLOOKUP(Logfile_S12[[#This Row],[Material Name]],Sheet2!B:C,2,0)</f>
        <v>ZTE1001</v>
      </c>
      <c r="M1786" s="225" t="str">
        <f>_xlfn.XLOOKUP(Logfile_S12[[#This Row],[Material Name]],Sum_WH!E:E,Sum_WH!F:F,"",0)</f>
        <v>Pcs</v>
      </c>
      <c r="N1786" s="221">
        <v>3</v>
      </c>
      <c r="O1786" s="221" t="s">
        <v>328</v>
      </c>
      <c r="P1786" s="221" t="s">
        <v>329</v>
      </c>
      <c r="Q1786" s="221"/>
      <c r="R1786" s="221"/>
      <c r="S1786" s="221"/>
      <c r="T1786" s="221" t="s">
        <v>3487</v>
      </c>
      <c r="U1786" s="221">
        <v>0</v>
      </c>
      <c r="V1786" s="221" t="s">
        <v>3488</v>
      </c>
      <c r="W1786" s="221" t="s">
        <v>3489</v>
      </c>
      <c r="X1786" s="221"/>
      <c r="Y1786" s="227"/>
      <c r="Z1786" s="227" t="str">
        <f t="shared" si="65"/>
        <v>Sukodadi RW 01 Wagir</v>
      </c>
      <c r="AA1786" s="276" t="e">
        <f>VLOOKUP(Logfile_S12[[#This Row],[DO number]],DO_DB!G:I,3,0)</f>
        <v>#N/A</v>
      </c>
      <c r="AB1786" s="331" t="e">
        <f>EXACT(Logfile_S12[[#This Row],[date pick]],Logfile_S12[[#This Row],[Date]])</f>
        <v>#N/A</v>
      </c>
      <c r="AC17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87" spans="1:29" ht="14.5" hidden="1">
      <c r="A1787" s="220" t="str">
        <f t="shared" si="64"/>
        <v>1783</v>
      </c>
      <c r="B1787" s="221"/>
      <c r="C1787" s="221" t="s">
        <v>49</v>
      </c>
      <c r="D1787" s="221" t="s">
        <v>3779</v>
      </c>
      <c r="E1787" s="221" t="s">
        <v>3295</v>
      </c>
      <c r="F1787" s="221" t="s">
        <v>3299</v>
      </c>
      <c r="G1787" s="222">
        <v>45220</v>
      </c>
      <c r="H1787" s="223">
        <v>0.97499999999999998</v>
      </c>
      <c r="I1787" s="221" t="s">
        <v>4916</v>
      </c>
      <c r="J1787" s="221" t="s">
        <v>3023</v>
      </c>
      <c r="K1787" s="224" t="s">
        <v>3069</v>
      </c>
      <c r="L1787" s="225" t="str">
        <f>VLOOKUP(Logfile_S12[[#This Row],[Material Name]],Sheet2!B:C,2,0)</f>
        <v>ZTE1001</v>
      </c>
      <c r="M1787" s="225" t="str">
        <f>_xlfn.XLOOKUP(Logfile_S12[[#This Row],[Material Name]],Sum_WH!E:E,Sum_WH!F:F,"",0)</f>
        <v>Pcs</v>
      </c>
      <c r="N1787" s="221">
        <v>5</v>
      </c>
      <c r="O1787" s="221" t="s">
        <v>324</v>
      </c>
      <c r="P1787" s="221" t="s">
        <v>325</v>
      </c>
      <c r="Q1787" s="221"/>
      <c r="R1787" s="221"/>
      <c r="S1787" s="221"/>
      <c r="T1787" s="221" t="s">
        <v>3322</v>
      </c>
      <c r="U1787" s="221" t="s">
        <v>3323</v>
      </c>
      <c r="V1787" s="221" t="s">
        <v>3324</v>
      </c>
      <c r="W1787" s="221" t="s">
        <v>3325</v>
      </c>
      <c r="X1787" s="221"/>
      <c r="Y1787" s="227"/>
      <c r="Z1787" s="227" t="str">
        <f t="shared" si="65"/>
        <v>Jedong RW 09 Wagir</v>
      </c>
      <c r="AA1787" s="276" t="e">
        <f>VLOOKUP(Logfile_S12[[#This Row],[DO number]],DO_DB!G:I,3,0)</f>
        <v>#N/A</v>
      </c>
      <c r="AB1787" s="331" t="e">
        <f>EXACT(Logfile_S12[[#This Row],[date pick]],Logfile_S12[[#This Row],[Date]])</f>
        <v>#N/A</v>
      </c>
      <c r="AC17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88" spans="1:29" ht="14.5" hidden="1">
      <c r="A1788" s="220" t="str">
        <f t="shared" si="64"/>
        <v>1784</v>
      </c>
      <c r="B1788" s="221"/>
      <c r="C1788" s="221" t="s">
        <v>49</v>
      </c>
      <c r="D1788" s="221" t="s">
        <v>3770</v>
      </c>
      <c r="E1788" s="221" t="s">
        <v>3295</v>
      </c>
      <c r="F1788" s="221" t="s">
        <v>3299</v>
      </c>
      <c r="G1788" s="222">
        <v>45220</v>
      </c>
      <c r="H1788" s="223">
        <v>0.34652777777777777</v>
      </c>
      <c r="I1788" s="221" t="s">
        <v>4916</v>
      </c>
      <c r="J1788" s="221" t="s">
        <v>3023</v>
      </c>
      <c r="K1788" s="224" t="s">
        <v>3069</v>
      </c>
      <c r="L1788" s="225" t="str">
        <f>VLOOKUP(Logfile_S12[[#This Row],[Material Name]],Sheet2!B:C,2,0)</f>
        <v>ZTE1001</v>
      </c>
      <c r="M1788" s="225" t="str">
        <f>_xlfn.XLOOKUP(Logfile_S12[[#This Row],[Material Name]],Sum_WH!E:E,Sum_WH!F:F,"",0)</f>
        <v>Pcs</v>
      </c>
      <c r="N1788" s="221">
        <v>12</v>
      </c>
      <c r="O1788" s="221" t="s">
        <v>332</v>
      </c>
      <c r="P1788" s="221" t="s">
        <v>333</v>
      </c>
      <c r="Q1788" s="221"/>
      <c r="R1788" s="221"/>
      <c r="S1788" s="221"/>
      <c r="T1788" s="221" t="s">
        <v>3487</v>
      </c>
      <c r="U1788" s="221">
        <v>0</v>
      </c>
      <c r="V1788" s="221" t="s">
        <v>3488</v>
      </c>
      <c r="W1788" s="221" t="s">
        <v>3489</v>
      </c>
      <c r="X1788" s="221"/>
      <c r="Y1788" s="227"/>
      <c r="Z1788" s="227" t="str">
        <f t="shared" si="65"/>
        <v>Sukodadi RW 02 Wagir</v>
      </c>
      <c r="AA1788" s="276" t="e">
        <f>VLOOKUP(Logfile_S12[[#This Row],[DO number]],DO_DB!G:I,3,0)</f>
        <v>#N/A</v>
      </c>
      <c r="AB1788" s="331" t="e">
        <f>EXACT(Logfile_S12[[#This Row],[date pick]],Logfile_S12[[#This Row],[Date]])</f>
        <v>#N/A</v>
      </c>
      <c r="AC17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89" spans="1:29" ht="14.5" hidden="1">
      <c r="A1789" s="220" t="str">
        <f t="shared" si="64"/>
        <v>1785</v>
      </c>
      <c r="B1789" s="221"/>
      <c r="C1789" s="221" t="s">
        <v>48</v>
      </c>
      <c r="D1789" s="221" t="s">
        <v>3806</v>
      </c>
      <c r="E1789" s="221" t="s">
        <v>3295</v>
      </c>
      <c r="F1789" s="221" t="s">
        <v>3299</v>
      </c>
      <c r="G1789" s="222">
        <v>45245</v>
      </c>
      <c r="H1789" s="223">
        <v>15.291666666666666</v>
      </c>
      <c r="I1789" s="221" t="s">
        <v>37</v>
      </c>
      <c r="J1789" s="221" t="s">
        <v>3023</v>
      </c>
      <c r="K1789" s="224" t="s">
        <v>3225</v>
      </c>
      <c r="L1789" s="225" t="str">
        <f>VLOOKUP(Logfile_S12[[#This Row],[Material Name]],Sheet2!B:C,2,0)</f>
        <v>ZTE1001</v>
      </c>
      <c r="M1789" s="225" t="str">
        <f>_xlfn.XLOOKUP(Logfile_S12[[#This Row],[Material Name]],Sum_WH!E:E,Sum_WH!F:F,"",0)</f>
        <v>Pcs</v>
      </c>
      <c r="N1789" s="221">
        <v>36</v>
      </c>
      <c r="O1789" s="221" t="s">
        <v>468</v>
      </c>
      <c r="P1789" s="221" t="s">
        <v>469</v>
      </c>
      <c r="Q1789" s="221" t="s">
        <v>542</v>
      </c>
      <c r="R1789" s="221" t="s">
        <v>543</v>
      </c>
      <c r="S1789" s="221"/>
      <c r="T1789" s="221"/>
      <c r="U1789" s="221"/>
      <c r="V1789" s="221"/>
      <c r="W1789" s="221"/>
      <c r="X1789" s="221"/>
      <c r="Y1789" s="227"/>
      <c r="Z1789" s="227" t="str">
        <f t="shared" si="65"/>
        <v>Jedong RW 07 Wagir</v>
      </c>
      <c r="AA1789" s="276">
        <f>VLOOKUP(Logfile_S12[[#This Row],[DO number]],DO_DB!G:I,3,0)</f>
        <v>45245</v>
      </c>
      <c r="AB1789" s="331" t="b">
        <f>EXACT(Logfile_S12[[#This Row],[date pick]],Logfile_S12[[#This Row],[Date]])</f>
        <v>1</v>
      </c>
      <c r="AC17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90" spans="1:29" ht="14.5" hidden="1">
      <c r="A1790" s="220" t="str">
        <f t="shared" si="64"/>
        <v>1786</v>
      </c>
      <c r="B1790" s="221"/>
      <c r="C1790" s="221" t="s">
        <v>3313</v>
      </c>
      <c r="D1790" s="221" t="s">
        <v>3807</v>
      </c>
      <c r="E1790" s="221" t="s">
        <v>3295</v>
      </c>
      <c r="F1790" s="221" t="s">
        <v>3299</v>
      </c>
      <c r="G1790" s="222">
        <v>45245</v>
      </c>
      <c r="H1790" s="223">
        <v>15.291666666666666</v>
      </c>
      <c r="I1790" s="221" t="s">
        <v>37</v>
      </c>
      <c r="J1790" s="221" t="s">
        <v>3023</v>
      </c>
      <c r="K1790" s="224" t="s">
        <v>3069</v>
      </c>
      <c r="L1790" s="225" t="str">
        <f>VLOOKUP(Logfile_S12[[#This Row],[Material Name]],Sheet2!B:C,2,0)</f>
        <v>ZTE1001</v>
      </c>
      <c r="M1790" s="225" t="str">
        <f>_xlfn.XLOOKUP(Logfile_S12[[#This Row],[Material Name]],Sum_WH!E:E,Sum_WH!F:F,"",0)</f>
        <v>Pcs</v>
      </c>
      <c r="N1790" s="221">
        <v>6</v>
      </c>
      <c r="O1790" s="221" t="s">
        <v>3314</v>
      </c>
      <c r="P1790" s="221">
        <v>0</v>
      </c>
      <c r="Q1790" s="221">
        <v>0</v>
      </c>
      <c r="R1790" s="221" t="s">
        <v>3147</v>
      </c>
      <c r="S1790" s="221"/>
      <c r="T1790" s="221"/>
      <c r="U1790" s="221"/>
      <c r="V1790" s="221"/>
      <c r="W1790" s="221"/>
      <c r="X1790" s="221"/>
      <c r="Y1790" s="227"/>
      <c r="Z1790" s="227">
        <f t="shared" si="65"/>
        <v>0</v>
      </c>
      <c r="AA1790" s="276" t="e">
        <f>VLOOKUP(Logfile_S12[[#This Row],[DO number]],DO_DB!G:I,3,0)</f>
        <v>#N/A</v>
      </c>
      <c r="AB1790" s="331" t="e">
        <f>EXACT(Logfile_S12[[#This Row],[date pick]],Logfile_S12[[#This Row],[Date]])</f>
        <v>#N/A</v>
      </c>
      <c r="AC17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91" spans="1:29" ht="14.5" hidden="1">
      <c r="A1791" s="220" t="str">
        <f t="shared" si="64"/>
        <v>1787</v>
      </c>
      <c r="B1791" s="221"/>
      <c r="C1791" s="221" t="s">
        <v>3313</v>
      </c>
      <c r="D1791" s="221" t="s">
        <v>3807</v>
      </c>
      <c r="E1791" s="221" t="s">
        <v>3295</v>
      </c>
      <c r="F1791" s="221" t="s">
        <v>3299</v>
      </c>
      <c r="G1791" s="222">
        <v>45245</v>
      </c>
      <c r="H1791" s="223">
        <v>15.291666666666666</v>
      </c>
      <c r="I1791" s="221" t="s">
        <v>37</v>
      </c>
      <c r="J1791" s="221" t="s">
        <v>3023</v>
      </c>
      <c r="K1791" s="224" t="s">
        <v>3069</v>
      </c>
      <c r="L1791" s="225" t="str">
        <f>VLOOKUP(Logfile_S12[[#This Row],[Material Name]],Sheet2!B:C,2,0)</f>
        <v>ZTE1001</v>
      </c>
      <c r="M1791" s="225" t="str">
        <f>_xlfn.XLOOKUP(Logfile_S12[[#This Row],[Material Name]],Sum_WH!E:E,Sum_WH!F:F,"",0)</f>
        <v>Pcs</v>
      </c>
      <c r="N1791" s="221">
        <v>6</v>
      </c>
      <c r="O1791" s="221" t="s">
        <v>3314</v>
      </c>
      <c r="P1791" s="221">
        <v>0</v>
      </c>
      <c r="Q1791" s="221">
        <v>0</v>
      </c>
      <c r="R1791" s="221" t="s">
        <v>3147</v>
      </c>
      <c r="S1791" s="221"/>
      <c r="T1791" s="221"/>
      <c r="U1791" s="221"/>
      <c r="V1791" s="221"/>
      <c r="W1791" s="221"/>
      <c r="X1791" s="221"/>
      <c r="Y1791" s="227"/>
      <c r="Z1791" s="227">
        <f t="shared" si="65"/>
        <v>0</v>
      </c>
      <c r="AA1791" s="276" t="e">
        <f>VLOOKUP(Logfile_S12[[#This Row],[DO number]],DO_DB!G:I,3,0)</f>
        <v>#N/A</v>
      </c>
      <c r="AB1791" s="331" t="e">
        <f>EXACT(Logfile_S12[[#This Row],[date pick]],Logfile_S12[[#This Row],[Date]])</f>
        <v>#N/A</v>
      </c>
      <c r="AC17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92" spans="1:29" ht="14.5" hidden="1">
      <c r="A1792" s="220" t="str">
        <f t="shared" si="64"/>
        <v>1788</v>
      </c>
      <c r="B1792" s="221"/>
      <c r="C1792" s="221" t="s">
        <v>49</v>
      </c>
      <c r="D1792" s="221" t="s">
        <v>3810</v>
      </c>
      <c r="E1792" s="221" t="s">
        <v>3295</v>
      </c>
      <c r="F1792" s="221" t="s">
        <v>3299</v>
      </c>
      <c r="G1792" s="222">
        <v>45251</v>
      </c>
      <c r="H1792" s="223">
        <v>0.63472222222222219</v>
      </c>
      <c r="I1792" s="221" t="s">
        <v>4916</v>
      </c>
      <c r="J1792" s="221" t="s">
        <v>3023</v>
      </c>
      <c r="K1792" s="224" t="s">
        <v>3227</v>
      </c>
      <c r="L1792" s="225" t="str">
        <f>VLOOKUP(Logfile_S12[[#This Row],[Material Name]],Sheet2!B:C,2,0)</f>
        <v>ZTE1001</v>
      </c>
      <c r="M1792" s="225" t="str">
        <f>_xlfn.XLOOKUP(Logfile_S12[[#This Row],[Material Name]],Sum_WH!E:E,Sum_WH!F:F,"",0)</f>
        <v>Pcs</v>
      </c>
      <c r="N1792" s="221">
        <v>50</v>
      </c>
      <c r="O1792" s="221" t="s">
        <v>468</v>
      </c>
      <c r="P1792" s="221" t="s">
        <v>469</v>
      </c>
      <c r="Q1792" s="221"/>
      <c r="R1792" s="221"/>
      <c r="S1792" s="221"/>
      <c r="T1792" s="221" t="s">
        <v>3332</v>
      </c>
      <c r="U1792" s="221">
        <v>0</v>
      </c>
      <c r="V1792" s="221" t="s">
        <v>3333</v>
      </c>
      <c r="W1792" s="221" t="s">
        <v>3572</v>
      </c>
      <c r="X1792" s="221"/>
      <c r="Y1792" s="227"/>
      <c r="Z1792" s="227" t="str">
        <f t="shared" si="65"/>
        <v>Jedong RW 07 Wagir</v>
      </c>
      <c r="AA1792" s="276" t="e">
        <f>VLOOKUP(Logfile_S12[[#This Row],[DO number]],DO_DB!G:I,3,0)</f>
        <v>#N/A</v>
      </c>
      <c r="AB1792" s="331" t="e">
        <f>EXACT(Logfile_S12[[#This Row],[date pick]],Logfile_S12[[#This Row],[Date]])</f>
        <v>#N/A</v>
      </c>
      <c r="AC17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93" spans="1:29" ht="14.5" hidden="1">
      <c r="A1793" s="220" t="str">
        <f t="shared" si="64"/>
        <v>1789</v>
      </c>
      <c r="B1793" s="221"/>
      <c r="C1793" s="221" t="s">
        <v>49</v>
      </c>
      <c r="D1793" s="221" t="s">
        <v>3812</v>
      </c>
      <c r="E1793" s="221" t="s">
        <v>3295</v>
      </c>
      <c r="F1793" s="221" t="s">
        <v>3299</v>
      </c>
      <c r="G1793" s="222">
        <v>45255</v>
      </c>
      <c r="H1793" s="223">
        <v>0.3</v>
      </c>
      <c r="I1793" s="221" t="s">
        <v>4916</v>
      </c>
      <c r="J1793" s="221" t="s">
        <v>3023</v>
      </c>
      <c r="K1793" s="224" t="s">
        <v>3227</v>
      </c>
      <c r="L1793" s="225" t="str">
        <f>VLOOKUP(Logfile_S12[[#This Row],[Material Name]],Sheet2!B:C,2,0)</f>
        <v>ZTE1001</v>
      </c>
      <c r="M1793" s="225" t="str">
        <f>_xlfn.XLOOKUP(Logfile_S12[[#This Row],[Material Name]],Sum_WH!E:E,Sum_WH!F:F,"",0)</f>
        <v>Pcs</v>
      </c>
      <c r="N1793" s="221">
        <v>1</v>
      </c>
      <c r="O1793" s="221" t="s">
        <v>340</v>
      </c>
      <c r="P1793" s="221" t="s">
        <v>341</v>
      </c>
      <c r="Q1793" s="221"/>
      <c r="R1793" s="221"/>
      <c r="S1793" s="221"/>
      <c r="T1793" s="221" t="s">
        <v>3351</v>
      </c>
      <c r="U1793" s="221">
        <v>0</v>
      </c>
      <c r="V1793" s="221" t="s">
        <v>3352</v>
      </c>
      <c r="W1793" s="221" t="s">
        <v>3353</v>
      </c>
      <c r="X1793" s="221"/>
      <c r="Y1793" s="227"/>
      <c r="Z1793" s="227" t="str">
        <f t="shared" si="65"/>
        <v>Jedong RW 08 Wagir</v>
      </c>
      <c r="AA1793" s="276" t="e">
        <f>VLOOKUP(Logfile_S12[[#This Row],[DO number]],DO_DB!G:I,3,0)</f>
        <v>#N/A</v>
      </c>
      <c r="AB1793" s="331" t="e">
        <f>EXACT(Logfile_S12[[#This Row],[date pick]],Logfile_S12[[#This Row],[Date]])</f>
        <v>#N/A</v>
      </c>
      <c r="AC17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94" spans="1:29" ht="14.5" hidden="1">
      <c r="A1794" s="220" t="str">
        <f t="shared" si="64"/>
        <v>1790</v>
      </c>
      <c r="B1794" s="221"/>
      <c r="C1794" s="221" t="s">
        <v>49</v>
      </c>
      <c r="D1794" s="221" t="s">
        <v>3827</v>
      </c>
      <c r="E1794" s="221" t="s">
        <v>3295</v>
      </c>
      <c r="F1794" s="221" t="s">
        <v>3299</v>
      </c>
      <c r="G1794" s="222">
        <v>45264</v>
      </c>
      <c r="H1794" s="223">
        <v>0.47916666666666669</v>
      </c>
      <c r="I1794" s="221" t="s">
        <v>4916</v>
      </c>
      <c r="J1794" s="221" t="s">
        <v>3023</v>
      </c>
      <c r="K1794" s="224" t="s">
        <v>3069</v>
      </c>
      <c r="L1794" s="225" t="str">
        <f>VLOOKUP(Logfile_S12[[#This Row],[Material Name]],Sheet2!B:C,2,0)</f>
        <v>ZTE1001</v>
      </c>
      <c r="M1794" s="225" t="str">
        <f>_xlfn.XLOOKUP(Logfile_S12[[#This Row],[Material Name]],Sum_WH!E:E,Sum_WH!F:F,"",0)</f>
        <v>Pcs</v>
      </c>
      <c r="N1794" s="221">
        <v>7</v>
      </c>
      <c r="O1794" s="221" t="s">
        <v>468</v>
      </c>
      <c r="P1794" s="221" t="s">
        <v>469</v>
      </c>
      <c r="Q1794" s="221"/>
      <c r="R1794" s="221"/>
      <c r="S1794" s="221"/>
      <c r="T1794" s="221" t="s">
        <v>3487</v>
      </c>
      <c r="U1794" s="221">
        <v>0</v>
      </c>
      <c r="V1794" s="221" t="s">
        <v>3488</v>
      </c>
      <c r="W1794" s="221" t="s">
        <v>3489</v>
      </c>
      <c r="X1794" s="221"/>
      <c r="Y1794" s="227"/>
      <c r="Z1794" s="227" t="str">
        <f t="shared" si="65"/>
        <v>Jedong RW 07 Wagir</v>
      </c>
      <c r="AA1794" s="276" t="e">
        <f>VLOOKUP(Logfile_S12[[#This Row],[DO number]],DO_DB!G:I,3,0)</f>
        <v>#N/A</v>
      </c>
      <c r="AB1794" s="331" t="e">
        <f>EXACT(Logfile_S12[[#This Row],[date pick]],Logfile_S12[[#This Row],[Date]])</f>
        <v>#N/A</v>
      </c>
      <c r="AC17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95" spans="1:29" ht="14.5" hidden="1">
      <c r="A1795" s="220" t="str">
        <f t="shared" si="64"/>
        <v>1791</v>
      </c>
      <c r="B1795" s="221"/>
      <c r="C1795" s="221" t="s">
        <v>49</v>
      </c>
      <c r="D1795" s="221" t="s">
        <v>3830</v>
      </c>
      <c r="E1795" s="221" t="s">
        <v>3295</v>
      </c>
      <c r="F1795" s="221" t="s">
        <v>3299</v>
      </c>
      <c r="G1795" s="222">
        <v>45266</v>
      </c>
      <c r="H1795" s="223">
        <v>0.39999999999999997</v>
      </c>
      <c r="I1795" s="221" t="s">
        <v>4916</v>
      </c>
      <c r="J1795" s="221" t="s">
        <v>3023</v>
      </c>
      <c r="K1795" s="224" t="s">
        <v>3069</v>
      </c>
      <c r="L1795" s="225" t="str">
        <f>VLOOKUP(Logfile_S12[[#This Row],[Material Name]],Sheet2!B:C,2,0)</f>
        <v>ZTE1001</v>
      </c>
      <c r="M1795" s="225" t="str">
        <f>_xlfn.XLOOKUP(Logfile_S12[[#This Row],[Material Name]],Sum_WH!E:E,Sum_WH!F:F,"",0)</f>
        <v>Pcs</v>
      </c>
      <c r="N1795" s="221">
        <v>4</v>
      </c>
      <c r="O1795" s="221" t="s">
        <v>468</v>
      </c>
      <c r="P1795" s="221" t="s">
        <v>469</v>
      </c>
      <c r="Q1795" s="221"/>
      <c r="R1795" s="221"/>
      <c r="S1795" s="221"/>
      <c r="T1795" s="221" t="s">
        <v>3346</v>
      </c>
      <c r="U1795" s="221">
        <v>0</v>
      </c>
      <c r="V1795" s="221" t="s">
        <v>3347</v>
      </c>
      <c r="W1795" s="221" t="s">
        <v>3334</v>
      </c>
      <c r="X1795" s="221"/>
      <c r="Y1795" s="227"/>
      <c r="Z1795" s="227" t="str">
        <f t="shared" si="65"/>
        <v>Jedong RW 07 Wagir</v>
      </c>
      <c r="AA1795" s="276" t="e">
        <f>VLOOKUP(Logfile_S12[[#This Row],[DO number]],DO_DB!G:I,3,0)</f>
        <v>#N/A</v>
      </c>
      <c r="AB1795" s="331" t="e">
        <f>EXACT(Logfile_S12[[#This Row],[date pick]],Logfile_S12[[#This Row],[Date]])</f>
        <v>#N/A</v>
      </c>
      <c r="AC17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96" spans="1:29" ht="14.5" hidden="1">
      <c r="A1796" s="220" t="str">
        <f t="shared" si="64"/>
        <v>1792</v>
      </c>
      <c r="B1796" s="221"/>
      <c r="C1796" s="221" t="s">
        <v>49</v>
      </c>
      <c r="D1796" s="221" t="s">
        <v>3831</v>
      </c>
      <c r="E1796" s="221" t="s">
        <v>3295</v>
      </c>
      <c r="F1796" s="221" t="s">
        <v>3299</v>
      </c>
      <c r="G1796" s="222">
        <v>45267</v>
      </c>
      <c r="H1796" s="223">
        <v>0.89583333333333337</v>
      </c>
      <c r="I1796" s="221" t="s">
        <v>4916</v>
      </c>
      <c r="J1796" s="221" t="s">
        <v>3023</v>
      </c>
      <c r="K1796" s="224" t="s">
        <v>3069</v>
      </c>
      <c r="L1796" s="225" t="str">
        <f>VLOOKUP(Logfile_S12[[#This Row],[Material Name]],Sheet2!B:C,2,0)</f>
        <v>ZTE1001</v>
      </c>
      <c r="M1796" s="225" t="str">
        <f>_xlfn.XLOOKUP(Logfile_S12[[#This Row],[Material Name]],Sum_WH!E:E,Sum_WH!F:F,"",0)</f>
        <v>Pcs</v>
      </c>
      <c r="N1796" s="221">
        <v>2</v>
      </c>
      <c r="O1796" s="221" t="s">
        <v>172</v>
      </c>
      <c r="P1796" s="221" t="s">
        <v>3319</v>
      </c>
      <c r="Q1796" s="221"/>
      <c r="R1796" s="221"/>
      <c r="S1796" s="221"/>
      <c r="T1796" s="221" t="s">
        <v>3231</v>
      </c>
      <c r="U1796" s="221">
        <v>0</v>
      </c>
      <c r="V1796" s="221" t="s">
        <v>3375</v>
      </c>
      <c r="W1796" s="221" t="s">
        <v>3249</v>
      </c>
      <c r="X1796" s="221"/>
      <c r="Y1796" s="227"/>
      <c r="Z1796" s="227" t="str">
        <f t="shared" si="65"/>
        <v>Pandan Landung RW 03 Wagir</v>
      </c>
      <c r="AA1796" s="276" t="e">
        <f>VLOOKUP(Logfile_S12[[#This Row],[DO number]],DO_DB!G:I,3,0)</f>
        <v>#N/A</v>
      </c>
      <c r="AB1796" s="331" t="e">
        <f>EXACT(Logfile_S12[[#This Row],[date pick]],Logfile_S12[[#This Row],[Date]])</f>
        <v>#N/A</v>
      </c>
      <c r="AC17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97" spans="1:29" ht="14.5" hidden="1">
      <c r="A1797" s="220" t="str">
        <f t="shared" ref="A1797:A1860" si="66">TEXT(ROW(A1797)-ROW($A$4),"000")</f>
        <v>1793</v>
      </c>
      <c r="B1797" s="221"/>
      <c r="C1797" s="221" t="s">
        <v>48</v>
      </c>
      <c r="D1797" s="221" t="s">
        <v>3832</v>
      </c>
      <c r="E1797" s="221" t="s">
        <v>3295</v>
      </c>
      <c r="F1797" s="221" t="s">
        <v>3299</v>
      </c>
      <c r="G1797" s="222">
        <v>45268</v>
      </c>
      <c r="H1797" s="223">
        <v>15.291666666666666</v>
      </c>
      <c r="I1797" s="221" t="s">
        <v>3586</v>
      </c>
      <c r="J1797" s="221" t="s">
        <v>3023</v>
      </c>
      <c r="K1797" s="224" t="s">
        <v>3069</v>
      </c>
      <c r="L1797" s="225" t="str">
        <f>VLOOKUP(Logfile_S12[[#This Row],[Material Name]],Sheet2!B:C,2,0)</f>
        <v>ZTE1001</v>
      </c>
      <c r="M1797" s="225" t="str">
        <f>_xlfn.XLOOKUP(Logfile_S12[[#This Row],[Material Name]],Sum_WH!E:E,Sum_WH!F:F,"",0)</f>
        <v>Pcs</v>
      </c>
      <c r="N1797" s="221">
        <v>4</v>
      </c>
      <c r="O1797" s="221" t="s">
        <v>164</v>
      </c>
      <c r="P1797" s="221" t="s">
        <v>3320</v>
      </c>
      <c r="Q1797" s="221" t="s">
        <v>170</v>
      </c>
      <c r="R1797" s="221" t="s">
        <v>171</v>
      </c>
      <c r="S1797" s="221"/>
      <c r="T1797" s="221" t="s">
        <v>3346</v>
      </c>
      <c r="U1797" s="221"/>
      <c r="V1797" s="221"/>
      <c r="W1797" s="221"/>
      <c r="X1797" s="221" t="s">
        <v>3582</v>
      </c>
      <c r="Y1797" s="227"/>
      <c r="Z1797" s="227" t="str">
        <f t="shared" si="65"/>
        <v>Pandan Landung RW 04 Wagir</v>
      </c>
      <c r="AA1797" s="276">
        <f>VLOOKUP(Logfile_S12[[#This Row],[DO number]],DO_DB!G:I,3,0)</f>
        <v>45185</v>
      </c>
      <c r="AB1797" s="331" t="b">
        <f>EXACT(Logfile_S12[[#This Row],[date pick]],Logfile_S12[[#This Row],[Date]])</f>
        <v>0</v>
      </c>
      <c r="AC17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98" spans="1:29" ht="14.5" hidden="1">
      <c r="A1798" s="220" t="str">
        <f t="shared" si="66"/>
        <v>1794</v>
      </c>
      <c r="B1798" s="221"/>
      <c r="C1798" s="221" t="s">
        <v>49</v>
      </c>
      <c r="D1798" s="221" t="s">
        <v>3834</v>
      </c>
      <c r="E1798" s="221" t="s">
        <v>3295</v>
      </c>
      <c r="F1798" s="221" t="s">
        <v>3299</v>
      </c>
      <c r="G1798" s="222">
        <v>45271</v>
      </c>
      <c r="H1798" s="223">
        <v>0.47916666666666669</v>
      </c>
      <c r="I1798" s="221" t="s">
        <v>4916</v>
      </c>
      <c r="J1798" s="221" t="s">
        <v>3023</v>
      </c>
      <c r="K1798" s="224" t="s">
        <v>3069</v>
      </c>
      <c r="L1798" s="225" t="str">
        <f>VLOOKUP(Logfile_S12[[#This Row],[Material Name]],Sheet2!B:C,2,0)</f>
        <v>ZTE1001</v>
      </c>
      <c r="M1798" s="225" t="str">
        <f>_xlfn.XLOOKUP(Logfile_S12[[#This Row],[Material Name]],Sum_WH!E:E,Sum_WH!F:F,"",0)</f>
        <v>Pcs</v>
      </c>
      <c r="N1798" s="221">
        <v>1</v>
      </c>
      <c r="O1798" s="221" t="s">
        <v>468</v>
      </c>
      <c r="P1798" s="221" t="s">
        <v>469</v>
      </c>
      <c r="Q1798" s="221"/>
      <c r="R1798" s="221"/>
      <c r="S1798" s="221"/>
      <c r="T1798" s="221" t="s">
        <v>3346</v>
      </c>
      <c r="U1798" s="221">
        <v>0</v>
      </c>
      <c r="V1798" s="221" t="s">
        <v>3347</v>
      </c>
      <c r="W1798" s="221" t="s">
        <v>3334</v>
      </c>
      <c r="X1798" s="221"/>
      <c r="Y1798" s="227"/>
      <c r="Z1798" s="227" t="str">
        <f t="shared" si="65"/>
        <v>Jedong RW 07 Wagir</v>
      </c>
      <c r="AA1798" s="276" t="e">
        <f>VLOOKUP(Logfile_S12[[#This Row],[DO number]],DO_DB!G:I,3,0)</f>
        <v>#N/A</v>
      </c>
      <c r="AB1798" s="331" t="e">
        <f>EXACT(Logfile_S12[[#This Row],[date pick]],Logfile_S12[[#This Row],[Date]])</f>
        <v>#N/A</v>
      </c>
      <c r="AC17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799" spans="1:29" ht="14.5" hidden="1">
      <c r="A1799" s="220" t="str">
        <f t="shared" si="66"/>
        <v>1795</v>
      </c>
      <c r="B1799" s="221"/>
      <c r="C1799" s="221" t="s">
        <v>49</v>
      </c>
      <c r="D1799" s="221" t="s">
        <v>3839</v>
      </c>
      <c r="E1799" s="221" t="s">
        <v>3295</v>
      </c>
      <c r="F1799" s="221" t="s">
        <v>3299</v>
      </c>
      <c r="G1799" s="222">
        <v>45282</v>
      </c>
      <c r="H1799" s="223">
        <v>0.56041666666666667</v>
      </c>
      <c r="I1799" s="221" t="s">
        <v>4916</v>
      </c>
      <c r="J1799" s="221" t="s">
        <v>3023</v>
      </c>
      <c r="K1799" s="224" t="s">
        <v>3069</v>
      </c>
      <c r="L1799" s="225" t="str">
        <f>VLOOKUP(Logfile_S12[[#This Row],[Material Name]],Sheet2!B:C,2,0)</f>
        <v>ZTE1001</v>
      </c>
      <c r="M1799" s="225" t="str">
        <f>_xlfn.XLOOKUP(Logfile_S12[[#This Row],[Material Name]],Sum_WH!E:E,Sum_WH!F:F,"",0)</f>
        <v>Pcs</v>
      </c>
      <c r="N1799" s="221">
        <v>8</v>
      </c>
      <c r="O1799" s="221" t="s">
        <v>732</v>
      </c>
      <c r="P1799" s="221" t="s">
        <v>733</v>
      </c>
      <c r="Q1799" s="221"/>
      <c r="R1799" s="221"/>
      <c r="S1799" s="221"/>
      <c r="T1799" s="221" t="s">
        <v>3258</v>
      </c>
      <c r="U1799" s="221" t="s">
        <v>3228</v>
      </c>
      <c r="V1799" s="221" t="s">
        <v>3337</v>
      </c>
      <c r="W1799" s="221" t="s">
        <v>3338</v>
      </c>
      <c r="X1799" s="221"/>
      <c r="Y1799" s="227"/>
      <c r="Z1799" s="227" t="str">
        <f t="shared" si="65"/>
        <v>Sitirejo RW 01 Wagir</v>
      </c>
      <c r="AA1799" s="276" t="e">
        <f>VLOOKUP(Logfile_S12[[#This Row],[DO number]],DO_DB!G:I,3,0)</f>
        <v>#N/A</v>
      </c>
      <c r="AB1799" s="331" t="e">
        <f>EXACT(Logfile_S12[[#This Row],[date pick]],Logfile_S12[[#This Row],[Date]])</f>
        <v>#N/A</v>
      </c>
      <c r="AC17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00" spans="1:29" ht="14.5" hidden="1">
      <c r="A1800" s="220" t="str">
        <f t="shared" si="66"/>
        <v>1796</v>
      </c>
      <c r="B1800" s="221"/>
      <c r="C1800" s="221" t="s">
        <v>3429</v>
      </c>
      <c r="D1800" s="221" t="s">
        <v>3844</v>
      </c>
      <c r="E1800" s="221" t="s">
        <v>3295</v>
      </c>
      <c r="F1800" s="221" t="s">
        <v>3299</v>
      </c>
      <c r="G1800" s="222">
        <v>45285</v>
      </c>
      <c r="H1800" s="223">
        <v>15.291666666666666</v>
      </c>
      <c r="I1800" s="221" t="s">
        <v>3193</v>
      </c>
      <c r="J1800" s="221" t="s">
        <v>3023</v>
      </c>
      <c r="K1800" s="224" t="s">
        <v>3069</v>
      </c>
      <c r="L1800" s="225" t="str">
        <f>VLOOKUP(Logfile_S12[[#This Row],[Material Name]],Sheet2!B:C,2,0)</f>
        <v>ZTE1001</v>
      </c>
      <c r="M1800" s="225" t="str">
        <f>_xlfn.XLOOKUP(Logfile_S12[[#This Row],[Material Name]],Sum_WH!E:E,Sum_WH!F:F,"",0)</f>
        <v>Pcs</v>
      </c>
      <c r="N1800" s="221">
        <v>25</v>
      </c>
      <c r="O1800" s="221" t="s">
        <v>4925</v>
      </c>
      <c r="P1800" s="221" t="s">
        <v>3266</v>
      </c>
      <c r="Q1800" s="221">
        <v>0</v>
      </c>
      <c r="R1800" s="221">
        <v>0</v>
      </c>
      <c r="S1800" s="221"/>
      <c r="T1800" s="221"/>
      <c r="U1800" s="221"/>
      <c r="V1800" s="221"/>
      <c r="W1800" s="221"/>
      <c r="X1800" s="221" t="s">
        <v>3491</v>
      </c>
      <c r="Y1800" s="227"/>
      <c r="Z1800" s="227" t="str">
        <f t="shared" si="65"/>
        <v>YPTT</v>
      </c>
      <c r="AA1800" s="276" t="e">
        <f>VLOOKUP(Logfile_S12[[#This Row],[DO number]],DO_DB!G:I,3,0)</f>
        <v>#N/A</v>
      </c>
      <c r="AB1800" s="331" t="e">
        <f>EXACT(Logfile_S12[[#This Row],[date pick]],Logfile_S12[[#This Row],[Date]])</f>
        <v>#N/A</v>
      </c>
      <c r="AC18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01" spans="1:29" ht="14.5" hidden="1">
      <c r="A1801" s="220" t="str">
        <f t="shared" si="66"/>
        <v>1797</v>
      </c>
      <c r="B1801" s="221"/>
      <c r="C1801" s="221" t="s">
        <v>49</v>
      </c>
      <c r="D1801" s="221" t="s">
        <v>3841</v>
      </c>
      <c r="E1801" s="221" t="s">
        <v>3295</v>
      </c>
      <c r="F1801" s="221" t="s">
        <v>3299</v>
      </c>
      <c r="G1801" s="222">
        <v>45285</v>
      </c>
      <c r="H1801" s="223">
        <v>0.3520833333333333</v>
      </c>
      <c r="I1801" s="221" t="s">
        <v>4916</v>
      </c>
      <c r="J1801" s="221" t="s">
        <v>3023</v>
      </c>
      <c r="K1801" s="224" t="s">
        <v>3069</v>
      </c>
      <c r="L1801" s="225" t="str">
        <f>VLOOKUP(Logfile_S12[[#This Row],[Material Name]],Sheet2!B:C,2,0)</f>
        <v>ZTE1001</v>
      </c>
      <c r="M1801" s="225" t="str">
        <f>_xlfn.XLOOKUP(Logfile_S12[[#This Row],[Material Name]],Sum_WH!E:E,Sum_WH!F:F,"",0)</f>
        <v>Pcs</v>
      </c>
      <c r="N1801" s="221">
        <v>25</v>
      </c>
      <c r="O1801" s="221" t="s">
        <v>732</v>
      </c>
      <c r="P1801" s="221" t="s">
        <v>733</v>
      </c>
      <c r="Q1801" s="221"/>
      <c r="R1801" s="221"/>
      <c r="S1801" s="221"/>
      <c r="T1801" s="221" t="s">
        <v>3258</v>
      </c>
      <c r="U1801" s="221" t="s">
        <v>3228</v>
      </c>
      <c r="V1801" s="221" t="s">
        <v>3337</v>
      </c>
      <c r="W1801" s="221" t="s">
        <v>3338</v>
      </c>
      <c r="X1801" s="221"/>
      <c r="Y1801" s="227"/>
      <c r="Z1801" s="227" t="str">
        <f t="shared" si="65"/>
        <v>Sitirejo RW 01 Wagir</v>
      </c>
      <c r="AA1801" s="276" t="e">
        <f>VLOOKUP(Logfile_S12[[#This Row],[DO number]],DO_DB!G:I,3,0)</f>
        <v>#N/A</v>
      </c>
      <c r="AB1801" s="331" t="e">
        <f>EXACT(Logfile_S12[[#This Row],[date pick]],Logfile_S12[[#This Row],[Date]])</f>
        <v>#N/A</v>
      </c>
      <c r="AC18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02" spans="1:29" ht="14.5" hidden="1">
      <c r="A1802" s="220" t="str">
        <f t="shared" si="66"/>
        <v>1798</v>
      </c>
      <c r="B1802" s="221"/>
      <c r="C1802" s="221" t="s">
        <v>48</v>
      </c>
      <c r="D1802" s="221" t="s">
        <v>3851</v>
      </c>
      <c r="E1802" s="221" t="s">
        <v>3295</v>
      </c>
      <c r="F1802" s="221" t="s">
        <v>3299</v>
      </c>
      <c r="G1802" s="222">
        <v>45287</v>
      </c>
      <c r="H1802" s="223">
        <v>15.291666666666666</v>
      </c>
      <c r="I1802" s="221" t="s">
        <v>37</v>
      </c>
      <c r="J1802" s="221" t="s">
        <v>3023</v>
      </c>
      <c r="K1802" s="224" t="s">
        <v>3069</v>
      </c>
      <c r="L1802" s="225" t="str">
        <f>VLOOKUP(Logfile_S12[[#This Row],[Material Name]],Sheet2!B:C,2,0)</f>
        <v>ZTE1001</v>
      </c>
      <c r="M1802" s="225" t="str">
        <f>_xlfn.XLOOKUP(Logfile_S12[[#This Row],[Material Name]],Sum_WH!E:E,Sum_WH!F:F,"",0)</f>
        <v>Pcs</v>
      </c>
      <c r="N1802" s="221">
        <v>165</v>
      </c>
      <c r="O1802" s="221" t="s">
        <v>738</v>
      </c>
      <c r="P1802" s="221" t="s">
        <v>3392</v>
      </c>
      <c r="Q1802" s="221" t="s">
        <v>748</v>
      </c>
      <c r="R1802" s="221" t="s">
        <v>749</v>
      </c>
      <c r="S1802" s="221"/>
      <c r="T1802" s="221"/>
      <c r="U1802" s="221"/>
      <c r="V1802" s="221"/>
      <c r="W1802" s="221"/>
      <c r="X1802" s="221" t="s">
        <v>3217</v>
      </c>
      <c r="Y1802" s="227"/>
      <c r="Z1802" s="227" t="str">
        <f t="shared" si="65"/>
        <v xml:space="preserve">Baturetno RW 02 Singosari </v>
      </c>
      <c r="AA1802" s="276">
        <f>VLOOKUP(Logfile_S12[[#This Row],[DO number]],DO_DB!G:I,3,0)</f>
        <v>45287</v>
      </c>
      <c r="AB1802" s="331" t="b">
        <f>EXACT(Logfile_S12[[#This Row],[date pick]],Logfile_S12[[#This Row],[Date]])</f>
        <v>1</v>
      </c>
      <c r="AC18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03" spans="1:29" ht="14.5" hidden="1">
      <c r="A1803" s="220" t="str">
        <f t="shared" si="66"/>
        <v>1799</v>
      </c>
      <c r="B1803" s="221"/>
      <c r="C1803" s="221" t="s">
        <v>3449</v>
      </c>
      <c r="D1803" s="221" t="s">
        <v>3850</v>
      </c>
      <c r="E1803" s="221" t="s">
        <v>3295</v>
      </c>
      <c r="F1803" s="221" t="s">
        <v>3299</v>
      </c>
      <c r="G1803" s="222">
        <v>45287</v>
      </c>
      <c r="H1803" s="223">
        <v>0.33333333333333331</v>
      </c>
      <c r="I1803" s="221" t="s">
        <v>3193</v>
      </c>
      <c r="J1803" s="221" t="s">
        <v>3023</v>
      </c>
      <c r="K1803" s="224" t="s">
        <v>3069</v>
      </c>
      <c r="L1803" s="225" t="str">
        <f>VLOOKUP(Logfile_S12[[#This Row],[Material Name]],Sheet2!B:C,2,0)</f>
        <v>ZTE1001</v>
      </c>
      <c r="M1803" s="225" t="str">
        <f>_xlfn.XLOOKUP(Logfile_S12[[#This Row],[Material Name]],Sum_WH!E:E,Sum_WH!F:F,"",0)</f>
        <v>Pcs</v>
      </c>
      <c r="N1803" s="221">
        <v>25</v>
      </c>
      <c r="O1803" s="221" t="s">
        <v>4925</v>
      </c>
      <c r="P1803" s="221" t="s">
        <v>3266</v>
      </c>
      <c r="Q1803" s="221"/>
      <c r="R1803" s="221"/>
      <c r="S1803" s="221"/>
      <c r="T1803" s="221" t="s">
        <v>3492</v>
      </c>
      <c r="U1803" s="221">
        <v>0</v>
      </c>
      <c r="V1803" s="221">
        <v>0</v>
      </c>
      <c r="W1803" s="221">
        <v>0</v>
      </c>
      <c r="X1803" s="221" t="s">
        <v>3493</v>
      </c>
      <c r="Y1803" s="227"/>
      <c r="Z1803" s="227" t="str">
        <f t="shared" si="65"/>
        <v>YPTT</v>
      </c>
      <c r="AA1803" s="276" t="e">
        <f>VLOOKUP(Logfile_S12[[#This Row],[DO number]],DO_DB!G:I,3,0)</f>
        <v>#N/A</v>
      </c>
      <c r="AB1803" s="331" t="e">
        <f>EXACT(Logfile_S12[[#This Row],[date pick]],Logfile_S12[[#This Row],[Date]])</f>
        <v>#N/A</v>
      </c>
      <c r="AC18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804" spans="1:29" ht="14.5" hidden="1">
      <c r="A1804" s="220" t="str">
        <f t="shared" si="66"/>
        <v>1800</v>
      </c>
      <c r="B1804" s="221"/>
      <c r="C1804" s="221" t="s">
        <v>49</v>
      </c>
      <c r="D1804" s="221" t="s">
        <v>3852</v>
      </c>
      <c r="E1804" s="221" t="s">
        <v>3295</v>
      </c>
      <c r="F1804" s="221" t="s">
        <v>3299</v>
      </c>
      <c r="G1804" s="222">
        <v>45294</v>
      </c>
      <c r="H1804" s="223">
        <v>0.56944444444444442</v>
      </c>
      <c r="I1804" s="221" t="s">
        <v>4916</v>
      </c>
      <c r="J1804" s="221" t="s">
        <v>3023</v>
      </c>
      <c r="K1804" s="224" t="s">
        <v>3069</v>
      </c>
      <c r="L1804" s="225" t="str">
        <f>VLOOKUP(Logfile_S12[[#This Row],[Material Name]],Sheet2!B:C,2,0)</f>
        <v>ZTE1001</v>
      </c>
      <c r="M1804" s="225" t="str">
        <f>_xlfn.XLOOKUP(Logfile_S12[[#This Row],[Material Name]],Sum_WH!E:E,Sum_WH!F:F,"",0)</f>
        <v>Pcs</v>
      </c>
      <c r="N1804" s="221">
        <v>23</v>
      </c>
      <c r="O1804" s="221" t="s">
        <v>738</v>
      </c>
      <c r="P1804" s="221" t="s">
        <v>3392</v>
      </c>
      <c r="Q1804" s="221"/>
      <c r="R1804" s="221"/>
      <c r="S1804" s="221"/>
      <c r="T1804" s="221" t="s">
        <v>3258</v>
      </c>
      <c r="U1804" s="221" t="s">
        <v>3228</v>
      </c>
      <c r="V1804" s="221" t="s">
        <v>3337</v>
      </c>
      <c r="W1804" s="221" t="s">
        <v>3338</v>
      </c>
      <c r="X1804" s="221"/>
      <c r="Y1804" s="227"/>
      <c r="Z1804" s="227" t="str">
        <f t="shared" ref="Z1804:Z1867" si="67">P1804</f>
        <v xml:space="preserve">Baturetno RW 02 Singosari </v>
      </c>
      <c r="AA1804" s="276" t="e">
        <f>VLOOKUP(Logfile_S12[[#This Row],[DO number]],DO_DB!G:I,3,0)</f>
        <v>#N/A</v>
      </c>
      <c r="AB1804" s="331" t="e">
        <f>EXACT(Logfile_S12[[#This Row],[date pick]],Logfile_S12[[#This Row],[Date]])</f>
        <v>#N/A</v>
      </c>
      <c r="AC18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05" spans="1:29" ht="14.5" hidden="1">
      <c r="A1805" s="220" t="str">
        <f t="shared" si="66"/>
        <v>1801</v>
      </c>
      <c r="B1805" s="221"/>
      <c r="C1805" s="221" t="s">
        <v>49</v>
      </c>
      <c r="D1805" s="221" t="s">
        <v>3855</v>
      </c>
      <c r="E1805" s="221" t="s">
        <v>3295</v>
      </c>
      <c r="F1805" s="221" t="s">
        <v>3299</v>
      </c>
      <c r="G1805" s="222">
        <v>45296</v>
      </c>
      <c r="H1805" s="223">
        <v>0.64166666666666672</v>
      </c>
      <c r="I1805" s="221" t="s">
        <v>4916</v>
      </c>
      <c r="J1805" s="221" t="s">
        <v>3023</v>
      </c>
      <c r="K1805" s="224" t="s">
        <v>3069</v>
      </c>
      <c r="L1805" s="225" t="str">
        <f>VLOOKUP(Logfile_S12[[#This Row],[Material Name]],Sheet2!B:C,2,0)</f>
        <v>ZTE1001</v>
      </c>
      <c r="M1805" s="225" t="str">
        <f>_xlfn.XLOOKUP(Logfile_S12[[#This Row],[Material Name]],Sum_WH!E:E,Sum_WH!F:F,"",0)</f>
        <v>Pcs</v>
      </c>
      <c r="N1805" s="221">
        <v>26</v>
      </c>
      <c r="O1805" s="221" t="s">
        <v>742</v>
      </c>
      <c r="P1805" s="221" t="s">
        <v>743</v>
      </c>
      <c r="Q1805" s="221"/>
      <c r="R1805" s="221"/>
      <c r="S1805" s="221"/>
      <c r="T1805" s="221" t="s">
        <v>3258</v>
      </c>
      <c r="U1805" s="221" t="s">
        <v>3228</v>
      </c>
      <c r="V1805" s="221" t="s">
        <v>3337</v>
      </c>
      <c r="W1805" s="221" t="s">
        <v>3338</v>
      </c>
      <c r="X1805" s="221"/>
      <c r="Y1805" s="227"/>
      <c r="Z1805" s="227" t="str">
        <f t="shared" si="67"/>
        <v>Baturetno RW 03 Singosari</v>
      </c>
      <c r="AA1805" s="276" t="e">
        <f>VLOOKUP(Logfile_S12[[#This Row],[DO number]],DO_DB!G:I,3,0)</f>
        <v>#N/A</v>
      </c>
      <c r="AB1805" s="331" t="e">
        <f>EXACT(Logfile_S12[[#This Row],[date pick]],Logfile_S12[[#This Row],[Date]])</f>
        <v>#N/A</v>
      </c>
      <c r="AC18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06" spans="1:29" ht="14.5" hidden="1">
      <c r="A1806" s="220" t="str">
        <f t="shared" si="66"/>
        <v>1802</v>
      </c>
      <c r="B1806" s="221"/>
      <c r="C1806" s="221" t="s">
        <v>49</v>
      </c>
      <c r="D1806" s="221" t="s">
        <v>3856</v>
      </c>
      <c r="E1806" s="221" t="s">
        <v>3295</v>
      </c>
      <c r="F1806" s="221" t="s">
        <v>3299</v>
      </c>
      <c r="G1806" s="222">
        <v>45297</v>
      </c>
      <c r="H1806" s="223">
        <v>0.37083333333333335</v>
      </c>
      <c r="I1806" s="221" t="s">
        <v>4916</v>
      </c>
      <c r="J1806" s="221" t="s">
        <v>3023</v>
      </c>
      <c r="K1806" s="224" t="s">
        <v>3069</v>
      </c>
      <c r="L1806" s="225" t="str">
        <f>VLOOKUP(Logfile_S12[[#This Row],[Material Name]],Sheet2!B:C,2,0)</f>
        <v>ZTE1001</v>
      </c>
      <c r="M1806" s="225" t="str">
        <f>_xlfn.XLOOKUP(Logfile_S12[[#This Row],[Material Name]],Sum_WH!E:E,Sum_WH!F:F,"",0)</f>
        <v>Pcs</v>
      </c>
      <c r="N1806" s="221">
        <v>26</v>
      </c>
      <c r="O1806" s="221" t="s">
        <v>742</v>
      </c>
      <c r="P1806" s="221" t="s">
        <v>743</v>
      </c>
      <c r="Q1806" s="221"/>
      <c r="R1806" s="221"/>
      <c r="S1806" s="221"/>
      <c r="T1806" s="221" t="s">
        <v>3258</v>
      </c>
      <c r="U1806" s="221" t="s">
        <v>3228</v>
      </c>
      <c r="V1806" s="221" t="s">
        <v>3337</v>
      </c>
      <c r="W1806" s="221" t="s">
        <v>3338</v>
      </c>
      <c r="X1806" s="221"/>
      <c r="Y1806" s="227"/>
      <c r="Z1806" s="227" t="str">
        <f t="shared" si="67"/>
        <v>Baturetno RW 03 Singosari</v>
      </c>
      <c r="AA1806" s="276" t="e">
        <f>VLOOKUP(Logfile_S12[[#This Row],[DO number]],DO_DB!G:I,3,0)</f>
        <v>#N/A</v>
      </c>
      <c r="AB1806" s="331" t="e">
        <f>EXACT(Logfile_S12[[#This Row],[date pick]],Logfile_S12[[#This Row],[Date]])</f>
        <v>#N/A</v>
      </c>
      <c r="AC18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07" spans="1:29" ht="14.5" hidden="1">
      <c r="A1807" s="220" t="str">
        <f t="shared" si="66"/>
        <v>1803</v>
      </c>
      <c r="B1807" s="221"/>
      <c r="C1807" s="221" t="s">
        <v>48</v>
      </c>
      <c r="D1807" s="221" t="s">
        <v>3859</v>
      </c>
      <c r="E1807" s="221" t="s">
        <v>3295</v>
      </c>
      <c r="F1807" s="221" t="s">
        <v>3299</v>
      </c>
      <c r="G1807" s="222">
        <v>45299</v>
      </c>
      <c r="H1807" s="223">
        <v>15.291666666666666</v>
      </c>
      <c r="I1807" s="221" t="s">
        <v>3586</v>
      </c>
      <c r="J1807" s="221" t="s">
        <v>3023</v>
      </c>
      <c r="K1807" s="224" t="s">
        <v>3069</v>
      </c>
      <c r="L1807" s="225" t="str">
        <f>VLOOKUP(Logfile_S12[[#This Row],[Material Name]],Sheet2!B:C,2,0)</f>
        <v>ZTE1001</v>
      </c>
      <c r="M1807" s="225" t="str">
        <f>_xlfn.XLOOKUP(Logfile_S12[[#This Row],[Material Name]],Sum_WH!E:E,Sum_WH!F:F,"",0)</f>
        <v>Pcs</v>
      </c>
      <c r="N1807" s="221">
        <v>7</v>
      </c>
      <c r="O1807" s="221"/>
      <c r="P1807" s="221"/>
      <c r="Q1807" s="221">
        <v>0</v>
      </c>
      <c r="R1807" s="221" t="s">
        <v>3147</v>
      </c>
      <c r="S1807" s="221"/>
      <c r="T1807" s="221"/>
      <c r="U1807" s="221"/>
      <c r="V1807" s="221"/>
      <c r="W1807" s="221"/>
      <c r="X1807" s="221" t="s">
        <v>3583</v>
      </c>
      <c r="Y1807" s="227"/>
      <c r="Z1807" s="227">
        <f t="shared" si="67"/>
        <v>0</v>
      </c>
      <c r="AA1807" s="276" t="e">
        <f>VLOOKUP(Logfile_S12[[#This Row],[DO number]],DO_DB!G:I,3,0)</f>
        <v>#N/A</v>
      </c>
      <c r="AB1807" s="331" t="e">
        <f>EXACT(Logfile_S12[[#This Row],[date pick]],Logfile_S12[[#This Row],[Date]])</f>
        <v>#N/A</v>
      </c>
      <c r="AC18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08" spans="1:29" ht="14.5" hidden="1">
      <c r="A1808" s="220" t="str">
        <f t="shared" si="66"/>
        <v>1804</v>
      </c>
      <c r="B1808" s="221"/>
      <c r="C1808" s="221" t="s">
        <v>49</v>
      </c>
      <c r="D1808" s="221" t="s">
        <v>3857</v>
      </c>
      <c r="E1808" s="221" t="s">
        <v>3295</v>
      </c>
      <c r="F1808" s="221" t="s">
        <v>3299</v>
      </c>
      <c r="G1808" s="222">
        <v>45299</v>
      </c>
      <c r="H1808" s="223">
        <v>0.34166666666666662</v>
      </c>
      <c r="I1808" s="221" t="s">
        <v>4916</v>
      </c>
      <c r="J1808" s="221" t="s">
        <v>3023</v>
      </c>
      <c r="K1808" s="224" t="s">
        <v>3069</v>
      </c>
      <c r="L1808" s="225" t="str">
        <f>VLOOKUP(Logfile_S12[[#This Row],[Material Name]],Sheet2!B:C,2,0)</f>
        <v>ZTE1001</v>
      </c>
      <c r="M1808" s="225" t="str">
        <f>_xlfn.XLOOKUP(Logfile_S12[[#This Row],[Material Name]],Sum_WH!E:E,Sum_WH!F:F,"",0)</f>
        <v>Pcs</v>
      </c>
      <c r="N1808" s="221">
        <v>24</v>
      </c>
      <c r="O1808" s="221" t="s">
        <v>742</v>
      </c>
      <c r="P1808" s="221" t="s">
        <v>743</v>
      </c>
      <c r="Q1808" s="221"/>
      <c r="R1808" s="221"/>
      <c r="S1808" s="221"/>
      <c r="T1808" s="221" t="s">
        <v>3258</v>
      </c>
      <c r="U1808" s="221" t="s">
        <v>3228</v>
      </c>
      <c r="V1808" s="221" t="s">
        <v>3337</v>
      </c>
      <c r="W1808" s="221" t="s">
        <v>3338</v>
      </c>
      <c r="X1808" s="221" t="s">
        <v>3858</v>
      </c>
      <c r="Y1808" s="227"/>
      <c r="Z1808" s="227" t="str">
        <f t="shared" si="67"/>
        <v>Baturetno RW 03 Singosari</v>
      </c>
      <c r="AA1808" s="276" t="e">
        <f>VLOOKUP(Logfile_S12[[#This Row],[DO number]],DO_DB!G:I,3,0)</f>
        <v>#N/A</v>
      </c>
      <c r="AB1808" s="331" t="e">
        <f>EXACT(Logfile_S12[[#This Row],[date pick]],Logfile_S12[[#This Row],[Date]])</f>
        <v>#N/A</v>
      </c>
      <c r="AC18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09" spans="1:29" ht="14.5" hidden="1">
      <c r="A1809" s="220" t="str">
        <f t="shared" si="66"/>
        <v>1805</v>
      </c>
      <c r="B1809" s="221"/>
      <c r="C1809" s="221" t="s">
        <v>49</v>
      </c>
      <c r="D1809" s="221" t="s">
        <v>3861</v>
      </c>
      <c r="E1809" s="221" t="s">
        <v>3295</v>
      </c>
      <c r="F1809" s="221" t="s">
        <v>3299</v>
      </c>
      <c r="G1809" s="222">
        <v>45305</v>
      </c>
      <c r="H1809" s="223">
        <v>0.375</v>
      </c>
      <c r="I1809" s="221" t="s">
        <v>4916</v>
      </c>
      <c r="J1809" s="221" t="s">
        <v>3023</v>
      </c>
      <c r="K1809" s="224" t="s">
        <v>3227</v>
      </c>
      <c r="L1809" s="225" t="str">
        <f>VLOOKUP(Logfile_S12[[#This Row],[Material Name]],Sheet2!B:C,2,0)</f>
        <v>ZTE1001</v>
      </c>
      <c r="M1809" s="225" t="str">
        <f>_xlfn.XLOOKUP(Logfile_S12[[#This Row],[Material Name]],Sum_WH!E:E,Sum_WH!F:F,"",0)</f>
        <v>Pcs</v>
      </c>
      <c r="N1809" s="221">
        <v>25</v>
      </c>
      <c r="O1809" s="221" t="s">
        <v>828</v>
      </c>
      <c r="P1809" s="221" t="s">
        <v>829</v>
      </c>
      <c r="Q1809" s="221"/>
      <c r="R1809" s="221"/>
      <c r="S1809" s="221"/>
      <c r="T1809" s="221" t="s">
        <v>3339</v>
      </c>
      <c r="U1809" s="221" t="s">
        <v>3228</v>
      </c>
      <c r="V1809" s="221" t="s">
        <v>3340</v>
      </c>
      <c r="W1809" s="221" t="s">
        <v>3245</v>
      </c>
      <c r="X1809" s="221"/>
      <c r="Y1809" s="227"/>
      <c r="Z1809" s="227" t="str">
        <f t="shared" si="67"/>
        <v>Perumahan Pondok Mutiara Malang</v>
      </c>
      <c r="AA1809" s="276" t="e">
        <f>VLOOKUP(Logfile_S12[[#This Row],[DO number]],DO_DB!G:I,3,0)</f>
        <v>#N/A</v>
      </c>
      <c r="AB1809" s="331" t="e">
        <f>EXACT(Logfile_S12[[#This Row],[date pick]],Logfile_S12[[#This Row],[Date]])</f>
        <v>#N/A</v>
      </c>
      <c r="AC18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10" spans="1:29" ht="14.5" hidden="1">
      <c r="A1810" s="220" t="str">
        <f t="shared" si="66"/>
        <v>1806</v>
      </c>
      <c r="B1810" s="221"/>
      <c r="C1810" s="221" t="s">
        <v>49</v>
      </c>
      <c r="D1810" s="221" t="s">
        <v>3862</v>
      </c>
      <c r="E1810" s="221" t="s">
        <v>3295</v>
      </c>
      <c r="F1810" s="221" t="s">
        <v>3299</v>
      </c>
      <c r="G1810" s="222">
        <v>45306</v>
      </c>
      <c r="H1810" s="223">
        <v>0.375</v>
      </c>
      <c r="I1810" s="221" t="s">
        <v>4916</v>
      </c>
      <c r="J1810" s="221" t="s">
        <v>3023</v>
      </c>
      <c r="K1810" s="224" t="s">
        <v>3227</v>
      </c>
      <c r="L1810" s="225" t="str">
        <f>VLOOKUP(Logfile_S12[[#This Row],[Material Name]],Sheet2!B:C,2,0)</f>
        <v>ZTE1001</v>
      </c>
      <c r="M1810" s="225" t="str">
        <f>_xlfn.XLOOKUP(Logfile_S12[[#This Row],[Material Name]],Sum_WH!E:E,Sum_WH!F:F,"",0)</f>
        <v>Pcs</v>
      </c>
      <c r="N1810" s="221">
        <v>24</v>
      </c>
      <c r="O1810" s="221" t="s">
        <v>828</v>
      </c>
      <c r="P1810" s="221" t="s">
        <v>829</v>
      </c>
      <c r="Q1810" s="221"/>
      <c r="R1810" s="221"/>
      <c r="S1810" s="221"/>
      <c r="T1810" s="221" t="s">
        <v>3339</v>
      </c>
      <c r="U1810" s="221" t="s">
        <v>3228</v>
      </c>
      <c r="V1810" s="221" t="s">
        <v>3340</v>
      </c>
      <c r="W1810" s="221" t="s">
        <v>3245</v>
      </c>
      <c r="X1810" s="221"/>
      <c r="Y1810" s="227"/>
      <c r="Z1810" s="227" t="str">
        <f t="shared" si="67"/>
        <v>Perumahan Pondok Mutiara Malang</v>
      </c>
      <c r="AA1810" s="276" t="e">
        <f>VLOOKUP(Logfile_S12[[#This Row],[DO number]],DO_DB!G:I,3,0)</f>
        <v>#N/A</v>
      </c>
      <c r="AB1810" s="331" t="e">
        <f>EXACT(Logfile_S12[[#This Row],[date pick]],Logfile_S12[[#This Row],[Date]])</f>
        <v>#N/A</v>
      </c>
      <c r="AC18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11" spans="1:29" ht="14.5" hidden="1">
      <c r="A1811" s="220" t="str">
        <f t="shared" si="66"/>
        <v>1807</v>
      </c>
      <c r="B1811" s="221"/>
      <c r="C1811" s="221" t="s">
        <v>48</v>
      </c>
      <c r="D1811" s="221" t="s">
        <v>3867</v>
      </c>
      <c r="E1811" s="221" t="s">
        <v>3295</v>
      </c>
      <c r="F1811" s="221" t="s">
        <v>3299</v>
      </c>
      <c r="G1811" s="222">
        <v>45307</v>
      </c>
      <c r="H1811" s="223">
        <v>15.291666666666666</v>
      </c>
      <c r="I1811" s="221" t="s">
        <v>37</v>
      </c>
      <c r="J1811" s="221" t="s">
        <v>3023</v>
      </c>
      <c r="K1811" s="224" t="s">
        <v>3069</v>
      </c>
      <c r="L1811" s="225" t="str">
        <f>VLOOKUP(Logfile_S12[[#This Row],[Material Name]],Sheet2!B:C,2,0)</f>
        <v>ZTE1001</v>
      </c>
      <c r="M1811" s="225" t="str">
        <f>_xlfn.XLOOKUP(Logfile_S12[[#This Row],[Material Name]],Sum_WH!E:E,Sum_WH!F:F,"",0)</f>
        <v>Pcs</v>
      </c>
      <c r="N1811" s="221">
        <v>33</v>
      </c>
      <c r="O1811" s="221" t="s">
        <v>838</v>
      </c>
      <c r="P1811" s="221" t="s">
        <v>3361</v>
      </c>
      <c r="Q1811" s="221" t="s">
        <v>840</v>
      </c>
      <c r="R1811" s="221" t="s">
        <v>841</v>
      </c>
      <c r="S1811" s="221"/>
      <c r="T1811" s="221"/>
      <c r="U1811" s="221"/>
      <c r="V1811" s="221"/>
      <c r="W1811" s="221"/>
      <c r="X1811" s="221"/>
      <c r="Y1811" s="227"/>
      <c r="Z1811" s="227" t="str">
        <f t="shared" si="67"/>
        <v>TAMANHARJO RW 04 SINGOSARI</v>
      </c>
      <c r="AA1811" s="276">
        <f>VLOOKUP(Logfile_S12[[#This Row],[DO number]],DO_DB!G:I,3,0)</f>
        <v>45307</v>
      </c>
      <c r="AB1811" s="331" t="b">
        <f>EXACT(Logfile_S12[[#This Row],[date pick]],Logfile_S12[[#This Row],[Date]])</f>
        <v>1</v>
      </c>
      <c r="AC18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12" spans="1:29" ht="14.5" hidden="1">
      <c r="A1812" s="220" t="str">
        <f t="shared" si="66"/>
        <v>1808</v>
      </c>
      <c r="B1812" s="221"/>
      <c r="C1812" s="221" t="s">
        <v>48</v>
      </c>
      <c r="D1812" s="221" t="s">
        <v>3867</v>
      </c>
      <c r="E1812" s="221" t="s">
        <v>3295</v>
      </c>
      <c r="F1812" s="221" t="s">
        <v>3299</v>
      </c>
      <c r="G1812" s="222">
        <v>45307</v>
      </c>
      <c r="H1812" s="223">
        <v>15.291666666666666</v>
      </c>
      <c r="I1812" s="221" t="s">
        <v>37</v>
      </c>
      <c r="J1812" s="221" t="s">
        <v>3023</v>
      </c>
      <c r="K1812" s="224" t="s">
        <v>3069</v>
      </c>
      <c r="L1812" s="225" t="str">
        <f>VLOOKUP(Logfile_S12[[#This Row],[Material Name]],Sheet2!B:C,2,0)</f>
        <v>ZTE1001</v>
      </c>
      <c r="M1812" s="225" t="str">
        <f>_xlfn.XLOOKUP(Logfile_S12[[#This Row],[Material Name]],Sum_WH!E:E,Sum_WH!F:F,"",0)</f>
        <v>Pcs</v>
      </c>
      <c r="N1812" s="221">
        <v>61</v>
      </c>
      <c r="O1812" s="221" t="s">
        <v>834</v>
      </c>
      <c r="P1812" s="221" t="s">
        <v>3335</v>
      </c>
      <c r="Q1812" s="221" t="s">
        <v>836</v>
      </c>
      <c r="R1812" s="221" t="s">
        <v>837</v>
      </c>
      <c r="S1812" s="221"/>
      <c r="T1812" s="221"/>
      <c r="U1812" s="221"/>
      <c r="V1812" s="221"/>
      <c r="W1812" s="221"/>
      <c r="X1812" s="221"/>
      <c r="Y1812" s="227"/>
      <c r="Z1812" s="227" t="str">
        <f t="shared" si="67"/>
        <v>HUBFEEDER BATURETNO RW 02</v>
      </c>
      <c r="AA1812" s="276">
        <f>VLOOKUP(Logfile_S12[[#This Row],[DO number]],DO_DB!G:I,3,0)</f>
        <v>45307</v>
      </c>
      <c r="AB1812" s="331" t="b">
        <f>EXACT(Logfile_S12[[#This Row],[date pick]],Logfile_S12[[#This Row],[Date]])</f>
        <v>1</v>
      </c>
      <c r="AC18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13" spans="1:29" ht="14.5" hidden="1">
      <c r="A1813" s="220" t="str">
        <f t="shared" si="66"/>
        <v>1809</v>
      </c>
      <c r="B1813" s="221"/>
      <c r="C1813" s="221" t="s">
        <v>48</v>
      </c>
      <c r="D1813" s="221" t="s">
        <v>3867</v>
      </c>
      <c r="E1813" s="221" t="s">
        <v>3295</v>
      </c>
      <c r="F1813" s="221" t="s">
        <v>3299</v>
      </c>
      <c r="G1813" s="222">
        <v>45307</v>
      </c>
      <c r="H1813" s="223">
        <v>15.291666666666666</v>
      </c>
      <c r="I1813" s="221" t="s">
        <v>37</v>
      </c>
      <c r="J1813" s="221" t="s">
        <v>3023</v>
      </c>
      <c r="K1813" s="224" t="s">
        <v>3069</v>
      </c>
      <c r="L1813" s="225" t="str">
        <f>VLOOKUP(Logfile_S12[[#This Row],[Material Name]],Sheet2!B:C,2,0)</f>
        <v>ZTE1001</v>
      </c>
      <c r="M1813" s="225" t="str">
        <f>_xlfn.XLOOKUP(Logfile_S12[[#This Row],[Material Name]],Sum_WH!E:E,Sum_WH!F:F,"",0)</f>
        <v>Pcs</v>
      </c>
      <c r="N1813" s="221">
        <v>173</v>
      </c>
      <c r="O1813" s="221" t="s">
        <v>828</v>
      </c>
      <c r="P1813" s="221" t="s">
        <v>829</v>
      </c>
      <c r="Q1813" s="221" t="s">
        <v>830</v>
      </c>
      <c r="R1813" s="221" t="s">
        <v>831</v>
      </c>
      <c r="S1813" s="221"/>
      <c r="T1813" s="221"/>
      <c r="U1813" s="221"/>
      <c r="V1813" s="221"/>
      <c r="W1813" s="221"/>
      <c r="X1813" s="221"/>
      <c r="Y1813" s="227"/>
      <c r="Z1813" s="227" t="str">
        <f t="shared" si="67"/>
        <v>Perumahan Pondok Mutiara Malang</v>
      </c>
      <c r="AA1813" s="276">
        <f>VLOOKUP(Logfile_S12[[#This Row],[DO number]],DO_DB!G:I,3,0)</f>
        <v>45307</v>
      </c>
      <c r="AB1813" s="331" t="b">
        <f>EXACT(Logfile_S12[[#This Row],[date pick]],Logfile_S12[[#This Row],[Date]])</f>
        <v>1</v>
      </c>
      <c r="AC18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14" spans="1:29" ht="14.5" hidden="1">
      <c r="A1814" s="220" t="str">
        <f t="shared" si="66"/>
        <v>1810</v>
      </c>
      <c r="B1814" s="221"/>
      <c r="C1814" s="221" t="s">
        <v>3429</v>
      </c>
      <c r="D1814" s="221" t="s">
        <v>3869</v>
      </c>
      <c r="E1814" s="221" t="s">
        <v>3295</v>
      </c>
      <c r="F1814" s="221" t="s">
        <v>3299</v>
      </c>
      <c r="G1814" s="222">
        <v>45307</v>
      </c>
      <c r="H1814" s="223">
        <v>15.291666666666666</v>
      </c>
      <c r="I1814" s="221" t="s">
        <v>3193</v>
      </c>
      <c r="J1814" s="221" t="s">
        <v>3023</v>
      </c>
      <c r="K1814" s="224" t="s">
        <v>3069</v>
      </c>
      <c r="L1814" s="225" t="str">
        <f>VLOOKUP(Logfile_S12[[#This Row],[Material Name]],Sheet2!B:C,2,0)</f>
        <v>ZTE1001</v>
      </c>
      <c r="M1814" s="225" t="str">
        <f>_xlfn.XLOOKUP(Logfile_S12[[#This Row],[Material Name]],Sum_WH!E:E,Sum_WH!F:F,"",0)</f>
        <v>Pcs</v>
      </c>
      <c r="N1814" s="221">
        <v>25</v>
      </c>
      <c r="O1814" s="221" t="s">
        <v>4925</v>
      </c>
      <c r="P1814" s="221" t="s">
        <v>3266</v>
      </c>
      <c r="Q1814" s="221">
        <v>0</v>
      </c>
      <c r="R1814" s="221">
        <v>0</v>
      </c>
      <c r="S1814" s="221"/>
      <c r="T1814" s="221"/>
      <c r="U1814" s="221"/>
      <c r="V1814" s="221"/>
      <c r="W1814" s="221"/>
      <c r="X1814" s="221" t="s">
        <v>3491</v>
      </c>
      <c r="Y1814" s="227"/>
      <c r="Z1814" s="227" t="str">
        <f t="shared" si="67"/>
        <v>YPTT</v>
      </c>
      <c r="AA1814" s="276" t="e">
        <f>VLOOKUP(Logfile_S12[[#This Row],[DO number]],DO_DB!G:I,3,0)</f>
        <v>#N/A</v>
      </c>
      <c r="AB1814" s="331" t="e">
        <f>EXACT(Logfile_S12[[#This Row],[date pick]],Logfile_S12[[#This Row],[Date]])</f>
        <v>#N/A</v>
      </c>
      <c r="AC18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15" spans="1:29" ht="14.5" hidden="1">
      <c r="A1815" s="220" t="str">
        <f t="shared" si="66"/>
        <v>1811</v>
      </c>
      <c r="B1815" s="221"/>
      <c r="C1815" s="221" t="s">
        <v>49</v>
      </c>
      <c r="D1815" s="221" t="s">
        <v>3865</v>
      </c>
      <c r="E1815" s="221" t="s">
        <v>3295</v>
      </c>
      <c r="F1815" s="221" t="s">
        <v>3299</v>
      </c>
      <c r="G1815" s="222">
        <v>45307</v>
      </c>
      <c r="H1815" s="223">
        <v>0.375</v>
      </c>
      <c r="I1815" s="221" t="s">
        <v>4916</v>
      </c>
      <c r="J1815" s="221" t="s">
        <v>3023</v>
      </c>
      <c r="K1815" s="224" t="s">
        <v>3227</v>
      </c>
      <c r="L1815" s="225" t="str">
        <f>VLOOKUP(Logfile_S12[[#This Row],[Material Name]],Sheet2!B:C,2,0)</f>
        <v>ZTE1001</v>
      </c>
      <c r="M1815" s="225" t="str">
        <f>_xlfn.XLOOKUP(Logfile_S12[[#This Row],[Material Name]],Sum_WH!E:E,Sum_WH!F:F,"",0)</f>
        <v>Pcs</v>
      </c>
      <c r="N1815" s="221">
        <v>23</v>
      </c>
      <c r="O1815" s="221" t="s">
        <v>828</v>
      </c>
      <c r="P1815" s="221" t="s">
        <v>829</v>
      </c>
      <c r="Q1815" s="221"/>
      <c r="R1815" s="221"/>
      <c r="S1815" s="221"/>
      <c r="T1815" s="221" t="s">
        <v>3339</v>
      </c>
      <c r="U1815" s="221" t="s">
        <v>3228</v>
      </c>
      <c r="V1815" s="221" t="s">
        <v>3340</v>
      </c>
      <c r="W1815" s="221" t="s">
        <v>3245</v>
      </c>
      <c r="X1815" s="221"/>
      <c r="Y1815" s="227"/>
      <c r="Z1815" s="227" t="str">
        <f t="shared" si="67"/>
        <v>Perumahan Pondok Mutiara Malang</v>
      </c>
      <c r="AA1815" s="276" t="e">
        <f>VLOOKUP(Logfile_S12[[#This Row],[DO number]],DO_DB!G:I,3,0)</f>
        <v>#N/A</v>
      </c>
      <c r="AB1815" s="331" t="e">
        <f>EXACT(Logfile_S12[[#This Row],[date pick]],Logfile_S12[[#This Row],[Date]])</f>
        <v>#N/A</v>
      </c>
      <c r="AC18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16" spans="1:29" ht="14.5" hidden="1">
      <c r="A1816" s="220" t="str">
        <f t="shared" si="66"/>
        <v>1812</v>
      </c>
      <c r="B1816" s="221"/>
      <c r="C1816" s="221" t="s">
        <v>49</v>
      </c>
      <c r="D1816" s="221" t="s">
        <v>3864</v>
      </c>
      <c r="E1816" s="221" t="s">
        <v>3295</v>
      </c>
      <c r="F1816" s="221" t="s">
        <v>3299</v>
      </c>
      <c r="G1816" s="222">
        <v>45307</v>
      </c>
      <c r="H1816" s="223">
        <v>0.3520833333333333</v>
      </c>
      <c r="I1816" s="221" t="s">
        <v>4916</v>
      </c>
      <c r="J1816" s="221" t="s">
        <v>3023</v>
      </c>
      <c r="K1816" s="224" t="s">
        <v>3069</v>
      </c>
      <c r="L1816" s="225" t="str">
        <f>VLOOKUP(Logfile_S12[[#This Row],[Material Name]],Sheet2!B:C,2,0)</f>
        <v>ZTE1001</v>
      </c>
      <c r="M1816" s="225" t="str">
        <f>_xlfn.XLOOKUP(Logfile_S12[[#This Row],[Material Name]],Sum_WH!E:E,Sum_WH!F:F,"",0)</f>
        <v>Pcs</v>
      </c>
      <c r="N1816" s="221">
        <v>25</v>
      </c>
      <c r="O1816" s="221" t="s">
        <v>738</v>
      </c>
      <c r="P1816" s="221" t="s">
        <v>3392</v>
      </c>
      <c r="Q1816" s="221"/>
      <c r="R1816" s="221"/>
      <c r="S1816" s="221"/>
      <c r="T1816" s="221" t="s">
        <v>3258</v>
      </c>
      <c r="U1816" s="221" t="s">
        <v>3228</v>
      </c>
      <c r="V1816" s="221" t="s">
        <v>3337</v>
      </c>
      <c r="W1816" s="221" t="s">
        <v>3338</v>
      </c>
      <c r="X1816" s="221"/>
      <c r="Y1816" s="227"/>
      <c r="Z1816" s="227" t="str">
        <f t="shared" si="67"/>
        <v xml:space="preserve">Baturetno RW 02 Singosari </v>
      </c>
      <c r="AA1816" s="276" t="e">
        <f>VLOOKUP(Logfile_S12[[#This Row],[DO number]],DO_DB!G:I,3,0)</f>
        <v>#N/A</v>
      </c>
      <c r="AB1816" s="331" t="e">
        <f>EXACT(Logfile_S12[[#This Row],[date pick]],Logfile_S12[[#This Row],[Date]])</f>
        <v>#N/A</v>
      </c>
      <c r="AC18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17" spans="1:29" ht="14.5" hidden="1">
      <c r="A1817" s="220" t="str">
        <f t="shared" si="66"/>
        <v>1813</v>
      </c>
      <c r="B1817" s="221"/>
      <c r="C1817" s="221" t="s">
        <v>3313</v>
      </c>
      <c r="D1817" s="221" t="s">
        <v>3868</v>
      </c>
      <c r="E1817" s="221" t="s">
        <v>3295</v>
      </c>
      <c r="F1817" s="221" t="s">
        <v>3299</v>
      </c>
      <c r="G1817" s="222">
        <v>45307</v>
      </c>
      <c r="H1817" s="223">
        <v>15.291666666666666</v>
      </c>
      <c r="I1817" s="221" t="s">
        <v>37</v>
      </c>
      <c r="J1817" s="221" t="s">
        <v>3023</v>
      </c>
      <c r="K1817" s="224" t="s">
        <v>3069</v>
      </c>
      <c r="L1817" s="225" t="str">
        <f>VLOOKUP(Logfile_S12[[#This Row],[Material Name]],Sheet2!B:C,2,0)</f>
        <v>ZTE1001</v>
      </c>
      <c r="M1817" s="225" t="str">
        <f>_xlfn.XLOOKUP(Logfile_S12[[#This Row],[Material Name]],Sum_WH!E:E,Sum_WH!F:F,"",0)</f>
        <v>Pcs</v>
      </c>
      <c r="N1817" s="221">
        <v>9</v>
      </c>
      <c r="O1817" s="221" t="s">
        <v>3314</v>
      </c>
      <c r="P1817" s="221">
        <v>0</v>
      </c>
      <c r="Q1817" s="221">
        <v>0</v>
      </c>
      <c r="R1817" s="221" t="s">
        <v>3147</v>
      </c>
      <c r="S1817" s="221"/>
      <c r="T1817" s="221"/>
      <c r="U1817" s="221"/>
      <c r="V1817" s="221"/>
      <c r="W1817" s="221"/>
      <c r="X1817" s="221"/>
      <c r="Y1817" s="227"/>
      <c r="Z1817" s="227">
        <f t="shared" si="67"/>
        <v>0</v>
      </c>
      <c r="AA1817" s="276" t="e">
        <f>VLOOKUP(Logfile_S12[[#This Row],[DO number]],DO_DB!G:I,3,0)</f>
        <v>#N/A</v>
      </c>
      <c r="AB1817" s="331" t="e">
        <f>EXACT(Logfile_S12[[#This Row],[date pick]],Logfile_S12[[#This Row],[Date]])</f>
        <v>#N/A</v>
      </c>
      <c r="AC18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18" spans="1:29" ht="14.5" hidden="1">
      <c r="A1818" s="220" t="str">
        <f t="shared" si="66"/>
        <v>1814</v>
      </c>
      <c r="B1818" s="221"/>
      <c r="C1818" s="221" t="s">
        <v>49</v>
      </c>
      <c r="D1818" s="221" t="s">
        <v>3870</v>
      </c>
      <c r="E1818" s="221" t="s">
        <v>3295</v>
      </c>
      <c r="F1818" s="221" t="s">
        <v>3299</v>
      </c>
      <c r="G1818" s="222">
        <v>45308</v>
      </c>
      <c r="H1818" s="223">
        <v>0.35416666666666669</v>
      </c>
      <c r="I1818" s="221" t="s">
        <v>4916</v>
      </c>
      <c r="J1818" s="221" t="s">
        <v>3023</v>
      </c>
      <c r="K1818" s="224" t="s">
        <v>3227</v>
      </c>
      <c r="L1818" s="225" t="str">
        <f>VLOOKUP(Logfile_S12[[#This Row],[Material Name]],Sheet2!B:C,2,0)</f>
        <v>ZTE1001</v>
      </c>
      <c r="M1818" s="225" t="str">
        <f>_xlfn.XLOOKUP(Logfile_S12[[#This Row],[Material Name]],Sum_WH!E:E,Sum_WH!F:F,"",0)</f>
        <v>Pcs</v>
      </c>
      <c r="N1818" s="221">
        <v>20</v>
      </c>
      <c r="O1818" s="221" t="s">
        <v>828</v>
      </c>
      <c r="P1818" s="221" t="s">
        <v>829</v>
      </c>
      <c r="Q1818" s="221"/>
      <c r="R1818" s="221"/>
      <c r="S1818" s="221"/>
      <c r="T1818" s="221" t="s">
        <v>3243</v>
      </c>
      <c r="U1818" s="221" t="s">
        <v>3228</v>
      </c>
      <c r="V1818" s="221" t="s">
        <v>3584</v>
      </c>
      <c r="W1818" s="221" t="s">
        <v>3245</v>
      </c>
      <c r="X1818" s="221"/>
      <c r="Y1818" s="227"/>
      <c r="Z1818" s="227" t="str">
        <f t="shared" si="67"/>
        <v>Perumahan Pondok Mutiara Malang</v>
      </c>
      <c r="AA1818" s="276" t="e">
        <f>VLOOKUP(Logfile_S12[[#This Row],[DO number]],DO_DB!G:I,3,0)</f>
        <v>#N/A</v>
      </c>
      <c r="AB1818" s="331" t="e">
        <f>EXACT(Logfile_S12[[#This Row],[date pick]],Logfile_S12[[#This Row],[Date]])</f>
        <v>#N/A</v>
      </c>
      <c r="AC18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19" spans="1:29" ht="14.5" hidden="1">
      <c r="A1819" s="220" t="str">
        <f t="shared" si="66"/>
        <v>1815</v>
      </c>
      <c r="B1819" s="221"/>
      <c r="C1819" s="221" t="s">
        <v>49</v>
      </c>
      <c r="D1819" s="221" t="s">
        <v>3870</v>
      </c>
      <c r="E1819" s="221" t="s">
        <v>3295</v>
      </c>
      <c r="F1819" s="221" t="s">
        <v>3299</v>
      </c>
      <c r="G1819" s="222">
        <v>45308</v>
      </c>
      <c r="H1819" s="223">
        <v>0.35416666666666669</v>
      </c>
      <c r="I1819" s="221" t="s">
        <v>4916</v>
      </c>
      <c r="J1819" s="221" t="s">
        <v>3023</v>
      </c>
      <c r="K1819" s="224" t="s">
        <v>3227</v>
      </c>
      <c r="L1819" s="225" t="str">
        <f>VLOOKUP(Logfile_S12[[#This Row],[Material Name]],Sheet2!B:C,2,0)</f>
        <v>ZTE1001</v>
      </c>
      <c r="M1819" s="225" t="str">
        <f>_xlfn.XLOOKUP(Logfile_S12[[#This Row],[Material Name]],Sum_WH!E:E,Sum_WH!F:F,"",0)</f>
        <v>Pcs</v>
      </c>
      <c r="N1819" s="221">
        <v>26</v>
      </c>
      <c r="O1819" s="221" t="s">
        <v>828</v>
      </c>
      <c r="P1819" s="221" t="s">
        <v>829</v>
      </c>
      <c r="Q1819" s="221"/>
      <c r="R1819" s="221"/>
      <c r="S1819" s="221"/>
      <c r="T1819" s="221" t="s">
        <v>3243</v>
      </c>
      <c r="U1819" s="221" t="s">
        <v>3228</v>
      </c>
      <c r="V1819" s="221" t="s">
        <v>3584</v>
      </c>
      <c r="W1819" s="221" t="s">
        <v>3245</v>
      </c>
      <c r="X1819" s="221"/>
      <c r="Y1819" s="227"/>
      <c r="Z1819" s="227" t="str">
        <f t="shared" si="67"/>
        <v>Perumahan Pondok Mutiara Malang</v>
      </c>
      <c r="AA1819" s="276" t="e">
        <f>VLOOKUP(Logfile_S12[[#This Row],[DO number]],DO_DB!G:I,3,0)</f>
        <v>#N/A</v>
      </c>
      <c r="AB1819" s="331" t="e">
        <f>EXACT(Logfile_S12[[#This Row],[date pick]],Logfile_S12[[#This Row],[Date]])</f>
        <v>#N/A</v>
      </c>
      <c r="AC18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20" spans="1:29" ht="14.5" hidden="1">
      <c r="A1820" s="220" t="str">
        <f t="shared" si="66"/>
        <v>1816</v>
      </c>
      <c r="B1820" s="221"/>
      <c r="C1820" s="221" t="s">
        <v>3449</v>
      </c>
      <c r="D1820" s="221" t="s">
        <v>3875</v>
      </c>
      <c r="E1820" s="221" t="s">
        <v>3295</v>
      </c>
      <c r="F1820" s="221" t="s">
        <v>3299</v>
      </c>
      <c r="G1820" s="222">
        <v>45309</v>
      </c>
      <c r="H1820" s="223">
        <v>0.74444444444444446</v>
      </c>
      <c r="I1820" s="221" t="s">
        <v>3193</v>
      </c>
      <c r="J1820" s="221" t="s">
        <v>3023</v>
      </c>
      <c r="K1820" s="224" t="s">
        <v>3069</v>
      </c>
      <c r="L1820" s="225" t="str">
        <f>VLOOKUP(Logfile_S12[[#This Row],[Material Name]],Sheet2!B:C,2,0)</f>
        <v>ZTE1001</v>
      </c>
      <c r="M1820" s="225" t="str">
        <f>_xlfn.XLOOKUP(Logfile_S12[[#This Row],[Material Name]],Sum_WH!E:E,Sum_WH!F:F,"",0)</f>
        <v>Pcs</v>
      </c>
      <c r="N1820" s="221">
        <v>4</v>
      </c>
      <c r="O1820" s="221" t="s">
        <v>4925</v>
      </c>
      <c r="P1820" s="221" t="s">
        <v>3266</v>
      </c>
      <c r="Q1820" s="221"/>
      <c r="R1820" s="221"/>
      <c r="S1820" s="221"/>
      <c r="T1820" s="221" t="s">
        <v>3302</v>
      </c>
      <c r="U1820" s="221">
        <v>0</v>
      </c>
      <c r="V1820" s="221">
        <v>0</v>
      </c>
      <c r="W1820" s="221">
        <v>0</v>
      </c>
      <c r="X1820" s="221" t="s">
        <v>3493</v>
      </c>
      <c r="Y1820" s="227"/>
      <c r="Z1820" s="227" t="str">
        <f t="shared" si="67"/>
        <v>YPTT</v>
      </c>
      <c r="AA1820" s="276" t="e">
        <f>VLOOKUP(Logfile_S12[[#This Row],[DO number]],DO_DB!G:I,3,0)</f>
        <v>#N/A</v>
      </c>
      <c r="AB1820" s="331" t="e">
        <f>EXACT(Logfile_S12[[#This Row],[date pick]],Logfile_S12[[#This Row],[Date]])</f>
        <v>#N/A</v>
      </c>
      <c r="AC18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821" spans="1:29" ht="14.5" hidden="1">
      <c r="A1821" s="220" t="str">
        <f t="shared" si="66"/>
        <v>1817</v>
      </c>
      <c r="B1821" s="221"/>
      <c r="C1821" s="221" t="s">
        <v>49</v>
      </c>
      <c r="D1821" s="221" t="s">
        <v>3874</v>
      </c>
      <c r="E1821" s="221" t="s">
        <v>3295</v>
      </c>
      <c r="F1821" s="221" t="s">
        <v>3299</v>
      </c>
      <c r="G1821" s="222">
        <v>45309</v>
      </c>
      <c r="H1821" s="223">
        <v>0.67986111111111114</v>
      </c>
      <c r="I1821" s="221" t="s">
        <v>4916</v>
      </c>
      <c r="J1821" s="221" t="s">
        <v>3023</v>
      </c>
      <c r="K1821" s="224" t="s">
        <v>3227</v>
      </c>
      <c r="L1821" s="225" t="str">
        <f>VLOOKUP(Logfile_S12[[#This Row],[Material Name]],Sheet2!B:C,2,0)</f>
        <v>ZTE1001</v>
      </c>
      <c r="M1821" s="225" t="str">
        <f>_xlfn.XLOOKUP(Logfile_S12[[#This Row],[Material Name]],Sum_WH!E:E,Sum_WH!F:F,"",0)</f>
        <v>Pcs</v>
      </c>
      <c r="N1821" s="221">
        <v>10</v>
      </c>
      <c r="O1821" s="221" t="s">
        <v>828</v>
      </c>
      <c r="P1821" s="221" t="s">
        <v>829</v>
      </c>
      <c r="Q1821" s="221"/>
      <c r="R1821" s="221"/>
      <c r="S1821" s="221"/>
      <c r="T1821" s="221" t="s">
        <v>3339</v>
      </c>
      <c r="U1821" s="221" t="s">
        <v>3228</v>
      </c>
      <c r="V1821" s="221" t="s">
        <v>3340</v>
      </c>
      <c r="W1821" s="221" t="s">
        <v>3245</v>
      </c>
      <c r="X1821" s="221"/>
      <c r="Y1821" s="227"/>
      <c r="Z1821" s="227" t="str">
        <f t="shared" si="67"/>
        <v>Perumahan Pondok Mutiara Malang</v>
      </c>
      <c r="AA1821" s="276" t="e">
        <f>VLOOKUP(Logfile_S12[[#This Row],[DO number]],DO_DB!G:I,3,0)</f>
        <v>#N/A</v>
      </c>
      <c r="AB1821" s="331" t="e">
        <f>EXACT(Logfile_S12[[#This Row],[date pick]],Logfile_S12[[#This Row],[Date]])</f>
        <v>#N/A</v>
      </c>
      <c r="AC18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22" spans="1:29" ht="14.5" hidden="1">
      <c r="A1822" s="220" t="str">
        <f t="shared" si="66"/>
        <v>1818</v>
      </c>
      <c r="B1822" s="221"/>
      <c r="C1822" s="221" t="s">
        <v>49</v>
      </c>
      <c r="D1822" s="221" t="s">
        <v>3873</v>
      </c>
      <c r="E1822" s="221" t="s">
        <v>3295</v>
      </c>
      <c r="F1822" s="221" t="s">
        <v>3299</v>
      </c>
      <c r="G1822" s="222">
        <v>45309</v>
      </c>
      <c r="H1822" s="223">
        <v>0.47569444444444442</v>
      </c>
      <c r="I1822" s="221" t="s">
        <v>4916</v>
      </c>
      <c r="J1822" s="221" t="s">
        <v>3023</v>
      </c>
      <c r="K1822" s="224" t="s">
        <v>3227</v>
      </c>
      <c r="L1822" s="225" t="str">
        <f>VLOOKUP(Logfile_S12[[#This Row],[Material Name]],Sheet2!B:C,2,0)</f>
        <v>ZTE1001</v>
      </c>
      <c r="M1822" s="225" t="str">
        <f>_xlfn.XLOOKUP(Logfile_S12[[#This Row],[Material Name]],Sum_WH!E:E,Sum_WH!F:F,"",0)</f>
        <v>Pcs</v>
      </c>
      <c r="N1822" s="221">
        <v>19</v>
      </c>
      <c r="O1822" s="221" t="s">
        <v>828</v>
      </c>
      <c r="P1822" s="221" t="s">
        <v>829</v>
      </c>
      <c r="Q1822" s="221"/>
      <c r="R1822" s="221"/>
      <c r="S1822" s="221"/>
      <c r="T1822" s="221" t="s">
        <v>3339</v>
      </c>
      <c r="U1822" s="221" t="s">
        <v>3228</v>
      </c>
      <c r="V1822" s="221" t="s">
        <v>3340</v>
      </c>
      <c r="W1822" s="221" t="s">
        <v>3245</v>
      </c>
      <c r="X1822" s="221"/>
      <c r="Y1822" s="227"/>
      <c r="Z1822" s="227" t="str">
        <f t="shared" si="67"/>
        <v>Perumahan Pondok Mutiara Malang</v>
      </c>
      <c r="AA1822" s="276" t="e">
        <f>VLOOKUP(Logfile_S12[[#This Row],[DO number]],DO_DB!G:I,3,0)</f>
        <v>#N/A</v>
      </c>
      <c r="AB1822" s="331" t="e">
        <f>EXACT(Logfile_S12[[#This Row],[date pick]],Logfile_S12[[#This Row],[Date]])</f>
        <v>#N/A</v>
      </c>
      <c r="AC18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23" spans="1:29" ht="14.5" hidden="1">
      <c r="A1823" s="220" t="str">
        <f t="shared" si="66"/>
        <v>1819</v>
      </c>
      <c r="B1823" s="221"/>
      <c r="C1823" s="221" t="s">
        <v>3449</v>
      </c>
      <c r="D1823" s="221" t="s">
        <v>3878</v>
      </c>
      <c r="E1823" s="221" t="s">
        <v>3295</v>
      </c>
      <c r="F1823" s="221" t="s">
        <v>3299</v>
      </c>
      <c r="G1823" s="222">
        <v>45310</v>
      </c>
      <c r="H1823" s="223">
        <v>0.55138888888888882</v>
      </c>
      <c r="I1823" s="221" t="s">
        <v>3193</v>
      </c>
      <c r="J1823" s="221" t="s">
        <v>3023</v>
      </c>
      <c r="K1823" s="224" t="s">
        <v>3069</v>
      </c>
      <c r="L1823" s="225" t="str">
        <f>VLOOKUP(Logfile_S12[[#This Row],[Material Name]],Sheet2!B:C,2,0)</f>
        <v>ZTE1001</v>
      </c>
      <c r="M1823" s="225" t="str">
        <f>_xlfn.XLOOKUP(Logfile_S12[[#This Row],[Material Name]],Sum_WH!E:E,Sum_WH!F:F,"",0)</f>
        <v>Pcs</v>
      </c>
      <c r="N1823" s="221">
        <v>2</v>
      </c>
      <c r="O1823" s="221" t="s">
        <v>4925</v>
      </c>
      <c r="P1823" s="221" t="s">
        <v>3266</v>
      </c>
      <c r="Q1823" s="221"/>
      <c r="R1823" s="221"/>
      <c r="S1823" s="221"/>
      <c r="T1823" s="221" t="s">
        <v>3573</v>
      </c>
      <c r="U1823" s="221">
        <v>0</v>
      </c>
      <c r="V1823" s="221">
        <v>0</v>
      </c>
      <c r="W1823" s="221">
        <v>0</v>
      </c>
      <c r="X1823" s="221" t="s">
        <v>3493</v>
      </c>
      <c r="Y1823" s="227"/>
      <c r="Z1823" s="227" t="str">
        <f t="shared" si="67"/>
        <v>YPTT</v>
      </c>
      <c r="AA1823" s="276" t="e">
        <f>VLOOKUP(Logfile_S12[[#This Row],[DO number]],DO_DB!G:I,3,0)</f>
        <v>#N/A</v>
      </c>
      <c r="AB1823" s="331" t="e">
        <f>EXACT(Logfile_S12[[#This Row],[date pick]],Logfile_S12[[#This Row],[Date]])</f>
        <v>#N/A</v>
      </c>
      <c r="AC18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824" spans="1:29" ht="14.5" hidden="1">
      <c r="A1824" s="220" t="str">
        <f t="shared" si="66"/>
        <v>1820</v>
      </c>
      <c r="B1824" s="221"/>
      <c r="C1824" s="221" t="s">
        <v>49</v>
      </c>
      <c r="D1824" s="221" t="s">
        <v>3879</v>
      </c>
      <c r="E1824" s="221" t="s">
        <v>3295</v>
      </c>
      <c r="F1824" s="221" t="s">
        <v>3299</v>
      </c>
      <c r="G1824" s="222">
        <v>45310</v>
      </c>
      <c r="H1824" s="223">
        <v>0.73333333333333339</v>
      </c>
      <c r="I1824" s="221" t="s">
        <v>4916</v>
      </c>
      <c r="J1824" s="221" t="s">
        <v>3023</v>
      </c>
      <c r="K1824" s="224" t="s">
        <v>3069</v>
      </c>
      <c r="L1824" s="225" t="str">
        <f>VLOOKUP(Logfile_S12[[#This Row],[Material Name]],Sheet2!B:C,2,0)</f>
        <v>ZTE1001</v>
      </c>
      <c r="M1824" s="225" t="str">
        <f>_xlfn.XLOOKUP(Logfile_S12[[#This Row],[Material Name]],Sum_WH!E:E,Sum_WH!F:F,"",0)</f>
        <v>Pcs</v>
      </c>
      <c r="N1824" s="221">
        <v>2</v>
      </c>
      <c r="O1824" s="221" t="s">
        <v>834</v>
      </c>
      <c r="P1824" s="221" t="s">
        <v>3335</v>
      </c>
      <c r="Q1824" s="221"/>
      <c r="R1824" s="221"/>
      <c r="S1824" s="221"/>
      <c r="T1824" s="221" t="s">
        <v>3258</v>
      </c>
      <c r="U1824" s="221" t="s">
        <v>3228</v>
      </c>
      <c r="V1824" s="221" t="s">
        <v>3337</v>
      </c>
      <c r="W1824" s="221" t="s">
        <v>3338</v>
      </c>
      <c r="X1824" s="221"/>
      <c r="Y1824" s="227"/>
      <c r="Z1824" s="227" t="str">
        <f t="shared" si="67"/>
        <v>HUBFEEDER BATURETNO RW 02</v>
      </c>
      <c r="AA1824" s="276" t="e">
        <f>VLOOKUP(Logfile_S12[[#This Row],[DO number]],DO_DB!G:I,3,0)</f>
        <v>#N/A</v>
      </c>
      <c r="AB1824" s="331" t="e">
        <f>EXACT(Logfile_S12[[#This Row],[date pick]],Logfile_S12[[#This Row],[Date]])</f>
        <v>#N/A</v>
      </c>
      <c r="AC18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25" spans="1:29" ht="14.5" hidden="1">
      <c r="A1825" s="220" t="str">
        <f t="shared" si="66"/>
        <v>1821</v>
      </c>
      <c r="B1825" s="221"/>
      <c r="C1825" s="221" t="s">
        <v>3313</v>
      </c>
      <c r="D1825" s="221" t="s">
        <v>3881</v>
      </c>
      <c r="E1825" s="221" t="s">
        <v>3295</v>
      </c>
      <c r="F1825" s="221" t="s">
        <v>3299</v>
      </c>
      <c r="G1825" s="222">
        <v>45311</v>
      </c>
      <c r="H1825" s="223">
        <v>15.291666666666666</v>
      </c>
      <c r="I1825" s="221" t="s">
        <v>37</v>
      </c>
      <c r="J1825" s="221" t="s">
        <v>3023</v>
      </c>
      <c r="K1825" s="224" t="s">
        <v>3069</v>
      </c>
      <c r="L1825" s="225" t="str">
        <f>VLOOKUP(Logfile_S12[[#This Row],[Material Name]],Sheet2!B:C,2,0)</f>
        <v>ZTE1001</v>
      </c>
      <c r="M1825" s="225" t="str">
        <f>_xlfn.XLOOKUP(Logfile_S12[[#This Row],[Material Name]],Sum_WH!E:E,Sum_WH!F:F,"",0)</f>
        <v>Pcs</v>
      </c>
      <c r="N1825" s="221">
        <v>1</v>
      </c>
      <c r="O1825" s="221" t="s">
        <v>3314</v>
      </c>
      <c r="P1825" s="221">
        <v>0</v>
      </c>
      <c r="Q1825" s="221">
        <v>0</v>
      </c>
      <c r="R1825" s="221" t="s">
        <v>3147</v>
      </c>
      <c r="S1825" s="221"/>
      <c r="T1825" s="221"/>
      <c r="U1825" s="221"/>
      <c r="V1825" s="221"/>
      <c r="W1825" s="221"/>
      <c r="X1825" s="221"/>
      <c r="Y1825" s="227"/>
      <c r="Z1825" s="227">
        <f t="shared" si="67"/>
        <v>0</v>
      </c>
      <c r="AA1825" s="276" t="e">
        <f>VLOOKUP(Logfile_S12[[#This Row],[DO number]],DO_DB!G:I,3,0)</f>
        <v>#N/A</v>
      </c>
      <c r="AB1825" s="331" t="e">
        <f>EXACT(Logfile_S12[[#This Row],[date pick]],Logfile_S12[[#This Row],[Date]])</f>
        <v>#N/A</v>
      </c>
      <c r="AC18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26" spans="1:29" ht="14.5" hidden="1">
      <c r="A1826" s="220" t="str">
        <f t="shared" si="66"/>
        <v>1822</v>
      </c>
      <c r="B1826" s="221"/>
      <c r="C1826" s="221" t="s">
        <v>49</v>
      </c>
      <c r="D1826" s="221" t="s">
        <v>3884</v>
      </c>
      <c r="E1826" s="221" t="s">
        <v>3295</v>
      </c>
      <c r="F1826" s="221" t="s">
        <v>3299</v>
      </c>
      <c r="G1826" s="222">
        <v>45312</v>
      </c>
      <c r="H1826" s="223">
        <v>0.35694444444444445</v>
      </c>
      <c r="I1826" s="221" t="s">
        <v>4916</v>
      </c>
      <c r="J1826" s="221" t="s">
        <v>3023</v>
      </c>
      <c r="K1826" s="224" t="s">
        <v>3069</v>
      </c>
      <c r="L1826" s="225" t="str">
        <f>VLOOKUP(Logfile_S12[[#This Row],[Material Name]],Sheet2!B:C,2,0)</f>
        <v>ZTE1001</v>
      </c>
      <c r="M1826" s="225" t="str">
        <f>_xlfn.XLOOKUP(Logfile_S12[[#This Row],[Material Name]],Sum_WH!E:E,Sum_WH!F:F,"",0)</f>
        <v>Pcs</v>
      </c>
      <c r="N1826" s="221">
        <v>4</v>
      </c>
      <c r="O1826" s="221" t="s">
        <v>828</v>
      </c>
      <c r="P1826" s="221" t="s">
        <v>829</v>
      </c>
      <c r="Q1826" s="221"/>
      <c r="R1826" s="221"/>
      <c r="S1826" s="221"/>
      <c r="T1826" s="221" t="s">
        <v>3339</v>
      </c>
      <c r="U1826" s="221" t="s">
        <v>3228</v>
      </c>
      <c r="V1826" s="221" t="s">
        <v>3340</v>
      </c>
      <c r="W1826" s="221" t="s">
        <v>3245</v>
      </c>
      <c r="X1826" s="221"/>
      <c r="Y1826" s="227"/>
      <c r="Z1826" s="227" t="str">
        <f t="shared" si="67"/>
        <v>Perumahan Pondok Mutiara Malang</v>
      </c>
      <c r="AA1826" s="276" t="e">
        <f>VLOOKUP(Logfile_S12[[#This Row],[DO number]],DO_DB!G:I,3,0)</f>
        <v>#N/A</v>
      </c>
      <c r="AB1826" s="331" t="e">
        <f>EXACT(Logfile_S12[[#This Row],[date pick]],Logfile_S12[[#This Row],[Date]])</f>
        <v>#N/A</v>
      </c>
      <c r="AC18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27" spans="1:29" ht="14.5" hidden="1">
      <c r="A1827" s="220" t="str">
        <f t="shared" si="66"/>
        <v>1823</v>
      </c>
      <c r="B1827" s="221"/>
      <c r="C1827" s="221" t="s">
        <v>3313</v>
      </c>
      <c r="D1827" s="221" t="s">
        <v>3893</v>
      </c>
      <c r="E1827" s="221" t="s">
        <v>3295</v>
      </c>
      <c r="F1827" s="221" t="s">
        <v>3299</v>
      </c>
      <c r="G1827" s="222">
        <v>45313</v>
      </c>
      <c r="H1827" s="223">
        <v>15.291666666666666</v>
      </c>
      <c r="I1827" s="221" t="s">
        <v>37</v>
      </c>
      <c r="J1827" s="221" t="s">
        <v>3023</v>
      </c>
      <c r="K1827" s="224" t="s">
        <v>3069</v>
      </c>
      <c r="L1827" s="225" t="str">
        <f>VLOOKUP(Logfile_S12[[#This Row],[Material Name]],Sheet2!B:C,2,0)</f>
        <v>ZTE1001</v>
      </c>
      <c r="M1827" s="225" t="str">
        <f>_xlfn.XLOOKUP(Logfile_S12[[#This Row],[Material Name]],Sum_WH!E:E,Sum_WH!F:F,"",0)</f>
        <v>Pcs</v>
      </c>
      <c r="N1827" s="221">
        <v>1</v>
      </c>
      <c r="O1827" s="221" t="s">
        <v>3314</v>
      </c>
      <c r="P1827" s="221">
        <v>0</v>
      </c>
      <c r="Q1827" s="221">
        <v>0</v>
      </c>
      <c r="R1827" s="221" t="s">
        <v>3147</v>
      </c>
      <c r="S1827" s="221"/>
      <c r="T1827" s="221"/>
      <c r="U1827" s="221"/>
      <c r="V1827" s="221"/>
      <c r="W1827" s="221"/>
      <c r="X1827" s="221"/>
      <c r="Y1827" s="227"/>
      <c r="Z1827" s="227">
        <f t="shared" si="67"/>
        <v>0</v>
      </c>
      <c r="AA1827" s="276" t="e">
        <f>VLOOKUP(Logfile_S12[[#This Row],[DO number]],DO_DB!G:I,3,0)</f>
        <v>#N/A</v>
      </c>
      <c r="AB1827" s="331" t="e">
        <f>EXACT(Logfile_S12[[#This Row],[date pick]],Logfile_S12[[#This Row],[Date]])</f>
        <v>#N/A</v>
      </c>
      <c r="AC18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28" spans="1:29" ht="14.5" hidden="1">
      <c r="A1828" s="220" t="str">
        <f t="shared" si="66"/>
        <v>1824</v>
      </c>
      <c r="B1828" s="221"/>
      <c r="C1828" s="221" t="s">
        <v>3313</v>
      </c>
      <c r="D1828" s="221" t="s">
        <v>3893</v>
      </c>
      <c r="E1828" s="221" t="s">
        <v>3295</v>
      </c>
      <c r="F1828" s="221" t="s">
        <v>3299</v>
      </c>
      <c r="G1828" s="222">
        <v>45313</v>
      </c>
      <c r="H1828" s="223">
        <v>15.291666666666666</v>
      </c>
      <c r="I1828" s="221" t="s">
        <v>37</v>
      </c>
      <c r="J1828" s="221" t="s">
        <v>3023</v>
      </c>
      <c r="K1828" s="224" t="s">
        <v>3069</v>
      </c>
      <c r="L1828" s="225" t="str">
        <f>VLOOKUP(Logfile_S12[[#This Row],[Material Name]],Sheet2!B:C,2,0)</f>
        <v>ZTE1001</v>
      </c>
      <c r="M1828" s="225" t="str">
        <f>_xlfn.XLOOKUP(Logfile_S12[[#This Row],[Material Name]],Sum_WH!E:E,Sum_WH!F:F,"",0)</f>
        <v>Pcs</v>
      </c>
      <c r="N1828" s="221">
        <v>1</v>
      </c>
      <c r="O1828" s="221" t="s">
        <v>3314</v>
      </c>
      <c r="P1828" s="221">
        <v>0</v>
      </c>
      <c r="Q1828" s="221">
        <v>0</v>
      </c>
      <c r="R1828" s="221" t="s">
        <v>3147</v>
      </c>
      <c r="S1828" s="221"/>
      <c r="T1828" s="221"/>
      <c r="U1828" s="221"/>
      <c r="V1828" s="221"/>
      <c r="W1828" s="221"/>
      <c r="X1828" s="221"/>
      <c r="Y1828" s="227"/>
      <c r="Z1828" s="227">
        <f t="shared" si="67"/>
        <v>0</v>
      </c>
      <c r="AA1828" s="276" t="e">
        <f>VLOOKUP(Logfile_S12[[#This Row],[DO number]],DO_DB!G:I,3,0)</f>
        <v>#N/A</v>
      </c>
      <c r="AB1828" s="331" t="e">
        <f>EXACT(Logfile_S12[[#This Row],[date pick]],Logfile_S12[[#This Row],[Date]])</f>
        <v>#N/A</v>
      </c>
      <c r="AC18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29" spans="1:29" ht="14.5" hidden="1">
      <c r="A1829" s="220" t="str">
        <f t="shared" si="66"/>
        <v>1825</v>
      </c>
      <c r="B1829" s="221"/>
      <c r="C1829" s="221" t="s">
        <v>3449</v>
      </c>
      <c r="D1829" s="221" t="s">
        <v>3896</v>
      </c>
      <c r="E1829" s="221" t="s">
        <v>3295</v>
      </c>
      <c r="F1829" s="221" t="s">
        <v>3299</v>
      </c>
      <c r="G1829" s="222">
        <v>45315</v>
      </c>
      <c r="H1829" s="223">
        <v>0.45902777777777781</v>
      </c>
      <c r="I1829" s="221" t="s">
        <v>3193</v>
      </c>
      <c r="J1829" s="221" t="s">
        <v>3023</v>
      </c>
      <c r="K1829" s="224" t="s">
        <v>3069</v>
      </c>
      <c r="L1829" s="225" t="str">
        <f>VLOOKUP(Logfile_S12[[#This Row],[Material Name]],Sheet2!B:C,2,0)</f>
        <v>ZTE1001</v>
      </c>
      <c r="M1829" s="225" t="str">
        <f>_xlfn.XLOOKUP(Logfile_S12[[#This Row],[Material Name]],Sum_WH!E:E,Sum_WH!F:F,"",0)</f>
        <v>Pcs</v>
      </c>
      <c r="N1829" s="221">
        <v>17</v>
      </c>
      <c r="O1829" s="221" t="s">
        <v>4925</v>
      </c>
      <c r="P1829" s="221" t="s">
        <v>3266</v>
      </c>
      <c r="Q1829" s="221"/>
      <c r="R1829" s="221"/>
      <c r="S1829" s="221"/>
      <c r="T1829" s="221" t="s">
        <v>3302</v>
      </c>
      <c r="U1829" s="221">
        <v>0</v>
      </c>
      <c r="V1829" s="221">
        <v>0</v>
      </c>
      <c r="W1829" s="221">
        <v>0</v>
      </c>
      <c r="X1829" s="221" t="s">
        <v>3493</v>
      </c>
      <c r="Y1829" s="227"/>
      <c r="Z1829" s="227" t="str">
        <f t="shared" si="67"/>
        <v>YPTT</v>
      </c>
      <c r="AA1829" s="276" t="e">
        <f>VLOOKUP(Logfile_S12[[#This Row],[DO number]],DO_DB!G:I,3,0)</f>
        <v>#N/A</v>
      </c>
      <c r="AB1829" s="331" t="e">
        <f>EXACT(Logfile_S12[[#This Row],[date pick]],Logfile_S12[[#This Row],[Date]])</f>
        <v>#N/A</v>
      </c>
      <c r="AC18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830" spans="1:29" ht="14.5" hidden="1">
      <c r="A1830" s="220" t="str">
        <f t="shared" si="66"/>
        <v>1826</v>
      </c>
      <c r="B1830" s="221"/>
      <c r="C1830" s="221" t="s">
        <v>49</v>
      </c>
      <c r="D1830" s="221" t="s">
        <v>3899</v>
      </c>
      <c r="E1830" s="221" t="s">
        <v>3295</v>
      </c>
      <c r="F1830" s="221" t="s">
        <v>3299</v>
      </c>
      <c r="G1830" s="222">
        <v>45316</v>
      </c>
      <c r="H1830" s="223">
        <v>0.59652777777777777</v>
      </c>
      <c r="I1830" s="221" t="s">
        <v>4916</v>
      </c>
      <c r="J1830" s="221" t="s">
        <v>3023</v>
      </c>
      <c r="K1830" s="224" t="s">
        <v>3069</v>
      </c>
      <c r="L1830" s="225" t="str">
        <f>VLOOKUP(Logfile_S12[[#This Row],[Material Name]],Sheet2!B:C,2,0)</f>
        <v>ZTE1001</v>
      </c>
      <c r="M1830" s="225" t="str">
        <f>_xlfn.XLOOKUP(Logfile_S12[[#This Row],[Material Name]],Sum_WH!E:E,Sum_WH!F:F,"",0)</f>
        <v>Pcs</v>
      </c>
      <c r="N1830" s="221">
        <v>1</v>
      </c>
      <c r="O1830" s="221" t="s">
        <v>828</v>
      </c>
      <c r="P1830" s="221" t="s">
        <v>829</v>
      </c>
      <c r="Q1830" s="221"/>
      <c r="R1830" s="221"/>
      <c r="S1830" s="221"/>
      <c r="T1830" s="221" t="s">
        <v>3339</v>
      </c>
      <c r="U1830" s="221" t="s">
        <v>3228</v>
      </c>
      <c r="V1830" s="221" t="s">
        <v>3340</v>
      </c>
      <c r="W1830" s="221" t="s">
        <v>3245</v>
      </c>
      <c r="X1830" s="221"/>
      <c r="Y1830" s="227"/>
      <c r="Z1830" s="227" t="str">
        <f t="shared" si="67"/>
        <v>Perumahan Pondok Mutiara Malang</v>
      </c>
      <c r="AA1830" s="276" t="e">
        <f>VLOOKUP(Logfile_S12[[#This Row],[DO number]],DO_DB!G:I,3,0)</f>
        <v>#N/A</v>
      </c>
      <c r="AB1830" s="331" t="e">
        <f>EXACT(Logfile_S12[[#This Row],[date pick]],Logfile_S12[[#This Row],[Date]])</f>
        <v>#N/A</v>
      </c>
      <c r="AC18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31" spans="1:29" ht="14.5" hidden="1">
      <c r="A1831" s="220" t="str">
        <f t="shared" si="66"/>
        <v>1827</v>
      </c>
      <c r="B1831" s="221"/>
      <c r="C1831" s="221" t="s">
        <v>49</v>
      </c>
      <c r="D1831" s="221" t="s">
        <v>3902</v>
      </c>
      <c r="E1831" s="221" t="s">
        <v>3295</v>
      </c>
      <c r="F1831" s="221" t="s">
        <v>3299</v>
      </c>
      <c r="G1831" s="222">
        <v>45317</v>
      </c>
      <c r="H1831" s="223">
        <v>0.35416666666666669</v>
      </c>
      <c r="I1831" s="221" t="s">
        <v>4916</v>
      </c>
      <c r="J1831" s="221" t="s">
        <v>3023</v>
      </c>
      <c r="K1831" s="224" t="s">
        <v>3069</v>
      </c>
      <c r="L1831" s="225" t="str">
        <f>VLOOKUP(Logfile_S12[[#This Row],[Material Name]],Sheet2!B:C,2,0)</f>
        <v>ZTE1001</v>
      </c>
      <c r="M1831" s="225" t="str">
        <f>_xlfn.XLOOKUP(Logfile_S12[[#This Row],[Material Name]],Sum_WH!E:E,Sum_WH!F:F,"",0)</f>
        <v>Pcs</v>
      </c>
      <c r="N1831" s="221">
        <v>1</v>
      </c>
      <c r="O1831" s="221" t="s">
        <v>828</v>
      </c>
      <c r="P1831" s="221" t="s">
        <v>829</v>
      </c>
      <c r="Q1831" s="221"/>
      <c r="R1831" s="221"/>
      <c r="S1831" s="221"/>
      <c r="T1831" s="221" t="s">
        <v>3339</v>
      </c>
      <c r="U1831" s="221" t="s">
        <v>3228</v>
      </c>
      <c r="V1831" s="221" t="s">
        <v>3340</v>
      </c>
      <c r="W1831" s="221" t="s">
        <v>3245</v>
      </c>
      <c r="X1831" s="221"/>
      <c r="Y1831" s="227"/>
      <c r="Z1831" s="227" t="str">
        <f t="shared" si="67"/>
        <v>Perumahan Pondok Mutiara Malang</v>
      </c>
      <c r="AA1831" s="276" t="e">
        <f>VLOOKUP(Logfile_S12[[#This Row],[DO number]],DO_DB!G:I,3,0)</f>
        <v>#N/A</v>
      </c>
      <c r="AB1831" s="331" t="e">
        <f>EXACT(Logfile_S12[[#This Row],[date pick]],Logfile_S12[[#This Row],[Date]])</f>
        <v>#N/A</v>
      </c>
      <c r="AC18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32" spans="1:29" ht="14.5" hidden="1">
      <c r="A1832" s="220" t="str">
        <f t="shared" si="66"/>
        <v>1828</v>
      </c>
      <c r="B1832" s="221"/>
      <c r="C1832" s="221" t="s">
        <v>49</v>
      </c>
      <c r="D1832" s="221" t="s">
        <v>3909</v>
      </c>
      <c r="E1832" s="221" t="s">
        <v>3295</v>
      </c>
      <c r="F1832" s="221" t="s">
        <v>3299</v>
      </c>
      <c r="G1832" s="222">
        <v>45322</v>
      </c>
      <c r="H1832" s="223">
        <v>0.72013888888888899</v>
      </c>
      <c r="I1832" s="221" t="s">
        <v>4916</v>
      </c>
      <c r="J1832" s="221" t="s">
        <v>3023</v>
      </c>
      <c r="K1832" s="224" t="s">
        <v>3069</v>
      </c>
      <c r="L1832" s="225" t="str">
        <f>VLOOKUP(Logfile_S12[[#This Row],[Material Name]],Sheet2!B:C,2,0)</f>
        <v>ZTE1001</v>
      </c>
      <c r="M1832" s="225" t="str">
        <f>_xlfn.XLOOKUP(Logfile_S12[[#This Row],[Material Name]],Sum_WH!E:E,Sum_WH!F:F,"",0)</f>
        <v>Pcs</v>
      </c>
      <c r="N1832" s="221">
        <v>1</v>
      </c>
      <c r="O1832" s="221" t="s">
        <v>742</v>
      </c>
      <c r="P1832" s="221" t="s">
        <v>743</v>
      </c>
      <c r="Q1832" s="221"/>
      <c r="R1832" s="221"/>
      <c r="S1832" s="221"/>
      <c r="T1832" s="221" t="s">
        <v>3258</v>
      </c>
      <c r="U1832" s="221" t="s">
        <v>3228</v>
      </c>
      <c r="V1832" s="221" t="s">
        <v>3337</v>
      </c>
      <c r="W1832" s="221" t="s">
        <v>3338</v>
      </c>
      <c r="X1832" s="221"/>
      <c r="Y1832" s="227"/>
      <c r="Z1832" s="227" t="str">
        <f t="shared" si="67"/>
        <v>Baturetno RW 03 Singosari</v>
      </c>
      <c r="AA1832" s="276" t="e">
        <f>VLOOKUP(Logfile_S12[[#This Row],[DO number]],DO_DB!G:I,3,0)</f>
        <v>#N/A</v>
      </c>
      <c r="AB1832" s="331" t="e">
        <f>EXACT(Logfile_S12[[#This Row],[date pick]],Logfile_S12[[#This Row],[Date]])</f>
        <v>#N/A</v>
      </c>
      <c r="AC18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33" spans="1:29" ht="14.5" hidden="1">
      <c r="A1833" s="220" t="str">
        <f t="shared" si="66"/>
        <v>1829</v>
      </c>
      <c r="B1833" s="221"/>
      <c r="C1833" s="221" t="s">
        <v>3449</v>
      </c>
      <c r="D1833" s="221" t="s">
        <v>3910</v>
      </c>
      <c r="E1833" s="221" t="s">
        <v>3295</v>
      </c>
      <c r="F1833" s="221" t="s">
        <v>3299</v>
      </c>
      <c r="G1833" s="222">
        <v>45323</v>
      </c>
      <c r="H1833" s="223">
        <v>0.35416666666666669</v>
      </c>
      <c r="I1833" s="221" t="s">
        <v>3193</v>
      </c>
      <c r="J1833" s="221" t="s">
        <v>3023</v>
      </c>
      <c r="K1833" s="224" t="s">
        <v>3069</v>
      </c>
      <c r="L1833" s="225" t="str">
        <f>VLOOKUP(Logfile_S12[[#This Row],[Material Name]],Sheet2!B:C,2,0)</f>
        <v>ZTE1001</v>
      </c>
      <c r="M1833" s="225" t="str">
        <f>_xlfn.XLOOKUP(Logfile_S12[[#This Row],[Material Name]],Sum_WH!E:E,Sum_WH!F:F,"",0)</f>
        <v>Pcs</v>
      </c>
      <c r="N1833" s="221">
        <v>2</v>
      </c>
      <c r="O1833" s="221" t="s">
        <v>4925</v>
      </c>
      <c r="P1833" s="221" t="s">
        <v>3266</v>
      </c>
      <c r="Q1833" s="221"/>
      <c r="R1833" s="221"/>
      <c r="S1833" s="221"/>
      <c r="T1833" s="221" t="s">
        <v>3573</v>
      </c>
      <c r="U1833" s="221">
        <v>0</v>
      </c>
      <c r="V1833" s="221">
        <v>0</v>
      </c>
      <c r="W1833" s="221">
        <v>0</v>
      </c>
      <c r="X1833" s="221" t="s">
        <v>3493</v>
      </c>
      <c r="Y1833" s="227"/>
      <c r="Z1833" s="227" t="str">
        <f t="shared" si="67"/>
        <v>YPTT</v>
      </c>
      <c r="AA1833" s="276" t="e">
        <f>VLOOKUP(Logfile_S12[[#This Row],[DO number]],DO_DB!G:I,3,0)</f>
        <v>#N/A</v>
      </c>
      <c r="AB1833" s="331" t="e">
        <f>EXACT(Logfile_S12[[#This Row],[date pick]],Logfile_S12[[#This Row],[Date]])</f>
        <v>#N/A</v>
      </c>
      <c r="AC18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834" spans="1:29" ht="14.5" hidden="1">
      <c r="A1834" s="220" t="str">
        <f t="shared" si="66"/>
        <v>1830</v>
      </c>
      <c r="B1834" s="221"/>
      <c r="C1834" s="221" t="s">
        <v>3449</v>
      </c>
      <c r="D1834" s="221" t="s">
        <v>3910</v>
      </c>
      <c r="E1834" s="221" t="s">
        <v>3295</v>
      </c>
      <c r="F1834" s="221" t="s">
        <v>3299</v>
      </c>
      <c r="G1834" s="222">
        <v>45323</v>
      </c>
      <c r="H1834" s="223">
        <v>0.35416666666666669</v>
      </c>
      <c r="I1834" s="221" t="s">
        <v>3193</v>
      </c>
      <c r="J1834" s="221" t="s">
        <v>3023</v>
      </c>
      <c r="K1834" s="224" t="s">
        <v>3069</v>
      </c>
      <c r="L1834" s="225" t="str">
        <f>VLOOKUP(Logfile_S12[[#This Row],[Material Name]],Sheet2!B:C,2,0)</f>
        <v>ZTE1001</v>
      </c>
      <c r="M1834" s="225" t="str">
        <f>_xlfn.XLOOKUP(Logfile_S12[[#This Row],[Material Name]],Sum_WH!E:E,Sum_WH!F:F,"",0)</f>
        <v>Pcs</v>
      </c>
      <c r="N1834" s="221">
        <v>6</v>
      </c>
      <c r="O1834" s="221" t="s">
        <v>4925</v>
      </c>
      <c r="P1834" s="221" t="s">
        <v>3266</v>
      </c>
      <c r="Q1834" s="221"/>
      <c r="R1834" s="221"/>
      <c r="S1834" s="221"/>
      <c r="T1834" s="221" t="s">
        <v>3573</v>
      </c>
      <c r="U1834" s="221">
        <v>0</v>
      </c>
      <c r="V1834" s="221">
        <v>0</v>
      </c>
      <c r="W1834" s="221">
        <v>0</v>
      </c>
      <c r="X1834" s="221" t="s">
        <v>3251</v>
      </c>
      <c r="Y1834" s="227"/>
      <c r="Z1834" s="227" t="str">
        <f t="shared" si="67"/>
        <v>YPTT</v>
      </c>
      <c r="AA1834" s="276" t="e">
        <f>VLOOKUP(Logfile_S12[[#This Row],[DO number]],DO_DB!G:I,3,0)</f>
        <v>#N/A</v>
      </c>
      <c r="AB1834" s="331" t="e">
        <f>EXACT(Logfile_S12[[#This Row],[date pick]],Logfile_S12[[#This Row],[Date]])</f>
        <v>#N/A</v>
      </c>
      <c r="AC18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835" spans="1:29" ht="14.5" hidden="1">
      <c r="A1835" s="220" t="str">
        <f t="shared" si="66"/>
        <v>1831</v>
      </c>
      <c r="B1835" s="221"/>
      <c r="C1835" s="221" t="s">
        <v>49</v>
      </c>
      <c r="D1835" s="221" t="s">
        <v>3914</v>
      </c>
      <c r="E1835" s="221" t="s">
        <v>3295</v>
      </c>
      <c r="F1835" s="221" t="s">
        <v>3299</v>
      </c>
      <c r="G1835" s="222">
        <v>45329</v>
      </c>
      <c r="H1835" s="223">
        <v>0.94513888888888886</v>
      </c>
      <c r="I1835" s="221" t="s">
        <v>4916</v>
      </c>
      <c r="J1835" s="221" t="s">
        <v>3023</v>
      </c>
      <c r="K1835" s="224" t="s">
        <v>3069</v>
      </c>
      <c r="L1835" s="225" t="str">
        <f>VLOOKUP(Logfile_S12[[#This Row],[Material Name]],Sheet2!B:C,2,0)</f>
        <v>ZTE1001</v>
      </c>
      <c r="M1835" s="225" t="str">
        <f>_xlfn.XLOOKUP(Logfile_S12[[#This Row],[Material Name]],Sum_WH!E:E,Sum_WH!F:F,"",0)</f>
        <v>Pcs</v>
      </c>
      <c r="N1835" s="221">
        <v>3</v>
      </c>
      <c r="O1835" s="221" t="s">
        <v>834</v>
      </c>
      <c r="P1835" s="221" t="s">
        <v>3335</v>
      </c>
      <c r="Q1835" s="221"/>
      <c r="R1835" s="221"/>
      <c r="S1835" s="221"/>
      <c r="T1835" s="221" t="s">
        <v>3258</v>
      </c>
      <c r="U1835" s="221" t="s">
        <v>3228</v>
      </c>
      <c r="V1835" s="221" t="s">
        <v>3337</v>
      </c>
      <c r="W1835" s="221" t="s">
        <v>3338</v>
      </c>
      <c r="X1835" s="221"/>
      <c r="Y1835" s="227"/>
      <c r="Z1835" s="227" t="str">
        <f t="shared" si="67"/>
        <v>HUBFEEDER BATURETNO RW 02</v>
      </c>
      <c r="AA1835" s="276" t="e">
        <f>VLOOKUP(Logfile_S12[[#This Row],[DO number]],DO_DB!G:I,3,0)</f>
        <v>#N/A</v>
      </c>
      <c r="AB1835" s="331" t="e">
        <f>EXACT(Logfile_S12[[#This Row],[date pick]],Logfile_S12[[#This Row],[Date]])</f>
        <v>#N/A</v>
      </c>
      <c r="AC18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36" spans="1:29" ht="14.5" hidden="1">
      <c r="A1836" s="220" t="str">
        <f t="shared" si="66"/>
        <v>1832</v>
      </c>
      <c r="B1836" s="221"/>
      <c r="C1836" s="221" t="s">
        <v>49</v>
      </c>
      <c r="D1836" s="221" t="s">
        <v>3913</v>
      </c>
      <c r="E1836" s="221" t="s">
        <v>3295</v>
      </c>
      <c r="F1836" s="221" t="s">
        <v>3299</v>
      </c>
      <c r="G1836" s="222">
        <v>45329</v>
      </c>
      <c r="H1836" s="223">
        <v>7.5694444444444439E-2</v>
      </c>
      <c r="I1836" s="221" t="s">
        <v>4916</v>
      </c>
      <c r="J1836" s="221" t="s">
        <v>3023</v>
      </c>
      <c r="K1836" s="224" t="s">
        <v>3069</v>
      </c>
      <c r="L1836" s="225" t="str">
        <f>VLOOKUP(Logfile_S12[[#This Row],[Material Name]],Sheet2!B:C,2,0)</f>
        <v>ZTE1001</v>
      </c>
      <c r="M1836" s="225" t="str">
        <f>_xlfn.XLOOKUP(Logfile_S12[[#This Row],[Material Name]],Sum_WH!E:E,Sum_WH!F:F,"",0)</f>
        <v>Pcs</v>
      </c>
      <c r="N1836" s="221">
        <v>24</v>
      </c>
      <c r="O1836" s="221" t="s">
        <v>834</v>
      </c>
      <c r="P1836" s="221" t="s">
        <v>3335</v>
      </c>
      <c r="Q1836" s="221"/>
      <c r="R1836" s="221"/>
      <c r="S1836" s="221"/>
      <c r="T1836" s="221" t="s">
        <v>3258</v>
      </c>
      <c r="U1836" s="221" t="s">
        <v>3228</v>
      </c>
      <c r="V1836" s="221" t="s">
        <v>3337</v>
      </c>
      <c r="W1836" s="221" t="s">
        <v>3338</v>
      </c>
      <c r="X1836" s="221"/>
      <c r="Y1836" s="227"/>
      <c r="Z1836" s="227" t="str">
        <f t="shared" si="67"/>
        <v>HUBFEEDER BATURETNO RW 02</v>
      </c>
      <c r="AA1836" s="276" t="e">
        <f>VLOOKUP(Logfile_S12[[#This Row],[DO number]],DO_DB!G:I,3,0)</f>
        <v>#N/A</v>
      </c>
      <c r="AB1836" s="331" t="e">
        <f>EXACT(Logfile_S12[[#This Row],[date pick]],Logfile_S12[[#This Row],[Date]])</f>
        <v>#N/A</v>
      </c>
      <c r="AC18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37" spans="1:29" ht="14.5" hidden="1">
      <c r="A1837" s="220" t="str">
        <f t="shared" si="66"/>
        <v>1833</v>
      </c>
      <c r="B1837" s="221"/>
      <c r="C1837" s="221" t="s">
        <v>49</v>
      </c>
      <c r="D1837" s="221" t="s">
        <v>3916</v>
      </c>
      <c r="E1837" s="221" t="s">
        <v>3295</v>
      </c>
      <c r="F1837" s="221" t="s">
        <v>3299</v>
      </c>
      <c r="G1837" s="222">
        <v>45330</v>
      </c>
      <c r="H1837" s="223">
        <v>0.44097222222222227</v>
      </c>
      <c r="I1837" s="221" t="s">
        <v>4916</v>
      </c>
      <c r="J1837" s="221" t="s">
        <v>3023</v>
      </c>
      <c r="K1837" s="224" t="s">
        <v>3069</v>
      </c>
      <c r="L1837" s="225" t="str">
        <f>VLOOKUP(Logfile_S12[[#This Row],[Material Name]],Sheet2!B:C,2,0)</f>
        <v>ZTE1001</v>
      </c>
      <c r="M1837" s="225" t="str">
        <f>_xlfn.XLOOKUP(Logfile_S12[[#This Row],[Material Name]],Sum_WH!E:E,Sum_WH!F:F,"",0)</f>
        <v>Pcs</v>
      </c>
      <c r="N1837" s="221">
        <v>19</v>
      </c>
      <c r="O1837" s="221" t="s">
        <v>828</v>
      </c>
      <c r="P1837" s="221" t="s">
        <v>829</v>
      </c>
      <c r="Q1837" s="221"/>
      <c r="R1837" s="221"/>
      <c r="S1837" s="221"/>
      <c r="T1837" s="221" t="s">
        <v>3258</v>
      </c>
      <c r="U1837" s="221" t="s">
        <v>3228</v>
      </c>
      <c r="V1837" s="221" t="s">
        <v>3337</v>
      </c>
      <c r="W1837" s="221" t="s">
        <v>3338</v>
      </c>
      <c r="X1837" s="221"/>
      <c r="Y1837" s="227"/>
      <c r="Z1837" s="227" t="str">
        <f t="shared" si="67"/>
        <v>Perumahan Pondok Mutiara Malang</v>
      </c>
      <c r="AA1837" s="276" t="e">
        <f>VLOOKUP(Logfile_S12[[#This Row],[DO number]],DO_DB!G:I,3,0)</f>
        <v>#N/A</v>
      </c>
      <c r="AB1837" s="331" t="e">
        <f>EXACT(Logfile_S12[[#This Row],[date pick]],Logfile_S12[[#This Row],[Date]])</f>
        <v>#N/A</v>
      </c>
      <c r="AC18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38" spans="1:29" ht="14.5" hidden="1">
      <c r="A1838" s="220" t="str">
        <f t="shared" si="66"/>
        <v>1834</v>
      </c>
      <c r="B1838" s="221"/>
      <c r="C1838" s="221" t="s">
        <v>49</v>
      </c>
      <c r="D1838" s="221" t="s">
        <v>3919</v>
      </c>
      <c r="E1838" s="221" t="s">
        <v>3295</v>
      </c>
      <c r="F1838" s="221" t="s">
        <v>3299</v>
      </c>
      <c r="G1838" s="222">
        <v>45331</v>
      </c>
      <c r="H1838" s="223">
        <v>0.70763888888888893</v>
      </c>
      <c r="I1838" s="221" t="s">
        <v>4916</v>
      </c>
      <c r="J1838" s="221" t="s">
        <v>3023</v>
      </c>
      <c r="K1838" s="224" t="s">
        <v>3069</v>
      </c>
      <c r="L1838" s="225" t="str">
        <f>VLOOKUP(Logfile_S12[[#This Row],[Material Name]],Sheet2!B:C,2,0)</f>
        <v>ZTE1001</v>
      </c>
      <c r="M1838" s="225" t="str">
        <f>_xlfn.XLOOKUP(Logfile_S12[[#This Row],[Material Name]],Sum_WH!E:E,Sum_WH!F:F,"",0)</f>
        <v>Pcs</v>
      </c>
      <c r="N1838" s="221">
        <v>1</v>
      </c>
      <c r="O1838" s="221" t="s">
        <v>828</v>
      </c>
      <c r="P1838" s="221" t="s">
        <v>829</v>
      </c>
      <c r="Q1838" s="221"/>
      <c r="R1838" s="221"/>
      <c r="S1838" s="221"/>
      <c r="T1838" s="221" t="s">
        <v>3258</v>
      </c>
      <c r="U1838" s="221" t="s">
        <v>3228</v>
      </c>
      <c r="V1838" s="221" t="s">
        <v>3337</v>
      </c>
      <c r="W1838" s="221" t="s">
        <v>3338</v>
      </c>
      <c r="X1838" s="221"/>
      <c r="Y1838" s="227"/>
      <c r="Z1838" s="227" t="str">
        <f t="shared" si="67"/>
        <v>Perumahan Pondok Mutiara Malang</v>
      </c>
      <c r="AA1838" s="276" t="e">
        <f>VLOOKUP(Logfile_S12[[#This Row],[DO number]],DO_DB!G:I,3,0)</f>
        <v>#N/A</v>
      </c>
      <c r="AB1838" s="331" t="e">
        <f>EXACT(Logfile_S12[[#This Row],[date pick]],Logfile_S12[[#This Row],[Date]])</f>
        <v>#N/A</v>
      </c>
      <c r="AC18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39" spans="1:29" ht="14.5" hidden="1">
      <c r="A1839" s="220" t="str">
        <f t="shared" si="66"/>
        <v>1835</v>
      </c>
      <c r="B1839" s="221"/>
      <c r="C1839" s="221" t="s">
        <v>48</v>
      </c>
      <c r="D1839" s="221" t="s">
        <v>3924</v>
      </c>
      <c r="E1839" s="221" t="s">
        <v>3295</v>
      </c>
      <c r="F1839" s="221" t="s">
        <v>3299</v>
      </c>
      <c r="G1839" s="222">
        <v>45337</v>
      </c>
      <c r="H1839" s="223">
        <v>15.291666666666666</v>
      </c>
      <c r="I1839" s="221" t="s">
        <v>37</v>
      </c>
      <c r="J1839" s="221" t="s">
        <v>3023</v>
      </c>
      <c r="K1839" s="224" t="s">
        <v>3069</v>
      </c>
      <c r="L1839" s="225" t="str">
        <f>VLOOKUP(Logfile_S12[[#This Row],[Material Name]],Sheet2!B:C,2,0)</f>
        <v>ZTE1001</v>
      </c>
      <c r="M1839" s="225" t="str">
        <f>_xlfn.XLOOKUP(Logfile_S12[[#This Row],[Material Name]],Sum_WH!E:E,Sum_WH!F:F,"",0)</f>
        <v>Pcs</v>
      </c>
      <c r="N1839" s="221">
        <v>113</v>
      </c>
      <c r="O1839" s="221" t="s">
        <v>921</v>
      </c>
      <c r="P1839" s="221" t="s">
        <v>922</v>
      </c>
      <c r="Q1839" s="221" t="s">
        <v>923</v>
      </c>
      <c r="R1839" s="221" t="s">
        <v>924</v>
      </c>
      <c r="S1839" s="221"/>
      <c r="T1839" s="221"/>
      <c r="U1839" s="221"/>
      <c r="V1839" s="221"/>
      <c r="W1839" s="221"/>
      <c r="X1839" s="221"/>
      <c r="Y1839" s="227"/>
      <c r="Z1839" s="227" t="str">
        <f t="shared" si="67"/>
        <v>Bumiayu RW 03 Kedungkandang</v>
      </c>
      <c r="AA1839" s="276">
        <f>VLOOKUP(Logfile_S12[[#This Row],[DO number]],DO_DB!G:I,3,0)</f>
        <v>45337</v>
      </c>
      <c r="AB1839" s="331" t="b">
        <f>EXACT(Logfile_S12[[#This Row],[date pick]],Logfile_S12[[#This Row],[Date]])</f>
        <v>1</v>
      </c>
      <c r="AC18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40" spans="1:29" ht="14.5" hidden="1">
      <c r="A1840" s="220" t="str">
        <f t="shared" si="66"/>
        <v>1836</v>
      </c>
      <c r="B1840" s="221"/>
      <c r="C1840" s="221" t="s">
        <v>49</v>
      </c>
      <c r="D1840" s="221" t="s">
        <v>3923</v>
      </c>
      <c r="E1840" s="221" t="s">
        <v>3295</v>
      </c>
      <c r="F1840" s="221" t="s">
        <v>3299</v>
      </c>
      <c r="G1840" s="222">
        <v>45337</v>
      </c>
      <c r="H1840" s="223">
        <v>0.46111111111111108</v>
      </c>
      <c r="I1840" s="221" t="s">
        <v>4916</v>
      </c>
      <c r="J1840" s="221" t="s">
        <v>3023</v>
      </c>
      <c r="K1840" s="224" t="s">
        <v>3069</v>
      </c>
      <c r="L1840" s="225" t="str">
        <f>VLOOKUP(Logfile_S12[[#This Row],[Material Name]],Sheet2!B:C,2,0)</f>
        <v>ZTE1001</v>
      </c>
      <c r="M1840" s="225" t="str">
        <f>_xlfn.XLOOKUP(Logfile_S12[[#This Row],[Material Name]],Sum_WH!E:E,Sum_WH!F:F,"",0)</f>
        <v>Pcs</v>
      </c>
      <c r="N1840" s="221">
        <v>15</v>
      </c>
      <c r="O1840" s="221" t="s">
        <v>911</v>
      </c>
      <c r="P1840" s="221" t="s">
        <v>912</v>
      </c>
      <c r="Q1840" s="221"/>
      <c r="R1840" s="221"/>
      <c r="S1840" s="221"/>
      <c r="T1840" s="221" t="s">
        <v>3258</v>
      </c>
      <c r="U1840" s="221" t="s">
        <v>3228</v>
      </c>
      <c r="V1840" s="221" t="s">
        <v>3337</v>
      </c>
      <c r="W1840" s="221" t="s">
        <v>3338</v>
      </c>
      <c r="X1840" s="221"/>
      <c r="Y1840" s="227"/>
      <c r="Z1840" s="227" t="str">
        <f t="shared" si="67"/>
        <v>Bandulan RW 08 Sukun</v>
      </c>
      <c r="AA1840" s="276" t="e">
        <f>VLOOKUP(Logfile_S12[[#This Row],[DO number]],DO_DB!G:I,3,0)</f>
        <v>#N/A</v>
      </c>
      <c r="AB1840" s="331" t="e">
        <f>EXACT(Logfile_S12[[#This Row],[date pick]],Logfile_S12[[#This Row],[Date]])</f>
        <v>#N/A</v>
      </c>
      <c r="AC18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41" spans="1:29" ht="14.5" hidden="1">
      <c r="A1841" s="220" t="str">
        <f t="shared" si="66"/>
        <v>1837</v>
      </c>
      <c r="B1841" s="221"/>
      <c r="C1841" s="221" t="s">
        <v>3313</v>
      </c>
      <c r="D1841" s="221" t="s">
        <v>3925</v>
      </c>
      <c r="E1841" s="221" t="s">
        <v>3295</v>
      </c>
      <c r="F1841" s="221" t="s">
        <v>3299</v>
      </c>
      <c r="G1841" s="222">
        <v>45337</v>
      </c>
      <c r="H1841" s="223">
        <v>15.291666666666666</v>
      </c>
      <c r="I1841" s="221" t="s">
        <v>37</v>
      </c>
      <c r="J1841" s="221" t="s">
        <v>3023</v>
      </c>
      <c r="K1841" s="224" t="s">
        <v>3069</v>
      </c>
      <c r="L1841" s="225" t="str">
        <f>VLOOKUP(Logfile_S12[[#This Row],[Material Name]],Sheet2!B:C,2,0)</f>
        <v>ZTE1001</v>
      </c>
      <c r="M1841" s="225" t="str">
        <f>_xlfn.XLOOKUP(Logfile_S12[[#This Row],[Material Name]],Sum_WH!E:E,Sum_WH!F:F,"",0)</f>
        <v>Pcs</v>
      </c>
      <c r="N1841" s="221">
        <v>15</v>
      </c>
      <c r="O1841" s="221" t="s">
        <v>3314</v>
      </c>
      <c r="P1841" s="221">
        <v>0</v>
      </c>
      <c r="Q1841" s="221">
        <v>0</v>
      </c>
      <c r="R1841" s="221" t="s">
        <v>3147</v>
      </c>
      <c r="S1841" s="221"/>
      <c r="T1841" s="221"/>
      <c r="U1841" s="221"/>
      <c r="V1841" s="221"/>
      <c r="W1841" s="221"/>
      <c r="X1841" s="221"/>
      <c r="Y1841" s="227"/>
      <c r="Z1841" s="227">
        <f t="shared" si="67"/>
        <v>0</v>
      </c>
      <c r="AA1841" s="276" t="e">
        <f>VLOOKUP(Logfile_S12[[#This Row],[DO number]],DO_DB!G:I,3,0)</f>
        <v>#N/A</v>
      </c>
      <c r="AB1841" s="331" t="e">
        <f>EXACT(Logfile_S12[[#This Row],[date pick]],Logfile_S12[[#This Row],[Date]])</f>
        <v>#N/A</v>
      </c>
      <c r="AC18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42" spans="1:29" ht="14.5" hidden="1">
      <c r="A1842" s="220" t="str">
        <f t="shared" si="66"/>
        <v>1838</v>
      </c>
      <c r="B1842" s="221"/>
      <c r="C1842" s="221" t="s">
        <v>49</v>
      </c>
      <c r="D1842" s="221" t="s">
        <v>3934</v>
      </c>
      <c r="E1842" s="221" t="s">
        <v>3295</v>
      </c>
      <c r="F1842" s="221" t="s">
        <v>3299</v>
      </c>
      <c r="G1842" s="222">
        <v>45342</v>
      </c>
      <c r="H1842" s="223">
        <v>0.69861111111111107</v>
      </c>
      <c r="I1842" s="221" t="s">
        <v>4916</v>
      </c>
      <c r="J1842" s="221" t="s">
        <v>3023</v>
      </c>
      <c r="K1842" s="224" t="s">
        <v>3069</v>
      </c>
      <c r="L1842" s="225" t="str">
        <f>VLOOKUP(Logfile_S12[[#This Row],[Material Name]],Sheet2!B:C,2,0)</f>
        <v>ZTE1001</v>
      </c>
      <c r="M1842" s="225" t="str">
        <f>_xlfn.XLOOKUP(Logfile_S12[[#This Row],[Material Name]],Sum_WH!E:E,Sum_WH!F:F,"",0)</f>
        <v>Pcs</v>
      </c>
      <c r="N1842" s="221">
        <v>14</v>
      </c>
      <c r="O1842" s="221" t="s">
        <v>921</v>
      </c>
      <c r="P1842" s="221" t="s">
        <v>922</v>
      </c>
      <c r="Q1842" s="221"/>
      <c r="R1842" s="221"/>
      <c r="S1842" s="221"/>
      <c r="T1842" s="221" t="s">
        <v>3363</v>
      </c>
      <c r="U1842" s="221" t="s">
        <v>3228</v>
      </c>
      <c r="V1842" s="221" t="s">
        <v>3364</v>
      </c>
      <c r="W1842" s="221" t="s">
        <v>3365</v>
      </c>
      <c r="X1842" s="221"/>
      <c r="Y1842" s="227"/>
      <c r="Z1842" s="227" t="str">
        <f t="shared" si="67"/>
        <v>Bumiayu RW 03 Kedungkandang</v>
      </c>
      <c r="AA1842" s="276" t="e">
        <f>VLOOKUP(Logfile_S12[[#This Row],[DO number]],DO_DB!G:I,3,0)</f>
        <v>#N/A</v>
      </c>
      <c r="AB1842" s="331" t="e">
        <f>EXACT(Logfile_S12[[#This Row],[date pick]],Logfile_S12[[#This Row],[Date]])</f>
        <v>#N/A</v>
      </c>
      <c r="AC18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43" spans="1:29" ht="14.5" hidden="1">
      <c r="A1843" s="220" t="str">
        <f t="shared" si="66"/>
        <v>1839</v>
      </c>
      <c r="B1843" s="221"/>
      <c r="C1843" s="221" t="s">
        <v>49</v>
      </c>
      <c r="D1843" s="221" t="s">
        <v>3933</v>
      </c>
      <c r="E1843" s="221" t="s">
        <v>3295</v>
      </c>
      <c r="F1843" s="221" t="s">
        <v>3299</v>
      </c>
      <c r="G1843" s="222">
        <v>45342</v>
      </c>
      <c r="H1843" s="223">
        <v>0.51041666666666663</v>
      </c>
      <c r="I1843" s="221" t="s">
        <v>4916</v>
      </c>
      <c r="J1843" s="221" t="s">
        <v>3023</v>
      </c>
      <c r="K1843" s="224" t="s">
        <v>3069</v>
      </c>
      <c r="L1843" s="225" t="str">
        <f>VLOOKUP(Logfile_S12[[#This Row],[Material Name]],Sheet2!B:C,2,0)</f>
        <v>ZTE1001</v>
      </c>
      <c r="M1843" s="225" t="str">
        <f>_xlfn.XLOOKUP(Logfile_S12[[#This Row],[Material Name]],Sum_WH!E:E,Sum_WH!F:F,"",0)</f>
        <v>Pcs</v>
      </c>
      <c r="N1843" s="221">
        <v>21</v>
      </c>
      <c r="O1843" s="221" t="s">
        <v>834</v>
      </c>
      <c r="P1843" s="221" t="s">
        <v>3335</v>
      </c>
      <c r="Q1843" s="221"/>
      <c r="R1843" s="221"/>
      <c r="S1843" s="221"/>
      <c r="T1843" s="221" t="s">
        <v>3258</v>
      </c>
      <c r="U1843" s="221" t="s">
        <v>3228</v>
      </c>
      <c r="V1843" s="221" t="s">
        <v>3337</v>
      </c>
      <c r="W1843" s="221" t="s">
        <v>3338</v>
      </c>
      <c r="X1843" s="221"/>
      <c r="Y1843" s="227"/>
      <c r="Z1843" s="227" t="str">
        <f t="shared" si="67"/>
        <v>HUBFEEDER BATURETNO RW 02</v>
      </c>
      <c r="AA1843" s="276" t="e">
        <f>VLOOKUP(Logfile_S12[[#This Row],[DO number]],DO_DB!G:I,3,0)</f>
        <v>#N/A</v>
      </c>
      <c r="AB1843" s="331" t="e">
        <f>EXACT(Logfile_S12[[#This Row],[date pick]],Logfile_S12[[#This Row],[Date]])</f>
        <v>#N/A</v>
      </c>
      <c r="AC18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44" spans="1:29" ht="14.5" hidden="1">
      <c r="A1844" s="220" t="str">
        <f t="shared" si="66"/>
        <v>1840</v>
      </c>
      <c r="B1844" s="221"/>
      <c r="C1844" s="221" t="s">
        <v>49</v>
      </c>
      <c r="D1844" s="221" t="s">
        <v>3932</v>
      </c>
      <c r="E1844" s="221" t="s">
        <v>3295</v>
      </c>
      <c r="F1844" s="221" t="s">
        <v>3299</v>
      </c>
      <c r="G1844" s="222">
        <v>45342</v>
      </c>
      <c r="H1844" s="223">
        <v>0.36874999999999997</v>
      </c>
      <c r="I1844" s="221" t="s">
        <v>4916</v>
      </c>
      <c r="J1844" s="221" t="s">
        <v>3023</v>
      </c>
      <c r="K1844" s="224" t="s">
        <v>3069</v>
      </c>
      <c r="L1844" s="225" t="str">
        <f>VLOOKUP(Logfile_S12[[#This Row],[Material Name]],Sheet2!B:C,2,0)</f>
        <v>ZTE1001</v>
      </c>
      <c r="M1844" s="225" t="str">
        <f>_xlfn.XLOOKUP(Logfile_S12[[#This Row],[Material Name]],Sum_WH!E:E,Sum_WH!F:F,"",0)</f>
        <v>Pcs</v>
      </c>
      <c r="N1844" s="221">
        <v>25</v>
      </c>
      <c r="O1844" s="221" t="s">
        <v>921</v>
      </c>
      <c r="P1844" s="221" t="s">
        <v>922</v>
      </c>
      <c r="Q1844" s="221"/>
      <c r="R1844" s="221"/>
      <c r="S1844" s="221"/>
      <c r="T1844" s="221" t="s">
        <v>3363</v>
      </c>
      <c r="U1844" s="221" t="s">
        <v>3228</v>
      </c>
      <c r="V1844" s="221" t="s">
        <v>3364</v>
      </c>
      <c r="W1844" s="221" t="s">
        <v>3365</v>
      </c>
      <c r="X1844" s="221"/>
      <c r="Y1844" s="227"/>
      <c r="Z1844" s="227" t="str">
        <f t="shared" si="67"/>
        <v>Bumiayu RW 03 Kedungkandang</v>
      </c>
      <c r="AA1844" s="276" t="e">
        <f>VLOOKUP(Logfile_S12[[#This Row],[DO number]],DO_DB!G:I,3,0)</f>
        <v>#N/A</v>
      </c>
      <c r="AB1844" s="331" t="e">
        <f>EXACT(Logfile_S12[[#This Row],[date pick]],Logfile_S12[[#This Row],[Date]])</f>
        <v>#N/A</v>
      </c>
      <c r="AC18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45" spans="1:29" ht="14.5" hidden="1">
      <c r="A1845" s="220" t="str">
        <f t="shared" si="66"/>
        <v>1841</v>
      </c>
      <c r="B1845" s="221"/>
      <c r="C1845" s="221" t="s">
        <v>49</v>
      </c>
      <c r="D1845" s="221" t="s">
        <v>3936</v>
      </c>
      <c r="E1845" s="221" t="s">
        <v>3295</v>
      </c>
      <c r="F1845" s="221" t="s">
        <v>3299</v>
      </c>
      <c r="G1845" s="222">
        <v>45343</v>
      </c>
      <c r="H1845" s="223">
        <v>0.68055555555555547</v>
      </c>
      <c r="I1845" s="221" t="s">
        <v>4916</v>
      </c>
      <c r="J1845" s="221" t="s">
        <v>3023</v>
      </c>
      <c r="K1845" s="224" t="s">
        <v>3069</v>
      </c>
      <c r="L1845" s="225" t="str">
        <f>VLOOKUP(Logfile_S12[[#This Row],[Material Name]],Sheet2!B:C,2,0)</f>
        <v>ZTE1001</v>
      </c>
      <c r="M1845" s="225" t="str">
        <f>_xlfn.XLOOKUP(Logfile_S12[[#This Row],[Material Name]],Sum_WH!E:E,Sum_WH!F:F,"",0)</f>
        <v>Pcs</v>
      </c>
      <c r="N1845" s="221">
        <v>5</v>
      </c>
      <c r="O1845" s="221" t="s">
        <v>838</v>
      </c>
      <c r="P1845" s="221" t="s">
        <v>3361</v>
      </c>
      <c r="Q1845" s="221"/>
      <c r="R1845" s="221"/>
      <c r="S1845" s="221"/>
      <c r="T1845" s="221" t="s">
        <v>3258</v>
      </c>
      <c r="U1845" s="221" t="s">
        <v>3228</v>
      </c>
      <c r="V1845" s="221" t="s">
        <v>3337</v>
      </c>
      <c r="W1845" s="221" t="s">
        <v>3338</v>
      </c>
      <c r="X1845" s="221"/>
      <c r="Y1845" s="227"/>
      <c r="Z1845" s="227" t="str">
        <f t="shared" si="67"/>
        <v>TAMANHARJO RW 04 SINGOSARI</v>
      </c>
      <c r="AA1845" s="276" t="e">
        <f>VLOOKUP(Logfile_S12[[#This Row],[DO number]],DO_DB!G:I,3,0)</f>
        <v>#N/A</v>
      </c>
      <c r="AB1845" s="331" t="e">
        <f>EXACT(Logfile_S12[[#This Row],[date pick]],Logfile_S12[[#This Row],[Date]])</f>
        <v>#N/A</v>
      </c>
      <c r="AC18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46" spans="1:29" ht="14.5" hidden="1">
      <c r="A1846" s="220" t="str">
        <f t="shared" si="66"/>
        <v>1842</v>
      </c>
      <c r="B1846" s="221"/>
      <c r="C1846" s="221" t="s">
        <v>49</v>
      </c>
      <c r="D1846" s="221" t="s">
        <v>3935</v>
      </c>
      <c r="E1846" s="221" t="s">
        <v>3295</v>
      </c>
      <c r="F1846" s="221" t="s">
        <v>3299</v>
      </c>
      <c r="G1846" s="222">
        <v>45343</v>
      </c>
      <c r="H1846" s="223">
        <v>0.53819444444444442</v>
      </c>
      <c r="I1846" s="221" t="s">
        <v>4916</v>
      </c>
      <c r="J1846" s="221" t="s">
        <v>3023</v>
      </c>
      <c r="K1846" s="224" t="s">
        <v>3069</v>
      </c>
      <c r="L1846" s="225" t="str">
        <f>VLOOKUP(Logfile_S12[[#This Row],[Material Name]],Sheet2!B:C,2,0)</f>
        <v>ZTE1001</v>
      </c>
      <c r="M1846" s="225" t="str">
        <f>_xlfn.XLOOKUP(Logfile_S12[[#This Row],[Material Name]],Sum_WH!E:E,Sum_WH!F:F,"",0)</f>
        <v>Pcs</v>
      </c>
      <c r="N1846" s="221">
        <v>21</v>
      </c>
      <c r="O1846" s="221" t="s">
        <v>838</v>
      </c>
      <c r="P1846" s="221" t="s">
        <v>3361</v>
      </c>
      <c r="Q1846" s="221"/>
      <c r="R1846" s="221"/>
      <c r="S1846" s="221"/>
      <c r="T1846" s="221" t="s">
        <v>3258</v>
      </c>
      <c r="U1846" s="221" t="s">
        <v>3228</v>
      </c>
      <c r="V1846" s="221" t="s">
        <v>3337</v>
      </c>
      <c r="W1846" s="221" t="s">
        <v>3338</v>
      </c>
      <c r="X1846" s="221"/>
      <c r="Y1846" s="227"/>
      <c r="Z1846" s="227" t="str">
        <f t="shared" si="67"/>
        <v>TAMANHARJO RW 04 SINGOSARI</v>
      </c>
      <c r="AA1846" s="276" t="e">
        <f>VLOOKUP(Logfile_S12[[#This Row],[DO number]],DO_DB!G:I,3,0)</f>
        <v>#N/A</v>
      </c>
      <c r="AB1846" s="331" t="e">
        <f>EXACT(Logfile_S12[[#This Row],[date pick]],Logfile_S12[[#This Row],[Date]])</f>
        <v>#N/A</v>
      </c>
      <c r="AC18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47" spans="1:29" ht="14.5" hidden="1">
      <c r="A1847" s="220" t="str">
        <f t="shared" si="66"/>
        <v>1843</v>
      </c>
      <c r="B1847" s="221"/>
      <c r="C1847" s="221" t="s">
        <v>49</v>
      </c>
      <c r="D1847" s="221" t="s">
        <v>3937</v>
      </c>
      <c r="E1847" s="221" t="s">
        <v>3295</v>
      </c>
      <c r="F1847" s="221" t="s">
        <v>3299</v>
      </c>
      <c r="G1847" s="222">
        <v>45343</v>
      </c>
      <c r="H1847" s="223">
        <v>0.71319444444444446</v>
      </c>
      <c r="I1847" s="221" t="s">
        <v>4916</v>
      </c>
      <c r="J1847" s="221" t="s">
        <v>3023</v>
      </c>
      <c r="K1847" s="224" t="s">
        <v>3069</v>
      </c>
      <c r="L1847" s="225" t="str">
        <f>VLOOKUP(Logfile_S12[[#This Row],[Material Name]],Sheet2!B:C,2,0)</f>
        <v>ZTE1001</v>
      </c>
      <c r="M1847" s="225" t="str">
        <f>_xlfn.XLOOKUP(Logfile_S12[[#This Row],[Material Name]],Sum_WH!E:E,Sum_WH!F:F,"",0)</f>
        <v>Pcs</v>
      </c>
      <c r="N1847" s="221">
        <v>23</v>
      </c>
      <c r="O1847" s="221" t="s">
        <v>921</v>
      </c>
      <c r="P1847" s="221" t="s">
        <v>922</v>
      </c>
      <c r="Q1847" s="221"/>
      <c r="R1847" s="221"/>
      <c r="S1847" s="221"/>
      <c r="T1847" s="221" t="s">
        <v>3363</v>
      </c>
      <c r="U1847" s="221" t="s">
        <v>3228</v>
      </c>
      <c r="V1847" s="221" t="s">
        <v>3364</v>
      </c>
      <c r="W1847" s="221" t="s">
        <v>3365</v>
      </c>
      <c r="X1847" s="221"/>
      <c r="Y1847" s="227"/>
      <c r="Z1847" s="227" t="str">
        <f t="shared" si="67"/>
        <v>Bumiayu RW 03 Kedungkandang</v>
      </c>
      <c r="AA1847" s="276" t="e">
        <f>VLOOKUP(Logfile_S12[[#This Row],[DO number]],DO_DB!G:I,3,0)</f>
        <v>#N/A</v>
      </c>
      <c r="AB1847" s="331" t="e">
        <f>EXACT(Logfile_S12[[#This Row],[date pick]],Logfile_S12[[#This Row],[Date]])</f>
        <v>#N/A</v>
      </c>
      <c r="AC18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48" spans="1:29" ht="14.5" hidden="1">
      <c r="A1848" s="220" t="str">
        <f t="shared" si="66"/>
        <v>1844</v>
      </c>
      <c r="B1848" s="221"/>
      <c r="C1848" s="221" t="s">
        <v>49</v>
      </c>
      <c r="D1848" s="221" t="s">
        <v>3940</v>
      </c>
      <c r="E1848" s="221" t="s">
        <v>3295</v>
      </c>
      <c r="F1848" s="221" t="s">
        <v>3299</v>
      </c>
      <c r="G1848" s="222">
        <v>45344</v>
      </c>
      <c r="H1848" s="223">
        <v>0.63541666666666663</v>
      </c>
      <c r="I1848" s="221" t="s">
        <v>4916</v>
      </c>
      <c r="J1848" s="221" t="s">
        <v>3023</v>
      </c>
      <c r="K1848" s="224" t="s">
        <v>3069</v>
      </c>
      <c r="L1848" s="225" t="str">
        <f>VLOOKUP(Logfile_S12[[#This Row],[Material Name]],Sheet2!B:C,2,0)</f>
        <v>ZTE1001</v>
      </c>
      <c r="M1848" s="225" t="str">
        <f>_xlfn.XLOOKUP(Logfile_S12[[#This Row],[Material Name]],Sum_WH!E:E,Sum_WH!F:F,"",0)</f>
        <v>Pcs</v>
      </c>
      <c r="N1848" s="221">
        <v>1</v>
      </c>
      <c r="O1848" s="221" t="s">
        <v>838</v>
      </c>
      <c r="P1848" s="221" t="s">
        <v>3361</v>
      </c>
      <c r="Q1848" s="221"/>
      <c r="R1848" s="221"/>
      <c r="S1848" s="221"/>
      <c r="T1848" s="221" t="s">
        <v>3258</v>
      </c>
      <c r="U1848" s="221" t="s">
        <v>3228</v>
      </c>
      <c r="V1848" s="221" t="s">
        <v>3337</v>
      </c>
      <c r="W1848" s="221" t="s">
        <v>3338</v>
      </c>
      <c r="X1848" s="221"/>
      <c r="Y1848" s="227"/>
      <c r="Z1848" s="227" t="str">
        <f t="shared" si="67"/>
        <v>TAMANHARJO RW 04 SINGOSARI</v>
      </c>
      <c r="AA1848" s="276" t="e">
        <f>VLOOKUP(Logfile_S12[[#This Row],[DO number]],DO_DB!G:I,3,0)</f>
        <v>#N/A</v>
      </c>
      <c r="AB1848" s="331" t="e">
        <f>EXACT(Logfile_S12[[#This Row],[date pick]],Logfile_S12[[#This Row],[Date]])</f>
        <v>#N/A</v>
      </c>
      <c r="AC18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49" spans="1:29" ht="14.5" hidden="1">
      <c r="A1849" s="220" t="str">
        <f t="shared" si="66"/>
        <v>1845</v>
      </c>
      <c r="B1849" s="221"/>
      <c r="C1849" s="221" t="s">
        <v>49</v>
      </c>
      <c r="D1849" s="221" t="s">
        <v>3939</v>
      </c>
      <c r="E1849" s="221" t="s">
        <v>3295</v>
      </c>
      <c r="F1849" s="221" t="s">
        <v>3299</v>
      </c>
      <c r="G1849" s="222">
        <v>45344</v>
      </c>
      <c r="H1849" s="223">
        <v>0.49791666666666662</v>
      </c>
      <c r="I1849" s="221" t="s">
        <v>4916</v>
      </c>
      <c r="J1849" s="221" t="s">
        <v>3023</v>
      </c>
      <c r="K1849" s="224" t="s">
        <v>3069</v>
      </c>
      <c r="L1849" s="225" t="str">
        <f>VLOOKUP(Logfile_S12[[#This Row],[Material Name]],Sheet2!B:C,2,0)</f>
        <v>ZTE1001</v>
      </c>
      <c r="M1849" s="225" t="str">
        <f>_xlfn.XLOOKUP(Logfile_S12[[#This Row],[Material Name]],Sum_WH!E:E,Sum_WH!F:F,"",0)</f>
        <v>Pcs</v>
      </c>
      <c r="N1849" s="221">
        <v>25</v>
      </c>
      <c r="O1849" s="221" t="s">
        <v>921</v>
      </c>
      <c r="P1849" s="221" t="s">
        <v>922</v>
      </c>
      <c r="Q1849" s="221"/>
      <c r="R1849" s="221"/>
      <c r="S1849" s="221"/>
      <c r="T1849" s="221" t="s">
        <v>3363</v>
      </c>
      <c r="U1849" s="221" t="s">
        <v>3228</v>
      </c>
      <c r="V1849" s="221" t="s">
        <v>3364</v>
      </c>
      <c r="W1849" s="221" t="s">
        <v>3365</v>
      </c>
      <c r="X1849" s="221"/>
      <c r="Y1849" s="227"/>
      <c r="Z1849" s="227" t="str">
        <f t="shared" si="67"/>
        <v>Bumiayu RW 03 Kedungkandang</v>
      </c>
      <c r="AA1849" s="276" t="e">
        <f>VLOOKUP(Logfile_S12[[#This Row],[DO number]],DO_DB!G:I,3,0)</f>
        <v>#N/A</v>
      </c>
      <c r="AB1849" s="331" t="e">
        <f>EXACT(Logfile_S12[[#This Row],[date pick]],Logfile_S12[[#This Row],[Date]])</f>
        <v>#N/A</v>
      </c>
      <c r="AC18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50" spans="1:29" ht="14.5" hidden="1">
      <c r="A1850" s="220" t="str">
        <f t="shared" si="66"/>
        <v>1846</v>
      </c>
      <c r="B1850" s="221"/>
      <c r="C1850" s="221" t="s">
        <v>49</v>
      </c>
      <c r="D1850" s="221" t="s">
        <v>3950</v>
      </c>
      <c r="E1850" s="221" t="s">
        <v>3295</v>
      </c>
      <c r="F1850" s="221" t="s">
        <v>3299</v>
      </c>
      <c r="G1850" s="222">
        <v>45348</v>
      </c>
      <c r="H1850" s="223">
        <v>0.35902777777777778</v>
      </c>
      <c r="I1850" s="221" t="s">
        <v>4916</v>
      </c>
      <c r="J1850" s="221" t="s">
        <v>3023</v>
      </c>
      <c r="K1850" s="224" t="s">
        <v>3069</v>
      </c>
      <c r="L1850" s="225" t="str">
        <f>VLOOKUP(Logfile_S12[[#This Row],[Material Name]],Sheet2!B:C,2,0)</f>
        <v>ZTE1001</v>
      </c>
      <c r="M1850" s="225" t="str">
        <f>_xlfn.XLOOKUP(Logfile_S12[[#This Row],[Material Name]],Sum_WH!E:E,Sum_WH!F:F,"",0)</f>
        <v>Pcs</v>
      </c>
      <c r="N1850" s="221">
        <v>8</v>
      </c>
      <c r="O1850" s="221" t="s">
        <v>921</v>
      </c>
      <c r="P1850" s="221" t="s">
        <v>922</v>
      </c>
      <c r="Q1850" s="221"/>
      <c r="R1850" s="221"/>
      <c r="S1850" s="221"/>
      <c r="T1850" s="221" t="s">
        <v>3363</v>
      </c>
      <c r="U1850" s="221" t="s">
        <v>3228</v>
      </c>
      <c r="V1850" s="221" t="s">
        <v>3364</v>
      </c>
      <c r="W1850" s="221" t="s">
        <v>3365</v>
      </c>
      <c r="X1850" s="221"/>
      <c r="Y1850" s="227"/>
      <c r="Z1850" s="227" t="str">
        <f t="shared" si="67"/>
        <v>Bumiayu RW 03 Kedungkandang</v>
      </c>
      <c r="AA1850" s="276" t="e">
        <f>VLOOKUP(Logfile_S12[[#This Row],[DO number]],DO_DB!G:I,3,0)</f>
        <v>#N/A</v>
      </c>
      <c r="AB1850" s="331" t="e">
        <f>EXACT(Logfile_S12[[#This Row],[date pick]],Logfile_S12[[#This Row],[Date]])</f>
        <v>#N/A</v>
      </c>
      <c r="AC18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51" spans="1:29" ht="14.5" hidden="1">
      <c r="A1851" s="220" t="str">
        <f t="shared" si="66"/>
        <v>1847</v>
      </c>
      <c r="B1851" s="221"/>
      <c r="C1851" s="221" t="s">
        <v>49</v>
      </c>
      <c r="D1851" s="221" t="s">
        <v>3952</v>
      </c>
      <c r="E1851" s="221" t="s">
        <v>3295</v>
      </c>
      <c r="F1851" s="221" t="s">
        <v>3299</v>
      </c>
      <c r="G1851" s="222">
        <v>45349</v>
      </c>
      <c r="H1851" s="223">
        <v>0.59375</v>
      </c>
      <c r="I1851" s="221" t="s">
        <v>4916</v>
      </c>
      <c r="J1851" s="221" t="s">
        <v>3023</v>
      </c>
      <c r="K1851" s="224" t="s">
        <v>3069</v>
      </c>
      <c r="L1851" s="225" t="str">
        <f>VLOOKUP(Logfile_S12[[#This Row],[Material Name]],Sheet2!B:C,2,0)</f>
        <v>ZTE1001</v>
      </c>
      <c r="M1851" s="225" t="str">
        <f>_xlfn.XLOOKUP(Logfile_S12[[#This Row],[Material Name]],Sum_WH!E:E,Sum_WH!F:F,"",0)</f>
        <v>Pcs</v>
      </c>
      <c r="N1851" s="221">
        <v>21</v>
      </c>
      <c r="O1851" s="221" t="s">
        <v>1013</v>
      </c>
      <c r="P1851" s="221" t="s">
        <v>1014</v>
      </c>
      <c r="Q1851" s="221"/>
      <c r="R1851" s="221"/>
      <c r="S1851" s="221"/>
      <c r="T1851" s="221" t="s">
        <v>3258</v>
      </c>
      <c r="U1851" s="221" t="s">
        <v>3228</v>
      </c>
      <c r="V1851" s="221" t="s">
        <v>3337</v>
      </c>
      <c r="W1851" s="221" t="s">
        <v>3338</v>
      </c>
      <c r="X1851" s="221"/>
      <c r="Y1851" s="227"/>
      <c r="Z1851" s="227" t="str">
        <f t="shared" si="67"/>
        <v>Bumiayu RW 05 Kedungkandang</v>
      </c>
      <c r="AA1851" s="276" t="e">
        <f>VLOOKUP(Logfile_S12[[#This Row],[DO number]],DO_DB!G:I,3,0)</f>
        <v>#N/A</v>
      </c>
      <c r="AB1851" s="331" t="e">
        <f>EXACT(Logfile_S12[[#This Row],[date pick]],Logfile_S12[[#This Row],[Date]])</f>
        <v>#N/A</v>
      </c>
      <c r="AC18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52" spans="1:29" ht="14.5" hidden="1">
      <c r="A1852" s="220" t="str">
        <f t="shared" si="66"/>
        <v>1848</v>
      </c>
      <c r="B1852" s="221"/>
      <c r="C1852" s="221" t="s">
        <v>49</v>
      </c>
      <c r="D1852" s="221" t="s">
        <v>3957</v>
      </c>
      <c r="E1852" s="221" t="s">
        <v>3295</v>
      </c>
      <c r="F1852" s="221" t="s">
        <v>3299</v>
      </c>
      <c r="G1852" s="222">
        <v>45350</v>
      </c>
      <c r="H1852" s="223">
        <v>0.4861111111111111</v>
      </c>
      <c r="I1852" s="221" t="s">
        <v>4916</v>
      </c>
      <c r="J1852" s="221" t="s">
        <v>3023</v>
      </c>
      <c r="K1852" s="224" t="s">
        <v>3069</v>
      </c>
      <c r="L1852" s="225" t="str">
        <f>VLOOKUP(Logfile_S12[[#This Row],[Material Name]],Sheet2!B:C,2,0)</f>
        <v>ZTE1001</v>
      </c>
      <c r="M1852" s="225" t="str">
        <f>_xlfn.XLOOKUP(Logfile_S12[[#This Row],[Material Name]],Sum_WH!E:E,Sum_WH!F:F,"",0)</f>
        <v>Pcs</v>
      </c>
      <c r="N1852" s="221">
        <v>18</v>
      </c>
      <c r="O1852" s="221" t="s">
        <v>1013</v>
      </c>
      <c r="P1852" s="221" t="s">
        <v>1014</v>
      </c>
      <c r="Q1852" s="221"/>
      <c r="R1852" s="221"/>
      <c r="S1852" s="221"/>
      <c r="T1852" s="221" t="s">
        <v>3258</v>
      </c>
      <c r="U1852" s="221" t="s">
        <v>3228</v>
      </c>
      <c r="V1852" s="221" t="s">
        <v>3337</v>
      </c>
      <c r="W1852" s="221" t="s">
        <v>3338</v>
      </c>
      <c r="X1852" s="221"/>
      <c r="Y1852" s="227"/>
      <c r="Z1852" s="227" t="str">
        <f t="shared" si="67"/>
        <v>Bumiayu RW 05 Kedungkandang</v>
      </c>
      <c r="AA1852" s="276" t="e">
        <f>VLOOKUP(Logfile_S12[[#This Row],[DO number]],DO_DB!G:I,3,0)</f>
        <v>#N/A</v>
      </c>
      <c r="AB1852" s="331" t="e">
        <f>EXACT(Logfile_S12[[#This Row],[date pick]],Logfile_S12[[#This Row],[Date]])</f>
        <v>#N/A</v>
      </c>
      <c r="AC18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53" spans="1:29" ht="14.5" hidden="1">
      <c r="A1853" s="220" t="str">
        <f t="shared" si="66"/>
        <v>1849</v>
      </c>
      <c r="B1853" s="221"/>
      <c r="C1853" s="221" t="s">
        <v>48</v>
      </c>
      <c r="D1853" s="221" t="s">
        <v>3960</v>
      </c>
      <c r="E1853" s="221" t="s">
        <v>3295</v>
      </c>
      <c r="F1853" s="221" t="s">
        <v>3299</v>
      </c>
      <c r="G1853" s="222">
        <v>45351</v>
      </c>
      <c r="H1853" s="223">
        <v>15.291666666666666</v>
      </c>
      <c r="I1853" s="221" t="s">
        <v>37</v>
      </c>
      <c r="J1853" s="221" t="s">
        <v>3023</v>
      </c>
      <c r="K1853" s="224" t="s">
        <v>3069</v>
      </c>
      <c r="L1853" s="225" t="str">
        <f>VLOOKUP(Logfile_S12[[#This Row],[Material Name]],Sheet2!B:C,2,0)</f>
        <v>ZTE1001</v>
      </c>
      <c r="M1853" s="225" t="str">
        <f>_xlfn.XLOOKUP(Logfile_S12[[#This Row],[Material Name]],Sum_WH!E:E,Sum_WH!F:F,"",0)</f>
        <v>Pcs</v>
      </c>
      <c r="N1853" s="221">
        <v>51</v>
      </c>
      <c r="O1853" s="221" t="s">
        <v>1013</v>
      </c>
      <c r="P1853" s="221" t="s">
        <v>1014</v>
      </c>
      <c r="Q1853" s="221" t="s">
        <v>1017</v>
      </c>
      <c r="R1853" s="221" t="s">
        <v>1018</v>
      </c>
      <c r="S1853" s="221"/>
      <c r="T1853" s="221"/>
      <c r="U1853" s="221"/>
      <c r="V1853" s="221"/>
      <c r="W1853" s="221"/>
      <c r="X1853" s="221"/>
      <c r="Y1853" s="227"/>
      <c r="Z1853" s="227" t="str">
        <f t="shared" si="67"/>
        <v>Bumiayu RW 05 Kedungkandang</v>
      </c>
      <c r="AA1853" s="276">
        <f>VLOOKUP(Logfile_S12[[#This Row],[DO number]],DO_DB!G:I,3,0)</f>
        <v>45351</v>
      </c>
      <c r="AB1853" s="331" t="b">
        <f>EXACT(Logfile_S12[[#This Row],[date pick]],Logfile_S12[[#This Row],[Date]])</f>
        <v>1</v>
      </c>
      <c r="AC18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54" spans="1:29" ht="14.5" hidden="1">
      <c r="A1854" s="220" t="str">
        <f t="shared" si="66"/>
        <v>1850</v>
      </c>
      <c r="B1854" s="221"/>
      <c r="C1854" s="221" t="s">
        <v>48</v>
      </c>
      <c r="D1854" s="221" t="s">
        <v>3965</v>
      </c>
      <c r="E1854" s="221" t="s">
        <v>3295</v>
      </c>
      <c r="F1854" s="221" t="s">
        <v>3299</v>
      </c>
      <c r="G1854" s="222">
        <v>45352</v>
      </c>
      <c r="H1854" s="223">
        <v>15.291666666666666</v>
      </c>
      <c r="I1854" s="221" t="s">
        <v>37</v>
      </c>
      <c r="J1854" s="221" t="s">
        <v>3023</v>
      </c>
      <c r="K1854" s="224" t="s">
        <v>3069</v>
      </c>
      <c r="L1854" s="225" t="str">
        <f>VLOOKUP(Logfile_S12[[#This Row],[Material Name]],Sheet2!B:C,2,0)</f>
        <v>ZTE1001</v>
      </c>
      <c r="M1854" s="225" t="str">
        <f>_xlfn.XLOOKUP(Logfile_S12[[#This Row],[Material Name]],Sum_WH!E:E,Sum_WH!F:F,"",0)</f>
        <v>Pcs</v>
      </c>
      <c r="N1854" s="221">
        <v>203</v>
      </c>
      <c r="O1854" s="221"/>
      <c r="P1854" s="221"/>
      <c r="Q1854" s="221">
        <v>0</v>
      </c>
      <c r="R1854" s="221">
        <v>0</v>
      </c>
      <c r="S1854" s="221"/>
      <c r="T1854" s="221"/>
      <c r="U1854" s="221"/>
      <c r="V1854" s="221"/>
      <c r="W1854" s="221"/>
      <c r="X1854" s="221"/>
      <c r="Y1854" s="227"/>
      <c r="Z1854" s="227">
        <f t="shared" si="67"/>
        <v>0</v>
      </c>
      <c r="AA1854" s="276" t="e">
        <f>VLOOKUP(Logfile_S12[[#This Row],[DO number]],DO_DB!G:I,3,0)</f>
        <v>#N/A</v>
      </c>
      <c r="AB1854" s="331" t="e">
        <f>EXACT(Logfile_S12[[#This Row],[date pick]],Logfile_S12[[#This Row],[Date]])</f>
        <v>#N/A</v>
      </c>
      <c r="AC18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55" spans="1:29" ht="14.5" hidden="1">
      <c r="A1855" s="220" t="str">
        <f t="shared" si="66"/>
        <v>1851</v>
      </c>
      <c r="B1855" s="221"/>
      <c r="C1855" s="221" t="s">
        <v>49</v>
      </c>
      <c r="D1855" s="221" t="s">
        <v>3966</v>
      </c>
      <c r="E1855" s="221" t="s">
        <v>3295</v>
      </c>
      <c r="F1855" s="221" t="s">
        <v>3299</v>
      </c>
      <c r="G1855" s="222">
        <v>45353</v>
      </c>
      <c r="H1855" s="223">
        <v>0.35902777777777778</v>
      </c>
      <c r="I1855" s="221" t="s">
        <v>4916</v>
      </c>
      <c r="J1855" s="221" t="s">
        <v>3023</v>
      </c>
      <c r="K1855" s="224" t="s">
        <v>3069</v>
      </c>
      <c r="L1855" s="225" t="str">
        <f>VLOOKUP(Logfile_S12[[#This Row],[Material Name]],Sheet2!B:C,2,0)</f>
        <v>ZTE1001</v>
      </c>
      <c r="M1855" s="225" t="str">
        <f>_xlfn.XLOOKUP(Logfile_S12[[#This Row],[Material Name]],Sum_WH!E:E,Sum_WH!F:F,"",0)</f>
        <v>Pcs</v>
      </c>
      <c r="N1855" s="221">
        <v>1</v>
      </c>
      <c r="O1855" s="221" t="s">
        <v>921</v>
      </c>
      <c r="P1855" s="221" t="s">
        <v>922</v>
      </c>
      <c r="Q1855" s="221"/>
      <c r="R1855" s="221"/>
      <c r="S1855" s="221"/>
      <c r="T1855" s="221" t="s">
        <v>3363</v>
      </c>
      <c r="U1855" s="221" t="s">
        <v>3228</v>
      </c>
      <c r="V1855" s="221" t="s">
        <v>3364</v>
      </c>
      <c r="W1855" s="221" t="s">
        <v>3365</v>
      </c>
      <c r="X1855" s="221"/>
      <c r="Y1855" s="227"/>
      <c r="Z1855" s="227" t="str">
        <f t="shared" si="67"/>
        <v>Bumiayu RW 03 Kedungkandang</v>
      </c>
      <c r="AA1855" s="276" t="e">
        <f>VLOOKUP(Logfile_S12[[#This Row],[DO number]],DO_DB!G:I,3,0)</f>
        <v>#N/A</v>
      </c>
      <c r="AB1855" s="331" t="e">
        <f>EXACT(Logfile_S12[[#This Row],[date pick]],Logfile_S12[[#This Row],[Date]])</f>
        <v>#N/A</v>
      </c>
      <c r="AC18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56" spans="1:29" ht="14.5" hidden="1">
      <c r="A1856" s="220" t="str">
        <f t="shared" si="66"/>
        <v>1852</v>
      </c>
      <c r="B1856" s="221"/>
      <c r="C1856" s="221" t="s">
        <v>3313</v>
      </c>
      <c r="D1856" s="221" t="s">
        <v>3970</v>
      </c>
      <c r="E1856" s="221" t="s">
        <v>3295</v>
      </c>
      <c r="F1856" s="221" t="s">
        <v>3299</v>
      </c>
      <c r="G1856" s="222">
        <v>45355</v>
      </c>
      <c r="H1856" s="223">
        <v>15.291666666666666</v>
      </c>
      <c r="I1856" s="221" t="s">
        <v>37</v>
      </c>
      <c r="J1856" s="221" t="s">
        <v>3023</v>
      </c>
      <c r="K1856" s="224" t="s">
        <v>3069</v>
      </c>
      <c r="L1856" s="225" t="str">
        <f>VLOOKUP(Logfile_S12[[#This Row],[Material Name]],Sheet2!B:C,2,0)</f>
        <v>ZTE1001</v>
      </c>
      <c r="M1856" s="225" t="str">
        <f>_xlfn.XLOOKUP(Logfile_S12[[#This Row],[Material Name]],Sum_WH!E:E,Sum_WH!F:F,"",0)</f>
        <v>Pcs</v>
      </c>
      <c r="N1856" s="221">
        <v>2</v>
      </c>
      <c r="O1856" s="221" t="s">
        <v>3314</v>
      </c>
      <c r="P1856" s="221">
        <v>0</v>
      </c>
      <c r="Q1856" s="221">
        <v>0</v>
      </c>
      <c r="R1856" s="221" t="s">
        <v>3147</v>
      </c>
      <c r="S1856" s="221"/>
      <c r="T1856" s="221"/>
      <c r="U1856" s="221"/>
      <c r="V1856" s="221"/>
      <c r="W1856" s="221"/>
      <c r="X1856" s="221"/>
      <c r="Y1856" s="227"/>
      <c r="Z1856" s="227">
        <f t="shared" si="67"/>
        <v>0</v>
      </c>
      <c r="AA1856" s="276" t="e">
        <f>VLOOKUP(Logfile_S12[[#This Row],[DO number]],DO_DB!G:I,3,0)</f>
        <v>#N/A</v>
      </c>
      <c r="AB1856" s="331" t="e">
        <f>EXACT(Logfile_S12[[#This Row],[date pick]],Logfile_S12[[#This Row],[Date]])</f>
        <v>#N/A</v>
      </c>
      <c r="AC18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57" spans="1:29" ht="14.5" hidden="1">
      <c r="A1857" s="220" t="str">
        <f t="shared" si="66"/>
        <v>1853</v>
      </c>
      <c r="B1857" s="221"/>
      <c r="C1857" s="221" t="s">
        <v>49</v>
      </c>
      <c r="D1857" s="221" t="s">
        <v>3977</v>
      </c>
      <c r="E1857" s="221" t="s">
        <v>3295</v>
      </c>
      <c r="F1857" s="221" t="s">
        <v>3299</v>
      </c>
      <c r="G1857" s="222">
        <v>45363</v>
      </c>
      <c r="H1857" s="223">
        <v>0.42499999999999999</v>
      </c>
      <c r="I1857" s="221" t="s">
        <v>4916</v>
      </c>
      <c r="J1857" s="221" t="s">
        <v>3023</v>
      </c>
      <c r="K1857" s="224" t="s">
        <v>3069</v>
      </c>
      <c r="L1857" s="225" t="str">
        <f>VLOOKUP(Logfile_S12[[#This Row],[Material Name]],Sheet2!B:C,2,0)</f>
        <v>ZTE1001</v>
      </c>
      <c r="M1857" s="225" t="str">
        <f>_xlfn.XLOOKUP(Logfile_S12[[#This Row],[Material Name]],Sum_WH!E:E,Sum_WH!F:F,"",0)</f>
        <v>Pcs</v>
      </c>
      <c r="N1857" s="221">
        <v>131</v>
      </c>
      <c r="O1857" s="221" t="s">
        <v>1087</v>
      </c>
      <c r="P1857" s="221" t="s">
        <v>1088</v>
      </c>
      <c r="Q1857" s="221"/>
      <c r="R1857" s="221"/>
      <c r="S1857" s="221"/>
      <c r="T1857" s="221" t="s">
        <v>3258</v>
      </c>
      <c r="U1857" s="221" t="s">
        <v>3228</v>
      </c>
      <c r="V1857" s="221" t="s">
        <v>3337</v>
      </c>
      <c r="W1857" s="221" t="s">
        <v>3338</v>
      </c>
      <c r="X1857" s="221"/>
      <c r="Y1857" s="227"/>
      <c r="Z1857" s="227" t="str">
        <f t="shared" si="67"/>
        <v>Dalisodo RW 01 Wagir</v>
      </c>
      <c r="AA1857" s="276" t="e">
        <f>VLOOKUP(Logfile_S12[[#This Row],[DO number]],DO_DB!G:I,3,0)</f>
        <v>#N/A</v>
      </c>
      <c r="AB1857" s="331" t="e">
        <f>EXACT(Logfile_S12[[#This Row],[date pick]],Logfile_S12[[#This Row],[Date]])</f>
        <v>#N/A</v>
      </c>
      <c r="AC18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58" spans="1:29" ht="14.5" hidden="1">
      <c r="A1858" s="220" t="str">
        <f t="shared" si="66"/>
        <v>1854</v>
      </c>
      <c r="B1858" s="221"/>
      <c r="C1858" s="221" t="s">
        <v>3429</v>
      </c>
      <c r="D1858" s="221" t="s">
        <v>3979</v>
      </c>
      <c r="E1858" s="221" t="s">
        <v>3295</v>
      </c>
      <c r="F1858" s="221" t="s">
        <v>3299</v>
      </c>
      <c r="G1858" s="222">
        <v>45366</v>
      </c>
      <c r="H1858" s="223">
        <v>15.291666666666666</v>
      </c>
      <c r="I1858" s="221" t="s">
        <v>3193</v>
      </c>
      <c r="J1858" s="221" t="s">
        <v>3023</v>
      </c>
      <c r="K1858" s="224" t="s">
        <v>3069</v>
      </c>
      <c r="L1858" s="225" t="str">
        <f>VLOOKUP(Logfile_S12[[#This Row],[Material Name]],Sheet2!B:C,2,0)</f>
        <v>ZTE1001</v>
      </c>
      <c r="M1858" s="225" t="str">
        <f>_xlfn.XLOOKUP(Logfile_S12[[#This Row],[Material Name]],Sum_WH!E:E,Sum_WH!F:F,"",0)</f>
        <v>Pcs</v>
      </c>
      <c r="N1858" s="221">
        <v>6</v>
      </c>
      <c r="O1858" s="221" t="s">
        <v>4925</v>
      </c>
      <c r="P1858" s="221" t="s">
        <v>3266</v>
      </c>
      <c r="Q1858" s="221">
        <v>0</v>
      </c>
      <c r="R1858" s="221" t="s">
        <v>3147</v>
      </c>
      <c r="S1858" s="221"/>
      <c r="T1858" s="221"/>
      <c r="U1858" s="221"/>
      <c r="V1858" s="221"/>
      <c r="W1858" s="221"/>
      <c r="X1858" s="221" t="s">
        <v>3534</v>
      </c>
      <c r="Y1858" s="227"/>
      <c r="Z1858" s="227" t="str">
        <f t="shared" si="67"/>
        <v>YPTT</v>
      </c>
      <c r="AA1858" s="276" t="e">
        <f>VLOOKUP(Logfile_S12[[#This Row],[DO number]],DO_DB!G:I,3,0)</f>
        <v>#N/A</v>
      </c>
      <c r="AB1858" s="331" t="e">
        <f>EXACT(Logfile_S12[[#This Row],[date pick]],Logfile_S12[[#This Row],[Date]])</f>
        <v>#N/A</v>
      </c>
      <c r="AC18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59" spans="1:29" ht="14.5" hidden="1">
      <c r="A1859" s="220" t="str">
        <f t="shared" si="66"/>
        <v>1855</v>
      </c>
      <c r="B1859" s="221"/>
      <c r="C1859" s="221" t="s">
        <v>49</v>
      </c>
      <c r="D1859" s="221" t="s">
        <v>3978</v>
      </c>
      <c r="E1859" s="221" t="s">
        <v>3295</v>
      </c>
      <c r="F1859" s="221" t="s">
        <v>3299</v>
      </c>
      <c r="G1859" s="222">
        <v>45366</v>
      </c>
      <c r="H1859" s="223">
        <v>0.71666666666666667</v>
      </c>
      <c r="I1859" s="221" t="s">
        <v>4916</v>
      </c>
      <c r="J1859" s="221" t="s">
        <v>3023</v>
      </c>
      <c r="K1859" s="224" t="s">
        <v>3069</v>
      </c>
      <c r="L1859" s="225" t="str">
        <f>VLOOKUP(Logfile_S12[[#This Row],[Material Name]],Sheet2!B:C,2,0)</f>
        <v>ZTE1001</v>
      </c>
      <c r="M1859" s="225" t="str">
        <f>_xlfn.XLOOKUP(Logfile_S12[[#This Row],[Material Name]],Sum_WH!E:E,Sum_WH!F:F,"",0)</f>
        <v>Pcs</v>
      </c>
      <c r="N1859" s="221">
        <v>18</v>
      </c>
      <c r="O1859" s="221" t="s">
        <v>1087</v>
      </c>
      <c r="P1859" s="221" t="s">
        <v>1088</v>
      </c>
      <c r="Q1859" s="221"/>
      <c r="R1859" s="221"/>
      <c r="S1859" s="221"/>
      <c r="T1859" s="221" t="s">
        <v>3258</v>
      </c>
      <c r="U1859" s="221" t="s">
        <v>3228</v>
      </c>
      <c r="V1859" s="221" t="s">
        <v>3337</v>
      </c>
      <c r="W1859" s="221" t="s">
        <v>3338</v>
      </c>
      <c r="X1859" s="221"/>
      <c r="Y1859" s="227"/>
      <c r="Z1859" s="227" t="str">
        <f t="shared" si="67"/>
        <v>Dalisodo RW 01 Wagir</v>
      </c>
      <c r="AA1859" s="276" t="e">
        <f>VLOOKUP(Logfile_S12[[#This Row],[DO number]],DO_DB!G:I,3,0)</f>
        <v>#N/A</v>
      </c>
      <c r="AB1859" s="331" t="e">
        <f>EXACT(Logfile_S12[[#This Row],[date pick]],Logfile_S12[[#This Row],[Date]])</f>
        <v>#N/A</v>
      </c>
      <c r="AC18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60" spans="1:29" ht="14.5" hidden="1">
      <c r="A1860" s="220" t="str">
        <f t="shared" si="66"/>
        <v>1856</v>
      </c>
      <c r="B1860" s="221"/>
      <c r="C1860" s="221" t="s">
        <v>48</v>
      </c>
      <c r="D1860" s="221" t="s">
        <v>3980</v>
      </c>
      <c r="E1860" s="221" t="s">
        <v>3295</v>
      </c>
      <c r="F1860" s="221" t="s">
        <v>3299</v>
      </c>
      <c r="G1860" s="222">
        <v>45370</v>
      </c>
      <c r="H1860" s="223">
        <v>15.291666666666666</v>
      </c>
      <c r="I1860" s="221" t="s">
        <v>37</v>
      </c>
      <c r="J1860" s="221" t="s">
        <v>3023</v>
      </c>
      <c r="K1860" s="224" t="s">
        <v>3069</v>
      </c>
      <c r="L1860" s="225" t="str">
        <f>VLOOKUP(Logfile_S12[[#This Row],[Material Name]],Sheet2!B:C,2,0)</f>
        <v>ZTE1001</v>
      </c>
      <c r="M1860" s="225" t="str">
        <f>_xlfn.XLOOKUP(Logfile_S12[[#This Row],[Material Name]],Sum_WH!E:E,Sum_WH!F:F,"",0)</f>
        <v>Pcs</v>
      </c>
      <c r="N1860" s="221">
        <v>53</v>
      </c>
      <c r="O1860" s="221"/>
      <c r="P1860" s="221"/>
      <c r="Q1860" s="221">
        <v>0</v>
      </c>
      <c r="R1860" s="221">
        <v>0</v>
      </c>
      <c r="S1860" s="221"/>
      <c r="T1860" s="221"/>
      <c r="U1860" s="221"/>
      <c r="V1860" s="221"/>
      <c r="W1860" s="221"/>
      <c r="X1860" s="221"/>
      <c r="Y1860" s="227"/>
      <c r="Z1860" s="227">
        <f t="shared" si="67"/>
        <v>0</v>
      </c>
      <c r="AA1860" s="276" t="e">
        <f>VLOOKUP(Logfile_S12[[#This Row],[DO number]],DO_DB!G:I,3,0)</f>
        <v>#N/A</v>
      </c>
      <c r="AB1860" s="331" t="e">
        <f>EXACT(Logfile_S12[[#This Row],[date pick]],Logfile_S12[[#This Row],[Date]])</f>
        <v>#N/A</v>
      </c>
      <c r="AC18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61" spans="1:29" ht="14.5" hidden="1">
      <c r="A1861" s="220" t="str">
        <f t="shared" ref="A1861:A1924" si="68">TEXT(ROW(A1861)-ROW($A$4),"000")</f>
        <v>1857</v>
      </c>
      <c r="B1861" s="221"/>
      <c r="C1861" s="221" t="s">
        <v>49</v>
      </c>
      <c r="D1861" s="221" t="s">
        <v>3982</v>
      </c>
      <c r="E1861" s="221" t="s">
        <v>3295</v>
      </c>
      <c r="F1861" s="221" t="s">
        <v>3299</v>
      </c>
      <c r="G1861" s="222">
        <v>45371</v>
      </c>
      <c r="H1861" s="223">
        <v>0.4284722222222222</v>
      </c>
      <c r="I1861" s="221" t="s">
        <v>4916</v>
      </c>
      <c r="J1861" s="221" t="s">
        <v>3023</v>
      </c>
      <c r="K1861" s="224" t="s">
        <v>3069</v>
      </c>
      <c r="L1861" s="225" t="str">
        <f>VLOOKUP(Logfile_S12[[#This Row],[Material Name]],Sheet2!B:C,2,0)</f>
        <v>ZTE1001</v>
      </c>
      <c r="M1861" s="225" t="str">
        <f>_xlfn.XLOOKUP(Logfile_S12[[#This Row],[Material Name]],Sum_WH!E:E,Sum_WH!F:F,"",0)</f>
        <v>Pcs</v>
      </c>
      <c r="N1861" s="221">
        <v>20</v>
      </c>
      <c r="O1861" s="221" t="s">
        <v>1161</v>
      </c>
      <c r="P1861" s="221" t="s">
        <v>1162</v>
      </c>
      <c r="Q1861" s="221"/>
      <c r="R1861" s="221"/>
      <c r="S1861" s="221"/>
      <c r="T1861" s="221" t="s">
        <v>3363</v>
      </c>
      <c r="U1861" s="221" t="s">
        <v>3228</v>
      </c>
      <c r="V1861" s="221" t="s">
        <v>3364</v>
      </c>
      <c r="W1861" s="221" t="s">
        <v>3365</v>
      </c>
      <c r="X1861" s="221"/>
      <c r="Y1861" s="227"/>
      <c r="Z1861" s="227" t="str">
        <f t="shared" si="67"/>
        <v>Tunjungtirto RW 01 Singosari</v>
      </c>
      <c r="AA1861" s="276" t="e">
        <f>VLOOKUP(Logfile_S12[[#This Row],[DO number]],DO_DB!G:I,3,0)</f>
        <v>#N/A</v>
      </c>
      <c r="AB1861" s="331" t="e">
        <f>EXACT(Logfile_S12[[#This Row],[date pick]],Logfile_S12[[#This Row],[Date]])</f>
        <v>#N/A</v>
      </c>
      <c r="AC18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62" spans="1:29" ht="14.5" hidden="1">
      <c r="A1862" s="220" t="str">
        <f t="shared" si="68"/>
        <v>1858</v>
      </c>
      <c r="B1862" s="221"/>
      <c r="C1862" s="221" t="s">
        <v>49</v>
      </c>
      <c r="D1862" s="221" t="s">
        <v>3983</v>
      </c>
      <c r="E1862" s="221" t="s">
        <v>3295</v>
      </c>
      <c r="F1862" s="221" t="s">
        <v>3299</v>
      </c>
      <c r="G1862" s="222">
        <v>45372</v>
      </c>
      <c r="H1862" s="223">
        <v>0.40625</v>
      </c>
      <c r="I1862" s="221" t="s">
        <v>4916</v>
      </c>
      <c r="J1862" s="221" t="s">
        <v>3023</v>
      </c>
      <c r="K1862" s="224" t="s">
        <v>3069</v>
      </c>
      <c r="L1862" s="225" t="str">
        <f>VLOOKUP(Logfile_S12[[#This Row],[Material Name]],Sheet2!B:C,2,0)</f>
        <v>ZTE1001</v>
      </c>
      <c r="M1862" s="225" t="str">
        <f>_xlfn.XLOOKUP(Logfile_S12[[#This Row],[Material Name]],Sum_WH!E:E,Sum_WH!F:F,"",0)</f>
        <v>Pcs</v>
      </c>
      <c r="N1862" s="221">
        <v>11</v>
      </c>
      <c r="O1862" s="221" t="s">
        <v>1087</v>
      </c>
      <c r="P1862" s="221" t="s">
        <v>1088</v>
      </c>
      <c r="Q1862" s="221"/>
      <c r="R1862" s="221"/>
      <c r="S1862" s="221"/>
      <c r="T1862" s="221" t="s">
        <v>3258</v>
      </c>
      <c r="U1862" s="221" t="s">
        <v>3228</v>
      </c>
      <c r="V1862" s="221" t="s">
        <v>3337</v>
      </c>
      <c r="W1862" s="221" t="s">
        <v>3338</v>
      </c>
      <c r="X1862" s="221"/>
      <c r="Y1862" s="227"/>
      <c r="Z1862" s="227" t="str">
        <f t="shared" si="67"/>
        <v>Dalisodo RW 01 Wagir</v>
      </c>
      <c r="AA1862" s="276" t="e">
        <f>VLOOKUP(Logfile_S12[[#This Row],[DO number]],DO_DB!G:I,3,0)</f>
        <v>#N/A</v>
      </c>
      <c r="AB1862" s="331" t="e">
        <f>EXACT(Logfile_S12[[#This Row],[date pick]],Logfile_S12[[#This Row],[Date]])</f>
        <v>#N/A</v>
      </c>
      <c r="AC18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63" spans="1:29" ht="14.5" hidden="1">
      <c r="A1863" s="220" t="str">
        <f t="shared" si="68"/>
        <v>1859</v>
      </c>
      <c r="B1863" s="221"/>
      <c r="C1863" s="221" t="s">
        <v>49</v>
      </c>
      <c r="D1863" s="221" t="s">
        <v>3987</v>
      </c>
      <c r="E1863" s="221" t="s">
        <v>3295</v>
      </c>
      <c r="F1863" s="221" t="s">
        <v>3299</v>
      </c>
      <c r="G1863" s="222">
        <v>45374</v>
      </c>
      <c r="H1863" s="223">
        <v>0.4284722222222222</v>
      </c>
      <c r="I1863" s="221" t="s">
        <v>4916</v>
      </c>
      <c r="J1863" s="221" t="s">
        <v>3023</v>
      </c>
      <c r="K1863" s="224" t="s">
        <v>3069</v>
      </c>
      <c r="L1863" s="225" t="str">
        <f>VLOOKUP(Logfile_S12[[#This Row],[Material Name]],Sheet2!B:C,2,0)</f>
        <v>ZTE1001</v>
      </c>
      <c r="M1863" s="225" t="str">
        <f>_xlfn.XLOOKUP(Logfile_S12[[#This Row],[Material Name]],Sum_WH!E:E,Sum_WH!F:F,"",0)</f>
        <v>Pcs</v>
      </c>
      <c r="N1863" s="221">
        <v>21</v>
      </c>
      <c r="O1863" s="221" t="s">
        <v>1161</v>
      </c>
      <c r="P1863" s="221" t="s">
        <v>1162</v>
      </c>
      <c r="Q1863" s="221"/>
      <c r="R1863" s="221"/>
      <c r="S1863" s="221"/>
      <c r="T1863" s="221" t="s">
        <v>3363</v>
      </c>
      <c r="U1863" s="221" t="s">
        <v>3228</v>
      </c>
      <c r="V1863" s="221" t="s">
        <v>3364</v>
      </c>
      <c r="W1863" s="221" t="s">
        <v>3365</v>
      </c>
      <c r="X1863" s="221"/>
      <c r="Y1863" s="227"/>
      <c r="Z1863" s="227" t="str">
        <f t="shared" si="67"/>
        <v>Tunjungtirto RW 01 Singosari</v>
      </c>
      <c r="AA1863" s="276" t="e">
        <f>VLOOKUP(Logfile_S12[[#This Row],[DO number]],DO_DB!G:I,3,0)</f>
        <v>#N/A</v>
      </c>
      <c r="AB1863" s="331" t="e">
        <f>EXACT(Logfile_S12[[#This Row],[date pick]],Logfile_S12[[#This Row],[Date]])</f>
        <v>#N/A</v>
      </c>
      <c r="AC18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64" spans="1:29" ht="14.5" hidden="1">
      <c r="A1864" s="220" t="str">
        <f t="shared" si="68"/>
        <v>1860</v>
      </c>
      <c r="B1864" s="221"/>
      <c r="C1864" s="221" t="s">
        <v>49</v>
      </c>
      <c r="D1864" s="221" t="s">
        <v>3994</v>
      </c>
      <c r="E1864" s="221" t="s">
        <v>3295</v>
      </c>
      <c r="F1864" s="221" t="s">
        <v>3299</v>
      </c>
      <c r="G1864" s="222">
        <v>45379</v>
      </c>
      <c r="H1864" s="223">
        <v>0.7715277777777777</v>
      </c>
      <c r="I1864" s="221" t="s">
        <v>4916</v>
      </c>
      <c r="J1864" s="221" t="s">
        <v>3023</v>
      </c>
      <c r="K1864" s="224" t="s">
        <v>3069</v>
      </c>
      <c r="L1864" s="225" t="str">
        <f>VLOOKUP(Logfile_S12[[#This Row],[Material Name]],Sheet2!B:C,2,0)</f>
        <v>ZTE1001</v>
      </c>
      <c r="M1864" s="225" t="str">
        <f>_xlfn.XLOOKUP(Logfile_S12[[#This Row],[Material Name]],Sum_WH!E:E,Sum_WH!F:F,"",0)</f>
        <v>Pcs</v>
      </c>
      <c r="N1864" s="221">
        <v>6</v>
      </c>
      <c r="O1864" s="221" t="s">
        <v>1161</v>
      </c>
      <c r="P1864" s="221" t="s">
        <v>1162</v>
      </c>
      <c r="Q1864" s="221"/>
      <c r="R1864" s="221"/>
      <c r="S1864" s="221"/>
      <c r="T1864" s="221" t="s">
        <v>3363</v>
      </c>
      <c r="U1864" s="221" t="s">
        <v>3228</v>
      </c>
      <c r="V1864" s="221" t="s">
        <v>3364</v>
      </c>
      <c r="W1864" s="221" t="s">
        <v>3365</v>
      </c>
      <c r="X1864" s="221"/>
      <c r="Y1864" s="227"/>
      <c r="Z1864" s="227" t="str">
        <f t="shared" si="67"/>
        <v>Tunjungtirto RW 01 Singosari</v>
      </c>
      <c r="AA1864" s="276" t="e">
        <f>VLOOKUP(Logfile_S12[[#This Row],[DO number]],DO_DB!G:I,3,0)</f>
        <v>#N/A</v>
      </c>
      <c r="AB1864" s="331" t="e">
        <f>EXACT(Logfile_S12[[#This Row],[date pick]],Logfile_S12[[#This Row],[Date]])</f>
        <v>#N/A</v>
      </c>
      <c r="AC18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65" spans="1:29" ht="14.5" hidden="1">
      <c r="A1865" s="220" t="str">
        <f t="shared" si="68"/>
        <v>1861</v>
      </c>
      <c r="B1865" s="221"/>
      <c r="C1865" s="221" t="s">
        <v>49</v>
      </c>
      <c r="D1865" s="221" t="s">
        <v>3992</v>
      </c>
      <c r="E1865" s="221" t="s">
        <v>3295</v>
      </c>
      <c r="F1865" s="221" t="s">
        <v>3299</v>
      </c>
      <c r="G1865" s="222">
        <v>45379</v>
      </c>
      <c r="H1865" s="223">
        <v>0.3972222222222222</v>
      </c>
      <c r="I1865" s="221" t="s">
        <v>4916</v>
      </c>
      <c r="J1865" s="221" t="s">
        <v>3023</v>
      </c>
      <c r="K1865" s="224" t="s">
        <v>3069</v>
      </c>
      <c r="L1865" s="225" t="str">
        <f>VLOOKUP(Logfile_S12[[#This Row],[Material Name]],Sheet2!B:C,2,0)</f>
        <v>ZTE1001</v>
      </c>
      <c r="M1865" s="225" t="str">
        <f>_xlfn.XLOOKUP(Logfile_S12[[#This Row],[Material Name]],Sum_WH!E:E,Sum_WH!F:F,"",0)</f>
        <v>Pcs</v>
      </c>
      <c r="N1865" s="221">
        <v>7</v>
      </c>
      <c r="O1865" s="221" t="s">
        <v>1161</v>
      </c>
      <c r="P1865" s="221" t="s">
        <v>1162</v>
      </c>
      <c r="Q1865" s="221"/>
      <c r="R1865" s="221"/>
      <c r="S1865" s="221"/>
      <c r="T1865" s="221" t="s">
        <v>3363</v>
      </c>
      <c r="U1865" s="221" t="s">
        <v>3228</v>
      </c>
      <c r="V1865" s="221" t="s">
        <v>3364</v>
      </c>
      <c r="W1865" s="221" t="s">
        <v>3365</v>
      </c>
      <c r="X1865" s="221"/>
      <c r="Y1865" s="227"/>
      <c r="Z1865" s="227" t="str">
        <f t="shared" si="67"/>
        <v>Tunjungtirto RW 01 Singosari</v>
      </c>
      <c r="AA1865" s="276" t="e">
        <f>VLOOKUP(Logfile_S12[[#This Row],[DO number]],DO_DB!G:I,3,0)</f>
        <v>#N/A</v>
      </c>
      <c r="AB1865" s="331" t="e">
        <f>EXACT(Logfile_S12[[#This Row],[date pick]],Logfile_S12[[#This Row],[Date]])</f>
        <v>#N/A</v>
      </c>
      <c r="AC18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66" spans="1:29" ht="14.5" hidden="1">
      <c r="A1866" s="220" t="str">
        <f t="shared" si="68"/>
        <v>1862</v>
      </c>
      <c r="B1866" s="221"/>
      <c r="C1866" s="221" t="s">
        <v>3313</v>
      </c>
      <c r="D1866" s="221" t="s">
        <v>3996</v>
      </c>
      <c r="E1866" s="221" t="s">
        <v>3295</v>
      </c>
      <c r="F1866" s="221" t="s">
        <v>3299</v>
      </c>
      <c r="G1866" s="222">
        <v>45379</v>
      </c>
      <c r="H1866" s="223">
        <v>15.291666666666666</v>
      </c>
      <c r="I1866" s="221" t="s">
        <v>37</v>
      </c>
      <c r="J1866" s="221" t="s">
        <v>3023</v>
      </c>
      <c r="K1866" s="224" t="s">
        <v>3069</v>
      </c>
      <c r="L1866" s="225" t="str">
        <f>VLOOKUP(Logfile_S12[[#This Row],[Material Name]],Sheet2!B:C,2,0)</f>
        <v>ZTE1001</v>
      </c>
      <c r="M1866" s="225" t="str">
        <f>_xlfn.XLOOKUP(Logfile_S12[[#This Row],[Material Name]],Sum_WH!E:E,Sum_WH!F:F,"",0)</f>
        <v>Pcs</v>
      </c>
      <c r="N1866" s="221">
        <v>1</v>
      </c>
      <c r="O1866" s="221" t="s">
        <v>3314</v>
      </c>
      <c r="P1866" s="221">
        <v>0</v>
      </c>
      <c r="Q1866" s="221">
        <v>0</v>
      </c>
      <c r="R1866" s="221" t="s">
        <v>3147</v>
      </c>
      <c r="S1866" s="221"/>
      <c r="T1866" s="221"/>
      <c r="U1866" s="221"/>
      <c r="V1866" s="221"/>
      <c r="W1866" s="221"/>
      <c r="X1866" s="221"/>
      <c r="Y1866" s="227"/>
      <c r="Z1866" s="227">
        <f t="shared" si="67"/>
        <v>0</v>
      </c>
      <c r="AA1866" s="276" t="e">
        <f>VLOOKUP(Logfile_S12[[#This Row],[DO number]],DO_DB!G:I,3,0)</f>
        <v>#N/A</v>
      </c>
      <c r="AB1866" s="331" t="e">
        <f>EXACT(Logfile_S12[[#This Row],[date pick]],Logfile_S12[[#This Row],[Date]])</f>
        <v>#N/A</v>
      </c>
      <c r="AC18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67" spans="1:29" ht="14.5" hidden="1">
      <c r="A1867" s="220" t="str">
        <f t="shared" si="68"/>
        <v>1863</v>
      </c>
      <c r="B1867" s="221"/>
      <c r="C1867" s="221" t="s">
        <v>49</v>
      </c>
      <c r="D1867" s="221" t="s">
        <v>3998</v>
      </c>
      <c r="E1867" s="221" t="s">
        <v>3295</v>
      </c>
      <c r="F1867" s="221" t="s">
        <v>3299</v>
      </c>
      <c r="G1867" s="222">
        <v>45383</v>
      </c>
      <c r="H1867" s="223">
        <v>0.40138888888888885</v>
      </c>
      <c r="I1867" s="221" t="s">
        <v>4916</v>
      </c>
      <c r="J1867" s="221" t="s">
        <v>3023</v>
      </c>
      <c r="K1867" s="224" t="s">
        <v>3069</v>
      </c>
      <c r="L1867" s="225" t="str">
        <f>VLOOKUP(Logfile_S12[[#This Row],[Material Name]],Sheet2!B:C,2,0)</f>
        <v>ZTE1001</v>
      </c>
      <c r="M1867" s="225" t="str">
        <f>_xlfn.XLOOKUP(Logfile_S12[[#This Row],[Material Name]],Sum_WH!E:E,Sum_WH!F:F,"",0)</f>
        <v>Pcs</v>
      </c>
      <c r="N1867" s="221">
        <v>4</v>
      </c>
      <c r="O1867" s="221" t="s">
        <v>1099</v>
      </c>
      <c r="P1867" s="221" t="s">
        <v>1100</v>
      </c>
      <c r="Q1867" s="221"/>
      <c r="R1867" s="221"/>
      <c r="S1867" s="221"/>
      <c r="T1867" s="221" t="s">
        <v>3258</v>
      </c>
      <c r="U1867" s="221" t="s">
        <v>3228</v>
      </c>
      <c r="V1867" s="221" t="s">
        <v>3337</v>
      </c>
      <c r="W1867" s="221" t="s">
        <v>3338</v>
      </c>
      <c r="X1867" s="221"/>
      <c r="Y1867" s="227"/>
      <c r="Z1867" s="227" t="str">
        <f t="shared" si="67"/>
        <v>Dalisodo RW 03 Wagir</v>
      </c>
      <c r="AA1867" s="276" t="e">
        <f>VLOOKUP(Logfile_S12[[#This Row],[DO number]],DO_DB!G:I,3,0)</f>
        <v>#N/A</v>
      </c>
      <c r="AB1867" s="331" t="e">
        <f>EXACT(Logfile_S12[[#This Row],[date pick]],Logfile_S12[[#This Row],[Date]])</f>
        <v>#N/A</v>
      </c>
      <c r="AC18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68" spans="1:29" ht="14.5" hidden="1">
      <c r="A1868" s="220" t="str">
        <f t="shared" si="68"/>
        <v>1864</v>
      </c>
      <c r="B1868" s="221"/>
      <c r="C1868" s="221" t="s">
        <v>49</v>
      </c>
      <c r="D1868" s="221" t="s">
        <v>3999</v>
      </c>
      <c r="E1868" s="221" t="s">
        <v>3295</v>
      </c>
      <c r="F1868" s="221" t="s">
        <v>3299</v>
      </c>
      <c r="G1868" s="222">
        <v>45383</v>
      </c>
      <c r="H1868" s="223">
        <v>0.55486111111111114</v>
      </c>
      <c r="I1868" s="221" t="s">
        <v>4916</v>
      </c>
      <c r="J1868" s="221" t="s">
        <v>3023</v>
      </c>
      <c r="K1868" s="224" t="s">
        <v>3069</v>
      </c>
      <c r="L1868" s="225" t="str">
        <f>VLOOKUP(Logfile_S12[[#This Row],[Material Name]],Sheet2!B:C,2,0)</f>
        <v>ZTE1001</v>
      </c>
      <c r="M1868" s="225" t="str">
        <f>_xlfn.XLOOKUP(Logfile_S12[[#This Row],[Material Name]],Sum_WH!E:E,Sum_WH!F:F,"",0)</f>
        <v>Pcs</v>
      </c>
      <c r="N1868" s="221">
        <v>5</v>
      </c>
      <c r="O1868" s="221" t="s">
        <v>1151</v>
      </c>
      <c r="P1868" s="221" t="s">
        <v>1152</v>
      </c>
      <c r="Q1868" s="221"/>
      <c r="R1868" s="221"/>
      <c r="S1868" s="221"/>
      <c r="T1868" s="221" t="s">
        <v>3363</v>
      </c>
      <c r="U1868" s="221" t="s">
        <v>3228</v>
      </c>
      <c r="V1868" s="221" t="s">
        <v>3364</v>
      </c>
      <c r="W1868" s="221" t="s">
        <v>3365</v>
      </c>
      <c r="X1868" s="221"/>
      <c r="Y1868" s="227"/>
      <c r="Z1868" s="227" t="str">
        <f t="shared" ref="Z1868:Z1931" si="69">P1868</f>
        <v>Tunjungtirto RW 08 Singosari</v>
      </c>
      <c r="AA1868" s="276" t="e">
        <f>VLOOKUP(Logfile_S12[[#This Row],[DO number]],DO_DB!G:I,3,0)</f>
        <v>#N/A</v>
      </c>
      <c r="AB1868" s="331" t="e">
        <f>EXACT(Logfile_S12[[#This Row],[date pick]],Logfile_S12[[#This Row],[Date]])</f>
        <v>#N/A</v>
      </c>
      <c r="AC18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69" spans="1:29" ht="14.5" hidden="1">
      <c r="A1869" s="220" t="str">
        <f t="shared" si="68"/>
        <v>1865</v>
      </c>
      <c r="B1869" s="221"/>
      <c r="C1869" s="221" t="s">
        <v>49</v>
      </c>
      <c r="D1869" s="221" t="s">
        <v>4007</v>
      </c>
      <c r="E1869" s="221" t="s">
        <v>3295</v>
      </c>
      <c r="F1869" s="221" t="s">
        <v>3299</v>
      </c>
      <c r="G1869" s="222">
        <v>45400</v>
      </c>
      <c r="H1869" s="223">
        <v>0.39513888888888887</v>
      </c>
      <c r="I1869" s="221" t="s">
        <v>4916</v>
      </c>
      <c r="J1869" s="221" t="s">
        <v>3023</v>
      </c>
      <c r="K1869" s="224" t="s">
        <v>3069</v>
      </c>
      <c r="L1869" s="225" t="str">
        <f>VLOOKUP(Logfile_S12[[#This Row],[Material Name]],Sheet2!B:C,2,0)</f>
        <v>ZTE1001</v>
      </c>
      <c r="M1869" s="225" t="str">
        <f>_xlfn.XLOOKUP(Logfile_S12[[#This Row],[Material Name]],Sum_WH!E:E,Sum_WH!F:F,"",0)</f>
        <v>Pcs</v>
      </c>
      <c r="N1869" s="221">
        <v>16</v>
      </c>
      <c r="O1869" s="221" t="s">
        <v>1287</v>
      </c>
      <c r="P1869" s="221" t="s">
        <v>3394</v>
      </c>
      <c r="Q1869" s="221"/>
      <c r="R1869" s="221"/>
      <c r="S1869" s="221"/>
      <c r="T1869" s="221" t="s">
        <v>3258</v>
      </c>
      <c r="U1869" s="221" t="s">
        <v>3228</v>
      </c>
      <c r="V1869" s="221" t="s">
        <v>3337</v>
      </c>
      <c r="W1869" s="221" t="s">
        <v>3338</v>
      </c>
      <c r="X1869" s="221"/>
      <c r="Y1869" s="227"/>
      <c r="Z1869" s="227" t="str">
        <f t="shared" si="69"/>
        <v>Tunjungtirto RW 06 Singosari</v>
      </c>
      <c r="AA1869" s="276" t="e">
        <f>VLOOKUP(Logfile_S12[[#This Row],[DO number]],DO_DB!G:I,3,0)</f>
        <v>#N/A</v>
      </c>
      <c r="AB1869" s="331" t="e">
        <f>EXACT(Logfile_S12[[#This Row],[date pick]],Logfile_S12[[#This Row],[Date]])</f>
        <v>#N/A</v>
      </c>
      <c r="AC18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70" spans="1:29" ht="14.5" hidden="1">
      <c r="A1870" s="220" t="str">
        <f t="shared" si="68"/>
        <v>1866</v>
      </c>
      <c r="B1870" s="221"/>
      <c r="C1870" s="221" t="s">
        <v>3313</v>
      </c>
      <c r="D1870" s="221" t="s">
        <v>4009</v>
      </c>
      <c r="E1870" s="221" t="s">
        <v>3295</v>
      </c>
      <c r="F1870" s="221" t="s">
        <v>3299</v>
      </c>
      <c r="G1870" s="222">
        <v>45400</v>
      </c>
      <c r="H1870" s="223">
        <v>15.291666666666666</v>
      </c>
      <c r="I1870" s="221" t="s">
        <v>37</v>
      </c>
      <c r="J1870" s="221" t="s">
        <v>3023</v>
      </c>
      <c r="K1870" s="224" t="s">
        <v>3069</v>
      </c>
      <c r="L1870" s="225" t="str">
        <f>VLOOKUP(Logfile_S12[[#This Row],[Material Name]],Sheet2!B:C,2,0)</f>
        <v>ZTE1001</v>
      </c>
      <c r="M1870" s="225" t="str">
        <f>_xlfn.XLOOKUP(Logfile_S12[[#This Row],[Material Name]],Sum_WH!E:E,Sum_WH!F:F,"",0)</f>
        <v>Pcs</v>
      </c>
      <c r="N1870" s="221">
        <v>2</v>
      </c>
      <c r="O1870" s="221" t="s">
        <v>3314</v>
      </c>
      <c r="P1870" s="221">
        <v>0</v>
      </c>
      <c r="Q1870" s="221">
        <v>0</v>
      </c>
      <c r="R1870" s="221" t="s">
        <v>3147</v>
      </c>
      <c r="S1870" s="221"/>
      <c r="T1870" s="221"/>
      <c r="U1870" s="221"/>
      <c r="V1870" s="221"/>
      <c r="W1870" s="221"/>
      <c r="X1870" s="221"/>
      <c r="Y1870" s="227"/>
      <c r="Z1870" s="227">
        <f t="shared" si="69"/>
        <v>0</v>
      </c>
      <c r="AA1870" s="276" t="e">
        <f>VLOOKUP(Logfile_S12[[#This Row],[DO number]],DO_DB!G:I,3,0)</f>
        <v>#N/A</v>
      </c>
      <c r="AB1870" s="331" t="e">
        <f>EXACT(Logfile_S12[[#This Row],[date pick]],Logfile_S12[[#This Row],[Date]])</f>
        <v>#N/A</v>
      </c>
      <c r="AC18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71" spans="1:29" ht="14.5" hidden="1">
      <c r="A1871" s="220" t="str">
        <f t="shared" si="68"/>
        <v>1867</v>
      </c>
      <c r="B1871" s="221"/>
      <c r="C1871" s="221" t="s">
        <v>49</v>
      </c>
      <c r="D1871" s="221" t="s">
        <v>4012</v>
      </c>
      <c r="E1871" s="221" t="s">
        <v>3295</v>
      </c>
      <c r="F1871" s="221" t="s">
        <v>3299</v>
      </c>
      <c r="G1871" s="222">
        <v>45401</v>
      </c>
      <c r="H1871" s="223">
        <v>0.52430555555555558</v>
      </c>
      <c r="I1871" s="221" t="s">
        <v>4916</v>
      </c>
      <c r="J1871" s="221" t="s">
        <v>3023</v>
      </c>
      <c r="K1871" s="224" t="s">
        <v>3069</v>
      </c>
      <c r="L1871" s="225" t="str">
        <f>VLOOKUP(Logfile_S12[[#This Row],[Material Name]],Sheet2!B:C,2,0)</f>
        <v>ZTE1001</v>
      </c>
      <c r="M1871" s="225" t="str">
        <f>_xlfn.XLOOKUP(Logfile_S12[[#This Row],[Material Name]],Sum_WH!E:E,Sum_WH!F:F,"",0)</f>
        <v>Pcs</v>
      </c>
      <c r="N1871" s="221">
        <v>24</v>
      </c>
      <c r="O1871" s="221" t="s">
        <v>1081</v>
      </c>
      <c r="P1871" s="221" t="s">
        <v>3370</v>
      </c>
      <c r="Q1871" s="221"/>
      <c r="R1871" s="221"/>
      <c r="S1871" s="221"/>
      <c r="T1871" s="221" t="s">
        <v>3258</v>
      </c>
      <c r="U1871" s="221" t="s">
        <v>3228</v>
      </c>
      <c r="V1871" s="221" t="s">
        <v>3337</v>
      </c>
      <c r="W1871" s="221" t="s">
        <v>3338</v>
      </c>
      <c r="X1871" s="221"/>
      <c r="Y1871" s="227"/>
      <c r="Z1871" s="227" t="str">
        <f t="shared" si="69"/>
        <v>Pandan Landung RW 05 Wagir</v>
      </c>
      <c r="AA1871" s="276" t="e">
        <f>VLOOKUP(Logfile_S12[[#This Row],[DO number]],DO_DB!G:I,3,0)</f>
        <v>#N/A</v>
      </c>
      <c r="AB1871" s="331" t="e">
        <f>EXACT(Logfile_S12[[#This Row],[date pick]],Logfile_S12[[#This Row],[Date]])</f>
        <v>#N/A</v>
      </c>
      <c r="AC18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72" spans="1:29" ht="14.5" hidden="1">
      <c r="A1872" s="220" t="str">
        <f t="shared" si="68"/>
        <v>1868</v>
      </c>
      <c r="B1872" s="221"/>
      <c r="C1872" s="221" t="s">
        <v>49</v>
      </c>
      <c r="D1872" s="221" t="s">
        <v>4014</v>
      </c>
      <c r="E1872" s="221" t="s">
        <v>3295</v>
      </c>
      <c r="F1872" s="221" t="s">
        <v>3299</v>
      </c>
      <c r="G1872" s="222">
        <v>45402</v>
      </c>
      <c r="H1872" s="223">
        <v>0.52986111111111112</v>
      </c>
      <c r="I1872" s="221" t="s">
        <v>4916</v>
      </c>
      <c r="J1872" s="221" t="s">
        <v>3023</v>
      </c>
      <c r="K1872" s="224" t="s">
        <v>3069</v>
      </c>
      <c r="L1872" s="225" t="str">
        <f>VLOOKUP(Logfile_S12[[#This Row],[Material Name]],Sheet2!B:C,2,0)</f>
        <v>ZTE1001</v>
      </c>
      <c r="M1872" s="225" t="str">
        <f>_xlfn.XLOOKUP(Logfile_S12[[#This Row],[Material Name]],Sum_WH!E:E,Sum_WH!F:F,"",0)</f>
        <v>Pcs</v>
      </c>
      <c r="N1872" s="221">
        <v>25</v>
      </c>
      <c r="O1872" s="221" t="s">
        <v>1291</v>
      </c>
      <c r="P1872" s="221" t="s">
        <v>1292</v>
      </c>
      <c r="Q1872" s="221"/>
      <c r="R1872" s="221"/>
      <c r="S1872" s="221"/>
      <c r="T1872" s="221" t="s">
        <v>3258</v>
      </c>
      <c r="U1872" s="221" t="s">
        <v>3228</v>
      </c>
      <c r="V1872" s="221" t="s">
        <v>3337</v>
      </c>
      <c r="W1872" s="221" t="s">
        <v>3338</v>
      </c>
      <c r="X1872" s="221"/>
      <c r="Y1872" s="227"/>
      <c r="Z1872" s="227" t="str">
        <f t="shared" si="69"/>
        <v>Pandanlandung RW 02 Wagir</v>
      </c>
      <c r="AA1872" s="276" t="e">
        <f>VLOOKUP(Logfile_S12[[#This Row],[DO number]],DO_DB!G:I,3,0)</f>
        <v>#N/A</v>
      </c>
      <c r="AB1872" s="331" t="e">
        <f>EXACT(Logfile_S12[[#This Row],[date pick]],Logfile_S12[[#This Row],[Date]])</f>
        <v>#N/A</v>
      </c>
      <c r="AC18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73" spans="1:29" ht="14.5" hidden="1">
      <c r="A1873" s="220" t="str">
        <f t="shared" si="68"/>
        <v>1869</v>
      </c>
      <c r="B1873" s="221"/>
      <c r="C1873" s="221" t="s">
        <v>49</v>
      </c>
      <c r="D1873" s="221" t="s">
        <v>4017</v>
      </c>
      <c r="E1873" s="221" t="s">
        <v>3295</v>
      </c>
      <c r="F1873" s="221" t="s">
        <v>3299</v>
      </c>
      <c r="G1873" s="222">
        <v>45404</v>
      </c>
      <c r="H1873" s="223">
        <v>0.77430555555555547</v>
      </c>
      <c r="I1873" s="221" t="s">
        <v>4916</v>
      </c>
      <c r="J1873" s="221" t="s">
        <v>3023</v>
      </c>
      <c r="K1873" s="224" t="s">
        <v>3069</v>
      </c>
      <c r="L1873" s="225" t="str">
        <f>VLOOKUP(Logfile_S12[[#This Row],[Material Name]],Sheet2!B:C,2,0)</f>
        <v>ZTE1001</v>
      </c>
      <c r="M1873" s="225" t="str">
        <f>_xlfn.XLOOKUP(Logfile_S12[[#This Row],[Material Name]],Sum_WH!E:E,Sum_WH!F:F,"",0)</f>
        <v>Pcs</v>
      </c>
      <c r="N1873" s="221">
        <v>9</v>
      </c>
      <c r="O1873" s="221" t="s">
        <v>1081</v>
      </c>
      <c r="P1873" s="221" t="s">
        <v>3370</v>
      </c>
      <c r="Q1873" s="221"/>
      <c r="R1873" s="221"/>
      <c r="S1873" s="221"/>
      <c r="T1873" s="221" t="s">
        <v>3258</v>
      </c>
      <c r="U1873" s="221" t="s">
        <v>3228</v>
      </c>
      <c r="V1873" s="221" t="s">
        <v>3337</v>
      </c>
      <c r="W1873" s="221" t="s">
        <v>3338</v>
      </c>
      <c r="X1873" s="221"/>
      <c r="Y1873" s="227"/>
      <c r="Z1873" s="227" t="str">
        <f t="shared" si="69"/>
        <v>Pandan Landung RW 05 Wagir</v>
      </c>
      <c r="AA1873" s="276" t="e">
        <f>VLOOKUP(Logfile_S12[[#This Row],[DO number]],DO_DB!G:I,3,0)</f>
        <v>#N/A</v>
      </c>
      <c r="AB1873" s="331" t="e">
        <f>EXACT(Logfile_S12[[#This Row],[date pick]],Logfile_S12[[#This Row],[Date]])</f>
        <v>#N/A</v>
      </c>
      <c r="AC18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74" spans="1:29" ht="14.5" hidden="1">
      <c r="A1874" s="220" t="str">
        <f t="shared" si="68"/>
        <v>1870</v>
      </c>
      <c r="B1874" s="221"/>
      <c r="C1874" s="221" t="s">
        <v>49</v>
      </c>
      <c r="D1874" s="221" t="s">
        <v>4015</v>
      </c>
      <c r="E1874" s="221" t="s">
        <v>3295</v>
      </c>
      <c r="F1874" s="221" t="s">
        <v>3299</v>
      </c>
      <c r="G1874" s="222">
        <v>45404</v>
      </c>
      <c r="H1874" s="223">
        <v>0.40902777777777777</v>
      </c>
      <c r="I1874" s="221" t="s">
        <v>4916</v>
      </c>
      <c r="J1874" s="221" t="s">
        <v>3023</v>
      </c>
      <c r="K1874" s="224" t="s">
        <v>3069</v>
      </c>
      <c r="L1874" s="225" t="str">
        <f>VLOOKUP(Logfile_S12[[#This Row],[Material Name]],Sheet2!B:C,2,0)</f>
        <v>ZTE1001</v>
      </c>
      <c r="M1874" s="225" t="str">
        <f>_xlfn.XLOOKUP(Logfile_S12[[#This Row],[Material Name]],Sum_WH!E:E,Sum_WH!F:F,"",0)</f>
        <v>Pcs</v>
      </c>
      <c r="N1874" s="221">
        <v>13</v>
      </c>
      <c r="O1874" s="221" t="s">
        <v>1401</v>
      </c>
      <c r="P1874" s="221" t="s">
        <v>3371</v>
      </c>
      <c r="Q1874" s="221"/>
      <c r="R1874" s="221"/>
      <c r="S1874" s="221"/>
      <c r="T1874" s="221" t="s">
        <v>3363</v>
      </c>
      <c r="U1874" s="221" t="s">
        <v>3228</v>
      </c>
      <c r="V1874" s="221" t="s">
        <v>3364</v>
      </c>
      <c r="W1874" s="221" t="s">
        <v>3372</v>
      </c>
      <c r="X1874" s="221"/>
      <c r="Y1874" s="227"/>
      <c r="Z1874" s="227" t="str">
        <f t="shared" si="69"/>
        <v>Lowokwaru RW14</v>
      </c>
      <c r="AA1874" s="276" t="e">
        <f>VLOOKUP(Logfile_S12[[#This Row],[DO number]],DO_DB!G:I,3,0)</f>
        <v>#N/A</v>
      </c>
      <c r="AB1874" s="331" t="e">
        <f>EXACT(Logfile_S12[[#This Row],[date pick]],Logfile_S12[[#This Row],[Date]])</f>
        <v>#N/A</v>
      </c>
      <c r="AC18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75" spans="1:29" ht="14.5" hidden="1">
      <c r="A1875" s="220" t="str">
        <f t="shared" si="68"/>
        <v>1871</v>
      </c>
      <c r="B1875" s="221"/>
      <c r="C1875" s="221" t="s">
        <v>49</v>
      </c>
      <c r="D1875" s="221" t="s">
        <v>4016</v>
      </c>
      <c r="E1875" s="221" t="s">
        <v>3295</v>
      </c>
      <c r="F1875" s="221" t="s">
        <v>3299</v>
      </c>
      <c r="G1875" s="222">
        <v>45404</v>
      </c>
      <c r="H1875" s="223">
        <v>0.56458333333333333</v>
      </c>
      <c r="I1875" s="221" t="s">
        <v>4916</v>
      </c>
      <c r="J1875" s="221" t="s">
        <v>3023</v>
      </c>
      <c r="K1875" s="224" t="s">
        <v>3069</v>
      </c>
      <c r="L1875" s="225" t="str">
        <f>VLOOKUP(Logfile_S12[[#This Row],[Material Name]],Sheet2!B:C,2,0)</f>
        <v>ZTE1001</v>
      </c>
      <c r="M1875" s="225" t="str">
        <f>_xlfn.XLOOKUP(Logfile_S12[[#This Row],[Material Name]],Sum_WH!E:E,Sum_WH!F:F,"",0)</f>
        <v>Pcs</v>
      </c>
      <c r="N1875" s="221">
        <v>25</v>
      </c>
      <c r="O1875" s="221" t="s">
        <v>1081</v>
      </c>
      <c r="P1875" s="221" t="s">
        <v>3370</v>
      </c>
      <c r="Q1875" s="221"/>
      <c r="R1875" s="221"/>
      <c r="S1875" s="221"/>
      <c r="T1875" s="221" t="s">
        <v>3258</v>
      </c>
      <c r="U1875" s="221" t="s">
        <v>3228</v>
      </c>
      <c r="V1875" s="221" t="s">
        <v>3337</v>
      </c>
      <c r="W1875" s="221" t="s">
        <v>3338</v>
      </c>
      <c r="X1875" s="221"/>
      <c r="Y1875" s="227"/>
      <c r="Z1875" s="227" t="str">
        <f t="shared" si="69"/>
        <v>Pandan Landung RW 05 Wagir</v>
      </c>
      <c r="AA1875" s="276" t="e">
        <f>VLOOKUP(Logfile_S12[[#This Row],[DO number]],DO_DB!G:I,3,0)</f>
        <v>#N/A</v>
      </c>
      <c r="AB1875" s="331" t="e">
        <f>EXACT(Logfile_S12[[#This Row],[date pick]],Logfile_S12[[#This Row],[Date]])</f>
        <v>#N/A</v>
      </c>
      <c r="AC18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76" spans="1:29" ht="14.5" hidden="1">
      <c r="A1876" s="220" t="str">
        <f t="shared" si="68"/>
        <v>1872</v>
      </c>
      <c r="B1876" s="221"/>
      <c r="C1876" s="221" t="s">
        <v>49</v>
      </c>
      <c r="D1876" s="221" t="s">
        <v>4022</v>
      </c>
      <c r="E1876" s="221" t="s">
        <v>3295</v>
      </c>
      <c r="F1876" s="221" t="s">
        <v>3299</v>
      </c>
      <c r="G1876" s="222">
        <v>45405</v>
      </c>
      <c r="H1876" s="223">
        <v>0.71666666666666667</v>
      </c>
      <c r="I1876" s="221" t="s">
        <v>4916</v>
      </c>
      <c r="J1876" s="221" t="s">
        <v>3023</v>
      </c>
      <c r="K1876" s="224" t="s">
        <v>3069</v>
      </c>
      <c r="L1876" s="225" t="str">
        <f>VLOOKUP(Logfile_S12[[#This Row],[Material Name]],Sheet2!B:C,2,0)</f>
        <v>ZTE1001</v>
      </c>
      <c r="M1876" s="225" t="str">
        <f>_xlfn.XLOOKUP(Logfile_S12[[#This Row],[Material Name]],Sum_WH!E:E,Sum_WH!F:F,"",0)</f>
        <v>Pcs</v>
      </c>
      <c r="N1876" s="221">
        <v>4</v>
      </c>
      <c r="O1876" s="221" t="s">
        <v>1081</v>
      </c>
      <c r="P1876" s="221" t="s">
        <v>3370</v>
      </c>
      <c r="Q1876" s="221"/>
      <c r="R1876" s="221"/>
      <c r="S1876" s="221"/>
      <c r="T1876" s="221" t="s">
        <v>3258</v>
      </c>
      <c r="U1876" s="221" t="s">
        <v>3228</v>
      </c>
      <c r="V1876" s="221" t="s">
        <v>3337</v>
      </c>
      <c r="W1876" s="221" t="s">
        <v>3338</v>
      </c>
      <c r="X1876" s="221"/>
      <c r="Y1876" s="227"/>
      <c r="Z1876" s="227" t="str">
        <f t="shared" si="69"/>
        <v>Pandan Landung RW 05 Wagir</v>
      </c>
      <c r="AA1876" s="276" t="e">
        <f>VLOOKUP(Logfile_S12[[#This Row],[DO number]],DO_DB!G:I,3,0)</f>
        <v>#N/A</v>
      </c>
      <c r="AB1876" s="331" t="e">
        <f>EXACT(Logfile_S12[[#This Row],[date pick]],Logfile_S12[[#This Row],[Date]])</f>
        <v>#N/A</v>
      </c>
      <c r="AC18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77" spans="1:29" ht="14.5" hidden="1">
      <c r="A1877" s="220" t="str">
        <f t="shared" si="68"/>
        <v>1873</v>
      </c>
      <c r="B1877" s="221"/>
      <c r="C1877" s="221" t="s">
        <v>49</v>
      </c>
      <c r="D1877" s="221" t="s">
        <v>4021</v>
      </c>
      <c r="E1877" s="221" t="s">
        <v>3295</v>
      </c>
      <c r="F1877" s="221" t="s">
        <v>3299</v>
      </c>
      <c r="G1877" s="222">
        <v>45405</v>
      </c>
      <c r="H1877" s="223">
        <v>0.3756944444444445</v>
      </c>
      <c r="I1877" s="221" t="s">
        <v>4916</v>
      </c>
      <c r="J1877" s="221" t="s">
        <v>3023</v>
      </c>
      <c r="K1877" s="224" t="s">
        <v>3069</v>
      </c>
      <c r="L1877" s="225" t="str">
        <f>VLOOKUP(Logfile_S12[[#This Row],[Material Name]],Sheet2!B:C,2,0)</f>
        <v>ZTE1001</v>
      </c>
      <c r="M1877" s="225" t="str">
        <f>_xlfn.XLOOKUP(Logfile_S12[[#This Row],[Material Name]],Sum_WH!E:E,Sum_WH!F:F,"",0)</f>
        <v>Pcs</v>
      </c>
      <c r="N1877" s="221">
        <v>6</v>
      </c>
      <c r="O1877" s="221" t="s">
        <v>1401</v>
      </c>
      <c r="P1877" s="221" t="s">
        <v>3371</v>
      </c>
      <c r="Q1877" s="221"/>
      <c r="R1877" s="221"/>
      <c r="S1877" s="221"/>
      <c r="T1877" s="221" t="s">
        <v>3363</v>
      </c>
      <c r="U1877" s="221" t="s">
        <v>3228</v>
      </c>
      <c r="V1877" s="221" t="s">
        <v>3364</v>
      </c>
      <c r="W1877" s="221" t="s">
        <v>3372</v>
      </c>
      <c r="X1877" s="221"/>
      <c r="Y1877" s="227"/>
      <c r="Z1877" s="227" t="str">
        <f t="shared" si="69"/>
        <v>Lowokwaru RW14</v>
      </c>
      <c r="AA1877" s="276" t="e">
        <f>VLOOKUP(Logfile_S12[[#This Row],[DO number]],DO_DB!G:I,3,0)</f>
        <v>#N/A</v>
      </c>
      <c r="AB1877" s="331" t="e">
        <f>EXACT(Logfile_S12[[#This Row],[date pick]],Logfile_S12[[#This Row],[Date]])</f>
        <v>#N/A</v>
      </c>
      <c r="AC18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78" spans="1:29" ht="14.5" hidden="1">
      <c r="A1878" s="220" t="str">
        <f t="shared" si="68"/>
        <v>1874</v>
      </c>
      <c r="B1878" s="221"/>
      <c r="C1878" s="221" t="s">
        <v>3313</v>
      </c>
      <c r="D1878" s="221" t="s">
        <v>4033</v>
      </c>
      <c r="E1878" s="221" t="s">
        <v>3295</v>
      </c>
      <c r="F1878" s="221" t="s">
        <v>3299</v>
      </c>
      <c r="G1878" s="222">
        <v>45412</v>
      </c>
      <c r="H1878" s="223">
        <v>15.291666666666666</v>
      </c>
      <c r="I1878" s="221" t="s">
        <v>37</v>
      </c>
      <c r="J1878" s="221" t="s">
        <v>3023</v>
      </c>
      <c r="K1878" s="224" t="s">
        <v>3069</v>
      </c>
      <c r="L1878" s="225" t="str">
        <f>VLOOKUP(Logfile_S12[[#This Row],[Material Name]],Sheet2!B:C,2,0)</f>
        <v>ZTE1001</v>
      </c>
      <c r="M1878" s="225" t="str">
        <f>_xlfn.XLOOKUP(Logfile_S12[[#This Row],[Material Name]],Sum_WH!E:E,Sum_WH!F:F,"",0)</f>
        <v>Pcs</v>
      </c>
      <c r="N1878" s="221">
        <v>2</v>
      </c>
      <c r="O1878" s="221" t="s">
        <v>3314</v>
      </c>
      <c r="P1878" s="221">
        <v>0</v>
      </c>
      <c r="Q1878" s="221">
        <v>0</v>
      </c>
      <c r="R1878" s="221" t="s">
        <v>3147</v>
      </c>
      <c r="S1878" s="221"/>
      <c r="T1878" s="221"/>
      <c r="U1878" s="221"/>
      <c r="V1878" s="221"/>
      <c r="W1878" s="221"/>
      <c r="X1878" s="221"/>
      <c r="Y1878" s="227"/>
      <c r="Z1878" s="227">
        <f t="shared" si="69"/>
        <v>0</v>
      </c>
      <c r="AA1878" s="276" t="e">
        <f>VLOOKUP(Logfile_S12[[#This Row],[DO number]],DO_DB!G:I,3,0)</f>
        <v>#N/A</v>
      </c>
      <c r="AB1878" s="331" t="e">
        <f>EXACT(Logfile_S12[[#This Row],[date pick]],Logfile_S12[[#This Row],[Date]])</f>
        <v>#N/A</v>
      </c>
      <c r="AC18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79" spans="1:29" ht="14.5" hidden="1">
      <c r="A1879" s="220" t="str">
        <f t="shared" si="68"/>
        <v>1875</v>
      </c>
      <c r="B1879" s="221"/>
      <c r="C1879" s="221" t="s">
        <v>3313</v>
      </c>
      <c r="D1879" s="221" t="s">
        <v>4039</v>
      </c>
      <c r="E1879" s="221" t="s">
        <v>3295</v>
      </c>
      <c r="F1879" s="221" t="s">
        <v>3299</v>
      </c>
      <c r="G1879" s="222">
        <v>45420</v>
      </c>
      <c r="H1879" s="223">
        <v>15.291666666666666</v>
      </c>
      <c r="I1879" s="221" t="s">
        <v>37</v>
      </c>
      <c r="J1879" s="221" t="s">
        <v>3023</v>
      </c>
      <c r="K1879" s="224" t="s">
        <v>3069</v>
      </c>
      <c r="L1879" s="225" t="str">
        <f>VLOOKUP(Logfile_S12[[#This Row],[Material Name]],Sheet2!B:C,2,0)</f>
        <v>ZTE1001</v>
      </c>
      <c r="M1879" s="225" t="str">
        <f>_xlfn.XLOOKUP(Logfile_S12[[#This Row],[Material Name]],Sum_WH!E:E,Sum_WH!F:F,"",0)</f>
        <v>Pcs</v>
      </c>
      <c r="N1879" s="221">
        <v>1</v>
      </c>
      <c r="O1879" s="221" t="s">
        <v>3314</v>
      </c>
      <c r="P1879" s="221">
        <v>0</v>
      </c>
      <c r="Q1879" s="221">
        <v>0</v>
      </c>
      <c r="R1879" s="221" t="s">
        <v>3147</v>
      </c>
      <c r="S1879" s="221"/>
      <c r="T1879" s="221"/>
      <c r="U1879" s="221"/>
      <c r="V1879" s="221"/>
      <c r="W1879" s="221"/>
      <c r="X1879" s="221"/>
      <c r="Y1879" s="227"/>
      <c r="Z1879" s="227">
        <f t="shared" si="69"/>
        <v>0</v>
      </c>
      <c r="AA1879" s="276" t="e">
        <f>VLOOKUP(Logfile_S12[[#This Row],[DO number]],DO_DB!G:I,3,0)</f>
        <v>#N/A</v>
      </c>
      <c r="AB1879" s="331" t="e">
        <f>EXACT(Logfile_S12[[#This Row],[date pick]],Logfile_S12[[#This Row],[Date]])</f>
        <v>#N/A</v>
      </c>
      <c r="AC18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80" spans="1:29" ht="14.5" hidden="1">
      <c r="A1880" s="220" t="str">
        <f t="shared" si="68"/>
        <v>1876</v>
      </c>
      <c r="B1880" s="221"/>
      <c r="C1880" s="221" t="s">
        <v>49</v>
      </c>
      <c r="D1880" s="221" t="s">
        <v>4049</v>
      </c>
      <c r="E1880" s="221" t="s">
        <v>3295</v>
      </c>
      <c r="F1880" s="221" t="s">
        <v>3299</v>
      </c>
      <c r="G1880" s="222">
        <v>45432</v>
      </c>
      <c r="H1880" s="223">
        <v>0.3979166666666667</v>
      </c>
      <c r="I1880" s="221" t="s">
        <v>4916</v>
      </c>
      <c r="J1880" s="221" t="s">
        <v>3023</v>
      </c>
      <c r="K1880" s="224" t="s">
        <v>3069</v>
      </c>
      <c r="L1880" s="225" t="str">
        <f>VLOOKUP(Logfile_S12[[#This Row],[Material Name]],Sheet2!B:C,2,0)</f>
        <v>ZTE1001</v>
      </c>
      <c r="M1880" s="225" t="str">
        <f>_xlfn.XLOOKUP(Logfile_S12[[#This Row],[Material Name]],Sum_WH!E:E,Sum_WH!F:F,"",0)</f>
        <v>Pcs</v>
      </c>
      <c r="N1880" s="221">
        <v>23</v>
      </c>
      <c r="O1880" s="221" t="s">
        <v>1405</v>
      </c>
      <c r="P1880" s="221" t="s">
        <v>1406</v>
      </c>
      <c r="Q1880" s="221"/>
      <c r="R1880" s="221"/>
      <c r="S1880" s="221"/>
      <c r="T1880" s="221" t="s">
        <v>3258</v>
      </c>
      <c r="U1880" s="221">
        <v>0</v>
      </c>
      <c r="V1880" s="221" t="s">
        <v>3337</v>
      </c>
      <c r="W1880" s="221" t="s">
        <v>3338</v>
      </c>
      <c r="X1880" s="221"/>
      <c r="Y1880" s="227"/>
      <c r="Z1880" s="227" t="str">
        <f t="shared" si="69"/>
        <v>Lawang RW 06 Malang</v>
      </c>
      <c r="AA1880" s="276" t="e">
        <f>VLOOKUP(Logfile_S12[[#This Row],[DO number]],DO_DB!G:I,3,0)</f>
        <v>#N/A</v>
      </c>
      <c r="AB1880" s="331" t="e">
        <f>EXACT(Logfile_S12[[#This Row],[date pick]],Logfile_S12[[#This Row],[Date]])</f>
        <v>#N/A</v>
      </c>
      <c r="AC18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81" spans="1:29" ht="14.5" hidden="1">
      <c r="A1881" s="220" t="str">
        <f t="shared" si="68"/>
        <v>1877</v>
      </c>
      <c r="B1881" s="221"/>
      <c r="C1881" s="221" t="s">
        <v>48</v>
      </c>
      <c r="D1881" s="221" t="s">
        <v>4054</v>
      </c>
      <c r="E1881" s="221" t="s">
        <v>3295</v>
      </c>
      <c r="F1881" s="221" t="s">
        <v>3299</v>
      </c>
      <c r="G1881" s="222">
        <v>45433</v>
      </c>
      <c r="H1881" s="223">
        <v>15.291666666666666</v>
      </c>
      <c r="I1881" s="221" t="s">
        <v>37</v>
      </c>
      <c r="J1881" s="221" t="s">
        <v>3023</v>
      </c>
      <c r="K1881" s="224" t="s">
        <v>3069</v>
      </c>
      <c r="L1881" s="225" t="str">
        <f>VLOOKUP(Logfile_S12[[#This Row],[Material Name]],Sheet2!B:C,2,0)</f>
        <v>ZTE1001</v>
      </c>
      <c r="M1881" s="225" t="str">
        <f>_xlfn.XLOOKUP(Logfile_S12[[#This Row],[Material Name]],Sum_WH!E:E,Sum_WH!F:F,"",0)</f>
        <v>Pcs</v>
      </c>
      <c r="N1881" s="221">
        <v>246</v>
      </c>
      <c r="O1881" s="221"/>
      <c r="P1881" s="221"/>
      <c r="Q1881" s="221">
        <v>0</v>
      </c>
      <c r="R1881" s="221">
        <v>0</v>
      </c>
      <c r="S1881" s="221"/>
      <c r="T1881" s="221"/>
      <c r="U1881" s="221"/>
      <c r="V1881" s="221"/>
      <c r="W1881" s="221"/>
      <c r="X1881" s="221"/>
      <c r="Y1881" s="227"/>
      <c r="Z1881" s="227">
        <f t="shared" si="69"/>
        <v>0</v>
      </c>
      <c r="AA1881" s="276" t="e">
        <f>VLOOKUP(Logfile_S12[[#This Row],[DO number]],DO_DB!G:I,3,0)</f>
        <v>#N/A</v>
      </c>
      <c r="AB1881" s="331" t="e">
        <f>EXACT(Logfile_S12[[#This Row],[date pick]],Logfile_S12[[#This Row],[Date]])</f>
        <v>#N/A</v>
      </c>
      <c r="AC18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82" spans="1:29" ht="14.5" hidden="1">
      <c r="A1882" s="220" t="str">
        <f t="shared" si="68"/>
        <v>1878</v>
      </c>
      <c r="B1882" s="221"/>
      <c r="C1882" s="221" t="s">
        <v>49</v>
      </c>
      <c r="D1882" s="221" t="s">
        <v>4052</v>
      </c>
      <c r="E1882" s="221" t="s">
        <v>3295</v>
      </c>
      <c r="F1882" s="221" t="s">
        <v>3299</v>
      </c>
      <c r="G1882" s="222">
        <v>45433</v>
      </c>
      <c r="H1882" s="223">
        <v>0.37708333333333338</v>
      </c>
      <c r="I1882" s="221" t="s">
        <v>4916</v>
      </c>
      <c r="J1882" s="221" t="s">
        <v>3023</v>
      </c>
      <c r="K1882" s="224" t="s">
        <v>3069</v>
      </c>
      <c r="L1882" s="225" t="str">
        <f>VLOOKUP(Logfile_S12[[#This Row],[Material Name]],Sheet2!B:C,2,0)</f>
        <v>ZTE1001</v>
      </c>
      <c r="M1882" s="225" t="str">
        <f>_xlfn.XLOOKUP(Logfile_S12[[#This Row],[Material Name]],Sum_WH!E:E,Sum_WH!F:F,"",0)</f>
        <v>Pcs</v>
      </c>
      <c r="N1882" s="221">
        <v>12</v>
      </c>
      <c r="O1882" s="221" t="s">
        <v>1405</v>
      </c>
      <c r="P1882" s="221" t="s">
        <v>1406</v>
      </c>
      <c r="Q1882" s="221"/>
      <c r="R1882" s="221"/>
      <c r="S1882" s="221"/>
      <c r="T1882" s="221" t="s">
        <v>3258</v>
      </c>
      <c r="U1882" s="221">
        <v>0</v>
      </c>
      <c r="V1882" s="221" t="s">
        <v>3337</v>
      </c>
      <c r="W1882" s="221" t="s">
        <v>3338</v>
      </c>
      <c r="X1882" s="221"/>
      <c r="Y1882" s="227"/>
      <c r="Z1882" s="227" t="str">
        <f t="shared" si="69"/>
        <v>Lawang RW 06 Malang</v>
      </c>
      <c r="AA1882" s="276" t="e">
        <f>VLOOKUP(Logfile_S12[[#This Row],[DO number]],DO_DB!G:I,3,0)</f>
        <v>#N/A</v>
      </c>
      <c r="AB1882" s="331" t="e">
        <f>EXACT(Logfile_S12[[#This Row],[date pick]],Logfile_S12[[#This Row],[Date]])</f>
        <v>#N/A</v>
      </c>
      <c r="AC18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83" spans="1:29" ht="14.5" hidden="1">
      <c r="A1883" s="220" t="str">
        <f t="shared" si="68"/>
        <v>1879</v>
      </c>
      <c r="B1883" s="221"/>
      <c r="C1883" s="221" t="s">
        <v>48</v>
      </c>
      <c r="D1883" s="221" t="s">
        <v>4057</v>
      </c>
      <c r="E1883" s="221" t="s">
        <v>3295</v>
      </c>
      <c r="F1883" s="221" t="s">
        <v>3299</v>
      </c>
      <c r="G1883" s="222">
        <v>45434</v>
      </c>
      <c r="H1883" s="223">
        <v>15.291666666666666</v>
      </c>
      <c r="I1883" s="221" t="s">
        <v>3586</v>
      </c>
      <c r="J1883" s="221" t="s">
        <v>3023</v>
      </c>
      <c r="K1883" s="224" t="s">
        <v>3069</v>
      </c>
      <c r="L1883" s="225" t="str">
        <f>VLOOKUP(Logfile_S12[[#This Row],[Material Name]],Sheet2!B:C,2,0)</f>
        <v>ZTE1001</v>
      </c>
      <c r="M1883" s="225" t="str">
        <f>_xlfn.XLOOKUP(Logfile_S12[[#This Row],[Material Name]],Sum_WH!E:E,Sum_WH!F:F,"",0)</f>
        <v>Pcs</v>
      </c>
      <c r="N1883" s="221">
        <v>8</v>
      </c>
      <c r="O1883" s="221"/>
      <c r="P1883" s="221"/>
      <c r="Q1883" s="221">
        <v>0</v>
      </c>
      <c r="R1883" s="221" t="s">
        <v>3147</v>
      </c>
      <c r="S1883" s="221"/>
      <c r="T1883" s="221"/>
      <c r="U1883" s="221"/>
      <c r="V1883" s="221"/>
      <c r="W1883" s="221"/>
      <c r="X1883" s="221" t="s">
        <v>3585</v>
      </c>
      <c r="Y1883" s="227"/>
      <c r="Z1883" s="227">
        <f t="shared" si="69"/>
        <v>0</v>
      </c>
      <c r="AA1883" s="276" t="e">
        <f>VLOOKUP(Logfile_S12[[#This Row],[DO number]],DO_DB!G:I,3,0)</f>
        <v>#N/A</v>
      </c>
      <c r="AB1883" s="331" t="e">
        <f>EXACT(Logfile_S12[[#This Row],[date pick]],Logfile_S12[[#This Row],[Date]])</f>
        <v>#N/A</v>
      </c>
      <c r="AC18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84" spans="1:29" ht="14.5" hidden="1">
      <c r="A1884" s="220" t="str">
        <f t="shared" si="68"/>
        <v>1880</v>
      </c>
      <c r="B1884" s="221"/>
      <c r="C1884" s="221" t="s">
        <v>49</v>
      </c>
      <c r="D1884" s="221" t="s">
        <v>4056</v>
      </c>
      <c r="E1884" s="221" t="s">
        <v>3295</v>
      </c>
      <c r="F1884" s="221" t="s">
        <v>3299</v>
      </c>
      <c r="G1884" s="222">
        <v>45434</v>
      </c>
      <c r="H1884" s="223">
        <v>0.39166666666666666</v>
      </c>
      <c r="I1884" s="221" t="s">
        <v>4916</v>
      </c>
      <c r="J1884" s="221" t="s">
        <v>3023</v>
      </c>
      <c r="K1884" s="224" t="s">
        <v>3069</v>
      </c>
      <c r="L1884" s="225" t="str">
        <f>VLOOKUP(Logfile_S12[[#This Row],[Material Name]],Sheet2!B:C,2,0)</f>
        <v>ZTE1001</v>
      </c>
      <c r="M1884" s="225" t="str">
        <f>_xlfn.XLOOKUP(Logfile_S12[[#This Row],[Material Name]],Sum_WH!E:E,Sum_WH!F:F,"",0)</f>
        <v>Pcs</v>
      </c>
      <c r="N1884" s="221">
        <v>21</v>
      </c>
      <c r="O1884" s="221" t="s">
        <v>1395</v>
      </c>
      <c r="P1884" s="221" t="s">
        <v>1396</v>
      </c>
      <c r="Q1884" s="221"/>
      <c r="R1884" s="221"/>
      <c r="S1884" s="221"/>
      <c r="T1884" s="221" t="s">
        <v>3258</v>
      </c>
      <c r="U1884" s="221" t="s">
        <v>3228</v>
      </c>
      <c r="V1884" s="221" t="s">
        <v>3337</v>
      </c>
      <c r="W1884" s="221" t="s">
        <v>3338</v>
      </c>
      <c r="X1884" s="221"/>
      <c r="Y1884" s="227"/>
      <c r="Z1884" s="227" t="str">
        <f t="shared" si="69"/>
        <v>Candirenggo RW 10 Singosari</v>
      </c>
      <c r="AA1884" s="276" t="e">
        <f>VLOOKUP(Logfile_S12[[#This Row],[DO number]],DO_DB!G:I,3,0)</f>
        <v>#N/A</v>
      </c>
      <c r="AB1884" s="331" t="e">
        <f>EXACT(Logfile_S12[[#This Row],[date pick]],Logfile_S12[[#This Row],[Date]])</f>
        <v>#N/A</v>
      </c>
      <c r="AC18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85" spans="1:29" ht="14.5" hidden="1">
      <c r="A1885" s="220" t="str">
        <f t="shared" si="68"/>
        <v>1881</v>
      </c>
      <c r="B1885" s="221"/>
      <c r="C1885" s="221" t="s">
        <v>49</v>
      </c>
      <c r="D1885" s="221" t="s">
        <v>4059</v>
      </c>
      <c r="E1885" s="221" t="s">
        <v>3295</v>
      </c>
      <c r="F1885" s="221" t="s">
        <v>3299</v>
      </c>
      <c r="G1885" s="222">
        <v>45436</v>
      </c>
      <c r="H1885" s="223">
        <v>0.44791666666666669</v>
      </c>
      <c r="I1885" s="221" t="s">
        <v>4916</v>
      </c>
      <c r="J1885" s="221" t="s">
        <v>3023</v>
      </c>
      <c r="K1885" s="224" t="s">
        <v>3069</v>
      </c>
      <c r="L1885" s="225" t="str">
        <f>VLOOKUP(Logfile_S12[[#This Row],[Material Name]],Sheet2!B:C,2,0)</f>
        <v>ZTE1001</v>
      </c>
      <c r="M1885" s="225" t="str">
        <f>_xlfn.XLOOKUP(Logfile_S12[[#This Row],[Material Name]],Sum_WH!E:E,Sum_WH!F:F,"",0)</f>
        <v>Pcs</v>
      </c>
      <c r="N1885" s="221">
        <v>21</v>
      </c>
      <c r="O1885" s="221" t="s">
        <v>1469</v>
      </c>
      <c r="P1885" s="221" t="s">
        <v>1470</v>
      </c>
      <c r="Q1885" s="221"/>
      <c r="R1885" s="221"/>
      <c r="S1885" s="221"/>
      <c r="T1885" s="221" t="s">
        <v>3258</v>
      </c>
      <c r="U1885" s="221" t="s">
        <v>3228</v>
      </c>
      <c r="V1885" s="221" t="s">
        <v>3337</v>
      </c>
      <c r="W1885" s="221" t="s">
        <v>3338</v>
      </c>
      <c r="X1885" s="221"/>
      <c r="Y1885" s="227"/>
      <c r="Z1885" s="227" t="str">
        <f t="shared" si="69"/>
        <v>Dusun Klaseman Kucur</v>
      </c>
      <c r="AA1885" s="276" t="e">
        <f>VLOOKUP(Logfile_S12[[#This Row],[DO number]],DO_DB!G:I,3,0)</f>
        <v>#N/A</v>
      </c>
      <c r="AB1885" s="331" t="e">
        <f>EXACT(Logfile_S12[[#This Row],[date pick]],Logfile_S12[[#This Row],[Date]])</f>
        <v>#N/A</v>
      </c>
      <c r="AC18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86" spans="1:29" ht="14.5" hidden="1">
      <c r="A1886" s="220" t="str">
        <f t="shared" si="68"/>
        <v>1882</v>
      </c>
      <c r="B1886" s="221"/>
      <c r="C1886" s="221" t="s">
        <v>49</v>
      </c>
      <c r="D1886" s="221" t="s">
        <v>4063</v>
      </c>
      <c r="E1886" s="221" t="s">
        <v>3295</v>
      </c>
      <c r="F1886" s="221" t="s">
        <v>3299</v>
      </c>
      <c r="G1886" s="222">
        <v>45437</v>
      </c>
      <c r="H1886" s="223">
        <v>0.75</v>
      </c>
      <c r="I1886" s="221" t="s">
        <v>4916</v>
      </c>
      <c r="J1886" s="221" t="s">
        <v>3023</v>
      </c>
      <c r="K1886" s="224" t="s">
        <v>3069</v>
      </c>
      <c r="L1886" s="225" t="str">
        <f>VLOOKUP(Logfile_S12[[#This Row],[Material Name]],Sheet2!B:C,2,0)</f>
        <v>ZTE1001</v>
      </c>
      <c r="M1886" s="225" t="str">
        <f>_xlfn.XLOOKUP(Logfile_S12[[#This Row],[Material Name]],Sum_WH!E:E,Sum_WH!F:F,"",0)</f>
        <v>Pcs</v>
      </c>
      <c r="N1886" s="221">
        <v>2</v>
      </c>
      <c r="O1886" s="221" t="s">
        <v>1493</v>
      </c>
      <c r="P1886" s="221" t="s">
        <v>1494</v>
      </c>
      <c r="Q1886" s="221"/>
      <c r="R1886" s="221"/>
      <c r="S1886" s="221"/>
      <c r="T1886" s="221" t="s">
        <v>3233</v>
      </c>
      <c r="U1886" s="221">
        <v>0</v>
      </c>
      <c r="V1886" s="221">
        <v>0</v>
      </c>
      <c r="W1886" s="221">
        <v>0</v>
      </c>
      <c r="X1886" s="221" t="s">
        <v>3588</v>
      </c>
      <c r="Y1886" s="227"/>
      <c r="Z1886" s="227" t="str">
        <f t="shared" si="69"/>
        <v>Dusun Krajan Kucur</v>
      </c>
      <c r="AA1886" s="276" t="e">
        <f>VLOOKUP(Logfile_S12[[#This Row],[DO number]],DO_DB!G:I,3,0)</f>
        <v>#N/A</v>
      </c>
      <c r="AB1886" s="331" t="e">
        <f>EXACT(Logfile_S12[[#This Row],[date pick]],Logfile_S12[[#This Row],[Date]])</f>
        <v>#N/A</v>
      </c>
      <c r="AC18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87" spans="1:29" ht="14.5" hidden="1">
      <c r="A1887" s="220" t="str">
        <f t="shared" si="68"/>
        <v>1883</v>
      </c>
      <c r="B1887" s="221"/>
      <c r="C1887" s="221" t="s">
        <v>49</v>
      </c>
      <c r="D1887" s="221" t="s">
        <v>4062</v>
      </c>
      <c r="E1887" s="221" t="s">
        <v>3295</v>
      </c>
      <c r="F1887" s="221" t="s">
        <v>3299</v>
      </c>
      <c r="G1887" s="222">
        <v>45437</v>
      </c>
      <c r="H1887" s="223">
        <v>0.71180555555555547</v>
      </c>
      <c r="I1887" s="221" t="s">
        <v>4916</v>
      </c>
      <c r="J1887" s="221" t="s">
        <v>3023</v>
      </c>
      <c r="K1887" s="224" t="s">
        <v>3069</v>
      </c>
      <c r="L1887" s="225" t="str">
        <f>VLOOKUP(Logfile_S12[[#This Row],[Material Name]],Sheet2!B:C,2,0)</f>
        <v>ZTE1001</v>
      </c>
      <c r="M1887" s="225" t="str">
        <f>_xlfn.XLOOKUP(Logfile_S12[[#This Row],[Material Name]],Sum_WH!E:E,Sum_WH!F:F,"",0)</f>
        <v>Pcs</v>
      </c>
      <c r="N1887" s="221">
        <v>82</v>
      </c>
      <c r="O1887" s="221" t="s">
        <v>1493</v>
      </c>
      <c r="P1887" s="221" t="s">
        <v>1494</v>
      </c>
      <c r="Q1887" s="221"/>
      <c r="R1887" s="221"/>
      <c r="S1887" s="221"/>
      <c r="T1887" s="221" t="s">
        <v>3258</v>
      </c>
      <c r="U1887" s="221" t="s">
        <v>3228</v>
      </c>
      <c r="V1887" s="221" t="s">
        <v>3337</v>
      </c>
      <c r="W1887" s="221" t="s">
        <v>3338</v>
      </c>
      <c r="X1887" s="221"/>
      <c r="Y1887" s="227"/>
      <c r="Z1887" s="227" t="str">
        <f t="shared" si="69"/>
        <v>Dusun Krajan Kucur</v>
      </c>
      <c r="AA1887" s="276" t="e">
        <f>VLOOKUP(Logfile_S12[[#This Row],[DO number]],DO_DB!G:I,3,0)</f>
        <v>#N/A</v>
      </c>
      <c r="AB1887" s="331" t="e">
        <f>EXACT(Logfile_S12[[#This Row],[date pick]],Logfile_S12[[#This Row],[Date]])</f>
        <v>#N/A</v>
      </c>
      <c r="AC18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88" spans="1:29" ht="14.5" hidden="1">
      <c r="A1888" s="220" t="str">
        <f t="shared" si="68"/>
        <v>1884</v>
      </c>
      <c r="B1888" s="221"/>
      <c r="C1888" s="221" t="s">
        <v>49</v>
      </c>
      <c r="D1888" s="221" t="s">
        <v>4060</v>
      </c>
      <c r="E1888" s="221" t="s">
        <v>3295</v>
      </c>
      <c r="F1888" s="221" t="s">
        <v>3299</v>
      </c>
      <c r="G1888" s="222">
        <v>45437</v>
      </c>
      <c r="H1888" s="223">
        <v>0.40277777777777773</v>
      </c>
      <c r="I1888" s="221" t="s">
        <v>4916</v>
      </c>
      <c r="J1888" s="221" t="s">
        <v>3023</v>
      </c>
      <c r="K1888" s="224" t="s">
        <v>3069</v>
      </c>
      <c r="L1888" s="225" t="str">
        <f>VLOOKUP(Logfile_S12[[#This Row],[Material Name]],Sheet2!B:C,2,0)</f>
        <v>ZTE1001</v>
      </c>
      <c r="M1888" s="225" t="str">
        <f>_xlfn.XLOOKUP(Logfile_S12[[#This Row],[Material Name]],Sum_WH!E:E,Sum_WH!F:F,"",0)</f>
        <v>Pcs</v>
      </c>
      <c r="N1888" s="221">
        <v>131</v>
      </c>
      <c r="O1888" s="221" t="s">
        <v>1493</v>
      </c>
      <c r="P1888" s="221" t="s">
        <v>1494</v>
      </c>
      <c r="Q1888" s="221"/>
      <c r="R1888" s="221"/>
      <c r="S1888" s="221"/>
      <c r="T1888" s="221" t="s">
        <v>3258</v>
      </c>
      <c r="U1888" s="221" t="s">
        <v>3228</v>
      </c>
      <c r="V1888" s="221" t="s">
        <v>3337</v>
      </c>
      <c r="W1888" s="221" t="s">
        <v>3338</v>
      </c>
      <c r="X1888" s="221"/>
      <c r="Y1888" s="227"/>
      <c r="Z1888" s="227" t="str">
        <f t="shared" si="69"/>
        <v>Dusun Krajan Kucur</v>
      </c>
      <c r="AA1888" s="276" t="e">
        <f>VLOOKUP(Logfile_S12[[#This Row],[DO number]],DO_DB!G:I,3,0)</f>
        <v>#N/A</v>
      </c>
      <c r="AB1888" s="331" t="e">
        <f>EXACT(Logfile_S12[[#This Row],[date pick]],Logfile_S12[[#This Row],[Date]])</f>
        <v>#N/A</v>
      </c>
      <c r="AC18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89" spans="1:29" ht="14.5" hidden="1">
      <c r="A1889" s="237" t="str">
        <f t="shared" si="68"/>
        <v>1885</v>
      </c>
      <c r="B1889" s="221"/>
      <c r="C1889" s="227" t="s">
        <v>48</v>
      </c>
      <c r="D1889" s="227" t="s">
        <v>4470</v>
      </c>
      <c r="E1889" s="227" t="s">
        <v>3295</v>
      </c>
      <c r="F1889" s="227" t="s">
        <v>3299</v>
      </c>
      <c r="G1889" s="239">
        <v>45437</v>
      </c>
      <c r="H1889" s="240">
        <v>0.79166666666666663</v>
      </c>
      <c r="I1889" s="227" t="s">
        <v>3586</v>
      </c>
      <c r="J1889" s="482" t="s">
        <v>4432</v>
      </c>
      <c r="K1889" s="241" t="s">
        <v>3227</v>
      </c>
      <c r="L1889" s="225" t="str">
        <f>VLOOKUP(Logfile_S12[[#This Row],[Material Name]],Sheet2!B:C,2,0)</f>
        <v>ZTE1001</v>
      </c>
      <c r="M1889" s="242" t="s">
        <v>19</v>
      </c>
      <c r="N1889" s="227">
        <v>1</v>
      </c>
      <c r="O1889" s="227" t="s">
        <v>834</v>
      </c>
      <c r="P1889" s="227" t="s">
        <v>3335</v>
      </c>
      <c r="Q1889" s="227"/>
      <c r="R1889" s="227"/>
      <c r="S1889" s="227" t="s">
        <v>3173</v>
      </c>
      <c r="T1889" s="227"/>
      <c r="U1889" s="227"/>
      <c r="V1889" s="227"/>
      <c r="W1889" s="227"/>
      <c r="X1889" s="227" t="s">
        <v>3587</v>
      </c>
      <c r="Y1889" s="238" t="s">
        <v>5328</v>
      </c>
      <c r="Z1889" s="238" t="str">
        <f t="shared" si="69"/>
        <v>HUBFEEDER BATURETNO RW 02</v>
      </c>
      <c r="AA1889" s="276" t="e">
        <f>VLOOKUP(Logfile_S12[[#This Row],[DO number]],DO_DB!G:I,3,0)</f>
        <v>#N/A</v>
      </c>
      <c r="AB1889" s="332" t="e">
        <f>EXACT(Logfile_S12[[#This Row],[date pick]],Logfile_S12[[#This Row],[Date]])</f>
        <v>#N/A</v>
      </c>
      <c r="AC1889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OUTBOUND_P74-001-1</v>
      </c>
    </row>
    <row r="1890" spans="1:29" ht="14.5" hidden="1">
      <c r="A1890" s="220" t="str">
        <f t="shared" si="68"/>
        <v>1886</v>
      </c>
      <c r="B1890" s="221"/>
      <c r="C1890" s="221" t="s">
        <v>48</v>
      </c>
      <c r="D1890" s="221" t="s">
        <v>4070</v>
      </c>
      <c r="E1890" s="221" t="s">
        <v>3295</v>
      </c>
      <c r="F1890" s="221" t="s">
        <v>3299</v>
      </c>
      <c r="G1890" s="222">
        <v>45443</v>
      </c>
      <c r="H1890" s="223">
        <v>15.291666666666666</v>
      </c>
      <c r="I1890" s="221" t="s">
        <v>37</v>
      </c>
      <c r="J1890" s="221" t="s">
        <v>3023</v>
      </c>
      <c r="K1890" s="224" t="s">
        <v>3069</v>
      </c>
      <c r="L1890" s="225" t="str">
        <f>VLOOKUP(Logfile_S12[[#This Row],[Material Name]],Sheet2!B:C,2,0)</f>
        <v>ZTE1001</v>
      </c>
      <c r="M1890" s="225" t="str">
        <f>_xlfn.XLOOKUP(Logfile_S12[[#This Row],[Material Name]],Sum_WH!E:E,Sum_WH!F:F,"",0)</f>
        <v>Pcs</v>
      </c>
      <c r="N1890" s="221">
        <v>285</v>
      </c>
      <c r="O1890" s="221" t="s">
        <v>1465</v>
      </c>
      <c r="P1890" s="221" t="s">
        <v>1466</v>
      </c>
      <c r="Q1890" s="221" t="s">
        <v>1489</v>
      </c>
      <c r="R1890" s="221" t="s">
        <v>1490</v>
      </c>
      <c r="S1890" s="221"/>
      <c r="T1890" s="221"/>
      <c r="U1890" s="221"/>
      <c r="V1890" s="221"/>
      <c r="W1890" s="221"/>
      <c r="X1890" s="221"/>
      <c r="Y1890" s="227"/>
      <c r="Z1890" s="227" t="str">
        <f t="shared" si="69"/>
        <v>Dusun Klampok Kucur</v>
      </c>
      <c r="AA1890" s="276">
        <f>VLOOKUP(Logfile_S12[[#This Row],[DO number]],DO_DB!G:I,3,0)</f>
        <v>45443</v>
      </c>
      <c r="AB1890" s="331" t="b">
        <f>EXACT(Logfile_S12[[#This Row],[date pick]],Logfile_S12[[#This Row],[Date]])</f>
        <v>1</v>
      </c>
      <c r="AC18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91" spans="1:29" ht="14.5" hidden="1">
      <c r="A1891" s="220" t="str">
        <f t="shared" si="68"/>
        <v>1887</v>
      </c>
      <c r="B1891" s="221"/>
      <c r="C1891" s="221" t="s">
        <v>49</v>
      </c>
      <c r="D1891" s="221" t="s">
        <v>4074</v>
      </c>
      <c r="E1891" s="221" t="s">
        <v>3295</v>
      </c>
      <c r="F1891" s="221" t="s">
        <v>3299</v>
      </c>
      <c r="G1891" s="222">
        <v>45448</v>
      </c>
      <c r="H1891" s="223">
        <v>0.39166666666666666</v>
      </c>
      <c r="I1891" s="221" t="s">
        <v>4916</v>
      </c>
      <c r="J1891" s="221" t="s">
        <v>3023</v>
      </c>
      <c r="K1891" s="224" t="s">
        <v>3069</v>
      </c>
      <c r="L1891" s="225" t="str">
        <f>VLOOKUP(Logfile_S12[[#This Row],[Material Name]],Sheet2!B:C,2,0)</f>
        <v>ZTE1001</v>
      </c>
      <c r="M1891" s="225" t="str">
        <f>_xlfn.XLOOKUP(Logfile_S12[[#This Row],[Material Name]],Sum_WH!E:E,Sum_WH!F:F,"",0)</f>
        <v>Pcs</v>
      </c>
      <c r="N1891" s="221">
        <v>4</v>
      </c>
      <c r="O1891" s="221" t="s">
        <v>1395</v>
      </c>
      <c r="P1891" s="221" t="s">
        <v>1396</v>
      </c>
      <c r="Q1891" s="221"/>
      <c r="R1891" s="221"/>
      <c r="S1891" s="221"/>
      <c r="T1891" s="221" t="s">
        <v>3258</v>
      </c>
      <c r="U1891" s="221" t="s">
        <v>3228</v>
      </c>
      <c r="V1891" s="221" t="s">
        <v>3337</v>
      </c>
      <c r="W1891" s="221" t="s">
        <v>3507</v>
      </c>
      <c r="X1891" s="221"/>
      <c r="Y1891" s="227"/>
      <c r="Z1891" s="227" t="str">
        <f t="shared" si="69"/>
        <v>Candirenggo RW 10 Singosari</v>
      </c>
      <c r="AA1891" s="276" t="e">
        <f>VLOOKUP(Logfile_S12[[#This Row],[DO number]],DO_DB!G:I,3,0)</f>
        <v>#N/A</v>
      </c>
      <c r="AB1891" s="331" t="e">
        <f>EXACT(Logfile_S12[[#This Row],[date pick]],Logfile_S12[[#This Row],[Date]])</f>
        <v>#N/A</v>
      </c>
      <c r="AC18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92" spans="1:29" ht="14.5" hidden="1">
      <c r="A1892" s="220" t="str">
        <f t="shared" si="68"/>
        <v>1888</v>
      </c>
      <c r="B1892" s="221"/>
      <c r="C1892" s="221" t="s">
        <v>49</v>
      </c>
      <c r="D1892" s="221" t="s">
        <v>4074</v>
      </c>
      <c r="E1892" s="221" t="s">
        <v>3295</v>
      </c>
      <c r="F1892" s="221" t="s">
        <v>3299</v>
      </c>
      <c r="G1892" s="222">
        <v>45448</v>
      </c>
      <c r="H1892" s="223">
        <v>0.39166666666666666</v>
      </c>
      <c r="I1892" s="221" t="s">
        <v>4916</v>
      </c>
      <c r="J1892" s="221" t="s">
        <v>3023</v>
      </c>
      <c r="K1892" s="224" t="s">
        <v>3069</v>
      </c>
      <c r="L1892" s="225" t="str">
        <f>VLOOKUP(Logfile_S12[[#This Row],[Material Name]],Sheet2!B:C,2,0)</f>
        <v>ZTE1001</v>
      </c>
      <c r="M1892" s="225" t="str">
        <f>_xlfn.XLOOKUP(Logfile_S12[[#This Row],[Material Name]],Sum_WH!E:E,Sum_WH!F:F,"",0)</f>
        <v>Pcs</v>
      </c>
      <c r="N1892" s="221">
        <v>21</v>
      </c>
      <c r="O1892" s="221" t="s">
        <v>1473</v>
      </c>
      <c r="P1892" s="221" t="s">
        <v>1474</v>
      </c>
      <c r="Q1892" s="221"/>
      <c r="R1892" s="221"/>
      <c r="S1892" s="221"/>
      <c r="T1892" s="221" t="s">
        <v>3258</v>
      </c>
      <c r="U1892" s="221" t="s">
        <v>3228</v>
      </c>
      <c r="V1892" s="221" t="s">
        <v>3337</v>
      </c>
      <c r="W1892" s="221" t="s">
        <v>3507</v>
      </c>
      <c r="X1892" s="221"/>
      <c r="Y1892" s="227"/>
      <c r="Z1892" s="227" t="str">
        <f t="shared" si="69"/>
        <v>Dusun Sumber Bendo Kucur</v>
      </c>
      <c r="AA1892" s="276" t="e">
        <f>VLOOKUP(Logfile_S12[[#This Row],[DO number]],DO_DB!G:I,3,0)</f>
        <v>#N/A</v>
      </c>
      <c r="AB1892" s="331" t="e">
        <f>EXACT(Logfile_S12[[#This Row],[date pick]],Logfile_S12[[#This Row],[Date]])</f>
        <v>#N/A</v>
      </c>
      <c r="AC18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93" spans="1:29" ht="14.5" hidden="1">
      <c r="A1893" s="220" t="str">
        <f t="shared" si="68"/>
        <v>1889</v>
      </c>
      <c r="B1893" s="221"/>
      <c r="C1893" s="221" t="s">
        <v>49</v>
      </c>
      <c r="D1893" s="221" t="s">
        <v>4077</v>
      </c>
      <c r="E1893" s="221" t="s">
        <v>3295</v>
      </c>
      <c r="F1893" s="221" t="s">
        <v>3299</v>
      </c>
      <c r="G1893" s="222">
        <v>45448</v>
      </c>
      <c r="H1893" s="223">
        <v>0.74375000000000002</v>
      </c>
      <c r="I1893" s="221" t="s">
        <v>4916</v>
      </c>
      <c r="J1893" s="221" t="s">
        <v>3023</v>
      </c>
      <c r="K1893" s="224" t="s">
        <v>3069</v>
      </c>
      <c r="L1893" s="225" t="str">
        <f>VLOOKUP(Logfile_S12[[#This Row],[Material Name]],Sheet2!B:C,2,0)</f>
        <v>ZTE1001</v>
      </c>
      <c r="M1893" s="225" t="str">
        <f>_xlfn.XLOOKUP(Logfile_S12[[#This Row],[Material Name]],Sum_WH!E:E,Sum_WH!F:F,"",0)</f>
        <v>Pcs</v>
      </c>
      <c r="N1893" s="221">
        <v>21</v>
      </c>
      <c r="O1893" s="221" t="s">
        <v>1473</v>
      </c>
      <c r="P1893" s="221" t="s">
        <v>1474</v>
      </c>
      <c r="Q1893" s="221"/>
      <c r="R1893" s="221"/>
      <c r="S1893" s="221"/>
      <c r="T1893" s="221" t="s">
        <v>3258</v>
      </c>
      <c r="U1893" s="221" t="s">
        <v>3228</v>
      </c>
      <c r="V1893" s="221" t="s">
        <v>3337</v>
      </c>
      <c r="W1893" s="221" t="s">
        <v>3507</v>
      </c>
      <c r="X1893" s="221"/>
      <c r="Y1893" s="227"/>
      <c r="Z1893" s="227" t="str">
        <f t="shared" si="69"/>
        <v>Dusun Sumber Bendo Kucur</v>
      </c>
      <c r="AA1893" s="276" t="e">
        <f>VLOOKUP(Logfile_S12[[#This Row],[DO number]],DO_DB!G:I,3,0)</f>
        <v>#N/A</v>
      </c>
      <c r="AB1893" s="331" t="e">
        <f>EXACT(Logfile_S12[[#This Row],[date pick]],Logfile_S12[[#This Row],[Date]])</f>
        <v>#N/A</v>
      </c>
      <c r="AC18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94" spans="1:29" ht="14.5" hidden="1">
      <c r="A1894" s="220" t="str">
        <f t="shared" si="68"/>
        <v>1890</v>
      </c>
      <c r="B1894" s="221"/>
      <c r="C1894" s="221" t="s">
        <v>49</v>
      </c>
      <c r="D1894" s="221" t="s">
        <v>4075</v>
      </c>
      <c r="E1894" s="221" t="s">
        <v>3295</v>
      </c>
      <c r="F1894" s="221" t="s">
        <v>3299</v>
      </c>
      <c r="G1894" s="222">
        <v>45448</v>
      </c>
      <c r="H1894" s="223">
        <v>0.4993055555555555</v>
      </c>
      <c r="I1894" s="221" t="s">
        <v>4916</v>
      </c>
      <c r="J1894" s="221" t="s">
        <v>3023</v>
      </c>
      <c r="K1894" s="224" t="s">
        <v>3069</v>
      </c>
      <c r="L1894" s="225" t="str">
        <f>VLOOKUP(Logfile_S12[[#This Row],[Material Name]],Sheet2!B:C,2,0)</f>
        <v>ZTE1001</v>
      </c>
      <c r="M1894" s="225" t="str">
        <f>_xlfn.XLOOKUP(Logfile_S12[[#This Row],[Material Name]],Sum_WH!E:E,Sum_WH!F:F,"",0)</f>
        <v>Pcs</v>
      </c>
      <c r="N1894" s="221">
        <v>23</v>
      </c>
      <c r="O1894" s="221" t="s">
        <v>1473</v>
      </c>
      <c r="P1894" s="221" t="s">
        <v>1474</v>
      </c>
      <c r="Q1894" s="221"/>
      <c r="R1894" s="221"/>
      <c r="S1894" s="221"/>
      <c r="T1894" s="221" t="s">
        <v>3258</v>
      </c>
      <c r="U1894" s="221" t="s">
        <v>3228</v>
      </c>
      <c r="V1894" s="221" t="s">
        <v>3337</v>
      </c>
      <c r="W1894" s="221" t="s">
        <v>3507</v>
      </c>
      <c r="X1894" s="221"/>
      <c r="Y1894" s="227"/>
      <c r="Z1894" s="227" t="str">
        <f t="shared" si="69"/>
        <v>Dusun Sumber Bendo Kucur</v>
      </c>
      <c r="AA1894" s="276" t="e">
        <f>VLOOKUP(Logfile_S12[[#This Row],[DO number]],DO_DB!G:I,3,0)</f>
        <v>#N/A</v>
      </c>
      <c r="AB1894" s="331" t="e">
        <f>EXACT(Logfile_S12[[#This Row],[date pick]],Logfile_S12[[#This Row],[Date]])</f>
        <v>#N/A</v>
      </c>
      <c r="AC18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95" spans="1:29" ht="14.5" hidden="1">
      <c r="A1895" s="220" t="str">
        <f t="shared" si="68"/>
        <v>1891</v>
      </c>
      <c r="B1895" s="221"/>
      <c r="C1895" s="221" t="s">
        <v>49</v>
      </c>
      <c r="D1895" s="221" t="s">
        <v>4081</v>
      </c>
      <c r="E1895" s="221" t="s">
        <v>3295</v>
      </c>
      <c r="F1895" s="221" t="s">
        <v>3299</v>
      </c>
      <c r="G1895" s="222">
        <v>45449</v>
      </c>
      <c r="H1895" s="223">
        <v>0.49861111111111112</v>
      </c>
      <c r="I1895" s="221" t="s">
        <v>4916</v>
      </c>
      <c r="J1895" s="221" t="s">
        <v>3023</v>
      </c>
      <c r="K1895" s="224" t="s">
        <v>3069</v>
      </c>
      <c r="L1895" s="225" t="str">
        <f>VLOOKUP(Logfile_S12[[#This Row],[Material Name]],Sheet2!B:C,2,0)</f>
        <v>ZTE1001</v>
      </c>
      <c r="M1895" s="225" t="str">
        <f>_xlfn.XLOOKUP(Logfile_S12[[#This Row],[Material Name]],Sum_WH!E:E,Sum_WH!F:F,"",0)</f>
        <v>Pcs</v>
      </c>
      <c r="N1895" s="221">
        <v>9</v>
      </c>
      <c r="O1895" s="221" t="s">
        <v>1473</v>
      </c>
      <c r="P1895" s="221" t="s">
        <v>1474</v>
      </c>
      <c r="Q1895" s="221"/>
      <c r="R1895" s="221"/>
      <c r="S1895" s="221"/>
      <c r="T1895" s="221" t="s">
        <v>3258</v>
      </c>
      <c r="U1895" s="221" t="s">
        <v>3228</v>
      </c>
      <c r="V1895" s="221" t="s">
        <v>3337</v>
      </c>
      <c r="W1895" s="221" t="s">
        <v>3338</v>
      </c>
      <c r="X1895" s="221"/>
      <c r="Y1895" s="227"/>
      <c r="Z1895" s="227" t="str">
        <f t="shared" si="69"/>
        <v>Dusun Sumber Bendo Kucur</v>
      </c>
      <c r="AA1895" s="276" t="e">
        <f>VLOOKUP(Logfile_S12[[#This Row],[DO number]],DO_DB!G:I,3,0)</f>
        <v>#N/A</v>
      </c>
      <c r="AB1895" s="331" t="e">
        <f>EXACT(Logfile_S12[[#This Row],[date pick]],Logfile_S12[[#This Row],[Date]])</f>
        <v>#N/A</v>
      </c>
      <c r="AC18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96" spans="1:29" ht="14.5" hidden="1">
      <c r="A1896" s="220" t="str">
        <f t="shared" si="68"/>
        <v>1892</v>
      </c>
      <c r="B1896" s="221"/>
      <c r="C1896" s="221" t="s">
        <v>49</v>
      </c>
      <c r="D1896" s="221" t="s">
        <v>4083</v>
      </c>
      <c r="E1896" s="221" t="s">
        <v>3295</v>
      </c>
      <c r="F1896" s="221" t="s">
        <v>3299</v>
      </c>
      <c r="G1896" s="222">
        <v>45450</v>
      </c>
      <c r="H1896" s="223">
        <v>0.72291666666666676</v>
      </c>
      <c r="I1896" s="221" t="s">
        <v>4916</v>
      </c>
      <c r="J1896" s="221" t="s">
        <v>3023</v>
      </c>
      <c r="K1896" s="224" t="s">
        <v>3069</v>
      </c>
      <c r="L1896" s="225" t="str">
        <f>VLOOKUP(Logfile_S12[[#This Row],[Material Name]],Sheet2!B:C,2,0)</f>
        <v>ZTE1001</v>
      </c>
      <c r="M1896" s="225" t="str">
        <f>_xlfn.XLOOKUP(Logfile_S12[[#This Row],[Material Name]],Sum_WH!E:E,Sum_WH!F:F,"",0)</f>
        <v>Pcs</v>
      </c>
      <c r="N1896" s="221">
        <v>3</v>
      </c>
      <c r="O1896" s="221" t="s">
        <v>1493</v>
      </c>
      <c r="P1896" s="221" t="s">
        <v>1494</v>
      </c>
      <c r="Q1896" s="221"/>
      <c r="R1896" s="221"/>
      <c r="S1896" s="221"/>
      <c r="T1896" s="221" t="s">
        <v>3258</v>
      </c>
      <c r="U1896" s="221" t="s">
        <v>3228</v>
      </c>
      <c r="V1896" s="221" t="s">
        <v>3337</v>
      </c>
      <c r="W1896" s="221" t="s">
        <v>3338</v>
      </c>
      <c r="X1896" s="221"/>
      <c r="Y1896" s="227"/>
      <c r="Z1896" s="227" t="str">
        <f t="shared" si="69"/>
        <v>Dusun Krajan Kucur</v>
      </c>
      <c r="AA1896" s="276" t="e">
        <f>VLOOKUP(Logfile_S12[[#This Row],[DO number]],DO_DB!G:I,3,0)</f>
        <v>#N/A</v>
      </c>
      <c r="AB1896" s="331" t="e">
        <f>EXACT(Logfile_S12[[#This Row],[date pick]],Logfile_S12[[#This Row],[Date]])</f>
        <v>#N/A</v>
      </c>
      <c r="AC18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97" spans="1:29" ht="14.5" hidden="1">
      <c r="A1897" s="220" t="str">
        <f t="shared" si="68"/>
        <v>1893</v>
      </c>
      <c r="B1897" s="221"/>
      <c r="C1897" s="221" t="s">
        <v>49</v>
      </c>
      <c r="D1897" s="221" t="s">
        <v>4091</v>
      </c>
      <c r="E1897" s="221" t="s">
        <v>3295</v>
      </c>
      <c r="F1897" s="221" t="s">
        <v>3299</v>
      </c>
      <c r="G1897" s="222">
        <v>45462</v>
      </c>
      <c r="H1897" s="223">
        <v>0.52986111111111112</v>
      </c>
      <c r="I1897" s="221" t="s">
        <v>4916</v>
      </c>
      <c r="J1897" s="221" t="s">
        <v>3023</v>
      </c>
      <c r="K1897" s="224" t="s">
        <v>3069</v>
      </c>
      <c r="L1897" s="225" t="str">
        <f>VLOOKUP(Logfile_S12[[#This Row],[Material Name]],Sheet2!B:C,2,0)</f>
        <v>ZTE1001</v>
      </c>
      <c r="M1897" s="225" t="str">
        <f>_xlfn.XLOOKUP(Logfile_S12[[#This Row],[Material Name]],Sum_WH!E:E,Sum_WH!F:F,"",0)</f>
        <v>Pcs</v>
      </c>
      <c r="N1897" s="221">
        <v>11</v>
      </c>
      <c r="O1897" s="221" t="s">
        <v>1683</v>
      </c>
      <c r="P1897" s="221" t="s">
        <v>1684</v>
      </c>
      <c r="Q1897" s="221"/>
      <c r="R1897" s="221"/>
      <c r="S1897" s="221"/>
      <c r="T1897" s="221" t="s">
        <v>3258</v>
      </c>
      <c r="U1897" s="221">
        <v>0</v>
      </c>
      <c r="V1897" s="221" t="s">
        <v>3337</v>
      </c>
      <c r="W1897" s="221" t="s">
        <v>3338</v>
      </c>
      <c r="X1897" s="221"/>
      <c r="Y1897" s="227"/>
      <c r="Z1897" s="227" t="str">
        <f t="shared" si="69"/>
        <v>Lowokwaru RW 04</v>
      </c>
      <c r="AA1897" s="276" t="e">
        <f>VLOOKUP(Logfile_S12[[#This Row],[DO number]],DO_DB!G:I,3,0)</f>
        <v>#N/A</v>
      </c>
      <c r="AB1897" s="331" t="e">
        <f>EXACT(Logfile_S12[[#This Row],[date pick]],Logfile_S12[[#This Row],[Date]])</f>
        <v>#N/A</v>
      </c>
      <c r="AC18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898" spans="1:29" ht="14.5" hidden="1">
      <c r="A1898" s="220" t="str">
        <f t="shared" si="68"/>
        <v>1894</v>
      </c>
      <c r="B1898" s="221"/>
      <c r="C1898" s="221" t="s">
        <v>3388</v>
      </c>
      <c r="D1898" s="221" t="s">
        <v>4881</v>
      </c>
      <c r="E1898" s="221" t="s">
        <v>3295</v>
      </c>
      <c r="F1898" s="221" t="s">
        <v>3299</v>
      </c>
      <c r="G1898" s="222">
        <v>45462</v>
      </c>
      <c r="H1898" s="223">
        <v>0.52986111111111112</v>
      </c>
      <c r="I1898" s="221" t="s">
        <v>4916</v>
      </c>
      <c r="J1898" s="221" t="s">
        <v>3023</v>
      </c>
      <c r="K1898" s="224" t="s">
        <v>3069</v>
      </c>
      <c r="L1898" s="225" t="str">
        <f>VLOOKUP(Logfile_S12[[#This Row],[Material Name]],Sheet2!B:C,2,0)</f>
        <v>ZTE1001</v>
      </c>
      <c r="M1898" s="225" t="str">
        <f>_xlfn.XLOOKUP(Logfile_S12[[#This Row],[Material Name]],Sum_WH!E:E,Sum_WH!F:F,"",0)</f>
        <v>Pcs</v>
      </c>
      <c r="N1898" s="221">
        <v>25</v>
      </c>
      <c r="O1898" s="221">
        <v>0</v>
      </c>
      <c r="P1898" s="221" t="s">
        <v>3223</v>
      </c>
      <c r="Q1898" s="221"/>
      <c r="R1898" s="221"/>
      <c r="S1898" s="221"/>
      <c r="T1898" s="221">
        <v>0</v>
      </c>
      <c r="U1898" s="221">
        <v>0</v>
      </c>
      <c r="V1898" s="221">
        <v>0</v>
      </c>
      <c r="W1898" s="221">
        <v>0</v>
      </c>
      <c r="X1898" s="221"/>
      <c r="Y1898" s="227"/>
      <c r="Z1898" s="227" t="str">
        <f t="shared" si="69"/>
        <v>Transfer Gudang</v>
      </c>
      <c r="AA1898" s="276" t="e">
        <f>VLOOKUP(Logfile_S12[[#This Row],[DO number]],DO_DB!G:I,3,0)</f>
        <v>#N/A</v>
      </c>
      <c r="AB1898" s="331" t="e">
        <f>EXACT(Logfile_S12[[#This Row],[date pick]],Logfile_S12[[#This Row],[Date]])</f>
        <v>#N/A</v>
      </c>
      <c r="AC18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899" spans="1:29" ht="14.5" hidden="1">
      <c r="A1899" s="220" t="str">
        <f t="shared" si="68"/>
        <v>1895</v>
      </c>
      <c r="B1899" s="221"/>
      <c r="C1899" s="221" t="s">
        <v>49</v>
      </c>
      <c r="D1899" s="221" t="s">
        <v>4094</v>
      </c>
      <c r="E1899" s="221" t="s">
        <v>3295</v>
      </c>
      <c r="F1899" s="221" t="s">
        <v>3299</v>
      </c>
      <c r="G1899" s="222">
        <v>45463</v>
      </c>
      <c r="H1899" s="223">
        <v>0.44444444444444442</v>
      </c>
      <c r="I1899" s="221" t="s">
        <v>4916</v>
      </c>
      <c r="J1899" s="221" t="s">
        <v>3023</v>
      </c>
      <c r="K1899" s="224" t="s">
        <v>3069</v>
      </c>
      <c r="L1899" s="225" t="str">
        <f>VLOOKUP(Logfile_S12[[#This Row],[Material Name]],Sheet2!B:C,2,0)</f>
        <v>ZTE1001</v>
      </c>
      <c r="M1899" s="225" t="str">
        <f>_xlfn.XLOOKUP(Logfile_S12[[#This Row],[Material Name]],Sum_WH!E:E,Sum_WH!F:F,"",0)</f>
        <v>Pcs</v>
      </c>
      <c r="N1899" s="221">
        <v>11</v>
      </c>
      <c r="O1899" s="221" t="s">
        <v>1683</v>
      </c>
      <c r="P1899" s="221" t="s">
        <v>1684</v>
      </c>
      <c r="Q1899" s="221"/>
      <c r="R1899" s="221"/>
      <c r="S1899" s="221"/>
      <c r="T1899" s="221" t="s">
        <v>3258</v>
      </c>
      <c r="U1899" s="221">
        <v>0</v>
      </c>
      <c r="V1899" s="221" t="s">
        <v>3337</v>
      </c>
      <c r="W1899" s="221" t="s">
        <v>3338</v>
      </c>
      <c r="X1899" s="221"/>
      <c r="Y1899" s="227"/>
      <c r="Z1899" s="227" t="str">
        <f t="shared" si="69"/>
        <v>Lowokwaru RW 04</v>
      </c>
      <c r="AA1899" s="276" t="e">
        <f>VLOOKUP(Logfile_S12[[#This Row],[DO number]],DO_DB!G:I,3,0)</f>
        <v>#N/A</v>
      </c>
      <c r="AB1899" s="331" t="e">
        <f>EXACT(Logfile_S12[[#This Row],[date pick]],Logfile_S12[[#This Row],[Date]])</f>
        <v>#N/A</v>
      </c>
      <c r="AC18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00" spans="1:29" ht="14.5" hidden="1">
      <c r="A1900" s="220" t="str">
        <f t="shared" si="68"/>
        <v>1896</v>
      </c>
      <c r="B1900" s="221"/>
      <c r="C1900" s="221" t="s">
        <v>49</v>
      </c>
      <c r="D1900" s="221" t="s">
        <v>4096</v>
      </c>
      <c r="E1900" s="221" t="s">
        <v>3295</v>
      </c>
      <c r="F1900" s="221" t="s">
        <v>3299</v>
      </c>
      <c r="G1900" s="222">
        <v>45464</v>
      </c>
      <c r="H1900" s="223">
        <v>0.51180555555555551</v>
      </c>
      <c r="I1900" s="221" t="s">
        <v>4916</v>
      </c>
      <c r="J1900" s="221" t="s">
        <v>3023</v>
      </c>
      <c r="K1900" s="224" t="s">
        <v>3069</v>
      </c>
      <c r="L1900" s="225" t="str">
        <f>VLOOKUP(Logfile_S12[[#This Row],[Material Name]],Sheet2!B:C,2,0)</f>
        <v>ZTE1001</v>
      </c>
      <c r="M1900" s="225" t="str">
        <f>_xlfn.XLOOKUP(Logfile_S12[[#This Row],[Material Name]],Sum_WH!E:E,Sum_WH!F:F,"",0)</f>
        <v>Pcs</v>
      </c>
      <c r="N1900" s="221">
        <v>21</v>
      </c>
      <c r="O1900" s="221" t="s">
        <v>1689</v>
      </c>
      <c r="P1900" s="221" t="s">
        <v>1690</v>
      </c>
      <c r="Q1900" s="221"/>
      <c r="R1900" s="221"/>
      <c r="S1900" s="221"/>
      <c r="T1900" s="221" t="s">
        <v>3258</v>
      </c>
      <c r="U1900" s="221" t="s">
        <v>3228</v>
      </c>
      <c r="V1900" s="221" t="s">
        <v>3337</v>
      </c>
      <c r="W1900" s="221" t="s">
        <v>3338</v>
      </c>
      <c r="X1900" s="221"/>
      <c r="Y1900" s="227"/>
      <c r="Z1900" s="227" t="str">
        <f t="shared" si="69"/>
        <v>Kebonagung RW 13 Pakisaji</v>
      </c>
      <c r="AA1900" s="276" t="e">
        <f>VLOOKUP(Logfile_S12[[#This Row],[DO number]],DO_DB!G:I,3,0)</f>
        <v>#N/A</v>
      </c>
      <c r="AB1900" s="331" t="e">
        <f>EXACT(Logfile_S12[[#This Row],[date pick]],Logfile_S12[[#This Row],[Date]])</f>
        <v>#N/A</v>
      </c>
      <c r="AC19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01" spans="1:29" ht="14.5" hidden="1">
      <c r="A1901" s="220" t="str">
        <f t="shared" si="68"/>
        <v>1897</v>
      </c>
      <c r="B1901" s="221"/>
      <c r="C1901" s="221" t="s">
        <v>49</v>
      </c>
      <c r="D1901" s="221" t="s">
        <v>4097</v>
      </c>
      <c r="E1901" s="221" t="s">
        <v>3295</v>
      </c>
      <c r="F1901" s="221" t="s">
        <v>3299</v>
      </c>
      <c r="G1901" s="222">
        <v>45465</v>
      </c>
      <c r="H1901" s="223">
        <v>0.62569444444444444</v>
      </c>
      <c r="I1901" s="221" t="s">
        <v>4916</v>
      </c>
      <c r="J1901" s="221" t="s">
        <v>3023</v>
      </c>
      <c r="K1901" s="224" t="s">
        <v>3069</v>
      </c>
      <c r="L1901" s="225" t="str">
        <f>VLOOKUP(Logfile_S12[[#This Row],[Material Name]],Sheet2!B:C,2,0)</f>
        <v>ZTE1001</v>
      </c>
      <c r="M1901" s="225" t="str">
        <f>_xlfn.XLOOKUP(Logfile_S12[[#This Row],[Material Name]],Sum_WH!E:E,Sum_WH!F:F,"",0)</f>
        <v>Pcs</v>
      </c>
      <c r="N1901" s="221">
        <v>22</v>
      </c>
      <c r="O1901" s="221" t="s">
        <v>1689</v>
      </c>
      <c r="P1901" s="221" t="s">
        <v>1690</v>
      </c>
      <c r="Q1901" s="221"/>
      <c r="R1901" s="221"/>
      <c r="S1901" s="221"/>
      <c r="T1901" s="221" t="s">
        <v>3258</v>
      </c>
      <c r="U1901" s="221" t="s">
        <v>3228</v>
      </c>
      <c r="V1901" s="221" t="s">
        <v>3337</v>
      </c>
      <c r="W1901" s="221" t="s">
        <v>3338</v>
      </c>
      <c r="X1901" s="221"/>
      <c r="Y1901" s="227"/>
      <c r="Z1901" s="227" t="str">
        <f t="shared" si="69"/>
        <v>Kebonagung RW 13 Pakisaji</v>
      </c>
      <c r="AA1901" s="276" t="e">
        <f>VLOOKUP(Logfile_S12[[#This Row],[DO number]],DO_DB!G:I,3,0)</f>
        <v>#N/A</v>
      </c>
      <c r="AB1901" s="331" t="e">
        <f>EXACT(Logfile_S12[[#This Row],[date pick]],Logfile_S12[[#This Row],[Date]])</f>
        <v>#N/A</v>
      </c>
      <c r="AC19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02" spans="1:29" ht="14.5" hidden="1">
      <c r="A1902" s="220" t="str">
        <f t="shared" si="68"/>
        <v>1898</v>
      </c>
      <c r="B1902" s="221"/>
      <c r="C1902" s="221" t="s">
        <v>48</v>
      </c>
      <c r="D1902" s="221" t="s">
        <v>4098</v>
      </c>
      <c r="E1902" s="221" t="s">
        <v>3295</v>
      </c>
      <c r="F1902" s="221" t="s">
        <v>3299</v>
      </c>
      <c r="G1902" s="222">
        <v>45467</v>
      </c>
      <c r="H1902" s="223">
        <v>15.291666666666666</v>
      </c>
      <c r="I1902" s="221" t="s">
        <v>37</v>
      </c>
      <c r="J1902" s="221" t="s">
        <v>3023</v>
      </c>
      <c r="K1902" s="224" t="s">
        <v>3069</v>
      </c>
      <c r="L1902" s="225" t="str">
        <f>VLOOKUP(Logfile_S12[[#This Row],[Material Name]],Sheet2!B:C,2,0)</f>
        <v>ZTE1001</v>
      </c>
      <c r="M1902" s="225" t="str">
        <f>_xlfn.XLOOKUP(Logfile_S12[[#This Row],[Material Name]],Sum_WH!E:E,Sum_WH!F:F,"",0)</f>
        <v>Pcs</v>
      </c>
      <c r="N1902" s="221">
        <v>165</v>
      </c>
      <c r="O1902" s="221"/>
      <c r="P1902" s="221"/>
      <c r="Q1902" s="221">
        <v>0</v>
      </c>
      <c r="R1902" s="221">
        <v>0</v>
      </c>
      <c r="S1902" s="221"/>
      <c r="T1902" s="221"/>
      <c r="U1902" s="221"/>
      <c r="V1902" s="221"/>
      <c r="W1902" s="221"/>
      <c r="X1902" s="221"/>
      <c r="Y1902" s="227"/>
      <c r="Z1902" s="227">
        <f t="shared" si="69"/>
        <v>0</v>
      </c>
      <c r="AA1902" s="276" t="e">
        <f>VLOOKUP(Logfile_S12[[#This Row],[DO number]],DO_DB!G:I,3,0)</f>
        <v>#N/A</v>
      </c>
      <c r="AB1902" s="331" t="e">
        <f>EXACT(Logfile_S12[[#This Row],[date pick]],Logfile_S12[[#This Row],[Date]])</f>
        <v>#N/A</v>
      </c>
      <c r="AC19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03" spans="1:29" ht="14.5" hidden="1">
      <c r="A1903" s="220" t="str">
        <f t="shared" si="68"/>
        <v>1899</v>
      </c>
      <c r="B1903" s="221"/>
      <c r="C1903" s="221" t="s">
        <v>3313</v>
      </c>
      <c r="D1903" s="221" t="s">
        <v>4102</v>
      </c>
      <c r="E1903" s="221" t="s">
        <v>3295</v>
      </c>
      <c r="F1903" s="221" t="s">
        <v>3299</v>
      </c>
      <c r="G1903" s="222">
        <v>45468</v>
      </c>
      <c r="H1903" s="223">
        <v>15.291666666666666</v>
      </c>
      <c r="I1903" s="221" t="s">
        <v>37</v>
      </c>
      <c r="J1903" s="221" t="s">
        <v>3023</v>
      </c>
      <c r="K1903" s="224" t="s">
        <v>3069</v>
      </c>
      <c r="L1903" s="225" t="str">
        <f>VLOOKUP(Logfile_S12[[#This Row],[Material Name]],Sheet2!B:C,2,0)</f>
        <v>ZTE1001</v>
      </c>
      <c r="M1903" s="225" t="str">
        <f>_xlfn.XLOOKUP(Logfile_S12[[#This Row],[Material Name]],Sum_WH!E:E,Sum_WH!F:F,"",0)</f>
        <v>Pcs</v>
      </c>
      <c r="N1903" s="221">
        <v>1</v>
      </c>
      <c r="O1903" s="221" t="s">
        <v>3314</v>
      </c>
      <c r="P1903" s="221">
        <v>0</v>
      </c>
      <c r="Q1903" s="221">
        <v>0</v>
      </c>
      <c r="R1903" s="221" t="s">
        <v>3147</v>
      </c>
      <c r="S1903" s="221"/>
      <c r="T1903" s="221"/>
      <c r="U1903" s="221"/>
      <c r="V1903" s="221"/>
      <c r="W1903" s="221"/>
      <c r="X1903" s="221"/>
      <c r="Y1903" s="227"/>
      <c r="Z1903" s="227">
        <f t="shared" si="69"/>
        <v>0</v>
      </c>
      <c r="AA1903" s="276" t="e">
        <f>VLOOKUP(Logfile_S12[[#This Row],[DO number]],DO_DB!G:I,3,0)</f>
        <v>#N/A</v>
      </c>
      <c r="AB1903" s="331" t="e">
        <f>EXACT(Logfile_S12[[#This Row],[date pick]],Logfile_S12[[#This Row],[Date]])</f>
        <v>#N/A</v>
      </c>
      <c r="AC19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04" spans="1:29" ht="14.5" hidden="1">
      <c r="A1904" s="220" t="str">
        <f t="shared" si="68"/>
        <v>1900</v>
      </c>
      <c r="B1904" s="221"/>
      <c r="C1904" s="221" t="s">
        <v>49</v>
      </c>
      <c r="D1904" s="221" t="s">
        <v>4106</v>
      </c>
      <c r="E1904" s="221" t="s">
        <v>3295</v>
      </c>
      <c r="F1904" s="221" t="s">
        <v>3299</v>
      </c>
      <c r="G1904" s="222">
        <v>45470</v>
      </c>
      <c r="H1904" s="223">
        <v>0.53680555555555554</v>
      </c>
      <c r="I1904" s="221" t="s">
        <v>4916</v>
      </c>
      <c r="J1904" s="221" t="s">
        <v>3023</v>
      </c>
      <c r="K1904" s="224" t="s">
        <v>3069</v>
      </c>
      <c r="L1904" s="225" t="str">
        <f>VLOOKUP(Logfile_S12[[#This Row],[Material Name]],Sheet2!B:C,2,0)</f>
        <v>ZTE1001</v>
      </c>
      <c r="M1904" s="225" t="str">
        <f>_xlfn.XLOOKUP(Logfile_S12[[#This Row],[Material Name]],Sum_WH!E:E,Sum_WH!F:F,"",0)</f>
        <v>Pcs</v>
      </c>
      <c r="N1904" s="221">
        <v>117</v>
      </c>
      <c r="O1904" s="221" t="s">
        <v>1705</v>
      </c>
      <c r="P1904" s="221" t="s">
        <v>1706</v>
      </c>
      <c r="Q1904" s="221"/>
      <c r="R1904" s="221"/>
      <c r="S1904" s="221"/>
      <c r="T1904" s="221" t="s">
        <v>3258</v>
      </c>
      <c r="U1904" s="221" t="s">
        <v>3228</v>
      </c>
      <c r="V1904" s="221" t="s">
        <v>3337</v>
      </c>
      <c r="W1904" s="221" t="s">
        <v>3338</v>
      </c>
      <c r="X1904" s="221"/>
      <c r="Y1904" s="227"/>
      <c r="Z1904" s="227" t="str">
        <f t="shared" si="69"/>
        <v>Perumahan Kepanjen Permai II</v>
      </c>
      <c r="AA1904" s="276" t="e">
        <f>VLOOKUP(Logfile_S12[[#This Row],[DO number]],DO_DB!G:I,3,0)</f>
        <v>#N/A</v>
      </c>
      <c r="AB1904" s="331" t="e">
        <f>EXACT(Logfile_S12[[#This Row],[date pick]],Logfile_S12[[#This Row],[Date]])</f>
        <v>#N/A</v>
      </c>
      <c r="AC19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05" spans="1:29" ht="14.5" hidden="1">
      <c r="A1905" s="220" t="str">
        <f t="shared" si="68"/>
        <v>1901</v>
      </c>
      <c r="B1905" s="221"/>
      <c r="C1905" s="221" t="s">
        <v>49</v>
      </c>
      <c r="D1905" s="221" t="s">
        <v>4107</v>
      </c>
      <c r="E1905" s="221" t="s">
        <v>3295</v>
      </c>
      <c r="F1905" s="221" t="s">
        <v>3299</v>
      </c>
      <c r="G1905" s="222">
        <v>45476</v>
      </c>
      <c r="H1905" s="223">
        <v>0.60416666666666663</v>
      </c>
      <c r="I1905" s="221" t="s">
        <v>4916</v>
      </c>
      <c r="J1905" s="221" t="s">
        <v>3023</v>
      </c>
      <c r="K1905" s="224" t="s">
        <v>3069</v>
      </c>
      <c r="L1905" s="225" t="str">
        <f>VLOOKUP(Logfile_S12[[#This Row],[Material Name]],Sheet2!B:C,2,0)</f>
        <v>ZTE1001</v>
      </c>
      <c r="M1905" s="225" t="str">
        <f>_xlfn.XLOOKUP(Logfile_S12[[#This Row],[Material Name]],Sum_WH!E:E,Sum_WH!F:F,"",0)</f>
        <v>Pcs</v>
      </c>
      <c r="N1905" s="221">
        <v>11</v>
      </c>
      <c r="O1905" s="221" t="s">
        <v>1705</v>
      </c>
      <c r="P1905" s="221" t="s">
        <v>1706</v>
      </c>
      <c r="Q1905" s="221"/>
      <c r="R1905" s="221"/>
      <c r="S1905" s="221"/>
      <c r="T1905" s="221" t="s">
        <v>3258</v>
      </c>
      <c r="U1905" s="221" t="s">
        <v>3228</v>
      </c>
      <c r="V1905" s="221" t="s">
        <v>3337</v>
      </c>
      <c r="W1905" s="221" t="s">
        <v>3338</v>
      </c>
      <c r="X1905" s="221"/>
      <c r="Y1905" s="227"/>
      <c r="Z1905" s="227" t="str">
        <f t="shared" si="69"/>
        <v>Perumahan Kepanjen Permai II</v>
      </c>
      <c r="AA1905" s="276" t="e">
        <f>VLOOKUP(Logfile_S12[[#This Row],[DO number]],DO_DB!G:I,3,0)</f>
        <v>#N/A</v>
      </c>
      <c r="AB1905" s="331" t="e">
        <f>EXACT(Logfile_S12[[#This Row],[date pick]],Logfile_S12[[#This Row],[Date]])</f>
        <v>#N/A</v>
      </c>
      <c r="AC19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06" spans="1:29" ht="14.5" hidden="1">
      <c r="A1906" s="220" t="str">
        <f t="shared" si="68"/>
        <v>1902</v>
      </c>
      <c r="B1906" s="221"/>
      <c r="C1906" s="221" t="s">
        <v>49</v>
      </c>
      <c r="D1906" s="221" t="s">
        <v>4109</v>
      </c>
      <c r="E1906" s="221" t="s">
        <v>3295</v>
      </c>
      <c r="F1906" s="221" t="s">
        <v>3299</v>
      </c>
      <c r="G1906" s="222">
        <v>45477</v>
      </c>
      <c r="H1906" s="223">
        <v>0.4236111111111111</v>
      </c>
      <c r="I1906" s="221" t="s">
        <v>4916</v>
      </c>
      <c r="J1906" s="221" t="s">
        <v>3023</v>
      </c>
      <c r="K1906" s="224" t="s">
        <v>3069</v>
      </c>
      <c r="L1906" s="225" t="str">
        <f>VLOOKUP(Logfile_S12[[#This Row],[Material Name]],Sheet2!B:C,2,0)</f>
        <v>ZTE1001</v>
      </c>
      <c r="M1906" s="225" t="str">
        <f>_xlfn.XLOOKUP(Logfile_S12[[#This Row],[Material Name]],Sum_WH!E:E,Sum_WH!F:F,"",0)</f>
        <v>Pcs</v>
      </c>
      <c r="N1906" s="221">
        <v>28</v>
      </c>
      <c r="O1906" s="221" t="s">
        <v>2013</v>
      </c>
      <c r="P1906" s="221" t="s">
        <v>2014</v>
      </c>
      <c r="Q1906" s="221"/>
      <c r="R1906" s="221"/>
      <c r="S1906" s="221"/>
      <c r="T1906" s="221" t="s">
        <v>3258</v>
      </c>
      <c r="U1906" s="221" t="s">
        <v>3228</v>
      </c>
      <c r="V1906" s="221" t="s">
        <v>3337</v>
      </c>
      <c r="W1906" s="221" t="s">
        <v>3338</v>
      </c>
      <c r="X1906" s="221"/>
      <c r="Y1906" s="227"/>
      <c r="Z1906" s="227" t="str">
        <f t="shared" si="69"/>
        <v>Perumahan Panca Garden</v>
      </c>
      <c r="AA1906" s="276" t="e">
        <f>VLOOKUP(Logfile_S12[[#This Row],[DO number]],DO_DB!G:I,3,0)</f>
        <v>#N/A</v>
      </c>
      <c r="AB1906" s="331" t="e">
        <f>EXACT(Logfile_S12[[#This Row],[date pick]],Logfile_S12[[#This Row],[Date]])</f>
        <v>#N/A</v>
      </c>
      <c r="AC19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07" spans="1:29" ht="14.5" hidden="1">
      <c r="A1907" s="220" t="str">
        <f t="shared" si="68"/>
        <v>1903</v>
      </c>
      <c r="B1907" s="221"/>
      <c r="C1907" s="221" t="s">
        <v>49</v>
      </c>
      <c r="D1907" s="221" t="s">
        <v>4117</v>
      </c>
      <c r="E1907" s="221" t="s">
        <v>3295</v>
      </c>
      <c r="F1907" s="221" t="s">
        <v>3299</v>
      </c>
      <c r="G1907" s="222">
        <v>45485</v>
      </c>
      <c r="H1907" s="223">
        <v>0.4</v>
      </c>
      <c r="I1907" s="221" t="s">
        <v>4916</v>
      </c>
      <c r="J1907" s="221" t="s">
        <v>3023</v>
      </c>
      <c r="K1907" s="224" t="s">
        <v>3069</v>
      </c>
      <c r="L1907" s="225" t="str">
        <f>VLOOKUP(Logfile_S12[[#This Row],[Material Name]],Sheet2!B:C,2,0)</f>
        <v>ZTE1001</v>
      </c>
      <c r="M1907" s="225" t="str">
        <f>_xlfn.XLOOKUP(Logfile_S12[[#This Row],[Material Name]],Sum_WH!E:E,Sum_WH!F:F,"",0)</f>
        <v>Pcs</v>
      </c>
      <c r="N1907" s="221">
        <v>23</v>
      </c>
      <c r="O1907" s="221" t="s">
        <v>2007</v>
      </c>
      <c r="P1907" s="221" t="s">
        <v>2008</v>
      </c>
      <c r="Q1907" s="221"/>
      <c r="R1907" s="221"/>
      <c r="S1907" s="221"/>
      <c r="T1907" s="221" t="s">
        <v>3258</v>
      </c>
      <c r="U1907" s="221" t="s">
        <v>3228</v>
      </c>
      <c r="V1907" s="221" t="s">
        <v>3337</v>
      </c>
      <c r="W1907" s="221" t="s">
        <v>3338</v>
      </c>
      <c r="X1907" s="221"/>
      <c r="Y1907" s="227"/>
      <c r="Z1907" s="227" t="str">
        <f t="shared" si="69"/>
        <v>Ngenep RW 06 Karang Ploso</v>
      </c>
      <c r="AA1907" s="276" t="e">
        <f>VLOOKUP(Logfile_S12[[#This Row],[DO number]],DO_DB!G:I,3,0)</f>
        <v>#N/A</v>
      </c>
      <c r="AB1907" s="331" t="e">
        <f>EXACT(Logfile_S12[[#This Row],[date pick]],Logfile_S12[[#This Row],[Date]])</f>
        <v>#N/A</v>
      </c>
      <c r="AC19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08" spans="1:29" ht="14.5" hidden="1">
      <c r="A1908" s="220" t="str">
        <f t="shared" si="68"/>
        <v>1904</v>
      </c>
      <c r="B1908" s="221"/>
      <c r="C1908" s="221" t="s">
        <v>49</v>
      </c>
      <c r="D1908" s="221" t="s">
        <v>4118</v>
      </c>
      <c r="E1908" s="221" t="s">
        <v>3295</v>
      </c>
      <c r="F1908" s="221" t="s">
        <v>3299</v>
      </c>
      <c r="G1908" s="222">
        <v>45487</v>
      </c>
      <c r="H1908" s="223">
        <v>0.67222222222222228</v>
      </c>
      <c r="I1908" s="221" t="s">
        <v>4916</v>
      </c>
      <c r="J1908" s="221" t="s">
        <v>3023</v>
      </c>
      <c r="K1908" s="224" t="s">
        <v>3069</v>
      </c>
      <c r="L1908" s="225" t="str">
        <f>VLOOKUP(Logfile_S12[[#This Row],[Material Name]],Sheet2!B:C,2,0)</f>
        <v>ZTE1001</v>
      </c>
      <c r="M1908" s="225" t="str">
        <f>_xlfn.XLOOKUP(Logfile_S12[[#This Row],[Material Name]],Sum_WH!E:E,Sum_WH!F:F,"",0)</f>
        <v>Pcs</v>
      </c>
      <c r="N1908" s="221">
        <v>20</v>
      </c>
      <c r="O1908" s="221" t="s">
        <v>1721</v>
      </c>
      <c r="P1908" s="221" t="s">
        <v>1722</v>
      </c>
      <c r="Q1908" s="221"/>
      <c r="R1908" s="221"/>
      <c r="S1908" s="221"/>
      <c r="T1908" s="221" t="s">
        <v>3258</v>
      </c>
      <c r="U1908" s="221" t="s">
        <v>3228</v>
      </c>
      <c r="V1908" s="221" t="s">
        <v>3337</v>
      </c>
      <c r="W1908" s="221" t="s">
        <v>3338</v>
      </c>
      <c r="X1908" s="221"/>
      <c r="Y1908" s="227"/>
      <c r="Z1908" s="227" t="str">
        <f t="shared" si="69"/>
        <v>Perumahan Perumnas Talangagung I Malang</v>
      </c>
      <c r="AA1908" s="276" t="e">
        <f>VLOOKUP(Logfile_S12[[#This Row],[DO number]],DO_DB!G:I,3,0)</f>
        <v>#N/A</v>
      </c>
      <c r="AB1908" s="331" t="e">
        <f>EXACT(Logfile_S12[[#This Row],[date pick]],Logfile_S12[[#This Row],[Date]])</f>
        <v>#N/A</v>
      </c>
      <c r="AC19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09" spans="1:29" ht="14.5" hidden="1">
      <c r="A1909" s="220" t="str">
        <f t="shared" si="68"/>
        <v>1905</v>
      </c>
      <c r="B1909" s="221"/>
      <c r="C1909" s="221" t="s">
        <v>48</v>
      </c>
      <c r="D1909" s="221" t="s">
        <v>4126</v>
      </c>
      <c r="E1909" s="221" t="s">
        <v>3295</v>
      </c>
      <c r="F1909" s="221" t="s">
        <v>3299</v>
      </c>
      <c r="G1909" s="222">
        <v>45496</v>
      </c>
      <c r="H1909" s="223">
        <v>15.291666666666666</v>
      </c>
      <c r="I1909" s="221" t="s">
        <v>37</v>
      </c>
      <c r="J1909" s="221" t="s">
        <v>3023</v>
      </c>
      <c r="K1909" s="224" t="s">
        <v>3069</v>
      </c>
      <c r="L1909" s="225" t="str">
        <f>VLOOKUP(Logfile_S12[[#This Row],[Material Name]],Sheet2!B:C,2,0)</f>
        <v>ZTE1001</v>
      </c>
      <c r="M1909" s="225" t="str">
        <f>_xlfn.XLOOKUP(Logfile_S12[[#This Row],[Material Name]],Sum_WH!E:E,Sum_WH!F:F,"",0)</f>
        <v>Pcs</v>
      </c>
      <c r="N1909" s="221">
        <v>256</v>
      </c>
      <c r="O1909" s="221"/>
      <c r="P1909" s="221"/>
      <c r="Q1909" s="221">
        <v>0</v>
      </c>
      <c r="R1909" s="221">
        <v>0</v>
      </c>
      <c r="S1909" s="221"/>
      <c r="T1909" s="221"/>
      <c r="U1909" s="221"/>
      <c r="V1909" s="221"/>
      <c r="W1909" s="221"/>
      <c r="X1909" s="221"/>
      <c r="Y1909" s="227"/>
      <c r="Z1909" s="227">
        <f t="shared" si="69"/>
        <v>0</v>
      </c>
      <c r="AA1909" s="276" t="e">
        <f>VLOOKUP(Logfile_S12[[#This Row],[DO number]],DO_DB!G:I,3,0)</f>
        <v>#N/A</v>
      </c>
      <c r="AB1909" s="331" t="e">
        <f>EXACT(Logfile_S12[[#This Row],[date pick]],Logfile_S12[[#This Row],[Date]])</f>
        <v>#N/A</v>
      </c>
      <c r="AC19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10" spans="1:29" ht="14.5" hidden="1">
      <c r="A1910" s="220" t="str">
        <f t="shared" si="68"/>
        <v>1906</v>
      </c>
      <c r="B1910" s="221"/>
      <c r="C1910" s="221" t="s">
        <v>49</v>
      </c>
      <c r="D1910" s="221" t="s">
        <v>4128</v>
      </c>
      <c r="E1910" s="221" t="s">
        <v>3295</v>
      </c>
      <c r="F1910" s="221" t="s">
        <v>3299</v>
      </c>
      <c r="G1910" s="222">
        <v>45497</v>
      </c>
      <c r="H1910" s="223">
        <v>0.63888888888888884</v>
      </c>
      <c r="I1910" s="221" t="s">
        <v>4916</v>
      </c>
      <c r="J1910" s="221" t="s">
        <v>3023</v>
      </c>
      <c r="K1910" s="224" t="s">
        <v>3069</v>
      </c>
      <c r="L1910" s="225" t="str">
        <f>VLOOKUP(Logfile_S12[[#This Row],[Material Name]],Sheet2!B:C,2,0)</f>
        <v>ZTE1001</v>
      </c>
      <c r="M1910" s="225" t="str">
        <f>_xlfn.XLOOKUP(Logfile_S12[[#This Row],[Material Name]],Sum_WH!E:E,Sum_WH!F:F,"",0)</f>
        <v>Pcs</v>
      </c>
      <c r="N1910" s="221">
        <v>25</v>
      </c>
      <c r="O1910" s="221" t="s">
        <v>1803</v>
      </c>
      <c r="P1910" s="221" t="s">
        <v>1804</v>
      </c>
      <c r="Q1910" s="221"/>
      <c r="R1910" s="221"/>
      <c r="S1910" s="221"/>
      <c r="T1910" s="221" t="s">
        <v>3258</v>
      </c>
      <c r="U1910" s="221" t="s">
        <v>3228</v>
      </c>
      <c r="V1910" s="221" t="s">
        <v>3337</v>
      </c>
      <c r="W1910" s="221" t="s">
        <v>3338</v>
      </c>
      <c r="X1910" s="221"/>
      <c r="Y1910" s="227"/>
      <c r="Z1910" s="227" t="str">
        <f t="shared" si="69"/>
        <v>Dusun Langlang IV Singosari</v>
      </c>
      <c r="AA1910" s="276" t="e">
        <f>VLOOKUP(Logfile_S12[[#This Row],[DO number]],DO_DB!G:I,3,0)</f>
        <v>#N/A</v>
      </c>
      <c r="AB1910" s="331" t="e">
        <f>EXACT(Logfile_S12[[#This Row],[date pick]],Logfile_S12[[#This Row],[Date]])</f>
        <v>#N/A</v>
      </c>
      <c r="AC19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11" spans="1:29" ht="14.5" hidden="1">
      <c r="A1911" s="220" t="str">
        <f t="shared" si="68"/>
        <v>1907</v>
      </c>
      <c r="B1911" s="221"/>
      <c r="C1911" s="221" t="s">
        <v>49</v>
      </c>
      <c r="D1911" s="221" t="s">
        <v>4130</v>
      </c>
      <c r="E1911" s="221" t="s">
        <v>3295</v>
      </c>
      <c r="F1911" s="221" t="s">
        <v>3299</v>
      </c>
      <c r="G1911" s="222">
        <v>45499</v>
      </c>
      <c r="H1911" s="223">
        <v>0.5625</v>
      </c>
      <c r="I1911" s="221" t="s">
        <v>4916</v>
      </c>
      <c r="J1911" s="221" t="s">
        <v>3023</v>
      </c>
      <c r="K1911" s="224" t="s">
        <v>3069</v>
      </c>
      <c r="L1911" s="225" t="str">
        <f>VLOOKUP(Logfile_S12[[#This Row],[Material Name]],Sheet2!B:C,2,0)</f>
        <v>ZTE1001</v>
      </c>
      <c r="M1911" s="225" t="str">
        <f>_xlfn.XLOOKUP(Logfile_S12[[#This Row],[Material Name]],Sum_WH!E:E,Sum_WH!F:F,"",0)</f>
        <v>Pcs</v>
      </c>
      <c r="N1911" s="221">
        <v>21</v>
      </c>
      <c r="O1911" s="221" t="s">
        <v>1803</v>
      </c>
      <c r="P1911" s="221" t="s">
        <v>1804</v>
      </c>
      <c r="Q1911" s="221"/>
      <c r="R1911" s="221"/>
      <c r="S1911" s="221"/>
      <c r="T1911" s="221" t="s">
        <v>3258</v>
      </c>
      <c r="U1911" s="221" t="s">
        <v>3228</v>
      </c>
      <c r="V1911" s="221" t="s">
        <v>3337</v>
      </c>
      <c r="W1911" s="221" t="s">
        <v>3338</v>
      </c>
      <c r="X1911" s="221"/>
      <c r="Y1911" s="227"/>
      <c r="Z1911" s="227" t="str">
        <f t="shared" si="69"/>
        <v>Dusun Langlang IV Singosari</v>
      </c>
      <c r="AA1911" s="276" t="e">
        <f>VLOOKUP(Logfile_S12[[#This Row],[DO number]],DO_DB!G:I,3,0)</f>
        <v>#N/A</v>
      </c>
      <c r="AB1911" s="331" t="e">
        <f>EXACT(Logfile_S12[[#This Row],[date pick]],Logfile_S12[[#This Row],[Date]])</f>
        <v>#N/A</v>
      </c>
      <c r="AC19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12" spans="1:29" ht="14.5" hidden="1">
      <c r="A1912" s="220" t="str">
        <f t="shared" si="68"/>
        <v>1908</v>
      </c>
      <c r="B1912" s="221"/>
      <c r="C1912" s="221" t="s">
        <v>49</v>
      </c>
      <c r="D1912" s="221" t="s">
        <v>4131</v>
      </c>
      <c r="E1912" s="221" t="s">
        <v>3295</v>
      </c>
      <c r="F1912" s="221" t="s">
        <v>3299</v>
      </c>
      <c r="G1912" s="222">
        <v>45500</v>
      </c>
      <c r="H1912" s="223">
        <v>0.59027777777777779</v>
      </c>
      <c r="I1912" s="221" t="s">
        <v>4916</v>
      </c>
      <c r="J1912" s="221" t="s">
        <v>3023</v>
      </c>
      <c r="K1912" s="224" t="s">
        <v>3069</v>
      </c>
      <c r="L1912" s="225" t="str">
        <f>VLOOKUP(Logfile_S12[[#This Row],[Material Name]],Sheet2!B:C,2,0)</f>
        <v>ZTE1001</v>
      </c>
      <c r="M1912" s="225" t="str">
        <f>_xlfn.XLOOKUP(Logfile_S12[[#This Row],[Material Name]],Sum_WH!E:E,Sum_WH!F:F,"",0)</f>
        <v>Pcs</v>
      </c>
      <c r="N1912" s="221">
        <v>21</v>
      </c>
      <c r="O1912" s="221" t="s">
        <v>1803</v>
      </c>
      <c r="P1912" s="221" t="s">
        <v>1804</v>
      </c>
      <c r="Q1912" s="221"/>
      <c r="R1912" s="221"/>
      <c r="S1912" s="221"/>
      <c r="T1912" s="221" t="s">
        <v>3258</v>
      </c>
      <c r="U1912" s="221" t="s">
        <v>3228</v>
      </c>
      <c r="V1912" s="221" t="s">
        <v>3337</v>
      </c>
      <c r="W1912" s="221" t="s">
        <v>3338</v>
      </c>
      <c r="X1912" s="221"/>
      <c r="Y1912" s="227"/>
      <c r="Z1912" s="227" t="str">
        <f t="shared" si="69"/>
        <v>Dusun Langlang IV Singosari</v>
      </c>
      <c r="AA1912" s="276" t="e">
        <f>VLOOKUP(Logfile_S12[[#This Row],[DO number]],DO_DB!G:I,3,0)</f>
        <v>#N/A</v>
      </c>
      <c r="AB1912" s="331" t="e">
        <f>EXACT(Logfile_S12[[#This Row],[date pick]],Logfile_S12[[#This Row],[Date]])</f>
        <v>#N/A</v>
      </c>
      <c r="AC19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13" spans="1:29" ht="14.5" hidden="1">
      <c r="A1913" s="220" t="str">
        <f t="shared" si="68"/>
        <v>1909</v>
      </c>
      <c r="B1913" s="221"/>
      <c r="C1913" s="221" t="s">
        <v>49</v>
      </c>
      <c r="D1913" s="221" t="s">
        <v>4133</v>
      </c>
      <c r="E1913" s="221" t="s">
        <v>3295</v>
      </c>
      <c r="F1913" s="221" t="s">
        <v>3299</v>
      </c>
      <c r="G1913" s="222">
        <v>45502</v>
      </c>
      <c r="H1913" s="223">
        <v>0.59027777777777779</v>
      </c>
      <c r="I1913" s="221" t="s">
        <v>4916</v>
      </c>
      <c r="J1913" s="221" t="s">
        <v>3023</v>
      </c>
      <c r="K1913" s="224" t="s">
        <v>3069</v>
      </c>
      <c r="L1913" s="225" t="str">
        <f>VLOOKUP(Logfile_S12[[#This Row],[Material Name]],Sheet2!B:C,2,0)</f>
        <v>ZTE1001</v>
      </c>
      <c r="M1913" s="225" t="str">
        <f>_xlfn.XLOOKUP(Logfile_S12[[#This Row],[Material Name]],Sum_WH!E:E,Sum_WH!F:F,"",0)</f>
        <v>Pcs</v>
      </c>
      <c r="N1913" s="221">
        <v>15</v>
      </c>
      <c r="O1913" s="221" t="s">
        <v>1803</v>
      </c>
      <c r="P1913" s="221" t="s">
        <v>1804</v>
      </c>
      <c r="Q1913" s="221"/>
      <c r="R1913" s="221"/>
      <c r="S1913" s="221"/>
      <c r="T1913" s="221" t="s">
        <v>3258</v>
      </c>
      <c r="U1913" s="221" t="s">
        <v>3228</v>
      </c>
      <c r="V1913" s="221" t="s">
        <v>3337</v>
      </c>
      <c r="W1913" s="221" t="s">
        <v>3338</v>
      </c>
      <c r="X1913" s="221"/>
      <c r="Y1913" s="227"/>
      <c r="Z1913" s="227" t="str">
        <f t="shared" si="69"/>
        <v>Dusun Langlang IV Singosari</v>
      </c>
      <c r="AA1913" s="276" t="e">
        <f>VLOOKUP(Logfile_S12[[#This Row],[DO number]],DO_DB!G:I,3,0)</f>
        <v>#N/A</v>
      </c>
      <c r="AB1913" s="331" t="e">
        <f>EXACT(Logfile_S12[[#This Row],[date pick]],Logfile_S12[[#This Row],[Date]])</f>
        <v>#N/A</v>
      </c>
      <c r="AC19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14" spans="1:29" ht="14.5" hidden="1">
      <c r="A1914" s="220" t="str">
        <f t="shared" si="68"/>
        <v>1910</v>
      </c>
      <c r="B1914" s="221"/>
      <c r="C1914" s="221" t="s">
        <v>49</v>
      </c>
      <c r="D1914" s="221" t="s">
        <v>4139</v>
      </c>
      <c r="E1914" s="221" t="s">
        <v>3295</v>
      </c>
      <c r="F1914" s="221" t="s">
        <v>3299</v>
      </c>
      <c r="G1914" s="222">
        <v>45505</v>
      </c>
      <c r="H1914" s="223">
        <v>0.67847222222222225</v>
      </c>
      <c r="I1914" s="221" t="s">
        <v>4916</v>
      </c>
      <c r="J1914" s="221" t="s">
        <v>3023</v>
      </c>
      <c r="K1914" s="224" t="s">
        <v>3069</v>
      </c>
      <c r="L1914" s="225" t="str">
        <f>VLOOKUP(Logfile_S12[[#This Row],[Material Name]],Sheet2!B:C,2,0)</f>
        <v>ZTE1001</v>
      </c>
      <c r="M1914" s="225" t="str">
        <f>_xlfn.XLOOKUP(Logfile_S12[[#This Row],[Material Name]],Sum_WH!E:E,Sum_WH!F:F,"",0)</f>
        <v>Pcs</v>
      </c>
      <c r="N1914" s="221">
        <v>19</v>
      </c>
      <c r="O1914" s="221" t="s">
        <v>1803</v>
      </c>
      <c r="P1914" s="221" t="s">
        <v>1804</v>
      </c>
      <c r="Q1914" s="221"/>
      <c r="R1914" s="221"/>
      <c r="S1914" s="221"/>
      <c r="T1914" s="221" t="s">
        <v>3258</v>
      </c>
      <c r="U1914" s="221" t="s">
        <v>3228</v>
      </c>
      <c r="V1914" s="221" t="s">
        <v>3337</v>
      </c>
      <c r="W1914" s="221" t="s">
        <v>3338</v>
      </c>
      <c r="X1914" s="221"/>
      <c r="Y1914" s="227"/>
      <c r="Z1914" s="227" t="str">
        <f t="shared" si="69"/>
        <v>Dusun Langlang IV Singosari</v>
      </c>
      <c r="AA1914" s="276" t="e">
        <f>VLOOKUP(Logfile_S12[[#This Row],[DO number]],DO_DB!G:I,3,0)</f>
        <v>#N/A</v>
      </c>
      <c r="AB1914" s="331" t="e">
        <f>EXACT(Logfile_S12[[#This Row],[date pick]],Logfile_S12[[#This Row],[Date]])</f>
        <v>#N/A</v>
      </c>
      <c r="AC19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15" spans="1:29" ht="14.5" hidden="1">
      <c r="A1915" s="220" t="str">
        <f t="shared" si="68"/>
        <v>1911</v>
      </c>
      <c r="B1915" s="221"/>
      <c r="C1915" s="221" t="s">
        <v>49</v>
      </c>
      <c r="D1915" s="221" t="s">
        <v>4140</v>
      </c>
      <c r="E1915" s="221" t="s">
        <v>3295</v>
      </c>
      <c r="F1915" s="221" t="s">
        <v>3299</v>
      </c>
      <c r="G1915" s="222">
        <v>45506</v>
      </c>
      <c r="H1915" s="223">
        <v>0.56319444444444444</v>
      </c>
      <c r="I1915" s="221" t="s">
        <v>4916</v>
      </c>
      <c r="J1915" s="221" t="s">
        <v>3023</v>
      </c>
      <c r="K1915" s="224" t="s">
        <v>3069</v>
      </c>
      <c r="L1915" s="225" t="str">
        <f>VLOOKUP(Logfile_S12[[#This Row],[Material Name]],Sheet2!B:C,2,0)</f>
        <v>ZTE1001</v>
      </c>
      <c r="M1915" s="225" t="str">
        <f>_xlfn.XLOOKUP(Logfile_S12[[#This Row],[Material Name]],Sum_WH!E:E,Sum_WH!F:F,"",0)</f>
        <v>Pcs</v>
      </c>
      <c r="N1915" s="221">
        <v>5</v>
      </c>
      <c r="O1915" s="221" t="s">
        <v>1803</v>
      </c>
      <c r="P1915" s="221" t="s">
        <v>1804</v>
      </c>
      <c r="Q1915" s="221"/>
      <c r="R1915" s="221"/>
      <c r="S1915" s="221"/>
      <c r="T1915" s="221" t="s">
        <v>3258</v>
      </c>
      <c r="U1915" s="221" t="s">
        <v>3228</v>
      </c>
      <c r="V1915" s="221" t="s">
        <v>3337</v>
      </c>
      <c r="W1915" s="221" t="s">
        <v>3338</v>
      </c>
      <c r="X1915" s="221"/>
      <c r="Y1915" s="227"/>
      <c r="Z1915" s="227" t="str">
        <f t="shared" si="69"/>
        <v>Dusun Langlang IV Singosari</v>
      </c>
      <c r="AA1915" s="276" t="e">
        <f>VLOOKUP(Logfile_S12[[#This Row],[DO number]],DO_DB!G:I,3,0)</f>
        <v>#N/A</v>
      </c>
      <c r="AB1915" s="331" t="e">
        <f>EXACT(Logfile_S12[[#This Row],[date pick]],Logfile_S12[[#This Row],[Date]])</f>
        <v>#N/A</v>
      </c>
      <c r="AC19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16" spans="1:29" ht="14.5" hidden="1">
      <c r="A1916" s="220" t="str">
        <f t="shared" si="68"/>
        <v>1912</v>
      </c>
      <c r="B1916" s="221"/>
      <c r="C1916" s="221" t="s">
        <v>3313</v>
      </c>
      <c r="D1916" s="221" t="s">
        <v>4142</v>
      </c>
      <c r="E1916" s="221" t="s">
        <v>3295</v>
      </c>
      <c r="F1916" s="221" t="s">
        <v>3299</v>
      </c>
      <c r="G1916" s="222">
        <v>45506</v>
      </c>
      <c r="H1916" s="223">
        <v>15.291666666666666</v>
      </c>
      <c r="I1916" s="221" t="s">
        <v>37</v>
      </c>
      <c r="J1916" s="221" t="s">
        <v>3023</v>
      </c>
      <c r="K1916" s="224" t="s">
        <v>3069</v>
      </c>
      <c r="L1916" s="225" t="str">
        <f>VLOOKUP(Logfile_S12[[#This Row],[Material Name]],Sheet2!B:C,2,0)</f>
        <v>ZTE1001</v>
      </c>
      <c r="M1916" s="225" t="str">
        <f>_xlfn.XLOOKUP(Logfile_S12[[#This Row],[Material Name]],Sum_WH!E:E,Sum_WH!F:F,"",0)</f>
        <v>Pcs</v>
      </c>
      <c r="N1916" s="221">
        <v>1</v>
      </c>
      <c r="O1916" s="221" t="s">
        <v>3314</v>
      </c>
      <c r="P1916" s="221">
        <v>0</v>
      </c>
      <c r="Q1916" s="221">
        <v>0</v>
      </c>
      <c r="R1916" s="221" t="s">
        <v>3147</v>
      </c>
      <c r="S1916" s="221"/>
      <c r="T1916" s="221"/>
      <c r="U1916" s="221"/>
      <c r="V1916" s="221"/>
      <c r="W1916" s="221"/>
      <c r="X1916" s="221"/>
      <c r="Y1916" s="227"/>
      <c r="Z1916" s="227">
        <f t="shared" si="69"/>
        <v>0</v>
      </c>
      <c r="AA1916" s="276" t="e">
        <f>VLOOKUP(Logfile_S12[[#This Row],[DO number]],DO_DB!G:I,3,0)</f>
        <v>#N/A</v>
      </c>
      <c r="AB1916" s="331" t="e">
        <f>EXACT(Logfile_S12[[#This Row],[date pick]],Logfile_S12[[#This Row],[Date]])</f>
        <v>#N/A</v>
      </c>
      <c r="AC19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17" spans="1:29" ht="14.5" hidden="1">
      <c r="A1917" s="220" t="str">
        <f t="shared" si="68"/>
        <v>1913</v>
      </c>
      <c r="B1917" s="221"/>
      <c r="C1917" s="221" t="s">
        <v>49</v>
      </c>
      <c r="D1917" s="221" t="s">
        <v>4143</v>
      </c>
      <c r="E1917" s="221" t="s">
        <v>3295</v>
      </c>
      <c r="F1917" s="221" t="s">
        <v>3299</v>
      </c>
      <c r="G1917" s="222">
        <v>45507</v>
      </c>
      <c r="H1917" s="223">
        <v>0.4</v>
      </c>
      <c r="I1917" s="221" t="s">
        <v>4916</v>
      </c>
      <c r="J1917" s="221" t="s">
        <v>3023</v>
      </c>
      <c r="K1917" s="224" t="s">
        <v>3069</v>
      </c>
      <c r="L1917" s="225" t="str">
        <f>VLOOKUP(Logfile_S12[[#This Row],[Material Name]],Sheet2!B:C,2,0)</f>
        <v>ZTE1001</v>
      </c>
      <c r="M1917" s="225" t="str">
        <f>_xlfn.XLOOKUP(Logfile_S12[[#This Row],[Material Name]],Sum_WH!E:E,Sum_WH!F:F,"",0)</f>
        <v>Pcs</v>
      </c>
      <c r="N1917" s="221">
        <v>4</v>
      </c>
      <c r="O1917" s="221" t="s">
        <v>1803</v>
      </c>
      <c r="P1917" s="221" t="s">
        <v>1804</v>
      </c>
      <c r="Q1917" s="221"/>
      <c r="R1917" s="221"/>
      <c r="S1917" s="221"/>
      <c r="T1917" s="221" t="s">
        <v>3258</v>
      </c>
      <c r="U1917" s="221" t="s">
        <v>3228</v>
      </c>
      <c r="V1917" s="221" t="s">
        <v>3337</v>
      </c>
      <c r="W1917" s="221" t="s">
        <v>3338</v>
      </c>
      <c r="X1917" s="221"/>
      <c r="Y1917" s="227"/>
      <c r="Z1917" s="227" t="str">
        <f t="shared" si="69"/>
        <v>Dusun Langlang IV Singosari</v>
      </c>
      <c r="AA1917" s="276" t="e">
        <f>VLOOKUP(Logfile_S12[[#This Row],[DO number]],DO_DB!G:I,3,0)</f>
        <v>#N/A</v>
      </c>
      <c r="AB1917" s="331" t="e">
        <f>EXACT(Logfile_S12[[#This Row],[date pick]],Logfile_S12[[#This Row],[Date]])</f>
        <v>#N/A</v>
      </c>
      <c r="AC19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18" spans="1:29" ht="14.5" hidden="1">
      <c r="A1918" s="220" t="str">
        <f t="shared" si="68"/>
        <v>1914</v>
      </c>
      <c r="B1918" s="221"/>
      <c r="C1918" s="221" t="s">
        <v>49</v>
      </c>
      <c r="D1918" s="221" t="s">
        <v>4146</v>
      </c>
      <c r="E1918" s="221" t="s">
        <v>3295</v>
      </c>
      <c r="F1918" s="221" t="s">
        <v>3299</v>
      </c>
      <c r="G1918" s="222">
        <v>45507</v>
      </c>
      <c r="H1918" s="223">
        <v>0.97222222222222221</v>
      </c>
      <c r="I1918" s="221" t="s">
        <v>4916</v>
      </c>
      <c r="J1918" s="221" t="s">
        <v>3023</v>
      </c>
      <c r="K1918" s="224" t="s">
        <v>3069</v>
      </c>
      <c r="L1918" s="225" t="str">
        <f>VLOOKUP(Logfile_S12[[#This Row],[Material Name]],Sheet2!B:C,2,0)</f>
        <v>ZTE1001</v>
      </c>
      <c r="M1918" s="225" t="str">
        <f>_xlfn.XLOOKUP(Logfile_S12[[#This Row],[Material Name]],Sum_WH!E:E,Sum_WH!F:F,"",0)</f>
        <v>Pcs</v>
      </c>
      <c r="N1918" s="221">
        <v>18</v>
      </c>
      <c r="O1918" s="221" t="s">
        <v>1807</v>
      </c>
      <c r="P1918" s="221" t="s">
        <v>3399</v>
      </c>
      <c r="Q1918" s="221"/>
      <c r="R1918" s="221"/>
      <c r="S1918" s="221"/>
      <c r="T1918" s="221" t="s">
        <v>3244</v>
      </c>
      <c r="U1918" s="221">
        <v>0</v>
      </c>
      <c r="V1918" s="221" t="s">
        <v>3248</v>
      </c>
      <c r="W1918" s="221" t="s">
        <v>3252</v>
      </c>
      <c r="X1918" s="221"/>
      <c r="Y1918" s="227"/>
      <c r="Z1918" s="227" t="str">
        <f t="shared" si="69"/>
        <v>HUBFEEDER TIRTASANI TO GIRIMOYO</v>
      </c>
      <c r="AA1918" s="276" t="e">
        <f>VLOOKUP(Logfile_S12[[#This Row],[DO number]],DO_DB!G:I,3,0)</f>
        <v>#N/A</v>
      </c>
      <c r="AB1918" s="331" t="e">
        <f>EXACT(Logfile_S12[[#This Row],[date pick]],Logfile_S12[[#This Row],[Date]])</f>
        <v>#N/A</v>
      </c>
      <c r="AC19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19" spans="1:29" ht="14.5" hidden="1">
      <c r="A1919" s="220" t="str">
        <f t="shared" si="68"/>
        <v>1915</v>
      </c>
      <c r="B1919" s="221"/>
      <c r="C1919" s="221" t="s">
        <v>49</v>
      </c>
      <c r="D1919" s="221" t="s">
        <v>4144</v>
      </c>
      <c r="E1919" s="221" t="s">
        <v>3295</v>
      </c>
      <c r="F1919" s="221" t="s">
        <v>3299</v>
      </c>
      <c r="G1919" s="222">
        <v>45507</v>
      </c>
      <c r="H1919" s="223">
        <v>0.79166666666666663</v>
      </c>
      <c r="I1919" s="221" t="s">
        <v>4916</v>
      </c>
      <c r="J1919" s="221" t="s">
        <v>3023</v>
      </c>
      <c r="K1919" s="224" t="s">
        <v>3069</v>
      </c>
      <c r="L1919" s="225" t="str">
        <f>VLOOKUP(Logfile_S12[[#This Row],[Material Name]],Sheet2!B:C,2,0)</f>
        <v>ZTE1001</v>
      </c>
      <c r="M1919" s="225" t="str">
        <f>_xlfn.XLOOKUP(Logfile_S12[[#This Row],[Material Name]],Sum_WH!E:E,Sum_WH!F:F,"",0)</f>
        <v>Pcs</v>
      </c>
      <c r="N1919" s="221">
        <v>25</v>
      </c>
      <c r="O1919" s="221" t="s">
        <v>1807</v>
      </c>
      <c r="P1919" s="221" t="s">
        <v>3399</v>
      </c>
      <c r="Q1919" s="221"/>
      <c r="R1919" s="221"/>
      <c r="S1919" s="221"/>
      <c r="T1919" s="221" t="s">
        <v>3244</v>
      </c>
      <c r="U1919" s="221">
        <v>0</v>
      </c>
      <c r="V1919" s="221" t="s">
        <v>3248</v>
      </c>
      <c r="W1919" s="221" t="s">
        <v>3252</v>
      </c>
      <c r="X1919" s="221"/>
      <c r="Y1919" s="227"/>
      <c r="Z1919" s="227" t="str">
        <f t="shared" si="69"/>
        <v>HUBFEEDER TIRTASANI TO GIRIMOYO</v>
      </c>
      <c r="AA1919" s="276" t="e">
        <f>VLOOKUP(Logfile_S12[[#This Row],[DO number]],DO_DB!G:I,3,0)</f>
        <v>#N/A</v>
      </c>
      <c r="AB1919" s="331" t="e">
        <f>EXACT(Logfile_S12[[#This Row],[date pick]],Logfile_S12[[#This Row],[Date]])</f>
        <v>#N/A</v>
      </c>
      <c r="AC19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20" spans="1:29" ht="14.5" hidden="1">
      <c r="A1920" s="220" t="str">
        <f t="shared" si="68"/>
        <v>1916</v>
      </c>
      <c r="B1920" s="221"/>
      <c r="C1920" s="221" t="s">
        <v>49</v>
      </c>
      <c r="D1920" s="221" t="s">
        <v>4145</v>
      </c>
      <c r="E1920" s="221" t="s">
        <v>3295</v>
      </c>
      <c r="F1920" s="221" t="s">
        <v>3299</v>
      </c>
      <c r="G1920" s="222">
        <v>45507</v>
      </c>
      <c r="H1920" s="223">
        <v>0.82222222222222219</v>
      </c>
      <c r="I1920" s="221" t="s">
        <v>4916</v>
      </c>
      <c r="J1920" s="221" t="s">
        <v>3023</v>
      </c>
      <c r="K1920" s="224" t="s">
        <v>3069</v>
      </c>
      <c r="L1920" s="225" t="str">
        <f>VLOOKUP(Logfile_S12[[#This Row],[Material Name]],Sheet2!B:C,2,0)</f>
        <v>ZTE1001</v>
      </c>
      <c r="M1920" s="225" t="str">
        <f>_xlfn.XLOOKUP(Logfile_S12[[#This Row],[Material Name]],Sum_WH!E:E,Sum_WH!F:F,"",0)</f>
        <v>Pcs</v>
      </c>
      <c r="N1920" s="221">
        <v>30</v>
      </c>
      <c r="O1920" s="221" t="s">
        <v>1799</v>
      </c>
      <c r="P1920" s="221" t="s">
        <v>3398</v>
      </c>
      <c r="Q1920" s="221"/>
      <c r="R1920" s="221"/>
      <c r="S1920" s="221"/>
      <c r="T1920" s="221" t="s">
        <v>3258</v>
      </c>
      <c r="U1920" s="221" t="s">
        <v>3228</v>
      </c>
      <c r="V1920" s="221" t="s">
        <v>3337</v>
      </c>
      <c r="W1920" s="221" t="s">
        <v>3338</v>
      </c>
      <c r="X1920" s="221"/>
      <c r="Y1920" s="227"/>
      <c r="Z1920" s="227" t="str">
        <f t="shared" si="69"/>
        <v>HUBFEEDER KEPANJEN TO JATIKERTO</v>
      </c>
      <c r="AA1920" s="276" t="e">
        <f>VLOOKUP(Logfile_S12[[#This Row],[DO number]],DO_DB!G:I,3,0)</f>
        <v>#N/A</v>
      </c>
      <c r="AB1920" s="331" t="e">
        <f>EXACT(Logfile_S12[[#This Row],[date pick]],Logfile_S12[[#This Row],[Date]])</f>
        <v>#N/A</v>
      </c>
      <c r="AC19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21" spans="1:29" ht="14.5" hidden="1">
      <c r="A1921" s="220" t="str">
        <f t="shared" si="68"/>
        <v>1917</v>
      </c>
      <c r="B1921" s="221"/>
      <c r="C1921" s="221" t="s">
        <v>49</v>
      </c>
      <c r="D1921" s="221" t="s">
        <v>4148</v>
      </c>
      <c r="E1921" s="221" t="s">
        <v>3295</v>
      </c>
      <c r="F1921" s="221" t="s">
        <v>3299</v>
      </c>
      <c r="G1921" s="222">
        <v>45510</v>
      </c>
      <c r="H1921" s="223">
        <v>0.80277777777777781</v>
      </c>
      <c r="I1921" s="221" t="s">
        <v>4916</v>
      </c>
      <c r="J1921" s="221" t="s">
        <v>3023</v>
      </c>
      <c r="K1921" s="224" t="s">
        <v>3069</v>
      </c>
      <c r="L1921" s="225" t="str">
        <f>VLOOKUP(Logfile_S12[[#This Row],[Material Name]],Sheet2!B:C,2,0)</f>
        <v>ZTE1001</v>
      </c>
      <c r="M1921" s="225" t="str">
        <f>_xlfn.XLOOKUP(Logfile_S12[[#This Row],[Material Name]],Sum_WH!E:E,Sum_WH!F:F,"",0)</f>
        <v>Pcs</v>
      </c>
      <c r="N1921" s="221">
        <v>25</v>
      </c>
      <c r="O1921" s="221" t="s">
        <v>1807</v>
      </c>
      <c r="P1921" s="221" t="s">
        <v>3399</v>
      </c>
      <c r="Q1921" s="221"/>
      <c r="R1921" s="221"/>
      <c r="S1921" s="221"/>
      <c r="T1921" s="221" t="s">
        <v>3244</v>
      </c>
      <c r="U1921" s="221">
        <v>0</v>
      </c>
      <c r="V1921" s="221" t="s">
        <v>3248</v>
      </c>
      <c r="W1921" s="221" t="s">
        <v>3252</v>
      </c>
      <c r="X1921" s="221"/>
      <c r="Y1921" s="227"/>
      <c r="Z1921" s="227" t="str">
        <f t="shared" si="69"/>
        <v>HUBFEEDER TIRTASANI TO GIRIMOYO</v>
      </c>
      <c r="AA1921" s="276" t="e">
        <f>VLOOKUP(Logfile_S12[[#This Row],[DO number]],DO_DB!G:I,3,0)</f>
        <v>#N/A</v>
      </c>
      <c r="AB1921" s="331" t="e">
        <f>EXACT(Logfile_S12[[#This Row],[date pick]],Logfile_S12[[#This Row],[Date]])</f>
        <v>#N/A</v>
      </c>
      <c r="AC19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22" spans="1:29" ht="14.5" hidden="1">
      <c r="A1922" s="220" t="str">
        <f t="shared" si="68"/>
        <v>1918</v>
      </c>
      <c r="B1922" s="221"/>
      <c r="C1922" s="221" t="s">
        <v>49</v>
      </c>
      <c r="D1922" s="221" t="s">
        <v>4152</v>
      </c>
      <c r="E1922" s="221" t="s">
        <v>3295</v>
      </c>
      <c r="F1922" s="221" t="s">
        <v>3299</v>
      </c>
      <c r="G1922" s="222">
        <v>45511</v>
      </c>
      <c r="H1922" s="223">
        <v>0.84722222222222221</v>
      </c>
      <c r="I1922" s="221" t="s">
        <v>4916</v>
      </c>
      <c r="J1922" s="221" t="s">
        <v>3023</v>
      </c>
      <c r="K1922" s="224" t="s">
        <v>3069</v>
      </c>
      <c r="L1922" s="225" t="str">
        <f>VLOOKUP(Logfile_S12[[#This Row],[Material Name]],Sheet2!B:C,2,0)</f>
        <v>ZTE1001</v>
      </c>
      <c r="M1922" s="225" t="str">
        <f>_xlfn.XLOOKUP(Logfile_S12[[#This Row],[Material Name]],Sum_WH!E:E,Sum_WH!F:F,"",0)</f>
        <v>Pcs</v>
      </c>
      <c r="N1922" s="221">
        <v>19</v>
      </c>
      <c r="O1922" s="221" t="s">
        <v>1807</v>
      </c>
      <c r="P1922" s="221" t="s">
        <v>3399</v>
      </c>
      <c r="Q1922" s="221"/>
      <c r="R1922" s="221"/>
      <c r="S1922" s="221"/>
      <c r="T1922" s="221" t="s">
        <v>3244</v>
      </c>
      <c r="U1922" s="221">
        <v>0</v>
      </c>
      <c r="V1922" s="221" t="s">
        <v>3248</v>
      </c>
      <c r="W1922" s="221" t="s">
        <v>3252</v>
      </c>
      <c r="X1922" s="221"/>
      <c r="Y1922" s="227"/>
      <c r="Z1922" s="227" t="str">
        <f t="shared" si="69"/>
        <v>HUBFEEDER TIRTASANI TO GIRIMOYO</v>
      </c>
      <c r="AA1922" s="276" t="e">
        <f>VLOOKUP(Logfile_S12[[#This Row],[DO number]],DO_DB!G:I,3,0)</f>
        <v>#N/A</v>
      </c>
      <c r="AB1922" s="331" t="e">
        <f>EXACT(Logfile_S12[[#This Row],[date pick]],Logfile_S12[[#This Row],[Date]])</f>
        <v>#N/A</v>
      </c>
      <c r="AC19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23" spans="1:29" ht="14.5" hidden="1">
      <c r="A1923" s="220" t="str">
        <f t="shared" si="68"/>
        <v>1919</v>
      </c>
      <c r="B1923" s="221"/>
      <c r="C1923" s="221" t="s">
        <v>49</v>
      </c>
      <c r="D1923" s="221" t="s">
        <v>4150</v>
      </c>
      <c r="E1923" s="221" t="s">
        <v>3295</v>
      </c>
      <c r="F1923" s="221" t="s">
        <v>3299</v>
      </c>
      <c r="G1923" s="222">
        <v>45511</v>
      </c>
      <c r="H1923" s="223">
        <v>0.78333333333333333</v>
      </c>
      <c r="I1923" s="221" t="s">
        <v>4916</v>
      </c>
      <c r="J1923" s="221" t="s">
        <v>3023</v>
      </c>
      <c r="K1923" s="224" t="s">
        <v>3069</v>
      </c>
      <c r="L1923" s="225" t="str">
        <f>VLOOKUP(Logfile_S12[[#This Row],[Material Name]],Sheet2!B:C,2,0)</f>
        <v>ZTE1001</v>
      </c>
      <c r="M1923" s="225" t="str">
        <f>_xlfn.XLOOKUP(Logfile_S12[[#This Row],[Material Name]],Sum_WH!E:E,Sum_WH!F:F,"",0)</f>
        <v>Pcs</v>
      </c>
      <c r="N1923" s="221">
        <v>30</v>
      </c>
      <c r="O1923" s="221" t="s">
        <v>1799</v>
      </c>
      <c r="P1923" s="221" t="s">
        <v>3398</v>
      </c>
      <c r="Q1923" s="221"/>
      <c r="R1923" s="221"/>
      <c r="S1923" s="221"/>
      <c r="T1923" s="221" t="s">
        <v>3258</v>
      </c>
      <c r="U1923" s="221" t="s">
        <v>3228</v>
      </c>
      <c r="V1923" s="221" t="s">
        <v>3337</v>
      </c>
      <c r="W1923" s="221" t="s">
        <v>3338</v>
      </c>
      <c r="X1923" s="221"/>
      <c r="Y1923" s="227"/>
      <c r="Z1923" s="227" t="str">
        <f t="shared" si="69"/>
        <v>HUBFEEDER KEPANJEN TO JATIKERTO</v>
      </c>
      <c r="AA1923" s="276" t="e">
        <f>VLOOKUP(Logfile_S12[[#This Row],[DO number]],DO_DB!G:I,3,0)</f>
        <v>#N/A</v>
      </c>
      <c r="AB1923" s="331" t="e">
        <f>EXACT(Logfile_S12[[#This Row],[date pick]],Logfile_S12[[#This Row],[Date]])</f>
        <v>#N/A</v>
      </c>
      <c r="AC19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24" spans="1:29" ht="14.5" hidden="1">
      <c r="A1924" s="220" t="str">
        <f t="shared" si="68"/>
        <v>1920</v>
      </c>
      <c r="B1924" s="221"/>
      <c r="C1924" s="221" t="s">
        <v>3313</v>
      </c>
      <c r="D1924" s="221" t="s">
        <v>4154</v>
      </c>
      <c r="E1924" s="221" t="s">
        <v>3295</v>
      </c>
      <c r="F1924" s="221" t="s">
        <v>3299</v>
      </c>
      <c r="G1924" s="222">
        <v>45512</v>
      </c>
      <c r="H1924" s="223">
        <v>15.291666666666666</v>
      </c>
      <c r="I1924" s="221" t="s">
        <v>37</v>
      </c>
      <c r="J1924" s="221" t="s">
        <v>3023</v>
      </c>
      <c r="K1924" s="224" t="s">
        <v>3069</v>
      </c>
      <c r="L1924" s="225" t="str">
        <f>VLOOKUP(Logfile_S12[[#This Row],[Material Name]],Sheet2!B:C,2,0)</f>
        <v>ZTE1001</v>
      </c>
      <c r="M1924" s="225" t="str">
        <f>_xlfn.XLOOKUP(Logfile_S12[[#This Row],[Material Name]],Sum_WH!E:E,Sum_WH!F:F,"",0)</f>
        <v>Pcs</v>
      </c>
      <c r="N1924" s="221">
        <v>2</v>
      </c>
      <c r="O1924" s="221" t="s">
        <v>3314</v>
      </c>
      <c r="P1924" s="221">
        <v>0</v>
      </c>
      <c r="Q1924" s="221">
        <v>0</v>
      </c>
      <c r="R1924" s="221" t="s">
        <v>3147</v>
      </c>
      <c r="S1924" s="221"/>
      <c r="T1924" s="221"/>
      <c r="U1924" s="221"/>
      <c r="V1924" s="221"/>
      <c r="W1924" s="221"/>
      <c r="X1924" s="221"/>
      <c r="Y1924" s="227"/>
      <c r="Z1924" s="227">
        <f t="shared" si="69"/>
        <v>0</v>
      </c>
      <c r="AA1924" s="276" t="e">
        <f>VLOOKUP(Logfile_S12[[#This Row],[DO number]],DO_DB!G:I,3,0)</f>
        <v>#N/A</v>
      </c>
      <c r="AB1924" s="331" t="e">
        <f>EXACT(Logfile_S12[[#This Row],[date pick]],Logfile_S12[[#This Row],[Date]])</f>
        <v>#N/A</v>
      </c>
      <c r="AC19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25" spans="1:29" ht="14.5" hidden="1">
      <c r="A1925" s="220" t="str">
        <f t="shared" ref="A1925:A1988" si="70">TEXT(ROW(A1925)-ROW($A$4),"000")</f>
        <v>1921</v>
      </c>
      <c r="B1925" s="221"/>
      <c r="C1925" s="221" t="s">
        <v>49</v>
      </c>
      <c r="D1925" s="221" t="s">
        <v>4159</v>
      </c>
      <c r="E1925" s="221" t="s">
        <v>3295</v>
      </c>
      <c r="F1925" s="221" t="s">
        <v>3299</v>
      </c>
      <c r="G1925" s="222">
        <v>45518</v>
      </c>
      <c r="H1925" s="223">
        <v>0.68263888888888891</v>
      </c>
      <c r="I1925" s="221" t="s">
        <v>4916</v>
      </c>
      <c r="J1925" s="221" t="s">
        <v>3023</v>
      </c>
      <c r="K1925" s="224" t="s">
        <v>3069</v>
      </c>
      <c r="L1925" s="225" t="str">
        <f>VLOOKUP(Logfile_S12[[#This Row],[Material Name]],Sheet2!B:C,2,0)</f>
        <v>ZTE1001</v>
      </c>
      <c r="M1925" s="225" t="str">
        <f>_xlfn.XLOOKUP(Logfile_S12[[#This Row],[Material Name]],Sum_WH!E:E,Sum_WH!F:F,"",0)</f>
        <v>Pcs</v>
      </c>
      <c r="N1925" s="221">
        <v>1</v>
      </c>
      <c r="O1925" s="221" t="s">
        <v>1803</v>
      </c>
      <c r="P1925" s="221" t="s">
        <v>1804</v>
      </c>
      <c r="Q1925" s="221"/>
      <c r="R1925" s="221"/>
      <c r="S1925" s="221"/>
      <c r="T1925" s="221" t="s">
        <v>3258</v>
      </c>
      <c r="U1925" s="221" t="s">
        <v>3228</v>
      </c>
      <c r="V1925" s="221" t="s">
        <v>3337</v>
      </c>
      <c r="W1925" s="221" t="s">
        <v>3338</v>
      </c>
      <c r="X1925" s="221"/>
      <c r="Y1925" s="227"/>
      <c r="Z1925" s="227" t="str">
        <f t="shared" si="69"/>
        <v>Dusun Langlang IV Singosari</v>
      </c>
      <c r="AA1925" s="276" t="e">
        <f>VLOOKUP(Logfile_S12[[#This Row],[DO number]],DO_DB!G:I,3,0)</f>
        <v>#N/A</v>
      </c>
      <c r="AB1925" s="331" t="e">
        <f>EXACT(Logfile_S12[[#This Row],[date pick]],Logfile_S12[[#This Row],[Date]])</f>
        <v>#N/A</v>
      </c>
      <c r="AC19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26" spans="1:29" ht="14.5" hidden="1">
      <c r="A1926" s="220" t="str">
        <f t="shared" si="70"/>
        <v>1922</v>
      </c>
      <c r="B1926" s="221"/>
      <c r="C1926" s="221" t="s">
        <v>49</v>
      </c>
      <c r="D1926" s="221" t="s">
        <v>4164</v>
      </c>
      <c r="E1926" s="221" t="s">
        <v>3295</v>
      </c>
      <c r="F1926" s="221" t="s">
        <v>3299</v>
      </c>
      <c r="G1926" s="222">
        <v>45524</v>
      </c>
      <c r="H1926" s="223">
        <v>0.70416666666666672</v>
      </c>
      <c r="I1926" s="221" t="s">
        <v>4916</v>
      </c>
      <c r="J1926" s="221" t="s">
        <v>3023</v>
      </c>
      <c r="K1926" s="224" t="s">
        <v>3069</v>
      </c>
      <c r="L1926" s="225" t="str">
        <f>VLOOKUP(Logfile_S12[[#This Row],[Material Name]],Sheet2!B:C,2,0)</f>
        <v>ZTE1001</v>
      </c>
      <c r="M1926" s="225" t="str">
        <f>_xlfn.XLOOKUP(Logfile_S12[[#This Row],[Material Name]],Sum_WH!E:E,Sum_WH!F:F,"",0)</f>
        <v>Pcs</v>
      </c>
      <c r="N1926" s="221">
        <v>2</v>
      </c>
      <c r="O1926" s="221" t="s">
        <v>1391</v>
      </c>
      <c r="P1926" s="221" t="s">
        <v>1392</v>
      </c>
      <c r="Q1926" s="221"/>
      <c r="R1926" s="221"/>
      <c r="S1926" s="221"/>
      <c r="T1926" s="221" t="s">
        <v>3244</v>
      </c>
      <c r="U1926" s="221">
        <v>0</v>
      </c>
      <c r="V1926" s="221" t="s">
        <v>3248</v>
      </c>
      <c r="W1926" s="221" t="s">
        <v>3252</v>
      </c>
      <c r="X1926" s="221"/>
      <c r="Y1926" s="227"/>
      <c r="Z1926" s="227" t="str">
        <f t="shared" si="69"/>
        <v>Klampok RW 01 Singosari</v>
      </c>
      <c r="AA1926" s="276" t="e">
        <f>VLOOKUP(Logfile_S12[[#This Row],[DO number]],DO_DB!G:I,3,0)</f>
        <v>#N/A</v>
      </c>
      <c r="AB1926" s="331" t="e">
        <f>EXACT(Logfile_S12[[#This Row],[date pick]],Logfile_S12[[#This Row],[Date]])</f>
        <v>#N/A</v>
      </c>
      <c r="AC19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27" spans="1:29" ht="14.5" hidden="1">
      <c r="A1927" s="220" t="str">
        <f t="shared" si="70"/>
        <v>1923</v>
      </c>
      <c r="B1927" s="221"/>
      <c r="C1927" s="221" t="s">
        <v>49</v>
      </c>
      <c r="D1927" s="221" t="s">
        <v>4163</v>
      </c>
      <c r="E1927" s="221" t="s">
        <v>3295</v>
      </c>
      <c r="F1927" s="221" t="s">
        <v>3299</v>
      </c>
      <c r="G1927" s="222">
        <v>45524</v>
      </c>
      <c r="H1927" s="223">
        <v>0.55555555555555558</v>
      </c>
      <c r="I1927" s="221" t="s">
        <v>4916</v>
      </c>
      <c r="J1927" s="221" t="s">
        <v>3023</v>
      </c>
      <c r="K1927" s="224" t="s">
        <v>3069</v>
      </c>
      <c r="L1927" s="225" t="str">
        <f>VLOOKUP(Logfile_S12[[#This Row],[Material Name]],Sheet2!B:C,2,0)</f>
        <v>ZTE1001</v>
      </c>
      <c r="M1927" s="225" t="str">
        <f>_xlfn.XLOOKUP(Logfile_S12[[#This Row],[Material Name]],Sum_WH!E:E,Sum_WH!F:F,"",0)</f>
        <v>Pcs</v>
      </c>
      <c r="N1927" s="221">
        <v>10</v>
      </c>
      <c r="O1927" s="221" t="s">
        <v>1391</v>
      </c>
      <c r="P1927" s="221" t="s">
        <v>1392</v>
      </c>
      <c r="Q1927" s="221"/>
      <c r="R1927" s="221"/>
      <c r="S1927" s="221"/>
      <c r="T1927" s="221" t="s">
        <v>3244</v>
      </c>
      <c r="U1927" s="221">
        <v>0</v>
      </c>
      <c r="V1927" s="221" t="s">
        <v>3248</v>
      </c>
      <c r="W1927" s="221" t="s">
        <v>3252</v>
      </c>
      <c r="X1927" s="221"/>
      <c r="Y1927" s="227"/>
      <c r="Z1927" s="227" t="str">
        <f t="shared" si="69"/>
        <v>Klampok RW 01 Singosari</v>
      </c>
      <c r="AA1927" s="276" t="e">
        <f>VLOOKUP(Logfile_S12[[#This Row],[DO number]],DO_DB!G:I,3,0)</f>
        <v>#N/A</v>
      </c>
      <c r="AB1927" s="331" t="e">
        <f>EXACT(Logfile_S12[[#This Row],[date pick]],Logfile_S12[[#This Row],[Date]])</f>
        <v>#N/A</v>
      </c>
      <c r="AC19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28" spans="1:29" ht="14.5" hidden="1">
      <c r="A1928" s="220" t="str">
        <f t="shared" si="70"/>
        <v>1924</v>
      </c>
      <c r="B1928" s="221"/>
      <c r="C1928" s="221" t="s">
        <v>49</v>
      </c>
      <c r="D1928" s="221" t="s">
        <v>4162</v>
      </c>
      <c r="E1928" s="221" t="s">
        <v>3295</v>
      </c>
      <c r="F1928" s="221" t="s">
        <v>3299</v>
      </c>
      <c r="G1928" s="222">
        <v>45524</v>
      </c>
      <c r="H1928" s="223">
        <v>0.36805555555555558</v>
      </c>
      <c r="I1928" s="221" t="s">
        <v>4916</v>
      </c>
      <c r="J1928" s="221" t="s">
        <v>3023</v>
      </c>
      <c r="K1928" s="224" t="s">
        <v>3069</v>
      </c>
      <c r="L1928" s="225" t="str">
        <f>VLOOKUP(Logfile_S12[[#This Row],[Material Name]],Sheet2!B:C,2,0)</f>
        <v>ZTE1001</v>
      </c>
      <c r="M1928" s="225" t="str">
        <f>_xlfn.XLOOKUP(Logfile_S12[[#This Row],[Material Name]],Sum_WH!E:E,Sum_WH!F:F,"",0)</f>
        <v>Pcs</v>
      </c>
      <c r="N1928" s="221">
        <v>20</v>
      </c>
      <c r="O1928" s="221" t="s">
        <v>1391</v>
      </c>
      <c r="P1928" s="221" t="s">
        <v>1392</v>
      </c>
      <c r="Q1928" s="221"/>
      <c r="R1928" s="221"/>
      <c r="S1928" s="221"/>
      <c r="T1928" s="221" t="s">
        <v>3244</v>
      </c>
      <c r="U1928" s="221">
        <v>0</v>
      </c>
      <c r="V1928" s="221" t="s">
        <v>3248</v>
      </c>
      <c r="W1928" s="221" t="s">
        <v>3252</v>
      </c>
      <c r="X1928" s="221"/>
      <c r="Y1928" s="227"/>
      <c r="Z1928" s="227" t="str">
        <f t="shared" si="69"/>
        <v>Klampok RW 01 Singosari</v>
      </c>
      <c r="AA1928" s="276" t="e">
        <f>VLOOKUP(Logfile_S12[[#This Row],[DO number]],DO_DB!G:I,3,0)</f>
        <v>#N/A</v>
      </c>
      <c r="AB1928" s="331" t="e">
        <f>EXACT(Logfile_S12[[#This Row],[date pick]],Logfile_S12[[#This Row],[Date]])</f>
        <v>#N/A</v>
      </c>
      <c r="AC19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29" spans="1:29" ht="14.5" hidden="1">
      <c r="A1929" s="220" t="str">
        <f t="shared" si="70"/>
        <v>1925</v>
      </c>
      <c r="B1929" s="221"/>
      <c r="C1929" s="221" t="s">
        <v>48</v>
      </c>
      <c r="D1929" s="221" t="s">
        <v>4170</v>
      </c>
      <c r="E1929" s="221" t="s">
        <v>3295</v>
      </c>
      <c r="F1929" s="221" t="s">
        <v>3299</v>
      </c>
      <c r="G1929" s="222">
        <v>45526</v>
      </c>
      <c r="H1929" s="223">
        <v>15.291666666666666</v>
      </c>
      <c r="I1929" s="221" t="s">
        <v>37</v>
      </c>
      <c r="J1929" s="221" t="s">
        <v>3023</v>
      </c>
      <c r="K1929" s="224" t="s">
        <v>3069</v>
      </c>
      <c r="L1929" s="225" t="str">
        <f>VLOOKUP(Logfile_S12[[#This Row],[Material Name]],Sheet2!B:C,2,0)</f>
        <v>ZTE1001</v>
      </c>
      <c r="M1929" s="225" t="str">
        <f>_xlfn.XLOOKUP(Logfile_S12[[#This Row],[Material Name]],Sum_WH!E:E,Sum_WH!F:F,"",0)</f>
        <v>Pcs</v>
      </c>
      <c r="N1929" s="221">
        <v>175</v>
      </c>
      <c r="O1929" s="221"/>
      <c r="P1929" s="221"/>
      <c r="Q1929" s="221">
        <v>0</v>
      </c>
      <c r="R1929" s="221">
        <v>0</v>
      </c>
      <c r="S1929" s="221"/>
      <c r="T1929" s="221"/>
      <c r="U1929" s="221"/>
      <c r="V1929" s="221"/>
      <c r="W1929" s="221"/>
      <c r="X1929" s="221"/>
      <c r="Y1929" s="227"/>
      <c r="Z1929" s="227">
        <f t="shared" si="69"/>
        <v>0</v>
      </c>
      <c r="AA1929" s="276" t="e">
        <f>VLOOKUP(Logfile_S12[[#This Row],[DO number]],DO_DB!G:I,3,0)</f>
        <v>#N/A</v>
      </c>
      <c r="AB1929" s="331" t="e">
        <f>EXACT(Logfile_S12[[#This Row],[date pick]],Logfile_S12[[#This Row],[Date]])</f>
        <v>#N/A</v>
      </c>
      <c r="AC19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30" spans="1:29" ht="14.5" hidden="1">
      <c r="A1930" s="220" t="str">
        <f t="shared" si="70"/>
        <v>1926</v>
      </c>
      <c r="B1930" s="221"/>
      <c r="C1930" s="221" t="s">
        <v>49</v>
      </c>
      <c r="D1930" s="221" t="s">
        <v>4167</v>
      </c>
      <c r="E1930" s="221" t="s">
        <v>3295</v>
      </c>
      <c r="F1930" s="221" t="s">
        <v>3299</v>
      </c>
      <c r="G1930" s="222">
        <v>45526</v>
      </c>
      <c r="H1930" s="223">
        <v>0.45763888888888887</v>
      </c>
      <c r="I1930" s="221" t="s">
        <v>4916</v>
      </c>
      <c r="J1930" s="221" t="s">
        <v>3023</v>
      </c>
      <c r="K1930" s="224" t="s">
        <v>3069</v>
      </c>
      <c r="L1930" s="225" t="str">
        <f>VLOOKUP(Logfile_S12[[#This Row],[Material Name]],Sheet2!B:C,2,0)</f>
        <v>ZTE1001</v>
      </c>
      <c r="M1930" s="225" t="str">
        <f>_xlfn.XLOOKUP(Logfile_S12[[#This Row],[Material Name]],Sum_WH!E:E,Sum_WH!F:F,"",0)</f>
        <v>Pcs</v>
      </c>
      <c r="N1930" s="221">
        <v>24</v>
      </c>
      <c r="O1930" s="221" t="s">
        <v>1929</v>
      </c>
      <c r="P1930" s="221" t="s">
        <v>1930</v>
      </c>
      <c r="Q1930" s="221"/>
      <c r="R1930" s="221"/>
      <c r="S1930" s="221"/>
      <c r="T1930" s="221" t="s">
        <v>3244</v>
      </c>
      <c r="U1930" s="221">
        <v>0</v>
      </c>
      <c r="V1930" s="221" t="s">
        <v>3248</v>
      </c>
      <c r="W1930" s="221" t="s">
        <v>3252</v>
      </c>
      <c r="X1930" s="221"/>
      <c r="Y1930" s="227"/>
      <c r="Z1930" s="227" t="str">
        <f t="shared" si="69"/>
        <v>Dusun Krajan Sumbersekar</v>
      </c>
      <c r="AA1930" s="276" t="e">
        <f>VLOOKUP(Logfile_S12[[#This Row],[DO number]],DO_DB!G:I,3,0)</f>
        <v>#N/A</v>
      </c>
      <c r="AB1930" s="331" t="e">
        <f>EXACT(Logfile_S12[[#This Row],[date pick]],Logfile_S12[[#This Row],[Date]])</f>
        <v>#N/A</v>
      </c>
      <c r="AC19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31" spans="1:29" ht="14.5" hidden="1">
      <c r="A1931" s="220" t="str">
        <f t="shared" si="70"/>
        <v>1927</v>
      </c>
      <c r="B1931" s="221"/>
      <c r="C1931" s="221" t="s">
        <v>49</v>
      </c>
      <c r="D1931" s="221" t="s">
        <v>4172</v>
      </c>
      <c r="E1931" s="221" t="s">
        <v>3295</v>
      </c>
      <c r="F1931" s="221" t="s">
        <v>3299</v>
      </c>
      <c r="G1931" s="222">
        <v>45527</v>
      </c>
      <c r="H1931" s="223">
        <v>0.30763888888888891</v>
      </c>
      <c r="I1931" s="221" t="s">
        <v>4916</v>
      </c>
      <c r="J1931" s="221" t="s">
        <v>3023</v>
      </c>
      <c r="K1931" s="224" t="s">
        <v>3069</v>
      </c>
      <c r="L1931" s="225" t="str">
        <f>VLOOKUP(Logfile_S12[[#This Row],[Material Name]],Sheet2!B:C,2,0)</f>
        <v>ZTE1001</v>
      </c>
      <c r="M1931" s="225" t="str">
        <f>_xlfn.XLOOKUP(Logfile_S12[[#This Row],[Material Name]],Sum_WH!E:E,Sum_WH!F:F,"",0)</f>
        <v>Pcs</v>
      </c>
      <c r="N1931" s="221">
        <v>21</v>
      </c>
      <c r="O1931" s="221" t="s">
        <v>1929</v>
      </c>
      <c r="P1931" s="221" t="s">
        <v>1930</v>
      </c>
      <c r="Q1931" s="221"/>
      <c r="R1931" s="221"/>
      <c r="S1931" s="221"/>
      <c r="T1931" s="221" t="s">
        <v>3244</v>
      </c>
      <c r="U1931" s="221">
        <v>0</v>
      </c>
      <c r="V1931" s="221" t="s">
        <v>3248</v>
      </c>
      <c r="W1931" s="221" t="s">
        <v>3252</v>
      </c>
      <c r="X1931" s="221"/>
      <c r="Y1931" s="227"/>
      <c r="Z1931" s="227" t="str">
        <f t="shared" si="69"/>
        <v>Dusun Krajan Sumbersekar</v>
      </c>
      <c r="AA1931" s="276" t="e">
        <f>VLOOKUP(Logfile_S12[[#This Row],[DO number]],DO_DB!G:I,3,0)</f>
        <v>#N/A</v>
      </c>
      <c r="AB1931" s="331" t="e">
        <f>EXACT(Logfile_S12[[#This Row],[date pick]],Logfile_S12[[#This Row],[Date]])</f>
        <v>#N/A</v>
      </c>
      <c r="AC19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32" spans="1:29" ht="14.5" hidden="1">
      <c r="A1932" s="220" t="str">
        <f t="shared" si="70"/>
        <v>1928</v>
      </c>
      <c r="B1932" s="221"/>
      <c r="C1932" s="221" t="s">
        <v>49</v>
      </c>
      <c r="D1932" s="221" t="s">
        <v>4173</v>
      </c>
      <c r="E1932" s="221" t="s">
        <v>3295</v>
      </c>
      <c r="F1932" s="221" t="s">
        <v>3299</v>
      </c>
      <c r="G1932" s="222">
        <v>45527</v>
      </c>
      <c r="H1932" s="223">
        <v>0.46736111111111112</v>
      </c>
      <c r="I1932" s="221" t="s">
        <v>4916</v>
      </c>
      <c r="J1932" s="221" t="s">
        <v>3023</v>
      </c>
      <c r="K1932" s="224" t="s">
        <v>3069</v>
      </c>
      <c r="L1932" s="225" t="str">
        <f>VLOOKUP(Logfile_S12[[#This Row],[Material Name]],Sheet2!B:C,2,0)</f>
        <v>ZTE1001</v>
      </c>
      <c r="M1932" s="225" t="str">
        <f>_xlfn.XLOOKUP(Logfile_S12[[#This Row],[Material Name]],Sum_WH!E:E,Sum_WH!F:F,"",0)</f>
        <v>Pcs</v>
      </c>
      <c r="N1932" s="221">
        <v>21</v>
      </c>
      <c r="O1932" s="221" t="s">
        <v>1911</v>
      </c>
      <c r="P1932" s="221" t="s">
        <v>1912</v>
      </c>
      <c r="Q1932" s="221"/>
      <c r="R1932" s="221"/>
      <c r="S1932" s="221"/>
      <c r="T1932" s="221" t="s">
        <v>3258</v>
      </c>
      <c r="U1932" s="221" t="s">
        <v>3228</v>
      </c>
      <c r="V1932" s="221" t="s">
        <v>3337</v>
      </c>
      <c r="W1932" s="221" t="s">
        <v>3338</v>
      </c>
      <c r="X1932" s="221"/>
      <c r="Y1932" s="227"/>
      <c r="Z1932" s="227" t="str">
        <f t="shared" ref="Z1932:Z1995" si="71">P1932</f>
        <v>Dilem RW 03 Kepanjen</v>
      </c>
      <c r="AA1932" s="276" t="e">
        <f>VLOOKUP(Logfile_S12[[#This Row],[DO number]],DO_DB!G:I,3,0)</f>
        <v>#N/A</v>
      </c>
      <c r="AB1932" s="331" t="e">
        <f>EXACT(Logfile_S12[[#This Row],[date pick]],Logfile_S12[[#This Row],[Date]])</f>
        <v>#N/A</v>
      </c>
      <c r="AC19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33" spans="1:29" ht="14.5" hidden="1">
      <c r="A1933" s="220" t="str">
        <f t="shared" si="70"/>
        <v>1929</v>
      </c>
      <c r="B1933" s="221"/>
      <c r="C1933" s="221" t="s">
        <v>49</v>
      </c>
      <c r="D1933" s="221" t="s">
        <v>4177</v>
      </c>
      <c r="E1933" s="221" t="s">
        <v>3295</v>
      </c>
      <c r="F1933" s="221" t="s">
        <v>3299</v>
      </c>
      <c r="G1933" s="222">
        <v>45531</v>
      </c>
      <c r="H1933" s="223">
        <v>0.40069444444444446</v>
      </c>
      <c r="I1933" s="221" t="s">
        <v>4916</v>
      </c>
      <c r="J1933" s="221" t="s">
        <v>3023</v>
      </c>
      <c r="K1933" s="224" t="s">
        <v>3069</v>
      </c>
      <c r="L1933" s="225" t="str">
        <f>VLOOKUP(Logfile_S12[[#This Row],[Material Name]],Sheet2!B:C,2,0)</f>
        <v>ZTE1001</v>
      </c>
      <c r="M1933" s="225" t="str">
        <f>_xlfn.XLOOKUP(Logfile_S12[[#This Row],[Material Name]],Sum_WH!E:E,Sum_WH!F:F,"",0)</f>
        <v>Pcs</v>
      </c>
      <c r="N1933" s="221">
        <v>21</v>
      </c>
      <c r="O1933" s="221" t="s">
        <v>1929</v>
      </c>
      <c r="P1933" s="221" t="s">
        <v>1930</v>
      </c>
      <c r="Q1933" s="221"/>
      <c r="R1933" s="221"/>
      <c r="S1933" s="221"/>
      <c r="T1933" s="221" t="s">
        <v>3244</v>
      </c>
      <c r="U1933" s="221">
        <v>0</v>
      </c>
      <c r="V1933" s="221" t="s">
        <v>3248</v>
      </c>
      <c r="W1933" s="221" t="s">
        <v>3252</v>
      </c>
      <c r="X1933" s="221"/>
      <c r="Y1933" s="227"/>
      <c r="Z1933" s="227" t="str">
        <f t="shared" si="71"/>
        <v>Dusun Krajan Sumbersekar</v>
      </c>
      <c r="AA1933" s="276" t="e">
        <f>VLOOKUP(Logfile_S12[[#This Row],[DO number]],DO_DB!G:I,3,0)</f>
        <v>#N/A</v>
      </c>
      <c r="AB1933" s="331" t="e">
        <f>EXACT(Logfile_S12[[#This Row],[date pick]],Logfile_S12[[#This Row],[Date]])</f>
        <v>#N/A</v>
      </c>
      <c r="AC19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34" spans="1:29" ht="14.5" hidden="1">
      <c r="A1934" s="220" t="str">
        <f t="shared" si="70"/>
        <v>1930</v>
      </c>
      <c r="B1934" s="221"/>
      <c r="C1934" s="221" t="s">
        <v>48</v>
      </c>
      <c r="D1934" s="221" t="s">
        <v>4185</v>
      </c>
      <c r="E1934" s="221" t="s">
        <v>3295</v>
      </c>
      <c r="F1934" s="221" t="s">
        <v>3299</v>
      </c>
      <c r="G1934" s="222">
        <v>45532</v>
      </c>
      <c r="H1934" s="223">
        <v>15.291666666666666</v>
      </c>
      <c r="I1934" s="221" t="s">
        <v>37</v>
      </c>
      <c r="J1934" s="221" t="s">
        <v>3023</v>
      </c>
      <c r="K1934" s="224" t="s">
        <v>3069</v>
      </c>
      <c r="L1934" s="225" t="str">
        <f>VLOOKUP(Logfile_S12[[#This Row],[Material Name]],Sheet2!B:C,2,0)</f>
        <v>ZTE1001</v>
      </c>
      <c r="M1934" s="225" t="str">
        <f>_xlfn.XLOOKUP(Logfile_S12[[#This Row],[Material Name]],Sum_WH!E:E,Sum_WH!F:F,"",0)</f>
        <v>Pcs</v>
      </c>
      <c r="N1934" s="221">
        <v>109</v>
      </c>
      <c r="O1934" s="221"/>
      <c r="P1934" s="221"/>
      <c r="Q1934" s="221">
        <v>0</v>
      </c>
      <c r="R1934" s="221">
        <v>0</v>
      </c>
      <c r="S1934" s="221"/>
      <c r="T1934" s="221"/>
      <c r="U1934" s="221"/>
      <c r="V1934" s="221"/>
      <c r="W1934" s="221"/>
      <c r="X1934" s="221"/>
      <c r="Y1934" s="227"/>
      <c r="Z1934" s="227">
        <f t="shared" si="71"/>
        <v>0</v>
      </c>
      <c r="AA1934" s="276" t="e">
        <f>VLOOKUP(Logfile_S12[[#This Row],[DO number]],DO_DB!G:I,3,0)</f>
        <v>#N/A</v>
      </c>
      <c r="AB1934" s="331" t="e">
        <f>EXACT(Logfile_S12[[#This Row],[date pick]],Logfile_S12[[#This Row],[Date]])</f>
        <v>#N/A</v>
      </c>
      <c r="AC19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35" spans="1:29" ht="14.5" hidden="1">
      <c r="A1935" s="220" t="str">
        <f t="shared" si="70"/>
        <v>1931</v>
      </c>
      <c r="B1935" s="221"/>
      <c r="C1935" s="221" t="s">
        <v>49</v>
      </c>
      <c r="D1935" s="221" t="s">
        <v>4186</v>
      </c>
      <c r="E1935" s="221" t="s">
        <v>3295</v>
      </c>
      <c r="F1935" s="221" t="s">
        <v>3299</v>
      </c>
      <c r="G1935" s="222">
        <v>45533</v>
      </c>
      <c r="H1935" s="223">
        <v>0.27569444444444446</v>
      </c>
      <c r="I1935" s="221" t="s">
        <v>4916</v>
      </c>
      <c r="J1935" s="221" t="s">
        <v>3023</v>
      </c>
      <c r="K1935" s="224" t="s">
        <v>3069</v>
      </c>
      <c r="L1935" s="225" t="str">
        <f>VLOOKUP(Logfile_S12[[#This Row],[Material Name]],Sheet2!B:C,2,0)</f>
        <v>ZTE1001</v>
      </c>
      <c r="M1935" s="225" t="str">
        <f>_xlfn.XLOOKUP(Logfile_S12[[#This Row],[Material Name]],Sum_WH!E:E,Sum_WH!F:F,"",0)</f>
        <v>Pcs</v>
      </c>
      <c r="N1935" s="221">
        <v>17</v>
      </c>
      <c r="O1935" s="221" t="s">
        <v>1917</v>
      </c>
      <c r="P1935" s="221" t="s">
        <v>1918</v>
      </c>
      <c r="Q1935" s="221"/>
      <c r="R1935" s="221"/>
      <c r="S1935" s="221"/>
      <c r="T1935" s="221" t="s">
        <v>3258</v>
      </c>
      <c r="U1935" s="221" t="s">
        <v>3228</v>
      </c>
      <c r="V1935" s="221" t="s">
        <v>3337</v>
      </c>
      <c r="W1935" s="221" t="s">
        <v>3338</v>
      </c>
      <c r="X1935" s="221"/>
      <c r="Y1935" s="227"/>
      <c r="Z1935" s="227" t="str">
        <f t="shared" si="71"/>
        <v>Dilem RW 04 Kepanjen</v>
      </c>
      <c r="AA1935" s="276" t="e">
        <f>VLOOKUP(Logfile_S12[[#This Row],[DO number]],DO_DB!G:I,3,0)</f>
        <v>#N/A</v>
      </c>
      <c r="AB1935" s="331" t="e">
        <f>EXACT(Logfile_S12[[#This Row],[date pick]],Logfile_S12[[#This Row],[Date]])</f>
        <v>#N/A</v>
      </c>
      <c r="AC19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36" spans="1:29" ht="14.5" hidden="1">
      <c r="A1936" s="220" t="str">
        <f t="shared" si="70"/>
        <v>1932</v>
      </c>
      <c r="B1936" s="221"/>
      <c r="C1936" s="221" t="s">
        <v>49</v>
      </c>
      <c r="D1936" s="221" t="s">
        <v>4186</v>
      </c>
      <c r="E1936" s="221" t="s">
        <v>3295</v>
      </c>
      <c r="F1936" s="221" t="s">
        <v>3299</v>
      </c>
      <c r="G1936" s="222">
        <v>45533</v>
      </c>
      <c r="H1936" s="223">
        <v>0.27569444444444446</v>
      </c>
      <c r="I1936" s="221" t="s">
        <v>4916</v>
      </c>
      <c r="J1936" s="221" t="s">
        <v>3023</v>
      </c>
      <c r="K1936" s="224" t="s">
        <v>3069</v>
      </c>
      <c r="L1936" s="225" t="str">
        <f>VLOOKUP(Logfile_S12[[#This Row],[Material Name]],Sheet2!B:C,2,0)</f>
        <v>ZTE1001</v>
      </c>
      <c r="M1936" s="225" t="str">
        <f>_xlfn.XLOOKUP(Logfile_S12[[#This Row],[Material Name]],Sum_WH!E:E,Sum_WH!F:F,"",0)</f>
        <v>Pcs</v>
      </c>
      <c r="N1936" s="221">
        <v>19</v>
      </c>
      <c r="O1936" s="221" t="s">
        <v>1951</v>
      </c>
      <c r="P1936" s="221" t="s">
        <v>3374</v>
      </c>
      <c r="Q1936" s="221"/>
      <c r="R1936" s="221"/>
      <c r="S1936" s="221"/>
      <c r="T1936" s="221" t="s">
        <v>3258</v>
      </c>
      <c r="U1936" s="221" t="s">
        <v>3228</v>
      </c>
      <c r="V1936" s="221" t="s">
        <v>3337</v>
      </c>
      <c r="W1936" s="221" t="s">
        <v>3338</v>
      </c>
      <c r="X1936" s="221"/>
      <c r="Y1936" s="227"/>
      <c r="Z1936" s="227" t="str">
        <f t="shared" si="71"/>
        <v>SENGGURUH RW 01 MALANG</v>
      </c>
      <c r="AA1936" s="276" t="e">
        <f>VLOOKUP(Logfile_S12[[#This Row],[DO number]],DO_DB!G:I,3,0)</f>
        <v>#N/A</v>
      </c>
      <c r="AB1936" s="331" t="e">
        <f>EXACT(Logfile_S12[[#This Row],[date pick]],Logfile_S12[[#This Row],[Date]])</f>
        <v>#N/A</v>
      </c>
      <c r="AC19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37" spans="1:29" ht="14.5" hidden="1">
      <c r="A1937" s="220" t="str">
        <f t="shared" si="70"/>
        <v>1933</v>
      </c>
      <c r="B1937" s="221"/>
      <c r="C1937" s="221" t="s">
        <v>49</v>
      </c>
      <c r="D1937" s="221" t="s">
        <v>4188</v>
      </c>
      <c r="E1937" s="221" t="s">
        <v>3295</v>
      </c>
      <c r="F1937" s="221" t="s">
        <v>3299</v>
      </c>
      <c r="G1937" s="222">
        <v>45534</v>
      </c>
      <c r="H1937" s="223">
        <v>0.27569444444444446</v>
      </c>
      <c r="I1937" s="221" t="s">
        <v>4916</v>
      </c>
      <c r="J1937" s="221" t="s">
        <v>3023</v>
      </c>
      <c r="K1937" s="224" t="s">
        <v>3069</v>
      </c>
      <c r="L1937" s="225" t="str">
        <f>VLOOKUP(Logfile_S12[[#This Row],[Material Name]],Sheet2!B:C,2,0)</f>
        <v>ZTE1001</v>
      </c>
      <c r="M1937" s="225" t="str">
        <f>_xlfn.XLOOKUP(Logfile_S12[[#This Row],[Material Name]],Sum_WH!E:E,Sum_WH!F:F,"",0)</f>
        <v>Pcs</v>
      </c>
      <c r="N1937" s="221">
        <v>6</v>
      </c>
      <c r="O1937" s="221" t="s">
        <v>1951</v>
      </c>
      <c r="P1937" s="221" t="s">
        <v>3374</v>
      </c>
      <c r="Q1937" s="221"/>
      <c r="R1937" s="221"/>
      <c r="S1937" s="221"/>
      <c r="T1937" s="221" t="s">
        <v>3258</v>
      </c>
      <c r="U1937" s="221" t="s">
        <v>3228</v>
      </c>
      <c r="V1937" s="221" t="s">
        <v>3337</v>
      </c>
      <c r="W1937" s="221" t="s">
        <v>3338</v>
      </c>
      <c r="X1937" s="221"/>
      <c r="Y1937" s="227"/>
      <c r="Z1937" s="227" t="str">
        <f t="shared" si="71"/>
        <v>SENGGURUH RW 01 MALANG</v>
      </c>
      <c r="AA1937" s="276" t="e">
        <f>VLOOKUP(Logfile_S12[[#This Row],[DO number]],DO_DB!G:I,3,0)</f>
        <v>#N/A</v>
      </c>
      <c r="AB1937" s="331" t="e">
        <f>EXACT(Logfile_S12[[#This Row],[date pick]],Logfile_S12[[#This Row],[Date]])</f>
        <v>#N/A</v>
      </c>
      <c r="AC19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38" spans="1:29" ht="14.5" hidden="1">
      <c r="A1938" s="220" t="str">
        <f t="shared" si="70"/>
        <v>1934</v>
      </c>
      <c r="B1938" s="221"/>
      <c r="C1938" s="221" t="s">
        <v>49</v>
      </c>
      <c r="D1938" s="221" t="s">
        <v>4188</v>
      </c>
      <c r="E1938" s="221" t="s">
        <v>3295</v>
      </c>
      <c r="F1938" s="221" t="s">
        <v>3299</v>
      </c>
      <c r="G1938" s="222">
        <v>45534</v>
      </c>
      <c r="H1938" s="223">
        <v>0.27569444444444446</v>
      </c>
      <c r="I1938" s="221" t="s">
        <v>4916</v>
      </c>
      <c r="J1938" s="221" t="s">
        <v>3023</v>
      </c>
      <c r="K1938" s="224" t="s">
        <v>3069</v>
      </c>
      <c r="L1938" s="225" t="str">
        <f>VLOOKUP(Logfile_S12[[#This Row],[Material Name]],Sheet2!B:C,2,0)</f>
        <v>ZTE1001</v>
      </c>
      <c r="M1938" s="225" t="str">
        <f>_xlfn.XLOOKUP(Logfile_S12[[#This Row],[Material Name]],Sum_WH!E:E,Sum_WH!F:F,"",0)</f>
        <v>Pcs</v>
      </c>
      <c r="N1938" s="221">
        <v>9</v>
      </c>
      <c r="O1938" s="221" t="s">
        <v>1917</v>
      </c>
      <c r="P1938" s="221" t="s">
        <v>1918</v>
      </c>
      <c r="Q1938" s="221"/>
      <c r="R1938" s="221"/>
      <c r="S1938" s="221"/>
      <c r="T1938" s="221" t="s">
        <v>3258</v>
      </c>
      <c r="U1938" s="221" t="s">
        <v>3228</v>
      </c>
      <c r="V1938" s="221" t="s">
        <v>3337</v>
      </c>
      <c r="W1938" s="221" t="s">
        <v>3338</v>
      </c>
      <c r="X1938" s="221"/>
      <c r="Y1938" s="227"/>
      <c r="Z1938" s="227" t="str">
        <f t="shared" si="71"/>
        <v>Dilem RW 04 Kepanjen</v>
      </c>
      <c r="AA1938" s="276" t="e">
        <f>VLOOKUP(Logfile_S12[[#This Row],[DO number]],DO_DB!G:I,3,0)</f>
        <v>#N/A</v>
      </c>
      <c r="AB1938" s="331" t="e">
        <f>EXACT(Logfile_S12[[#This Row],[date pick]],Logfile_S12[[#This Row],[Date]])</f>
        <v>#N/A</v>
      </c>
      <c r="AC19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39" spans="1:29" ht="14.5" hidden="1">
      <c r="A1939" s="220" t="str">
        <f t="shared" si="70"/>
        <v>1935</v>
      </c>
      <c r="B1939" s="221"/>
      <c r="C1939" s="221" t="s">
        <v>49</v>
      </c>
      <c r="D1939" s="221" t="s">
        <v>4189</v>
      </c>
      <c r="E1939" s="221" t="s">
        <v>3295</v>
      </c>
      <c r="F1939" s="221" t="s">
        <v>3299</v>
      </c>
      <c r="G1939" s="222">
        <v>45534</v>
      </c>
      <c r="H1939" s="223">
        <v>0.61527777777777781</v>
      </c>
      <c r="I1939" s="221" t="s">
        <v>4916</v>
      </c>
      <c r="J1939" s="221" t="s">
        <v>3023</v>
      </c>
      <c r="K1939" s="224" t="s">
        <v>3069</v>
      </c>
      <c r="L1939" s="225" t="str">
        <f>VLOOKUP(Logfile_S12[[#This Row],[Material Name]],Sheet2!B:C,2,0)</f>
        <v>ZTE1001</v>
      </c>
      <c r="M1939" s="225" t="str">
        <f>_xlfn.XLOOKUP(Logfile_S12[[#This Row],[Material Name]],Sum_WH!E:E,Sum_WH!F:F,"",0)</f>
        <v>Pcs</v>
      </c>
      <c r="N1939" s="221">
        <v>21</v>
      </c>
      <c r="O1939" s="221" t="s">
        <v>1929</v>
      </c>
      <c r="P1939" s="221" t="s">
        <v>1930</v>
      </c>
      <c r="Q1939" s="221"/>
      <c r="R1939" s="221"/>
      <c r="S1939" s="221"/>
      <c r="T1939" s="221" t="s">
        <v>3244</v>
      </c>
      <c r="U1939" s="221">
        <v>0</v>
      </c>
      <c r="V1939" s="221" t="s">
        <v>3248</v>
      </c>
      <c r="W1939" s="221" t="s">
        <v>3252</v>
      </c>
      <c r="X1939" s="221"/>
      <c r="Y1939" s="227"/>
      <c r="Z1939" s="227" t="str">
        <f t="shared" si="71"/>
        <v>Dusun Krajan Sumbersekar</v>
      </c>
      <c r="AA1939" s="276" t="e">
        <f>VLOOKUP(Logfile_S12[[#This Row],[DO number]],DO_DB!G:I,3,0)</f>
        <v>#N/A</v>
      </c>
      <c r="AB1939" s="331" t="e">
        <f>EXACT(Logfile_S12[[#This Row],[date pick]],Logfile_S12[[#This Row],[Date]])</f>
        <v>#N/A</v>
      </c>
      <c r="AC19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40" spans="1:29" ht="14.5" hidden="1">
      <c r="A1940" s="220" t="str">
        <f t="shared" si="70"/>
        <v>1936</v>
      </c>
      <c r="B1940" s="221"/>
      <c r="C1940" s="221" t="s">
        <v>49</v>
      </c>
      <c r="D1940" s="221" t="s">
        <v>4192</v>
      </c>
      <c r="E1940" s="221" t="s">
        <v>3295</v>
      </c>
      <c r="F1940" s="221" t="s">
        <v>3299</v>
      </c>
      <c r="G1940" s="222">
        <v>45535</v>
      </c>
      <c r="H1940" s="223">
        <v>0.51180555555555551</v>
      </c>
      <c r="I1940" s="221" t="s">
        <v>4916</v>
      </c>
      <c r="J1940" s="221" t="s">
        <v>3023</v>
      </c>
      <c r="K1940" s="224" t="s">
        <v>3069</v>
      </c>
      <c r="L1940" s="225" t="str">
        <f>VLOOKUP(Logfile_S12[[#This Row],[Material Name]],Sheet2!B:C,2,0)</f>
        <v>ZTE1001</v>
      </c>
      <c r="M1940" s="225" t="str">
        <f>_xlfn.XLOOKUP(Logfile_S12[[#This Row],[Material Name]],Sum_WH!E:E,Sum_WH!F:F,"",0)</f>
        <v>Pcs</v>
      </c>
      <c r="N1940" s="221">
        <v>12</v>
      </c>
      <c r="O1940" s="221" t="s">
        <v>1951</v>
      </c>
      <c r="P1940" s="221" t="s">
        <v>3374</v>
      </c>
      <c r="Q1940" s="221"/>
      <c r="R1940" s="221"/>
      <c r="S1940" s="221"/>
      <c r="T1940" s="221" t="s">
        <v>3258</v>
      </c>
      <c r="U1940" s="221" t="s">
        <v>3228</v>
      </c>
      <c r="V1940" s="221" t="s">
        <v>3337</v>
      </c>
      <c r="W1940" s="221" t="s">
        <v>3338</v>
      </c>
      <c r="X1940" s="221"/>
      <c r="Y1940" s="227"/>
      <c r="Z1940" s="227" t="str">
        <f t="shared" si="71"/>
        <v>SENGGURUH RW 01 MALANG</v>
      </c>
      <c r="AA1940" s="276" t="e">
        <f>VLOOKUP(Logfile_S12[[#This Row],[DO number]],DO_DB!G:I,3,0)</f>
        <v>#N/A</v>
      </c>
      <c r="AB1940" s="331" t="e">
        <f>EXACT(Logfile_S12[[#This Row],[date pick]],Logfile_S12[[#This Row],[Date]])</f>
        <v>#N/A</v>
      </c>
      <c r="AC19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41" spans="1:29" ht="14.5" hidden="1">
      <c r="A1941" s="220" t="str">
        <f t="shared" si="70"/>
        <v>1937</v>
      </c>
      <c r="B1941" s="221"/>
      <c r="C1941" s="221" t="s">
        <v>49</v>
      </c>
      <c r="D1941" s="221" t="s">
        <v>4197</v>
      </c>
      <c r="E1941" s="221" t="s">
        <v>3295</v>
      </c>
      <c r="F1941" s="221" t="s">
        <v>3299</v>
      </c>
      <c r="G1941" s="222">
        <v>45536</v>
      </c>
      <c r="H1941" s="223">
        <v>0.59513888888888888</v>
      </c>
      <c r="I1941" s="221" t="s">
        <v>4916</v>
      </c>
      <c r="J1941" s="221" t="s">
        <v>3023</v>
      </c>
      <c r="K1941" s="224" t="s">
        <v>3069</v>
      </c>
      <c r="L1941" s="225" t="str">
        <f>VLOOKUP(Logfile_S12[[#This Row],[Material Name]],Sheet2!B:C,2,0)</f>
        <v>ZTE1001</v>
      </c>
      <c r="M1941" s="225" t="str">
        <f>_xlfn.XLOOKUP(Logfile_S12[[#This Row],[Material Name]],Sum_WH!E:E,Sum_WH!F:F,"",0)</f>
        <v>Pcs</v>
      </c>
      <c r="N1941" s="221">
        <v>12</v>
      </c>
      <c r="O1941" s="221" t="s">
        <v>1951</v>
      </c>
      <c r="P1941" s="221" t="s">
        <v>3374</v>
      </c>
      <c r="Q1941" s="221"/>
      <c r="R1941" s="221"/>
      <c r="S1941" s="221"/>
      <c r="T1941" s="221" t="s">
        <v>3258</v>
      </c>
      <c r="U1941" s="221" t="s">
        <v>3228</v>
      </c>
      <c r="V1941" s="221" t="s">
        <v>3337</v>
      </c>
      <c r="W1941" s="221" t="s">
        <v>3338</v>
      </c>
      <c r="X1941" s="221"/>
      <c r="Y1941" s="227"/>
      <c r="Z1941" s="227" t="str">
        <f t="shared" si="71"/>
        <v>SENGGURUH RW 01 MALANG</v>
      </c>
      <c r="AA1941" s="276" t="e">
        <f>VLOOKUP(Logfile_S12[[#This Row],[DO number]],DO_DB!G:I,3,0)</f>
        <v>#N/A</v>
      </c>
      <c r="AB1941" s="331" t="e">
        <f>EXACT(Logfile_S12[[#This Row],[date pick]],Logfile_S12[[#This Row],[Date]])</f>
        <v>#N/A</v>
      </c>
      <c r="AC19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42" spans="1:29" ht="14.5" hidden="1">
      <c r="A1942" s="220" t="str">
        <f t="shared" si="70"/>
        <v>1938</v>
      </c>
      <c r="B1942" s="221"/>
      <c r="C1942" s="221" t="s">
        <v>49</v>
      </c>
      <c r="D1942" s="221" t="s">
        <v>4198</v>
      </c>
      <c r="E1942" s="221" t="s">
        <v>3295</v>
      </c>
      <c r="F1942" s="221" t="s">
        <v>3299</v>
      </c>
      <c r="G1942" s="222">
        <v>45537</v>
      </c>
      <c r="H1942" s="223">
        <v>0.32847222222222222</v>
      </c>
      <c r="I1942" s="221" t="s">
        <v>4916</v>
      </c>
      <c r="J1942" s="221" t="s">
        <v>3023</v>
      </c>
      <c r="K1942" s="224" t="s">
        <v>3069</v>
      </c>
      <c r="L1942" s="225" t="str">
        <f>VLOOKUP(Logfile_S12[[#This Row],[Material Name]],Sheet2!B:C,2,0)</f>
        <v>ZTE1001</v>
      </c>
      <c r="M1942" s="225" t="str">
        <f>_xlfn.XLOOKUP(Logfile_S12[[#This Row],[Material Name]],Sum_WH!E:E,Sum_WH!F:F,"",0)</f>
        <v>Pcs</v>
      </c>
      <c r="N1942" s="221">
        <v>5</v>
      </c>
      <c r="O1942" s="221" t="s">
        <v>1929</v>
      </c>
      <c r="P1942" s="221" t="s">
        <v>1930</v>
      </c>
      <c r="Q1942" s="221"/>
      <c r="R1942" s="221"/>
      <c r="S1942" s="221"/>
      <c r="T1942" s="221" t="s">
        <v>3244</v>
      </c>
      <c r="U1942" s="221">
        <v>0</v>
      </c>
      <c r="V1942" s="221" t="s">
        <v>3248</v>
      </c>
      <c r="W1942" s="221" t="s">
        <v>3252</v>
      </c>
      <c r="X1942" s="221"/>
      <c r="Y1942" s="227"/>
      <c r="Z1942" s="227" t="str">
        <f t="shared" si="71"/>
        <v>Dusun Krajan Sumbersekar</v>
      </c>
      <c r="AA1942" s="276" t="e">
        <f>VLOOKUP(Logfile_S12[[#This Row],[DO number]],DO_DB!G:I,3,0)</f>
        <v>#N/A</v>
      </c>
      <c r="AB1942" s="331" t="e">
        <f>EXACT(Logfile_S12[[#This Row],[date pick]],Logfile_S12[[#This Row],[Date]])</f>
        <v>#N/A</v>
      </c>
      <c r="AC19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43" spans="1:29" ht="14.5" hidden="1">
      <c r="A1943" s="220" t="str">
        <f t="shared" si="70"/>
        <v>1939</v>
      </c>
      <c r="B1943" s="221"/>
      <c r="C1943" s="221" t="s">
        <v>49</v>
      </c>
      <c r="D1943" s="221" t="s">
        <v>4199</v>
      </c>
      <c r="E1943" s="221" t="s">
        <v>3295</v>
      </c>
      <c r="F1943" s="221" t="s">
        <v>3299</v>
      </c>
      <c r="G1943" s="222">
        <v>45537</v>
      </c>
      <c r="H1943" s="223">
        <v>0.59513888888888888</v>
      </c>
      <c r="I1943" s="221" t="s">
        <v>4916</v>
      </c>
      <c r="J1943" s="221" t="s">
        <v>3023</v>
      </c>
      <c r="K1943" s="224" t="s">
        <v>3069</v>
      </c>
      <c r="L1943" s="225" t="str">
        <f>VLOOKUP(Logfile_S12[[#This Row],[Material Name]],Sheet2!B:C,2,0)</f>
        <v>ZTE1001</v>
      </c>
      <c r="M1943" s="225" t="str">
        <f>_xlfn.XLOOKUP(Logfile_S12[[#This Row],[Material Name]],Sum_WH!E:E,Sum_WH!F:F,"",0)</f>
        <v>Pcs</v>
      </c>
      <c r="N1943" s="221">
        <v>12</v>
      </c>
      <c r="O1943" s="221" t="s">
        <v>1951</v>
      </c>
      <c r="P1943" s="221" t="s">
        <v>3374</v>
      </c>
      <c r="Q1943" s="221"/>
      <c r="R1943" s="221"/>
      <c r="S1943" s="221"/>
      <c r="T1943" s="221" t="s">
        <v>3258</v>
      </c>
      <c r="U1943" s="221" t="s">
        <v>3228</v>
      </c>
      <c r="V1943" s="221" t="s">
        <v>3337</v>
      </c>
      <c r="W1943" s="221" t="s">
        <v>3338</v>
      </c>
      <c r="X1943" s="221"/>
      <c r="Y1943" s="227"/>
      <c r="Z1943" s="227" t="str">
        <f t="shared" si="71"/>
        <v>SENGGURUH RW 01 MALANG</v>
      </c>
      <c r="AA1943" s="276" t="e">
        <f>VLOOKUP(Logfile_S12[[#This Row],[DO number]],DO_DB!G:I,3,0)</f>
        <v>#N/A</v>
      </c>
      <c r="AB1943" s="331" t="e">
        <f>EXACT(Logfile_S12[[#This Row],[date pick]],Logfile_S12[[#This Row],[Date]])</f>
        <v>#N/A</v>
      </c>
      <c r="AC19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44" spans="1:29" ht="14.5" hidden="1">
      <c r="A1944" s="220" t="str">
        <f t="shared" si="70"/>
        <v>1940</v>
      </c>
      <c r="B1944" s="221"/>
      <c r="C1944" s="221" t="s">
        <v>49</v>
      </c>
      <c r="D1944" s="221" t="s">
        <v>4200</v>
      </c>
      <c r="E1944" s="221" t="s">
        <v>3295</v>
      </c>
      <c r="F1944" s="221" t="s">
        <v>3299</v>
      </c>
      <c r="G1944" s="222">
        <v>45538</v>
      </c>
      <c r="H1944" s="223">
        <v>0.35902777777777778</v>
      </c>
      <c r="I1944" s="221" t="s">
        <v>4916</v>
      </c>
      <c r="J1944" s="221" t="s">
        <v>3023</v>
      </c>
      <c r="K1944" s="224" t="s">
        <v>3069</v>
      </c>
      <c r="L1944" s="225" t="str">
        <f>VLOOKUP(Logfile_S12[[#This Row],[Material Name]],Sheet2!B:C,2,0)</f>
        <v>ZTE1001</v>
      </c>
      <c r="M1944" s="225" t="str">
        <f>_xlfn.XLOOKUP(Logfile_S12[[#This Row],[Material Name]],Sum_WH!E:E,Sum_WH!F:F,"",0)</f>
        <v>Pcs</v>
      </c>
      <c r="N1944" s="221">
        <v>22</v>
      </c>
      <c r="O1944" s="221" t="s">
        <v>1951</v>
      </c>
      <c r="P1944" s="221" t="s">
        <v>3374</v>
      </c>
      <c r="Q1944" s="221"/>
      <c r="R1944" s="221"/>
      <c r="S1944" s="221"/>
      <c r="T1944" s="221" t="s">
        <v>3258</v>
      </c>
      <c r="U1944" s="221" t="s">
        <v>3228</v>
      </c>
      <c r="V1944" s="221" t="s">
        <v>3337</v>
      </c>
      <c r="W1944" s="221" t="s">
        <v>3338</v>
      </c>
      <c r="X1944" s="221"/>
      <c r="Y1944" s="227"/>
      <c r="Z1944" s="227" t="str">
        <f t="shared" si="71"/>
        <v>SENGGURUH RW 01 MALANG</v>
      </c>
      <c r="AA1944" s="276" t="e">
        <f>VLOOKUP(Logfile_S12[[#This Row],[DO number]],DO_DB!G:I,3,0)</f>
        <v>#N/A</v>
      </c>
      <c r="AB1944" s="331" t="e">
        <f>EXACT(Logfile_S12[[#This Row],[date pick]],Logfile_S12[[#This Row],[Date]])</f>
        <v>#N/A</v>
      </c>
      <c r="AC19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45" spans="1:29" ht="14.5" hidden="1">
      <c r="A1945" s="220" t="str">
        <f t="shared" si="70"/>
        <v>1941</v>
      </c>
      <c r="B1945" s="221"/>
      <c r="C1945" s="221" t="s">
        <v>49</v>
      </c>
      <c r="D1945" s="221" t="s">
        <v>4203</v>
      </c>
      <c r="E1945" s="221" t="s">
        <v>3295</v>
      </c>
      <c r="F1945" s="221" t="s">
        <v>3299</v>
      </c>
      <c r="G1945" s="222">
        <v>45539</v>
      </c>
      <c r="H1945" s="223">
        <v>0.40694444444444444</v>
      </c>
      <c r="I1945" s="221" t="s">
        <v>4916</v>
      </c>
      <c r="J1945" s="221" t="s">
        <v>3023</v>
      </c>
      <c r="K1945" s="224" t="s">
        <v>3069</v>
      </c>
      <c r="L1945" s="225" t="str">
        <f>VLOOKUP(Logfile_S12[[#This Row],[Material Name]],Sheet2!B:C,2,0)</f>
        <v>ZTE1001</v>
      </c>
      <c r="M1945" s="225" t="str">
        <f>_xlfn.XLOOKUP(Logfile_S12[[#This Row],[Material Name]],Sum_WH!E:E,Sum_WH!F:F,"",0)</f>
        <v>Pcs</v>
      </c>
      <c r="N1945" s="221">
        <v>38</v>
      </c>
      <c r="O1945" s="221" t="s">
        <v>1951</v>
      </c>
      <c r="P1945" s="221" t="s">
        <v>3374</v>
      </c>
      <c r="Q1945" s="221"/>
      <c r="R1945" s="221"/>
      <c r="S1945" s="221"/>
      <c r="T1945" s="221" t="s">
        <v>3258</v>
      </c>
      <c r="U1945" s="221" t="s">
        <v>3228</v>
      </c>
      <c r="V1945" s="221" t="s">
        <v>3337</v>
      </c>
      <c r="W1945" s="221" t="s">
        <v>3338</v>
      </c>
      <c r="X1945" s="221"/>
      <c r="Y1945" s="227"/>
      <c r="Z1945" s="227" t="str">
        <f t="shared" si="71"/>
        <v>SENGGURUH RW 01 MALANG</v>
      </c>
      <c r="AA1945" s="276" t="e">
        <f>VLOOKUP(Logfile_S12[[#This Row],[DO number]],DO_DB!G:I,3,0)</f>
        <v>#N/A</v>
      </c>
      <c r="AB1945" s="331" t="e">
        <f>EXACT(Logfile_S12[[#This Row],[date pick]],Logfile_S12[[#This Row],[Date]])</f>
        <v>#N/A</v>
      </c>
      <c r="AC19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46" spans="1:29" ht="14.5" hidden="1">
      <c r="A1946" s="220" t="str">
        <f t="shared" si="70"/>
        <v>1942</v>
      </c>
      <c r="B1946" s="221"/>
      <c r="C1946" s="221" t="s">
        <v>49</v>
      </c>
      <c r="D1946" s="221" t="s">
        <v>4206</v>
      </c>
      <c r="E1946" s="221" t="s">
        <v>3295</v>
      </c>
      <c r="F1946" s="221" t="s">
        <v>3299</v>
      </c>
      <c r="G1946" s="222">
        <v>45540</v>
      </c>
      <c r="H1946" s="223">
        <v>0.59513888888888888</v>
      </c>
      <c r="I1946" s="221" t="s">
        <v>4916</v>
      </c>
      <c r="J1946" s="221" t="s">
        <v>3023</v>
      </c>
      <c r="K1946" s="224" t="s">
        <v>3069</v>
      </c>
      <c r="L1946" s="225" t="str">
        <f>VLOOKUP(Logfile_S12[[#This Row],[Material Name]],Sheet2!B:C,2,0)</f>
        <v>ZTE1001</v>
      </c>
      <c r="M1946" s="225" t="str">
        <f>_xlfn.XLOOKUP(Logfile_S12[[#This Row],[Material Name]],Sum_WH!E:E,Sum_WH!F:F,"",0)</f>
        <v>Pcs</v>
      </c>
      <c r="N1946" s="221">
        <v>15</v>
      </c>
      <c r="O1946" s="221" t="s">
        <v>2025</v>
      </c>
      <c r="P1946" s="221" t="s">
        <v>2026</v>
      </c>
      <c r="Q1946" s="221"/>
      <c r="R1946" s="221"/>
      <c r="S1946" s="221"/>
      <c r="T1946" s="221" t="s">
        <v>3244</v>
      </c>
      <c r="U1946" s="221">
        <v>0</v>
      </c>
      <c r="V1946" s="221" t="s">
        <v>3248</v>
      </c>
      <c r="W1946" s="221" t="s">
        <v>3252</v>
      </c>
      <c r="X1946" s="221"/>
      <c r="Y1946" s="227"/>
      <c r="Z1946" s="227" t="str">
        <f t="shared" si="71"/>
        <v>NGENEP UTARA RW 03 MALANG</v>
      </c>
      <c r="AA1946" s="276" t="e">
        <f>VLOOKUP(Logfile_S12[[#This Row],[DO number]],DO_DB!G:I,3,0)</f>
        <v>#N/A</v>
      </c>
      <c r="AB1946" s="331" t="e">
        <f>EXACT(Logfile_S12[[#This Row],[date pick]],Logfile_S12[[#This Row],[Date]])</f>
        <v>#N/A</v>
      </c>
      <c r="AC19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47" spans="1:29" ht="14.5" hidden="1">
      <c r="A1947" s="220" t="str">
        <f t="shared" si="70"/>
        <v>1943</v>
      </c>
      <c r="B1947" s="221"/>
      <c r="C1947" s="221" t="s">
        <v>49</v>
      </c>
      <c r="D1947" s="221" t="s">
        <v>4210</v>
      </c>
      <c r="E1947" s="221" t="s">
        <v>3295</v>
      </c>
      <c r="F1947" s="221" t="s">
        <v>3299</v>
      </c>
      <c r="G1947" s="222">
        <v>45541</v>
      </c>
      <c r="H1947" s="223">
        <v>0.42152777777777778</v>
      </c>
      <c r="I1947" s="221" t="s">
        <v>4916</v>
      </c>
      <c r="J1947" s="221" t="s">
        <v>3023</v>
      </c>
      <c r="K1947" s="224" t="s">
        <v>3069</v>
      </c>
      <c r="L1947" s="225" t="str">
        <f>VLOOKUP(Logfile_S12[[#This Row],[Material Name]],Sheet2!B:C,2,0)</f>
        <v>ZTE1001</v>
      </c>
      <c r="M1947" s="225" t="str">
        <f>_xlfn.XLOOKUP(Logfile_S12[[#This Row],[Material Name]],Sum_WH!E:E,Sum_WH!F:F,"",0)</f>
        <v>Pcs</v>
      </c>
      <c r="N1947" s="221">
        <v>44</v>
      </c>
      <c r="O1947" s="221" t="s">
        <v>1951</v>
      </c>
      <c r="P1947" s="221" t="s">
        <v>3374</v>
      </c>
      <c r="Q1947" s="221"/>
      <c r="R1947" s="221"/>
      <c r="S1947" s="221"/>
      <c r="T1947" s="221" t="s">
        <v>3258</v>
      </c>
      <c r="U1947" s="221" t="s">
        <v>3228</v>
      </c>
      <c r="V1947" s="221" t="s">
        <v>3337</v>
      </c>
      <c r="W1947" s="221" t="s">
        <v>3338</v>
      </c>
      <c r="X1947" s="221"/>
      <c r="Y1947" s="227"/>
      <c r="Z1947" s="227" t="str">
        <f t="shared" si="71"/>
        <v>SENGGURUH RW 01 MALANG</v>
      </c>
      <c r="AA1947" s="276" t="e">
        <f>VLOOKUP(Logfile_S12[[#This Row],[DO number]],DO_DB!G:I,3,0)</f>
        <v>#N/A</v>
      </c>
      <c r="AB1947" s="331" t="e">
        <f>EXACT(Logfile_S12[[#This Row],[date pick]],Logfile_S12[[#This Row],[Date]])</f>
        <v>#N/A</v>
      </c>
      <c r="AC19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48" spans="1:29" ht="14.5" hidden="1">
      <c r="A1948" s="220" t="str">
        <f t="shared" si="70"/>
        <v>1944</v>
      </c>
      <c r="B1948" s="221"/>
      <c r="C1948" s="221" t="s">
        <v>49</v>
      </c>
      <c r="D1948" s="221" t="s">
        <v>4220</v>
      </c>
      <c r="E1948" s="221" t="s">
        <v>3295</v>
      </c>
      <c r="F1948" s="221" t="s">
        <v>3299</v>
      </c>
      <c r="G1948" s="222">
        <v>45548</v>
      </c>
      <c r="H1948" s="223">
        <v>0.34791666666666665</v>
      </c>
      <c r="I1948" s="221" t="s">
        <v>4916</v>
      </c>
      <c r="J1948" s="221" t="s">
        <v>3023</v>
      </c>
      <c r="K1948" s="224" t="s">
        <v>3069</v>
      </c>
      <c r="L1948" s="225" t="str">
        <f>VLOOKUP(Logfile_S12[[#This Row],[Material Name]],Sheet2!B:C,2,0)</f>
        <v>ZTE1001</v>
      </c>
      <c r="M1948" s="225" t="str">
        <f>_xlfn.XLOOKUP(Logfile_S12[[#This Row],[Material Name]],Sum_WH!E:E,Sum_WH!F:F,"",0)</f>
        <v>Pcs</v>
      </c>
      <c r="N1948" s="221">
        <v>1</v>
      </c>
      <c r="O1948" s="221" t="s">
        <v>1705</v>
      </c>
      <c r="P1948" s="221" t="s">
        <v>1706</v>
      </c>
      <c r="Q1948" s="221"/>
      <c r="R1948" s="221"/>
      <c r="S1948" s="221"/>
      <c r="T1948" s="221" t="s">
        <v>3258</v>
      </c>
      <c r="U1948" s="221">
        <v>0</v>
      </c>
      <c r="V1948" s="221" t="s">
        <v>3337</v>
      </c>
      <c r="W1948" s="221" t="s">
        <v>3338</v>
      </c>
      <c r="X1948" s="221"/>
      <c r="Y1948" s="227"/>
      <c r="Z1948" s="227" t="str">
        <f t="shared" si="71"/>
        <v>Perumahan Kepanjen Permai II</v>
      </c>
      <c r="AA1948" s="276" t="e">
        <f>VLOOKUP(Logfile_S12[[#This Row],[DO number]],DO_DB!G:I,3,0)</f>
        <v>#N/A</v>
      </c>
      <c r="AB1948" s="331" t="e">
        <f>EXACT(Logfile_S12[[#This Row],[date pick]],Logfile_S12[[#This Row],[Date]])</f>
        <v>#N/A</v>
      </c>
      <c r="AC19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49" spans="1:29" ht="14.5" hidden="1">
      <c r="A1949" s="220" t="str">
        <f t="shared" si="70"/>
        <v>1945</v>
      </c>
      <c r="B1949" s="221"/>
      <c r="C1949" s="221" t="s">
        <v>49</v>
      </c>
      <c r="D1949" s="221" t="s">
        <v>4220</v>
      </c>
      <c r="E1949" s="221" t="s">
        <v>3295</v>
      </c>
      <c r="F1949" s="221" t="s">
        <v>3299</v>
      </c>
      <c r="G1949" s="222">
        <v>45548</v>
      </c>
      <c r="H1949" s="223">
        <v>0.34791666666666665</v>
      </c>
      <c r="I1949" s="221" t="s">
        <v>4916</v>
      </c>
      <c r="J1949" s="221" t="s">
        <v>3023</v>
      </c>
      <c r="K1949" s="224" t="s">
        <v>3069</v>
      </c>
      <c r="L1949" s="225" t="str">
        <f>VLOOKUP(Logfile_S12[[#This Row],[Material Name]],Sheet2!B:C,2,0)</f>
        <v>ZTE1001</v>
      </c>
      <c r="M1949" s="225" t="str">
        <f>_xlfn.XLOOKUP(Logfile_S12[[#This Row],[Material Name]],Sum_WH!E:E,Sum_WH!F:F,"",0)</f>
        <v>Pcs</v>
      </c>
      <c r="N1949" s="221">
        <v>9</v>
      </c>
      <c r="O1949" s="221" t="s">
        <v>1911</v>
      </c>
      <c r="P1949" s="221" t="s">
        <v>1912</v>
      </c>
      <c r="Q1949" s="221"/>
      <c r="R1949" s="221"/>
      <c r="S1949" s="221"/>
      <c r="T1949" s="221" t="s">
        <v>3258</v>
      </c>
      <c r="U1949" s="221" t="s">
        <v>3228</v>
      </c>
      <c r="V1949" s="221" t="s">
        <v>3337</v>
      </c>
      <c r="W1949" s="221" t="s">
        <v>3338</v>
      </c>
      <c r="X1949" s="221"/>
      <c r="Y1949" s="227"/>
      <c r="Z1949" s="227" t="str">
        <f t="shared" si="71"/>
        <v>Dilem RW 03 Kepanjen</v>
      </c>
      <c r="AA1949" s="276" t="e">
        <f>VLOOKUP(Logfile_S12[[#This Row],[DO number]],DO_DB!G:I,3,0)</f>
        <v>#N/A</v>
      </c>
      <c r="AB1949" s="331" t="e">
        <f>EXACT(Logfile_S12[[#This Row],[date pick]],Logfile_S12[[#This Row],[Date]])</f>
        <v>#N/A</v>
      </c>
      <c r="AC19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50" spans="1:29" ht="14.5" hidden="1">
      <c r="A1950" s="220" t="str">
        <f t="shared" si="70"/>
        <v>1946</v>
      </c>
      <c r="B1950" s="221"/>
      <c r="C1950" s="221" t="s">
        <v>49</v>
      </c>
      <c r="D1950" s="221" t="s">
        <v>4221</v>
      </c>
      <c r="E1950" s="221" t="s">
        <v>3295</v>
      </c>
      <c r="F1950" s="221" t="s">
        <v>3299</v>
      </c>
      <c r="G1950" s="222">
        <v>45553</v>
      </c>
      <c r="H1950" s="223">
        <v>0.43125000000000002</v>
      </c>
      <c r="I1950" s="221" t="s">
        <v>4916</v>
      </c>
      <c r="J1950" s="221" t="s">
        <v>3023</v>
      </c>
      <c r="K1950" s="224" t="s">
        <v>3069</v>
      </c>
      <c r="L1950" s="225" t="str">
        <f>VLOOKUP(Logfile_S12[[#This Row],[Material Name]],Sheet2!B:C,2,0)</f>
        <v>ZTE1001</v>
      </c>
      <c r="M1950" s="225" t="str">
        <f>_xlfn.XLOOKUP(Logfile_S12[[#This Row],[Material Name]],Sum_WH!E:E,Sum_WH!F:F,"",0)</f>
        <v>Pcs</v>
      </c>
      <c r="N1950" s="221">
        <v>19</v>
      </c>
      <c r="O1950" s="221" t="s">
        <v>1923</v>
      </c>
      <c r="P1950" s="221" t="s">
        <v>1924</v>
      </c>
      <c r="Q1950" s="221"/>
      <c r="R1950" s="221"/>
      <c r="S1950" s="221"/>
      <c r="T1950" s="221" t="s">
        <v>3258</v>
      </c>
      <c r="U1950" s="221">
        <v>0</v>
      </c>
      <c r="V1950" s="221" t="s">
        <v>3337</v>
      </c>
      <c r="W1950" s="221" t="s">
        <v>3338</v>
      </c>
      <c r="X1950" s="221"/>
      <c r="Y1950" s="227"/>
      <c r="Z1950" s="227" t="str">
        <f t="shared" si="71"/>
        <v>Pakisaji RW 01 Malang</v>
      </c>
      <c r="AA1950" s="276" t="e">
        <f>VLOOKUP(Logfile_S12[[#This Row],[DO number]],DO_DB!G:I,3,0)</f>
        <v>#N/A</v>
      </c>
      <c r="AB1950" s="331" t="e">
        <f>EXACT(Logfile_S12[[#This Row],[date pick]],Logfile_S12[[#This Row],[Date]])</f>
        <v>#N/A</v>
      </c>
      <c r="AC19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51" spans="1:29" ht="14.5" hidden="1">
      <c r="A1951" s="220" t="str">
        <f t="shared" si="70"/>
        <v>1947</v>
      </c>
      <c r="B1951" s="221"/>
      <c r="C1951" s="221" t="s">
        <v>3313</v>
      </c>
      <c r="D1951" s="221" t="s">
        <v>4223</v>
      </c>
      <c r="E1951" s="221" t="s">
        <v>3295</v>
      </c>
      <c r="F1951" s="221" t="s">
        <v>3299</v>
      </c>
      <c r="G1951" s="222">
        <v>45554</v>
      </c>
      <c r="H1951" s="223">
        <v>15.291666666666666</v>
      </c>
      <c r="I1951" s="221" t="s">
        <v>4917</v>
      </c>
      <c r="J1951" s="221" t="s">
        <v>3023</v>
      </c>
      <c r="K1951" s="224" t="s">
        <v>3069</v>
      </c>
      <c r="L1951" s="225" t="str">
        <f>VLOOKUP(Logfile_S12[[#This Row],[Material Name]],Sheet2!B:C,2,0)</f>
        <v>ZTE1001</v>
      </c>
      <c r="M1951" s="225" t="str">
        <f>_xlfn.XLOOKUP(Logfile_S12[[#This Row],[Material Name]],Sum_WH!E:E,Sum_WH!F:F,"",0)</f>
        <v>Pcs</v>
      </c>
      <c r="N1951" s="221">
        <v>98</v>
      </c>
      <c r="O1951" s="221" t="s">
        <v>3314</v>
      </c>
      <c r="P1951" s="221" t="s">
        <v>68</v>
      </c>
      <c r="Q1951" s="221">
        <v>0</v>
      </c>
      <c r="R1951" s="221">
        <v>0</v>
      </c>
      <c r="S1951" s="221"/>
      <c r="T1951" s="221"/>
      <c r="U1951" s="221"/>
      <c r="V1951" s="221"/>
      <c r="W1951" s="221"/>
      <c r="X1951" s="221"/>
      <c r="Y1951" s="227"/>
      <c r="Z1951" s="227" t="str">
        <f t="shared" si="71"/>
        <v>Blitar</v>
      </c>
      <c r="AA1951" s="276" t="e">
        <f>VLOOKUP(Logfile_S12[[#This Row],[DO number]],DO_DB!G:I,3,0)</f>
        <v>#N/A</v>
      </c>
      <c r="AB1951" s="331" t="e">
        <f>EXACT(Logfile_S12[[#This Row],[date pick]],Logfile_S12[[#This Row],[Date]])</f>
        <v>#N/A</v>
      </c>
      <c r="AC19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52" spans="1:29" ht="14.5" hidden="1">
      <c r="A1952" s="220" t="str">
        <f t="shared" si="70"/>
        <v>1948</v>
      </c>
      <c r="B1952" s="221"/>
      <c r="C1952" s="221" t="s">
        <v>48</v>
      </c>
      <c r="D1952" s="221" t="s">
        <v>4228</v>
      </c>
      <c r="E1952" s="221" t="s">
        <v>3295</v>
      </c>
      <c r="F1952" s="221" t="s">
        <v>3299</v>
      </c>
      <c r="G1952" s="222">
        <v>45555</v>
      </c>
      <c r="H1952" s="223">
        <v>15.291666666666666</v>
      </c>
      <c r="I1952" s="221" t="s">
        <v>37</v>
      </c>
      <c r="J1952" s="221" t="s">
        <v>3023</v>
      </c>
      <c r="K1952" s="224" t="s">
        <v>3069</v>
      </c>
      <c r="L1952" s="225" t="str">
        <f>VLOOKUP(Logfile_S12[[#This Row],[Material Name]],Sheet2!B:C,2,0)</f>
        <v>ZTE1001</v>
      </c>
      <c r="M1952" s="225" t="str">
        <f>_xlfn.XLOOKUP(Logfile_S12[[#This Row],[Material Name]],Sum_WH!E:E,Sum_WH!F:F,"",0)</f>
        <v>Pcs</v>
      </c>
      <c r="N1952" s="221">
        <v>126</v>
      </c>
      <c r="O1952" s="221"/>
      <c r="P1952" s="221"/>
      <c r="Q1952" s="221">
        <v>0</v>
      </c>
      <c r="R1952" s="221">
        <v>0</v>
      </c>
      <c r="S1952" s="221"/>
      <c r="T1952" s="221"/>
      <c r="U1952" s="221"/>
      <c r="V1952" s="221"/>
      <c r="W1952" s="221"/>
      <c r="X1952" s="221"/>
      <c r="Y1952" s="227"/>
      <c r="Z1952" s="227">
        <f t="shared" si="71"/>
        <v>0</v>
      </c>
      <c r="AA1952" s="276" t="e">
        <f>VLOOKUP(Logfile_S12[[#This Row],[DO number]],DO_DB!G:I,3,0)</f>
        <v>#N/A</v>
      </c>
      <c r="AB1952" s="331" t="e">
        <f>EXACT(Logfile_S12[[#This Row],[date pick]],Logfile_S12[[#This Row],[Date]])</f>
        <v>#N/A</v>
      </c>
      <c r="AC19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53" spans="1:29" ht="14.5" hidden="1">
      <c r="A1953" s="220" t="str">
        <f t="shared" si="70"/>
        <v>1949</v>
      </c>
      <c r="B1953" s="221"/>
      <c r="C1953" s="221" t="s">
        <v>49</v>
      </c>
      <c r="D1953" s="221" t="s">
        <v>4226</v>
      </c>
      <c r="E1953" s="221" t="s">
        <v>3295</v>
      </c>
      <c r="F1953" s="221" t="s">
        <v>3299</v>
      </c>
      <c r="G1953" s="222">
        <v>45555</v>
      </c>
      <c r="H1953" s="223">
        <v>0.6430555555555556</v>
      </c>
      <c r="I1953" s="221" t="s">
        <v>4916</v>
      </c>
      <c r="J1953" s="221" t="s">
        <v>3023</v>
      </c>
      <c r="K1953" s="224" t="s">
        <v>3069</v>
      </c>
      <c r="L1953" s="225" t="str">
        <f>VLOOKUP(Logfile_S12[[#This Row],[Material Name]],Sheet2!B:C,2,0)</f>
        <v>ZTE1001</v>
      </c>
      <c r="M1953" s="225" t="str">
        <f>_xlfn.XLOOKUP(Logfile_S12[[#This Row],[Material Name]],Sum_WH!E:E,Sum_WH!F:F,"",0)</f>
        <v>Pcs</v>
      </c>
      <c r="N1953" s="221">
        <v>21</v>
      </c>
      <c r="O1953" s="221" t="s">
        <v>1923</v>
      </c>
      <c r="P1953" s="221" t="s">
        <v>1924</v>
      </c>
      <c r="Q1953" s="221"/>
      <c r="R1953" s="221"/>
      <c r="S1953" s="221"/>
      <c r="T1953" s="221" t="s">
        <v>3258</v>
      </c>
      <c r="U1953" s="221">
        <v>0</v>
      </c>
      <c r="V1953" s="221" t="s">
        <v>3337</v>
      </c>
      <c r="W1953" s="221" t="s">
        <v>3338</v>
      </c>
      <c r="X1953" s="221"/>
      <c r="Y1953" s="227"/>
      <c r="Z1953" s="227" t="str">
        <f t="shared" si="71"/>
        <v>Pakisaji RW 01 Malang</v>
      </c>
      <c r="AA1953" s="276" t="e">
        <f>VLOOKUP(Logfile_S12[[#This Row],[DO number]],DO_DB!G:I,3,0)</f>
        <v>#N/A</v>
      </c>
      <c r="AB1953" s="331" t="e">
        <f>EXACT(Logfile_S12[[#This Row],[date pick]],Logfile_S12[[#This Row],[Date]])</f>
        <v>#N/A</v>
      </c>
      <c r="AC19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54" spans="1:29" ht="14.5" hidden="1">
      <c r="A1954" s="220" t="str">
        <f t="shared" si="70"/>
        <v>1950</v>
      </c>
      <c r="B1954" s="221"/>
      <c r="C1954" s="221" t="s">
        <v>49</v>
      </c>
      <c r="D1954" s="221" t="s">
        <v>4230</v>
      </c>
      <c r="E1954" s="221" t="s">
        <v>3295</v>
      </c>
      <c r="F1954" s="221" t="s">
        <v>3299</v>
      </c>
      <c r="G1954" s="222">
        <v>45558</v>
      </c>
      <c r="H1954" s="223">
        <v>0.53125</v>
      </c>
      <c r="I1954" s="221" t="s">
        <v>4916</v>
      </c>
      <c r="J1954" s="221" t="s">
        <v>3023</v>
      </c>
      <c r="K1954" s="224" t="s">
        <v>3069</v>
      </c>
      <c r="L1954" s="225" t="str">
        <f>VLOOKUP(Logfile_S12[[#This Row],[Material Name]],Sheet2!B:C,2,0)</f>
        <v>ZTE1001</v>
      </c>
      <c r="M1954" s="225" t="str">
        <f>_xlfn.XLOOKUP(Logfile_S12[[#This Row],[Material Name]],Sum_WH!E:E,Sum_WH!F:F,"",0)</f>
        <v>Pcs</v>
      </c>
      <c r="N1954" s="221">
        <v>20</v>
      </c>
      <c r="O1954" s="221" t="s">
        <v>2166</v>
      </c>
      <c r="P1954" s="221" t="s">
        <v>2167</v>
      </c>
      <c r="Q1954" s="221"/>
      <c r="R1954" s="221"/>
      <c r="S1954" s="221"/>
      <c r="T1954" s="221" t="s">
        <v>3247</v>
      </c>
      <c r="U1954" s="221">
        <v>0</v>
      </c>
      <c r="V1954" s="221" t="s">
        <v>3375</v>
      </c>
      <c r="W1954" s="221" t="s">
        <v>3376</v>
      </c>
      <c r="X1954" s="221"/>
      <c r="Y1954" s="227"/>
      <c r="Z1954" s="227" t="str">
        <f t="shared" si="71"/>
        <v>Dusun Mojosari Ngenep</v>
      </c>
      <c r="AA1954" s="276" t="e">
        <f>VLOOKUP(Logfile_S12[[#This Row],[DO number]],DO_DB!G:I,3,0)</f>
        <v>#N/A</v>
      </c>
      <c r="AB1954" s="331" t="e">
        <f>EXACT(Logfile_S12[[#This Row],[date pick]],Logfile_S12[[#This Row],[Date]])</f>
        <v>#N/A</v>
      </c>
      <c r="AC19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55" spans="1:29" ht="14.5" hidden="1">
      <c r="A1955" s="220" t="str">
        <f t="shared" si="70"/>
        <v>1951</v>
      </c>
      <c r="B1955" s="221"/>
      <c r="C1955" s="221" t="s">
        <v>49</v>
      </c>
      <c r="D1955" s="221" t="s">
        <v>4231</v>
      </c>
      <c r="E1955" s="221" t="s">
        <v>3295</v>
      </c>
      <c r="F1955" s="221" t="s">
        <v>3299</v>
      </c>
      <c r="G1955" s="222">
        <v>45559</v>
      </c>
      <c r="H1955" s="223">
        <v>0.67500000000000004</v>
      </c>
      <c r="I1955" s="221" t="s">
        <v>4916</v>
      </c>
      <c r="J1955" s="221" t="s">
        <v>3023</v>
      </c>
      <c r="K1955" s="224" t="s">
        <v>3069</v>
      </c>
      <c r="L1955" s="225" t="str">
        <f>VLOOKUP(Logfile_S12[[#This Row],[Material Name]],Sheet2!B:C,2,0)</f>
        <v>ZTE1001</v>
      </c>
      <c r="M1955" s="225" t="str">
        <f>_xlfn.XLOOKUP(Logfile_S12[[#This Row],[Material Name]],Sum_WH!E:E,Sum_WH!F:F,"",0)</f>
        <v>Pcs</v>
      </c>
      <c r="N1955" s="221">
        <v>21</v>
      </c>
      <c r="O1955" s="221" t="s">
        <v>2166</v>
      </c>
      <c r="P1955" s="221" t="s">
        <v>2167</v>
      </c>
      <c r="Q1955" s="221"/>
      <c r="R1955" s="221"/>
      <c r="S1955" s="221"/>
      <c r="T1955" s="221" t="s">
        <v>3247</v>
      </c>
      <c r="U1955" s="221">
        <v>0</v>
      </c>
      <c r="V1955" s="221" t="s">
        <v>3375</v>
      </c>
      <c r="W1955" s="221" t="s">
        <v>3376</v>
      </c>
      <c r="X1955" s="221"/>
      <c r="Y1955" s="227"/>
      <c r="Z1955" s="227" t="str">
        <f t="shared" si="71"/>
        <v>Dusun Mojosari Ngenep</v>
      </c>
      <c r="AA1955" s="276" t="e">
        <f>VLOOKUP(Logfile_S12[[#This Row],[DO number]],DO_DB!G:I,3,0)</f>
        <v>#N/A</v>
      </c>
      <c r="AB1955" s="331" t="e">
        <f>EXACT(Logfile_S12[[#This Row],[date pick]],Logfile_S12[[#This Row],[Date]])</f>
        <v>#N/A</v>
      </c>
      <c r="AC19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56" spans="1:29" ht="14.5" hidden="1">
      <c r="A1956" s="220" t="str">
        <f t="shared" si="70"/>
        <v>1952</v>
      </c>
      <c r="B1956" s="221"/>
      <c r="C1956" s="221" t="s">
        <v>49</v>
      </c>
      <c r="D1956" s="221" t="s">
        <v>4235</v>
      </c>
      <c r="E1956" s="221" t="s">
        <v>3295</v>
      </c>
      <c r="F1956" s="221" t="s">
        <v>3299</v>
      </c>
      <c r="G1956" s="222">
        <v>45561</v>
      </c>
      <c r="H1956" s="223">
        <v>0.73263888888888884</v>
      </c>
      <c r="I1956" s="221" t="s">
        <v>4916</v>
      </c>
      <c r="J1956" s="221" t="s">
        <v>3023</v>
      </c>
      <c r="K1956" s="224" t="s">
        <v>3069</v>
      </c>
      <c r="L1956" s="225" t="str">
        <f>VLOOKUP(Logfile_S12[[#This Row],[Material Name]],Sheet2!B:C,2,0)</f>
        <v>ZTE1001</v>
      </c>
      <c r="M1956" s="225" t="str">
        <f>_xlfn.XLOOKUP(Logfile_S12[[#This Row],[Material Name]],Sum_WH!E:E,Sum_WH!F:F,"",0)</f>
        <v>Pcs</v>
      </c>
      <c r="N1956" s="221">
        <v>13</v>
      </c>
      <c r="O1956" s="221" t="s">
        <v>2166</v>
      </c>
      <c r="P1956" s="221" t="s">
        <v>2167</v>
      </c>
      <c r="Q1956" s="221"/>
      <c r="R1956" s="221"/>
      <c r="S1956" s="221"/>
      <c r="T1956" s="221" t="s">
        <v>3247</v>
      </c>
      <c r="U1956" s="221">
        <v>0</v>
      </c>
      <c r="V1956" s="221" t="s">
        <v>3375</v>
      </c>
      <c r="W1956" s="221" t="s">
        <v>3376</v>
      </c>
      <c r="X1956" s="221"/>
      <c r="Y1956" s="227"/>
      <c r="Z1956" s="227" t="str">
        <f t="shared" si="71"/>
        <v>Dusun Mojosari Ngenep</v>
      </c>
      <c r="AA1956" s="276" t="e">
        <f>VLOOKUP(Logfile_S12[[#This Row],[DO number]],DO_DB!G:I,3,0)</f>
        <v>#N/A</v>
      </c>
      <c r="AB1956" s="331" t="e">
        <f>EXACT(Logfile_S12[[#This Row],[date pick]],Logfile_S12[[#This Row],[Date]])</f>
        <v>#N/A</v>
      </c>
      <c r="AC19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57" spans="1:29" ht="14.5" hidden="1">
      <c r="A1957" s="220" t="str">
        <f t="shared" si="70"/>
        <v>1953</v>
      </c>
      <c r="B1957" s="221"/>
      <c r="C1957" s="221" t="s">
        <v>3313</v>
      </c>
      <c r="D1957" s="221" t="s">
        <v>4237</v>
      </c>
      <c r="E1957" s="221" t="s">
        <v>3295</v>
      </c>
      <c r="F1957" s="221" t="s">
        <v>3299</v>
      </c>
      <c r="G1957" s="222">
        <v>45561</v>
      </c>
      <c r="H1957" s="223">
        <v>15.291666666666666</v>
      </c>
      <c r="I1957" s="221" t="s">
        <v>37</v>
      </c>
      <c r="J1957" s="221" t="s">
        <v>3023</v>
      </c>
      <c r="K1957" s="224" t="s">
        <v>3069</v>
      </c>
      <c r="L1957" s="225" t="str">
        <f>VLOOKUP(Logfile_S12[[#This Row],[Material Name]],Sheet2!B:C,2,0)</f>
        <v>ZTE1001</v>
      </c>
      <c r="M1957" s="225" t="str">
        <f>_xlfn.XLOOKUP(Logfile_S12[[#This Row],[Material Name]],Sum_WH!E:E,Sum_WH!F:F,"",0)</f>
        <v>Pcs</v>
      </c>
      <c r="N1957" s="221">
        <v>4</v>
      </c>
      <c r="O1957" s="221" t="s">
        <v>3314</v>
      </c>
      <c r="P1957" s="221">
        <v>0</v>
      </c>
      <c r="Q1957" s="221">
        <v>0</v>
      </c>
      <c r="R1957" s="221" t="s">
        <v>3147</v>
      </c>
      <c r="S1957" s="221"/>
      <c r="T1957" s="221"/>
      <c r="U1957" s="221"/>
      <c r="V1957" s="221"/>
      <c r="W1957" s="221"/>
      <c r="X1957" s="221"/>
      <c r="Y1957" s="227"/>
      <c r="Z1957" s="227">
        <f t="shared" si="71"/>
        <v>0</v>
      </c>
      <c r="AA1957" s="276" t="e">
        <f>VLOOKUP(Logfile_S12[[#This Row],[DO number]],DO_DB!G:I,3,0)</f>
        <v>#N/A</v>
      </c>
      <c r="AB1957" s="331" t="e">
        <f>EXACT(Logfile_S12[[#This Row],[date pick]],Logfile_S12[[#This Row],[Date]])</f>
        <v>#N/A</v>
      </c>
      <c r="AC19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58" spans="1:29" ht="14.5" hidden="1">
      <c r="A1958" s="220" t="str">
        <f t="shared" si="70"/>
        <v>1954</v>
      </c>
      <c r="B1958" s="221"/>
      <c r="C1958" s="221" t="s">
        <v>49</v>
      </c>
      <c r="D1958" s="221" t="s">
        <v>4240</v>
      </c>
      <c r="E1958" s="221" t="s">
        <v>3295</v>
      </c>
      <c r="F1958" s="221" t="s">
        <v>3299</v>
      </c>
      <c r="G1958" s="222">
        <v>45562</v>
      </c>
      <c r="H1958" s="223">
        <v>0.60416666666666663</v>
      </c>
      <c r="I1958" s="221" t="s">
        <v>4916</v>
      </c>
      <c r="J1958" s="221" t="s">
        <v>3023</v>
      </c>
      <c r="K1958" s="224" t="s">
        <v>3069</v>
      </c>
      <c r="L1958" s="225" t="str">
        <f>VLOOKUP(Logfile_S12[[#This Row],[Material Name]],Sheet2!B:C,2,0)</f>
        <v>ZTE1001</v>
      </c>
      <c r="M1958" s="225" t="str">
        <f>_xlfn.XLOOKUP(Logfile_S12[[#This Row],[Material Name]],Sum_WH!E:E,Sum_WH!F:F,"",0)</f>
        <v>Pcs</v>
      </c>
      <c r="N1958" s="221">
        <v>3</v>
      </c>
      <c r="O1958" s="221" t="s">
        <v>2166</v>
      </c>
      <c r="P1958" s="221" t="s">
        <v>2167</v>
      </c>
      <c r="Q1958" s="221"/>
      <c r="R1958" s="221"/>
      <c r="S1958" s="221"/>
      <c r="T1958" s="221" t="s">
        <v>3247</v>
      </c>
      <c r="U1958" s="221">
        <v>0</v>
      </c>
      <c r="V1958" s="221" t="s">
        <v>3375</v>
      </c>
      <c r="W1958" s="221" t="s">
        <v>3376</v>
      </c>
      <c r="X1958" s="221"/>
      <c r="Y1958" s="227"/>
      <c r="Z1958" s="227" t="str">
        <f t="shared" si="71"/>
        <v>Dusun Mojosari Ngenep</v>
      </c>
      <c r="AA1958" s="276" t="e">
        <f>VLOOKUP(Logfile_S12[[#This Row],[DO number]],DO_DB!G:I,3,0)</f>
        <v>#N/A</v>
      </c>
      <c r="AB1958" s="331" t="e">
        <f>EXACT(Logfile_S12[[#This Row],[date pick]],Logfile_S12[[#This Row],[Date]])</f>
        <v>#N/A</v>
      </c>
      <c r="AC19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59" spans="1:29" ht="14.5" hidden="1">
      <c r="A1959" s="220" t="str">
        <f t="shared" si="70"/>
        <v>1955</v>
      </c>
      <c r="B1959" s="221"/>
      <c r="C1959" s="221" t="s">
        <v>49</v>
      </c>
      <c r="D1959" s="221" t="s">
        <v>4243</v>
      </c>
      <c r="E1959" s="221" t="s">
        <v>3295</v>
      </c>
      <c r="F1959" s="221" t="s">
        <v>3299</v>
      </c>
      <c r="G1959" s="222">
        <v>45564</v>
      </c>
      <c r="H1959" s="223">
        <v>0.73263888888888884</v>
      </c>
      <c r="I1959" s="221" t="s">
        <v>4916</v>
      </c>
      <c r="J1959" s="221" t="s">
        <v>3023</v>
      </c>
      <c r="K1959" s="224" t="s">
        <v>3069</v>
      </c>
      <c r="L1959" s="225" t="str">
        <f>VLOOKUP(Logfile_S12[[#This Row],[Material Name]],Sheet2!B:C,2,0)</f>
        <v>ZTE1001</v>
      </c>
      <c r="M1959" s="225" t="str">
        <f>_xlfn.XLOOKUP(Logfile_S12[[#This Row],[Material Name]],Sum_WH!E:E,Sum_WH!F:F,"",0)</f>
        <v>Pcs</v>
      </c>
      <c r="N1959" s="221">
        <v>12</v>
      </c>
      <c r="O1959" s="221" t="s">
        <v>2166</v>
      </c>
      <c r="P1959" s="221" t="s">
        <v>2167</v>
      </c>
      <c r="Q1959" s="221"/>
      <c r="R1959" s="221"/>
      <c r="S1959" s="221"/>
      <c r="T1959" s="221" t="s">
        <v>3247</v>
      </c>
      <c r="U1959" s="221">
        <v>0</v>
      </c>
      <c r="V1959" s="221" t="s">
        <v>3375</v>
      </c>
      <c r="W1959" s="221" t="s">
        <v>3376</v>
      </c>
      <c r="X1959" s="221"/>
      <c r="Y1959" s="227"/>
      <c r="Z1959" s="227" t="str">
        <f t="shared" si="71"/>
        <v>Dusun Mojosari Ngenep</v>
      </c>
      <c r="AA1959" s="276" t="e">
        <f>VLOOKUP(Logfile_S12[[#This Row],[DO number]],DO_DB!G:I,3,0)</f>
        <v>#N/A</v>
      </c>
      <c r="AB1959" s="331" t="e">
        <f>EXACT(Logfile_S12[[#This Row],[date pick]],Logfile_S12[[#This Row],[Date]])</f>
        <v>#N/A</v>
      </c>
      <c r="AC19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60" spans="1:29" ht="14.5" hidden="1">
      <c r="A1960" s="220" t="str">
        <f t="shared" si="70"/>
        <v>1956</v>
      </c>
      <c r="B1960" s="221"/>
      <c r="C1960" s="221" t="s">
        <v>49</v>
      </c>
      <c r="D1960" s="221" t="s">
        <v>4249</v>
      </c>
      <c r="E1960" s="221" t="s">
        <v>3295</v>
      </c>
      <c r="F1960" s="221" t="s">
        <v>3299</v>
      </c>
      <c r="G1960" s="222">
        <v>45575</v>
      </c>
      <c r="H1960" s="223">
        <v>0.56458333333333333</v>
      </c>
      <c r="I1960" s="221" t="s">
        <v>4916</v>
      </c>
      <c r="J1960" s="221" t="s">
        <v>3023</v>
      </c>
      <c r="K1960" s="224" t="s">
        <v>3069</v>
      </c>
      <c r="L1960" s="225" t="str">
        <f>VLOOKUP(Logfile_S12[[#This Row],[Material Name]],Sheet2!B:C,2,0)</f>
        <v>ZTE1001</v>
      </c>
      <c r="M1960" s="225" t="str">
        <f>_xlfn.XLOOKUP(Logfile_S12[[#This Row],[Material Name]],Sum_WH!E:E,Sum_WH!F:F,"",0)</f>
        <v>Pcs</v>
      </c>
      <c r="N1960" s="221">
        <v>2</v>
      </c>
      <c r="O1960" s="221" t="s">
        <v>1391</v>
      </c>
      <c r="P1960" s="221" t="s">
        <v>1392</v>
      </c>
      <c r="Q1960" s="221"/>
      <c r="R1960" s="221"/>
      <c r="S1960" s="221"/>
      <c r="T1960" s="221" t="s">
        <v>3244</v>
      </c>
      <c r="U1960" s="221">
        <v>0</v>
      </c>
      <c r="V1960" s="221" t="s">
        <v>3248</v>
      </c>
      <c r="W1960" s="221" t="s">
        <v>3252</v>
      </c>
      <c r="X1960" s="221"/>
      <c r="Y1960" s="227"/>
      <c r="Z1960" s="227" t="str">
        <f t="shared" si="71"/>
        <v>Klampok RW 01 Singosari</v>
      </c>
      <c r="AA1960" s="276" t="e">
        <f>VLOOKUP(Logfile_S12[[#This Row],[DO number]],DO_DB!G:I,3,0)</f>
        <v>#N/A</v>
      </c>
      <c r="AB1960" s="331" t="e">
        <f>EXACT(Logfile_S12[[#This Row],[date pick]],Logfile_S12[[#This Row],[Date]])</f>
        <v>#N/A</v>
      </c>
      <c r="AC19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61" spans="1:29" ht="14.5" hidden="1">
      <c r="A1961" s="220" t="str">
        <f t="shared" si="70"/>
        <v>1957</v>
      </c>
      <c r="B1961" s="221"/>
      <c r="C1961" s="221" t="s">
        <v>49</v>
      </c>
      <c r="D1961" s="221" t="s">
        <v>4267</v>
      </c>
      <c r="E1961" s="221" t="s">
        <v>3295</v>
      </c>
      <c r="F1961" s="221" t="s">
        <v>3299</v>
      </c>
      <c r="G1961" s="222">
        <v>45596</v>
      </c>
      <c r="H1961" s="223">
        <v>0.79791666666666672</v>
      </c>
      <c r="I1961" s="221" t="s">
        <v>4916</v>
      </c>
      <c r="J1961" s="221" t="s">
        <v>3023</v>
      </c>
      <c r="K1961" s="224" t="s">
        <v>3069</v>
      </c>
      <c r="L1961" s="225" t="str">
        <f>VLOOKUP(Logfile_S12[[#This Row],[Material Name]],Sheet2!B:C,2,0)</f>
        <v>ZTE1001</v>
      </c>
      <c r="M1961" s="225" t="str">
        <f>_xlfn.XLOOKUP(Logfile_S12[[#This Row],[Material Name]],Sum_WH!E:E,Sum_WH!F:F,"",0)</f>
        <v>Pcs</v>
      </c>
      <c r="N1961" s="221">
        <v>2</v>
      </c>
      <c r="O1961" s="221" t="s">
        <v>2322</v>
      </c>
      <c r="P1961" s="221" t="s">
        <v>3403</v>
      </c>
      <c r="Q1961" s="221"/>
      <c r="R1961" s="221"/>
      <c r="S1961" s="221"/>
      <c r="T1961" s="221" t="s">
        <v>3404</v>
      </c>
      <c r="U1961" s="221">
        <v>0</v>
      </c>
      <c r="V1961" s="221" t="s">
        <v>3405</v>
      </c>
      <c r="W1961" s="221" t="s">
        <v>3406</v>
      </c>
      <c r="X1961" s="221"/>
      <c r="Y1961" s="227"/>
      <c r="Z1961" s="227" t="str">
        <f t="shared" si="71"/>
        <v>Mainfeeder Singosari Segment 3</v>
      </c>
      <c r="AA1961" s="276" t="e">
        <f>VLOOKUP(Logfile_S12[[#This Row],[DO number]],DO_DB!G:I,3,0)</f>
        <v>#N/A</v>
      </c>
      <c r="AB1961" s="331" t="e">
        <f>EXACT(Logfile_S12[[#This Row],[date pick]],Logfile_S12[[#This Row],[Date]])</f>
        <v>#N/A</v>
      </c>
      <c r="AC19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62" spans="1:29" ht="14.5" hidden="1">
      <c r="A1962" s="220" t="str">
        <f t="shared" si="70"/>
        <v>1958</v>
      </c>
      <c r="B1962" s="221"/>
      <c r="C1962" s="221" t="s">
        <v>49</v>
      </c>
      <c r="D1962" s="221" t="s">
        <v>4267</v>
      </c>
      <c r="E1962" s="221" t="s">
        <v>3295</v>
      </c>
      <c r="F1962" s="221" t="s">
        <v>3299</v>
      </c>
      <c r="G1962" s="222">
        <v>45596</v>
      </c>
      <c r="H1962" s="223">
        <v>0.79791666666666672</v>
      </c>
      <c r="I1962" s="221" t="s">
        <v>4916</v>
      </c>
      <c r="J1962" s="221" t="s">
        <v>3023</v>
      </c>
      <c r="K1962" s="224" t="s">
        <v>3069</v>
      </c>
      <c r="L1962" s="225" t="str">
        <f>VLOOKUP(Logfile_S12[[#This Row],[Material Name]],Sheet2!B:C,2,0)</f>
        <v>ZTE1001</v>
      </c>
      <c r="M1962" s="225" t="str">
        <f>_xlfn.XLOOKUP(Logfile_S12[[#This Row],[Material Name]],Sum_WH!E:E,Sum_WH!F:F,"",0)</f>
        <v>Pcs</v>
      </c>
      <c r="N1962" s="221">
        <v>4</v>
      </c>
      <c r="O1962" s="221" t="s">
        <v>2354</v>
      </c>
      <c r="P1962" s="221" t="s">
        <v>3407</v>
      </c>
      <c r="Q1962" s="221"/>
      <c r="R1962" s="221"/>
      <c r="S1962" s="221"/>
      <c r="T1962" s="221" t="s">
        <v>3404</v>
      </c>
      <c r="U1962" s="221">
        <v>0</v>
      </c>
      <c r="V1962" s="221" t="s">
        <v>3405</v>
      </c>
      <c r="W1962" s="221" t="s">
        <v>3406</v>
      </c>
      <c r="X1962" s="221"/>
      <c r="Y1962" s="227"/>
      <c r="Z1962" s="227" t="str">
        <f t="shared" si="71"/>
        <v>HUBFEEDER KLAMPOK</v>
      </c>
      <c r="AA1962" s="276" t="e">
        <f>VLOOKUP(Logfile_S12[[#This Row],[DO number]],DO_DB!G:I,3,0)</f>
        <v>#N/A</v>
      </c>
      <c r="AB1962" s="331" t="e">
        <f>EXACT(Logfile_S12[[#This Row],[date pick]],Logfile_S12[[#This Row],[Date]])</f>
        <v>#N/A</v>
      </c>
      <c r="AC19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63" spans="1:29" ht="14.5" hidden="1">
      <c r="A1963" s="220" t="str">
        <f t="shared" si="70"/>
        <v>1959</v>
      </c>
      <c r="B1963" s="221"/>
      <c r="C1963" s="221" t="s">
        <v>48</v>
      </c>
      <c r="D1963" s="221" t="s">
        <v>4272</v>
      </c>
      <c r="E1963" s="221" t="s">
        <v>3295</v>
      </c>
      <c r="F1963" s="221" t="s">
        <v>3299</v>
      </c>
      <c r="G1963" s="222">
        <v>45602</v>
      </c>
      <c r="H1963" s="223">
        <v>15.291666666666666</v>
      </c>
      <c r="I1963" s="221" t="s">
        <v>37</v>
      </c>
      <c r="J1963" s="221" t="s">
        <v>3023</v>
      </c>
      <c r="K1963" s="224" t="s">
        <v>3069</v>
      </c>
      <c r="L1963" s="225" t="str">
        <f>VLOOKUP(Logfile_S12[[#This Row],[Material Name]],Sheet2!B:C,2,0)</f>
        <v>ZTE1001</v>
      </c>
      <c r="M1963" s="225" t="str">
        <f>_xlfn.XLOOKUP(Logfile_S12[[#This Row],[Material Name]],Sum_WH!E:E,Sum_WH!F:F,"",0)</f>
        <v>Pcs</v>
      </c>
      <c r="N1963" s="221">
        <v>20</v>
      </c>
      <c r="O1963" s="221" t="s">
        <v>2350</v>
      </c>
      <c r="P1963" s="221" t="s">
        <v>3470</v>
      </c>
      <c r="Q1963" s="221" t="s">
        <v>2358</v>
      </c>
      <c r="R1963" s="221" t="s">
        <v>2359</v>
      </c>
      <c r="S1963" s="221"/>
      <c r="T1963" s="221"/>
      <c r="U1963" s="221"/>
      <c r="V1963" s="221"/>
      <c r="W1963" s="221"/>
      <c r="X1963" s="221"/>
      <c r="Y1963" s="227"/>
      <c r="Z1963" s="227" t="str">
        <f t="shared" si="71"/>
        <v>Kalirejo RW 13 Lawang</v>
      </c>
      <c r="AA1963" s="276">
        <f>VLOOKUP(Logfile_S12[[#This Row],[DO number]],DO_DB!G:I,3,0)</f>
        <v>45602</v>
      </c>
      <c r="AB1963" s="331" t="b">
        <f>EXACT(Logfile_S12[[#This Row],[date pick]],Logfile_S12[[#This Row],[Date]])</f>
        <v>1</v>
      </c>
      <c r="AC19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64" spans="1:29" ht="14.5" hidden="1">
      <c r="A1964" s="220" t="str">
        <f t="shared" si="70"/>
        <v>1960</v>
      </c>
      <c r="B1964" s="221"/>
      <c r="C1964" s="221" t="s">
        <v>48</v>
      </c>
      <c r="D1964" s="221" t="s">
        <v>4272</v>
      </c>
      <c r="E1964" s="221" t="s">
        <v>3295</v>
      </c>
      <c r="F1964" s="221" t="s">
        <v>3299</v>
      </c>
      <c r="G1964" s="222">
        <v>45602</v>
      </c>
      <c r="H1964" s="223">
        <v>15.291666666666666</v>
      </c>
      <c r="I1964" s="221" t="s">
        <v>37</v>
      </c>
      <c r="J1964" s="221" t="s">
        <v>3023</v>
      </c>
      <c r="K1964" s="224" t="s">
        <v>3069</v>
      </c>
      <c r="L1964" s="225" t="str">
        <f>VLOOKUP(Logfile_S12[[#This Row],[Material Name]],Sheet2!B:C,2,0)</f>
        <v>ZTE1001</v>
      </c>
      <c r="M1964" s="225" t="str">
        <f>_xlfn.XLOOKUP(Logfile_S12[[#This Row],[Material Name]],Sum_WH!E:E,Sum_WH!F:F,"",0)</f>
        <v>Pcs</v>
      </c>
      <c r="N1964" s="221">
        <v>25</v>
      </c>
      <c r="O1964" s="221" t="s">
        <v>2354</v>
      </c>
      <c r="P1964" s="221" t="s">
        <v>3407</v>
      </c>
      <c r="Q1964" s="221" t="s">
        <v>2356</v>
      </c>
      <c r="R1964" s="221" t="s">
        <v>2357</v>
      </c>
      <c r="S1964" s="221"/>
      <c r="T1964" s="221"/>
      <c r="U1964" s="221"/>
      <c r="V1964" s="221"/>
      <c r="W1964" s="221"/>
      <c r="X1964" s="221"/>
      <c r="Y1964" s="227"/>
      <c r="Z1964" s="227" t="str">
        <f t="shared" si="71"/>
        <v>HUBFEEDER KLAMPOK</v>
      </c>
      <c r="AA1964" s="276">
        <f>VLOOKUP(Logfile_S12[[#This Row],[DO number]],DO_DB!G:I,3,0)</f>
        <v>45602</v>
      </c>
      <c r="AB1964" s="331" t="b">
        <f>EXACT(Logfile_S12[[#This Row],[date pick]],Logfile_S12[[#This Row],[Date]])</f>
        <v>1</v>
      </c>
      <c r="AC19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65" spans="1:29" ht="14.5" hidden="1">
      <c r="A1965" s="220" t="str">
        <f t="shared" si="70"/>
        <v>1961</v>
      </c>
      <c r="B1965" s="221"/>
      <c r="C1965" s="221" t="s">
        <v>48</v>
      </c>
      <c r="D1965" s="221" t="s">
        <v>4272</v>
      </c>
      <c r="E1965" s="221" t="s">
        <v>3295</v>
      </c>
      <c r="F1965" s="221" t="s">
        <v>3299</v>
      </c>
      <c r="G1965" s="222">
        <v>45602</v>
      </c>
      <c r="H1965" s="223">
        <v>15.291666666666666</v>
      </c>
      <c r="I1965" s="221" t="s">
        <v>37</v>
      </c>
      <c r="J1965" s="221" t="s">
        <v>3023</v>
      </c>
      <c r="K1965" s="224" t="s">
        <v>3069</v>
      </c>
      <c r="L1965" s="225" t="str">
        <f>VLOOKUP(Logfile_S12[[#This Row],[Material Name]],Sheet2!B:C,2,0)</f>
        <v>ZTE1001</v>
      </c>
      <c r="M1965" s="225" t="str">
        <f>_xlfn.XLOOKUP(Logfile_S12[[#This Row],[Material Name]],Sum_WH!E:E,Sum_WH!F:F,"",0)</f>
        <v>Pcs</v>
      </c>
      <c r="N1965" s="221">
        <v>81</v>
      </c>
      <c r="O1965" s="221" t="s">
        <v>2360</v>
      </c>
      <c r="P1965" s="221" t="s">
        <v>2361</v>
      </c>
      <c r="Q1965" s="221" t="s">
        <v>2364</v>
      </c>
      <c r="R1965" s="221" t="s">
        <v>2363</v>
      </c>
      <c r="S1965" s="221"/>
      <c r="T1965" s="221"/>
      <c r="U1965" s="221"/>
      <c r="V1965" s="221"/>
      <c r="W1965" s="221"/>
      <c r="X1965" s="221"/>
      <c r="Y1965" s="227"/>
      <c r="Z1965" s="227" t="str">
        <f t="shared" si="71"/>
        <v>Tambakasri RW 02 Tajinan</v>
      </c>
      <c r="AA1965" s="276">
        <f>VLOOKUP(Logfile_S12[[#This Row],[DO number]],DO_DB!G:I,3,0)</f>
        <v>45602</v>
      </c>
      <c r="AB1965" s="331" t="b">
        <f>EXACT(Logfile_S12[[#This Row],[date pick]],Logfile_S12[[#This Row],[Date]])</f>
        <v>1</v>
      </c>
      <c r="AC19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66" spans="1:29" ht="14.5" hidden="1">
      <c r="A1966" s="220" t="str">
        <f t="shared" si="70"/>
        <v>1962</v>
      </c>
      <c r="B1966" s="221"/>
      <c r="C1966" s="221" t="s">
        <v>49</v>
      </c>
      <c r="D1966" s="221" t="s">
        <v>4271</v>
      </c>
      <c r="E1966" s="221" t="s">
        <v>3295</v>
      </c>
      <c r="F1966" s="221" t="s">
        <v>3299</v>
      </c>
      <c r="G1966" s="222">
        <v>45602</v>
      </c>
      <c r="H1966" s="223">
        <v>0.35069444444444442</v>
      </c>
      <c r="I1966" s="221" t="s">
        <v>4916</v>
      </c>
      <c r="J1966" s="221" t="s">
        <v>3023</v>
      </c>
      <c r="K1966" s="224" t="s">
        <v>3069</v>
      </c>
      <c r="L1966" s="225" t="str">
        <f>VLOOKUP(Logfile_S12[[#This Row],[Material Name]],Sheet2!B:C,2,0)</f>
        <v>ZTE1001</v>
      </c>
      <c r="M1966" s="225" t="str">
        <f>_xlfn.XLOOKUP(Logfile_S12[[#This Row],[Material Name]],Sum_WH!E:E,Sum_WH!F:F,"",0)</f>
        <v>Pcs</v>
      </c>
      <c r="N1966" s="221">
        <v>21</v>
      </c>
      <c r="O1966" s="221" t="s">
        <v>2360</v>
      </c>
      <c r="P1966" s="221" t="s">
        <v>2361</v>
      </c>
      <c r="Q1966" s="221"/>
      <c r="R1966" s="221"/>
      <c r="S1966" s="221"/>
      <c r="T1966" s="221" t="s">
        <v>3258</v>
      </c>
      <c r="U1966" s="221">
        <v>0</v>
      </c>
      <c r="V1966" s="221" t="s">
        <v>3337</v>
      </c>
      <c r="W1966" s="221" t="s">
        <v>3338</v>
      </c>
      <c r="X1966" s="221"/>
      <c r="Y1966" s="227"/>
      <c r="Z1966" s="227" t="str">
        <f t="shared" si="71"/>
        <v>Tambakasri RW 02 Tajinan</v>
      </c>
      <c r="AA1966" s="276" t="e">
        <f>VLOOKUP(Logfile_S12[[#This Row],[DO number]],DO_DB!G:I,3,0)</f>
        <v>#N/A</v>
      </c>
      <c r="AB1966" s="331" t="e">
        <f>EXACT(Logfile_S12[[#This Row],[date pick]],Logfile_S12[[#This Row],[Date]])</f>
        <v>#N/A</v>
      </c>
      <c r="AC19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67" spans="1:29" ht="14.5" hidden="1">
      <c r="A1967" s="220" t="str">
        <f t="shared" si="70"/>
        <v>1963</v>
      </c>
      <c r="B1967" s="221"/>
      <c r="C1967" s="221" t="s">
        <v>49</v>
      </c>
      <c r="D1967" s="221" t="s">
        <v>4277</v>
      </c>
      <c r="E1967" s="221" t="s">
        <v>3295</v>
      </c>
      <c r="F1967" s="221" t="s">
        <v>3299</v>
      </c>
      <c r="G1967" s="222">
        <v>45616</v>
      </c>
      <c r="H1967" s="223">
        <v>0.55902777777777779</v>
      </c>
      <c r="I1967" s="221" t="s">
        <v>4916</v>
      </c>
      <c r="J1967" s="221" t="s">
        <v>3023</v>
      </c>
      <c r="K1967" s="224" t="s">
        <v>3069</v>
      </c>
      <c r="L1967" s="225" t="str">
        <f>VLOOKUP(Logfile_S12[[#This Row],[Material Name]],Sheet2!B:C,2,0)</f>
        <v>ZTE1001</v>
      </c>
      <c r="M1967" s="225" t="str">
        <f>_xlfn.XLOOKUP(Logfile_S12[[#This Row],[Material Name]],Sum_WH!E:E,Sum_WH!F:F,"",0)</f>
        <v>Pcs</v>
      </c>
      <c r="N1967" s="221">
        <v>14</v>
      </c>
      <c r="O1967" s="221" t="s">
        <v>2350</v>
      </c>
      <c r="P1967" s="221" t="s">
        <v>3409</v>
      </c>
      <c r="Q1967" s="221"/>
      <c r="R1967" s="221"/>
      <c r="S1967" s="221"/>
      <c r="T1967" s="221" t="s">
        <v>3258</v>
      </c>
      <c r="U1967" s="221">
        <v>0</v>
      </c>
      <c r="V1967" s="221" t="s">
        <v>3337</v>
      </c>
      <c r="W1967" s="221" t="s">
        <v>3338</v>
      </c>
      <c r="X1967" s="221"/>
      <c r="Y1967" s="227"/>
      <c r="Z1967" s="227" t="str">
        <f t="shared" si="71"/>
        <v>Kalirejo RW 13 Lawang Malang</v>
      </c>
      <c r="AA1967" s="276" t="e">
        <f>VLOOKUP(Logfile_S12[[#This Row],[DO number]],DO_DB!G:I,3,0)</f>
        <v>#N/A</v>
      </c>
      <c r="AB1967" s="331" t="e">
        <f>EXACT(Logfile_S12[[#This Row],[date pick]],Logfile_S12[[#This Row],[Date]])</f>
        <v>#N/A</v>
      </c>
      <c r="AC19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68" spans="1:29" ht="14.5" hidden="1">
      <c r="A1968" s="220" t="str">
        <f t="shared" si="70"/>
        <v>1964</v>
      </c>
      <c r="B1968" s="221"/>
      <c r="C1968" s="221" t="s">
        <v>49</v>
      </c>
      <c r="D1968" s="221" t="s">
        <v>4278</v>
      </c>
      <c r="E1968" s="221" t="s">
        <v>3295</v>
      </c>
      <c r="F1968" s="221" t="s">
        <v>3299</v>
      </c>
      <c r="G1968" s="222">
        <v>45616</v>
      </c>
      <c r="H1968" s="223">
        <v>0.70833333333333337</v>
      </c>
      <c r="I1968" s="221" t="s">
        <v>4916</v>
      </c>
      <c r="J1968" s="221" t="s">
        <v>3023</v>
      </c>
      <c r="K1968" s="224" t="s">
        <v>3069</v>
      </c>
      <c r="L1968" s="225" t="str">
        <f>VLOOKUP(Logfile_S12[[#This Row],[Material Name]],Sheet2!B:C,2,0)</f>
        <v>ZTE1001</v>
      </c>
      <c r="M1968" s="225" t="str">
        <f>_xlfn.XLOOKUP(Logfile_S12[[#This Row],[Material Name]],Sum_WH!E:E,Sum_WH!F:F,"",0)</f>
        <v>Pcs</v>
      </c>
      <c r="N1968" s="221">
        <v>19</v>
      </c>
      <c r="O1968" s="221" t="s">
        <v>2360</v>
      </c>
      <c r="P1968" s="221" t="s">
        <v>2361</v>
      </c>
      <c r="Q1968" s="221"/>
      <c r="R1968" s="221"/>
      <c r="S1968" s="221"/>
      <c r="T1968" s="221" t="s">
        <v>3258</v>
      </c>
      <c r="U1968" s="221">
        <v>0</v>
      </c>
      <c r="V1968" s="221" t="s">
        <v>3337</v>
      </c>
      <c r="W1968" s="221" t="s">
        <v>3338</v>
      </c>
      <c r="X1968" s="221"/>
      <c r="Y1968" s="227"/>
      <c r="Z1968" s="227" t="str">
        <f t="shared" si="71"/>
        <v>Tambakasri RW 02 Tajinan</v>
      </c>
      <c r="AA1968" s="276" t="e">
        <f>VLOOKUP(Logfile_S12[[#This Row],[DO number]],DO_DB!G:I,3,0)</f>
        <v>#N/A</v>
      </c>
      <c r="AB1968" s="331" t="e">
        <f>EXACT(Logfile_S12[[#This Row],[date pick]],Logfile_S12[[#This Row],[Date]])</f>
        <v>#N/A</v>
      </c>
      <c r="AC19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69" spans="1:29" ht="14.5" hidden="1">
      <c r="A1969" s="220" t="str">
        <f t="shared" si="70"/>
        <v>1965</v>
      </c>
      <c r="B1969" s="221"/>
      <c r="C1969" s="221" t="s">
        <v>49</v>
      </c>
      <c r="D1969" s="221" t="s">
        <v>4282</v>
      </c>
      <c r="E1969" s="221" t="s">
        <v>3295</v>
      </c>
      <c r="F1969" s="221" t="s">
        <v>3299</v>
      </c>
      <c r="G1969" s="222">
        <v>45617</v>
      </c>
      <c r="H1969" s="223">
        <v>0.58819444444444446</v>
      </c>
      <c r="I1969" s="221" t="s">
        <v>4916</v>
      </c>
      <c r="J1969" s="221" t="s">
        <v>3023</v>
      </c>
      <c r="K1969" s="224" t="s">
        <v>3069</v>
      </c>
      <c r="L1969" s="225" t="str">
        <f>VLOOKUP(Logfile_S12[[#This Row],[Material Name]],Sheet2!B:C,2,0)</f>
        <v>ZTE1001</v>
      </c>
      <c r="M1969" s="225" t="str">
        <f>_xlfn.XLOOKUP(Logfile_S12[[#This Row],[Material Name]],Sum_WH!E:E,Sum_WH!F:F,"",0)</f>
        <v>Pcs</v>
      </c>
      <c r="N1969" s="221">
        <v>7</v>
      </c>
      <c r="O1969" s="221" t="s">
        <v>2350</v>
      </c>
      <c r="P1969" s="221" t="s">
        <v>3409</v>
      </c>
      <c r="Q1969" s="221"/>
      <c r="R1969" s="221"/>
      <c r="S1969" s="221"/>
      <c r="T1969" s="221" t="s">
        <v>3258</v>
      </c>
      <c r="U1969" s="221">
        <v>0</v>
      </c>
      <c r="V1969" s="221" t="s">
        <v>3337</v>
      </c>
      <c r="W1969" s="221" t="s">
        <v>3338</v>
      </c>
      <c r="X1969" s="221"/>
      <c r="Y1969" s="227"/>
      <c r="Z1969" s="227" t="str">
        <f t="shared" si="71"/>
        <v>Kalirejo RW 13 Lawang Malang</v>
      </c>
      <c r="AA1969" s="276" t="e">
        <f>VLOOKUP(Logfile_S12[[#This Row],[DO number]],DO_DB!G:I,3,0)</f>
        <v>#N/A</v>
      </c>
      <c r="AB1969" s="331" t="e">
        <f>EXACT(Logfile_S12[[#This Row],[date pick]],Logfile_S12[[#This Row],[Date]])</f>
        <v>#N/A</v>
      </c>
      <c r="AC19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70" spans="1:29" ht="14.5" hidden="1">
      <c r="A1970" s="220" t="str">
        <f t="shared" si="70"/>
        <v>1966</v>
      </c>
      <c r="B1970" s="221"/>
      <c r="C1970" s="221" t="s">
        <v>49</v>
      </c>
      <c r="D1970" s="221" t="s">
        <v>4283</v>
      </c>
      <c r="E1970" s="221" t="s">
        <v>3295</v>
      </c>
      <c r="F1970" s="221" t="s">
        <v>3299</v>
      </c>
      <c r="G1970" s="222">
        <v>45618</v>
      </c>
      <c r="H1970" s="223">
        <v>0.39583333333333331</v>
      </c>
      <c r="I1970" s="221" t="s">
        <v>4916</v>
      </c>
      <c r="J1970" s="221" t="s">
        <v>3023</v>
      </c>
      <c r="K1970" s="224" t="s">
        <v>3069</v>
      </c>
      <c r="L1970" s="225" t="str">
        <f>VLOOKUP(Logfile_S12[[#This Row],[Material Name]],Sheet2!B:C,2,0)</f>
        <v>ZTE1001</v>
      </c>
      <c r="M1970" s="225" t="str">
        <f>_xlfn.XLOOKUP(Logfile_S12[[#This Row],[Material Name]],Sum_WH!E:E,Sum_WH!F:F,"",0)</f>
        <v>Pcs</v>
      </c>
      <c r="N1970" s="221">
        <v>14</v>
      </c>
      <c r="O1970" s="221" t="s">
        <v>2520</v>
      </c>
      <c r="P1970" s="221" t="s">
        <v>2521</v>
      </c>
      <c r="Q1970" s="221"/>
      <c r="R1970" s="221"/>
      <c r="S1970" s="221"/>
      <c r="T1970" s="221" t="s">
        <v>3258</v>
      </c>
      <c r="U1970" s="221">
        <v>0</v>
      </c>
      <c r="V1970" s="221" t="s">
        <v>3337</v>
      </c>
      <c r="W1970" s="221" t="s">
        <v>3338</v>
      </c>
      <c r="X1970" s="221"/>
      <c r="Y1970" s="227"/>
      <c r="Z1970" s="227" t="str">
        <f t="shared" si="71"/>
        <v>Perumahan Bukit Lawang Indah Malang</v>
      </c>
      <c r="AA1970" s="276" t="e">
        <f>VLOOKUP(Logfile_S12[[#This Row],[DO number]],DO_DB!G:I,3,0)</f>
        <v>#N/A</v>
      </c>
      <c r="AB1970" s="331" t="e">
        <f>EXACT(Logfile_S12[[#This Row],[date pick]],Logfile_S12[[#This Row],[Date]])</f>
        <v>#N/A</v>
      </c>
      <c r="AC19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71" spans="1:29" ht="14.5" hidden="1">
      <c r="A1971" s="220" t="str">
        <f t="shared" si="70"/>
        <v>1967</v>
      </c>
      <c r="B1971" s="221"/>
      <c r="C1971" s="221" t="s">
        <v>48</v>
      </c>
      <c r="D1971" s="221" t="s">
        <v>4290</v>
      </c>
      <c r="E1971" s="221" t="s">
        <v>3295</v>
      </c>
      <c r="F1971" s="221" t="s">
        <v>3299</v>
      </c>
      <c r="G1971" s="222">
        <v>45622</v>
      </c>
      <c r="H1971" s="223">
        <v>15.291666666666666</v>
      </c>
      <c r="I1971" s="221" t="s">
        <v>37</v>
      </c>
      <c r="J1971" s="221" t="s">
        <v>3023</v>
      </c>
      <c r="K1971" s="224" t="s">
        <v>3069</v>
      </c>
      <c r="L1971" s="225" t="str">
        <f>VLOOKUP(Logfile_S12[[#This Row],[Material Name]],Sheet2!B:C,2,0)</f>
        <v>ZTE1001</v>
      </c>
      <c r="M1971" s="225" t="str">
        <f>_xlfn.XLOOKUP(Logfile_S12[[#This Row],[Material Name]],Sum_WH!E:E,Sum_WH!F:F,"",0)</f>
        <v>Pcs</v>
      </c>
      <c r="N1971" s="221">
        <v>21</v>
      </c>
      <c r="O1971" s="221" t="s">
        <v>2508</v>
      </c>
      <c r="P1971" s="221" t="s">
        <v>3468</v>
      </c>
      <c r="Q1971" s="221" t="s">
        <v>2510</v>
      </c>
      <c r="R1971" s="221" t="s">
        <v>2511</v>
      </c>
      <c r="S1971" s="221"/>
      <c r="T1971" s="221"/>
      <c r="U1971" s="221"/>
      <c r="V1971" s="221"/>
      <c r="W1971" s="221"/>
      <c r="X1971" s="221"/>
      <c r="Y1971" s="227"/>
      <c r="Z1971" s="227" t="str">
        <f t="shared" si="71"/>
        <v>Bedali RW 04 Kromengan</v>
      </c>
      <c r="AA1971" s="276">
        <f>VLOOKUP(Logfile_S12[[#This Row],[DO number]],DO_DB!G:I,3,0)</f>
        <v>45622</v>
      </c>
      <c r="AB1971" s="331" t="b">
        <f>EXACT(Logfile_S12[[#This Row],[date pick]],Logfile_S12[[#This Row],[Date]])</f>
        <v>1</v>
      </c>
      <c r="AC19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72" spans="1:29" ht="14.5" hidden="1">
      <c r="A1972" s="220" t="str">
        <f t="shared" si="70"/>
        <v>1968</v>
      </c>
      <c r="B1972" s="221"/>
      <c r="C1972" s="221" t="s">
        <v>48</v>
      </c>
      <c r="D1972" s="221" t="s">
        <v>4290</v>
      </c>
      <c r="E1972" s="221" t="s">
        <v>3295</v>
      </c>
      <c r="F1972" s="221" t="s">
        <v>3299</v>
      </c>
      <c r="G1972" s="222">
        <v>45622</v>
      </c>
      <c r="H1972" s="223">
        <v>15.291666666666666</v>
      </c>
      <c r="I1972" s="221" t="s">
        <v>37</v>
      </c>
      <c r="J1972" s="221" t="s">
        <v>3023</v>
      </c>
      <c r="K1972" s="224" t="s">
        <v>3069</v>
      </c>
      <c r="L1972" s="225" t="str">
        <f>VLOOKUP(Logfile_S12[[#This Row],[Material Name]],Sheet2!B:C,2,0)</f>
        <v>ZTE1001</v>
      </c>
      <c r="M1972" s="225" t="str">
        <f>_xlfn.XLOOKUP(Logfile_S12[[#This Row],[Material Name]],Sum_WH!E:E,Sum_WH!F:F,"",0)</f>
        <v>Pcs</v>
      </c>
      <c r="N1972" s="221">
        <v>36</v>
      </c>
      <c r="O1972" s="221" t="s">
        <v>2502</v>
      </c>
      <c r="P1972" s="221" t="s">
        <v>2503</v>
      </c>
      <c r="Q1972" s="221" t="s">
        <v>2504</v>
      </c>
      <c r="R1972" s="221" t="s">
        <v>2505</v>
      </c>
      <c r="S1972" s="221"/>
      <c r="T1972" s="221"/>
      <c r="U1972" s="221"/>
      <c r="V1972" s="221"/>
      <c r="W1972" s="221"/>
      <c r="X1972" s="221"/>
      <c r="Y1972" s="227"/>
      <c r="Z1972" s="227" t="str">
        <f t="shared" si="71"/>
        <v>Bedali RW 03 Kromengan</v>
      </c>
      <c r="AA1972" s="276">
        <f>VLOOKUP(Logfile_S12[[#This Row],[DO number]],DO_DB!G:I,3,0)</f>
        <v>45622</v>
      </c>
      <c r="AB1972" s="331" t="b">
        <f>EXACT(Logfile_S12[[#This Row],[date pick]],Logfile_S12[[#This Row],[Date]])</f>
        <v>1</v>
      </c>
      <c r="AC19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73" spans="1:29" ht="14.5" hidden="1">
      <c r="A1973" s="220" t="str">
        <f t="shared" si="70"/>
        <v>1969</v>
      </c>
      <c r="B1973" s="221"/>
      <c r="C1973" s="221" t="s">
        <v>48</v>
      </c>
      <c r="D1973" s="221" t="s">
        <v>4290</v>
      </c>
      <c r="E1973" s="221" t="s">
        <v>3295</v>
      </c>
      <c r="F1973" s="221" t="s">
        <v>3299</v>
      </c>
      <c r="G1973" s="222">
        <v>45622</v>
      </c>
      <c r="H1973" s="223">
        <v>15.291666666666666</v>
      </c>
      <c r="I1973" s="221" t="s">
        <v>37</v>
      </c>
      <c r="J1973" s="221" t="s">
        <v>3023</v>
      </c>
      <c r="K1973" s="224" t="s">
        <v>3069</v>
      </c>
      <c r="L1973" s="225" t="str">
        <f>VLOOKUP(Logfile_S12[[#This Row],[Material Name]],Sheet2!B:C,2,0)</f>
        <v>ZTE1001</v>
      </c>
      <c r="M1973" s="225" t="str">
        <f>_xlfn.XLOOKUP(Logfile_S12[[#This Row],[Material Name]],Sum_WH!E:E,Sum_WH!F:F,"",0)</f>
        <v>Pcs</v>
      </c>
      <c r="N1973" s="221">
        <v>40</v>
      </c>
      <c r="O1973" s="221" t="s">
        <v>2520</v>
      </c>
      <c r="P1973" s="221" t="s">
        <v>2521</v>
      </c>
      <c r="Q1973" s="221" t="s">
        <v>2522</v>
      </c>
      <c r="R1973" s="221" t="s">
        <v>2523</v>
      </c>
      <c r="S1973" s="221"/>
      <c r="T1973" s="221" t="s">
        <v>3258</v>
      </c>
      <c r="U1973" s="221">
        <v>0</v>
      </c>
      <c r="V1973" s="221" t="s">
        <v>3337</v>
      </c>
      <c r="W1973" s="221" t="s">
        <v>3338</v>
      </c>
      <c r="X1973" s="221"/>
      <c r="Y1973" s="227"/>
      <c r="Z1973" s="227" t="str">
        <f t="shared" si="71"/>
        <v>Perumahan Bukit Lawang Indah Malang</v>
      </c>
      <c r="AA1973" s="276">
        <f>VLOOKUP(Logfile_S12[[#This Row],[DO number]],DO_DB!G:I,3,0)</f>
        <v>45622</v>
      </c>
      <c r="AB1973" s="331" t="b">
        <f>EXACT(Logfile_S12[[#This Row],[date pick]],Logfile_S12[[#This Row],[Date]])</f>
        <v>1</v>
      </c>
      <c r="AC19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74" spans="1:29" ht="14.5" hidden="1">
      <c r="A1974" s="220" t="str">
        <f t="shared" si="70"/>
        <v>1970</v>
      </c>
      <c r="B1974" s="221"/>
      <c r="C1974" s="221" t="s">
        <v>48</v>
      </c>
      <c r="D1974" s="221" t="s">
        <v>4290</v>
      </c>
      <c r="E1974" s="221" t="s">
        <v>3295</v>
      </c>
      <c r="F1974" s="221" t="s">
        <v>3299</v>
      </c>
      <c r="G1974" s="222">
        <v>45622</v>
      </c>
      <c r="H1974" s="223">
        <v>15.291666666666666</v>
      </c>
      <c r="I1974" s="221" t="s">
        <v>37</v>
      </c>
      <c r="J1974" s="221" t="s">
        <v>3023</v>
      </c>
      <c r="K1974" s="224" t="s">
        <v>3069</v>
      </c>
      <c r="L1974" s="225" t="str">
        <f>VLOOKUP(Logfile_S12[[#This Row],[Material Name]],Sheet2!B:C,2,0)</f>
        <v>ZTE1001</v>
      </c>
      <c r="M1974" s="225" t="str">
        <f>_xlfn.XLOOKUP(Logfile_S12[[#This Row],[Material Name]],Sum_WH!E:E,Sum_WH!F:F,"",0)</f>
        <v>Pcs</v>
      </c>
      <c r="N1974" s="221">
        <v>55</v>
      </c>
      <c r="O1974" s="221" t="s">
        <v>2514</v>
      </c>
      <c r="P1974" s="221" t="s">
        <v>2515</v>
      </c>
      <c r="Q1974" s="221" t="s">
        <v>2516</v>
      </c>
      <c r="R1974" s="221" t="s">
        <v>2517</v>
      </c>
      <c r="S1974" s="221"/>
      <c r="T1974" s="221"/>
      <c r="U1974" s="221"/>
      <c r="V1974" s="221"/>
      <c r="W1974" s="221"/>
      <c r="X1974" s="221"/>
      <c r="Y1974" s="227"/>
      <c r="Z1974" s="227" t="str">
        <f t="shared" si="71"/>
        <v>Bedali RW 05 Kromengan</v>
      </c>
      <c r="AA1974" s="276">
        <f>VLOOKUP(Logfile_S12[[#This Row],[DO number]],DO_DB!G:I,3,0)</f>
        <v>45622</v>
      </c>
      <c r="AB1974" s="331" t="b">
        <f>EXACT(Logfile_S12[[#This Row],[date pick]],Logfile_S12[[#This Row],[Date]])</f>
        <v>1</v>
      </c>
      <c r="AC19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75" spans="1:29" ht="14.5" hidden="1">
      <c r="A1975" s="220" t="str">
        <f t="shared" si="70"/>
        <v>1971</v>
      </c>
      <c r="B1975" s="221"/>
      <c r="C1975" s="221" t="s">
        <v>3388</v>
      </c>
      <c r="D1975" s="221" t="s">
        <v>4874</v>
      </c>
      <c r="E1975" s="221" t="s">
        <v>3295</v>
      </c>
      <c r="F1975" s="221" t="s">
        <v>3299</v>
      </c>
      <c r="G1975" s="222">
        <v>45623</v>
      </c>
      <c r="H1975" s="223">
        <v>0.79027777777777775</v>
      </c>
      <c r="I1975" s="221" t="s">
        <v>4918</v>
      </c>
      <c r="J1975" s="221" t="s">
        <v>3023</v>
      </c>
      <c r="K1975" s="224" t="s">
        <v>3069</v>
      </c>
      <c r="L1975" s="225" t="str">
        <f>VLOOKUP(Logfile_S12[[#This Row],[Material Name]],Sheet2!B:C,2,0)</f>
        <v>ZTE1001</v>
      </c>
      <c r="M1975" s="225" t="str">
        <f>_xlfn.XLOOKUP(Logfile_S12[[#This Row],[Material Name]],Sum_WH!E:E,Sum_WH!F:F,"",0)</f>
        <v>Pcs</v>
      </c>
      <c r="N1975" s="221">
        <v>18</v>
      </c>
      <c r="O1975" s="221" t="s">
        <v>3146</v>
      </c>
      <c r="P1975" s="221" t="s">
        <v>3384</v>
      </c>
      <c r="Q1975" s="221"/>
      <c r="R1975" s="221"/>
      <c r="S1975" s="221"/>
      <c r="T1975" s="221">
        <v>0</v>
      </c>
      <c r="U1975" s="221">
        <v>0</v>
      </c>
      <c r="V1975" s="221">
        <v>0</v>
      </c>
      <c r="W1975" s="221">
        <v>0</v>
      </c>
      <c r="X1975" s="221"/>
      <c r="Y1975" s="227"/>
      <c r="Z1975" s="227" t="str">
        <f t="shared" si="71"/>
        <v>GRESIK</v>
      </c>
      <c r="AA1975" s="276" t="e">
        <f>VLOOKUP(Logfile_S12[[#This Row],[DO number]],DO_DB!G:I,3,0)</f>
        <v>#N/A</v>
      </c>
      <c r="AB1975" s="331" t="e">
        <f>EXACT(Logfile_S12[[#This Row],[date pick]],Logfile_S12[[#This Row],[Date]])</f>
        <v>#N/A</v>
      </c>
      <c r="AC19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1976" spans="1:29" ht="14.5" hidden="1">
      <c r="A1976" s="220" t="str">
        <f t="shared" si="70"/>
        <v>1972</v>
      </c>
      <c r="B1976" s="221"/>
      <c r="C1976" s="221" t="s">
        <v>49</v>
      </c>
      <c r="D1976" s="221" t="s">
        <v>4297</v>
      </c>
      <c r="E1976" s="221" t="s">
        <v>3295</v>
      </c>
      <c r="F1976" s="221" t="s">
        <v>3299</v>
      </c>
      <c r="G1976" s="222">
        <v>45627</v>
      </c>
      <c r="H1976" s="223">
        <v>0.39583333333333331</v>
      </c>
      <c r="I1976" s="221" t="s">
        <v>4916</v>
      </c>
      <c r="J1976" s="221" t="s">
        <v>3023</v>
      </c>
      <c r="K1976" s="224" t="s">
        <v>3069</v>
      </c>
      <c r="L1976" s="225" t="str">
        <f>VLOOKUP(Logfile_S12[[#This Row],[Material Name]],Sheet2!B:C,2,0)</f>
        <v>ZTE1001</v>
      </c>
      <c r="M1976" s="225" t="str">
        <f>_xlfn.XLOOKUP(Logfile_S12[[#This Row],[Material Name]],Sum_WH!E:E,Sum_WH!F:F,"",0)</f>
        <v>Pcs</v>
      </c>
      <c r="N1976" s="221">
        <v>112</v>
      </c>
      <c r="O1976" s="221" t="s">
        <v>2502</v>
      </c>
      <c r="P1976" s="221" t="s">
        <v>2503</v>
      </c>
      <c r="Q1976" s="221"/>
      <c r="R1976" s="221"/>
      <c r="S1976" s="221"/>
      <c r="T1976" s="221" t="s">
        <v>3258</v>
      </c>
      <c r="U1976" s="221">
        <v>0</v>
      </c>
      <c r="V1976" s="221" t="s">
        <v>3337</v>
      </c>
      <c r="W1976" s="221" t="s">
        <v>3338</v>
      </c>
      <c r="X1976" s="221"/>
      <c r="Y1976" s="227"/>
      <c r="Z1976" s="227" t="str">
        <f t="shared" si="71"/>
        <v>Bedali RW 03 Kromengan</v>
      </c>
      <c r="AA1976" s="276" t="e">
        <f>VLOOKUP(Logfile_S12[[#This Row],[DO number]],DO_DB!G:I,3,0)</f>
        <v>#N/A</v>
      </c>
      <c r="AB1976" s="331" t="e">
        <f>EXACT(Logfile_S12[[#This Row],[date pick]],Logfile_S12[[#This Row],[Date]])</f>
        <v>#N/A</v>
      </c>
      <c r="AC19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77" spans="1:29" ht="14.5" hidden="1">
      <c r="A1977" s="220" t="str">
        <f t="shared" si="70"/>
        <v>1973</v>
      </c>
      <c r="B1977" s="221"/>
      <c r="C1977" s="221" t="s">
        <v>49</v>
      </c>
      <c r="D1977" s="221" t="s">
        <v>4301</v>
      </c>
      <c r="E1977" s="221" t="s">
        <v>3295</v>
      </c>
      <c r="F1977" s="221" t="s">
        <v>3299</v>
      </c>
      <c r="G1977" s="222">
        <v>45640</v>
      </c>
      <c r="H1977" s="223">
        <v>0.48541666666666666</v>
      </c>
      <c r="I1977" s="221" t="s">
        <v>4916</v>
      </c>
      <c r="J1977" s="221" t="s">
        <v>3023</v>
      </c>
      <c r="K1977" s="224" t="s">
        <v>3069</v>
      </c>
      <c r="L1977" s="225" t="str">
        <f>VLOOKUP(Logfile_S12[[#This Row],[Material Name]],Sheet2!B:C,2,0)</f>
        <v>ZTE1001</v>
      </c>
      <c r="M1977" s="225" t="str">
        <f>_xlfn.XLOOKUP(Logfile_S12[[#This Row],[Material Name]],Sum_WH!E:E,Sum_WH!F:F,"",0)</f>
        <v>Pcs</v>
      </c>
      <c r="N1977" s="221">
        <v>39</v>
      </c>
      <c r="O1977" s="221" t="s">
        <v>2549</v>
      </c>
      <c r="P1977" s="221" t="s">
        <v>2550</v>
      </c>
      <c r="Q1977" s="221"/>
      <c r="R1977" s="221"/>
      <c r="S1977" s="221"/>
      <c r="T1977" s="221" t="s">
        <v>3258</v>
      </c>
      <c r="U1977" s="221">
        <v>0</v>
      </c>
      <c r="V1977" s="221" t="s">
        <v>3337</v>
      </c>
      <c r="W1977" s="221" t="s">
        <v>3338</v>
      </c>
      <c r="X1977" s="221"/>
      <c r="Y1977" s="227"/>
      <c r="Z1977" s="227" t="str">
        <f t="shared" si="71"/>
        <v>PERMANU RW 01 MALANG</v>
      </c>
      <c r="AA1977" s="276" t="e">
        <f>VLOOKUP(Logfile_S12[[#This Row],[DO number]],DO_DB!G:I,3,0)</f>
        <v>#N/A</v>
      </c>
      <c r="AB1977" s="331" t="e">
        <f>EXACT(Logfile_S12[[#This Row],[date pick]],Logfile_S12[[#This Row],[Date]])</f>
        <v>#N/A</v>
      </c>
      <c r="AC19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78" spans="1:29" ht="14.5" hidden="1">
      <c r="A1978" s="220" t="str">
        <f t="shared" si="70"/>
        <v>1974</v>
      </c>
      <c r="B1978" s="221"/>
      <c r="C1978" s="221" t="s">
        <v>49</v>
      </c>
      <c r="D1978" s="221" t="s">
        <v>4301</v>
      </c>
      <c r="E1978" s="221" t="s">
        <v>3295</v>
      </c>
      <c r="F1978" s="221" t="s">
        <v>3299</v>
      </c>
      <c r="G1978" s="222">
        <v>45640</v>
      </c>
      <c r="H1978" s="223">
        <v>0.48541666666666666</v>
      </c>
      <c r="I1978" s="221" t="s">
        <v>4916</v>
      </c>
      <c r="J1978" s="221" t="s">
        <v>3023</v>
      </c>
      <c r="K1978" s="224" t="s">
        <v>3069</v>
      </c>
      <c r="L1978" s="225" t="str">
        <f>VLOOKUP(Logfile_S12[[#This Row],[Material Name]],Sheet2!B:C,2,0)</f>
        <v>ZTE1001</v>
      </c>
      <c r="M1978" s="225" t="str">
        <f>_xlfn.XLOOKUP(Logfile_S12[[#This Row],[Material Name]],Sum_WH!E:E,Sum_WH!F:F,"",0)</f>
        <v>Pcs</v>
      </c>
      <c r="N1978" s="221">
        <v>76</v>
      </c>
      <c r="O1978" s="221" t="s">
        <v>2535</v>
      </c>
      <c r="P1978" s="221" t="s">
        <v>3422</v>
      </c>
      <c r="Q1978" s="221"/>
      <c r="R1978" s="221"/>
      <c r="S1978" s="221"/>
      <c r="T1978" s="221" t="s">
        <v>3258</v>
      </c>
      <c r="U1978" s="221">
        <v>0</v>
      </c>
      <c r="V1978" s="221" t="s">
        <v>3337</v>
      </c>
      <c r="W1978" s="221" t="s">
        <v>3338</v>
      </c>
      <c r="X1978" s="221"/>
      <c r="Y1978" s="227"/>
      <c r="Z1978" s="227" t="str">
        <f t="shared" si="71"/>
        <v>DUSUN CUPAK RW 01</v>
      </c>
      <c r="AA1978" s="276" t="e">
        <f>VLOOKUP(Logfile_S12[[#This Row],[DO number]],DO_DB!G:I,3,0)</f>
        <v>#N/A</v>
      </c>
      <c r="AB1978" s="331" t="e">
        <f>EXACT(Logfile_S12[[#This Row],[date pick]],Logfile_S12[[#This Row],[Date]])</f>
        <v>#N/A</v>
      </c>
      <c r="AC19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79" spans="1:29" ht="14.5" hidden="1">
      <c r="A1979" s="220" t="str">
        <f t="shared" si="70"/>
        <v>1975</v>
      </c>
      <c r="B1979" s="221"/>
      <c r="C1979" s="221" t="s">
        <v>49</v>
      </c>
      <c r="D1979" s="221" t="s">
        <v>4302</v>
      </c>
      <c r="E1979" s="221" t="s">
        <v>3295</v>
      </c>
      <c r="F1979" s="221" t="s">
        <v>3299</v>
      </c>
      <c r="G1979" s="222">
        <v>45641</v>
      </c>
      <c r="H1979" s="223">
        <v>0.64513888888888893</v>
      </c>
      <c r="I1979" s="221" t="s">
        <v>4916</v>
      </c>
      <c r="J1979" s="221" t="s">
        <v>3023</v>
      </c>
      <c r="K1979" s="224" t="s">
        <v>3069</v>
      </c>
      <c r="L1979" s="225" t="str">
        <f>VLOOKUP(Logfile_S12[[#This Row],[Material Name]],Sheet2!B:C,2,0)</f>
        <v>ZTE1001</v>
      </c>
      <c r="M1979" s="225" t="str">
        <f>_xlfn.XLOOKUP(Logfile_S12[[#This Row],[Material Name]],Sum_WH!E:E,Sum_WH!F:F,"",0)</f>
        <v>Pcs</v>
      </c>
      <c r="N1979" s="221">
        <v>21</v>
      </c>
      <c r="O1979" s="221" t="s">
        <v>2013</v>
      </c>
      <c r="P1979" s="221" t="s">
        <v>2014</v>
      </c>
      <c r="Q1979" s="221"/>
      <c r="R1979" s="221"/>
      <c r="S1979" s="221"/>
      <c r="T1979" s="221" t="s">
        <v>3231</v>
      </c>
      <c r="U1979" s="221">
        <v>0</v>
      </c>
      <c r="V1979" s="221" t="s">
        <v>3375</v>
      </c>
      <c r="W1979" s="221" t="s">
        <v>3249</v>
      </c>
      <c r="X1979" s="221"/>
      <c r="Y1979" s="227"/>
      <c r="Z1979" s="227" t="str">
        <f t="shared" si="71"/>
        <v>Perumahan Panca Garden</v>
      </c>
      <c r="AA1979" s="276" t="e">
        <f>VLOOKUP(Logfile_S12[[#This Row],[DO number]],DO_DB!G:I,3,0)</f>
        <v>#N/A</v>
      </c>
      <c r="AB1979" s="331" t="e">
        <f>EXACT(Logfile_S12[[#This Row],[date pick]],Logfile_S12[[#This Row],[Date]])</f>
        <v>#N/A</v>
      </c>
      <c r="AC19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80" spans="1:29" ht="14.5" hidden="1">
      <c r="A1980" s="220" t="str">
        <f t="shared" si="70"/>
        <v>1976</v>
      </c>
      <c r="B1980" s="221"/>
      <c r="C1980" s="221" t="s">
        <v>49</v>
      </c>
      <c r="D1980" s="221" t="s">
        <v>4303</v>
      </c>
      <c r="E1980" s="221" t="s">
        <v>3295</v>
      </c>
      <c r="F1980" s="221" t="s">
        <v>3299</v>
      </c>
      <c r="G1980" s="222">
        <v>45642</v>
      </c>
      <c r="H1980" s="223">
        <v>0.60902777777777772</v>
      </c>
      <c r="I1980" s="221" t="s">
        <v>4916</v>
      </c>
      <c r="J1980" s="221" t="s">
        <v>3023</v>
      </c>
      <c r="K1980" s="224" t="s">
        <v>3069</v>
      </c>
      <c r="L1980" s="225" t="str">
        <f>VLOOKUP(Logfile_S12[[#This Row],[Material Name]],Sheet2!B:C,2,0)</f>
        <v>ZTE1001</v>
      </c>
      <c r="M1980" s="225" t="str">
        <f>_xlfn.XLOOKUP(Logfile_S12[[#This Row],[Material Name]],Sum_WH!E:E,Sum_WH!F:F,"",0)</f>
        <v>Pcs</v>
      </c>
      <c r="N1980" s="221">
        <v>9</v>
      </c>
      <c r="O1980" s="221" t="s">
        <v>2013</v>
      </c>
      <c r="P1980" s="221" t="s">
        <v>2014</v>
      </c>
      <c r="Q1980" s="221"/>
      <c r="R1980" s="221"/>
      <c r="S1980" s="221"/>
      <c r="T1980" s="221" t="s">
        <v>3231</v>
      </c>
      <c r="U1980" s="221">
        <v>0</v>
      </c>
      <c r="V1980" s="221" t="s">
        <v>3375</v>
      </c>
      <c r="W1980" s="221" t="s">
        <v>3249</v>
      </c>
      <c r="X1980" s="221"/>
      <c r="Y1980" s="227"/>
      <c r="Z1980" s="227" t="str">
        <f t="shared" si="71"/>
        <v>Perumahan Panca Garden</v>
      </c>
      <c r="AA1980" s="276" t="e">
        <f>VLOOKUP(Logfile_S12[[#This Row],[DO number]],DO_DB!G:I,3,0)</f>
        <v>#N/A</v>
      </c>
      <c r="AB1980" s="331" t="e">
        <f>EXACT(Logfile_S12[[#This Row],[date pick]],Logfile_S12[[#This Row],[Date]])</f>
        <v>#N/A</v>
      </c>
      <c r="AC19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81" spans="1:29" ht="14.5" hidden="1">
      <c r="A1981" s="220" t="str">
        <f t="shared" si="70"/>
        <v>1977</v>
      </c>
      <c r="B1981" s="221"/>
      <c r="C1981" s="221" t="s">
        <v>48</v>
      </c>
      <c r="D1981" s="221" t="s">
        <v>4308</v>
      </c>
      <c r="E1981" s="221" t="s">
        <v>3295</v>
      </c>
      <c r="F1981" s="221" t="s">
        <v>3299</v>
      </c>
      <c r="G1981" s="222">
        <v>45643</v>
      </c>
      <c r="H1981" s="223">
        <v>15.291666666666666</v>
      </c>
      <c r="I1981" s="221" t="s">
        <v>37</v>
      </c>
      <c r="J1981" s="221" t="s">
        <v>3023</v>
      </c>
      <c r="K1981" s="224" t="s">
        <v>3069</v>
      </c>
      <c r="L1981" s="225" t="str">
        <f>VLOOKUP(Logfile_S12[[#This Row],[Material Name]],Sheet2!B:C,2,0)</f>
        <v>ZTE1001</v>
      </c>
      <c r="M1981" s="225" t="str">
        <f>_xlfn.XLOOKUP(Logfile_S12[[#This Row],[Material Name]],Sum_WH!E:E,Sum_WH!F:F,"",0)</f>
        <v>Pcs</v>
      </c>
      <c r="N1981" s="221">
        <v>113</v>
      </c>
      <c r="O1981" s="221"/>
      <c r="P1981" s="221"/>
      <c r="Q1981" s="221">
        <v>0</v>
      </c>
      <c r="R1981" s="221">
        <v>0</v>
      </c>
      <c r="S1981" s="221"/>
      <c r="T1981" s="221"/>
      <c r="U1981" s="221"/>
      <c r="V1981" s="221"/>
      <c r="W1981" s="221"/>
      <c r="X1981" s="221"/>
      <c r="Y1981" s="227"/>
      <c r="Z1981" s="227">
        <f t="shared" si="71"/>
        <v>0</v>
      </c>
      <c r="AA1981" s="276" t="e">
        <f>VLOOKUP(Logfile_S12[[#This Row],[DO number]],DO_DB!G:I,3,0)</f>
        <v>#N/A</v>
      </c>
      <c r="AB1981" s="331" t="e">
        <f>EXACT(Logfile_S12[[#This Row],[date pick]],Logfile_S12[[#This Row],[Date]])</f>
        <v>#N/A</v>
      </c>
      <c r="AC19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82" spans="1:29" ht="14.5" hidden="1">
      <c r="A1982" s="220" t="str">
        <f t="shared" si="70"/>
        <v>1978</v>
      </c>
      <c r="B1982" s="221"/>
      <c r="C1982" s="221" t="s">
        <v>49</v>
      </c>
      <c r="D1982" s="221" t="s">
        <v>4319</v>
      </c>
      <c r="E1982" s="221" t="s">
        <v>3295</v>
      </c>
      <c r="F1982" s="221" t="s">
        <v>3299</v>
      </c>
      <c r="G1982" s="222">
        <v>45665</v>
      </c>
      <c r="H1982" s="223">
        <v>0.69374999999999998</v>
      </c>
      <c r="I1982" s="221" t="s">
        <v>4916</v>
      </c>
      <c r="J1982" s="221" t="s">
        <v>3023</v>
      </c>
      <c r="K1982" s="224" t="s">
        <v>3069</v>
      </c>
      <c r="L1982" s="225" t="str">
        <f>VLOOKUP(Logfile_S12[[#This Row],[Material Name]],Sheet2!B:C,2,0)</f>
        <v>ZTE1001</v>
      </c>
      <c r="M1982" s="225" t="str">
        <f>_xlfn.XLOOKUP(Logfile_S12[[#This Row],[Material Name]],Sum_WH!E:E,Sum_WH!F:F,"",0)</f>
        <v>Pcs</v>
      </c>
      <c r="N1982" s="221">
        <v>21</v>
      </c>
      <c r="O1982" s="221" t="s">
        <v>2360</v>
      </c>
      <c r="P1982" s="221" t="s">
        <v>2361</v>
      </c>
      <c r="Q1982" s="221"/>
      <c r="R1982" s="221"/>
      <c r="S1982" s="221"/>
      <c r="T1982" s="221" t="s">
        <v>3258</v>
      </c>
      <c r="U1982" s="221">
        <v>0</v>
      </c>
      <c r="V1982" s="221" t="s">
        <v>3337</v>
      </c>
      <c r="W1982" s="221" t="s">
        <v>3338</v>
      </c>
      <c r="X1982" s="221"/>
      <c r="Y1982" s="227"/>
      <c r="Z1982" s="227" t="str">
        <f t="shared" si="71"/>
        <v>Tambakasri RW 02 Tajinan</v>
      </c>
      <c r="AA1982" s="276" t="e">
        <f>VLOOKUP(Logfile_S12[[#This Row],[DO number]],DO_DB!G:I,3,0)</f>
        <v>#N/A</v>
      </c>
      <c r="AB1982" s="331" t="e">
        <f>EXACT(Logfile_S12[[#This Row],[date pick]],Logfile_S12[[#This Row],[Date]])</f>
        <v>#N/A</v>
      </c>
      <c r="AC19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83" spans="1:29" ht="14.5" hidden="1">
      <c r="A1983" s="220" t="str">
        <f t="shared" si="70"/>
        <v>1979</v>
      </c>
      <c r="B1983" s="221"/>
      <c r="C1983" s="221" t="s">
        <v>49</v>
      </c>
      <c r="D1983" s="221" t="s">
        <v>4320</v>
      </c>
      <c r="E1983" s="221" t="s">
        <v>3295</v>
      </c>
      <c r="F1983" s="221" t="s">
        <v>3299</v>
      </c>
      <c r="G1983" s="222">
        <v>45666</v>
      </c>
      <c r="H1983" s="223">
        <v>0.71180555555555558</v>
      </c>
      <c r="I1983" s="221" t="s">
        <v>4916</v>
      </c>
      <c r="J1983" s="221" t="s">
        <v>3023</v>
      </c>
      <c r="K1983" s="224" t="s">
        <v>3069</v>
      </c>
      <c r="L1983" s="225" t="str">
        <f>VLOOKUP(Logfile_S12[[#This Row],[Material Name]],Sheet2!B:C,2,0)</f>
        <v>ZTE1001</v>
      </c>
      <c r="M1983" s="225" t="str">
        <f>_xlfn.XLOOKUP(Logfile_S12[[#This Row],[Material Name]],Sum_WH!E:E,Sum_WH!F:F,"",0)</f>
        <v>Pcs</v>
      </c>
      <c r="N1983" s="221">
        <v>11</v>
      </c>
      <c r="O1983" s="221" t="s">
        <v>2360</v>
      </c>
      <c r="P1983" s="221" t="s">
        <v>2361</v>
      </c>
      <c r="Q1983" s="221"/>
      <c r="R1983" s="221"/>
      <c r="S1983" s="221"/>
      <c r="T1983" s="221" t="s">
        <v>3258</v>
      </c>
      <c r="U1983" s="221">
        <v>0</v>
      </c>
      <c r="V1983" s="221" t="s">
        <v>3337</v>
      </c>
      <c r="W1983" s="221" t="s">
        <v>3338</v>
      </c>
      <c r="X1983" s="221"/>
      <c r="Y1983" s="227"/>
      <c r="Z1983" s="227" t="str">
        <f t="shared" si="71"/>
        <v>Tambakasri RW 02 Tajinan</v>
      </c>
      <c r="AA1983" s="276" t="e">
        <f>VLOOKUP(Logfile_S12[[#This Row],[DO number]],DO_DB!G:I,3,0)</f>
        <v>#N/A</v>
      </c>
      <c r="AB1983" s="331" t="e">
        <f>EXACT(Logfile_S12[[#This Row],[date pick]],Logfile_S12[[#This Row],[Date]])</f>
        <v>#N/A</v>
      </c>
      <c r="AC19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84" spans="1:29" ht="14.5" hidden="1">
      <c r="A1984" s="220" t="str">
        <f t="shared" si="70"/>
        <v>1980</v>
      </c>
      <c r="B1984" s="221"/>
      <c r="C1984" s="221" t="s">
        <v>49</v>
      </c>
      <c r="D1984" s="221" t="s">
        <v>4323</v>
      </c>
      <c r="E1984" s="221" t="s">
        <v>3295</v>
      </c>
      <c r="F1984" s="221" t="s">
        <v>3299</v>
      </c>
      <c r="G1984" s="222">
        <v>45672</v>
      </c>
      <c r="H1984" s="223">
        <v>0.54166666666666663</v>
      </c>
      <c r="I1984" s="221" t="s">
        <v>4916</v>
      </c>
      <c r="J1984" s="221" t="s">
        <v>3023</v>
      </c>
      <c r="K1984" s="224" t="s">
        <v>3069</v>
      </c>
      <c r="L1984" s="225" t="str">
        <f>VLOOKUP(Logfile_S12[[#This Row],[Material Name]],Sheet2!B:C,2,0)</f>
        <v>ZTE1001</v>
      </c>
      <c r="M1984" s="225" t="str">
        <f>_xlfn.XLOOKUP(Logfile_S12[[#This Row],[Material Name]],Sum_WH!E:E,Sum_WH!F:F,"",0)</f>
        <v>Pcs</v>
      </c>
      <c r="N1984" s="221">
        <v>11</v>
      </c>
      <c r="O1984" s="221" t="s">
        <v>2360</v>
      </c>
      <c r="P1984" s="221" t="s">
        <v>2361</v>
      </c>
      <c r="Q1984" s="221"/>
      <c r="R1984" s="221"/>
      <c r="S1984" s="221"/>
      <c r="T1984" s="221" t="s">
        <v>3258</v>
      </c>
      <c r="U1984" s="221">
        <v>0</v>
      </c>
      <c r="V1984" s="221" t="s">
        <v>3337</v>
      </c>
      <c r="W1984" s="221" t="s">
        <v>3338</v>
      </c>
      <c r="X1984" s="221"/>
      <c r="Y1984" s="227"/>
      <c r="Z1984" s="227" t="str">
        <f t="shared" si="71"/>
        <v>Tambakasri RW 02 Tajinan</v>
      </c>
      <c r="AA1984" s="276" t="e">
        <f>VLOOKUP(Logfile_S12[[#This Row],[DO number]],DO_DB!G:I,3,0)</f>
        <v>#N/A</v>
      </c>
      <c r="AB1984" s="331" t="e">
        <f>EXACT(Logfile_S12[[#This Row],[date pick]],Logfile_S12[[#This Row],[Date]])</f>
        <v>#N/A</v>
      </c>
      <c r="AC19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85" spans="1:29" ht="14.5" hidden="1">
      <c r="A1985" s="220" t="str">
        <f t="shared" si="70"/>
        <v>1981</v>
      </c>
      <c r="B1985" s="221"/>
      <c r="C1985" s="221" t="s">
        <v>49</v>
      </c>
      <c r="D1985" s="221" t="s">
        <v>4325</v>
      </c>
      <c r="E1985" s="221" t="s">
        <v>3295</v>
      </c>
      <c r="F1985" s="221" t="s">
        <v>3299</v>
      </c>
      <c r="G1985" s="222">
        <v>45678</v>
      </c>
      <c r="H1985" s="223">
        <v>0.56944444444444442</v>
      </c>
      <c r="I1985" s="221" t="s">
        <v>4916</v>
      </c>
      <c r="J1985" s="221" t="s">
        <v>3023</v>
      </c>
      <c r="K1985" s="224" t="s">
        <v>3069</v>
      </c>
      <c r="L1985" s="225" t="str">
        <f>VLOOKUP(Logfile_S12[[#This Row],[Material Name]],Sheet2!B:C,2,0)</f>
        <v>ZTE1001</v>
      </c>
      <c r="M1985" s="225" t="str">
        <f>_xlfn.XLOOKUP(Logfile_S12[[#This Row],[Material Name]],Sum_WH!E:E,Sum_WH!F:F,"",0)</f>
        <v>Pcs</v>
      </c>
      <c r="N1985" s="221">
        <v>4</v>
      </c>
      <c r="O1985" s="221" t="s">
        <v>3379</v>
      </c>
      <c r="P1985" s="221" t="s">
        <v>3380</v>
      </c>
      <c r="Q1985" s="221"/>
      <c r="R1985" s="221"/>
      <c r="S1985" s="221"/>
      <c r="T1985" s="221" t="s">
        <v>3258</v>
      </c>
      <c r="U1985" s="221">
        <v>0</v>
      </c>
      <c r="V1985" s="221" t="s">
        <v>3337</v>
      </c>
      <c r="W1985" s="221" t="s">
        <v>3338</v>
      </c>
      <c r="X1985" s="221"/>
      <c r="Y1985" s="227"/>
      <c r="Z1985" s="227" t="str">
        <f t="shared" si="71"/>
        <v>Citra Kayane Residence</v>
      </c>
      <c r="AA1985" s="276" t="e">
        <f>VLOOKUP(Logfile_S12[[#This Row],[DO number]],DO_DB!G:I,3,0)</f>
        <v>#N/A</v>
      </c>
      <c r="AB1985" s="331" t="e">
        <f>EXACT(Logfile_S12[[#This Row],[date pick]],Logfile_S12[[#This Row],[Date]])</f>
        <v>#N/A</v>
      </c>
      <c r="AC19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86" spans="1:29" ht="14.5" hidden="1">
      <c r="A1986" s="220" t="str">
        <f t="shared" si="70"/>
        <v>1982</v>
      </c>
      <c r="B1986" s="221"/>
      <c r="C1986" s="221" t="s">
        <v>49</v>
      </c>
      <c r="D1986" s="221" t="s">
        <v>4327</v>
      </c>
      <c r="E1986" s="221" t="s">
        <v>3295</v>
      </c>
      <c r="F1986" s="221" t="s">
        <v>3299</v>
      </c>
      <c r="G1986" s="222">
        <v>45684</v>
      </c>
      <c r="H1986" s="223">
        <v>0.56944444444444442</v>
      </c>
      <c r="I1986" s="221" t="s">
        <v>4916</v>
      </c>
      <c r="J1986" s="221" t="s">
        <v>3023</v>
      </c>
      <c r="K1986" s="224" t="s">
        <v>3069</v>
      </c>
      <c r="L1986" s="225" t="str">
        <f>VLOOKUP(Logfile_S12[[#This Row],[Material Name]],Sheet2!B:C,2,0)</f>
        <v>ZTE1001</v>
      </c>
      <c r="M1986" s="225" t="str">
        <f>_xlfn.XLOOKUP(Logfile_S12[[#This Row],[Material Name]],Sum_WH!E:E,Sum_WH!F:F,"",0)</f>
        <v>Pcs</v>
      </c>
      <c r="N1986" s="221">
        <v>5</v>
      </c>
      <c r="O1986" s="221" t="s">
        <v>2360</v>
      </c>
      <c r="P1986" s="221" t="s">
        <v>2361</v>
      </c>
      <c r="Q1986" s="221"/>
      <c r="R1986" s="221"/>
      <c r="S1986" s="221"/>
      <c r="T1986" s="221" t="s">
        <v>3258</v>
      </c>
      <c r="U1986" s="221">
        <v>0</v>
      </c>
      <c r="V1986" s="221" t="s">
        <v>3337</v>
      </c>
      <c r="W1986" s="221" t="s">
        <v>3338</v>
      </c>
      <c r="X1986" s="221"/>
      <c r="Y1986" s="227"/>
      <c r="Z1986" s="227" t="str">
        <f t="shared" si="71"/>
        <v>Tambakasri RW 02 Tajinan</v>
      </c>
      <c r="AA1986" s="276" t="e">
        <f>VLOOKUP(Logfile_S12[[#This Row],[DO number]],DO_DB!G:I,3,0)</f>
        <v>#N/A</v>
      </c>
      <c r="AB1986" s="331" t="e">
        <f>EXACT(Logfile_S12[[#This Row],[date pick]],Logfile_S12[[#This Row],[Date]])</f>
        <v>#N/A</v>
      </c>
      <c r="AC19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87" spans="1:29" ht="14.5" hidden="1">
      <c r="A1987" s="220" t="str">
        <f t="shared" si="70"/>
        <v>1983</v>
      </c>
      <c r="B1987" s="221"/>
      <c r="C1987" s="221" t="s">
        <v>49</v>
      </c>
      <c r="D1987" s="221" t="s">
        <v>4327</v>
      </c>
      <c r="E1987" s="221" t="s">
        <v>3295</v>
      </c>
      <c r="F1987" s="221" t="s">
        <v>3299</v>
      </c>
      <c r="G1987" s="222">
        <v>45684</v>
      </c>
      <c r="H1987" s="223">
        <v>0.56944444444444442</v>
      </c>
      <c r="I1987" s="221" t="s">
        <v>4916</v>
      </c>
      <c r="J1987" s="221" t="s">
        <v>3023</v>
      </c>
      <c r="K1987" s="224" t="s">
        <v>3069</v>
      </c>
      <c r="L1987" s="225" t="str">
        <f>VLOOKUP(Logfile_S12[[#This Row],[Material Name]],Sheet2!B:C,2,0)</f>
        <v>ZTE1001</v>
      </c>
      <c r="M1987" s="225" t="str">
        <f>_xlfn.XLOOKUP(Logfile_S12[[#This Row],[Material Name]],Sum_WH!E:E,Sum_WH!F:F,"",0)</f>
        <v>Pcs</v>
      </c>
      <c r="N1987" s="221">
        <v>16</v>
      </c>
      <c r="O1987" s="221" t="s">
        <v>2360</v>
      </c>
      <c r="P1987" s="221" t="s">
        <v>2361</v>
      </c>
      <c r="Q1987" s="221"/>
      <c r="R1987" s="221"/>
      <c r="S1987" s="221"/>
      <c r="T1987" s="221" t="s">
        <v>3258</v>
      </c>
      <c r="U1987" s="221">
        <v>0</v>
      </c>
      <c r="V1987" s="221" t="s">
        <v>3337</v>
      </c>
      <c r="W1987" s="221" t="s">
        <v>3338</v>
      </c>
      <c r="X1987" s="221"/>
      <c r="Y1987" s="227"/>
      <c r="Z1987" s="227" t="str">
        <f t="shared" si="71"/>
        <v>Tambakasri RW 02 Tajinan</v>
      </c>
      <c r="AA1987" s="276" t="e">
        <f>VLOOKUP(Logfile_S12[[#This Row],[DO number]],DO_DB!G:I,3,0)</f>
        <v>#N/A</v>
      </c>
      <c r="AB1987" s="331" t="e">
        <f>EXACT(Logfile_S12[[#This Row],[date pick]],Logfile_S12[[#This Row],[Date]])</f>
        <v>#N/A</v>
      </c>
      <c r="AC19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88" spans="1:29" ht="14.5" hidden="1">
      <c r="A1988" s="220" t="str">
        <f t="shared" si="70"/>
        <v>1984</v>
      </c>
      <c r="B1988" s="221"/>
      <c r="C1988" s="221" t="s">
        <v>49</v>
      </c>
      <c r="D1988" s="221" t="s">
        <v>4329</v>
      </c>
      <c r="E1988" s="221" t="s">
        <v>3295</v>
      </c>
      <c r="F1988" s="221" t="s">
        <v>3299</v>
      </c>
      <c r="G1988" s="222">
        <v>45694</v>
      </c>
      <c r="H1988" s="223">
        <v>0.39930555555555558</v>
      </c>
      <c r="I1988" s="221" t="s">
        <v>4916</v>
      </c>
      <c r="J1988" s="221" t="s">
        <v>3023</v>
      </c>
      <c r="K1988" s="224" t="s">
        <v>3069</v>
      </c>
      <c r="L1988" s="225" t="str">
        <f>VLOOKUP(Logfile_S12[[#This Row],[Material Name]],Sheet2!B:C,2,0)</f>
        <v>ZTE1001</v>
      </c>
      <c r="M1988" s="225" t="str">
        <f>_xlfn.XLOOKUP(Logfile_S12[[#This Row],[Material Name]],Sum_WH!E:E,Sum_WH!F:F,"",0)</f>
        <v>Pcs</v>
      </c>
      <c r="N1988" s="221">
        <v>1</v>
      </c>
      <c r="O1988" s="221" t="s">
        <v>2633</v>
      </c>
      <c r="P1988" s="221" t="s">
        <v>3410</v>
      </c>
      <c r="Q1988" s="221"/>
      <c r="R1988" s="221"/>
      <c r="S1988" s="221"/>
      <c r="T1988" s="221" t="s">
        <v>3258</v>
      </c>
      <c r="U1988" s="221">
        <v>0</v>
      </c>
      <c r="V1988" s="221" t="s">
        <v>3337</v>
      </c>
      <c r="W1988" s="221" t="s">
        <v>3338</v>
      </c>
      <c r="X1988" s="221"/>
      <c r="Y1988" s="227"/>
      <c r="Z1988" s="227" t="str">
        <f t="shared" si="71"/>
        <v>PERUMAHAN DE WIRA GREEN VIEW</v>
      </c>
      <c r="AA1988" s="276" t="e">
        <f>VLOOKUP(Logfile_S12[[#This Row],[DO number]],DO_DB!G:I,3,0)</f>
        <v>#N/A</v>
      </c>
      <c r="AB1988" s="331" t="e">
        <f>EXACT(Logfile_S12[[#This Row],[date pick]],Logfile_S12[[#This Row],[Date]])</f>
        <v>#N/A</v>
      </c>
      <c r="AC19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89" spans="1:29" ht="14.5" hidden="1">
      <c r="A1989" s="220" t="str">
        <f t="shared" ref="A1989:A2052" si="72">TEXT(ROW(A1989)-ROW($A$4),"000")</f>
        <v>1985</v>
      </c>
      <c r="B1989" s="221"/>
      <c r="C1989" s="221" t="s">
        <v>49</v>
      </c>
      <c r="D1989" s="221" t="s">
        <v>4331</v>
      </c>
      <c r="E1989" s="221" t="s">
        <v>3295</v>
      </c>
      <c r="F1989" s="221" t="s">
        <v>3299</v>
      </c>
      <c r="G1989" s="222">
        <v>45703</v>
      </c>
      <c r="H1989" s="223">
        <v>0.39930555555555558</v>
      </c>
      <c r="I1989" s="221" t="s">
        <v>4916</v>
      </c>
      <c r="J1989" s="221" t="s">
        <v>3023</v>
      </c>
      <c r="K1989" s="224" t="s">
        <v>3069</v>
      </c>
      <c r="L1989" s="225" t="str">
        <f>VLOOKUP(Logfile_S12[[#This Row],[Material Name]],Sheet2!B:C,2,0)</f>
        <v>ZTE1001</v>
      </c>
      <c r="M1989" s="225" t="str">
        <f>_xlfn.XLOOKUP(Logfile_S12[[#This Row],[Material Name]],Sum_WH!E:E,Sum_WH!F:F,"",0)</f>
        <v>Pcs</v>
      </c>
      <c r="N1989" s="221">
        <v>1</v>
      </c>
      <c r="O1989" s="221" t="s">
        <v>1929</v>
      </c>
      <c r="P1989" s="221" t="s">
        <v>1930</v>
      </c>
      <c r="Q1989" s="221"/>
      <c r="R1989" s="221"/>
      <c r="S1989" s="221"/>
      <c r="T1989" s="221" t="s">
        <v>3231</v>
      </c>
      <c r="U1989" s="221">
        <v>0</v>
      </c>
      <c r="V1989" s="221" t="s">
        <v>3375</v>
      </c>
      <c r="W1989" s="221" t="s">
        <v>3249</v>
      </c>
      <c r="X1989" s="221"/>
      <c r="Y1989" s="227"/>
      <c r="Z1989" s="227" t="str">
        <f t="shared" si="71"/>
        <v>Dusun Krajan Sumbersekar</v>
      </c>
      <c r="AA1989" s="276" t="e">
        <f>VLOOKUP(Logfile_S12[[#This Row],[DO number]],DO_DB!G:I,3,0)</f>
        <v>#N/A</v>
      </c>
      <c r="AB1989" s="331" t="e">
        <f>EXACT(Logfile_S12[[#This Row],[date pick]],Logfile_S12[[#This Row],[Date]])</f>
        <v>#N/A</v>
      </c>
      <c r="AC19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90" spans="1:29" ht="14.5" hidden="1">
      <c r="A1990" s="220" t="str">
        <f t="shared" si="72"/>
        <v>1986</v>
      </c>
      <c r="B1990" s="221"/>
      <c r="C1990" s="221" t="s">
        <v>49</v>
      </c>
      <c r="D1990" s="221" t="s">
        <v>4332</v>
      </c>
      <c r="E1990" s="221" t="s">
        <v>3295</v>
      </c>
      <c r="F1990" s="221" t="s">
        <v>3299</v>
      </c>
      <c r="G1990" s="222">
        <v>45707</v>
      </c>
      <c r="H1990" s="223">
        <v>0.39930555555555558</v>
      </c>
      <c r="I1990" s="221" t="s">
        <v>4916</v>
      </c>
      <c r="J1990" s="221" t="s">
        <v>3023</v>
      </c>
      <c r="K1990" s="224" t="s">
        <v>3069</v>
      </c>
      <c r="L1990" s="225" t="str">
        <f>VLOOKUP(Logfile_S12[[#This Row],[Material Name]],Sheet2!B:C,2,0)</f>
        <v>ZTE1001</v>
      </c>
      <c r="M1990" s="225" t="str">
        <f>_xlfn.XLOOKUP(Logfile_S12[[#This Row],[Material Name]],Sum_WH!E:E,Sum_WH!F:F,"",0)</f>
        <v>Pcs</v>
      </c>
      <c r="N1990" s="221">
        <v>2</v>
      </c>
      <c r="O1990" s="221" t="s">
        <v>2648</v>
      </c>
      <c r="P1990" s="221" t="s">
        <v>2649</v>
      </c>
      <c r="Q1990" s="221"/>
      <c r="R1990" s="221"/>
      <c r="S1990" s="221"/>
      <c r="T1990" s="221" t="s">
        <v>3258</v>
      </c>
      <c r="U1990" s="221">
        <v>0</v>
      </c>
      <c r="V1990" s="221" t="s">
        <v>3337</v>
      </c>
      <c r="W1990" s="221" t="s">
        <v>3338</v>
      </c>
      <c r="X1990" s="221"/>
      <c r="Y1990" s="227"/>
      <c r="Z1990" s="227" t="str">
        <f t="shared" si="71"/>
        <v>Sitirejo RW 04 Wagir</v>
      </c>
      <c r="AA1990" s="276" t="e">
        <f>VLOOKUP(Logfile_S12[[#This Row],[DO number]],DO_DB!G:I,3,0)</f>
        <v>#N/A</v>
      </c>
      <c r="AB1990" s="331" t="e">
        <f>EXACT(Logfile_S12[[#This Row],[date pick]],Logfile_S12[[#This Row],[Date]])</f>
        <v>#N/A</v>
      </c>
      <c r="AC19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91" spans="1:29" ht="14.5" hidden="1">
      <c r="A1991" s="220" t="str">
        <f t="shared" si="72"/>
        <v>1987</v>
      </c>
      <c r="B1991" s="221"/>
      <c r="C1991" s="221" t="s">
        <v>49</v>
      </c>
      <c r="D1991" s="221" t="s">
        <v>4341</v>
      </c>
      <c r="E1991" s="221" t="s">
        <v>3295</v>
      </c>
      <c r="F1991" s="221" t="s">
        <v>3299</v>
      </c>
      <c r="G1991" s="222">
        <v>45709</v>
      </c>
      <c r="H1991" s="223">
        <v>0.63124999999999998</v>
      </c>
      <c r="I1991" s="221" t="s">
        <v>4916</v>
      </c>
      <c r="J1991" s="221" t="s">
        <v>3023</v>
      </c>
      <c r="K1991" s="224" t="s">
        <v>3069</v>
      </c>
      <c r="L1991" s="225" t="str">
        <f>VLOOKUP(Logfile_S12[[#This Row],[Material Name]],Sheet2!B:C,2,0)</f>
        <v>ZTE1001</v>
      </c>
      <c r="M1991" s="225" t="str">
        <f>_xlfn.XLOOKUP(Logfile_S12[[#This Row],[Material Name]],Sum_WH!E:E,Sum_WH!F:F,"",0)</f>
        <v>Pcs</v>
      </c>
      <c r="N1991" s="221">
        <v>10</v>
      </c>
      <c r="O1991" s="221" t="s">
        <v>2648</v>
      </c>
      <c r="P1991" s="221" t="s">
        <v>2649</v>
      </c>
      <c r="Q1991" s="221"/>
      <c r="R1991" s="221"/>
      <c r="S1991" s="221"/>
      <c r="T1991" s="221" t="s">
        <v>3258</v>
      </c>
      <c r="U1991" s="221">
        <v>0</v>
      </c>
      <c r="V1991" s="221" t="s">
        <v>3337</v>
      </c>
      <c r="W1991" s="221" t="s">
        <v>3338</v>
      </c>
      <c r="X1991" s="221"/>
      <c r="Y1991" s="227"/>
      <c r="Z1991" s="227" t="str">
        <f t="shared" si="71"/>
        <v>Sitirejo RW 04 Wagir</v>
      </c>
      <c r="AA1991" s="276" t="e">
        <f>VLOOKUP(Logfile_S12[[#This Row],[DO number]],DO_DB!G:I,3,0)</f>
        <v>#N/A</v>
      </c>
      <c r="AB1991" s="331" t="e">
        <f>EXACT(Logfile_S12[[#This Row],[date pick]],Logfile_S12[[#This Row],[Date]])</f>
        <v>#N/A</v>
      </c>
      <c r="AC19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92" spans="1:29" ht="14.5" hidden="1">
      <c r="A1992" s="220" t="str">
        <f t="shared" si="72"/>
        <v>1988</v>
      </c>
      <c r="B1992" s="221"/>
      <c r="C1992" s="221" t="s">
        <v>48</v>
      </c>
      <c r="D1992" s="221" t="s">
        <v>4346</v>
      </c>
      <c r="E1992" s="221" t="s">
        <v>3295</v>
      </c>
      <c r="F1992" s="221" t="s">
        <v>3299</v>
      </c>
      <c r="G1992" s="222">
        <v>45716</v>
      </c>
      <c r="H1992" s="223">
        <v>15.291666666666666</v>
      </c>
      <c r="I1992" s="221" t="s">
        <v>37</v>
      </c>
      <c r="J1992" s="221" t="s">
        <v>3023</v>
      </c>
      <c r="K1992" s="224" t="s">
        <v>3069</v>
      </c>
      <c r="L1992" s="225" t="str">
        <f>VLOOKUP(Logfile_S12[[#This Row],[Material Name]],Sheet2!B:C,2,0)</f>
        <v>ZTE1001</v>
      </c>
      <c r="M1992" s="225" t="str">
        <f>_xlfn.XLOOKUP(Logfile_S12[[#This Row],[Material Name]],Sum_WH!E:E,Sum_WH!F:F,"",0)</f>
        <v>Pcs</v>
      </c>
      <c r="N1992" s="221">
        <v>17</v>
      </c>
      <c r="O1992" s="221" t="s">
        <v>3216</v>
      </c>
      <c r="P1992" s="221" t="s">
        <v>3589</v>
      </c>
      <c r="Q1992" s="221">
        <v>0</v>
      </c>
      <c r="R1992" s="221">
        <v>0</v>
      </c>
      <c r="S1992" s="221"/>
      <c r="T1992" s="221"/>
      <c r="U1992" s="221"/>
      <c r="V1992" s="221"/>
      <c r="W1992" s="221"/>
      <c r="X1992" s="221" t="s">
        <v>3590</v>
      </c>
      <c r="Y1992" s="227"/>
      <c r="Z1992" s="227" t="str">
        <f t="shared" si="71"/>
        <v>change design from 4" to 3"</v>
      </c>
      <c r="AA1992" s="276" t="e">
        <f>VLOOKUP(Logfile_S12[[#This Row],[DO number]],DO_DB!G:I,3,0)</f>
        <v>#N/A</v>
      </c>
      <c r="AB1992" s="331" t="e">
        <f>EXACT(Logfile_S12[[#This Row],[date pick]],Logfile_S12[[#This Row],[Date]])</f>
        <v>#N/A</v>
      </c>
      <c r="AC19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93" spans="1:29" ht="14.5" hidden="1">
      <c r="A1993" s="220" t="str">
        <f t="shared" si="72"/>
        <v>1989</v>
      </c>
      <c r="B1993" s="221"/>
      <c r="C1993" s="221" t="s">
        <v>49</v>
      </c>
      <c r="D1993" s="221" t="s">
        <v>4360</v>
      </c>
      <c r="E1993" s="221" t="s">
        <v>3295</v>
      </c>
      <c r="F1993" s="221" t="s">
        <v>3299</v>
      </c>
      <c r="G1993" s="222">
        <v>45741</v>
      </c>
      <c r="H1993" s="223">
        <v>0.83125000000000004</v>
      </c>
      <c r="I1993" s="221" t="s">
        <v>4916</v>
      </c>
      <c r="J1993" s="221" t="s">
        <v>3023</v>
      </c>
      <c r="K1993" s="224" t="s">
        <v>3069</v>
      </c>
      <c r="L1993" s="225" t="str">
        <f>VLOOKUP(Logfile_S12[[#This Row],[Material Name]],Sheet2!B:C,2,0)</f>
        <v>ZTE1001</v>
      </c>
      <c r="M1993" s="225" t="str">
        <f>_xlfn.XLOOKUP(Logfile_S12[[#This Row],[Material Name]],Sum_WH!E:E,Sum_WH!F:F,"",0)</f>
        <v>Pcs</v>
      </c>
      <c r="N1993" s="221">
        <v>1</v>
      </c>
      <c r="O1993" s="221" t="s">
        <v>2664</v>
      </c>
      <c r="P1993" s="221" t="s">
        <v>2665</v>
      </c>
      <c r="Q1993" s="221"/>
      <c r="R1993" s="221"/>
      <c r="S1993" s="221"/>
      <c r="T1993" s="221" t="s">
        <v>3258</v>
      </c>
      <c r="U1993" s="221">
        <v>0</v>
      </c>
      <c r="V1993" s="221" t="s">
        <v>3337</v>
      </c>
      <c r="W1993" s="221" t="s">
        <v>3338</v>
      </c>
      <c r="X1993" s="221"/>
      <c r="Y1993" s="227"/>
      <c r="Z1993" s="227" t="str">
        <f t="shared" si="71"/>
        <v>Temas RW 04</v>
      </c>
      <c r="AA1993" s="276" t="e">
        <f>VLOOKUP(Logfile_S12[[#This Row],[DO number]],DO_DB!G:I,3,0)</f>
        <v>#N/A</v>
      </c>
      <c r="AB1993" s="331" t="e">
        <f>EXACT(Logfile_S12[[#This Row],[date pick]],Logfile_S12[[#This Row],[Date]])</f>
        <v>#N/A</v>
      </c>
      <c r="AC19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94" spans="1:29" ht="14.5" hidden="1">
      <c r="A1994" s="220" t="str">
        <f t="shared" si="72"/>
        <v>1990</v>
      </c>
      <c r="B1994" s="221"/>
      <c r="C1994" s="221" t="s">
        <v>3449</v>
      </c>
      <c r="D1994" s="221" t="s">
        <v>4364</v>
      </c>
      <c r="E1994" s="221" t="s">
        <v>3295</v>
      </c>
      <c r="F1994" s="221" t="s">
        <v>3299</v>
      </c>
      <c r="G1994" s="222">
        <v>45802</v>
      </c>
      <c r="H1994" s="223">
        <v>0.40069444444444446</v>
      </c>
      <c r="I1994" s="221" t="s">
        <v>3193</v>
      </c>
      <c r="J1994" s="221" t="s">
        <v>3023</v>
      </c>
      <c r="K1994" s="224" t="s">
        <v>3069</v>
      </c>
      <c r="L1994" s="225" t="str">
        <f>VLOOKUP(Logfile_S12[[#This Row],[Material Name]],Sheet2!B:C,2,0)</f>
        <v>ZTE1001</v>
      </c>
      <c r="M1994" s="225" t="str">
        <f>_xlfn.XLOOKUP(Logfile_S12[[#This Row],[Material Name]],Sum_WH!E:E,Sum_WH!F:F,"",0)</f>
        <v>Pcs</v>
      </c>
      <c r="N1994" s="221">
        <v>10</v>
      </c>
      <c r="O1994" s="221" t="s">
        <v>4923</v>
      </c>
      <c r="P1994" s="221" t="s">
        <v>3596</v>
      </c>
      <c r="Q1994" s="221"/>
      <c r="R1994" s="221"/>
      <c r="S1994" s="221"/>
      <c r="T1994" s="221" t="s">
        <v>3540</v>
      </c>
      <c r="U1994" s="221">
        <v>0</v>
      </c>
      <c r="V1994" s="221" t="s">
        <v>3324</v>
      </c>
      <c r="W1994" s="221" t="s">
        <v>3325</v>
      </c>
      <c r="X1994" s="221" t="s">
        <v>3570</v>
      </c>
      <c r="Y1994" s="227"/>
      <c r="Z1994" s="227" t="str">
        <f t="shared" si="71"/>
        <v>AIA</v>
      </c>
      <c r="AA1994" s="276" t="e">
        <f>VLOOKUP(Logfile_S12[[#This Row],[DO number]],DO_DB!G:I,3,0)</f>
        <v>#N/A</v>
      </c>
      <c r="AB1994" s="331" t="e">
        <f>EXACT(Logfile_S12[[#This Row],[date pick]],Logfile_S12[[#This Row],[Date]])</f>
        <v>#N/A</v>
      </c>
      <c r="AC19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1995" spans="1:29" ht="14.5" hidden="1">
      <c r="A1995" s="220" t="str">
        <f t="shared" si="72"/>
        <v>1991</v>
      </c>
      <c r="B1995" s="221"/>
      <c r="C1995" s="221" t="s">
        <v>49</v>
      </c>
      <c r="D1995" s="221" t="s">
        <v>4365</v>
      </c>
      <c r="E1995" s="221" t="s">
        <v>3295</v>
      </c>
      <c r="F1995" s="221" t="s">
        <v>3299</v>
      </c>
      <c r="G1995" s="222">
        <v>45802</v>
      </c>
      <c r="H1995" s="223">
        <v>0.5395833333333333</v>
      </c>
      <c r="I1995" s="221" t="s">
        <v>4916</v>
      </c>
      <c r="J1995" s="221" t="s">
        <v>3023</v>
      </c>
      <c r="K1995" s="224" t="s">
        <v>3069</v>
      </c>
      <c r="L1995" s="225" t="str">
        <f>VLOOKUP(Logfile_S12[[#This Row],[Material Name]],Sheet2!B:C,2,0)</f>
        <v>ZTE1001</v>
      </c>
      <c r="M1995" s="225" t="str">
        <f>_xlfn.XLOOKUP(Logfile_S12[[#This Row],[Material Name]],Sum_WH!E:E,Sum_WH!F:F,"",0)</f>
        <v>Pcs</v>
      </c>
      <c r="N1995" s="221">
        <v>1</v>
      </c>
      <c r="O1995" s="221" t="s">
        <v>2821</v>
      </c>
      <c r="P1995" s="221" t="s">
        <v>2822</v>
      </c>
      <c r="Q1995" s="221"/>
      <c r="R1995" s="221"/>
      <c r="S1995" s="221"/>
      <c r="T1995" s="221" t="s">
        <v>3258</v>
      </c>
      <c r="U1995" s="221">
        <v>0</v>
      </c>
      <c r="V1995" s="221" t="s">
        <v>3337</v>
      </c>
      <c r="W1995" s="221" t="s">
        <v>3338</v>
      </c>
      <c r="X1995" s="221"/>
      <c r="Y1995" s="227"/>
      <c r="Z1995" s="227" t="str">
        <f t="shared" si="71"/>
        <v>KEBONAGUNG RW 01 MALANG</v>
      </c>
      <c r="AA1995" s="276" t="e">
        <f>VLOOKUP(Logfile_S12[[#This Row],[DO number]],DO_DB!G:I,3,0)</f>
        <v>#N/A</v>
      </c>
      <c r="AB1995" s="331" t="e">
        <f>EXACT(Logfile_S12[[#This Row],[date pick]],Logfile_S12[[#This Row],[Date]])</f>
        <v>#N/A</v>
      </c>
      <c r="AC19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96" spans="1:29" ht="14.5" hidden="1">
      <c r="A1996" s="220" t="str">
        <f t="shared" si="72"/>
        <v>1992</v>
      </c>
      <c r="B1996" s="221"/>
      <c r="C1996" s="221" t="s">
        <v>49</v>
      </c>
      <c r="D1996" s="221" t="s">
        <v>4368</v>
      </c>
      <c r="E1996" s="221" t="s">
        <v>3295</v>
      </c>
      <c r="F1996" s="221" t="s">
        <v>3299</v>
      </c>
      <c r="G1996" s="222">
        <v>45805</v>
      </c>
      <c r="H1996" s="223">
        <v>0.5395833333333333</v>
      </c>
      <c r="I1996" s="221" t="s">
        <v>4916</v>
      </c>
      <c r="J1996" s="221" t="s">
        <v>3023</v>
      </c>
      <c r="K1996" s="224" t="s">
        <v>3069</v>
      </c>
      <c r="L1996" s="225" t="str">
        <f>VLOOKUP(Logfile_S12[[#This Row],[Material Name]],Sheet2!B:C,2,0)</f>
        <v>ZTE1001</v>
      </c>
      <c r="M1996" s="225" t="str">
        <f>_xlfn.XLOOKUP(Logfile_S12[[#This Row],[Material Name]],Sum_WH!E:E,Sum_WH!F:F,"",0)</f>
        <v>Pcs</v>
      </c>
      <c r="N1996" s="221">
        <v>6</v>
      </c>
      <c r="O1996" s="221" t="s">
        <v>2825</v>
      </c>
      <c r="P1996" s="221" t="s">
        <v>2826</v>
      </c>
      <c r="Q1996" s="221"/>
      <c r="R1996" s="221"/>
      <c r="S1996" s="221"/>
      <c r="T1996" s="221" t="s">
        <v>3258</v>
      </c>
      <c r="U1996" s="221">
        <v>0</v>
      </c>
      <c r="V1996" s="221" t="s">
        <v>3337</v>
      </c>
      <c r="W1996" s="221" t="s">
        <v>3338</v>
      </c>
      <c r="X1996" s="221"/>
      <c r="Y1996" s="227"/>
      <c r="Z1996" s="227" t="str">
        <f t="shared" ref="Z1996:Z2059" si="73">P1996</f>
        <v>ARJOWINANGUN RW 01 MALANG</v>
      </c>
      <c r="AA1996" s="276" t="e">
        <f>VLOOKUP(Logfile_S12[[#This Row],[DO number]],DO_DB!G:I,3,0)</f>
        <v>#N/A</v>
      </c>
      <c r="AB1996" s="331" t="e">
        <f>EXACT(Logfile_S12[[#This Row],[date pick]],Logfile_S12[[#This Row],[Date]])</f>
        <v>#N/A</v>
      </c>
      <c r="AC19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97" spans="1:29" ht="14.5" hidden="1">
      <c r="A1997" s="220" t="str">
        <f t="shared" si="72"/>
        <v>1993</v>
      </c>
      <c r="B1997" s="221"/>
      <c r="C1997" s="221" t="s">
        <v>49</v>
      </c>
      <c r="D1997" s="221" t="s">
        <v>4372</v>
      </c>
      <c r="E1997" s="221" t="s">
        <v>3295</v>
      </c>
      <c r="F1997" s="221" t="s">
        <v>3299</v>
      </c>
      <c r="G1997" s="222">
        <v>45822</v>
      </c>
      <c r="H1997" s="223">
        <v>0.5395833333333333</v>
      </c>
      <c r="I1997" s="221" t="s">
        <v>4916</v>
      </c>
      <c r="J1997" s="221" t="s">
        <v>3023</v>
      </c>
      <c r="K1997" s="224" t="s">
        <v>3069</v>
      </c>
      <c r="L1997" s="225" t="str">
        <f>VLOOKUP(Logfile_S12[[#This Row],[Material Name]],Sheet2!B:C,2,0)</f>
        <v>ZTE1001</v>
      </c>
      <c r="M1997" s="225" t="str">
        <f>_xlfn.XLOOKUP(Logfile_S12[[#This Row],[Material Name]],Sum_WH!E:E,Sum_WH!F:F,"",0)</f>
        <v>Pcs</v>
      </c>
      <c r="N1997" s="221">
        <v>22</v>
      </c>
      <c r="O1997" s="221" t="s">
        <v>2809</v>
      </c>
      <c r="P1997" s="221" t="s">
        <v>2810</v>
      </c>
      <c r="Q1997" s="221"/>
      <c r="R1997" s="221"/>
      <c r="S1997" s="221"/>
      <c r="T1997" s="221" t="s">
        <v>3258</v>
      </c>
      <c r="U1997" s="221">
        <v>0</v>
      </c>
      <c r="V1997" s="221" t="s">
        <v>3337</v>
      </c>
      <c r="W1997" s="221" t="s">
        <v>3338</v>
      </c>
      <c r="X1997" s="221"/>
      <c r="Y1997" s="227"/>
      <c r="Z1997" s="227" t="str">
        <f t="shared" si="73"/>
        <v>BULULAWANG RW 01, 02, 03, 04, 06   MALANG</v>
      </c>
      <c r="AA1997" s="276" t="e">
        <f>VLOOKUP(Logfile_S12[[#This Row],[DO number]],DO_DB!G:I,3,0)</f>
        <v>#N/A</v>
      </c>
      <c r="AB1997" s="331" t="e">
        <f>EXACT(Logfile_S12[[#This Row],[date pick]],Logfile_S12[[#This Row],[Date]])</f>
        <v>#N/A</v>
      </c>
      <c r="AC19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98" spans="1:29" ht="14.5" hidden="1">
      <c r="A1998" s="220" t="str">
        <f t="shared" si="72"/>
        <v>1994</v>
      </c>
      <c r="B1998" s="221"/>
      <c r="C1998" s="221" t="s">
        <v>49</v>
      </c>
      <c r="D1998" s="221" t="s">
        <v>4386</v>
      </c>
      <c r="E1998" s="221" t="s">
        <v>3295</v>
      </c>
      <c r="F1998" s="221" t="s">
        <v>3299</v>
      </c>
      <c r="G1998" s="222">
        <v>45834</v>
      </c>
      <c r="H1998" s="223">
        <v>0.64583333333333337</v>
      </c>
      <c r="I1998" s="221" t="s">
        <v>4916</v>
      </c>
      <c r="J1998" s="221" t="s">
        <v>3023</v>
      </c>
      <c r="K1998" s="224" t="s">
        <v>3069</v>
      </c>
      <c r="L1998" s="225" t="str">
        <f>VLOOKUP(Logfile_S12[[#This Row],[Material Name]],Sheet2!B:C,2,0)</f>
        <v>ZTE1001</v>
      </c>
      <c r="M1998" s="225" t="str">
        <f>_xlfn.XLOOKUP(Logfile_S12[[#This Row],[Material Name]],Sum_WH!E:E,Sum_WH!F:F,"",0)</f>
        <v>Pcs</v>
      </c>
      <c r="N1998" s="221">
        <v>8</v>
      </c>
      <c r="O1998" s="221" t="s">
        <v>2855</v>
      </c>
      <c r="P1998" s="221" t="s">
        <v>2856</v>
      </c>
      <c r="Q1998" s="221"/>
      <c r="R1998" s="221"/>
      <c r="S1998" s="221"/>
      <c r="T1998" s="221" t="s">
        <v>3231</v>
      </c>
      <c r="U1998" s="221">
        <v>0</v>
      </c>
      <c r="V1998" s="221" t="s">
        <v>3375</v>
      </c>
      <c r="W1998" s="221" t="s">
        <v>3249</v>
      </c>
      <c r="X1998" s="221"/>
      <c r="Y1998" s="227"/>
      <c r="Z1998" s="227" t="str">
        <f t="shared" si="73"/>
        <v>DESA KARANGANYAR KIDUL PONCOKUSUMO   MALANG</v>
      </c>
      <c r="AA1998" s="276" t="e">
        <f>VLOOKUP(Logfile_S12[[#This Row],[DO number]],DO_DB!G:I,3,0)</f>
        <v>#N/A</v>
      </c>
      <c r="AB1998" s="331" t="e">
        <f>EXACT(Logfile_S12[[#This Row],[date pick]],Logfile_S12[[#This Row],[Date]])</f>
        <v>#N/A</v>
      </c>
      <c r="AC19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1999" spans="1:29" ht="14.5" hidden="1">
      <c r="A1999" s="220" t="str">
        <f t="shared" si="72"/>
        <v>1995</v>
      </c>
      <c r="B1999" s="221"/>
      <c r="C1999" s="221" t="s">
        <v>49</v>
      </c>
      <c r="D1999" s="221" t="s">
        <v>4390</v>
      </c>
      <c r="E1999" s="221" t="s">
        <v>3295</v>
      </c>
      <c r="F1999" s="221" t="s">
        <v>3299</v>
      </c>
      <c r="G1999" s="222">
        <v>45837</v>
      </c>
      <c r="H1999" s="223">
        <v>0.64583333333333337</v>
      </c>
      <c r="I1999" s="221" t="s">
        <v>4916</v>
      </c>
      <c r="J1999" s="221" t="s">
        <v>3023</v>
      </c>
      <c r="K1999" s="224" t="s">
        <v>3069</v>
      </c>
      <c r="L1999" s="225" t="str">
        <f>VLOOKUP(Logfile_S12[[#This Row],[Material Name]],Sheet2!B:C,2,0)</f>
        <v>ZTE1001</v>
      </c>
      <c r="M1999" s="225" t="str">
        <f>_xlfn.XLOOKUP(Logfile_S12[[#This Row],[Material Name]],Sum_WH!E:E,Sum_WH!F:F,"",0)</f>
        <v>Pcs</v>
      </c>
      <c r="N1999" s="221">
        <v>2</v>
      </c>
      <c r="O1999" s="221" t="s">
        <v>2855</v>
      </c>
      <c r="P1999" s="221" t="s">
        <v>2856</v>
      </c>
      <c r="Q1999" s="221"/>
      <c r="R1999" s="221"/>
      <c r="S1999" s="221"/>
      <c r="T1999" s="221" t="s">
        <v>3231</v>
      </c>
      <c r="U1999" s="221">
        <v>0</v>
      </c>
      <c r="V1999" s="221" t="s">
        <v>3375</v>
      </c>
      <c r="W1999" s="221" t="s">
        <v>3249</v>
      </c>
      <c r="X1999" s="221"/>
      <c r="Y1999" s="227"/>
      <c r="Z1999" s="227" t="str">
        <f t="shared" si="73"/>
        <v>DESA KARANGANYAR KIDUL PONCOKUSUMO   MALANG</v>
      </c>
      <c r="AA1999" s="276" t="e">
        <f>VLOOKUP(Logfile_S12[[#This Row],[DO number]],DO_DB!G:I,3,0)</f>
        <v>#N/A</v>
      </c>
      <c r="AB1999" s="331" t="e">
        <f>EXACT(Logfile_S12[[#This Row],[date pick]],Logfile_S12[[#This Row],[Date]])</f>
        <v>#N/A</v>
      </c>
      <c r="AC19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00" spans="1:29" ht="14.5" hidden="1">
      <c r="A2000" s="220" t="str">
        <f t="shared" si="72"/>
        <v>1996</v>
      </c>
      <c r="B2000" s="221"/>
      <c r="C2000" s="221" t="s">
        <v>49</v>
      </c>
      <c r="D2000" s="221" t="s">
        <v>4394</v>
      </c>
      <c r="E2000" s="221" t="s">
        <v>3295</v>
      </c>
      <c r="F2000" s="221" t="s">
        <v>3299</v>
      </c>
      <c r="G2000" s="222">
        <v>45854</v>
      </c>
      <c r="H2000" s="223">
        <v>0.46805555555555556</v>
      </c>
      <c r="I2000" s="221" t="s">
        <v>4916</v>
      </c>
      <c r="J2000" s="221" t="s">
        <v>3023</v>
      </c>
      <c r="K2000" s="224" t="s">
        <v>3069</v>
      </c>
      <c r="L2000" s="225" t="str">
        <f>VLOOKUP(Logfile_S12[[#This Row],[Material Name]],Sheet2!B:C,2,0)</f>
        <v>ZTE1001</v>
      </c>
      <c r="M2000" s="225" t="str">
        <f>_xlfn.XLOOKUP(Logfile_S12[[#This Row],[Material Name]],Sum_WH!E:E,Sum_WH!F:F,"",0)</f>
        <v>Pcs</v>
      </c>
      <c r="N2000" s="221">
        <v>1</v>
      </c>
      <c r="O2000" s="221" t="s">
        <v>1807</v>
      </c>
      <c r="P2000" s="221" t="s">
        <v>1800</v>
      </c>
      <c r="Q2000" s="221"/>
      <c r="R2000" s="221"/>
      <c r="S2000" s="221"/>
      <c r="T2000" s="221" t="s">
        <v>3258</v>
      </c>
      <c r="U2000" s="221">
        <v>0</v>
      </c>
      <c r="V2000" s="221" t="s">
        <v>3337</v>
      </c>
      <c r="W2000" s="221" t="s">
        <v>3338</v>
      </c>
      <c r="X2000" s="221" t="s">
        <v>3591</v>
      </c>
      <c r="Y2000" s="227"/>
      <c r="Z2000" s="227" t="str">
        <f t="shared" si="73"/>
        <v>HUBFEEDER OLT KEPANJEN TO JATIKERTO</v>
      </c>
      <c r="AA2000" s="276" t="e">
        <f>VLOOKUP(Logfile_S12[[#This Row],[DO number]],DO_DB!G:I,3,0)</f>
        <v>#N/A</v>
      </c>
      <c r="AB2000" s="331" t="e">
        <f>EXACT(Logfile_S12[[#This Row],[date pick]],Logfile_S12[[#This Row],[Date]])</f>
        <v>#N/A</v>
      </c>
      <c r="AC20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01" spans="1:29" ht="14.5" hidden="1">
      <c r="A2001" s="220" t="str">
        <f t="shared" si="72"/>
        <v>1997</v>
      </c>
      <c r="B2001" s="221"/>
      <c r="C2001" s="221" t="s">
        <v>49</v>
      </c>
      <c r="D2001" s="221" t="s">
        <v>4394</v>
      </c>
      <c r="E2001" s="221" t="s">
        <v>3295</v>
      </c>
      <c r="F2001" s="221" t="s">
        <v>3299</v>
      </c>
      <c r="G2001" s="222">
        <v>45854</v>
      </c>
      <c r="H2001" s="223">
        <v>0.46805555555555556</v>
      </c>
      <c r="I2001" s="221" t="s">
        <v>4916</v>
      </c>
      <c r="J2001" s="221" t="s">
        <v>3023</v>
      </c>
      <c r="K2001" s="224" t="s">
        <v>3069</v>
      </c>
      <c r="L2001" s="225" t="str">
        <f>VLOOKUP(Logfile_S12[[#This Row],[Material Name]],Sheet2!B:C,2,0)</f>
        <v>ZTE1001</v>
      </c>
      <c r="M2001" s="225" t="str">
        <f>_xlfn.XLOOKUP(Logfile_S12[[#This Row],[Material Name]],Sum_WH!E:E,Sum_WH!F:F,"",0)</f>
        <v>Pcs</v>
      </c>
      <c r="N2001" s="221">
        <v>11</v>
      </c>
      <c r="O2001" s="221" t="s">
        <v>2909</v>
      </c>
      <c r="P2001" s="221" t="s">
        <v>2910</v>
      </c>
      <c r="Q2001" s="221"/>
      <c r="R2001" s="221"/>
      <c r="S2001" s="221"/>
      <c r="T2001" s="221" t="s">
        <v>3258</v>
      </c>
      <c r="U2001" s="221">
        <v>0</v>
      </c>
      <c r="V2001" s="221" t="s">
        <v>3337</v>
      </c>
      <c r="W2001" s="221" t="s">
        <v>3338</v>
      </c>
      <c r="X2001" s="221"/>
      <c r="Y2001" s="227"/>
      <c r="Z2001" s="227" t="str">
        <f t="shared" si="73"/>
        <v>KREBET RW 03</v>
      </c>
      <c r="AA2001" s="276" t="e">
        <f>VLOOKUP(Logfile_S12[[#This Row],[DO number]],DO_DB!G:I,3,0)</f>
        <v>#N/A</v>
      </c>
      <c r="AB2001" s="331" t="e">
        <f>EXACT(Logfile_S12[[#This Row],[date pick]],Logfile_S12[[#This Row],[Date]])</f>
        <v>#N/A</v>
      </c>
      <c r="AC20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02" spans="1:29" ht="14.5" hidden="1">
      <c r="A2002" s="237" t="str">
        <f t="shared" si="72"/>
        <v>1998</v>
      </c>
      <c r="B2002" s="221"/>
      <c r="C2002" s="227" t="s">
        <v>48</v>
      </c>
      <c r="D2002" s="227" t="s">
        <v>4471</v>
      </c>
      <c r="E2002" s="227" t="s">
        <v>3295</v>
      </c>
      <c r="F2002" s="227" t="s">
        <v>3299</v>
      </c>
      <c r="G2002" s="239">
        <v>45854</v>
      </c>
      <c r="H2002" s="240">
        <v>0.46805555555555556</v>
      </c>
      <c r="I2002" s="227" t="s">
        <v>3586</v>
      </c>
      <c r="J2002" s="482" t="s">
        <v>4432</v>
      </c>
      <c r="K2002" s="241" t="s">
        <v>3069</v>
      </c>
      <c r="L2002" s="225" t="str">
        <f>VLOOKUP(Logfile_S12[[#This Row],[Material Name]],Sheet2!B:C,2,0)</f>
        <v>ZTE1001</v>
      </c>
      <c r="M2002" s="242" t="s">
        <v>19</v>
      </c>
      <c r="N2002" s="227">
        <v>1</v>
      </c>
      <c r="O2002" s="227" t="s">
        <v>1799</v>
      </c>
      <c r="P2002" s="227" t="s">
        <v>1800</v>
      </c>
      <c r="Q2002" s="227"/>
      <c r="R2002" s="227"/>
      <c r="S2002" s="227" t="s">
        <v>3173</v>
      </c>
      <c r="T2002" s="227" t="s">
        <v>3258</v>
      </c>
      <c r="U2002" s="227">
        <v>0</v>
      </c>
      <c r="V2002" s="227" t="s">
        <v>3337</v>
      </c>
      <c r="W2002" s="227" t="s">
        <v>3338</v>
      </c>
      <c r="X2002" s="227" t="s">
        <v>3603</v>
      </c>
      <c r="Y2002" s="238" t="s">
        <v>5329</v>
      </c>
      <c r="Z2002" s="238" t="str">
        <f t="shared" si="73"/>
        <v>HUBFEEDER OLT KEPANJEN TO JATIKERTO</v>
      </c>
      <c r="AA2002" s="276" t="e">
        <f>VLOOKUP(Logfile_S12[[#This Row],[DO number]],DO_DB!G:I,3,0)</f>
        <v>#N/A</v>
      </c>
      <c r="AB2002" s="332" t="e">
        <f>EXACT(Logfile_S12[[#This Row],[date pick]],Logfile_S12[[#This Row],[Date]])</f>
        <v>#N/A</v>
      </c>
      <c r="AC2002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OUTBOUND_P74-002-1</v>
      </c>
    </row>
    <row r="2003" spans="1:29" ht="14.5" hidden="1">
      <c r="A2003" s="220" t="str">
        <f t="shared" si="72"/>
        <v>1999</v>
      </c>
      <c r="B2003" s="221"/>
      <c r="C2003" s="221" t="s">
        <v>49</v>
      </c>
      <c r="D2003" s="221" t="s">
        <v>4395</v>
      </c>
      <c r="E2003" s="221" t="s">
        <v>3295</v>
      </c>
      <c r="F2003" s="221" t="s">
        <v>3299</v>
      </c>
      <c r="G2003" s="222">
        <v>45856</v>
      </c>
      <c r="H2003" s="223">
        <v>0.46805555555555556</v>
      </c>
      <c r="I2003" s="221" t="s">
        <v>4916</v>
      </c>
      <c r="J2003" s="221" t="s">
        <v>3023</v>
      </c>
      <c r="K2003" s="224" t="s">
        <v>3069</v>
      </c>
      <c r="L2003" s="225" t="str">
        <f>VLOOKUP(Logfile_S12[[#This Row],[Material Name]],Sheet2!B:C,2,0)</f>
        <v>ZTE1001</v>
      </c>
      <c r="M2003" s="225" t="str">
        <f>_xlfn.XLOOKUP(Logfile_S12[[#This Row],[Material Name]],Sum_WH!E:E,Sum_WH!F:F,"",0)</f>
        <v>Pcs</v>
      </c>
      <c r="N2003" s="221">
        <v>3</v>
      </c>
      <c r="O2003" s="221" t="s">
        <v>2909</v>
      </c>
      <c r="P2003" s="221" t="s">
        <v>2910</v>
      </c>
      <c r="Q2003" s="221"/>
      <c r="R2003" s="221"/>
      <c r="S2003" s="221"/>
      <c r="T2003" s="221" t="s">
        <v>3258</v>
      </c>
      <c r="U2003" s="221">
        <v>0</v>
      </c>
      <c r="V2003" s="221" t="s">
        <v>3337</v>
      </c>
      <c r="W2003" s="221" t="s">
        <v>3338</v>
      </c>
      <c r="X2003" s="221"/>
      <c r="Y2003" s="227"/>
      <c r="Z2003" s="227" t="str">
        <f t="shared" si="73"/>
        <v>KREBET RW 03</v>
      </c>
      <c r="AA2003" s="276" t="e">
        <f>VLOOKUP(Logfile_S12[[#This Row],[DO number]],DO_DB!G:I,3,0)</f>
        <v>#N/A</v>
      </c>
      <c r="AB2003" s="331" t="e">
        <f>EXACT(Logfile_S12[[#This Row],[date pick]],Logfile_S12[[#This Row],[Date]])</f>
        <v>#N/A</v>
      </c>
      <c r="AC20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04" spans="1:29" ht="14.5" hidden="1">
      <c r="A2004" s="220" t="str">
        <f t="shared" si="72"/>
        <v>2000</v>
      </c>
      <c r="B2004" s="221"/>
      <c r="C2004" s="221" t="s">
        <v>49</v>
      </c>
      <c r="D2004" s="221" t="s">
        <v>4397</v>
      </c>
      <c r="E2004" s="221" t="s">
        <v>3295</v>
      </c>
      <c r="F2004" s="221" t="s">
        <v>3299</v>
      </c>
      <c r="G2004" s="222">
        <v>45861</v>
      </c>
      <c r="H2004" s="223">
        <v>0.46805555555555556</v>
      </c>
      <c r="I2004" s="221" t="s">
        <v>4916</v>
      </c>
      <c r="J2004" s="221" t="s">
        <v>3023</v>
      </c>
      <c r="K2004" s="224" t="s">
        <v>3069</v>
      </c>
      <c r="L2004" s="225" t="str">
        <f>VLOOKUP(Logfile_S12[[#This Row],[Material Name]],Sheet2!B:C,2,0)</f>
        <v>ZTE1001</v>
      </c>
      <c r="M2004" s="225" t="str">
        <f>_xlfn.XLOOKUP(Logfile_S12[[#This Row],[Material Name]],Sum_WH!E:E,Sum_WH!F:F,"",0)</f>
        <v>Pcs</v>
      </c>
      <c r="N2004" s="221">
        <v>10</v>
      </c>
      <c r="O2004" s="221" t="s">
        <v>2915</v>
      </c>
      <c r="P2004" s="221" t="s">
        <v>2916</v>
      </c>
      <c r="Q2004" s="221"/>
      <c r="R2004" s="221"/>
      <c r="S2004" s="221"/>
      <c r="T2004" s="221" t="s">
        <v>3258</v>
      </c>
      <c r="U2004" s="221">
        <v>0</v>
      </c>
      <c r="V2004" s="221" t="s">
        <v>3337</v>
      </c>
      <c r="W2004" s="221" t="s">
        <v>3338</v>
      </c>
      <c r="X2004" s="221"/>
      <c r="Y2004" s="227"/>
      <c r="Z2004" s="227" t="str">
        <f t="shared" si="73"/>
        <v>KREBET RW 05</v>
      </c>
      <c r="AA2004" s="276" t="e">
        <f>VLOOKUP(Logfile_S12[[#This Row],[DO number]],DO_DB!G:I,3,0)</f>
        <v>#N/A</v>
      </c>
      <c r="AB2004" s="331" t="e">
        <f>EXACT(Logfile_S12[[#This Row],[date pick]],Logfile_S12[[#This Row],[Date]])</f>
        <v>#N/A</v>
      </c>
      <c r="AC20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05" spans="1:29" ht="14.5" hidden="1">
      <c r="A2005" s="220" t="str">
        <f t="shared" si="72"/>
        <v>2001</v>
      </c>
      <c r="B2005" s="221"/>
      <c r="C2005" s="221" t="s">
        <v>49</v>
      </c>
      <c r="D2005" s="221" t="s">
        <v>4406</v>
      </c>
      <c r="E2005" s="221" t="s">
        <v>3295</v>
      </c>
      <c r="F2005" s="221" t="s">
        <v>3299</v>
      </c>
      <c r="G2005" s="222">
        <v>45876</v>
      </c>
      <c r="H2005" s="223">
        <v>0.47291666666666665</v>
      </c>
      <c r="I2005" s="221" t="s">
        <v>4916</v>
      </c>
      <c r="J2005" s="221" t="s">
        <v>3023</v>
      </c>
      <c r="K2005" s="224" t="s">
        <v>3069</v>
      </c>
      <c r="L2005" s="225" t="str">
        <f>VLOOKUP(Logfile_S12[[#This Row],[Material Name]],Sheet2!B:C,2,0)</f>
        <v>ZTE1001</v>
      </c>
      <c r="M2005" s="225" t="str">
        <f>_xlfn.XLOOKUP(Logfile_S12[[#This Row],[Material Name]],Sum_WH!E:E,Sum_WH!F:F,"",0)</f>
        <v>Pcs</v>
      </c>
      <c r="N2005" s="221">
        <v>17</v>
      </c>
      <c r="O2005" s="221" t="s">
        <v>2996</v>
      </c>
      <c r="P2005" s="221" t="s">
        <v>2997</v>
      </c>
      <c r="Q2005" s="221"/>
      <c r="R2005" s="221"/>
      <c r="S2005" s="221"/>
      <c r="T2005" s="221" t="s">
        <v>3258</v>
      </c>
      <c r="U2005" s="221">
        <v>0</v>
      </c>
      <c r="V2005" s="221" t="s">
        <v>3337</v>
      </c>
      <c r="W2005" s="221" t="s">
        <v>3338</v>
      </c>
      <c r="X2005" s="221"/>
      <c r="Y2005" s="227"/>
      <c r="Z2005" s="227" t="str">
        <f t="shared" si="73"/>
        <v>PERMANU RW 03 MALANG</v>
      </c>
      <c r="AA2005" s="276" t="e">
        <f>VLOOKUP(Logfile_S12[[#This Row],[DO number]],DO_DB!G:I,3,0)</f>
        <v>#N/A</v>
      </c>
      <c r="AB2005" s="331" t="e">
        <f>EXACT(Logfile_S12[[#This Row],[date pick]],Logfile_S12[[#This Row],[Date]])</f>
        <v>#N/A</v>
      </c>
      <c r="AC20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06" spans="1:29" ht="14.5" hidden="1">
      <c r="A2006" s="220" t="str">
        <f t="shared" si="72"/>
        <v>2002</v>
      </c>
      <c r="B2006" s="221"/>
      <c r="C2006" s="221" t="s">
        <v>3449</v>
      </c>
      <c r="D2006" s="221" t="s">
        <v>4408</v>
      </c>
      <c r="E2006" s="221" t="s">
        <v>3295</v>
      </c>
      <c r="F2006" s="221" t="s">
        <v>3299</v>
      </c>
      <c r="G2006" s="222">
        <v>45878</v>
      </c>
      <c r="H2006" s="223">
        <v>0.64027777777777772</v>
      </c>
      <c r="I2006" s="221" t="s">
        <v>3193</v>
      </c>
      <c r="J2006" s="221" t="s">
        <v>3023</v>
      </c>
      <c r="K2006" s="224" t="s">
        <v>3069</v>
      </c>
      <c r="L2006" s="225" t="str">
        <f>VLOOKUP(Logfile_S12[[#This Row],[Material Name]],Sheet2!B:C,2,0)</f>
        <v>ZTE1001</v>
      </c>
      <c r="M2006" s="225" t="str">
        <f>_xlfn.XLOOKUP(Logfile_S12[[#This Row],[Material Name]],Sum_WH!E:E,Sum_WH!F:F,"",0)</f>
        <v>Pcs</v>
      </c>
      <c r="N2006" s="221">
        <v>1</v>
      </c>
      <c r="O2006" s="221" t="s">
        <v>4924</v>
      </c>
      <c r="P2006" s="221" t="s">
        <v>3592</v>
      </c>
      <c r="Q2006" s="221"/>
      <c r="R2006" s="221"/>
      <c r="S2006" s="221"/>
      <c r="T2006" s="221" t="s">
        <v>3593</v>
      </c>
      <c r="U2006" s="221">
        <v>0</v>
      </c>
      <c r="V2006" s="221">
        <v>0</v>
      </c>
      <c r="W2006" s="221" t="s">
        <v>3594</v>
      </c>
      <c r="X2006" s="221" t="s">
        <v>3595</v>
      </c>
      <c r="Y2006" s="227"/>
      <c r="Z2006" s="227" t="str">
        <f t="shared" si="73"/>
        <v>DCIT</v>
      </c>
      <c r="AA2006" s="276" t="e">
        <f>VLOOKUP(Logfile_S12[[#This Row],[DO number]],DO_DB!G:I,3,0)</f>
        <v>#N/A</v>
      </c>
      <c r="AB2006" s="331" t="e">
        <f>EXACT(Logfile_S12[[#This Row],[date pick]],Logfile_S12[[#This Row],[Date]])</f>
        <v>#N/A</v>
      </c>
      <c r="AC20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2007" spans="1:29" ht="14.5" hidden="1">
      <c r="A2007" s="220" t="str">
        <f t="shared" si="72"/>
        <v>2003</v>
      </c>
      <c r="B2007" s="221"/>
      <c r="C2007" s="221" t="s">
        <v>3429</v>
      </c>
      <c r="D2007" s="221" t="s">
        <v>4410</v>
      </c>
      <c r="E2007" s="221" t="s">
        <v>3295</v>
      </c>
      <c r="F2007" s="221" t="s">
        <v>3299</v>
      </c>
      <c r="G2007" s="222">
        <v>45881</v>
      </c>
      <c r="H2007" s="223">
        <v>0.34861111111111109</v>
      </c>
      <c r="I2007" s="221" t="s">
        <v>3193</v>
      </c>
      <c r="J2007" s="221" t="s">
        <v>3023</v>
      </c>
      <c r="K2007" s="224" t="s">
        <v>3069</v>
      </c>
      <c r="L2007" s="225" t="str">
        <f>VLOOKUP(Logfile_S12[[#This Row],[Material Name]],Sheet2!B:C,2,0)</f>
        <v>ZTE1001</v>
      </c>
      <c r="M2007" s="225" t="str">
        <f>_xlfn.XLOOKUP(Logfile_S12[[#This Row],[Material Name]],Sum_WH!E:E,Sum_WH!F:F,"",0)</f>
        <v>Pcs</v>
      </c>
      <c r="N2007" s="221">
        <v>2</v>
      </c>
      <c r="O2007" s="221" t="s">
        <v>4923</v>
      </c>
      <c r="P2007" s="221" t="s">
        <v>3596</v>
      </c>
      <c r="Q2007" s="221"/>
      <c r="R2007" s="221"/>
      <c r="S2007" s="221"/>
      <c r="T2007" s="221"/>
      <c r="U2007" s="221"/>
      <c r="V2007" s="221"/>
      <c r="W2007" s="221"/>
      <c r="X2007" s="221" t="s">
        <v>3597</v>
      </c>
      <c r="Y2007" s="227"/>
      <c r="Z2007" s="227" t="str">
        <f t="shared" si="73"/>
        <v>AIA</v>
      </c>
      <c r="AA2007" s="276" t="e">
        <f>VLOOKUP(Logfile_S12[[#This Row],[DO number]],DO_DB!G:I,3,0)</f>
        <v>#N/A</v>
      </c>
      <c r="AB2007" s="331" t="e">
        <f>EXACT(Logfile_S12[[#This Row],[date pick]],Logfile_S12[[#This Row],[Date]])</f>
        <v>#N/A</v>
      </c>
      <c r="AC20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08" spans="1:29" ht="14.5" hidden="1">
      <c r="A2008" s="220" t="str">
        <f t="shared" si="72"/>
        <v>2004</v>
      </c>
      <c r="B2008" s="221"/>
      <c r="C2008" s="221" t="s">
        <v>48</v>
      </c>
      <c r="D2008" s="221" t="s">
        <v>4415</v>
      </c>
      <c r="E2008" s="221" t="s">
        <v>3295</v>
      </c>
      <c r="F2008" s="221" t="s">
        <v>3299</v>
      </c>
      <c r="G2008" s="222">
        <v>45888</v>
      </c>
      <c r="H2008" s="223">
        <v>15.291666666666666</v>
      </c>
      <c r="I2008" s="221" t="s">
        <v>37</v>
      </c>
      <c r="J2008" s="221" t="s">
        <v>3023</v>
      </c>
      <c r="K2008" s="224" t="s">
        <v>3069</v>
      </c>
      <c r="L2008" s="225" t="str">
        <f>VLOOKUP(Logfile_S12[[#This Row],[Material Name]],Sheet2!B:C,2,0)</f>
        <v>ZTE1001</v>
      </c>
      <c r="M2008" s="225" t="str">
        <f>_xlfn.XLOOKUP(Logfile_S12[[#This Row],[Material Name]],Sum_WH!E:E,Sum_WH!F:F,"",0)</f>
        <v>Pcs</v>
      </c>
      <c r="N2008" s="221">
        <v>1</v>
      </c>
      <c r="O2008" s="221" t="s">
        <v>3203</v>
      </c>
      <c r="P2008" s="221" t="s">
        <v>3598</v>
      </c>
      <c r="Q2008" s="221" t="s">
        <v>3205</v>
      </c>
      <c r="R2008" s="221" t="s">
        <v>3206</v>
      </c>
      <c r="S2008" s="221"/>
      <c r="T2008" s="221" t="s">
        <v>3258</v>
      </c>
      <c r="U2008" s="221">
        <v>0</v>
      </c>
      <c r="V2008" s="221" t="s">
        <v>3337</v>
      </c>
      <c r="W2008" s="221" t="s">
        <v>3338</v>
      </c>
      <c r="X2008" s="221"/>
      <c r="Y2008" s="227"/>
      <c r="Z2008" s="227" t="str">
        <f t="shared" si="73"/>
        <v>PERUMAHAN BULULAWANG PERMAI RW 02</v>
      </c>
      <c r="AA2008" s="276">
        <f>VLOOKUP(Logfile_S12[[#This Row],[DO number]],DO_DB!G:I,3,0)</f>
        <v>45888</v>
      </c>
      <c r="AB2008" s="331" t="b">
        <f>EXACT(Logfile_S12[[#This Row],[date pick]],Logfile_S12[[#This Row],[Date]])</f>
        <v>1</v>
      </c>
      <c r="AC20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09" spans="1:29" ht="14.5" hidden="1">
      <c r="A2009" s="220" t="str">
        <f t="shared" si="72"/>
        <v>2005</v>
      </c>
      <c r="B2009" s="221"/>
      <c r="C2009" s="221" t="s">
        <v>49</v>
      </c>
      <c r="D2009" s="221" t="s">
        <v>4414</v>
      </c>
      <c r="E2009" s="221" t="s">
        <v>3295</v>
      </c>
      <c r="F2009" s="221" t="s">
        <v>3299</v>
      </c>
      <c r="G2009" s="222">
        <v>45888</v>
      </c>
      <c r="H2009" s="223">
        <v>0.43819444444444444</v>
      </c>
      <c r="I2009" s="221" t="s">
        <v>4916</v>
      </c>
      <c r="J2009" s="221" t="s">
        <v>3023</v>
      </c>
      <c r="K2009" s="224" t="s">
        <v>3069</v>
      </c>
      <c r="L2009" s="225" t="str">
        <f>VLOOKUP(Logfile_S12[[#This Row],[Material Name]],Sheet2!B:C,2,0)</f>
        <v>ZTE1001</v>
      </c>
      <c r="M2009" s="225" t="str">
        <f>_xlfn.XLOOKUP(Logfile_S12[[#This Row],[Material Name]],Sum_WH!E:E,Sum_WH!F:F,"",0)</f>
        <v>Pcs</v>
      </c>
      <c r="N2009" s="221">
        <v>1</v>
      </c>
      <c r="O2009" s="221" t="s">
        <v>3203</v>
      </c>
      <c r="P2009" s="221" t="s">
        <v>3598</v>
      </c>
      <c r="Q2009" s="221"/>
      <c r="R2009" s="221"/>
      <c r="S2009" s="221"/>
      <c r="T2009" s="221" t="s">
        <v>3258</v>
      </c>
      <c r="U2009" s="221">
        <v>0</v>
      </c>
      <c r="V2009" s="221" t="s">
        <v>3337</v>
      </c>
      <c r="W2009" s="221" t="s">
        <v>3338</v>
      </c>
      <c r="X2009" s="221"/>
      <c r="Y2009" s="227"/>
      <c r="Z2009" s="227" t="str">
        <f t="shared" si="73"/>
        <v>PERUMAHAN BULULAWANG PERMAI RW 02</v>
      </c>
      <c r="AA2009" s="276" t="e">
        <f>VLOOKUP(Logfile_S12[[#This Row],[DO number]],DO_DB!G:I,3,0)</f>
        <v>#N/A</v>
      </c>
      <c r="AB2009" s="331" t="e">
        <f>EXACT(Logfile_S12[[#This Row],[date pick]],Logfile_S12[[#This Row],[Date]])</f>
        <v>#N/A</v>
      </c>
      <c r="AC20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10" spans="1:29" ht="14.5" hidden="1">
      <c r="A2010" s="220" t="str">
        <f t="shared" si="72"/>
        <v>2006</v>
      </c>
      <c r="B2010" s="221"/>
      <c r="C2010" s="221" t="s">
        <v>48</v>
      </c>
      <c r="D2010" s="221" t="s">
        <v>4424</v>
      </c>
      <c r="E2010" s="221" t="s">
        <v>3295</v>
      </c>
      <c r="F2010" s="221" t="s">
        <v>3299</v>
      </c>
      <c r="G2010" s="222">
        <v>45899</v>
      </c>
      <c r="H2010" s="223">
        <v>0.64604166666666663</v>
      </c>
      <c r="I2010" s="221" t="s">
        <v>37</v>
      </c>
      <c r="J2010" s="221" t="s">
        <v>3023</v>
      </c>
      <c r="K2010" s="224" t="s">
        <v>3069</v>
      </c>
      <c r="L2010" s="225" t="str">
        <f>VLOOKUP(Logfile_S12[[#This Row],[Material Name]],Sheet2!B:C,2,0)</f>
        <v>ZTE1001</v>
      </c>
      <c r="M2010" s="225" t="str">
        <f>_xlfn.XLOOKUP(Logfile_S12[[#This Row],[Material Name]],Sum_WH!E:E,Sum_WH!F:F,"",0)</f>
        <v>Pcs</v>
      </c>
      <c r="N2010" s="221">
        <v>21</v>
      </c>
      <c r="O2010" s="221"/>
      <c r="P2010" s="221" t="s">
        <v>3260</v>
      </c>
      <c r="Q2010" s="221" t="s">
        <v>3260</v>
      </c>
      <c r="R2010" s="221" t="s">
        <v>3260</v>
      </c>
      <c r="S2010" s="221"/>
      <c r="T2010" s="221"/>
      <c r="U2010" s="221"/>
      <c r="V2010" s="221"/>
      <c r="W2010" s="221"/>
      <c r="X2010" s="221"/>
      <c r="Y2010" s="227"/>
      <c r="Z2010" s="227" t="str">
        <f t="shared" si="73"/>
        <v>-</v>
      </c>
      <c r="AA2010" s="276" t="e">
        <f>VLOOKUP(Logfile_S12[[#This Row],[DO number]],DO_DB!G:I,3,0)</f>
        <v>#N/A</v>
      </c>
      <c r="AB2010" s="331" t="e">
        <f>EXACT(Logfile_S12[[#This Row],[date pick]],Logfile_S12[[#This Row],[Date]])</f>
        <v>#N/A</v>
      </c>
      <c r="AC20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11" spans="1:29" ht="14.5" hidden="1">
      <c r="A2011" s="237" t="str">
        <f t="shared" si="72"/>
        <v>2007</v>
      </c>
      <c r="B2011" s="221">
        <v>1</v>
      </c>
      <c r="C2011" s="227" t="s">
        <v>49</v>
      </c>
      <c r="D2011" s="227" t="s">
        <v>4647</v>
      </c>
      <c r="E2011" s="227" t="s">
        <v>3295</v>
      </c>
      <c r="F2011" s="227" t="s">
        <v>3299</v>
      </c>
      <c r="G2011" s="239">
        <v>45909</v>
      </c>
      <c r="H2011" s="240">
        <v>0.44347222222222221</v>
      </c>
      <c r="I2011" s="227" t="s">
        <v>3295</v>
      </c>
      <c r="J2011" s="227" t="s">
        <v>3023</v>
      </c>
      <c r="K2011" s="241" t="s">
        <v>3069</v>
      </c>
      <c r="L2011" s="225" t="str">
        <f>VLOOKUP(Logfile_S12[[#This Row],[Material Name]],Sheet2!B:C,2,0)</f>
        <v>ZTE1001</v>
      </c>
      <c r="M2011" s="225" t="str">
        <f>_xlfn.XLOOKUP(Logfile_S12[[#This Row],[Material Name]],Sum_WH!E:E,Sum_WH!F:F,"",0)</f>
        <v>Pcs</v>
      </c>
      <c r="N2011" s="227">
        <v>11</v>
      </c>
      <c r="O2011" s="227" t="s">
        <v>3668</v>
      </c>
      <c r="P2011" s="227" t="s">
        <v>3669</v>
      </c>
      <c r="Q2011" s="227" t="s">
        <v>3670</v>
      </c>
      <c r="R2011" s="227" t="s">
        <v>3671</v>
      </c>
      <c r="S2011" s="227"/>
      <c r="T2011" s="221" t="s">
        <v>3258</v>
      </c>
      <c r="U2011" s="221">
        <v>0</v>
      </c>
      <c r="V2011" s="221" t="s">
        <v>3337</v>
      </c>
      <c r="W2011" s="221" t="s">
        <v>3338</v>
      </c>
      <c r="X2011" s="227"/>
      <c r="Y2011" s="227"/>
      <c r="Z2011" s="227" t="str">
        <f t="shared" si="73"/>
        <v>KREBET SENGGRONG RW 03 MALANG</v>
      </c>
      <c r="AA2011" s="276">
        <f>VLOOKUP(Logfile_S12[[#This Row],[DO number]],DO_DB!G:I,3,0)</f>
        <v>45896</v>
      </c>
      <c r="AB2011" s="331" t="b">
        <f>EXACT(Logfile_S12[[#This Row],[date pick]],Logfile_S12[[#This Row],[Date]])</f>
        <v>0</v>
      </c>
      <c r="AC20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12" spans="1:29" ht="14.5" hidden="1">
      <c r="A2012" s="237" t="str">
        <f t="shared" si="72"/>
        <v>2008</v>
      </c>
      <c r="B2012" s="221">
        <v>1</v>
      </c>
      <c r="C2012" s="221" t="s">
        <v>3449</v>
      </c>
      <c r="D2012" s="227" t="s">
        <v>4649</v>
      </c>
      <c r="E2012" s="227" t="s">
        <v>3295</v>
      </c>
      <c r="F2012" s="227" t="s">
        <v>3299</v>
      </c>
      <c r="G2012" s="239">
        <v>45912</v>
      </c>
      <c r="H2012" s="240">
        <v>0.40709490740740739</v>
      </c>
      <c r="I2012" s="221" t="s">
        <v>3193</v>
      </c>
      <c r="J2012" s="227" t="s">
        <v>3023</v>
      </c>
      <c r="K2012" s="241" t="s">
        <v>3069</v>
      </c>
      <c r="L2012" s="225" t="str">
        <f>VLOOKUP(Logfile_S12[[#This Row],[Material Name]],Sheet2!B:C,2,0)</f>
        <v>ZTE1001</v>
      </c>
      <c r="M2012" s="225" t="str">
        <f>_xlfn.XLOOKUP(Logfile_S12[[#This Row],[Material Name]],Sum_WH!E:E,Sum_WH!F:F,"",0)</f>
        <v>Pcs</v>
      </c>
      <c r="N2012" s="227">
        <v>1</v>
      </c>
      <c r="O2012" s="221" t="s">
        <v>4923</v>
      </c>
      <c r="P2012" s="221" t="s">
        <v>3596</v>
      </c>
      <c r="Q2012" s="227" t="s">
        <v>3260</v>
      </c>
      <c r="R2012" s="227" t="s">
        <v>3260</v>
      </c>
      <c r="S2012" s="227"/>
      <c r="T2012" s="227"/>
      <c r="U2012" s="227"/>
      <c r="V2012" s="227"/>
      <c r="W2012" s="227"/>
      <c r="X2012" s="227" t="s">
        <v>3570</v>
      </c>
      <c r="Y2012" s="227"/>
      <c r="Z2012" s="227" t="str">
        <f t="shared" si="73"/>
        <v>AIA</v>
      </c>
      <c r="AA2012" s="276" t="e">
        <f>VLOOKUP(Logfile_S12[[#This Row],[DO number]],DO_DB!G:I,3,0)</f>
        <v>#N/A</v>
      </c>
      <c r="AB2012" s="331" t="e">
        <f>EXACT(Logfile_S12[[#This Row],[date pick]],Logfile_S12[[#This Row],[Date]])</f>
        <v>#N/A</v>
      </c>
      <c r="AC20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2013" spans="1:29" ht="14.5" hidden="1">
      <c r="A2013" s="237" t="str">
        <f t="shared" si="72"/>
        <v>2009</v>
      </c>
      <c r="B2013" s="221">
        <v>1</v>
      </c>
      <c r="C2013" s="221" t="s">
        <v>3449</v>
      </c>
      <c r="D2013" s="227" t="s">
        <v>4651</v>
      </c>
      <c r="E2013" s="227" t="s">
        <v>3295</v>
      </c>
      <c r="F2013" s="227" t="s">
        <v>3299</v>
      </c>
      <c r="G2013" s="239">
        <v>45913</v>
      </c>
      <c r="H2013" s="240">
        <v>0.4142824074074074</v>
      </c>
      <c r="I2013" s="221" t="s">
        <v>3193</v>
      </c>
      <c r="J2013" s="227" t="s">
        <v>3023</v>
      </c>
      <c r="K2013" s="241" t="s">
        <v>3069</v>
      </c>
      <c r="L2013" s="225" t="str">
        <f>VLOOKUP(Logfile_S12[[#This Row],[Material Name]],Sheet2!B:C,2,0)</f>
        <v>ZTE1001</v>
      </c>
      <c r="M2013" s="225" t="str">
        <f>_xlfn.XLOOKUP(Logfile_S12[[#This Row],[Material Name]],Sum_WH!E:E,Sum_WH!F:F,"",0)</f>
        <v>Pcs</v>
      </c>
      <c r="N2013" s="227">
        <v>1</v>
      </c>
      <c r="O2013" s="221" t="s">
        <v>4924</v>
      </c>
      <c r="P2013" s="221" t="s">
        <v>3592</v>
      </c>
      <c r="Q2013" s="227"/>
      <c r="R2013" s="227"/>
      <c r="S2013" s="227"/>
      <c r="T2013" s="227"/>
      <c r="U2013" s="227"/>
      <c r="V2013" s="227"/>
      <c r="W2013" s="227"/>
      <c r="X2013" s="227" t="s">
        <v>3595</v>
      </c>
      <c r="Y2013" s="227"/>
      <c r="Z2013" s="227" t="str">
        <f t="shared" si="73"/>
        <v>DCIT</v>
      </c>
      <c r="AA2013" s="276" t="e">
        <f>VLOOKUP(Logfile_S12[[#This Row],[DO number]],DO_DB!G:I,3,0)</f>
        <v>#N/A</v>
      </c>
      <c r="AB2013" s="331" t="e">
        <f>EXACT(Logfile_S12[[#This Row],[date pick]],Logfile_S12[[#This Row],[Date]])</f>
        <v>#N/A</v>
      </c>
      <c r="AC20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2014" spans="1:29" ht="14.5" hidden="1">
      <c r="A2014" s="237" t="str">
        <f t="shared" si="72"/>
        <v>2010</v>
      </c>
      <c r="B2014" s="221">
        <v>1</v>
      </c>
      <c r="C2014" s="227" t="s">
        <v>48</v>
      </c>
      <c r="D2014" s="227" t="s">
        <v>4671</v>
      </c>
      <c r="E2014" s="227" t="s">
        <v>3295</v>
      </c>
      <c r="F2014" s="227" t="s">
        <v>3299</v>
      </c>
      <c r="G2014" s="239">
        <v>45953</v>
      </c>
      <c r="H2014" s="240">
        <v>0.33333333333333331</v>
      </c>
      <c r="I2014" s="227" t="s">
        <v>37</v>
      </c>
      <c r="J2014" s="221" t="s">
        <v>3023</v>
      </c>
      <c r="K2014" s="241" t="s">
        <v>3069</v>
      </c>
      <c r="L2014" s="225" t="str">
        <f>VLOOKUP(Logfile_S12[[#This Row],[Material Name]],Sheet2!B:C,2,0)</f>
        <v>ZTE1001</v>
      </c>
      <c r="M2014" s="242" t="s">
        <v>19</v>
      </c>
      <c r="N2014" s="227">
        <v>1</v>
      </c>
      <c r="O2014" s="227" t="s">
        <v>4595</v>
      </c>
      <c r="P2014" s="227" t="s">
        <v>4596</v>
      </c>
      <c r="Q2014" s="221" t="s">
        <v>4669</v>
      </c>
      <c r="R2014" s="221" t="s">
        <v>4670</v>
      </c>
      <c r="S2014" s="227"/>
      <c r="T2014" s="221" t="s">
        <v>3258</v>
      </c>
      <c r="U2014" s="221">
        <v>0</v>
      </c>
      <c r="V2014" s="221" t="s">
        <v>3337</v>
      </c>
      <c r="W2014" s="221" t="s">
        <v>3338</v>
      </c>
      <c r="X2014" s="227"/>
      <c r="Y2014" s="227"/>
      <c r="Z2014" s="227" t="str">
        <f t="shared" si="73"/>
        <v>Asshofa Residence</v>
      </c>
      <c r="AA2014" s="276">
        <f>VLOOKUP(Logfile_S12[[#This Row],[DO number]],DO_DB!G:I,3,0)</f>
        <v>45951</v>
      </c>
      <c r="AB2014" s="331" t="b">
        <f>EXACT(Logfile_S12[[#This Row],[date pick]],Logfile_S12[[#This Row],[Date]])</f>
        <v>0</v>
      </c>
      <c r="AC20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15" spans="1:29" ht="14.5" hidden="1">
      <c r="A2015" s="237" t="str">
        <f t="shared" si="72"/>
        <v>2011</v>
      </c>
      <c r="B2015" s="221">
        <v>4</v>
      </c>
      <c r="C2015" s="227" t="s">
        <v>48</v>
      </c>
      <c r="D2015" s="227" t="s">
        <v>4671</v>
      </c>
      <c r="E2015" s="227" t="s">
        <v>3295</v>
      </c>
      <c r="F2015" s="227" t="s">
        <v>3299</v>
      </c>
      <c r="G2015" s="239">
        <v>45953</v>
      </c>
      <c r="H2015" s="240">
        <v>0.33333333333333331</v>
      </c>
      <c r="I2015" s="227" t="s">
        <v>37</v>
      </c>
      <c r="J2015" s="221" t="s">
        <v>3023</v>
      </c>
      <c r="K2015" s="241" t="s">
        <v>3069</v>
      </c>
      <c r="L2015" s="225" t="str">
        <f>VLOOKUP(Logfile_S12[[#This Row],[Material Name]],Sheet2!B:C,2,0)</f>
        <v>ZTE1001</v>
      </c>
      <c r="M2015" s="242" t="s">
        <v>19</v>
      </c>
      <c r="N2015" s="227">
        <v>1</v>
      </c>
      <c r="O2015" s="227" t="s">
        <v>4663</v>
      </c>
      <c r="P2015" s="227" t="s">
        <v>4664</v>
      </c>
      <c r="Q2015" s="221" t="s">
        <v>4665</v>
      </c>
      <c r="R2015" s="221" t="s">
        <v>4666</v>
      </c>
      <c r="S2015" s="227"/>
      <c r="T2015" s="221" t="s">
        <v>3258</v>
      </c>
      <c r="U2015" s="221">
        <v>0</v>
      </c>
      <c r="V2015" s="221" t="s">
        <v>3337</v>
      </c>
      <c r="W2015" s="221" t="s">
        <v>3338</v>
      </c>
      <c r="X2015" s="227"/>
      <c r="Y2015" s="227"/>
      <c r="Z2015" s="227" t="str">
        <f t="shared" si="73"/>
        <v>LESANPURO RW 06 MALANG</v>
      </c>
      <c r="AA2015" s="276">
        <f>VLOOKUP(Logfile_S12[[#This Row],[DO number]],DO_DB!G:I,3,0)</f>
        <v>45951</v>
      </c>
      <c r="AB2015" s="331" t="b">
        <f>EXACT(Logfile_S12[[#This Row],[date pick]],Logfile_S12[[#This Row],[Date]])</f>
        <v>0</v>
      </c>
      <c r="AC20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16" spans="1:29" ht="14.5" hidden="1">
      <c r="A2016" s="237" t="str">
        <f t="shared" si="72"/>
        <v>2012</v>
      </c>
      <c r="B2016" s="221">
        <v>1</v>
      </c>
      <c r="C2016" s="221" t="s">
        <v>3429</v>
      </c>
      <c r="D2016" s="227" t="s">
        <v>4723</v>
      </c>
      <c r="E2016" s="227" t="s">
        <v>3295</v>
      </c>
      <c r="F2016" s="227" t="s">
        <v>3299</v>
      </c>
      <c r="G2016" s="239">
        <v>45954</v>
      </c>
      <c r="H2016" s="240">
        <v>0.60763888888888884</v>
      </c>
      <c r="I2016" s="227" t="s">
        <v>3193</v>
      </c>
      <c r="J2016" s="221" t="s">
        <v>3023</v>
      </c>
      <c r="K2016" s="241" t="s">
        <v>3069</v>
      </c>
      <c r="L2016" s="225" t="str">
        <f>VLOOKUP(Logfile_S12[[#This Row],[Material Name]],Sheet2!B:C,2,0)</f>
        <v>ZTE1001</v>
      </c>
      <c r="M2016" s="242" t="s">
        <v>19</v>
      </c>
      <c r="N2016" s="227">
        <v>9</v>
      </c>
      <c r="O2016" s="221" t="s">
        <v>4923</v>
      </c>
      <c r="P2016" s="221" t="s">
        <v>3596</v>
      </c>
      <c r="Q2016" s="227"/>
      <c r="R2016" s="227"/>
      <c r="S2016" s="227"/>
      <c r="T2016" s="227"/>
      <c r="U2016" s="227"/>
      <c r="V2016" s="227"/>
      <c r="W2016" s="227"/>
      <c r="X2016" s="227" t="s">
        <v>4676</v>
      </c>
      <c r="Y2016" s="227"/>
      <c r="Z2016" s="227" t="str">
        <f t="shared" si="73"/>
        <v>AIA</v>
      </c>
      <c r="AA2016" s="276" t="e">
        <f>VLOOKUP(Logfile_S12[[#This Row],[DO number]],DO_DB!G:I,3,0)</f>
        <v>#N/A</v>
      </c>
      <c r="AB2016" s="331" t="e">
        <f>EXACT(Logfile_S12[[#This Row],[date pick]],Logfile_S12[[#This Row],[Date]])</f>
        <v>#N/A</v>
      </c>
      <c r="AC20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17" spans="1:29" ht="14.5" hidden="1">
      <c r="A2017" s="237" t="str">
        <f t="shared" si="72"/>
        <v>2013</v>
      </c>
      <c r="B2017" s="221">
        <v>2</v>
      </c>
      <c r="C2017" s="227" t="s">
        <v>49</v>
      </c>
      <c r="D2017" s="227" t="s">
        <v>4674</v>
      </c>
      <c r="E2017" s="227" t="s">
        <v>3295</v>
      </c>
      <c r="F2017" s="227" t="s">
        <v>3299</v>
      </c>
      <c r="G2017" s="239">
        <v>45954</v>
      </c>
      <c r="H2017" s="240">
        <v>0.60763888888888884</v>
      </c>
      <c r="I2017" s="227" t="s">
        <v>3295</v>
      </c>
      <c r="J2017" s="221" t="s">
        <v>3023</v>
      </c>
      <c r="K2017" s="241" t="s">
        <v>3069</v>
      </c>
      <c r="L2017" s="225" t="str">
        <f>VLOOKUP(Logfile_S12[[#This Row],[Material Name]],Sheet2!B:C,2,0)</f>
        <v>ZTE1001</v>
      </c>
      <c r="M2017" s="242" t="s">
        <v>19</v>
      </c>
      <c r="N2017" s="227">
        <v>9</v>
      </c>
      <c r="O2017" s="227" t="s">
        <v>4663</v>
      </c>
      <c r="P2017" s="227" t="s">
        <v>4664</v>
      </c>
      <c r="Q2017" s="227"/>
      <c r="R2017" s="227"/>
      <c r="S2017" s="227"/>
      <c r="T2017" s="221" t="s">
        <v>3258</v>
      </c>
      <c r="U2017" s="221">
        <v>0</v>
      </c>
      <c r="V2017" s="221" t="s">
        <v>3337</v>
      </c>
      <c r="W2017" s="221" t="s">
        <v>3338</v>
      </c>
      <c r="X2017" s="227"/>
      <c r="Y2017" s="227"/>
      <c r="Z2017" s="227" t="str">
        <f t="shared" si="73"/>
        <v>LESANPURO RW 06 MALANG</v>
      </c>
      <c r="AA2017" s="276" t="e">
        <f>VLOOKUP(Logfile_S12[[#This Row],[DO number]],DO_DB!G:I,3,0)</f>
        <v>#N/A</v>
      </c>
      <c r="AB2017" s="331" t="e">
        <f>EXACT(Logfile_S12[[#This Row],[date pick]],Logfile_S12[[#This Row],[Date]])</f>
        <v>#N/A</v>
      </c>
      <c r="AC20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18" spans="1:29" ht="14.5" hidden="1">
      <c r="A2018" s="237" t="str">
        <f t="shared" si="72"/>
        <v>2014</v>
      </c>
      <c r="B2018" s="221">
        <v>1</v>
      </c>
      <c r="C2018" s="227" t="s">
        <v>49</v>
      </c>
      <c r="D2018" s="227" t="s">
        <v>4674</v>
      </c>
      <c r="E2018" s="227" t="s">
        <v>3295</v>
      </c>
      <c r="F2018" s="227" t="s">
        <v>3299</v>
      </c>
      <c r="G2018" s="239">
        <v>45954</v>
      </c>
      <c r="H2018" s="240">
        <v>0.60763888888888884</v>
      </c>
      <c r="I2018" s="227" t="s">
        <v>3295</v>
      </c>
      <c r="J2018" s="221" t="s">
        <v>3023</v>
      </c>
      <c r="K2018" s="241" t="s">
        <v>3069</v>
      </c>
      <c r="L2018" s="225" t="str">
        <f>VLOOKUP(Logfile_S12[[#This Row],[Material Name]],Sheet2!B:C,2,0)</f>
        <v>ZTE1001</v>
      </c>
      <c r="M2018" s="242" t="s">
        <v>19</v>
      </c>
      <c r="N2018" s="227">
        <v>10</v>
      </c>
      <c r="O2018" s="227" t="s">
        <v>4663</v>
      </c>
      <c r="P2018" s="227" t="s">
        <v>4664</v>
      </c>
      <c r="Q2018" s="227"/>
      <c r="R2018" s="227"/>
      <c r="S2018" s="227"/>
      <c r="T2018" s="221" t="s">
        <v>3258</v>
      </c>
      <c r="U2018" s="221">
        <v>0</v>
      </c>
      <c r="V2018" s="221" t="s">
        <v>3337</v>
      </c>
      <c r="W2018" s="221" t="s">
        <v>3338</v>
      </c>
      <c r="X2018" s="227"/>
      <c r="Y2018" s="227"/>
      <c r="Z2018" s="227" t="str">
        <f t="shared" si="73"/>
        <v>LESANPURO RW 06 MALANG</v>
      </c>
      <c r="AA2018" s="276" t="e">
        <f>VLOOKUP(Logfile_S12[[#This Row],[DO number]],DO_DB!G:I,3,0)</f>
        <v>#N/A</v>
      </c>
      <c r="AB2018" s="331" t="e">
        <f>EXACT(Logfile_S12[[#This Row],[date pick]],Logfile_S12[[#This Row],[Date]])</f>
        <v>#N/A</v>
      </c>
      <c r="AC20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19" spans="1:29" ht="14.5" hidden="1">
      <c r="A2019" s="237" t="str">
        <f t="shared" si="72"/>
        <v>2015</v>
      </c>
      <c r="B2019" s="221">
        <v>1</v>
      </c>
      <c r="C2019" s="227" t="s">
        <v>48</v>
      </c>
      <c r="D2019" s="227" t="s">
        <v>4675</v>
      </c>
      <c r="E2019" s="227" t="s">
        <v>3295</v>
      </c>
      <c r="F2019" s="227" t="s">
        <v>3299</v>
      </c>
      <c r="G2019" s="239">
        <v>45955</v>
      </c>
      <c r="H2019" s="240">
        <v>0.33333333333333331</v>
      </c>
      <c r="I2019" s="227" t="s">
        <v>37</v>
      </c>
      <c r="J2019" s="221" t="s">
        <v>3023</v>
      </c>
      <c r="K2019" s="241" t="s">
        <v>3069</v>
      </c>
      <c r="L2019" s="225" t="str">
        <f>VLOOKUP(Logfile_S12[[#This Row],[Material Name]],Sheet2!B:C,2,0)</f>
        <v>ZTE1001</v>
      </c>
      <c r="M2019" s="242" t="s">
        <v>19</v>
      </c>
      <c r="N2019" s="227">
        <v>33</v>
      </c>
      <c r="O2019" s="227" t="s">
        <v>4663</v>
      </c>
      <c r="P2019" s="227" t="s">
        <v>4664</v>
      </c>
      <c r="Q2019" s="221" t="s">
        <v>4665</v>
      </c>
      <c r="R2019" s="221" t="s">
        <v>4666</v>
      </c>
      <c r="S2019" s="227"/>
      <c r="T2019" s="227"/>
      <c r="U2019" s="227"/>
      <c r="V2019" s="227"/>
      <c r="W2019" s="227"/>
      <c r="X2019" s="227"/>
      <c r="Y2019" s="227"/>
      <c r="Z2019" s="227" t="str">
        <f t="shared" si="73"/>
        <v>LESANPURO RW 06 MALANG</v>
      </c>
      <c r="AA2019" s="276">
        <f>VLOOKUP(Logfile_S12[[#This Row],[DO number]],DO_DB!G:I,3,0)</f>
        <v>45951</v>
      </c>
      <c r="AB2019" s="331" t="b">
        <f>EXACT(Logfile_S12[[#This Row],[date pick]],Logfile_S12[[#This Row],[Date]])</f>
        <v>0</v>
      </c>
      <c r="AC20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20" spans="1:29" ht="14.5" hidden="1">
      <c r="A2020" s="237" t="str">
        <f t="shared" si="72"/>
        <v>2016</v>
      </c>
      <c r="B2020" s="221">
        <v>1</v>
      </c>
      <c r="C2020" s="227" t="s">
        <v>49</v>
      </c>
      <c r="D2020" s="227" t="s">
        <v>4677</v>
      </c>
      <c r="E2020" s="227" t="s">
        <v>3295</v>
      </c>
      <c r="F2020" s="227" t="s">
        <v>3299</v>
      </c>
      <c r="G2020" s="239">
        <v>45955</v>
      </c>
      <c r="H2020" s="240">
        <v>0.45833333333333331</v>
      </c>
      <c r="I2020" s="227" t="s">
        <v>3295</v>
      </c>
      <c r="J2020" s="221" t="s">
        <v>3023</v>
      </c>
      <c r="K2020" s="241" t="s">
        <v>3069</v>
      </c>
      <c r="L2020" s="225" t="str">
        <f>VLOOKUP(Logfile_S12[[#This Row],[Material Name]],Sheet2!B:C,2,0)</f>
        <v>ZTE1001</v>
      </c>
      <c r="M2020" s="242" t="s">
        <v>19</v>
      </c>
      <c r="N2020" s="227">
        <v>20</v>
      </c>
      <c r="O2020" s="227" t="s">
        <v>4663</v>
      </c>
      <c r="P2020" s="227" t="s">
        <v>4664</v>
      </c>
      <c r="Q2020" s="227"/>
      <c r="R2020" s="227"/>
      <c r="S2020" s="227"/>
      <c r="T2020" s="221" t="s">
        <v>3258</v>
      </c>
      <c r="U2020" s="221">
        <v>0</v>
      </c>
      <c r="V2020" s="221" t="s">
        <v>3337</v>
      </c>
      <c r="W2020" s="221" t="s">
        <v>3338</v>
      </c>
      <c r="X2020" s="227"/>
      <c r="Y2020" s="227"/>
      <c r="Z2020" s="227" t="str">
        <f t="shared" si="73"/>
        <v>LESANPURO RW 06 MALANG</v>
      </c>
      <c r="AA2020" s="276" t="e">
        <f>VLOOKUP(Logfile_S12[[#This Row],[DO number]],DO_DB!G:I,3,0)</f>
        <v>#N/A</v>
      </c>
      <c r="AB2020" s="331" t="e">
        <f>EXACT(Logfile_S12[[#This Row],[date pick]],Logfile_S12[[#This Row],[Date]])</f>
        <v>#N/A</v>
      </c>
      <c r="AC20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21" spans="1:29" ht="14.5" hidden="1">
      <c r="A2021" s="237" t="str">
        <f t="shared" si="72"/>
        <v>2017</v>
      </c>
      <c r="B2021" s="221">
        <v>1</v>
      </c>
      <c r="C2021" s="221" t="s">
        <v>3429</v>
      </c>
      <c r="D2021" s="227" t="s">
        <v>4722</v>
      </c>
      <c r="E2021" s="227" t="s">
        <v>3295</v>
      </c>
      <c r="F2021" s="227" t="s">
        <v>3299</v>
      </c>
      <c r="G2021" s="239">
        <v>45960</v>
      </c>
      <c r="H2021" s="240">
        <v>0.60763888888888884</v>
      </c>
      <c r="I2021" s="221" t="s">
        <v>3193</v>
      </c>
      <c r="J2021" s="221" t="s">
        <v>3023</v>
      </c>
      <c r="K2021" s="241" t="s">
        <v>3069</v>
      </c>
      <c r="L2021" s="225" t="str">
        <f>VLOOKUP(Logfile_S12[[#This Row],[Material Name]],Sheet2!B:C,2,0)</f>
        <v>ZTE1001</v>
      </c>
      <c r="M2021" s="242" t="s">
        <v>19</v>
      </c>
      <c r="N2021" s="227">
        <v>1</v>
      </c>
      <c r="O2021" s="221" t="s">
        <v>4924</v>
      </c>
      <c r="P2021" s="221" t="s">
        <v>3592</v>
      </c>
      <c r="Q2021" s="227"/>
      <c r="R2021" s="227"/>
      <c r="S2021" s="227"/>
      <c r="T2021" s="227"/>
      <c r="U2021" s="227"/>
      <c r="V2021" s="227"/>
      <c r="W2021" s="227"/>
      <c r="X2021" s="227" t="s">
        <v>4682</v>
      </c>
      <c r="Y2021" s="227"/>
      <c r="Z2021" s="227" t="str">
        <f t="shared" si="73"/>
        <v>DCIT</v>
      </c>
      <c r="AA2021" s="276" t="e">
        <f>VLOOKUP(Logfile_S12[[#This Row],[DO number]],DO_DB!G:I,3,0)</f>
        <v>#N/A</v>
      </c>
      <c r="AB2021" s="331" t="e">
        <f>EXACT(Logfile_S12[[#This Row],[date pick]],Logfile_S12[[#This Row],[Date]])</f>
        <v>#N/A</v>
      </c>
      <c r="AC20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22" spans="1:29" ht="14.5" hidden="1">
      <c r="A2022" s="237" t="str">
        <f t="shared" si="72"/>
        <v>2018</v>
      </c>
      <c r="B2022" s="221">
        <v>1</v>
      </c>
      <c r="C2022" s="227" t="s">
        <v>49</v>
      </c>
      <c r="D2022" s="227" t="s">
        <v>4683</v>
      </c>
      <c r="E2022" s="227" t="s">
        <v>3295</v>
      </c>
      <c r="F2022" s="227" t="s">
        <v>3299</v>
      </c>
      <c r="G2022" s="239">
        <v>45967</v>
      </c>
      <c r="H2022" s="240">
        <v>0.70833333333333337</v>
      </c>
      <c r="I2022" s="227" t="s">
        <v>3295</v>
      </c>
      <c r="J2022" s="221" t="s">
        <v>3023</v>
      </c>
      <c r="K2022" s="241" t="s">
        <v>3069</v>
      </c>
      <c r="L2022" s="225" t="str">
        <f>VLOOKUP(Logfile_S12[[#This Row],[Material Name]],Sheet2!B:C,2,0)</f>
        <v>ZTE1001</v>
      </c>
      <c r="M2022" s="242" t="s">
        <v>19</v>
      </c>
      <c r="N2022" s="227">
        <v>8</v>
      </c>
      <c r="O2022" s="227" t="s">
        <v>4692</v>
      </c>
      <c r="P2022" s="227" t="s">
        <v>4693</v>
      </c>
      <c r="Q2022" s="227"/>
      <c r="R2022" s="227"/>
      <c r="S2022" s="227"/>
      <c r="T2022" s="221" t="s">
        <v>3258</v>
      </c>
      <c r="U2022" s="221">
        <v>0</v>
      </c>
      <c r="V2022" s="221" t="s">
        <v>3337</v>
      </c>
      <c r="W2022" s="221" t="s">
        <v>3338</v>
      </c>
      <c r="X2022" s="227"/>
      <c r="Y2022" s="227"/>
      <c r="Z2022" s="227" t="str">
        <f t="shared" si="73"/>
        <v>PALAAN RW 01 SAMPAI 05 MALANG</v>
      </c>
      <c r="AA2022" s="276" t="e">
        <f>VLOOKUP(Logfile_S12[[#This Row],[DO number]],DO_DB!G:I,3,0)</f>
        <v>#N/A</v>
      </c>
      <c r="AB2022" s="331" t="e">
        <f>EXACT(Logfile_S12[[#This Row],[date pick]],Logfile_S12[[#This Row],[Date]])</f>
        <v>#N/A</v>
      </c>
      <c r="AC20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23" spans="1:29" ht="14.5" hidden="1">
      <c r="A2023" s="237" t="str">
        <f t="shared" si="72"/>
        <v>2019</v>
      </c>
      <c r="B2023" s="221">
        <v>1</v>
      </c>
      <c r="C2023" s="227" t="s">
        <v>49</v>
      </c>
      <c r="D2023" s="227" t="s">
        <v>4686</v>
      </c>
      <c r="E2023" s="227" t="s">
        <v>3295</v>
      </c>
      <c r="F2023" s="227" t="s">
        <v>3299</v>
      </c>
      <c r="G2023" s="239">
        <v>45970</v>
      </c>
      <c r="H2023" s="240">
        <v>0.80555555555555558</v>
      </c>
      <c r="I2023" s="227" t="s">
        <v>3295</v>
      </c>
      <c r="J2023" s="221" t="s">
        <v>3023</v>
      </c>
      <c r="K2023" s="241" t="s">
        <v>3069</v>
      </c>
      <c r="L2023" s="225" t="str">
        <f>VLOOKUP(Logfile_S12[[#This Row],[Material Name]],Sheet2!B:C,2,0)</f>
        <v>ZTE1001</v>
      </c>
      <c r="M2023" s="242" t="s">
        <v>19</v>
      </c>
      <c r="N2023" s="227">
        <v>2</v>
      </c>
      <c r="O2023" s="227" t="s">
        <v>4692</v>
      </c>
      <c r="P2023" s="227" t="s">
        <v>4693</v>
      </c>
      <c r="Q2023" s="227" t="s">
        <v>3260</v>
      </c>
      <c r="R2023" s="227" t="s">
        <v>3260</v>
      </c>
      <c r="S2023" s="227"/>
      <c r="T2023" s="221" t="s">
        <v>3258</v>
      </c>
      <c r="U2023" s="221">
        <v>0</v>
      </c>
      <c r="V2023" s="221" t="s">
        <v>3337</v>
      </c>
      <c r="W2023" s="221" t="s">
        <v>3338</v>
      </c>
      <c r="X2023" s="227"/>
      <c r="Y2023" s="227"/>
      <c r="Z2023" s="227" t="str">
        <f t="shared" si="73"/>
        <v>PALAAN RW 01 SAMPAI 05 MALANG</v>
      </c>
      <c r="AA2023" s="276" t="e">
        <f>VLOOKUP(Logfile_S12[[#This Row],[DO number]],DO_DB!G:I,3,0)</f>
        <v>#N/A</v>
      </c>
      <c r="AB2023" s="331" t="e">
        <f>EXACT(Logfile_S12[[#This Row],[date pick]],Logfile_S12[[#This Row],[Date]])</f>
        <v>#N/A</v>
      </c>
      <c r="AC20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24" spans="1:29" ht="14.5" hidden="1">
      <c r="A2024" s="237" t="str">
        <f t="shared" si="72"/>
        <v>2020</v>
      </c>
      <c r="B2024" s="221">
        <v>1</v>
      </c>
      <c r="C2024" s="227" t="s">
        <v>48</v>
      </c>
      <c r="D2024" s="227" t="s">
        <v>4715</v>
      </c>
      <c r="E2024" s="227" t="s">
        <v>3295</v>
      </c>
      <c r="F2024" s="227" t="s">
        <v>3299</v>
      </c>
      <c r="G2024" s="239">
        <v>45982</v>
      </c>
      <c r="H2024" s="240">
        <v>0.33333333333333331</v>
      </c>
      <c r="I2024" s="227" t="s">
        <v>37</v>
      </c>
      <c r="J2024" s="221" t="s">
        <v>3023</v>
      </c>
      <c r="K2024" s="241" t="s">
        <v>3069</v>
      </c>
      <c r="L2024" s="225" t="str">
        <f>VLOOKUP(Logfile_S12[[#This Row],[Material Name]],Sheet2!B:C,2,0)</f>
        <v>ZTE1001</v>
      </c>
      <c r="M2024" s="242" t="s">
        <v>19</v>
      </c>
      <c r="N2024" s="227">
        <v>49</v>
      </c>
      <c r="O2024" s="227" t="s">
        <v>4692</v>
      </c>
      <c r="P2024" s="227" t="s">
        <v>4693</v>
      </c>
      <c r="Q2024" s="227" t="s">
        <v>4694</v>
      </c>
      <c r="R2024" s="227" t="s">
        <v>4695</v>
      </c>
      <c r="S2024" s="227"/>
      <c r="T2024" s="227"/>
      <c r="U2024" s="227"/>
      <c r="V2024" s="227"/>
      <c r="W2024" s="227"/>
      <c r="X2024" s="227"/>
      <c r="Y2024" s="227"/>
      <c r="Z2024" s="227" t="str">
        <f t="shared" si="73"/>
        <v>PALAAN RW 01 SAMPAI 05 MALANG</v>
      </c>
      <c r="AA2024" s="276">
        <f>VLOOKUP(Logfile_S12[[#This Row],[DO number]],DO_DB!G:I,3,0)</f>
        <v>45955</v>
      </c>
      <c r="AB2024" s="331" t="b">
        <f>EXACT(Logfile_S12[[#This Row],[date pick]],Logfile_S12[[#This Row],[Date]])</f>
        <v>0</v>
      </c>
      <c r="AC20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25" spans="1:29" ht="14.5" hidden="1">
      <c r="A2025" s="237" t="str">
        <f t="shared" si="72"/>
        <v>2021</v>
      </c>
      <c r="B2025" s="221">
        <v>1</v>
      </c>
      <c r="C2025" s="227" t="s">
        <v>49</v>
      </c>
      <c r="D2025" s="227" t="s">
        <v>4716</v>
      </c>
      <c r="E2025" s="227" t="s">
        <v>3295</v>
      </c>
      <c r="F2025" s="227" t="s">
        <v>3299</v>
      </c>
      <c r="G2025" s="239">
        <v>45982</v>
      </c>
      <c r="H2025" s="240">
        <v>0.54166666666666663</v>
      </c>
      <c r="I2025" s="227" t="s">
        <v>3295</v>
      </c>
      <c r="J2025" s="221" t="s">
        <v>3023</v>
      </c>
      <c r="K2025" s="241" t="s">
        <v>3069</v>
      </c>
      <c r="L2025" s="225" t="str">
        <f>VLOOKUP(Logfile_S12[[#This Row],[Material Name]],Sheet2!B:C,2,0)</f>
        <v>ZTE1001</v>
      </c>
      <c r="M2025" s="242" t="s">
        <v>19</v>
      </c>
      <c r="N2025" s="227">
        <v>30</v>
      </c>
      <c r="O2025" s="227" t="s">
        <v>4692</v>
      </c>
      <c r="P2025" s="227" t="s">
        <v>4693</v>
      </c>
      <c r="Q2025" s="227" t="s">
        <v>4694</v>
      </c>
      <c r="R2025" s="227" t="s">
        <v>4695</v>
      </c>
      <c r="S2025" s="227"/>
      <c r="T2025" s="221" t="s">
        <v>3258</v>
      </c>
      <c r="U2025" s="221">
        <v>0</v>
      </c>
      <c r="V2025" s="221" t="s">
        <v>3337</v>
      </c>
      <c r="W2025" s="221" t="s">
        <v>3338</v>
      </c>
      <c r="X2025" s="227"/>
      <c r="Y2025" s="227"/>
      <c r="Z2025" s="227" t="str">
        <f t="shared" si="73"/>
        <v>PALAAN RW 01 SAMPAI 05 MALANG</v>
      </c>
      <c r="AA2025" s="276">
        <f>VLOOKUP(Logfile_S12[[#This Row],[DO number]],DO_DB!G:I,3,0)</f>
        <v>45955</v>
      </c>
      <c r="AB2025" s="331" t="b">
        <f>EXACT(Logfile_S12[[#This Row],[date pick]],Logfile_S12[[#This Row],[Date]])</f>
        <v>0</v>
      </c>
      <c r="AC20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26" spans="1:29" ht="14.5" hidden="1">
      <c r="A2026" s="237" t="str">
        <f t="shared" si="72"/>
        <v>2022</v>
      </c>
      <c r="B2026" s="221">
        <v>3</v>
      </c>
      <c r="C2026" s="227" t="s">
        <v>3429</v>
      </c>
      <c r="D2026" s="227" t="s">
        <v>4721</v>
      </c>
      <c r="E2026" s="227" t="s">
        <v>3295</v>
      </c>
      <c r="F2026" s="227" t="s">
        <v>3299</v>
      </c>
      <c r="G2026" s="239">
        <v>45982</v>
      </c>
      <c r="H2026" s="240">
        <v>0.33333333333333331</v>
      </c>
      <c r="I2026" s="221" t="s">
        <v>3193</v>
      </c>
      <c r="J2026" s="221" t="s">
        <v>3023</v>
      </c>
      <c r="K2026" s="241" t="s">
        <v>3069</v>
      </c>
      <c r="L2026" s="225" t="str">
        <f>VLOOKUP(Logfile_S12[[#This Row],[Material Name]],Sheet2!B:C,2,0)</f>
        <v>ZTE1001</v>
      </c>
      <c r="M2026" s="242" t="s">
        <v>19</v>
      </c>
      <c r="N2026" s="227">
        <v>1</v>
      </c>
      <c r="O2026" s="221" t="s">
        <v>4924</v>
      </c>
      <c r="P2026" s="221" t="s">
        <v>3592</v>
      </c>
      <c r="Q2026" s="227"/>
      <c r="R2026" s="227"/>
      <c r="S2026" s="227"/>
      <c r="T2026" s="227"/>
      <c r="U2026" s="227"/>
      <c r="V2026" s="227"/>
      <c r="W2026" s="227"/>
      <c r="X2026" s="227"/>
      <c r="Y2026" s="227"/>
      <c r="Z2026" s="227" t="str">
        <f t="shared" si="73"/>
        <v>DCIT</v>
      </c>
      <c r="AA2026" s="276" t="e">
        <f>VLOOKUP(Logfile_S12[[#This Row],[DO number]],DO_DB!G:I,3,0)</f>
        <v>#N/A</v>
      </c>
      <c r="AB2026" s="331" t="e">
        <f>EXACT(Logfile_S12[[#This Row],[date pick]],Logfile_S12[[#This Row],[Date]])</f>
        <v>#N/A</v>
      </c>
      <c r="AC20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27" spans="1:29" ht="14.5" hidden="1">
      <c r="A2027" s="237" t="str">
        <f t="shared" si="72"/>
        <v>2023</v>
      </c>
      <c r="B2027" s="221">
        <v>2</v>
      </c>
      <c r="C2027" s="227" t="s">
        <v>49</v>
      </c>
      <c r="D2027" s="227" t="s">
        <v>4717</v>
      </c>
      <c r="E2027" s="227" t="s">
        <v>3295</v>
      </c>
      <c r="F2027" s="227" t="s">
        <v>3299</v>
      </c>
      <c r="G2027" s="239">
        <v>45983</v>
      </c>
      <c r="H2027" s="240">
        <v>0.54166666666666663</v>
      </c>
      <c r="I2027" s="227" t="s">
        <v>3295</v>
      </c>
      <c r="J2027" s="221" t="s">
        <v>3023</v>
      </c>
      <c r="K2027" s="241" t="s">
        <v>3069</v>
      </c>
      <c r="L2027" s="225" t="str">
        <f>VLOOKUP(Logfile_S12[[#This Row],[Material Name]],Sheet2!B:C,2,0)</f>
        <v>ZTE1001</v>
      </c>
      <c r="M2027" s="242" t="s">
        <v>19</v>
      </c>
      <c r="N2027" s="227">
        <v>14</v>
      </c>
      <c r="O2027" s="227" t="s">
        <v>4696</v>
      </c>
      <c r="P2027" s="227" t="s">
        <v>4697</v>
      </c>
      <c r="Q2027" s="227" t="s">
        <v>4698</v>
      </c>
      <c r="R2027" s="227" t="s">
        <v>4699</v>
      </c>
      <c r="S2027" s="227"/>
      <c r="T2027" s="221" t="s">
        <v>3258</v>
      </c>
      <c r="U2027" s="221">
        <v>0</v>
      </c>
      <c r="V2027" s="221" t="s">
        <v>3337</v>
      </c>
      <c r="W2027" s="221" t="s">
        <v>3338</v>
      </c>
      <c r="X2027" s="227"/>
      <c r="Y2027" s="227"/>
      <c r="Z2027" s="227" t="str">
        <f t="shared" si="73"/>
        <v>PALAAN RW 06 SAMPAI 10 MALANG</v>
      </c>
      <c r="AA2027" s="276">
        <f>VLOOKUP(Logfile_S12[[#This Row],[DO number]],DO_DB!G:I,3,0)</f>
        <v>45955</v>
      </c>
      <c r="AB2027" s="331" t="b">
        <f>EXACT(Logfile_S12[[#This Row],[date pick]],Logfile_S12[[#This Row],[Date]])</f>
        <v>0</v>
      </c>
      <c r="AC20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28" spans="1:29" ht="14.5" hidden="1">
      <c r="A2028" s="237" t="str">
        <f t="shared" si="72"/>
        <v>2024</v>
      </c>
      <c r="B2028" s="221">
        <v>1</v>
      </c>
      <c r="C2028" s="227" t="s">
        <v>48</v>
      </c>
      <c r="D2028" s="227" t="s">
        <v>4730</v>
      </c>
      <c r="E2028" s="227" t="s">
        <v>3295</v>
      </c>
      <c r="F2028" s="227" t="s">
        <v>3299</v>
      </c>
      <c r="G2028" s="239">
        <v>46003</v>
      </c>
      <c r="H2028" s="240">
        <v>0.54166666666666663</v>
      </c>
      <c r="I2028" s="227" t="s">
        <v>37</v>
      </c>
      <c r="J2028" s="221" t="s">
        <v>3023</v>
      </c>
      <c r="K2028" s="241" t="s">
        <v>3069</v>
      </c>
      <c r="L2028" s="225" t="str">
        <f>VLOOKUP(Logfile_S12[[#This Row],[Material Name]],Sheet2!B:C,2,0)</f>
        <v>ZTE1001</v>
      </c>
      <c r="M2028" s="242" t="s">
        <v>19</v>
      </c>
      <c r="N2028" s="227">
        <v>50</v>
      </c>
      <c r="O2028" s="221"/>
      <c r="P2028" s="227"/>
      <c r="Q2028" s="227" t="s">
        <v>3260</v>
      </c>
      <c r="R2028" s="227" t="s">
        <v>3260</v>
      </c>
      <c r="S2028" s="227"/>
      <c r="T2028" s="227"/>
      <c r="U2028" s="227"/>
      <c r="V2028" s="227"/>
      <c r="W2028" s="227"/>
      <c r="X2028" s="227"/>
      <c r="Y2028" s="227"/>
      <c r="Z2028" s="227">
        <f t="shared" si="73"/>
        <v>0</v>
      </c>
      <c r="AA2028" s="276" t="e">
        <f>VLOOKUP(Logfile_S12[[#This Row],[DO number]],DO_DB!G:I,3,0)</f>
        <v>#N/A</v>
      </c>
      <c r="AB2028" s="331" t="e">
        <f>EXACT(Logfile_S12[[#This Row],[date pick]],Logfile_S12[[#This Row],[Date]])</f>
        <v>#N/A</v>
      </c>
      <c r="AC20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29" spans="1:29" ht="14.5" hidden="1">
      <c r="A2029" s="237" t="str">
        <f t="shared" si="72"/>
        <v>2025</v>
      </c>
      <c r="B2029" s="221">
        <v>11</v>
      </c>
      <c r="C2029" s="227" t="s">
        <v>48</v>
      </c>
      <c r="D2029" s="227" t="s">
        <v>4730</v>
      </c>
      <c r="E2029" s="227" t="s">
        <v>3295</v>
      </c>
      <c r="F2029" s="227" t="s">
        <v>3299</v>
      </c>
      <c r="G2029" s="239">
        <v>46003</v>
      </c>
      <c r="H2029" s="240">
        <v>0.54166666666666663</v>
      </c>
      <c r="I2029" s="227" t="s">
        <v>37</v>
      </c>
      <c r="J2029" s="221" t="s">
        <v>3023</v>
      </c>
      <c r="K2029" s="241" t="s">
        <v>3069</v>
      </c>
      <c r="L2029" s="225" t="str">
        <f>VLOOKUP(Logfile_S12[[#This Row],[Material Name]],Sheet2!B:C,2,0)</f>
        <v>ZTE1001</v>
      </c>
      <c r="M2029" s="242" t="s">
        <v>19</v>
      </c>
      <c r="N2029" s="227">
        <v>50</v>
      </c>
      <c r="O2029" s="221"/>
      <c r="P2029" s="227"/>
      <c r="Q2029" s="227" t="s">
        <v>3260</v>
      </c>
      <c r="R2029" s="227" t="s">
        <v>3260</v>
      </c>
      <c r="S2029" s="227"/>
      <c r="T2029" s="227"/>
      <c r="U2029" s="227"/>
      <c r="V2029" s="227"/>
      <c r="W2029" s="227"/>
      <c r="X2029" s="227"/>
      <c r="Y2029" s="227"/>
      <c r="Z2029" s="227">
        <f t="shared" si="73"/>
        <v>0</v>
      </c>
      <c r="AA2029" s="276" t="e">
        <f>VLOOKUP(Logfile_S12[[#This Row],[DO number]],DO_DB!G:I,3,0)</f>
        <v>#N/A</v>
      </c>
      <c r="AB2029" s="331" t="e">
        <f>EXACT(Logfile_S12[[#This Row],[date pick]],Logfile_S12[[#This Row],[Date]])</f>
        <v>#N/A</v>
      </c>
      <c r="AC20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30" spans="1:29" ht="14.5" hidden="1">
      <c r="A2030" s="237" t="str">
        <f t="shared" si="72"/>
        <v>2026</v>
      </c>
      <c r="B2030" s="221">
        <v>1</v>
      </c>
      <c r="C2030" s="227" t="s">
        <v>49</v>
      </c>
      <c r="D2030" s="227" t="s">
        <v>4733</v>
      </c>
      <c r="E2030" s="227" t="s">
        <v>3295</v>
      </c>
      <c r="F2030" s="227" t="s">
        <v>3299</v>
      </c>
      <c r="G2030" s="239">
        <v>46003</v>
      </c>
      <c r="H2030" s="240">
        <v>0.33333333333333331</v>
      </c>
      <c r="I2030" s="227" t="s">
        <v>3295</v>
      </c>
      <c r="J2030" s="221" t="s">
        <v>3023</v>
      </c>
      <c r="K2030" s="241" t="s">
        <v>3069</v>
      </c>
      <c r="L2030" s="225" t="str">
        <f>VLOOKUP(Logfile_S12[[#This Row],[Material Name]],Sheet2!B:C,2,0)</f>
        <v>ZTE1001</v>
      </c>
      <c r="M2030" s="242" t="s">
        <v>19</v>
      </c>
      <c r="N2030" s="227">
        <v>52</v>
      </c>
      <c r="O2030" s="221" t="s">
        <v>4801</v>
      </c>
      <c r="P2030" s="221" t="s">
        <v>4802</v>
      </c>
      <c r="Q2030" s="227" t="s">
        <v>3260</v>
      </c>
      <c r="R2030" s="227" t="s">
        <v>3260</v>
      </c>
      <c r="S2030" s="227"/>
      <c r="T2030" s="221" t="s">
        <v>3258</v>
      </c>
      <c r="U2030" s="221" t="s">
        <v>4811</v>
      </c>
      <c r="V2030" s="221" t="s">
        <v>3337</v>
      </c>
      <c r="W2030" s="221" t="s">
        <v>3338</v>
      </c>
      <c r="X2030" s="227"/>
      <c r="Y2030" s="227"/>
      <c r="Z2030" s="227" t="str">
        <f t="shared" si="73"/>
        <v>DUSUN SIDOAYU KELURAHAN SIDEREJO MALANG</v>
      </c>
      <c r="AA2030" s="276" t="e">
        <f>VLOOKUP(Logfile_S12[[#This Row],[DO number]],DO_DB!G:I,3,0)</f>
        <v>#N/A</v>
      </c>
      <c r="AB2030" s="331" t="e">
        <f>EXACT(Logfile_S12[[#This Row],[date pick]],Logfile_S12[[#This Row],[Date]])</f>
        <v>#N/A</v>
      </c>
      <c r="AC20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31" spans="1:29" ht="14.5" hidden="1">
      <c r="A2031" s="237" t="str">
        <f t="shared" si="72"/>
        <v>2027</v>
      </c>
      <c r="B2031" s="221">
        <v>11</v>
      </c>
      <c r="C2031" s="227" t="s">
        <v>49</v>
      </c>
      <c r="D2031" s="227" t="s">
        <v>4740</v>
      </c>
      <c r="E2031" s="227" t="s">
        <v>3295</v>
      </c>
      <c r="F2031" s="227" t="s">
        <v>3299</v>
      </c>
      <c r="G2031" s="239">
        <v>46006</v>
      </c>
      <c r="H2031" s="240">
        <v>0.49305555555555558</v>
      </c>
      <c r="I2031" s="227" t="s">
        <v>3295</v>
      </c>
      <c r="J2031" s="221" t="s">
        <v>3023</v>
      </c>
      <c r="K2031" s="241" t="s">
        <v>3069</v>
      </c>
      <c r="L2031" s="225" t="str">
        <f>VLOOKUP(Logfile_S12[[#This Row],[Material Name]],Sheet2!B:C,2,0)</f>
        <v>ZTE1001</v>
      </c>
      <c r="M2031" s="242" t="s">
        <v>19</v>
      </c>
      <c r="N2031" s="227">
        <v>18</v>
      </c>
      <c r="O2031" s="227" t="s">
        <v>4785</v>
      </c>
      <c r="P2031" s="227" t="s">
        <v>4786</v>
      </c>
      <c r="Q2031" s="227"/>
      <c r="R2031" s="227"/>
      <c r="S2031" s="227"/>
      <c r="T2031" s="221" t="s">
        <v>3258</v>
      </c>
      <c r="U2031" s="221" t="s">
        <v>4811</v>
      </c>
      <c r="V2031" s="221" t="s">
        <v>3337</v>
      </c>
      <c r="W2031" s="221" t="s">
        <v>3338</v>
      </c>
      <c r="X2031" s="227"/>
      <c r="Y2031" s="227"/>
      <c r="Z2031" s="227" t="str">
        <f t="shared" si="73"/>
        <v>DUSUN ARDIREJO KELURAHAN SIDEREJO MALANG</v>
      </c>
      <c r="AA2031" s="276" t="e">
        <f>VLOOKUP(Logfile_S12[[#This Row],[DO number]],DO_DB!G:I,3,0)</f>
        <v>#N/A</v>
      </c>
      <c r="AB2031" s="331" t="e">
        <f>EXACT(Logfile_S12[[#This Row],[date pick]],Logfile_S12[[#This Row],[Date]])</f>
        <v>#N/A</v>
      </c>
      <c r="AC20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32" spans="1:29" ht="14.5" hidden="1">
      <c r="A2032" s="237" t="str">
        <f t="shared" si="72"/>
        <v>2028</v>
      </c>
      <c r="B2032" s="221">
        <v>3</v>
      </c>
      <c r="C2032" s="227" t="s">
        <v>49</v>
      </c>
      <c r="D2032" s="227" t="s">
        <v>4755</v>
      </c>
      <c r="E2032" s="227" t="s">
        <v>3295</v>
      </c>
      <c r="F2032" s="227" t="s">
        <v>3299</v>
      </c>
      <c r="G2032" s="239">
        <v>46010</v>
      </c>
      <c r="H2032" s="240">
        <v>0.33333333333333331</v>
      </c>
      <c r="I2032" s="227" t="s">
        <v>3295</v>
      </c>
      <c r="J2032" s="221" t="s">
        <v>3023</v>
      </c>
      <c r="K2032" s="241" t="s">
        <v>3069</v>
      </c>
      <c r="L2032" s="225" t="str">
        <f>VLOOKUP(Logfile_S12[[#This Row],[Material Name]],Sheet2!B:C,2,0)</f>
        <v>ZTE1001</v>
      </c>
      <c r="M2032" s="242" t="s">
        <v>19</v>
      </c>
      <c r="N2032" s="227">
        <v>13</v>
      </c>
      <c r="O2032" s="227" t="s">
        <v>4785</v>
      </c>
      <c r="P2032" s="227" t="s">
        <v>4786</v>
      </c>
      <c r="Q2032" s="227"/>
      <c r="R2032" s="227"/>
      <c r="S2032" s="227"/>
      <c r="T2032" s="221" t="s">
        <v>3258</v>
      </c>
      <c r="U2032" s="221" t="s">
        <v>4811</v>
      </c>
      <c r="V2032" s="221" t="s">
        <v>3337</v>
      </c>
      <c r="W2032" s="221" t="s">
        <v>3338</v>
      </c>
      <c r="X2032" s="227"/>
      <c r="Y2032" s="227"/>
      <c r="Z2032" s="227" t="str">
        <f t="shared" si="73"/>
        <v>DUSUN ARDIREJO KELURAHAN SIDEREJO MALANG</v>
      </c>
      <c r="AA2032" s="276" t="e">
        <f>VLOOKUP(Logfile_S12[[#This Row],[DO number]],DO_DB!G:I,3,0)</f>
        <v>#N/A</v>
      </c>
      <c r="AB2032" s="331" t="e">
        <f>EXACT(Logfile_S12[[#This Row],[date pick]],Logfile_S12[[#This Row],[Date]])</f>
        <v>#N/A</v>
      </c>
      <c r="AC20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33" spans="1:29" ht="14.5" hidden="1">
      <c r="A2033" s="237" t="str">
        <f t="shared" si="72"/>
        <v>2029</v>
      </c>
      <c r="B2033" s="221">
        <v>3</v>
      </c>
      <c r="C2033" s="227" t="s">
        <v>49</v>
      </c>
      <c r="D2033" s="227" t="s">
        <v>4759</v>
      </c>
      <c r="E2033" s="227" t="s">
        <v>3295</v>
      </c>
      <c r="F2033" s="227" t="s">
        <v>3299</v>
      </c>
      <c r="G2033" s="239">
        <v>46010</v>
      </c>
      <c r="H2033" s="240">
        <v>0.54166666666666663</v>
      </c>
      <c r="I2033" s="227" t="s">
        <v>3295</v>
      </c>
      <c r="J2033" s="221" t="s">
        <v>3023</v>
      </c>
      <c r="K2033" s="241" t="s">
        <v>3069</v>
      </c>
      <c r="L2033" s="225" t="str">
        <f>VLOOKUP(Logfile_S12[[#This Row],[Material Name]],Sheet2!B:C,2,0)</f>
        <v>ZTE1001</v>
      </c>
      <c r="M2033" s="242" t="s">
        <v>19</v>
      </c>
      <c r="N2033" s="227">
        <v>16</v>
      </c>
      <c r="O2033" s="227" t="s">
        <v>4785</v>
      </c>
      <c r="P2033" s="227" t="s">
        <v>4786</v>
      </c>
      <c r="Q2033" s="227"/>
      <c r="R2033" s="227"/>
      <c r="S2033" s="227"/>
      <c r="T2033" s="221" t="s">
        <v>3258</v>
      </c>
      <c r="U2033" s="221" t="s">
        <v>4811</v>
      </c>
      <c r="V2033" s="221" t="s">
        <v>3337</v>
      </c>
      <c r="W2033" s="221" t="s">
        <v>3338</v>
      </c>
      <c r="X2033" s="227"/>
      <c r="Y2033" s="227"/>
      <c r="Z2033" s="227" t="str">
        <f t="shared" si="73"/>
        <v>DUSUN ARDIREJO KELURAHAN SIDEREJO MALANG</v>
      </c>
      <c r="AA2033" s="276" t="e">
        <f>VLOOKUP(Logfile_S12[[#This Row],[DO number]],DO_DB!G:I,3,0)</f>
        <v>#N/A</v>
      </c>
      <c r="AB2033" s="331" t="e">
        <f>EXACT(Logfile_S12[[#This Row],[date pick]],Logfile_S12[[#This Row],[Date]])</f>
        <v>#N/A</v>
      </c>
      <c r="AC20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34" spans="1:29" ht="14.5" hidden="1">
      <c r="A2034" s="237" t="str">
        <f t="shared" si="72"/>
        <v>2030</v>
      </c>
      <c r="B2034" s="221">
        <v>2</v>
      </c>
      <c r="C2034" s="227" t="s">
        <v>49</v>
      </c>
      <c r="D2034" s="227" t="s">
        <v>4777</v>
      </c>
      <c r="E2034" s="227" t="s">
        <v>3295</v>
      </c>
      <c r="F2034" s="227" t="s">
        <v>3299</v>
      </c>
      <c r="G2034" s="239">
        <v>46016</v>
      </c>
      <c r="H2034" s="240">
        <v>0.50902777777777775</v>
      </c>
      <c r="I2034" s="227" t="s">
        <v>3295</v>
      </c>
      <c r="J2034" s="221" t="s">
        <v>3023</v>
      </c>
      <c r="K2034" s="241" t="s">
        <v>3069</v>
      </c>
      <c r="L2034" s="225" t="str">
        <f>VLOOKUP(Logfile_S12[[#This Row],[Material Name]],Sheet2!B:C,2,0)</f>
        <v>ZTE1001</v>
      </c>
      <c r="M2034" s="242" t="s">
        <v>19</v>
      </c>
      <c r="N2034" s="227">
        <v>3</v>
      </c>
      <c r="O2034" s="227" t="s">
        <v>4785</v>
      </c>
      <c r="P2034" s="227" t="s">
        <v>4786</v>
      </c>
      <c r="Q2034" s="227"/>
      <c r="R2034" s="227"/>
      <c r="S2034" s="227"/>
      <c r="T2034" s="221" t="s">
        <v>3258</v>
      </c>
      <c r="U2034" s="221" t="s">
        <v>4811</v>
      </c>
      <c r="V2034" s="221" t="s">
        <v>3337</v>
      </c>
      <c r="W2034" s="221" t="s">
        <v>3338</v>
      </c>
      <c r="X2034" s="227"/>
      <c r="Y2034" s="227"/>
      <c r="Z2034" s="227" t="str">
        <f t="shared" si="73"/>
        <v>DUSUN ARDIREJO KELURAHAN SIDEREJO MALANG</v>
      </c>
      <c r="AA2034" s="276" t="e">
        <f>VLOOKUP(Logfile_S12[[#This Row],[DO number]],DO_DB!G:I,3,0)</f>
        <v>#N/A</v>
      </c>
      <c r="AB2034" s="331" t="e">
        <f>EXACT(Logfile_S12[[#This Row],[date pick]],Logfile_S12[[#This Row],[Date]])</f>
        <v>#N/A</v>
      </c>
      <c r="AC20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35" spans="1:29" ht="14.5" hidden="1">
      <c r="A2035" s="237" t="str">
        <f t="shared" si="72"/>
        <v>2031</v>
      </c>
      <c r="B2035" s="221">
        <v>1</v>
      </c>
      <c r="C2035" s="227" t="s">
        <v>3313</v>
      </c>
      <c r="D2035" s="227" t="s">
        <v>4779</v>
      </c>
      <c r="E2035" s="227" t="s">
        <v>3295</v>
      </c>
      <c r="F2035" s="227" t="s">
        <v>3299</v>
      </c>
      <c r="G2035" s="239">
        <v>46017</v>
      </c>
      <c r="H2035" s="240">
        <v>0.54166666666666663</v>
      </c>
      <c r="I2035" s="221" t="s">
        <v>4918</v>
      </c>
      <c r="J2035" s="221" t="s">
        <v>3023</v>
      </c>
      <c r="K2035" s="241" t="s">
        <v>3069</v>
      </c>
      <c r="L2035" s="225" t="str">
        <f>VLOOKUP(Logfile_S12[[#This Row],[Material Name]],Sheet2!B:C,2,0)</f>
        <v>ZTE1001</v>
      </c>
      <c r="M2035" s="242" t="s">
        <v>19</v>
      </c>
      <c r="N2035" s="227">
        <v>4</v>
      </c>
      <c r="O2035" s="227" t="s">
        <v>4780</v>
      </c>
      <c r="P2035" s="227"/>
      <c r="Q2035" s="227"/>
      <c r="R2035" s="227"/>
      <c r="S2035" s="227"/>
      <c r="T2035" s="227"/>
      <c r="U2035" s="227"/>
      <c r="V2035" s="227"/>
      <c r="W2035" s="227"/>
      <c r="X2035" s="227"/>
      <c r="Y2035" s="227"/>
      <c r="Z2035" s="227">
        <f t="shared" si="73"/>
        <v>0</v>
      </c>
      <c r="AA2035" s="276" t="e">
        <f>VLOOKUP(Logfile_S12[[#This Row],[DO number]],DO_DB!G:I,3,0)</f>
        <v>#N/A</v>
      </c>
      <c r="AB2035" s="331" t="e">
        <f>EXACT(Logfile_S12[[#This Row],[date pick]],Logfile_S12[[#This Row],[Date]])</f>
        <v>#N/A</v>
      </c>
      <c r="AC20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36" spans="1:29" ht="14.5" hidden="1">
      <c r="A2036" s="237" t="str">
        <f t="shared" si="72"/>
        <v>2032</v>
      </c>
      <c r="B2036" s="221">
        <v>1</v>
      </c>
      <c r="C2036" s="227" t="s">
        <v>48</v>
      </c>
      <c r="D2036" s="227" t="s">
        <v>4812</v>
      </c>
      <c r="E2036" s="227" t="s">
        <v>3295</v>
      </c>
      <c r="F2036" s="227" t="s">
        <v>3299</v>
      </c>
      <c r="G2036" s="239">
        <v>46041</v>
      </c>
      <c r="H2036" s="240">
        <v>0.25138888888888888</v>
      </c>
      <c r="I2036" s="227" t="s">
        <v>37</v>
      </c>
      <c r="J2036" s="221" t="s">
        <v>3023</v>
      </c>
      <c r="K2036" s="241" t="s">
        <v>3069</v>
      </c>
      <c r="L2036" s="225" t="str">
        <f>VLOOKUP(Logfile_S12[[#This Row],[Material Name]],Sheet2!B:C,2,0)</f>
        <v>ZTE1001</v>
      </c>
      <c r="M2036" s="242" t="s">
        <v>19</v>
      </c>
      <c r="N2036" s="227">
        <v>1</v>
      </c>
      <c r="O2036" s="227" t="s">
        <v>4813</v>
      </c>
      <c r="P2036" s="227" t="s">
        <v>4815</v>
      </c>
      <c r="Q2036" s="227" t="s">
        <v>4820</v>
      </c>
      <c r="R2036" s="227" t="s">
        <v>4819</v>
      </c>
      <c r="S2036" s="227"/>
      <c r="T2036" s="227" t="s">
        <v>3258</v>
      </c>
      <c r="U2036" s="227" t="s">
        <v>4811</v>
      </c>
      <c r="V2036" s="221" t="s">
        <v>3337</v>
      </c>
      <c r="W2036" s="227" t="s">
        <v>3338</v>
      </c>
      <c r="X2036" s="227"/>
      <c r="Y2036" s="227"/>
      <c r="Z2036" s="227" t="str">
        <f t="shared" si="73"/>
        <v>KEBONAGUNG RW 06 PAKISAJI</v>
      </c>
      <c r="AA2036" s="276">
        <f>VLOOKUP(Logfile_S12[[#This Row],[DO number]],DO_DB!G:I,3,0)</f>
        <v>46041</v>
      </c>
      <c r="AB2036" s="331" t="b">
        <f>EXACT(Logfile_S12[[#This Row],[date pick]],Logfile_S12[[#This Row],[Date]])</f>
        <v>1</v>
      </c>
      <c r="AC20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37" spans="1:29" ht="14.5" hidden="1">
      <c r="A2037" s="237" t="str">
        <f t="shared" si="72"/>
        <v>2033</v>
      </c>
      <c r="B2037" s="221">
        <v>3</v>
      </c>
      <c r="C2037" s="227" t="s">
        <v>49</v>
      </c>
      <c r="D2037" s="227" t="s">
        <v>4822</v>
      </c>
      <c r="E2037" s="227" t="s">
        <v>3295</v>
      </c>
      <c r="F2037" s="227" t="s">
        <v>3299</v>
      </c>
      <c r="G2037" s="239">
        <v>46042</v>
      </c>
      <c r="H2037" s="240">
        <v>0.68888888888888899</v>
      </c>
      <c r="I2037" s="227" t="s">
        <v>3295</v>
      </c>
      <c r="J2037" s="221" t="s">
        <v>3023</v>
      </c>
      <c r="K2037" s="241" t="s">
        <v>3069</v>
      </c>
      <c r="L2037" s="225" t="str">
        <f>VLOOKUP(Logfile_S12[[#This Row],[Material Name]],Sheet2!B:C,2,0)</f>
        <v>ZTE1001</v>
      </c>
      <c r="M2037" s="242" t="s">
        <v>19</v>
      </c>
      <c r="N2037" s="227">
        <v>2</v>
      </c>
      <c r="O2037" s="227" t="s">
        <v>4813</v>
      </c>
      <c r="P2037" s="227" t="s">
        <v>4815</v>
      </c>
      <c r="Q2037" s="227" t="s">
        <v>4820</v>
      </c>
      <c r="R2037" s="227" t="s">
        <v>4819</v>
      </c>
      <c r="S2037" s="227"/>
      <c r="T2037" s="227" t="s">
        <v>3258</v>
      </c>
      <c r="U2037" s="227" t="s">
        <v>4811</v>
      </c>
      <c r="V2037" s="221" t="s">
        <v>3337</v>
      </c>
      <c r="W2037" s="227" t="s">
        <v>3338</v>
      </c>
      <c r="X2037" s="227"/>
      <c r="Y2037" s="227"/>
      <c r="Z2037" s="227" t="str">
        <f t="shared" si="73"/>
        <v>KEBONAGUNG RW 06 PAKISAJI</v>
      </c>
      <c r="AA2037" s="276">
        <f>VLOOKUP(Logfile_S12[[#This Row],[DO number]],DO_DB!G:I,3,0)</f>
        <v>46041</v>
      </c>
      <c r="AB2037" s="331" t="b">
        <f>EXACT(Logfile_S12[[#This Row],[date pick]],Logfile_S12[[#This Row],[Date]])</f>
        <v>0</v>
      </c>
      <c r="AC20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38" spans="1:29" ht="14.5" hidden="1">
      <c r="A2038" s="237" t="str">
        <f t="shared" si="72"/>
        <v>2034</v>
      </c>
      <c r="B2038" s="221">
        <v>3</v>
      </c>
      <c r="C2038" s="227" t="s">
        <v>49</v>
      </c>
      <c r="D2038" s="227" t="s">
        <v>4823</v>
      </c>
      <c r="E2038" s="227" t="s">
        <v>3295</v>
      </c>
      <c r="F2038" s="227" t="s">
        <v>3299</v>
      </c>
      <c r="G2038" s="239">
        <v>46042</v>
      </c>
      <c r="H2038" s="240">
        <v>0.68888888888888899</v>
      </c>
      <c r="I2038" s="227" t="s">
        <v>3295</v>
      </c>
      <c r="J2038" s="221" t="s">
        <v>3023</v>
      </c>
      <c r="K2038" s="241" t="s">
        <v>3069</v>
      </c>
      <c r="L2038" s="225" t="str">
        <f>VLOOKUP(Logfile_S12[[#This Row],[Material Name]],Sheet2!B:C,2,0)</f>
        <v>ZTE1001</v>
      </c>
      <c r="M2038" s="242" t="s">
        <v>19</v>
      </c>
      <c r="N2038" s="227">
        <v>18</v>
      </c>
      <c r="O2038" s="227" t="s">
        <v>4813</v>
      </c>
      <c r="P2038" s="227" t="s">
        <v>4815</v>
      </c>
      <c r="Q2038" s="227" t="s">
        <v>4820</v>
      </c>
      <c r="R2038" s="227" t="s">
        <v>4819</v>
      </c>
      <c r="S2038" s="227"/>
      <c r="T2038" s="227" t="s">
        <v>3258</v>
      </c>
      <c r="U2038" s="227" t="s">
        <v>4811</v>
      </c>
      <c r="V2038" s="227" t="s">
        <v>3337</v>
      </c>
      <c r="W2038" s="227" t="s">
        <v>3338</v>
      </c>
      <c r="X2038" s="227"/>
      <c r="Y2038" s="227"/>
      <c r="Z2038" s="227" t="str">
        <f t="shared" si="73"/>
        <v>KEBONAGUNG RW 06 PAKISAJI</v>
      </c>
      <c r="AA2038" s="276">
        <f>VLOOKUP(Logfile_S12[[#This Row],[DO number]],DO_DB!G:I,3,0)</f>
        <v>46041</v>
      </c>
      <c r="AB2038" s="331" t="b">
        <f>EXACT(Logfile_S12[[#This Row],[date pick]],Logfile_S12[[#This Row],[Date]])</f>
        <v>0</v>
      </c>
      <c r="AC20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39" spans="1:29" ht="14.5" hidden="1">
      <c r="A2039" s="237" t="str">
        <f t="shared" si="72"/>
        <v>2035</v>
      </c>
      <c r="B2039" s="221">
        <v>1</v>
      </c>
      <c r="C2039" s="227" t="s">
        <v>3313</v>
      </c>
      <c r="D2039" s="227" t="s">
        <v>4821</v>
      </c>
      <c r="E2039" s="227" t="s">
        <v>3295</v>
      </c>
      <c r="F2039" s="227" t="s">
        <v>3299</v>
      </c>
      <c r="G2039" s="239">
        <v>46045</v>
      </c>
      <c r="H2039" s="240">
        <v>0.58194444444444449</v>
      </c>
      <c r="I2039" s="227" t="s">
        <v>3297</v>
      </c>
      <c r="J2039" s="221" t="s">
        <v>3023</v>
      </c>
      <c r="K2039" s="241" t="s">
        <v>3069</v>
      </c>
      <c r="L2039" s="225" t="str">
        <f>VLOOKUP(Logfile_S12[[#This Row],[Material Name]],Sheet2!B:C,2,0)</f>
        <v>ZTE1001</v>
      </c>
      <c r="M2039" s="242" t="s">
        <v>19</v>
      </c>
      <c r="N2039" s="227">
        <v>16</v>
      </c>
      <c r="O2039" s="227" t="s">
        <v>4813</v>
      </c>
      <c r="P2039" s="227" t="s">
        <v>4815</v>
      </c>
      <c r="Q2039" s="227" t="s">
        <v>4820</v>
      </c>
      <c r="R2039" s="227" t="s">
        <v>4819</v>
      </c>
      <c r="S2039" s="227"/>
      <c r="T2039" s="227" t="s">
        <v>3258</v>
      </c>
      <c r="U2039" s="227" t="s">
        <v>4811</v>
      </c>
      <c r="V2039" s="221" t="s">
        <v>3337</v>
      </c>
      <c r="W2039" s="227" t="s">
        <v>3338</v>
      </c>
      <c r="X2039" s="227"/>
      <c r="Y2039" s="227"/>
      <c r="Z2039" s="227" t="str">
        <f t="shared" si="73"/>
        <v>KEBONAGUNG RW 06 PAKISAJI</v>
      </c>
      <c r="AA2039" s="276">
        <f>VLOOKUP(Logfile_S12[[#This Row],[DO number]],DO_DB!G:I,3,0)</f>
        <v>46041</v>
      </c>
      <c r="AB2039" s="331" t="b">
        <f>EXACT(Logfile_S12[[#This Row],[date pick]],Logfile_S12[[#This Row],[Date]])</f>
        <v>0</v>
      </c>
      <c r="AC20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40" spans="1:29" ht="14.5" hidden="1">
      <c r="A2040" s="237" t="str">
        <f t="shared" si="72"/>
        <v>2036</v>
      </c>
      <c r="B2040" s="221">
        <v>1</v>
      </c>
      <c r="C2040" s="227" t="s">
        <v>48</v>
      </c>
      <c r="D2040" s="227" t="s">
        <v>4829</v>
      </c>
      <c r="E2040" s="227" t="s">
        <v>3295</v>
      </c>
      <c r="F2040" s="227" t="s">
        <v>3299</v>
      </c>
      <c r="G2040" s="239">
        <v>46087</v>
      </c>
      <c r="H2040" s="240">
        <v>0.79166666666666663</v>
      </c>
      <c r="I2040" s="227" t="s">
        <v>37</v>
      </c>
      <c r="J2040" s="221" t="s">
        <v>3023</v>
      </c>
      <c r="K2040" s="241" t="s">
        <v>3069</v>
      </c>
      <c r="L2040" s="225" t="str">
        <f>VLOOKUP(Logfile_S12[[#This Row],[Material Name]],Sheet2!B:C,2,0)</f>
        <v>ZTE1001</v>
      </c>
      <c r="M2040" s="242" t="s">
        <v>19</v>
      </c>
      <c r="N2040" s="227">
        <v>1</v>
      </c>
      <c r="O2040" s="227" t="s">
        <v>4835</v>
      </c>
      <c r="P2040" s="227" t="s">
        <v>4836</v>
      </c>
      <c r="Q2040" s="221"/>
      <c r="R2040" s="221"/>
      <c r="S2040" s="227"/>
      <c r="T2040" s="227"/>
      <c r="U2040" s="227"/>
      <c r="V2040" s="227"/>
      <c r="W2040" s="227"/>
      <c r="X2040" s="227"/>
      <c r="Y2040" s="227"/>
      <c r="Z2040" s="227" t="str">
        <f t="shared" si="73"/>
        <v>LESANPURO RW 01 MALANG</v>
      </c>
      <c r="AA2040" s="276" t="e">
        <f>VLOOKUP(Logfile_S12[[#This Row],[DO number]],DO_DB!G:I,3,0)</f>
        <v>#N/A</v>
      </c>
      <c r="AB2040" s="331" t="e">
        <f>EXACT(Logfile_S12[[#This Row],[date pick]],Logfile_S12[[#This Row],[Date]])</f>
        <v>#N/A</v>
      </c>
      <c r="AC20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41" spans="1:29" ht="14.5" hidden="1">
      <c r="A2041" s="237" t="str">
        <f t="shared" si="72"/>
        <v>2037</v>
      </c>
      <c r="B2041" s="221">
        <v>1</v>
      </c>
      <c r="C2041" s="227" t="s">
        <v>49</v>
      </c>
      <c r="D2041" s="227" t="s">
        <v>4833</v>
      </c>
      <c r="E2041" s="227" t="s">
        <v>3295</v>
      </c>
      <c r="F2041" s="227" t="s">
        <v>3299</v>
      </c>
      <c r="G2041" s="239">
        <v>46090</v>
      </c>
      <c r="H2041" s="240">
        <v>0.79166666666666663</v>
      </c>
      <c r="I2041" s="227" t="s">
        <v>3295</v>
      </c>
      <c r="J2041" s="221" t="s">
        <v>3023</v>
      </c>
      <c r="K2041" s="241" t="s">
        <v>3069</v>
      </c>
      <c r="L2041" s="225" t="str">
        <f>VLOOKUP(Logfile_S12[[#This Row],[Material Name]],Sheet2!B:C,2,0)</f>
        <v>ZTE1001</v>
      </c>
      <c r="M2041" s="242" t="s">
        <v>19</v>
      </c>
      <c r="N2041" s="227">
        <v>1</v>
      </c>
      <c r="O2041" s="227" t="s">
        <v>4835</v>
      </c>
      <c r="P2041" s="227" t="s">
        <v>4836</v>
      </c>
      <c r="Q2041" s="227"/>
      <c r="R2041" s="227"/>
      <c r="S2041" s="227"/>
      <c r="T2041" s="221" t="s">
        <v>3258</v>
      </c>
      <c r="U2041" s="221" t="s">
        <v>4811</v>
      </c>
      <c r="V2041" s="221" t="s">
        <v>3337</v>
      </c>
      <c r="W2041" s="221" t="s">
        <v>3338</v>
      </c>
      <c r="X2041" s="227"/>
      <c r="Y2041" s="227"/>
      <c r="Z2041" s="227" t="str">
        <f t="shared" si="73"/>
        <v>LESANPURO RW 01 MALANG</v>
      </c>
      <c r="AA2041" s="276" t="e">
        <f>VLOOKUP(Logfile_S12[[#This Row],[DO number]],DO_DB!G:I,3,0)</f>
        <v>#N/A</v>
      </c>
      <c r="AB2041" s="331" t="e">
        <f>EXACT(Logfile_S12[[#This Row],[date pick]],Logfile_S12[[#This Row],[Date]])</f>
        <v>#N/A</v>
      </c>
      <c r="AC20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42" spans="1:29" ht="14.5" hidden="1">
      <c r="A2042" s="237" t="str">
        <f t="shared" si="72"/>
        <v>2038</v>
      </c>
      <c r="B2042" s="221">
        <v>1</v>
      </c>
      <c r="C2042" s="227" t="s">
        <v>48</v>
      </c>
      <c r="D2042" s="227" t="s">
        <v>4837</v>
      </c>
      <c r="E2042" s="227" t="s">
        <v>3295</v>
      </c>
      <c r="F2042" s="227" t="s">
        <v>3299</v>
      </c>
      <c r="G2042" s="239">
        <v>46093</v>
      </c>
      <c r="H2042" s="240">
        <v>0.79166666666666663</v>
      </c>
      <c r="I2042" s="227" t="s">
        <v>37</v>
      </c>
      <c r="J2042" s="221" t="s">
        <v>3023</v>
      </c>
      <c r="K2042" s="241" t="s">
        <v>3069</v>
      </c>
      <c r="L2042" s="225" t="str">
        <f>VLOOKUP(Logfile_S12[[#This Row],[Material Name]],Sheet2!B:C,2,0)</f>
        <v>ZTE1001</v>
      </c>
      <c r="M2042" s="242" t="s">
        <v>19</v>
      </c>
      <c r="N2042" s="227">
        <v>7</v>
      </c>
      <c r="O2042" s="227" t="s">
        <v>4839</v>
      </c>
      <c r="P2042" s="227" t="s">
        <v>4840</v>
      </c>
      <c r="Q2042" s="221" t="s">
        <v>4851</v>
      </c>
      <c r="R2042" s="221" t="s">
        <v>4854</v>
      </c>
      <c r="S2042" s="227"/>
      <c r="T2042" s="227"/>
      <c r="U2042" s="227"/>
      <c r="V2042" s="227"/>
      <c r="W2042" s="227"/>
      <c r="X2042" s="227"/>
      <c r="Y2042" s="227"/>
      <c r="Z2042" s="227" t="str">
        <f t="shared" si="73"/>
        <v>SEKARPURO RW 05 MALANG</v>
      </c>
      <c r="AA2042" s="276">
        <f>VLOOKUP(Logfile_S12[[#This Row],[DO number]],DO_DB!G:I,3,0)</f>
        <v>46093</v>
      </c>
      <c r="AB2042" s="331" t="b">
        <f>EXACT(Logfile_S12[[#This Row],[date pick]],Logfile_S12[[#This Row],[Date]])</f>
        <v>1</v>
      </c>
      <c r="AC20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43" spans="1:29" ht="14.5" hidden="1">
      <c r="A2043" s="237" t="str">
        <f t="shared" si="72"/>
        <v>2039</v>
      </c>
      <c r="B2043" s="221">
        <v>1</v>
      </c>
      <c r="C2043" s="227" t="s">
        <v>49</v>
      </c>
      <c r="D2043" s="227" t="s">
        <v>4838</v>
      </c>
      <c r="E2043" s="227" t="s">
        <v>3295</v>
      </c>
      <c r="F2043" s="227" t="s">
        <v>3299</v>
      </c>
      <c r="G2043" s="239">
        <v>46095</v>
      </c>
      <c r="H2043" s="240">
        <v>0.79166666666666663</v>
      </c>
      <c r="I2043" s="227" t="s">
        <v>3295</v>
      </c>
      <c r="J2043" s="221" t="s">
        <v>3023</v>
      </c>
      <c r="K2043" s="241" t="s">
        <v>3069</v>
      </c>
      <c r="L2043" s="225" t="str">
        <f>VLOOKUP(Logfile_S12[[#This Row],[Material Name]],Sheet2!B:C,2,0)</f>
        <v>ZTE1001</v>
      </c>
      <c r="M2043" s="242" t="s">
        <v>19</v>
      </c>
      <c r="N2043" s="227">
        <v>1</v>
      </c>
      <c r="O2043" s="227" t="s">
        <v>4839</v>
      </c>
      <c r="P2043" s="227" t="s">
        <v>4840</v>
      </c>
      <c r="Q2043" s="227"/>
      <c r="R2043" s="227"/>
      <c r="S2043" s="227"/>
      <c r="T2043" s="221" t="s">
        <v>3258</v>
      </c>
      <c r="U2043" s="221" t="s">
        <v>4811</v>
      </c>
      <c r="V2043" s="221" t="s">
        <v>3337</v>
      </c>
      <c r="W2043" s="221" t="s">
        <v>3338</v>
      </c>
      <c r="X2043" s="227"/>
      <c r="Y2043" s="227"/>
      <c r="Z2043" s="227" t="str">
        <f t="shared" si="73"/>
        <v>SEKARPURO RW 05 MALANG</v>
      </c>
      <c r="AA2043" s="276" t="e">
        <f>VLOOKUP(Logfile_S12[[#This Row],[DO number]],DO_DB!G:I,3,0)</f>
        <v>#N/A</v>
      </c>
      <c r="AB2043" s="331" t="e">
        <f>EXACT(Logfile_S12[[#This Row],[date pick]],Logfile_S12[[#This Row],[Date]])</f>
        <v>#N/A</v>
      </c>
      <c r="AC20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44" spans="1:29" ht="14.5" hidden="1">
      <c r="A2044" s="237" t="str">
        <f t="shared" si="72"/>
        <v>2040</v>
      </c>
      <c r="B2044" s="221"/>
      <c r="C2044" s="227" t="s">
        <v>49</v>
      </c>
      <c r="D2044" s="227" t="s">
        <v>4838</v>
      </c>
      <c r="E2044" s="227" t="s">
        <v>3295</v>
      </c>
      <c r="F2044" s="227" t="s">
        <v>3299</v>
      </c>
      <c r="G2044" s="239">
        <v>46095</v>
      </c>
      <c r="H2044" s="240">
        <v>0.79166666666666663</v>
      </c>
      <c r="I2044" s="227" t="s">
        <v>3295</v>
      </c>
      <c r="J2044" s="227" t="s">
        <v>3023</v>
      </c>
      <c r="K2044" s="241" t="s">
        <v>3069</v>
      </c>
      <c r="L2044" s="242" t="str">
        <f>VLOOKUP(Logfile_S12[[#This Row],[Material Name]],Sheet2!B:C,2,0)</f>
        <v>ZTE1001</v>
      </c>
      <c r="M2044" s="242" t="s">
        <v>19</v>
      </c>
      <c r="N2044" s="227">
        <v>6</v>
      </c>
      <c r="O2044" s="247" t="s">
        <v>4841</v>
      </c>
      <c r="P2044" s="224" t="s">
        <v>4842</v>
      </c>
      <c r="Q2044" s="227"/>
      <c r="R2044" s="227"/>
      <c r="S2044" s="227"/>
      <c r="T2044" s="221" t="s">
        <v>3258</v>
      </c>
      <c r="U2044" s="221" t="s">
        <v>4811</v>
      </c>
      <c r="V2044" s="221" t="s">
        <v>3337</v>
      </c>
      <c r="W2044" s="221" t="s">
        <v>3338</v>
      </c>
      <c r="X2044" s="227"/>
      <c r="Y2044" s="227"/>
      <c r="Z2044" s="227" t="str">
        <f t="shared" si="73"/>
        <v>SEKARPURO RW 08 MALANG</v>
      </c>
      <c r="AA2044" s="276" t="e">
        <f>VLOOKUP(Logfile_S12[[#This Row],[DO number]],DO_DB!G:I,3,0)</f>
        <v>#N/A</v>
      </c>
      <c r="AB2044" s="331" t="e">
        <f>EXACT(Logfile_S12[[#This Row],[date pick]],Logfile_S12[[#This Row],[Date]])</f>
        <v>#N/A</v>
      </c>
      <c r="AC20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45" spans="1:29" ht="14.5" hidden="1">
      <c r="A2045" s="237" t="str">
        <f t="shared" si="72"/>
        <v>2041</v>
      </c>
      <c r="B2045" s="221"/>
      <c r="C2045" s="227" t="s">
        <v>49</v>
      </c>
      <c r="D2045" s="227" t="s">
        <v>4845</v>
      </c>
      <c r="E2045" s="227" t="s">
        <v>3295</v>
      </c>
      <c r="F2045" s="227" t="s">
        <v>3299</v>
      </c>
      <c r="G2045" s="239">
        <v>46113</v>
      </c>
      <c r="H2045" s="240">
        <v>0.79166666666666663</v>
      </c>
      <c r="I2045" s="227" t="s">
        <v>3586</v>
      </c>
      <c r="J2045" s="482" t="s">
        <v>4432</v>
      </c>
      <c r="K2045" s="241" t="s">
        <v>3069</v>
      </c>
      <c r="L2045" s="225" t="str">
        <f>VLOOKUP(Logfile_S12[[#This Row],[Material Name]],Sheet2!B:C,2,0)</f>
        <v>ZTE1001</v>
      </c>
      <c r="M2045" s="242" t="s">
        <v>19</v>
      </c>
      <c r="N2045" s="227">
        <v>1</v>
      </c>
      <c r="O2045" s="227"/>
      <c r="P2045" s="227"/>
      <c r="Q2045" s="227"/>
      <c r="R2045" s="227"/>
      <c r="S2045" s="227"/>
      <c r="T2045" s="227"/>
      <c r="U2045" s="227"/>
      <c r="V2045" s="227"/>
      <c r="W2045" s="227"/>
      <c r="X2045" s="227" t="s">
        <v>4857</v>
      </c>
      <c r="Y2045" s="238" t="s">
        <v>5330</v>
      </c>
      <c r="Z2045" s="238">
        <f t="shared" si="73"/>
        <v>0</v>
      </c>
      <c r="AA2045" s="276" t="e">
        <f>VLOOKUP(Logfile_S12[[#This Row],[DO number]],DO_DB!G:I,3,0)</f>
        <v>#N/A</v>
      </c>
      <c r="AB2045" s="332" t="e">
        <f>EXACT(Logfile_S12[[#This Row],[date pick]],Logfile_S12[[#This Row],[Date]])</f>
        <v>#N/A</v>
      </c>
      <c r="AC2045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OUTBOUND_P74-003-1</v>
      </c>
    </row>
    <row r="2046" spans="1:29" ht="14.5" hidden="1">
      <c r="A2046" s="237" t="str">
        <f t="shared" si="72"/>
        <v>2042</v>
      </c>
      <c r="B2046" s="221">
        <v>1</v>
      </c>
      <c r="C2046" s="227" t="s">
        <v>49</v>
      </c>
      <c r="D2046" s="227" t="s">
        <v>4838</v>
      </c>
      <c r="E2046" s="227" t="s">
        <v>3295</v>
      </c>
      <c r="F2046" s="227" t="s">
        <v>3299</v>
      </c>
      <c r="G2046" s="239">
        <v>46134</v>
      </c>
      <c r="H2046" s="240">
        <v>0.43888888888888888</v>
      </c>
      <c r="I2046" s="227" t="s">
        <v>3295</v>
      </c>
      <c r="J2046" s="227" t="s">
        <v>3023</v>
      </c>
      <c r="K2046" s="241" t="s">
        <v>3069</v>
      </c>
      <c r="L2046" s="242" t="str">
        <f>VLOOKUP(Logfile_S12[[#This Row],[Material Name]],Sheet2!B:C,2,0)</f>
        <v>ZTE1001</v>
      </c>
      <c r="M2046" s="242" t="s">
        <v>19</v>
      </c>
      <c r="N2046" s="227">
        <v>7</v>
      </c>
      <c r="O2046" s="227" t="s">
        <v>4847</v>
      </c>
      <c r="P2046" s="227" t="s">
        <v>4846</v>
      </c>
      <c r="Q2046" s="227"/>
      <c r="R2046" s="227"/>
      <c r="S2046" s="227"/>
      <c r="T2046" s="221" t="s">
        <v>3231</v>
      </c>
      <c r="U2046" s="221" t="s">
        <v>4811</v>
      </c>
      <c r="V2046" s="221" t="s">
        <v>3232</v>
      </c>
      <c r="W2046" s="221" t="s">
        <v>3254</v>
      </c>
      <c r="X2046" s="227"/>
      <c r="Y2046" s="227"/>
      <c r="Z2046" s="227" t="str">
        <f t="shared" si="73"/>
        <v>SEKARPURO RW 04 MALANG</v>
      </c>
      <c r="AA2046" s="276" t="e">
        <f>VLOOKUP(Logfile_S12[[#This Row],[DO number]],DO_DB!G:I,3,0)</f>
        <v>#N/A</v>
      </c>
      <c r="AB2046" s="331" t="e">
        <f>EXACT(Logfile_S12[[#This Row],[date pick]],Logfile_S12[[#This Row],[Date]])</f>
        <v>#N/A</v>
      </c>
      <c r="AC20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47" spans="1:29" ht="14.5" hidden="1">
      <c r="A2047" s="237" t="str">
        <f t="shared" si="72"/>
        <v>2043</v>
      </c>
      <c r="B2047" s="221">
        <v>2</v>
      </c>
      <c r="C2047" s="227" t="s">
        <v>48</v>
      </c>
      <c r="D2047" s="227" t="s">
        <v>4865</v>
      </c>
      <c r="E2047" s="227" t="s">
        <v>3295</v>
      </c>
      <c r="F2047" s="227" t="s">
        <v>3299</v>
      </c>
      <c r="G2047" s="239">
        <v>46151</v>
      </c>
      <c r="H2047" s="240">
        <v>0.61527777777777781</v>
      </c>
      <c r="I2047" s="227" t="s">
        <v>37</v>
      </c>
      <c r="J2047" s="227" t="s">
        <v>3023</v>
      </c>
      <c r="K2047" s="241" t="s">
        <v>3069</v>
      </c>
      <c r="L2047" s="242" t="str">
        <f>VLOOKUP(Logfile_S12[[#This Row],[Material Name]],Sheet2!B:C,2,0)</f>
        <v>ZTE1001</v>
      </c>
      <c r="M2047" s="242" t="s">
        <v>19</v>
      </c>
      <c r="N2047" s="227">
        <v>1</v>
      </c>
      <c r="O2047" s="221" t="s">
        <v>4866</v>
      </c>
      <c r="P2047" s="221" t="s">
        <v>4867</v>
      </c>
      <c r="Q2047" s="221" t="s">
        <v>4868</v>
      </c>
      <c r="R2047" s="221" t="s">
        <v>4872</v>
      </c>
      <c r="S2047" s="227"/>
      <c r="T2047" s="227"/>
      <c r="U2047" s="227"/>
      <c r="V2047" s="227"/>
      <c r="W2047" s="227"/>
      <c r="X2047" s="227"/>
      <c r="Y2047" s="227"/>
      <c r="Z2047" s="227" t="str">
        <f t="shared" si="73"/>
        <v>WONOKOYO RW 05 KEDUNGKANDANG</v>
      </c>
      <c r="AA2047" s="276">
        <f>VLOOKUP(Logfile_S12[[#This Row],[DO number]],DO_DB!G:I,3,0)</f>
        <v>46151</v>
      </c>
      <c r="AB2047" s="331" t="b">
        <f>EXACT(Logfile_S12[[#This Row],[date pick]],Logfile_S12[[#This Row],[Date]])</f>
        <v>1</v>
      </c>
      <c r="AC20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48" spans="1:29" ht="14.5" hidden="1">
      <c r="A2048" s="237" t="str">
        <f t="shared" si="72"/>
        <v>2044</v>
      </c>
      <c r="B2048" s="221">
        <v>4</v>
      </c>
      <c r="C2048" s="227" t="s">
        <v>49</v>
      </c>
      <c r="D2048" s="227" t="s">
        <v>4873</v>
      </c>
      <c r="E2048" s="227" t="s">
        <v>3295</v>
      </c>
      <c r="F2048" s="227" t="s">
        <v>3299</v>
      </c>
      <c r="G2048" s="239">
        <v>46153</v>
      </c>
      <c r="H2048" s="240">
        <v>0.76250000000000007</v>
      </c>
      <c r="I2048" s="227" t="s">
        <v>3295</v>
      </c>
      <c r="J2048" s="227" t="s">
        <v>3023</v>
      </c>
      <c r="K2048" s="241" t="s">
        <v>3069</v>
      </c>
      <c r="L2048" s="242" t="str">
        <f>VLOOKUP(Logfile_S12[[#This Row],[Material Name]],Sheet2!B:C,2,0)</f>
        <v>ZTE1001</v>
      </c>
      <c r="M2048" s="242" t="s">
        <v>19</v>
      </c>
      <c r="N2048" s="227">
        <v>1</v>
      </c>
      <c r="O2048" s="221" t="s">
        <v>4866</v>
      </c>
      <c r="P2048" s="221" t="s">
        <v>4867</v>
      </c>
      <c r="Q2048" s="227"/>
      <c r="R2048" s="227"/>
      <c r="S2048" s="227"/>
      <c r="T2048" s="221" t="s">
        <v>3258</v>
      </c>
      <c r="U2048" s="221" t="s">
        <v>4811</v>
      </c>
      <c r="V2048" s="221" t="s">
        <v>3337</v>
      </c>
      <c r="W2048" s="221" t="s">
        <v>3338</v>
      </c>
      <c r="X2048" s="227"/>
      <c r="Y2048" s="227"/>
      <c r="Z2048" s="227" t="str">
        <f t="shared" si="73"/>
        <v>WONOKOYO RW 05 KEDUNGKANDANG</v>
      </c>
      <c r="AA2048" s="276" t="e">
        <f>VLOOKUP(Logfile_S12[[#This Row],[DO number]],DO_DB!G:I,3,0)</f>
        <v>#N/A</v>
      </c>
      <c r="AB2048" s="331" t="e">
        <f>EXACT(Logfile_S12[[#This Row],[date pick]],Logfile_S12[[#This Row],[Date]])</f>
        <v>#N/A</v>
      </c>
      <c r="AC20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49" spans="1:29" ht="14.5" hidden="1">
      <c r="A2049" s="237" t="str">
        <f t="shared" si="72"/>
        <v>2045</v>
      </c>
      <c r="B2049" s="221">
        <v>4</v>
      </c>
      <c r="C2049" s="227" t="s">
        <v>48</v>
      </c>
      <c r="D2049" s="227" t="s">
        <v>4895</v>
      </c>
      <c r="E2049" s="227" t="s">
        <v>3295</v>
      </c>
      <c r="F2049" s="227" t="s">
        <v>3299</v>
      </c>
      <c r="G2049" s="239">
        <v>46164</v>
      </c>
      <c r="H2049" s="240">
        <v>0.74236111111111114</v>
      </c>
      <c r="I2049" s="227" t="s">
        <v>37</v>
      </c>
      <c r="J2049" s="227" t="s">
        <v>3023</v>
      </c>
      <c r="K2049" s="241" t="s">
        <v>3069</v>
      </c>
      <c r="L2049" s="242" t="str">
        <f>VLOOKUP(Logfile_S12[[#This Row],[Material Name]],Sheet2!B:C,2,0)</f>
        <v>ZTE1001</v>
      </c>
      <c r="M2049" s="242" t="s">
        <v>19</v>
      </c>
      <c r="N2049" s="227">
        <v>9</v>
      </c>
      <c r="O2049" s="227" t="s">
        <v>4870</v>
      </c>
      <c r="P2049" s="227" t="s">
        <v>4871</v>
      </c>
      <c r="Q2049" s="221" t="s">
        <v>4869</v>
      </c>
      <c r="R2049" s="221">
        <v>0</v>
      </c>
      <c r="S2049" s="227"/>
      <c r="T2049" s="227"/>
      <c r="U2049" s="227"/>
      <c r="V2049" s="227"/>
      <c r="W2049" s="227"/>
      <c r="X2049" s="227"/>
      <c r="Y2049" s="227"/>
      <c r="Z2049" s="227" t="str">
        <f t="shared" si="73"/>
        <v>SUMBERSEKAR RT 07 RW 04 MALANG</v>
      </c>
      <c r="AA2049" s="276">
        <f>VLOOKUP(Logfile_S12[[#This Row],[DO number]],DO_DB!G:I,3,0)</f>
        <v>46164</v>
      </c>
      <c r="AB2049" s="331" t="b">
        <f>EXACT(Logfile_S12[[#This Row],[date pick]],Logfile_S12[[#This Row],[Date]])</f>
        <v>1</v>
      </c>
      <c r="AC20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50" spans="1:29" ht="14.5" hidden="1">
      <c r="A2050" s="237" t="str">
        <f t="shared" si="72"/>
        <v>2046</v>
      </c>
      <c r="B2050" s="221">
        <v>4</v>
      </c>
      <c r="C2050" s="227" t="s">
        <v>49</v>
      </c>
      <c r="D2050" s="227" t="s">
        <v>4896</v>
      </c>
      <c r="E2050" s="227" t="s">
        <v>3295</v>
      </c>
      <c r="F2050" s="227" t="s">
        <v>3299</v>
      </c>
      <c r="G2050" s="239">
        <v>46165</v>
      </c>
      <c r="H2050" s="240">
        <v>0.74236111111111114</v>
      </c>
      <c r="I2050" s="227" t="s">
        <v>3295</v>
      </c>
      <c r="J2050" s="227" t="s">
        <v>3023</v>
      </c>
      <c r="K2050" s="241" t="s">
        <v>3069</v>
      </c>
      <c r="L2050" s="242" t="str">
        <f>VLOOKUP(Logfile_S12[[#This Row],[Material Name]],Sheet2!B:C,2,0)</f>
        <v>ZTE1001</v>
      </c>
      <c r="M2050" s="242" t="s">
        <v>19</v>
      </c>
      <c r="N2050" s="227">
        <v>1</v>
      </c>
      <c r="O2050" s="227" t="s">
        <v>4870</v>
      </c>
      <c r="P2050" s="227" t="s">
        <v>4871</v>
      </c>
      <c r="Q2050" s="227"/>
      <c r="R2050" s="227"/>
      <c r="S2050" s="227"/>
      <c r="T2050" s="221" t="s">
        <v>3258</v>
      </c>
      <c r="U2050" s="221" t="s">
        <v>4811</v>
      </c>
      <c r="V2050" s="221" t="s">
        <v>3337</v>
      </c>
      <c r="W2050" s="221" t="s">
        <v>3338</v>
      </c>
      <c r="X2050" s="227"/>
      <c r="Y2050" s="227"/>
      <c r="Z2050" s="227" t="str">
        <f t="shared" si="73"/>
        <v>SUMBERSEKAR RT 07 RW 04 MALANG</v>
      </c>
      <c r="AA2050" s="276" t="e">
        <f>VLOOKUP(Logfile_S12[[#This Row],[DO number]],DO_DB!G:I,3,0)</f>
        <v>#N/A</v>
      </c>
      <c r="AB2050" s="331" t="e">
        <f>EXACT(Logfile_S12[[#This Row],[date pick]],Logfile_S12[[#This Row],[Date]])</f>
        <v>#N/A</v>
      </c>
      <c r="AC20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51" spans="1:29" ht="14.5" hidden="1">
      <c r="A2051" s="237" t="str">
        <f t="shared" si="72"/>
        <v>2047</v>
      </c>
      <c r="B2051" s="221"/>
      <c r="C2051" s="227" t="s">
        <v>49</v>
      </c>
      <c r="D2051" s="227" t="s">
        <v>4910</v>
      </c>
      <c r="E2051" s="227" t="s">
        <v>3295</v>
      </c>
      <c r="F2051" s="227" t="s">
        <v>4909</v>
      </c>
      <c r="G2051" s="239">
        <v>46196</v>
      </c>
      <c r="H2051" s="240">
        <v>0.375</v>
      </c>
      <c r="I2051" s="227" t="s">
        <v>3295</v>
      </c>
      <c r="J2051" s="227" t="s">
        <v>3023</v>
      </c>
      <c r="K2051" s="241" t="s">
        <v>3069</v>
      </c>
      <c r="L2051" s="242" t="str">
        <f>VLOOKUP(Logfile_S12[[#This Row],[Material Name]],Sheet2!B:C,2,0)</f>
        <v>ZTE1001</v>
      </c>
      <c r="M2051" s="242" t="s">
        <v>19</v>
      </c>
      <c r="N2051" s="227">
        <v>9</v>
      </c>
      <c r="O2051" s="227" t="s">
        <v>4898</v>
      </c>
      <c r="P2051" s="227" t="s">
        <v>4900</v>
      </c>
      <c r="Q2051" s="227"/>
      <c r="R2051" s="227"/>
      <c r="S2051" s="227"/>
      <c r="T2051" s="221" t="s">
        <v>3258</v>
      </c>
      <c r="U2051" s="221" t="s">
        <v>4811</v>
      </c>
      <c r="V2051" s="221" t="s">
        <v>3337</v>
      </c>
      <c r="W2051" s="221" t="s">
        <v>3338</v>
      </c>
      <c r="X2051" s="227"/>
      <c r="Y2051" s="227"/>
      <c r="Z2051" s="227" t="str">
        <f t="shared" si="73"/>
        <v>RANDUANGUNG RW 04 SINGOSARI MALANG</v>
      </c>
      <c r="AA2051" s="276" t="e">
        <f>VLOOKUP(Logfile_S12[[#This Row],[DO number]],DO_DB!G:I,3,0)</f>
        <v>#N/A</v>
      </c>
      <c r="AB2051" s="331" t="e">
        <f>EXACT(Logfile_S12[[#This Row],[date pick]],Logfile_S12[[#This Row],[Date]])</f>
        <v>#N/A</v>
      </c>
      <c r="AC20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52" spans="1:29" ht="14.5" hidden="1">
      <c r="A2052" s="237" t="str">
        <f t="shared" si="72"/>
        <v>2048</v>
      </c>
      <c r="B2052" s="221">
        <v>6</v>
      </c>
      <c r="C2052" s="227" t="s">
        <v>48</v>
      </c>
      <c r="D2052" s="227" t="s">
        <v>4907</v>
      </c>
      <c r="E2052" s="227" t="s">
        <v>3295</v>
      </c>
      <c r="F2052" s="227" t="s">
        <v>3299</v>
      </c>
      <c r="G2052" s="239">
        <v>46200</v>
      </c>
      <c r="H2052" s="240">
        <v>0.25</v>
      </c>
      <c r="I2052" s="227" t="s">
        <v>37</v>
      </c>
      <c r="J2052" s="227" t="s">
        <v>3023</v>
      </c>
      <c r="K2052" s="241" t="s">
        <v>3069</v>
      </c>
      <c r="L2052" s="242" t="str">
        <f>VLOOKUP(Logfile_S12[[#This Row],[Material Name]],Sheet2!B:C,2,0)</f>
        <v>ZTE1001</v>
      </c>
      <c r="M2052" s="242" t="s">
        <v>19</v>
      </c>
      <c r="N2052" s="227">
        <v>10</v>
      </c>
      <c r="O2052" s="221" t="s">
        <v>4898</v>
      </c>
      <c r="P2052" s="221" t="s">
        <v>4900</v>
      </c>
      <c r="Q2052" s="221" t="s">
        <v>4899</v>
      </c>
      <c r="R2052" s="227"/>
      <c r="S2052" s="227"/>
      <c r="T2052" s="227"/>
      <c r="U2052" s="227"/>
      <c r="V2052" s="227"/>
      <c r="W2052" s="227"/>
      <c r="X2052" s="227"/>
      <c r="Y2052" s="227"/>
      <c r="Z2052" s="227" t="str">
        <f t="shared" si="73"/>
        <v>RANDUANGUNG RW 04 SINGOSARI MALANG</v>
      </c>
      <c r="AA2052" s="276">
        <f>VLOOKUP(Logfile_S12[[#This Row],[DO number]],DO_DB!G:I,3,0)</f>
        <v>46200</v>
      </c>
      <c r="AB2052" s="331" t="b">
        <f>EXACT(Logfile_S12[[#This Row],[date pick]],Logfile_S12[[#This Row],[Date]])</f>
        <v>1</v>
      </c>
      <c r="AC20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53" spans="1:29" ht="14.5" hidden="1">
      <c r="A2053" s="237" t="str">
        <f t="shared" ref="A2053:A2116" si="74">TEXT(ROW(A2053)-ROW($A$4),"000")</f>
        <v>2049</v>
      </c>
      <c r="B2053" s="221">
        <v>5</v>
      </c>
      <c r="C2053" s="227" t="s">
        <v>48</v>
      </c>
      <c r="D2053" s="227" t="s">
        <v>4907</v>
      </c>
      <c r="E2053" s="227" t="s">
        <v>3295</v>
      </c>
      <c r="F2053" s="227" t="s">
        <v>3299</v>
      </c>
      <c r="G2053" s="239">
        <v>46200</v>
      </c>
      <c r="H2053" s="240">
        <v>0.25</v>
      </c>
      <c r="I2053" s="227" t="s">
        <v>37</v>
      </c>
      <c r="J2053" s="227" t="s">
        <v>3023</v>
      </c>
      <c r="K2053" s="241" t="s">
        <v>3069</v>
      </c>
      <c r="L2053" s="242" t="str">
        <f>VLOOKUP(Logfile_S12[[#This Row],[Material Name]],Sheet2!B:C,2,0)</f>
        <v>ZTE1001</v>
      </c>
      <c r="M2053" s="242" t="s">
        <v>19</v>
      </c>
      <c r="N2053" s="227">
        <v>23</v>
      </c>
      <c r="O2053" s="221" t="s">
        <v>4902</v>
      </c>
      <c r="P2053" s="221" t="s">
        <v>4903</v>
      </c>
      <c r="Q2053" s="221" t="s">
        <v>4901</v>
      </c>
      <c r="R2053" s="221">
        <v>0</v>
      </c>
      <c r="S2053" s="227"/>
      <c r="T2053" s="227"/>
      <c r="U2053" s="227"/>
      <c r="V2053" s="227"/>
      <c r="W2053" s="227"/>
      <c r="X2053" s="227"/>
      <c r="Y2053" s="227"/>
      <c r="Z2053" s="227" t="str">
        <f t="shared" si="73"/>
        <v>KAMBINGAN RW 04 MALANG</v>
      </c>
      <c r="AA2053" s="276">
        <f>VLOOKUP(Logfile_S12[[#This Row],[DO number]],DO_DB!G:I,3,0)</f>
        <v>46200</v>
      </c>
      <c r="AB2053" s="331" t="b">
        <f>EXACT(Logfile_S12[[#This Row],[date pick]],Logfile_S12[[#This Row],[Date]])</f>
        <v>1</v>
      </c>
      <c r="AC20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54" spans="1:29" ht="14.5" hidden="1">
      <c r="A2054" s="237" t="str">
        <f t="shared" si="74"/>
        <v>2050</v>
      </c>
      <c r="B2054" s="221"/>
      <c r="C2054" s="227" t="s">
        <v>49</v>
      </c>
      <c r="D2054" s="227" t="s">
        <v>4913</v>
      </c>
      <c r="E2054" s="227" t="s">
        <v>3295</v>
      </c>
      <c r="F2054" s="227" t="s">
        <v>4909</v>
      </c>
      <c r="G2054" s="239">
        <v>46200</v>
      </c>
      <c r="H2054" s="240">
        <v>0.875</v>
      </c>
      <c r="I2054" s="227" t="s">
        <v>3295</v>
      </c>
      <c r="J2054" s="227" t="s">
        <v>3023</v>
      </c>
      <c r="K2054" s="241" t="s">
        <v>3069</v>
      </c>
      <c r="L2054" s="242" t="str">
        <f>VLOOKUP(Logfile_S12[[#This Row],[Material Name]],Sheet2!B:C,2,0)</f>
        <v>ZTE1001</v>
      </c>
      <c r="M2054" s="242" t="s">
        <v>19</v>
      </c>
      <c r="N2054" s="227">
        <v>21</v>
      </c>
      <c r="O2054" s="221" t="s">
        <v>4902</v>
      </c>
      <c r="P2054" s="221" t="s">
        <v>4903</v>
      </c>
      <c r="Q2054" s="227"/>
      <c r="R2054" s="227"/>
      <c r="S2054" s="227"/>
      <c r="T2054" s="221" t="s">
        <v>3258</v>
      </c>
      <c r="U2054" s="221" t="s">
        <v>4811</v>
      </c>
      <c r="V2054" s="221" t="s">
        <v>3337</v>
      </c>
      <c r="W2054" s="221" t="s">
        <v>3338</v>
      </c>
      <c r="X2054" s="227"/>
      <c r="Y2054" s="227"/>
      <c r="Z2054" s="227" t="str">
        <f t="shared" si="73"/>
        <v>KAMBINGAN RW 04 MALANG</v>
      </c>
      <c r="AA2054" s="276" t="e">
        <f>VLOOKUP(Logfile_S12[[#This Row],[DO number]],DO_DB!G:I,3,0)</f>
        <v>#N/A</v>
      </c>
      <c r="AB2054" s="331" t="e">
        <f>EXACT(Logfile_S12[[#This Row],[date pick]],Logfile_S12[[#This Row],[Date]])</f>
        <v>#N/A</v>
      </c>
      <c r="AC20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55" spans="1:29" ht="14.5" hidden="1">
      <c r="A2055" s="237" t="str">
        <f t="shared" si="74"/>
        <v>2051</v>
      </c>
      <c r="B2055" s="221"/>
      <c r="C2055" s="227" t="s">
        <v>49</v>
      </c>
      <c r="D2055" s="227" t="s">
        <v>4913</v>
      </c>
      <c r="E2055" s="227" t="s">
        <v>3295</v>
      </c>
      <c r="F2055" s="227" t="s">
        <v>4909</v>
      </c>
      <c r="G2055" s="239">
        <v>46200</v>
      </c>
      <c r="H2055" s="240">
        <v>0.375</v>
      </c>
      <c r="I2055" s="227" t="s">
        <v>3295</v>
      </c>
      <c r="J2055" s="227" t="s">
        <v>3023</v>
      </c>
      <c r="K2055" s="241" t="s">
        <v>3069</v>
      </c>
      <c r="L2055" s="242" t="str">
        <f>VLOOKUP(Logfile_S12[[#This Row],[Material Name]],Sheet2!B:C,2,0)</f>
        <v>ZTE1001</v>
      </c>
      <c r="M2055" s="242" t="s">
        <v>19</v>
      </c>
      <c r="N2055" s="227">
        <v>4</v>
      </c>
      <c r="O2055" s="227" t="s">
        <v>4898</v>
      </c>
      <c r="P2055" s="227" t="s">
        <v>4900</v>
      </c>
      <c r="Q2055" s="227"/>
      <c r="R2055" s="227"/>
      <c r="S2055" s="227"/>
      <c r="T2055" s="221" t="s">
        <v>3258</v>
      </c>
      <c r="U2055" s="221" t="s">
        <v>4811</v>
      </c>
      <c r="V2055" s="221" t="s">
        <v>3337</v>
      </c>
      <c r="W2055" s="221" t="s">
        <v>3338</v>
      </c>
      <c r="X2055" s="227"/>
      <c r="Y2055" s="227"/>
      <c r="Z2055" s="227" t="str">
        <f t="shared" si="73"/>
        <v>RANDUANGUNG RW 04 SINGOSARI MALANG</v>
      </c>
      <c r="AA2055" s="276" t="e">
        <f>VLOOKUP(Logfile_S12[[#This Row],[DO number]],DO_DB!G:I,3,0)</f>
        <v>#N/A</v>
      </c>
      <c r="AB2055" s="331" t="e">
        <f>EXACT(Logfile_S12[[#This Row],[date pick]],Logfile_S12[[#This Row],[Date]])</f>
        <v>#N/A</v>
      </c>
      <c r="AC20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56" spans="1:29" ht="14.5" hidden="1">
      <c r="A2056" s="237" t="str">
        <f t="shared" si="74"/>
        <v>2052</v>
      </c>
      <c r="B2056" s="221"/>
      <c r="C2056" s="227" t="s">
        <v>48</v>
      </c>
      <c r="D2056" s="227" t="s">
        <v>5127</v>
      </c>
      <c r="E2056" s="227" t="s">
        <v>3295</v>
      </c>
      <c r="F2056" s="227" t="s">
        <v>3299</v>
      </c>
      <c r="G2056" s="239">
        <v>46212</v>
      </c>
      <c r="H2056" s="240">
        <v>0.25</v>
      </c>
      <c r="I2056" s="227" t="s">
        <v>37</v>
      </c>
      <c r="J2056" s="227" t="s">
        <v>3023</v>
      </c>
      <c r="K2056" s="241" t="s">
        <v>3069</v>
      </c>
      <c r="L2056" s="242" t="str">
        <f>VLOOKUP(Logfile_S12[[#This Row],[Material Name]],Sheet2!B:C,2,0)</f>
        <v>ZTE1001</v>
      </c>
      <c r="M2056" s="242" t="s">
        <v>19</v>
      </c>
      <c r="N2056" s="242">
        <v>1</v>
      </c>
      <c r="O2056" s="227" t="s">
        <v>5122</v>
      </c>
      <c r="P2056" s="227" t="s">
        <v>5125</v>
      </c>
      <c r="Q2056" s="8" t="s">
        <v>5123</v>
      </c>
      <c r="R2056" s="8" t="s">
        <v>5124</v>
      </c>
      <c r="S2056" s="227"/>
      <c r="T2056" s="227"/>
      <c r="U2056" s="227"/>
      <c r="V2056" s="227"/>
      <c r="W2056" s="227"/>
      <c r="X2056" s="227"/>
      <c r="Y2056" s="238"/>
      <c r="Z2056" s="238" t="str">
        <f t="shared" si="73"/>
        <v>KESATRIAN RW 09 MALANG</v>
      </c>
      <c r="AA2056" s="276">
        <f>VLOOKUP(Logfile_S12[[#This Row],[DO number]],DO_DB!G:I,3,0)</f>
        <v>46212</v>
      </c>
      <c r="AB2056" s="332" t="b">
        <f>EXACT(Logfile_S12[[#This Row],[date pick]],Logfile_S12[[#This Row],[Date]])</f>
        <v>1</v>
      </c>
      <c r="AC20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57" spans="1:29" ht="14.5" hidden="1">
      <c r="A2057" s="220" t="str">
        <f t="shared" si="74"/>
        <v>2053</v>
      </c>
      <c r="B2057" s="221"/>
      <c r="C2057" s="221" t="s">
        <v>48</v>
      </c>
      <c r="D2057" s="221" t="s">
        <v>3692</v>
      </c>
      <c r="E2057" s="221" t="s">
        <v>3295</v>
      </c>
      <c r="F2057" s="221" t="s">
        <v>3299</v>
      </c>
      <c r="G2057" s="222">
        <v>45170</v>
      </c>
      <c r="H2057" s="223">
        <v>15.291666666666666</v>
      </c>
      <c r="I2057" s="221" t="s">
        <v>37</v>
      </c>
      <c r="J2057" s="221" t="s">
        <v>3023</v>
      </c>
      <c r="K2057" s="224" t="s">
        <v>3071</v>
      </c>
      <c r="L2057" s="225" t="str">
        <f>VLOOKUP(Logfile_S12[[#This Row],[Material Name]],Sheet2!B:C,2,0)</f>
        <v>ZTE1003</v>
      </c>
      <c r="M2057" s="225" t="str">
        <f>_xlfn.XLOOKUP(Logfile_S12[[#This Row],[Material Name]],Sum_WH!E:E,Sum_WH!F:F,"",0)</f>
        <v>Pcs</v>
      </c>
      <c r="N2057" s="221">
        <v>3</v>
      </c>
      <c r="O2057" s="221" t="s">
        <v>150</v>
      </c>
      <c r="P2057" s="221" t="s">
        <v>151</v>
      </c>
      <c r="Q2057" s="221" t="s">
        <v>156</v>
      </c>
      <c r="R2057" s="221" t="s">
        <v>157</v>
      </c>
      <c r="S2057" s="221"/>
      <c r="T2057" s="221"/>
      <c r="U2057" s="221"/>
      <c r="V2057" s="221"/>
      <c r="W2057" s="221"/>
      <c r="X2057" s="221"/>
      <c r="Y2057" s="227"/>
      <c r="Z2057" s="227" t="str">
        <f t="shared" si="73"/>
        <v>Mulyorejo RW 04 Sukun</v>
      </c>
      <c r="AA2057" s="276">
        <f>VLOOKUP(Logfile_S12[[#This Row],[DO number]],DO_DB!G:I,3,0)</f>
        <v>45170</v>
      </c>
      <c r="AB2057" s="331" t="b">
        <f>EXACT(Logfile_S12[[#This Row],[date pick]],Logfile_S12[[#This Row],[Date]])</f>
        <v>1</v>
      </c>
      <c r="AC20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58" spans="1:29" ht="14.5" hidden="1">
      <c r="A2058" s="220" t="str">
        <f t="shared" si="74"/>
        <v>2054</v>
      </c>
      <c r="B2058" s="221"/>
      <c r="C2058" s="221" t="s">
        <v>49</v>
      </c>
      <c r="D2058" s="221" t="s">
        <v>3695</v>
      </c>
      <c r="E2058" s="221" t="s">
        <v>3295</v>
      </c>
      <c r="F2058" s="221" t="s">
        <v>3299</v>
      </c>
      <c r="G2058" s="222">
        <v>45173</v>
      </c>
      <c r="H2058" s="223">
        <v>0.31805555555555554</v>
      </c>
      <c r="I2058" s="221" t="s">
        <v>4916</v>
      </c>
      <c r="J2058" s="221" t="s">
        <v>3023</v>
      </c>
      <c r="K2058" s="224" t="s">
        <v>3071</v>
      </c>
      <c r="L2058" s="225" t="str">
        <f>VLOOKUP(Logfile_S12[[#This Row],[Material Name]],Sheet2!B:C,2,0)</f>
        <v>ZTE1003</v>
      </c>
      <c r="M2058" s="225" t="str">
        <f>_xlfn.XLOOKUP(Logfile_S12[[#This Row],[Material Name]],Sum_WH!E:E,Sum_WH!F:F,"",0)</f>
        <v>Pcs</v>
      </c>
      <c r="N2058" s="221">
        <v>3</v>
      </c>
      <c r="O2058" s="221" t="s">
        <v>150</v>
      </c>
      <c r="P2058" s="221" t="s">
        <v>151</v>
      </c>
      <c r="Q2058" s="221"/>
      <c r="R2058" s="221"/>
      <c r="S2058" s="221"/>
      <c r="T2058" s="221" t="s">
        <v>3309</v>
      </c>
      <c r="U2058" s="221" t="s">
        <v>3228</v>
      </c>
      <c r="V2058" s="221" t="s">
        <v>3310</v>
      </c>
      <c r="W2058" s="221" t="s">
        <v>3311</v>
      </c>
      <c r="X2058" s="221"/>
      <c r="Y2058" s="227"/>
      <c r="Z2058" s="227" t="str">
        <f t="shared" si="73"/>
        <v>Mulyorejo RW 04 Sukun</v>
      </c>
      <c r="AA2058" s="276" t="e">
        <f>VLOOKUP(Logfile_S12[[#This Row],[DO number]],DO_DB!G:I,3,0)</f>
        <v>#N/A</v>
      </c>
      <c r="AB2058" s="331" t="e">
        <f>EXACT(Logfile_S12[[#This Row],[date pick]],Logfile_S12[[#This Row],[Date]])</f>
        <v>#N/A</v>
      </c>
      <c r="AC20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59" spans="1:29" ht="14.5" hidden="1">
      <c r="A2059" s="220" t="str">
        <f t="shared" si="74"/>
        <v>2055</v>
      </c>
      <c r="B2059" s="221"/>
      <c r="C2059" s="221" t="s">
        <v>48</v>
      </c>
      <c r="D2059" s="221" t="s">
        <v>3708</v>
      </c>
      <c r="E2059" s="221" t="s">
        <v>3295</v>
      </c>
      <c r="F2059" s="221" t="s">
        <v>3299</v>
      </c>
      <c r="G2059" s="222">
        <v>45185</v>
      </c>
      <c r="H2059" s="223">
        <v>15.291666666666666</v>
      </c>
      <c r="I2059" s="221" t="s">
        <v>37</v>
      </c>
      <c r="J2059" s="221" t="s">
        <v>3023</v>
      </c>
      <c r="K2059" s="224" t="s">
        <v>3071</v>
      </c>
      <c r="L2059" s="225" t="str">
        <f>VLOOKUP(Logfile_S12[[#This Row],[Material Name]],Sheet2!B:C,2,0)</f>
        <v>ZTE1003</v>
      </c>
      <c r="M2059" s="225" t="str">
        <f>_xlfn.XLOOKUP(Logfile_S12[[#This Row],[Material Name]],Sum_WH!E:E,Sum_WH!F:F,"",0)</f>
        <v>Pcs</v>
      </c>
      <c r="N2059" s="221">
        <v>1</v>
      </c>
      <c r="O2059" s="221" t="s">
        <v>84</v>
      </c>
      <c r="P2059" s="221" t="s">
        <v>85</v>
      </c>
      <c r="Q2059" s="221" t="s">
        <v>168</v>
      </c>
      <c r="R2059" s="221" t="s">
        <v>169</v>
      </c>
      <c r="S2059" s="221"/>
      <c r="T2059" s="221"/>
      <c r="U2059" s="221"/>
      <c r="V2059" s="221"/>
      <c r="W2059" s="221"/>
      <c r="X2059" s="221"/>
      <c r="Y2059" s="227"/>
      <c r="Z2059" s="227" t="str">
        <f t="shared" si="73"/>
        <v>Perumahan Bumi Podo Rukun Dau</v>
      </c>
      <c r="AA2059" s="276">
        <f>VLOOKUP(Logfile_S12[[#This Row],[DO number]],DO_DB!G:I,3,0)</f>
        <v>45185</v>
      </c>
      <c r="AB2059" s="331" t="b">
        <f>EXACT(Logfile_S12[[#This Row],[date pick]],Logfile_S12[[#This Row],[Date]])</f>
        <v>1</v>
      </c>
      <c r="AC20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60" spans="1:29" ht="14.5" hidden="1">
      <c r="A2060" s="220" t="str">
        <f t="shared" si="74"/>
        <v>2056</v>
      </c>
      <c r="B2060" s="221"/>
      <c r="C2060" s="221" t="s">
        <v>48</v>
      </c>
      <c r="D2060" s="221" t="s">
        <v>3708</v>
      </c>
      <c r="E2060" s="221" t="s">
        <v>3295</v>
      </c>
      <c r="F2060" s="221" t="s">
        <v>3299</v>
      </c>
      <c r="G2060" s="222">
        <v>45185</v>
      </c>
      <c r="H2060" s="223">
        <v>15.291666666666666</v>
      </c>
      <c r="I2060" s="221" t="s">
        <v>37</v>
      </c>
      <c r="J2060" s="221" t="s">
        <v>3023</v>
      </c>
      <c r="K2060" s="224" t="s">
        <v>3071</v>
      </c>
      <c r="L2060" s="225" t="str">
        <f>VLOOKUP(Logfile_S12[[#This Row],[Material Name]],Sheet2!B:C,2,0)</f>
        <v>ZTE1003</v>
      </c>
      <c r="M2060" s="225" t="str">
        <f>_xlfn.XLOOKUP(Logfile_S12[[#This Row],[Material Name]],Sum_WH!E:E,Sum_WH!F:F,"",0)</f>
        <v>Pcs</v>
      </c>
      <c r="N2060" s="221">
        <v>2</v>
      </c>
      <c r="O2060" s="221" t="s">
        <v>164</v>
      </c>
      <c r="P2060" s="221" t="s">
        <v>3320</v>
      </c>
      <c r="Q2060" s="221" t="s">
        <v>170</v>
      </c>
      <c r="R2060" s="221" t="s">
        <v>171</v>
      </c>
      <c r="S2060" s="221"/>
      <c r="T2060" s="221"/>
      <c r="U2060" s="221"/>
      <c r="V2060" s="221"/>
      <c r="W2060" s="221"/>
      <c r="X2060" s="221"/>
      <c r="Y2060" s="227"/>
      <c r="Z2060" s="227" t="str">
        <f t="shared" ref="Z2060:Z2123" si="75">P2060</f>
        <v>Pandan Landung RW 04 Wagir</v>
      </c>
      <c r="AA2060" s="276">
        <f>VLOOKUP(Logfile_S12[[#This Row],[DO number]],DO_DB!G:I,3,0)</f>
        <v>45185</v>
      </c>
      <c r="AB2060" s="331" t="b">
        <f>EXACT(Logfile_S12[[#This Row],[date pick]],Logfile_S12[[#This Row],[Date]])</f>
        <v>1</v>
      </c>
      <c r="AC20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61" spans="1:29" ht="14.5" hidden="1">
      <c r="A2061" s="220" t="str">
        <f t="shared" si="74"/>
        <v>2057</v>
      </c>
      <c r="B2061" s="221"/>
      <c r="C2061" s="221" t="s">
        <v>48</v>
      </c>
      <c r="D2061" s="221" t="s">
        <v>3709</v>
      </c>
      <c r="E2061" s="221" t="s">
        <v>3295</v>
      </c>
      <c r="F2061" s="221" t="s">
        <v>3299</v>
      </c>
      <c r="G2061" s="222">
        <v>45188</v>
      </c>
      <c r="H2061" s="223">
        <v>15.291666666666666</v>
      </c>
      <c r="I2061" s="221" t="s">
        <v>37</v>
      </c>
      <c r="J2061" s="221" t="s">
        <v>3023</v>
      </c>
      <c r="K2061" s="224" t="s">
        <v>3071</v>
      </c>
      <c r="L2061" s="225" t="str">
        <f>VLOOKUP(Logfile_S12[[#This Row],[Material Name]],Sheet2!B:C,2,0)</f>
        <v>ZTE1003</v>
      </c>
      <c r="M2061" s="225" t="str">
        <f>_xlfn.XLOOKUP(Logfile_S12[[#This Row],[Material Name]],Sum_WH!E:E,Sum_WH!F:F,"",0)</f>
        <v>Pcs</v>
      </c>
      <c r="N2061" s="221">
        <v>5</v>
      </c>
      <c r="O2061" s="221" t="s">
        <v>180</v>
      </c>
      <c r="P2061" s="221" t="s">
        <v>181</v>
      </c>
      <c r="Q2061" s="221" t="s">
        <v>184</v>
      </c>
      <c r="R2061" s="221" t="s">
        <v>185</v>
      </c>
      <c r="S2061" s="221"/>
      <c r="T2061" s="221"/>
      <c r="U2061" s="221"/>
      <c r="V2061" s="221"/>
      <c r="W2061" s="221"/>
      <c r="X2061" s="221"/>
      <c r="Y2061" s="227"/>
      <c r="Z2061" s="227" t="str">
        <f t="shared" si="75"/>
        <v>Mulyorejo RW 06 Sukun</v>
      </c>
      <c r="AA2061" s="276">
        <f>VLOOKUP(Logfile_S12[[#This Row],[DO number]],DO_DB!G:I,3,0)</f>
        <v>45188</v>
      </c>
      <c r="AB2061" s="331" t="b">
        <f>EXACT(Logfile_S12[[#This Row],[date pick]],Logfile_S12[[#This Row],[Date]])</f>
        <v>1</v>
      </c>
      <c r="AC20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62" spans="1:29" ht="14.5" hidden="1">
      <c r="A2062" s="220" t="str">
        <f t="shared" si="74"/>
        <v>2058</v>
      </c>
      <c r="B2062" s="221"/>
      <c r="C2062" s="221" t="s">
        <v>48</v>
      </c>
      <c r="D2062" s="221" t="s">
        <v>3710</v>
      </c>
      <c r="E2062" s="221" t="s">
        <v>3295</v>
      </c>
      <c r="F2062" s="221" t="s">
        <v>3299</v>
      </c>
      <c r="G2062" s="222">
        <v>45189</v>
      </c>
      <c r="H2062" s="223">
        <v>15.291666666666666</v>
      </c>
      <c r="I2062" s="221" t="s">
        <v>37</v>
      </c>
      <c r="J2062" s="221" t="s">
        <v>3023</v>
      </c>
      <c r="K2062" s="224" t="s">
        <v>3071</v>
      </c>
      <c r="L2062" s="225" t="str">
        <f>VLOOKUP(Logfile_S12[[#This Row],[Material Name]],Sheet2!B:C,2,0)</f>
        <v>ZTE1003</v>
      </c>
      <c r="M2062" s="225" t="str">
        <f>_xlfn.XLOOKUP(Logfile_S12[[#This Row],[Material Name]],Sum_WH!E:E,Sum_WH!F:F,"",0)</f>
        <v>Pcs</v>
      </c>
      <c r="N2062" s="221">
        <v>9</v>
      </c>
      <c r="O2062" s="221" t="s">
        <v>222</v>
      </c>
      <c r="P2062" s="221" t="s">
        <v>223</v>
      </c>
      <c r="Q2062" s="221" t="s">
        <v>226</v>
      </c>
      <c r="R2062" s="221" t="s">
        <v>227</v>
      </c>
      <c r="S2062" s="221"/>
      <c r="T2062" s="221"/>
      <c r="U2062" s="221"/>
      <c r="V2062" s="221"/>
      <c r="W2062" s="221"/>
      <c r="X2062" s="221"/>
      <c r="Y2062" s="227"/>
      <c r="Z2062" s="227" t="str">
        <f t="shared" si="75"/>
        <v>Puncak Dieng Exlusif</v>
      </c>
      <c r="AA2062" s="276">
        <f>VLOOKUP(Logfile_S12[[#This Row],[DO number]],DO_DB!G:I,3,0)</f>
        <v>45189</v>
      </c>
      <c r="AB2062" s="331" t="b">
        <f>EXACT(Logfile_S12[[#This Row],[date pick]],Logfile_S12[[#This Row],[Date]])</f>
        <v>1</v>
      </c>
      <c r="AC20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63" spans="1:29" ht="14.5" hidden="1">
      <c r="A2063" s="220" t="str">
        <f t="shared" si="74"/>
        <v>2059</v>
      </c>
      <c r="B2063" s="221"/>
      <c r="C2063" s="221" t="s">
        <v>48</v>
      </c>
      <c r="D2063" s="221" t="s">
        <v>3718</v>
      </c>
      <c r="E2063" s="221" t="s">
        <v>3295</v>
      </c>
      <c r="F2063" s="221" t="s">
        <v>3299</v>
      </c>
      <c r="G2063" s="222">
        <v>45192</v>
      </c>
      <c r="H2063" s="223">
        <v>0.67013888888888884</v>
      </c>
      <c r="I2063" s="221" t="s">
        <v>3586</v>
      </c>
      <c r="J2063" s="221" t="s">
        <v>3023</v>
      </c>
      <c r="K2063" s="224" t="s">
        <v>3071</v>
      </c>
      <c r="L2063" s="225" t="str">
        <f>VLOOKUP(Logfile_S12[[#This Row],[Material Name]],Sheet2!B:C,2,0)</f>
        <v>ZTE1003</v>
      </c>
      <c r="M2063" s="225" t="str">
        <f>_xlfn.XLOOKUP(Logfile_S12[[#This Row],[Material Name]],Sum_WH!E:E,Sum_WH!F:F,"",0)</f>
        <v>Pcs</v>
      </c>
      <c r="N2063" s="221">
        <v>4</v>
      </c>
      <c r="O2063" s="221" t="s">
        <v>180</v>
      </c>
      <c r="P2063" s="221" t="s">
        <v>181</v>
      </c>
      <c r="Q2063" s="221">
        <v>0</v>
      </c>
      <c r="R2063" s="221" t="s">
        <v>3147</v>
      </c>
      <c r="S2063" s="221"/>
      <c r="T2063" s="221"/>
      <c r="U2063" s="221"/>
      <c r="V2063" s="221"/>
      <c r="W2063" s="221"/>
      <c r="X2063" s="221" t="s">
        <v>3599</v>
      </c>
      <c r="Y2063" s="227"/>
      <c r="Z2063" s="227" t="str">
        <f t="shared" si="75"/>
        <v>Mulyorejo RW 06 Sukun</v>
      </c>
      <c r="AA2063" s="276" t="e">
        <f>VLOOKUP(Logfile_S12[[#This Row],[DO number]],DO_DB!G:I,3,0)</f>
        <v>#N/A</v>
      </c>
      <c r="AB2063" s="331" t="e">
        <f>EXACT(Logfile_S12[[#This Row],[date pick]],Logfile_S12[[#This Row],[Date]])</f>
        <v>#N/A</v>
      </c>
      <c r="AC20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64" spans="1:29" ht="14.5" hidden="1">
      <c r="A2064" s="220" t="str">
        <f t="shared" si="74"/>
        <v>2060</v>
      </c>
      <c r="B2064" s="221"/>
      <c r="C2064" s="221" t="s">
        <v>49</v>
      </c>
      <c r="D2064" s="221" t="s">
        <v>3716</v>
      </c>
      <c r="E2064" s="221" t="s">
        <v>3295</v>
      </c>
      <c r="F2064" s="221" t="s">
        <v>3299</v>
      </c>
      <c r="G2064" s="222">
        <v>45192</v>
      </c>
      <c r="H2064" s="223">
        <v>0.29652777777777778</v>
      </c>
      <c r="I2064" s="221" t="s">
        <v>4916</v>
      </c>
      <c r="J2064" s="221" t="s">
        <v>3023</v>
      </c>
      <c r="K2064" s="224" t="s">
        <v>3071</v>
      </c>
      <c r="L2064" s="225" t="str">
        <f>VLOOKUP(Logfile_S12[[#This Row],[Material Name]],Sheet2!B:C,2,0)</f>
        <v>ZTE1003</v>
      </c>
      <c r="M2064" s="225" t="str">
        <f>_xlfn.XLOOKUP(Logfile_S12[[#This Row],[Material Name]],Sum_WH!E:E,Sum_WH!F:F,"",0)</f>
        <v>Pcs</v>
      </c>
      <c r="N2064" s="221">
        <v>6</v>
      </c>
      <c r="O2064" s="221" t="s">
        <v>180</v>
      </c>
      <c r="P2064" s="221" t="s">
        <v>181</v>
      </c>
      <c r="Q2064" s="221"/>
      <c r="R2064" s="221"/>
      <c r="S2064" s="221"/>
      <c r="T2064" s="221" t="s">
        <v>3322</v>
      </c>
      <c r="U2064" s="221" t="s">
        <v>3323</v>
      </c>
      <c r="V2064" s="221" t="s">
        <v>3324</v>
      </c>
      <c r="W2064" s="221" t="s">
        <v>3325</v>
      </c>
      <c r="X2064" s="221"/>
      <c r="Y2064" s="227"/>
      <c r="Z2064" s="227" t="str">
        <f t="shared" si="75"/>
        <v>Mulyorejo RW 06 Sukun</v>
      </c>
      <c r="AA2064" s="276" t="e">
        <f>VLOOKUP(Logfile_S12[[#This Row],[DO number]],DO_DB!G:I,3,0)</f>
        <v>#N/A</v>
      </c>
      <c r="AB2064" s="331" t="e">
        <f>EXACT(Logfile_S12[[#This Row],[date pick]],Logfile_S12[[#This Row],[Date]])</f>
        <v>#N/A</v>
      </c>
      <c r="AC20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65" spans="1:29" ht="14.5" hidden="1">
      <c r="A2065" s="220" t="str">
        <f t="shared" si="74"/>
        <v>2061</v>
      </c>
      <c r="B2065" s="221"/>
      <c r="C2065" s="221" t="s">
        <v>49</v>
      </c>
      <c r="D2065" s="221" t="s">
        <v>3725</v>
      </c>
      <c r="E2065" s="221" t="s">
        <v>3295</v>
      </c>
      <c r="F2065" s="221" t="s">
        <v>3299</v>
      </c>
      <c r="G2065" s="222">
        <v>45195</v>
      </c>
      <c r="H2065" s="223">
        <v>0.27083333333333331</v>
      </c>
      <c r="I2065" s="221" t="s">
        <v>4916</v>
      </c>
      <c r="J2065" s="221" t="s">
        <v>3023</v>
      </c>
      <c r="K2065" s="224" t="s">
        <v>3071</v>
      </c>
      <c r="L2065" s="225" t="str">
        <f>VLOOKUP(Logfile_S12[[#This Row],[Material Name]],Sheet2!B:C,2,0)</f>
        <v>ZTE1003</v>
      </c>
      <c r="M2065" s="225" t="str">
        <f>_xlfn.XLOOKUP(Logfile_S12[[#This Row],[Material Name]],Sum_WH!E:E,Sum_WH!F:F,"",0)</f>
        <v>Pcs</v>
      </c>
      <c r="N2065" s="221">
        <v>4</v>
      </c>
      <c r="O2065" s="221" t="s">
        <v>222</v>
      </c>
      <c r="P2065" s="221" t="s">
        <v>223</v>
      </c>
      <c r="Q2065" s="221"/>
      <c r="R2065" s="221"/>
      <c r="S2065" s="221"/>
      <c r="T2065" s="221" t="s">
        <v>3322</v>
      </c>
      <c r="U2065" s="221" t="s">
        <v>3323</v>
      </c>
      <c r="V2065" s="221" t="s">
        <v>3324</v>
      </c>
      <c r="W2065" s="221" t="s">
        <v>3325</v>
      </c>
      <c r="X2065" s="221"/>
      <c r="Y2065" s="227"/>
      <c r="Z2065" s="227" t="str">
        <f t="shared" si="75"/>
        <v>Puncak Dieng Exlusif</v>
      </c>
      <c r="AA2065" s="276" t="e">
        <f>VLOOKUP(Logfile_S12[[#This Row],[DO number]],DO_DB!G:I,3,0)</f>
        <v>#N/A</v>
      </c>
      <c r="AB2065" s="331" t="e">
        <f>EXACT(Logfile_S12[[#This Row],[date pick]],Logfile_S12[[#This Row],[Date]])</f>
        <v>#N/A</v>
      </c>
      <c r="AC20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66" spans="1:29" ht="14.5" hidden="1">
      <c r="A2066" s="220" t="str">
        <f t="shared" si="74"/>
        <v>2062</v>
      </c>
      <c r="B2066" s="221"/>
      <c r="C2066" s="221" t="s">
        <v>49</v>
      </c>
      <c r="D2066" s="221" t="s">
        <v>3728</v>
      </c>
      <c r="E2066" s="221" t="s">
        <v>3295</v>
      </c>
      <c r="F2066" s="221" t="s">
        <v>3299</v>
      </c>
      <c r="G2066" s="222">
        <v>45196</v>
      </c>
      <c r="H2066" s="223">
        <v>0.27569444444444446</v>
      </c>
      <c r="I2066" s="221" t="s">
        <v>4916</v>
      </c>
      <c r="J2066" s="221" t="s">
        <v>3023</v>
      </c>
      <c r="K2066" s="224" t="s">
        <v>3071</v>
      </c>
      <c r="L2066" s="225" t="str">
        <f>VLOOKUP(Logfile_S12[[#This Row],[Material Name]],Sheet2!B:C,2,0)</f>
        <v>ZTE1003</v>
      </c>
      <c r="M2066" s="225" t="str">
        <f>_xlfn.XLOOKUP(Logfile_S12[[#This Row],[Material Name]],Sum_WH!E:E,Sum_WH!F:F,"",0)</f>
        <v>Pcs</v>
      </c>
      <c r="N2066" s="221">
        <v>2</v>
      </c>
      <c r="O2066" s="221" t="s">
        <v>222</v>
      </c>
      <c r="P2066" s="221" t="s">
        <v>223</v>
      </c>
      <c r="Q2066" s="221"/>
      <c r="R2066" s="221"/>
      <c r="S2066" s="221"/>
      <c r="T2066" s="221" t="s">
        <v>3522</v>
      </c>
      <c r="U2066" s="221" t="s">
        <v>3323</v>
      </c>
      <c r="V2066" s="221" t="s">
        <v>3324</v>
      </c>
      <c r="W2066" s="221" t="s">
        <v>3386</v>
      </c>
      <c r="X2066" s="221"/>
      <c r="Y2066" s="227"/>
      <c r="Z2066" s="227" t="str">
        <f t="shared" si="75"/>
        <v>Puncak Dieng Exlusif</v>
      </c>
      <c r="AA2066" s="276" t="e">
        <f>VLOOKUP(Logfile_S12[[#This Row],[DO number]],DO_DB!G:I,3,0)</f>
        <v>#N/A</v>
      </c>
      <c r="AB2066" s="331" t="e">
        <f>EXACT(Logfile_S12[[#This Row],[date pick]],Logfile_S12[[#This Row],[Date]])</f>
        <v>#N/A</v>
      </c>
      <c r="AC20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67" spans="1:29" ht="14.5" hidden="1">
      <c r="A2067" s="220" t="str">
        <f t="shared" si="74"/>
        <v>2063</v>
      </c>
      <c r="B2067" s="221"/>
      <c r="C2067" s="221" t="s">
        <v>49</v>
      </c>
      <c r="D2067" s="221" t="s">
        <v>3734</v>
      </c>
      <c r="E2067" s="221" t="s">
        <v>3295</v>
      </c>
      <c r="F2067" s="221" t="s">
        <v>3299</v>
      </c>
      <c r="G2067" s="222">
        <v>45200</v>
      </c>
      <c r="H2067" s="223">
        <v>0.27083333333333331</v>
      </c>
      <c r="I2067" s="221" t="s">
        <v>4916</v>
      </c>
      <c r="J2067" s="221" t="s">
        <v>3023</v>
      </c>
      <c r="K2067" s="224" t="s">
        <v>3071</v>
      </c>
      <c r="L2067" s="225" t="str">
        <f>VLOOKUP(Logfile_S12[[#This Row],[Material Name]],Sheet2!B:C,2,0)</f>
        <v>ZTE1003</v>
      </c>
      <c r="M2067" s="225" t="str">
        <f>_xlfn.XLOOKUP(Logfile_S12[[#This Row],[Material Name]],Sum_WH!E:E,Sum_WH!F:F,"",0)</f>
        <v>Pcs</v>
      </c>
      <c r="N2067" s="221">
        <v>2</v>
      </c>
      <c r="O2067" s="221" t="s">
        <v>222</v>
      </c>
      <c r="P2067" s="221" t="s">
        <v>223</v>
      </c>
      <c r="Q2067" s="221"/>
      <c r="R2067" s="221"/>
      <c r="S2067" s="221"/>
      <c r="T2067" s="221" t="s">
        <v>3322</v>
      </c>
      <c r="U2067" s="221" t="s">
        <v>3323</v>
      </c>
      <c r="V2067" s="221" t="s">
        <v>3324</v>
      </c>
      <c r="W2067" s="221" t="s">
        <v>3386</v>
      </c>
      <c r="X2067" s="221"/>
      <c r="Y2067" s="227"/>
      <c r="Z2067" s="227" t="str">
        <f t="shared" si="75"/>
        <v>Puncak Dieng Exlusif</v>
      </c>
      <c r="AA2067" s="276" t="e">
        <f>VLOOKUP(Logfile_S12[[#This Row],[DO number]],DO_DB!G:I,3,0)</f>
        <v>#N/A</v>
      </c>
      <c r="AB2067" s="331" t="e">
        <f>EXACT(Logfile_S12[[#This Row],[date pick]],Logfile_S12[[#This Row],[Date]])</f>
        <v>#N/A</v>
      </c>
      <c r="AC20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68" spans="1:29" ht="14.5" hidden="1">
      <c r="A2068" s="220" t="str">
        <f t="shared" si="74"/>
        <v>2064</v>
      </c>
      <c r="B2068" s="221"/>
      <c r="C2068" s="221" t="s">
        <v>48</v>
      </c>
      <c r="D2068" s="221" t="s">
        <v>3754</v>
      </c>
      <c r="E2068" s="221" t="s">
        <v>3295</v>
      </c>
      <c r="F2068" s="221" t="s">
        <v>3299</v>
      </c>
      <c r="G2068" s="222">
        <v>45213</v>
      </c>
      <c r="H2068" s="223">
        <v>15.291666666666666</v>
      </c>
      <c r="I2068" s="221" t="s">
        <v>37</v>
      </c>
      <c r="J2068" s="221" t="s">
        <v>3023</v>
      </c>
      <c r="K2068" s="224" t="s">
        <v>3071</v>
      </c>
      <c r="L2068" s="225" t="str">
        <f>VLOOKUP(Logfile_S12[[#This Row],[Material Name]],Sheet2!B:C,2,0)</f>
        <v>ZTE1003</v>
      </c>
      <c r="M2068" s="225" t="str">
        <f>_xlfn.XLOOKUP(Logfile_S12[[#This Row],[Material Name]],Sum_WH!E:E,Sum_WH!F:F,"",0)</f>
        <v>Pcs</v>
      </c>
      <c r="N2068" s="221">
        <v>2</v>
      </c>
      <c r="O2068" s="221" t="s">
        <v>328</v>
      </c>
      <c r="P2068" s="221" t="s">
        <v>329</v>
      </c>
      <c r="Q2068" s="221" t="s">
        <v>348</v>
      </c>
      <c r="R2068" s="221" t="s">
        <v>349</v>
      </c>
      <c r="S2068" s="221"/>
      <c r="T2068" s="221"/>
      <c r="U2068" s="221"/>
      <c r="V2068" s="221"/>
      <c r="W2068" s="221"/>
      <c r="X2068" s="221"/>
      <c r="Y2068" s="227"/>
      <c r="Z2068" s="227" t="str">
        <f t="shared" si="75"/>
        <v>Sukodadi RW 01 Wagir</v>
      </c>
      <c r="AA2068" s="276">
        <f>VLOOKUP(Logfile_S12[[#This Row],[DO number]],DO_DB!G:I,3,0)</f>
        <v>45213</v>
      </c>
      <c r="AB2068" s="331" t="b">
        <f>EXACT(Logfile_S12[[#This Row],[date pick]],Logfile_S12[[#This Row],[Date]])</f>
        <v>1</v>
      </c>
      <c r="AC20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69" spans="1:29" ht="14.5" hidden="1">
      <c r="A2069" s="220" t="str">
        <f t="shared" si="74"/>
        <v>2065</v>
      </c>
      <c r="B2069" s="221"/>
      <c r="C2069" s="221" t="s">
        <v>48</v>
      </c>
      <c r="D2069" s="221" t="s">
        <v>3754</v>
      </c>
      <c r="E2069" s="221" t="s">
        <v>3295</v>
      </c>
      <c r="F2069" s="221" t="s">
        <v>3299</v>
      </c>
      <c r="G2069" s="222">
        <v>45213</v>
      </c>
      <c r="H2069" s="223">
        <v>15.291666666666666</v>
      </c>
      <c r="I2069" s="221" t="s">
        <v>37</v>
      </c>
      <c r="J2069" s="221" t="s">
        <v>3023</v>
      </c>
      <c r="K2069" s="224" t="s">
        <v>3071</v>
      </c>
      <c r="L2069" s="225" t="str">
        <f>VLOOKUP(Logfile_S12[[#This Row],[Material Name]],Sheet2!B:C,2,0)</f>
        <v>ZTE1003</v>
      </c>
      <c r="M2069" s="225" t="str">
        <f>_xlfn.XLOOKUP(Logfile_S12[[#This Row],[Material Name]],Sum_WH!E:E,Sum_WH!F:F,"",0)</f>
        <v>Pcs</v>
      </c>
      <c r="N2069" s="221">
        <v>3</v>
      </c>
      <c r="O2069" s="221" t="s">
        <v>340</v>
      </c>
      <c r="P2069" s="221" t="s">
        <v>341</v>
      </c>
      <c r="Q2069" s="221" t="s">
        <v>344</v>
      </c>
      <c r="R2069" s="221" t="s">
        <v>345</v>
      </c>
      <c r="S2069" s="221"/>
      <c r="T2069" s="221"/>
      <c r="U2069" s="221"/>
      <c r="V2069" s="221"/>
      <c r="W2069" s="221"/>
      <c r="X2069" s="221"/>
      <c r="Y2069" s="227"/>
      <c r="Z2069" s="227" t="str">
        <f t="shared" si="75"/>
        <v>Jedong RW 08 Wagir</v>
      </c>
      <c r="AA2069" s="276">
        <f>VLOOKUP(Logfile_S12[[#This Row],[DO number]],DO_DB!G:I,3,0)</f>
        <v>45213</v>
      </c>
      <c r="AB2069" s="331" t="b">
        <f>EXACT(Logfile_S12[[#This Row],[date pick]],Logfile_S12[[#This Row],[Date]])</f>
        <v>1</v>
      </c>
      <c r="AC20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70" spans="1:29" ht="14.5" hidden="1">
      <c r="A2070" s="220" t="str">
        <f t="shared" si="74"/>
        <v>2066</v>
      </c>
      <c r="B2070" s="221"/>
      <c r="C2070" s="221" t="s">
        <v>48</v>
      </c>
      <c r="D2070" s="221" t="s">
        <v>3754</v>
      </c>
      <c r="E2070" s="221" t="s">
        <v>3295</v>
      </c>
      <c r="F2070" s="221" t="s">
        <v>3299</v>
      </c>
      <c r="G2070" s="222">
        <v>45213</v>
      </c>
      <c r="H2070" s="223">
        <v>15.291666666666666</v>
      </c>
      <c r="I2070" s="221" t="s">
        <v>37</v>
      </c>
      <c r="J2070" s="221" t="s">
        <v>3023</v>
      </c>
      <c r="K2070" s="224" t="s">
        <v>3071</v>
      </c>
      <c r="L2070" s="225" t="str">
        <f>VLOOKUP(Logfile_S12[[#This Row],[Material Name]],Sheet2!B:C,2,0)</f>
        <v>ZTE1003</v>
      </c>
      <c r="M2070" s="225" t="str">
        <f>_xlfn.XLOOKUP(Logfile_S12[[#This Row],[Material Name]],Sum_WH!E:E,Sum_WH!F:F,"",0)</f>
        <v>Pcs</v>
      </c>
      <c r="N2070" s="221">
        <v>4</v>
      </c>
      <c r="O2070" s="221" t="s">
        <v>324</v>
      </c>
      <c r="P2070" s="221" t="s">
        <v>325</v>
      </c>
      <c r="Q2070" s="221" t="s">
        <v>346</v>
      </c>
      <c r="R2070" s="221" t="s">
        <v>347</v>
      </c>
      <c r="S2070" s="221"/>
      <c r="T2070" s="221"/>
      <c r="U2070" s="221"/>
      <c r="V2070" s="221"/>
      <c r="W2070" s="221"/>
      <c r="X2070" s="221"/>
      <c r="Y2070" s="227"/>
      <c r="Z2070" s="227" t="str">
        <f t="shared" si="75"/>
        <v>Jedong RW 09 Wagir</v>
      </c>
      <c r="AA2070" s="276">
        <f>VLOOKUP(Logfile_S12[[#This Row],[DO number]],DO_DB!G:I,3,0)</f>
        <v>45213</v>
      </c>
      <c r="AB2070" s="331" t="b">
        <f>EXACT(Logfile_S12[[#This Row],[date pick]],Logfile_S12[[#This Row],[Date]])</f>
        <v>1</v>
      </c>
      <c r="AC20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71" spans="1:29" ht="14.5" hidden="1">
      <c r="A2071" s="220" t="str">
        <f t="shared" si="74"/>
        <v>2067</v>
      </c>
      <c r="B2071" s="221"/>
      <c r="C2071" s="221" t="s">
        <v>49</v>
      </c>
      <c r="D2071" s="221" t="s">
        <v>3761</v>
      </c>
      <c r="E2071" s="221" t="s">
        <v>3295</v>
      </c>
      <c r="F2071" s="221" t="s">
        <v>3299</v>
      </c>
      <c r="G2071" s="222">
        <v>45216</v>
      </c>
      <c r="H2071" s="223">
        <v>0.59097222222222223</v>
      </c>
      <c r="I2071" s="221" t="s">
        <v>4916</v>
      </c>
      <c r="J2071" s="221" t="s">
        <v>3023</v>
      </c>
      <c r="K2071" s="224" t="s">
        <v>3071</v>
      </c>
      <c r="L2071" s="225" t="str">
        <f>VLOOKUP(Logfile_S12[[#This Row],[Material Name]],Sheet2!B:C,2,0)</f>
        <v>ZTE1003</v>
      </c>
      <c r="M2071" s="225" t="str">
        <f>_xlfn.XLOOKUP(Logfile_S12[[#This Row],[Material Name]],Sum_WH!E:E,Sum_WH!F:F,"",0)</f>
        <v>Pcs</v>
      </c>
      <c r="N2071" s="221">
        <v>1</v>
      </c>
      <c r="O2071" s="221" t="s">
        <v>84</v>
      </c>
      <c r="P2071" s="221" t="s">
        <v>85</v>
      </c>
      <c r="Q2071" s="221"/>
      <c r="R2071" s="221"/>
      <c r="S2071" s="221"/>
      <c r="T2071" s="221" t="s">
        <v>3329</v>
      </c>
      <c r="U2071" s="221" t="s">
        <v>3228</v>
      </c>
      <c r="V2071" s="221" t="s">
        <v>3330</v>
      </c>
      <c r="W2071" s="221" t="s">
        <v>3331</v>
      </c>
      <c r="X2071" s="221" t="s">
        <v>3762</v>
      </c>
      <c r="Y2071" s="227"/>
      <c r="Z2071" s="227" t="str">
        <f t="shared" si="75"/>
        <v>Perumahan Bumi Podo Rukun Dau</v>
      </c>
      <c r="AA2071" s="276" t="e">
        <f>VLOOKUP(Logfile_S12[[#This Row],[DO number]],DO_DB!G:I,3,0)</f>
        <v>#N/A</v>
      </c>
      <c r="AB2071" s="331" t="e">
        <f>EXACT(Logfile_S12[[#This Row],[date pick]],Logfile_S12[[#This Row],[Date]])</f>
        <v>#N/A</v>
      </c>
      <c r="AC20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72" spans="1:29" ht="14.5" hidden="1">
      <c r="A2072" s="220" t="str">
        <f t="shared" si="74"/>
        <v>2068</v>
      </c>
      <c r="B2072" s="221"/>
      <c r="C2072" s="221" t="s">
        <v>49</v>
      </c>
      <c r="D2072" s="221" t="s">
        <v>3763</v>
      </c>
      <c r="E2072" s="221" t="s">
        <v>3295</v>
      </c>
      <c r="F2072" s="221" t="s">
        <v>3299</v>
      </c>
      <c r="G2072" s="222">
        <v>45217</v>
      </c>
      <c r="H2072" s="223">
        <v>0.30069444444444443</v>
      </c>
      <c r="I2072" s="221" t="s">
        <v>4916</v>
      </c>
      <c r="J2072" s="221" t="s">
        <v>3023</v>
      </c>
      <c r="K2072" s="224" t="s">
        <v>3071</v>
      </c>
      <c r="L2072" s="225" t="str">
        <f>VLOOKUP(Logfile_S12[[#This Row],[Material Name]],Sheet2!B:C,2,0)</f>
        <v>ZTE1003</v>
      </c>
      <c r="M2072" s="225" t="str">
        <f>_xlfn.XLOOKUP(Logfile_S12[[#This Row],[Material Name]],Sum_WH!E:E,Sum_WH!F:F,"",0)</f>
        <v>Pcs</v>
      </c>
      <c r="N2072" s="221">
        <v>1</v>
      </c>
      <c r="O2072" s="221" t="s">
        <v>324</v>
      </c>
      <c r="P2072" s="221" t="s">
        <v>325</v>
      </c>
      <c r="Q2072" s="221"/>
      <c r="R2072" s="221"/>
      <c r="S2072" s="221"/>
      <c r="T2072" s="221" t="s">
        <v>3322</v>
      </c>
      <c r="U2072" s="221" t="s">
        <v>3323</v>
      </c>
      <c r="V2072" s="221" t="s">
        <v>3324</v>
      </c>
      <c r="W2072" s="221" t="s">
        <v>3325</v>
      </c>
      <c r="X2072" s="221"/>
      <c r="Y2072" s="227"/>
      <c r="Z2072" s="227" t="str">
        <f t="shared" si="75"/>
        <v>Jedong RW 09 Wagir</v>
      </c>
      <c r="AA2072" s="276" t="e">
        <f>VLOOKUP(Logfile_S12[[#This Row],[DO number]],DO_DB!G:I,3,0)</f>
        <v>#N/A</v>
      </c>
      <c r="AB2072" s="331" t="e">
        <f>EXACT(Logfile_S12[[#This Row],[date pick]],Logfile_S12[[#This Row],[Date]])</f>
        <v>#N/A</v>
      </c>
      <c r="AC20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73" spans="1:29" ht="14.5" hidden="1">
      <c r="A2073" s="220" t="str">
        <f t="shared" si="74"/>
        <v>2069</v>
      </c>
      <c r="B2073" s="221"/>
      <c r="C2073" s="221" t="s">
        <v>49</v>
      </c>
      <c r="D2073" s="221" t="s">
        <v>3763</v>
      </c>
      <c r="E2073" s="221" t="s">
        <v>3295</v>
      </c>
      <c r="F2073" s="221" t="s">
        <v>3299</v>
      </c>
      <c r="G2073" s="222">
        <v>45217</v>
      </c>
      <c r="H2073" s="223">
        <v>0.30069444444444443</v>
      </c>
      <c r="I2073" s="221" t="s">
        <v>4916</v>
      </c>
      <c r="J2073" s="221" t="s">
        <v>3023</v>
      </c>
      <c r="K2073" s="224" t="s">
        <v>3071</v>
      </c>
      <c r="L2073" s="225" t="str">
        <f>VLOOKUP(Logfile_S12[[#This Row],[Material Name]],Sheet2!B:C,2,0)</f>
        <v>ZTE1003</v>
      </c>
      <c r="M2073" s="225" t="str">
        <f>_xlfn.XLOOKUP(Logfile_S12[[#This Row],[Material Name]],Sum_WH!E:E,Sum_WH!F:F,"",0)</f>
        <v>Pcs</v>
      </c>
      <c r="N2073" s="221">
        <v>2</v>
      </c>
      <c r="O2073" s="221" t="s">
        <v>340</v>
      </c>
      <c r="P2073" s="221" t="s">
        <v>341</v>
      </c>
      <c r="Q2073" s="221"/>
      <c r="R2073" s="221"/>
      <c r="S2073" s="221"/>
      <c r="T2073" s="221" t="s">
        <v>3322</v>
      </c>
      <c r="U2073" s="221" t="s">
        <v>3323</v>
      </c>
      <c r="V2073" s="221" t="s">
        <v>3324</v>
      </c>
      <c r="W2073" s="221" t="s">
        <v>3325</v>
      </c>
      <c r="X2073" s="221"/>
      <c r="Y2073" s="227"/>
      <c r="Z2073" s="227" t="str">
        <f t="shared" si="75"/>
        <v>Jedong RW 08 Wagir</v>
      </c>
      <c r="AA2073" s="276" t="e">
        <f>VLOOKUP(Logfile_S12[[#This Row],[DO number]],DO_DB!G:I,3,0)</f>
        <v>#N/A</v>
      </c>
      <c r="AB2073" s="331" t="e">
        <f>EXACT(Logfile_S12[[#This Row],[date pick]],Logfile_S12[[#This Row],[Date]])</f>
        <v>#N/A</v>
      </c>
      <c r="AC20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74" spans="1:29" ht="14.5" hidden="1">
      <c r="A2074" s="220" t="str">
        <f t="shared" si="74"/>
        <v>2070</v>
      </c>
      <c r="B2074" s="221"/>
      <c r="C2074" s="221" t="s">
        <v>49</v>
      </c>
      <c r="D2074" s="221" t="s">
        <v>3770</v>
      </c>
      <c r="E2074" s="221" t="s">
        <v>3295</v>
      </c>
      <c r="F2074" s="221" t="s">
        <v>3299</v>
      </c>
      <c r="G2074" s="222">
        <v>45220</v>
      </c>
      <c r="H2074" s="223">
        <v>0.34652777777777777</v>
      </c>
      <c r="I2074" s="221" t="s">
        <v>4916</v>
      </c>
      <c r="J2074" s="221" t="s">
        <v>3023</v>
      </c>
      <c r="K2074" s="224" t="s">
        <v>3071</v>
      </c>
      <c r="L2074" s="225" t="str">
        <f>VLOOKUP(Logfile_S12[[#This Row],[Material Name]],Sheet2!B:C,2,0)</f>
        <v>ZTE1003</v>
      </c>
      <c r="M2074" s="225" t="str">
        <f>_xlfn.XLOOKUP(Logfile_S12[[#This Row],[Material Name]],Sum_WH!E:E,Sum_WH!F:F,"",0)</f>
        <v>Pcs</v>
      </c>
      <c r="N2074" s="221">
        <v>2</v>
      </c>
      <c r="O2074" s="221" t="s">
        <v>332</v>
      </c>
      <c r="P2074" s="221" t="s">
        <v>333</v>
      </c>
      <c r="Q2074" s="221"/>
      <c r="R2074" s="221"/>
      <c r="S2074" s="221"/>
      <c r="T2074" s="221" t="s">
        <v>3487</v>
      </c>
      <c r="U2074" s="221">
        <v>0</v>
      </c>
      <c r="V2074" s="221" t="s">
        <v>3488</v>
      </c>
      <c r="W2074" s="221" t="s">
        <v>3489</v>
      </c>
      <c r="X2074" s="221"/>
      <c r="Y2074" s="227"/>
      <c r="Z2074" s="227" t="str">
        <f t="shared" si="75"/>
        <v>Sukodadi RW 02 Wagir</v>
      </c>
      <c r="AA2074" s="276" t="e">
        <f>VLOOKUP(Logfile_S12[[#This Row],[DO number]],DO_DB!G:I,3,0)</f>
        <v>#N/A</v>
      </c>
      <c r="AB2074" s="331" t="e">
        <f>EXACT(Logfile_S12[[#This Row],[date pick]],Logfile_S12[[#This Row],[Date]])</f>
        <v>#N/A</v>
      </c>
      <c r="AC20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75" spans="1:29" ht="14.5" hidden="1">
      <c r="A2075" s="220" t="str">
        <f t="shared" si="74"/>
        <v>2071</v>
      </c>
      <c r="B2075" s="221"/>
      <c r="C2075" s="221" t="s">
        <v>3388</v>
      </c>
      <c r="D2075" s="221" t="s">
        <v>3780</v>
      </c>
      <c r="E2075" s="221" t="s">
        <v>3295</v>
      </c>
      <c r="F2075" s="221" t="s">
        <v>3299</v>
      </c>
      <c r="G2075" s="222">
        <v>45220</v>
      </c>
      <c r="H2075" s="223">
        <v>0.97499999999999998</v>
      </c>
      <c r="I2075" s="221" t="s">
        <v>4916</v>
      </c>
      <c r="J2075" s="221" t="s">
        <v>3023</v>
      </c>
      <c r="K2075" s="224" t="s">
        <v>3071</v>
      </c>
      <c r="L2075" s="225" t="str">
        <f>VLOOKUP(Logfile_S12[[#This Row],[Material Name]],Sheet2!B:C,2,0)</f>
        <v>ZTE1003</v>
      </c>
      <c r="M2075" s="225" t="str">
        <f>_xlfn.XLOOKUP(Logfile_S12[[#This Row],[Material Name]],Sum_WH!E:E,Sum_WH!F:F,"",0)</f>
        <v>Pcs</v>
      </c>
      <c r="N2075" s="221">
        <v>4</v>
      </c>
      <c r="O2075" s="221" t="s">
        <v>3314</v>
      </c>
      <c r="P2075" s="221" t="s">
        <v>3223</v>
      </c>
      <c r="Q2075" s="221"/>
      <c r="R2075" s="221"/>
      <c r="S2075" s="221"/>
      <c r="T2075" s="221" t="s">
        <v>3322</v>
      </c>
      <c r="U2075" s="221" t="s">
        <v>3323</v>
      </c>
      <c r="V2075" s="221" t="s">
        <v>3324</v>
      </c>
      <c r="W2075" s="221" t="s">
        <v>3325</v>
      </c>
      <c r="X2075" s="221"/>
      <c r="Y2075" s="227"/>
      <c r="Z2075" s="227" t="str">
        <f t="shared" si="75"/>
        <v>Transfer Gudang</v>
      </c>
      <c r="AA2075" s="276" t="e">
        <f>VLOOKUP(Logfile_S12[[#This Row],[DO number]],DO_DB!G:I,3,0)</f>
        <v>#N/A</v>
      </c>
      <c r="AB2075" s="331" t="e">
        <f>EXACT(Logfile_S12[[#This Row],[date pick]],Logfile_S12[[#This Row],[Date]])</f>
        <v>#N/A</v>
      </c>
      <c r="AC20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2076" spans="1:29" ht="14.5" hidden="1">
      <c r="A2076" s="220" t="str">
        <f t="shared" si="74"/>
        <v>2072</v>
      </c>
      <c r="B2076" s="221"/>
      <c r="C2076" s="221" t="s">
        <v>49</v>
      </c>
      <c r="D2076" s="221" t="s">
        <v>3790</v>
      </c>
      <c r="E2076" s="221" t="s">
        <v>3295</v>
      </c>
      <c r="F2076" s="221" t="s">
        <v>3299</v>
      </c>
      <c r="G2076" s="222">
        <v>45222</v>
      </c>
      <c r="H2076" s="223">
        <v>0.34652777777777777</v>
      </c>
      <c r="I2076" s="221" t="s">
        <v>4916</v>
      </c>
      <c r="J2076" s="221" t="s">
        <v>3023</v>
      </c>
      <c r="K2076" s="224" t="s">
        <v>3071</v>
      </c>
      <c r="L2076" s="225" t="str">
        <f>VLOOKUP(Logfile_S12[[#This Row],[Material Name]],Sheet2!B:C,2,0)</f>
        <v>ZTE1003</v>
      </c>
      <c r="M2076" s="225" t="str">
        <f>_xlfn.XLOOKUP(Logfile_S12[[#This Row],[Material Name]],Sum_WH!E:E,Sum_WH!F:F,"",0)</f>
        <v>Pcs</v>
      </c>
      <c r="N2076" s="221">
        <v>1</v>
      </c>
      <c r="O2076" s="221" t="s">
        <v>328</v>
      </c>
      <c r="P2076" s="221" t="s">
        <v>329</v>
      </c>
      <c r="Q2076" s="221"/>
      <c r="R2076" s="221"/>
      <c r="S2076" s="221"/>
      <c r="T2076" s="221" t="s">
        <v>3487</v>
      </c>
      <c r="U2076" s="221">
        <v>0</v>
      </c>
      <c r="V2076" s="221" t="s">
        <v>3488</v>
      </c>
      <c r="W2076" s="221" t="s">
        <v>3489</v>
      </c>
      <c r="X2076" s="221"/>
      <c r="Y2076" s="227"/>
      <c r="Z2076" s="227" t="str">
        <f t="shared" si="75"/>
        <v>Sukodadi RW 01 Wagir</v>
      </c>
      <c r="AA2076" s="276" t="e">
        <f>VLOOKUP(Logfile_S12[[#This Row],[DO number]],DO_DB!G:I,3,0)</f>
        <v>#N/A</v>
      </c>
      <c r="AB2076" s="331" t="e">
        <f>EXACT(Logfile_S12[[#This Row],[date pick]],Logfile_S12[[#This Row],[Date]])</f>
        <v>#N/A</v>
      </c>
      <c r="AC20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77" spans="1:29" ht="14.5" hidden="1">
      <c r="A2077" s="220" t="str">
        <f t="shared" si="74"/>
        <v>2073</v>
      </c>
      <c r="B2077" s="221"/>
      <c r="C2077" s="221" t="s">
        <v>49</v>
      </c>
      <c r="D2077" s="221" t="s">
        <v>3795</v>
      </c>
      <c r="E2077" s="221" t="s">
        <v>3295</v>
      </c>
      <c r="F2077" s="221" t="s">
        <v>3299</v>
      </c>
      <c r="G2077" s="222">
        <v>45223</v>
      </c>
      <c r="H2077" s="223">
        <v>0.56736111111111109</v>
      </c>
      <c r="I2077" s="221" t="s">
        <v>4916</v>
      </c>
      <c r="J2077" s="221" t="s">
        <v>3023</v>
      </c>
      <c r="K2077" s="224" t="s">
        <v>3071</v>
      </c>
      <c r="L2077" s="225" t="str">
        <f>VLOOKUP(Logfile_S12[[#This Row],[Material Name]],Sheet2!B:C,2,0)</f>
        <v>ZTE1003</v>
      </c>
      <c r="M2077" s="225" t="str">
        <f>_xlfn.XLOOKUP(Logfile_S12[[#This Row],[Material Name]],Sum_WH!E:E,Sum_WH!F:F,"",0)</f>
        <v>Pcs</v>
      </c>
      <c r="N2077" s="221">
        <v>1</v>
      </c>
      <c r="O2077" s="221" t="s">
        <v>150</v>
      </c>
      <c r="P2077" s="221" t="s">
        <v>151</v>
      </c>
      <c r="Q2077" s="221"/>
      <c r="R2077" s="221"/>
      <c r="S2077" s="221"/>
      <c r="T2077" s="221" t="s">
        <v>3329</v>
      </c>
      <c r="U2077" s="221">
        <v>0</v>
      </c>
      <c r="V2077" s="221" t="s">
        <v>3330</v>
      </c>
      <c r="W2077" s="221" t="s">
        <v>3240</v>
      </c>
      <c r="X2077" s="221" t="s">
        <v>3762</v>
      </c>
      <c r="Y2077" s="227"/>
      <c r="Z2077" s="227" t="str">
        <f t="shared" si="75"/>
        <v>Mulyorejo RW 04 Sukun</v>
      </c>
      <c r="AA2077" s="276" t="e">
        <f>VLOOKUP(Logfile_S12[[#This Row],[DO number]],DO_DB!G:I,3,0)</f>
        <v>#N/A</v>
      </c>
      <c r="AB2077" s="331" t="e">
        <f>EXACT(Logfile_S12[[#This Row],[date pick]],Logfile_S12[[#This Row],[Date]])</f>
        <v>#N/A</v>
      </c>
      <c r="AC20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78" spans="1:29" ht="14.5" hidden="1">
      <c r="A2078" s="220" t="str">
        <f t="shared" si="74"/>
        <v>2074</v>
      </c>
      <c r="B2078" s="221"/>
      <c r="C2078" s="221" t="s">
        <v>49</v>
      </c>
      <c r="D2078" s="221" t="s">
        <v>3796</v>
      </c>
      <c r="E2078" s="221" t="s">
        <v>3295</v>
      </c>
      <c r="F2078" s="221" t="s">
        <v>3299</v>
      </c>
      <c r="G2078" s="222">
        <v>45223</v>
      </c>
      <c r="H2078" s="223">
        <v>0.57638888888888895</v>
      </c>
      <c r="I2078" s="221" t="s">
        <v>4916</v>
      </c>
      <c r="J2078" s="221" t="s">
        <v>3023</v>
      </c>
      <c r="K2078" s="224" t="s">
        <v>3071</v>
      </c>
      <c r="L2078" s="225" t="str">
        <f>VLOOKUP(Logfile_S12[[#This Row],[Material Name]],Sheet2!B:C,2,0)</f>
        <v>ZTE1003</v>
      </c>
      <c r="M2078" s="225" t="str">
        <f>_xlfn.XLOOKUP(Logfile_S12[[#This Row],[Material Name]],Sum_WH!E:E,Sum_WH!F:F,"",0)</f>
        <v>Pcs</v>
      </c>
      <c r="N2078" s="221">
        <v>1</v>
      </c>
      <c r="O2078" s="221" t="s">
        <v>340</v>
      </c>
      <c r="P2078" s="221" t="s">
        <v>341</v>
      </c>
      <c r="Q2078" s="221"/>
      <c r="R2078" s="221"/>
      <c r="S2078" s="221"/>
      <c r="T2078" s="221" t="s">
        <v>3322</v>
      </c>
      <c r="U2078" s="221" t="s">
        <v>3323</v>
      </c>
      <c r="V2078" s="221" t="s">
        <v>3324</v>
      </c>
      <c r="W2078" s="221" t="s">
        <v>3386</v>
      </c>
      <c r="X2078" s="221"/>
      <c r="Y2078" s="227"/>
      <c r="Z2078" s="227" t="str">
        <f t="shared" si="75"/>
        <v>Jedong RW 08 Wagir</v>
      </c>
      <c r="AA2078" s="276" t="e">
        <f>VLOOKUP(Logfile_S12[[#This Row],[DO number]],DO_DB!G:I,3,0)</f>
        <v>#N/A</v>
      </c>
      <c r="AB2078" s="331" t="e">
        <f>EXACT(Logfile_S12[[#This Row],[date pick]],Logfile_S12[[#This Row],[Date]])</f>
        <v>#N/A</v>
      </c>
      <c r="AC20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79" spans="1:29" ht="14.5" hidden="1">
      <c r="A2079" s="220" t="str">
        <f t="shared" si="74"/>
        <v>2075</v>
      </c>
      <c r="B2079" s="221"/>
      <c r="C2079" s="221" t="s">
        <v>3313</v>
      </c>
      <c r="D2079" s="221" t="s">
        <v>3809</v>
      </c>
      <c r="E2079" s="221" t="s">
        <v>3295</v>
      </c>
      <c r="F2079" s="221" t="s">
        <v>3299</v>
      </c>
      <c r="G2079" s="222">
        <v>45249</v>
      </c>
      <c r="H2079" s="223">
        <v>15.291666666666666</v>
      </c>
      <c r="I2079" s="221" t="s">
        <v>4919</v>
      </c>
      <c r="J2079" s="221" t="s">
        <v>3023</v>
      </c>
      <c r="K2079" s="224" t="s">
        <v>3071</v>
      </c>
      <c r="L2079" s="225" t="str">
        <f>VLOOKUP(Logfile_S12[[#This Row],[Material Name]],Sheet2!B:C,2,0)</f>
        <v>ZTE1003</v>
      </c>
      <c r="M2079" s="225" t="str">
        <f>_xlfn.XLOOKUP(Logfile_S12[[#This Row],[Material Name]],Sum_WH!E:E,Sum_WH!F:F,"",0)</f>
        <v>Pcs</v>
      </c>
      <c r="N2079" s="221">
        <v>7</v>
      </c>
      <c r="O2079" s="221" t="s">
        <v>3314</v>
      </c>
      <c r="P2079" s="221" t="s">
        <v>3369</v>
      </c>
      <c r="Q2079" s="221">
        <v>0</v>
      </c>
      <c r="R2079" s="221" t="s">
        <v>3147</v>
      </c>
      <c r="S2079" s="221"/>
      <c r="T2079" s="221"/>
      <c r="U2079" s="221"/>
      <c r="V2079" s="221"/>
      <c r="W2079" s="221"/>
      <c r="X2079" s="221" t="s">
        <v>3528</v>
      </c>
      <c r="Y2079" s="227"/>
      <c r="Z2079" s="227" t="str">
        <f t="shared" si="75"/>
        <v>JOMBANG</v>
      </c>
      <c r="AA2079" s="276" t="e">
        <f>VLOOKUP(Logfile_S12[[#This Row],[DO number]],DO_DB!G:I,3,0)</f>
        <v>#N/A</v>
      </c>
      <c r="AB2079" s="331" t="e">
        <f>EXACT(Logfile_S12[[#This Row],[date pick]],Logfile_S12[[#This Row],[Date]])</f>
        <v>#N/A</v>
      </c>
      <c r="AC20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80" spans="1:29" ht="14.5" hidden="1">
      <c r="A2080" s="220" t="str">
        <f t="shared" si="74"/>
        <v>2076</v>
      </c>
      <c r="B2080" s="221"/>
      <c r="C2080" s="221" t="s">
        <v>49</v>
      </c>
      <c r="D2080" s="221" t="s">
        <v>3810</v>
      </c>
      <c r="E2080" s="221" t="s">
        <v>3295</v>
      </c>
      <c r="F2080" s="221" t="s">
        <v>3299</v>
      </c>
      <c r="G2080" s="222">
        <v>45251</v>
      </c>
      <c r="H2080" s="223">
        <v>0.63472222222222219</v>
      </c>
      <c r="I2080" s="221" t="s">
        <v>4916</v>
      </c>
      <c r="J2080" s="221" t="s">
        <v>3023</v>
      </c>
      <c r="K2080" s="224" t="s">
        <v>3071</v>
      </c>
      <c r="L2080" s="225" t="str">
        <f>VLOOKUP(Logfile_S12[[#This Row],[Material Name]],Sheet2!B:C,2,0)</f>
        <v>ZTE1003</v>
      </c>
      <c r="M2080" s="225" t="str">
        <f>_xlfn.XLOOKUP(Logfile_S12[[#This Row],[Material Name]],Sum_WH!E:E,Sum_WH!F:F,"",0)</f>
        <v>Pcs</v>
      </c>
      <c r="N2080" s="221">
        <v>7</v>
      </c>
      <c r="O2080" s="221" t="s">
        <v>172</v>
      </c>
      <c r="P2080" s="221" t="s">
        <v>3319</v>
      </c>
      <c r="Q2080" s="221"/>
      <c r="R2080" s="221"/>
      <c r="S2080" s="221"/>
      <c r="T2080" s="221" t="s">
        <v>3332</v>
      </c>
      <c r="U2080" s="221">
        <v>0</v>
      </c>
      <c r="V2080" s="221" t="s">
        <v>3333</v>
      </c>
      <c r="W2080" s="221" t="s">
        <v>3572</v>
      </c>
      <c r="X2080" s="221"/>
      <c r="Y2080" s="227"/>
      <c r="Z2080" s="227" t="str">
        <f t="shared" si="75"/>
        <v>Pandan Landung RW 03 Wagir</v>
      </c>
      <c r="AA2080" s="276" t="e">
        <f>VLOOKUP(Logfile_S12[[#This Row],[DO number]],DO_DB!G:I,3,0)</f>
        <v>#N/A</v>
      </c>
      <c r="AB2080" s="331" t="e">
        <f>EXACT(Logfile_S12[[#This Row],[date pick]],Logfile_S12[[#This Row],[Date]])</f>
        <v>#N/A</v>
      </c>
      <c r="AC20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81" spans="1:29" ht="14.5" hidden="1">
      <c r="A2081" s="220" t="str">
        <f t="shared" si="74"/>
        <v>2077</v>
      </c>
      <c r="B2081" s="221"/>
      <c r="C2081" s="221" t="s">
        <v>49</v>
      </c>
      <c r="D2081" s="221" t="s">
        <v>3814</v>
      </c>
      <c r="E2081" s="221" t="s">
        <v>3295</v>
      </c>
      <c r="F2081" s="221" t="s">
        <v>3299</v>
      </c>
      <c r="G2081" s="222">
        <v>45255</v>
      </c>
      <c r="H2081" s="223">
        <v>0.63472222222222219</v>
      </c>
      <c r="I2081" s="221" t="s">
        <v>4916</v>
      </c>
      <c r="J2081" s="221" t="s">
        <v>3023</v>
      </c>
      <c r="K2081" s="224" t="s">
        <v>3071</v>
      </c>
      <c r="L2081" s="225" t="str">
        <f>VLOOKUP(Logfile_S12[[#This Row],[Material Name]],Sheet2!B:C,2,0)</f>
        <v>ZTE1003</v>
      </c>
      <c r="M2081" s="225" t="str">
        <f>_xlfn.XLOOKUP(Logfile_S12[[#This Row],[Material Name]],Sum_WH!E:E,Sum_WH!F:F,"",0)</f>
        <v>Pcs</v>
      </c>
      <c r="N2081" s="221">
        <v>3</v>
      </c>
      <c r="O2081" s="221" t="s">
        <v>468</v>
      </c>
      <c r="P2081" s="221" t="s">
        <v>469</v>
      </c>
      <c r="Q2081" s="221"/>
      <c r="R2081" s="221"/>
      <c r="S2081" s="221"/>
      <c r="T2081" s="221" t="s">
        <v>3346</v>
      </c>
      <c r="U2081" s="221">
        <v>0</v>
      </c>
      <c r="V2081" s="221" t="s">
        <v>3347</v>
      </c>
      <c r="W2081" s="221" t="s">
        <v>3334</v>
      </c>
      <c r="X2081" s="221"/>
      <c r="Y2081" s="227"/>
      <c r="Z2081" s="227" t="str">
        <f t="shared" si="75"/>
        <v>Jedong RW 07 Wagir</v>
      </c>
      <c r="AA2081" s="276" t="e">
        <f>VLOOKUP(Logfile_S12[[#This Row],[DO number]],DO_DB!G:I,3,0)</f>
        <v>#N/A</v>
      </c>
      <c r="AB2081" s="331" t="e">
        <f>EXACT(Logfile_S12[[#This Row],[date pick]],Logfile_S12[[#This Row],[Date]])</f>
        <v>#N/A</v>
      </c>
      <c r="AC20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82" spans="1:29" ht="14.5" hidden="1">
      <c r="A2082" s="220" t="str">
        <f t="shared" si="74"/>
        <v>2078</v>
      </c>
      <c r="B2082" s="221">
        <v>1</v>
      </c>
      <c r="C2082" s="221" t="s">
        <v>48</v>
      </c>
      <c r="D2082" s="221" t="s">
        <v>4485</v>
      </c>
      <c r="E2082" s="221" t="s">
        <v>3295</v>
      </c>
      <c r="F2082" s="221" t="s">
        <v>3299</v>
      </c>
      <c r="G2082" s="222">
        <v>45266</v>
      </c>
      <c r="H2082" s="223">
        <v>0.87270833333333331</v>
      </c>
      <c r="I2082" s="221" t="s">
        <v>3017</v>
      </c>
      <c r="J2082" s="221" t="s">
        <v>3023</v>
      </c>
      <c r="K2082" s="224" t="s">
        <v>3071</v>
      </c>
      <c r="L2082" s="225" t="str">
        <f>VLOOKUP(Logfile_S12[[#This Row],[Material Name]],Sheet2!B:C,2,0)</f>
        <v>ZTE1003</v>
      </c>
      <c r="M2082" s="225" t="str">
        <f>_xlfn.XLOOKUP(Logfile_S12[[#This Row],[Material Name]],Sum_WH!E:E,Sum_WH!F:F,"",0)</f>
        <v>Pcs</v>
      </c>
      <c r="N2082" s="221">
        <v>3</v>
      </c>
      <c r="O2082" s="221" t="s">
        <v>172</v>
      </c>
      <c r="P2082" s="221" t="s">
        <v>173</v>
      </c>
      <c r="Q2082" s="221" t="s">
        <v>174</v>
      </c>
      <c r="R2082" s="221" t="s">
        <v>175</v>
      </c>
      <c r="S2082" s="221"/>
      <c r="T2082" s="221"/>
      <c r="U2082" s="221"/>
      <c r="V2082" s="221"/>
      <c r="W2082" s="221"/>
      <c r="X2082" s="221"/>
      <c r="Y2082" s="227"/>
      <c r="Z2082" s="227" t="str">
        <f t="shared" si="75"/>
        <v>Pandanlandung RW 03 Wagir</v>
      </c>
      <c r="AA2082" s="276">
        <f>VLOOKUP(Logfile_S12[[#This Row],[DO number]],DO_DB!G:I,3,0)</f>
        <v>45185</v>
      </c>
      <c r="AB2082" s="331" t="b">
        <f>EXACT(Logfile_S12[[#This Row],[date pick]],Logfile_S12[[#This Row],[Date]])</f>
        <v>0</v>
      </c>
      <c r="AC20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83" spans="1:29" ht="14.5" hidden="1">
      <c r="A2083" s="220" t="str">
        <f t="shared" si="74"/>
        <v>2079</v>
      </c>
      <c r="B2083" s="221"/>
      <c r="C2083" s="221" t="s">
        <v>48</v>
      </c>
      <c r="D2083" s="221" t="s">
        <v>3832</v>
      </c>
      <c r="E2083" s="221" t="s">
        <v>3295</v>
      </c>
      <c r="F2083" s="221" t="s">
        <v>3299</v>
      </c>
      <c r="G2083" s="222">
        <v>45268</v>
      </c>
      <c r="H2083" s="223">
        <v>15.291666666666666</v>
      </c>
      <c r="I2083" s="221" t="s">
        <v>3586</v>
      </c>
      <c r="J2083" s="221" t="s">
        <v>3023</v>
      </c>
      <c r="K2083" s="224" t="s">
        <v>3071</v>
      </c>
      <c r="L2083" s="225" t="str">
        <f>VLOOKUP(Logfile_S12[[#This Row],[Material Name]],Sheet2!B:C,2,0)</f>
        <v>ZTE1003</v>
      </c>
      <c r="M2083" s="225" t="str">
        <f>_xlfn.XLOOKUP(Logfile_S12[[#This Row],[Material Name]],Sum_WH!E:E,Sum_WH!F:F,"",0)</f>
        <v>Pcs</v>
      </c>
      <c r="N2083" s="221">
        <v>2</v>
      </c>
      <c r="O2083" s="221" t="s">
        <v>164</v>
      </c>
      <c r="P2083" s="221" t="s">
        <v>3320</v>
      </c>
      <c r="Q2083" s="221" t="s">
        <v>170</v>
      </c>
      <c r="R2083" s="221" t="s">
        <v>171</v>
      </c>
      <c r="S2083" s="221"/>
      <c r="T2083" s="221"/>
      <c r="U2083" s="221"/>
      <c r="V2083" s="221"/>
      <c r="W2083" s="221"/>
      <c r="X2083" s="221" t="s">
        <v>3600</v>
      </c>
      <c r="Y2083" s="227"/>
      <c r="Z2083" s="227" t="str">
        <f t="shared" si="75"/>
        <v>Pandan Landung RW 04 Wagir</v>
      </c>
      <c r="AA2083" s="276">
        <f>VLOOKUP(Logfile_S12[[#This Row],[DO number]],DO_DB!G:I,3,0)</f>
        <v>45185</v>
      </c>
      <c r="AB2083" s="331" t="b">
        <f>EXACT(Logfile_S12[[#This Row],[date pick]],Logfile_S12[[#This Row],[Date]])</f>
        <v>0</v>
      </c>
      <c r="AC20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84" spans="1:29" ht="14.5" hidden="1">
      <c r="A2084" s="220" t="str">
        <f t="shared" si="74"/>
        <v>2080</v>
      </c>
      <c r="B2084" s="221"/>
      <c r="C2084" s="221" t="s">
        <v>49</v>
      </c>
      <c r="D2084" s="221" t="s">
        <v>3835</v>
      </c>
      <c r="E2084" s="221" t="s">
        <v>3295</v>
      </c>
      <c r="F2084" s="221" t="s">
        <v>3299</v>
      </c>
      <c r="G2084" s="222">
        <v>45275</v>
      </c>
      <c r="H2084" s="223">
        <v>0.44097222222222227</v>
      </c>
      <c r="I2084" s="221" t="s">
        <v>4916</v>
      </c>
      <c r="J2084" s="221" t="s">
        <v>3023</v>
      </c>
      <c r="K2084" s="224" t="s">
        <v>3071</v>
      </c>
      <c r="L2084" s="225" t="str">
        <f>VLOOKUP(Logfile_S12[[#This Row],[Material Name]],Sheet2!B:C,2,0)</f>
        <v>ZTE1003</v>
      </c>
      <c r="M2084" s="225" t="str">
        <f>_xlfn.XLOOKUP(Logfile_S12[[#This Row],[Material Name]],Sum_WH!E:E,Sum_WH!F:F,"",0)</f>
        <v>Pcs</v>
      </c>
      <c r="N2084" s="221">
        <v>1</v>
      </c>
      <c r="O2084" s="221" t="s">
        <v>328</v>
      </c>
      <c r="P2084" s="221" t="s">
        <v>329</v>
      </c>
      <c r="Q2084" s="221"/>
      <c r="R2084" s="221"/>
      <c r="S2084" s="221"/>
      <c r="T2084" s="221" t="s">
        <v>3351</v>
      </c>
      <c r="U2084" s="221">
        <v>0</v>
      </c>
      <c r="V2084" s="221" t="s">
        <v>3352</v>
      </c>
      <c r="W2084" s="221" t="s">
        <v>3353</v>
      </c>
      <c r="X2084" s="221"/>
      <c r="Y2084" s="227"/>
      <c r="Z2084" s="227" t="str">
        <f t="shared" si="75"/>
        <v>Sukodadi RW 01 Wagir</v>
      </c>
      <c r="AA2084" s="276" t="e">
        <f>VLOOKUP(Logfile_S12[[#This Row],[DO number]],DO_DB!G:I,3,0)</f>
        <v>#N/A</v>
      </c>
      <c r="AB2084" s="331" t="e">
        <f>EXACT(Logfile_S12[[#This Row],[date pick]],Logfile_S12[[#This Row],[Date]])</f>
        <v>#N/A</v>
      </c>
      <c r="AC20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85" spans="1:29" ht="14.5" hidden="1">
      <c r="A2085" s="220" t="str">
        <f t="shared" si="74"/>
        <v>2081</v>
      </c>
      <c r="B2085" s="221"/>
      <c r="C2085" s="221" t="s">
        <v>48</v>
      </c>
      <c r="D2085" s="221" t="s">
        <v>3851</v>
      </c>
      <c r="E2085" s="221" t="s">
        <v>3295</v>
      </c>
      <c r="F2085" s="221" t="s">
        <v>3299</v>
      </c>
      <c r="G2085" s="222">
        <v>45287</v>
      </c>
      <c r="H2085" s="223">
        <v>15.291666666666666</v>
      </c>
      <c r="I2085" s="221" t="s">
        <v>3586</v>
      </c>
      <c r="J2085" s="221" t="s">
        <v>3023</v>
      </c>
      <c r="K2085" s="224" t="s">
        <v>3071</v>
      </c>
      <c r="L2085" s="225" t="str">
        <f>VLOOKUP(Logfile_S12[[#This Row],[Material Name]],Sheet2!B:C,2,0)</f>
        <v>ZTE1003</v>
      </c>
      <c r="M2085" s="225" t="str">
        <f>_xlfn.XLOOKUP(Logfile_S12[[#This Row],[Material Name]],Sum_WH!E:E,Sum_WH!F:F,"",0)</f>
        <v>Pcs</v>
      </c>
      <c r="N2085" s="221">
        <v>2</v>
      </c>
      <c r="O2085" s="221" t="s">
        <v>164</v>
      </c>
      <c r="P2085" s="221" t="s">
        <v>3320</v>
      </c>
      <c r="Q2085" s="221" t="s">
        <v>170</v>
      </c>
      <c r="R2085" s="221" t="s">
        <v>171</v>
      </c>
      <c r="S2085" s="221"/>
      <c r="T2085" s="221"/>
      <c r="U2085" s="221"/>
      <c r="V2085" s="221"/>
      <c r="W2085" s="221"/>
      <c r="X2085" s="221" t="s">
        <v>3217</v>
      </c>
      <c r="Y2085" s="227"/>
      <c r="Z2085" s="227" t="str">
        <f t="shared" si="75"/>
        <v>Pandan Landung RW 04 Wagir</v>
      </c>
      <c r="AA2085" s="276">
        <f>VLOOKUP(Logfile_S12[[#This Row],[DO number]],DO_DB!G:I,3,0)</f>
        <v>45185</v>
      </c>
      <c r="AB2085" s="331" t="b">
        <f>EXACT(Logfile_S12[[#This Row],[date pick]],Logfile_S12[[#This Row],[Date]])</f>
        <v>0</v>
      </c>
      <c r="AC20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86" spans="1:29" ht="14.5" hidden="1">
      <c r="A2086" s="220" t="str">
        <f t="shared" si="74"/>
        <v>2082</v>
      </c>
      <c r="B2086" s="221"/>
      <c r="C2086" s="221" t="s">
        <v>48</v>
      </c>
      <c r="D2086" s="221" t="s">
        <v>3867</v>
      </c>
      <c r="E2086" s="221" t="s">
        <v>3295</v>
      </c>
      <c r="F2086" s="221" t="s">
        <v>3299</v>
      </c>
      <c r="G2086" s="222">
        <v>45307</v>
      </c>
      <c r="H2086" s="223">
        <v>15.291666666666666</v>
      </c>
      <c r="I2086" s="221" t="s">
        <v>37</v>
      </c>
      <c r="J2086" s="221" t="s">
        <v>3023</v>
      </c>
      <c r="K2086" s="224" t="s">
        <v>3071</v>
      </c>
      <c r="L2086" s="225" t="str">
        <f>VLOOKUP(Logfile_S12[[#This Row],[Material Name]],Sheet2!B:C,2,0)</f>
        <v>ZTE1003</v>
      </c>
      <c r="M2086" s="225" t="str">
        <f>_xlfn.XLOOKUP(Logfile_S12[[#This Row],[Material Name]],Sum_WH!E:E,Sum_WH!F:F,"",0)</f>
        <v>Pcs</v>
      </c>
      <c r="N2086" s="221">
        <v>9</v>
      </c>
      <c r="O2086" s="221" t="s">
        <v>834</v>
      </c>
      <c r="P2086" s="221" t="s">
        <v>3335</v>
      </c>
      <c r="Q2086" s="221" t="s">
        <v>836</v>
      </c>
      <c r="R2086" s="221" t="s">
        <v>837</v>
      </c>
      <c r="S2086" s="221"/>
      <c r="T2086" s="221"/>
      <c r="U2086" s="221"/>
      <c r="V2086" s="221"/>
      <c r="W2086" s="221"/>
      <c r="X2086" s="221"/>
      <c r="Y2086" s="227"/>
      <c r="Z2086" s="227" t="str">
        <f t="shared" si="75"/>
        <v>HUBFEEDER BATURETNO RW 02</v>
      </c>
      <c r="AA2086" s="276">
        <f>VLOOKUP(Logfile_S12[[#This Row],[DO number]],DO_DB!G:I,3,0)</f>
        <v>45307</v>
      </c>
      <c r="AB2086" s="331" t="b">
        <f>EXACT(Logfile_S12[[#This Row],[date pick]],Logfile_S12[[#This Row],[Date]])</f>
        <v>1</v>
      </c>
      <c r="AC20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87" spans="1:29" ht="14.5" hidden="1">
      <c r="A2087" s="220" t="str">
        <f t="shared" si="74"/>
        <v>2083</v>
      </c>
      <c r="B2087" s="221"/>
      <c r="C2087" s="221" t="s">
        <v>48</v>
      </c>
      <c r="D2087" s="221" t="s">
        <v>3867</v>
      </c>
      <c r="E2087" s="221" t="s">
        <v>3295</v>
      </c>
      <c r="F2087" s="221" t="s">
        <v>3299</v>
      </c>
      <c r="G2087" s="222">
        <v>45307</v>
      </c>
      <c r="H2087" s="223">
        <v>15.291666666666666</v>
      </c>
      <c r="I2087" s="221" t="s">
        <v>37</v>
      </c>
      <c r="J2087" s="221" t="s">
        <v>3023</v>
      </c>
      <c r="K2087" s="224" t="s">
        <v>3071</v>
      </c>
      <c r="L2087" s="225" t="str">
        <f>VLOOKUP(Logfile_S12[[#This Row],[Material Name]],Sheet2!B:C,2,0)</f>
        <v>ZTE1003</v>
      </c>
      <c r="M2087" s="225" t="str">
        <f>_xlfn.XLOOKUP(Logfile_S12[[#This Row],[Material Name]],Sum_WH!E:E,Sum_WH!F:F,"",0)</f>
        <v>Pcs</v>
      </c>
      <c r="N2087" s="221">
        <v>10</v>
      </c>
      <c r="O2087" s="221" t="s">
        <v>742</v>
      </c>
      <c r="P2087" s="221" t="s">
        <v>743</v>
      </c>
      <c r="Q2087" s="221" t="s">
        <v>832</v>
      </c>
      <c r="R2087" s="221" t="s">
        <v>833</v>
      </c>
      <c r="S2087" s="221"/>
      <c r="T2087" s="221"/>
      <c r="U2087" s="221"/>
      <c r="V2087" s="221"/>
      <c r="W2087" s="221"/>
      <c r="X2087" s="221"/>
      <c r="Y2087" s="227"/>
      <c r="Z2087" s="227" t="str">
        <f t="shared" si="75"/>
        <v>Baturetno RW 03 Singosari</v>
      </c>
      <c r="AA2087" s="276">
        <f>VLOOKUP(Logfile_S12[[#This Row],[DO number]],DO_DB!G:I,3,0)</f>
        <v>45307</v>
      </c>
      <c r="AB2087" s="331" t="b">
        <f>EXACT(Logfile_S12[[#This Row],[date pick]],Logfile_S12[[#This Row],[Date]])</f>
        <v>1</v>
      </c>
      <c r="AC20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88" spans="1:29" ht="14.5" hidden="1">
      <c r="A2088" s="220" t="str">
        <f t="shared" si="74"/>
        <v>2084</v>
      </c>
      <c r="B2088" s="221"/>
      <c r="C2088" s="221" t="s">
        <v>49</v>
      </c>
      <c r="D2088" s="221" t="s">
        <v>3871</v>
      </c>
      <c r="E2088" s="221" t="s">
        <v>3295</v>
      </c>
      <c r="F2088" s="221" t="s">
        <v>3299</v>
      </c>
      <c r="G2088" s="222">
        <v>45308</v>
      </c>
      <c r="H2088" s="223">
        <v>0.43541666666666662</v>
      </c>
      <c r="I2088" s="221" t="s">
        <v>4916</v>
      </c>
      <c r="J2088" s="221" t="s">
        <v>3023</v>
      </c>
      <c r="K2088" s="224" t="s">
        <v>3071</v>
      </c>
      <c r="L2088" s="225" t="str">
        <f>VLOOKUP(Logfile_S12[[#This Row],[Material Name]],Sheet2!B:C,2,0)</f>
        <v>ZTE1003</v>
      </c>
      <c r="M2088" s="225" t="str">
        <f>_xlfn.XLOOKUP(Logfile_S12[[#This Row],[Material Name]],Sum_WH!E:E,Sum_WH!F:F,"",0)</f>
        <v>Pcs</v>
      </c>
      <c r="N2088" s="221">
        <v>2</v>
      </c>
      <c r="O2088" s="221" t="s">
        <v>738</v>
      </c>
      <c r="P2088" s="221" t="s">
        <v>3392</v>
      </c>
      <c r="Q2088" s="221"/>
      <c r="R2088" s="221"/>
      <c r="S2088" s="221"/>
      <c r="T2088" s="221" t="s">
        <v>3258</v>
      </c>
      <c r="U2088" s="221" t="s">
        <v>3228</v>
      </c>
      <c r="V2088" s="221" t="s">
        <v>3337</v>
      </c>
      <c r="W2088" s="221" t="s">
        <v>3338</v>
      </c>
      <c r="X2088" s="221"/>
      <c r="Y2088" s="227"/>
      <c r="Z2088" s="227" t="str">
        <f t="shared" si="75"/>
        <v xml:space="preserve">Baturetno RW 02 Singosari </v>
      </c>
      <c r="AA2088" s="276" t="e">
        <f>VLOOKUP(Logfile_S12[[#This Row],[DO number]],DO_DB!G:I,3,0)</f>
        <v>#N/A</v>
      </c>
      <c r="AB2088" s="331" t="e">
        <f>EXACT(Logfile_S12[[#This Row],[date pick]],Logfile_S12[[#This Row],[Date]])</f>
        <v>#N/A</v>
      </c>
      <c r="AC20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89" spans="1:29" ht="14.5" hidden="1">
      <c r="A2089" s="220" t="str">
        <f t="shared" si="74"/>
        <v>2085</v>
      </c>
      <c r="B2089" s="221"/>
      <c r="C2089" s="221" t="s">
        <v>49</v>
      </c>
      <c r="D2089" s="221" t="s">
        <v>3871</v>
      </c>
      <c r="E2089" s="221" t="s">
        <v>3295</v>
      </c>
      <c r="F2089" s="221" t="s">
        <v>3299</v>
      </c>
      <c r="G2089" s="222">
        <v>45308</v>
      </c>
      <c r="H2089" s="223">
        <v>0.43541666666666662</v>
      </c>
      <c r="I2089" s="221" t="s">
        <v>4916</v>
      </c>
      <c r="J2089" s="221" t="s">
        <v>3023</v>
      </c>
      <c r="K2089" s="224" t="s">
        <v>3071</v>
      </c>
      <c r="L2089" s="225" t="str">
        <f>VLOOKUP(Logfile_S12[[#This Row],[Material Name]],Sheet2!B:C,2,0)</f>
        <v>ZTE1003</v>
      </c>
      <c r="M2089" s="225" t="str">
        <f>_xlfn.XLOOKUP(Logfile_S12[[#This Row],[Material Name]],Sum_WH!E:E,Sum_WH!F:F,"",0)</f>
        <v>Pcs</v>
      </c>
      <c r="N2089" s="221">
        <v>6</v>
      </c>
      <c r="O2089" s="221" t="s">
        <v>742</v>
      </c>
      <c r="P2089" s="221" t="s">
        <v>743</v>
      </c>
      <c r="Q2089" s="221"/>
      <c r="R2089" s="221"/>
      <c r="S2089" s="221"/>
      <c r="T2089" s="221" t="s">
        <v>3258</v>
      </c>
      <c r="U2089" s="221" t="s">
        <v>3228</v>
      </c>
      <c r="V2089" s="221" t="s">
        <v>3337</v>
      </c>
      <c r="W2089" s="221" t="s">
        <v>3338</v>
      </c>
      <c r="X2089" s="221"/>
      <c r="Y2089" s="227"/>
      <c r="Z2089" s="227" t="str">
        <f t="shared" si="75"/>
        <v>Baturetno RW 03 Singosari</v>
      </c>
      <c r="AA2089" s="276" t="e">
        <f>VLOOKUP(Logfile_S12[[#This Row],[DO number]],DO_DB!G:I,3,0)</f>
        <v>#N/A</v>
      </c>
      <c r="AB2089" s="331" t="e">
        <f>EXACT(Logfile_S12[[#This Row],[date pick]],Logfile_S12[[#This Row],[Date]])</f>
        <v>#N/A</v>
      </c>
      <c r="AC20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90" spans="1:29" ht="14.5" hidden="1">
      <c r="A2090" s="220" t="str">
        <f t="shared" si="74"/>
        <v>2086</v>
      </c>
      <c r="B2090" s="221"/>
      <c r="C2090" s="221" t="s">
        <v>49</v>
      </c>
      <c r="D2090" s="221" t="s">
        <v>3879</v>
      </c>
      <c r="E2090" s="221" t="s">
        <v>3295</v>
      </c>
      <c r="F2090" s="221" t="s">
        <v>3299</v>
      </c>
      <c r="G2090" s="222">
        <v>45310</v>
      </c>
      <c r="H2090" s="223">
        <v>0.73333333333333339</v>
      </c>
      <c r="I2090" s="221" t="s">
        <v>4916</v>
      </c>
      <c r="J2090" s="221" t="s">
        <v>3023</v>
      </c>
      <c r="K2090" s="224" t="s">
        <v>3071</v>
      </c>
      <c r="L2090" s="225" t="str">
        <f>VLOOKUP(Logfile_S12[[#This Row],[Material Name]],Sheet2!B:C,2,0)</f>
        <v>ZTE1003</v>
      </c>
      <c r="M2090" s="225" t="str">
        <f>_xlfn.XLOOKUP(Logfile_S12[[#This Row],[Material Name]],Sum_WH!E:E,Sum_WH!F:F,"",0)</f>
        <v>Pcs</v>
      </c>
      <c r="N2090" s="221">
        <v>1</v>
      </c>
      <c r="O2090" s="221" t="s">
        <v>834</v>
      </c>
      <c r="P2090" s="221" t="s">
        <v>3335</v>
      </c>
      <c r="Q2090" s="221"/>
      <c r="R2090" s="221"/>
      <c r="S2090" s="221"/>
      <c r="T2090" s="221" t="s">
        <v>3258</v>
      </c>
      <c r="U2090" s="221" t="s">
        <v>3228</v>
      </c>
      <c r="V2090" s="221" t="s">
        <v>3337</v>
      </c>
      <c r="W2090" s="221" t="s">
        <v>3338</v>
      </c>
      <c r="X2090" s="221"/>
      <c r="Y2090" s="227"/>
      <c r="Z2090" s="227" t="str">
        <f t="shared" si="75"/>
        <v>HUBFEEDER BATURETNO RW 02</v>
      </c>
      <c r="AA2090" s="276" t="e">
        <f>VLOOKUP(Logfile_S12[[#This Row],[DO number]],DO_DB!G:I,3,0)</f>
        <v>#N/A</v>
      </c>
      <c r="AB2090" s="331" t="e">
        <f>EXACT(Logfile_S12[[#This Row],[date pick]],Logfile_S12[[#This Row],[Date]])</f>
        <v>#N/A</v>
      </c>
      <c r="AC20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91" spans="1:29" ht="14.5" hidden="1">
      <c r="A2091" s="220" t="str">
        <f t="shared" si="74"/>
        <v>2087</v>
      </c>
      <c r="B2091" s="221"/>
      <c r="C2091" s="221" t="s">
        <v>48</v>
      </c>
      <c r="D2091" s="221" t="s">
        <v>3880</v>
      </c>
      <c r="E2091" s="221" t="s">
        <v>3295</v>
      </c>
      <c r="F2091" s="221" t="s">
        <v>3299</v>
      </c>
      <c r="G2091" s="222">
        <v>45311</v>
      </c>
      <c r="H2091" s="223">
        <v>15.291666666666666</v>
      </c>
      <c r="I2091" s="221" t="s">
        <v>37</v>
      </c>
      <c r="J2091" s="221" t="s">
        <v>3023</v>
      </c>
      <c r="K2091" s="224" t="s">
        <v>3071</v>
      </c>
      <c r="L2091" s="225" t="str">
        <f>VLOOKUP(Logfile_S12[[#This Row],[Material Name]],Sheet2!B:C,2,0)</f>
        <v>ZTE1003</v>
      </c>
      <c r="M2091" s="225" t="str">
        <f>_xlfn.XLOOKUP(Logfile_S12[[#This Row],[Material Name]],Sum_WH!E:E,Sum_WH!F:F,"",0)</f>
        <v>Pcs</v>
      </c>
      <c r="N2091" s="221">
        <v>1</v>
      </c>
      <c r="O2091" s="221" t="s">
        <v>834</v>
      </c>
      <c r="P2091" s="221" t="s">
        <v>3335</v>
      </c>
      <c r="Q2091" s="221" t="s">
        <v>836</v>
      </c>
      <c r="R2091" s="221" t="s">
        <v>837</v>
      </c>
      <c r="S2091" s="221"/>
      <c r="T2091" s="221"/>
      <c r="U2091" s="221"/>
      <c r="V2091" s="221"/>
      <c r="W2091" s="221"/>
      <c r="X2091" s="221"/>
      <c r="Y2091" s="227"/>
      <c r="Z2091" s="227" t="str">
        <f t="shared" si="75"/>
        <v>HUBFEEDER BATURETNO RW 02</v>
      </c>
      <c r="AA2091" s="276">
        <f>VLOOKUP(Logfile_S12[[#This Row],[DO number]],DO_DB!G:I,3,0)</f>
        <v>45307</v>
      </c>
      <c r="AB2091" s="331" t="b">
        <f>EXACT(Logfile_S12[[#This Row],[date pick]],Logfile_S12[[#This Row],[Date]])</f>
        <v>0</v>
      </c>
      <c r="AC20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92" spans="1:29" ht="14.5" hidden="1">
      <c r="A2092" s="220" t="str">
        <f t="shared" si="74"/>
        <v>2088</v>
      </c>
      <c r="B2092" s="221"/>
      <c r="C2092" s="221" t="s">
        <v>49</v>
      </c>
      <c r="D2092" s="221" t="s">
        <v>3914</v>
      </c>
      <c r="E2092" s="221" t="s">
        <v>3295</v>
      </c>
      <c r="F2092" s="221" t="s">
        <v>3299</v>
      </c>
      <c r="G2092" s="222">
        <v>45329</v>
      </c>
      <c r="H2092" s="223">
        <v>0.94513888888888886</v>
      </c>
      <c r="I2092" s="221" t="s">
        <v>4916</v>
      </c>
      <c r="J2092" s="221" t="s">
        <v>3023</v>
      </c>
      <c r="K2092" s="224" t="s">
        <v>3071</v>
      </c>
      <c r="L2092" s="225" t="str">
        <f>VLOOKUP(Logfile_S12[[#This Row],[Material Name]],Sheet2!B:C,2,0)</f>
        <v>ZTE1003</v>
      </c>
      <c r="M2092" s="225" t="str">
        <f>_xlfn.XLOOKUP(Logfile_S12[[#This Row],[Material Name]],Sum_WH!E:E,Sum_WH!F:F,"",0)</f>
        <v>Pcs</v>
      </c>
      <c r="N2092" s="221">
        <v>2</v>
      </c>
      <c r="O2092" s="221" t="s">
        <v>834</v>
      </c>
      <c r="P2092" s="221" t="s">
        <v>3335</v>
      </c>
      <c r="Q2092" s="221"/>
      <c r="R2092" s="221"/>
      <c r="S2092" s="221"/>
      <c r="T2092" s="221" t="s">
        <v>3258</v>
      </c>
      <c r="U2092" s="221" t="s">
        <v>3228</v>
      </c>
      <c r="V2092" s="221" t="s">
        <v>3337</v>
      </c>
      <c r="W2092" s="221" t="s">
        <v>3338</v>
      </c>
      <c r="X2092" s="221"/>
      <c r="Y2092" s="227"/>
      <c r="Z2092" s="227" t="str">
        <f t="shared" si="75"/>
        <v>HUBFEEDER BATURETNO RW 02</v>
      </c>
      <c r="AA2092" s="276" t="e">
        <f>VLOOKUP(Logfile_S12[[#This Row],[DO number]],DO_DB!G:I,3,0)</f>
        <v>#N/A</v>
      </c>
      <c r="AB2092" s="331" t="e">
        <f>EXACT(Logfile_S12[[#This Row],[date pick]],Logfile_S12[[#This Row],[Date]])</f>
        <v>#N/A</v>
      </c>
      <c r="AC20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93" spans="1:29" ht="14.5" hidden="1">
      <c r="A2093" s="220" t="str">
        <f t="shared" si="74"/>
        <v>2089</v>
      </c>
      <c r="B2093" s="221"/>
      <c r="C2093" s="221" t="s">
        <v>49</v>
      </c>
      <c r="D2093" s="221" t="s">
        <v>3913</v>
      </c>
      <c r="E2093" s="221" t="s">
        <v>3295</v>
      </c>
      <c r="F2093" s="221" t="s">
        <v>3299</v>
      </c>
      <c r="G2093" s="222">
        <v>45329</v>
      </c>
      <c r="H2093" s="223">
        <v>7.5694444444444439E-2</v>
      </c>
      <c r="I2093" s="221" t="s">
        <v>4916</v>
      </c>
      <c r="J2093" s="221" t="s">
        <v>3023</v>
      </c>
      <c r="K2093" s="224" t="s">
        <v>3071</v>
      </c>
      <c r="L2093" s="225" t="str">
        <f>VLOOKUP(Logfile_S12[[#This Row],[Material Name]],Sheet2!B:C,2,0)</f>
        <v>ZTE1003</v>
      </c>
      <c r="M2093" s="225" t="str">
        <f>_xlfn.XLOOKUP(Logfile_S12[[#This Row],[Material Name]],Sum_WH!E:E,Sum_WH!F:F,"",0)</f>
        <v>Pcs</v>
      </c>
      <c r="N2093" s="221">
        <v>3</v>
      </c>
      <c r="O2093" s="221" t="s">
        <v>834</v>
      </c>
      <c r="P2093" s="221" t="s">
        <v>3335</v>
      </c>
      <c r="Q2093" s="221"/>
      <c r="R2093" s="221"/>
      <c r="S2093" s="221"/>
      <c r="T2093" s="221" t="s">
        <v>3258</v>
      </c>
      <c r="U2093" s="221" t="s">
        <v>3228</v>
      </c>
      <c r="V2093" s="221" t="s">
        <v>3337</v>
      </c>
      <c r="W2093" s="221" t="s">
        <v>3338</v>
      </c>
      <c r="X2093" s="221"/>
      <c r="Y2093" s="227"/>
      <c r="Z2093" s="227" t="str">
        <f t="shared" si="75"/>
        <v>HUBFEEDER BATURETNO RW 02</v>
      </c>
      <c r="AA2093" s="276" t="e">
        <f>VLOOKUP(Logfile_S12[[#This Row],[DO number]],DO_DB!G:I,3,0)</f>
        <v>#N/A</v>
      </c>
      <c r="AB2093" s="331" t="e">
        <f>EXACT(Logfile_S12[[#This Row],[date pick]],Logfile_S12[[#This Row],[Date]])</f>
        <v>#N/A</v>
      </c>
      <c r="AC20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94" spans="1:29" ht="14.5" hidden="1">
      <c r="A2094" s="220" t="str">
        <f t="shared" si="74"/>
        <v>2090</v>
      </c>
      <c r="B2094" s="221"/>
      <c r="C2094" s="221" t="s">
        <v>49</v>
      </c>
      <c r="D2094" s="221" t="s">
        <v>3929</v>
      </c>
      <c r="E2094" s="221" t="s">
        <v>3295</v>
      </c>
      <c r="F2094" s="221" t="s">
        <v>3299</v>
      </c>
      <c r="G2094" s="222">
        <v>45341</v>
      </c>
      <c r="H2094" s="223">
        <v>0.63194444444444442</v>
      </c>
      <c r="I2094" s="221" t="s">
        <v>4916</v>
      </c>
      <c r="J2094" s="221" t="s">
        <v>3023</v>
      </c>
      <c r="K2094" s="224" t="s">
        <v>3071</v>
      </c>
      <c r="L2094" s="225" t="str">
        <f>VLOOKUP(Logfile_S12[[#This Row],[Material Name]],Sheet2!B:C,2,0)</f>
        <v>ZTE1003</v>
      </c>
      <c r="M2094" s="225" t="str">
        <f>_xlfn.XLOOKUP(Logfile_S12[[#This Row],[Material Name]],Sum_WH!E:E,Sum_WH!F:F,"",0)</f>
        <v>Pcs</v>
      </c>
      <c r="N2094" s="221">
        <v>2</v>
      </c>
      <c r="O2094" s="221" t="s">
        <v>834</v>
      </c>
      <c r="P2094" s="221" t="s">
        <v>3335</v>
      </c>
      <c r="Q2094" s="221"/>
      <c r="R2094" s="221"/>
      <c r="S2094" s="221"/>
      <c r="T2094" s="221" t="s">
        <v>3258</v>
      </c>
      <c r="U2094" s="221" t="s">
        <v>3228</v>
      </c>
      <c r="V2094" s="221" t="s">
        <v>3337</v>
      </c>
      <c r="W2094" s="221" t="s">
        <v>3338</v>
      </c>
      <c r="X2094" s="221"/>
      <c r="Y2094" s="227"/>
      <c r="Z2094" s="227" t="str">
        <f t="shared" si="75"/>
        <v>HUBFEEDER BATURETNO RW 02</v>
      </c>
      <c r="AA2094" s="276" t="e">
        <f>VLOOKUP(Logfile_S12[[#This Row],[DO number]],DO_DB!G:I,3,0)</f>
        <v>#N/A</v>
      </c>
      <c r="AB2094" s="331" t="e">
        <f>EXACT(Logfile_S12[[#This Row],[date pick]],Logfile_S12[[#This Row],[Date]])</f>
        <v>#N/A</v>
      </c>
      <c r="AC20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95" spans="1:29" ht="14.5" hidden="1">
      <c r="A2095" s="220" t="str">
        <f t="shared" si="74"/>
        <v>2091</v>
      </c>
      <c r="B2095" s="221"/>
      <c r="C2095" s="221" t="s">
        <v>49</v>
      </c>
      <c r="D2095" s="221" t="s">
        <v>3934</v>
      </c>
      <c r="E2095" s="221" t="s">
        <v>3295</v>
      </c>
      <c r="F2095" s="221" t="s">
        <v>3299</v>
      </c>
      <c r="G2095" s="222">
        <v>45342</v>
      </c>
      <c r="H2095" s="223">
        <v>0.69861111111111107</v>
      </c>
      <c r="I2095" s="221" t="s">
        <v>4916</v>
      </c>
      <c r="J2095" s="221" t="s">
        <v>3023</v>
      </c>
      <c r="K2095" s="224" t="s">
        <v>3071</v>
      </c>
      <c r="L2095" s="225" t="str">
        <f>VLOOKUP(Logfile_S12[[#This Row],[Material Name]],Sheet2!B:C,2,0)</f>
        <v>ZTE1003</v>
      </c>
      <c r="M2095" s="225" t="str">
        <f>_xlfn.XLOOKUP(Logfile_S12[[#This Row],[Material Name]],Sum_WH!E:E,Sum_WH!F:F,"",0)</f>
        <v>Pcs</v>
      </c>
      <c r="N2095" s="221">
        <v>2</v>
      </c>
      <c r="O2095" s="221" t="s">
        <v>921</v>
      </c>
      <c r="P2095" s="221" t="s">
        <v>922</v>
      </c>
      <c r="Q2095" s="221"/>
      <c r="R2095" s="221"/>
      <c r="S2095" s="221"/>
      <c r="T2095" s="221" t="s">
        <v>3363</v>
      </c>
      <c r="U2095" s="221" t="s">
        <v>3228</v>
      </c>
      <c r="V2095" s="221" t="s">
        <v>3364</v>
      </c>
      <c r="W2095" s="221" t="s">
        <v>3365</v>
      </c>
      <c r="X2095" s="221"/>
      <c r="Y2095" s="227"/>
      <c r="Z2095" s="227" t="str">
        <f t="shared" si="75"/>
        <v>Bumiayu RW 03 Kedungkandang</v>
      </c>
      <c r="AA2095" s="276" t="e">
        <f>VLOOKUP(Logfile_S12[[#This Row],[DO number]],DO_DB!G:I,3,0)</f>
        <v>#N/A</v>
      </c>
      <c r="AB2095" s="331" t="e">
        <f>EXACT(Logfile_S12[[#This Row],[date pick]],Logfile_S12[[#This Row],[Date]])</f>
        <v>#N/A</v>
      </c>
      <c r="AC20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96" spans="1:29" ht="14.5" hidden="1">
      <c r="A2096" s="220" t="str">
        <f t="shared" si="74"/>
        <v>2092</v>
      </c>
      <c r="B2096" s="221"/>
      <c r="C2096" s="221" t="s">
        <v>49</v>
      </c>
      <c r="D2096" s="221" t="s">
        <v>3936</v>
      </c>
      <c r="E2096" s="221" t="s">
        <v>3295</v>
      </c>
      <c r="F2096" s="221" t="s">
        <v>3299</v>
      </c>
      <c r="G2096" s="222">
        <v>45343</v>
      </c>
      <c r="H2096" s="223">
        <v>0.68055555555555547</v>
      </c>
      <c r="I2096" s="221" t="s">
        <v>4916</v>
      </c>
      <c r="J2096" s="221" t="s">
        <v>3023</v>
      </c>
      <c r="K2096" s="224" t="s">
        <v>3071</v>
      </c>
      <c r="L2096" s="225" t="str">
        <f>VLOOKUP(Logfile_S12[[#This Row],[Material Name]],Sheet2!B:C,2,0)</f>
        <v>ZTE1003</v>
      </c>
      <c r="M2096" s="225" t="str">
        <f>_xlfn.XLOOKUP(Logfile_S12[[#This Row],[Material Name]],Sum_WH!E:E,Sum_WH!F:F,"",0)</f>
        <v>Pcs</v>
      </c>
      <c r="N2096" s="221">
        <v>1</v>
      </c>
      <c r="O2096" s="221" t="s">
        <v>838</v>
      </c>
      <c r="P2096" s="221" t="s">
        <v>3361</v>
      </c>
      <c r="Q2096" s="221"/>
      <c r="R2096" s="221"/>
      <c r="S2096" s="221"/>
      <c r="T2096" s="221" t="s">
        <v>3258</v>
      </c>
      <c r="U2096" s="221" t="s">
        <v>3228</v>
      </c>
      <c r="V2096" s="221" t="s">
        <v>3337</v>
      </c>
      <c r="W2096" s="221" t="s">
        <v>3338</v>
      </c>
      <c r="X2096" s="221"/>
      <c r="Y2096" s="227"/>
      <c r="Z2096" s="227" t="str">
        <f t="shared" si="75"/>
        <v>TAMANHARJO RW 04 SINGOSARI</v>
      </c>
      <c r="AA2096" s="276" t="e">
        <f>VLOOKUP(Logfile_S12[[#This Row],[DO number]],DO_DB!G:I,3,0)</f>
        <v>#N/A</v>
      </c>
      <c r="AB2096" s="331" t="e">
        <f>EXACT(Logfile_S12[[#This Row],[date pick]],Logfile_S12[[#This Row],[Date]])</f>
        <v>#N/A</v>
      </c>
      <c r="AC20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97" spans="1:29" ht="14.5" hidden="1">
      <c r="A2097" s="220" t="str">
        <f t="shared" si="74"/>
        <v>2093</v>
      </c>
      <c r="B2097" s="221"/>
      <c r="C2097" s="221" t="s">
        <v>49</v>
      </c>
      <c r="D2097" s="221" t="s">
        <v>3937</v>
      </c>
      <c r="E2097" s="221" t="s">
        <v>3295</v>
      </c>
      <c r="F2097" s="221" t="s">
        <v>3299</v>
      </c>
      <c r="G2097" s="222">
        <v>45343</v>
      </c>
      <c r="H2097" s="223">
        <v>0.71319444444444446</v>
      </c>
      <c r="I2097" s="221" t="s">
        <v>4916</v>
      </c>
      <c r="J2097" s="221" t="s">
        <v>3023</v>
      </c>
      <c r="K2097" s="224" t="s">
        <v>3071</v>
      </c>
      <c r="L2097" s="225" t="str">
        <f>VLOOKUP(Logfile_S12[[#This Row],[Material Name]],Sheet2!B:C,2,0)</f>
        <v>ZTE1003</v>
      </c>
      <c r="M2097" s="225" t="str">
        <f>_xlfn.XLOOKUP(Logfile_S12[[#This Row],[Material Name]],Sum_WH!E:E,Sum_WH!F:F,"",0)</f>
        <v>Pcs</v>
      </c>
      <c r="N2097" s="221">
        <v>2</v>
      </c>
      <c r="O2097" s="221" t="s">
        <v>921</v>
      </c>
      <c r="P2097" s="221" t="s">
        <v>922</v>
      </c>
      <c r="Q2097" s="221"/>
      <c r="R2097" s="221"/>
      <c r="S2097" s="221"/>
      <c r="T2097" s="221" t="s">
        <v>3363</v>
      </c>
      <c r="U2097" s="221" t="s">
        <v>3228</v>
      </c>
      <c r="V2097" s="221" t="s">
        <v>3364</v>
      </c>
      <c r="W2097" s="221" t="s">
        <v>3365</v>
      </c>
      <c r="X2097" s="221"/>
      <c r="Y2097" s="227"/>
      <c r="Z2097" s="227" t="str">
        <f t="shared" si="75"/>
        <v>Bumiayu RW 03 Kedungkandang</v>
      </c>
      <c r="AA2097" s="276" t="e">
        <f>VLOOKUP(Logfile_S12[[#This Row],[DO number]],DO_DB!G:I,3,0)</f>
        <v>#N/A</v>
      </c>
      <c r="AB2097" s="331" t="e">
        <f>EXACT(Logfile_S12[[#This Row],[date pick]],Logfile_S12[[#This Row],[Date]])</f>
        <v>#N/A</v>
      </c>
      <c r="AC20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98" spans="1:29" ht="14.5" hidden="1">
      <c r="A2098" s="220" t="str">
        <f t="shared" si="74"/>
        <v>2094</v>
      </c>
      <c r="B2098" s="221"/>
      <c r="C2098" s="221" t="s">
        <v>48</v>
      </c>
      <c r="D2098" s="221" t="s">
        <v>3965</v>
      </c>
      <c r="E2098" s="221" t="s">
        <v>3295</v>
      </c>
      <c r="F2098" s="221" t="s">
        <v>3299</v>
      </c>
      <c r="G2098" s="222">
        <v>45352</v>
      </c>
      <c r="H2098" s="223">
        <v>15.291666666666666</v>
      </c>
      <c r="I2098" s="221" t="s">
        <v>37</v>
      </c>
      <c r="J2098" s="221" t="s">
        <v>3023</v>
      </c>
      <c r="K2098" s="224" t="s">
        <v>3071</v>
      </c>
      <c r="L2098" s="225" t="str">
        <f>VLOOKUP(Logfile_S12[[#This Row],[Material Name]],Sheet2!B:C,2,0)</f>
        <v>ZTE1003</v>
      </c>
      <c r="M2098" s="225" t="str">
        <f>_xlfn.XLOOKUP(Logfile_S12[[#This Row],[Material Name]],Sum_WH!E:E,Sum_WH!F:F,"",0)</f>
        <v>Pcs</v>
      </c>
      <c r="N2098" s="221">
        <v>8</v>
      </c>
      <c r="O2098" s="221"/>
      <c r="P2098" s="221"/>
      <c r="Q2098" s="221">
        <v>0</v>
      </c>
      <c r="R2098" s="221">
        <v>0</v>
      </c>
      <c r="S2098" s="221"/>
      <c r="T2098" s="221"/>
      <c r="U2098" s="221"/>
      <c r="V2098" s="221"/>
      <c r="W2098" s="221"/>
      <c r="X2098" s="221"/>
      <c r="Y2098" s="227"/>
      <c r="Z2098" s="227">
        <f t="shared" si="75"/>
        <v>0</v>
      </c>
      <c r="AA2098" s="276" t="e">
        <f>VLOOKUP(Logfile_S12[[#This Row],[DO number]],DO_DB!G:I,3,0)</f>
        <v>#N/A</v>
      </c>
      <c r="AB2098" s="331" t="e">
        <f>EXACT(Logfile_S12[[#This Row],[date pick]],Logfile_S12[[#This Row],[Date]])</f>
        <v>#N/A</v>
      </c>
      <c r="AC20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099" spans="1:29" ht="14.5" hidden="1">
      <c r="A2099" s="220" t="str">
        <f t="shared" si="74"/>
        <v>2095</v>
      </c>
      <c r="B2099" s="221"/>
      <c r="C2099" s="221" t="s">
        <v>48</v>
      </c>
      <c r="D2099" s="221" t="s">
        <v>3980</v>
      </c>
      <c r="E2099" s="221" t="s">
        <v>3295</v>
      </c>
      <c r="F2099" s="221" t="s">
        <v>3299</v>
      </c>
      <c r="G2099" s="222">
        <v>45370</v>
      </c>
      <c r="H2099" s="223">
        <v>15.291666666666666</v>
      </c>
      <c r="I2099" s="221" t="s">
        <v>37</v>
      </c>
      <c r="J2099" s="221" t="s">
        <v>3023</v>
      </c>
      <c r="K2099" s="224" t="s">
        <v>3071</v>
      </c>
      <c r="L2099" s="225" t="str">
        <f>VLOOKUP(Logfile_S12[[#This Row],[Material Name]],Sheet2!B:C,2,0)</f>
        <v>ZTE1003</v>
      </c>
      <c r="M2099" s="225" t="str">
        <f>_xlfn.XLOOKUP(Logfile_S12[[#This Row],[Material Name]],Sum_WH!E:E,Sum_WH!F:F,"",0)</f>
        <v>Pcs</v>
      </c>
      <c r="N2099" s="221">
        <v>1</v>
      </c>
      <c r="O2099" s="221"/>
      <c r="P2099" s="221"/>
      <c r="Q2099" s="221">
        <v>0</v>
      </c>
      <c r="R2099" s="221">
        <v>0</v>
      </c>
      <c r="S2099" s="221"/>
      <c r="T2099" s="221"/>
      <c r="U2099" s="221"/>
      <c r="V2099" s="221"/>
      <c r="W2099" s="221"/>
      <c r="X2099" s="221"/>
      <c r="Y2099" s="227"/>
      <c r="Z2099" s="227">
        <f t="shared" si="75"/>
        <v>0</v>
      </c>
      <c r="AA2099" s="276" t="e">
        <f>VLOOKUP(Logfile_S12[[#This Row],[DO number]],DO_DB!G:I,3,0)</f>
        <v>#N/A</v>
      </c>
      <c r="AB2099" s="331" t="e">
        <f>EXACT(Logfile_S12[[#This Row],[date pick]],Logfile_S12[[#This Row],[Date]])</f>
        <v>#N/A</v>
      </c>
      <c r="AC20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00" spans="1:29" ht="14.5" hidden="1">
      <c r="A2100" s="220" t="str">
        <f t="shared" si="74"/>
        <v>2096</v>
      </c>
      <c r="B2100" s="221"/>
      <c r="C2100" s="221" t="s">
        <v>49</v>
      </c>
      <c r="D2100" s="221" t="s">
        <v>3983</v>
      </c>
      <c r="E2100" s="221" t="s">
        <v>3295</v>
      </c>
      <c r="F2100" s="221" t="s">
        <v>3299</v>
      </c>
      <c r="G2100" s="222">
        <v>45372</v>
      </c>
      <c r="H2100" s="223">
        <v>0.40625</v>
      </c>
      <c r="I2100" s="221" t="s">
        <v>4916</v>
      </c>
      <c r="J2100" s="221" t="s">
        <v>3023</v>
      </c>
      <c r="K2100" s="224" t="s">
        <v>3071</v>
      </c>
      <c r="L2100" s="225" t="str">
        <f>VLOOKUP(Logfile_S12[[#This Row],[Material Name]],Sheet2!B:C,2,0)</f>
        <v>ZTE1003</v>
      </c>
      <c r="M2100" s="225" t="str">
        <f>_xlfn.XLOOKUP(Logfile_S12[[#This Row],[Material Name]],Sum_WH!E:E,Sum_WH!F:F,"",0)</f>
        <v>Pcs</v>
      </c>
      <c r="N2100" s="221">
        <v>1</v>
      </c>
      <c r="O2100" s="221" t="s">
        <v>1087</v>
      </c>
      <c r="P2100" s="221" t="s">
        <v>1088</v>
      </c>
      <c r="Q2100" s="221"/>
      <c r="R2100" s="221"/>
      <c r="S2100" s="221"/>
      <c r="T2100" s="221" t="s">
        <v>3258</v>
      </c>
      <c r="U2100" s="221" t="s">
        <v>3228</v>
      </c>
      <c r="V2100" s="221" t="s">
        <v>3337</v>
      </c>
      <c r="W2100" s="221" t="s">
        <v>3338</v>
      </c>
      <c r="X2100" s="221"/>
      <c r="Y2100" s="227"/>
      <c r="Z2100" s="227" t="str">
        <f t="shared" si="75"/>
        <v>Dalisodo RW 01 Wagir</v>
      </c>
      <c r="AA2100" s="276" t="e">
        <f>VLOOKUP(Logfile_S12[[#This Row],[DO number]],DO_DB!G:I,3,0)</f>
        <v>#N/A</v>
      </c>
      <c r="AB2100" s="331" t="e">
        <f>EXACT(Logfile_S12[[#This Row],[date pick]],Logfile_S12[[#This Row],[Date]])</f>
        <v>#N/A</v>
      </c>
      <c r="AC21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01" spans="1:29" ht="14.5" hidden="1">
      <c r="A2101" s="220" t="str">
        <f t="shared" si="74"/>
        <v>2097</v>
      </c>
      <c r="B2101" s="221"/>
      <c r="C2101" s="221" t="s">
        <v>49</v>
      </c>
      <c r="D2101" s="221" t="s">
        <v>4008</v>
      </c>
      <c r="E2101" s="221" t="s">
        <v>3295</v>
      </c>
      <c r="F2101" s="221" t="s">
        <v>3299</v>
      </c>
      <c r="G2101" s="222">
        <v>45400</v>
      </c>
      <c r="H2101" s="223">
        <v>0.42499999999999999</v>
      </c>
      <c r="I2101" s="221" t="s">
        <v>4916</v>
      </c>
      <c r="J2101" s="221" t="s">
        <v>3023</v>
      </c>
      <c r="K2101" s="224" t="s">
        <v>3071</v>
      </c>
      <c r="L2101" s="225" t="str">
        <f>VLOOKUP(Logfile_S12[[#This Row],[Material Name]],Sheet2!B:C,2,0)</f>
        <v>ZTE1003</v>
      </c>
      <c r="M2101" s="225" t="str">
        <f>_xlfn.XLOOKUP(Logfile_S12[[#This Row],[Material Name]],Sum_WH!E:E,Sum_WH!F:F,"",0)</f>
        <v>Pcs</v>
      </c>
      <c r="N2101" s="221">
        <v>2</v>
      </c>
      <c r="O2101" s="221" t="s">
        <v>1151</v>
      </c>
      <c r="P2101" s="221" t="s">
        <v>1152</v>
      </c>
      <c r="Q2101" s="221"/>
      <c r="R2101" s="221"/>
      <c r="S2101" s="221"/>
      <c r="T2101" s="221" t="s">
        <v>3363</v>
      </c>
      <c r="U2101" s="221" t="s">
        <v>3228</v>
      </c>
      <c r="V2101" s="221" t="s">
        <v>3364</v>
      </c>
      <c r="W2101" s="221" t="s">
        <v>3365</v>
      </c>
      <c r="X2101" s="221"/>
      <c r="Y2101" s="227"/>
      <c r="Z2101" s="227" t="str">
        <f t="shared" si="75"/>
        <v>Tunjungtirto RW 08 Singosari</v>
      </c>
      <c r="AA2101" s="276" t="e">
        <f>VLOOKUP(Logfile_S12[[#This Row],[DO number]],DO_DB!G:I,3,0)</f>
        <v>#N/A</v>
      </c>
      <c r="AB2101" s="331" t="e">
        <f>EXACT(Logfile_S12[[#This Row],[date pick]],Logfile_S12[[#This Row],[Date]])</f>
        <v>#N/A</v>
      </c>
      <c r="AC21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02" spans="1:29" ht="14.5" hidden="1">
      <c r="A2102" s="220" t="str">
        <f t="shared" si="74"/>
        <v>2098</v>
      </c>
      <c r="B2102" s="221"/>
      <c r="C2102" s="221" t="s">
        <v>49</v>
      </c>
      <c r="D2102" s="221" t="s">
        <v>4037</v>
      </c>
      <c r="E2102" s="221" t="s">
        <v>3295</v>
      </c>
      <c r="F2102" s="221" t="s">
        <v>3299</v>
      </c>
      <c r="G2102" s="222">
        <v>45420</v>
      </c>
      <c r="H2102" s="223">
        <v>0.39027777777777778</v>
      </c>
      <c r="I2102" s="221" t="s">
        <v>4916</v>
      </c>
      <c r="J2102" s="221" t="s">
        <v>3023</v>
      </c>
      <c r="K2102" s="224" t="s">
        <v>3071</v>
      </c>
      <c r="L2102" s="225" t="str">
        <f>VLOOKUP(Logfile_S12[[#This Row],[Material Name]],Sheet2!B:C,2,0)</f>
        <v>ZTE1003</v>
      </c>
      <c r="M2102" s="225" t="str">
        <f>_xlfn.XLOOKUP(Logfile_S12[[#This Row],[Material Name]],Sum_WH!E:E,Sum_WH!F:F,"",0)</f>
        <v>Pcs</v>
      </c>
      <c r="N2102" s="221">
        <v>1</v>
      </c>
      <c r="O2102" s="221" t="s">
        <v>1151</v>
      </c>
      <c r="P2102" s="221" t="s">
        <v>1152</v>
      </c>
      <c r="Q2102" s="221"/>
      <c r="R2102" s="221"/>
      <c r="S2102" s="221"/>
      <c r="T2102" s="221" t="s">
        <v>3363</v>
      </c>
      <c r="U2102" s="221" t="s">
        <v>3228</v>
      </c>
      <c r="V2102" s="221" t="s">
        <v>3364</v>
      </c>
      <c r="W2102" s="221" t="s">
        <v>3372</v>
      </c>
      <c r="X2102" s="221"/>
      <c r="Y2102" s="227"/>
      <c r="Z2102" s="227" t="str">
        <f t="shared" si="75"/>
        <v>Tunjungtirto RW 08 Singosari</v>
      </c>
      <c r="AA2102" s="276" t="e">
        <f>VLOOKUP(Logfile_S12[[#This Row],[DO number]],DO_DB!G:I,3,0)</f>
        <v>#N/A</v>
      </c>
      <c r="AB2102" s="331" t="e">
        <f>EXACT(Logfile_S12[[#This Row],[date pick]],Logfile_S12[[#This Row],[Date]])</f>
        <v>#N/A</v>
      </c>
      <c r="AC21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03" spans="1:29" ht="14.5" hidden="1">
      <c r="A2103" s="220" t="str">
        <f t="shared" si="74"/>
        <v>2099</v>
      </c>
      <c r="B2103" s="221"/>
      <c r="C2103" s="221" t="s">
        <v>49</v>
      </c>
      <c r="D2103" s="221" t="s">
        <v>4052</v>
      </c>
      <c r="E2103" s="221" t="s">
        <v>3295</v>
      </c>
      <c r="F2103" s="221" t="s">
        <v>3299</v>
      </c>
      <c r="G2103" s="222">
        <v>45433</v>
      </c>
      <c r="H2103" s="223">
        <v>0.37708333333333338</v>
      </c>
      <c r="I2103" s="221" t="s">
        <v>4916</v>
      </c>
      <c r="J2103" s="221" t="s">
        <v>3023</v>
      </c>
      <c r="K2103" s="224" t="s">
        <v>3071</v>
      </c>
      <c r="L2103" s="225" t="str">
        <f>VLOOKUP(Logfile_S12[[#This Row],[Material Name]],Sheet2!B:C,2,0)</f>
        <v>ZTE1003</v>
      </c>
      <c r="M2103" s="225" t="str">
        <f>_xlfn.XLOOKUP(Logfile_S12[[#This Row],[Material Name]],Sum_WH!E:E,Sum_WH!F:F,"",0)</f>
        <v>Pcs</v>
      </c>
      <c r="N2103" s="221">
        <v>2</v>
      </c>
      <c r="O2103" s="221" t="s">
        <v>1405</v>
      </c>
      <c r="P2103" s="221" t="s">
        <v>1406</v>
      </c>
      <c r="Q2103" s="221"/>
      <c r="R2103" s="221"/>
      <c r="S2103" s="221"/>
      <c r="T2103" s="221" t="s">
        <v>3258</v>
      </c>
      <c r="U2103" s="221" t="s">
        <v>3228</v>
      </c>
      <c r="V2103" s="221" t="s">
        <v>3337</v>
      </c>
      <c r="W2103" s="221" t="s">
        <v>3338</v>
      </c>
      <c r="X2103" s="221"/>
      <c r="Y2103" s="227"/>
      <c r="Z2103" s="227" t="str">
        <f t="shared" si="75"/>
        <v>Lawang RW 06 Malang</v>
      </c>
      <c r="AA2103" s="276" t="e">
        <f>VLOOKUP(Logfile_S12[[#This Row],[DO number]],DO_DB!G:I,3,0)</f>
        <v>#N/A</v>
      </c>
      <c r="AB2103" s="331" t="e">
        <f>EXACT(Logfile_S12[[#This Row],[date pick]],Logfile_S12[[#This Row],[Date]])</f>
        <v>#N/A</v>
      </c>
      <c r="AC21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04" spans="1:29" ht="14.5" hidden="1">
      <c r="A2104" s="220" t="str">
        <f t="shared" si="74"/>
        <v>2100</v>
      </c>
      <c r="B2104" s="221"/>
      <c r="C2104" s="221" t="s">
        <v>49</v>
      </c>
      <c r="D2104" s="221" t="s">
        <v>4106</v>
      </c>
      <c r="E2104" s="221" t="s">
        <v>3295</v>
      </c>
      <c r="F2104" s="221" t="s">
        <v>3299</v>
      </c>
      <c r="G2104" s="222">
        <v>45470</v>
      </c>
      <c r="H2104" s="223">
        <v>0.53680555555555554</v>
      </c>
      <c r="I2104" s="221" t="s">
        <v>4916</v>
      </c>
      <c r="J2104" s="221" t="s">
        <v>3023</v>
      </c>
      <c r="K2104" s="224" t="s">
        <v>3071</v>
      </c>
      <c r="L2104" s="225" t="str">
        <f>VLOOKUP(Logfile_S12[[#This Row],[Material Name]],Sheet2!B:C,2,0)</f>
        <v>ZTE1003</v>
      </c>
      <c r="M2104" s="225" t="str">
        <f>_xlfn.XLOOKUP(Logfile_S12[[#This Row],[Material Name]],Sum_WH!E:E,Sum_WH!F:F,"",0)</f>
        <v>Pcs</v>
      </c>
      <c r="N2104" s="221">
        <v>4</v>
      </c>
      <c r="O2104" s="221" t="s">
        <v>1689</v>
      </c>
      <c r="P2104" s="221" t="s">
        <v>1690</v>
      </c>
      <c r="Q2104" s="221"/>
      <c r="R2104" s="221"/>
      <c r="S2104" s="221"/>
      <c r="T2104" s="221" t="s">
        <v>3258</v>
      </c>
      <c r="U2104" s="221" t="s">
        <v>3228</v>
      </c>
      <c r="V2104" s="221" t="s">
        <v>3337</v>
      </c>
      <c r="W2104" s="221" t="s">
        <v>3338</v>
      </c>
      <c r="X2104" s="221"/>
      <c r="Y2104" s="227"/>
      <c r="Z2104" s="227" t="str">
        <f t="shared" si="75"/>
        <v>Kebonagung RW 13 Pakisaji</v>
      </c>
      <c r="AA2104" s="276" t="e">
        <f>VLOOKUP(Logfile_S12[[#This Row],[DO number]],DO_DB!G:I,3,0)</f>
        <v>#N/A</v>
      </c>
      <c r="AB2104" s="331" t="e">
        <f>EXACT(Logfile_S12[[#This Row],[date pick]],Logfile_S12[[#This Row],[Date]])</f>
        <v>#N/A</v>
      </c>
      <c r="AC21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05" spans="1:29" ht="14.5" hidden="1">
      <c r="A2105" s="220" t="str">
        <f t="shared" si="74"/>
        <v>2101</v>
      </c>
      <c r="B2105" s="221"/>
      <c r="C2105" s="221" t="s">
        <v>48</v>
      </c>
      <c r="D2105" s="221" t="s">
        <v>4126</v>
      </c>
      <c r="E2105" s="221" t="s">
        <v>3295</v>
      </c>
      <c r="F2105" s="221" t="s">
        <v>3299</v>
      </c>
      <c r="G2105" s="222">
        <v>45496</v>
      </c>
      <c r="H2105" s="223">
        <v>15.291666666666666</v>
      </c>
      <c r="I2105" s="221" t="s">
        <v>37</v>
      </c>
      <c r="J2105" s="221" t="s">
        <v>3023</v>
      </c>
      <c r="K2105" s="224" t="s">
        <v>3071</v>
      </c>
      <c r="L2105" s="225" t="str">
        <f>VLOOKUP(Logfile_S12[[#This Row],[Material Name]],Sheet2!B:C,2,0)</f>
        <v>ZTE1003</v>
      </c>
      <c r="M2105" s="225" t="str">
        <f>_xlfn.XLOOKUP(Logfile_S12[[#This Row],[Material Name]],Sum_WH!E:E,Sum_WH!F:F,"",0)</f>
        <v>Pcs</v>
      </c>
      <c r="N2105" s="221">
        <v>9</v>
      </c>
      <c r="O2105" s="221"/>
      <c r="P2105" s="221"/>
      <c r="Q2105" s="221">
        <v>0</v>
      </c>
      <c r="R2105" s="221">
        <v>0</v>
      </c>
      <c r="S2105" s="221"/>
      <c r="T2105" s="221"/>
      <c r="U2105" s="221"/>
      <c r="V2105" s="221"/>
      <c r="W2105" s="221"/>
      <c r="X2105" s="221"/>
      <c r="Y2105" s="227"/>
      <c r="Z2105" s="227">
        <f t="shared" si="75"/>
        <v>0</v>
      </c>
      <c r="AA2105" s="276" t="e">
        <f>VLOOKUP(Logfile_S12[[#This Row],[DO number]],DO_DB!G:I,3,0)</f>
        <v>#N/A</v>
      </c>
      <c r="AB2105" s="331" t="e">
        <f>EXACT(Logfile_S12[[#This Row],[date pick]],Logfile_S12[[#This Row],[Date]])</f>
        <v>#N/A</v>
      </c>
      <c r="AC21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06" spans="1:29" ht="14.5" hidden="1">
      <c r="A2106" s="220" t="str">
        <f t="shared" si="74"/>
        <v>2102</v>
      </c>
      <c r="B2106" s="221"/>
      <c r="C2106" s="221" t="s">
        <v>49</v>
      </c>
      <c r="D2106" s="221" t="s">
        <v>4146</v>
      </c>
      <c r="E2106" s="221" t="s">
        <v>3295</v>
      </c>
      <c r="F2106" s="221" t="s">
        <v>3299</v>
      </c>
      <c r="G2106" s="222">
        <v>45507</v>
      </c>
      <c r="H2106" s="223">
        <v>0.97222222222222221</v>
      </c>
      <c r="I2106" s="221" t="s">
        <v>4916</v>
      </c>
      <c r="J2106" s="221" t="s">
        <v>3023</v>
      </c>
      <c r="K2106" s="224" t="s">
        <v>3071</v>
      </c>
      <c r="L2106" s="225" t="str">
        <f>VLOOKUP(Logfile_S12[[#This Row],[Material Name]],Sheet2!B:C,2,0)</f>
        <v>ZTE1003</v>
      </c>
      <c r="M2106" s="225" t="str">
        <f>_xlfn.XLOOKUP(Logfile_S12[[#This Row],[Material Name]],Sum_WH!E:E,Sum_WH!F:F,"",0)</f>
        <v>Pcs</v>
      </c>
      <c r="N2106" s="221">
        <v>3</v>
      </c>
      <c r="O2106" s="221" t="s">
        <v>1807</v>
      </c>
      <c r="P2106" s="221" t="s">
        <v>3399</v>
      </c>
      <c r="Q2106" s="221"/>
      <c r="R2106" s="221"/>
      <c r="S2106" s="221"/>
      <c r="T2106" s="221" t="s">
        <v>3244</v>
      </c>
      <c r="U2106" s="221">
        <v>0</v>
      </c>
      <c r="V2106" s="221" t="s">
        <v>3248</v>
      </c>
      <c r="W2106" s="221" t="s">
        <v>3252</v>
      </c>
      <c r="X2106" s="221"/>
      <c r="Y2106" s="227"/>
      <c r="Z2106" s="227" t="str">
        <f t="shared" si="75"/>
        <v>HUBFEEDER TIRTASANI TO GIRIMOYO</v>
      </c>
      <c r="AA2106" s="276" t="e">
        <f>VLOOKUP(Logfile_S12[[#This Row],[DO number]],DO_DB!G:I,3,0)</f>
        <v>#N/A</v>
      </c>
      <c r="AB2106" s="331" t="e">
        <f>EXACT(Logfile_S12[[#This Row],[date pick]],Logfile_S12[[#This Row],[Date]])</f>
        <v>#N/A</v>
      </c>
      <c r="AC21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07" spans="1:29" ht="14.5" hidden="1">
      <c r="A2107" s="220" t="str">
        <f t="shared" si="74"/>
        <v>2103</v>
      </c>
      <c r="B2107" s="221"/>
      <c r="C2107" s="221" t="s">
        <v>49</v>
      </c>
      <c r="D2107" s="221" t="s">
        <v>4151</v>
      </c>
      <c r="E2107" s="221" t="s">
        <v>3295</v>
      </c>
      <c r="F2107" s="221" t="s">
        <v>3299</v>
      </c>
      <c r="G2107" s="222">
        <v>45511</v>
      </c>
      <c r="H2107" s="223">
        <v>0.81874999999999998</v>
      </c>
      <c r="I2107" s="221" t="s">
        <v>4916</v>
      </c>
      <c r="J2107" s="221" t="s">
        <v>3023</v>
      </c>
      <c r="K2107" s="224" t="s">
        <v>3071</v>
      </c>
      <c r="L2107" s="225" t="str">
        <f>VLOOKUP(Logfile_S12[[#This Row],[Material Name]],Sheet2!B:C,2,0)</f>
        <v>ZTE1003</v>
      </c>
      <c r="M2107" s="225" t="str">
        <f>_xlfn.XLOOKUP(Logfile_S12[[#This Row],[Material Name]],Sum_WH!E:E,Sum_WH!F:F,"",0)</f>
        <v>Pcs</v>
      </c>
      <c r="N2107" s="221">
        <v>2</v>
      </c>
      <c r="O2107" s="221" t="s">
        <v>1799</v>
      </c>
      <c r="P2107" s="221" t="s">
        <v>3398</v>
      </c>
      <c r="Q2107" s="221"/>
      <c r="R2107" s="221"/>
      <c r="S2107" s="221"/>
      <c r="T2107" s="221" t="s">
        <v>3258</v>
      </c>
      <c r="U2107" s="221" t="s">
        <v>3228</v>
      </c>
      <c r="V2107" s="221" t="s">
        <v>3337</v>
      </c>
      <c r="W2107" s="221" t="s">
        <v>3338</v>
      </c>
      <c r="X2107" s="221"/>
      <c r="Y2107" s="227"/>
      <c r="Z2107" s="227" t="str">
        <f t="shared" si="75"/>
        <v>HUBFEEDER KEPANJEN TO JATIKERTO</v>
      </c>
      <c r="AA2107" s="276" t="e">
        <f>VLOOKUP(Logfile_S12[[#This Row],[DO number]],DO_DB!G:I,3,0)</f>
        <v>#N/A</v>
      </c>
      <c r="AB2107" s="331" t="e">
        <f>EXACT(Logfile_S12[[#This Row],[date pick]],Logfile_S12[[#This Row],[Date]])</f>
        <v>#N/A</v>
      </c>
      <c r="AC21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08" spans="1:29" ht="14.5" hidden="1">
      <c r="A2108" s="220" t="str">
        <f t="shared" si="74"/>
        <v>2104</v>
      </c>
      <c r="B2108" s="221"/>
      <c r="C2108" s="221" t="s">
        <v>49</v>
      </c>
      <c r="D2108" s="221" t="s">
        <v>4152</v>
      </c>
      <c r="E2108" s="221" t="s">
        <v>3295</v>
      </c>
      <c r="F2108" s="221" t="s">
        <v>3299</v>
      </c>
      <c r="G2108" s="222">
        <v>45511</v>
      </c>
      <c r="H2108" s="223">
        <v>0.84722222222222221</v>
      </c>
      <c r="I2108" s="221" t="s">
        <v>4916</v>
      </c>
      <c r="J2108" s="221" t="s">
        <v>3023</v>
      </c>
      <c r="K2108" s="224" t="s">
        <v>3071</v>
      </c>
      <c r="L2108" s="225" t="str">
        <f>VLOOKUP(Logfile_S12[[#This Row],[Material Name]],Sheet2!B:C,2,0)</f>
        <v>ZTE1003</v>
      </c>
      <c r="M2108" s="225" t="str">
        <f>_xlfn.XLOOKUP(Logfile_S12[[#This Row],[Material Name]],Sum_WH!E:E,Sum_WH!F:F,"",0)</f>
        <v>Pcs</v>
      </c>
      <c r="N2108" s="221">
        <v>3</v>
      </c>
      <c r="O2108" s="221" t="s">
        <v>1807</v>
      </c>
      <c r="P2108" s="221" t="s">
        <v>3399</v>
      </c>
      <c r="Q2108" s="221"/>
      <c r="R2108" s="221"/>
      <c r="S2108" s="221"/>
      <c r="T2108" s="221" t="s">
        <v>3244</v>
      </c>
      <c r="U2108" s="221">
        <v>0</v>
      </c>
      <c r="V2108" s="221" t="s">
        <v>3248</v>
      </c>
      <c r="W2108" s="221" t="s">
        <v>3252</v>
      </c>
      <c r="X2108" s="221"/>
      <c r="Y2108" s="227"/>
      <c r="Z2108" s="227" t="str">
        <f t="shared" si="75"/>
        <v>HUBFEEDER TIRTASANI TO GIRIMOYO</v>
      </c>
      <c r="AA2108" s="276" t="e">
        <f>VLOOKUP(Logfile_S12[[#This Row],[DO number]],DO_DB!G:I,3,0)</f>
        <v>#N/A</v>
      </c>
      <c r="AB2108" s="331" t="e">
        <f>EXACT(Logfile_S12[[#This Row],[date pick]],Logfile_S12[[#This Row],[Date]])</f>
        <v>#N/A</v>
      </c>
      <c r="AC21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09" spans="1:29" ht="14.5" hidden="1">
      <c r="A2109" s="220" t="str">
        <f t="shared" si="74"/>
        <v>2105</v>
      </c>
      <c r="B2109" s="221"/>
      <c r="C2109" s="221" t="s">
        <v>3313</v>
      </c>
      <c r="D2109" s="221" t="s">
        <v>4154</v>
      </c>
      <c r="E2109" s="221" t="s">
        <v>3295</v>
      </c>
      <c r="F2109" s="221" t="s">
        <v>3299</v>
      </c>
      <c r="G2109" s="222">
        <v>45512</v>
      </c>
      <c r="H2109" s="223">
        <v>15.291666666666666</v>
      </c>
      <c r="I2109" s="221" t="s">
        <v>37</v>
      </c>
      <c r="J2109" s="221" t="s">
        <v>3023</v>
      </c>
      <c r="K2109" s="224" t="s">
        <v>3071</v>
      </c>
      <c r="L2109" s="225" t="str">
        <f>VLOOKUP(Logfile_S12[[#This Row],[Material Name]],Sheet2!B:C,2,0)</f>
        <v>ZTE1003</v>
      </c>
      <c r="M2109" s="225" t="str">
        <f>_xlfn.XLOOKUP(Logfile_S12[[#This Row],[Material Name]],Sum_WH!E:E,Sum_WH!F:F,"",0)</f>
        <v>Pcs</v>
      </c>
      <c r="N2109" s="221">
        <v>2</v>
      </c>
      <c r="O2109" s="221" t="s">
        <v>3314</v>
      </c>
      <c r="P2109" s="221">
        <v>0</v>
      </c>
      <c r="Q2109" s="221">
        <v>0</v>
      </c>
      <c r="R2109" s="221" t="s">
        <v>3147</v>
      </c>
      <c r="S2109" s="221"/>
      <c r="T2109" s="221"/>
      <c r="U2109" s="221"/>
      <c r="V2109" s="221"/>
      <c r="W2109" s="221"/>
      <c r="X2109" s="221"/>
      <c r="Y2109" s="227"/>
      <c r="Z2109" s="227">
        <f t="shared" si="75"/>
        <v>0</v>
      </c>
      <c r="AA2109" s="276" t="e">
        <f>VLOOKUP(Logfile_S12[[#This Row],[DO number]],DO_DB!G:I,3,0)</f>
        <v>#N/A</v>
      </c>
      <c r="AB2109" s="331" t="e">
        <f>EXACT(Logfile_S12[[#This Row],[date pick]],Logfile_S12[[#This Row],[Date]])</f>
        <v>#N/A</v>
      </c>
      <c r="AC21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10" spans="1:29" ht="14.5" hidden="1">
      <c r="A2110" s="220" t="str">
        <f t="shared" si="74"/>
        <v>2106</v>
      </c>
      <c r="B2110" s="221"/>
      <c r="C2110" s="221" t="s">
        <v>48</v>
      </c>
      <c r="D2110" s="221" t="s">
        <v>4170</v>
      </c>
      <c r="E2110" s="221" t="s">
        <v>3295</v>
      </c>
      <c r="F2110" s="221" t="s">
        <v>3299</v>
      </c>
      <c r="G2110" s="222">
        <v>45526</v>
      </c>
      <c r="H2110" s="223">
        <v>15.291666666666666</v>
      </c>
      <c r="I2110" s="221" t="s">
        <v>37</v>
      </c>
      <c r="J2110" s="221" t="s">
        <v>3023</v>
      </c>
      <c r="K2110" s="224" t="s">
        <v>3071</v>
      </c>
      <c r="L2110" s="225" t="str">
        <f>VLOOKUP(Logfile_S12[[#This Row],[Material Name]],Sheet2!B:C,2,0)</f>
        <v>ZTE1003</v>
      </c>
      <c r="M2110" s="225" t="str">
        <f>_xlfn.XLOOKUP(Logfile_S12[[#This Row],[Material Name]],Sum_WH!E:E,Sum_WH!F:F,"",0)</f>
        <v>Pcs</v>
      </c>
      <c r="N2110" s="221">
        <v>15</v>
      </c>
      <c r="O2110" s="221"/>
      <c r="P2110" s="221"/>
      <c r="Q2110" s="221">
        <v>0</v>
      </c>
      <c r="R2110" s="221">
        <v>0</v>
      </c>
      <c r="S2110" s="221"/>
      <c r="T2110" s="221"/>
      <c r="U2110" s="221"/>
      <c r="V2110" s="221"/>
      <c r="W2110" s="221"/>
      <c r="X2110" s="221"/>
      <c r="Y2110" s="227"/>
      <c r="Z2110" s="227">
        <f t="shared" si="75"/>
        <v>0</v>
      </c>
      <c r="AA2110" s="276" t="e">
        <f>VLOOKUP(Logfile_S12[[#This Row],[DO number]],DO_DB!G:I,3,0)</f>
        <v>#N/A</v>
      </c>
      <c r="AB2110" s="331" t="e">
        <f>EXACT(Logfile_S12[[#This Row],[date pick]],Logfile_S12[[#This Row],[Date]])</f>
        <v>#N/A</v>
      </c>
      <c r="AC21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11" spans="1:29" ht="14.5" hidden="1">
      <c r="A2111" s="220" t="str">
        <f t="shared" si="74"/>
        <v>2107</v>
      </c>
      <c r="B2111" s="221"/>
      <c r="C2111" s="221" t="s">
        <v>49</v>
      </c>
      <c r="D2111" s="221" t="s">
        <v>4173</v>
      </c>
      <c r="E2111" s="221" t="s">
        <v>3295</v>
      </c>
      <c r="F2111" s="221" t="s">
        <v>3299</v>
      </c>
      <c r="G2111" s="222">
        <v>45527</v>
      </c>
      <c r="H2111" s="223">
        <v>0.46736111111111112</v>
      </c>
      <c r="I2111" s="221" t="s">
        <v>4916</v>
      </c>
      <c r="J2111" s="221" t="s">
        <v>3023</v>
      </c>
      <c r="K2111" s="224" t="s">
        <v>3071</v>
      </c>
      <c r="L2111" s="225" t="str">
        <f>VLOOKUP(Logfile_S12[[#This Row],[Material Name]],Sheet2!B:C,2,0)</f>
        <v>ZTE1003</v>
      </c>
      <c r="M2111" s="225" t="str">
        <f>_xlfn.XLOOKUP(Logfile_S12[[#This Row],[Material Name]],Sum_WH!E:E,Sum_WH!F:F,"",0)</f>
        <v>Pcs</v>
      </c>
      <c r="N2111" s="221">
        <v>2</v>
      </c>
      <c r="O2111" s="221" t="s">
        <v>1911</v>
      </c>
      <c r="P2111" s="221" t="s">
        <v>1912</v>
      </c>
      <c r="Q2111" s="221"/>
      <c r="R2111" s="221"/>
      <c r="S2111" s="221"/>
      <c r="T2111" s="221" t="s">
        <v>3258</v>
      </c>
      <c r="U2111" s="221" t="s">
        <v>3228</v>
      </c>
      <c r="V2111" s="221" t="s">
        <v>3337</v>
      </c>
      <c r="W2111" s="221" t="s">
        <v>3338</v>
      </c>
      <c r="X2111" s="221"/>
      <c r="Y2111" s="227"/>
      <c r="Z2111" s="227" t="str">
        <f t="shared" si="75"/>
        <v>Dilem RW 03 Kepanjen</v>
      </c>
      <c r="AA2111" s="276" t="e">
        <f>VLOOKUP(Logfile_S12[[#This Row],[DO number]],DO_DB!G:I,3,0)</f>
        <v>#N/A</v>
      </c>
      <c r="AB2111" s="331" t="e">
        <f>EXACT(Logfile_S12[[#This Row],[date pick]],Logfile_S12[[#This Row],[Date]])</f>
        <v>#N/A</v>
      </c>
      <c r="AC21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12" spans="1:29" ht="14.5" hidden="1">
      <c r="A2112" s="220" t="str">
        <f t="shared" si="74"/>
        <v>2108</v>
      </c>
      <c r="B2112" s="221"/>
      <c r="C2112" s="221" t="s">
        <v>48</v>
      </c>
      <c r="D2112" s="221" t="s">
        <v>4185</v>
      </c>
      <c r="E2112" s="221" t="s">
        <v>3295</v>
      </c>
      <c r="F2112" s="221" t="s">
        <v>3299</v>
      </c>
      <c r="G2112" s="222">
        <v>45532</v>
      </c>
      <c r="H2112" s="223">
        <v>15.291666666666666</v>
      </c>
      <c r="I2112" s="221" t="s">
        <v>37</v>
      </c>
      <c r="J2112" s="221" t="s">
        <v>3023</v>
      </c>
      <c r="K2112" s="224" t="s">
        <v>3071</v>
      </c>
      <c r="L2112" s="225" t="str">
        <f>VLOOKUP(Logfile_S12[[#This Row],[Material Name]],Sheet2!B:C,2,0)</f>
        <v>ZTE1003</v>
      </c>
      <c r="M2112" s="225" t="str">
        <f>_xlfn.XLOOKUP(Logfile_S12[[#This Row],[Material Name]],Sum_WH!E:E,Sum_WH!F:F,"",0)</f>
        <v>Pcs</v>
      </c>
      <c r="N2112" s="221">
        <v>2</v>
      </c>
      <c r="O2112" s="221"/>
      <c r="P2112" s="221"/>
      <c r="Q2112" s="221">
        <v>0</v>
      </c>
      <c r="R2112" s="221">
        <v>0</v>
      </c>
      <c r="S2112" s="221"/>
      <c r="T2112" s="221"/>
      <c r="U2112" s="221"/>
      <c r="V2112" s="221"/>
      <c r="W2112" s="221"/>
      <c r="X2112" s="221"/>
      <c r="Y2112" s="227"/>
      <c r="Z2112" s="227">
        <f t="shared" si="75"/>
        <v>0</v>
      </c>
      <c r="AA2112" s="276" t="e">
        <f>VLOOKUP(Logfile_S12[[#This Row],[DO number]],DO_DB!G:I,3,0)</f>
        <v>#N/A</v>
      </c>
      <c r="AB2112" s="331" t="e">
        <f>EXACT(Logfile_S12[[#This Row],[date pick]],Logfile_S12[[#This Row],[Date]])</f>
        <v>#N/A</v>
      </c>
      <c r="AC21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13" spans="1:29" ht="14.5" hidden="1">
      <c r="A2113" s="220" t="str">
        <f t="shared" si="74"/>
        <v>2109</v>
      </c>
      <c r="B2113" s="221"/>
      <c r="C2113" s="221" t="s">
        <v>49</v>
      </c>
      <c r="D2113" s="221" t="s">
        <v>4187</v>
      </c>
      <c r="E2113" s="221" t="s">
        <v>3295</v>
      </c>
      <c r="F2113" s="221" t="s">
        <v>3299</v>
      </c>
      <c r="G2113" s="222">
        <v>45533</v>
      </c>
      <c r="H2113" s="223">
        <v>0.34652777777777777</v>
      </c>
      <c r="I2113" s="221" t="s">
        <v>4916</v>
      </c>
      <c r="J2113" s="221" t="s">
        <v>3023</v>
      </c>
      <c r="K2113" s="224" t="s">
        <v>3071</v>
      </c>
      <c r="L2113" s="225" t="str">
        <f>VLOOKUP(Logfile_S12[[#This Row],[Material Name]],Sheet2!B:C,2,0)</f>
        <v>ZTE1003</v>
      </c>
      <c r="M2113" s="225" t="str">
        <f>_xlfn.XLOOKUP(Logfile_S12[[#This Row],[Material Name]],Sum_WH!E:E,Sum_WH!F:F,"",0)</f>
        <v>Pcs</v>
      </c>
      <c r="N2113" s="221">
        <v>1</v>
      </c>
      <c r="O2113" s="221" t="s">
        <v>1929</v>
      </c>
      <c r="P2113" s="221" t="s">
        <v>1930</v>
      </c>
      <c r="Q2113" s="221"/>
      <c r="R2113" s="221"/>
      <c r="S2113" s="221"/>
      <c r="T2113" s="221" t="s">
        <v>3244</v>
      </c>
      <c r="U2113" s="221">
        <v>0</v>
      </c>
      <c r="V2113" s="221" t="s">
        <v>3248</v>
      </c>
      <c r="W2113" s="221" t="s">
        <v>3252</v>
      </c>
      <c r="X2113" s="221"/>
      <c r="Y2113" s="227"/>
      <c r="Z2113" s="227" t="str">
        <f t="shared" si="75"/>
        <v>Dusun Krajan Sumbersekar</v>
      </c>
      <c r="AA2113" s="276" t="e">
        <f>VLOOKUP(Logfile_S12[[#This Row],[DO number]],DO_DB!G:I,3,0)</f>
        <v>#N/A</v>
      </c>
      <c r="AB2113" s="331" t="e">
        <f>EXACT(Logfile_S12[[#This Row],[date pick]],Logfile_S12[[#This Row],[Date]])</f>
        <v>#N/A</v>
      </c>
      <c r="AC21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14" spans="1:29" ht="14.5" hidden="1">
      <c r="A2114" s="220" t="str">
        <f t="shared" si="74"/>
        <v>2110</v>
      </c>
      <c r="B2114" s="221"/>
      <c r="C2114" s="221" t="s">
        <v>49</v>
      </c>
      <c r="D2114" s="221" t="s">
        <v>4188</v>
      </c>
      <c r="E2114" s="221" t="s">
        <v>3295</v>
      </c>
      <c r="F2114" s="221" t="s">
        <v>3299</v>
      </c>
      <c r="G2114" s="222">
        <v>45534</v>
      </c>
      <c r="H2114" s="223">
        <v>0.27569444444444446</v>
      </c>
      <c r="I2114" s="221" t="s">
        <v>4916</v>
      </c>
      <c r="J2114" s="221" t="s">
        <v>3023</v>
      </c>
      <c r="K2114" s="224" t="s">
        <v>3071</v>
      </c>
      <c r="L2114" s="225" t="str">
        <f>VLOOKUP(Logfile_S12[[#This Row],[Material Name]],Sheet2!B:C,2,0)</f>
        <v>ZTE1003</v>
      </c>
      <c r="M2114" s="225" t="str">
        <f>_xlfn.XLOOKUP(Logfile_S12[[#This Row],[Material Name]],Sum_WH!E:E,Sum_WH!F:F,"",0)</f>
        <v>Pcs</v>
      </c>
      <c r="N2114" s="221">
        <v>2</v>
      </c>
      <c r="O2114" s="221" t="s">
        <v>1951</v>
      </c>
      <c r="P2114" s="221" t="s">
        <v>3374</v>
      </c>
      <c r="Q2114" s="221"/>
      <c r="R2114" s="221"/>
      <c r="S2114" s="221"/>
      <c r="T2114" s="221" t="s">
        <v>3258</v>
      </c>
      <c r="U2114" s="221" t="s">
        <v>3228</v>
      </c>
      <c r="V2114" s="221" t="s">
        <v>3337</v>
      </c>
      <c r="W2114" s="221" t="s">
        <v>3338</v>
      </c>
      <c r="X2114" s="221"/>
      <c r="Y2114" s="227"/>
      <c r="Z2114" s="227" t="str">
        <f t="shared" si="75"/>
        <v>SENGGURUH RW 01 MALANG</v>
      </c>
      <c r="AA2114" s="276" t="e">
        <f>VLOOKUP(Logfile_S12[[#This Row],[DO number]],DO_DB!G:I,3,0)</f>
        <v>#N/A</v>
      </c>
      <c r="AB2114" s="331" t="e">
        <f>EXACT(Logfile_S12[[#This Row],[date pick]],Logfile_S12[[#This Row],[Date]])</f>
        <v>#N/A</v>
      </c>
      <c r="AC21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15" spans="1:29" ht="14.5" hidden="1">
      <c r="A2115" s="220" t="str">
        <f t="shared" si="74"/>
        <v>2111</v>
      </c>
      <c r="B2115" s="221"/>
      <c r="C2115" s="221" t="s">
        <v>49</v>
      </c>
      <c r="D2115" s="221" t="s">
        <v>4203</v>
      </c>
      <c r="E2115" s="221" t="s">
        <v>3295</v>
      </c>
      <c r="F2115" s="221" t="s">
        <v>3299</v>
      </c>
      <c r="G2115" s="222">
        <v>45539</v>
      </c>
      <c r="H2115" s="223">
        <v>0.40694444444444444</v>
      </c>
      <c r="I2115" s="221" t="s">
        <v>4916</v>
      </c>
      <c r="J2115" s="221" t="s">
        <v>3023</v>
      </c>
      <c r="K2115" s="224" t="s">
        <v>3071</v>
      </c>
      <c r="L2115" s="225" t="str">
        <f>VLOOKUP(Logfile_S12[[#This Row],[Material Name]],Sheet2!B:C,2,0)</f>
        <v>ZTE1003</v>
      </c>
      <c r="M2115" s="225" t="str">
        <f>_xlfn.XLOOKUP(Logfile_S12[[#This Row],[Material Name]],Sum_WH!E:E,Sum_WH!F:F,"",0)</f>
        <v>Pcs</v>
      </c>
      <c r="N2115" s="221">
        <v>6</v>
      </c>
      <c r="O2115" s="221" t="s">
        <v>1951</v>
      </c>
      <c r="P2115" s="221" t="s">
        <v>3374</v>
      </c>
      <c r="Q2115" s="221"/>
      <c r="R2115" s="221"/>
      <c r="S2115" s="221"/>
      <c r="T2115" s="221" t="s">
        <v>3258</v>
      </c>
      <c r="U2115" s="221" t="s">
        <v>3228</v>
      </c>
      <c r="V2115" s="221" t="s">
        <v>3337</v>
      </c>
      <c r="W2115" s="221" t="s">
        <v>3338</v>
      </c>
      <c r="X2115" s="221"/>
      <c r="Y2115" s="227"/>
      <c r="Z2115" s="227" t="str">
        <f t="shared" si="75"/>
        <v>SENGGURUH RW 01 MALANG</v>
      </c>
      <c r="AA2115" s="276" t="e">
        <f>VLOOKUP(Logfile_S12[[#This Row],[DO number]],DO_DB!G:I,3,0)</f>
        <v>#N/A</v>
      </c>
      <c r="AB2115" s="331" t="e">
        <f>EXACT(Logfile_S12[[#This Row],[date pick]],Logfile_S12[[#This Row],[Date]])</f>
        <v>#N/A</v>
      </c>
      <c r="AC21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16" spans="1:29" ht="14.5" hidden="1">
      <c r="A2116" s="220" t="str">
        <f t="shared" si="74"/>
        <v>2112</v>
      </c>
      <c r="B2116" s="221"/>
      <c r="C2116" s="221" t="s">
        <v>49</v>
      </c>
      <c r="D2116" s="221" t="s">
        <v>4220</v>
      </c>
      <c r="E2116" s="221" t="s">
        <v>3295</v>
      </c>
      <c r="F2116" s="221" t="s">
        <v>3299</v>
      </c>
      <c r="G2116" s="222">
        <v>45548</v>
      </c>
      <c r="H2116" s="223">
        <v>0.34791666666666665</v>
      </c>
      <c r="I2116" s="221" t="s">
        <v>4916</v>
      </c>
      <c r="J2116" s="221" t="s">
        <v>3023</v>
      </c>
      <c r="K2116" s="224" t="s">
        <v>3071</v>
      </c>
      <c r="L2116" s="225" t="str">
        <f>VLOOKUP(Logfile_S12[[#This Row],[Material Name]],Sheet2!B:C,2,0)</f>
        <v>ZTE1003</v>
      </c>
      <c r="M2116" s="225" t="str">
        <f>_xlfn.XLOOKUP(Logfile_S12[[#This Row],[Material Name]],Sum_WH!E:E,Sum_WH!F:F,"",0)</f>
        <v>Pcs</v>
      </c>
      <c r="N2116" s="221">
        <v>1</v>
      </c>
      <c r="O2116" s="221" t="s">
        <v>1955</v>
      </c>
      <c r="P2116" s="221" t="s">
        <v>3512</v>
      </c>
      <c r="Q2116" s="221"/>
      <c r="R2116" s="221"/>
      <c r="S2116" s="221"/>
      <c r="T2116" s="221" t="s">
        <v>3258</v>
      </c>
      <c r="U2116" s="221" t="s">
        <v>3228</v>
      </c>
      <c r="V2116" s="221" t="s">
        <v>3337</v>
      </c>
      <c r="W2116" s="221" t="s">
        <v>3338</v>
      </c>
      <c r="X2116" s="221"/>
      <c r="Y2116" s="227"/>
      <c r="Z2116" s="227" t="str">
        <f t="shared" si="75"/>
        <v>SENGGURUH RW 02 MALANG</v>
      </c>
      <c r="AA2116" s="276" t="e">
        <f>VLOOKUP(Logfile_S12[[#This Row],[DO number]],DO_DB!G:I,3,0)</f>
        <v>#N/A</v>
      </c>
      <c r="AB2116" s="331" t="e">
        <f>EXACT(Logfile_S12[[#This Row],[date pick]],Logfile_S12[[#This Row],[Date]])</f>
        <v>#N/A</v>
      </c>
      <c r="AC21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17" spans="1:29" ht="14.5" hidden="1">
      <c r="A2117" s="220" t="str">
        <f t="shared" ref="A2117:A2180" si="76">TEXT(ROW(A2117)-ROW($A$4),"000")</f>
        <v>2113</v>
      </c>
      <c r="B2117" s="221"/>
      <c r="C2117" s="221" t="s">
        <v>49</v>
      </c>
      <c r="D2117" s="221" t="s">
        <v>4220</v>
      </c>
      <c r="E2117" s="221" t="s">
        <v>3295</v>
      </c>
      <c r="F2117" s="221" t="s">
        <v>3299</v>
      </c>
      <c r="G2117" s="222">
        <v>45548</v>
      </c>
      <c r="H2117" s="223">
        <v>0.34791666666666665</v>
      </c>
      <c r="I2117" s="221" t="s">
        <v>4916</v>
      </c>
      <c r="J2117" s="221" t="s">
        <v>3023</v>
      </c>
      <c r="K2117" s="224" t="s">
        <v>3071</v>
      </c>
      <c r="L2117" s="225" t="str">
        <f>VLOOKUP(Logfile_S12[[#This Row],[Material Name]],Sheet2!B:C,2,0)</f>
        <v>ZTE1003</v>
      </c>
      <c r="M2117" s="225" t="str">
        <f>_xlfn.XLOOKUP(Logfile_S12[[#This Row],[Material Name]],Sum_WH!E:E,Sum_WH!F:F,"",0)</f>
        <v>Pcs</v>
      </c>
      <c r="N2117" s="221">
        <v>3</v>
      </c>
      <c r="O2117" s="221" t="s">
        <v>1917</v>
      </c>
      <c r="P2117" s="221" t="s">
        <v>1918</v>
      </c>
      <c r="Q2117" s="221"/>
      <c r="R2117" s="221"/>
      <c r="S2117" s="221"/>
      <c r="T2117" s="221" t="s">
        <v>3258</v>
      </c>
      <c r="U2117" s="221" t="s">
        <v>3228</v>
      </c>
      <c r="V2117" s="221" t="s">
        <v>3337</v>
      </c>
      <c r="W2117" s="221" t="s">
        <v>3338</v>
      </c>
      <c r="X2117" s="221"/>
      <c r="Y2117" s="227"/>
      <c r="Z2117" s="227" t="str">
        <f t="shared" si="75"/>
        <v>Dilem RW 04 Kepanjen</v>
      </c>
      <c r="AA2117" s="276" t="e">
        <f>VLOOKUP(Logfile_S12[[#This Row],[DO number]],DO_DB!G:I,3,0)</f>
        <v>#N/A</v>
      </c>
      <c r="AB2117" s="331" t="e">
        <f>EXACT(Logfile_S12[[#This Row],[date pick]],Logfile_S12[[#This Row],[Date]])</f>
        <v>#N/A</v>
      </c>
      <c r="AC21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18" spans="1:29" ht="14.5" hidden="1">
      <c r="A2118" s="220" t="str">
        <f t="shared" si="76"/>
        <v>2114</v>
      </c>
      <c r="B2118" s="221"/>
      <c r="C2118" s="221" t="s">
        <v>49</v>
      </c>
      <c r="D2118" s="221" t="s">
        <v>4221</v>
      </c>
      <c r="E2118" s="221" t="s">
        <v>3295</v>
      </c>
      <c r="F2118" s="221" t="s">
        <v>3299</v>
      </c>
      <c r="G2118" s="222">
        <v>45553</v>
      </c>
      <c r="H2118" s="223">
        <v>0.43125000000000002</v>
      </c>
      <c r="I2118" s="221" t="s">
        <v>4916</v>
      </c>
      <c r="J2118" s="221" t="s">
        <v>3023</v>
      </c>
      <c r="K2118" s="224" t="s">
        <v>3071</v>
      </c>
      <c r="L2118" s="225" t="str">
        <f>VLOOKUP(Logfile_S12[[#This Row],[Material Name]],Sheet2!B:C,2,0)</f>
        <v>ZTE1003</v>
      </c>
      <c r="M2118" s="225" t="str">
        <f>_xlfn.XLOOKUP(Logfile_S12[[#This Row],[Material Name]],Sum_WH!E:E,Sum_WH!F:F,"",0)</f>
        <v>Pcs</v>
      </c>
      <c r="N2118" s="221">
        <v>2</v>
      </c>
      <c r="O2118" s="221" t="s">
        <v>1923</v>
      </c>
      <c r="P2118" s="221" t="s">
        <v>1924</v>
      </c>
      <c r="Q2118" s="221"/>
      <c r="R2118" s="221"/>
      <c r="S2118" s="221"/>
      <c r="T2118" s="221" t="s">
        <v>3258</v>
      </c>
      <c r="U2118" s="221">
        <v>0</v>
      </c>
      <c r="V2118" s="221" t="s">
        <v>3337</v>
      </c>
      <c r="W2118" s="221" t="s">
        <v>3338</v>
      </c>
      <c r="X2118" s="221"/>
      <c r="Y2118" s="227"/>
      <c r="Z2118" s="227" t="str">
        <f t="shared" si="75"/>
        <v>Pakisaji RW 01 Malang</v>
      </c>
      <c r="AA2118" s="276" t="e">
        <f>VLOOKUP(Logfile_S12[[#This Row],[DO number]],DO_DB!G:I,3,0)</f>
        <v>#N/A</v>
      </c>
      <c r="AB2118" s="331" t="e">
        <f>EXACT(Logfile_S12[[#This Row],[date pick]],Logfile_S12[[#This Row],[Date]])</f>
        <v>#N/A</v>
      </c>
      <c r="AC21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19" spans="1:29" ht="14.5" hidden="1">
      <c r="A2119" s="220" t="str">
        <f t="shared" si="76"/>
        <v>2115</v>
      </c>
      <c r="B2119" s="221"/>
      <c r="C2119" s="221" t="s">
        <v>48</v>
      </c>
      <c r="D2119" s="221" t="s">
        <v>4228</v>
      </c>
      <c r="E2119" s="221" t="s">
        <v>3295</v>
      </c>
      <c r="F2119" s="221" t="s">
        <v>3299</v>
      </c>
      <c r="G2119" s="222">
        <v>45555</v>
      </c>
      <c r="H2119" s="223">
        <v>15.291666666666666</v>
      </c>
      <c r="I2119" s="221" t="s">
        <v>37</v>
      </c>
      <c r="J2119" s="221" t="s">
        <v>3023</v>
      </c>
      <c r="K2119" s="224" t="s">
        <v>3071</v>
      </c>
      <c r="L2119" s="225" t="str">
        <f>VLOOKUP(Logfile_S12[[#This Row],[Material Name]],Sheet2!B:C,2,0)</f>
        <v>ZTE1003</v>
      </c>
      <c r="M2119" s="225" t="str">
        <f>_xlfn.XLOOKUP(Logfile_S12[[#This Row],[Material Name]],Sum_WH!E:E,Sum_WH!F:F,"",0)</f>
        <v>Pcs</v>
      </c>
      <c r="N2119" s="221">
        <v>10</v>
      </c>
      <c r="O2119" s="221" t="s">
        <v>2013</v>
      </c>
      <c r="P2119" s="221" t="s">
        <v>2014</v>
      </c>
      <c r="Q2119" s="221">
        <v>0</v>
      </c>
      <c r="R2119" s="221">
        <v>0</v>
      </c>
      <c r="S2119" s="221"/>
      <c r="T2119" s="221"/>
      <c r="U2119" s="221"/>
      <c r="V2119" s="221"/>
      <c r="W2119" s="221"/>
      <c r="X2119" s="221"/>
      <c r="Y2119" s="227"/>
      <c r="Z2119" s="227" t="str">
        <f t="shared" si="75"/>
        <v>Perumahan Panca Garden</v>
      </c>
      <c r="AA2119" s="276" t="e">
        <f>VLOOKUP(Logfile_S12[[#This Row],[DO number]],DO_DB!G:I,3,0)</f>
        <v>#N/A</v>
      </c>
      <c r="AB2119" s="331" t="e">
        <f>EXACT(Logfile_S12[[#This Row],[date pick]],Logfile_S12[[#This Row],[Date]])</f>
        <v>#N/A</v>
      </c>
      <c r="AC21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20" spans="1:29" ht="14.5" hidden="1">
      <c r="A2120" s="220" t="str">
        <f t="shared" si="76"/>
        <v>2116</v>
      </c>
      <c r="B2120" s="221"/>
      <c r="C2120" s="221" t="s">
        <v>49</v>
      </c>
      <c r="D2120" s="221" t="s">
        <v>4232</v>
      </c>
      <c r="E2120" s="221" t="s">
        <v>3295</v>
      </c>
      <c r="F2120" s="221" t="s">
        <v>3299</v>
      </c>
      <c r="G2120" s="222">
        <v>45561</v>
      </c>
      <c r="H2120" s="223">
        <v>0.37847222222222221</v>
      </c>
      <c r="I2120" s="221" t="s">
        <v>4916</v>
      </c>
      <c r="J2120" s="221" t="s">
        <v>3023</v>
      </c>
      <c r="K2120" s="224" t="s">
        <v>3071</v>
      </c>
      <c r="L2120" s="225" t="str">
        <f>VLOOKUP(Logfile_S12[[#This Row],[Material Name]],Sheet2!B:C,2,0)</f>
        <v>ZTE1003</v>
      </c>
      <c r="M2120" s="225" t="str">
        <f>_xlfn.XLOOKUP(Logfile_S12[[#This Row],[Material Name]],Sum_WH!E:E,Sum_WH!F:F,"",0)</f>
        <v>Pcs</v>
      </c>
      <c r="N2120" s="221">
        <v>4</v>
      </c>
      <c r="O2120" s="221" t="s">
        <v>2166</v>
      </c>
      <c r="P2120" s="221" t="s">
        <v>2167</v>
      </c>
      <c r="Q2120" s="221"/>
      <c r="R2120" s="221"/>
      <c r="S2120" s="221"/>
      <c r="T2120" s="221" t="s">
        <v>3258</v>
      </c>
      <c r="U2120" s="221">
        <v>0</v>
      </c>
      <c r="V2120" s="221" t="s">
        <v>3337</v>
      </c>
      <c r="W2120" s="221" t="s">
        <v>3338</v>
      </c>
      <c r="X2120" s="221"/>
      <c r="Y2120" s="227"/>
      <c r="Z2120" s="227" t="str">
        <f t="shared" si="75"/>
        <v>Dusun Mojosari Ngenep</v>
      </c>
      <c r="AA2120" s="276" t="e">
        <f>VLOOKUP(Logfile_S12[[#This Row],[DO number]],DO_DB!G:I,3,0)</f>
        <v>#N/A</v>
      </c>
      <c r="AB2120" s="331" t="e">
        <f>EXACT(Logfile_S12[[#This Row],[date pick]],Logfile_S12[[#This Row],[Date]])</f>
        <v>#N/A</v>
      </c>
      <c r="AC21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21" spans="1:29" ht="14.5" hidden="1">
      <c r="A2121" s="220" t="str">
        <f t="shared" si="76"/>
        <v>2117</v>
      </c>
      <c r="B2121" s="221"/>
      <c r="C2121" s="221" t="s">
        <v>3449</v>
      </c>
      <c r="D2121" s="221" t="s">
        <v>4253</v>
      </c>
      <c r="E2121" s="221" t="s">
        <v>3295</v>
      </c>
      <c r="F2121" s="221" t="s">
        <v>3299</v>
      </c>
      <c r="G2121" s="222">
        <v>45588</v>
      </c>
      <c r="H2121" s="223">
        <v>0.79791666666666672</v>
      </c>
      <c r="I2121" s="221" t="s">
        <v>3193</v>
      </c>
      <c r="J2121" s="221" t="s">
        <v>3023</v>
      </c>
      <c r="K2121" s="224" t="s">
        <v>3071</v>
      </c>
      <c r="L2121" s="225" t="str">
        <f>VLOOKUP(Logfile_S12[[#This Row],[Material Name]],Sheet2!B:C,2,0)</f>
        <v>ZTE1003</v>
      </c>
      <c r="M2121" s="225" t="str">
        <f>_xlfn.XLOOKUP(Logfile_S12[[#This Row],[Material Name]],Sum_WH!E:E,Sum_WH!F:F,"",0)</f>
        <v>Pcs</v>
      </c>
      <c r="N2121" s="221">
        <v>7</v>
      </c>
      <c r="O2121" s="221" t="s">
        <v>3433</v>
      </c>
      <c r="P2121" s="221" t="s">
        <v>3450</v>
      </c>
      <c r="Q2121" s="221"/>
      <c r="R2121" s="221"/>
      <c r="S2121" s="221"/>
      <c r="T2121" s="221">
        <v>0</v>
      </c>
      <c r="U2121" s="221">
        <v>0</v>
      </c>
      <c r="V2121" s="221">
        <v>0</v>
      </c>
      <c r="W2121" s="221">
        <v>0</v>
      </c>
      <c r="X2121" s="221" t="s">
        <v>3601</v>
      </c>
      <c r="Y2121" s="227"/>
      <c r="Z2121" s="227" t="str">
        <f t="shared" si="75"/>
        <v>BEAUT</v>
      </c>
      <c r="AA2121" s="276" t="e">
        <f>VLOOKUP(Logfile_S12[[#This Row],[DO number]],DO_DB!G:I,3,0)</f>
        <v>#N/A</v>
      </c>
      <c r="AB2121" s="331" t="e">
        <f>EXACT(Logfile_S12[[#This Row],[date pick]],Logfile_S12[[#This Row],[Date]])</f>
        <v>#N/A</v>
      </c>
      <c r="AC21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2122" spans="1:29" ht="14.5" hidden="1">
      <c r="A2122" s="220" t="str">
        <f t="shared" si="76"/>
        <v>2118</v>
      </c>
      <c r="B2122" s="221"/>
      <c r="C2122" s="221" t="s">
        <v>48</v>
      </c>
      <c r="D2122" s="221" t="s">
        <v>4290</v>
      </c>
      <c r="E2122" s="221" t="s">
        <v>3295</v>
      </c>
      <c r="F2122" s="221" t="s">
        <v>3299</v>
      </c>
      <c r="G2122" s="222">
        <v>45622</v>
      </c>
      <c r="H2122" s="223">
        <v>15.291666666666666</v>
      </c>
      <c r="I2122" s="221" t="s">
        <v>37</v>
      </c>
      <c r="J2122" s="221" t="s">
        <v>3023</v>
      </c>
      <c r="K2122" s="224" t="s">
        <v>3071</v>
      </c>
      <c r="L2122" s="225" t="str">
        <f>VLOOKUP(Logfile_S12[[#This Row],[Material Name]],Sheet2!B:C,2,0)</f>
        <v>ZTE1003</v>
      </c>
      <c r="M2122" s="225" t="str">
        <f>_xlfn.XLOOKUP(Logfile_S12[[#This Row],[Material Name]],Sum_WH!E:E,Sum_WH!F:F,"",0)</f>
        <v>Pcs</v>
      </c>
      <c r="N2122" s="221">
        <v>2</v>
      </c>
      <c r="O2122" s="221" t="s">
        <v>2508</v>
      </c>
      <c r="P2122" s="221" t="s">
        <v>3468</v>
      </c>
      <c r="Q2122" s="221" t="s">
        <v>2510</v>
      </c>
      <c r="R2122" s="221" t="s">
        <v>2511</v>
      </c>
      <c r="S2122" s="221"/>
      <c r="T2122" s="221"/>
      <c r="U2122" s="221"/>
      <c r="V2122" s="221"/>
      <c r="W2122" s="221"/>
      <c r="X2122" s="221"/>
      <c r="Y2122" s="227"/>
      <c r="Z2122" s="227" t="str">
        <f t="shared" si="75"/>
        <v>Bedali RW 04 Kromengan</v>
      </c>
      <c r="AA2122" s="276">
        <f>VLOOKUP(Logfile_S12[[#This Row],[DO number]],DO_DB!G:I,3,0)</f>
        <v>45622</v>
      </c>
      <c r="AB2122" s="331" t="b">
        <f>EXACT(Logfile_S12[[#This Row],[date pick]],Logfile_S12[[#This Row],[Date]])</f>
        <v>1</v>
      </c>
      <c r="AC21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23" spans="1:29" ht="14.5" hidden="1">
      <c r="A2123" s="220" t="str">
        <f t="shared" si="76"/>
        <v>2119</v>
      </c>
      <c r="B2123" s="221"/>
      <c r="C2123" s="221" t="s">
        <v>48</v>
      </c>
      <c r="D2123" s="221" t="s">
        <v>4290</v>
      </c>
      <c r="E2123" s="221" t="s">
        <v>3295</v>
      </c>
      <c r="F2123" s="221" t="s">
        <v>3299</v>
      </c>
      <c r="G2123" s="222">
        <v>45622</v>
      </c>
      <c r="H2123" s="223">
        <v>15.291666666666666</v>
      </c>
      <c r="I2123" s="221" t="s">
        <v>37</v>
      </c>
      <c r="J2123" s="221" t="s">
        <v>3023</v>
      </c>
      <c r="K2123" s="224" t="s">
        <v>3071</v>
      </c>
      <c r="L2123" s="225" t="str">
        <f>VLOOKUP(Logfile_S12[[#This Row],[Material Name]],Sheet2!B:C,2,0)</f>
        <v>ZTE1003</v>
      </c>
      <c r="M2123" s="225" t="str">
        <f>_xlfn.XLOOKUP(Logfile_S12[[#This Row],[Material Name]],Sum_WH!E:E,Sum_WH!F:F,"",0)</f>
        <v>Pcs</v>
      </c>
      <c r="N2123" s="221">
        <v>2</v>
      </c>
      <c r="O2123" s="221" t="s">
        <v>2514</v>
      </c>
      <c r="P2123" s="221" t="s">
        <v>2515</v>
      </c>
      <c r="Q2123" s="221" t="s">
        <v>2516</v>
      </c>
      <c r="R2123" s="221" t="s">
        <v>2517</v>
      </c>
      <c r="S2123" s="221"/>
      <c r="T2123" s="221"/>
      <c r="U2123" s="221"/>
      <c r="V2123" s="221"/>
      <c r="W2123" s="221"/>
      <c r="X2123" s="221"/>
      <c r="Y2123" s="227"/>
      <c r="Z2123" s="227" t="str">
        <f t="shared" si="75"/>
        <v>Bedali RW 05 Kromengan</v>
      </c>
      <c r="AA2123" s="276">
        <f>VLOOKUP(Logfile_S12[[#This Row],[DO number]],DO_DB!G:I,3,0)</f>
        <v>45622</v>
      </c>
      <c r="AB2123" s="331" t="b">
        <f>EXACT(Logfile_S12[[#This Row],[date pick]],Logfile_S12[[#This Row],[Date]])</f>
        <v>1</v>
      </c>
      <c r="AC21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24" spans="1:29" ht="14.5" hidden="1">
      <c r="A2124" s="220" t="str">
        <f t="shared" si="76"/>
        <v>2120</v>
      </c>
      <c r="B2124" s="221"/>
      <c r="C2124" s="221" t="s">
        <v>3429</v>
      </c>
      <c r="D2124" s="221" t="s">
        <v>4291</v>
      </c>
      <c r="E2124" s="221" t="s">
        <v>3295</v>
      </c>
      <c r="F2124" s="221" t="s">
        <v>3299</v>
      </c>
      <c r="G2124" s="222">
        <v>45622</v>
      </c>
      <c r="H2124" s="223">
        <v>15.291666666666666</v>
      </c>
      <c r="I2124" s="221" t="s">
        <v>3193</v>
      </c>
      <c r="J2124" s="221" t="s">
        <v>3023</v>
      </c>
      <c r="K2124" s="224" t="s">
        <v>3071</v>
      </c>
      <c r="L2124" s="225" t="str">
        <f>VLOOKUP(Logfile_S12[[#This Row],[Material Name]],Sheet2!B:C,2,0)</f>
        <v>ZTE1003</v>
      </c>
      <c r="M2124" s="225" t="str">
        <f>_xlfn.XLOOKUP(Logfile_S12[[#This Row],[Material Name]],Sum_WH!E:E,Sum_WH!F:F,"",0)</f>
        <v>Pcs</v>
      </c>
      <c r="N2124" s="221">
        <v>7</v>
      </c>
      <c r="O2124" s="221" t="s">
        <v>3433</v>
      </c>
      <c r="P2124" s="221" t="s">
        <v>3450</v>
      </c>
      <c r="Q2124" s="221">
        <v>0</v>
      </c>
      <c r="R2124" s="221">
        <v>0</v>
      </c>
      <c r="S2124" s="221"/>
      <c r="T2124" s="221"/>
      <c r="U2124" s="221"/>
      <c r="V2124" s="221"/>
      <c r="W2124" s="221"/>
      <c r="X2124" s="221" t="s">
        <v>3455</v>
      </c>
      <c r="Y2124" s="227"/>
      <c r="Z2124" s="227" t="str">
        <f t="shared" ref="Z2124:Z2187" si="77">P2124</f>
        <v>BEAUT</v>
      </c>
      <c r="AA2124" s="276" t="e">
        <f>VLOOKUP(Logfile_S12[[#This Row],[DO number]],DO_DB!G:I,3,0)</f>
        <v>#N/A</v>
      </c>
      <c r="AB2124" s="331" t="e">
        <f>EXACT(Logfile_S12[[#This Row],[date pick]],Logfile_S12[[#This Row],[Date]])</f>
        <v>#N/A</v>
      </c>
      <c r="AC21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25" spans="1:29" ht="14.5" hidden="1">
      <c r="A2125" s="220" t="str">
        <f t="shared" si="76"/>
        <v>2121</v>
      </c>
      <c r="B2125" s="221"/>
      <c r="C2125" s="221" t="s">
        <v>48</v>
      </c>
      <c r="D2125" s="221" t="s">
        <v>4293</v>
      </c>
      <c r="E2125" s="221" t="s">
        <v>3295</v>
      </c>
      <c r="F2125" s="221" t="s">
        <v>3299</v>
      </c>
      <c r="G2125" s="222">
        <v>45623</v>
      </c>
      <c r="H2125" s="223">
        <v>15.291666666666666</v>
      </c>
      <c r="I2125" s="221" t="s">
        <v>3586</v>
      </c>
      <c r="J2125" s="221" t="s">
        <v>3023</v>
      </c>
      <c r="K2125" s="224" t="s">
        <v>3071</v>
      </c>
      <c r="L2125" s="225" t="str">
        <f>VLOOKUP(Logfile_S12[[#This Row],[Material Name]],Sheet2!B:C,2,0)</f>
        <v>ZTE1003</v>
      </c>
      <c r="M2125" s="225" t="str">
        <f>_xlfn.XLOOKUP(Logfile_S12[[#This Row],[Material Name]],Sum_WH!E:E,Sum_WH!F:F,"",0)</f>
        <v>Pcs</v>
      </c>
      <c r="N2125" s="221">
        <v>2</v>
      </c>
      <c r="O2125" s="221"/>
      <c r="P2125" s="221"/>
      <c r="Q2125" s="221">
        <v>0</v>
      </c>
      <c r="R2125" s="221">
        <v>0</v>
      </c>
      <c r="S2125" s="221"/>
      <c r="T2125" s="221"/>
      <c r="U2125" s="221"/>
      <c r="V2125" s="221"/>
      <c r="W2125" s="221"/>
      <c r="X2125" s="221" t="s">
        <v>3602</v>
      </c>
      <c r="Y2125" s="227"/>
      <c r="Z2125" s="227">
        <f t="shared" si="77"/>
        <v>0</v>
      </c>
      <c r="AA2125" s="276" t="e">
        <f>VLOOKUP(Logfile_S12[[#This Row],[DO number]],DO_DB!G:I,3,0)</f>
        <v>#N/A</v>
      </c>
      <c r="AB2125" s="331" t="e">
        <f>EXACT(Logfile_S12[[#This Row],[date pick]],Logfile_S12[[#This Row],[Date]])</f>
        <v>#N/A</v>
      </c>
      <c r="AC21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26" spans="1:29" ht="14.5" hidden="1">
      <c r="A2126" s="220" t="str">
        <f t="shared" si="76"/>
        <v>2122</v>
      </c>
      <c r="B2126" s="221"/>
      <c r="C2126" s="221" t="s">
        <v>49</v>
      </c>
      <c r="D2126" s="221" t="s">
        <v>4297</v>
      </c>
      <c r="E2126" s="221" t="s">
        <v>3295</v>
      </c>
      <c r="F2126" s="221" t="s">
        <v>3299</v>
      </c>
      <c r="G2126" s="222">
        <v>45627</v>
      </c>
      <c r="H2126" s="223">
        <v>0.39583333333333331</v>
      </c>
      <c r="I2126" s="221" t="s">
        <v>4916</v>
      </c>
      <c r="J2126" s="221" t="s">
        <v>3023</v>
      </c>
      <c r="K2126" s="224" t="s">
        <v>3071</v>
      </c>
      <c r="L2126" s="225" t="str">
        <f>VLOOKUP(Logfile_S12[[#This Row],[Material Name]],Sheet2!B:C,2,0)</f>
        <v>ZTE1003</v>
      </c>
      <c r="M2126" s="225" t="str">
        <f>_xlfn.XLOOKUP(Logfile_S12[[#This Row],[Material Name]],Sum_WH!E:E,Sum_WH!F:F,"",0)</f>
        <v>Pcs</v>
      </c>
      <c r="N2126" s="221">
        <v>7</v>
      </c>
      <c r="O2126" s="221" t="s">
        <v>2502</v>
      </c>
      <c r="P2126" s="221" t="s">
        <v>2503</v>
      </c>
      <c r="Q2126" s="221"/>
      <c r="R2126" s="221"/>
      <c r="S2126" s="221"/>
      <c r="T2126" s="221" t="s">
        <v>3258</v>
      </c>
      <c r="U2126" s="221">
        <v>0</v>
      </c>
      <c r="V2126" s="221" t="s">
        <v>3337</v>
      </c>
      <c r="W2126" s="221" t="s">
        <v>3338</v>
      </c>
      <c r="X2126" s="221"/>
      <c r="Y2126" s="227"/>
      <c r="Z2126" s="227" t="str">
        <f t="shared" si="77"/>
        <v>Bedali RW 03 Kromengan</v>
      </c>
      <c r="AA2126" s="276" t="e">
        <f>VLOOKUP(Logfile_S12[[#This Row],[DO number]],DO_DB!G:I,3,0)</f>
        <v>#N/A</v>
      </c>
      <c r="AB2126" s="331" t="e">
        <f>EXACT(Logfile_S12[[#This Row],[date pick]],Logfile_S12[[#This Row],[Date]])</f>
        <v>#N/A</v>
      </c>
      <c r="AC21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27" spans="1:29" ht="14.5" hidden="1">
      <c r="A2127" s="220" t="str">
        <f t="shared" si="76"/>
        <v>2123</v>
      </c>
      <c r="B2127" s="221"/>
      <c r="C2127" s="221" t="s">
        <v>49</v>
      </c>
      <c r="D2127" s="221" t="s">
        <v>4341</v>
      </c>
      <c r="E2127" s="221" t="s">
        <v>3295</v>
      </c>
      <c r="F2127" s="221" t="s">
        <v>3299</v>
      </c>
      <c r="G2127" s="222">
        <v>45709</v>
      </c>
      <c r="H2127" s="223">
        <v>0.63124999999999998</v>
      </c>
      <c r="I2127" s="221" t="s">
        <v>4916</v>
      </c>
      <c r="J2127" s="221" t="s">
        <v>3023</v>
      </c>
      <c r="K2127" s="224" t="s">
        <v>3220</v>
      </c>
      <c r="L2127" s="225" t="str">
        <f>VLOOKUP(Logfile_S12[[#This Row],[Material Name]],Sheet2!B:C,2,0)</f>
        <v>ZTE1003</v>
      </c>
      <c r="M2127" s="225" t="str">
        <f>_xlfn.XLOOKUP(Logfile_S12[[#This Row],[Material Name]],Sum_WH!E:E,Sum_WH!F:F,"",0)</f>
        <v>Pcs</v>
      </c>
      <c r="N2127" s="221">
        <v>2</v>
      </c>
      <c r="O2127" s="221" t="s">
        <v>2648</v>
      </c>
      <c r="P2127" s="221" t="s">
        <v>2649</v>
      </c>
      <c r="Q2127" s="221"/>
      <c r="R2127" s="221"/>
      <c r="S2127" s="221"/>
      <c r="T2127" s="221" t="s">
        <v>3258</v>
      </c>
      <c r="U2127" s="221">
        <v>0</v>
      </c>
      <c r="V2127" s="221" t="s">
        <v>3337</v>
      </c>
      <c r="W2127" s="221" t="s">
        <v>3338</v>
      </c>
      <c r="X2127" s="221"/>
      <c r="Y2127" s="227"/>
      <c r="Z2127" s="227" t="str">
        <f t="shared" si="77"/>
        <v>Sitirejo RW 04 Wagir</v>
      </c>
      <c r="AA2127" s="276" t="e">
        <f>VLOOKUP(Logfile_S12[[#This Row],[DO number]],DO_DB!G:I,3,0)</f>
        <v>#N/A</v>
      </c>
      <c r="AB2127" s="331" t="e">
        <f>EXACT(Logfile_S12[[#This Row],[date pick]],Logfile_S12[[#This Row],[Date]])</f>
        <v>#N/A</v>
      </c>
      <c r="AC21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28" spans="1:29" ht="14.5" hidden="1">
      <c r="A2128" s="220" t="str">
        <f t="shared" si="76"/>
        <v>2124</v>
      </c>
      <c r="B2128" s="221"/>
      <c r="C2128" s="221" t="s">
        <v>49</v>
      </c>
      <c r="D2128" s="221" t="s">
        <v>4360</v>
      </c>
      <c r="E2128" s="221" t="s">
        <v>3295</v>
      </c>
      <c r="F2128" s="221" t="s">
        <v>3299</v>
      </c>
      <c r="G2128" s="222">
        <v>45741</v>
      </c>
      <c r="H2128" s="223">
        <v>0.83125000000000004</v>
      </c>
      <c r="I2128" s="221" t="s">
        <v>4916</v>
      </c>
      <c r="J2128" s="221" t="s">
        <v>3023</v>
      </c>
      <c r="K2128" s="224" t="s">
        <v>3220</v>
      </c>
      <c r="L2128" s="225" t="str">
        <f>VLOOKUP(Logfile_S12[[#This Row],[Material Name]],Sheet2!B:C,2,0)</f>
        <v>ZTE1003</v>
      </c>
      <c r="M2128" s="225" t="str">
        <f>_xlfn.XLOOKUP(Logfile_S12[[#This Row],[Material Name]],Sum_WH!E:E,Sum_WH!F:F,"",0)</f>
        <v>Pcs</v>
      </c>
      <c r="N2128" s="221">
        <v>1</v>
      </c>
      <c r="O2128" s="221" t="s">
        <v>2664</v>
      </c>
      <c r="P2128" s="221" t="s">
        <v>2665</v>
      </c>
      <c r="Q2128" s="221"/>
      <c r="R2128" s="221"/>
      <c r="S2128" s="221"/>
      <c r="T2128" s="221" t="s">
        <v>3258</v>
      </c>
      <c r="U2128" s="221">
        <v>0</v>
      </c>
      <c r="V2128" s="221" t="s">
        <v>3337</v>
      </c>
      <c r="W2128" s="221" t="s">
        <v>3338</v>
      </c>
      <c r="X2128" s="221"/>
      <c r="Y2128" s="227"/>
      <c r="Z2128" s="227" t="str">
        <f t="shared" si="77"/>
        <v>Temas RW 04</v>
      </c>
      <c r="AA2128" s="276" t="e">
        <f>VLOOKUP(Logfile_S12[[#This Row],[DO number]],DO_DB!G:I,3,0)</f>
        <v>#N/A</v>
      </c>
      <c r="AB2128" s="331" t="e">
        <f>EXACT(Logfile_S12[[#This Row],[date pick]],Logfile_S12[[#This Row],[Date]])</f>
        <v>#N/A</v>
      </c>
      <c r="AC21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29" spans="1:29" ht="14.5" hidden="1">
      <c r="A2129" s="220" t="str">
        <f t="shared" si="76"/>
        <v>2125</v>
      </c>
      <c r="B2129" s="221"/>
      <c r="C2129" s="221" t="s">
        <v>49</v>
      </c>
      <c r="D2129" s="221" t="s">
        <v>4368</v>
      </c>
      <c r="E2129" s="221" t="s">
        <v>3295</v>
      </c>
      <c r="F2129" s="221" t="s">
        <v>3299</v>
      </c>
      <c r="G2129" s="222">
        <v>45805</v>
      </c>
      <c r="H2129" s="223">
        <v>0.5395833333333333</v>
      </c>
      <c r="I2129" s="221" t="s">
        <v>4916</v>
      </c>
      <c r="J2129" s="221" t="s">
        <v>3023</v>
      </c>
      <c r="K2129" s="224" t="s">
        <v>3071</v>
      </c>
      <c r="L2129" s="225" t="str">
        <f>VLOOKUP(Logfile_S12[[#This Row],[Material Name]],Sheet2!B:C,2,0)</f>
        <v>ZTE1003</v>
      </c>
      <c r="M2129" s="225" t="str">
        <f>_xlfn.XLOOKUP(Logfile_S12[[#This Row],[Material Name]],Sum_WH!E:E,Sum_WH!F:F,"",0)</f>
        <v>Pcs</v>
      </c>
      <c r="N2129" s="221">
        <v>3</v>
      </c>
      <c r="O2129" s="221" t="s">
        <v>2825</v>
      </c>
      <c r="P2129" s="221" t="s">
        <v>2826</v>
      </c>
      <c r="Q2129" s="221"/>
      <c r="R2129" s="221"/>
      <c r="S2129" s="221"/>
      <c r="T2129" s="221" t="s">
        <v>3258</v>
      </c>
      <c r="U2129" s="221">
        <v>0</v>
      </c>
      <c r="V2129" s="221" t="s">
        <v>3337</v>
      </c>
      <c r="W2129" s="221" t="s">
        <v>3338</v>
      </c>
      <c r="X2129" s="221"/>
      <c r="Y2129" s="227"/>
      <c r="Z2129" s="227" t="str">
        <f t="shared" si="77"/>
        <v>ARJOWINANGUN RW 01 MALANG</v>
      </c>
      <c r="AA2129" s="276" t="e">
        <f>VLOOKUP(Logfile_S12[[#This Row],[DO number]],DO_DB!G:I,3,0)</f>
        <v>#N/A</v>
      </c>
      <c r="AB2129" s="331" t="e">
        <f>EXACT(Logfile_S12[[#This Row],[date pick]],Logfile_S12[[#This Row],[Date]])</f>
        <v>#N/A</v>
      </c>
      <c r="AC21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30" spans="1:29" ht="14.5" hidden="1">
      <c r="A2130" s="220" t="str">
        <f t="shared" si="76"/>
        <v>2126</v>
      </c>
      <c r="B2130" s="221"/>
      <c r="C2130" s="221" t="s">
        <v>48</v>
      </c>
      <c r="D2130" s="221" t="s">
        <v>4371</v>
      </c>
      <c r="E2130" s="221" t="s">
        <v>3295</v>
      </c>
      <c r="F2130" s="221" t="s">
        <v>3299</v>
      </c>
      <c r="G2130" s="222">
        <v>45821</v>
      </c>
      <c r="H2130" s="223">
        <v>15.291666666666666</v>
      </c>
      <c r="I2130" s="221" t="s">
        <v>37</v>
      </c>
      <c r="J2130" s="221" t="s">
        <v>3023</v>
      </c>
      <c r="K2130" s="224" t="s">
        <v>3071</v>
      </c>
      <c r="L2130" s="225" t="str">
        <f>VLOOKUP(Logfile_S12[[#This Row],[Material Name]],Sheet2!B:C,2,0)</f>
        <v>ZTE1003</v>
      </c>
      <c r="M2130" s="225" t="str">
        <f>_xlfn.XLOOKUP(Logfile_S12[[#This Row],[Material Name]],Sum_WH!E:E,Sum_WH!F:F,"",0)</f>
        <v>Pcs</v>
      </c>
      <c r="N2130" s="221">
        <v>10</v>
      </c>
      <c r="O2130" s="221"/>
      <c r="P2130" s="221"/>
      <c r="Q2130" s="221">
        <v>0</v>
      </c>
      <c r="R2130" s="221">
        <v>0</v>
      </c>
      <c r="S2130" s="221"/>
      <c r="T2130" s="221"/>
      <c r="U2130" s="221"/>
      <c r="V2130" s="221"/>
      <c r="W2130" s="221"/>
      <c r="X2130" s="221"/>
      <c r="Y2130" s="227"/>
      <c r="Z2130" s="227">
        <f t="shared" si="77"/>
        <v>0</v>
      </c>
      <c r="AA2130" s="276" t="e">
        <f>VLOOKUP(Logfile_S12[[#This Row],[DO number]],DO_DB!G:I,3,0)</f>
        <v>#N/A</v>
      </c>
      <c r="AB2130" s="331" t="e">
        <f>EXACT(Logfile_S12[[#This Row],[date pick]],Logfile_S12[[#This Row],[Date]])</f>
        <v>#N/A</v>
      </c>
      <c r="AC21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31" spans="1:29" ht="14.5" hidden="1">
      <c r="A2131" s="220" t="str">
        <f t="shared" si="76"/>
        <v>2127</v>
      </c>
      <c r="B2131" s="221"/>
      <c r="C2131" s="221" t="s">
        <v>48</v>
      </c>
      <c r="D2131" s="221" t="s">
        <v>4374</v>
      </c>
      <c r="E2131" s="221" t="s">
        <v>3295</v>
      </c>
      <c r="F2131" s="221" t="s">
        <v>3299</v>
      </c>
      <c r="G2131" s="222">
        <v>45826</v>
      </c>
      <c r="H2131" s="223">
        <v>15.291666666666666</v>
      </c>
      <c r="I2131" s="221" t="s">
        <v>37</v>
      </c>
      <c r="J2131" s="221" t="s">
        <v>3023</v>
      </c>
      <c r="K2131" s="224" t="s">
        <v>3071</v>
      </c>
      <c r="L2131" s="225" t="str">
        <f>VLOOKUP(Logfile_S12[[#This Row],[Material Name]],Sheet2!B:C,2,0)</f>
        <v>ZTE1003</v>
      </c>
      <c r="M2131" s="225" t="str">
        <f>_xlfn.XLOOKUP(Logfile_S12[[#This Row],[Material Name]],Sum_WH!E:E,Sum_WH!F:F,"",0)</f>
        <v>Pcs</v>
      </c>
      <c r="N2131" s="221">
        <v>12</v>
      </c>
      <c r="O2131" s="221"/>
      <c r="P2131" s="221"/>
      <c r="Q2131" s="221">
        <v>0</v>
      </c>
      <c r="R2131" s="221">
        <v>0</v>
      </c>
      <c r="S2131" s="221"/>
      <c r="T2131" s="221"/>
      <c r="U2131" s="221"/>
      <c r="V2131" s="221"/>
      <c r="W2131" s="221"/>
      <c r="X2131" s="221"/>
      <c r="Y2131" s="227"/>
      <c r="Z2131" s="227">
        <f t="shared" si="77"/>
        <v>0</v>
      </c>
      <c r="AA2131" s="276" t="e">
        <f>VLOOKUP(Logfile_S12[[#This Row],[DO number]],DO_DB!G:I,3,0)</f>
        <v>#N/A</v>
      </c>
      <c r="AB2131" s="331" t="e">
        <f>EXACT(Logfile_S12[[#This Row],[date pick]],Logfile_S12[[#This Row],[Date]])</f>
        <v>#N/A</v>
      </c>
      <c r="AC21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32" spans="1:29" ht="14.5" hidden="1">
      <c r="A2132" s="220" t="str">
        <f t="shared" si="76"/>
        <v>2128</v>
      </c>
      <c r="B2132" s="221"/>
      <c r="C2132" s="221" t="s">
        <v>49</v>
      </c>
      <c r="D2132" s="221" t="s">
        <v>4376</v>
      </c>
      <c r="E2132" s="221" t="s">
        <v>3295</v>
      </c>
      <c r="F2132" s="221" t="s">
        <v>3299</v>
      </c>
      <c r="G2132" s="222">
        <v>45827</v>
      </c>
      <c r="H2132" s="223">
        <v>0.64583333333333337</v>
      </c>
      <c r="I2132" s="221" t="s">
        <v>4916</v>
      </c>
      <c r="J2132" s="221" t="s">
        <v>3023</v>
      </c>
      <c r="K2132" s="224" t="s">
        <v>3220</v>
      </c>
      <c r="L2132" s="225" t="str">
        <f>VLOOKUP(Logfile_S12[[#This Row],[Material Name]],Sheet2!B:C,2,0)</f>
        <v>ZTE1003</v>
      </c>
      <c r="M2132" s="225" t="str">
        <f>_xlfn.XLOOKUP(Logfile_S12[[#This Row],[Material Name]],Sum_WH!E:E,Sum_WH!F:F,"",0)</f>
        <v>Pcs</v>
      </c>
      <c r="N2132" s="221">
        <v>11</v>
      </c>
      <c r="O2132" s="221" t="s">
        <v>2851</v>
      </c>
      <c r="P2132" s="221" t="s">
        <v>2852</v>
      </c>
      <c r="Q2132" s="221"/>
      <c r="R2132" s="221"/>
      <c r="S2132" s="221"/>
      <c r="T2132" s="221" t="s">
        <v>3231</v>
      </c>
      <c r="U2132" s="221">
        <v>0</v>
      </c>
      <c r="V2132" s="221" t="s">
        <v>3375</v>
      </c>
      <c r="W2132" s="221" t="s">
        <v>3249</v>
      </c>
      <c r="X2132" s="221"/>
      <c r="Y2132" s="227"/>
      <c r="Z2132" s="227" t="str">
        <f t="shared" si="77"/>
        <v>DESA KRAJANI PONCOKUSUMO MALANG</v>
      </c>
      <c r="AA2132" s="276" t="e">
        <f>VLOOKUP(Logfile_S12[[#This Row],[DO number]],DO_DB!G:I,3,0)</f>
        <v>#N/A</v>
      </c>
      <c r="AB2132" s="331" t="e">
        <f>EXACT(Logfile_S12[[#This Row],[date pick]],Logfile_S12[[#This Row],[Date]])</f>
        <v>#N/A</v>
      </c>
      <c r="AC21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33" spans="1:29" ht="14.5" hidden="1">
      <c r="A2133" s="220" t="str">
        <f t="shared" si="76"/>
        <v>2129</v>
      </c>
      <c r="B2133" s="221"/>
      <c r="C2133" s="221" t="s">
        <v>49</v>
      </c>
      <c r="D2133" s="221" t="s">
        <v>4378</v>
      </c>
      <c r="E2133" s="221" t="s">
        <v>3295</v>
      </c>
      <c r="F2133" s="221" t="s">
        <v>3299</v>
      </c>
      <c r="G2133" s="222">
        <v>45831</v>
      </c>
      <c r="H2133" s="223">
        <v>0.5395833333333333</v>
      </c>
      <c r="I2133" s="221" t="s">
        <v>4916</v>
      </c>
      <c r="J2133" s="221" t="s">
        <v>3023</v>
      </c>
      <c r="K2133" s="224" t="s">
        <v>3220</v>
      </c>
      <c r="L2133" s="225" t="str">
        <f>VLOOKUP(Logfile_S12[[#This Row],[Material Name]],Sheet2!B:C,2,0)</f>
        <v>ZTE1003</v>
      </c>
      <c r="M2133" s="225" t="str">
        <f>_xlfn.XLOOKUP(Logfile_S12[[#This Row],[Material Name]],Sum_WH!E:E,Sum_WH!F:F,"",0)</f>
        <v>Pcs</v>
      </c>
      <c r="N2133" s="221">
        <v>7</v>
      </c>
      <c r="O2133" s="221" t="s">
        <v>2809</v>
      </c>
      <c r="P2133" s="221" t="s">
        <v>2810</v>
      </c>
      <c r="Q2133" s="221"/>
      <c r="R2133" s="221"/>
      <c r="S2133" s="221"/>
      <c r="T2133" s="221" t="s">
        <v>3258</v>
      </c>
      <c r="U2133" s="221">
        <v>0</v>
      </c>
      <c r="V2133" s="221" t="s">
        <v>3337</v>
      </c>
      <c r="W2133" s="221" t="s">
        <v>3338</v>
      </c>
      <c r="X2133" s="221"/>
      <c r="Y2133" s="227"/>
      <c r="Z2133" s="227" t="str">
        <f t="shared" si="77"/>
        <v>BULULAWANG RW 01, 02, 03, 04, 06   MALANG</v>
      </c>
      <c r="AA2133" s="276" t="e">
        <f>VLOOKUP(Logfile_S12[[#This Row],[DO number]],DO_DB!G:I,3,0)</f>
        <v>#N/A</v>
      </c>
      <c r="AB2133" s="331" t="e">
        <f>EXACT(Logfile_S12[[#This Row],[date pick]],Logfile_S12[[#This Row],[Date]])</f>
        <v>#N/A</v>
      </c>
      <c r="AC21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34" spans="1:29" ht="14.5" hidden="1">
      <c r="A2134" s="220" t="str">
        <f t="shared" si="76"/>
        <v>2130</v>
      </c>
      <c r="B2134" s="221"/>
      <c r="C2134" s="221" t="s">
        <v>49</v>
      </c>
      <c r="D2134" s="221" t="s">
        <v>4386</v>
      </c>
      <c r="E2134" s="221" t="s">
        <v>3295</v>
      </c>
      <c r="F2134" s="221" t="s">
        <v>3299</v>
      </c>
      <c r="G2134" s="222">
        <v>45834</v>
      </c>
      <c r="H2134" s="223">
        <v>0.64583333333333337</v>
      </c>
      <c r="I2134" s="221" t="s">
        <v>4916</v>
      </c>
      <c r="J2134" s="221" t="s">
        <v>3023</v>
      </c>
      <c r="K2134" s="224" t="s">
        <v>3071</v>
      </c>
      <c r="L2134" s="225" t="str">
        <f>VLOOKUP(Logfile_S12[[#This Row],[Material Name]],Sheet2!B:C,2,0)</f>
        <v>ZTE1003</v>
      </c>
      <c r="M2134" s="225" t="str">
        <f>_xlfn.XLOOKUP(Logfile_S12[[#This Row],[Material Name]],Sum_WH!E:E,Sum_WH!F:F,"",0)</f>
        <v>Pcs</v>
      </c>
      <c r="N2134" s="221">
        <v>1</v>
      </c>
      <c r="O2134" s="221" t="s">
        <v>2861</v>
      </c>
      <c r="P2134" s="221" t="s">
        <v>2862</v>
      </c>
      <c r="Q2134" s="221"/>
      <c r="R2134" s="221"/>
      <c r="S2134" s="221"/>
      <c r="T2134" s="221" t="s">
        <v>3231</v>
      </c>
      <c r="U2134" s="221">
        <v>0</v>
      </c>
      <c r="V2134" s="221" t="s">
        <v>3375</v>
      </c>
      <c r="W2134" s="221" t="s">
        <v>3249</v>
      </c>
      <c r="X2134" s="221"/>
      <c r="Y2134" s="227"/>
      <c r="Z2134" s="227" t="str">
        <f t="shared" si="77"/>
        <v>DESA GADUNGAN PONCOKUSUMO MALANG</v>
      </c>
      <c r="AA2134" s="276" t="e">
        <f>VLOOKUP(Logfile_S12[[#This Row],[DO number]],DO_DB!G:I,3,0)</f>
        <v>#N/A</v>
      </c>
      <c r="AB2134" s="331" t="e">
        <f>EXACT(Logfile_S12[[#This Row],[date pick]],Logfile_S12[[#This Row],[Date]])</f>
        <v>#N/A</v>
      </c>
      <c r="AC21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35" spans="1:29" ht="14.5" hidden="1">
      <c r="A2135" s="220" t="str">
        <f t="shared" si="76"/>
        <v>2131</v>
      </c>
      <c r="B2135" s="221"/>
      <c r="C2135" s="221" t="s">
        <v>48</v>
      </c>
      <c r="D2135" s="221" t="s">
        <v>4393</v>
      </c>
      <c r="E2135" s="221" t="s">
        <v>3295</v>
      </c>
      <c r="F2135" s="221" t="s">
        <v>3299</v>
      </c>
      <c r="G2135" s="222">
        <v>45850</v>
      </c>
      <c r="H2135" s="223">
        <v>15.291666666666666</v>
      </c>
      <c r="I2135" s="221" t="s">
        <v>37</v>
      </c>
      <c r="J2135" s="221" t="s">
        <v>3023</v>
      </c>
      <c r="K2135" s="224" t="s">
        <v>3071</v>
      </c>
      <c r="L2135" s="225" t="str">
        <f>VLOOKUP(Logfile_S12[[#This Row],[Material Name]],Sheet2!B:C,2,0)</f>
        <v>ZTE1003</v>
      </c>
      <c r="M2135" s="225" t="str">
        <f>_xlfn.XLOOKUP(Logfile_S12[[#This Row],[Material Name]],Sum_WH!E:E,Sum_WH!F:F,"",0)</f>
        <v>Pcs</v>
      </c>
      <c r="N2135" s="221">
        <v>16</v>
      </c>
      <c r="O2135" s="221" t="s">
        <v>2903</v>
      </c>
      <c r="P2135" s="221" t="s">
        <v>2904</v>
      </c>
      <c r="Q2135" s="221">
        <v>0</v>
      </c>
      <c r="R2135" s="221">
        <v>0</v>
      </c>
      <c r="S2135" s="221"/>
      <c r="T2135" s="221"/>
      <c r="U2135" s="221"/>
      <c r="V2135" s="221"/>
      <c r="W2135" s="221"/>
      <c r="X2135" s="221"/>
      <c r="Y2135" s="227"/>
      <c r="Z2135" s="227" t="str">
        <f t="shared" si="77"/>
        <v>KREBET SENGGRONG RW 04</v>
      </c>
      <c r="AA2135" s="276" t="e">
        <f>VLOOKUP(Logfile_S12[[#This Row],[DO number]],DO_DB!G:I,3,0)</f>
        <v>#N/A</v>
      </c>
      <c r="AB2135" s="331" t="e">
        <f>EXACT(Logfile_S12[[#This Row],[date pick]],Logfile_S12[[#This Row],[Date]])</f>
        <v>#N/A</v>
      </c>
      <c r="AC21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36" spans="1:29" ht="14.5" hidden="1">
      <c r="A2136" s="220" t="str">
        <f t="shared" si="76"/>
        <v>2132</v>
      </c>
      <c r="B2136" s="221"/>
      <c r="C2136" s="221" t="s">
        <v>49</v>
      </c>
      <c r="D2136" s="221" t="s">
        <v>4395</v>
      </c>
      <c r="E2136" s="221" t="s">
        <v>3295</v>
      </c>
      <c r="F2136" s="221" t="s">
        <v>3299</v>
      </c>
      <c r="G2136" s="222">
        <v>45856</v>
      </c>
      <c r="H2136" s="223">
        <v>0.46805555555555556</v>
      </c>
      <c r="I2136" s="221" t="s">
        <v>4916</v>
      </c>
      <c r="J2136" s="221" t="s">
        <v>3023</v>
      </c>
      <c r="K2136" s="224" t="s">
        <v>3071</v>
      </c>
      <c r="L2136" s="225" t="str">
        <f>VLOOKUP(Logfile_S12[[#This Row],[Material Name]],Sheet2!B:C,2,0)</f>
        <v>ZTE1003</v>
      </c>
      <c r="M2136" s="225" t="str">
        <f>_xlfn.XLOOKUP(Logfile_S12[[#This Row],[Material Name]],Sum_WH!E:E,Sum_WH!F:F,"",0)</f>
        <v>Pcs</v>
      </c>
      <c r="N2136" s="221">
        <v>6</v>
      </c>
      <c r="O2136" s="221" t="s">
        <v>2909</v>
      </c>
      <c r="P2136" s="221" t="s">
        <v>2910</v>
      </c>
      <c r="Q2136" s="221"/>
      <c r="R2136" s="221"/>
      <c r="S2136" s="221"/>
      <c r="T2136" s="221" t="s">
        <v>3258</v>
      </c>
      <c r="U2136" s="221">
        <v>0</v>
      </c>
      <c r="V2136" s="221" t="s">
        <v>3337</v>
      </c>
      <c r="W2136" s="221" t="s">
        <v>3338</v>
      </c>
      <c r="X2136" s="221"/>
      <c r="Y2136" s="227"/>
      <c r="Z2136" s="227" t="str">
        <f t="shared" si="77"/>
        <v>KREBET RW 03</v>
      </c>
      <c r="AA2136" s="276" t="e">
        <f>VLOOKUP(Logfile_S12[[#This Row],[DO number]],DO_DB!G:I,3,0)</f>
        <v>#N/A</v>
      </c>
      <c r="AB2136" s="331" t="e">
        <f>EXACT(Logfile_S12[[#This Row],[date pick]],Logfile_S12[[#This Row],[Date]])</f>
        <v>#N/A</v>
      </c>
      <c r="AC21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37" spans="1:29" ht="14.5" hidden="1">
      <c r="A2137" s="220" t="str">
        <f t="shared" si="76"/>
        <v>2133</v>
      </c>
      <c r="B2137" s="221"/>
      <c r="C2137" s="221" t="s">
        <v>49</v>
      </c>
      <c r="D2137" s="221" t="s">
        <v>4397</v>
      </c>
      <c r="E2137" s="221" t="s">
        <v>3295</v>
      </c>
      <c r="F2137" s="221" t="s">
        <v>3299</v>
      </c>
      <c r="G2137" s="222">
        <v>45861</v>
      </c>
      <c r="H2137" s="223">
        <v>0.46805555555555556</v>
      </c>
      <c r="I2137" s="221" t="s">
        <v>4916</v>
      </c>
      <c r="J2137" s="221" t="s">
        <v>3023</v>
      </c>
      <c r="K2137" s="224" t="s">
        <v>3071</v>
      </c>
      <c r="L2137" s="225" t="str">
        <f>VLOOKUP(Logfile_S12[[#This Row],[Material Name]],Sheet2!B:C,2,0)</f>
        <v>ZTE1003</v>
      </c>
      <c r="M2137" s="225" t="str">
        <f>_xlfn.XLOOKUP(Logfile_S12[[#This Row],[Material Name]],Sum_WH!E:E,Sum_WH!F:F,"",0)</f>
        <v>Pcs</v>
      </c>
      <c r="N2137" s="221">
        <v>3</v>
      </c>
      <c r="O2137" s="221" t="s">
        <v>2909</v>
      </c>
      <c r="P2137" s="221" t="s">
        <v>2910</v>
      </c>
      <c r="Q2137" s="221"/>
      <c r="R2137" s="221"/>
      <c r="S2137" s="221"/>
      <c r="T2137" s="221" t="s">
        <v>3258</v>
      </c>
      <c r="U2137" s="221">
        <v>0</v>
      </c>
      <c r="V2137" s="221" t="s">
        <v>3337</v>
      </c>
      <c r="W2137" s="221" t="s">
        <v>3338</v>
      </c>
      <c r="X2137" s="221"/>
      <c r="Y2137" s="227"/>
      <c r="Z2137" s="227" t="str">
        <f t="shared" si="77"/>
        <v>KREBET RW 03</v>
      </c>
      <c r="AA2137" s="276" t="e">
        <f>VLOOKUP(Logfile_S12[[#This Row],[DO number]],DO_DB!G:I,3,0)</f>
        <v>#N/A</v>
      </c>
      <c r="AB2137" s="331" t="e">
        <f>EXACT(Logfile_S12[[#This Row],[date pick]],Logfile_S12[[#This Row],[Date]])</f>
        <v>#N/A</v>
      </c>
      <c r="AC21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38" spans="1:29" ht="14.5" hidden="1">
      <c r="A2138" s="220" t="str">
        <f t="shared" si="76"/>
        <v>2134</v>
      </c>
      <c r="B2138" s="221"/>
      <c r="C2138" s="221" t="s">
        <v>49</v>
      </c>
      <c r="D2138" s="221" t="s">
        <v>4399</v>
      </c>
      <c r="E2138" s="221" t="s">
        <v>3295</v>
      </c>
      <c r="F2138" s="221" t="s">
        <v>3299</v>
      </c>
      <c r="G2138" s="222">
        <v>45864</v>
      </c>
      <c r="H2138" s="223">
        <v>0.46805555555555556</v>
      </c>
      <c r="I2138" s="221" t="s">
        <v>4916</v>
      </c>
      <c r="J2138" s="221" t="s">
        <v>3023</v>
      </c>
      <c r="K2138" s="224" t="s">
        <v>3071</v>
      </c>
      <c r="L2138" s="225" t="str">
        <f>VLOOKUP(Logfile_S12[[#This Row],[Material Name]],Sheet2!B:C,2,0)</f>
        <v>ZTE1003</v>
      </c>
      <c r="M2138" s="225" t="str">
        <f>_xlfn.XLOOKUP(Logfile_S12[[#This Row],[Material Name]],Sum_WH!E:E,Sum_WH!F:F,"",0)</f>
        <v>Pcs</v>
      </c>
      <c r="N2138" s="221">
        <v>7</v>
      </c>
      <c r="O2138" s="221" t="s">
        <v>2925</v>
      </c>
      <c r="P2138" s="221" t="s">
        <v>2926</v>
      </c>
      <c r="Q2138" s="221"/>
      <c r="R2138" s="221"/>
      <c r="S2138" s="221"/>
      <c r="T2138" s="221" t="s">
        <v>3258</v>
      </c>
      <c r="U2138" s="221">
        <v>0</v>
      </c>
      <c r="V2138" s="221" t="s">
        <v>3337</v>
      </c>
      <c r="W2138" s="221" t="s">
        <v>3338</v>
      </c>
      <c r="X2138" s="221"/>
      <c r="Y2138" s="227"/>
      <c r="Z2138" s="227" t="str">
        <f t="shared" si="77"/>
        <v>BULULAWANG RW 07 MALANG</v>
      </c>
      <c r="AA2138" s="276" t="e">
        <f>VLOOKUP(Logfile_S12[[#This Row],[DO number]],DO_DB!G:I,3,0)</f>
        <v>#N/A</v>
      </c>
      <c r="AB2138" s="331" t="e">
        <f>EXACT(Logfile_S12[[#This Row],[date pick]],Logfile_S12[[#This Row],[Date]])</f>
        <v>#N/A</v>
      </c>
      <c r="AC21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39" spans="1:29" ht="14.5" hidden="1">
      <c r="A2139" s="220" t="str">
        <f t="shared" si="76"/>
        <v>2135</v>
      </c>
      <c r="B2139" s="221"/>
      <c r="C2139" s="221" t="s">
        <v>49</v>
      </c>
      <c r="D2139" s="221" t="s">
        <v>4402</v>
      </c>
      <c r="E2139" s="221" t="s">
        <v>3295</v>
      </c>
      <c r="F2139" s="221" t="s">
        <v>3299</v>
      </c>
      <c r="G2139" s="222">
        <v>45869</v>
      </c>
      <c r="H2139" s="223">
        <v>0.47291666666666665</v>
      </c>
      <c r="I2139" s="221" t="s">
        <v>4916</v>
      </c>
      <c r="J2139" s="221" t="s">
        <v>3023</v>
      </c>
      <c r="K2139" s="224" t="s">
        <v>3071</v>
      </c>
      <c r="L2139" s="225" t="str">
        <f>VLOOKUP(Logfile_S12[[#This Row],[Material Name]],Sheet2!B:C,2,0)</f>
        <v>ZTE1003</v>
      </c>
      <c r="M2139" s="225" t="str">
        <f>_xlfn.XLOOKUP(Logfile_S12[[#This Row],[Material Name]],Sum_WH!E:E,Sum_WH!F:F,"",0)</f>
        <v>Pcs</v>
      </c>
      <c r="N2139" s="221">
        <v>2</v>
      </c>
      <c r="O2139" s="221" t="s">
        <v>2915</v>
      </c>
      <c r="P2139" s="221" t="s">
        <v>2916</v>
      </c>
      <c r="Q2139" s="221"/>
      <c r="R2139" s="221"/>
      <c r="S2139" s="221"/>
      <c r="T2139" s="221" t="s">
        <v>3258</v>
      </c>
      <c r="U2139" s="221">
        <v>0</v>
      </c>
      <c r="V2139" s="221" t="s">
        <v>3337</v>
      </c>
      <c r="W2139" s="221" t="s">
        <v>3338</v>
      </c>
      <c r="X2139" s="221"/>
      <c r="Y2139" s="227"/>
      <c r="Z2139" s="227" t="str">
        <f t="shared" si="77"/>
        <v>KREBET RW 05</v>
      </c>
      <c r="AA2139" s="276" t="e">
        <f>VLOOKUP(Logfile_S12[[#This Row],[DO number]],DO_DB!G:I,3,0)</f>
        <v>#N/A</v>
      </c>
      <c r="AB2139" s="331" t="e">
        <f>EXACT(Logfile_S12[[#This Row],[date pick]],Logfile_S12[[#This Row],[Date]])</f>
        <v>#N/A</v>
      </c>
      <c r="AC21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40" spans="1:29" ht="14.5" hidden="1">
      <c r="A2140" s="220" t="str">
        <f t="shared" si="76"/>
        <v>2136</v>
      </c>
      <c r="B2140" s="221"/>
      <c r="C2140" s="221" t="s">
        <v>49</v>
      </c>
      <c r="D2140" s="221" t="s">
        <v>4406</v>
      </c>
      <c r="E2140" s="221" t="s">
        <v>3295</v>
      </c>
      <c r="F2140" s="221" t="s">
        <v>3299</v>
      </c>
      <c r="G2140" s="222">
        <v>45876</v>
      </c>
      <c r="H2140" s="223">
        <v>0.47291666666666665</v>
      </c>
      <c r="I2140" s="221" t="s">
        <v>4916</v>
      </c>
      <c r="J2140" s="221" t="s">
        <v>3023</v>
      </c>
      <c r="K2140" s="224" t="s">
        <v>3071</v>
      </c>
      <c r="L2140" s="225" t="str">
        <f>VLOOKUP(Logfile_S12[[#This Row],[Material Name]],Sheet2!B:C,2,0)</f>
        <v>ZTE1003</v>
      </c>
      <c r="M2140" s="225" t="str">
        <f>_xlfn.XLOOKUP(Logfile_S12[[#This Row],[Material Name]],Sum_WH!E:E,Sum_WH!F:F,"",0)</f>
        <v>Pcs</v>
      </c>
      <c r="N2140" s="221">
        <v>1</v>
      </c>
      <c r="O2140" s="221" t="s">
        <v>2996</v>
      </c>
      <c r="P2140" s="221" t="s">
        <v>2997</v>
      </c>
      <c r="Q2140" s="221"/>
      <c r="R2140" s="221"/>
      <c r="S2140" s="221"/>
      <c r="T2140" s="221" t="s">
        <v>3258</v>
      </c>
      <c r="U2140" s="221">
        <v>0</v>
      </c>
      <c r="V2140" s="221" t="s">
        <v>3337</v>
      </c>
      <c r="W2140" s="221" t="s">
        <v>3338</v>
      </c>
      <c r="X2140" s="221"/>
      <c r="Y2140" s="227"/>
      <c r="Z2140" s="227" t="str">
        <f t="shared" si="77"/>
        <v>PERMANU RW 03 MALANG</v>
      </c>
      <c r="AA2140" s="276" t="e">
        <f>VLOOKUP(Logfile_S12[[#This Row],[DO number]],DO_DB!G:I,3,0)</f>
        <v>#N/A</v>
      </c>
      <c r="AB2140" s="331" t="e">
        <f>EXACT(Logfile_S12[[#This Row],[date pick]],Logfile_S12[[#This Row],[Date]])</f>
        <v>#N/A</v>
      </c>
      <c r="AC21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41" spans="1:29" ht="14.5" hidden="1">
      <c r="A2141" s="220" t="str">
        <f t="shared" si="76"/>
        <v>2137</v>
      </c>
      <c r="B2141" s="221"/>
      <c r="C2141" s="221" t="s">
        <v>49</v>
      </c>
      <c r="D2141" s="221" t="s">
        <v>4411</v>
      </c>
      <c r="E2141" s="221" t="s">
        <v>3295</v>
      </c>
      <c r="F2141" s="221" t="s">
        <v>3299</v>
      </c>
      <c r="G2141" s="222">
        <v>45882</v>
      </c>
      <c r="H2141" s="223">
        <v>0.65069444444444446</v>
      </c>
      <c r="I2141" s="221" t="s">
        <v>4916</v>
      </c>
      <c r="J2141" s="221" t="s">
        <v>3023</v>
      </c>
      <c r="K2141" s="224" t="s">
        <v>3071</v>
      </c>
      <c r="L2141" s="225" t="str">
        <f>VLOOKUP(Logfile_S12[[#This Row],[Material Name]],Sheet2!B:C,2,0)</f>
        <v>ZTE1003</v>
      </c>
      <c r="M2141" s="225" t="str">
        <f>_xlfn.XLOOKUP(Logfile_S12[[#This Row],[Material Name]],Sum_WH!E:E,Sum_WH!F:F,"",0)</f>
        <v>Pcs</v>
      </c>
      <c r="N2141" s="221">
        <v>2</v>
      </c>
      <c r="O2141" s="221" t="s">
        <v>2903</v>
      </c>
      <c r="P2141" s="221" t="s">
        <v>2904</v>
      </c>
      <c r="Q2141" s="221"/>
      <c r="R2141" s="221"/>
      <c r="S2141" s="221"/>
      <c r="T2141" s="221" t="s">
        <v>3258</v>
      </c>
      <c r="U2141" s="221">
        <v>0</v>
      </c>
      <c r="V2141" s="221" t="s">
        <v>3337</v>
      </c>
      <c r="W2141" s="221" t="s">
        <v>3338</v>
      </c>
      <c r="X2141" s="221"/>
      <c r="Y2141" s="227"/>
      <c r="Z2141" s="227" t="str">
        <f t="shared" si="77"/>
        <v>KREBET SENGGRONG RW 04</v>
      </c>
      <c r="AA2141" s="276" t="e">
        <f>VLOOKUP(Logfile_S12[[#This Row],[DO number]],DO_DB!G:I,3,0)</f>
        <v>#N/A</v>
      </c>
      <c r="AB2141" s="331" t="e">
        <f>EXACT(Logfile_S12[[#This Row],[date pick]],Logfile_S12[[#This Row],[Date]])</f>
        <v>#N/A</v>
      </c>
      <c r="AC21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42" spans="1:29" ht="14.5" hidden="1">
      <c r="A2142" s="220" t="str">
        <f t="shared" si="76"/>
        <v>2138</v>
      </c>
      <c r="B2142" s="221"/>
      <c r="C2142" s="221" t="s">
        <v>49</v>
      </c>
      <c r="D2142" s="221" t="s">
        <v>4416</v>
      </c>
      <c r="E2142" s="221" t="s">
        <v>3295</v>
      </c>
      <c r="F2142" s="221" t="s">
        <v>3299</v>
      </c>
      <c r="G2142" s="222">
        <v>45889</v>
      </c>
      <c r="H2142" s="223">
        <v>0.44097222222222221</v>
      </c>
      <c r="I2142" s="221" t="s">
        <v>4916</v>
      </c>
      <c r="J2142" s="221" t="s">
        <v>3023</v>
      </c>
      <c r="K2142" s="224" t="s">
        <v>3071</v>
      </c>
      <c r="L2142" s="225" t="str">
        <f>VLOOKUP(Logfile_S12[[#This Row],[Material Name]],Sheet2!B:C,2,0)</f>
        <v>ZTE1003</v>
      </c>
      <c r="M2142" s="225" t="str">
        <f>_xlfn.XLOOKUP(Logfile_S12[[#This Row],[Material Name]],Sum_WH!E:E,Sum_WH!F:F,"",0)</f>
        <v>Pcs</v>
      </c>
      <c r="N2142" s="221">
        <v>1</v>
      </c>
      <c r="O2142" s="221" t="s">
        <v>2915</v>
      </c>
      <c r="P2142" s="221" t="s">
        <v>2916</v>
      </c>
      <c r="Q2142" s="221"/>
      <c r="R2142" s="221"/>
      <c r="S2142" s="221"/>
      <c r="T2142" s="221" t="s">
        <v>3258</v>
      </c>
      <c r="U2142" s="221">
        <v>0</v>
      </c>
      <c r="V2142" s="221" t="s">
        <v>3337</v>
      </c>
      <c r="W2142" s="221" t="s">
        <v>3338</v>
      </c>
      <c r="X2142" s="221" t="s">
        <v>3603</v>
      </c>
      <c r="Y2142" s="227"/>
      <c r="Z2142" s="227" t="str">
        <f t="shared" si="77"/>
        <v>KREBET RW 05</v>
      </c>
      <c r="AA2142" s="276" t="e">
        <f>VLOOKUP(Logfile_S12[[#This Row],[DO number]],DO_DB!G:I,3,0)</f>
        <v>#N/A</v>
      </c>
      <c r="AB2142" s="331" t="e">
        <f>EXACT(Logfile_S12[[#This Row],[date pick]],Logfile_S12[[#This Row],[Date]])</f>
        <v>#N/A</v>
      </c>
      <c r="AC21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43" spans="1:29" ht="14.5" hidden="1">
      <c r="A2143" s="237" t="str">
        <f t="shared" si="76"/>
        <v>2139</v>
      </c>
      <c r="B2143" s="221"/>
      <c r="C2143" s="227" t="s">
        <v>48</v>
      </c>
      <c r="D2143" s="227" t="s">
        <v>4472</v>
      </c>
      <c r="E2143" s="227" t="s">
        <v>3295</v>
      </c>
      <c r="F2143" s="227" t="s">
        <v>3299</v>
      </c>
      <c r="G2143" s="239">
        <v>45889</v>
      </c>
      <c r="H2143" s="240">
        <v>0.44097222222222221</v>
      </c>
      <c r="I2143" s="227" t="s">
        <v>3586</v>
      </c>
      <c r="J2143" s="482" t="s">
        <v>4432</v>
      </c>
      <c r="K2143" s="241" t="s">
        <v>3071</v>
      </c>
      <c r="L2143" s="225" t="str">
        <f>VLOOKUP(Logfile_S12[[#This Row],[Material Name]],Sheet2!B:C,2,0)</f>
        <v>ZTE1003</v>
      </c>
      <c r="M2143" s="242" t="s">
        <v>19</v>
      </c>
      <c r="N2143" s="227">
        <v>1</v>
      </c>
      <c r="O2143" s="227" t="s">
        <v>2915</v>
      </c>
      <c r="P2143" s="227" t="s">
        <v>2916</v>
      </c>
      <c r="Q2143" s="227"/>
      <c r="R2143" s="227"/>
      <c r="S2143" s="227" t="s">
        <v>3173</v>
      </c>
      <c r="T2143" s="227" t="s">
        <v>3258</v>
      </c>
      <c r="U2143" s="227">
        <v>0</v>
      </c>
      <c r="V2143" s="227" t="s">
        <v>3337</v>
      </c>
      <c r="W2143" s="227" t="s">
        <v>3338</v>
      </c>
      <c r="X2143" s="227" t="s">
        <v>3603</v>
      </c>
      <c r="Y2143" s="238" t="s">
        <v>5331</v>
      </c>
      <c r="Z2143" s="238" t="str">
        <f t="shared" si="77"/>
        <v>KREBET RW 05</v>
      </c>
      <c r="AA2143" s="276" t="e">
        <f>VLOOKUP(Logfile_S12[[#This Row],[DO number]],DO_DB!G:I,3,0)</f>
        <v>#N/A</v>
      </c>
      <c r="AB2143" s="332" t="e">
        <f>EXACT(Logfile_S12[[#This Row],[date pick]],Logfile_S12[[#This Row],[Date]])</f>
        <v>#N/A</v>
      </c>
      <c r="AC2143" s="332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OUTBOUND_P94-001-1</v>
      </c>
    </row>
    <row r="2144" spans="1:29" ht="14.5" hidden="1">
      <c r="A2144" s="237" t="str">
        <f t="shared" si="76"/>
        <v>2140</v>
      </c>
      <c r="B2144" s="221">
        <v>9</v>
      </c>
      <c r="C2144" s="227" t="s">
        <v>49</v>
      </c>
      <c r="D2144" s="227" t="s">
        <v>4661</v>
      </c>
      <c r="E2144" s="227" t="s">
        <v>3295</v>
      </c>
      <c r="F2144" s="227" t="s">
        <v>3299</v>
      </c>
      <c r="G2144" s="239">
        <v>45946</v>
      </c>
      <c r="H2144" s="240">
        <v>0.43125000000000002</v>
      </c>
      <c r="I2144" s="227" t="s">
        <v>3295</v>
      </c>
      <c r="J2144" s="221" t="s">
        <v>3023</v>
      </c>
      <c r="K2144" s="241" t="s">
        <v>3071</v>
      </c>
      <c r="L2144" s="225" t="str">
        <f>VLOOKUP(Logfile_S12[[#This Row],[Material Name]],Sheet2!B:C,2,0)</f>
        <v>ZTE1003</v>
      </c>
      <c r="M2144" s="225" t="str">
        <f>_xlfn.XLOOKUP(Logfile_S12[[#This Row],[Material Name]],Sum_WH!E:E,Sum_WH!F:F,"",0)</f>
        <v>Pcs</v>
      </c>
      <c r="N2144" s="227">
        <v>1</v>
      </c>
      <c r="O2144" s="227" t="s">
        <v>4595</v>
      </c>
      <c r="P2144" s="227" t="s">
        <v>4596</v>
      </c>
      <c r="Q2144" s="227"/>
      <c r="R2144" s="227"/>
      <c r="S2144" s="227"/>
      <c r="T2144" s="221" t="s">
        <v>3258</v>
      </c>
      <c r="U2144" s="221">
        <v>0</v>
      </c>
      <c r="V2144" s="221" t="s">
        <v>3337</v>
      </c>
      <c r="W2144" s="221" t="s">
        <v>3338</v>
      </c>
      <c r="X2144" s="227"/>
      <c r="Y2144" s="227"/>
      <c r="Z2144" s="227" t="str">
        <f t="shared" si="77"/>
        <v>Asshofa Residence</v>
      </c>
      <c r="AA2144" s="276" t="e">
        <f>VLOOKUP(Logfile_S12[[#This Row],[DO number]],DO_DB!G:I,3,0)</f>
        <v>#N/A</v>
      </c>
      <c r="AB2144" s="331" t="e">
        <f>EXACT(Logfile_S12[[#This Row],[date pick]],Logfile_S12[[#This Row],[Date]])</f>
        <v>#N/A</v>
      </c>
      <c r="AC21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45" spans="1:29" ht="14.5" hidden="1">
      <c r="A2145" s="237" t="str">
        <f t="shared" si="76"/>
        <v>2141</v>
      </c>
      <c r="B2145" s="221">
        <v>2</v>
      </c>
      <c r="C2145" s="227" t="s">
        <v>48</v>
      </c>
      <c r="D2145" s="227" t="s">
        <v>4675</v>
      </c>
      <c r="E2145" s="227" t="s">
        <v>3295</v>
      </c>
      <c r="F2145" s="227" t="s">
        <v>3299</v>
      </c>
      <c r="G2145" s="239">
        <v>45955</v>
      </c>
      <c r="H2145" s="240">
        <v>0.33333333333333331</v>
      </c>
      <c r="I2145" s="227" t="s">
        <v>37</v>
      </c>
      <c r="J2145" s="221" t="s">
        <v>3023</v>
      </c>
      <c r="K2145" s="241" t="s">
        <v>3071</v>
      </c>
      <c r="L2145" s="225" t="str">
        <f>VLOOKUP(Logfile_S12[[#This Row],[Material Name]],Sheet2!B:C,2,0)</f>
        <v>ZTE1003</v>
      </c>
      <c r="M2145" s="242" t="s">
        <v>19</v>
      </c>
      <c r="N2145" s="227">
        <v>8</v>
      </c>
      <c r="O2145" s="227" t="s">
        <v>4663</v>
      </c>
      <c r="P2145" s="227" t="s">
        <v>4664</v>
      </c>
      <c r="Q2145" s="221"/>
      <c r="R2145" s="221"/>
      <c r="S2145" s="227"/>
      <c r="T2145" s="227"/>
      <c r="U2145" s="227"/>
      <c r="V2145" s="227"/>
      <c r="W2145" s="227"/>
      <c r="X2145" s="227"/>
      <c r="Y2145" s="227"/>
      <c r="Z2145" s="227" t="str">
        <f t="shared" si="77"/>
        <v>LESANPURO RW 06 MALANG</v>
      </c>
      <c r="AA2145" s="276" t="e">
        <f>VLOOKUP(Logfile_S12[[#This Row],[DO number]],DO_DB!G:I,3,0)</f>
        <v>#N/A</v>
      </c>
      <c r="AB2145" s="331" t="e">
        <f>EXACT(Logfile_S12[[#This Row],[date pick]],Logfile_S12[[#This Row],[Date]])</f>
        <v>#N/A</v>
      </c>
      <c r="AC21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46" spans="1:29" ht="14.5" hidden="1">
      <c r="A2146" s="237" t="str">
        <f t="shared" si="76"/>
        <v>2142</v>
      </c>
      <c r="B2146" s="221">
        <v>3</v>
      </c>
      <c r="C2146" s="227" t="s">
        <v>49</v>
      </c>
      <c r="D2146" s="227" t="s">
        <v>4683</v>
      </c>
      <c r="E2146" s="227" t="s">
        <v>3295</v>
      </c>
      <c r="F2146" s="227" t="s">
        <v>3299</v>
      </c>
      <c r="G2146" s="239">
        <v>45967</v>
      </c>
      <c r="H2146" s="240">
        <v>0.70833333333333337</v>
      </c>
      <c r="I2146" s="227" t="s">
        <v>3295</v>
      </c>
      <c r="J2146" s="221" t="s">
        <v>3023</v>
      </c>
      <c r="K2146" s="241" t="s">
        <v>3071</v>
      </c>
      <c r="L2146" s="225" t="str">
        <f>VLOOKUP(Logfile_S12[[#This Row],[Material Name]],Sheet2!B:C,2,0)</f>
        <v>ZTE1003</v>
      </c>
      <c r="M2146" s="242" t="s">
        <v>19</v>
      </c>
      <c r="N2146" s="227">
        <v>10</v>
      </c>
      <c r="O2146" s="227" t="s">
        <v>4692</v>
      </c>
      <c r="P2146" s="227" t="s">
        <v>4693</v>
      </c>
      <c r="Q2146" s="227" t="s">
        <v>3260</v>
      </c>
      <c r="R2146" s="227" t="s">
        <v>3260</v>
      </c>
      <c r="S2146" s="227"/>
      <c r="T2146" s="221" t="s">
        <v>3258</v>
      </c>
      <c r="U2146" s="221">
        <v>0</v>
      </c>
      <c r="V2146" s="221" t="s">
        <v>3337</v>
      </c>
      <c r="W2146" s="221" t="s">
        <v>3338</v>
      </c>
      <c r="X2146" s="227"/>
      <c r="Y2146" s="227"/>
      <c r="Z2146" s="227" t="str">
        <f t="shared" si="77"/>
        <v>PALAAN RW 01 SAMPAI 05 MALANG</v>
      </c>
      <c r="AA2146" s="276" t="e">
        <f>VLOOKUP(Logfile_S12[[#This Row],[DO number]],DO_DB!G:I,3,0)</f>
        <v>#N/A</v>
      </c>
      <c r="AB2146" s="331" t="e">
        <f>EXACT(Logfile_S12[[#This Row],[date pick]],Logfile_S12[[#This Row],[Date]])</f>
        <v>#N/A</v>
      </c>
      <c r="AC21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47" spans="1:29" ht="14.5" hidden="1">
      <c r="A2147" s="237" t="str">
        <f t="shared" si="76"/>
        <v>2143</v>
      </c>
      <c r="B2147" s="221">
        <v>2</v>
      </c>
      <c r="C2147" s="227" t="s">
        <v>48</v>
      </c>
      <c r="D2147" s="227" t="s">
        <v>4715</v>
      </c>
      <c r="E2147" s="227" t="s">
        <v>3295</v>
      </c>
      <c r="F2147" s="227" t="s">
        <v>3299</v>
      </c>
      <c r="G2147" s="239">
        <v>45982</v>
      </c>
      <c r="H2147" s="240">
        <v>0.33333333333333331</v>
      </c>
      <c r="I2147" s="227" t="s">
        <v>37</v>
      </c>
      <c r="J2147" s="221" t="s">
        <v>3023</v>
      </c>
      <c r="K2147" s="241" t="s">
        <v>3071</v>
      </c>
      <c r="L2147" s="225" t="str">
        <f>VLOOKUP(Logfile_S12[[#This Row],[Material Name]],Sheet2!B:C,2,0)</f>
        <v>ZTE1003</v>
      </c>
      <c r="M2147" s="242" t="s">
        <v>19</v>
      </c>
      <c r="N2147" s="227">
        <v>6</v>
      </c>
      <c r="O2147" s="227" t="s">
        <v>4692</v>
      </c>
      <c r="P2147" s="227" t="s">
        <v>4693</v>
      </c>
      <c r="Q2147" s="227" t="s">
        <v>4694</v>
      </c>
      <c r="R2147" s="227" t="s">
        <v>4695</v>
      </c>
      <c r="S2147" s="227"/>
      <c r="T2147" s="227"/>
      <c r="U2147" s="227"/>
      <c r="V2147" s="227"/>
      <c r="W2147" s="227"/>
      <c r="X2147" s="227"/>
      <c r="Y2147" s="227"/>
      <c r="Z2147" s="227" t="str">
        <f t="shared" si="77"/>
        <v>PALAAN RW 01 SAMPAI 05 MALANG</v>
      </c>
      <c r="AA2147" s="276">
        <f>VLOOKUP(Logfile_S12[[#This Row],[DO number]],DO_DB!G:I,3,0)</f>
        <v>45955</v>
      </c>
      <c r="AB2147" s="331" t="b">
        <f>EXACT(Logfile_S12[[#This Row],[date pick]],Logfile_S12[[#This Row],[Date]])</f>
        <v>0</v>
      </c>
      <c r="AC21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48" spans="1:29" ht="14.5" hidden="1">
      <c r="A2148" s="237" t="str">
        <f t="shared" si="76"/>
        <v>2144</v>
      </c>
      <c r="B2148" s="221">
        <v>3</v>
      </c>
      <c r="C2148" s="227" t="s">
        <v>49</v>
      </c>
      <c r="D2148" s="227" t="s">
        <v>4717</v>
      </c>
      <c r="E2148" s="227" t="s">
        <v>3295</v>
      </c>
      <c r="F2148" s="227" t="s">
        <v>3299</v>
      </c>
      <c r="G2148" s="239">
        <v>45983</v>
      </c>
      <c r="H2148" s="240">
        <v>0.54166666666666663</v>
      </c>
      <c r="I2148" s="227" t="s">
        <v>3295</v>
      </c>
      <c r="J2148" s="221" t="s">
        <v>3023</v>
      </c>
      <c r="K2148" s="241" t="s">
        <v>3071</v>
      </c>
      <c r="L2148" s="225" t="str">
        <f>VLOOKUP(Logfile_S12[[#This Row],[Material Name]],Sheet2!B:C,2,0)</f>
        <v>ZTE1003</v>
      </c>
      <c r="M2148" s="242" t="s">
        <v>19</v>
      </c>
      <c r="N2148" s="227">
        <v>3</v>
      </c>
      <c r="O2148" s="227" t="s">
        <v>4696</v>
      </c>
      <c r="P2148" s="227" t="s">
        <v>4697</v>
      </c>
      <c r="Q2148" s="227" t="s">
        <v>4698</v>
      </c>
      <c r="R2148" s="227" t="s">
        <v>4699</v>
      </c>
      <c r="S2148" s="227"/>
      <c r="T2148" s="221" t="s">
        <v>3258</v>
      </c>
      <c r="U2148" s="221">
        <v>0</v>
      </c>
      <c r="V2148" s="221" t="s">
        <v>3337</v>
      </c>
      <c r="W2148" s="221" t="s">
        <v>3338</v>
      </c>
      <c r="X2148" s="227"/>
      <c r="Y2148" s="227"/>
      <c r="Z2148" s="227" t="str">
        <f t="shared" si="77"/>
        <v>PALAAN RW 06 SAMPAI 10 MALANG</v>
      </c>
      <c r="AA2148" s="276">
        <f>VLOOKUP(Logfile_S12[[#This Row],[DO number]],DO_DB!G:I,3,0)</f>
        <v>45955</v>
      </c>
      <c r="AB2148" s="331" t="b">
        <f>EXACT(Logfile_S12[[#This Row],[date pick]],Logfile_S12[[#This Row],[Date]])</f>
        <v>0</v>
      </c>
      <c r="AC21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49" spans="1:29" ht="14.5" hidden="1">
      <c r="A2149" s="237" t="str">
        <f t="shared" si="76"/>
        <v>2145</v>
      </c>
      <c r="B2149" s="221">
        <v>9</v>
      </c>
      <c r="C2149" s="227" t="s">
        <v>48</v>
      </c>
      <c r="D2149" s="227" t="s">
        <v>4730</v>
      </c>
      <c r="E2149" s="227" t="s">
        <v>3295</v>
      </c>
      <c r="F2149" s="227" t="s">
        <v>3299</v>
      </c>
      <c r="G2149" s="239">
        <v>46003</v>
      </c>
      <c r="H2149" s="240">
        <v>0.54166666666666663</v>
      </c>
      <c r="I2149" s="227" t="s">
        <v>37</v>
      </c>
      <c r="J2149" s="221" t="s">
        <v>3023</v>
      </c>
      <c r="K2149" s="241" t="s">
        <v>3071</v>
      </c>
      <c r="L2149" s="225" t="str">
        <f>VLOOKUP(Logfile_S12[[#This Row],[Material Name]],Sheet2!B:C,2,0)</f>
        <v>ZTE1003</v>
      </c>
      <c r="M2149" s="242" t="s">
        <v>19</v>
      </c>
      <c r="N2149" s="227">
        <v>2</v>
      </c>
      <c r="O2149" s="221"/>
      <c r="P2149" s="227"/>
      <c r="Q2149" s="227" t="s">
        <v>3260</v>
      </c>
      <c r="R2149" s="227" t="s">
        <v>3260</v>
      </c>
      <c r="S2149" s="227"/>
      <c r="T2149" s="227"/>
      <c r="U2149" s="227"/>
      <c r="V2149" s="227"/>
      <c r="W2149" s="227"/>
      <c r="X2149" s="227"/>
      <c r="Y2149" s="227"/>
      <c r="Z2149" s="227">
        <f t="shared" si="77"/>
        <v>0</v>
      </c>
      <c r="AA2149" s="276" t="e">
        <f>VLOOKUP(Logfile_S12[[#This Row],[DO number]],DO_DB!G:I,3,0)</f>
        <v>#N/A</v>
      </c>
      <c r="AB2149" s="331" t="e">
        <f>EXACT(Logfile_S12[[#This Row],[date pick]],Logfile_S12[[#This Row],[Date]])</f>
        <v>#N/A</v>
      </c>
      <c r="AC21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50" spans="1:29" ht="14.5" hidden="1">
      <c r="A2150" s="237" t="str">
        <f t="shared" si="76"/>
        <v>2146</v>
      </c>
      <c r="B2150" s="221"/>
      <c r="C2150" s="227" t="s">
        <v>48</v>
      </c>
      <c r="D2150" s="227" t="s">
        <v>4730</v>
      </c>
      <c r="E2150" s="227" t="s">
        <v>3295</v>
      </c>
      <c r="F2150" s="227" t="s">
        <v>3299</v>
      </c>
      <c r="G2150" s="239">
        <v>46003</v>
      </c>
      <c r="H2150" s="240">
        <v>0.54166666666666663</v>
      </c>
      <c r="I2150" s="227" t="s">
        <v>37</v>
      </c>
      <c r="J2150" s="221" t="s">
        <v>3023</v>
      </c>
      <c r="K2150" s="241" t="s">
        <v>3071</v>
      </c>
      <c r="L2150" s="225" t="str">
        <f>VLOOKUP(Logfile_S12[[#This Row],[Material Name]],Sheet2!B:C,2,0)</f>
        <v>ZTE1003</v>
      </c>
      <c r="M2150" s="242" t="s">
        <v>19</v>
      </c>
      <c r="N2150" s="227">
        <v>3</v>
      </c>
      <c r="O2150" s="221"/>
      <c r="P2150" s="227"/>
      <c r="Q2150" s="227"/>
      <c r="R2150" s="227"/>
      <c r="S2150" s="227"/>
      <c r="T2150" s="227"/>
      <c r="U2150" s="227"/>
      <c r="V2150" s="227"/>
      <c r="W2150" s="227"/>
      <c r="X2150" s="227"/>
      <c r="Y2150" s="227"/>
      <c r="Z2150" s="227">
        <f t="shared" si="77"/>
        <v>0</v>
      </c>
      <c r="AA2150" s="276" t="e">
        <f>VLOOKUP(Logfile_S12[[#This Row],[DO number]],DO_DB!G:I,3,0)</f>
        <v>#N/A</v>
      </c>
      <c r="AB2150" s="331" t="e">
        <f>EXACT(Logfile_S12[[#This Row],[date pick]],Logfile_S12[[#This Row],[Date]])</f>
        <v>#N/A</v>
      </c>
      <c r="AC21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51" spans="1:29" ht="14.5" hidden="1">
      <c r="A2151" s="237" t="str">
        <f t="shared" si="76"/>
        <v>2147</v>
      </c>
      <c r="B2151" s="221">
        <v>14</v>
      </c>
      <c r="C2151" s="227" t="s">
        <v>49</v>
      </c>
      <c r="D2151" s="227" t="s">
        <v>4740</v>
      </c>
      <c r="E2151" s="227" t="s">
        <v>3295</v>
      </c>
      <c r="F2151" s="227" t="s">
        <v>3299</v>
      </c>
      <c r="G2151" s="239">
        <v>46006</v>
      </c>
      <c r="H2151" s="240">
        <v>0.49305555555555558</v>
      </c>
      <c r="I2151" s="227" t="s">
        <v>3295</v>
      </c>
      <c r="J2151" s="221" t="s">
        <v>3023</v>
      </c>
      <c r="K2151" s="241" t="s">
        <v>3071</v>
      </c>
      <c r="L2151" s="225" t="str">
        <f>VLOOKUP(Logfile_S12[[#This Row],[Material Name]],Sheet2!B:C,2,0)</f>
        <v>ZTE1003</v>
      </c>
      <c r="M2151" s="242" t="s">
        <v>19</v>
      </c>
      <c r="N2151" s="227">
        <v>2</v>
      </c>
      <c r="O2151" s="221" t="s">
        <v>4801</v>
      </c>
      <c r="P2151" s="221" t="s">
        <v>4802</v>
      </c>
      <c r="Q2151" s="227"/>
      <c r="R2151" s="227"/>
      <c r="S2151" s="227"/>
      <c r="T2151" s="221" t="s">
        <v>3258</v>
      </c>
      <c r="U2151" s="221" t="s">
        <v>4811</v>
      </c>
      <c r="V2151" s="221" t="s">
        <v>3337</v>
      </c>
      <c r="W2151" s="221" t="s">
        <v>3338</v>
      </c>
      <c r="X2151" s="227"/>
      <c r="Y2151" s="227"/>
      <c r="Z2151" s="227" t="str">
        <f t="shared" si="77"/>
        <v>DUSUN SIDOAYU KELURAHAN SIDEREJO MALANG</v>
      </c>
      <c r="AA2151" s="276" t="e">
        <f>VLOOKUP(Logfile_S12[[#This Row],[DO number]],DO_DB!G:I,3,0)</f>
        <v>#N/A</v>
      </c>
      <c r="AB2151" s="331" t="e">
        <f>EXACT(Logfile_S12[[#This Row],[date pick]],Logfile_S12[[#This Row],[Date]])</f>
        <v>#N/A</v>
      </c>
      <c r="AC21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52" spans="1:29" ht="14.5" hidden="1">
      <c r="A2152" s="237" t="str">
        <f t="shared" si="76"/>
        <v>2148</v>
      </c>
      <c r="B2152" s="221">
        <v>2</v>
      </c>
      <c r="C2152" s="227" t="s">
        <v>3313</v>
      </c>
      <c r="D2152" s="227" t="s">
        <v>4779</v>
      </c>
      <c r="E2152" s="227" t="s">
        <v>3295</v>
      </c>
      <c r="F2152" s="227" t="s">
        <v>3299</v>
      </c>
      <c r="G2152" s="239">
        <v>46017</v>
      </c>
      <c r="H2152" s="240">
        <v>0.54166666666666663</v>
      </c>
      <c r="I2152" s="221" t="s">
        <v>4918</v>
      </c>
      <c r="J2152" s="221" t="s">
        <v>3023</v>
      </c>
      <c r="K2152" s="241" t="s">
        <v>3071</v>
      </c>
      <c r="L2152" s="225" t="str">
        <f>VLOOKUP(Logfile_S12[[#This Row],[Material Name]],Sheet2!B:C,2,0)</f>
        <v>ZTE1003</v>
      </c>
      <c r="M2152" s="242" t="s">
        <v>19</v>
      </c>
      <c r="N2152" s="227">
        <v>7</v>
      </c>
      <c r="O2152" s="227" t="s">
        <v>4780</v>
      </c>
      <c r="P2152" s="227"/>
      <c r="Q2152" s="227"/>
      <c r="R2152" s="227"/>
      <c r="S2152" s="227"/>
      <c r="T2152" s="227"/>
      <c r="U2152" s="227"/>
      <c r="V2152" s="227"/>
      <c r="W2152" s="227"/>
      <c r="X2152" s="227"/>
      <c r="Y2152" s="227"/>
      <c r="Z2152" s="227">
        <f t="shared" si="77"/>
        <v>0</v>
      </c>
      <c r="AA2152" s="276" t="e">
        <f>VLOOKUP(Logfile_S12[[#This Row],[DO number]],DO_DB!G:I,3,0)</f>
        <v>#N/A</v>
      </c>
      <c r="AB2152" s="331" t="e">
        <f>EXACT(Logfile_S12[[#This Row],[date pick]],Logfile_S12[[#This Row],[Date]])</f>
        <v>#N/A</v>
      </c>
      <c r="AC21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53" spans="1:29" ht="14.5" hidden="1">
      <c r="A2153" s="237" t="str">
        <f t="shared" si="76"/>
        <v>2149</v>
      </c>
      <c r="B2153" s="221">
        <v>14</v>
      </c>
      <c r="C2153" s="227" t="s">
        <v>49</v>
      </c>
      <c r="D2153" s="227" t="s">
        <v>4783</v>
      </c>
      <c r="E2153" s="227" t="s">
        <v>3295</v>
      </c>
      <c r="F2153" s="227" t="s">
        <v>3299</v>
      </c>
      <c r="G2153" s="239">
        <v>46018</v>
      </c>
      <c r="H2153" s="240">
        <v>0.49305555555555558</v>
      </c>
      <c r="I2153" s="227" t="s">
        <v>3295</v>
      </c>
      <c r="J2153" s="221" t="s">
        <v>3023</v>
      </c>
      <c r="K2153" s="241" t="s">
        <v>3071</v>
      </c>
      <c r="L2153" s="225" t="str">
        <f>VLOOKUP(Logfile_S12[[#This Row],[Material Name]],Sheet2!B:C,2,0)</f>
        <v>ZTE1003</v>
      </c>
      <c r="M2153" s="242" t="s">
        <v>19</v>
      </c>
      <c r="N2153" s="227">
        <v>9</v>
      </c>
      <c r="O2153" s="227" t="s">
        <v>4785</v>
      </c>
      <c r="P2153" s="227" t="s">
        <v>4786</v>
      </c>
      <c r="Q2153" s="227"/>
      <c r="R2153" s="227"/>
      <c r="S2153" s="227"/>
      <c r="T2153" s="221" t="s">
        <v>3258</v>
      </c>
      <c r="U2153" s="221" t="s">
        <v>4811</v>
      </c>
      <c r="V2153" s="221" t="s">
        <v>3337</v>
      </c>
      <c r="W2153" s="221" t="s">
        <v>3338</v>
      </c>
      <c r="X2153" s="227"/>
      <c r="Y2153" s="227"/>
      <c r="Z2153" s="227" t="str">
        <f t="shared" si="77"/>
        <v>DUSUN ARDIREJO KELURAHAN SIDEREJO MALANG</v>
      </c>
      <c r="AA2153" s="276" t="e">
        <f>VLOOKUP(Logfile_S12[[#This Row],[DO number]],DO_DB!G:I,3,0)</f>
        <v>#N/A</v>
      </c>
      <c r="AB2153" s="331" t="e">
        <f>EXACT(Logfile_S12[[#This Row],[date pick]],Logfile_S12[[#This Row],[Date]])</f>
        <v>#N/A</v>
      </c>
      <c r="AC21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54" spans="1:29" ht="14.5" hidden="1">
      <c r="A2154" s="237" t="str">
        <f t="shared" si="76"/>
        <v>2150</v>
      </c>
      <c r="B2154" s="221"/>
      <c r="C2154" s="227" t="s">
        <v>49</v>
      </c>
      <c r="D2154" s="227" t="s">
        <v>4937</v>
      </c>
      <c r="E2154" s="227" t="s">
        <v>3295</v>
      </c>
      <c r="F2154" s="227" t="s">
        <v>4909</v>
      </c>
      <c r="G2154" s="239">
        <v>46202</v>
      </c>
      <c r="H2154" s="240">
        <v>0.25</v>
      </c>
      <c r="I2154" s="227" t="s">
        <v>3295</v>
      </c>
      <c r="J2154" s="227" t="s">
        <v>3023</v>
      </c>
      <c r="K2154" s="241" t="s">
        <v>3071</v>
      </c>
      <c r="L2154" s="242" t="str">
        <f>VLOOKUP(Logfile_S12[[#This Row],[Material Name]],Sheet2!B:C,2,0)</f>
        <v>ZTE1003</v>
      </c>
      <c r="M2154" s="242" t="s">
        <v>19</v>
      </c>
      <c r="N2154" s="227">
        <v>1</v>
      </c>
      <c r="O2154" s="227" t="s">
        <v>4902</v>
      </c>
      <c r="P2154" s="227" t="s">
        <v>4903</v>
      </c>
      <c r="Q2154" s="227"/>
      <c r="R2154" s="227"/>
      <c r="S2154" s="227"/>
      <c r="T2154" s="221" t="s">
        <v>3258</v>
      </c>
      <c r="U2154" s="221" t="s">
        <v>4811</v>
      </c>
      <c r="V2154" s="221" t="s">
        <v>3337</v>
      </c>
      <c r="W2154" s="221" t="s">
        <v>3338</v>
      </c>
      <c r="X2154" s="227"/>
      <c r="Y2154" s="227"/>
      <c r="Z2154" s="227" t="str">
        <f t="shared" si="77"/>
        <v>KAMBINGAN RW 04 MALANG</v>
      </c>
      <c r="AA2154" s="276" t="e">
        <f>VLOOKUP(Logfile_S12[[#This Row],[DO number]],DO_DB!G:I,3,0)</f>
        <v>#N/A</v>
      </c>
      <c r="AB2154" s="331" t="e">
        <f>EXACT(Logfile_S12[[#This Row],[date pick]],Logfile_S12[[#This Row],[Date]])</f>
        <v>#N/A</v>
      </c>
      <c r="AC21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55" spans="1:29" ht="14.5" hidden="1">
      <c r="A2155" s="237" t="str">
        <f t="shared" si="76"/>
        <v>2151</v>
      </c>
      <c r="B2155" s="221"/>
      <c r="C2155" s="227" t="s">
        <v>48</v>
      </c>
      <c r="D2155" s="227" t="s">
        <v>5127</v>
      </c>
      <c r="E2155" s="227" t="s">
        <v>3295</v>
      </c>
      <c r="F2155" s="227" t="s">
        <v>3299</v>
      </c>
      <c r="G2155" s="239">
        <v>46212</v>
      </c>
      <c r="H2155" s="240">
        <v>0.25</v>
      </c>
      <c r="I2155" s="227" t="s">
        <v>37</v>
      </c>
      <c r="J2155" s="227" t="s">
        <v>3023</v>
      </c>
      <c r="K2155" s="241" t="s">
        <v>3071</v>
      </c>
      <c r="L2155" s="242" t="str">
        <f>VLOOKUP(Logfile_S12[[#This Row],[Material Name]],Sheet2!B:C,2,0)</f>
        <v>ZTE1003</v>
      </c>
      <c r="M2155" s="242" t="s">
        <v>19</v>
      </c>
      <c r="N2155" s="242">
        <v>4</v>
      </c>
      <c r="O2155" s="227" t="s">
        <v>5122</v>
      </c>
      <c r="P2155" s="227" t="s">
        <v>5125</v>
      </c>
      <c r="Q2155" s="8" t="s">
        <v>5123</v>
      </c>
      <c r="R2155" s="8" t="s">
        <v>5124</v>
      </c>
      <c r="S2155" s="227"/>
      <c r="T2155" s="227"/>
      <c r="U2155" s="227"/>
      <c r="V2155" s="227"/>
      <c r="W2155" s="227"/>
      <c r="X2155" s="227"/>
      <c r="Y2155" s="238"/>
      <c r="Z2155" s="238" t="str">
        <f t="shared" si="77"/>
        <v>KESATRIAN RW 09 MALANG</v>
      </c>
      <c r="AA2155" s="276">
        <f>VLOOKUP(Logfile_S12[[#This Row],[DO number]],DO_DB!G:I,3,0)</f>
        <v>46212</v>
      </c>
      <c r="AB2155" s="332" t="b">
        <f>EXACT(Logfile_S12[[#This Row],[date pick]],Logfile_S12[[#This Row],[Date]])</f>
        <v>1</v>
      </c>
      <c r="AC21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56" spans="1:29" ht="14.5" hidden="1">
      <c r="A2156" s="237" t="str">
        <f t="shared" si="76"/>
        <v>2152</v>
      </c>
      <c r="B2156" s="221"/>
      <c r="C2156" s="227" t="s">
        <v>49</v>
      </c>
      <c r="D2156" s="227" t="s">
        <v>5128</v>
      </c>
      <c r="E2156" s="227" t="s">
        <v>3295</v>
      </c>
      <c r="F2156" s="227" t="s">
        <v>3299</v>
      </c>
      <c r="G2156" s="239">
        <v>46215</v>
      </c>
      <c r="H2156" s="240">
        <v>0.25</v>
      </c>
      <c r="I2156" s="227" t="s">
        <v>3295</v>
      </c>
      <c r="J2156" s="227" t="s">
        <v>3023</v>
      </c>
      <c r="K2156" s="241" t="s">
        <v>3071</v>
      </c>
      <c r="L2156" s="242" t="str">
        <f>VLOOKUP(Logfile_S12[[#This Row],[Material Name]],Sheet2!B:C,2,0)</f>
        <v>ZTE1003</v>
      </c>
      <c r="M2156" s="242" t="s">
        <v>19</v>
      </c>
      <c r="N2156" s="227">
        <v>4</v>
      </c>
      <c r="O2156" s="227" t="s">
        <v>5122</v>
      </c>
      <c r="P2156" s="227" t="s">
        <v>5125</v>
      </c>
      <c r="Q2156" s="227"/>
      <c r="R2156" s="227"/>
      <c r="S2156" s="227"/>
      <c r="T2156" s="227" t="s">
        <v>3258</v>
      </c>
      <c r="U2156" s="227" t="s">
        <v>4811</v>
      </c>
      <c r="V2156" s="227" t="s">
        <v>3337</v>
      </c>
      <c r="W2156" s="227" t="s">
        <v>3338</v>
      </c>
      <c r="X2156" s="227"/>
      <c r="Y2156" s="238"/>
      <c r="Z2156" s="238" t="str">
        <f t="shared" si="77"/>
        <v>KESATRIAN RW 09 MALANG</v>
      </c>
      <c r="AA2156" s="276" t="e">
        <f>VLOOKUP(Logfile_S12[[#This Row],[DO number]],DO_DB!G:I,3,0)</f>
        <v>#N/A</v>
      </c>
      <c r="AB2156" s="332" t="e">
        <f>EXACT(Logfile_S12[[#This Row],[date pick]],Logfile_S12[[#This Row],[Date]])</f>
        <v>#N/A</v>
      </c>
      <c r="AC21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57" spans="1:29" ht="14.5" hidden="1">
      <c r="A2157" s="220" t="str">
        <f t="shared" si="76"/>
        <v>2153</v>
      </c>
      <c r="B2157" s="221"/>
      <c r="C2157" s="221" t="s">
        <v>48</v>
      </c>
      <c r="D2157" s="221" t="s">
        <v>3683</v>
      </c>
      <c r="E2157" s="221" t="s">
        <v>3295</v>
      </c>
      <c r="F2157" s="221" t="s">
        <v>3299</v>
      </c>
      <c r="G2157" s="222">
        <v>45147</v>
      </c>
      <c r="H2157" s="223">
        <v>15.291666666666666</v>
      </c>
      <c r="I2157" s="221" t="s">
        <v>38</v>
      </c>
      <c r="J2157" s="221" t="s">
        <v>3024</v>
      </c>
      <c r="K2157" s="224" t="s">
        <v>3094</v>
      </c>
      <c r="L2157" s="225" t="str">
        <f>VLOOKUP(Logfile_S12[[#This Row],[Material Name]],Sheet2!B:C,2,0)</f>
        <v>GCI1008</v>
      </c>
      <c r="M2157" s="225" t="str">
        <f>_xlfn.XLOOKUP(Logfile_S12[[#This Row],[Material Name]],Sum_WH!E:E,Sum_WH!F:F,"",0)</f>
        <v>Pcs</v>
      </c>
      <c r="N2157" s="221">
        <v>75</v>
      </c>
      <c r="O2157" s="221" t="s">
        <v>84</v>
      </c>
      <c r="P2157" s="221" t="s">
        <v>85</v>
      </c>
      <c r="Q2157" s="221">
        <v>0</v>
      </c>
      <c r="R2157" s="221">
        <v>0</v>
      </c>
      <c r="S2157" s="221"/>
      <c r="T2157" s="221"/>
      <c r="U2157" s="221"/>
      <c r="V2157" s="221"/>
      <c r="W2157" s="221"/>
      <c r="X2157" s="221"/>
      <c r="Y2157" s="227"/>
      <c r="Z2157" s="227" t="str">
        <f t="shared" si="77"/>
        <v>Perumahan Bumi Podo Rukun Dau</v>
      </c>
      <c r="AA2157" s="276" t="e">
        <f>VLOOKUP(Logfile_S12[[#This Row],[DO number]],DO_DB!G:I,3,0)</f>
        <v>#N/A</v>
      </c>
      <c r="AB2157" s="331" t="e">
        <f>EXACT(Logfile_S12[[#This Row],[date pick]],Logfile_S12[[#This Row],[Date]])</f>
        <v>#N/A</v>
      </c>
      <c r="AC21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58" spans="1:29" ht="14.5" hidden="1">
      <c r="A2158" s="220" t="str">
        <f t="shared" si="76"/>
        <v>2154</v>
      </c>
      <c r="B2158" s="221"/>
      <c r="C2158" s="221" t="s">
        <v>49</v>
      </c>
      <c r="D2158" s="221" t="s">
        <v>3684</v>
      </c>
      <c r="E2158" s="221" t="s">
        <v>3295</v>
      </c>
      <c r="F2158" s="221" t="s">
        <v>3299</v>
      </c>
      <c r="G2158" s="222">
        <v>45148</v>
      </c>
      <c r="H2158" s="223">
        <v>15.692638888888888</v>
      </c>
      <c r="I2158" s="221" t="s">
        <v>4916</v>
      </c>
      <c r="J2158" s="221" t="s">
        <v>3024</v>
      </c>
      <c r="K2158" s="224" t="s">
        <v>3094</v>
      </c>
      <c r="L2158" s="225" t="str">
        <f>VLOOKUP(Logfile_S12[[#This Row],[Material Name]],Sheet2!B:C,2,0)</f>
        <v>GCI1008</v>
      </c>
      <c r="M2158" s="225" t="str">
        <f>_xlfn.XLOOKUP(Logfile_S12[[#This Row],[Material Name]],Sum_WH!E:E,Sum_WH!F:F,"",0)</f>
        <v>Pcs</v>
      </c>
      <c r="N2158" s="221">
        <v>75</v>
      </c>
      <c r="O2158" s="221" t="s">
        <v>84</v>
      </c>
      <c r="P2158" s="221" t="s">
        <v>85</v>
      </c>
      <c r="Q2158" s="221"/>
      <c r="R2158" s="221"/>
      <c r="S2158" s="221"/>
      <c r="T2158" s="221" t="s">
        <v>3305</v>
      </c>
      <c r="U2158" s="221" t="s">
        <v>3228</v>
      </c>
      <c r="V2158" s="221" t="s">
        <v>3306</v>
      </c>
      <c r="W2158" s="221" t="s">
        <v>3307</v>
      </c>
      <c r="X2158" s="221"/>
      <c r="Y2158" s="227"/>
      <c r="Z2158" s="227" t="str">
        <f t="shared" si="77"/>
        <v>Perumahan Bumi Podo Rukun Dau</v>
      </c>
      <c r="AA2158" s="276" t="e">
        <f>VLOOKUP(Logfile_S12[[#This Row],[DO number]],DO_DB!G:I,3,0)</f>
        <v>#N/A</v>
      </c>
      <c r="AB2158" s="331" t="e">
        <f>EXACT(Logfile_S12[[#This Row],[date pick]],Logfile_S12[[#This Row],[Date]])</f>
        <v>#N/A</v>
      </c>
      <c r="AC21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59" spans="1:29" ht="14.5" hidden="1">
      <c r="A2159" s="220" t="str">
        <f t="shared" si="76"/>
        <v>2155</v>
      </c>
      <c r="B2159" s="221"/>
      <c r="C2159" s="221" t="s">
        <v>48</v>
      </c>
      <c r="D2159" s="221" t="s">
        <v>3689</v>
      </c>
      <c r="E2159" s="221" t="s">
        <v>3295</v>
      </c>
      <c r="F2159" s="221" t="s">
        <v>3299</v>
      </c>
      <c r="G2159" s="222">
        <v>45157</v>
      </c>
      <c r="H2159" s="223">
        <v>15.291666666666666</v>
      </c>
      <c r="I2159" s="221" t="s">
        <v>38</v>
      </c>
      <c r="J2159" s="221" t="s">
        <v>3024</v>
      </c>
      <c r="K2159" s="224" t="s">
        <v>3094</v>
      </c>
      <c r="L2159" s="225" t="str">
        <f>VLOOKUP(Logfile_S12[[#This Row],[Material Name]],Sheet2!B:C,2,0)</f>
        <v>GCI1008</v>
      </c>
      <c r="M2159" s="225" t="str">
        <f>_xlfn.XLOOKUP(Logfile_S12[[#This Row],[Material Name]],Sum_WH!E:E,Sum_WH!F:F,"",0)</f>
        <v>Pcs</v>
      </c>
      <c r="N2159" s="221">
        <v>40</v>
      </c>
      <c r="O2159" s="221" t="s">
        <v>84</v>
      </c>
      <c r="P2159" s="221" t="s">
        <v>85</v>
      </c>
      <c r="Q2159" s="221">
        <v>0</v>
      </c>
      <c r="R2159" s="221">
        <v>0</v>
      </c>
      <c r="S2159" s="221"/>
      <c r="T2159" s="221"/>
      <c r="U2159" s="221"/>
      <c r="V2159" s="221"/>
      <c r="W2159" s="221"/>
      <c r="X2159" s="221"/>
      <c r="Y2159" s="227"/>
      <c r="Z2159" s="227" t="str">
        <f t="shared" si="77"/>
        <v>Perumahan Bumi Podo Rukun Dau</v>
      </c>
      <c r="AA2159" s="276" t="e">
        <f>VLOOKUP(Logfile_S12[[#This Row],[DO number]],DO_DB!G:I,3,0)</f>
        <v>#N/A</v>
      </c>
      <c r="AB2159" s="331" t="e">
        <f>EXACT(Logfile_S12[[#This Row],[date pick]],Logfile_S12[[#This Row],[Date]])</f>
        <v>#N/A</v>
      </c>
      <c r="AC21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60" spans="1:29" ht="14.5" hidden="1">
      <c r="A2160" s="220" t="str">
        <f t="shared" si="76"/>
        <v>2156</v>
      </c>
      <c r="B2160" s="221"/>
      <c r="C2160" s="221" t="s">
        <v>49</v>
      </c>
      <c r="D2160" s="221" t="s">
        <v>3690</v>
      </c>
      <c r="E2160" s="221" t="s">
        <v>3295</v>
      </c>
      <c r="F2160" s="221" t="s">
        <v>3299</v>
      </c>
      <c r="G2160" s="222">
        <v>45158</v>
      </c>
      <c r="H2160" s="223">
        <v>0.3527777777777778</v>
      </c>
      <c r="I2160" s="221" t="s">
        <v>4916</v>
      </c>
      <c r="J2160" s="221" t="s">
        <v>3024</v>
      </c>
      <c r="K2160" s="224" t="s">
        <v>3094</v>
      </c>
      <c r="L2160" s="225" t="str">
        <f>VLOOKUP(Logfile_S12[[#This Row],[Material Name]],Sheet2!B:C,2,0)</f>
        <v>GCI1008</v>
      </c>
      <c r="M2160" s="225" t="str">
        <f>_xlfn.XLOOKUP(Logfile_S12[[#This Row],[Material Name]],Sum_WH!E:E,Sum_WH!F:F,"",0)</f>
        <v>Pcs</v>
      </c>
      <c r="N2160" s="221">
        <v>40</v>
      </c>
      <c r="O2160" s="221" t="s">
        <v>84</v>
      </c>
      <c r="P2160" s="221" t="s">
        <v>85</v>
      </c>
      <c r="Q2160" s="221"/>
      <c r="R2160" s="221"/>
      <c r="S2160" s="221"/>
      <c r="T2160" s="221" t="s">
        <v>3339</v>
      </c>
      <c r="U2160" s="221" t="s">
        <v>3228</v>
      </c>
      <c r="V2160" s="221" t="s">
        <v>3340</v>
      </c>
      <c r="W2160" s="221" t="s">
        <v>3341</v>
      </c>
      <c r="X2160" s="221"/>
      <c r="Y2160" s="227"/>
      <c r="Z2160" s="227" t="str">
        <f t="shared" si="77"/>
        <v>Perumahan Bumi Podo Rukun Dau</v>
      </c>
      <c r="AA2160" s="276" t="e">
        <f>VLOOKUP(Logfile_S12[[#This Row],[DO number]],DO_DB!G:I,3,0)</f>
        <v>#N/A</v>
      </c>
      <c r="AB2160" s="331" t="e">
        <f>EXACT(Logfile_S12[[#This Row],[date pick]],Logfile_S12[[#This Row],[Date]])</f>
        <v>#N/A</v>
      </c>
      <c r="AC21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61" spans="1:29" ht="14.5" hidden="1">
      <c r="A2161" s="220" t="str">
        <f t="shared" si="76"/>
        <v>2157</v>
      </c>
      <c r="B2161" s="221"/>
      <c r="C2161" s="221" t="s">
        <v>48</v>
      </c>
      <c r="D2161" s="221" t="s">
        <v>3691</v>
      </c>
      <c r="E2161" s="221" t="s">
        <v>3295</v>
      </c>
      <c r="F2161" s="221" t="s">
        <v>3299</v>
      </c>
      <c r="G2161" s="222">
        <v>45162</v>
      </c>
      <c r="H2161" s="223">
        <v>15.291666666666666</v>
      </c>
      <c r="I2161" s="221" t="s">
        <v>38</v>
      </c>
      <c r="J2161" s="221" t="s">
        <v>3024</v>
      </c>
      <c r="K2161" s="224" t="s">
        <v>3094</v>
      </c>
      <c r="L2161" s="225" t="str">
        <f>VLOOKUP(Logfile_S12[[#This Row],[Material Name]],Sheet2!B:C,2,0)</f>
        <v>GCI1008</v>
      </c>
      <c r="M2161" s="225" t="str">
        <f>_xlfn.XLOOKUP(Logfile_S12[[#This Row],[Material Name]],Sum_WH!E:E,Sum_WH!F:F,"",0)</f>
        <v>Pcs</v>
      </c>
      <c r="N2161" s="221">
        <v>89</v>
      </c>
      <c r="O2161" s="221" t="s">
        <v>150</v>
      </c>
      <c r="P2161" s="221" t="s">
        <v>151</v>
      </c>
      <c r="Q2161" s="221">
        <v>0</v>
      </c>
      <c r="R2161" s="221">
        <v>0</v>
      </c>
      <c r="S2161" s="221"/>
      <c r="T2161" s="221"/>
      <c r="U2161" s="221"/>
      <c r="V2161" s="221"/>
      <c r="W2161" s="221"/>
      <c r="X2161" s="221"/>
      <c r="Y2161" s="227"/>
      <c r="Z2161" s="227" t="str">
        <f t="shared" si="77"/>
        <v>Mulyorejo RW 04 Sukun</v>
      </c>
      <c r="AA2161" s="276" t="e">
        <f>VLOOKUP(Logfile_S12[[#This Row],[DO number]],DO_DB!G:I,3,0)</f>
        <v>#N/A</v>
      </c>
      <c r="AB2161" s="331" t="e">
        <f>EXACT(Logfile_S12[[#This Row],[date pick]],Logfile_S12[[#This Row],[Date]])</f>
        <v>#N/A</v>
      </c>
      <c r="AC21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62" spans="1:29" ht="14.5" hidden="1">
      <c r="A2162" s="220" t="str">
        <f t="shared" si="76"/>
        <v>2158</v>
      </c>
      <c r="B2162" s="221"/>
      <c r="C2162" s="221" t="s">
        <v>48</v>
      </c>
      <c r="D2162" s="221" t="s">
        <v>3697</v>
      </c>
      <c r="E2162" s="221" t="s">
        <v>3295</v>
      </c>
      <c r="F2162" s="221" t="s">
        <v>3299</v>
      </c>
      <c r="G2162" s="222">
        <v>45173</v>
      </c>
      <c r="H2162" s="223">
        <v>15.291666666666666</v>
      </c>
      <c r="I2162" s="221" t="s">
        <v>3586</v>
      </c>
      <c r="J2162" s="221" t="s">
        <v>3024</v>
      </c>
      <c r="K2162" s="224" t="s">
        <v>3094</v>
      </c>
      <c r="L2162" s="225" t="str">
        <f>VLOOKUP(Logfile_S12[[#This Row],[Material Name]],Sheet2!B:C,2,0)</f>
        <v>GCI1008</v>
      </c>
      <c r="M2162" s="225" t="str">
        <f>_xlfn.XLOOKUP(Logfile_S12[[#This Row],[Material Name]],Sum_WH!E:E,Sum_WH!F:F,"",0)</f>
        <v>Pcs</v>
      </c>
      <c r="N2162" s="221">
        <v>23</v>
      </c>
      <c r="O2162" s="221" t="s">
        <v>84</v>
      </c>
      <c r="P2162" s="221" t="s">
        <v>85</v>
      </c>
      <c r="Q2162" s="221">
        <v>0</v>
      </c>
      <c r="R2162" s="221">
        <v>0</v>
      </c>
      <c r="S2162" s="221"/>
      <c r="T2162" s="221"/>
      <c r="U2162" s="221"/>
      <c r="V2162" s="221"/>
      <c r="W2162" s="221"/>
      <c r="X2162" s="221" t="s">
        <v>3342</v>
      </c>
      <c r="Y2162" s="227"/>
      <c r="Z2162" s="227" t="str">
        <f t="shared" si="77"/>
        <v>Perumahan Bumi Podo Rukun Dau</v>
      </c>
      <c r="AA2162" s="276" t="e">
        <f>VLOOKUP(Logfile_S12[[#This Row],[DO number]],DO_DB!G:I,3,0)</f>
        <v>#N/A</v>
      </c>
      <c r="AB2162" s="331" t="e">
        <f>EXACT(Logfile_S12[[#This Row],[date pick]],Logfile_S12[[#This Row],[Date]])</f>
        <v>#N/A</v>
      </c>
      <c r="AC21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63" spans="1:29" ht="14.5" hidden="1">
      <c r="A2163" s="220" t="str">
        <f t="shared" si="76"/>
        <v>2159</v>
      </c>
      <c r="B2163" s="221"/>
      <c r="C2163" s="221" t="s">
        <v>49</v>
      </c>
      <c r="D2163" s="221" t="s">
        <v>3696</v>
      </c>
      <c r="E2163" s="221" t="s">
        <v>3295</v>
      </c>
      <c r="F2163" s="221" t="s">
        <v>3299</v>
      </c>
      <c r="G2163" s="222">
        <v>45173</v>
      </c>
      <c r="H2163" s="223">
        <v>0.69236111111111109</v>
      </c>
      <c r="I2163" s="221" t="s">
        <v>4916</v>
      </c>
      <c r="J2163" s="221" t="s">
        <v>3024</v>
      </c>
      <c r="K2163" s="224" t="s">
        <v>3094</v>
      </c>
      <c r="L2163" s="225" t="str">
        <f>VLOOKUP(Logfile_S12[[#This Row],[Material Name]],Sheet2!B:C,2,0)</f>
        <v>GCI1008</v>
      </c>
      <c r="M2163" s="225" t="str">
        <f>_xlfn.XLOOKUP(Logfile_S12[[#This Row],[Material Name]],Sum_WH!E:E,Sum_WH!F:F,"",0)</f>
        <v>Pcs</v>
      </c>
      <c r="N2163" s="221">
        <v>20</v>
      </c>
      <c r="O2163" s="221" t="s">
        <v>150</v>
      </c>
      <c r="P2163" s="221" t="s">
        <v>151</v>
      </c>
      <c r="Q2163" s="221"/>
      <c r="R2163" s="221"/>
      <c r="S2163" s="221"/>
      <c r="T2163" s="221" t="s">
        <v>3309</v>
      </c>
      <c r="U2163" s="221" t="s">
        <v>3228</v>
      </c>
      <c r="V2163" s="221" t="s">
        <v>3310</v>
      </c>
      <c r="W2163" s="221" t="s">
        <v>3311</v>
      </c>
      <c r="X2163" s="221"/>
      <c r="Y2163" s="227"/>
      <c r="Z2163" s="227" t="str">
        <f t="shared" si="77"/>
        <v>Mulyorejo RW 04 Sukun</v>
      </c>
      <c r="AA2163" s="276" t="e">
        <f>VLOOKUP(Logfile_S12[[#This Row],[DO number]],DO_DB!G:I,3,0)</f>
        <v>#N/A</v>
      </c>
      <c r="AB2163" s="331" t="e">
        <f>EXACT(Logfile_S12[[#This Row],[date pick]],Logfile_S12[[#This Row],[Date]])</f>
        <v>#N/A</v>
      </c>
      <c r="AC21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64" spans="1:29" ht="14.5" hidden="1">
      <c r="A2164" s="220" t="str">
        <f t="shared" si="76"/>
        <v>2160</v>
      </c>
      <c r="B2164" s="221"/>
      <c r="C2164" s="221" t="s">
        <v>49</v>
      </c>
      <c r="D2164" s="221" t="s">
        <v>3700</v>
      </c>
      <c r="E2164" s="221" t="s">
        <v>3295</v>
      </c>
      <c r="F2164" s="221" t="s">
        <v>3299</v>
      </c>
      <c r="G2164" s="222">
        <v>45175</v>
      </c>
      <c r="H2164" s="223">
        <v>0.33888888888888885</v>
      </c>
      <c r="I2164" s="221" t="s">
        <v>4916</v>
      </c>
      <c r="J2164" s="221" t="s">
        <v>3024</v>
      </c>
      <c r="K2164" s="224" t="s">
        <v>3236</v>
      </c>
      <c r="L2164" s="225" t="str">
        <f>VLOOKUP(Logfile_S12[[#This Row],[Material Name]],Sheet2!B:C,2,0)</f>
        <v>GCI1008</v>
      </c>
      <c r="M2164" s="225" t="str">
        <f>_xlfn.XLOOKUP(Logfile_S12[[#This Row],[Material Name]],Sum_WH!E:E,Sum_WH!F:F,"",0)</f>
        <v>Pcs</v>
      </c>
      <c r="N2164" s="221">
        <v>20</v>
      </c>
      <c r="O2164" s="221" t="s">
        <v>150</v>
      </c>
      <c r="P2164" s="221" t="s">
        <v>151</v>
      </c>
      <c r="Q2164" s="221"/>
      <c r="R2164" s="221"/>
      <c r="S2164" s="221"/>
      <c r="T2164" s="221" t="s">
        <v>3309</v>
      </c>
      <c r="U2164" s="221" t="s">
        <v>3228</v>
      </c>
      <c r="V2164" s="221" t="s">
        <v>3310</v>
      </c>
      <c r="W2164" s="221" t="s">
        <v>3311</v>
      </c>
      <c r="X2164" s="221"/>
      <c r="Y2164" s="227"/>
      <c r="Z2164" s="227" t="str">
        <f t="shared" si="77"/>
        <v>Mulyorejo RW 04 Sukun</v>
      </c>
      <c r="AA2164" s="276" t="e">
        <f>VLOOKUP(Logfile_S12[[#This Row],[DO number]],DO_DB!G:I,3,0)</f>
        <v>#N/A</v>
      </c>
      <c r="AB2164" s="331" t="e">
        <f>EXACT(Logfile_S12[[#This Row],[date pick]],Logfile_S12[[#This Row],[Date]])</f>
        <v>#N/A</v>
      </c>
      <c r="AC21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65" spans="1:29" ht="14.5" hidden="1">
      <c r="A2165" s="220" t="str">
        <f t="shared" si="76"/>
        <v>2161</v>
      </c>
      <c r="B2165" s="221"/>
      <c r="C2165" s="221" t="s">
        <v>48</v>
      </c>
      <c r="D2165" s="221" t="s">
        <v>3703</v>
      </c>
      <c r="E2165" s="221" t="s">
        <v>3295</v>
      </c>
      <c r="F2165" s="221" t="s">
        <v>3299</v>
      </c>
      <c r="G2165" s="222">
        <v>45177</v>
      </c>
      <c r="H2165" s="223">
        <v>0.67638888888888893</v>
      </c>
      <c r="I2165" s="221" t="s">
        <v>3586</v>
      </c>
      <c r="J2165" s="221" t="s">
        <v>3024</v>
      </c>
      <c r="K2165" s="224" t="s">
        <v>3094</v>
      </c>
      <c r="L2165" s="225" t="str">
        <f>VLOOKUP(Logfile_S12[[#This Row],[Material Name]],Sheet2!B:C,2,0)</f>
        <v>GCI1008</v>
      </c>
      <c r="M2165" s="225" t="str">
        <f>_xlfn.XLOOKUP(Logfile_S12[[#This Row],[Material Name]],Sum_WH!E:E,Sum_WH!F:F,"",0)</f>
        <v>Pcs</v>
      </c>
      <c r="N2165" s="221">
        <v>24</v>
      </c>
      <c r="O2165" s="221" t="s">
        <v>150</v>
      </c>
      <c r="P2165" s="221" t="s">
        <v>151</v>
      </c>
      <c r="Q2165" s="221">
        <v>0</v>
      </c>
      <c r="R2165" s="221">
        <v>0</v>
      </c>
      <c r="S2165" s="221"/>
      <c r="T2165" s="221"/>
      <c r="U2165" s="221"/>
      <c r="V2165" s="221"/>
      <c r="W2165" s="221"/>
      <c r="X2165" s="221" t="s">
        <v>3414</v>
      </c>
      <c r="Y2165" s="227"/>
      <c r="Z2165" s="227" t="str">
        <f t="shared" si="77"/>
        <v>Mulyorejo RW 04 Sukun</v>
      </c>
      <c r="AA2165" s="276" t="e">
        <f>VLOOKUP(Logfile_S12[[#This Row],[DO number]],DO_DB!G:I,3,0)</f>
        <v>#N/A</v>
      </c>
      <c r="AB2165" s="331" t="e">
        <f>EXACT(Logfile_S12[[#This Row],[date pick]],Logfile_S12[[#This Row],[Date]])</f>
        <v>#N/A</v>
      </c>
      <c r="AC21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66" spans="1:29" ht="14.5" hidden="1">
      <c r="A2166" s="220" t="str">
        <f t="shared" si="76"/>
        <v>2162</v>
      </c>
      <c r="B2166" s="221"/>
      <c r="C2166" s="221" t="s">
        <v>49</v>
      </c>
      <c r="D2166" s="221" t="s">
        <v>3702</v>
      </c>
      <c r="E2166" s="221" t="s">
        <v>3295</v>
      </c>
      <c r="F2166" s="221" t="s">
        <v>3299</v>
      </c>
      <c r="G2166" s="222">
        <v>45177</v>
      </c>
      <c r="H2166" s="223">
        <v>0.41249999999999998</v>
      </c>
      <c r="I2166" s="221" t="s">
        <v>4916</v>
      </c>
      <c r="J2166" s="221" t="s">
        <v>3024</v>
      </c>
      <c r="K2166" s="224" t="s">
        <v>3094</v>
      </c>
      <c r="L2166" s="225" t="str">
        <f>VLOOKUP(Logfile_S12[[#This Row],[Material Name]],Sheet2!B:C,2,0)</f>
        <v>GCI1008</v>
      </c>
      <c r="M2166" s="225" t="str">
        <f>_xlfn.XLOOKUP(Logfile_S12[[#This Row],[Material Name]],Sum_WH!E:E,Sum_WH!F:F,"",0)</f>
        <v>Pcs</v>
      </c>
      <c r="N2166" s="221">
        <v>10</v>
      </c>
      <c r="O2166" s="221" t="s">
        <v>150</v>
      </c>
      <c r="P2166" s="221" t="s">
        <v>151</v>
      </c>
      <c r="Q2166" s="221"/>
      <c r="R2166" s="221"/>
      <c r="S2166" s="221"/>
      <c r="T2166" s="221" t="s">
        <v>3309</v>
      </c>
      <c r="U2166" s="221" t="s">
        <v>3228</v>
      </c>
      <c r="V2166" s="221" t="s">
        <v>3310</v>
      </c>
      <c r="W2166" s="221" t="s">
        <v>3311</v>
      </c>
      <c r="X2166" s="221"/>
      <c r="Y2166" s="227"/>
      <c r="Z2166" s="227" t="str">
        <f t="shared" si="77"/>
        <v>Mulyorejo RW 04 Sukun</v>
      </c>
      <c r="AA2166" s="276" t="e">
        <f>VLOOKUP(Logfile_S12[[#This Row],[DO number]],DO_DB!G:I,3,0)</f>
        <v>#N/A</v>
      </c>
      <c r="AB2166" s="331" t="e">
        <f>EXACT(Logfile_S12[[#This Row],[date pick]],Logfile_S12[[#This Row],[Date]])</f>
        <v>#N/A</v>
      </c>
      <c r="AC21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67" spans="1:29" ht="14.5" hidden="1">
      <c r="A2167" s="220" t="str">
        <f t="shared" si="76"/>
        <v>2163</v>
      </c>
      <c r="B2167" s="221"/>
      <c r="C2167" s="221" t="s">
        <v>48</v>
      </c>
      <c r="D2167" s="221" t="s">
        <v>3715</v>
      </c>
      <c r="E2167" s="221" t="s">
        <v>3295</v>
      </c>
      <c r="F2167" s="221" t="s">
        <v>3299</v>
      </c>
      <c r="G2167" s="222">
        <v>45191</v>
      </c>
      <c r="H2167" s="223">
        <v>15.291666666666666</v>
      </c>
      <c r="I2167" s="221" t="s">
        <v>38</v>
      </c>
      <c r="J2167" s="221" t="s">
        <v>3024</v>
      </c>
      <c r="K2167" s="224" t="s">
        <v>3236</v>
      </c>
      <c r="L2167" s="225" t="str">
        <f>VLOOKUP(Logfile_S12[[#This Row],[Material Name]],Sheet2!B:C,2,0)</f>
        <v>GCI1008</v>
      </c>
      <c r="M2167" s="225" t="str">
        <f>_xlfn.XLOOKUP(Logfile_S12[[#This Row],[Material Name]],Sum_WH!E:E,Sum_WH!F:F,"",0)</f>
        <v>Pcs</v>
      </c>
      <c r="N2167" s="221">
        <v>158</v>
      </c>
      <c r="O2167" s="221" t="s">
        <v>222</v>
      </c>
      <c r="P2167" s="221" t="s">
        <v>223</v>
      </c>
      <c r="Q2167" s="221">
        <v>0</v>
      </c>
      <c r="R2167" s="221">
        <v>0</v>
      </c>
      <c r="S2167" s="221"/>
      <c r="T2167" s="221"/>
      <c r="U2167" s="221"/>
      <c r="V2167" s="221"/>
      <c r="W2167" s="221"/>
      <c r="X2167" s="221" t="s">
        <v>3343</v>
      </c>
      <c r="Y2167" s="227"/>
      <c r="Z2167" s="227" t="str">
        <f t="shared" si="77"/>
        <v>Puncak Dieng Exlusif</v>
      </c>
      <c r="AA2167" s="276" t="e">
        <f>VLOOKUP(Logfile_S12[[#This Row],[DO number]],DO_DB!G:I,3,0)</f>
        <v>#N/A</v>
      </c>
      <c r="AB2167" s="331" t="e">
        <f>EXACT(Logfile_S12[[#This Row],[date pick]],Logfile_S12[[#This Row],[Date]])</f>
        <v>#N/A</v>
      </c>
      <c r="AC21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68" spans="1:29" ht="14.5" hidden="1">
      <c r="A2168" s="220" t="str">
        <f t="shared" si="76"/>
        <v>2164</v>
      </c>
      <c r="B2168" s="221"/>
      <c r="C2168" s="221" t="s">
        <v>49</v>
      </c>
      <c r="D2168" s="221" t="s">
        <v>3719</v>
      </c>
      <c r="E2168" s="221" t="s">
        <v>3295</v>
      </c>
      <c r="F2168" s="221" t="s">
        <v>3299</v>
      </c>
      <c r="G2168" s="222">
        <v>45193</v>
      </c>
      <c r="H2168" s="223">
        <v>0.31666666666666665</v>
      </c>
      <c r="I2168" s="221" t="s">
        <v>4916</v>
      </c>
      <c r="J2168" s="221" t="s">
        <v>3024</v>
      </c>
      <c r="K2168" s="224" t="s">
        <v>3094</v>
      </c>
      <c r="L2168" s="225" t="str">
        <f>VLOOKUP(Logfile_S12[[#This Row],[Material Name]],Sheet2!B:C,2,0)</f>
        <v>GCI1008</v>
      </c>
      <c r="M2168" s="225" t="str">
        <f>_xlfn.XLOOKUP(Logfile_S12[[#This Row],[Material Name]],Sum_WH!E:E,Sum_WH!F:F,"",0)</f>
        <v>Pcs</v>
      </c>
      <c r="N2168" s="221">
        <v>26</v>
      </c>
      <c r="O2168" s="221" t="s">
        <v>180</v>
      </c>
      <c r="P2168" s="221" t="s">
        <v>181</v>
      </c>
      <c r="Q2168" s="221"/>
      <c r="R2168" s="221"/>
      <c r="S2168" s="221"/>
      <c r="T2168" s="221" t="s">
        <v>3322</v>
      </c>
      <c r="U2168" s="221" t="s">
        <v>3323</v>
      </c>
      <c r="V2168" s="221" t="s">
        <v>3324</v>
      </c>
      <c r="W2168" s="221" t="s">
        <v>3386</v>
      </c>
      <c r="X2168" s="221"/>
      <c r="Y2168" s="227"/>
      <c r="Z2168" s="227" t="str">
        <f t="shared" si="77"/>
        <v>Mulyorejo RW 06 Sukun</v>
      </c>
      <c r="AA2168" s="276" t="e">
        <f>VLOOKUP(Logfile_S12[[#This Row],[DO number]],DO_DB!G:I,3,0)</f>
        <v>#N/A</v>
      </c>
      <c r="AB2168" s="331" t="e">
        <f>EXACT(Logfile_S12[[#This Row],[date pick]],Logfile_S12[[#This Row],[Date]])</f>
        <v>#N/A</v>
      </c>
      <c r="AC21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69" spans="1:29" ht="14.5" hidden="1">
      <c r="A2169" s="220" t="str">
        <f t="shared" si="76"/>
        <v>2165</v>
      </c>
      <c r="B2169" s="221"/>
      <c r="C2169" s="221" t="s">
        <v>49</v>
      </c>
      <c r="D2169" s="221" t="s">
        <v>3722</v>
      </c>
      <c r="E2169" s="221" t="s">
        <v>3295</v>
      </c>
      <c r="F2169" s="221" t="s">
        <v>3299</v>
      </c>
      <c r="G2169" s="222">
        <v>45194</v>
      </c>
      <c r="H2169" s="223">
        <v>0.27083333333333331</v>
      </c>
      <c r="I2169" s="221" t="s">
        <v>4916</v>
      </c>
      <c r="J2169" s="221" t="s">
        <v>3024</v>
      </c>
      <c r="K2169" s="224" t="s">
        <v>3094</v>
      </c>
      <c r="L2169" s="225" t="str">
        <f>VLOOKUP(Logfile_S12[[#This Row],[Material Name]],Sheet2!B:C,2,0)</f>
        <v>GCI1008</v>
      </c>
      <c r="M2169" s="225" t="str">
        <f>_xlfn.XLOOKUP(Logfile_S12[[#This Row],[Material Name]],Sum_WH!E:E,Sum_WH!F:F,"",0)</f>
        <v>Pcs</v>
      </c>
      <c r="N2169" s="221">
        <v>11</v>
      </c>
      <c r="O2169" s="221" t="s">
        <v>180</v>
      </c>
      <c r="P2169" s="221" t="s">
        <v>181</v>
      </c>
      <c r="Q2169" s="221"/>
      <c r="R2169" s="221"/>
      <c r="S2169" s="221"/>
      <c r="T2169" s="221" t="s">
        <v>3322</v>
      </c>
      <c r="U2169" s="221" t="s">
        <v>3323</v>
      </c>
      <c r="V2169" s="221" t="s">
        <v>3324</v>
      </c>
      <c r="W2169" s="221" t="s">
        <v>3386</v>
      </c>
      <c r="X2169" s="221"/>
      <c r="Y2169" s="227"/>
      <c r="Z2169" s="227" t="str">
        <f t="shared" si="77"/>
        <v>Mulyorejo RW 06 Sukun</v>
      </c>
      <c r="AA2169" s="276" t="e">
        <f>VLOOKUP(Logfile_S12[[#This Row],[DO number]],DO_DB!G:I,3,0)</f>
        <v>#N/A</v>
      </c>
      <c r="AB2169" s="331" t="e">
        <f>EXACT(Logfile_S12[[#This Row],[date pick]],Logfile_S12[[#This Row],[Date]])</f>
        <v>#N/A</v>
      </c>
      <c r="AC21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70" spans="1:29" ht="14.5" hidden="1">
      <c r="A2170" s="220" t="str">
        <f t="shared" si="76"/>
        <v>2166</v>
      </c>
      <c r="B2170" s="221"/>
      <c r="C2170" s="221" t="s">
        <v>49</v>
      </c>
      <c r="D2170" s="221" t="s">
        <v>3722</v>
      </c>
      <c r="E2170" s="221" t="s">
        <v>3295</v>
      </c>
      <c r="F2170" s="221" t="s">
        <v>3299</v>
      </c>
      <c r="G2170" s="222">
        <v>45194</v>
      </c>
      <c r="H2170" s="223">
        <v>0.27083333333333331</v>
      </c>
      <c r="I2170" s="221" t="s">
        <v>4916</v>
      </c>
      <c r="J2170" s="221" t="s">
        <v>3024</v>
      </c>
      <c r="K2170" s="224" t="s">
        <v>3230</v>
      </c>
      <c r="L2170" s="225" t="str">
        <f>VLOOKUP(Logfile_S12[[#This Row],[Material Name]],Sheet2!B:C,2,0)</f>
        <v>GCI1008</v>
      </c>
      <c r="M2170" s="225" t="str">
        <f>_xlfn.XLOOKUP(Logfile_S12[[#This Row],[Material Name]],Sum_WH!E:E,Sum_WH!F:F,"",0)</f>
        <v>Pcs</v>
      </c>
      <c r="N2170" s="221">
        <v>18</v>
      </c>
      <c r="O2170" s="221" t="s">
        <v>222</v>
      </c>
      <c r="P2170" s="221" t="s">
        <v>223</v>
      </c>
      <c r="Q2170" s="221"/>
      <c r="R2170" s="221"/>
      <c r="S2170" s="221"/>
      <c r="T2170" s="221" t="s">
        <v>3322</v>
      </c>
      <c r="U2170" s="221" t="s">
        <v>3323</v>
      </c>
      <c r="V2170" s="221" t="s">
        <v>3324</v>
      </c>
      <c r="W2170" s="221" t="s">
        <v>3325</v>
      </c>
      <c r="X2170" s="221"/>
      <c r="Y2170" s="227"/>
      <c r="Z2170" s="227" t="str">
        <f t="shared" si="77"/>
        <v>Puncak Dieng Exlusif</v>
      </c>
      <c r="AA2170" s="276" t="e">
        <f>VLOOKUP(Logfile_S12[[#This Row],[DO number]],DO_DB!G:I,3,0)</f>
        <v>#N/A</v>
      </c>
      <c r="AB2170" s="331" t="e">
        <f>EXACT(Logfile_S12[[#This Row],[date pick]],Logfile_S12[[#This Row],[Date]])</f>
        <v>#N/A</v>
      </c>
      <c r="AC21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71" spans="1:29" ht="14.5" hidden="1">
      <c r="A2171" s="220" t="str">
        <f t="shared" si="76"/>
        <v>2167</v>
      </c>
      <c r="B2171" s="221"/>
      <c r="C2171" s="221" t="s">
        <v>49</v>
      </c>
      <c r="D2171" s="221" t="s">
        <v>3725</v>
      </c>
      <c r="E2171" s="221" t="s">
        <v>3295</v>
      </c>
      <c r="F2171" s="221" t="s">
        <v>3299</v>
      </c>
      <c r="G2171" s="222">
        <v>45195</v>
      </c>
      <c r="H2171" s="223">
        <v>0.27083333333333331</v>
      </c>
      <c r="I2171" s="221" t="s">
        <v>4916</v>
      </c>
      <c r="J2171" s="221" t="s">
        <v>3024</v>
      </c>
      <c r="K2171" s="224" t="s">
        <v>3094</v>
      </c>
      <c r="L2171" s="225" t="str">
        <f>VLOOKUP(Logfile_S12[[#This Row],[Material Name]],Sheet2!B:C,2,0)</f>
        <v>GCI1008</v>
      </c>
      <c r="M2171" s="225" t="str">
        <f>_xlfn.XLOOKUP(Logfile_S12[[#This Row],[Material Name]],Sum_WH!E:E,Sum_WH!F:F,"",0)</f>
        <v>Pcs</v>
      </c>
      <c r="N2171" s="221">
        <v>30</v>
      </c>
      <c r="O2171" s="221" t="s">
        <v>222</v>
      </c>
      <c r="P2171" s="221" t="s">
        <v>223</v>
      </c>
      <c r="Q2171" s="221"/>
      <c r="R2171" s="221"/>
      <c r="S2171" s="221"/>
      <c r="T2171" s="221" t="s">
        <v>3322</v>
      </c>
      <c r="U2171" s="221" t="s">
        <v>3323</v>
      </c>
      <c r="V2171" s="221" t="s">
        <v>3324</v>
      </c>
      <c r="W2171" s="221" t="s">
        <v>3325</v>
      </c>
      <c r="X2171" s="221"/>
      <c r="Y2171" s="227"/>
      <c r="Z2171" s="227" t="str">
        <f t="shared" si="77"/>
        <v>Puncak Dieng Exlusif</v>
      </c>
      <c r="AA2171" s="276" t="e">
        <f>VLOOKUP(Logfile_S12[[#This Row],[DO number]],DO_DB!G:I,3,0)</f>
        <v>#N/A</v>
      </c>
      <c r="AB2171" s="331" t="e">
        <f>EXACT(Logfile_S12[[#This Row],[date pick]],Logfile_S12[[#This Row],[Date]])</f>
        <v>#N/A</v>
      </c>
      <c r="AC21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72" spans="1:29" ht="14.5" hidden="1">
      <c r="A2172" s="220" t="str">
        <f t="shared" si="76"/>
        <v>2168</v>
      </c>
      <c r="B2172" s="221"/>
      <c r="C2172" s="221" t="s">
        <v>49</v>
      </c>
      <c r="D2172" s="221" t="s">
        <v>3730</v>
      </c>
      <c r="E2172" s="221" t="s">
        <v>3295</v>
      </c>
      <c r="F2172" s="221" t="s">
        <v>3299</v>
      </c>
      <c r="G2172" s="222">
        <v>45196</v>
      </c>
      <c r="H2172" s="223">
        <v>0.52083333333333337</v>
      </c>
      <c r="I2172" s="221" t="s">
        <v>4916</v>
      </c>
      <c r="J2172" s="221" t="s">
        <v>3024</v>
      </c>
      <c r="K2172" s="224" t="s">
        <v>3094</v>
      </c>
      <c r="L2172" s="225" t="str">
        <f>VLOOKUP(Logfile_S12[[#This Row],[Material Name]],Sheet2!B:C,2,0)</f>
        <v>GCI1008</v>
      </c>
      <c r="M2172" s="225" t="str">
        <f>_xlfn.XLOOKUP(Logfile_S12[[#This Row],[Material Name]],Sum_WH!E:E,Sum_WH!F:F,"",0)</f>
        <v>Pcs</v>
      </c>
      <c r="N2172" s="221">
        <v>30</v>
      </c>
      <c r="O2172" s="221" t="s">
        <v>172</v>
      </c>
      <c r="P2172" s="221" t="s">
        <v>3319</v>
      </c>
      <c r="Q2172" s="221"/>
      <c r="R2172" s="221"/>
      <c r="S2172" s="221"/>
      <c r="T2172" s="221" t="s">
        <v>3346</v>
      </c>
      <c r="U2172" s="221" t="s">
        <v>3323</v>
      </c>
      <c r="V2172" s="221" t="s">
        <v>3347</v>
      </c>
      <c r="W2172" s="221" t="s">
        <v>3387</v>
      </c>
      <c r="X2172" s="221"/>
      <c r="Y2172" s="227"/>
      <c r="Z2172" s="227" t="str">
        <f t="shared" si="77"/>
        <v>Pandan Landung RW 03 Wagir</v>
      </c>
      <c r="AA2172" s="276" t="e">
        <f>VLOOKUP(Logfile_S12[[#This Row],[DO number]],DO_DB!G:I,3,0)</f>
        <v>#N/A</v>
      </c>
      <c r="AB2172" s="331" t="e">
        <f>EXACT(Logfile_S12[[#This Row],[date pick]],Logfile_S12[[#This Row],[Date]])</f>
        <v>#N/A</v>
      </c>
      <c r="AC21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73" spans="1:29" ht="14.5" hidden="1">
      <c r="A2173" s="220" t="str">
        <f t="shared" si="76"/>
        <v>2169</v>
      </c>
      <c r="B2173" s="221"/>
      <c r="C2173" s="221" t="s">
        <v>49</v>
      </c>
      <c r="D2173" s="221" t="s">
        <v>3734</v>
      </c>
      <c r="E2173" s="221" t="s">
        <v>3295</v>
      </c>
      <c r="F2173" s="221" t="s">
        <v>3299</v>
      </c>
      <c r="G2173" s="222">
        <v>45200</v>
      </c>
      <c r="H2173" s="223">
        <v>0.27083333333333331</v>
      </c>
      <c r="I2173" s="221" t="s">
        <v>4916</v>
      </c>
      <c r="J2173" s="221" t="s">
        <v>3024</v>
      </c>
      <c r="K2173" s="224" t="s">
        <v>3230</v>
      </c>
      <c r="L2173" s="225" t="str">
        <f>VLOOKUP(Logfile_S12[[#This Row],[Material Name]],Sheet2!B:C,2,0)</f>
        <v>GCI1008</v>
      </c>
      <c r="M2173" s="225" t="str">
        <f>_xlfn.XLOOKUP(Logfile_S12[[#This Row],[Material Name]],Sum_WH!E:E,Sum_WH!F:F,"",0)</f>
        <v>Pcs</v>
      </c>
      <c r="N2173" s="221">
        <v>40</v>
      </c>
      <c r="O2173" s="221" t="s">
        <v>222</v>
      </c>
      <c r="P2173" s="221" t="s">
        <v>223</v>
      </c>
      <c r="Q2173" s="221"/>
      <c r="R2173" s="221"/>
      <c r="S2173" s="221"/>
      <c r="T2173" s="221" t="s">
        <v>3322</v>
      </c>
      <c r="U2173" s="221" t="s">
        <v>3323</v>
      </c>
      <c r="V2173" s="221" t="s">
        <v>3324</v>
      </c>
      <c r="W2173" s="221" t="s">
        <v>3386</v>
      </c>
      <c r="X2173" s="221"/>
      <c r="Y2173" s="227"/>
      <c r="Z2173" s="227" t="str">
        <f t="shared" si="77"/>
        <v>Puncak Dieng Exlusif</v>
      </c>
      <c r="AA2173" s="276" t="e">
        <f>VLOOKUP(Logfile_S12[[#This Row],[DO number]],DO_DB!G:I,3,0)</f>
        <v>#N/A</v>
      </c>
      <c r="AB2173" s="331" t="e">
        <f>EXACT(Logfile_S12[[#This Row],[date pick]],Logfile_S12[[#This Row],[Date]])</f>
        <v>#N/A</v>
      </c>
      <c r="AC21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74" spans="1:29" ht="14.5" hidden="1">
      <c r="A2174" s="220" t="str">
        <f t="shared" si="76"/>
        <v>2170</v>
      </c>
      <c r="B2174" s="221"/>
      <c r="C2174" s="221" t="s">
        <v>48</v>
      </c>
      <c r="D2174" s="221" t="s">
        <v>3737</v>
      </c>
      <c r="E2174" s="221" t="s">
        <v>3295</v>
      </c>
      <c r="F2174" s="221" t="s">
        <v>3299</v>
      </c>
      <c r="G2174" s="222">
        <v>45201</v>
      </c>
      <c r="H2174" s="223">
        <v>15.291666666666666</v>
      </c>
      <c r="I2174" s="221" t="s">
        <v>38</v>
      </c>
      <c r="J2174" s="221" t="s">
        <v>3024</v>
      </c>
      <c r="K2174" s="224" t="s">
        <v>3236</v>
      </c>
      <c r="L2174" s="225" t="str">
        <f>VLOOKUP(Logfile_S12[[#This Row],[Material Name]],Sheet2!B:C,2,0)</f>
        <v>GCI1008</v>
      </c>
      <c r="M2174" s="225" t="str">
        <f>_xlfn.XLOOKUP(Logfile_S12[[#This Row],[Material Name]],Sum_WH!E:E,Sum_WH!F:F,"",0)</f>
        <v>Pcs</v>
      </c>
      <c r="N2174" s="221">
        <v>85</v>
      </c>
      <c r="O2174" s="221" t="s">
        <v>3344</v>
      </c>
      <c r="P2174" s="221" t="s">
        <v>3345</v>
      </c>
      <c r="Q2174" s="221">
        <v>0</v>
      </c>
      <c r="R2174" s="221">
        <v>0</v>
      </c>
      <c r="S2174" s="221"/>
      <c r="T2174" s="221"/>
      <c r="U2174" s="221"/>
      <c r="V2174" s="221"/>
      <c r="W2174" s="221"/>
      <c r="X2174" s="221"/>
      <c r="Y2174" s="227"/>
      <c r="Z2174" s="227" t="str">
        <f t="shared" si="77"/>
        <v>Purchase</v>
      </c>
      <c r="AA2174" s="276" t="e">
        <f>VLOOKUP(Logfile_S12[[#This Row],[DO number]],DO_DB!G:I,3,0)</f>
        <v>#N/A</v>
      </c>
      <c r="AB2174" s="331" t="e">
        <f>EXACT(Logfile_S12[[#This Row],[date pick]],Logfile_S12[[#This Row],[Date]])</f>
        <v>#N/A</v>
      </c>
      <c r="AC21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75" spans="1:29" ht="14.5" hidden="1">
      <c r="A2175" s="220" t="str">
        <f t="shared" si="76"/>
        <v>2171</v>
      </c>
      <c r="B2175" s="221"/>
      <c r="C2175" s="221" t="s">
        <v>49</v>
      </c>
      <c r="D2175" s="221" t="s">
        <v>3738</v>
      </c>
      <c r="E2175" s="221" t="s">
        <v>3295</v>
      </c>
      <c r="F2175" s="221" t="s">
        <v>3299</v>
      </c>
      <c r="G2175" s="222">
        <v>45203</v>
      </c>
      <c r="H2175" s="223">
        <v>0.40277777777777773</v>
      </c>
      <c r="I2175" s="221" t="s">
        <v>4916</v>
      </c>
      <c r="J2175" s="221" t="s">
        <v>3024</v>
      </c>
      <c r="K2175" s="224" t="s">
        <v>3215</v>
      </c>
      <c r="L2175" s="225" t="str">
        <f>VLOOKUP(Logfile_S12[[#This Row],[Material Name]],Sheet2!B:C,2,0)</f>
        <v>GCI1008</v>
      </c>
      <c r="M2175" s="225" t="str">
        <f>_xlfn.XLOOKUP(Logfile_S12[[#This Row],[Material Name]],Sum_WH!E:E,Sum_WH!F:F,"",0)</f>
        <v>Pcs</v>
      </c>
      <c r="N2175" s="221">
        <v>10</v>
      </c>
      <c r="O2175" s="221" t="s">
        <v>164</v>
      </c>
      <c r="P2175" s="221" t="s">
        <v>3320</v>
      </c>
      <c r="Q2175" s="221"/>
      <c r="R2175" s="221"/>
      <c r="S2175" s="221"/>
      <c r="T2175" s="221" t="s">
        <v>3346</v>
      </c>
      <c r="U2175" s="221">
        <v>0</v>
      </c>
      <c r="V2175" s="221" t="s">
        <v>3347</v>
      </c>
      <c r="W2175" s="221" t="s">
        <v>3334</v>
      </c>
      <c r="X2175" s="221"/>
      <c r="Y2175" s="227"/>
      <c r="Z2175" s="227" t="str">
        <f t="shared" si="77"/>
        <v>Pandan Landung RW 04 Wagir</v>
      </c>
      <c r="AA2175" s="276" t="e">
        <f>VLOOKUP(Logfile_S12[[#This Row],[DO number]],DO_DB!G:I,3,0)</f>
        <v>#N/A</v>
      </c>
      <c r="AB2175" s="331" t="e">
        <f>EXACT(Logfile_S12[[#This Row],[date pick]],Logfile_S12[[#This Row],[Date]])</f>
        <v>#N/A</v>
      </c>
      <c r="AC21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76" spans="1:29" ht="14.5" hidden="1">
      <c r="A2176" s="220" t="str">
        <f t="shared" si="76"/>
        <v>2172</v>
      </c>
      <c r="B2176" s="221"/>
      <c r="C2176" s="221" t="s">
        <v>49</v>
      </c>
      <c r="D2176" s="221" t="s">
        <v>3741</v>
      </c>
      <c r="E2176" s="221" t="s">
        <v>3295</v>
      </c>
      <c r="F2176" s="221" t="s">
        <v>3299</v>
      </c>
      <c r="G2176" s="222">
        <v>45205</v>
      </c>
      <c r="H2176" s="223">
        <v>0.39374999999999999</v>
      </c>
      <c r="I2176" s="221" t="s">
        <v>4916</v>
      </c>
      <c r="J2176" s="221" t="s">
        <v>3024</v>
      </c>
      <c r="K2176" s="224" t="s">
        <v>3230</v>
      </c>
      <c r="L2176" s="225" t="str">
        <f>VLOOKUP(Logfile_S12[[#This Row],[Material Name]],Sheet2!B:C,2,0)</f>
        <v>GCI1008</v>
      </c>
      <c r="M2176" s="225" t="str">
        <f>_xlfn.XLOOKUP(Logfile_S12[[#This Row],[Material Name]],Sum_WH!E:E,Sum_WH!F:F,"",0)</f>
        <v>Pcs</v>
      </c>
      <c r="N2176" s="221">
        <v>70</v>
      </c>
      <c r="O2176" s="221" t="s">
        <v>222</v>
      </c>
      <c r="P2176" s="221" t="s">
        <v>223</v>
      </c>
      <c r="Q2176" s="221"/>
      <c r="R2176" s="221"/>
      <c r="S2176" s="221"/>
      <c r="T2176" s="221" t="s">
        <v>3322</v>
      </c>
      <c r="U2176" s="221" t="s">
        <v>3323</v>
      </c>
      <c r="V2176" s="221" t="s">
        <v>3324</v>
      </c>
      <c r="W2176" s="221" t="s">
        <v>3325</v>
      </c>
      <c r="X2176" s="221"/>
      <c r="Y2176" s="227"/>
      <c r="Z2176" s="227" t="str">
        <f t="shared" si="77"/>
        <v>Puncak Dieng Exlusif</v>
      </c>
      <c r="AA2176" s="276" t="e">
        <f>VLOOKUP(Logfile_S12[[#This Row],[DO number]],DO_DB!G:I,3,0)</f>
        <v>#N/A</v>
      </c>
      <c r="AB2176" s="331" t="e">
        <f>EXACT(Logfile_S12[[#This Row],[date pick]],Logfile_S12[[#This Row],[Date]])</f>
        <v>#N/A</v>
      </c>
      <c r="AC21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77" spans="1:29" ht="14.5" hidden="1">
      <c r="A2177" s="220" t="str">
        <f t="shared" si="76"/>
        <v>2173</v>
      </c>
      <c r="B2177" s="221"/>
      <c r="C2177" s="221" t="s">
        <v>49</v>
      </c>
      <c r="D2177" s="221" t="s">
        <v>3742</v>
      </c>
      <c r="E2177" s="221" t="s">
        <v>3295</v>
      </c>
      <c r="F2177" s="221" t="s">
        <v>3299</v>
      </c>
      <c r="G2177" s="222">
        <v>45207</v>
      </c>
      <c r="H2177" s="223">
        <v>0.39027777777777778</v>
      </c>
      <c r="I2177" s="221" t="s">
        <v>4916</v>
      </c>
      <c r="J2177" s="221" t="s">
        <v>3024</v>
      </c>
      <c r="K2177" s="224" t="s">
        <v>3230</v>
      </c>
      <c r="L2177" s="225" t="str">
        <f>VLOOKUP(Logfile_S12[[#This Row],[Material Name]],Sheet2!B:C,2,0)</f>
        <v>GCI1008</v>
      </c>
      <c r="M2177" s="225" t="str">
        <f>_xlfn.XLOOKUP(Logfile_S12[[#This Row],[Material Name]],Sum_WH!E:E,Sum_WH!F:F,"",0)</f>
        <v>Pcs</v>
      </c>
      <c r="N2177" s="221">
        <v>12</v>
      </c>
      <c r="O2177" s="221" t="s">
        <v>222</v>
      </c>
      <c r="P2177" s="221" t="s">
        <v>223</v>
      </c>
      <c r="Q2177" s="221"/>
      <c r="R2177" s="221"/>
      <c r="S2177" s="221"/>
      <c r="T2177" s="221" t="s">
        <v>3322</v>
      </c>
      <c r="U2177" s="221" t="s">
        <v>3323</v>
      </c>
      <c r="V2177" s="221" t="s">
        <v>3324</v>
      </c>
      <c r="W2177" s="221" t="s">
        <v>3325</v>
      </c>
      <c r="X2177" s="221"/>
      <c r="Y2177" s="227"/>
      <c r="Z2177" s="227" t="str">
        <f t="shared" si="77"/>
        <v>Puncak Dieng Exlusif</v>
      </c>
      <c r="AA2177" s="276" t="e">
        <f>VLOOKUP(Logfile_S12[[#This Row],[DO number]],DO_DB!G:I,3,0)</f>
        <v>#N/A</v>
      </c>
      <c r="AB2177" s="331" t="e">
        <f>EXACT(Logfile_S12[[#This Row],[date pick]],Logfile_S12[[#This Row],[Date]])</f>
        <v>#N/A</v>
      </c>
      <c r="AC21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78" spans="1:29" ht="14.5" hidden="1">
      <c r="A2178" s="220" t="str">
        <f t="shared" si="76"/>
        <v>2174</v>
      </c>
      <c r="B2178" s="221"/>
      <c r="C2178" s="221" t="s">
        <v>49</v>
      </c>
      <c r="D2178" s="221" t="s">
        <v>3743</v>
      </c>
      <c r="E2178" s="221" t="s">
        <v>3295</v>
      </c>
      <c r="F2178" s="221" t="s">
        <v>3299</v>
      </c>
      <c r="G2178" s="222">
        <v>45208</v>
      </c>
      <c r="H2178" s="223">
        <v>0.60763888888888895</v>
      </c>
      <c r="I2178" s="221" t="s">
        <v>4916</v>
      </c>
      <c r="J2178" s="221" t="s">
        <v>3024</v>
      </c>
      <c r="K2178" s="224" t="s">
        <v>3230</v>
      </c>
      <c r="L2178" s="225" t="str">
        <f>VLOOKUP(Logfile_S12[[#This Row],[Material Name]],Sheet2!B:C,2,0)</f>
        <v>GCI1008</v>
      </c>
      <c r="M2178" s="225" t="str">
        <f>_xlfn.XLOOKUP(Logfile_S12[[#This Row],[Material Name]],Sum_WH!E:E,Sum_WH!F:F,"",0)</f>
        <v>Pcs</v>
      </c>
      <c r="N2178" s="221">
        <v>18</v>
      </c>
      <c r="O2178" s="221" t="s">
        <v>172</v>
      </c>
      <c r="P2178" s="221" t="s">
        <v>3319</v>
      </c>
      <c r="Q2178" s="221"/>
      <c r="R2178" s="221"/>
      <c r="S2178" s="221"/>
      <c r="T2178" s="221" t="s">
        <v>3332</v>
      </c>
      <c r="U2178" s="221">
        <v>0</v>
      </c>
      <c r="V2178" s="221" t="s">
        <v>3333</v>
      </c>
      <c r="W2178" s="221" t="s">
        <v>3445</v>
      </c>
      <c r="X2178" s="221"/>
      <c r="Y2178" s="227"/>
      <c r="Z2178" s="227" t="str">
        <f t="shared" si="77"/>
        <v>Pandan Landung RW 03 Wagir</v>
      </c>
      <c r="AA2178" s="276" t="e">
        <f>VLOOKUP(Logfile_S12[[#This Row],[DO number]],DO_DB!G:I,3,0)</f>
        <v>#N/A</v>
      </c>
      <c r="AB2178" s="331" t="e">
        <f>EXACT(Logfile_S12[[#This Row],[date pick]],Logfile_S12[[#This Row],[Date]])</f>
        <v>#N/A</v>
      </c>
      <c r="AC21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79" spans="1:29" ht="14.5" hidden="1">
      <c r="A2179" s="220" t="str">
        <f t="shared" si="76"/>
        <v>2175</v>
      </c>
      <c r="B2179" s="221"/>
      <c r="C2179" s="221" t="s">
        <v>3313</v>
      </c>
      <c r="D2179" s="221" t="s">
        <v>3766</v>
      </c>
      <c r="E2179" s="221" t="s">
        <v>3295</v>
      </c>
      <c r="F2179" s="221" t="s">
        <v>3299</v>
      </c>
      <c r="G2179" s="222">
        <v>45217</v>
      </c>
      <c r="H2179" s="223">
        <v>15.291666666666666</v>
      </c>
      <c r="I2179" s="221" t="s">
        <v>4918</v>
      </c>
      <c r="J2179" s="221" t="s">
        <v>3024</v>
      </c>
      <c r="K2179" s="224" t="s">
        <v>3215</v>
      </c>
      <c r="L2179" s="225" t="str">
        <f>VLOOKUP(Logfile_S12[[#This Row],[Material Name]],Sheet2!B:C,2,0)</f>
        <v>GCI1008</v>
      </c>
      <c r="M2179" s="225" t="str">
        <f>_xlfn.XLOOKUP(Logfile_S12[[#This Row],[Material Name]],Sum_WH!E:E,Sum_WH!F:F,"",0)</f>
        <v>Pcs</v>
      </c>
      <c r="N2179" s="221">
        <v>20</v>
      </c>
      <c r="O2179" s="221" t="s">
        <v>3314</v>
      </c>
      <c r="P2179" s="221" t="s">
        <v>3384</v>
      </c>
      <c r="Q2179" s="221">
        <v>0</v>
      </c>
      <c r="R2179" s="221">
        <v>0</v>
      </c>
      <c r="S2179" s="221"/>
      <c r="T2179" s="221"/>
      <c r="U2179" s="221"/>
      <c r="V2179" s="221"/>
      <c r="W2179" s="221"/>
      <c r="X2179" s="221" t="s">
        <v>3446</v>
      </c>
      <c r="Y2179" s="227"/>
      <c r="Z2179" s="227" t="str">
        <f t="shared" si="77"/>
        <v>GRESIK</v>
      </c>
      <c r="AA2179" s="276" t="e">
        <f>VLOOKUP(Logfile_S12[[#This Row],[DO number]],DO_DB!G:I,3,0)</f>
        <v>#N/A</v>
      </c>
      <c r="AB2179" s="331" t="e">
        <f>EXACT(Logfile_S12[[#This Row],[date pick]],Logfile_S12[[#This Row],[Date]])</f>
        <v>#N/A</v>
      </c>
      <c r="AC21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80" spans="1:29" ht="14.5" hidden="1">
      <c r="A2180" s="220" t="str">
        <f t="shared" si="76"/>
        <v>2176</v>
      </c>
      <c r="B2180" s="221"/>
      <c r="C2180" s="221" t="s">
        <v>48</v>
      </c>
      <c r="D2180" s="221" t="s">
        <v>3787</v>
      </c>
      <c r="E2180" s="221" t="s">
        <v>3295</v>
      </c>
      <c r="F2180" s="221" t="s">
        <v>3299</v>
      </c>
      <c r="G2180" s="222">
        <v>45220</v>
      </c>
      <c r="H2180" s="223">
        <v>15.291666666666666</v>
      </c>
      <c r="I2180" s="221" t="s">
        <v>38</v>
      </c>
      <c r="J2180" s="221" t="s">
        <v>3024</v>
      </c>
      <c r="K2180" s="224" t="s">
        <v>3230</v>
      </c>
      <c r="L2180" s="225" t="str">
        <f>VLOOKUP(Logfile_S12[[#This Row],[Material Name]],Sheet2!B:C,2,0)</f>
        <v>GCI1008</v>
      </c>
      <c r="M2180" s="225" t="str">
        <f>_xlfn.XLOOKUP(Logfile_S12[[#This Row],[Material Name]],Sum_WH!E:E,Sum_WH!F:F,"",0)</f>
        <v>Pcs</v>
      </c>
      <c r="N2180" s="221">
        <v>204</v>
      </c>
      <c r="O2180" s="221" t="s">
        <v>3344</v>
      </c>
      <c r="P2180" s="221" t="s">
        <v>3345</v>
      </c>
      <c r="Q2180" s="221">
        <v>0</v>
      </c>
      <c r="R2180" s="221">
        <v>0</v>
      </c>
      <c r="S2180" s="221"/>
      <c r="T2180" s="221"/>
      <c r="U2180" s="221"/>
      <c r="V2180" s="221"/>
      <c r="W2180" s="221"/>
      <c r="X2180" s="221" t="s">
        <v>3350</v>
      </c>
      <c r="Y2180" s="227"/>
      <c r="Z2180" s="227" t="str">
        <f t="shared" si="77"/>
        <v>Purchase</v>
      </c>
      <c r="AA2180" s="276" t="e">
        <f>VLOOKUP(Logfile_S12[[#This Row],[DO number]],DO_DB!G:I,3,0)</f>
        <v>#N/A</v>
      </c>
      <c r="AB2180" s="331" t="e">
        <f>EXACT(Logfile_S12[[#This Row],[date pick]],Logfile_S12[[#This Row],[Date]])</f>
        <v>#N/A</v>
      </c>
      <c r="AC21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81" spans="1:29" ht="14.5" hidden="1">
      <c r="A2181" s="220" t="str">
        <f t="shared" ref="A2181:A2244" si="78">TEXT(ROW(A2181)-ROW($A$4),"000")</f>
        <v>2177</v>
      </c>
      <c r="B2181" s="221"/>
      <c r="C2181" s="221" t="s">
        <v>49</v>
      </c>
      <c r="D2181" s="221" t="s">
        <v>3782</v>
      </c>
      <c r="E2181" s="221" t="s">
        <v>3295</v>
      </c>
      <c r="F2181" s="221" t="s">
        <v>3299</v>
      </c>
      <c r="G2181" s="222">
        <v>45220</v>
      </c>
      <c r="H2181" s="223">
        <v>0.97499999999999998</v>
      </c>
      <c r="I2181" s="221" t="s">
        <v>4916</v>
      </c>
      <c r="J2181" s="221" t="s">
        <v>3024</v>
      </c>
      <c r="K2181" s="224" t="s">
        <v>3215</v>
      </c>
      <c r="L2181" s="225" t="str">
        <f>VLOOKUP(Logfile_S12[[#This Row],[Material Name]],Sheet2!B:C,2,0)</f>
        <v>GCI1008</v>
      </c>
      <c r="M2181" s="225" t="str">
        <f>_xlfn.XLOOKUP(Logfile_S12[[#This Row],[Material Name]],Sum_WH!E:E,Sum_WH!F:F,"",0)</f>
        <v>Pcs</v>
      </c>
      <c r="N2181" s="221">
        <v>44</v>
      </c>
      <c r="O2181" s="221" t="s">
        <v>340</v>
      </c>
      <c r="P2181" s="221" t="s">
        <v>341</v>
      </c>
      <c r="Q2181" s="221"/>
      <c r="R2181" s="221"/>
      <c r="S2181" s="221"/>
      <c r="T2181" s="221" t="s">
        <v>3322</v>
      </c>
      <c r="U2181" s="221" t="s">
        <v>3323</v>
      </c>
      <c r="V2181" s="221" t="s">
        <v>3324</v>
      </c>
      <c r="W2181" s="221" t="s">
        <v>3325</v>
      </c>
      <c r="X2181" s="221"/>
      <c r="Y2181" s="227"/>
      <c r="Z2181" s="227" t="str">
        <f t="shared" si="77"/>
        <v>Jedong RW 08 Wagir</v>
      </c>
      <c r="AA2181" s="276" t="e">
        <f>VLOOKUP(Logfile_S12[[#This Row],[DO number]],DO_DB!G:I,3,0)</f>
        <v>#N/A</v>
      </c>
      <c r="AB2181" s="331" t="e">
        <f>EXACT(Logfile_S12[[#This Row],[date pick]],Logfile_S12[[#This Row],[Date]])</f>
        <v>#N/A</v>
      </c>
      <c r="AC21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82" spans="1:29" ht="14.5" hidden="1">
      <c r="A2182" s="220" t="str">
        <f t="shared" si="78"/>
        <v>2178</v>
      </c>
      <c r="B2182" s="221"/>
      <c r="C2182" s="221" t="s">
        <v>49</v>
      </c>
      <c r="D2182" s="221" t="s">
        <v>3782</v>
      </c>
      <c r="E2182" s="221" t="s">
        <v>3295</v>
      </c>
      <c r="F2182" s="221" t="s">
        <v>3299</v>
      </c>
      <c r="G2182" s="222">
        <v>45220</v>
      </c>
      <c r="H2182" s="223">
        <v>0.97499999999999998</v>
      </c>
      <c r="I2182" s="221" t="s">
        <v>4916</v>
      </c>
      <c r="J2182" s="221" t="s">
        <v>3024</v>
      </c>
      <c r="K2182" s="224" t="s">
        <v>3215</v>
      </c>
      <c r="L2182" s="225" t="str">
        <f>VLOOKUP(Logfile_S12[[#This Row],[Material Name]],Sheet2!B:C,2,0)</f>
        <v>GCI1008</v>
      </c>
      <c r="M2182" s="225" t="str">
        <f>_xlfn.XLOOKUP(Logfile_S12[[#This Row],[Material Name]],Sum_WH!E:E,Sum_WH!F:F,"",0)</f>
        <v>Pcs</v>
      </c>
      <c r="N2182" s="221">
        <v>46</v>
      </c>
      <c r="O2182" s="221" t="s">
        <v>324</v>
      </c>
      <c r="P2182" s="221" t="s">
        <v>325</v>
      </c>
      <c r="Q2182" s="221"/>
      <c r="R2182" s="221"/>
      <c r="S2182" s="221"/>
      <c r="T2182" s="221" t="s">
        <v>3322</v>
      </c>
      <c r="U2182" s="221" t="s">
        <v>3323</v>
      </c>
      <c r="V2182" s="221" t="s">
        <v>3324</v>
      </c>
      <c r="W2182" s="221" t="s">
        <v>3325</v>
      </c>
      <c r="X2182" s="221"/>
      <c r="Y2182" s="227"/>
      <c r="Z2182" s="227" t="str">
        <f t="shared" si="77"/>
        <v>Jedong RW 09 Wagir</v>
      </c>
      <c r="AA2182" s="276" t="e">
        <f>VLOOKUP(Logfile_S12[[#This Row],[DO number]],DO_DB!G:I,3,0)</f>
        <v>#N/A</v>
      </c>
      <c r="AB2182" s="331" t="e">
        <f>EXACT(Logfile_S12[[#This Row],[date pick]],Logfile_S12[[#This Row],[Date]])</f>
        <v>#N/A</v>
      </c>
      <c r="AC21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83" spans="1:29" ht="14.5" hidden="1">
      <c r="A2183" s="220" t="str">
        <f t="shared" si="78"/>
        <v>2179</v>
      </c>
      <c r="B2183" s="221"/>
      <c r="C2183" s="221" t="s">
        <v>49</v>
      </c>
      <c r="D2183" s="221" t="s">
        <v>3781</v>
      </c>
      <c r="E2183" s="221" t="s">
        <v>3295</v>
      </c>
      <c r="F2183" s="221" t="s">
        <v>3299</v>
      </c>
      <c r="G2183" s="222">
        <v>45220</v>
      </c>
      <c r="H2183" s="223">
        <v>0.97499999999999998</v>
      </c>
      <c r="I2183" s="221" t="s">
        <v>4916</v>
      </c>
      <c r="J2183" s="221" t="s">
        <v>3024</v>
      </c>
      <c r="K2183" s="224" t="s">
        <v>3094</v>
      </c>
      <c r="L2183" s="225" t="str">
        <f>VLOOKUP(Logfile_S12[[#This Row],[Material Name]],Sheet2!B:C,2,0)</f>
        <v>GCI1008</v>
      </c>
      <c r="M2183" s="225" t="str">
        <f>_xlfn.XLOOKUP(Logfile_S12[[#This Row],[Material Name]],Sum_WH!E:E,Sum_WH!F:F,"",0)</f>
        <v>Pcs</v>
      </c>
      <c r="N2183" s="221">
        <v>106</v>
      </c>
      <c r="O2183" s="221">
        <v>0</v>
      </c>
      <c r="P2183" s="221">
        <v>0</v>
      </c>
      <c r="Q2183" s="221"/>
      <c r="R2183" s="221"/>
      <c r="S2183" s="221"/>
      <c r="T2183" s="221" t="s">
        <v>3332</v>
      </c>
      <c r="U2183" s="221">
        <v>0</v>
      </c>
      <c r="V2183" s="221" t="s">
        <v>3333</v>
      </c>
      <c r="W2183" s="221" t="s">
        <v>3334</v>
      </c>
      <c r="X2183" s="221"/>
      <c r="Y2183" s="227"/>
      <c r="Z2183" s="227">
        <f t="shared" si="77"/>
        <v>0</v>
      </c>
      <c r="AA2183" s="276" t="e">
        <f>VLOOKUP(Logfile_S12[[#This Row],[DO number]],DO_DB!G:I,3,0)</f>
        <v>#N/A</v>
      </c>
      <c r="AB2183" s="331" t="e">
        <f>EXACT(Logfile_S12[[#This Row],[date pick]],Logfile_S12[[#This Row],[Date]])</f>
        <v>#N/A</v>
      </c>
      <c r="AC21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84" spans="1:29" ht="14.5" hidden="1">
      <c r="A2184" s="220" t="str">
        <f t="shared" si="78"/>
        <v>2180</v>
      </c>
      <c r="B2184" s="221"/>
      <c r="C2184" s="221" t="s">
        <v>49</v>
      </c>
      <c r="D2184" s="221" t="s">
        <v>3788</v>
      </c>
      <c r="E2184" s="221" t="s">
        <v>3295</v>
      </c>
      <c r="F2184" s="221" t="s">
        <v>3299</v>
      </c>
      <c r="G2184" s="222">
        <v>45221</v>
      </c>
      <c r="H2184" s="223">
        <v>0.9375</v>
      </c>
      <c r="I2184" s="221" t="s">
        <v>4916</v>
      </c>
      <c r="J2184" s="221" t="s">
        <v>3024</v>
      </c>
      <c r="K2184" s="224" t="s">
        <v>3230</v>
      </c>
      <c r="L2184" s="225" t="str">
        <f>VLOOKUP(Logfile_S12[[#This Row],[Material Name]],Sheet2!B:C,2,0)</f>
        <v>GCI1008</v>
      </c>
      <c r="M2184" s="225" t="str">
        <f>_xlfn.XLOOKUP(Logfile_S12[[#This Row],[Material Name]],Sum_WH!E:E,Sum_WH!F:F,"",0)</f>
        <v>Pcs</v>
      </c>
      <c r="N2184" s="221">
        <v>28</v>
      </c>
      <c r="O2184" s="221" t="s">
        <v>328</v>
      </c>
      <c r="P2184" s="221" t="s">
        <v>329</v>
      </c>
      <c r="Q2184" s="221"/>
      <c r="R2184" s="221"/>
      <c r="S2184" s="221"/>
      <c r="T2184" s="221" t="s">
        <v>3332</v>
      </c>
      <c r="U2184" s="221">
        <v>0</v>
      </c>
      <c r="V2184" s="221" t="s">
        <v>3333</v>
      </c>
      <c r="W2184" s="221" t="s">
        <v>3334</v>
      </c>
      <c r="X2184" s="221"/>
      <c r="Y2184" s="227"/>
      <c r="Z2184" s="227" t="str">
        <f t="shared" si="77"/>
        <v>Sukodadi RW 01 Wagir</v>
      </c>
      <c r="AA2184" s="276" t="e">
        <f>VLOOKUP(Logfile_S12[[#This Row],[DO number]],DO_DB!G:I,3,0)</f>
        <v>#N/A</v>
      </c>
      <c r="AB2184" s="331" t="e">
        <f>EXACT(Logfile_S12[[#This Row],[date pick]],Logfile_S12[[#This Row],[Date]])</f>
        <v>#N/A</v>
      </c>
      <c r="AC21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85" spans="1:29" ht="14.5" hidden="1">
      <c r="A2185" s="220" t="str">
        <f t="shared" si="78"/>
        <v>2181</v>
      </c>
      <c r="B2185" s="221"/>
      <c r="C2185" s="221" t="s">
        <v>49</v>
      </c>
      <c r="D2185" s="221" t="s">
        <v>3788</v>
      </c>
      <c r="E2185" s="221" t="s">
        <v>3295</v>
      </c>
      <c r="F2185" s="221" t="s">
        <v>3299</v>
      </c>
      <c r="G2185" s="222">
        <v>45221</v>
      </c>
      <c r="H2185" s="223">
        <v>0.9375</v>
      </c>
      <c r="I2185" s="221" t="s">
        <v>4916</v>
      </c>
      <c r="J2185" s="221" t="s">
        <v>3024</v>
      </c>
      <c r="K2185" s="224" t="s">
        <v>3094</v>
      </c>
      <c r="L2185" s="225" t="str">
        <f>VLOOKUP(Logfile_S12[[#This Row],[Material Name]],Sheet2!B:C,2,0)</f>
        <v>GCI1008</v>
      </c>
      <c r="M2185" s="225" t="str">
        <f>_xlfn.XLOOKUP(Logfile_S12[[#This Row],[Material Name]],Sum_WH!E:E,Sum_WH!F:F,"",0)</f>
        <v>Pcs</v>
      </c>
      <c r="N2185" s="221">
        <v>35</v>
      </c>
      <c r="O2185" s="221" t="s">
        <v>336</v>
      </c>
      <c r="P2185" s="221" t="s">
        <v>337</v>
      </c>
      <c r="Q2185" s="221"/>
      <c r="R2185" s="221"/>
      <c r="S2185" s="221"/>
      <c r="T2185" s="221" t="s">
        <v>3332</v>
      </c>
      <c r="U2185" s="221">
        <v>0</v>
      </c>
      <c r="V2185" s="221" t="s">
        <v>3333</v>
      </c>
      <c r="W2185" s="221" t="s">
        <v>3334</v>
      </c>
      <c r="X2185" s="221"/>
      <c r="Y2185" s="227"/>
      <c r="Z2185" s="227" t="str">
        <f t="shared" si="77"/>
        <v>Sidorahayu RW 02 Wagir</v>
      </c>
      <c r="AA2185" s="276" t="e">
        <f>VLOOKUP(Logfile_S12[[#This Row],[DO number]],DO_DB!G:I,3,0)</f>
        <v>#N/A</v>
      </c>
      <c r="AB2185" s="331" t="e">
        <f>EXACT(Logfile_S12[[#This Row],[date pick]],Logfile_S12[[#This Row],[Date]])</f>
        <v>#N/A</v>
      </c>
      <c r="AC21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86" spans="1:29" ht="14.5" hidden="1">
      <c r="A2186" s="220" t="str">
        <f t="shared" si="78"/>
        <v>2182</v>
      </c>
      <c r="B2186" s="221"/>
      <c r="C2186" s="221" t="s">
        <v>49</v>
      </c>
      <c r="D2186" s="221" t="s">
        <v>3788</v>
      </c>
      <c r="E2186" s="221" t="s">
        <v>3295</v>
      </c>
      <c r="F2186" s="221" t="s">
        <v>3299</v>
      </c>
      <c r="G2186" s="222">
        <v>45221</v>
      </c>
      <c r="H2186" s="223">
        <v>0.9375</v>
      </c>
      <c r="I2186" s="221" t="s">
        <v>4916</v>
      </c>
      <c r="J2186" s="221" t="s">
        <v>3024</v>
      </c>
      <c r="K2186" s="224" t="s">
        <v>3215</v>
      </c>
      <c r="L2186" s="225" t="str">
        <f>VLOOKUP(Logfile_S12[[#This Row],[Material Name]],Sheet2!B:C,2,0)</f>
        <v>GCI1008</v>
      </c>
      <c r="M2186" s="225" t="str">
        <f>_xlfn.XLOOKUP(Logfile_S12[[#This Row],[Material Name]],Sum_WH!E:E,Sum_WH!F:F,"",0)</f>
        <v>Pcs</v>
      </c>
      <c r="N2186" s="221">
        <v>51</v>
      </c>
      <c r="O2186" s="221" t="s">
        <v>332</v>
      </c>
      <c r="P2186" s="221" t="s">
        <v>333</v>
      </c>
      <c r="Q2186" s="221"/>
      <c r="R2186" s="221"/>
      <c r="S2186" s="221"/>
      <c r="T2186" s="221" t="s">
        <v>3332</v>
      </c>
      <c r="U2186" s="221">
        <v>0</v>
      </c>
      <c r="V2186" s="221" t="s">
        <v>3333</v>
      </c>
      <c r="W2186" s="221" t="s">
        <v>3334</v>
      </c>
      <c r="X2186" s="221"/>
      <c r="Y2186" s="227"/>
      <c r="Z2186" s="227" t="str">
        <f t="shared" si="77"/>
        <v>Sukodadi RW 02 Wagir</v>
      </c>
      <c r="AA2186" s="276" t="e">
        <f>VLOOKUP(Logfile_S12[[#This Row],[DO number]],DO_DB!G:I,3,0)</f>
        <v>#N/A</v>
      </c>
      <c r="AB2186" s="331" t="e">
        <f>EXACT(Logfile_S12[[#This Row],[date pick]],Logfile_S12[[#This Row],[Date]])</f>
        <v>#N/A</v>
      </c>
      <c r="AC21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87" spans="1:29" ht="14.5" hidden="1">
      <c r="A2187" s="220" t="str">
        <f t="shared" si="78"/>
        <v>2183</v>
      </c>
      <c r="B2187" s="221"/>
      <c r="C2187" s="221" t="s">
        <v>48</v>
      </c>
      <c r="D2187" s="221" t="s">
        <v>3818</v>
      </c>
      <c r="E2187" s="221" t="s">
        <v>3295</v>
      </c>
      <c r="F2187" s="221" t="s">
        <v>3299</v>
      </c>
      <c r="G2187" s="222">
        <v>45256</v>
      </c>
      <c r="H2187" s="223">
        <v>15.291666666666666</v>
      </c>
      <c r="I2187" s="221" t="s">
        <v>38</v>
      </c>
      <c r="J2187" s="221" t="s">
        <v>3024</v>
      </c>
      <c r="K2187" s="224" t="s">
        <v>3094</v>
      </c>
      <c r="L2187" s="225" t="str">
        <f>VLOOKUP(Logfile_S12[[#This Row],[Material Name]],Sheet2!B:C,2,0)</f>
        <v>GCI1008</v>
      </c>
      <c r="M2187" s="225" t="str">
        <f>_xlfn.XLOOKUP(Logfile_S12[[#This Row],[Material Name]],Sum_WH!E:E,Sum_WH!F:F,"",0)</f>
        <v>Pcs</v>
      </c>
      <c r="N2187" s="221">
        <v>120</v>
      </c>
      <c r="O2187" s="221" t="s">
        <v>3344</v>
      </c>
      <c r="P2187" s="221" t="s">
        <v>3345</v>
      </c>
      <c r="Q2187" s="221">
        <v>0</v>
      </c>
      <c r="R2187" s="221">
        <v>0</v>
      </c>
      <c r="S2187" s="221"/>
      <c r="T2187" s="221"/>
      <c r="U2187" s="221"/>
      <c r="V2187" s="221"/>
      <c r="W2187" s="221"/>
      <c r="X2187" s="221"/>
      <c r="Y2187" s="227"/>
      <c r="Z2187" s="227" t="str">
        <f t="shared" si="77"/>
        <v>Purchase</v>
      </c>
      <c r="AA2187" s="276" t="e">
        <f>VLOOKUP(Logfile_S12[[#This Row],[DO number]],DO_DB!G:I,3,0)</f>
        <v>#N/A</v>
      </c>
      <c r="AB2187" s="331" t="e">
        <f>EXACT(Logfile_S12[[#This Row],[date pick]],Logfile_S12[[#This Row],[Date]])</f>
        <v>#N/A</v>
      </c>
      <c r="AC21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88" spans="1:29" ht="14.5" hidden="1">
      <c r="A2188" s="220" t="str">
        <f t="shared" si="78"/>
        <v>2184</v>
      </c>
      <c r="B2188" s="221"/>
      <c r="C2188" s="221" t="s">
        <v>49</v>
      </c>
      <c r="D2188" s="221" t="s">
        <v>3817</v>
      </c>
      <c r="E2188" s="221" t="s">
        <v>3295</v>
      </c>
      <c r="F2188" s="221" t="s">
        <v>3299</v>
      </c>
      <c r="G2188" s="222">
        <v>45256</v>
      </c>
      <c r="H2188" s="223">
        <v>0.55833333333333335</v>
      </c>
      <c r="I2188" s="221" t="s">
        <v>4916</v>
      </c>
      <c r="J2188" s="221" t="s">
        <v>3024</v>
      </c>
      <c r="K2188" s="224" t="s">
        <v>3094</v>
      </c>
      <c r="L2188" s="225" t="str">
        <f>VLOOKUP(Logfile_S12[[#This Row],[Material Name]],Sheet2!B:C,2,0)</f>
        <v>GCI1008</v>
      </c>
      <c r="M2188" s="225" t="str">
        <f>_xlfn.XLOOKUP(Logfile_S12[[#This Row],[Material Name]],Sum_WH!E:E,Sum_WH!F:F,"",0)</f>
        <v>Pcs</v>
      </c>
      <c r="N2188" s="221">
        <v>2</v>
      </c>
      <c r="O2188" s="221" t="s">
        <v>340</v>
      </c>
      <c r="P2188" s="221" t="s">
        <v>341</v>
      </c>
      <c r="Q2188" s="221"/>
      <c r="R2188" s="221"/>
      <c r="S2188" s="221"/>
      <c r="T2188" s="221" t="s">
        <v>3351</v>
      </c>
      <c r="U2188" s="221">
        <v>0</v>
      </c>
      <c r="V2188" s="221" t="s">
        <v>3352</v>
      </c>
      <c r="W2188" s="221" t="s">
        <v>3353</v>
      </c>
      <c r="X2188" s="221"/>
      <c r="Y2188" s="227"/>
      <c r="Z2188" s="227" t="str">
        <f t="shared" ref="Z2188:Z2251" si="79">P2188</f>
        <v>Jedong RW 08 Wagir</v>
      </c>
      <c r="AA2188" s="276" t="e">
        <f>VLOOKUP(Logfile_S12[[#This Row],[DO number]],DO_DB!G:I,3,0)</f>
        <v>#N/A</v>
      </c>
      <c r="AB2188" s="331" t="e">
        <f>EXACT(Logfile_S12[[#This Row],[date pick]],Logfile_S12[[#This Row],[Date]])</f>
        <v>#N/A</v>
      </c>
      <c r="AC21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89" spans="1:29" ht="14.5" hidden="1">
      <c r="A2189" s="220" t="str">
        <f t="shared" si="78"/>
        <v>2185</v>
      </c>
      <c r="B2189" s="221"/>
      <c r="C2189" s="221" t="s">
        <v>48</v>
      </c>
      <c r="D2189" s="221" t="s">
        <v>3823</v>
      </c>
      <c r="E2189" s="221" t="s">
        <v>3295</v>
      </c>
      <c r="F2189" s="221" t="s">
        <v>3299</v>
      </c>
      <c r="G2189" s="222">
        <v>45257</v>
      </c>
      <c r="H2189" s="223">
        <v>15.291666666666666</v>
      </c>
      <c r="I2189" s="221" t="s">
        <v>38</v>
      </c>
      <c r="J2189" s="221" t="s">
        <v>3024</v>
      </c>
      <c r="K2189" s="224" t="s">
        <v>3094</v>
      </c>
      <c r="L2189" s="225" t="str">
        <f>VLOOKUP(Logfile_S12[[#This Row],[Material Name]],Sheet2!B:C,2,0)</f>
        <v>GCI1008</v>
      </c>
      <c r="M2189" s="225" t="str">
        <f>_xlfn.XLOOKUP(Logfile_S12[[#This Row],[Material Name]],Sum_WH!E:E,Sum_WH!F:F,"",0)</f>
        <v>Pcs</v>
      </c>
      <c r="N2189" s="221">
        <v>2</v>
      </c>
      <c r="O2189" s="221" t="s">
        <v>340</v>
      </c>
      <c r="P2189" s="221" t="s">
        <v>341</v>
      </c>
      <c r="Q2189" s="221">
        <v>0</v>
      </c>
      <c r="R2189" s="221">
        <v>0</v>
      </c>
      <c r="S2189" s="221"/>
      <c r="T2189" s="221"/>
      <c r="U2189" s="221"/>
      <c r="V2189" s="221"/>
      <c r="W2189" s="221"/>
      <c r="X2189" s="221" t="s">
        <v>3444</v>
      </c>
      <c r="Y2189" s="227"/>
      <c r="Z2189" s="227" t="str">
        <f t="shared" si="79"/>
        <v>Jedong RW 08 Wagir</v>
      </c>
      <c r="AA2189" s="276" t="e">
        <f>VLOOKUP(Logfile_S12[[#This Row],[DO number]],DO_DB!G:I,3,0)</f>
        <v>#N/A</v>
      </c>
      <c r="AB2189" s="331" t="e">
        <f>EXACT(Logfile_S12[[#This Row],[date pick]],Logfile_S12[[#This Row],[Date]])</f>
        <v>#N/A</v>
      </c>
      <c r="AC21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90" spans="1:29" ht="14.5" hidden="1">
      <c r="A2190" s="220" t="str">
        <f t="shared" si="78"/>
        <v>2186</v>
      </c>
      <c r="B2190" s="221"/>
      <c r="C2190" s="221" t="s">
        <v>48</v>
      </c>
      <c r="D2190" s="221" t="s">
        <v>3826</v>
      </c>
      <c r="E2190" s="221" t="s">
        <v>3295</v>
      </c>
      <c r="F2190" s="221" t="s">
        <v>3299</v>
      </c>
      <c r="G2190" s="222">
        <v>45261</v>
      </c>
      <c r="H2190" s="223">
        <v>15.291666666666666</v>
      </c>
      <c r="I2190" s="221" t="s">
        <v>3586</v>
      </c>
      <c r="J2190" s="221" t="s">
        <v>3024</v>
      </c>
      <c r="K2190" s="224" t="s">
        <v>3230</v>
      </c>
      <c r="L2190" s="225" t="str">
        <f>VLOOKUP(Logfile_S12[[#This Row],[Material Name]],Sheet2!B:C,2,0)</f>
        <v>GCI1008</v>
      </c>
      <c r="M2190" s="225" t="str">
        <f>_xlfn.XLOOKUP(Logfile_S12[[#This Row],[Material Name]],Sum_WH!E:E,Sum_WH!F:F,"",0)</f>
        <v>Pcs</v>
      </c>
      <c r="N2190" s="221">
        <v>51</v>
      </c>
      <c r="O2190" s="221" t="s">
        <v>3397</v>
      </c>
      <c r="P2190" s="221" t="s">
        <v>3300</v>
      </c>
      <c r="Q2190" s="221">
        <v>0</v>
      </c>
      <c r="R2190" s="221">
        <v>0</v>
      </c>
      <c r="S2190" s="221"/>
      <c r="T2190" s="221"/>
      <c r="U2190" s="221"/>
      <c r="V2190" s="221"/>
      <c r="W2190" s="221"/>
      <c r="X2190" s="221" t="s">
        <v>3447</v>
      </c>
      <c r="Y2190" s="227"/>
      <c r="Z2190" s="227" t="str">
        <f t="shared" si="79"/>
        <v>Pengembalian</v>
      </c>
      <c r="AA2190" s="276" t="e">
        <f>VLOOKUP(Logfile_S12[[#This Row],[DO number]],DO_DB!G:I,3,0)</f>
        <v>#N/A</v>
      </c>
      <c r="AB2190" s="331" t="e">
        <f>EXACT(Logfile_S12[[#This Row],[date pick]],Logfile_S12[[#This Row],[Date]])</f>
        <v>#N/A</v>
      </c>
      <c r="AC21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91" spans="1:29" ht="14.5" hidden="1">
      <c r="A2191" s="220" t="str">
        <f t="shared" si="78"/>
        <v>2187</v>
      </c>
      <c r="B2191" s="221"/>
      <c r="C2191" s="221" t="s">
        <v>49</v>
      </c>
      <c r="D2191" s="221" t="s">
        <v>3831</v>
      </c>
      <c r="E2191" s="221" t="s">
        <v>3295</v>
      </c>
      <c r="F2191" s="221" t="s">
        <v>3299</v>
      </c>
      <c r="G2191" s="222">
        <v>45267</v>
      </c>
      <c r="H2191" s="223">
        <v>0.89583333333333337</v>
      </c>
      <c r="I2191" s="221" t="s">
        <v>4916</v>
      </c>
      <c r="J2191" s="221" t="s">
        <v>3024</v>
      </c>
      <c r="K2191" s="224" t="s">
        <v>3094</v>
      </c>
      <c r="L2191" s="225" t="str">
        <f>VLOOKUP(Logfile_S12[[#This Row],[Material Name]],Sheet2!B:C,2,0)</f>
        <v>GCI1008</v>
      </c>
      <c r="M2191" s="225" t="str">
        <f>_xlfn.XLOOKUP(Logfile_S12[[#This Row],[Material Name]],Sum_WH!E:E,Sum_WH!F:F,"",0)</f>
        <v>Pcs</v>
      </c>
      <c r="N2191" s="221">
        <v>15</v>
      </c>
      <c r="O2191" s="221" t="s">
        <v>172</v>
      </c>
      <c r="P2191" s="221" t="s">
        <v>3319</v>
      </c>
      <c r="Q2191" s="221"/>
      <c r="R2191" s="221"/>
      <c r="S2191" s="221"/>
      <c r="T2191" s="221" t="s">
        <v>3231</v>
      </c>
      <c r="U2191" s="221">
        <v>0</v>
      </c>
      <c r="V2191" s="221" t="s">
        <v>3375</v>
      </c>
      <c r="W2191" s="221" t="s">
        <v>3249</v>
      </c>
      <c r="X2191" s="221"/>
      <c r="Y2191" s="227"/>
      <c r="Z2191" s="227" t="str">
        <f t="shared" si="79"/>
        <v>Pandan Landung RW 03 Wagir</v>
      </c>
      <c r="AA2191" s="276" t="e">
        <f>VLOOKUP(Logfile_S12[[#This Row],[DO number]],DO_DB!G:I,3,0)</f>
        <v>#N/A</v>
      </c>
      <c r="AB2191" s="331" t="e">
        <f>EXACT(Logfile_S12[[#This Row],[date pick]],Logfile_S12[[#This Row],[Date]])</f>
        <v>#N/A</v>
      </c>
      <c r="AC21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92" spans="1:29" ht="14.5" hidden="1">
      <c r="A2192" s="220" t="str">
        <f t="shared" si="78"/>
        <v>2188</v>
      </c>
      <c r="B2192" s="221"/>
      <c r="C2192" s="221" t="s">
        <v>3388</v>
      </c>
      <c r="D2192" s="221" t="s">
        <v>3833</v>
      </c>
      <c r="E2192" s="221" t="s">
        <v>3295</v>
      </c>
      <c r="F2192" s="221" t="s">
        <v>3299</v>
      </c>
      <c r="G2192" s="222">
        <v>45270</v>
      </c>
      <c r="H2192" s="223">
        <v>0.92361111111111116</v>
      </c>
      <c r="I2192" s="221" t="s">
        <v>4921</v>
      </c>
      <c r="J2192" s="221" t="s">
        <v>3024</v>
      </c>
      <c r="K2192" s="224" t="s">
        <v>3094</v>
      </c>
      <c r="L2192" s="225" t="str">
        <f>VLOOKUP(Logfile_S12[[#This Row],[Material Name]],Sheet2!B:C,2,0)</f>
        <v>GCI1008</v>
      </c>
      <c r="M2192" s="225" t="str">
        <f>_xlfn.XLOOKUP(Logfile_S12[[#This Row],[Material Name]],Sum_WH!E:E,Sum_WH!F:F,"",0)</f>
        <v>Pcs</v>
      </c>
      <c r="N2192" s="221">
        <v>75</v>
      </c>
      <c r="O2192" s="221" t="s">
        <v>3314</v>
      </c>
      <c r="P2192" s="221" t="s">
        <v>3223</v>
      </c>
      <c r="Q2192" s="221"/>
      <c r="R2192" s="221"/>
      <c r="S2192" s="221"/>
      <c r="T2192" s="221" t="s">
        <v>3259</v>
      </c>
      <c r="U2192" s="221">
        <v>0</v>
      </c>
      <c r="V2192" s="221" t="s">
        <v>3375</v>
      </c>
      <c r="W2192" s="221" t="s">
        <v>3415</v>
      </c>
      <c r="X2192" s="221" t="s">
        <v>3416</v>
      </c>
      <c r="Y2192" s="227"/>
      <c r="Z2192" s="227" t="str">
        <f t="shared" si="79"/>
        <v>Transfer Gudang</v>
      </c>
      <c r="AA2192" s="276" t="e">
        <f>VLOOKUP(Logfile_S12[[#This Row],[DO number]],DO_DB!G:I,3,0)</f>
        <v>#N/A</v>
      </c>
      <c r="AB2192" s="331" t="e">
        <f>EXACT(Logfile_S12[[#This Row],[date pick]],Logfile_S12[[#This Row],[Date]])</f>
        <v>#N/A</v>
      </c>
      <c r="AC21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2193" spans="1:29" ht="14.5" hidden="1">
      <c r="A2193" s="220" t="str">
        <f t="shared" si="78"/>
        <v>2189</v>
      </c>
      <c r="B2193" s="221"/>
      <c r="C2193" s="221" t="s">
        <v>49</v>
      </c>
      <c r="D2193" s="221" t="s">
        <v>3834</v>
      </c>
      <c r="E2193" s="221" t="s">
        <v>3295</v>
      </c>
      <c r="F2193" s="221" t="s">
        <v>3299</v>
      </c>
      <c r="G2193" s="222">
        <v>45271</v>
      </c>
      <c r="H2193" s="223">
        <v>0.47916666666666669</v>
      </c>
      <c r="I2193" s="221" t="s">
        <v>4916</v>
      </c>
      <c r="J2193" s="221" t="s">
        <v>3024</v>
      </c>
      <c r="K2193" s="224" t="s">
        <v>3094</v>
      </c>
      <c r="L2193" s="225" t="str">
        <f>VLOOKUP(Logfile_S12[[#This Row],[Material Name]],Sheet2!B:C,2,0)</f>
        <v>GCI1008</v>
      </c>
      <c r="M2193" s="225" t="str">
        <f>_xlfn.XLOOKUP(Logfile_S12[[#This Row],[Material Name]],Sum_WH!E:E,Sum_WH!F:F,"",0)</f>
        <v>Pcs</v>
      </c>
      <c r="N2193" s="221">
        <v>50</v>
      </c>
      <c r="O2193" s="221" t="s">
        <v>468</v>
      </c>
      <c r="P2193" s="221" t="s">
        <v>469</v>
      </c>
      <c r="Q2193" s="221"/>
      <c r="R2193" s="221"/>
      <c r="S2193" s="221"/>
      <c r="T2193" s="221" t="s">
        <v>3346</v>
      </c>
      <c r="U2193" s="221">
        <v>0</v>
      </c>
      <c r="V2193" s="221" t="s">
        <v>3347</v>
      </c>
      <c r="W2193" s="221" t="s">
        <v>3334</v>
      </c>
      <c r="X2193" s="221"/>
      <c r="Y2193" s="227"/>
      <c r="Z2193" s="227" t="str">
        <f t="shared" si="79"/>
        <v>Jedong RW 07 Wagir</v>
      </c>
      <c r="AA2193" s="276" t="e">
        <f>VLOOKUP(Logfile_S12[[#This Row],[DO number]],DO_DB!G:I,3,0)</f>
        <v>#N/A</v>
      </c>
      <c r="AB2193" s="331" t="e">
        <f>EXACT(Logfile_S12[[#This Row],[date pick]],Logfile_S12[[#This Row],[Date]])</f>
        <v>#N/A</v>
      </c>
      <c r="AC21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94" spans="1:29" ht="14.5" hidden="1">
      <c r="A2194" s="220" t="str">
        <f t="shared" si="78"/>
        <v>2190</v>
      </c>
      <c r="B2194" s="221"/>
      <c r="C2194" s="221" t="s">
        <v>49</v>
      </c>
      <c r="D2194" s="221" t="s">
        <v>3835</v>
      </c>
      <c r="E2194" s="221" t="s">
        <v>3295</v>
      </c>
      <c r="F2194" s="221" t="s">
        <v>3299</v>
      </c>
      <c r="G2194" s="222">
        <v>45275</v>
      </c>
      <c r="H2194" s="223">
        <v>0.44097222222222227</v>
      </c>
      <c r="I2194" s="221" t="s">
        <v>4916</v>
      </c>
      <c r="J2194" s="221" t="s">
        <v>3024</v>
      </c>
      <c r="K2194" s="224" t="s">
        <v>3215</v>
      </c>
      <c r="L2194" s="225" t="str">
        <f>VLOOKUP(Logfile_S12[[#This Row],[Material Name]],Sheet2!B:C,2,0)</f>
        <v>GCI1008</v>
      </c>
      <c r="M2194" s="225" t="str">
        <f>_xlfn.XLOOKUP(Logfile_S12[[#This Row],[Material Name]],Sum_WH!E:E,Sum_WH!F:F,"",0)</f>
        <v>Pcs</v>
      </c>
      <c r="N2194" s="221">
        <v>4</v>
      </c>
      <c r="O2194" s="221" t="s">
        <v>328</v>
      </c>
      <c r="P2194" s="221" t="s">
        <v>329</v>
      </c>
      <c r="Q2194" s="221"/>
      <c r="R2194" s="221"/>
      <c r="S2194" s="221"/>
      <c r="T2194" s="221" t="s">
        <v>3351</v>
      </c>
      <c r="U2194" s="221">
        <v>0</v>
      </c>
      <c r="V2194" s="221" t="s">
        <v>3352</v>
      </c>
      <c r="W2194" s="221" t="s">
        <v>3353</v>
      </c>
      <c r="X2194" s="221"/>
      <c r="Y2194" s="227"/>
      <c r="Z2194" s="227" t="str">
        <f t="shared" si="79"/>
        <v>Sukodadi RW 01 Wagir</v>
      </c>
      <c r="AA2194" s="276" t="e">
        <f>VLOOKUP(Logfile_S12[[#This Row],[DO number]],DO_DB!G:I,3,0)</f>
        <v>#N/A</v>
      </c>
      <c r="AB2194" s="331" t="e">
        <f>EXACT(Logfile_S12[[#This Row],[date pick]],Logfile_S12[[#This Row],[Date]])</f>
        <v>#N/A</v>
      </c>
      <c r="AC21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95" spans="1:29" ht="14.5" hidden="1">
      <c r="A2195" s="220" t="str">
        <f t="shared" si="78"/>
        <v>2191</v>
      </c>
      <c r="B2195" s="221"/>
      <c r="C2195" s="221" t="s">
        <v>3313</v>
      </c>
      <c r="D2195" s="221" t="s">
        <v>3836</v>
      </c>
      <c r="E2195" s="221" t="s">
        <v>3295</v>
      </c>
      <c r="F2195" s="221" t="s">
        <v>3299</v>
      </c>
      <c r="G2195" s="222">
        <v>45275</v>
      </c>
      <c r="H2195" s="223">
        <v>15.291666666666666</v>
      </c>
      <c r="I2195" s="221" t="s">
        <v>4920</v>
      </c>
      <c r="J2195" s="221" t="s">
        <v>3024</v>
      </c>
      <c r="K2195" s="224" t="s">
        <v>3094</v>
      </c>
      <c r="L2195" s="225" t="str">
        <f>VLOOKUP(Logfile_S12[[#This Row],[Material Name]],Sheet2!B:C,2,0)</f>
        <v>GCI1008</v>
      </c>
      <c r="M2195" s="225" t="str">
        <f>_xlfn.XLOOKUP(Logfile_S12[[#This Row],[Material Name]],Sum_WH!E:E,Sum_WH!F:F,"",0)</f>
        <v>Pcs</v>
      </c>
      <c r="N2195" s="221">
        <v>46</v>
      </c>
      <c r="O2195" s="221" t="s">
        <v>3314</v>
      </c>
      <c r="P2195" s="221" t="s">
        <v>3315</v>
      </c>
      <c r="Q2195" s="221">
        <v>0</v>
      </c>
      <c r="R2195" s="221">
        <v>0</v>
      </c>
      <c r="S2195" s="221"/>
      <c r="T2195" s="221"/>
      <c r="U2195" s="221"/>
      <c r="V2195" s="221"/>
      <c r="W2195" s="221"/>
      <c r="X2195" s="221" t="s">
        <v>3417</v>
      </c>
      <c r="Y2195" s="227"/>
      <c r="Z2195" s="227" t="str">
        <f t="shared" si="79"/>
        <v>KEDIRI</v>
      </c>
      <c r="AA2195" s="276" t="e">
        <f>VLOOKUP(Logfile_S12[[#This Row],[DO number]],DO_DB!G:I,3,0)</f>
        <v>#N/A</v>
      </c>
      <c r="AB2195" s="331" t="e">
        <f>EXACT(Logfile_S12[[#This Row],[date pick]],Logfile_S12[[#This Row],[Date]])</f>
        <v>#N/A</v>
      </c>
      <c r="AC21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96" spans="1:29" ht="14.5" hidden="1">
      <c r="A2196" s="220" t="str">
        <f t="shared" si="78"/>
        <v>2192</v>
      </c>
      <c r="B2196" s="221"/>
      <c r="C2196" s="221" t="s">
        <v>49</v>
      </c>
      <c r="D2196" s="221" t="s">
        <v>3837</v>
      </c>
      <c r="E2196" s="221" t="s">
        <v>3295</v>
      </c>
      <c r="F2196" s="221" t="s">
        <v>3299</v>
      </c>
      <c r="G2196" s="222">
        <v>45276</v>
      </c>
      <c r="H2196" s="223">
        <v>0.32708333333333334</v>
      </c>
      <c r="I2196" s="221" t="s">
        <v>4916</v>
      </c>
      <c r="J2196" s="221" t="s">
        <v>3024</v>
      </c>
      <c r="K2196" s="224" t="s">
        <v>3094</v>
      </c>
      <c r="L2196" s="225" t="str">
        <f>VLOOKUP(Logfile_S12[[#This Row],[Material Name]],Sheet2!B:C,2,0)</f>
        <v>GCI1008</v>
      </c>
      <c r="M2196" s="225" t="str">
        <f>_xlfn.XLOOKUP(Logfile_S12[[#This Row],[Material Name]],Sum_WH!E:E,Sum_WH!F:F,"",0)</f>
        <v>Pcs</v>
      </c>
      <c r="N2196" s="221">
        <v>15</v>
      </c>
      <c r="O2196" s="221" t="s">
        <v>336</v>
      </c>
      <c r="P2196" s="221" t="s">
        <v>337</v>
      </c>
      <c r="Q2196" s="221"/>
      <c r="R2196" s="221"/>
      <c r="S2196" s="221"/>
      <c r="T2196" s="221" t="s">
        <v>3351</v>
      </c>
      <c r="U2196" s="221">
        <v>0</v>
      </c>
      <c r="V2196" s="221" t="s">
        <v>3352</v>
      </c>
      <c r="W2196" s="221" t="s">
        <v>3353</v>
      </c>
      <c r="X2196" s="221"/>
      <c r="Y2196" s="227"/>
      <c r="Z2196" s="227" t="str">
        <f t="shared" si="79"/>
        <v>Sidorahayu RW 02 Wagir</v>
      </c>
      <c r="AA2196" s="276" t="e">
        <f>VLOOKUP(Logfile_S12[[#This Row],[DO number]],DO_DB!G:I,3,0)</f>
        <v>#N/A</v>
      </c>
      <c r="AB2196" s="331" t="e">
        <f>EXACT(Logfile_S12[[#This Row],[date pick]],Logfile_S12[[#This Row],[Date]])</f>
        <v>#N/A</v>
      </c>
      <c r="AC21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97" spans="1:29" ht="14.5" hidden="1">
      <c r="A2197" s="220" t="str">
        <f t="shared" si="78"/>
        <v>2193</v>
      </c>
      <c r="B2197" s="221"/>
      <c r="C2197" s="221" t="s">
        <v>48</v>
      </c>
      <c r="D2197" s="221" t="s">
        <v>3838</v>
      </c>
      <c r="E2197" s="221" t="s">
        <v>3295</v>
      </c>
      <c r="F2197" s="221" t="s">
        <v>3299</v>
      </c>
      <c r="G2197" s="222">
        <v>45278</v>
      </c>
      <c r="H2197" s="223">
        <v>15.291666666666666</v>
      </c>
      <c r="I2197" s="221" t="s">
        <v>38</v>
      </c>
      <c r="J2197" s="221" t="s">
        <v>3024</v>
      </c>
      <c r="K2197" s="224" t="s">
        <v>3094</v>
      </c>
      <c r="L2197" s="225" t="str">
        <f>VLOOKUP(Logfile_S12[[#This Row],[Material Name]],Sheet2!B:C,2,0)</f>
        <v>GCI1008</v>
      </c>
      <c r="M2197" s="225" t="str">
        <f>_xlfn.XLOOKUP(Logfile_S12[[#This Row],[Material Name]],Sum_WH!E:E,Sum_WH!F:F,"",0)</f>
        <v>Pcs</v>
      </c>
      <c r="N2197" s="221">
        <v>41</v>
      </c>
      <c r="O2197" s="221" t="s">
        <v>3397</v>
      </c>
      <c r="P2197" s="221" t="s">
        <v>3300</v>
      </c>
      <c r="Q2197" s="221">
        <v>0</v>
      </c>
      <c r="R2197" s="221">
        <v>0</v>
      </c>
      <c r="S2197" s="221"/>
      <c r="T2197" s="221"/>
      <c r="U2197" s="221"/>
      <c r="V2197" s="221"/>
      <c r="W2197" s="221"/>
      <c r="X2197" s="221" t="s">
        <v>3418</v>
      </c>
      <c r="Y2197" s="227"/>
      <c r="Z2197" s="227" t="str">
        <f t="shared" si="79"/>
        <v>Pengembalian</v>
      </c>
      <c r="AA2197" s="276" t="e">
        <f>VLOOKUP(Logfile_S12[[#This Row],[DO number]],DO_DB!G:I,3,0)</f>
        <v>#N/A</v>
      </c>
      <c r="AB2197" s="331" t="e">
        <f>EXACT(Logfile_S12[[#This Row],[date pick]],Logfile_S12[[#This Row],[Date]])</f>
        <v>#N/A</v>
      </c>
      <c r="AC21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98" spans="1:29" ht="14.5" hidden="1">
      <c r="A2198" s="220" t="str">
        <f t="shared" si="78"/>
        <v>2194</v>
      </c>
      <c r="B2198" s="221"/>
      <c r="C2198" s="221" t="s">
        <v>49</v>
      </c>
      <c r="D2198" s="221" t="s">
        <v>3839</v>
      </c>
      <c r="E2198" s="221" t="s">
        <v>3295</v>
      </c>
      <c r="F2198" s="221" t="s">
        <v>3299</v>
      </c>
      <c r="G2198" s="222">
        <v>45282</v>
      </c>
      <c r="H2198" s="223">
        <v>0.56041666666666667</v>
      </c>
      <c r="I2198" s="221" t="s">
        <v>4916</v>
      </c>
      <c r="J2198" s="221" t="s">
        <v>3024</v>
      </c>
      <c r="K2198" s="224" t="s">
        <v>3094</v>
      </c>
      <c r="L2198" s="225" t="str">
        <f>VLOOKUP(Logfile_S12[[#This Row],[Material Name]],Sheet2!B:C,2,0)</f>
        <v>GCI1008</v>
      </c>
      <c r="M2198" s="225" t="str">
        <f>_xlfn.XLOOKUP(Logfile_S12[[#This Row],[Material Name]],Sum_WH!E:E,Sum_WH!F:F,"",0)</f>
        <v>Pcs</v>
      </c>
      <c r="N2198" s="221">
        <v>25</v>
      </c>
      <c r="O2198" s="221" t="s">
        <v>732</v>
      </c>
      <c r="P2198" s="221" t="s">
        <v>733</v>
      </c>
      <c r="Q2198" s="221"/>
      <c r="R2198" s="221"/>
      <c r="S2198" s="221"/>
      <c r="T2198" s="221" t="s">
        <v>3258</v>
      </c>
      <c r="U2198" s="221" t="s">
        <v>3228</v>
      </c>
      <c r="V2198" s="221" t="s">
        <v>3337</v>
      </c>
      <c r="W2198" s="221" t="s">
        <v>3338</v>
      </c>
      <c r="X2198" s="221"/>
      <c r="Y2198" s="227"/>
      <c r="Z2198" s="227" t="str">
        <f t="shared" si="79"/>
        <v>Sitirejo RW 01 Wagir</v>
      </c>
      <c r="AA2198" s="276" t="e">
        <f>VLOOKUP(Logfile_S12[[#This Row],[DO number]],DO_DB!G:I,3,0)</f>
        <v>#N/A</v>
      </c>
      <c r="AB2198" s="331" t="e">
        <f>EXACT(Logfile_S12[[#This Row],[date pick]],Logfile_S12[[#This Row],[Date]])</f>
        <v>#N/A</v>
      </c>
      <c r="AC21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199" spans="1:29" ht="14.5" hidden="1">
      <c r="A2199" s="220" t="str">
        <f t="shared" si="78"/>
        <v>2195</v>
      </c>
      <c r="B2199" s="221"/>
      <c r="C2199" s="221" t="s">
        <v>49</v>
      </c>
      <c r="D2199" s="221" t="s">
        <v>3842</v>
      </c>
      <c r="E2199" s="221" t="s">
        <v>3295</v>
      </c>
      <c r="F2199" s="221" t="s">
        <v>3299</v>
      </c>
      <c r="G2199" s="222">
        <v>45285</v>
      </c>
      <c r="H2199" s="223">
        <v>0.3923611111111111</v>
      </c>
      <c r="I2199" s="221" t="s">
        <v>4916</v>
      </c>
      <c r="J2199" s="221" t="s">
        <v>3024</v>
      </c>
      <c r="K2199" s="224" t="s">
        <v>3094</v>
      </c>
      <c r="L2199" s="225" t="str">
        <f>VLOOKUP(Logfile_S12[[#This Row],[Material Name]],Sheet2!B:C,2,0)</f>
        <v>GCI1008</v>
      </c>
      <c r="M2199" s="225" t="str">
        <f>_xlfn.XLOOKUP(Logfile_S12[[#This Row],[Material Name]],Sum_WH!E:E,Sum_WH!F:F,"",0)</f>
        <v>Pcs</v>
      </c>
      <c r="N2199" s="221">
        <v>9</v>
      </c>
      <c r="O2199" s="221" t="s">
        <v>732</v>
      </c>
      <c r="P2199" s="221" t="s">
        <v>733</v>
      </c>
      <c r="Q2199" s="221"/>
      <c r="R2199" s="221"/>
      <c r="S2199" s="221"/>
      <c r="T2199" s="221" t="s">
        <v>3258</v>
      </c>
      <c r="U2199" s="221" t="s">
        <v>3228</v>
      </c>
      <c r="V2199" s="221" t="s">
        <v>3337</v>
      </c>
      <c r="W2199" s="221" t="s">
        <v>3338</v>
      </c>
      <c r="X2199" s="221"/>
      <c r="Y2199" s="227"/>
      <c r="Z2199" s="227" t="str">
        <f t="shared" si="79"/>
        <v>Sitirejo RW 01 Wagir</v>
      </c>
      <c r="AA2199" s="276" t="e">
        <f>VLOOKUP(Logfile_S12[[#This Row],[DO number]],DO_DB!G:I,3,0)</f>
        <v>#N/A</v>
      </c>
      <c r="AB2199" s="331" t="e">
        <f>EXACT(Logfile_S12[[#This Row],[date pick]],Logfile_S12[[#This Row],[Date]])</f>
        <v>#N/A</v>
      </c>
      <c r="AC21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00" spans="1:29" ht="14.5" hidden="1">
      <c r="A2200" s="220" t="str">
        <f t="shared" si="78"/>
        <v>2196</v>
      </c>
      <c r="B2200" s="221"/>
      <c r="C2200" s="221" t="s">
        <v>48</v>
      </c>
      <c r="D2200" s="221" t="s">
        <v>3854</v>
      </c>
      <c r="E2200" s="221" t="s">
        <v>3295</v>
      </c>
      <c r="F2200" s="221" t="s">
        <v>3299</v>
      </c>
      <c r="G2200" s="222">
        <v>45295</v>
      </c>
      <c r="H2200" s="223">
        <v>15.291666666666666</v>
      </c>
      <c r="I2200" s="221" t="s">
        <v>38</v>
      </c>
      <c r="J2200" s="221" t="s">
        <v>3024</v>
      </c>
      <c r="K2200" s="224" t="s">
        <v>3094</v>
      </c>
      <c r="L2200" s="225" t="str">
        <f>VLOOKUP(Logfile_S12[[#This Row],[Material Name]],Sheet2!B:C,2,0)</f>
        <v>GCI1008</v>
      </c>
      <c r="M2200" s="225" t="str">
        <f>_xlfn.XLOOKUP(Logfile_S12[[#This Row],[Material Name]],Sum_WH!E:E,Sum_WH!F:F,"",0)</f>
        <v>Pcs</v>
      </c>
      <c r="N2200" s="221">
        <v>170</v>
      </c>
      <c r="O2200" s="221" t="s">
        <v>3344</v>
      </c>
      <c r="P2200" s="221" t="s">
        <v>3345</v>
      </c>
      <c r="Q2200" s="221">
        <v>0</v>
      </c>
      <c r="R2200" s="221">
        <v>0</v>
      </c>
      <c r="S2200" s="221"/>
      <c r="T2200" s="221"/>
      <c r="U2200" s="221"/>
      <c r="V2200" s="221"/>
      <c r="W2200" s="221"/>
      <c r="X2200" s="221" t="s">
        <v>3218</v>
      </c>
      <c r="Y2200" s="227"/>
      <c r="Z2200" s="227" t="str">
        <f t="shared" si="79"/>
        <v>Purchase</v>
      </c>
      <c r="AA2200" s="276" t="e">
        <f>VLOOKUP(Logfile_S12[[#This Row],[DO number]],DO_DB!G:I,3,0)</f>
        <v>#N/A</v>
      </c>
      <c r="AB2200" s="331" t="e">
        <f>EXACT(Logfile_S12[[#This Row],[date pick]],Logfile_S12[[#This Row],[Date]])</f>
        <v>#N/A</v>
      </c>
      <c r="AC22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01" spans="1:29" ht="14.5" hidden="1">
      <c r="A2201" s="220" t="str">
        <f t="shared" si="78"/>
        <v>2197</v>
      </c>
      <c r="B2201" s="221"/>
      <c r="C2201" s="221" t="s">
        <v>48</v>
      </c>
      <c r="D2201" s="221" t="s">
        <v>3876</v>
      </c>
      <c r="E2201" s="221" t="s">
        <v>3295</v>
      </c>
      <c r="F2201" s="221" t="s">
        <v>3299</v>
      </c>
      <c r="G2201" s="222">
        <v>45309</v>
      </c>
      <c r="H2201" s="223">
        <v>15.291666666666666</v>
      </c>
      <c r="I2201" s="221" t="s">
        <v>38</v>
      </c>
      <c r="J2201" s="221" t="s">
        <v>3024</v>
      </c>
      <c r="K2201" s="224" t="s">
        <v>3094</v>
      </c>
      <c r="L2201" s="225" t="str">
        <f>VLOOKUP(Logfile_S12[[#This Row],[Material Name]],Sheet2!B:C,2,0)</f>
        <v>GCI1008</v>
      </c>
      <c r="M2201" s="225" t="str">
        <f>_xlfn.XLOOKUP(Logfile_S12[[#This Row],[Material Name]],Sum_WH!E:E,Sum_WH!F:F,"",0)</f>
        <v>Pcs</v>
      </c>
      <c r="N2201" s="221">
        <v>210</v>
      </c>
      <c r="O2201" s="221" t="s">
        <v>3344</v>
      </c>
      <c r="P2201" s="221" t="s">
        <v>3345</v>
      </c>
      <c r="Q2201" s="221">
        <v>0</v>
      </c>
      <c r="R2201" s="221">
        <v>0</v>
      </c>
      <c r="S2201" s="221"/>
      <c r="T2201" s="221"/>
      <c r="U2201" s="221"/>
      <c r="V2201" s="221"/>
      <c r="W2201" s="221"/>
      <c r="X2201" s="221" t="s">
        <v>3218</v>
      </c>
      <c r="Y2201" s="227"/>
      <c r="Z2201" s="227" t="str">
        <f t="shared" si="79"/>
        <v>Purchase</v>
      </c>
      <c r="AA2201" s="276" t="e">
        <f>VLOOKUP(Logfile_S12[[#This Row],[DO number]],DO_DB!G:I,3,0)</f>
        <v>#N/A</v>
      </c>
      <c r="AB2201" s="331" t="e">
        <f>EXACT(Logfile_S12[[#This Row],[date pick]],Logfile_S12[[#This Row],[Date]])</f>
        <v>#N/A</v>
      </c>
      <c r="AC22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02" spans="1:29" ht="14.5" hidden="1">
      <c r="A2202" s="220" t="str">
        <f t="shared" si="78"/>
        <v>2198</v>
      </c>
      <c r="B2202" s="221"/>
      <c r="C2202" s="221" t="s">
        <v>49</v>
      </c>
      <c r="D2202" s="221" t="s">
        <v>3879</v>
      </c>
      <c r="E2202" s="221" t="s">
        <v>3295</v>
      </c>
      <c r="F2202" s="221" t="s">
        <v>3299</v>
      </c>
      <c r="G2202" s="222">
        <v>45310</v>
      </c>
      <c r="H2202" s="223">
        <v>0.73333333333333339</v>
      </c>
      <c r="I2202" s="221" t="s">
        <v>4916</v>
      </c>
      <c r="J2202" s="221" t="s">
        <v>3024</v>
      </c>
      <c r="K2202" s="224" t="s">
        <v>3094</v>
      </c>
      <c r="L2202" s="225" t="str">
        <f>VLOOKUP(Logfile_S12[[#This Row],[Material Name]],Sheet2!B:C,2,0)</f>
        <v>GCI1008</v>
      </c>
      <c r="M2202" s="225" t="str">
        <f>_xlfn.XLOOKUP(Logfile_S12[[#This Row],[Material Name]],Sum_WH!E:E,Sum_WH!F:F,"",0)</f>
        <v>Pcs</v>
      </c>
      <c r="N2202" s="221">
        <v>8</v>
      </c>
      <c r="O2202" s="221" t="s">
        <v>834</v>
      </c>
      <c r="P2202" s="221" t="s">
        <v>3335</v>
      </c>
      <c r="Q2202" s="221"/>
      <c r="R2202" s="221"/>
      <c r="S2202" s="221"/>
      <c r="T2202" s="221" t="s">
        <v>3258</v>
      </c>
      <c r="U2202" s="221" t="s">
        <v>3228</v>
      </c>
      <c r="V2202" s="221" t="s">
        <v>3337</v>
      </c>
      <c r="W2202" s="221" t="s">
        <v>3338</v>
      </c>
      <c r="X2202" s="221"/>
      <c r="Y2202" s="227"/>
      <c r="Z2202" s="227" t="str">
        <f t="shared" si="79"/>
        <v>HUBFEEDER BATURETNO RW 02</v>
      </c>
      <c r="AA2202" s="276" t="e">
        <f>VLOOKUP(Logfile_S12[[#This Row],[DO number]],DO_DB!G:I,3,0)</f>
        <v>#N/A</v>
      </c>
      <c r="AB2202" s="331" t="e">
        <f>EXACT(Logfile_S12[[#This Row],[date pick]],Logfile_S12[[#This Row],[Date]])</f>
        <v>#N/A</v>
      </c>
      <c r="AC22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03" spans="1:29" ht="14.5" hidden="1">
      <c r="A2203" s="220" t="str">
        <f t="shared" si="78"/>
        <v>2199</v>
      </c>
      <c r="B2203" s="221"/>
      <c r="C2203" s="221" t="s">
        <v>49</v>
      </c>
      <c r="D2203" s="221" t="s">
        <v>3885</v>
      </c>
      <c r="E2203" s="221" t="s">
        <v>3295</v>
      </c>
      <c r="F2203" s="221" t="s">
        <v>3299</v>
      </c>
      <c r="G2203" s="222">
        <v>45313</v>
      </c>
      <c r="H2203" s="223">
        <v>0.3840277777777778</v>
      </c>
      <c r="I2203" s="221" t="s">
        <v>4916</v>
      </c>
      <c r="J2203" s="221" t="s">
        <v>3024</v>
      </c>
      <c r="K2203" s="224" t="s">
        <v>3094</v>
      </c>
      <c r="L2203" s="225" t="str">
        <f>VLOOKUP(Logfile_S12[[#This Row],[Material Name]],Sheet2!B:C,2,0)</f>
        <v>GCI1008</v>
      </c>
      <c r="M2203" s="225" t="str">
        <f>_xlfn.XLOOKUP(Logfile_S12[[#This Row],[Material Name]],Sum_WH!E:E,Sum_WH!F:F,"",0)</f>
        <v>Pcs</v>
      </c>
      <c r="N2203" s="221">
        <v>10</v>
      </c>
      <c r="O2203" s="221" t="s">
        <v>834</v>
      </c>
      <c r="P2203" s="221" t="s">
        <v>3335</v>
      </c>
      <c r="Q2203" s="221"/>
      <c r="R2203" s="221"/>
      <c r="S2203" s="221"/>
      <c r="T2203" s="221" t="s">
        <v>3258</v>
      </c>
      <c r="U2203" s="221" t="s">
        <v>3228</v>
      </c>
      <c r="V2203" s="221" t="s">
        <v>3337</v>
      </c>
      <c r="W2203" s="221" t="s">
        <v>3338</v>
      </c>
      <c r="X2203" s="221"/>
      <c r="Y2203" s="227"/>
      <c r="Z2203" s="227" t="str">
        <f t="shared" si="79"/>
        <v>HUBFEEDER BATURETNO RW 02</v>
      </c>
      <c r="AA2203" s="276" t="e">
        <f>VLOOKUP(Logfile_S12[[#This Row],[DO number]],DO_DB!G:I,3,0)</f>
        <v>#N/A</v>
      </c>
      <c r="AB2203" s="331" t="e">
        <f>EXACT(Logfile_S12[[#This Row],[date pick]],Logfile_S12[[#This Row],[Date]])</f>
        <v>#N/A</v>
      </c>
      <c r="AC22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04" spans="1:29" ht="14.5" hidden="1">
      <c r="A2204" s="220" t="str">
        <f t="shared" si="78"/>
        <v>2200</v>
      </c>
      <c r="B2204" s="221"/>
      <c r="C2204" s="221" t="s">
        <v>49</v>
      </c>
      <c r="D2204" s="221" t="s">
        <v>3889</v>
      </c>
      <c r="E2204" s="221" t="s">
        <v>3295</v>
      </c>
      <c r="F2204" s="221" t="s">
        <v>3299</v>
      </c>
      <c r="G2204" s="222">
        <v>45313</v>
      </c>
      <c r="H2204" s="223">
        <v>0.81041666666666667</v>
      </c>
      <c r="I2204" s="221" t="s">
        <v>4916</v>
      </c>
      <c r="J2204" s="221" t="s">
        <v>3024</v>
      </c>
      <c r="K2204" s="224" t="s">
        <v>3094</v>
      </c>
      <c r="L2204" s="225" t="str">
        <f>VLOOKUP(Logfile_S12[[#This Row],[Material Name]],Sheet2!B:C,2,0)</f>
        <v>GCI1008</v>
      </c>
      <c r="M2204" s="225" t="str">
        <f>_xlfn.XLOOKUP(Logfile_S12[[#This Row],[Material Name]],Sum_WH!E:E,Sum_WH!F:F,"",0)</f>
        <v>Pcs</v>
      </c>
      <c r="N2204" s="221">
        <v>50</v>
      </c>
      <c r="O2204" s="221" t="s">
        <v>742</v>
      </c>
      <c r="P2204" s="221" t="s">
        <v>743</v>
      </c>
      <c r="Q2204" s="221"/>
      <c r="R2204" s="221"/>
      <c r="S2204" s="221"/>
      <c r="T2204" s="221" t="s">
        <v>3258</v>
      </c>
      <c r="U2204" s="221" t="s">
        <v>3228</v>
      </c>
      <c r="V2204" s="221" t="s">
        <v>3337</v>
      </c>
      <c r="W2204" s="221" t="s">
        <v>3338</v>
      </c>
      <c r="X2204" s="221"/>
      <c r="Y2204" s="227"/>
      <c r="Z2204" s="227" t="str">
        <f t="shared" si="79"/>
        <v>Baturetno RW 03 Singosari</v>
      </c>
      <c r="AA2204" s="276" t="e">
        <f>VLOOKUP(Logfile_S12[[#This Row],[DO number]],DO_DB!G:I,3,0)</f>
        <v>#N/A</v>
      </c>
      <c r="AB2204" s="331" t="e">
        <f>EXACT(Logfile_S12[[#This Row],[date pick]],Logfile_S12[[#This Row],[Date]])</f>
        <v>#N/A</v>
      </c>
      <c r="AC22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05" spans="1:29" ht="14.5" hidden="1">
      <c r="A2205" s="220" t="str">
        <f t="shared" si="78"/>
        <v>2201</v>
      </c>
      <c r="B2205" s="221"/>
      <c r="C2205" s="221" t="s">
        <v>49</v>
      </c>
      <c r="D2205" s="221" t="s">
        <v>3886</v>
      </c>
      <c r="E2205" s="221" t="s">
        <v>3295</v>
      </c>
      <c r="F2205" s="221" t="s">
        <v>3299</v>
      </c>
      <c r="G2205" s="222">
        <v>45313</v>
      </c>
      <c r="H2205" s="223">
        <v>0.38750000000000001</v>
      </c>
      <c r="I2205" s="221" t="s">
        <v>4916</v>
      </c>
      <c r="J2205" s="221" t="s">
        <v>3024</v>
      </c>
      <c r="K2205" s="224" t="s">
        <v>3094</v>
      </c>
      <c r="L2205" s="225" t="str">
        <f>VLOOKUP(Logfile_S12[[#This Row],[Material Name]],Sheet2!B:C,2,0)</f>
        <v>GCI1008</v>
      </c>
      <c r="M2205" s="225" t="str">
        <f>_xlfn.XLOOKUP(Logfile_S12[[#This Row],[Material Name]],Sum_WH!E:E,Sum_WH!F:F,"",0)</f>
        <v>Pcs</v>
      </c>
      <c r="N2205" s="221">
        <v>150</v>
      </c>
      <c r="O2205" s="221" t="s">
        <v>828</v>
      </c>
      <c r="P2205" s="221" t="s">
        <v>829</v>
      </c>
      <c r="Q2205" s="221"/>
      <c r="R2205" s="221"/>
      <c r="S2205" s="221"/>
      <c r="T2205" s="221" t="s">
        <v>3339</v>
      </c>
      <c r="U2205" s="221" t="s">
        <v>3228</v>
      </c>
      <c r="V2205" s="221" t="s">
        <v>3340</v>
      </c>
      <c r="W2205" s="221" t="s">
        <v>3245</v>
      </c>
      <c r="X2205" s="221"/>
      <c r="Y2205" s="227"/>
      <c r="Z2205" s="227" t="str">
        <f t="shared" si="79"/>
        <v>Perumahan Pondok Mutiara Malang</v>
      </c>
      <c r="AA2205" s="276" t="e">
        <f>VLOOKUP(Logfile_S12[[#This Row],[DO number]],DO_DB!G:I,3,0)</f>
        <v>#N/A</v>
      </c>
      <c r="AB2205" s="331" t="e">
        <f>EXACT(Logfile_S12[[#This Row],[date pick]],Logfile_S12[[#This Row],[Date]])</f>
        <v>#N/A</v>
      </c>
      <c r="AC22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06" spans="1:29" ht="14.5" hidden="1">
      <c r="A2206" s="220" t="str">
        <f t="shared" si="78"/>
        <v>2202</v>
      </c>
      <c r="B2206" s="221"/>
      <c r="C2206" s="221" t="s">
        <v>49</v>
      </c>
      <c r="D2206" s="221" t="s">
        <v>3895</v>
      </c>
      <c r="E2206" s="221" t="s">
        <v>3295</v>
      </c>
      <c r="F2206" s="221" t="s">
        <v>3299</v>
      </c>
      <c r="G2206" s="222">
        <v>45314</v>
      </c>
      <c r="H2206" s="223">
        <v>0.84097222222222223</v>
      </c>
      <c r="I2206" s="221" t="s">
        <v>4916</v>
      </c>
      <c r="J2206" s="221" t="s">
        <v>3024</v>
      </c>
      <c r="K2206" s="224" t="s">
        <v>3094</v>
      </c>
      <c r="L2206" s="225" t="str">
        <f>VLOOKUP(Logfile_S12[[#This Row],[Material Name]],Sheet2!B:C,2,0)</f>
        <v>GCI1008</v>
      </c>
      <c r="M2206" s="225" t="str">
        <f>_xlfn.XLOOKUP(Logfile_S12[[#This Row],[Material Name]],Sum_WH!E:E,Sum_WH!F:F,"",0)</f>
        <v>Pcs</v>
      </c>
      <c r="N2206" s="221">
        <v>20</v>
      </c>
      <c r="O2206" s="221" t="s">
        <v>742</v>
      </c>
      <c r="P2206" s="221" t="s">
        <v>743</v>
      </c>
      <c r="Q2206" s="221"/>
      <c r="R2206" s="221"/>
      <c r="S2206" s="221"/>
      <c r="T2206" s="221" t="s">
        <v>3258</v>
      </c>
      <c r="U2206" s="221" t="s">
        <v>3228</v>
      </c>
      <c r="V2206" s="221" t="s">
        <v>3337</v>
      </c>
      <c r="W2206" s="221" t="s">
        <v>3338</v>
      </c>
      <c r="X2206" s="221"/>
      <c r="Y2206" s="227"/>
      <c r="Z2206" s="227" t="str">
        <f t="shared" si="79"/>
        <v>Baturetno RW 03 Singosari</v>
      </c>
      <c r="AA2206" s="276" t="e">
        <f>VLOOKUP(Logfile_S12[[#This Row],[DO number]],DO_DB!G:I,3,0)</f>
        <v>#N/A</v>
      </c>
      <c r="AB2206" s="331" t="e">
        <f>EXACT(Logfile_S12[[#This Row],[date pick]],Logfile_S12[[#This Row],[Date]])</f>
        <v>#N/A</v>
      </c>
      <c r="AC22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07" spans="1:29" ht="14.5" hidden="1">
      <c r="A2207" s="220" t="str">
        <f t="shared" si="78"/>
        <v>2203</v>
      </c>
      <c r="B2207" s="221"/>
      <c r="C2207" s="221" t="s">
        <v>49</v>
      </c>
      <c r="D2207" s="221" t="s">
        <v>3894</v>
      </c>
      <c r="E2207" s="221" t="s">
        <v>3295</v>
      </c>
      <c r="F2207" s="221" t="s">
        <v>3299</v>
      </c>
      <c r="G2207" s="222">
        <v>45314</v>
      </c>
      <c r="H2207" s="223">
        <v>0.59652777777777777</v>
      </c>
      <c r="I2207" s="221" t="s">
        <v>4916</v>
      </c>
      <c r="J2207" s="221" t="s">
        <v>3024</v>
      </c>
      <c r="K2207" s="224" t="s">
        <v>3094</v>
      </c>
      <c r="L2207" s="225" t="str">
        <f>VLOOKUP(Logfile_S12[[#This Row],[Material Name]],Sheet2!B:C,2,0)</f>
        <v>GCI1008</v>
      </c>
      <c r="M2207" s="225" t="str">
        <f>_xlfn.XLOOKUP(Logfile_S12[[#This Row],[Material Name]],Sum_WH!E:E,Sum_WH!F:F,"",0)</f>
        <v>Pcs</v>
      </c>
      <c r="N2207" s="221">
        <v>50</v>
      </c>
      <c r="O2207" s="221" t="s">
        <v>828</v>
      </c>
      <c r="P2207" s="221" t="s">
        <v>829</v>
      </c>
      <c r="Q2207" s="221"/>
      <c r="R2207" s="221"/>
      <c r="S2207" s="221"/>
      <c r="T2207" s="221" t="s">
        <v>3339</v>
      </c>
      <c r="U2207" s="221" t="s">
        <v>3228</v>
      </c>
      <c r="V2207" s="221" t="s">
        <v>3340</v>
      </c>
      <c r="W2207" s="221" t="s">
        <v>3245</v>
      </c>
      <c r="X2207" s="221"/>
      <c r="Y2207" s="227"/>
      <c r="Z2207" s="227" t="str">
        <f t="shared" si="79"/>
        <v>Perumahan Pondok Mutiara Malang</v>
      </c>
      <c r="AA2207" s="276" t="e">
        <f>VLOOKUP(Logfile_S12[[#This Row],[DO number]],DO_DB!G:I,3,0)</f>
        <v>#N/A</v>
      </c>
      <c r="AB2207" s="331" t="e">
        <f>EXACT(Logfile_S12[[#This Row],[date pick]],Logfile_S12[[#This Row],[Date]])</f>
        <v>#N/A</v>
      </c>
      <c r="AC22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08" spans="1:29" ht="14.5" hidden="1">
      <c r="A2208" s="220" t="str">
        <f t="shared" si="78"/>
        <v>2204</v>
      </c>
      <c r="B2208" s="221"/>
      <c r="C2208" s="221" t="s">
        <v>48</v>
      </c>
      <c r="D2208" s="221" t="s">
        <v>3901</v>
      </c>
      <c r="E2208" s="221" t="s">
        <v>3295</v>
      </c>
      <c r="F2208" s="221" t="s">
        <v>3299</v>
      </c>
      <c r="G2208" s="222">
        <v>45316</v>
      </c>
      <c r="H2208" s="223">
        <v>15.291666666666666</v>
      </c>
      <c r="I2208" s="221" t="s">
        <v>38</v>
      </c>
      <c r="J2208" s="221" t="s">
        <v>3024</v>
      </c>
      <c r="K2208" s="224" t="s">
        <v>3094</v>
      </c>
      <c r="L2208" s="225" t="str">
        <f>VLOOKUP(Logfile_S12[[#This Row],[Material Name]],Sheet2!B:C,2,0)</f>
        <v>GCI1008</v>
      </c>
      <c r="M2208" s="225" t="str">
        <f>_xlfn.XLOOKUP(Logfile_S12[[#This Row],[Material Name]],Sum_WH!E:E,Sum_WH!F:F,"",0)</f>
        <v>Pcs</v>
      </c>
      <c r="N2208" s="221">
        <v>5</v>
      </c>
      <c r="O2208" s="221" t="s">
        <v>742</v>
      </c>
      <c r="P2208" s="221" t="s">
        <v>743</v>
      </c>
      <c r="Q2208" s="221">
        <v>0</v>
      </c>
      <c r="R2208" s="221">
        <v>0</v>
      </c>
      <c r="S2208" s="221"/>
      <c r="T2208" s="221"/>
      <c r="U2208" s="221"/>
      <c r="V2208" s="221"/>
      <c r="W2208" s="221"/>
      <c r="X2208" s="221"/>
      <c r="Y2208" s="227"/>
      <c r="Z2208" s="227" t="str">
        <f t="shared" si="79"/>
        <v>Baturetno RW 03 Singosari</v>
      </c>
      <c r="AA2208" s="276" t="e">
        <f>VLOOKUP(Logfile_S12[[#This Row],[DO number]],DO_DB!G:I,3,0)</f>
        <v>#N/A</v>
      </c>
      <c r="AB2208" s="331" t="e">
        <f>EXACT(Logfile_S12[[#This Row],[date pick]],Logfile_S12[[#This Row],[Date]])</f>
        <v>#N/A</v>
      </c>
      <c r="AC22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09" spans="1:29" ht="14.5" hidden="1">
      <c r="A2209" s="220" t="str">
        <f t="shared" si="78"/>
        <v>2205</v>
      </c>
      <c r="B2209" s="221"/>
      <c r="C2209" s="221" t="s">
        <v>49</v>
      </c>
      <c r="D2209" s="221" t="s">
        <v>3900</v>
      </c>
      <c r="E2209" s="221" t="s">
        <v>3295</v>
      </c>
      <c r="F2209" s="221" t="s">
        <v>3299</v>
      </c>
      <c r="G2209" s="222">
        <v>45316</v>
      </c>
      <c r="H2209" s="223">
        <v>0.62361111111111112</v>
      </c>
      <c r="I2209" s="221" t="s">
        <v>4916</v>
      </c>
      <c r="J2209" s="221" t="s">
        <v>3024</v>
      </c>
      <c r="K2209" s="224" t="s">
        <v>3094</v>
      </c>
      <c r="L2209" s="225" t="str">
        <f>VLOOKUP(Logfile_S12[[#This Row],[Material Name]],Sheet2!B:C,2,0)</f>
        <v>GCI1008</v>
      </c>
      <c r="M2209" s="225" t="str">
        <f>_xlfn.XLOOKUP(Logfile_S12[[#This Row],[Material Name]],Sum_WH!E:E,Sum_WH!F:F,"",0)</f>
        <v>Pcs</v>
      </c>
      <c r="N2209" s="221">
        <v>2</v>
      </c>
      <c r="O2209" s="221" t="s">
        <v>738</v>
      </c>
      <c r="P2209" s="221" t="s">
        <v>3392</v>
      </c>
      <c r="Q2209" s="221"/>
      <c r="R2209" s="221"/>
      <c r="S2209" s="221"/>
      <c r="T2209" s="221" t="s">
        <v>3258</v>
      </c>
      <c r="U2209" s="221" t="s">
        <v>3228</v>
      </c>
      <c r="V2209" s="221" t="s">
        <v>3337</v>
      </c>
      <c r="W2209" s="221" t="s">
        <v>3338</v>
      </c>
      <c r="X2209" s="221"/>
      <c r="Y2209" s="227"/>
      <c r="Z2209" s="227" t="str">
        <f t="shared" si="79"/>
        <v xml:space="preserve">Baturetno RW 02 Singosari </v>
      </c>
      <c r="AA2209" s="276" t="e">
        <f>VLOOKUP(Logfile_S12[[#This Row],[DO number]],DO_DB!G:I,3,0)</f>
        <v>#N/A</v>
      </c>
      <c r="AB2209" s="331" t="e">
        <f>EXACT(Logfile_S12[[#This Row],[date pick]],Logfile_S12[[#This Row],[Date]])</f>
        <v>#N/A</v>
      </c>
      <c r="AC22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10" spans="1:29" ht="14.5" hidden="1">
      <c r="A2210" s="220" t="str">
        <f t="shared" si="78"/>
        <v>2206</v>
      </c>
      <c r="B2210" s="221"/>
      <c r="C2210" s="221" t="s">
        <v>49</v>
      </c>
      <c r="D2210" s="221" t="s">
        <v>3903</v>
      </c>
      <c r="E2210" s="221" t="s">
        <v>3295</v>
      </c>
      <c r="F2210" s="221" t="s">
        <v>3299</v>
      </c>
      <c r="G2210" s="222">
        <v>45317</v>
      </c>
      <c r="H2210" s="223">
        <v>0.40902777777777777</v>
      </c>
      <c r="I2210" s="221" t="s">
        <v>4916</v>
      </c>
      <c r="J2210" s="221" t="s">
        <v>3024</v>
      </c>
      <c r="K2210" s="224" t="s">
        <v>3094</v>
      </c>
      <c r="L2210" s="225" t="str">
        <f>VLOOKUP(Logfile_S12[[#This Row],[Material Name]],Sheet2!B:C,2,0)</f>
        <v>GCI1008</v>
      </c>
      <c r="M2210" s="225" t="str">
        <f>_xlfn.XLOOKUP(Logfile_S12[[#This Row],[Material Name]],Sum_WH!E:E,Sum_WH!F:F,"",0)</f>
        <v>Pcs</v>
      </c>
      <c r="N2210" s="221">
        <v>32</v>
      </c>
      <c r="O2210" s="221" t="s">
        <v>738</v>
      </c>
      <c r="P2210" s="221" t="s">
        <v>3392</v>
      </c>
      <c r="Q2210" s="221"/>
      <c r="R2210" s="221"/>
      <c r="S2210" s="221"/>
      <c r="T2210" s="221" t="s">
        <v>3258</v>
      </c>
      <c r="U2210" s="221" t="s">
        <v>3228</v>
      </c>
      <c r="V2210" s="221" t="s">
        <v>3337</v>
      </c>
      <c r="W2210" s="221" t="s">
        <v>3338</v>
      </c>
      <c r="X2210" s="221"/>
      <c r="Y2210" s="227"/>
      <c r="Z2210" s="227" t="str">
        <f t="shared" si="79"/>
        <v xml:space="preserve">Baturetno RW 02 Singosari </v>
      </c>
      <c r="AA2210" s="276" t="e">
        <f>VLOOKUP(Logfile_S12[[#This Row],[DO number]],DO_DB!G:I,3,0)</f>
        <v>#N/A</v>
      </c>
      <c r="AB2210" s="331" t="e">
        <f>EXACT(Logfile_S12[[#This Row],[date pick]],Logfile_S12[[#This Row],[Date]])</f>
        <v>#N/A</v>
      </c>
      <c r="AC22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11" spans="1:29" ht="14.5" hidden="1">
      <c r="A2211" s="220" t="str">
        <f t="shared" si="78"/>
        <v>2207</v>
      </c>
      <c r="B2211" s="221"/>
      <c r="C2211" s="221" t="s">
        <v>48</v>
      </c>
      <c r="D2211" s="221" t="s">
        <v>3906</v>
      </c>
      <c r="E2211" s="221" t="s">
        <v>3295</v>
      </c>
      <c r="F2211" s="221" t="s">
        <v>3299</v>
      </c>
      <c r="G2211" s="222">
        <v>45318</v>
      </c>
      <c r="H2211" s="223">
        <v>15.291666666666666</v>
      </c>
      <c r="I2211" s="221" t="s">
        <v>3017</v>
      </c>
      <c r="J2211" s="221" t="s">
        <v>3024</v>
      </c>
      <c r="K2211" s="224" t="s">
        <v>3094</v>
      </c>
      <c r="L2211" s="225" t="str">
        <f>VLOOKUP(Logfile_S12[[#This Row],[Material Name]],Sheet2!B:C,2,0)</f>
        <v>GCI1008</v>
      </c>
      <c r="M2211" s="225" t="str">
        <f>_xlfn.XLOOKUP(Logfile_S12[[#This Row],[Material Name]],Sum_WH!E:E,Sum_WH!F:F,"",0)</f>
        <v>Pcs</v>
      </c>
      <c r="N2211" s="221">
        <v>21</v>
      </c>
      <c r="O2211" s="221" t="s">
        <v>828</v>
      </c>
      <c r="P2211" s="221" t="s">
        <v>829</v>
      </c>
      <c r="Q2211" s="221" t="s">
        <v>3359</v>
      </c>
      <c r="R2211" s="221">
        <v>0</v>
      </c>
      <c r="S2211" s="221"/>
      <c r="T2211" s="221"/>
      <c r="U2211" s="221"/>
      <c r="V2211" s="221"/>
      <c r="W2211" s="221"/>
      <c r="X2211" s="221"/>
      <c r="Y2211" s="227"/>
      <c r="Z2211" s="227" t="str">
        <f t="shared" si="79"/>
        <v>Perumahan Pondok Mutiara Malang</v>
      </c>
      <c r="AA2211" s="276" t="e">
        <f>VLOOKUP(Logfile_S12[[#This Row],[DO number]],DO_DB!G:I,3,0)</f>
        <v>#N/A</v>
      </c>
      <c r="AB2211" s="331" t="e">
        <f>EXACT(Logfile_S12[[#This Row],[date pick]],Logfile_S12[[#This Row],[Date]])</f>
        <v>#N/A</v>
      </c>
      <c r="AC22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12" spans="1:29" ht="14.5" hidden="1">
      <c r="A2212" s="220" t="str">
        <f t="shared" si="78"/>
        <v>2208</v>
      </c>
      <c r="B2212" s="221"/>
      <c r="C2212" s="221" t="s">
        <v>3313</v>
      </c>
      <c r="D2212" s="221" t="s">
        <v>3907</v>
      </c>
      <c r="E2212" s="221" t="s">
        <v>3295</v>
      </c>
      <c r="F2212" s="221" t="s">
        <v>3299</v>
      </c>
      <c r="G2212" s="222">
        <v>45318</v>
      </c>
      <c r="H2212" s="223">
        <v>15.291666666666666</v>
      </c>
      <c r="I2212" s="221" t="s">
        <v>4919</v>
      </c>
      <c r="J2212" s="221" t="s">
        <v>3024</v>
      </c>
      <c r="K2212" s="224" t="s">
        <v>3094</v>
      </c>
      <c r="L2212" s="225" t="str">
        <f>VLOOKUP(Logfile_S12[[#This Row],[Material Name]],Sheet2!B:C,2,0)</f>
        <v>GCI1008</v>
      </c>
      <c r="M2212" s="225" t="str">
        <f>_xlfn.XLOOKUP(Logfile_S12[[#This Row],[Material Name]],Sum_WH!E:E,Sum_WH!F:F,"",0)</f>
        <v>Pcs</v>
      </c>
      <c r="N2212" s="221">
        <v>100</v>
      </c>
      <c r="O2212" s="221" t="s">
        <v>3314</v>
      </c>
      <c r="P2212" s="221" t="s">
        <v>3369</v>
      </c>
      <c r="Q2212" s="221">
        <v>0</v>
      </c>
      <c r="R2212" s="221">
        <v>0</v>
      </c>
      <c r="S2212" s="221"/>
      <c r="T2212" s="221"/>
      <c r="U2212" s="221"/>
      <c r="V2212" s="221"/>
      <c r="W2212" s="221"/>
      <c r="X2212" s="221" t="s">
        <v>3448</v>
      </c>
      <c r="Y2212" s="227"/>
      <c r="Z2212" s="227" t="str">
        <f t="shared" si="79"/>
        <v>JOMBANG</v>
      </c>
      <c r="AA2212" s="276" t="e">
        <f>VLOOKUP(Logfile_S12[[#This Row],[DO number]],DO_DB!G:I,3,0)</f>
        <v>#N/A</v>
      </c>
      <c r="AB2212" s="331" t="e">
        <f>EXACT(Logfile_S12[[#This Row],[date pick]],Logfile_S12[[#This Row],[Date]])</f>
        <v>#N/A</v>
      </c>
      <c r="AC22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13" spans="1:29" ht="14.5" hidden="1">
      <c r="A2213" s="220" t="str">
        <f t="shared" si="78"/>
        <v>2209</v>
      </c>
      <c r="B2213" s="221"/>
      <c r="C2213" s="221" t="s">
        <v>49</v>
      </c>
      <c r="D2213" s="221" t="s">
        <v>3908</v>
      </c>
      <c r="E2213" s="221" t="s">
        <v>3295</v>
      </c>
      <c r="F2213" s="221" t="s">
        <v>3299</v>
      </c>
      <c r="G2213" s="222">
        <v>45319</v>
      </c>
      <c r="H2213" s="223">
        <v>0.62361111111111112</v>
      </c>
      <c r="I2213" s="221" t="s">
        <v>4916</v>
      </c>
      <c r="J2213" s="221" t="s">
        <v>3024</v>
      </c>
      <c r="K2213" s="224" t="s">
        <v>3094</v>
      </c>
      <c r="L2213" s="225" t="str">
        <f>VLOOKUP(Logfile_S12[[#This Row],[Material Name]],Sheet2!B:C,2,0)</f>
        <v>GCI1008</v>
      </c>
      <c r="M2213" s="225" t="str">
        <f>_xlfn.XLOOKUP(Logfile_S12[[#This Row],[Material Name]],Sum_WH!E:E,Sum_WH!F:F,"",0)</f>
        <v>Pcs</v>
      </c>
      <c r="N2213" s="221">
        <v>36</v>
      </c>
      <c r="O2213" s="221" t="s">
        <v>742</v>
      </c>
      <c r="P2213" s="221" t="s">
        <v>743</v>
      </c>
      <c r="Q2213" s="221"/>
      <c r="R2213" s="221"/>
      <c r="S2213" s="221"/>
      <c r="T2213" s="221" t="s">
        <v>3258</v>
      </c>
      <c r="U2213" s="221" t="s">
        <v>3228</v>
      </c>
      <c r="V2213" s="221" t="s">
        <v>3337</v>
      </c>
      <c r="W2213" s="221" t="s">
        <v>3338</v>
      </c>
      <c r="X2213" s="221"/>
      <c r="Y2213" s="227"/>
      <c r="Z2213" s="227" t="str">
        <f t="shared" si="79"/>
        <v>Baturetno RW 03 Singosari</v>
      </c>
      <c r="AA2213" s="276" t="e">
        <f>VLOOKUP(Logfile_S12[[#This Row],[DO number]],DO_DB!G:I,3,0)</f>
        <v>#N/A</v>
      </c>
      <c r="AB2213" s="331" t="e">
        <f>EXACT(Logfile_S12[[#This Row],[date pick]],Logfile_S12[[#This Row],[Date]])</f>
        <v>#N/A</v>
      </c>
      <c r="AC22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14" spans="1:29" ht="14.5" hidden="1">
      <c r="A2214" s="220" t="str">
        <f t="shared" si="78"/>
        <v>2210</v>
      </c>
      <c r="B2214" s="221"/>
      <c r="C2214" s="221" t="s">
        <v>49</v>
      </c>
      <c r="D2214" s="221" t="s">
        <v>3911</v>
      </c>
      <c r="E2214" s="221" t="s">
        <v>3295</v>
      </c>
      <c r="F2214" s="221" t="s">
        <v>3299</v>
      </c>
      <c r="G2214" s="222">
        <v>45324</v>
      </c>
      <c r="H2214" s="223">
        <v>0.63194444444444442</v>
      </c>
      <c r="I2214" s="221" t="s">
        <v>4916</v>
      </c>
      <c r="J2214" s="221" t="s">
        <v>3024</v>
      </c>
      <c r="K2214" s="224" t="s">
        <v>3094</v>
      </c>
      <c r="L2214" s="225" t="str">
        <f>VLOOKUP(Logfile_S12[[#This Row],[Material Name]],Sheet2!B:C,2,0)</f>
        <v>GCI1008</v>
      </c>
      <c r="M2214" s="225" t="str">
        <f>_xlfn.XLOOKUP(Logfile_S12[[#This Row],[Material Name]],Sum_WH!E:E,Sum_WH!F:F,"",0)</f>
        <v>Pcs</v>
      </c>
      <c r="N2214" s="221">
        <v>5</v>
      </c>
      <c r="O2214" s="221" t="s">
        <v>738</v>
      </c>
      <c r="P2214" s="221" t="s">
        <v>3392</v>
      </c>
      <c r="Q2214" s="221"/>
      <c r="R2214" s="221"/>
      <c r="S2214" s="221"/>
      <c r="T2214" s="221" t="s">
        <v>3258</v>
      </c>
      <c r="U2214" s="221" t="s">
        <v>3228</v>
      </c>
      <c r="V2214" s="221" t="s">
        <v>3337</v>
      </c>
      <c r="W2214" s="221" t="s">
        <v>3338</v>
      </c>
      <c r="X2214" s="221"/>
      <c r="Y2214" s="227"/>
      <c r="Z2214" s="227" t="str">
        <f t="shared" si="79"/>
        <v xml:space="preserve">Baturetno RW 02 Singosari </v>
      </c>
      <c r="AA2214" s="276" t="e">
        <f>VLOOKUP(Logfile_S12[[#This Row],[DO number]],DO_DB!G:I,3,0)</f>
        <v>#N/A</v>
      </c>
      <c r="AB2214" s="331" t="e">
        <f>EXACT(Logfile_S12[[#This Row],[date pick]],Logfile_S12[[#This Row],[Date]])</f>
        <v>#N/A</v>
      </c>
      <c r="AC22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15" spans="1:29" ht="14.5" hidden="1">
      <c r="A2215" s="220" t="str">
        <f t="shared" si="78"/>
        <v>2211</v>
      </c>
      <c r="B2215" s="221"/>
      <c r="C2215" s="221" t="s">
        <v>49</v>
      </c>
      <c r="D2215" s="221" t="s">
        <v>3917</v>
      </c>
      <c r="E2215" s="221" t="s">
        <v>3295</v>
      </c>
      <c r="F2215" s="221" t="s">
        <v>3299</v>
      </c>
      <c r="G2215" s="222">
        <v>45331</v>
      </c>
      <c r="H2215" s="223">
        <v>0.42569444444444443</v>
      </c>
      <c r="I2215" s="221" t="s">
        <v>4916</v>
      </c>
      <c r="J2215" s="221" t="s">
        <v>3024</v>
      </c>
      <c r="K2215" s="224" t="s">
        <v>3094</v>
      </c>
      <c r="L2215" s="225" t="str">
        <f>VLOOKUP(Logfile_S12[[#This Row],[Material Name]],Sheet2!B:C,2,0)</f>
        <v>GCI1008</v>
      </c>
      <c r="M2215" s="225" t="str">
        <f>_xlfn.XLOOKUP(Logfile_S12[[#This Row],[Material Name]],Sum_WH!E:E,Sum_WH!F:F,"",0)</f>
        <v>Pcs</v>
      </c>
      <c r="N2215" s="221">
        <v>7</v>
      </c>
      <c r="O2215" s="221" t="s">
        <v>925</v>
      </c>
      <c r="P2215" s="221" t="s">
        <v>926</v>
      </c>
      <c r="Q2215" s="221"/>
      <c r="R2215" s="221"/>
      <c r="S2215" s="221"/>
      <c r="T2215" s="221" t="s">
        <v>3258</v>
      </c>
      <c r="U2215" s="221" t="s">
        <v>3228</v>
      </c>
      <c r="V2215" s="221" t="s">
        <v>3337</v>
      </c>
      <c r="W2215" s="221" t="s">
        <v>3338</v>
      </c>
      <c r="X2215" s="221"/>
      <c r="Y2215" s="227"/>
      <c r="Z2215" s="227" t="str">
        <f t="shared" si="79"/>
        <v>Dengkol RW 02 Singosari Malang</v>
      </c>
      <c r="AA2215" s="276" t="e">
        <f>VLOOKUP(Logfile_S12[[#This Row],[DO number]],DO_DB!G:I,3,0)</f>
        <v>#N/A</v>
      </c>
      <c r="AB2215" s="331" t="e">
        <f>EXACT(Logfile_S12[[#This Row],[date pick]],Logfile_S12[[#This Row],[Date]])</f>
        <v>#N/A</v>
      </c>
      <c r="AC22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16" spans="1:29" ht="14.5" hidden="1">
      <c r="A2216" s="220" t="str">
        <f t="shared" si="78"/>
        <v>2212</v>
      </c>
      <c r="B2216" s="221"/>
      <c r="C2216" s="221" t="s">
        <v>49</v>
      </c>
      <c r="D2216" s="221" t="s">
        <v>3918</v>
      </c>
      <c r="E2216" s="221" t="s">
        <v>3295</v>
      </c>
      <c r="F2216" s="221" t="s">
        <v>3299</v>
      </c>
      <c r="G2216" s="222">
        <v>45331</v>
      </c>
      <c r="H2216" s="223">
        <v>0.63402777777777775</v>
      </c>
      <c r="I2216" s="221" t="s">
        <v>4916</v>
      </c>
      <c r="J2216" s="221" t="s">
        <v>3024</v>
      </c>
      <c r="K2216" s="224" t="s">
        <v>3094</v>
      </c>
      <c r="L2216" s="225" t="str">
        <f>VLOOKUP(Logfile_S12[[#This Row],[Material Name]],Sheet2!B:C,2,0)</f>
        <v>GCI1008</v>
      </c>
      <c r="M2216" s="225" t="str">
        <f>_xlfn.XLOOKUP(Logfile_S12[[#This Row],[Material Name]],Sum_WH!E:E,Sum_WH!F:F,"",0)</f>
        <v>Pcs</v>
      </c>
      <c r="N2216" s="221">
        <v>20</v>
      </c>
      <c r="O2216" s="221" t="s">
        <v>828</v>
      </c>
      <c r="P2216" s="221" t="s">
        <v>829</v>
      </c>
      <c r="Q2216" s="221"/>
      <c r="R2216" s="221"/>
      <c r="S2216" s="221"/>
      <c r="T2216" s="221" t="s">
        <v>3258</v>
      </c>
      <c r="U2216" s="221" t="s">
        <v>3228</v>
      </c>
      <c r="V2216" s="221" t="s">
        <v>3337</v>
      </c>
      <c r="W2216" s="221" t="s">
        <v>3338</v>
      </c>
      <c r="X2216" s="221"/>
      <c r="Y2216" s="227"/>
      <c r="Z2216" s="227" t="str">
        <f t="shared" si="79"/>
        <v>Perumahan Pondok Mutiara Malang</v>
      </c>
      <c r="AA2216" s="276" t="e">
        <f>VLOOKUP(Logfile_S12[[#This Row],[DO number]],DO_DB!G:I,3,0)</f>
        <v>#N/A</v>
      </c>
      <c r="AB2216" s="331" t="e">
        <f>EXACT(Logfile_S12[[#This Row],[date pick]],Logfile_S12[[#This Row],[Date]])</f>
        <v>#N/A</v>
      </c>
      <c r="AC22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17" spans="1:29" ht="14.5" hidden="1">
      <c r="A2217" s="220" t="str">
        <f t="shared" si="78"/>
        <v>2213</v>
      </c>
      <c r="B2217" s="221"/>
      <c r="C2217" s="221" t="s">
        <v>49</v>
      </c>
      <c r="D2217" s="221" t="s">
        <v>3928</v>
      </c>
      <c r="E2217" s="221" t="s">
        <v>3295</v>
      </c>
      <c r="F2217" s="221" t="s">
        <v>3299</v>
      </c>
      <c r="G2217" s="222">
        <v>45341</v>
      </c>
      <c r="H2217" s="223">
        <v>0.45416666666666666</v>
      </c>
      <c r="I2217" s="221" t="s">
        <v>4916</v>
      </c>
      <c r="J2217" s="221" t="s">
        <v>3024</v>
      </c>
      <c r="K2217" s="224" t="s">
        <v>3094</v>
      </c>
      <c r="L2217" s="225" t="str">
        <f>VLOOKUP(Logfile_S12[[#This Row],[Material Name]],Sheet2!B:C,2,0)</f>
        <v>GCI1008</v>
      </c>
      <c r="M2217" s="225" t="str">
        <f>_xlfn.XLOOKUP(Logfile_S12[[#This Row],[Material Name]],Sum_WH!E:E,Sum_WH!F:F,"",0)</f>
        <v>Pcs</v>
      </c>
      <c r="N2217" s="221">
        <v>6</v>
      </c>
      <c r="O2217" s="221" t="s">
        <v>834</v>
      </c>
      <c r="P2217" s="221" t="s">
        <v>3335</v>
      </c>
      <c r="Q2217" s="221"/>
      <c r="R2217" s="221"/>
      <c r="S2217" s="221"/>
      <c r="T2217" s="221" t="s">
        <v>3258</v>
      </c>
      <c r="U2217" s="221" t="s">
        <v>3228</v>
      </c>
      <c r="V2217" s="221" t="s">
        <v>3337</v>
      </c>
      <c r="W2217" s="221" t="s">
        <v>3338</v>
      </c>
      <c r="X2217" s="221"/>
      <c r="Y2217" s="227"/>
      <c r="Z2217" s="227" t="str">
        <f t="shared" si="79"/>
        <v>HUBFEEDER BATURETNO RW 02</v>
      </c>
      <c r="AA2217" s="276" t="e">
        <f>VLOOKUP(Logfile_S12[[#This Row],[DO number]],DO_DB!G:I,3,0)</f>
        <v>#N/A</v>
      </c>
      <c r="AB2217" s="331" t="e">
        <f>EXACT(Logfile_S12[[#This Row],[date pick]],Logfile_S12[[#This Row],[Date]])</f>
        <v>#N/A</v>
      </c>
      <c r="AC22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18" spans="1:29" ht="14.5" hidden="1">
      <c r="A2218" s="220" t="str">
        <f t="shared" si="78"/>
        <v>2214</v>
      </c>
      <c r="B2218" s="221"/>
      <c r="C2218" s="221" t="s">
        <v>49</v>
      </c>
      <c r="D2218" s="221" t="s">
        <v>3938</v>
      </c>
      <c r="E2218" s="221" t="s">
        <v>3295</v>
      </c>
      <c r="F2218" s="221" t="s">
        <v>3299</v>
      </c>
      <c r="G2218" s="222">
        <v>45343</v>
      </c>
      <c r="H2218" s="223">
        <v>0.78888888888888886</v>
      </c>
      <c r="I2218" s="221" t="s">
        <v>4916</v>
      </c>
      <c r="J2218" s="221" t="s">
        <v>3024</v>
      </c>
      <c r="K2218" s="224" t="s">
        <v>3094</v>
      </c>
      <c r="L2218" s="225" t="str">
        <f>VLOOKUP(Logfile_S12[[#This Row],[Material Name]],Sheet2!B:C,2,0)</f>
        <v>GCI1008</v>
      </c>
      <c r="M2218" s="225" t="str">
        <f>_xlfn.XLOOKUP(Logfile_S12[[#This Row],[Material Name]],Sum_WH!E:E,Sum_WH!F:F,"",0)</f>
        <v>Pcs</v>
      </c>
      <c r="N2218" s="221">
        <v>39</v>
      </c>
      <c r="O2218" s="221" t="s">
        <v>838</v>
      </c>
      <c r="P2218" s="221" t="s">
        <v>3361</v>
      </c>
      <c r="Q2218" s="221"/>
      <c r="R2218" s="221"/>
      <c r="S2218" s="221"/>
      <c r="T2218" s="221" t="s">
        <v>3258</v>
      </c>
      <c r="U2218" s="221" t="s">
        <v>3228</v>
      </c>
      <c r="V2218" s="221" t="s">
        <v>3337</v>
      </c>
      <c r="W2218" s="221" t="s">
        <v>3338</v>
      </c>
      <c r="X2218" s="221"/>
      <c r="Y2218" s="227"/>
      <c r="Z2218" s="227" t="str">
        <f t="shared" si="79"/>
        <v>TAMANHARJO RW 04 SINGOSARI</v>
      </c>
      <c r="AA2218" s="276" t="e">
        <f>VLOOKUP(Logfile_S12[[#This Row],[DO number]],DO_DB!G:I,3,0)</f>
        <v>#N/A</v>
      </c>
      <c r="AB2218" s="331" t="e">
        <f>EXACT(Logfile_S12[[#This Row],[date pick]],Logfile_S12[[#This Row],[Date]])</f>
        <v>#N/A</v>
      </c>
      <c r="AC22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19" spans="1:29" ht="14.5" hidden="1">
      <c r="A2219" s="220" t="str">
        <f t="shared" si="78"/>
        <v>2215</v>
      </c>
      <c r="B2219" s="221"/>
      <c r="C2219" s="221" t="s">
        <v>48</v>
      </c>
      <c r="D2219" s="221" t="s">
        <v>3941</v>
      </c>
      <c r="E2219" s="221" t="s">
        <v>3295</v>
      </c>
      <c r="F2219" s="221" t="s">
        <v>3299</v>
      </c>
      <c r="G2219" s="222">
        <v>45344</v>
      </c>
      <c r="H2219" s="223">
        <v>15.291666666666666</v>
      </c>
      <c r="I2219" s="221" t="s">
        <v>38</v>
      </c>
      <c r="J2219" s="221" t="s">
        <v>3024</v>
      </c>
      <c r="K2219" s="224" t="s">
        <v>3094</v>
      </c>
      <c r="L2219" s="225" t="str">
        <f>VLOOKUP(Logfile_S12[[#This Row],[Material Name]],Sheet2!B:C,2,0)</f>
        <v>GCI1008</v>
      </c>
      <c r="M2219" s="225" t="str">
        <f>_xlfn.XLOOKUP(Logfile_S12[[#This Row],[Material Name]],Sum_WH!E:E,Sum_WH!F:F,"",0)</f>
        <v>Pcs</v>
      </c>
      <c r="N2219" s="221">
        <v>43</v>
      </c>
      <c r="O2219" s="221" t="s">
        <v>921</v>
      </c>
      <c r="P2219" s="221" t="s">
        <v>922</v>
      </c>
      <c r="Q2219" s="221">
        <v>0</v>
      </c>
      <c r="R2219" s="221">
        <v>0</v>
      </c>
      <c r="S2219" s="221"/>
      <c r="T2219" s="221"/>
      <c r="U2219" s="221"/>
      <c r="V2219" s="221"/>
      <c r="W2219" s="221"/>
      <c r="X2219" s="221" t="s">
        <v>3360</v>
      </c>
      <c r="Y2219" s="227"/>
      <c r="Z2219" s="227" t="str">
        <f t="shared" si="79"/>
        <v>Bumiayu RW 03 Kedungkandang</v>
      </c>
      <c r="AA2219" s="276" t="e">
        <f>VLOOKUP(Logfile_S12[[#This Row],[DO number]],DO_DB!G:I,3,0)</f>
        <v>#N/A</v>
      </c>
      <c r="AB2219" s="331" t="e">
        <f>EXACT(Logfile_S12[[#This Row],[date pick]],Logfile_S12[[#This Row],[Date]])</f>
        <v>#N/A</v>
      </c>
      <c r="AC22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20" spans="1:29" ht="14.5" hidden="1">
      <c r="A2220" s="220" t="str">
        <f t="shared" si="78"/>
        <v>2216</v>
      </c>
      <c r="B2220" s="221"/>
      <c r="C2220" s="221" t="s">
        <v>49</v>
      </c>
      <c r="D2220" s="221" t="s">
        <v>3940</v>
      </c>
      <c r="E2220" s="221" t="s">
        <v>3295</v>
      </c>
      <c r="F2220" s="221" t="s">
        <v>3299</v>
      </c>
      <c r="G2220" s="222">
        <v>45344</v>
      </c>
      <c r="H2220" s="223">
        <v>0.63541666666666663</v>
      </c>
      <c r="I2220" s="221" t="s">
        <v>4916</v>
      </c>
      <c r="J2220" s="221" t="s">
        <v>3024</v>
      </c>
      <c r="K2220" s="224" t="s">
        <v>3094</v>
      </c>
      <c r="L2220" s="225" t="str">
        <f>VLOOKUP(Logfile_S12[[#This Row],[Material Name]],Sheet2!B:C,2,0)</f>
        <v>GCI1008</v>
      </c>
      <c r="M2220" s="225" t="str">
        <f>_xlfn.XLOOKUP(Logfile_S12[[#This Row],[Material Name]],Sum_WH!E:E,Sum_WH!F:F,"",0)</f>
        <v>Pcs</v>
      </c>
      <c r="N2220" s="221">
        <v>33</v>
      </c>
      <c r="O2220" s="221" t="s">
        <v>838</v>
      </c>
      <c r="P2220" s="221" t="s">
        <v>3361</v>
      </c>
      <c r="Q2220" s="221"/>
      <c r="R2220" s="221"/>
      <c r="S2220" s="221"/>
      <c r="T2220" s="221" t="s">
        <v>3258</v>
      </c>
      <c r="U2220" s="221" t="s">
        <v>3228</v>
      </c>
      <c r="V2220" s="221" t="s">
        <v>3337</v>
      </c>
      <c r="W2220" s="221" t="s">
        <v>3338</v>
      </c>
      <c r="X2220" s="221"/>
      <c r="Y2220" s="227"/>
      <c r="Z2220" s="227" t="str">
        <f t="shared" si="79"/>
        <v>TAMANHARJO RW 04 SINGOSARI</v>
      </c>
      <c r="AA2220" s="276" t="e">
        <f>VLOOKUP(Logfile_S12[[#This Row],[DO number]],DO_DB!G:I,3,0)</f>
        <v>#N/A</v>
      </c>
      <c r="AB2220" s="331" t="e">
        <f>EXACT(Logfile_S12[[#This Row],[date pick]],Logfile_S12[[#This Row],[Date]])</f>
        <v>#N/A</v>
      </c>
      <c r="AC22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21" spans="1:29" ht="14.5" hidden="1">
      <c r="A2221" s="220" t="str">
        <f t="shared" si="78"/>
        <v>2217</v>
      </c>
      <c r="B2221" s="221"/>
      <c r="C2221" s="221" t="s">
        <v>48</v>
      </c>
      <c r="D2221" s="221" t="s">
        <v>3953</v>
      </c>
      <c r="E2221" s="221" t="s">
        <v>3295</v>
      </c>
      <c r="F2221" s="221" t="s">
        <v>3299</v>
      </c>
      <c r="G2221" s="222">
        <v>45349</v>
      </c>
      <c r="H2221" s="223">
        <v>15.291666666666666</v>
      </c>
      <c r="I2221" s="221" t="s">
        <v>38</v>
      </c>
      <c r="J2221" s="221" t="s">
        <v>3024</v>
      </c>
      <c r="K2221" s="224" t="s">
        <v>3094</v>
      </c>
      <c r="L2221" s="225" t="str">
        <f>VLOOKUP(Logfile_S12[[#This Row],[Material Name]],Sheet2!B:C,2,0)</f>
        <v>GCI1008</v>
      </c>
      <c r="M2221" s="225" t="str">
        <f>_xlfn.XLOOKUP(Logfile_S12[[#This Row],[Material Name]],Sum_WH!E:E,Sum_WH!F:F,"",0)</f>
        <v>Pcs</v>
      </c>
      <c r="N2221" s="221">
        <v>183</v>
      </c>
      <c r="O2221" s="221">
        <v>0</v>
      </c>
      <c r="P2221" s="221" t="s">
        <v>3362</v>
      </c>
      <c r="Q2221" s="221">
        <v>0</v>
      </c>
      <c r="R2221" s="221">
        <v>0</v>
      </c>
      <c r="S2221" s="221"/>
      <c r="T2221" s="221"/>
      <c r="U2221" s="221"/>
      <c r="V2221" s="221"/>
      <c r="W2221" s="221"/>
      <c r="X2221" s="221"/>
      <c r="Y2221" s="227"/>
      <c r="Z2221" s="227" t="str">
        <f t="shared" si="79"/>
        <v xml:space="preserve">UD RIZQI JAYA PRATAMA </v>
      </c>
      <c r="AA2221" s="276" t="e">
        <f>VLOOKUP(Logfile_S12[[#This Row],[DO number]],DO_DB!G:I,3,0)</f>
        <v>#N/A</v>
      </c>
      <c r="AB2221" s="331" t="e">
        <f>EXACT(Logfile_S12[[#This Row],[date pick]],Logfile_S12[[#This Row],[Date]])</f>
        <v>#N/A</v>
      </c>
      <c r="AC22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22" spans="1:29" ht="14.5" hidden="1">
      <c r="A2222" s="220" t="str">
        <f t="shared" si="78"/>
        <v>2218</v>
      </c>
      <c r="B2222" s="221"/>
      <c r="C2222" s="221" t="s">
        <v>49</v>
      </c>
      <c r="D2222" s="221" t="s">
        <v>3957</v>
      </c>
      <c r="E2222" s="221" t="s">
        <v>3295</v>
      </c>
      <c r="F2222" s="221" t="s">
        <v>3299</v>
      </c>
      <c r="G2222" s="222">
        <v>45350</v>
      </c>
      <c r="H2222" s="223">
        <v>0.4861111111111111</v>
      </c>
      <c r="I2222" s="221" t="s">
        <v>4916</v>
      </c>
      <c r="J2222" s="221" t="s">
        <v>3024</v>
      </c>
      <c r="K2222" s="224" t="s">
        <v>3094</v>
      </c>
      <c r="L2222" s="225" t="str">
        <f>VLOOKUP(Logfile_S12[[#This Row],[Material Name]],Sheet2!B:C,2,0)</f>
        <v>GCI1008</v>
      </c>
      <c r="M2222" s="225" t="str">
        <f>_xlfn.XLOOKUP(Logfile_S12[[#This Row],[Material Name]],Sum_WH!E:E,Sum_WH!F:F,"",0)</f>
        <v>Pcs</v>
      </c>
      <c r="N2222" s="221">
        <v>9</v>
      </c>
      <c r="O2222" s="221" t="s">
        <v>1013</v>
      </c>
      <c r="P2222" s="221" t="s">
        <v>1014</v>
      </c>
      <c r="Q2222" s="221"/>
      <c r="R2222" s="221"/>
      <c r="S2222" s="221"/>
      <c r="T2222" s="221" t="s">
        <v>3258</v>
      </c>
      <c r="U2222" s="221" t="s">
        <v>3228</v>
      </c>
      <c r="V2222" s="221" t="s">
        <v>3337</v>
      </c>
      <c r="W2222" s="221" t="s">
        <v>3338</v>
      </c>
      <c r="X2222" s="221"/>
      <c r="Y2222" s="227"/>
      <c r="Z2222" s="227" t="str">
        <f t="shared" si="79"/>
        <v>Bumiayu RW 05 Kedungkandang</v>
      </c>
      <c r="AA2222" s="276" t="e">
        <f>VLOOKUP(Logfile_S12[[#This Row],[DO number]],DO_DB!G:I,3,0)</f>
        <v>#N/A</v>
      </c>
      <c r="AB2222" s="331" t="e">
        <f>EXACT(Logfile_S12[[#This Row],[date pick]],Logfile_S12[[#This Row],[Date]])</f>
        <v>#N/A</v>
      </c>
      <c r="AC22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23" spans="1:29" ht="14.5" hidden="1">
      <c r="A2223" s="220" t="str">
        <f t="shared" si="78"/>
        <v>2219</v>
      </c>
      <c r="B2223" s="221"/>
      <c r="C2223" s="221" t="s">
        <v>49</v>
      </c>
      <c r="D2223" s="221" t="s">
        <v>3954</v>
      </c>
      <c r="E2223" s="221" t="s">
        <v>3295</v>
      </c>
      <c r="F2223" s="221" t="s">
        <v>3299</v>
      </c>
      <c r="G2223" s="222">
        <v>45350</v>
      </c>
      <c r="H2223" s="223">
        <v>0.3833333333333333</v>
      </c>
      <c r="I2223" s="221" t="s">
        <v>4916</v>
      </c>
      <c r="J2223" s="221" t="s">
        <v>3024</v>
      </c>
      <c r="K2223" s="224" t="s">
        <v>3094</v>
      </c>
      <c r="L2223" s="225" t="str">
        <f>VLOOKUP(Logfile_S12[[#This Row],[Material Name]],Sheet2!B:C,2,0)</f>
        <v>GCI1008</v>
      </c>
      <c r="M2223" s="225" t="str">
        <f>_xlfn.XLOOKUP(Logfile_S12[[#This Row],[Material Name]],Sum_WH!E:E,Sum_WH!F:F,"",0)</f>
        <v>Pcs</v>
      </c>
      <c r="N2223" s="221">
        <v>150</v>
      </c>
      <c r="O2223" s="221" t="s">
        <v>921</v>
      </c>
      <c r="P2223" s="221" t="s">
        <v>922</v>
      </c>
      <c r="Q2223" s="221"/>
      <c r="R2223" s="221"/>
      <c r="S2223" s="221"/>
      <c r="T2223" s="221" t="s">
        <v>3363</v>
      </c>
      <c r="U2223" s="221" t="s">
        <v>3228</v>
      </c>
      <c r="V2223" s="221" t="s">
        <v>3364</v>
      </c>
      <c r="W2223" s="221" t="s">
        <v>3365</v>
      </c>
      <c r="X2223" s="221"/>
      <c r="Y2223" s="227"/>
      <c r="Z2223" s="227" t="str">
        <f t="shared" si="79"/>
        <v>Bumiayu RW 03 Kedungkandang</v>
      </c>
      <c r="AA2223" s="276" t="e">
        <f>VLOOKUP(Logfile_S12[[#This Row],[DO number]],DO_DB!G:I,3,0)</f>
        <v>#N/A</v>
      </c>
      <c r="AB2223" s="331" t="e">
        <f>EXACT(Logfile_S12[[#This Row],[date pick]],Logfile_S12[[#This Row],[Date]])</f>
        <v>#N/A</v>
      </c>
      <c r="AC22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24" spans="1:29" ht="14.5" hidden="1">
      <c r="A2224" s="220" t="str">
        <f t="shared" si="78"/>
        <v>2220</v>
      </c>
      <c r="B2224" s="221"/>
      <c r="C2224" s="221" t="s">
        <v>49</v>
      </c>
      <c r="D2224" s="221" t="s">
        <v>3963</v>
      </c>
      <c r="E2224" s="221" t="s">
        <v>3295</v>
      </c>
      <c r="F2224" s="221" t="s">
        <v>3299</v>
      </c>
      <c r="G2224" s="222">
        <v>45352</v>
      </c>
      <c r="H2224" s="223">
        <v>0.39097222222222222</v>
      </c>
      <c r="I2224" s="221" t="s">
        <v>4916</v>
      </c>
      <c r="J2224" s="221" t="s">
        <v>3024</v>
      </c>
      <c r="K2224" s="224" t="s">
        <v>3094</v>
      </c>
      <c r="L2224" s="225" t="str">
        <f>VLOOKUP(Logfile_S12[[#This Row],[Material Name]],Sheet2!B:C,2,0)</f>
        <v>GCI1008</v>
      </c>
      <c r="M2224" s="225" t="str">
        <f>_xlfn.XLOOKUP(Logfile_S12[[#This Row],[Material Name]],Sum_WH!E:E,Sum_WH!F:F,"",0)</f>
        <v>Pcs</v>
      </c>
      <c r="N2224" s="221">
        <v>10</v>
      </c>
      <c r="O2224" s="221" t="s">
        <v>1013</v>
      </c>
      <c r="P2224" s="221" t="s">
        <v>1014</v>
      </c>
      <c r="Q2224" s="221"/>
      <c r="R2224" s="221"/>
      <c r="S2224" s="221"/>
      <c r="T2224" s="221" t="s">
        <v>3258</v>
      </c>
      <c r="U2224" s="221" t="s">
        <v>3228</v>
      </c>
      <c r="V2224" s="221" t="s">
        <v>3337</v>
      </c>
      <c r="W2224" s="221" t="s">
        <v>3338</v>
      </c>
      <c r="X2224" s="221"/>
      <c r="Y2224" s="227"/>
      <c r="Z2224" s="227" t="str">
        <f t="shared" si="79"/>
        <v>Bumiayu RW 05 Kedungkandang</v>
      </c>
      <c r="AA2224" s="276" t="e">
        <f>VLOOKUP(Logfile_S12[[#This Row],[DO number]],DO_DB!G:I,3,0)</f>
        <v>#N/A</v>
      </c>
      <c r="AB2224" s="331" t="e">
        <f>EXACT(Logfile_S12[[#This Row],[date pick]],Logfile_S12[[#This Row],[Date]])</f>
        <v>#N/A</v>
      </c>
      <c r="AC22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25" spans="1:29" ht="14.5" hidden="1">
      <c r="A2225" s="220" t="str">
        <f t="shared" si="78"/>
        <v>2221</v>
      </c>
      <c r="B2225" s="221"/>
      <c r="C2225" s="221" t="s">
        <v>49</v>
      </c>
      <c r="D2225" s="221" t="s">
        <v>3964</v>
      </c>
      <c r="E2225" s="221" t="s">
        <v>3295</v>
      </c>
      <c r="F2225" s="221" t="s">
        <v>3299</v>
      </c>
      <c r="G2225" s="222">
        <v>45352</v>
      </c>
      <c r="H2225" s="223">
        <v>0.42499999999999999</v>
      </c>
      <c r="I2225" s="221" t="s">
        <v>4916</v>
      </c>
      <c r="J2225" s="221" t="s">
        <v>3024</v>
      </c>
      <c r="K2225" s="224" t="s">
        <v>3094</v>
      </c>
      <c r="L2225" s="225" t="str">
        <f>VLOOKUP(Logfile_S12[[#This Row],[Material Name]],Sheet2!B:C,2,0)</f>
        <v>GCI1008</v>
      </c>
      <c r="M2225" s="225" t="str">
        <f>_xlfn.XLOOKUP(Logfile_S12[[#This Row],[Material Name]],Sum_WH!E:E,Sum_WH!F:F,"",0)</f>
        <v>Pcs</v>
      </c>
      <c r="N2225" s="221">
        <v>25</v>
      </c>
      <c r="O2225" s="221" t="s">
        <v>1013</v>
      </c>
      <c r="P2225" s="221" t="s">
        <v>1014</v>
      </c>
      <c r="Q2225" s="221"/>
      <c r="R2225" s="221"/>
      <c r="S2225" s="221"/>
      <c r="T2225" s="221" t="s">
        <v>3258</v>
      </c>
      <c r="U2225" s="221" t="s">
        <v>3228</v>
      </c>
      <c r="V2225" s="221" t="s">
        <v>3337</v>
      </c>
      <c r="W2225" s="221" t="s">
        <v>3338</v>
      </c>
      <c r="X2225" s="221"/>
      <c r="Y2225" s="227"/>
      <c r="Z2225" s="227" t="str">
        <f t="shared" si="79"/>
        <v>Bumiayu RW 05 Kedungkandang</v>
      </c>
      <c r="AA2225" s="276" t="e">
        <f>VLOOKUP(Logfile_S12[[#This Row],[DO number]],DO_DB!G:I,3,0)</f>
        <v>#N/A</v>
      </c>
      <c r="AB2225" s="331" t="e">
        <f>EXACT(Logfile_S12[[#This Row],[date pick]],Logfile_S12[[#This Row],[Date]])</f>
        <v>#N/A</v>
      </c>
      <c r="AC22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26" spans="1:29" ht="14.5" hidden="1">
      <c r="A2226" s="220" t="str">
        <f t="shared" si="78"/>
        <v>2222</v>
      </c>
      <c r="B2226" s="221"/>
      <c r="C2226" s="221" t="s">
        <v>49</v>
      </c>
      <c r="D2226" s="221" t="s">
        <v>3967</v>
      </c>
      <c r="E2226" s="221" t="s">
        <v>3295</v>
      </c>
      <c r="F2226" s="221" t="s">
        <v>3299</v>
      </c>
      <c r="G2226" s="222">
        <v>45353</v>
      </c>
      <c r="H2226" s="223">
        <v>0.42499999999999999</v>
      </c>
      <c r="I2226" s="221" t="s">
        <v>4916</v>
      </c>
      <c r="J2226" s="221" t="s">
        <v>3024</v>
      </c>
      <c r="K2226" s="224" t="s">
        <v>3094</v>
      </c>
      <c r="L2226" s="225" t="str">
        <f>VLOOKUP(Logfile_S12[[#This Row],[Material Name]],Sheet2!B:C,2,0)</f>
        <v>GCI1008</v>
      </c>
      <c r="M2226" s="225" t="str">
        <f>_xlfn.XLOOKUP(Logfile_S12[[#This Row],[Material Name]],Sum_WH!E:E,Sum_WH!F:F,"",0)</f>
        <v>Pcs</v>
      </c>
      <c r="N2226" s="221">
        <v>25</v>
      </c>
      <c r="O2226" s="221" t="s">
        <v>1013</v>
      </c>
      <c r="P2226" s="221" t="s">
        <v>1014</v>
      </c>
      <c r="Q2226" s="221"/>
      <c r="R2226" s="221"/>
      <c r="S2226" s="221"/>
      <c r="T2226" s="221" t="s">
        <v>3258</v>
      </c>
      <c r="U2226" s="221" t="s">
        <v>3228</v>
      </c>
      <c r="V2226" s="221" t="s">
        <v>3337</v>
      </c>
      <c r="W2226" s="221" t="s">
        <v>3338</v>
      </c>
      <c r="X2226" s="221"/>
      <c r="Y2226" s="227"/>
      <c r="Z2226" s="227" t="str">
        <f t="shared" si="79"/>
        <v>Bumiayu RW 05 Kedungkandang</v>
      </c>
      <c r="AA2226" s="276" t="e">
        <f>VLOOKUP(Logfile_S12[[#This Row],[DO number]],DO_DB!G:I,3,0)</f>
        <v>#N/A</v>
      </c>
      <c r="AB2226" s="331" t="e">
        <f>EXACT(Logfile_S12[[#This Row],[date pick]],Logfile_S12[[#This Row],[Date]])</f>
        <v>#N/A</v>
      </c>
      <c r="AC22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27" spans="1:29" ht="14.5" hidden="1">
      <c r="A2227" s="220" t="str">
        <f t="shared" si="78"/>
        <v>2223</v>
      </c>
      <c r="B2227" s="221"/>
      <c r="C2227" s="221" t="s">
        <v>49</v>
      </c>
      <c r="D2227" s="221" t="s">
        <v>3973</v>
      </c>
      <c r="E2227" s="221" t="s">
        <v>3295</v>
      </c>
      <c r="F2227" s="221" t="s">
        <v>3299</v>
      </c>
      <c r="G2227" s="222">
        <v>45357</v>
      </c>
      <c r="H2227" s="223">
        <v>0.39166666666666666</v>
      </c>
      <c r="I2227" s="221" t="s">
        <v>4916</v>
      </c>
      <c r="J2227" s="221" t="s">
        <v>3024</v>
      </c>
      <c r="K2227" s="224" t="s">
        <v>3094</v>
      </c>
      <c r="L2227" s="225" t="str">
        <f>VLOOKUP(Logfile_S12[[#This Row],[Material Name]],Sheet2!B:C,2,0)</f>
        <v>GCI1008</v>
      </c>
      <c r="M2227" s="225" t="str">
        <f>_xlfn.XLOOKUP(Logfile_S12[[#This Row],[Material Name]],Sum_WH!E:E,Sum_WH!F:F,"",0)</f>
        <v>Pcs</v>
      </c>
      <c r="N2227" s="221">
        <v>5</v>
      </c>
      <c r="O2227" s="221" t="s">
        <v>828</v>
      </c>
      <c r="P2227" s="221" t="s">
        <v>829</v>
      </c>
      <c r="Q2227" s="221"/>
      <c r="R2227" s="221"/>
      <c r="S2227" s="221"/>
      <c r="T2227" s="221" t="s">
        <v>3258</v>
      </c>
      <c r="U2227" s="221" t="s">
        <v>3228</v>
      </c>
      <c r="V2227" s="221" t="s">
        <v>3337</v>
      </c>
      <c r="W2227" s="221" t="s">
        <v>3338</v>
      </c>
      <c r="X2227" s="221"/>
      <c r="Y2227" s="227"/>
      <c r="Z2227" s="227" t="str">
        <f t="shared" si="79"/>
        <v>Perumahan Pondok Mutiara Malang</v>
      </c>
      <c r="AA2227" s="276" t="e">
        <f>VLOOKUP(Logfile_S12[[#This Row],[DO number]],DO_DB!G:I,3,0)</f>
        <v>#N/A</v>
      </c>
      <c r="AB2227" s="331" t="e">
        <f>EXACT(Logfile_S12[[#This Row],[date pick]],Logfile_S12[[#This Row],[Date]])</f>
        <v>#N/A</v>
      </c>
      <c r="AC22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28" spans="1:29" ht="14.5" hidden="1">
      <c r="A2228" s="220" t="str">
        <f t="shared" si="78"/>
        <v>2224</v>
      </c>
      <c r="B2228" s="221"/>
      <c r="C2228" s="221" t="s">
        <v>49</v>
      </c>
      <c r="D2228" s="221" t="s">
        <v>3978</v>
      </c>
      <c r="E2228" s="221" t="s">
        <v>3295</v>
      </c>
      <c r="F2228" s="221" t="s">
        <v>3299</v>
      </c>
      <c r="G2228" s="222">
        <v>45366</v>
      </c>
      <c r="H2228" s="223">
        <v>0.71666666666666667</v>
      </c>
      <c r="I2228" s="221" t="s">
        <v>4916</v>
      </c>
      <c r="J2228" s="221" t="s">
        <v>3024</v>
      </c>
      <c r="K2228" s="224" t="s">
        <v>3094</v>
      </c>
      <c r="L2228" s="225" t="str">
        <f>VLOOKUP(Logfile_S12[[#This Row],[Material Name]],Sheet2!B:C,2,0)</f>
        <v>GCI1008</v>
      </c>
      <c r="M2228" s="225" t="str">
        <f>_xlfn.XLOOKUP(Logfile_S12[[#This Row],[Material Name]],Sum_WH!E:E,Sum_WH!F:F,"",0)</f>
        <v>Pcs</v>
      </c>
      <c r="N2228" s="221">
        <v>40</v>
      </c>
      <c r="O2228" s="221" t="s">
        <v>1087</v>
      </c>
      <c r="P2228" s="221" t="s">
        <v>1088</v>
      </c>
      <c r="Q2228" s="221"/>
      <c r="R2228" s="221"/>
      <c r="S2228" s="221"/>
      <c r="T2228" s="221" t="s">
        <v>3258</v>
      </c>
      <c r="U2228" s="221" t="s">
        <v>3228</v>
      </c>
      <c r="V2228" s="221" t="s">
        <v>3337</v>
      </c>
      <c r="W2228" s="221" t="s">
        <v>3338</v>
      </c>
      <c r="X2228" s="221"/>
      <c r="Y2228" s="227"/>
      <c r="Z2228" s="227" t="str">
        <f t="shared" si="79"/>
        <v>Dalisodo RW 01 Wagir</v>
      </c>
      <c r="AA2228" s="276" t="e">
        <f>VLOOKUP(Logfile_S12[[#This Row],[DO number]],DO_DB!G:I,3,0)</f>
        <v>#N/A</v>
      </c>
      <c r="AB2228" s="331" t="e">
        <f>EXACT(Logfile_S12[[#This Row],[date pick]],Logfile_S12[[#This Row],[Date]])</f>
        <v>#N/A</v>
      </c>
      <c r="AC22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29" spans="1:29" ht="14.5" hidden="1">
      <c r="A2229" s="220" t="str">
        <f t="shared" si="78"/>
        <v>2225</v>
      </c>
      <c r="B2229" s="221"/>
      <c r="C2229" s="221" t="s">
        <v>48</v>
      </c>
      <c r="D2229" s="221" t="s">
        <v>3985</v>
      </c>
      <c r="E2229" s="221" t="s">
        <v>3295</v>
      </c>
      <c r="F2229" s="221" t="s">
        <v>3299</v>
      </c>
      <c r="G2229" s="222">
        <v>45373</v>
      </c>
      <c r="H2229" s="223">
        <v>15.291666666666666</v>
      </c>
      <c r="I2229" s="221" t="s">
        <v>38</v>
      </c>
      <c r="J2229" s="221" t="s">
        <v>3024</v>
      </c>
      <c r="K2229" s="224" t="s">
        <v>3094</v>
      </c>
      <c r="L2229" s="225" t="str">
        <f>VLOOKUP(Logfile_S12[[#This Row],[Material Name]],Sheet2!B:C,2,0)</f>
        <v>GCI1008</v>
      </c>
      <c r="M2229" s="225" t="str">
        <f>_xlfn.XLOOKUP(Logfile_S12[[#This Row],[Material Name]],Sum_WH!E:E,Sum_WH!F:F,"",0)</f>
        <v>Pcs</v>
      </c>
      <c r="N2229" s="221">
        <v>248</v>
      </c>
      <c r="O2229" s="221">
        <v>0</v>
      </c>
      <c r="P2229" s="221" t="s">
        <v>3366</v>
      </c>
      <c r="Q2229" s="221">
        <v>0</v>
      </c>
      <c r="R2229" s="221">
        <v>0</v>
      </c>
      <c r="S2229" s="221"/>
      <c r="T2229" s="221"/>
      <c r="U2229" s="221"/>
      <c r="V2229" s="221"/>
      <c r="W2229" s="221"/>
      <c r="X2229" s="221"/>
      <c r="Y2229" s="227"/>
      <c r="Z2229" s="227" t="str">
        <f t="shared" si="79"/>
        <v>UD HALIM</v>
      </c>
      <c r="AA2229" s="276" t="e">
        <f>VLOOKUP(Logfile_S12[[#This Row],[DO number]],DO_DB!G:I,3,0)</f>
        <v>#N/A</v>
      </c>
      <c r="AB2229" s="331" t="e">
        <f>EXACT(Logfile_S12[[#This Row],[date pick]],Logfile_S12[[#This Row],[Date]])</f>
        <v>#N/A</v>
      </c>
      <c r="AC22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30" spans="1:29" ht="14.5" hidden="1">
      <c r="A2230" s="220" t="str">
        <f t="shared" si="78"/>
        <v>2226</v>
      </c>
      <c r="B2230" s="221"/>
      <c r="C2230" s="221" t="s">
        <v>49</v>
      </c>
      <c r="D2230" s="221" t="s">
        <v>3988</v>
      </c>
      <c r="E2230" s="221" t="s">
        <v>3295</v>
      </c>
      <c r="F2230" s="221" t="s">
        <v>3299</v>
      </c>
      <c r="G2230" s="222">
        <v>45374</v>
      </c>
      <c r="H2230" s="223">
        <v>0.76666666666666661</v>
      </c>
      <c r="I2230" s="221" t="s">
        <v>4916</v>
      </c>
      <c r="J2230" s="221" t="s">
        <v>3024</v>
      </c>
      <c r="K2230" s="224" t="s">
        <v>3094</v>
      </c>
      <c r="L2230" s="225" t="str">
        <f>VLOOKUP(Logfile_S12[[#This Row],[Material Name]],Sheet2!B:C,2,0)</f>
        <v>GCI1008</v>
      </c>
      <c r="M2230" s="225" t="str">
        <f>_xlfn.XLOOKUP(Logfile_S12[[#This Row],[Material Name]],Sum_WH!E:E,Sum_WH!F:F,"",0)</f>
        <v>Pcs</v>
      </c>
      <c r="N2230" s="221">
        <v>100</v>
      </c>
      <c r="O2230" s="221" t="s">
        <v>1087</v>
      </c>
      <c r="P2230" s="221" t="s">
        <v>1088</v>
      </c>
      <c r="Q2230" s="221"/>
      <c r="R2230" s="221"/>
      <c r="S2230" s="221"/>
      <c r="T2230" s="221" t="s">
        <v>3258</v>
      </c>
      <c r="U2230" s="221" t="s">
        <v>3228</v>
      </c>
      <c r="V2230" s="221" t="s">
        <v>3337</v>
      </c>
      <c r="W2230" s="221" t="s">
        <v>3338</v>
      </c>
      <c r="X2230" s="221"/>
      <c r="Y2230" s="227"/>
      <c r="Z2230" s="227" t="str">
        <f t="shared" si="79"/>
        <v>Dalisodo RW 01 Wagir</v>
      </c>
      <c r="AA2230" s="276" t="e">
        <f>VLOOKUP(Logfile_S12[[#This Row],[DO number]],DO_DB!G:I,3,0)</f>
        <v>#N/A</v>
      </c>
      <c r="AB2230" s="331" t="e">
        <f>EXACT(Logfile_S12[[#This Row],[date pick]],Logfile_S12[[#This Row],[Date]])</f>
        <v>#N/A</v>
      </c>
      <c r="AC22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31" spans="1:29" ht="14.5" hidden="1">
      <c r="A2231" s="220" t="str">
        <f t="shared" si="78"/>
        <v>2227</v>
      </c>
      <c r="B2231" s="221"/>
      <c r="C2231" s="221" t="s">
        <v>49</v>
      </c>
      <c r="D2231" s="221" t="s">
        <v>3993</v>
      </c>
      <c r="E2231" s="221" t="s">
        <v>3295</v>
      </c>
      <c r="F2231" s="221" t="s">
        <v>3299</v>
      </c>
      <c r="G2231" s="222">
        <v>45379</v>
      </c>
      <c r="H2231" s="223">
        <v>0.4145833333333333</v>
      </c>
      <c r="I2231" s="221" t="s">
        <v>4916</v>
      </c>
      <c r="J2231" s="221" t="s">
        <v>3024</v>
      </c>
      <c r="K2231" s="224" t="s">
        <v>3094</v>
      </c>
      <c r="L2231" s="225" t="str">
        <f>VLOOKUP(Logfile_S12[[#This Row],[Material Name]],Sheet2!B:C,2,0)</f>
        <v>GCI1008</v>
      </c>
      <c r="M2231" s="225" t="str">
        <f>_xlfn.XLOOKUP(Logfile_S12[[#This Row],[Material Name]],Sum_WH!E:E,Sum_WH!F:F,"",0)</f>
        <v>Pcs</v>
      </c>
      <c r="N2231" s="221">
        <v>50</v>
      </c>
      <c r="O2231" s="221" t="s">
        <v>1161</v>
      </c>
      <c r="P2231" s="221" t="s">
        <v>1162</v>
      </c>
      <c r="Q2231" s="221"/>
      <c r="R2231" s="221"/>
      <c r="S2231" s="221"/>
      <c r="T2231" s="221" t="s">
        <v>3363</v>
      </c>
      <c r="U2231" s="221" t="s">
        <v>3228</v>
      </c>
      <c r="V2231" s="221" t="s">
        <v>3364</v>
      </c>
      <c r="W2231" s="221" t="s">
        <v>3365</v>
      </c>
      <c r="X2231" s="221"/>
      <c r="Y2231" s="227"/>
      <c r="Z2231" s="227" t="str">
        <f t="shared" si="79"/>
        <v>Tunjungtirto RW 01 Singosari</v>
      </c>
      <c r="AA2231" s="276" t="e">
        <f>VLOOKUP(Logfile_S12[[#This Row],[DO number]],DO_DB!G:I,3,0)</f>
        <v>#N/A</v>
      </c>
      <c r="AB2231" s="331" t="e">
        <f>EXACT(Logfile_S12[[#This Row],[date pick]],Logfile_S12[[#This Row],[Date]])</f>
        <v>#N/A</v>
      </c>
      <c r="AC22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32" spans="1:29" ht="14.5" hidden="1">
      <c r="A2232" s="220" t="str">
        <f t="shared" si="78"/>
        <v>2228</v>
      </c>
      <c r="B2232" s="221"/>
      <c r="C2232" s="221" t="s">
        <v>48</v>
      </c>
      <c r="D2232" s="221" t="s">
        <v>4001</v>
      </c>
      <c r="E2232" s="221" t="s">
        <v>3295</v>
      </c>
      <c r="F2232" s="221" t="s">
        <v>3299</v>
      </c>
      <c r="G2232" s="222">
        <v>45383</v>
      </c>
      <c r="H2232" s="223">
        <v>15.291666666666666</v>
      </c>
      <c r="I2232" s="221" t="s">
        <v>38</v>
      </c>
      <c r="J2232" s="221" t="s">
        <v>3024</v>
      </c>
      <c r="K2232" s="224" t="s">
        <v>3094</v>
      </c>
      <c r="L2232" s="225" t="str">
        <f>VLOOKUP(Logfile_S12[[#This Row],[Material Name]],Sheet2!B:C,2,0)</f>
        <v>GCI1008</v>
      </c>
      <c r="M2232" s="225" t="str">
        <f>_xlfn.XLOOKUP(Logfile_S12[[#This Row],[Material Name]],Sum_WH!E:E,Sum_WH!F:F,"",0)</f>
        <v>Pcs</v>
      </c>
      <c r="N2232" s="221">
        <v>8</v>
      </c>
      <c r="O2232" s="221">
        <v>0</v>
      </c>
      <c r="P2232" s="221">
        <v>0</v>
      </c>
      <c r="Q2232" s="221">
        <v>0</v>
      </c>
      <c r="R2232" s="221">
        <v>0</v>
      </c>
      <c r="S2232" s="221"/>
      <c r="T2232" s="221"/>
      <c r="U2232" s="221"/>
      <c r="V2232" s="221"/>
      <c r="W2232" s="221"/>
      <c r="X2232" s="221"/>
      <c r="Y2232" s="227"/>
      <c r="Z2232" s="227">
        <f t="shared" si="79"/>
        <v>0</v>
      </c>
      <c r="AA2232" s="276" t="e">
        <f>VLOOKUP(Logfile_S12[[#This Row],[DO number]],DO_DB!G:I,3,0)</f>
        <v>#N/A</v>
      </c>
      <c r="AB2232" s="331" t="e">
        <f>EXACT(Logfile_S12[[#This Row],[date pick]],Logfile_S12[[#This Row],[Date]])</f>
        <v>#N/A</v>
      </c>
      <c r="AC22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33" spans="1:29" ht="14.5" hidden="1">
      <c r="A2233" s="220" t="str">
        <f t="shared" si="78"/>
        <v>2229</v>
      </c>
      <c r="B2233" s="221"/>
      <c r="C2233" s="221" t="s">
        <v>49</v>
      </c>
      <c r="D2233" s="221" t="s">
        <v>3998</v>
      </c>
      <c r="E2233" s="221" t="s">
        <v>3295</v>
      </c>
      <c r="F2233" s="221" t="s">
        <v>3299</v>
      </c>
      <c r="G2233" s="222">
        <v>45383</v>
      </c>
      <c r="H2233" s="223">
        <v>0.40138888888888885</v>
      </c>
      <c r="I2233" s="221" t="s">
        <v>4916</v>
      </c>
      <c r="J2233" s="221" t="s">
        <v>3024</v>
      </c>
      <c r="K2233" s="224" t="s">
        <v>3094</v>
      </c>
      <c r="L2233" s="225" t="str">
        <f>VLOOKUP(Logfile_S12[[#This Row],[Material Name]],Sheet2!B:C,2,0)</f>
        <v>GCI1008</v>
      </c>
      <c r="M2233" s="225" t="str">
        <f>_xlfn.XLOOKUP(Logfile_S12[[#This Row],[Material Name]],Sum_WH!E:E,Sum_WH!F:F,"",0)</f>
        <v>Pcs</v>
      </c>
      <c r="N2233" s="221">
        <v>20</v>
      </c>
      <c r="O2233" s="221" t="s">
        <v>1099</v>
      </c>
      <c r="P2233" s="221" t="s">
        <v>1100</v>
      </c>
      <c r="Q2233" s="221"/>
      <c r="R2233" s="221"/>
      <c r="S2233" s="221"/>
      <c r="T2233" s="221" t="s">
        <v>3258</v>
      </c>
      <c r="U2233" s="221" t="s">
        <v>3228</v>
      </c>
      <c r="V2233" s="221" t="s">
        <v>3337</v>
      </c>
      <c r="W2233" s="221" t="s">
        <v>3338</v>
      </c>
      <c r="X2233" s="221"/>
      <c r="Y2233" s="227"/>
      <c r="Z2233" s="227" t="str">
        <f t="shared" si="79"/>
        <v>Dalisodo RW 03 Wagir</v>
      </c>
      <c r="AA2233" s="276" t="e">
        <f>VLOOKUP(Logfile_S12[[#This Row],[DO number]],DO_DB!G:I,3,0)</f>
        <v>#N/A</v>
      </c>
      <c r="AB2233" s="331" t="e">
        <f>EXACT(Logfile_S12[[#This Row],[date pick]],Logfile_S12[[#This Row],[Date]])</f>
        <v>#N/A</v>
      </c>
      <c r="AC22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34" spans="1:29" ht="14.5" hidden="1">
      <c r="A2234" s="220" t="str">
        <f t="shared" si="78"/>
        <v>2230</v>
      </c>
      <c r="B2234" s="221"/>
      <c r="C2234" s="221" t="s">
        <v>49</v>
      </c>
      <c r="D2234" s="221" t="s">
        <v>3997</v>
      </c>
      <c r="E2234" s="221" t="s">
        <v>3295</v>
      </c>
      <c r="F2234" s="221" t="s">
        <v>3299</v>
      </c>
      <c r="G2234" s="222">
        <v>45383</v>
      </c>
      <c r="H2234" s="223">
        <v>0.38472222222222219</v>
      </c>
      <c r="I2234" s="221" t="s">
        <v>4916</v>
      </c>
      <c r="J2234" s="221" t="s">
        <v>3024</v>
      </c>
      <c r="K2234" s="224" t="s">
        <v>3094</v>
      </c>
      <c r="L2234" s="225" t="str">
        <f>VLOOKUP(Logfile_S12[[#This Row],[Material Name]],Sheet2!B:C,2,0)</f>
        <v>GCI1008</v>
      </c>
      <c r="M2234" s="225" t="str">
        <f>_xlfn.XLOOKUP(Logfile_S12[[#This Row],[Material Name]],Sum_WH!E:E,Sum_WH!F:F,"",0)</f>
        <v>Pcs</v>
      </c>
      <c r="N2234" s="221">
        <v>55</v>
      </c>
      <c r="O2234" s="221" t="s">
        <v>1151</v>
      </c>
      <c r="P2234" s="221" t="s">
        <v>1152</v>
      </c>
      <c r="Q2234" s="221"/>
      <c r="R2234" s="221"/>
      <c r="S2234" s="221"/>
      <c r="T2234" s="221" t="s">
        <v>3363</v>
      </c>
      <c r="U2234" s="221" t="s">
        <v>3228</v>
      </c>
      <c r="V2234" s="221" t="s">
        <v>3364</v>
      </c>
      <c r="W2234" s="221" t="s">
        <v>3365</v>
      </c>
      <c r="X2234" s="221"/>
      <c r="Y2234" s="227"/>
      <c r="Z2234" s="227" t="str">
        <f t="shared" si="79"/>
        <v>Tunjungtirto RW 08 Singosari</v>
      </c>
      <c r="AA2234" s="276" t="e">
        <f>VLOOKUP(Logfile_S12[[#This Row],[DO number]],DO_DB!G:I,3,0)</f>
        <v>#N/A</v>
      </c>
      <c r="AB2234" s="331" t="e">
        <f>EXACT(Logfile_S12[[#This Row],[date pick]],Logfile_S12[[#This Row],[Date]])</f>
        <v>#N/A</v>
      </c>
      <c r="AC22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35" spans="1:29" ht="14.5" hidden="1">
      <c r="A2235" s="220" t="str">
        <f t="shared" si="78"/>
        <v>2231</v>
      </c>
      <c r="B2235" s="221"/>
      <c r="C2235" s="221" t="s">
        <v>49</v>
      </c>
      <c r="D2235" s="221" t="s">
        <v>4021</v>
      </c>
      <c r="E2235" s="221" t="s">
        <v>3295</v>
      </c>
      <c r="F2235" s="221" t="s">
        <v>3299</v>
      </c>
      <c r="G2235" s="222">
        <v>45405</v>
      </c>
      <c r="H2235" s="223">
        <v>0.3756944444444445</v>
      </c>
      <c r="I2235" s="221" t="s">
        <v>4916</v>
      </c>
      <c r="J2235" s="221" t="s">
        <v>3024</v>
      </c>
      <c r="K2235" s="224" t="s">
        <v>3094</v>
      </c>
      <c r="L2235" s="225" t="str">
        <f>VLOOKUP(Logfile_S12[[#This Row],[Material Name]],Sheet2!B:C,2,0)</f>
        <v>GCI1008</v>
      </c>
      <c r="M2235" s="225" t="str">
        <f>_xlfn.XLOOKUP(Logfile_S12[[#This Row],[Material Name]],Sum_WH!E:E,Sum_WH!F:F,"",0)</f>
        <v>Pcs</v>
      </c>
      <c r="N2235" s="221">
        <v>28</v>
      </c>
      <c r="O2235" s="221" t="s">
        <v>1401</v>
      </c>
      <c r="P2235" s="221" t="s">
        <v>3371</v>
      </c>
      <c r="Q2235" s="221"/>
      <c r="R2235" s="221"/>
      <c r="S2235" s="221"/>
      <c r="T2235" s="221" t="s">
        <v>3363</v>
      </c>
      <c r="U2235" s="221" t="s">
        <v>3228</v>
      </c>
      <c r="V2235" s="221" t="s">
        <v>3364</v>
      </c>
      <c r="W2235" s="221" t="s">
        <v>3372</v>
      </c>
      <c r="X2235" s="221"/>
      <c r="Y2235" s="227"/>
      <c r="Z2235" s="227" t="str">
        <f t="shared" si="79"/>
        <v>Lowokwaru RW14</v>
      </c>
      <c r="AA2235" s="276" t="e">
        <f>VLOOKUP(Logfile_S12[[#This Row],[DO number]],DO_DB!G:I,3,0)</f>
        <v>#N/A</v>
      </c>
      <c r="AB2235" s="331" t="e">
        <f>EXACT(Logfile_S12[[#This Row],[date pick]],Logfile_S12[[#This Row],[Date]])</f>
        <v>#N/A</v>
      </c>
      <c r="AC22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36" spans="1:29" ht="14.5" hidden="1">
      <c r="A2236" s="220" t="str">
        <f t="shared" si="78"/>
        <v>2232</v>
      </c>
      <c r="B2236" s="221"/>
      <c r="C2236" s="221" t="s">
        <v>48</v>
      </c>
      <c r="D2236" s="221" t="s">
        <v>4029</v>
      </c>
      <c r="E2236" s="221" t="s">
        <v>3295</v>
      </c>
      <c r="F2236" s="221" t="s">
        <v>3299</v>
      </c>
      <c r="G2236" s="222">
        <v>45407</v>
      </c>
      <c r="H2236" s="223">
        <v>15.291666666666666</v>
      </c>
      <c r="I2236" s="221" t="s">
        <v>38</v>
      </c>
      <c r="J2236" s="221" t="s">
        <v>3024</v>
      </c>
      <c r="K2236" s="224" t="s">
        <v>3094</v>
      </c>
      <c r="L2236" s="225" t="str">
        <f>VLOOKUP(Logfile_S12[[#This Row],[Material Name]],Sheet2!B:C,2,0)</f>
        <v>GCI1008</v>
      </c>
      <c r="M2236" s="225" t="str">
        <f>_xlfn.XLOOKUP(Logfile_S12[[#This Row],[Material Name]],Sum_WH!E:E,Sum_WH!F:F,"",0)</f>
        <v>Pcs</v>
      </c>
      <c r="N2236" s="221">
        <v>84</v>
      </c>
      <c r="O2236" s="221">
        <v>0</v>
      </c>
      <c r="P2236" s="221">
        <v>0</v>
      </c>
      <c r="Q2236" s="221">
        <v>0</v>
      </c>
      <c r="R2236" s="221">
        <v>0</v>
      </c>
      <c r="S2236" s="221"/>
      <c r="T2236" s="221"/>
      <c r="U2236" s="221"/>
      <c r="V2236" s="221"/>
      <c r="W2236" s="221"/>
      <c r="X2236" s="221"/>
      <c r="Y2236" s="227"/>
      <c r="Z2236" s="227">
        <f t="shared" si="79"/>
        <v>0</v>
      </c>
      <c r="AA2236" s="276" t="e">
        <f>VLOOKUP(Logfile_S12[[#This Row],[DO number]],DO_DB!G:I,3,0)</f>
        <v>#N/A</v>
      </c>
      <c r="AB2236" s="331" t="e">
        <f>EXACT(Logfile_S12[[#This Row],[date pick]],Logfile_S12[[#This Row],[Date]])</f>
        <v>#N/A</v>
      </c>
      <c r="AC22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37" spans="1:29" ht="14.5" hidden="1">
      <c r="A2237" s="220" t="str">
        <f t="shared" si="78"/>
        <v>2233</v>
      </c>
      <c r="B2237" s="221"/>
      <c r="C2237" s="221" t="s">
        <v>49</v>
      </c>
      <c r="D2237" s="221" t="s">
        <v>4030</v>
      </c>
      <c r="E2237" s="221" t="s">
        <v>3295</v>
      </c>
      <c r="F2237" s="221" t="s">
        <v>3299</v>
      </c>
      <c r="G2237" s="222">
        <v>45408</v>
      </c>
      <c r="H2237" s="223">
        <v>0.39166666666666666</v>
      </c>
      <c r="I2237" s="221" t="s">
        <v>4916</v>
      </c>
      <c r="J2237" s="221" t="s">
        <v>3024</v>
      </c>
      <c r="K2237" s="224" t="s">
        <v>3094</v>
      </c>
      <c r="L2237" s="225" t="str">
        <f>VLOOKUP(Logfile_S12[[#This Row],[Material Name]],Sheet2!B:C,2,0)</f>
        <v>GCI1008</v>
      </c>
      <c r="M2237" s="225" t="str">
        <f>_xlfn.XLOOKUP(Logfile_S12[[#This Row],[Material Name]],Sum_WH!E:E,Sum_WH!F:F,"",0)</f>
        <v>Pcs</v>
      </c>
      <c r="N2237" s="221">
        <v>84</v>
      </c>
      <c r="O2237" s="221" t="s">
        <v>1081</v>
      </c>
      <c r="P2237" s="221" t="s">
        <v>3370</v>
      </c>
      <c r="Q2237" s="221"/>
      <c r="R2237" s="221"/>
      <c r="S2237" s="221"/>
      <c r="T2237" s="221" t="s">
        <v>3258</v>
      </c>
      <c r="U2237" s="221" t="s">
        <v>3228</v>
      </c>
      <c r="V2237" s="221" t="s">
        <v>3337</v>
      </c>
      <c r="W2237" s="221" t="s">
        <v>3338</v>
      </c>
      <c r="X2237" s="221"/>
      <c r="Y2237" s="227"/>
      <c r="Z2237" s="227" t="str">
        <f t="shared" si="79"/>
        <v>Pandan Landung RW 05 Wagir</v>
      </c>
      <c r="AA2237" s="276" t="e">
        <f>VLOOKUP(Logfile_S12[[#This Row],[DO number]],DO_DB!G:I,3,0)</f>
        <v>#N/A</v>
      </c>
      <c r="AB2237" s="331" t="e">
        <f>EXACT(Logfile_S12[[#This Row],[date pick]],Logfile_S12[[#This Row],[Date]])</f>
        <v>#N/A</v>
      </c>
      <c r="AC22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38" spans="1:29" ht="14.5" hidden="1">
      <c r="A2238" s="220" t="str">
        <f t="shared" si="78"/>
        <v>2234</v>
      </c>
      <c r="B2238" s="221"/>
      <c r="C2238" s="221" t="s">
        <v>48</v>
      </c>
      <c r="D2238" s="221" t="s">
        <v>4034</v>
      </c>
      <c r="E2238" s="221" t="s">
        <v>3295</v>
      </c>
      <c r="F2238" s="221" t="s">
        <v>3299</v>
      </c>
      <c r="G2238" s="222">
        <v>45412</v>
      </c>
      <c r="H2238" s="223">
        <v>15.291666666666666</v>
      </c>
      <c r="I2238" s="221" t="s">
        <v>38</v>
      </c>
      <c r="J2238" s="221" t="s">
        <v>3024</v>
      </c>
      <c r="K2238" s="224" t="s">
        <v>3094</v>
      </c>
      <c r="L2238" s="225" t="str">
        <f>VLOOKUP(Logfile_S12[[#This Row],[Material Name]],Sheet2!B:C,2,0)</f>
        <v>GCI1008</v>
      </c>
      <c r="M2238" s="225" t="str">
        <f>_xlfn.XLOOKUP(Logfile_S12[[#This Row],[Material Name]],Sum_WH!E:E,Sum_WH!F:F,"",0)</f>
        <v>Pcs</v>
      </c>
      <c r="N2238" s="221">
        <v>100</v>
      </c>
      <c r="O2238" s="221">
        <v>0</v>
      </c>
      <c r="P2238" s="221">
        <v>0</v>
      </c>
      <c r="Q2238" s="221">
        <v>0</v>
      </c>
      <c r="R2238" s="221">
        <v>0</v>
      </c>
      <c r="S2238" s="221"/>
      <c r="T2238" s="221"/>
      <c r="U2238" s="221"/>
      <c r="V2238" s="221"/>
      <c r="W2238" s="221"/>
      <c r="X2238" s="221"/>
      <c r="Y2238" s="227"/>
      <c r="Z2238" s="227">
        <f t="shared" si="79"/>
        <v>0</v>
      </c>
      <c r="AA2238" s="276" t="e">
        <f>VLOOKUP(Logfile_S12[[#This Row],[DO number]],DO_DB!G:I,3,0)</f>
        <v>#N/A</v>
      </c>
      <c r="AB2238" s="331" t="e">
        <f>EXACT(Logfile_S12[[#This Row],[date pick]],Logfile_S12[[#This Row],[Date]])</f>
        <v>#N/A</v>
      </c>
      <c r="AC22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39" spans="1:29" ht="14.5" hidden="1">
      <c r="A2239" s="220" t="str">
        <f t="shared" si="78"/>
        <v>2235</v>
      </c>
      <c r="B2239" s="221"/>
      <c r="C2239" s="221" t="s">
        <v>49</v>
      </c>
      <c r="D2239" s="221" t="s">
        <v>4032</v>
      </c>
      <c r="E2239" s="221" t="s">
        <v>3295</v>
      </c>
      <c r="F2239" s="221" t="s">
        <v>3299</v>
      </c>
      <c r="G2239" s="222">
        <v>45412</v>
      </c>
      <c r="H2239" s="223">
        <v>0.5</v>
      </c>
      <c r="I2239" s="221" t="s">
        <v>4916</v>
      </c>
      <c r="J2239" s="221" t="s">
        <v>3024</v>
      </c>
      <c r="K2239" s="224" t="s">
        <v>3094</v>
      </c>
      <c r="L2239" s="225" t="str">
        <f>VLOOKUP(Logfile_S12[[#This Row],[Material Name]],Sheet2!B:C,2,0)</f>
        <v>GCI1008</v>
      </c>
      <c r="M2239" s="225" t="str">
        <f>_xlfn.XLOOKUP(Logfile_S12[[#This Row],[Material Name]],Sum_WH!E:E,Sum_WH!F:F,"",0)</f>
        <v>Pcs</v>
      </c>
      <c r="N2239" s="221">
        <v>20</v>
      </c>
      <c r="O2239" s="221" t="s">
        <v>1081</v>
      </c>
      <c r="P2239" s="221" t="s">
        <v>3370</v>
      </c>
      <c r="Q2239" s="221"/>
      <c r="R2239" s="221"/>
      <c r="S2239" s="221"/>
      <c r="T2239" s="221" t="s">
        <v>3258</v>
      </c>
      <c r="U2239" s="221" t="s">
        <v>3228</v>
      </c>
      <c r="V2239" s="221" t="s">
        <v>3337</v>
      </c>
      <c r="W2239" s="221" t="s">
        <v>3338</v>
      </c>
      <c r="X2239" s="221"/>
      <c r="Y2239" s="227"/>
      <c r="Z2239" s="227" t="str">
        <f t="shared" si="79"/>
        <v>Pandan Landung RW 05 Wagir</v>
      </c>
      <c r="AA2239" s="276" t="e">
        <f>VLOOKUP(Logfile_S12[[#This Row],[DO number]],DO_DB!G:I,3,0)</f>
        <v>#N/A</v>
      </c>
      <c r="AB2239" s="331" t="e">
        <f>EXACT(Logfile_S12[[#This Row],[date pick]],Logfile_S12[[#This Row],[Date]])</f>
        <v>#N/A</v>
      </c>
      <c r="AC22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40" spans="1:29" ht="14.5" hidden="1">
      <c r="A2240" s="220" t="str">
        <f t="shared" si="78"/>
        <v>2236</v>
      </c>
      <c r="B2240" s="221"/>
      <c r="C2240" s="221" t="s">
        <v>49</v>
      </c>
      <c r="D2240" s="221" t="s">
        <v>4031</v>
      </c>
      <c r="E2240" s="221" t="s">
        <v>3295</v>
      </c>
      <c r="F2240" s="221" t="s">
        <v>3299</v>
      </c>
      <c r="G2240" s="222">
        <v>45412</v>
      </c>
      <c r="H2240" s="223">
        <v>0.42708333333333331</v>
      </c>
      <c r="I2240" s="221" t="s">
        <v>4916</v>
      </c>
      <c r="J2240" s="221" t="s">
        <v>3024</v>
      </c>
      <c r="K2240" s="224" t="s">
        <v>3094</v>
      </c>
      <c r="L2240" s="225" t="str">
        <f>VLOOKUP(Logfile_S12[[#This Row],[Material Name]],Sheet2!B:C,2,0)</f>
        <v>GCI1008</v>
      </c>
      <c r="M2240" s="225" t="str">
        <f>_xlfn.XLOOKUP(Logfile_S12[[#This Row],[Material Name]],Sum_WH!E:E,Sum_WH!F:F,"",0)</f>
        <v>Pcs</v>
      </c>
      <c r="N2240" s="221">
        <v>56</v>
      </c>
      <c r="O2240" s="221" t="s">
        <v>1401</v>
      </c>
      <c r="P2240" s="221" t="s">
        <v>3371</v>
      </c>
      <c r="Q2240" s="221"/>
      <c r="R2240" s="221"/>
      <c r="S2240" s="221"/>
      <c r="T2240" s="221" t="s">
        <v>3363</v>
      </c>
      <c r="U2240" s="221" t="s">
        <v>3228</v>
      </c>
      <c r="V2240" s="221" t="s">
        <v>3364</v>
      </c>
      <c r="W2240" s="221" t="s">
        <v>3372</v>
      </c>
      <c r="X2240" s="221"/>
      <c r="Y2240" s="227"/>
      <c r="Z2240" s="227" t="str">
        <f t="shared" si="79"/>
        <v>Lowokwaru RW14</v>
      </c>
      <c r="AA2240" s="276" t="e">
        <f>VLOOKUP(Logfile_S12[[#This Row],[DO number]],DO_DB!G:I,3,0)</f>
        <v>#N/A</v>
      </c>
      <c r="AB2240" s="331" t="e">
        <f>EXACT(Logfile_S12[[#This Row],[date pick]],Logfile_S12[[#This Row],[Date]])</f>
        <v>#N/A</v>
      </c>
      <c r="AC22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41" spans="1:29" ht="14.5" hidden="1">
      <c r="A2241" s="220" t="str">
        <f t="shared" si="78"/>
        <v>2237</v>
      </c>
      <c r="B2241" s="221"/>
      <c r="C2241" s="221" t="s">
        <v>48</v>
      </c>
      <c r="D2241" s="221" t="s">
        <v>4038</v>
      </c>
      <c r="E2241" s="221" t="s">
        <v>3295</v>
      </c>
      <c r="F2241" s="221" t="s">
        <v>3299</v>
      </c>
      <c r="G2241" s="222">
        <v>45420</v>
      </c>
      <c r="H2241" s="223">
        <v>15.291666666666666</v>
      </c>
      <c r="I2241" s="221" t="s">
        <v>38</v>
      </c>
      <c r="J2241" s="221" t="s">
        <v>3024</v>
      </c>
      <c r="K2241" s="224" t="s">
        <v>3094</v>
      </c>
      <c r="L2241" s="225" t="str">
        <f>VLOOKUP(Logfile_S12[[#This Row],[Material Name]],Sheet2!B:C,2,0)</f>
        <v>GCI1008</v>
      </c>
      <c r="M2241" s="225" t="str">
        <f>_xlfn.XLOOKUP(Logfile_S12[[#This Row],[Material Name]],Sum_WH!E:E,Sum_WH!F:F,"",0)</f>
        <v>Pcs</v>
      </c>
      <c r="N2241" s="221">
        <v>55</v>
      </c>
      <c r="O2241" s="221">
        <v>0</v>
      </c>
      <c r="P2241" s="221">
        <v>0</v>
      </c>
      <c r="Q2241" s="221">
        <v>0</v>
      </c>
      <c r="R2241" s="221">
        <v>0</v>
      </c>
      <c r="S2241" s="221"/>
      <c r="T2241" s="221"/>
      <c r="U2241" s="221"/>
      <c r="V2241" s="221"/>
      <c r="W2241" s="221"/>
      <c r="X2241" s="221"/>
      <c r="Y2241" s="227"/>
      <c r="Z2241" s="227">
        <f t="shared" si="79"/>
        <v>0</v>
      </c>
      <c r="AA2241" s="276" t="e">
        <f>VLOOKUP(Logfile_S12[[#This Row],[DO number]],DO_DB!G:I,3,0)</f>
        <v>#N/A</v>
      </c>
      <c r="AB2241" s="331" t="e">
        <f>EXACT(Logfile_S12[[#This Row],[date pick]],Logfile_S12[[#This Row],[Date]])</f>
        <v>#N/A</v>
      </c>
      <c r="AC22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42" spans="1:29" ht="14.5" hidden="1">
      <c r="A2242" s="220" t="str">
        <f t="shared" si="78"/>
        <v>2238</v>
      </c>
      <c r="B2242" s="221"/>
      <c r="C2242" s="221" t="s">
        <v>49</v>
      </c>
      <c r="D2242" s="221" t="s">
        <v>4042</v>
      </c>
      <c r="E2242" s="221" t="s">
        <v>3295</v>
      </c>
      <c r="F2242" s="221" t="s">
        <v>3299</v>
      </c>
      <c r="G2242" s="222">
        <v>45428</v>
      </c>
      <c r="H2242" s="223">
        <v>0.53888888888888886</v>
      </c>
      <c r="I2242" s="221" t="s">
        <v>4916</v>
      </c>
      <c r="J2242" s="221" t="s">
        <v>3024</v>
      </c>
      <c r="K2242" s="224" t="s">
        <v>3094</v>
      </c>
      <c r="L2242" s="225" t="str">
        <f>VLOOKUP(Logfile_S12[[#This Row],[Material Name]],Sheet2!B:C,2,0)</f>
        <v>GCI1008</v>
      </c>
      <c r="M2242" s="225" t="str">
        <f>_xlfn.XLOOKUP(Logfile_S12[[#This Row],[Material Name]],Sum_WH!E:E,Sum_WH!F:F,"",0)</f>
        <v>Pcs</v>
      </c>
      <c r="N2242" s="221">
        <v>6</v>
      </c>
      <c r="O2242" s="221" t="s">
        <v>1099</v>
      </c>
      <c r="P2242" s="221" t="s">
        <v>1100</v>
      </c>
      <c r="Q2242" s="221"/>
      <c r="R2242" s="221"/>
      <c r="S2242" s="221"/>
      <c r="T2242" s="221" t="s">
        <v>3258</v>
      </c>
      <c r="U2242" s="221" t="s">
        <v>3228</v>
      </c>
      <c r="V2242" s="221" t="s">
        <v>3337</v>
      </c>
      <c r="W2242" s="221" t="s">
        <v>3338</v>
      </c>
      <c r="X2242" s="221"/>
      <c r="Y2242" s="227"/>
      <c r="Z2242" s="227" t="str">
        <f t="shared" si="79"/>
        <v>Dalisodo RW 03 Wagir</v>
      </c>
      <c r="AA2242" s="276" t="e">
        <f>VLOOKUP(Logfile_S12[[#This Row],[DO number]],DO_DB!G:I,3,0)</f>
        <v>#N/A</v>
      </c>
      <c r="AB2242" s="331" t="e">
        <f>EXACT(Logfile_S12[[#This Row],[date pick]],Logfile_S12[[#This Row],[Date]])</f>
        <v>#N/A</v>
      </c>
      <c r="AC22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43" spans="1:29" ht="14.5" hidden="1">
      <c r="A2243" s="220" t="str">
        <f t="shared" si="78"/>
        <v>2239</v>
      </c>
      <c r="B2243" s="221"/>
      <c r="C2243" s="221" t="s">
        <v>48</v>
      </c>
      <c r="D2243" s="221" t="s">
        <v>4045</v>
      </c>
      <c r="E2243" s="221" t="s">
        <v>3295</v>
      </c>
      <c r="F2243" s="221" t="s">
        <v>3299</v>
      </c>
      <c r="G2243" s="222">
        <v>45429</v>
      </c>
      <c r="H2243" s="223">
        <v>15.291666666666666</v>
      </c>
      <c r="I2243" s="221" t="s">
        <v>38</v>
      </c>
      <c r="J2243" s="221" t="s">
        <v>3024</v>
      </c>
      <c r="K2243" s="224" t="s">
        <v>3094</v>
      </c>
      <c r="L2243" s="225" t="str">
        <f>VLOOKUP(Logfile_S12[[#This Row],[Material Name]],Sheet2!B:C,2,0)</f>
        <v>GCI1008</v>
      </c>
      <c r="M2243" s="225" t="str">
        <f>_xlfn.XLOOKUP(Logfile_S12[[#This Row],[Material Name]],Sum_WH!E:E,Sum_WH!F:F,"",0)</f>
        <v>Pcs</v>
      </c>
      <c r="N2243" s="221">
        <v>11</v>
      </c>
      <c r="O2243" s="221" t="s">
        <v>3397</v>
      </c>
      <c r="P2243" s="221">
        <v>0</v>
      </c>
      <c r="Q2243" s="221">
        <v>0</v>
      </c>
      <c r="R2243" s="221">
        <v>0</v>
      </c>
      <c r="S2243" s="221"/>
      <c r="T2243" s="221"/>
      <c r="U2243" s="221"/>
      <c r="V2243" s="221"/>
      <c r="W2243" s="221"/>
      <c r="X2243" s="221"/>
      <c r="Y2243" s="227"/>
      <c r="Z2243" s="227">
        <f t="shared" si="79"/>
        <v>0</v>
      </c>
      <c r="AA2243" s="276" t="e">
        <f>VLOOKUP(Logfile_S12[[#This Row],[DO number]],DO_DB!G:I,3,0)</f>
        <v>#N/A</v>
      </c>
      <c r="AB2243" s="331" t="e">
        <f>EXACT(Logfile_S12[[#This Row],[date pick]],Logfile_S12[[#This Row],[Date]])</f>
        <v>#N/A</v>
      </c>
      <c r="AC22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44" spans="1:29" ht="14.5" hidden="1">
      <c r="A2244" s="220" t="str">
        <f t="shared" si="78"/>
        <v>2240</v>
      </c>
      <c r="B2244" s="221"/>
      <c r="C2244" s="221" t="s">
        <v>48</v>
      </c>
      <c r="D2244" s="221" t="s">
        <v>4045</v>
      </c>
      <c r="E2244" s="221" t="s">
        <v>3295</v>
      </c>
      <c r="F2244" s="221" t="s">
        <v>3299</v>
      </c>
      <c r="G2244" s="222">
        <v>45429</v>
      </c>
      <c r="H2244" s="223">
        <v>15.291666666666666</v>
      </c>
      <c r="I2244" s="221" t="s">
        <v>38</v>
      </c>
      <c r="J2244" s="221" t="s">
        <v>3024</v>
      </c>
      <c r="K2244" s="224" t="s">
        <v>3094</v>
      </c>
      <c r="L2244" s="225" t="str">
        <f>VLOOKUP(Logfile_S12[[#This Row],[Material Name]],Sheet2!B:C,2,0)</f>
        <v>GCI1008</v>
      </c>
      <c r="M2244" s="225" t="str">
        <f>_xlfn.XLOOKUP(Logfile_S12[[#This Row],[Material Name]],Sum_WH!E:E,Sum_WH!F:F,"",0)</f>
        <v>Pcs</v>
      </c>
      <c r="N2244" s="221">
        <v>150</v>
      </c>
      <c r="O2244" s="221">
        <v>0</v>
      </c>
      <c r="P2244" s="221">
        <v>0</v>
      </c>
      <c r="Q2244" s="221">
        <v>0</v>
      </c>
      <c r="R2244" s="221">
        <v>0</v>
      </c>
      <c r="S2244" s="221"/>
      <c r="T2244" s="221"/>
      <c r="U2244" s="221"/>
      <c r="V2244" s="221"/>
      <c r="W2244" s="221"/>
      <c r="X2244" s="221"/>
      <c r="Y2244" s="227"/>
      <c r="Z2244" s="227">
        <f t="shared" si="79"/>
        <v>0</v>
      </c>
      <c r="AA2244" s="276" t="e">
        <f>VLOOKUP(Logfile_S12[[#This Row],[DO number]],DO_DB!G:I,3,0)</f>
        <v>#N/A</v>
      </c>
      <c r="AB2244" s="331" t="e">
        <f>EXACT(Logfile_S12[[#This Row],[date pick]],Logfile_S12[[#This Row],[Date]])</f>
        <v>#N/A</v>
      </c>
      <c r="AC22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45" spans="1:29" ht="14.5" hidden="1">
      <c r="A2245" s="220" t="str">
        <f t="shared" ref="A2245:A2308" si="80">TEXT(ROW(A2245)-ROW($A$4),"000")</f>
        <v>2241</v>
      </c>
      <c r="B2245" s="221"/>
      <c r="C2245" s="221" t="s">
        <v>49</v>
      </c>
      <c r="D2245" s="221" t="s">
        <v>4043</v>
      </c>
      <c r="E2245" s="221" t="s">
        <v>3295</v>
      </c>
      <c r="F2245" s="221" t="s">
        <v>3299</v>
      </c>
      <c r="G2245" s="222">
        <v>45429</v>
      </c>
      <c r="H2245" s="223">
        <v>0.4465277777777778</v>
      </c>
      <c r="I2245" s="221" t="s">
        <v>4916</v>
      </c>
      <c r="J2245" s="221" t="s">
        <v>3024</v>
      </c>
      <c r="K2245" s="224" t="s">
        <v>3094</v>
      </c>
      <c r="L2245" s="225" t="str">
        <f>VLOOKUP(Logfile_S12[[#This Row],[Material Name]],Sheet2!B:C,2,0)</f>
        <v>GCI1008</v>
      </c>
      <c r="M2245" s="225" t="str">
        <f>_xlfn.XLOOKUP(Logfile_S12[[#This Row],[Material Name]],Sum_WH!E:E,Sum_WH!F:F,"",0)</f>
        <v>Pcs</v>
      </c>
      <c r="N2245" s="221">
        <v>50</v>
      </c>
      <c r="O2245" s="221" t="s">
        <v>1967</v>
      </c>
      <c r="P2245" s="221" t="s">
        <v>3396</v>
      </c>
      <c r="Q2245" s="221"/>
      <c r="R2245" s="221"/>
      <c r="S2245" s="221"/>
      <c r="T2245" s="221" t="s">
        <v>3258</v>
      </c>
      <c r="U2245" s="221" t="s">
        <v>3228</v>
      </c>
      <c r="V2245" s="221" t="s">
        <v>3337</v>
      </c>
      <c r="W2245" s="221" t="s">
        <v>3338</v>
      </c>
      <c r="X2245" s="221"/>
      <c r="Y2245" s="227"/>
      <c r="Z2245" s="227" t="str">
        <f t="shared" si="79"/>
        <v>HUBFEEDER DALISODO</v>
      </c>
      <c r="AA2245" s="276" t="e">
        <f>VLOOKUP(Logfile_S12[[#This Row],[DO number]],DO_DB!G:I,3,0)</f>
        <v>#N/A</v>
      </c>
      <c r="AB2245" s="331" t="e">
        <f>EXACT(Logfile_S12[[#This Row],[date pick]],Logfile_S12[[#This Row],[Date]])</f>
        <v>#N/A</v>
      </c>
      <c r="AC22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46" spans="1:29" ht="14.5" hidden="1">
      <c r="A2246" s="220" t="str">
        <f t="shared" si="80"/>
        <v>2242</v>
      </c>
      <c r="B2246" s="221"/>
      <c r="C2246" s="221" t="s">
        <v>49</v>
      </c>
      <c r="D2246" s="221" t="s">
        <v>4049</v>
      </c>
      <c r="E2246" s="221" t="s">
        <v>3295</v>
      </c>
      <c r="F2246" s="221" t="s">
        <v>3299</v>
      </c>
      <c r="G2246" s="222">
        <v>45432</v>
      </c>
      <c r="H2246" s="223">
        <v>0.3979166666666667</v>
      </c>
      <c r="I2246" s="221" t="s">
        <v>4916</v>
      </c>
      <c r="J2246" s="221" t="s">
        <v>3024</v>
      </c>
      <c r="K2246" s="224" t="s">
        <v>3094</v>
      </c>
      <c r="L2246" s="225" t="str">
        <f>VLOOKUP(Logfile_S12[[#This Row],[Material Name]],Sheet2!B:C,2,0)</f>
        <v>GCI1008</v>
      </c>
      <c r="M2246" s="225" t="str">
        <f>_xlfn.XLOOKUP(Logfile_S12[[#This Row],[Material Name]],Sum_WH!E:E,Sum_WH!F:F,"",0)</f>
        <v>Pcs</v>
      </c>
      <c r="N2246" s="221">
        <v>50</v>
      </c>
      <c r="O2246" s="221" t="s">
        <v>1405</v>
      </c>
      <c r="P2246" s="221" t="s">
        <v>1406</v>
      </c>
      <c r="Q2246" s="221"/>
      <c r="R2246" s="221"/>
      <c r="S2246" s="221"/>
      <c r="T2246" s="221" t="s">
        <v>3258</v>
      </c>
      <c r="U2246" s="221" t="s">
        <v>3228</v>
      </c>
      <c r="V2246" s="221" t="s">
        <v>3337</v>
      </c>
      <c r="W2246" s="221" t="s">
        <v>3338</v>
      </c>
      <c r="X2246" s="221"/>
      <c r="Y2246" s="227"/>
      <c r="Z2246" s="227" t="str">
        <f t="shared" si="79"/>
        <v>Lawang RW 06 Malang</v>
      </c>
      <c r="AA2246" s="276" t="e">
        <f>VLOOKUP(Logfile_S12[[#This Row],[DO number]],DO_DB!G:I,3,0)</f>
        <v>#N/A</v>
      </c>
      <c r="AB2246" s="331" t="e">
        <f>EXACT(Logfile_S12[[#This Row],[date pick]],Logfile_S12[[#This Row],[Date]])</f>
        <v>#N/A</v>
      </c>
      <c r="AC22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47" spans="1:29" ht="14.5" hidden="1">
      <c r="A2247" s="220" t="str">
        <f t="shared" si="80"/>
        <v>2243</v>
      </c>
      <c r="B2247" s="221"/>
      <c r="C2247" s="221" t="s">
        <v>49</v>
      </c>
      <c r="D2247" s="221" t="s">
        <v>4056</v>
      </c>
      <c r="E2247" s="221" t="s">
        <v>3295</v>
      </c>
      <c r="F2247" s="221" t="s">
        <v>3299</v>
      </c>
      <c r="G2247" s="222">
        <v>45434</v>
      </c>
      <c r="H2247" s="223">
        <v>0.39166666666666666</v>
      </c>
      <c r="I2247" s="221" t="s">
        <v>4916</v>
      </c>
      <c r="J2247" s="221" t="s">
        <v>3024</v>
      </c>
      <c r="K2247" s="224" t="s">
        <v>3094</v>
      </c>
      <c r="L2247" s="225" t="str">
        <f>VLOOKUP(Logfile_S12[[#This Row],[Material Name]],Sheet2!B:C,2,0)</f>
        <v>GCI1008</v>
      </c>
      <c r="M2247" s="225" t="str">
        <f>_xlfn.XLOOKUP(Logfile_S12[[#This Row],[Material Name]],Sum_WH!E:E,Sum_WH!F:F,"",0)</f>
        <v>Pcs</v>
      </c>
      <c r="N2247" s="221">
        <v>34</v>
      </c>
      <c r="O2247" s="221" t="s">
        <v>1395</v>
      </c>
      <c r="P2247" s="221" t="s">
        <v>1396</v>
      </c>
      <c r="Q2247" s="221"/>
      <c r="R2247" s="221"/>
      <c r="S2247" s="221"/>
      <c r="T2247" s="221" t="s">
        <v>3258</v>
      </c>
      <c r="U2247" s="221" t="s">
        <v>3228</v>
      </c>
      <c r="V2247" s="221" t="s">
        <v>3337</v>
      </c>
      <c r="W2247" s="221" t="s">
        <v>3338</v>
      </c>
      <c r="X2247" s="221"/>
      <c r="Y2247" s="227"/>
      <c r="Z2247" s="227" t="str">
        <f t="shared" si="79"/>
        <v>Candirenggo RW 10 Singosari</v>
      </c>
      <c r="AA2247" s="276" t="e">
        <f>VLOOKUP(Logfile_S12[[#This Row],[DO number]],DO_DB!G:I,3,0)</f>
        <v>#N/A</v>
      </c>
      <c r="AB2247" s="331" t="e">
        <f>EXACT(Logfile_S12[[#This Row],[date pick]],Logfile_S12[[#This Row],[Date]])</f>
        <v>#N/A</v>
      </c>
      <c r="AC22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48" spans="1:29" ht="14.5" hidden="1">
      <c r="A2248" s="220" t="str">
        <f t="shared" si="80"/>
        <v>2244</v>
      </c>
      <c r="B2248" s="221"/>
      <c r="C2248" s="221" t="s">
        <v>49</v>
      </c>
      <c r="D2248" s="221" t="s">
        <v>4060</v>
      </c>
      <c r="E2248" s="221" t="s">
        <v>3295</v>
      </c>
      <c r="F2248" s="221" t="s">
        <v>3299</v>
      </c>
      <c r="G2248" s="222">
        <v>45437</v>
      </c>
      <c r="H2248" s="223">
        <v>0.40277777777777773</v>
      </c>
      <c r="I2248" s="221" t="s">
        <v>4916</v>
      </c>
      <c r="J2248" s="221" t="s">
        <v>3024</v>
      </c>
      <c r="K2248" s="224" t="s">
        <v>3094</v>
      </c>
      <c r="L2248" s="225" t="str">
        <f>VLOOKUP(Logfile_S12[[#This Row],[Material Name]],Sheet2!B:C,2,0)</f>
        <v>GCI1008</v>
      </c>
      <c r="M2248" s="225" t="str">
        <f>_xlfn.XLOOKUP(Logfile_S12[[#This Row],[Material Name]],Sum_WH!E:E,Sum_WH!F:F,"",0)</f>
        <v>Pcs</v>
      </c>
      <c r="N2248" s="221">
        <v>60</v>
      </c>
      <c r="O2248" s="221" t="s">
        <v>1493</v>
      </c>
      <c r="P2248" s="221" t="s">
        <v>1494</v>
      </c>
      <c r="Q2248" s="221"/>
      <c r="R2248" s="221"/>
      <c r="S2248" s="221"/>
      <c r="T2248" s="221" t="s">
        <v>3258</v>
      </c>
      <c r="U2248" s="221" t="s">
        <v>3228</v>
      </c>
      <c r="V2248" s="221" t="s">
        <v>3337</v>
      </c>
      <c r="W2248" s="221" t="s">
        <v>3338</v>
      </c>
      <c r="X2248" s="221"/>
      <c r="Y2248" s="227"/>
      <c r="Z2248" s="227" t="str">
        <f t="shared" si="79"/>
        <v>Dusun Krajan Kucur</v>
      </c>
      <c r="AA2248" s="276" t="e">
        <f>VLOOKUP(Logfile_S12[[#This Row],[DO number]],DO_DB!G:I,3,0)</f>
        <v>#N/A</v>
      </c>
      <c r="AB2248" s="331" t="e">
        <f>EXACT(Logfile_S12[[#This Row],[date pick]],Logfile_S12[[#This Row],[Date]])</f>
        <v>#N/A</v>
      </c>
      <c r="AC22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49" spans="1:29" ht="14.5" hidden="1">
      <c r="A2249" s="220" t="str">
        <f t="shared" si="80"/>
        <v>2245</v>
      </c>
      <c r="B2249" s="221"/>
      <c r="C2249" s="221" t="s">
        <v>49</v>
      </c>
      <c r="D2249" s="221" t="s">
        <v>4068</v>
      </c>
      <c r="E2249" s="221" t="s">
        <v>3295</v>
      </c>
      <c r="F2249" s="221" t="s">
        <v>3299</v>
      </c>
      <c r="G2249" s="222">
        <v>45442</v>
      </c>
      <c r="H2249" s="223">
        <v>0.47916666666666669</v>
      </c>
      <c r="I2249" s="221" t="s">
        <v>4916</v>
      </c>
      <c r="J2249" s="221" t="s">
        <v>3024</v>
      </c>
      <c r="K2249" s="224" t="s">
        <v>3094</v>
      </c>
      <c r="L2249" s="225" t="str">
        <f>VLOOKUP(Logfile_S12[[#This Row],[Material Name]],Sheet2!B:C,2,0)</f>
        <v>GCI1008</v>
      </c>
      <c r="M2249" s="225" t="str">
        <f>_xlfn.XLOOKUP(Logfile_S12[[#This Row],[Material Name]],Sum_WH!E:E,Sum_WH!F:F,"",0)</f>
        <v>Pcs</v>
      </c>
      <c r="N2249" s="221">
        <v>21</v>
      </c>
      <c r="O2249" s="221" t="s">
        <v>1493</v>
      </c>
      <c r="P2249" s="221" t="s">
        <v>1494</v>
      </c>
      <c r="Q2249" s="221"/>
      <c r="R2249" s="221"/>
      <c r="S2249" s="221"/>
      <c r="T2249" s="221" t="s">
        <v>3258</v>
      </c>
      <c r="U2249" s="221" t="s">
        <v>3228</v>
      </c>
      <c r="V2249" s="221" t="s">
        <v>3337</v>
      </c>
      <c r="W2249" s="221" t="s">
        <v>3338</v>
      </c>
      <c r="X2249" s="221"/>
      <c r="Y2249" s="227"/>
      <c r="Z2249" s="227" t="str">
        <f t="shared" si="79"/>
        <v>Dusun Krajan Kucur</v>
      </c>
      <c r="AA2249" s="276" t="e">
        <f>VLOOKUP(Logfile_S12[[#This Row],[DO number]],DO_DB!G:I,3,0)</f>
        <v>#N/A</v>
      </c>
      <c r="AB2249" s="331" t="e">
        <f>EXACT(Logfile_S12[[#This Row],[date pick]],Logfile_S12[[#This Row],[Date]])</f>
        <v>#N/A</v>
      </c>
      <c r="AC22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50" spans="1:29" ht="14.5" hidden="1">
      <c r="A2250" s="220" t="str">
        <f t="shared" si="80"/>
        <v>2246</v>
      </c>
      <c r="B2250" s="221"/>
      <c r="C2250" s="221" t="s">
        <v>49</v>
      </c>
      <c r="D2250" s="221" t="s">
        <v>4071</v>
      </c>
      <c r="E2250" s="221" t="s">
        <v>3295</v>
      </c>
      <c r="F2250" s="221" t="s">
        <v>3299</v>
      </c>
      <c r="G2250" s="222">
        <v>45446</v>
      </c>
      <c r="H2250" s="223">
        <v>0.42222222222222222</v>
      </c>
      <c r="I2250" s="221" t="s">
        <v>4916</v>
      </c>
      <c r="J2250" s="221" t="s">
        <v>3024</v>
      </c>
      <c r="K2250" s="224" t="s">
        <v>3094</v>
      </c>
      <c r="L2250" s="225" t="str">
        <f>VLOOKUP(Logfile_S12[[#This Row],[Material Name]],Sheet2!B:C,2,0)</f>
        <v>GCI1008</v>
      </c>
      <c r="M2250" s="225" t="str">
        <f>_xlfn.XLOOKUP(Logfile_S12[[#This Row],[Material Name]],Sum_WH!E:E,Sum_WH!F:F,"",0)</f>
        <v>Pcs</v>
      </c>
      <c r="N2250" s="221">
        <v>13</v>
      </c>
      <c r="O2250" s="221" t="s">
        <v>1395</v>
      </c>
      <c r="P2250" s="221" t="s">
        <v>1396</v>
      </c>
      <c r="Q2250" s="221"/>
      <c r="R2250" s="221"/>
      <c r="S2250" s="221"/>
      <c r="T2250" s="221" t="s">
        <v>3258</v>
      </c>
      <c r="U2250" s="221" t="s">
        <v>3228</v>
      </c>
      <c r="V2250" s="221" t="s">
        <v>3337</v>
      </c>
      <c r="W2250" s="221" t="s">
        <v>3338</v>
      </c>
      <c r="X2250" s="221"/>
      <c r="Y2250" s="227"/>
      <c r="Z2250" s="227" t="str">
        <f t="shared" si="79"/>
        <v>Candirenggo RW 10 Singosari</v>
      </c>
      <c r="AA2250" s="276" t="e">
        <f>VLOOKUP(Logfile_S12[[#This Row],[DO number]],DO_DB!G:I,3,0)</f>
        <v>#N/A</v>
      </c>
      <c r="AB2250" s="331" t="e">
        <f>EXACT(Logfile_S12[[#This Row],[date pick]],Logfile_S12[[#This Row],[Date]])</f>
        <v>#N/A</v>
      </c>
      <c r="AC22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51" spans="1:29" ht="14.5" hidden="1">
      <c r="A2251" s="220" t="str">
        <f t="shared" si="80"/>
        <v>2247</v>
      </c>
      <c r="B2251" s="221"/>
      <c r="C2251" s="221" t="s">
        <v>48</v>
      </c>
      <c r="D2251" s="221" t="s">
        <v>4082</v>
      </c>
      <c r="E2251" s="221" t="s">
        <v>3295</v>
      </c>
      <c r="F2251" s="221" t="s">
        <v>3299</v>
      </c>
      <c r="G2251" s="222">
        <v>45449</v>
      </c>
      <c r="H2251" s="223">
        <v>15.291666666666666</v>
      </c>
      <c r="I2251" s="221" t="s">
        <v>38</v>
      </c>
      <c r="J2251" s="221" t="s">
        <v>3024</v>
      </c>
      <c r="K2251" s="224" t="s">
        <v>3094</v>
      </c>
      <c r="L2251" s="225" t="str">
        <f>VLOOKUP(Logfile_S12[[#This Row],[Material Name]],Sheet2!B:C,2,0)</f>
        <v>GCI1008</v>
      </c>
      <c r="M2251" s="225" t="str">
        <f>_xlfn.XLOOKUP(Logfile_S12[[#This Row],[Material Name]],Sum_WH!E:E,Sum_WH!F:F,"",0)</f>
        <v>Pcs</v>
      </c>
      <c r="N2251" s="221">
        <v>212</v>
      </c>
      <c r="O2251" s="221">
        <v>0</v>
      </c>
      <c r="P2251" s="221">
        <v>0</v>
      </c>
      <c r="Q2251" s="221">
        <v>0</v>
      </c>
      <c r="R2251" s="221">
        <v>0</v>
      </c>
      <c r="S2251" s="221"/>
      <c r="T2251" s="221"/>
      <c r="U2251" s="221"/>
      <c r="V2251" s="221"/>
      <c r="W2251" s="221"/>
      <c r="X2251" s="221"/>
      <c r="Y2251" s="227"/>
      <c r="Z2251" s="227">
        <f t="shared" si="79"/>
        <v>0</v>
      </c>
      <c r="AA2251" s="276" t="e">
        <f>VLOOKUP(Logfile_S12[[#This Row],[DO number]],DO_DB!G:I,3,0)</f>
        <v>#N/A</v>
      </c>
      <c r="AB2251" s="331" t="e">
        <f>EXACT(Logfile_S12[[#This Row],[date pick]],Logfile_S12[[#This Row],[Date]])</f>
        <v>#N/A</v>
      </c>
      <c r="AC22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52" spans="1:29" ht="14.5" hidden="1">
      <c r="A2252" s="220" t="str">
        <f t="shared" si="80"/>
        <v>2248</v>
      </c>
      <c r="B2252" s="221"/>
      <c r="C2252" s="221" t="s">
        <v>49</v>
      </c>
      <c r="D2252" s="221" t="s">
        <v>4083</v>
      </c>
      <c r="E2252" s="221" t="s">
        <v>3295</v>
      </c>
      <c r="F2252" s="221" t="s">
        <v>3299</v>
      </c>
      <c r="G2252" s="222">
        <v>45450</v>
      </c>
      <c r="H2252" s="223">
        <v>0.72291666666666676</v>
      </c>
      <c r="I2252" s="221" t="s">
        <v>4916</v>
      </c>
      <c r="J2252" s="221" t="s">
        <v>3024</v>
      </c>
      <c r="K2252" s="224" t="s">
        <v>3094</v>
      </c>
      <c r="L2252" s="225" t="str">
        <f>VLOOKUP(Logfile_S12[[#This Row],[Material Name]],Sheet2!B:C,2,0)</f>
        <v>GCI1008</v>
      </c>
      <c r="M2252" s="225" t="str">
        <f>_xlfn.XLOOKUP(Logfile_S12[[#This Row],[Material Name]],Sum_WH!E:E,Sum_WH!F:F,"",0)</f>
        <v>Pcs</v>
      </c>
      <c r="N2252" s="221">
        <v>112</v>
      </c>
      <c r="O2252" s="221" t="s">
        <v>1493</v>
      </c>
      <c r="P2252" s="221" t="s">
        <v>1494</v>
      </c>
      <c r="Q2252" s="221"/>
      <c r="R2252" s="221"/>
      <c r="S2252" s="221"/>
      <c r="T2252" s="221" t="s">
        <v>3258</v>
      </c>
      <c r="U2252" s="221" t="s">
        <v>3228</v>
      </c>
      <c r="V2252" s="221" t="s">
        <v>3337</v>
      </c>
      <c r="W2252" s="221" t="s">
        <v>3338</v>
      </c>
      <c r="X2252" s="221"/>
      <c r="Y2252" s="227"/>
      <c r="Z2252" s="227" t="str">
        <f t="shared" ref="Z2252:Z2315" si="81">P2252</f>
        <v>Dusun Krajan Kucur</v>
      </c>
      <c r="AA2252" s="276" t="e">
        <f>VLOOKUP(Logfile_S12[[#This Row],[DO number]],DO_DB!G:I,3,0)</f>
        <v>#N/A</v>
      </c>
      <c r="AB2252" s="331" t="e">
        <f>EXACT(Logfile_S12[[#This Row],[date pick]],Logfile_S12[[#This Row],[Date]])</f>
        <v>#N/A</v>
      </c>
      <c r="AC22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53" spans="1:29" ht="14.5" hidden="1">
      <c r="A2253" s="220" t="str">
        <f t="shared" si="80"/>
        <v>2249</v>
      </c>
      <c r="B2253" s="221"/>
      <c r="C2253" s="221" t="s">
        <v>49</v>
      </c>
      <c r="D2253" s="221" t="s">
        <v>4085</v>
      </c>
      <c r="E2253" s="221" t="s">
        <v>3295</v>
      </c>
      <c r="F2253" s="221" t="s">
        <v>3299</v>
      </c>
      <c r="G2253" s="222">
        <v>45453</v>
      </c>
      <c r="H2253" s="223">
        <v>0.56041666666666667</v>
      </c>
      <c r="I2253" s="221" t="s">
        <v>4916</v>
      </c>
      <c r="J2253" s="221" t="s">
        <v>3024</v>
      </c>
      <c r="K2253" s="224" t="s">
        <v>3094</v>
      </c>
      <c r="L2253" s="225" t="str">
        <f>VLOOKUP(Logfile_S12[[#This Row],[Material Name]],Sheet2!B:C,2,0)</f>
        <v>GCI1008</v>
      </c>
      <c r="M2253" s="225" t="str">
        <f>_xlfn.XLOOKUP(Logfile_S12[[#This Row],[Material Name]],Sum_WH!E:E,Sum_WH!F:F,"",0)</f>
        <v>Pcs</v>
      </c>
      <c r="N2253" s="221">
        <v>30</v>
      </c>
      <c r="O2253" s="221" t="s">
        <v>1473</v>
      </c>
      <c r="P2253" s="221" t="s">
        <v>1474</v>
      </c>
      <c r="Q2253" s="221"/>
      <c r="R2253" s="221"/>
      <c r="S2253" s="221"/>
      <c r="T2253" s="221" t="s">
        <v>3258</v>
      </c>
      <c r="U2253" s="221" t="s">
        <v>3228</v>
      </c>
      <c r="V2253" s="221" t="s">
        <v>3337</v>
      </c>
      <c r="W2253" s="221" t="s">
        <v>3338</v>
      </c>
      <c r="X2253" s="221"/>
      <c r="Y2253" s="227"/>
      <c r="Z2253" s="227" t="str">
        <f t="shared" si="81"/>
        <v>Dusun Sumber Bendo Kucur</v>
      </c>
      <c r="AA2253" s="276" t="e">
        <f>VLOOKUP(Logfile_S12[[#This Row],[DO number]],DO_DB!G:I,3,0)</f>
        <v>#N/A</v>
      </c>
      <c r="AB2253" s="331" t="e">
        <f>EXACT(Logfile_S12[[#This Row],[date pick]],Logfile_S12[[#This Row],[Date]])</f>
        <v>#N/A</v>
      </c>
      <c r="AC22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54" spans="1:29" ht="14.5" hidden="1">
      <c r="A2254" s="220" t="str">
        <f t="shared" si="80"/>
        <v>2250</v>
      </c>
      <c r="B2254" s="221"/>
      <c r="C2254" s="221" t="s">
        <v>49</v>
      </c>
      <c r="D2254" s="221" t="s">
        <v>4088</v>
      </c>
      <c r="E2254" s="221" t="s">
        <v>3295</v>
      </c>
      <c r="F2254" s="221" t="s">
        <v>3299</v>
      </c>
      <c r="G2254" s="222">
        <v>45457</v>
      </c>
      <c r="H2254" s="223">
        <v>0.57708333333333328</v>
      </c>
      <c r="I2254" s="221" t="s">
        <v>4916</v>
      </c>
      <c r="J2254" s="221" t="s">
        <v>3024</v>
      </c>
      <c r="K2254" s="224" t="s">
        <v>3094</v>
      </c>
      <c r="L2254" s="225" t="str">
        <f>VLOOKUP(Logfile_S12[[#This Row],[Material Name]],Sheet2!B:C,2,0)</f>
        <v>GCI1008</v>
      </c>
      <c r="M2254" s="225" t="str">
        <f>_xlfn.XLOOKUP(Logfile_S12[[#This Row],[Material Name]],Sum_WH!E:E,Sum_WH!F:F,"",0)</f>
        <v>Pcs</v>
      </c>
      <c r="N2254" s="221">
        <v>7</v>
      </c>
      <c r="O2254" s="221" t="s">
        <v>1473</v>
      </c>
      <c r="P2254" s="221" t="s">
        <v>1474</v>
      </c>
      <c r="Q2254" s="221"/>
      <c r="R2254" s="221"/>
      <c r="S2254" s="221"/>
      <c r="T2254" s="221" t="s">
        <v>3356</v>
      </c>
      <c r="U2254" s="221" t="s">
        <v>3228</v>
      </c>
      <c r="V2254" s="221" t="s">
        <v>3357</v>
      </c>
      <c r="W2254" s="221" t="s">
        <v>3358</v>
      </c>
      <c r="X2254" s="221"/>
      <c r="Y2254" s="227"/>
      <c r="Z2254" s="227" t="str">
        <f t="shared" si="81"/>
        <v>Dusun Sumber Bendo Kucur</v>
      </c>
      <c r="AA2254" s="276" t="e">
        <f>VLOOKUP(Logfile_S12[[#This Row],[DO number]],DO_DB!G:I,3,0)</f>
        <v>#N/A</v>
      </c>
      <c r="AB2254" s="331" t="e">
        <f>EXACT(Logfile_S12[[#This Row],[date pick]],Logfile_S12[[#This Row],[Date]])</f>
        <v>#N/A</v>
      </c>
      <c r="AC22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55" spans="1:29" ht="14.5" hidden="1">
      <c r="A2255" s="220" t="str">
        <f t="shared" si="80"/>
        <v>2251</v>
      </c>
      <c r="B2255" s="221"/>
      <c r="C2255" s="221" t="s">
        <v>49</v>
      </c>
      <c r="D2255" s="221" t="s">
        <v>4094</v>
      </c>
      <c r="E2255" s="221" t="s">
        <v>3295</v>
      </c>
      <c r="F2255" s="221" t="s">
        <v>3299</v>
      </c>
      <c r="G2255" s="222">
        <v>45463</v>
      </c>
      <c r="H2255" s="223">
        <v>0.44444444444444442</v>
      </c>
      <c r="I2255" s="221" t="s">
        <v>4916</v>
      </c>
      <c r="J2255" s="221" t="s">
        <v>3024</v>
      </c>
      <c r="K2255" s="224" t="s">
        <v>3094</v>
      </c>
      <c r="L2255" s="225" t="str">
        <f>VLOOKUP(Logfile_S12[[#This Row],[Material Name]],Sheet2!B:C,2,0)</f>
        <v>GCI1008</v>
      </c>
      <c r="M2255" s="225" t="str">
        <f>_xlfn.XLOOKUP(Logfile_S12[[#This Row],[Material Name]],Sum_WH!E:E,Sum_WH!F:F,"",0)</f>
        <v>Pcs</v>
      </c>
      <c r="N2255" s="221">
        <v>10</v>
      </c>
      <c r="O2255" s="221" t="s">
        <v>1683</v>
      </c>
      <c r="P2255" s="221" t="s">
        <v>1684</v>
      </c>
      <c r="Q2255" s="221"/>
      <c r="R2255" s="221"/>
      <c r="S2255" s="221"/>
      <c r="T2255" s="221" t="s">
        <v>3258</v>
      </c>
      <c r="U2255" s="221" t="s">
        <v>3228</v>
      </c>
      <c r="V2255" s="221" t="s">
        <v>3337</v>
      </c>
      <c r="W2255" s="221" t="s">
        <v>3338</v>
      </c>
      <c r="X2255" s="221"/>
      <c r="Y2255" s="227"/>
      <c r="Z2255" s="227" t="str">
        <f t="shared" si="81"/>
        <v>Lowokwaru RW 04</v>
      </c>
      <c r="AA2255" s="276" t="e">
        <f>VLOOKUP(Logfile_S12[[#This Row],[DO number]],DO_DB!G:I,3,0)</f>
        <v>#N/A</v>
      </c>
      <c r="AB2255" s="331" t="e">
        <f>EXACT(Logfile_S12[[#This Row],[date pick]],Logfile_S12[[#This Row],[Date]])</f>
        <v>#N/A</v>
      </c>
      <c r="AC22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56" spans="1:29" ht="14.5" hidden="1">
      <c r="A2256" s="220" t="str">
        <f t="shared" si="80"/>
        <v>2252</v>
      </c>
      <c r="B2256" s="221"/>
      <c r="C2256" s="221" t="s">
        <v>49</v>
      </c>
      <c r="D2256" s="221" t="s">
        <v>4096</v>
      </c>
      <c r="E2256" s="221" t="s">
        <v>3295</v>
      </c>
      <c r="F2256" s="221" t="s">
        <v>3299</v>
      </c>
      <c r="G2256" s="222">
        <v>45464</v>
      </c>
      <c r="H2256" s="223">
        <v>0.51180555555555551</v>
      </c>
      <c r="I2256" s="221" t="s">
        <v>4916</v>
      </c>
      <c r="J2256" s="221" t="s">
        <v>3024</v>
      </c>
      <c r="K2256" s="224" t="s">
        <v>3094</v>
      </c>
      <c r="L2256" s="225" t="str">
        <f>VLOOKUP(Logfile_S12[[#This Row],[Material Name]],Sheet2!B:C,2,0)</f>
        <v>GCI1008</v>
      </c>
      <c r="M2256" s="225" t="str">
        <f>_xlfn.XLOOKUP(Logfile_S12[[#This Row],[Material Name]],Sum_WH!E:E,Sum_WH!F:F,"",0)</f>
        <v>Pcs</v>
      </c>
      <c r="N2256" s="221">
        <v>53</v>
      </c>
      <c r="O2256" s="221" t="s">
        <v>1689</v>
      </c>
      <c r="P2256" s="221" t="s">
        <v>1690</v>
      </c>
      <c r="Q2256" s="221"/>
      <c r="R2256" s="221"/>
      <c r="S2256" s="221"/>
      <c r="T2256" s="221" t="s">
        <v>3258</v>
      </c>
      <c r="U2256" s="221" t="s">
        <v>3228</v>
      </c>
      <c r="V2256" s="221" t="s">
        <v>3337</v>
      </c>
      <c r="W2256" s="221" t="s">
        <v>3338</v>
      </c>
      <c r="X2256" s="221"/>
      <c r="Y2256" s="227"/>
      <c r="Z2256" s="227" t="str">
        <f t="shared" si="81"/>
        <v>Kebonagung RW 13 Pakisaji</v>
      </c>
      <c r="AA2256" s="276" t="e">
        <f>VLOOKUP(Logfile_S12[[#This Row],[DO number]],DO_DB!G:I,3,0)</f>
        <v>#N/A</v>
      </c>
      <c r="AB2256" s="331" t="e">
        <f>EXACT(Logfile_S12[[#This Row],[date pick]],Logfile_S12[[#This Row],[Date]])</f>
        <v>#N/A</v>
      </c>
      <c r="AC22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57" spans="1:29" ht="14.5" hidden="1">
      <c r="A2257" s="220" t="str">
        <f t="shared" si="80"/>
        <v>2253</v>
      </c>
      <c r="B2257" s="221"/>
      <c r="C2257" s="221" t="s">
        <v>48</v>
      </c>
      <c r="D2257" s="221" t="s">
        <v>4103</v>
      </c>
      <c r="E2257" s="221" t="s">
        <v>3295</v>
      </c>
      <c r="F2257" s="221" t="s">
        <v>3299</v>
      </c>
      <c r="G2257" s="222">
        <v>45468</v>
      </c>
      <c r="H2257" s="223">
        <v>15.291666666666666</v>
      </c>
      <c r="I2257" s="221" t="s">
        <v>38</v>
      </c>
      <c r="J2257" s="221" t="s">
        <v>3024</v>
      </c>
      <c r="K2257" s="224" t="s">
        <v>3094</v>
      </c>
      <c r="L2257" s="225" t="str">
        <f>VLOOKUP(Logfile_S12[[#This Row],[Material Name]],Sheet2!B:C,2,0)</f>
        <v>GCI1008</v>
      </c>
      <c r="M2257" s="225" t="str">
        <f>_xlfn.XLOOKUP(Logfile_S12[[#This Row],[Material Name]],Sum_WH!E:E,Sum_WH!F:F,"",0)</f>
        <v>Pcs</v>
      </c>
      <c r="N2257" s="221">
        <v>63</v>
      </c>
      <c r="O2257" s="221">
        <v>0</v>
      </c>
      <c r="P2257" s="221">
        <v>0</v>
      </c>
      <c r="Q2257" s="221">
        <v>0</v>
      </c>
      <c r="R2257" s="221">
        <v>0</v>
      </c>
      <c r="S2257" s="221"/>
      <c r="T2257" s="221"/>
      <c r="U2257" s="221"/>
      <c r="V2257" s="221"/>
      <c r="W2257" s="221"/>
      <c r="X2257" s="221"/>
      <c r="Y2257" s="227"/>
      <c r="Z2257" s="227">
        <f t="shared" si="81"/>
        <v>0</v>
      </c>
      <c r="AA2257" s="276" t="e">
        <f>VLOOKUP(Logfile_S12[[#This Row],[DO number]],DO_DB!G:I,3,0)</f>
        <v>#N/A</v>
      </c>
      <c r="AB2257" s="331" t="e">
        <f>EXACT(Logfile_S12[[#This Row],[date pick]],Logfile_S12[[#This Row],[Date]])</f>
        <v>#N/A</v>
      </c>
      <c r="AC22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58" spans="1:29" ht="14.5" hidden="1">
      <c r="A2258" s="220" t="str">
        <f t="shared" si="80"/>
        <v>2254</v>
      </c>
      <c r="B2258" s="221"/>
      <c r="C2258" s="221" t="s">
        <v>49</v>
      </c>
      <c r="D2258" s="221" t="s">
        <v>4104</v>
      </c>
      <c r="E2258" s="221" t="s">
        <v>3295</v>
      </c>
      <c r="F2258" s="221" t="s">
        <v>3299</v>
      </c>
      <c r="G2258" s="222">
        <v>45469</v>
      </c>
      <c r="H2258" s="223">
        <v>0.4145833333333333</v>
      </c>
      <c r="I2258" s="221" t="s">
        <v>4916</v>
      </c>
      <c r="J2258" s="221" t="s">
        <v>3024</v>
      </c>
      <c r="K2258" s="224" t="s">
        <v>3094</v>
      </c>
      <c r="L2258" s="225" t="str">
        <f>VLOOKUP(Logfile_S12[[#This Row],[Material Name]],Sheet2!B:C,2,0)</f>
        <v>GCI1008</v>
      </c>
      <c r="M2258" s="225" t="str">
        <f>_xlfn.XLOOKUP(Logfile_S12[[#This Row],[Material Name]],Sum_WH!E:E,Sum_WH!F:F,"",0)</f>
        <v>Pcs</v>
      </c>
      <c r="N2258" s="221">
        <v>60</v>
      </c>
      <c r="O2258" s="221" t="s">
        <v>1689</v>
      </c>
      <c r="P2258" s="221" t="s">
        <v>1690</v>
      </c>
      <c r="Q2258" s="221"/>
      <c r="R2258" s="221"/>
      <c r="S2258" s="221"/>
      <c r="T2258" s="221" t="s">
        <v>3258</v>
      </c>
      <c r="U2258" s="221" t="s">
        <v>3228</v>
      </c>
      <c r="V2258" s="221" t="s">
        <v>3337</v>
      </c>
      <c r="W2258" s="221" t="s">
        <v>3338</v>
      </c>
      <c r="X2258" s="221"/>
      <c r="Y2258" s="227"/>
      <c r="Z2258" s="227" t="str">
        <f t="shared" si="81"/>
        <v>Kebonagung RW 13 Pakisaji</v>
      </c>
      <c r="AA2258" s="276" t="e">
        <f>VLOOKUP(Logfile_S12[[#This Row],[DO number]],DO_DB!G:I,3,0)</f>
        <v>#N/A</v>
      </c>
      <c r="AB2258" s="331" t="e">
        <f>EXACT(Logfile_S12[[#This Row],[date pick]],Logfile_S12[[#This Row],[Date]])</f>
        <v>#N/A</v>
      </c>
      <c r="AC22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59" spans="1:29" ht="14.5" hidden="1">
      <c r="A2259" s="220" t="str">
        <f t="shared" si="80"/>
        <v>2255</v>
      </c>
      <c r="B2259" s="221"/>
      <c r="C2259" s="221" t="s">
        <v>48</v>
      </c>
      <c r="D2259" s="221" t="s">
        <v>4108</v>
      </c>
      <c r="E2259" s="221" t="s">
        <v>3295</v>
      </c>
      <c r="F2259" s="221" t="s">
        <v>3299</v>
      </c>
      <c r="G2259" s="222">
        <v>45476</v>
      </c>
      <c r="H2259" s="223">
        <v>15.291666666666666</v>
      </c>
      <c r="I2259" s="221" t="s">
        <v>38</v>
      </c>
      <c r="J2259" s="221" t="s">
        <v>3024</v>
      </c>
      <c r="K2259" s="224" t="s">
        <v>3094</v>
      </c>
      <c r="L2259" s="225" t="str">
        <f>VLOOKUP(Logfile_S12[[#This Row],[Material Name]],Sheet2!B:C,2,0)</f>
        <v>GCI1008</v>
      </c>
      <c r="M2259" s="225" t="str">
        <f>_xlfn.XLOOKUP(Logfile_S12[[#This Row],[Material Name]],Sum_WH!E:E,Sum_WH!F:F,"",0)</f>
        <v>Pcs</v>
      </c>
      <c r="N2259" s="221">
        <v>314</v>
      </c>
      <c r="O2259" s="221">
        <v>0</v>
      </c>
      <c r="P2259" s="221" t="s">
        <v>3373</v>
      </c>
      <c r="Q2259" s="221">
        <v>0</v>
      </c>
      <c r="R2259" s="221">
        <v>0</v>
      </c>
      <c r="S2259" s="221"/>
      <c r="T2259" s="221"/>
      <c r="U2259" s="221"/>
      <c r="V2259" s="221"/>
      <c r="W2259" s="221"/>
      <c r="X2259" s="221"/>
      <c r="Y2259" s="227"/>
      <c r="Z2259" s="227" t="str">
        <f t="shared" si="81"/>
        <v>HALIM JAYA</v>
      </c>
      <c r="AA2259" s="276" t="e">
        <f>VLOOKUP(Logfile_S12[[#This Row],[DO number]],DO_DB!G:I,3,0)</f>
        <v>#N/A</v>
      </c>
      <c r="AB2259" s="331" t="e">
        <f>EXACT(Logfile_S12[[#This Row],[date pick]],Logfile_S12[[#This Row],[Date]])</f>
        <v>#N/A</v>
      </c>
      <c r="AC22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60" spans="1:29" ht="14.5" hidden="1">
      <c r="A2260" s="220" t="str">
        <f t="shared" si="80"/>
        <v>2256</v>
      </c>
      <c r="B2260" s="221"/>
      <c r="C2260" s="221" t="s">
        <v>49</v>
      </c>
      <c r="D2260" s="221" t="s">
        <v>4109</v>
      </c>
      <c r="E2260" s="221" t="s">
        <v>3295</v>
      </c>
      <c r="F2260" s="221" t="s">
        <v>3299</v>
      </c>
      <c r="G2260" s="222">
        <v>45477</v>
      </c>
      <c r="H2260" s="223">
        <v>0.4236111111111111</v>
      </c>
      <c r="I2260" s="221" t="s">
        <v>4916</v>
      </c>
      <c r="J2260" s="221" t="s">
        <v>3024</v>
      </c>
      <c r="K2260" s="224" t="s">
        <v>3094</v>
      </c>
      <c r="L2260" s="225" t="str">
        <f>VLOOKUP(Logfile_S12[[#This Row],[Material Name]],Sheet2!B:C,2,0)</f>
        <v>GCI1008</v>
      </c>
      <c r="M2260" s="225" t="str">
        <f>_xlfn.XLOOKUP(Logfile_S12[[#This Row],[Material Name]],Sum_WH!E:E,Sum_WH!F:F,"",0)</f>
        <v>Pcs</v>
      </c>
      <c r="N2260" s="221">
        <v>100</v>
      </c>
      <c r="O2260" s="221" t="s">
        <v>2013</v>
      </c>
      <c r="P2260" s="221" t="s">
        <v>2014</v>
      </c>
      <c r="Q2260" s="221"/>
      <c r="R2260" s="221"/>
      <c r="S2260" s="221"/>
      <c r="T2260" s="221" t="s">
        <v>3258</v>
      </c>
      <c r="U2260" s="221" t="s">
        <v>3228</v>
      </c>
      <c r="V2260" s="221" t="s">
        <v>3337</v>
      </c>
      <c r="W2260" s="221" t="s">
        <v>3338</v>
      </c>
      <c r="X2260" s="221"/>
      <c r="Y2260" s="227"/>
      <c r="Z2260" s="227" t="str">
        <f t="shared" si="81"/>
        <v>Perumahan Panca Garden</v>
      </c>
      <c r="AA2260" s="276" t="e">
        <f>VLOOKUP(Logfile_S12[[#This Row],[DO number]],DO_DB!G:I,3,0)</f>
        <v>#N/A</v>
      </c>
      <c r="AB2260" s="331" t="e">
        <f>EXACT(Logfile_S12[[#This Row],[date pick]],Logfile_S12[[#This Row],[Date]])</f>
        <v>#N/A</v>
      </c>
      <c r="AC22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61" spans="1:29" ht="14.5" hidden="1">
      <c r="A2261" s="220" t="str">
        <f t="shared" si="80"/>
        <v>2257</v>
      </c>
      <c r="B2261" s="221"/>
      <c r="C2261" s="221" t="s">
        <v>49</v>
      </c>
      <c r="D2261" s="221" t="s">
        <v>4111</v>
      </c>
      <c r="E2261" s="221" t="s">
        <v>3295</v>
      </c>
      <c r="F2261" s="221" t="s">
        <v>3299</v>
      </c>
      <c r="G2261" s="222">
        <v>45478</v>
      </c>
      <c r="H2261" s="223">
        <v>0.54791666666666672</v>
      </c>
      <c r="I2261" s="221" t="s">
        <v>4916</v>
      </c>
      <c r="J2261" s="221" t="s">
        <v>3024</v>
      </c>
      <c r="K2261" s="224" t="s">
        <v>3094</v>
      </c>
      <c r="L2261" s="225" t="str">
        <f>VLOOKUP(Logfile_S12[[#This Row],[Material Name]],Sheet2!B:C,2,0)</f>
        <v>GCI1008</v>
      </c>
      <c r="M2261" s="225" t="str">
        <f>_xlfn.XLOOKUP(Logfile_S12[[#This Row],[Material Name]],Sum_WH!E:E,Sum_WH!F:F,"",0)</f>
        <v>Pcs</v>
      </c>
      <c r="N2261" s="221">
        <v>50</v>
      </c>
      <c r="O2261" s="221" t="s">
        <v>1721</v>
      </c>
      <c r="P2261" s="221" t="s">
        <v>1722</v>
      </c>
      <c r="Q2261" s="221"/>
      <c r="R2261" s="221"/>
      <c r="S2261" s="221"/>
      <c r="T2261" s="221" t="s">
        <v>3258</v>
      </c>
      <c r="U2261" s="221" t="s">
        <v>3228</v>
      </c>
      <c r="V2261" s="221" t="s">
        <v>3337</v>
      </c>
      <c r="W2261" s="221" t="s">
        <v>3338</v>
      </c>
      <c r="X2261" s="221"/>
      <c r="Y2261" s="227"/>
      <c r="Z2261" s="227" t="str">
        <f t="shared" si="81"/>
        <v>Perumahan Perumnas Talangagung I Malang</v>
      </c>
      <c r="AA2261" s="276" t="e">
        <f>VLOOKUP(Logfile_S12[[#This Row],[DO number]],DO_DB!G:I,3,0)</f>
        <v>#N/A</v>
      </c>
      <c r="AB2261" s="331" t="e">
        <f>EXACT(Logfile_S12[[#This Row],[date pick]],Logfile_S12[[#This Row],[Date]])</f>
        <v>#N/A</v>
      </c>
      <c r="AC22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62" spans="1:29" ht="14.5" hidden="1">
      <c r="A2262" s="220" t="str">
        <f t="shared" si="80"/>
        <v>2258</v>
      </c>
      <c r="B2262" s="221"/>
      <c r="C2262" s="221" t="s">
        <v>49</v>
      </c>
      <c r="D2262" s="221" t="s">
        <v>4110</v>
      </c>
      <c r="E2262" s="221" t="s">
        <v>3295</v>
      </c>
      <c r="F2262" s="221" t="s">
        <v>3299</v>
      </c>
      <c r="G2262" s="222">
        <v>45478</v>
      </c>
      <c r="H2262" s="223">
        <v>0.4236111111111111</v>
      </c>
      <c r="I2262" s="221" t="s">
        <v>4916</v>
      </c>
      <c r="J2262" s="221" t="s">
        <v>3024</v>
      </c>
      <c r="K2262" s="224" t="s">
        <v>3094</v>
      </c>
      <c r="L2262" s="225" t="str">
        <f>VLOOKUP(Logfile_S12[[#This Row],[Material Name]],Sheet2!B:C,2,0)</f>
        <v>GCI1008</v>
      </c>
      <c r="M2262" s="225" t="str">
        <f>_xlfn.XLOOKUP(Logfile_S12[[#This Row],[Material Name]],Sum_WH!E:E,Sum_WH!F:F,"",0)</f>
        <v>Pcs</v>
      </c>
      <c r="N2262" s="221">
        <v>60</v>
      </c>
      <c r="O2262" s="221" t="s">
        <v>1705</v>
      </c>
      <c r="P2262" s="221" t="s">
        <v>1706</v>
      </c>
      <c r="Q2262" s="221"/>
      <c r="R2262" s="221"/>
      <c r="S2262" s="221"/>
      <c r="T2262" s="221" t="s">
        <v>3258</v>
      </c>
      <c r="U2262" s="221" t="s">
        <v>3228</v>
      </c>
      <c r="V2262" s="221" t="s">
        <v>3337</v>
      </c>
      <c r="W2262" s="221" t="s">
        <v>3338</v>
      </c>
      <c r="X2262" s="221"/>
      <c r="Y2262" s="227"/>
      <c r="Z2262" s="227" t="str">
        <f t="shared" si="81"/>
        <v>Perumahan Kepanjen Permai II</v>
      </c>
      <c r="AA2262" s="276" t="e">
        <f>VLOOKUP(Logfile_S12[[#This Row],[DO number]],DO_DB!G:I,3,0)</f>
        <v>#N/A</v>
      </c>
      <c r="AB2262" s="331" t="e">
        <f>EXACT(Logfile_S12[[#This Row],[date pick]],Logfile_S12[[#This Row],[Date]])</f>
        <v>#N/A</v>
      </c>
      <c r="AC22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63" spans="1:29" ht="14.5" hidden="1">
      <c r="A2263" s="220" t="str">
        <f t="shared" si="80"/>
        <v>2259</v>
      </c>
      <c r="B2263" s="221"/>
      <c r="C2263" s="221" t="s">
        <v>49</v>
      </c>
      <c r="D2263" s="221" t="s">
        <v>4117</v>
      </c>
      <c r="E2263" s="221" t="s">
        <v>3295</v>
      </c>
      <c r="F2263" s="221" t="s">
        <v>3299</v>
      </c>
      <c r="G2263" s="222">
        <v>45485</v>
      </c>
      <c r="H2263" s="223">
        <v>0.4</v>
      </c>
      <c r="I2263" s="221" t="s">
        <v>4916</v>
      </c>
      <c r="J2263" s="221" t="s">
        <v>3024</v>
      </c>
      <c r="K2263" s="224" t="s">
        <v>3094</v>
      </c>
      <c r="L2263" s="225" t="str">
        <f>VLOOKUP(Logfile_S12[[#This Row],[Material Name]],Sheet2!B:C,2,0)</f>
        <v>GCI1008</v>
      </c>
      <c r="M2263" s="225" t="str">
        <f>_xlfn.XLOOKUP(Logfile_S12[[#This Row],[Material Name]],Sum_WH!E:E,Sum_WH!F:F,"",0)</f>
        <v>Pcs</v>
      </c>
      <c r="N2263" s="221">
        <v>12</v>
      </c>
      <c r="O2263" s="221" t="s">
        <v>2007</v>
      </c>
      <c r="P2263" s="221" t="s">
        <v>2008</v>
      </c>
      <c r="Q2263" s="221"/>
      <c r="R2263" s="221"/>
      <c r="S2263" s="221"/>
      <c r="T2263" s="221" t="s">
        <v>3258</v>
      </c>
      <c r="U2263" s="221" t="s">
        <v>3228</v>
      </c>
      <c r="V2263" s="221" t="s">
        <v>3337</v>
      </c>
      <c r="W2263" s="221" t="s">
        <v>3338</v>
      </c>
      <c r="X2263" s="221"/>
      <c r="Y2263" s="227"/>
      <c r="Z2263" s="227" t="str">
        <f t="shared" si="81"/>
        <v>Ngenep RW 06 Karang Ploso</v>
      </c>
      <c r="AA2263" s="276" t="e">
        <f>VLOOKUP(Logfile_S12[[#This Row],[DO number]],DO_DB!G:I,3,0)</f>
        <v>#N/A</v>
      </c>
      <c r="AB2263" s="331" t="e">
        <f>EXACT(Logfile_S12[[#This Row],[date pick]],Logfile_S12[[#This Row],[Date]])</f>
        <v>#N/A</v>
      </c>
      <c r="AC22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64" spans="1:29" ht="14.5" hidden="1">
      <c r="A2264" s="220" t="str">
        <f t="shared" si="80"/>
        <v>2260</v>
      </c>
      <c r="B2264" s="221"/>
      <c r="C2264" s="221" t="s">
        <v>49</v>
      </c>
      <c r="D2264" s="221" t="s">
        <v>4118</v>
      </c>
      <c r="E2264" s="221" t="s">
        <v>3295</v>
      </c>
      <c r="F2264" s="221" t="s">
        <v>3299</v>
      </c>
      <c r="G2264" s="222">
        <v>45487</v>
      </c>
      <c r="H2264" s="223">
        <v>0.67222222222222228</v>
      </c>
      <c r="I2264" s="221" t="s">
        <v>4916</v>
      </c>
      <c r="J2264" s="221" t="s">
        <v>3024</v>
      </c>
      <c r="K2264" s="224" t="s">
        <v>3094</v>
      </c>
      <c r="L2264" s="225" t="str">
        <f>VLOOKUP(Logfile_S12[[#This Row],[Material Name]],Sheet2!B:C,2,0)</f>
        <v>GCI1008</v>
      </c>
      <c r="M2264" s="225" t="str">
        <f>_xlfn.XLOOKUP(Logfile_S12[[#This Row],[Material Name]],Sum_WH!E:E,Sum_WH!F:F,"",0)</f>
        <v>Pcs</v>
      </c>
      <c r="N2264" s="221">
        <v>50</v>
      </c>
      <c r="O2264" s="221" t="s">
        <v>1721</v>
      </c>
      <c r="P2264" s="221" t="s">
        <v>1722</v>
      </c>
      <c r="Q2264" s="221"/>
      <c r="R2264" s="221"/>
      <c r="S2264" s="221"/>
      <c r="T2264" s="221" t="s">
        <v>3258</v>
      </c>
      <c r="U2264" s="221" t="s">
        <v>3228</v>
      </c>
      <c r="V2264" s="221" t="s">
        <v>3337</v>
      </c>
      <c r="W2264" s="221" t="s">
        <v>3338</v>
      </c>
      <c r="X2264" s="221"/>
      <c r="Y2264" s="227"/>
      <c r="Z2264" s="227" t="str">
        <f t="shared" si="81"/>
        <v>Perumahan Perumnas Talangagung I Malang</v>
      </c>
      <c r="AA2264" s="276" t="e">
        <f>VLOOKUP(Logfile_S12[[#This Row],[DO number]],DO_DB!G:I,3,0)</f>
        <v>#N/A</v>
      </c>
      <c r="AB2264" s="331" t="e">
        <f>EXACT(Logfile_S12[[#This Row],[date pick]],Logfile_S12[[#This Row],[Date]])</f>
        <v>#N/A</v>
      </c>
      <c r="AC22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65" spans="1:29" ht="14.5" hidden="1">
      <c r="A2265" s="220" t="str">
        <f t="shared" si="80"/>
        <v>2261</v>
      </c>
      <c r="B2265" s="221"/>
      <c r="C2265" s="221" t="s">
        <v>49</v>
      </c>
      <c r="D2265" s="221" t="s">
        <v>4128</v>
      </c>
      <c r="E2265" s="221" t="s">
        <v>3295</v>
      </c>
      <c r="F2265" s="221" t="s">
        <v>3299</v>
      </c>
      <c r="G2265" s="222">
        <v>45497</v>
      </c>
      <c r="H2265" s="223">
        <v>0.63888888888888884</v>
      </c>
      <c r="I2265" s="221" t="s">
        <v>4916</v>
      </c>
      <c r="J2265" s="221" t="s">
        <v>3024</v>
      </c>
      <c r="K2265" s="224" t="s">
        <v>3094</v>
      </c>
      <c r="L2265" s="225" t="str">
        <f>VLOOKUP(Logfile_S12[[#This Row],[Material Name]],Sheet2!B:C,2,0)</f>
        <v>GCI1008</v>
      </c>
      <c r="M2265" s="225" t="str">
        <f>_xlfn.XLOOKUP(Logfile_S12[[#This Row],[Material Name]],Sum_WH!E:E,Sum_WH!F:F,"",0)</f>
        <v>Pcs</v>
      </c>
      <c r="N2265" s="221">
        <v>49</v>
      </c>
      <c r="O2265" s="221" t="s">
        <v>1803</v>
      </c>
      <c r="P2265" s="221" t="s">
        <v>1804</v>
      </c>
      <c r="Q2265" s="221"/>
      <c r="R2265" s="221"/>
      <c r="S2265" s="221"/>
      <c r="T2265" s="221" t="s">
        <v>3258</v>
      </c>
      <c r="U2265" s="221" t="s">
        <v>3228</v>
      </c>
      <c r="V2265" s="221" t="s">
        <v>3337</v>
      </c>
      <c r="W2265" s="221" t="s">
        <v>3338</v>
      </c>
      <c r="X2265" s="221"/>
      <c r="Y2265" s="227"/>
      <c r="Z2265" s="227" t="str">
        <f t="shared" si="81"/>
        <v>Dusun Langlang IV Singosari</v>
      </c>
      <c r="AA2265" s="276" t="e">
        <f>VLOOKUP(Logfile_S12[[#This Row],[DO number]],DO_DB!G:I,3,0)</f>
        <v>#N/A</v>
      </c>
      <c r="AB2265" s="331" t="e">
        <f>EXACT(Logfile_S12[[#This Row],[date pick]],Logfile_S12[[#This Row],[Date]])</f>
        <v>#N/A</v>
      </c>
      <c r="AC22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66" spans="1:29" ht="14.5" hidden="1">
      <c r="A2266" s="220" t="str">
        <f t="shared" si="80"/>
        <v>2262</v>
      </c>
      <c r="B2266" s="221"/>
      <c r="C2266" s="221" t="s">
        <v>49</v>
      </c>
      <c r="D2266" s="221" t="s">
        <v>4131</v>
      </c>
      <c r="E2266" s="221" t="s">
        <v>3295</v>
      </c>
      <c r="F2266" s="221" t="s">
        <v>3299</v>
      </c>
      <c r="G2266" s="222">
        <v>45500</v>
      </c>
      <c r="H2266" s="223">
        <v>0.59027777777777779</v>
      </c>
      <c r="I2266" s="221" t="s">
        <v>4916</v>
      </c>
      <c r="J2266" s="221" t="s">
        <v>3024</v>
      </c>
      <c r="K2266" s="224" t="s">
        <v>3094</v>
      </c>
      <c r="L2266" s="225" t="str">
        <f>VLOOKUP(Logfile_S12[[#This Row],[Material Name]],Sheet2!B:C,2,0)</f>
        <v>GCI1008</v>
      </c>
      <c r="M2266" s="225" t="str">
        <f>_xlfn.XLOOKUP(Logfile_S12[[#This Row],[Material Name]],Sum_WH!E:E,Sum_WH!F:F,"",0)</f>
        <v>Pcs</v>
      </c>
      <c r="N2266" s="221">
        <v>4</v>
      </c>
      <c r="O2266" s="221" t="s">
        <v>1803</v>
      </c>
      <c r="P2266" s="221" t="s">
        <v>1804</v>
      </c>
      <c r="Q2266" s="221"/>
      <c r="R2266" s="221"/>
      <c r="S2266" s="221"/>
      <c r="T2266" s="221" t="s">
        <v>3258</v>
      </c>
      <c r="U2266" s="221" t="s">
        <v>3228</v>
      </c>
      <c r="V2266" s="221" t="s">
        <v>3337</v>
      </c>
      <c r="W2266" s="221" t="s">
        <v>3338</v>
      </c>
      <c r="X2266" s="221"/>
      <c r="Y2266" s="227"/>
      <c r="Z2266" s="227" t="str">
        <f t="shared" si="81"/>
        <v>Dusun Langlang IV Singosari</v>
      </c>
      <c r="AA2266" s="276" t="e">
        <f>VLOOKUP(Logfile_S12[[#This Row],[DO number]],DO_DB!G:I,3,0)</f>
        <v>#N/A</v>
      </c>
      <c r="AB2266" s="331" t="e">
        <f>EXACT(Logfile_S12[[#This Row],[date pick]],Logfile_S12[[#This Row],[Date]])</f>
        <v>#N/A</v>
      </c>
      <c r="AC22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67" spans="1:29" ht="14.5" hidden="1">
      <c r="A2267" s="220" t="str">
        <f t="shared" si="80"/>
        <v>2263</v>
      </c>
      <c r="B2267" s="221"/>
      <c r="C2267" s="221" t="s">
        <v>48</v>
      </c>
      <c r="D2267" s="221" t="s">
        <v>4141</v>
      </c>
      <c r="E2267" s="221" t="s">
        <v>3295</v>
      </c>
      <c r="F2267" s="221" t="s">
        <v>3299</v>
      </c>
      <c r="G2267" s="222">
        <v>45506</v>
      </c>
      <c r="H2267" s="223">
        <v>15.291666666666666</v>
      </c>
      <c r="I2267" s="221" t="s">
        <v>38</v>
      </c>
      <c r="J2267" s="221" t="s">
        <v>3024</v>
      </c>
      <c r="K2267" s="224" t="s">
        <v>3094</v>
      </c>
      <c r="L2267" s="225" t="str">
        <f>VLOOKUP(Logfile_S12[[#This Row],[Material Name]],Sheet2!B:C,2,0)</f>
        <v>GCI1008</v>
      </c>
      <c r="M2267" s="225" t="str">
        <f>_xlfn.XLOOKUP(Logfile_S12[[#This Row],[Material Name]],Sum_WH!E:E,Sum_WH!F:F,"",0)</f>
        <v>Pcs</v>
      </c>
      <c r="N2267" s="221">
        <v>290</v>
      </c>
      <c r="O2267" s="221">
        <v>0</v>
      </c>
      <c r="P2267" s="221">
        <v>0</v>
      </c>
      <c r="Q2267" s="221">
        <v>0</v>
      </c>
      <c r="R2267" s="221">
        <v>0</v>
      </c>
      <c r="S2267" s="221"/>
      <c r="T2267" s="221"/>
      <c r="U2267" s="221"/>
      <c r="V2267" s="221"/>
      <c r="W2267" s="221"/>
      <c r="X2267" s="221"/>
      <c r="Y2267" s="227"/>
      <c r="Z2267" s="227">
        <f t="shared" si="81"/>
        <v>0</v>
      </c>
      <c r="AA2267" s="276" t="e">
        <f>VLOOKUP(Logfile_S12[[#This Row],[DO number]],DO_DB!G:I,3,0)</f>
        <v>#N/A</v>
      </c>
      <c r="AB2267" s="331" t="e">
        <f>EXACT(Logfile_S12[[#This Row],[date pick]],Logfile_S12[[#This Row],[Date]])</f>
        <v>#N/A</v>
      </c>
      <c r="AC22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68" spans="1:29" ht="14.5" hidden="1">
      <c r="A2268" s="220" t="str">
        <f t="shared" si="80"/>
        <v>2264</v>
      </c>
      <c r="B2268" s="221"/>
      <c r="C2268" s="221" t="s">
        <v>49</v>
      </c>
      <c r="D2268" s="221" t="s">
        <v>4143</v>
      </c>
      <c r="E2268" s="221" t="s">
        <v>3295</v>
      </c>
      <c r="F2268" s="221" t="s">
        <v>3299</v>
      </c>
      <c r="G2268" s="222">
        <v>45507</v>
      </c>
      <c r="H2268" s="223">
        <v>0.4</v>
      </c>
      <c r="I2268" s="221" t="s">
        <v>4916</v>
      </c>
      <c r="J2268" s="221" t="s">
        <v>3024</v>
      </c>
      <c r="K2268" s="224" t="s">
        <v>3094</v>
      </c>
      <c r="L2268" s="225" t="str">
        <f>VLOOKUP(Logfile_S12[[#This Row],[Material Name]],Sheet2!B:C,2,0)</f>
        <v>GCI1008</v>
      </c>
      <c r="M2268" s="225" t="str">
        <f>_xlfn.XLOOKUP(Logfile_S12[[#This Row],[Material Name]],Sum_WH!E:E,Sum_WH!F:F,"",0)</f>
        <v>Pcs</v>
      </c>
      <c r="N2268" s="221">
        <v>20</v>
      </c>
      <c r="O2268" s="221" t="s">
        <v>1803</v>
      </c>
      <c r="P2268" s="221" t="s">
        <v>1804</v>
      </c>
      <c r="Q2268" s="221"/>
      <c r="R2268" s="221"/>
      <c r="S2268" s="221"/>
      <c r="T2268" s="221" t="s">
        <v>3258</v>
      </c>
      <c r="U2268" s="221" t="s">
        <v>3228</v>
      </c>
      <c r="V2268" s="221" t="s">
        <v>3337</v>
      </c>
      <c r="W2268" s="221" t="s">
        <v>3338</v>
      </c>
      <c r="X2268" s="221"/>
      <c r="Y2268" s="227"/>
      <c r="Z2268" s="227" t="str">
        <f t="shared" si="81"/>
        <v>Dusun Langlang IV Singosari</v>
      </c>
      <c r="AA2268" s="276" t="e">
        <f>VLOOKUP(Logfile_S12[[#This Row],[DO number]],DO_DB!G:I,3,0)</f>
        <v>#N/A</v>
      </c>
      <c r="AB2268" s="331" t="e">
        <f>EXACT(Logfile_S12[[#This Row],[date pick]],Logfile_S12[[#This Row],[Date]])</f>
        <v>#N/A</v>
      </c>
      <c r="AC22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69" spans="1:29" ht="14.5" hidden="1">
      <c r="A2269" s="220" t="str">
        <f t="shared" si="80"/>
        <v>2265</v>
      </c>
      <c r="B2269" s="221"/>
      <c r="C2269" s="221" t="s">
        <v>49</v>
      </c>
      <c r="D2269" s="221" t="s">
        <v>4149</v>
      </c>
      <c r="E2269" s="221" t="s">
        <v>3295</v>
      </c>
      <c r="F2269" s="221" t="s">
        <v>3299</v>
      </c>
      <c r="G2269" s="222">
        <v>45511</v>
      </c>
      <c r="H2269" s="223">
        <v>0.44861111111111113</v>
      </c>
      <c r="I2269" s="221" t="s">
        <v>4916</v>
      </c>
      <c r="J2269" s="221" t="s">
        <v>3024</v>
      </c>
      <c r="K2269" s="224" t="s">
        <v>3094</v>
      </c>
      <c r="L2269" s="225" t="str">
        <f>VLOOKUP(Logfile_S12[[#This Row],[Material Name]],Sheet2!B:C,2,0)</f>
        <v>GCI1008</v>
      </c>
      <c r="M2269" s="225" t="str">
        <f>_xlfn.XLOOKUP(Logfile_S12[[#This Row],[Material Name]],Sum_WH!E:E,Sum_WH!F:F,"",0)</f>
        <v>Pcs</v>
      </c>
      <c r="N2269" s="221">
        <v>40</v>
      </c>
      <c r="O2269" s="221" t="s">
        <v>1807</v>
      </c>
      <c r="P2269" s="221" t="s">
        <v>3399</v>
      </c>
      <c r="Q2269" s="221"/>
      <c r="R2269" s="221"/>
      <c r="S2269" s="221"/>
      <c r="T2269" s="221" t="s">
        <v>3244</v>
      </c>
      <c r="U2269" s="221">
        <v>0</v>
      </c>
      <c r="V2269" s="221" t="s">
        <v>3248</v>
      </c>
      <c r="W2269" s="221" t="s">
        <v>3252</v>
      </c>
      <c r="X2269" s="221"/>
      <c r="Y2269" s="227"/>
      <c r="Z2269" s="227" t="str">
        <f t="shared" si="81"/>
        <v>HUBFEEDER TIRTASANI TO GIRIMOYO</v>
      </c>
      <c r="AA2269" s="276" t="e">
        <f>VLOOKUP(Logfile_S12[[#This Row],[DO number]],DO_DB!G:I,3,0)</f>
        <v>#N/A</v>
      </c>
      <c r="AB2269" s="331" t="e">
        <f>EXACT(Logfile_S12[[#This Row],[date pick]],Logfile_S12[[#This Row],[Date]])</f>
        <v>#N/A</v>
      </c>
      <c r="AC22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70" spans="1:29" ht="14.5" hidden="1">
      <c r="A2270" s="220" t="str">
        <f t="shared" si="80"/>
        <v>2266</v>
      </c>
      <c r="B2270" s="221"/>
      <c r="C2270" s="221" t="s">
        <v>49</v>
      </c>
      <c r="D2270" s="221" t="s">
        <v>4150</v>
      </c>
      <c r="E2270" s="221" t="s">
        <v>3295</v>
      </c>
      <c r="F2270" s="221" t="s">
        <v>3299</v>
      </c>
      <c r="G2270" s="222">
        <v>45511</v>
      </c>
      <c r="H2270" s="223">
        <v>0.78333333333333333</v>
      </c>
      <c r="I2270" s="221" t="s">
        <v>4916</v>
      </c>
      <c r="J2270" s="221" t="s">
        <v>3024</v>
      </c>
      <c r="K2270" s="224" t="s">
        <v>3094</v>
      </c>
      <c r="L2270" s="225" t="str">
        <f>VLOOKUP(Logfile_S12[[#This Row],[Material Name]],Sheet2!B:C,2,0)</f>
        <v>GCI1008</v>
      </c>
      <c r="M2270" s="225" t="str">
        <f>_xlfn.XLOOKUP(Logfile_S12[[#This Row],[Material Name]],Sum_WH!E:E,Sum_WH!F:F,"",0)</f>
        <v>Pcs</v>
      </c>
      <c r="N2270" s="221">
        <v>100</v>
      </c>
      <c r="O2270" s="221" t="s">
        <v>1799</v>
      </c>
      <c r="P2270" s="221" t="s">
        <v>3398</v>
      </c>
      <c r="Q2270" s="221"/>
      <c r="R2270" s="221"/>
      <c r="S2270" s="221"/>
      <c r="T2270" s="221" t="s">
        <v>3258</v>
      </c>
      <c r="U2270" s="221" t="s">
        <v>3228</v>
      </c>
      <c r="V2270" s="221" t="s">
        <v>3337</v>
      </c>
      <c r="W2270" s="221" t="s">
        <v>3338</v>
      </c>
      <c r="X2270" s="221"/>
      <c r="Y2270" s="227"/>
      <c r="Z2270" s="227" t="str">
        <f t="shared" si="81"/>
        <v>HUBFEEDER KEPANJEN TO JATIKERTO</v>
      </c>
      <c r="AA2270" s="276" t="e">
        <f>VLOOKUP(Logfile_S12[[#This Row],[DO number]],DO_DB!G:I,3,0)</f>
        <v>#N/A</v>
      </c>
      <c r="AB2270" s="331" t="e">
        <f>EXACT(Logfile_S12[[#This Row],[date pick]],Logfile_S12[[#This Row],[Date]])</f>
        <v>#N/A</v>
      </c>
      <c r="AC22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71" spans="1:29" ht="14.5" hidden="1">
      <c r="A2271" s="220" t="str">
        <f t="shared" si="80"/>
        <v>2267</v>
      </c>
      <c r="B2271" s="221"/>
      <c r="C2271" s="221" t="s">
        <v>48</v>
      </c>
      <c r="D2271" s="221" t="s">
        <v>4156</v>
      </c>
      <c r="E2271" s="221" t="s">
        <v>3295</v>
      </c>
      <c r="F2271" s="221" t="s">
        <v>3299</v>
      </c>
      <c r="G2271" s="222">
        <v>45514</v>
      </c>
      <c r="H2271" s="223">
        <v>15.291666666666666</v>
      </c>
      <c r="I2271" s="221" t="s">
        <v>38</v>
      </c>
      <c r="J2271" s="221" t="s">
        <v>3024</v>
      </c>
      <c r="K2271" s="224" t="s">
        <v>3094</v>
      </c>
      <c r="L2271" s="225" t="str">
        <f>VLOOKUP(Logfile_S12[[#This Row],[Material Name]],Sheet2!B:C,2,0)</f>
        <v>GCI1008</v>
      </c>
      <c r="M2271" s="225" t="str">
        <f>_xlfn.XLOOKUP(Logfile_S12[[#This Row],[Material Name]],Sum_WH!E:E,Sum_WH!F:F,"",0)</f>
        <v>Pcs</v>
      </c>
      <c r="N2271" s="221">
        <v>6</v>
      </c>
      <c r="O2271" s="221" t="s">
        <v>3397</v>
      </c>
      <c r="P2271" s="221" t="s">
        <v>3300</v>
      </c>
      <c r="Q2271" s="221">
        <v>0</v>
      </c>
      <c r="R2271" s="221">
        <v>0</v>
      </c>
      <c r="S2271" s="221"/>
      <c r="T2271" s="221"/>
      <c r="U2271" s="221"/>
      <c r="V2271" s="221"/>
      <c r="W2271" s="221"/>
      <c r="X2271" s="221"/>
      <c r="Y2271" s="227"/>
      <c r="Z2271" s="227" t="str">
        <f t="shared" si="81"/>
        <v>Pengembalian</v>
      </c>
      <c r="AA2271" s="276" t="e">
        <f>VLOOKUP(Logfile_S12[[#This Row],[DO number]],DO_DB!G:I,3,0)</f>
        <v>#N/A</v>
      </c>
      <c r="AB2271" s="331" t="e">
        <f>EXACT(Logfile_S12[[#This Row],[date pick]],Logfile_S12[[#This Row],[Date]])</f>
        <v>#N/A</v>
      </c>
      <c r="AC22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72" spans="1:29" ht="14.5" hidden="1">
      <c r="A2272" s="220" t="str">
        <f t="shared" si="80"/>
        <v>2268</v>
      </c>
      <c r="B2272" s="221"/>
      <c r="C2272" s="221" t="s">
        <v>49</v>
      </c>
      <c r="D2272" s="221" t="s">
        <v>4164</v>
      </c>
      <c r="E2272" s="221" t="s">
        <v>3295</v>
      </c>
      <c r="F2272" s="221" t="s">
        <v>3299</v>
      </c>
      <c r="G2272" s="222">
        <v>45524</v>
      </c>
      <c r="H2272" s="223">
        <v>0.70416666666666672</v>
      </c>
      <c r="I2272" s="221" t="s">
        <v>4916</v>
      </c>
      <c r="J2272" s="221" t="s">
        <v>3024</v>
      </c>
      <c r="K2272" s="224" t="s">
        <v>3094</v>
      </c>
      <c r="L2272" s="225" t="str">
        <f>VLOOKUP(Logfile_S12[[#This Row],[Material Name]],Sheet2!B:C,2,0)</f>
        <v>GCI1008</v>
      </c>
      <c r="M2272" s="225" t="str">
        <f>_xlfn.XLOOKUP(Logfile_S12[[#This Row],[Material Name]],Sum_WH!E:E,Sum_WH!F:F,"",0)</f>
        <v>Pcs</v>
      </c>
      <c r="N2272" s="221">
        <v>30</v>
      </c>
      <c r="O2272" s="221" t="s">
        <v>1391</v>
      </c>
      <c r="P2272" s="221" t="s">
        <v>1392</v>
      </c>
      <c r="Q2272" s="221"/>
      <c r="R2272" s="221"/>
      <c r="S2272" s="221"/>
      <c r="T2272" s="221" t="s">
        <v>3244</v>
      </c>
      <c r="U2272" s="221">
        <v>0</v>
      </c>
      <c r="V2272" s="221" t="s">
        <v>3248</v>
      </c>
      <c r="W2272" s="221" t="s">
        <v>3252</v>
      </c>
      <c r="X2272" s="221"/>
      <c r="Y2272" s="227"/>
      <c r="Z2272" s="227" t="str">
        <f t="shared" si="81"/>
        <v>Klampok RW 01 Singosari</v>
      </c>
      <c r="AA2272" s="276" t="e">
        <f>VLOOKUP(Logfile_S12[[#This Row],[DO number]],DO_DB!G:I,3,0)</f>
        <v>#N/A</v>
      </c>
      <c r="AB2272" s="331" t="e">
        <f>EXACT(Logfile_S12[[#This Row],[date pick]],Logfile_S12[[#This Row],[Date]])</f>
        <v>#N/A</v>
      </c>
      <c r="AC22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73" spans="1:29" ht="14.5" hidden="1">
      <c r="A2273" s="220" t="str">
        <f t="shared" si="80"/>
        <v>2269</v>
      </c>
      <c r="B2273" s="221"/>
      <c r="C2273" s="221" t="s">
        <v>49</v>
      </c>
      <c r="D2273" s="221" t="s">
        <v>4173</v>
      </c>
      <c r="E2273" s="221" t="s">
        <v>3295</v>
      </c>
      <c r="F2273" s="221" t="s">
        <v>3299</v>
      </c>
      <c r="G2273" s="222">
        <v>45527</v>
      </c>
      <c r="H2273" s="223">
        <v>0.46736111111111112</v>
      </c>
      <c r="I2273" s="221" t="s">
        <v>4916</v>
      </c>
      <c r="J2273" s="221" t="s">
        <v>3024</v>
      </c>
      <c r="K2273" s="224" t="s">
        <v>3094</v>
      </c>
      <c r="L2273" s="225" t="str">
        <f>VLOOKUP(Logfile_S12[[#This Row],[Material Name]],Sheet2!B:C,2,0)</f>
        <v>GCI1008</v>
      </c>
      <c r="M2273" s="225" t="str">
        <f>_xlfn.XLOOKUP(Logfile_S12[[#This Row],[Material Name]],Sum_WH!E:E,Sum_WH!F:F,"",0)</f>
        <v>Pcs</v>
      </c>
      <c r="N2273" s="221">
        <v>50</v>
      </c>
      <c r="O2273" s="221" t="s">
        <v>1911</v>
      </c>
      <c r="P2273" s="221" t="s">
        <v>1912</v>
      </c>
      <c r="Q2273" s="221"/>
      <c r="R2273" s="221"/>
      <c r="S2273" s="221"/>
      <c r="T2273" s="221" t="s">
        <v>3258</v>
      </c>
      <c r="U2273" s="221" t="s">
        <v>3228</v>
      </c>
      <c r="V2273" s="221" t="s">
        <v>3337</v>
      </c>
      <c r="W2273" s="221" t="s">
        <v>3338</v>
      </c>
      <c r="X2273" s="221"/>
      <c r="Y2273" s="227"/>
      <c r="Z2273" s="227" t="str">
        <f t="shared" si="81"/>
        <v>Dilem RW 03 Kepanjen</v>
      </c>
      <c r="AA2273" s="276" t="e">
        <f>VLOOKUP(Logfile_S12[[#This Row],[DO number]],DO_DB!G:I,3,0)</f>
        <v>#N/A</v>
      </c>
      <c r="AB2273" s="331" t="e">
        <f>EXACT(Logfile_S12[[#This Row],[date pick]],Logfile_S12[[#This Row],[Date]])</f>
        <v>#N/A</v>
      </c>
      <c r="AC22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74" spans="1:29" ht="14.5" hidden="1">
      <c r="A2274" s="220" t="str">
        <f t="shared" si="80"/>
        <v>2270</v>
      </c>
      <c r="B2274" s="221"/>
      <c r="C2274" s="221" t="s">
        <v>49</v>
      </c>
      <c r="D2274" s="221" t="s">
        <v>4187</v>
      </c>
      <c r="E2274" s="221" t="s">
        <v>3295</v>
      </c>
      <c r="F2274" s="221" t="s">
        <v>3299</v>
      </c>
      <c r="G2274" s="222">
        <v>45533</v>
      </c>
      <c r="H2274" s="223">
        <v>0.34652777777777777</v>
      </c>
      <c r="I2274" s="221" t="s">
        <v>4916</v>
      </c>
      <c r="J2274" s="221" t="s">
        <v>3024</v>
      </c>
      <c r="K2274" s="224" t="s">
        <v>3094</v>
      </c>
      <c r="L2274" s="225" t="str">
        <f>VLOOKUP(Logfile_S12[[#This Row],[Material Name]],Sheet2!B:C,2,0)</f>
        <v>GCI1008</v>
      </c>
      <c r="M2274" s="225" t="str">
        <f>_xlfn.XLOOKUP(Logfile_S12[[#This Row],[Material Name]],Sum_WH!E:E,Sum_WH!F:F,"",0)</f>
        <v>Pcs</v>
      </c>
      <c r="N2274" s="221">
        <v>50</v>
      </c>
      <c r="O2274" s="221" t="s">
        <v>1929</v>
      </c>
      <c r="P2274" s="221" t="s">
        <v>1930</v>
      </c>
      <c r="Q2274" s="221"/>
      <c r="R2274" s="221"/>
      <c r="S2274" s="221"/>
      <c r="T2274" s="221" t="s">
        <v>3244</v>
      </c>
      <c r="U2274" s="221">
        <v>0</v>
      </c>
      <c r="V2274" s="221" t="s">
        <v>3248</v>
      </c>
      <c r="W2274" s="221" t="s">
        <v>3252</v>
      </c>
      <c r="X2274" s="221"/>
      <c r="Y2274" s="227"/>
      <c r="Z2274" s="227" t="str">
        <f t="shared" si="81"/>
        <v>Dusun Krajan Sumbersekar</v>
      </c>
      <c r="AA2274" s="276" t="e">
        <f>VLOOKUP(Logfile_S12[[#This Row],[DO number]],DO_DB!G:I,3,0)</f>
        <v>#N/A</v>
      </c>
      <c r="AB2274" s="331" t="e">
        <f>EXACT(Logfile_S12[[#This Row],[date pick]],Logfile_S12[[#This Row],[Date]])</f>
        <v>#N/A</v>
      </c>
      <c r="AC22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75" spans="1:29" ht="14.5" hidden="1">
      <c r="A2275" s="220" t="str">
        <f t="shared" si="80"/>
        <v>2271</v>
      </c>
      <c r="B2275" s="221"/>
      <c r="C2275" s="221" t="s">
        <v>48</v>
      </c>
      <c r="D2275" s="221" t="s">
        <v>4212</v>
      </c>
      <c r="E2275" s="221" t="s">
        <v>3295</v>
      </c>
      <c r="F2275" s="221" t="s">
        <v>3299</v>
      </c>
      <c r="G2275" s="222">
        <v>45541</v>
      </c>
      <c r="H2275" s="223">
        <v>15.291666666666666</v>
      </c>
      <c r="I2275" s="221" t="s">
        <v>38</v>
      </c>
      <c r="J2275" s="221" t="s">
        <v>3024</v>
      </c>
      <c r="K2275" s="224" t="s">
        <v>3094</v>
      </c>
      <c r="L2275" s="225" t="str">
        <f>VLOOKUP(Logfile_S12[[#This Row],[Material Name]],Sheet2!B:C,2,0)</f>
        <v>GCI1008</v>
      </c>
      <c r="M2275" s="225" t="str">
        <f>_xlfn.XLOOKUP(Logfile_S12[[#This Row],[Material Name]],Sum_WH!E:E,Sum_WH!F:F,"",0)</f>
        <v>Pcs</v>
      </c>
      <c r="N2275" s="221">
        <v>396</v>
      </c>
      <c r="O2275" s="221">
        <v>0</v>
      </c>
      <c r="P2275" s="221">
        <v>0</v>
      </c>
      <c r="Q2275" s="221">
        <v>0</v>
      </c>
      <c r="R2275" s="221">
        <v>0</v>
      </c>
      <c r="S2275" s="221"/>
      <c r="T2275" s="221"/>
      <c r="U2275" s="221"/>
      <c r="V2275" s="221"/>
      <c r="W2275" s="221"/>
      <c r="X2275" s="221"/>
      <c r="Y2275" s="227"/>
      <c r="Z2275" s="227">
        <f t="shared" si="81"/>
        <v>0</v>
      </c>
      <c r="AA2275" s="276" t="e">
        <f>VLOOKUP(Logfile_S12[[#This Row],[DO number]],DO_DB!G:I,3,0)</f>
        <v>#N/A</v>
      </c>
      <c r="AB2275" s="331" t="e">
        <f>EXACT(Logfile_S12[[#This Row],[date pick]],Logfile_S12[[#This Row],[Date]])</f>
        <v>#N/A</v>
      </c>
      <c r="AC22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76" spans="1:29" ht="14.5" hidden="1">
      <c r="A2276" s="220" t="str">
        <f t="shared" si="80"/>
        <v>2272</v>
      </c>
      <c r="B2276" s="221"/>
      <c r="C2276" s="221" t="s">
        <v>49</v>
      </c>
      <c r="D2276" s="221" t="s">
        <v>4211</v>
      </c>
      <c r="E2276" s="221" t="s">
        <v>3295</v>
      </c>
      <c r="F2276" s="221" t="s">
        <v>3299</v>
      </c>
      <c r="G2276" s="222">
        <v>45541</v>
      </c>
      <c r="H2276" s="223">
        <v>0.80069444444444449</v>
      </c>
      <c r="I2276" s="221" t="s">
        <v>4916</v>
      </c>
      <c r="J2276" s="221" t="s">
        <v>3024</v>
      </c>
      <c r="K2276" s="224" t="s">
        <v>3094</v>
      </c>
      <c r="L2276" s="225" t="str">
        <f>VLOOKUP(Logfile_S12[[#This Row],[Material Name]],Sheet2!B:C,2,0)</f>
        <v>GCI1008</v>
      </c>
      <c r="M2276" s="225" t="str">
        <f>_xlfn.XLOOKUP(Logfile_S12[[#This Row],[Material Name]],Sum_WH!E:E,Sum_WH!F:F,"",0)</f>
        <v>Pcs</v>
      </c>
      <c r="N2276" s="221">
        <v>20</v>
      </c>
      <c r="O2276" s="221" t="s">
        <v>2025</v>
      </c>
      <c r="P2276" s="221" t="s">
        <v>2026</v>
      </c>
      <c r="Q2276" s="221"/>
      <c r="R2276" s="221"/>
      <c r="S2276" s="221"/>
      <c r="T2276" s="221" t="s">
        <v>3244</v>
      </c>
      <c r="U2276" s="221">
        <v>0</v>
      </c>
      <c r="V2276" s="221" t="s">
        <v>3248</v>
      </c>
      <c r="W2276" s="221" t="s">
        <v>3252</v>
      </c>
      <c r="X2276" s="221"/>
      <c r="Y2276" s="227"/>
      <c r="Z2276" s="227" t="str">
        <f t="shared" si="81"/>
        <v>NGENEP UTARA RW 03 MALANG</v>
      </c>
      <c r="AA2276" s="276" t="e">
        <f>VLOOKUP(Logfile_S12[[#This Row],[DO number]],DO_DB!G:I,3,0)</f>
        <v>#N/A</v>
      </c>
      <c r="AB2276" s="331" t="e">
        <f>EXACT(Logfile_S12[[#This Row],[date pick]],Logfile_S12[[#This Row],[Date]])</f>
        <v>#N/A</v>
      </c>
      <c r="AC22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77" spans="1:29" ht="14.5" hidden="1">
      <c r="A2277" s="220" t="str">
        <f t="shared" si="80"/>
        <v>2273</v>
      </c>
      <c r="B2277" s="221"/>
      <c r="C2277" s="221" t="s">
        <v>49</v>
      </c>
      <c r="D2277" s="221" t="s">
        <v>4211</v>
      </c>
      <c r="E2277" s="221" t="s">
        <v>3295</v>
      </c>
      <c r="F2277" s="221" t="s">
        <v>3299</v>
      </c>
      <c r="G2277" s="222">
        <v>45541</v>
      </c>
      <c r="H2277" s="223">
        <v>0.80069444444444449</v>
      </c>
      <c r="I2277" s="221" t="s">
        <v>4916</v>
      </c>
      <c r="J2277" s="221" t="s">
        <v>3024</v>
      </c>
      <c r="K2277" s="224" t="s">
        <v>3094</v>
      </c>
      <c r="L2277" s="225" t="str">
        <f>VLOOKUP(Logfile_S12[[#This Row],[Material Name]],Sheet2!B:C,2,0)</f>
        <v>GCI1008</v>
      </c>
      <c r="M2277" s="225" t="str">
        <f>_xlfn.XLOOKUP(Logfile_S12[[#This Row],[Material Name]],Sum_WH!E:E,Sum_WH!F:F,"",0)</f>
        <v>Pcs</v>
      </c>
      <c r="N2277" s="221">
        <v>26</v>
      </c>
      <c r="O2277" s="221" t="s">
        <v>1929</v>
      </c>
      <c r="P2277" s="221" t="s">
        <v>1930</v>
      </c>
      <c r="Q2277" s="221"/>
      <c r="R2277" s="221"/>
      <c r="S2277" s="221"/>
      <c r="T2277" s="221" t="s">
        <v>3244</v>
      </c>
      <c r="U2277" s="221">
        <v>0</v>
      </c>
      <c r="V2277" s="221" t="s">
        <v>3248</v>
      </c>
      <c r="W2277" s="221" t="s">
        <v>3252</v>
      </c>
      <c r="X2277" s="221"/>
      <c r="Y2277" s="227"/>
      <c r="Z2277" s="227" t="str">
        <f t="shared" si="81"/>
        <v>Dusun Krajan Sumbersekar</v>
      </c>
      <c r="AA2277" s="276" t="e">
        <f>VLOOKUP(Logfile_S12[[#This Row],[DO number]],DO_DB!G:I,3,0)</f>
        <v>#N/A</v>
      </c>
      <c r="AB2277" s="331" t="e">
        <f>EXACT(Logfile_S12[[#This Row],[date pick]],Logfile_S12[[#This Row],[Date]])</f>
        <v>#N/A</v>
      </c>
      <c r="AC22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78" spans="1:29" ht="14.5" hidden="1">
      <c r="A2278" s="220" t="str">
        <f t="shared" si="80"/>
        <v>2274</v>
      </c>
      <c r="B2278" s="221"/>
      <c r="C2278" s="221" t="s">
        <v>49</v>
      </c>
      <c r="D2278" s="221" t="s">
        <v>4215</v>
      </c>
      <c r="E2278" s="221" t="s">
        <v>3295</v>
      </c>
      <c r="F2278" s="221" t="s">
        <v>3299</v>
      </c>
      <c r="G2278" s="222">
        <v>45542</v>
      </c>
      <c r="H2278" s="223">
        <v>0.73750000000000004</v>
      </c>
      <c r="I2278" s="221" t="s">
        <v>4916</v>
      </c>
      <c r="J2278" s="221" t="s">
        <v>3024</v>
      </c>
      <c r="K2278" s="224" t="s">
        <v>3094</v>
      </c>
      <c r="L2278" s="225" t="str">
        <f>VLOOKUP(Logfile_S12[[#This Row],[Material Name]],Sheet2!B:C,2,0)</f>
        <v>GCI1008</v>
      </c>
      <c r="M2278" s="225" t="str">
        <f>_xlfn.XLOOKUP(Logfile_S12[[#This Row],[Material Name]],Sum_WH!E:E,Sum_WH!F:F,"",0)</f>
        <v>Pcs</v>
      </c>
      <c r="N2278" s="221">
        <v>200</v>
      </c>
      <c r="O2278" s="221" t="s">
        <v>1951</v>
      </c>
      <c r="P2278" s="221" t="s">
        <v>3374</v>
      </c>
      <c r="Q2278" s="221"/>
      <c r="R2278" s="221"/>
      <c r="S2278" s="221"/>
      <c r="T2278" s="221" t="s">
        <v>3258</v>
      </c>
      <c r="U2278" s="221">
        <v>0</v>
      </c>
      <c r="V2278" s="221" t="s">
        <v>3337</v>
      </c>
      <c r="W2278" s="221" t="s">
        <v>3338</v>
      </c>
      <c r="X2278" s="221"/>
      <c r="Y2278" s="227"/>
      <c r="Z2278" s="227" t="str">
        <f t="shared" si="81"/>
        <v>SENGGURUH RW 01 MALANG</v>
      </c>
      <c r="AA2278" s="276" t="e">
        <f>VLOOKUP(Logfile_S12[[#This Row],[DO number]],DO_DB!G:I,3,0)</f>
        <v>#N/A</v>
      </c>
      <c r="AB2278" s="331" t="e">
        <f>EXACT(Logfile_S12[[#This Row],[date pick]],Logfile_S12[[#This Row],[Date]])</f>
        <v>#N/A</v>
      </c>
      <c r="AC22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79" spans="1:29" ht="14.5" hidden="1">
      <c r="A2279" s="220" t="str">
        <f t="shared" si="80"/>
        <v>2275</v>
      </c>
      <c r="B2279" s="221"/>
      <c r="C2279" s="221" t="s">
        <v>49</v>
      </c>
      <c r="D2279" s="221" t="s">
        <v>4217</v>
      </c>
      <c r="E2279" s="221" t="s">
        <v>3295</v>
      </c>
      <c r="F2279" s="221" t="s">
        <v>3299</v>
      </c>
      <c r="G2279" s="222">
        <v>45545</v>
      </c>
      <c r="H2279" s="223">
        <v>0.3659722222222222</v>
      </c>
      <c r="I2279" s="221" t="s">
        <v>4916</v>
      </c>
      <c r="J2279" s="221" t="s">
        <v>3024</v>
      </c>
      <c r="K2279" s="224" t="s">
        <v>3094</v>
      </c>
      <c r="L2279" s="225" t="str">
        <f>VLOOKUP(Logfile_S12[[#This Row],[Material Name]],Sheet2!B:C,2,0)</f>
        <v>GCI1008</v>
      </c>
      <c r="M2279" s="225" t="str">
        <f>_xlfn.XLOOKUP(Logfile_S12[[#This Row],[Material Name]],Sum_WH!E:E,Sum_WH!F:F,"",0)</f>
        <v>Pcs</v>
      </c>
      <c r="N2279" s="221">
        <v>125</v>
      </c>
      <c r="O2279" s="221" t="s">
        <v>2142</v>
      </c>
      <c r="P2279" s="221" t="s">
        <v>3400</v>
      </c>
      <c r="Q2279" s="221"/>
      <c r="R2279" s="221"/>
      <c r="S2279" s="221"/>
      <c r="T2279" s="221" t="s">
        <v>3244</v>
      </c>
      <c r="U2279" s="221">
        <v>0</v>
      </c>
      <c r="V2279" s="221" t="s">
        <v>3248</v>
      </c>
      <c r="W2279" s="221" t="s">
        <v>3252</v>
      </c>
      <c r="X2279" s="221"/>
      <c r="Y2279" s="227"/>
      <c r="Z2279" s="227" t="str">
        <f t="shared" si="81"/>
        <v>HUBFEEDER DINOYO SUMBERSEKAR</v>
      </c>
      <c r="AA2279" s="276" t="e">
        <f>VLOOKUP(Logfile_S12[[#This Row],[DO number]],DO_DB!G:I,3,0)</f>
        <v>#N/A</v>
      </c>
      <c r="AB2279" s="331" t="e">
        <f>EXACT(Logfile_S12[[#This Row],[date pick]],Logfile_S12[[#This Row],[Date]])</f>
        <v>#N/A</v>
      </c>
      <c r="AC22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80" spans="1:29" ht="14.5" hidden="1">
      <c r="A2280" s="220" t="str">
        <f t="shared" si="80"/>
        <v>2276</v>
      </c>
      <c r="B2280" s="221"/>
      <c r="C2280" s="221" t="s">
        <v>48</v>
      </c>
      <c r="D2280" s="221" t="s">
        <v>4222</v>
      </c>
      <c r="E2280" s="221" t="s">
        <v>3295</v>
      </c>
      <c r="F2280" s="221" t="s">
        <v>3299</v>
      </c>
      <c r="G2280" s="222">
        <v>45554</v>
      </c>
      <c r="H2280" s="223">
        <v>15.291666666666666</v>
      </c>
      <c r="I2280" s="221" t="s">
        <v>3586</v>
      </c>
      <c r="J2280" s="221" t="s">
        <v>3024</v>
      </c>
      <c r="K2280" s="224" t="s">
        <v>3094</v>
      </c>
      <c r="L2280" s="225" t="str">
        <f>VLOOKUP(Logfile_S12[[#This Row],[Material Name]],Sheet2!B:C,2,0)</f>
        <v>GCI1008</v>
      </c>
      <c r="M2280" s="225" t="str">
        <f>_xlfn.XLOOKUP(Logfile_S12[[#This Row],[Material Name]],Sum_WH!E:E,Sum_WH!F:F,"",0)</f>
        <v>Pcs</v>
      </c>
      <c r="N2280" s="221">
        <v>52</v>
      </c>
      <c r="O2280" s="221" t="s">
        <v>3397</v>
      </c>
      <c r="P2280" s="221" t="s">
        <v>3401</v>
      </c>
      <c r="Q2280" s="221">
        <v>0</v>
      </c>
      <c r="R2280" s="221">
        <v>0</v>
      </c>
      <c r="S2280" s="221"/>
      <c r="T2280" s="221"/>
      <c r="U2280" s="221"/>
      <c r="V2280" s="221"/>
      <c r="W2280" s="221"/>
      <c r="X2280" s="221"/>
      <c r="Y2280" s="227"/>
      <c r="Z2280" s="227" t="str">
        <f t="shared" si="81"/>
        <v>MF Sumbersekar</v>
      </c>
      <c r="AA2280" s="276" t="e">
        <f>VLOOKUP(Logfile_S12[[#This Row],[DO number]],DO_DB!G:I,3,0)</f>
        <v>#N/A</v>
      </c>
      <c r="AB2280" s="331" t="e">
        <f>EXACT(Logfile_S12[[#This Row],[date pick]],Logfile_S12[[#This Row],[Date]])</f>
        <v>#N/A</v>
      </c>
      <c r="AC22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81" spans="1:29" ht="14.5" hidden="1">
      <c r="A2281" s="220" t="str">
        <f t="shared" si="80"/>
        <v>2277</v>
      </c>
      <c r="B2281" s="221"/>
      <c r="C2281" s="221" t="s">
        <v>3313</v>
      </c>
      <c r="D2281" s="221" t="s">
        <v>4223</v>
      </c>
      <c r="E2281" s="221" t="s">
        <v>3295</v>
      </c>
      <c r="F2281" s="221" t="s">
        <v>3299</v>
      </c>
      <c r="G2281" s="222">
        <v>45554</v>
      </c>
      <c r="H2281" s="223">
        <v>15.291666666666666</v>
      </c>
      <c r="I2281" s="221" t="s">
        <v>4917</v>
      </c>
      <c r="J2281" s="221" t="s">
        <v>3024</v>
      </c>
      <c r="K2281" s="224" t="s">
        <v>3094</v>
      </c>
      <c r="L2281" s="225" t="str">
        <f>VLOOKUP(Logfile_S12[[#This Row],[Material Name]],Sheet2!B:C,2,0)</f>
        <v>GCI1008</v>
      </c>
      <c r="M2281" s="225" t="str">
        <f>_xlfn.XLOOKUP(Logfile_S12[[#This Row],[Material Name]],Sum_WH!E:E,Sum_WH!F:F,"",0)</f>
        <v>Pcs</v>
      </c>
      <c r="N2281" s="221">
        <v>49</v>
      </c>
      <c r="O2281" s="221" t="s">
        <v>3314</v>
      </c>
      <c r="P2281" s="221" t="s">
        <v>68</v>
      </c>
      <c r="Q2281" s="221">
        <v>0</v>
      </c>
      <c r="R2281" s="221">
        <v>0</v>
      </c>
      <c r="S2281" s="221"/>
      <c r="T2281" s="221"/>
      <c r="U2281" s="221"/>
      <c r="V2281" s="221"/>
      <c r="W2281" s="221"/>
      <c r="X2281" s="221"/>
      <c r="Y2281" s="227"/>
      <c r="Z2281" s="227" t="str">
        <f t="shared" si="81"/>
        <v>Blitar</v>
      </c>
      <c r="AA2281" s="276" t="e">
        <f>VLOOKUP(Logfile_S12[[#This Row],[DO number]],DO_DB!G:I,3,0)</f>
        <v>#N/A</v>
      </c>
      <c r="AB2281" s="331" t="e">
        <f>EXACT(Logfile_S12[[#This Row],[date pick]],Logfile_S12[[#This Row],[Date]])</f>
        <v>#N/A</v>
      </c>
      <c r="AC22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82" spans="1:29" ht="14.5" hidden="1">
      <c r="A2282" s="220" t="str">
        <f t="shared" si="80"/>
        <v>2278</v>
      </c>
      <c r="B2282" s="221"/>
      <c r="C2282" s="221" t="s">
        <v>49</v>
      </c>
      <c r="D2282" s="221" t="s">
        <v>4229</v>
      </c>
      <c r="E2282" s="221" t="s">
        <v>3295</v>
      </c>
      <c r="F2282" s="221" t="s">
        <v>3299</v>
      </c>
      <c r="G2282" s="222">
        <v>45556</v>
      </c>
      <c r="H2282" s="223">
        <v>0.71527777777777779</v>
      </c>
      <c r="I2282" s="221" t="s">
        <v>4916</v>
      </c>
      <c r="J2282" s="221" t="s">
        <v>3024</v>
      </c>
      <c r="K2282" s="224" t="s">
        <v>3094</v>
      </c>
      <c r="L2282" s="225" t="str">
        <f>VLOOKUP(Logfile_S12[[#This Row],[Material Name]],Sheet2!B:C,2,0)</f>
        <v>GCI1008</v>
      </c>
      <c r="M2282" s="225" t="str">
        <f>_xlfn.XLOOKUP(Logfile_S12[[#This Row],[Material Name]],Sum_WH!E:E,Sum_WH!F:F,"",0)</f>
        <v>Pcs</v>
      </c>
      <c r="N2282" s="221">
        <v>54</v>
      </c>
      <c r="O2282" s="221" t="s">
        <v>2142</v>
      </c>
      <c r="P2282" s="221" t="s">
        <v>3400</v>
      </c>
      <c r="Q2282" s="221"/>
      <c r="R2282" s="221"/>
      <c r="S2282" s="221"/>
      <c r="T2282" s="221" t="s">
        <v>3363</v>
      </c>
      <c r="U2282" s="221" t="s">
        <v>3228</v>
      </c>
      <c r="V2282" s="221" t="s">
        <v>3364</v>
      </c>
      <c r="W2282" s="221" t="s">
        <v>3365</v>
      </c>
      <c r="X2282" s="221"/>
      <c r="Y2282" s="227"/>
      <c r="Z2282" s="227" t="str">
        <f t="shared" si="81"/>
        <v>HUBFEEDER DINOYO SUMBERSEKAR</v>
      </c>
      <c r="AA2282" s="276" t="e">
        <f>VLOOKUP(Logfile_S12[[#This Row],[DO number]],DO_DB!G:I,3,0)</f>
        <v>#N/A</v>
      </c>
      <c r="AB2282" s="331" t="e">
        <f>EXACT(Logfile_S12[[#This Row],[date pick]],Logfile_S12[[#This Row],[Date]])</f>
        <v>#N/A</v>
      </c>
      <c r="AC22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83" spans="1:29" ht="14.5" hidden="1">
      <c r="A2283" s="220" t="str">
        <f t="shared" si="80"/>
        <v>2279</v>
      </c>
      <c r="B2283" s="221"/>
      <c r="C2283" s="221" t="s">
        <v>48</v>
      </c>
      <c r="D2283" s="221" t="s">
        <v>4238</v>
      </c>
      <c r="E2283" s="221" t="s">
        <v>3295</v>
      </c>
      <c r="F2283" s="221" t="s">
        <v>3299</v>
      </c>
      <c r="G2283" s="222">
        <v>45561</v>
      </c>
      <c r="H2283" s="223">
        <v>15.291666666666666</v>
      </c>
      <c r="I2283" s="221" t="s">
        <v>3586</v>
      </c>
      <c r="J2283" s="221" t="s">
        <v>3024</v>
      </c>
      <c r="K2283" s="224" t="s">
        <v>3094</v>
      </c>
      <c r="L2283" s="225" t="str">
        <f>VLOOKUP(Logfile_S12[[#This Row],[Material Name]],Sheet2!B:C,2,0)</f>
        <v>GCI1008</v>
      </c>
      <c r="M2283" s="225" t="str">
        <f>_xlfn.XLOOKUP(Logfile_S12[[#This Row],[Material Name]],Sum_WH!E:E,Sum_WH!F:F,"",0)</f>
        <v>Pcs</v>
      </c>
      <c r="N2283" s="221">
        <v>29</v>
      </c>
      <c r="O2283" s="221" t="s">
        <v>3397</v>
      </c>
      <c r="P2283" s="221" t="s">
        <v>3419</v>
      </c>
      <c r="Q2283" s="221">
        <v>0</v>
      </c>
      <c r="R2283" s="221">
        <v>0</v>
      </c>
      <c r="S2283" s="221"/>
      <c r="T2283" s="221"/>
      <c r="U2283" s="221"/>
      <c r="V2283" s="221"/>
      <c r="W2283" s="221"/>
      <c r="X2283" s="221"/>
      <c r="Y2283" s="227"/>
      <c r="Z2283" s="227" t="str">
        <f t="shared" si="81"/>
        <v>Sengguruh</v>
      </c>
      <c r="AA2283" s="276" t="e">
        <f>VLOOKUP(Logfile_S12[[#This Row],[DO number]],DO_DB!G:I,3,0)</f>
        <v>#N/A</v>
      </c>
      <c r="AB2283" s="331" t="e">
        <f>EXACT(Logfile_S12[[#This Row],[date pick]],Logfile_S12[[#This Row],[Date]])</f>
        <v>#N/A</v>
      </c>
      <c r="AC22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84" spans="1:29" ht="14.5" hidden="1">
      <c r="A2284" s="220" t="str">
        <f t="shared" si="80"/>
        <v>2280</v>
      </c>
      <c r="B2284" s="221"/>
      <c r="C2284" s="221" t="s">
        <v>49</v>
      </c>
      <c r="D2284" s="221" t="s">
        <v>4233</v>
      </c>
      <c r="E2284" s="221" t="s">
        <v>3295</v>
      </c>
      <c r="F2284" s="221" t="s">
        <v>3299</v>
      </c>
      <c r="G2284" s="222">
        <v>45561</v>
      </c>
      <c r="H2284" s="223">
        <v>0.64097222222222228</v>
      </c>
      <c r="I2284" s="221" t="s">
        <v>4916</v>
      </c>
      <c r="J2284" s="221" t="s">
        <v>3024</v>
      </c>
      <c r="K2284" s="224" t="s">
        <v>3094</v>
      </c>
      <c r="L2284" s="225" t="str">
        <f>VLOOKUP(Logfile_S12[[#This Row],[Material Name]],Sheet2!B:C,2,0)</f>
        <v>GCI1008</v>
      </c>
      <c r="M2284" s="225" t="str">
        <f>_xlfn.XLOOKUP(Logfile_S12[[#This Row],[Material Name]],Sum_WH!E:E,Sum_WH!F:F,"",0)</f>
        <v>Pcs</v>
      </c>
      <c r="N2284" s="221">
        <v>60</v>
      </c>
      <c r="O2284" s="221" t="s">
        <v>2166</v>
      </c>
      <c r="P2284" s="221" t="s">
        <v>2167</v>
      </c>
      <c r="Q2284" s="221"/>
      <c r="R2284" s="221"/>
      <c r="S2284" s="221"/>
      <c r="T2284" s="221" t="s">
        <v>3247</v>
      </c>
      <c r="U2284" s="221">
        <v>0</v>
      </c>
      <c r="V2284" s="221" t="s">
        <v>3375</v>
      </c>
      <c r="W2284" s="221" t="s">
        <v>3376</v>
      </c>
      <c r="X2284" s="221"/>
      <c r="Y2284" s="227"/>
      <c r="Z2284" s="227" t="str">
        <f t="shared" si="81"/>
        <v>Dusun Mojosari Ngenep</v>
      </c>
      <c r="AA2284" s="276" t="e">
        <f>VLOOKUP(Logfile_S12[[#This Row],[DO number]],DO_DB!G:I,3,0)</f>
        <v>#N/A</v>
      </c>
      <c r="AB2284" s="331" t="e">
        <f>EXACT(Logfile_S12[[#This Row],[date pick]],Logfile_S12[[#This Row],[Date]])</f>
        <v>#N/A</v>
      </c>
      <c r="AC22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85" spans="1:29" ht="14.5" hidden="1">
      <c r="A2285" s="220" t="str">
        <f t="shared" si="80"/>
        <v>2281</v>
      </c>
      <c r="B2285" s="221"/>
      <c r="C2285" s="221" t="s">
        <v>48</v>
      </c>
      <c r="D2285" s="221" t="s">
        <v>4245</v>
      </c>
      <c r="E2285" s="221" t="s">
        <v>3295</v>
      </c>
      <c r="F2285" s="221" t="s">
        <v>3299</v>
      </c>
      <c r="G2285" s="222">
        <v>45566</v>
      </c>
      <c r="H2285" s="223">
        <v>15.291666666666666</v>
      </c>
      <c r="I2285" s="221" t="s">
        <v>3586</v>
      </c>
      <c r="J2285" s="221" t="s">
        <v>3024</v>
      </c>
      <c r="K2285" s="224" t="s">
        <v>3094</v>
      </c>
      <c r="L2285" s="225" t="str">
        <f>VLOOKUP(Logfile_S12[[#This Row],[Material Name]],Sheet2!B:C,2,0)</f>
        <v>GCI1008</v>
      </c>
      <c r="M2285" s="225" t="str">
        <f>_xlfn.XLOOKUP(Logfile_S12[[#This Row],[Material Name]],Sum_WH!E:E,Sum_WH!F:F,"",0)</f>
        <v>Pcs</v>
      </c>
      <c r="N2285" s="221">
        <v>19</v>
      </c>
      <c r="O2285" s="221" t="s">
        <v>3397</v>
      </c>
      <c r="P2285" s="221" t="s">
        <v>3402</v>
      </c>
      <c r="Q2285" s="221">
        <v>0</v>
      </c>
      <c r="R2285" s="221">
        <v>0</v>
      </c>
      <c r="S2285" s="221"/>
      <c r="T2285" s="221"/>
      <c r="U2285" s="221"/>
      <c r="V2285" s="221"/>
      <c r="W2285" s="221"/>
      <c r="X2285" s="221"/>
      <c r="Y2285" s="227"/>
      <c r="Z2285" s="227" t="str">
        <f t="shared" si="81"/>
        <v>Mojosari Ngenep</v>
      </c>
      <c r="AA2285" s="276" t="e">
        <f>VLOOKUP(Logfile_S12[[#This Row],[DO number]],DO_DB!G:I,3,0)</f>
        <v>#N/A</v>
      </c>
      <c r="AB2285" s="331" t="e">
        <f>EXACT(Logfile_S12[[#This Row],[date pick]],Logfile_S12[[#This Row],[Date]])</f>
        <v>#N/A</v>
      </c>
      <c r="AC22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86" spans="1:29" ht="14.5" hidden="1">
      <c r="A2286" s="220" t="str">
        <f t="shared" si="80"/>
        <v>2282</v>
      </c>
      <c r="B2286" s="221"/>
      <c r="C2286" s="221" t="s">
        <v>49</v>
      </c>
      <c r="D2286" s="221" t="s">
        <v>4249</v>
      </c>
      <c r="E2286" s="221" t="s">
        <v>3295</v>
      </c>
      <c r="F2286" s="221" t="s">
        <v>3299</v>
      </c>
      <c r="G2286" s="222">
        <v>45575</v>
      </c>
      <c r="H2286" s="223">
        <v>0.56458333333333333</v>
      </c>
      <c r="I2286" s="221" t="s">
        <v>4916</v>
      </c>
      <c r="J2286" s="221" t="s">
        <v>3024</v>
      </c>
      <c r="K2286" s="224" t="s">
        <v>3094</v>
      </c>
      <c r="L2286" s="225" t="str">
        <f>VLOOKUP(Logfile_S12[[#This Row],[Material Name]],Sheet2!B:C,2,0)</f>
        <v>GCI1008</v>
      </c>
      <c r="M2286" s="225" t="str">
        <f>_xlfn.XLOOKUP(Logfile_S12[[#This Row],[Material Name]],Sum_WH!E:E,Sum_WH!F:F,"",0)</f>
        <v>Pcs</v>
      </c>
      <c r="N2286" s="221">
        <v>30</v>
      </c>
      <c r="O2286" s="221" t="s">
        <v>1391</v>
      </c>
      <c r="P2286" s="221" t="s">
        <v>1392</v>
      </c>
      <c r="Q2286" s="221"/>
      <c r="R2286" s="221"/>
      <c r="S2286" s="221"/>
      <c r="T2286" s="221" t="s">
        <v>3244</v>
      </c>
      <c r="U2286" s="221">
        <v>0</v>
      </c>
      <c r="V2286" s="221" t="s">
        <v>3248</v>
      </c>
      <c r="W2286" s="221" t="s">
        <v>3252</v>
      </c>
      <c r="X2286" s="221"/>
      <c r="Y2286" s="227"/>
      <c r="Z2286" s="227" t="str">
        <f t="shared" si="81"/>
        <v>Klampok RW 01 Singosari</v>
      </c>
      <c r="AA2286" s="276" t="e">
        <f>VLOOKUP(Logfile_S12[[#This Row],[DO number]],DO_DB!G:I,3,0)</f>
        <v>#N/A</v>
      </c>
      <c r="AB2286" s="331" t="e">
        <f>EXACT(Logfile_S12[[#This Row],[date pick]],Logfile_S12[[#This Row],[Date]])</f>
        <v>#N/A</v>
      </c>
      <c r="AC22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87" spans="1:29" ht="14.5" hidden="1">
      <c r="A2287" s="220" t="str">
        <f t="shared" si="80"/>
        <v>2283</v>
      </c>
      <c r="B2287" s="221"/>
      <c r="C2287" s="221" t="s">
        <v>48</v>
      </c>
      <c r="D2287" s="221" t="s">
        <v>4251</v>
      </c>
      <c r="E2287" s="221" t="s">
        <v>3295</v>
      </c>
      <c r="F2287" s="221" t="s">
        <v>3299</v>
      </c>
      <c r="G2287" s="222">
        <v>45583</v>
      </c>
      <c r="H2287" s="223">
        <v>15.291666666666666</v>
      </c>
      <c r="I2287" s="221" t="s">
        <v>38</v>
      </c>
      <c r="J2287" s="221" t="s">
        <v>3024</v>
      </c>
      <c r="K2287" s="224" t="s">
        <v>3094</v>
      </c>
      <c r="L2287" s="225" t="str">
        <f>VLOOKUP(Logfile_S12[[#This Row],[Material Name]],Sheet2!B:C,2,0)</f>
        <v>GCI1008</v>
      </c>
      <c r="M2287" s="225" t="str">
        <f>_xlfn.XLOOKUP(Logfile_S12[[#This Row],[Material Name]],Sum_WH!E:E,Sum_WH!F:F,"",0)</f>
        <v>Pcs</v>
      </c>
      <c r="N2287" s="221">
        <v>136</v>
      </c>
      <c r="O2287" s="221">
        <v>0</v>
      </c>
      <c r="P2287" s="221">
        <v>0</v>
      </c>
      <c r="Q2287" s="221">
        <v>0</v>
      </c>
      <c r="R2287" s="221">
        <v>0</v>
      </c>
      <c r="S2287" s="221"/>
      <c r="T2287" s="221"/>
      <c r="U2287" s="221"/>
      <c r="V2287" s="221"/>
      <c r="W2287" s="221"/>
      <c r="X2287" s="221"/>
      <c r="Y2287" s="227"/>
      <c r="Z2287" s="227">
        <f t="shared" si="81"/>
        <v>0</v>
      </c>
      <c r="AA2287" s="276" t="e">
        <f>VLOOKUP(Logfile_S12[[#This Row],[DO number]],DO_DB!G:I,3,0)</f>
        <v>#N/A</v>
      </c>
      <c r="AB2287" s="331" t="e">
        <f>EXACT(Logfile_S12[[#This Row],[date pick]],Logfile_S12[[#This Row],[Date]])</f>
        <v>#N/A</v>
      </c>
      <c r="AC22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88" spans="1:29" ht="14.5" hidden="1">
      <c r="A2288" s="220" t="str">
        <f t="shared" si="80"/>
        <v>2284</v>
      </c>
      <c r="B2288" s="221"/>
      <c r="C2288" s="221" t="s">
        <v>49</v>
      </c>
      <c r="D2288" s="221" t="s">
        <v>4250</v>
      </c>
      <c r="E2288" s="221" t="s">
        <v>3295</v>
      </c>
      <c r="F2288" s="221" t="s">
        <v>3299</v>
      </c>
      <c r="G2288" s="222">
        <v>45583</v>
      </c>
      <c r="H2288" s="223">
        <v>0.38194444444444442</v>
      </c>
      <c r="I2288" s="221" t="s">
        <v>4916</v>
      </c>
      <c r="J2288" s="221" t="s">
        <v>3024</v>
      </c>
      <c r="K2288" s="224" t="s">
        <v>3094</v>
      </c>
      <c r="L2288" s="225" t="str">
        <f>VLOOKUP(Logfile_S12[[#This Row],[Material Name]],Sheet2!B:C,2,0)</f>
        <v>GCI1008</v>
      </c>
      <c r="M2288" s="225" t="str">
        <f>_xlfn.XLOOKUP(Logfile_S12[[#This Row],[Material Name]],Sum_WH!E:E,Sum_WH!F:F,"",0)</f>
        <v>Pcs</v>
      </c>
      <c r="N2288" s="221">
        <v>50</v>
      </c>
      <c r="O2288" s="221" t="s">
        <v>2322</v>
      </c>
      <c r="P2288" s="221" t="s">
        <v>3403</v>
      </c>
      <c r="Q2288" s="221"/>
      <c r="R2288" s="221"/>
      <c r="S2288" s="221"/>
      <c r="T2288" s="221" t="s">
        <v>3404</v>
      </c>
      <c r="U2288" s="221">
        <v>0</v>
      </c>
      <c r="V2288" s="221" t="s">
        <v>3405</v>
      </c>
      <c r="W2288" s="221" t="s">
        <v>3406</v>
      </c>
      <c r="X2288" s="221"/>
      <c r="Y2288" s="227"/>
      <c r="Z2288" s="227" t="str">
        <f t="shared" si="81"/>
        <v>Mainfeeder Singosari Segment 3</v>
      </c>
      <c r="AA2288" s="276" t="e">
        <f>VLOOKUP(Logfile_S12[[#This Row],[DO number]],DO_DB!G:I,3,0)</f>
        <v>#N/A</v>
      </c>
      <c r="AB2288" s="331" t="e">
        <f>EXACT(Logfile_S12[[#This Row],[date pick]],Logfile_S12[[#This Row],[Date]])</f>
        <v>#N/A</v>
      </c>
      <c r="AC22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89" spans="1:29" ht="14.5" hidden="1">
      <c r="A2289" s="220" t="str">
        <f t="shared" si="80"/>
        <v>2285</v>
      </c>
      <c r="B2289" s="221"/>
      <c r="C2289" s="221" t="s">
        <v>49</v>
      </c>
      <c r="D2289" s="221" t="s">
        <v>4256</v>
      </c>
      <c r="E2289" s="221" t="s">
        <v>3295</v>
      </c>
      <c r="F2289" s="221" t="s">
        <v>3299</v>
      </c>
      <c r="G2289" s="222">
        <v>45590</v>
      </c>
      <c r="H2289" s="223">
        <v>0.79791666666666672</v>
      </c>
      <c r="I2289" s="221" t="s">
        <v>4916</v>
      </c>
      <c r="J2289" s="221" t="s">
        <v>3024</v>
      </c>
      <c r="K2289" s="224" t="s">
        <v>3094</v>
      </c>
      <c r="L2289" s="225" t="str">
        <f>VLOOKUP(Logfile_S12[[#This Row],[Material Name]],Sheet2!B:C,2,0)</f>
        <v>GCI1008</v>
      </c>
      <c r="M2289" s="225" t="str">
        <f>_xlfn.XLOOKUP(Logfile_S12[[#This Row],[Material Name]],Sum_WH!E:E,Sum_WH!F:F,"",0)</f>
        <v>Pcs</v>
      </c>
      <c r="N2289" s="221">
        <v>87</v>
      </c>
      <c r="O2289" s="221" t="s">
        <v>2354</v>
      </c>
      <c r="P2289" s="221" t="s">
        <v>3407</v>
      </c>
      <c r="Q2289" s="221"/>
      <c r="R2289" s="221"/>
      <c r="S2289" s="221"/>
      <c r="T2289" s="221" t="s">
        <v>3404</v>
      </c>
      <c r="U2289" s="221">
        <v>0</v>
      </c>
      <c r="V2289" s="221" t="s">
        <v>3405</v>
      </c>
      <c r="W2289" s="221" t="s">
        <v>3406</v>
      </c>
      <c r="X2289" s="221"/>
      <c r="Y2289" s="227"/>
      <c r="Z2289" s="227" t="str">
        <f t="shared" si="81"/>
        <v>HUBFEEDER KLAMPOK</v>
      </c>
      <c r="AA2289" s="276" t="e">
        <f>VLOOKUP(Logfile_S12[[#This Row],[DO number]],DO_DB!G:I,3,0)</f>
        <v>#N/A</v>
      </c>
      <c r="AB2289" s="331" t="e">
        <f>EXACT(Logfile_S12[[#This Row],[date pick]],Logfile_S12[[#This Row],[Date]])</f>
        <v>#N/A</v>
      </c>
      <c r="AC22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90" spans="1:29" ht="14.5" hidden="1">
      <c r="A2290" s="220" t="str">
        <f t="shared" si="80"/>
        <v>2286</v>
      </c>
      <c r="B2290" s="221"/>
      <c r="C2290" s="221" t="s">
        <v>48</v>
      </c>
      <c r="D2290" s="221" t="s">
        <v>4266</v>
      </c>
      <c r="E2290" s="221" t="s">
        <v>3295</v>
      </c>
      <c r="F2290" s="221" t="s">
        <v>3299</v>
      </c>
      <c r="G2290" s="222">
        <v>45595</v>
      </c>
      <c r="H2290" s="223">
        <v>15.291666666666666</v>
      </c>
      <c r="I2290" s="221" t="s">
        <v>38</v>
      </c>
      <c r="J2290" s="221" t="s">
        <v>3024</v>
      </c>
      <c r="K2290" s="224" t="s">
        <v>3094</v>
      </c>
      <c r="L2290" s="225" t="str">
        <f>VLOOKUP(Logfile_S12[[#This Row],[Material Name]],Sheet2!B:C,2,0)</f>
        <v>GCI1008</v>
      </c>
      <c r="M2290" s="225" t="str">
        <f>_xlfn.XLOOKUP(Logfile_S12[[#This Row],[Material Name]],Sum_WH!E:E,Sum_WH!F:F,"",0)</f>
        <v>Pcs</v>
      </c>
      <c r="N2290" s="221">
        <v>34</v>
      </c>
      <c r="O2290" s="221">
        <v>0</v>
      </c>
      <c r="P2290" s="221">
        <v>0</v>
      </c>
      <c r="Q2290" s="221">
        <v>0</v>
      </c>
      <c r="R2290" s="221">
        <v>0</v>
      </c>
      <c r="S2290" s="221"/>
      <c r="T2290" s="221"/>
      <c r="U2290" s="221"/>
      <c r="V2290" s="221"/>
      <c r="W2290" s="221"/>
      <c r="X2290" s="221"/>
      <c r="Y2290" s="227"/>
      <c r="Z2290" s="227">
        <f t="shared" si="81"/>
        <v>0</v>
      </c>
      <c r="AA2290" s="276" t="e">
        <f>VLOOKUP(Logfile_S12[[#This Row],[DO number]],DO_DB!G:I,3,0)</f>
        <v>#N/A</v>
      </c>
      <c r="AB2290" s="331" t="e">
        <f>EXACT(Logfile_S12[[#This Row],[date pick]],Logfile_S12[[#This Row],[Date]])</f>
        <v>#N/A</v>
      </c>
      <c r="AC22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91" spans="1:29" ht="14.5" hidden="1">
      <c r="A2291" s="220" t="str">
        <f t="shared" si="80"/>
        <v>2287</v>
      </c>
      <c r="B2291" s="221"/>
      <c r="C2291" s="221" t="s">
        <v>48</v>
      </c>
      <c r="D2291" s="221" t="s">
        <v>4266</v>
      </c>
      <c r="E2291" s="221" t="s">
        <v>3295</v>
      </c>
      <c r="F2291" s="221" t="s">
        <v>3299</v>
      </c>
      <c r="G2291" s="222">
        <v>45595</v>
      </c>
      <c r="H2291" s="223">
        <v>15.291666666666666</v>
      </c>
      <c r="I2291" s="221" t="s">
        <v>38</v>
      </c>
      <c r="J2291" s="221" t="s">
        <v>3024</v>
      </c>
      <c r="K2291" s="224" t="s">
        <v>3094</v>
      </c>
      <c r="L2291" s="225" t="str">
        <f>VLOOKUP(Logfile_S12[[#This Row],[Material Name]],Sheet2!B:C,2,0)</f>
        <v>GCI1008</v>
      </c>
      <c r="M2291" s="225" t="str">
        <f>_xlfn.XLOOKUP(Logfile_S12[[#This Row],[Material Name]],Sum_WH!E:E,Sum_WH!F:F,"",0)</f>
        <v>Pcs</v>
      </c>
      <c r="N2291" s="221">
        <v>150</v>
      </c>
      <c r="O2291" s="221">
        <v>0</v>
      </c>
      <c r="P2291" s="221">
        <v>0</v>
      </c>
      <c r="Q2291" s="221">
        <v>0</v>
      </c>
      <c r="R2291" s="221">
        <v>0</v>
      </c>
      <c r="S2291" s="221"/>
      <c r="T2291" s="221"/>
      <c r="U2291" s="221"/>
      <c r="V2291" s="221"/>
      <c r="W2291" s="221"/>
      <c r="X2291" s="221"/>
      <c r="Y2291" s="227"/>
      <c r="Z2291" s="227">
        <f t="shared" si="81"/>
        <v>0</v>
      </c>
      <c r="AA2291" s="276" t="e">
        <f>VLOOKUP(Logfile_S12[[#This Row],[DO number]],DO_DB!G:I,3,0)</f>
        <v>#N/A</v>
      </c>
      <c r="AB2291" s="331" t="e">
        <f>EXACT(Logfile_S12[[#This Row],[date pick]],Logfile_S12[[#This Row],[Date]])</f>
        <v>#N/A</v>
      </c>
      <c r="AC22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92" spans="1:29" ht="14.5" hidden="1">
      <c r="A2292" s="220" t="str">
        <f t="shared" si="80"/>
        <v>2288</v>
      </c>
      <c r="B2292" s="221"/>
      <c r="C2292" s="221" t="s">
        <v>49</v>
      </c>
      <c r="D2292" s="221" t="s">
        <v>4262</v>
      </c>
      <c r="E2292" s="221" t="s">
        <v>3295</v>
      </c>
      <c r="F2292" s="221" t="s">
        <v>3299</v>
      </c>
      <c r="G2292" s="222">
        <v>45595</v>
      </c>
      <c r="H2292" s="223">
        <v>0.97569444444444442</v>
      </c>
      <c r="I2292" s="221" t="s">
        <v>4916</v>
      </c>
      <c r="J2292" s="221" t="s">
        <v>3024</v>
      </c>
      <c r="K2292" s="224" t="s">
        <v>3094</v>
      </c>
      <c r="L2292" s="225" t="str">
        <f>VLOOKUP(Logfile_S12[[#This Row],[Material Name]],Sheet2!B:C,2,0)</f>
        <v>GCI1008</v>
      </c>
      <c r="M2292" s="225" t="str">
        <f>_xlfn.XLOOKUP(Logfile_S12[[#This Row],[Material Name]],Sum_WH!E:E,Sum_WH!F:F,"",0)</f>
        <v>Pcs</v>
      </c>
      <c r="N2292" s="221">
        <v>10</v>
      </c>
      <c r="O2292" s="221" t="s">
        <v>1923</v>
      </c>
      <c r="P2292" s="221" t="s">
        <v>1924</v>
      </c>
      <c r="Q2292" s="221"/>
      <c r="R2292" s="221"/>
      <c r="S2292" s="221"/>
      <c r="T2292" s="221" t="s">
        <v>3258</v>
      </c>
      <c r="U2292" s="221">
        <v>0</v>
      </c>
      <c r="V2292" s="221" t="s">
        <v>3337</v>
      </c>
      <c r="W2292" s="221" t="s">
        <v>3338</v>
      </c>
      <c r="X2292" s="221"/>
      <c r="Y2292" s="227"/>
      <c r="Z2292" s="227" t="str">
        <f t="shared" si="81"/>
        <v>Pakisaji RW 01 Malang</v>
      </c>
      <c r="AA2292" s="276" t="e">
        <f>VLOOKUP(Logfile_S12[[#This Row],[DO number]],DO_DB!G:I,3,0)</f>
        <v>#N/A</v>
      </c>
      <c r="AB2292" s="331" t="e">
        <f>EXACT(Logfile_S12[[#This Row],[date pick]],Logfile_S12[[#This Row],[Date]])</f>
        <v>#N/A</v>
      </c>
      <c r="AC22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93" spans="1:29" ht="14.5" hidden="1">
      <c r="A2293" s="220" t="str">
        <f t="shared" si="80"/>
        <v>2289</v>
      </c>
      <c r="B2293" s="221"/>
      <c r="C2293" s="221" t="s">
        <v>49</v>
      </c>
      <c r="D2293" s="221" t="s">
        <v>4263</v>
      </c>
      <c r="E2293" s="221" t="s">
        <v>3295</v>
      </c>
      <c r="F2293" s="221" t="s">
        <v>3299</v>
      </c>
      <c r="G2293" s="222">
        <v>45595</v>
      </c>
      <c r="H2293" s="223">
        <v>0.97569444444444442</v>
      </c>
      <c r="I2293" s="221" t="s">
        <v>4916</v>
      </c>
      <c r="J2293" s="221" t="s">
        <v>3024</v>
      </c>
      <c r="K2293" s="224" t="s">
        <v>3094</v>
      </c>
      <c r="L2293" s="225" t="str">
        <f>VLOOKUP(Logfile_S12[[#This Row],[Material Name]],Sheet2!B:C,2,0)</f>
        <v>GCI1008</v>
      </c>
      <c r="M2293" s="225" t="str">
        <f>_xlfn.XLOOKUP(Logfile_S12[[#This Row],[Material Name]],Sum_WH!E:E,Sum_WH!F:F,"",0)</f>
        <v>Pcs</v>
      </c>
      <c r="N2293" s="221">
        <v>20</v>
      </c>
      <c r="O2293" s="221" t="s">
        <v>2322</v>
      </c>
      <c r="P2293" s="221" t="s">
        <v>3403</v>
      </c>
      <c r="Q2293" s="221"/>
      <c r="R2293" s="221"/>
      <c r="S2293" s="221"/>
      <c r="T2293" s="221" t="s">
        <v>3404</v>
      </c>
      <c r="U2293" s="221">
        <v>0</v>
      </c>
      <c r="V2293" s="221" t="s">
        <v>3405</v>
      </c>
      <c r="W2293" s="221" t="s">
        <v>3406</v>
      </c>
      <c r="X2293" s="221"/>
      <c r="Y2293" s="227"/>
      <c r="Z2293" s="227" t="str">
        <f t="shared" si="81"/>
        <v>Mainfeeder Singosari Segment 3</v>
      </c>
      <c r="AA2293" s="276" t="e">
        <f>VLOOKUP(Logfile_S12[[#This Row],[DO number]],DO_DB!G:I,3,0)</f>
        <v>#N/A</v>
      </c>
      <c r="AB2293" s="331" t="e">
        <f>EXACT(Logfile_S12[[#This Row],[date pick]],Logfile_S12[[#This Row],[Date]])</f>
        <v>#N/A</v>
      </c>
      <c r="AC22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94" spans="1:29" ht="14.5" hidden="1">
      <c r="A2294" s="220" t="str">
        <f t="shared" si="80"/>
        <v>2290</v>
      </c>
      <c r="B2294" s="221"/>
      <c r="C2294" s="221" t="s">
        <v>48</v>
      </c>
      <c r="D2294" s="221" t="s">
        <v>4268</v>
      </c>
      <c r="E2294" s="221" t="s">
        <v>3295</v>
      </c>
      <c r="F2294" s="221" t="s">
        <v>3299</v>
      </c>
      <c r="G2294" s="222">
        <v>45596</v>
      </c>
      <c r="H2294" s="223">
        <v>15.291666666666666</v>
      </c>
      <c r="I2294" s="221" t="s">
        <v>3586</v>
      </c>
      <c r="J2294" s="221" t="s">
        <v>3024</v>
      </c>
      <c r="K2294" s="224" t="s">
        <v>3094</v>
      </c>
      <c r="L2294" s="225" t="str">
        <f>VLOOKUP(Logfile_S12[[#This Row],[Material Name]],Sheet2!B:C,2,0)</f>
        <v>GCI1008</v>
      </c>
      <c r="M2294" s="225" t="str">
        <f>_xlfn.XLOOKUP(Logfile_S12[[#This Row],[Material Name]],Sum_WH!E:E,Sum_WH!F:F,"",0)</f>
        <v>Pcs</v>
      </c>
      <c r="N2294" s="221">
        <v>111</v>
      </c>
      <c r="O2294" s="221" t="s">
        <v>3397</v>
      </c>
      <c r="P2294" s="221" t="s">
        <v>3439</v>
      </c>
      <c r="Q2294" s="221">
        <v>0</v>
      </c>
      <c r="R2294" s="221">
        <v>0</v>
      </c>
      <c r="S2294" s="221"/>
      <c r="T2294" s="221"/>
      <c r="U2294" s="221"/>
      <c r="V2294" s="221"/>
      <c r="W2294" s="221"/>
      <c r="X2294" s="221"/>
      <c r="Y2294" s="227"/>
      <c r="Z2294" s="227" t="str">
        <f t="shared" si="81"/>
        <v>MF Singosari</v>
      </c>
      <c r="AA2294" s="276" t="e">
        <f>VLOOKUP(Logfile_S12[[#This Row],[DO number]],DO_DB!G:I,3,0)</f>
        <v>#N/A</v>
      </c>
      <c r="AB2294" s="331" t="e">
        <f>EXACT(Logfile_S12[[#This Row],[date pick]],Logfile_S12[[#This Row],[Date]])</f>
        <v>#N/A</v>
      </c>
      <c r="AC22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95" spans="1:29" ht="14.5" hidden="1">
      <c r="A2295" s="220" t="str">
        <f t="shared" si="80"/>
        <v>2291</v>
      </c>
      <c r="B2295" s="221"/>
      <c r="C2295" s="221" t="s">
        <v>49</v>
      </c>
      <c r="D2295" s="221" t="s">
        <v>4271</v>
      </c>
      <c r="E2295" s="221" t="s">
        <v>3295</v>
      </c>
      <c r="F2295" s="221" t="s">
        <v>3299</v>
      </c>
      <c r="G2295" s="222">
        <v>45602</v>
      </c>
      <c r="H2295" s="223">
        <v>0.35069444444444442</v>
      </c>
      <c r="I2295" s="221" t="s">
        <v>4916</v>
      </c>
      <c r="J2295" s="221" t="s">
        <v>3024</v>
      </c>
      <c r="K2295" s="224" t="s">
        <v>3094</v>
      </c>
      <c r="L2295" s="225" t="str">
        <f>VLOOKUP(Logfile_S12[[#This Row],[Material Name]],Sheet2!B:C,2,0)</f>
        <v>GCI1008</v>
      </c>
      <c r="M2295" s="225" t="str">
        <f>_xlfn.XLOOKUP(Logfile_S12[[#This Row],[Material Name]],Sum_WH!E:E,Sum_WH!F:F,"",0)</f>
        <v>Pcs</v>
      </c>
      <c r="N2295" s="221">
        <v>10</v>
      </c>
      <c r="O2295" s="221" t="s">
        <v>1395</v>
      </c>
      <c r="P2295" s="221" t="s">
        <v>1396</v>
      </c>
      <c r="Q2295" s="221"/>
      <c r="R2295" s="221"/>
      <c r="S2295" s="221"/>
      <c r="T2295" s="221" t="s">
        <v>3258</v>
      </c>
      <c r="U2295" s="221">
        <v>0</v>
      </c>
      <c r="V2295" s="221" t="s">
        <v>3337</v>
      </c>
      <c r="W2295" s="221" t="s">
        <v>3338</v>
      </c>
      <c r="X2295" s="221"/>
      <c r="Y2295" s="227"/>
      <c r="Z2295" s="227" t="str">
        <f t="shared" si="81"/>
        <v>Candirenggo RW 10 Singosari</v>
      </c>
      <c r="AA2295" s="276" t="e">
        <f>VLOOKUP(Logfile_S12[[#This Row],[DO number]],DO_DB!G:I,3,0)</f>
        <v>#N/A</v>
      </c>
      <c r="AB2295" s="331" t="e">
        <f>EXACT(Logfile_S12[[#This Row],[date pick]],Logfile_S12[[#This Row],[Date]])</f>
        <v>#N/A</v>
      </c>
      <c r="AC22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96" spans="1:29" ht="14.5" hidden="1">
      <c r="A2296" s="220" t="str">
        <f t="shared" si="80"/>
        <v>2292</v>
      </c>
      <c r="B2296" s="221"/>
      <c r="C2296" s="221" t="s">
        <v>3449</v>
      </c>
      <c r="D2296" s="221" t="s">
        <v>4275</v>
      </c>
      <c r="E2296" s="221" t="s">
        <v>3295</v>
      </c>
      <c r="F2296" s="221" t="s">
        <v>3299</v>
      </c>
      <c r="G2296" s="222">
        <v>45609</v>
      </c>
      <c r="H2296" s="223">
        <v>0.5625</v>
      </c>
      <c r="I2296" s="221" t="s">
        <v>3193</v>
      </c>
      <c r="J2296" s="221" t="s">
        <v>3024</v>
      </c>
      <c r="K2296" s="224" t="s">
        <v>3094</v>
      </c>
      <c r="L2296" s="225" t="str">
        <f>VLOOKUP(Logfile_S12[[#This Row],[Material Name]],Sheet2!B:C,2,0)</f>
        <v>GCI1008</v>
      </c>
      <c r="M2296" s="225" t="str">
        <f>_xlfn.XLOOKUP(Logfile_S12[[#This Row],[Material Name]],Sum_WH!E:E,Sum_WH!F:F,"",0)</f>
        <v>Pcs</v>
      </c>
      <c r="N2296" s="221">
        <v>10</v>
      </c>
      <c r="O2296" s="221" t="s">
        <v>3433</v>
      </c>
      <c r="P2296" s="221" t="s">
        <v>3450</v>
      </c>
      <c r="Q2296" s="221"/>
      <c r="R2296" s="221"/>
      <c r="S2296" s="221"/>
      <c r="T2296" s="221" t="s">
        <v>3451</v>
      </c>
      <c r="U2296" s="221">
        <v>0</v>
      </c>
      <c r="V2296" s="221" t="s">
        <v>3452</v>
      </c>
      <c r="W2296" s="221" t="s">
        <v>3453</v>
      </c>
      <c r="X2296" s="221" t="s">
        <v>3454</v>
      </c>
      <c r="Y2296" s="227"/>
      <c r="Z2296" s="227" t="str">
        <f t="shared" si="81"/>
        <v>BEAUT</v>
      </c>
      <c r="AA2296" s="276" t="e">
        <f>VLOOKUP(Logfile_S12[[#This Row],[DO number]],DO_DB!G:I,3,0)</f>
        <v>#N/A</v>
      </c>
      <c r="AB2296" s="331" t="e">
        <f>EXACT(Logfile_S12[[#This Row],[date pick]],Logfile_S12[[#This Row],[Date]])</f>
        <v>#N/A</v>
      </c>
      <c r="AC22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BORROW OUT_</v>
      </c>
    </row>
    <row r="2297" spans="1:29" ht="14.5" hidden="1">
      <c r="A2297" s="220" t="str">
        <f t="shared" si="80"/>
        <v>2293</v>
      </c>
      <c r="B2297" s="221"/>
      <c r="C2297" s="221" t="s">
        <v>49</v>
      </c>
      <c r="D2297" s="221" t="s">
        <v>4277</v>
      </c>
      <c r="E2297" s="221" t="s">
        <v>3295</v>
      </c>
      <c r="F2297" s="221" t="s">
        <v>3299</v>
      </c>
      <c r="G2297" s="222">
        <v>45616</v>
      </c>
      <c r="H2297" s="223">
        <v>0.55902777777777779</v>
      </c>
      <c r="I2297" s="221" t="s">
        <v>4916</v>
      </c>
      <c r="J2297" s="221" t="s">
        <v>3024</v>
      </c>
      <c r="K2297" s="224" t="s">
        <v>3094</v>
      </c>
      <c r="L2297" s="225" t="str">
        <f>VLOOKUP(Logfile_S12[[#This Row],[Material Name]],Sheet2!B:C,2,0)</f>
        <v>GCI1008</v>
      </c>
      <c r="M2297" s="225" t="str">
        <f>_xlfn.XLOOKUP(Logfile_S12[[#This Row],[Material Name]],Sum_WH!E:E,Sum_WH!F:F,"",0)</f>
        <v>Pcs</v>
      </c>
      <c r="N2297" s="221">
        <v>25</v>
      </c>
      <c r="O2297" s="221" t="s">
        <v>2350</v>
      </c>
      <c r="P2297" s="221" t="s">
        <v>3409</v>
      </c>
      <c r="Q2297" s="221"/>
      <c r="R2297" s="221"/>
      <c r="S2297" s="221"/>
      <c r="T2297" s="221" t="s">
        <v>3258</v>
      </c>
      <c r="U2297" s="221">
        <v>0</v>
      </c>
      <c r="V2297" s="221" t="s">
        <v>3337</v>
      </c>
      <c r="W2297" s="221" t="s">
        <v>3338</v>
      </c>
      <c r="X2297" s="221"/>
      <c r="Y2297" s="227"/>
      <c r="Z2297" s="227" t="str">
        <f t="shared" si="81"/>
        <v>Kalirejo RW 13 Lawang Malang</v>
      </c>
      <c r="AA2297" s="276" t="e">
        <f>VLOOKUP(Logfile_S12[[#This Row],[DO number]],DO_DB!G:I,3,0)</f>
        <v>#N/A</v>
      </c>
      <c r="AB2297" s="331" t="e">
        <f>EXACT(Logfile_S12[[#This Row],[date pick]],Logfile_S12[[#This Row],[Date]])</f>
        <v>#N/A</v>
      </c>
      <c r="AC22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98" spans="1:29" ht="14.5" hidden="1">
      <c r="A2298" s="220" t="str">
        <f t="shared" si="80"/>
        <v>2294</v>
      </c>
      <c r="B2298" s="221"/>
      <c r="C2298" s="221" t="s">
        <v>49</v>
      </c>
      <c r="D2298" s="221" t="s">
        <v>4280</v>
      </c>
      <c r="E2298" s="221" t="s">
        <v>3295</v>
      </c>
      <c r="F2298" s="221" t="s">
        <v>3299</v>
      </c>
      <c r="G2298" s="222">
        <v>45617</v>
      </c>
      <c r="H2298" s="223">
        <v>0.44097222222222221</v>
      </c>
      <c r="I2298" s="221" t="s">
        <v>4916</v>
      </c>
      <c r="J2298" s="221" t="s">
        <v>3024</v>
      </c>
      <c r="K2298" s="224" t="s">
        <v>3094</v>
      </c>
      <c r="L2298" s="225" t="str">
        <f>VLOOKUP(Logfile_S12[[#This Row],[Material Name]],Sheet2!B:C,2,0)</f>
        <v>GCI1008</v>
      </c>
      <c r="M2298" s="225" t="str">
        <f>_xlfn.XLOOKUP(Logfile_S12[[#This Row],[Material Name]],Sum_WH!E:E,Sum_WH!F:F,"",0)</f>
        <v>Pcs</v>
      </c>
      <c r="N2298" s="221">
        <v>10</v>
      </c>
      <c r="O2298" s="221" t="s">
        <v>2013</v>
      </c>
      <c r="P2298" s="221" t="s">
        <v>2014</v>
      </c>
      <c r="Q2298" s="221"/>
      <c r="R2298" s="221"/>
      <c r="S2298" s="221"/>
      <c r="T2298" s="221" t="s">
        <v>3420</v>
      </c>
      <c r="U2298" s="221">
        <v>0</v>
      </c>
      <c r="V2298" s="221" t="s">
        <v>3421</v>
      </c>
      <c r="W2298" s="221" t="s">
        <v>3256</v>
      </c>
      <c r="X2298" s="221"/>
      <c r="Y2298" s="227"/>
      <c r="Z2298" s="227" t="str">
        <f t="shared" si="81"/>
        <v>Perumahan Panca Garden</v>
      </c>
      <c r="AA2298" s="276" t="e">
        <f>VLOOKUP(Logfile_S12[[#This Row],[DO number]],DO_DB!G:I,3,0)</f>
        <v>#N/A</v>
      </c>
      <c r="AB2298" s="331" t="e">
        <f>EXACT(Logfile_S12[[#This Row],[date pick]],Logfile_S12[[#This Row],[Date]])</f>
        <v>#N/A</v>
      </c>
      <c r="AC22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299" spans="1:29" ht="14.5" hidden="1">
      <c r="A2299" s="220" t="str">
        <f t="shared" si="80"/>
        <v>2295</v>
      </c>
      <c r="B2299" s="221"/>
      <c r="C2299" s="221" t="s">
        <v>49</v>
      </c>
      <c r="D2299" s="221" t="s">
        <v>4283</v>
      </c>
      <c r="E2299" s="221" t="s">
        <v>3295</v>
      </c>
      <c r="F2299" s="221" t="s">
        <v>3299</v>
      </c>
      <c r="G2299" s="222">
        <v>45618</v>
      </c>
      <c r="H2299" s="223">
        <v>0.39583333333333331</v>
      </c>
      <c r="I2299" s="221" t="s">
        <v>4916</v>
      </c>
      <c r="J2299" s="221" t="s">
        <v>3024</v>
      </c>
      <c r="K2299" s="224" t="s">
        <v>3094</v>
      </c>
      <c r="L2299" s="225" t="str">
        <f>VLOOKUP(Logfile_S12[[#This Row],[Material Name]],Sheet2!B:C,2,0)</f>
        <v>GCI1008</v>
      </c>
      <c r="M2299" s="225" t="str">
        <f>_xlfn.XLOOKUP(Logfile_S12[[#This Row],[Material Name]],Sum_WH!E:E,Sum_WH!F:F,"",0)</f>
        <v>Pcs</v>
      </c>
      <c r="N2299" s="221">
        <v>50</v>
      </c>
      <c r="O2299" s="221" t="s">
        <v>2520</v>
      </c>
      <c r="P2299" s="221" t="s">
        <v>2521</v>
      </c>
      <c r="Q2299" s="221"/>
      <c r="R2299" s="221"/>
      <c r="S2299" s="221"/>
      <c r="T2299" s="221" t="s">
        <v>3258</v>
      </c>
      <c r="U2299" s="221">
        <v>0</v>
      </c>
      <c r="V2299" s="221" t="s">
        <v>3337</v>
      </c>
      <c r="W2299" s="221" t="s">
        <v>3338</v>
      </c>
      <c r="X2299" s="221"/>
      <c r="Y2299" s="227"/>
      <c r="Z2299" s="227" t="str">
        <f t="shared" si="81"/>
        <v>Perumahan Bukit Lawang Indah Malang</v>
      </c>
      <c r="AA2299" s="276" t="e">
        <f>VLOOKUP(Logfile_S12[[#This Row],[DO number]],DO_DB!G:I,3,0)</f>
        <v>#N/A</v>
      </c>
      <c r="AB2299" s="331" t="e">
        <f>EXACT(Logfile_S12[[#This Row],[date pick]],Logfile_S12[[#This Row],[Date]])</f>
        <v>#N/A</v>
      </c>
      <c r="AC22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00" spans="1:29" ht="14.5" hidden="1">
      <c r="A2300" s="220" t="str">
        <f t="shared" si="80"/>
        <v>2296</v>
      </c>
      <c r="B2300" s="221"/>
      <c r="C2300" s="221" t="s">
        <v>49</v>
      </c>
      <c r="D2300" s="221" t="s">
        <v>4289</v>
      </c>
      <c r="E2300" s="221" t="s">
        <v>3295</v>
      </c>
      <c r="F2300" s="221" t="s">
        <v>3299</v>
      </c>
      <c r="G2300" s="222">
        <v>45622</v>
      </c>
      <c r="H2300" s="223">
        <v>0.39583333333333331</v>
      </c>
      <c r="I2300" s="221" t="s">
        <v>4916</v>
      </c>
      <c r="J2300" s="221" t="s">
        <v>3024</v>
      </c>
      <c r="K2300" s="224" t="s">
        <v>3094</v>
      </c>
      <c r="L2300" s="225" t="str">
        <f>VLOOKUP(Logfile_S12[[#This Row],[Material Name]],Sheet2!B:C,2,0)</f>
        <v>GCI1008</v>
      </c>
      <c r="M2300" s="225" t="str">
        <f>_xlfn.XLOOKUP(Logfile_S12[[#This Row],[Material Name]],Sum_WH!E:E,Sum_WH!F:F,"",0)</f>
        <v>Pcs</v>
      </c>
      <c r="N2300" s="221">
        <v>50</v>
      </c>
      <c r="O2300" s="221" t="s">
        <v>2502</v>
      </c>
      <c r="P2300" s="221" t="s">
        <v>2503</v>
      </c>
      <c r="Q2300" s="221"/>
      <c r="R2300" s="221"/>
      <c r="S2300" s="221"/>
      <c r="T2300" s="221" t="s">
        <v>3258</v>
      </c>
      <c r="U2300" s="221">
        <v>0</v>
      </c>
      <c r="V2300" s="221" t="s">
        <v>3337</v>
      </c>
      <c r="W2300" s="221" t="s">
        <v>3338</v>
      </c>
      <c r="X2300" s="221"/>
      <c r="Y2300" s="227"/>
      <c r="Z2300" s="227" t="str">
        <f t="shared" si="81"/>
        <v>Bedali RW 03 Kromengan</v>
      </c>
      <c r="AA2300" s="276" t="e">
        <f>VLOOKUP(Logfile_S12[[#This Row],[DO number]],DO_DB!G:I,3,0)</f>
        <v>#N/A</v>
      </c>
      <c r="AB2300" s="331" t="e">
        <f>EXACT(Logfile_S12[[#This Row],[date pick]],Logfile_S12[[#This Row],[Date]])</f>
        <v>#N/A</v>
      </c>
      <c r="AC23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01" spans="1:29" ht="14.5" hidden="1">
      <c r="A2301" s="220" t="str">
        <f t="shared" si="80"/>
        <v>2297</v>
      </c>
      <c r="B2301" s="221"/>
      <c r="C2301" s="221" t="s">
        <v>3429</v>
      </c>
      <c r="D2301" s="221" t="s">
        <v>4296</v>
      </c>
      <c r="E2301" s="221" t="s">
        <v>3295</v>
      </c>
      <c r="F2301" s="221" t="s">
        <v>3299</v>
      </c>
      <c r="G2301" s="222">
        <v>45626</v>
      </c>
      <c r="H2301" s="223">
        <v>15.291666666666666</v>
      </c>
      <c r="I2301" s="221" t="s">
        <v>3193</v>
      </c>
      <c r="J2301" s="221" t="s">
        <v>3024</v>
      </c>
      <c r="K2301" s="224" t="s">
        <v>3094</v>
      </c>
      <c r="L2301" s="225" t="str">
        <f>VLOOKUP(Logfile_S12[[#This Row],[Material Name]],Sheet2!B:C,2,0)</f>
        <v>GCI1008</v>
      </c>
      <c r="M2301" s="225" t="str">
        <f>_xlfn.XLOOKUP(Logfile_S12[[#This Row],[Material Name]],Sum_WH!E:E,Sum_WH!F:F,"",0)</f>
        <v>Pcs</v>
      </c>
      <c r="N2301" s="221">
        <v>10</v>
      </c>
      <c r="O2301" s="221" t="s">
        <v>3433</v>
      </c>
      <c r="P2301" s="221" t="s">
        <v>3450</v>
      </c>
      <c r="Q2301" s="221">
        <v>0</v>
      </c>
      <c r="R2301" s="221">
        <v>0</v>
      </c>
      <c r="S2301" s="221"/>
      <c r="T2301" s="221"/>
      <c r="U2301" s="221"/>
      <c r="V2301" s="221"/>
      <c r="W2301" s="221"/>
      <c r="X2301" s="221" t="s">
        <v>3455</v>
      </c>
      <c r="Y2301" s="227"/>
      <c r="Z2301" s="227" t="str">
        <f t="shared" si="81"/>
        <v>BEAUT</v>
      </c>
      <c r="AA2301" s="276" t="e">
        <f>VLOOKUP(Logfile_S12[[#This Row],[DO number]],DO_DB!G:I,3,0)</f>
        <v>#N/A</v>
      </c>
      <c r="AB2301" s="331" t="e">
        <f>EXACT(Logfile_S12[[#This Row],[date pick]],Logfile_S12[[#This Row],[Date]])</f>
        <v>#N/A</v>
      </c>
      <c r="AC23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02" spans="1:29" ht="14.5" hidden="1">
      <c r="A2302" s="220" t="str">
        <f t="shared" si="80"/>
        <v>2298</v>
      </c>
      <c r="B2302" s="221"/>
      <c r="C2302" s="221" t="s">
        <v>48</v>
      </c>
      <c r="D2302" s="221" t="s">
        <v>4295</v>
      </c>
      <c r="E2302" s="221" t="s">
        <v>3295</v>
      </c>
      <c r="F2302" s="221" t="s">
        <v>3299</v>
      </c>
      <c r="G2302" s="222">
        <v>45626</v>
      </c>
      <c r="H2302" s="223">
        <v>15.291666666666666</v>
      </c>
      <c r="I2302" s="221" t="s">
        <v>38</v>
      </c>
      <c r="J2302" s="221" t="s">
        <v>3024</v>
      </c>
      <c r="K2302" s="224" t="s">
        <v>3094</v>
      </c>
      <c r="L2302" s="225" t="str">
        <f>VLOOKUP(Logfile_S12[[#This Row],[Material Name]],Sheet2!B:C,2,0)</f>
        <v>GCI1008</v>
      </c>
      <c r="M2302" s="225" t="str">
        <f>_xlfn.XLOOKUP(Logfile_S12[[#This Row],[Material Name]],Sum_WH!E:E,Sum_WH!F:F,"",0)</f>
        <v>Pcs</v>
      </c>
      <c r="N2302" s="221">
        <v>96</v>
      </c>
      <c r="O2302" s="221">
        <v>0</v>
      </c>
      <c r="P2302" s="221">
        <v>0</v>
      </c>
      <c r="Q2302" s="221">
        <v>0</v>
      </c>
      <c r="R2302" s="221">
        <v>0</v>
      </c>
      <c r="S2302" s="221"/>
      <c r="T2302" s="221"/>
      <c r="U2302" s="221"/>
      <c r="V2302" s="221"/>
      <c r="W2302" s="221"/>
      <c r="X2302" s="221"/>
      <c r="Y2302" s="227"/>
      <c r="Z2302" s="227">
        <f t="shared" si="81"/>
        <v>0</v>
      </c>
      <c r="AA2302" s="276" t="e">
        <f>VLOOKUP(Logfile_S12[[#This Row],[DO number]],DO_DB!G:I,3,0)</f>
        <v>#N/A</v>
      </c>
      <c r="AB2302" s="331" t="e">
        <f>EXACT(Logfile_S12[[#This Row],[date pick]],Logfile_S12[[#This Row],[Date]])</f>
        <v>#N/A</v>
      </c>
      <c r="AC23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03" spans="1:29" ht="14.5" hidden="1">
      <c r="A2303" s="220" t="str">
        <f t="shared" si="80"/>
        <v>2299</v>
      </c>
      <c r="B2303" s="221"/>
      <c r="C2303" s="221" t="s">
        <v>49</v>
      </c>
      <c r="D2303" s="221" t="s">
        <v>4297</v>
      </c>
      <c r="E2303" s="221" t="s">
        <v>3295</v>
      </c>
      <c r="F2303" s="221" t="s">
        <v>3299</v>
      </c>
      <c r="G2303" s="222">
        <v>45627</v>
      </c>
      <c r="H2303" s="223">
        <v>0.39583333333333331</v>
      </c>
      <c r="I2303" s="221" t="s">
        <v>4916</v>
      </c>
      <c r="J2303" s="221" t="s">
        <v>3024</v>
      </c>
      <c r="K2303" s="224" t="s">
        <v>3094</v>
      </c>
      <c r="L2303" s="225" t="str">
        <f>VLOOKUP(Logfile_S12[[#This Row],[Material Name]],Sheet2!B:C,2,0)</f>
        <v>GCI1008</v>
      </c>
      <c r="M2303" s="225" t="str">
        <f>_xlfn.XLOOKUP(Logfile_S12[[#This Row],[Material Name]],Sum_WH!E:E,Sum_WH!F:F,"",0)</f>
        <v>Pcs</v>
      </c>
      <c r="N2303" s="221">
        <v>50</v>
      </c>
      <c r="O2303" s="221" t="s">
        <v>2502</v>
      </c>
      <c r="P2303" s="221" t="s">
        <v>2503</v>
      </c>
      <c r="Q2303" s="221"/>
      <c r="R2303" s="221"/>
      <c r="S2303" s="221"/>
      <c r="T2303" s="221" t="s">
        <v>3258</v>
      </c>
      <c r="U2303" s="221">
        <v>0</v>
      </c>
      <c r="V2303" s="221" t="s">
        <v>3337</v>
      </c>
      <c r="W2303" s="221" t="s">
        <v>3338</v>
      </c>
      <c r="X2303" s="221"/>
      <c r="Y2303" s="227"/>
      <c r="Z2303" s="227" t="str">
        <f t="shared" si="81"/>
        <v>Bedali RW 03 Kromengan</v>
      </c>
      <c r="AA2303" s="276" t="e">
        <f>VLOOKUP(Logfile_S12[[#This Row],[DO number]],DO_DB!G:I,3,0)</f>
        <v>#N/A</v>
      </c>
      <c r="AB2303" s="331" t="e">
        <f>EXACT(Logfile_S12[[#This Row],[date pick]],Logfile_S12[[#This Row],[Date]])</f>
        <v>#N/A</v>
      </c>
      <c r="AC23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04" spans="1:29" ht="14.5" hidden="1">
      <c r="A2304" s="220" t="str">
        <f t="shared" si="80"/>
        <v>2300</v>
      </c>
      <c r="B2304" s="221"/>
      <c r="C2304" s="221" t="s">
        <v>3313</v>
      </c>
      <c r="D2304" s="221" t="s">
        <v>4298</v>
      </c>
      <c r="E2304" s="221" t="s">
        <v>3295</v>
      </c>
      <c r="F2304" s="221" t="s">
        <v>3299</v>
      </c>
      <c r="G2304" s="222">
        <v>45634</v>
      </c>
      <c r="H2304" s="223">
        <v>15.291666666666666</v>
      </c>
      <c r="I2304" s="221" t="s">
        <v>4920</v>
      </c>
      <c r="J2304" s="221" t="s">
        <v>3024</v>
      </c>
      <c r="K2304" s="224" t="s">
        <v>3094</v>
      </c>
      <c r="L2304" s="225" t="str">
        <f>VLOOKUP(Logfile_S12[[#This Row],[Material Name]],Sheet2!B:C,2,0)</f>
        <v>GCI1008</v>
      </c>
      <c r="M2304" s="225" t="str">
        <f>_xlfn.XLOOKUP(Logfile_S12[[#This Row],[Material Name]],Sum_WH!E:E,Sum_WH!F:F,"",0)</f>
        <v>Pcs</v>
      </c>
      <c r="N2304" s="221">
        <v>50</v>
      </c>
      <c r="O2304" s="221" t="s">
        <v>3314</v>
      </c>
      <c r="P2304" s="221" t="s">
        <v>3315</v>
      </c>
      <c r="Q2304" s="221">
        <v>0</v>
      </c>
      <c r="R2304" s="221">
        <v>0</v>
      </c>
      <c r="S2304" s="221"/>
      <c r="T2304" s="221"/>
      <c r="U2304" s="221"/>
      <c r="V2304" s="221"/>
      <c r="W2304" s="221"/>
      <c r="X2304" s="221"/>
      <c r="Y2304" s="227"/>
      <c r="Z2304" s="227" t="str">
        <f t="shared" si="81"/>
        <v>KEDIRI</v>
      </c>
      <c r="AA2304" s="276" t="e">
        <f>VLOOKUP(Logfile_S12[[#This Row],[DO number]],DO_DB!G:I,3,0)</f>
        <v>#N/A</v>
      </c>
      <c r="AB2304" s="331" t="e">
        <f>EXACT(Logfile_S12[[#This Row],[date pick]],Logfile_S12[[#This Row],[Date]])</f>
        <v>#N/A</v>
      </c>
      <c r="AC23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05" spans="1:29" ht="14.5" hidden="1">
      <c r="A2305" s="220" t="str">
        <f t="shared" si="80"/>
        <v>2301</v>
      </c>
      <c r="B2305" s="221"/>
      <c r="C2305" s="221" t="s">
        <v>3313</v>
      </c>
      <c r="D2305" s="221" t="s">
        <v>4298</v>
      </c>
      <c r="E2305" s="221" t="s">
        <v>3295</v>
      </c>
      <c r="F2305" s="221" t="s">
        <v>3299</v>
      </c>
      <c r="G2305" s="222">
        <v>45634</v>
      </c>
      <c r="H2305" s="223">
        <v>15.291666666666666</v>
      </c>
      <c r="I2305" s="221" t="s">
        <v>4921</v>
      </c>
      <c r="J2305" s="221" t="s">
        <v>3024</v>
      </c>
      <c r="K2305" s="224" t="s">
        <v>3094</v>
      </c>
      <c r="L2305" s="225" t="str">
        <f>VLOOKUP(Logfile_S12[[#This Row],[Material Name]],Sheet2!B:C,2,0)</f>
        <v>GCI1008</v>
      </c>
      <c r="M2305" s="225" t="str">
        <f>_xlfn.XLOOKUP(Logfile_S12[[#This Row],[Material Name]],Sum_WH!E:E,Sum_WH!F:F,"",0)</f>
        <v>Pcs</v>
      </c>
      <c r="N2305" s="221">
        <v>50</v>
      </c>
      <c r="O2305" s="221" t="s">
        <v>3314</v>
      </c>
      <c r="P2305" s="221" t="s">
        <v>3408</v>
      </c>
      <c r="Q2305" s="221">
        <v>0</v>
      </c>
      <c r="R2305" s="221">
        <v>0</v>
      </c>
      <c r="S2305" s="221"/>
      <c r="T2305" s="221"/>
      <c r="U2305" s="221"/>
      <c r="V2305" s="221"/>
      <c r="W2305" s="221"/>
      <c r="X2305" s="221"/>
      <c r="Y2305" s="227"/>
      <c r="Z2305" s="227" t="str">
        <f t="shared" si="81"/>
        <v>MADIUN</v>
      </c>
      <c r="AA2305" s="276" t="e">
        <f>VLOOKUP(Logfile_S12[[#This Row],[DO number]],DO_DB!G:I,3,0)</f>
        <v>#N/A</v>
      </c>
      <c r="AB2305" s="331" t="e">
        <f>EXACT(Logfile_S12[[#This Row],[date pick]],Logfile_S12[[#This Row],[Date]])</f>
        <v>#N/A</v>
      </c>
      <c r="AC23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06" spans="1:29" ht="14.5" hidden="1">
      <c r="A2306" s="220" t="str">
        <f t="shared" si="80"/>
        <v>2302</v>
      </c>
      <c r="B2306" s="221"/>
      <c r="C2306" s="221" t="s">
        <v>49</v>
      </c>
      <c r="D2306" s="221" t="s">
        <v>4299</v>
      </c>
      <c r="E2306" s="221" t="s">
        <v>3295</v>
      </c>
      <c r="F2306" s="221" t="s">
        <v>3299</v>
      </c>
      <c r="G2306" s="222">
        <v>45635</v>
      </c>
      <c r="H2306" s="223">
        <v>0.68888888888888888</v>
      </c>
      <c r="I2306" s="221" t="s">
        <v>4916</v>
      </c>
      <c r="J2306" s="221" t="s">
        <v>3024</v>
      </c>
      <c r="K2306" s="224" t="s">
        <v>3094</v>
      </c>
      <c r="L2306" s="225" t="str">
        <f>VLOOKUP(Logfile_S12[[#This Row],[Material Name]],Sheet2!B:C,2,0)</f>
        <v>GCI1008</v>
      </c>
      <c r="M2306" s="225" t="str">
        <f>_xlfn.XLOOKUP(Logfile_S12[[#This Row],[Material Name]],Sum_WH!E:E,Sum_WH!F:F,"",0)</f>
        <v>Pcs</v>
      </c>
      <c r="N2306" s="221">
        <v>30</v>
      </c>
      <c r="O2306" s="221" t="s">
        <v>2502</v>
      </c>
      <c r="P2306" s="221" t="s">
        <v>2503</v>
      </c>
      <c r="Q2306" s="221"/>
      <c r="R2306" s="221"/>
      <c r="S2306" s="221"/>
      <c r="T2306" s="221" t="s">
        <v>3258</v>
      </c>
      <c r="U2306" s="221">
        <v>0</v>
      </c>
      <c r="V2306" s="221" t="s">
        <v>3337</v>
      </c>
      <c r="W2306" s="221" t="s">
        <v>3338</v>
      </c>
      <c r="X2306" s="221"/>
      <c r="Y2306" s="227"/>
      <c r="Z2306" s="227" t="str">
        <f t="shared" si="81"/>
        <v>Bedali RW 03 Kromengan</v>
      </c>
      <c r="AA2306" s="276" t="e">
        <f>VLOOKUP(Logfile_S12[[#This Row],[DO number]],DO_DB!G:I,3,0)</f>
        <v>#N/A</v>
      </c>
      <c r="AB2306" s="331" t="e">
        <f>EXACT(Logfile_S12[[#This Row],[date pick]],Logfile_S12[[#This Row],[Date]])</f>
        <v>#N/A</v>
      </c>
      <c r="AC23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07" spans="1:29" ht="14.5" hidden="1">
      <c r="A2307" s="220" t="str">
        <f t="shared" si="80"/>
        <v>2303</v>
      </c>
      <c r="B2307" s="221"/>
      <c r="C2307" s="221" t="s">
        <v>49</v>
      </c>
      <c r="D2307" s="221" t="s">
        <v>4300</v>
      </c>
      <c r="E2307" s="221" t="s">
        <v>3295</v>
      </c>
      <c r="F2307" s="221" t="s">
        <v>3299</v>
      </c>
      <c r="G2307" s="222">
        <v>45637</v>
      </c>
      <c r="H2307" s="223">
        <v>0.57847222222222228</v>
      </c>
      <c r="I2307" s="221" t="s">
        <v>4916</v>
      </c>
      <c r="J2307" s="221" t="s">
        <v>3024</v>
      </c>
      <c r="K2307" s="224" t="s">
        <v>3094</v>
      </c>
      <c r="L2307" s="225" t="str">
        <f>VLOOKUP(Logfile_S12[[#This Row],[Material Name]],Sheet2!B:C,2,0)</f>
        <v>GCI1008</v>
      </c>
      <c r="M2307" s="225" t="str">
        <f>_xlfn.XLOOKUP(Logfile_S12[[#This Row],[Material Name]],Sum_WH!E:E,Sum_WH!F:F,"",0)</f>
        <v>Pcs</v>
      </c>
      <c r="N2307" s="221">
        <v>8</v>
      </c>
      <c r="O2307" s="221" t="s">
        <v>2350</v>
      </c>
      <c r="P2307" s="221" t="s">
        <v>3409</v>
      </c>
      <c r="Q2307" s="221"/>
      <c r="R2307" s="221"/>
      <c r="S2307" s="221"/>
      <c r="T2307" s="221" t="s">
        <v>3258</v>
      </c>
      <c r="U2307" s="221">
        <v>0</v>
      </c>
      <c r="V2307" s="221" t="s">
        <v>3337</v>
      </c>
      <c r="W2307" s="221" t="s">
        <v>3338</v>
      </c>
      <c r="X2307" s="221"/>
      <c r="Y2307" s="227"/>
      <c r="Z2307" s="227" t="str">
        <f t="shared" si="81"/>
        <v>Kalirejo RW 13 Lawang Malang</v>
      </c>
      <c r="AA2307" s="276" t="e">
        <f>VLOOKUP(Logfile_S12[[#This Row],[DO number]],DO_DB!G:I,3,0)</f>
        <v>#N/A</v>
      </c>
      <c r="AB2307" s="331" t="e">
        <f>EXACT(Logfile_S12[[#This Row],[date pick]],Logfile_S12[[#This Row],[Date]])</f>
        <v>#N/A</v>
      </c>
      <c r="AC23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08" spans="1:29" ht="14.5" hidden="1">
      <c r="A2308" s="220" t="str">
        <f t="shared" si="80"/>
        <v>2304</v>
      </c>
      <c r="B2308" s="221"/>
      <c r="C2308" s="221" t="s">
        <v>49</v>
      </c>
      <c r="D2308" s="221" t="s">
        <v>4301</v>
      </c>
      <c r="E2308" s="221" t="s">
        <v>3295</v>
      </c>
      <c r="F2308" s="221" t="s">
        <v>3299</v>
      </c>
      <c r="G2308" s="222">
        <v>45640</v>
      </c>
      <c r="H2308" s="223">
        <v>0.48541666666666666</v>
      </c>
      <c r="I2308" s="221" t="s">
        <v>4916</v>
      </c>
      <c r="J2308" s="221" t="s">
        <v>3024</v>
      </c>
      <c r="K2308" s="224" t="s">
        <v>3094</v>
      </c>
      <c r="L2308" s="225" t="str">
        <f>VLOOKUP(Logfile_S12[[#This Row],[Material Name]],Sheet2!B:C,2,0)</f>
        <v>GCI1008</v>
      </c>
      <c r="M2308" s="225" t="str">
        <f>_xlfn.XLOOKUP(Logfile_S12[[#This Row],[Material Name]],Sum_WH!E:E,Sum_WH!F:F,"",0)</f>
        <v>Pcs</v>
      </c>
      <c r="N2308" s="221">
        <v>100</v>
      </c>
      <c r="O2308" s="221" t="s">
        <v>2549</v>
      </c>
      <c r="P2308" s="221" t="s">
        <v>2550</v>
      </c>
      <c r="Q2308" s="221"/>
      <c r="R2308" s="221"/>
      <c r="S2308" s="221"/>
      <c r="T2308" s="221" t="s">
        <v>3258</v>
      </c>
      <c r="U2308" s="221">
        <v>0</v>
      </c>
      <c r="V2308" s="221" t="s">
        <v>3337</v>
      </c>
      <c r="W2308" s="221" t="s">
        <v>3338</v>
      </c>
      <c r="X2308" s="221"/>
      <c r="Y2308" s="227"/>
      <c r="Z2308" s="227" t="str">
        <f t="shared" si="81"/>
        <v>PERMANU RW 01 MALANG</v>
      </c>
      <c r="AA2308" s="276" t="e">
        <f>VLOOKUP(Logfile_S12[[#This Row],[DO number]],DO_DB!G:I,3,0)</f>
        <v>#N/A</v>
      </c>
      <c r="AB2308" s="331" t="e">
        <f>EXACT(Logfile_S12[[#This Row],[date pick]],Logfile_S12[[#This Row],[Date]])</f>
        <v>#N/A</v>
      </c>
      <c r="AC23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09" spans="1:29" ht="14.5" hidden="1">
      <c r="A2309" s="220" t="str">
        <f t="shared" ref="A2309:A2372" si="82">TEXT(ROW(A2309)-ROW($A$4),"000")</f>
        <v>2305</v>
      </c>
      <c r="B2309" s="221"/>
      <c r="C2309" s="221" t="s">
        <v>49</v>
      </c>
      <c r="D2309" s="221" t="s">
        <v>4302</v>
      </c>
      <c r="E2309" s="221" t="s">
        <v>3295</v>
      </c>
      <c r="F2309" s="221" t="s">
        <v>3299</v>
      </c>
      <c r="G2309" s="222">
        <v>45641</v>
      </c>
      <c r="H2309" s="223">
        <v>0.64513888888888893</v>
      </c>
      <c r="I2309" s="221" t="s">
        <v>4916</v>
      </c>
      <c r="J2309" s="221" t="s">
        <v>3024</v>
      </c>
      <c r="K2309" s="224" t="s">
        <v>3094</v>
      </c>
      <c r="L2309" s="225" t="str">
        <f>VLOOKUP(Logfile_S12[[#This Row],[Material Name]],Sheet2!B:C,2,0)</f>
        <v>GCI1008</v>
      </c>
      <c r="M2309" s="225" t="str">
        <f>_xlfn.XLOOKUP(Logfile_S12[[#This Row],[Material Name]],Sum_WH!E:E,Sum_WH!F:F,"",0)</f>
        <v>Pcs</v>
      </c>
      <c r="N2309" s="221">
        <v>26</v>
      </c>
      <c r="O2309" s="221" t="s">
        <v>2013</v>
      </c>
      <c r="P2309" s="221" t="s">
        <v>2014</v>
      </c>
      <c r="Q2309" s="221"/>
      <c r="R2309" s="221"/>
      <c r="S2309" s="221"/>
      <c r="T2309" s="221" t="s">
        <v>3231</v>
      </c>
      <c r="U2309" s="221">
        <v>0</v>
      </c>
      <c r="V2309" s="221" t="s">
        <v>3375</v>
      </c>
      <c r="W2309" s="221" t="s">
        <v>3249</v>
      </c>
      <c r="X2309" s="221"/>
      <c r="Y2309" s="227"/>
      <c r="Z2309" s="227" t="str">
        <f t="shared" si="81"/>
        <v>Perumahan Panca Garden</v>
      </c>
      <c r="AA2309" s="276" t="e">
        <f>VLOOKUP(Logfile_S12[[#This Row],[DO number]],DO_DB!G:I,3,0)</f>
        <v>#N/A</v>
      </c>
      <c r="AB2309" s="331" t="e">
        <f>EXACT(Logfile_S12[[#This Row],[date pick]],Logfile_S12[[#This Row],[Date]])</f>
        <v>#N/A</v>
      </c>
      <c r="AC23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10" spans="1:29" ht="14.5" hidden="1">
      <c r="A2310" s="220" t="str">
        <f t="shared" si="82"/>
        <v>2306</v>
      </c>
      <c r="B2310" s="221"/>
      <c r="C2310" s="221" t="s">
        <v>49</v>
      </c>
      <c r="D2310" s="221" t="s">
        <v>4313</v>
      </c>
      <c r="E2310" s="221" t="s">
        <v>3295</v>
      </c>
      <c r="F2310" s="221" t="s">
        <v>3299</v>
      </c>
      <c r="G2310" s="222">
        <v>45651</v>
      </c>
      <c r="H2310" s="223">
        <v>0.72986111111111107</v>
      </c>
      <c r="I2310" s="221" t="s">
        <v>4916</v>
      </c>
      <c r="J2310" s="221" t="s">
        <v>3024</v>
      </c>
      <c r="K2310" s="224" t="s">
        <v>3215</v>
      </c>
      <c r="L2310" s="225" t="str">
        <f>VLOOKUP(Logfile_S12[[#This Row],[Material Name]],Sheet2!B:C,2,0)</f>
        <v>GCI1008</v>
      </c>
      <c r="M2310" s="225" t="str">
        <f>_xlfn.XLOOKUP(Logfile_S12[[#This Row],[Material Name]],Sum_WH!E:E,Sum_WH!F:F,"",0)</f>
        <v>Pcs</v>
      </c>
      <c r="N2310" s="221">
        <v>25</v>
      </c>
      <c r="O2310" s="221" t="s">
        <v>3377</v>
      </c>
      <c r="P2310" s="221" t="s">
        <v>3378</v>
      </c>
      <c r="Q2310" s="221"/>
      <c r="R2310" s="221"/>
      <c r="S2310" s="221"/>
      <c r="T2310" s="221" t="s">
        <v>3258</v>
      </c>
      <c r="U2310" s="221">
        <v>0</v>
      </c>
      <c r="V2310" s="221" t="s">
        <v>3337</v>
      </c>
      <c r="W2310" s="221" t="s">
        <v>3338</v>
      </c>
      <c r="X2310" s="221"/>
      <c r="Y2310" s="227"/>
      <c r="Z2310" s="227" t="str">
        <f t="shared" si="81"/>
        <v>Perum Chandra Kirana Watugede</v>
      </c>
      <c r="AA2310" s="276" t="e">
        <f>VLOOKUP(Logfile_S12[[#This Row],[DO number]],DO_DB!G:I,3,0)</f>
        <v>#N/A</v>
      </c>
      <c r="AB2310" s="331" t="e">
        <f>EXACT(Logfile_S12[[#This Row],[date pick]],Logfile_S12[[#This Row],[Date]])</f>
        <v>#N/A</v>
      </c>
      <c r="AC23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11" spans="1:29" ht="14.5" hidden="1">
      <c r="A2311" s="220" t="str">
        <f t="shared" si="82"/>
        <v>2307</v>
      </c>
      <c r="B2311" s="221"/>
      <c r="C2311" s="221" t="s">
        <v>48</v>
      </c>
      <c r="D2311" s="221" t="s">
        <v>4318</v>
      </c>
      <c r="E2311" s="221" t="s">
        <v>3295</v>
      </c>
      <c r="F2311" s="221" t="s">
        <v>3299</v>
      </c>
      <c r="G2311" s="222">
        <v>45656</v>
      </c>
      <c r="H2311" s="223">
        <v>15.291666666666666</v>
      </c>
      <c r="I2311" s="221" t="s">
        <v>38</v>
      </c>
      <c r="J2311" s="221" t="s">
        <v>3024</v>
      </c>
      <c r="K2311" s="224" t="s">
        <v>3094</v>
      </c>
      <c r="L2311" s="225" t="str">
        <f>VLOOKUP(Logfile_S12[[#This Row],[Material Name]],Sheet2!B:C,2,0)</f>
        <v>GCI1008</v>
      </c>
      <c r="M2311" s="225" t="str">
        <f>_xlfn.XLOOKUP(Logfile_S12[[#This Row],[Material Name]],Sum_WH!E:E,Sum_WH!F:F,"",0)</f>
        <v>Pcs</v>
      </c>
      <c r="N2311" s="221">
        <v>301</v>
      </c>
      <c r="O2311" s="221">
        <v>0</v>
      </c>
      <c r="P2311" s="221">
        <v>0</v>
      </c>
      <c r="Q2311" s="221">
        <v>0</v>
      </c>
      <c r="R2311" s="221">
        <v>0</v>
      </c>
      <c r="S2311" s="221"/>
      <c r="T2311" s="221"/>
      <c r="U2311" s="221"/>
      <c r="V2311" s="221"/>
      <c r="W2311" s="221"/>
      <c r="X2311" s="221"/>
      <c r="Y2311" s="227"/>
      <c r="Z2311" s="227">
        <f t="shared" si="81"/>
        <v>0</v>
      </c>
      <c r="AA2311" s="276" t="e">
        <f>VLOOKUP(Logfile_S12[[#This Row],[DO number]],DO_DB!G:I,3,0)</f>
        <v>#N/A</v>
      </c>
      <c r="AB2311" s="331" t="e">
        <f>EXACT(Logfile_S12[[#This Row],[date pick]],Logfile_S12[[#This Row],[Date]])</f>
        <v>#N/A</v>
      </c>
      <c r="AC23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12" spans="1:29" ht="14.5" hidden="1">
      <c r="A2312" s="220" t="str">
        <f t="shared" si="82"/>
        <v>2308</v>
      </c>
      <c r="B2312" s="221"/>
      <c r="C2312" s="221" t="s">
        <v>49</v>
      </c>
      <c r="D2312" s="221" t="s">
        <v>4316</v>
      </c>
      <c r="E2312" s="221" t="s">
        <v>3295</v>
      </c>
      <c r="F2312" s="221" t="s">
        <v>3299</v>
      </c>
      <c r="G2312" s="222">
        <v>45656</v>
      </c>
      <c r="H2312" s="223">
        <v>0.40625</v>
      </c>
      <c r="I2312" s="221" t="s">
        <v>4916</v>
      </c>
      <c r="J2312" s="221" t="s">
        <v>3024</v>
      </c>
      <c r="K2312" s="224" t="s">
        <v>3215</v>
      </c>
      <c r="L2312" s="225" t="str">
        <f>VLOOKUP(Logfile_S12[[#This Row],[Material Name]],Sheet2!B:C,2,0)</f>
        <v>GCI1008</v>
      </c>
      <c r="M2312" s="225" t="str">
        <f>_xlfn.XLOOKUP(Logfile_S12[[#This Row],[Material Name]],Sum_WH!E:E,Sum_WH!F:F,"",0)</f>
        <v>Pcs</v>
      </c>
      <c r="N2312" s="221">
        <v>50</v>
      </c>
      <c r="O2312" s="221" t="s">
        <v>3377</v>
      </c>
      <c r="P2312" s="221" t="s">
        <v>3378</v>
      </c>
      <c r="Q2312" s="221"/>
      <c r="R2312" s="221"/>
      <c r="S2312" s="221"/>
      <c r="T2312" s="221" t="s">
        <v>3258</v>
      </c>
      <c r="U2312" s="221">
        <v>0</v>
      </c>
      <c r="V2312" s="221" t="s">
        <v>3337</v>
      </c>
      <c r="W2312" s="221" t="s">
        <v>3338</v>
      </c>
      <c r="X2312" s="221"/>
      <c r="Y2312" s="227"/>
      <c r="Z2312" s="227" t="str">
        <f t="shared" si="81"/>
        <v>Perum Chandra Kirana Watugede</v>
      </c>
      <c r="AA2312" s="276" t="e">
        <f>VLOOKUP(Logfile_S12[[#This Row],[DO number]],DO_DB!G:I,3,0)</f>
        <v>#N/A</v>
      </c>
      <c r="AB2312" s="331" t="e">
        <f>EXACT(Logfile_S12[[#This Row],[date pick]],Logfile_S12[[#This Row],[Date]])</f>
        <v>#N/A</v>
      </c>
      <c r="AC23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13" spans="1:29" ht="14.5" hidden="1">
      <c r="A2313" s="220" t="str">
        <f t="shared" si="82"/>
        <v>2309</v>
      </c>
      <c r="B2313" s="221"/>
      <c r="C2313" s="221" t="s">
        <v>49</v>
      </c>
      <c r="D2313" s="221" t="s">
        <v>4319</v>
      </c>
      <c r="E2313" s="221" t="s">
        <v>3295</v>
      </c>
      <c r="F2313" s="221" t="s">
        <v>3299</v>
      </c>
      <c r="G2313" s="222">
        <v>45665</v>
      </c>
      <c r="H2313" s="223">
        <v>0.69374999999999998</v>
      </c>
      <c r="I2313" s="221" t="s">
        <v>4916</v>
      </c>
      <c r="J2313" s="221" t="s">
        <v>3024</v>
      </c>
      <c r="K2313" s="224" t="s">
        <v>3215</v>
      </c>
      <c r="L2313" s="225" t="str">
        <f>VLOOKUP(Logfile_S12[[#This Row],[Material Name]],Sheet2!B:C,2,0)</f>
        <v>GCI1008</v>
      </c>
      <c r="M2313" s="225" t="str">
        <f>_xlfn.XLOOKUP(Logfile_S12[[#This Row],[Material Name]],Sum_WH!E:E,Sum_WH!F:F,"",0)</f>
        <v>Pcs</v>
      </c>
      <c r="N2313" s="221">
        <v>30</v>
      </c>
      <c r="O2313" s="221" t="s">
        <v>2360</v>
      </c>
      <c r="P2313" s="221" t="s">
        <v>2361</v>
      </c>
      <c r="Q2313" s="221"/>
      <c r="R2313" s="221"/>
      <c r="S2313" s="221"/>
      <c r="T2313" s="221" t="s">
        <v>3258</v>
      </c>
      <c r="U2313" s="221">
        <v>0</v>
      </c>
      <c r="V2313" s="221" t="s">
        <v>3337</v>
      </c>
      <c r="W2313" s="221" t="s">
        <v>3338</v>
      </c>
      <c r="X2313" s="221"/>
      <c r="Y2313" s="227"/>
      <c r="Z2313" s="227" t="str">
        <f t="shared" si="81"/>
        <v>Tambakasri RW 02 Tajinan</v>
      </c>
      <c r="AA2313" s="276" t="e">
        <f>VLOOKUP(Logfile_S12[[#This Row],[DO number]],DO_DB!G:I,3,0)</f>
        <v>#N/A</v>
      </c>
      <c r="AB2313" s="331" t="e">
        <f>EXACT(Logfile_S12[[#This Row],[date pick]],Logfile_S12[[#This Row],[Date]])</f>
        <v>#N/A</v>
      </c>
      <c r="AC23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14" spans="1:29" ht="14.5" hidden="1">
      <c r="A2314" s="220" t="str">
        <f t="shared" si="82"/>
        <v>2310</v>
      </c>
      <c r="B2314" s="221"/>
      <c r="C2314" s="221" t="s">
        <v>49</v>
      </c>
      <c r="D2314" s="221" t="s">
        <v>4321</v>
      </c>
      <c r="E2314" s="221" t="s">
        <v>3295</v>
      </c>
      <c r="F2314" s="221" t="s">
        <v>3299</v>
      </c>
      <c r="G2314" s="222">
        <v>45670</v>
      </c>
      <c r="H2314" s="223">
        <v>0.54166666666666663</v>
      </c>
      <c r="I2314" s="221" t="s">
        <v>4916</v>
      </c>
      <c r="J2314" s="221" t="s">
        <v>3024</v>
      </c>
      <c r="K2314" s="224" t="s">
        <v>3215</v>
      </c>
      <c r="L2314" s="225" t="str">
        <f>VLOOKUP(Logfile_S12[[#This Row],[Material Name]],Sheet2!B:C,2,0)</f>
        <v>GCI1008</v>
      </c>
      <c r="M2314" s="225" t="str">
        <f>_xlfn.XLOOKUP(Logfile_S12[[#This Row],[Material Name]],Sum_WH!E:E,Sum_WH!F:F,"",0)</f>
        <v>Pcs</v>
      </c>
      <c r="N2314" s="221">
        <v>20</v>
      </c>
      <c r="O2314" s="221" t="s">
        <v>2360</v>
      </c>
      <c r="P2314" s="221" t="s">
        <v>2361</v>
      </c>
      <c r="Q2314" s="221"/>
      <c r="R2314" s="221"/>
      <c r="S2314" s="221"/>
      <c r="T2314" s="221" t="s">
        <v>3258</v>
      </c>
      <c r="U2314" s="221">
        <v>0</v>
      </c>
      <c r="V2314" s="221" t="s">
        <v>3337</v>
      </c>
      <c r="W2314" s="221" t="s">
        <v>3338</v>
      </c>
      <c r="X2314" s="221"/>
      <c r="Y2314" s="227"/>
      <c r="Z2314" s="227" t="str">
        <f t="shared" si="81"/>
        <v>Tambakasri RW 02 Tajinan</v>
      </c>
      <c r="AA2314" s="276" t="e">
        <f>VLOOKUP(Logfile_S12[[#This Row],[DO number]],DO_DB!G:I,3,0)</f>
        <v>#N/A</v>
      </c>
      <c r="AB2314" s="331" t="e">
        <f>EXACT(Logfile_S12[[#This Row],[date pick]],Logfile_S12[[#This Row],[Date]])</f>
        <v>#N/A</v>
      </c>
      <c r="AC23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15" spans="1:29" ht="14.5" hidden="1">
      <c r="A2315" s="220" t="str">
        <f t="shared" si="82"/>
        <v>2311</v>
      </c>
      <c r="B2315" s="221"/>
      <c r="C2315" s="221" t="s">
        <v>49</v>
      </c>
      <c r="D2315" s="221" t="s">
        <v>4323</v>
      </c>
      <c r="E2315" s="221" t="s">
        <v>3295</v>
      </c>
      <c r="F2315" s="221" t="s">
        <v>3299</v>
      </c>
      <c r="G2315" s="222">
        <v>45672</v>
      </c>
      <c r="H2315" s="223">
        <v>0.54166666666666663</v>
      </c>
      <c r="I2315" s="221" t="s">
        <v>4916</v>
      </c>
      <c r="J2315" s="221" t="s">
        <v>3024</v>
      </c>
      <c r="K2315" s="224" t="s">
        <v>3215</v>
      </c>
      <c r="L2315" s="225" t="str">
        <f>VLOOKUP(Logfile_S12[[#This Row],[Material Name]],Sheet2!B:C,2,0)</f>
        <v>GCI1008</v>
      </c>
      <c r="M2315" s="225" t="str">
        <f>_xlfn.XLOOKUP(Logfile_S12[[#This Row],[Material Name]],Sum_WH!E:E,Sum_WH!F:F,"",0)</f>
        <v>Pcs</v>
      </c>
      <c r="N2315" s="221">
        <v>20</v>
      </c>
      <c r="O2315" s="221" t="s">
        <v>2360</v>
      </c>
      <c r="P2315" s="221" t="s">
        <v>2361</v>
      </c>
      <c r="Q2315" s="221"/>
      <c r="R2315" s="221"/>
      <c r="S2315" s="221"/>
      <c r="T2315" s="221" t="s">
        <v>3258</v>
      </c>
      <c r="U2315" s="221">
        <v>0</v>
      </c>
      <c r="V2315" s="221" t="s">
        <v>3337</v>
      </c>
      <c r="W2315" s="221" t="s">
        <v>3338</v>
      </c>
      <c r="X2315" s="221"/>
      <c r="Y2315" s="227"/>
      <c r="Z2315" s="227" t="str">
        <f t="shared" si="81"/>
        <v>Tambakasri RW 02 Tajinan</v>
      </c>
      <c r="AA2315" s="276" t="e">
        <f>VLOOKUP(Logfile_S12[[#This Row],[DO number]],DO_DB!G:I,3,0)</f>
        <v>#N/A</v>
      </c>
      <c r="AB2315" s="331" t="e">
        <f>EXACT(Logfile_S12[[#This Row],[date pick]],Logfile_S12[[#This Row],[Date]])</f>
        <v>#N/A</v>
      </c>
      <c r="AC23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16" spans="1:29" ht="14.5" hidden="1">
      <c r="A2316" s="220" t="str">
        <f t="shared" si="82"/>
        <v>2312</v>
      </c>
      <c r="B2316" s="221"/>
      <c r="C2316" s="221" t="s">
        <v>49</v>
      </c>
      <c r="D2316" s="221" t="s">
        <v>4325</v>
      </c>
      <c r="E2316" s="221" t="s">
        <v>3295</v>
      </c>
      <c r="F2316" s="221" t="s">
        <v>3299</v>
      </c>
      <c r="G2316" s="222">
        <v>45678</v>
      </c>
      <c r="H2316" s="223">
        <v>0.56944444444444442</v>
      </c>
      <c r="I2316" s="221" t="s">
        <v>4916</v>
      </c>
      <c r="J2316" s="221" t="s">
        <v>3024</v>
      </c>
      <c r="K2316" s="224" t="s">
        <v>3215</v>
      </c>
      <c r="L2316" s="225" t="str">
        <f>VLOOKUP(Logfile_S12[[#This Row],[Material Name]],Sheet2!B:C,2,0)</f>
        <v>GCI1008</v>
      </c>
      <c r="M2316" s="225" t="str">
        <f>_xlfn.XLOOKUP(Logfile_S12[[#This Row],[Material Name]],Sum_WH!E:E,Sum_WH!F:F,"",0)</f>
        <v>Pcs</v>
      </c>
      <c r="N2316" s="221">
        <v>30</v>
      </c>
      <c r="O2316" s="221" t="s">
        <v>3379</v>
      </c>
      <c r="P2316" s="221" t="s">
        <v>3380</v>
      </c>
      <c r="Q2316" s="221"/>
      <c r="R2316" s="221"/>
      <c r="S2316" s="221"/>
      <c r="T2316" s="221" t="s">
        <v>3258</v>
      </c>
      <c r="U2316" s="221">
        <v>0</v>
      </c>
      <c r="V2316" s="221" t="s">
        <v>3337</v>
      </c>
      <c r="W2316" s="221" t="s">
        <v>3338</v>
      </c>
      <c r="X2316" s="221"/>
      <c r="Y2316" s="227"/>
      <c r="Z2316" s="227" t="str">
        <f t="shared" ref="Z2316:Z2379" si="83">P2316</f>
        <v>Citra Kayane Residence</v>
      </c>
      <c r="AA2316" s="276" t="e">
        <f>VLOOKUP(Logfile_S12[[#This Row],[DO number]],DO_DB!G:I,3,0)</f>
        <v>#N/A</v>
      </c>
      <c r="AB2316" s="331" t="e">
        <f>EXACT(Logfile_S12[[#This Row],[date pick]],Logfile_S12[[#This Row],[Date]])</f>
        <v>#N/A</v>
      </c>
      <c r="AC23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17" spans="1:29" ht="14.5" hidden="1">
      <c r="A2317" s="220" t="str">
        <f t="shared" si="82"/>
        <v>2313</v>
      </c>
      <c r="B2317" s="221"/>
      <c r="C2317" s="221" t="s">
        <v>49</v>
      </c>
      <c r="D2317" s="221" t="s">
        <v>4327</v>
      </c>
      <c r="E2317" s="221" t="s">
        <v>3295</v>
      </c>
      <c r="F2317" s="221" t="s">
        <v>3299</v>
      </c>
      <c r="G2317" s="222">
        <v>45684</v>
      </c>
      <c r="H2317" s="223">
        <v>0.56944444444444442</v>
      </c>
      <c r="I2317" s="221" t="s">
        <v>4916</v>
      </c>
      <c r="J2317" s="221" t="s">
        <v>3024</v>
      </c>
      <c r="K2317" s="224" t="s">
        <v>3215</v>
      </c>
      <c r="L2317" s="225" t="str">
        <f>VLOOKUP(Logfile_S12[[#This Row],[Material Name]],Sheet2!B:C,2,0)</f>
        <v>GCI1008</v>
      </c>
      <c r="M2317" s="225" t="str">
        <f>_xlfn.XLOOKUP(Logfile_S12[[#This Row],[Material Name]],Sum_WH!E:E,Sum_WH!F:F,"",0)</f>
        <v>Pcs</v>
      </c>
      <c r="N2317" s="221">
        <v>11</v>
      </c>
      <c r="O2317" s="221" t="s">
        <v>2360</v>
      </c>
      <c r="P2317" s="221" t="s">
        <v>2361</v>
      </c>
      <c r="Q2317" s="221"/>
      <c r="R2317" s="221"/>
      <c r="S2317" s="221"/>
      <c r="T2317" s="221" t="s">
        <v>3258</v>
      </c>
      <c r="U2317" s="221">
        <v>0</v>
      </c>
      <c r="V2317" s="221" t="s">
        <v>3337</v>
      </c>
      <c r="W2317" s="221" t="s">
        <v>3338</v>
      </c>
      <c r="X2317" s="221"/>
      <c r="Y2317" s="227"/>
      <c r="Z2317" s="227" t="str">
        <f t="shared" si="83"/>
        <v>Tambakasri RW 02 Tajinan</v>
      </c>
      <c r="AA2317" s="276" t="e">
        <f>VLOOKUP(Logfile_S12[[#This Row],[DO number]],DO_DB!G:I,3,0)</f>
        <v>#N/A</v>
      </c>
      <c r="AB2317" s="331" t="e">
        <f>EXACT(Logfile_S12[[#This Row],[date pick]],Logfile_S12[[#This Row],[Date]])</f>
        <v>#N/A</v>
      </c>
      <c r="AC23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18" spans="1:29" ht="14.5" hidden="1">
      <c r="A2318" s="220" t="str">
        <f t="shared" si="82"/>
        <v>2314</v>
      </c>
      <c r="B2318" s="221"/>
      <c r="C2318" s="221" t="s">
        <v>49</v>
      </c>
      <c r="D2318" s="221" t="s">
        <v>4329</v>
      </c>
      <c r="E2318" s="221" t="s">
        <v>3295</v>
      </c>
      <c r="F2318" s="221" t="s">
        <v>3299</v>
      </c>
      <c r="G2318" s="222">
        <v>45694</v>
      </c>
      <c r="H2318" s="223">
        <v>0.39930555555555558</v>
      </c>
      <c r="I2318" s="221" t="s">
        <v>4916</v>
      </c>
      <c r="J2318" s="221" t="s">
        <v>3024</v>
      </c>
      <c r="K2318" s="224" t="s">
        <v>3456</v>
      </c>
      <c r="L2318" s="225" t="str">
        <f>VLOOKUP(Logfile_S12[[#This Row],[Material Name]],Sheet2!B:C,2,0)</f>
        <v>GCI1008</v>
      </c>
      <c r="M2318" s="225" t="str">
        <f>_xlfn.XLOOKUP(Logfile_S12[[#This Row],[Material Name]],Sum_WH!E:E,Sum_WH!F:F,"",0)</f>
        <v>Pcs</v>
      </c>
      <c r="N2318" s="221">
        <v>30</v>
      </c>
      <c r="O2318" s="221" t="s">
        <v>2633</v>
      </c>
      <c r="P2318" s="221" t="s">
        <v>3410</v>
      </c>
      <c r="Q2318" s="221"/>
      <c r="R2318" s="221"/>
      <c r="S2318" s="221"/>
      <c r="T2318" s="221" t="s">
        <v>3258</v>
      </c>
      <c r="U2318" s="221">
        <v>0</v>
      </c>
      <c r="V2318" s="221" t="s">
        <v>3337</v>
      </c>
      <c r="W2318" s="221" t="s">
        <v>3338</v>
      </c>
      <c r="X2318" s="221"/>
      <c r="Y2318" s="227"/>
      <c r="Z2318" s="227" t="str">
        <f t="shared" si="83"/>
        <v>PERUMAHAN DE WIRA GREEN VIEW</v>
      </c>
      <c r="AA2318" s="276" t="e">
        <f>VLOOKUP(Logfile_S12[[#This Row],[DO number]],DO_DB!G:I,3,0)</f>
        <v>#N/A</v>
      </c>
      <c r="AB2318" s="331" t="e">
        <f>EXACT(Logfile_S12[[#This Row],[date pick]],Logfile_S12[[#This Row],[Date]])</f>
        <v>#N/A</v>
      </c>
      <c r="AC23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19" spans="1:29" ht="14.5" hidden="1">
      <c r="A2319" s="220" t="str">
        <f t="shared" si="82"/>
        <v>2315</v>
      </c>
      <c r="B2319" s="221"/>
      <c r="C2319" s="221" t="s">
        <v>49</v>
      </c>
      <c r="D2319" s="221" t="s">
        <v>4332</v>
      </c>
      <c r="E2319" s="221" t="s">
        <v>3295</v>
      </c>
      <c r="F2319" s="221" t="s">
        <v>3299</v>
      </c>
      <c r="G2319" s="222">
        <v>45707</v>
      </c>
      <c r="H2319" s="223">
        <v>0.39930555555555558</v>
      </c>
      <c r="I2319" s="221" t="s">
        <v>4916</v>
      </c>
      <c r="J2319" s="221" t="s">
        <v>3024</v>
      </c>
      <c r="K2319" s="224" t="s">
        <v>3456</v>
      </c>
      <c r="L2319" s="225" t="str">
        <f>VLOOKUP(Logfile_S12[[#This Row],[Material Name]],Sheet2!B:C,2,0)</f>
        <v>GCI1008</v>
      </c>
      <c r="M2319" s="225" t="str">
        <f>_xlfn.XLOOKUP(Logfile_S12[[#This Row],[Material Name]],Sum_WH!E:E,Sum_WH!F:F,"",0)</f>
        <v>Pcs</v>
      </c>
      <c r="N2319" s="221">
        <v>50</v>
      </c>
      <c r="O2319" s="221" t="s">
        <v>2648</v>
      </c>
      <c r="P2319" s="221" t="s">
        <v>2649</v>
      </c>
      <c r="Q2319" s="221"/>
      <c r="R2319" s="221"/>
      <c r="S2319" s="221"/>
      <c r="T2319" s="221" t="s">
        <v>3258</v>
      </c>
      <c r="U2319" s="221">
        <v>0</v>
      </c>
      <c r="V2319" s="221" t="s">
        <v>3337</v>
      </c>
      <c r="W2319" s="221" t="s">
        <v>3338</v>
      </c>
      <c r="X2319" s="221"/>
      <c r="Y2319" s="227"/>
      <c r="Z2319" s="227" t="str">
        <f t="shared" si="83"/>
        <v>Sitirejo RW 04 Wagir</v>
      </c>
      <c r="AA2319" s="276" t="e">
        <f>VLOOKUP(Logfile_S12[[#This Row],[DO number]],DO_DB!G:I,3,0)</f>
        <v>#N/A</v>
      </c>
      <c r="AB2319" s="331" t="e">
        <f>EXACT(Logfile_S12[[#This Row],[date pick]],Logfile_S12[[#This Row],[Date]])</f>
        <v>#N/A</v>
      </c>
      <c r="AC23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20" spans="1:29" ht="14.5" hidden="1">
      <c r="A2320" s="220" t="str">
        <f t="shared" si="82"/>
        <v>2316</v>
      </c>
      <c r="B2320" s="221"/>
      <c r="C2320" s="221" t="s">
        <v>49</v>
      </c>
      <c r="D2320" s="221" t="s">
        <v>4338</v>
      </c>
      <c r="E2320" s="221" t="s">
        <v>3295</v>
      </c>
      <c r="F2320" s="221" t="s">
        <v>3299</v>
      </c>
      <c r="G2320" s="222">
        <v>45709</v>
      </c>
      <c r="H2320" s="223">
        <v>0.39930555555555558</v>
      </c>
      <c r="I2320" s="221" t="s">
        <v>4916</v>
      </c>
      <c r="J2320" s="221" t="s">
        <v>3024</v>
      </c>
      <c r="K2320" s="224" t="s">
        <v>3456</v>
      </c>
      <c r="L2320" s="225" t="str">
        <f>VLOOKUP(Logfile_S12[[#This Row],[Material Name]],Sheet2!B:C,2,0)</f>
        <v>GCI1008</v>
      </c>
      <c r="M2320" s="225" t="str">
        <f>_xlfn.XLOOKUP(Logfile_S12[[#This Row],[Material Name]],Sum_WH!E:E,Sum_WH!F:F,"",0)</f>
        <v>Pcs</v>
      </c>
      <c r="N2320" s="221">
        <v>12</v>
      </c>
      <c r="O2320" s="221" t="s">
        <v>2007</v>
      </c>
      <c r="P2320" s="221" t="s">
        <v>2008</v>
      </c>
      <c r="Q2320" s="221"/>
      <c r="R2320" s="221"/>
      <c r="S2320" s="221"/>
      <c r="T2320" s="221" t="s">
        <v>3231</v>
      </c>
      <c r="U2320" s="221">
        <v>0</v>
      </c>
      <c r="V2320" s="221" t="s">
        <v>3375</v>
      </c>
      <c r="W2320" s="221" t="s">
        <v>3249</v>
      </c>
      <c r="X2320" s="221"/>
      <c r="Y2320" s="227"/>
      <c r="Z2320" s="227" t="str">
        <f t="shared" si="83"/>
        <v>Ngenep RW 06 Karang Ploso</v>
      </c>
      <c r="AA2320" s="276" t="e">
        <f>VLOOKUP(Logfile_S12[[#This Row],[DO number]],DO_DB!G:I,3,0)</f>
        <v>#N/A</v>
      </c>
      <c r="AB2320" s="331" t="e">
        <f>EXACT(Logfile_S12[[#This Row],[date pick]],Logfile_S12[[#This Row],[Date]])</f>
        <v>#N/A</v>
      </c>
      <c r="AC23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21" spans="1:29" ht="14.5" hidden="1">
      <c r="A2321" s="220" t="str">
        <f t="shared" si="82"/>
        <v>2317</v>
      </c>
      <c r="B2321" s="221"/>
      <c r="C2321" s="221" t="s">
        <v>49</v>
      </c>
      <c r="D2321" s="221" t="s">
        <v>4342</v>
      </c>
      <c r="E2321" s="221" t="s">
        <v>3295</v>
      </c>
      <c r="F2321" s="221" t="s">
        <v>3299</v>
      </c>
      <c r="G2321" s="222">
        <v>45710</v>
      </c>
      <c r="H2321" s="223">
        <v>0.35347222222222224</v>
      </c>
      <c r="I2321" s="221" t="s">
        <v>4916</v>
      </c>
      <c r="J2321" s="221" t="s">
        <v>3024</v>
      </c>
      <c r="K2321" s="224" t="s">
        <v>3456</v>
      </c>
      <c r="L2321" s="225" t="str">
        <f>VLOOKUP(Logfile_S12[[#This Row],[Material Name]],Sheet2!B:C,2,0)</f>
        <v>GCI1008</v>
      </c>
      <c r="M2321" s="225" t="str">
        <f>_xlfn.XLOOKUP(Logfile_S12[[#This Row],[Material Name]],Sum_WH!E:E,Sum_WH!F:F,"",0)</f>
        <v>Pcs</v>
      </c>
      <c r="N2321" s="221">
        <v>4</v>
      </c>
      <c r="O2321" s="221" t="s">
        <v>1929</v>
      </c>
      <c r="P2321" s="221" t="s">
        <v>1930</v>
      </c>
      <c r="Q2321" s="221"/>
      <c r="R2321" s="221"/>
      <c r="S2321" s="221"/>
      <c r="T2321" s="221" t="s">
        <v>3231</v>
      </c>
      <c r="U2321" s="221">
        <v>0</v>
      </c>
      <c r="V2321" s="221" t="s">
        <v>3375</v>
      </c>
      <c r="W2321" s="221" t="s">
        <v>3249</v>
      </c>
      <c r="X2321" s="221"/>
      <c r="Y2321" s="227"/>
      <c r="Z2321" s="227" t="str">
        <f t="shared" si="83"/>
        <v>Dusun Krajan Sumbersekar</v>
      </c>
      <c r="AA2321" s="276" t="e">
        <f>VLOOKUP(Logfile_S12[[#This Row],[DO number]],DO_DB!G:I,3,0)</f>
        <v>#N/A</v>
      </c>
      <c r="AB2321" s="331" t="e">
        <f>EXACT(Logfile_S12[[#This Row],[date pick]],Logfile_S12[[#This Row],[Date]])</f>
        <v>#N/A</v>
      </c>
      <c r="AC23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22" spans="1:29" ht="14.5" hidden="1">
      <c r="A2322" s="220" t="str">
        <f t="shared" si="82"/>
        <v>2318</v>
      </c>
      <c r="B2322" s="221"/>
      <c r="C2322" s="221" t="s">
        <v>49</v>
      </c>
      <c r="D2322" s="221" t="s">
        <v>4343</v>
      </c>
      <c r="E2322" s="221" t="s">
        <v>3295</v>
      </c>
      <c r="F2322" s="221" t="s">
        <v>3299</v>
      </c>
      <c r="G2322" s="222">
        <v>45712</v>
      </c>
      <c r="H2322" s="223">
        <v>0.63124999999999998</v>
      </c>
      <c r="I2322" s="221" t="s">
        <v>4916</v>
      </c>
      <c r="J2322" s="221" t="s">
        <v>3024</v>
      </c>
      <c r="K2322" s="224" t="s">
        <v>3456</v>
      </c>
      <c r="L2322" s="225" t="str">
        <f>VLOOKUP(Logfile_S12[[#This Row],[Material Name]],Sheet2!B:C,2,0)</f>
        <v>GCI1008</v>
      </c>
      <c r="M2322" s="225" t="str">
        <f>_xlfn.XLOOKUP(Logfile_S12[[#This Row],[Material Name]],Sum_WH!E:E,Sum_WH!F:F,"",0)</f>
        <v>Pcs</v>
      </c>
      <c r="N2322" s="221">
        <v>30</v>
      </c>
      <c r="O2322" s="221" t="s">
        <v>2648</v>
      </c>
      <c r="P2322" s="221" t="s">
        <v>2649</v>
      </c>
      <c r="Q2322" s="221"/>
      <c r="R2322" s="221"/>
      <c r="S2322" s="221"/>
      <c r="T2322" s="221" t="s">
        <v>3258</v>
      </c>
      <c r="U2322" s="221">
        <v>0</v>
      </c>
      <c r="V2322" s="221" t="s">
        <v>3337</v>
      </c>
      <c r="W2322" s="221" t="s">
        <v>3338</v>
      </c>
      <c r="X2322" s="221"/>
      <c r="Y2322" s="227"/>
      <c r="Z2322" s="227" t="str">
        <f t="shared" si="83"/>
        <v>Sitirejo RW 04 Wagir</v>
      </c>
      <c r="AA2322" s="276" t="e">
        <f>VLOOKUP(Logfile_S12[[#This Row],[DO number]],DO_DB!G:I,3,0)</f>
        <v>#N/A</v>
      </c>
      <c r="AB2322" s="331" t="e">
        <f>EXACT(Logfile_S12[[#This Row],[date pick]],Logfile_S12[[#This Row],[Date]])</f>
        <v>#N/A</v>
      </c>
      <c r="AC23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23" spans="1:29" ht="14.5" hidden="1">
      <c r="A2323" s="220" t="str">
        <f t="shared" si="82"/>
        <v>2319</v>
      </c>
      <c r="B2323" s="221"/>
      <c r="C2323" s="221" t="s">
        <v>49</v>
      </c>
      <c r="D2323" s="221" t="s">
        <v>4347</v>
      </c>
      <c r="E2323" s="221" t="s">
        <v>3295</v>
      </c>
      <c r="F2323" s="221" t="s">
        <v>3299</v>
      </c>
      <c r="G2323" s="222">
        <v>45722</v>
      </c>
      <c r="H2323" s="223">
        <v>0.63124999999999998</v>
      </c>
      <c r="I2323" s="221" t="s">
        <v>4916</v>
      </c>
      <c r="J2323" s="221" t="s">
        <v>3024</v>
      </c>
      <c r="K2323" s="224" t="s">
        <v>3456</v>
      </c>
      <c r="L2323" s="225" t="str">
        <f>VLOOKUP(Logfile_S12[[#This Row],[Material Name]],Sheet2!B:C,2,0)</f>
        <v>GCI1008</v>
      </c>
      <c r="M2323" s="225" t="str">
        <f>_xlfn.XLOOKUP(Logfile_S12[[#This Row],[Material Name]],Sum_WH!E:E,Sum_WH!F:F,"",0)</f>
        <v>Pcs</v>
      </c>
      <c r="N2323" s="221">
        <v>15</v>
      </c>
      <c r="O2323" s="221" t="s">
        <v>3314</v>
      </c>
      <c r="P2323" s="221">
        <v>0</v>
      </c>
      <c r="Q2323" s="221"/>
      <c r="R2323" s="221"/>
      <c r="S2323" s="221"/>
      <c r="T2323" s="221" t="s">
        <v>3231</v>
      </c>
      <c r="U2323" s="221">
        <v>0</v>
      </c>
      <c r="V2323" s="221" t="s">
        <v>3375</v>
      </c>
      <c r="W2323" s="221" t="s">
        <v>3249</v>
      </c>
      <c r="X2323" s="221" t="s">
        <v>3457</v>
      </c>
      <c r="Y2323" s="227"/>
      <c r="Z2323" s="227">
        <f t="shared" si="83"/>
        <v>0</v>
      </c>
      <c r="AA2323" s="276" t="e">
        <f>VLOOKUP(Logfile_S12[[#This Row],[DO number]],DO_DB!G:I,3,0)</f>
        <v>#N/A</v>
      </c>
      <c r="AB2323" s="331" t="e">
        <f>EXACT(Logfile_S12[[#This Row],[date pick]],Logfile_S12[[#This Row],[Date]])</f>
        <v>#N/A</v>
      </c>
      <c r="AC23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24" spans="1:29" ht="14.5" hidden="1">
      <c r="A2324" s="220" t="str">
        <f t="shared" si="82"/>
        <v>2320</v>
      </c>
      <c r="B2324" s="221"/>
      <c r="C2324" s="221" t="s">
        <v>49</v>
      </c>
      <c r="D2324" s="221" t="s">
        <v>4354</v>
      </c>
      <c r="E2324" s="221" t="s">
        <v>3295</v>
      </c>
      <c r="F2324" s="221" t="s">
        <v>3299</v>
      </c>
      <c r="G2324" s="222">
        <v>45737</v>
      </c>
      <c r="H2324" s="223">
        <v>0.78472222222222221</v>
      </c>
      <c r="I2324" s="221" t="s">
        <v>4916</v>
      </c>
      <c r="J2324" s="221" t="s">
        <v>3024</v>
      </c>
      <c r="K2324" s="224" t="s">
        <v>3236</v>
      </c>
      <c r="L2324" s="225" t="str">
        <f>VLOOKUP(Logfile_S12[[#This Row],[Material Name]],Sheet2!B:C,2,0)</f>
        <v>GCI1008</v>
      </c>
      <c r="M2324" s="225" t="str">
        <f>_xlfn.XLOOKUP(Logfile_S12[[#This Row],[Material Name]],Sum_WH!E:E,Sum_WH!F:F,"",0)</f>
        <v>Pcs</v>
      </c>
      <c r="N2324" s="221">
        <v>21</v>
      </c>
      <c r="O2324" s="221" t="s">
        <v>2322</v>
      </c>
      <c r="P2324" s="221" t="s">
        <v>3403</v>
      </c>
      <c r="Q2324" s="221"/>
      <c r="R2324" s="221"/>
      <c r="S2324" s="221"/>
      <c r="T2324" s="221" t="s">
        <v>3404</v>
      </c>
      <c r="U2324" s="221">
        <v>0</v>
      </c>
      <c r="V2324" s="221" t="s">
        <v>3405</v>
      </c>
      <c r="W2324" s="221" t="s">
        <v>3406</v>
      </c>
      <c r="X2324" s="221"/>
      <c r="Y2324" s="227"/>
      <c r="Z2324" s="227" t="str">
        <f t="shared" si="83"/>
        <v>Mainfeeder Singosari Segment 3</v>
      </c>
      <c r="AA2324" s="276" t="e">
        <f>VLOOKUP(Logfile_S12[[#This Row],[DO number]],DO_DB!G:I,3,0)</f>
        <v>#N/A</v>
      </c>
      <c r="AB2324" s="331" t="e">
        <f>EXACT(Logfile_S12[[#This Row],[date pick]],Logfile_S12[[#This Row],[Date]])</f>
        <v>#N/A</v>
      </c>
      <c r="AC23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25" spans="1:29" ht="14.5" hidden="1">
      <c r="A2325" s="220" t="str">
        <f t="shared" si="82"/>
        <v>2321</v>
      </c>
      <c r="B2325" s="221"/>
      <c r="C2325" s="221" t="s">
        <v>49</v>
      </c>
      <c r="D2325" s="221" t="s">
        <v>4356</v>
      </c>
      <c r="E2325" s="221" t="s">
        <v>3295</v>
      </c>
      <c r="F2325" s="221" t="s">
        <v>3299</v>
      </c>
      <c r="G2325" s="222">
        <v>45738</v>
      </c>
      <c r="H2325" s="223">
        <v>0.67291666666666672</v>
      </c>
      <c r="I2325" s="221" t="s">
        <v>4916</v>
      </c>
      <c r="J2325" s="221" t="s">
        <v>3024</v>
      </c>
      <c r="K2325" s="224" t="s">
        <v>3456</v>
      </c>
      <c r="L2325" s="225" t="str">
        <f>VLOOKUP(Logfile_S12[[#This Row],[Material Name]],Sheet2!B:C,2,0)</f>
        <v>GCI1008</v>
      </c>
      <c r="M2325" s="225" t="str">
        <f>_xlfn.XLOOKUP(Logfile_S12[[#This Row],[Material Name]],Sum_WH!E:E,Sum_WH!F:F,"",0)</f>
        <v>Pcs</v>
      </c>
      <c r="N2325" s="221">
        <v>158</v>
      </c>
      <c r="O2325" s="221" t="s">
        <v>2664</v>
      </c>
      <c r="P2325" s="221" t="s">
        <v>2665</v>
      </c>
      <c r="Q2325" s="221"/>
      <c r="R2325" s="221"/>
      <c r="S2325" s="221"/>
      <c r="T2325" s="221" t="s">
        <v>3258</v>
      </c>
      <c r="U2325" s="221">
        <v>0</v>
      </c>
      <c r="V2325" s="221" t="s">
        <v>3337</v>
      </c>
      <c r="W2325" s="221" t="s">
        <v>3338</v>
      </c>
      <c r="X2325" s="221"/>
      <c r="Y2325" s="227"/>
      <c r="Z2325" s="227" t="str">
        <f t="shared" si="83"/>
        <v>Temas RW 04</v>
      </c>
      <c r="AA2325" s="276" t="e">
        <f>VLOOKUP(Logfile_S12[[#This Row],[DO number]],DO_DB!G:I,3,0)</f>
        <v>#N/A</v>
      </c>
      <c r="AB2325" s="331" t="e">
        <f>EXACT(Logfile_S12[[#This Row],[date pick]],Logfile_S12[[#This Row],[Date]])</f>
        <v>#N/A</v>
      </c>
      <c r="AC23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26" spans="1:29" ht="14.5" hidden="1">
      <c r="A2326" s="220" t="str">
        <f t="shared" si="82"/>
        <v>2322</v>
      </c>
      <c r="B2326" s="221"/>
      <c r="C2326" s="221" t="s">
        <v>49</v>
      </c>
      <c r="D2326" s="221" t="s">
        <v>4360</v>
      </c>
      <c r="E2326" s="221" t="s">
        <v>3295</v>
      </c>
      <c r="F2326" s="221" t="s">
        <v>3299</v>
      </c>
      <c r="G2326" s="222">
        <v>45741</v>
      </c>
      <c r="H2326" s="223">
        <v>0.83125000000000004</v>
      </c>
      <c r="I2326" s="221" t="s">
        <v>4916</v>
      </c>
      <c r="J2326" s="221" t="s">
        <v>3024</v>
      </c>
      <c r="K2326" s="224" t="s">
        <v>3094</v>
      </c>
      <c r="L2326" s="225" t="str">
        <f>VLOOKUP(Logfile_S12[[#This Row],[Material Name]],Sheet2!B:C,2,0)</f>
        <v>GCI1008</v>
      </c>
      <c r="M2326" s="225" t="str">
        <f>_xlfn.XLOOKUP(Logfile_S12[[#This Row],[Material Name]],Sum_WH!E:E,Sum_WH!F:F,"",0)</f>
        <v>Pcs</v>
      </c>
      <c r="N2326" s="221">
        <v>44</v>
      </c>
      <c r="O2326" s="221" t="s">
        <v>2664</v>
      </c>
      <c r="P2326" s="221" t="s">
        <v>2665</v>
      </c>
      <c r="Q2326" s="221"/>
      <c r="R2326" s="221"/>
      <c r="S2326" s="221"/>
      <c r="T2326" s="221" t="s">
        <v>3258</v>
      </c>
      <c r="U2326" s="221">
        <v>0</v>
      </c>
      <c r="V2326" s="221" t="s">
        <v>3337</v>
      </c>
      <c r="W2326" s="221" t="s">
        <v>3338</v>
      </c>
      <c r="X2326" s="221"/>
      <c r="Y2326" s="227"/>
      <c r="Z2326" s="227" t="str">
        <f t="shared" si="83"/>
        <v>Temas RW 04</v>
      </c>
      <c r="AA2326" s="276" t="e">
        <f>VLOOKUP(Logfile_S12[[#This Row],[DO number]],DO_DB!G:I,3,0)</f>
        <v>#N/A</v>
      </c>
      <c r="AB2326" s="331" t="e">
        <f>EXACT(Logfile_S12[[#This Row],[date pick]],Logfile_S12[[#This Row],[Date]])</f>
        <v>#N/A</v>
      </c>
      <c r="AC23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27" spans="1:29" ht="14.5" hidden="1">
      <c r="A2327" s="220" t="str">
        <f t="shared" si="82"/>
        <v>2323</v>
      </c>
      <c r="B2327" s="221"/>
      <c r="C2327" s="221" t="s">
        <v>3313</v>
      </c>
      <c r="D2327" s="221" t="s">
        <v>4370</v>
      </c>
      <c r="E2327" s="221" t="s">
        <v>3295</v>
      </c>
      <c r="F2327" s="221" t="s">
        <v>3299</v>
      </c>
      <c r="G2327" s="222">
        <v>45819</v>
      </c>
      <c r="H2327" s="223">
        <v>15.291666666666666</v>
      </c>
      <c r="I2327" s="221" t="s">
        <v>4918</v>
      </c>
      <c r="J2327" s="221" t="s">
        <v>3024</v>
      </c>
      <c r="K2327" s="224" t="s">
        <v>3094</v>
      </c>
      <c r="L2327" s="225" t="str">
        <f>VLOOKUP(Logfile_S12[[#This Row],[Material Name]],Sheet2!B:C,2,0)</f>
        <v>GCI1008</v>
      </c>
      <c r="M2327" s="225" t="str">
        <f>_xlfn.XLOOKUP(Logfile_S12[[#This Row],[Material Name]],Sum_WH!E:E,Sum_WH!F:F,"",0)</f>
        <v>Pcs</v>
      </c>
      <c r="N2327" s="221">
        <v>75</v>
      </c>
      <c r="O2327" s="221" t="s">
        <v>3314</v>
      </c>
      <c r="P2327" s="221" t="s">
        <v>3384</v>
      </c>
      <c r="Q2327" s="221">
        <v>0</v>
      </c>
      <c r="R2327" s="221">
        <v>0</v>
      </c>
      <c r="S2327" s="221"/>
      <c r="T2327" s="221"/>
      <c r="U2327" s="221"/>
      <c r="V2327" s="221"/>
      <c r="W2327" s="221"/>
      <c r="X2327" s="221"/>
      <c r="Y2327" s="227"/>
      <c r="Z2327" s="227" t="str">
        <f t="shared" si="83"/>
        <v>GRESIK</v>
      </c>
      <c r="AA2327" s="276" t="e">
        <f>VLOOKUP(Logfile_S12[[#This Row],[DO number]],DO_DB!G:I,3,0)</f>
        <v>#N/A</v>
      </c>
      <c r="AB2327" s="331" t="e">
        <f>EXACT(Logfile_S12[[#This Row],[date pick]],Logfile_S12[[#This Row],[Date]])</f>
        <v>#N/A</v>
      </c>
      <c r="AC23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28" spans="1:29" ht="14.5" hidden="1">
      <c r="A2328" s="220" t="str">
        <f t="shared" si="82"/>
        <v>2324</v>
      </c>
      <c r="B2328" s="221"/>
      <c r="C2328" s="221" t="s">
        <v>48</v>
      </c>
      <c r="D2328" s="221" t="s">
        <v>4380</v>
      </c>
      <c r="E2328" s="221" t="s">
        <v>3295</v>
      </c>
      <c r="F2328" s="221" t="s">
        <v>3299</v>
      </c>
      <c r="G2328" s="222">
        <v>45831</v>
      </c>
      <c r="H2328" s="223">
        <v>15.291666666666666</v>
      </c>
      <c r="I2328" s="221" t="s">
        <v>38</v>
      </c>
      <c r="J2328" s="221" t="s">
        <v>3024</v>
      </c>
      <c r="K2328" s="224" t="s">
        <v>3094</v>
      </c>
      <c r="L2328" s="225" t="str">
        <f>VLOOKUP(Logfile_S12[[#This Row],[Material Name]],Sheet2!B:C,2,0)</f>
        <v>GCI1008</v>
      </c>
      <c r="M2328" s="225" t="str">
        <f>_xlfn.XLOOKUP(Logfile_S12[[#This Row],[Material Name]],Sum_WH!E:E,Sum_WH!F:F,"",0)</f>
        <v>Pcs</v>
      </c>
      <c r="N2328" s="221">
        <v>397</v>
      </c>
      <c r="O2328" s="221">
        <v>0</v>
      </c>
      <c r="P2328" s="221">
        <v>0</v>
      </c>
      <c r="Q2328" s="221">
        <v>0</v>
      </c>
      <c r="R2328" s="221">
        <v>0</v>
      </c>
      <c r="S2328" s="221"/>
      <c r="T2328" s="221"/>
      <c r="U2328" s="221"/>
      <c r="V2328" s="221"/>
      <c r="W2328" s="221"/>
      <c r="X2328" s="221"/>
      <c r="Y2328" s="227"/>
      <c r="Z2328" s="227">
        <f t="shared" si="83"/>
        <v>0</v>
      </c>
      <c r="AA2328" s="276" t="e">
        <f>VLOOKUP(Logfile_S12[[#This Row],[DO number]],DO_DB!G:I,3,0)</f>
        <v>#N/A</v>
      </c>
      <c r="AB2328" s="331" t="e">
        <f>EXACT(Logfile_S12[[#This Row],[date pick]],Logfile_S12[[#This Row],[Date]])</f>
        <v>#N/A</v>
      </c>
      <c r="AC23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29" spans="1:29" ht="14.5" hidden="1">
      <c r="A2329" s="220" t="str">
        <f t="shared" si="82"/>
        <v>2325</v>
      </c>
      <c r="B2329" s="221"/>
      <c r="C2329" s="221" t="s">
        <v>49</v>
      </c>
      <c r="D2329" s="221" t="s">
        <v>4379</v>
      </c>
      <c r="E2329" s="221" t="s">
        <v>3295</v>
      </c>
      <c r="F2329" s="221" t="s">
        <v>3299</v>
      </c>
      <c r="G2329" s="222">
        <v>45831</v>
      </c>
      <c r="H2329" s="223">
        <v>0.64583333333333337</v>
      </c>
      <c r="I2329" s="221" t="s">
        <v>4916</v>
      </c>
      <c r="J2329" s="221" t="s">
        <v>3024</v>
      </c>
      <c r="K2329" s="224" t="s">
        <v>3094</v>
      </c>
      <c r="L2329" s="225" t="str">
        <f>VLOOKUP(Logfile_S12[[#This Row],[Material Name]],Sheet2!B:C,2,0)</f>
        <v>GCI1008</v>
      </c>
      <c r="M2329" s="225" t="str">
        <f>_xlfn.XLOOKUP(Logfile_S12[[#This Row],[Material Name]],Sum_WH!E:E,Sum_WH!F:F,"",0)</f>
        <v>Pcs</v>
      </c>
      <c r="N2329" s="221">
        <v>262</v>
      </c>
      <c r="O2329" s="221">
        <v>0</v>
      </c>
      <c r="P2329" s="221" t="s">
        <v>3382</v>
      </c>
      <c r="Q2329" s="221"/>
      <c r="R2329" s="221"/>
      <c r="S2329" s="221"/>
      <c r="T2329" s="221" t="s">
        <v>3231</v>
      </c>
      <c r="U2329" s="221">
        <v>0</v>
      </c>
      <c r="V2329" s="221" t="s">
        <v>3375</v>
      </c>
      <c r="W2329" s="221" t="s">
        <v>3249</v>
      </c>
      <c r="X2329" s="221"/>
      <c r="Y2329" s="227"/>
      <c r="Z2329" s="227" t="str">
        <f t="shared" si="83"/>
        <v>Pncokusumo</v>
      </c>
      <c r="AA2329" s="276" t="e">
        <f>VLOOKUP(Logfile_S12[[#This Row],[DO number]],DO_DB!G:I,3,0)</f>
        <v>#N/A</v>
      </c>
      <c r="AB2329" s="331" t="e">
        <f>EXACT(Logfile_S12[[#This Row],[date pick]],Logfile_S12[[#This Row],[Date]])</f>
        <v>#N/A</v>
      </c>
      <c r="AC23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30" spans="1:29" ht="14.5" hidden="1">
      <c r="A2330" s="220" t="str">
        <f t="shared" si="82"/>
        <v>2326</v>
      </c>
      <c r="B2330" s="221"/>
      <c r="C2330" s="221" t="s">
        <v>49</v>
      </c>
      <c r="D2330" s="221" t="s">
        <v>4388</v>
      </c>
      <c r="E2330" s="221" t="s">
        <v>3295</v>
      </c>
      <c r="F2330" s="221" t="s">
        <v>3299</v>
      </c>
      <c r="G2330" s="222">
        <v>45835</v>
      </c>
      <c r="H2330" s="223">
        <v>0.5395833333333333</v>
      </c>
      <c r="I2330" s="221" t="s">
        <v>4916</v>
      </c>
      <c r="J2330" s="221" t="s">
        <v>3024</v>
      </c>
      <c r="K2330" s="224" t="s">
        <v>3094</v>
      </c>
      <c r="L2330" s="225" t="str">
        <f>VLOOKUP(Logfile_S12[[#This Row],[Material Name]],Sheet2!B:C,2,0)</f>
        <v>GCI1008</v>
      </c>
      <c r="M2330" s="225" t="str">
        <f>_xlfn.XLOOKUP(Logfile_S12[[#This Row],[Material Name]],Sum_WH!E:E,Sum_WH!F:F,"",0)</f>
        <v>Pcs</v>
      </c>
      <c r="N2330" s="221">
        <v>135</v>
      </c>
      <c r="O2330" s="221">
        <v>0</v>
      </c>
      <c r="P2330" s="221" t="s">
        <v>3383</v>
      </c>
      <c r="Q2330" s="221"/>
      <c r="R2330" s="221"/>
      <c r="S2330" s="221"/>
      <c r="T2330" s="221" t="s">
        <v>3258</v>
      </c>
      <c r="U2330" s="221">
        <v>0</v>
      </c>
      <c r="V2330" s="221" t="s">
        <v>3337</v>
      </c>
      <c r="W2330" s="221" t="s">
        <v>3338</v>
      </c>
      <c r="X2330" s="221"/>
      <c r="Y2330" s="227"/>
      <c r="Z2330" s="227" t="str">
        <f t="shared" si="83"/>
        <v>Bululawang</v>
      </c>
      <c r="AA2330" s="276" t="e">
        <f>VLOOKUP(Logfile_S12[[#This Row],[DO number]],DO_DB!G:I,3,0)</f>
        <v>#N/A</v>
      </c>
      <c r="AB2330" s="331" t="e">
        <f>EXACT(Logfile_S12[[#This Row],[date pick]],Logfile_S12[[#This Row],[Date]])</f>
        <v>#N/A</v>
      </c>
      <c r="AC23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31" spans="1:29" ht="14.5" hidden="1">
      <c r="A2331" s="220" t="str">
        <f t="shared" si="82"/>
        <v>2327</v>
      </c>
      <c r="B2331" s="221"/>
      <c r="C2331" s="221" t="s">
        <v>48</v>
      </c>
      <c r="D2331" s="221" t="s">
        <v>4392</v>
      </c>
      <c r="E2331" s="221" t="s">
        <v>3295</v>
      </c>
      <c r="F2331" s="221" t="s">
        <v>3299</v>
      </c>
      <c r="G2331" s="222">
        <v>45849</v>
      </c>
      <c r="H2331" s="223">
        <v>15.291666666666666</v>
      </c>
      <c r="I2331" s="221" t="s">
        <v>38</v>
      </c>
      <c r="J2331" s="221" t="s">
        <v>3024</v>
      </c>
      <c r="K2331" s="224" t="s">
        <v>3236</v>
      </c>
      <c r="L2331" s="225" t="str">
        <f>VLOOKUP(Logfile_S12[[#This Row],[Material Name]],Sheet2!B:C,2,0)</f>
        <v>GCI1008</v>
      </c>
      <c r="M2331" s="225" t="str">
        <f>_xlfn.XLOOKUP(Logfile_S12[[#This Row],[Material Name]],Sum_WH!E:E,Sum_WH!F:F,"",0)</f>
        <v>Pcs</v>
      </c>
      <c r="N2331" s="221">
        <v>129</v>
      </c>
      <c r="O2331" s="221">
        <v>0</v>
      </c>
      <c r="P2331" s="221">
        <v>0</v>
      </c>
      <c r="Q2331" s="221">
        <v>0</v>
      </c>
      <c r="R2331" s="221">
        <v>0</v>
      </c>
      <c r="S2331" s="221"/>
      <c r="T2331" s="221"/>
      <c r="U2331" s="221"/>
      <c r="V2331" s="221"/>
      <c r="W2331" s="221"/>
      <c r="X2331" s="221"/>
      <c r="Y2331" s="227"/>
      <c r="Z2331" s="227">
        <f t="shared" si="83"/>
        <v>0</v>
      </c>
      <c r="AA2331" s="276" t="e">
        <f>VLOOKUP(Logfile_S12[[#This Row],[DO number]],DO_DB!G:I,3,0)</f>
        <v>#N/A</v>
      </c>
      <c r="AB2331" s="331" t="e">
        <f>EXACT(Logfile_S12[[#This Row],[date pick]],Logfile_S12[[#This Row],[Date]])</f>
        <v>#N/A</v>
      </c>
      <c r="AC23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32" spans="1:29" ht="14.5" hidden="1">
      <c r="A2332" s="220" t="str">
        <f t="shared" si="82"/>
        <v>2328</v>
      </c>
      <c r="B2332" s="221"/>
      <c r="C2332" s="221" t="s">
        <v>49</v>
      </c>
      <c r="D2332" s="221" t="s">
        <v>4391</v>
      </c>
      <c r="E2332" s="221" t="s">
        <v>3295</v>
      </c>
      <c r="F2332" s="221" t="s">
        <v>3299</v>
      </c>
      <c r="G2332" s="222">
        <v>45849</v>
      </c>
      <c r="H2332" s="223">
        <v>0.60833333333333328</v>
      </c>
      <c r="I2332" s="221" t="s">
        <v>4916</v>
      </c>
      <c r="J2332" s="221" t="s">
        <v>3024</v>
      </c>
      <c r="K2332" s="224" t="s">
        <v>3236</v>
      </c>
      <c r="L2332" s="225" t="str">
        <f>VLOOKUP(Logfile_S12[[#This Row],[Material Name]],Sheet2!B:C,2,0)</f>
        <v>GCI1008</v>
      </c>
      <c r="M2332" s="225" t="str">
        <f>_xlfn.XLOOKUP(Logfile_S12[[#This Row],[Material Name]],Sum_WH!E:E,Sum_WH!F:F,"",0)</f>
        <v>Pcs</v>
      </c>
      <c r="N2332" s="221">
        <v>129</v>
      </c>
      <c r="O2332" s="221">
        <v>0</v>
      </c>
      <c r="P2332" s="221" t="s">
        <v>3383</v>
      </c>
      <c r="Q2332" s="221"/>
      <c r="R2332" s="221"/>
      <c r="S2332" s="221"/>
      <c r="T2332" s="221" t="s">
        <v>3356</v>
      </c>
      <c r="U2332" s="221">
        <v>0</v>
      </c>
      <c r="V2332" s="221">
        <v>0</v>
      </c>
      <c r="W2332" s="221" t="s">
        <v>3358</v>
      </c>
      <c r="X2332" s="221"/>
      <c r="Y2332" s="227"/>
      <c r="Z2332" s="227" t="str">
        <f t="shared" si="83"/>
        <v>Bululawang</v>
      </c>
      <c r="AA2332" s="276" t="e">
        <f>VLOOKUP(Logfile_S12[[#This Row],[DO number]],DO_DB!G:I,3,0)</f>
        <v>#N/A</v>
      </c>
      <c r="AB2332" s="331" t="e">
        <f>EXACT(Logfile_S12[[#This Row],[date pick]],Logfile_S12[[#This Row],[Date]])</f>
        <v>#N/A</v>
      </c>
      <c r="AC23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33" spans="1:29" ht="14.5" hidden="1">
      <c r="A2333" s="220" t="str">
        <f t="shared" si="82"/>
        <v>2329</v>
      </c>
      <c r="B2333" s="221"/>
      <c r="C2333" s="221" t="s">
        <v>48</v>
      </c>
      <c r="D2333" s="221" t="s">
        <v>4401</v>
      </c>
      <c r="E2333" s="221" t="s">
        <v>3295</v>
      </c>
      <c r="F2333" s="221" t="s">
        <v>3299</v>
      </c>
      <c r="G2333" s="222">
        <v>45868</v>
      </c>
      <c r="H2333" s="223">
        <v>15.291666666666666</v>
      </c>
      <c r="I2333" s="221" t="s">
        <v>38</v>
      </c>
      <c r="J2333" s="221" t="s">
        <v>3024</v>
      </c>
      <c r="K2333" s="224" t="s">
        <v>3236</v>
      </c>
      <c r="L2333" s="225" t="str">
        <f>VLOOKUP(Logfile_S12[[#This Row],[Material Name]],Sheet2!B:C,2,0)</f>
        <v>GCI1008</v>
      </c>
      <c r="M2333" s="225" t="str">
        <f>_xlfn.XLOOKUP(Logfile_S12[[#This Row],[Material Name]],Sum_WH!E:E,Sum_WH!F:F,"",0)</f>
        <v>Pcs</v>
      </c>
      <c r="N2333" s="221">
        <v>200</v>
      </c>
      <c r="O2333" s="221">
        <v>0</v>
      </c>
      <c r="P2333" s="221">
        <v>0</v>
      </c>
      <c r="Q2333" s="221">
        <v>0</v>
      </c>
      <c r="R2333" s="221">
        <v>0</v>
      </c>
      <c r="S2333" s="221"/>
      <c r="T2333" s="221"/>
      <c r="U2333" s="221"/>
      <c r="V2333" s="221"/>
      <c r="W2333" s="221"/>
      <c r="X2333" s="221"/>
      <c r="Y2333" s="227"/>
      <c r="Z2333" s="227">
        <f t="shared" si="83"/>
        <v>0</v>
      </c>
      <c r="AA2333" s="276" t="e">
        <f>VLOOKUP(Logfile_S12[[#This Row],[DO number]],DO_DB!G:I,3,0)</f>
        <v>#N/A</v>
      </c>
      <c r="AB2333" s="331" t="e">
        <f>EXACT(Logfile_S12[[#This Row],[date pick]],Logfile_S12[[#This Row],[Date]])</f>
        <v>#N/A</v>
      </c>
      <c r="AC23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34" spans="1:29" ht="14.5" hidden="1">
      <c r="A2334" s="220" t="str">
        <f t="shared" si="82"/>
        <v>2330</v>
      </c>
      <c r="B2334" s="221"/>
      <c r="C2334" s="221" t="s">
        <v>49</v>
      </c>
      <c r="D2334" s="221" t="s">
        <v>4402</v>
      </c>
      <c r="E2334" s="221" t="s">
        <v>3295</v>
      </c>
      <c r="F2334" s="221" t="s">
        <v>3299</v>
      </c>
      <c r="G2334" s="222">
        <v>45869</v>
      </c>
      <c r="H2334" s="223">
        <v>0.47291666666666665</v>
      </c>
      <c r="I2334" s="221" t="s">
        <v>4916</v>
      </c>
      <c r="J2334" s="221" t="s">
        <v>3024</v>
      </c>
      <c r="K2334" s="224" t="s">
        <v>3236</v>
      </c>
      <c r="L2334" s="225" t="str">
        <f>VLOOKUP(Logfile_S12[[#This Row],[Material Name]],Sheet2!B:C,2,0)</f>
        <v>GCI1008</v>
      </c>
      <c r="M2334" s="225" t="str">
        <f>_xlfn.XLOOKUP(Logfile_S12[[#This Row],[Material Name]],Sum_WH!E:E,Sum_WH!F:F,"",0)</f>
        <v>Pcs</v>
      </c>
      <c r="N2334" s="221">
        <v>200</v>
      </c>
      <c r="O2334" s="221">
        <v>0</v>
      </c>
      <c r="P2334" s="221" t="s">
        <v>3413</v>
      </c>
      <c r="Q2334" s="221"/>
      <c r="R2334" s="221"/>
      <c r="S2334" s="221"/>
      <c r="T2334" s="221" t="s">
        <v>3258</v>
      </c>
      <c r="U2334" s="221">
        <v>0</v>
      </c>
      <c r="V2334" s="221" t="s">
        <v>3337</v>
      </c>
      <c r="W2334" s="221" t="s">
        <v>3338</v>
      </c>
      <c r="X2334" s="221"/>
      <c r="Y2334" s="227"/>
      <c r="Z2334" s="227" t="str">
        <f t="shared" si="83"/>
        <v>Krebet</v>
      </c>
      <c r="AA2334" s="276" t="e">
        <f>VLOOKUP(Logfile_S12[[#This Row],[DO number]],DO_DB!G:I,3,0)</f>
        <v>#N/A</v>
      </c>
      <c r="AB2334" s="331" t="e">
        <f>EXACT(Logfile_S12[[#This Row],[date pick]],Logfile_S12[[#This Row],[Date]])</f>
        <v>#N/A</v>
      </c>
      <c r="AC23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35" spans="1:29" ht="14.5" hidden="1">
      <c r="A2335" s="220" t="str">
        <f t="shared" si="82"/>
        <v>2331</v>
      </c>
      <c r="B2335" s="221"/>
      <c r="C2335" s="221" t="s">
        <v>48</v>
      </c>
      <c r="D2335" s="221" t="s">
        <v>4418</v>
      </c>
      <c r="E2335" s="221" t="s">
        <v>3295</v>
      </c>
      <c r="F2335" s="221" t="s">
        <v>3299</v>
      </c>
      <c r="G2335" s="222">
        <v>45890</v>
      </c>
      <c r="H2335" s="223">
        <v>15.291666666666666</v>
      </c>
      <c r="I2335" s="221" t="s">
        <v>38</v>
      </c>
      <c r="J2335" s="221" t="s">
        <v>3024</v>
      </c>
      <c r="K2335" s="224" t="s">
        <v>3236</v>
      </c>
      <c r="L2335" s="225" t="str">
        <f>VLOOKUP(Logfile_S12[[#This Row],[Material Name]],Sheet2!B:C,2,0)</f>
        <v>GCI1008</v>
      </c>
      <c r="M2335" s="225" t="str">
        <f>_xlfn.XLOOKUP(Logfile_S12[[#This Row],[Material Name]],Sum_WH!E:E,Sum_WH!F:F,"",0)</f>
        <v>Pcs</v>
      </c>
      <c r="N2335" s="221">
        <v>196</v>
      </c>
      <c r="O2335" s="221">
        <v>0</v>
      </c>
      <c r="P2335" s="221">
        <v>0</v>
      </c>
      <c r="Q2335" s="221">
        <v>0</v>
      </c>
      <c r="R2335" s="221">
        <v>0</v>
      </c>
      <c r="S2335" s="221"/>
      <c r="T2335" s="221"/>
      <c r="U2335" s="221"/>
      <c r="V2335" s="221"/>
      <c r="W2335" s="221"/>
      <c r="X2335" s="221"/>
      <c r="Y2335" s="227"/>
      <c r="Z2335" s="227">
        <f t="shared" si="83"/>
        <v>0</v>
      </c>
      <c r="AA2335" s="276" t="e">
        <f>VLOOKUP(Logfile_S12[[#This Row],[DO number]],DO_DB!G:I,3,0)</f>
        <v>#N/A</v>
      </c>
      <c r="AB2335" s="331" t="e">
        <f>EXACT(Logfile_S12[[#This Row],[date pick]],Logfile_S12[[#This Row],[Date]])</f>
        <v>#N/A</v>
      </c>
      <c r="AC23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36" spans="1:29" ht="14.5" hidden="1">
      <c r="A2336" s="220" t="str">
        <f t="shared" si="82"/>
        <v>2332</v>
      </c>
      <c r="B2336" s="221"/>
      <c r="C2336" s="221" t="s">
        <v>49</v>
      </c>
      <c r="D2336" s="221" t="s">
        <v>4419</v>
      </c>
      <c r="E2336" s="221" t="s">
        <v>3295</v>
      </c>
      <c r="F2336" s="221" t="s">
        <v>3299</v>
      </c>
      <c r="G2336" s="222">
        <v>45892</v>
      </c>
      <c r="H2336" s="223">
        <v>0.4284722222222222</v>
      </c>
      <c r="I2336" s="221" t="s">
        <v>4916</v>
      </c>
      <c r="J2336" s="221" t="s">
        <v>3024</v>
      </c>
      <c r="K2336" s="224" t="s">
        <v>3215</v>
      </c>
      <c r="L2336" s="225" t="str">
        <f>VLOOKUP(Logfile_S12[[#This Row],[Material Name]],Sheet2!B:C,2,0)</f>
        <v>GCI1008</v>
      </c>
      <c r="M2336" s="225" t="str">
        <f>_xlfn.XLOOKUP(Logfile_S12[[#This Row],[Material Name]],Sum_WH!E:E,Sum_WH!F:F,"",0)</f>
        <v>Pcs</v>
      </c>
      <c r="N2336" s="221">
        <v>196</v>
      </c>
      <c r="O2336" s="221">
        <v>0</v>
      </c>
      <c r="P2336" s="221" t="s">
        <v>3385</v>
      </c>
      <c r="Q2336" s="221"/>
      <c r="R2336" s="221"/>
      <c r="S2336" s="221"/>
      <c r="T2336" s="221" t="s">
        <v>3258</v>
      </c>
      <c r="U2336" s="221">
        <v>0</v>
      </c>
      <c r="V2336" s="221" t="s">
        <v>3337</v>
      </c>
      <c r="W2336" s="221" t="s">
        <v>3338</v>
      </c>
      <c r="X2336" s="221"/>
      <c r="Y2336" s="227"/>
      <c r="Z2336" s="227" t="str">
        <f t="shared" si="83"/>
        <v>Bululawang Permai</v>
      </c>
      <c r="AA2336" s="276" t="e">
        <f>VLOOKUP(Logfile_S12[[#This Row],[DO number]],DO_DB!G:I,3,0)</f>
        <v>#N/A</v>
      </c>
      <c r="AB2336" s="331" t="e">
        <f>EXACT(Logfile_S12[[#This Row],[date pick]],Logfile_S12[[#This Row],[Date]])</f>
        <v>#N/A</v>
      </c>
      <c r="AC23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37" spans="1:29" ht="14.5" hidden="1">
      <c r="A2337" s="244" t="str">
        <f t="shared" si="82"/>
        <v>2333</v>
      </c>
      <c r="B2337" s="229"/>
      <c r="C2337" s="229" t="s">
        <v>49</v>
      </c>
      <c r="D2337" s="229" t="s">
        <v>4428</v>
      </c>
      <c r="E2337" s="229" t="s">
        <v>3295</v>
      </c>
      <c r="F2337" s="229" t="s">
        <v>3299</v>
      </c>
      <c r="G2337" s="245">
        <v>45900</v>
      </c>
      <c r="H2337" s="246">
        <v>0.90028935185185188</v>
      </c>
      <c r="I2337" s="229" t="s">
        <v>3295</v>
      </c>
      <c r="J2337" s="229" t="s">
        <v>3024</v>
      </c>
      <c r="K2337" s="233" t="s">
        <v>3094</v>
      </c>
      <c r="L2337" s="234" t="str">
        <f>VLOOKUP(Logfile_S12[[#This Row],[Material Name]],Sheet2!B:C,2,0)</f>
        <v>GCI1008</v>
      </c>
      <c r="M2337" s="234" t="str">
        <f>_xlfn.XLOOKUP(Logfile_S12[[#This Row],[Material Name]],Sum_WH!E:E,Sum_WH!F:F,"",0)</f>
        <v>Pcs</v>
      </c>
      <c r="N2337" s="229">
        <v>7</v>
      </c>
      <c r="O2337" s="230" t="s">
        <v>4429</v>
      </c>
      <c r="P2337" s="230" t="s">
        <v>4429</v>
      </c>
      <c r="Q2337" s="229" t="s">
        <v>3260</v>
      </c>
      <c r="R2337" s="229" t="s">
        <v>3260</v>
      </c>
      <c r="S2337" s="229"/>
      <c r="T2337" s="229"/>
      <c r="U2337" s="229"/>
      <c r="V2337" s="229"/>
      <c r="W2337" s="229"/>
      <c r="X2337" s="229" t="s">
        <v>4429</v>
      </c>
      <c r="Y2337" s="227"/>
      <c r="Z2337" s="227" t="str">
        <f t="shared" si="83"/>
        <v>ADJUSTMENT</v>
      </c>
      <c r="AA2337" s="276" t="e">
        <f>VLOOKUP(Logfile_S12[[#This Row],[DO number]],DO_DB!G:I,3,0)</f>
        <v>#N/A</v>
      </c>
      <c r="AB2337" s="331" t="e">
        <f>EXACT(Logfile_S12[[#This Row],[date pick]],Logfile_S12[[#This Row],[Date]])</f>
        <v>#N/A</v>
      </c>
      <c r="AC23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38" spans="1:29" ht="14.5" hidden="1">
      <c r="A2338" s="237" t="str">
        <f t="shared" si="82"/>
        <v>2334</v>
      </c>
      <c r="B2338" s="221">
        <v>5</v>
      </c>
      <c r="C2338" s="227" t="s">
        <v>48</v>
      </c>
      <c r="D2338" s="227" t="s">
        <v>4660</v>
      </c>
      <c r="E2338" s="227" t="s">
        <v>3295</v>
      </c>
      <c r="F2338" s="227" t="s">
        <v>3299</v>
      </c>
      <c r="G2338" s="239">
        <v>45944</v>
      </c>
      <c r="H2338" s="240">
        <v>0.63958333333333328</v>
      </c>
      <c r="I2338" s="227" t="s">
        <v>38</v>
      </c>
      <c r="J2338" s="227" t="s">
        <v>3024</v>
      </c>
      <c r="K2338" s="241" t="s">
        <v>3094</v>
      </c>
      <c r="L2338" s="225" t="str">
        <f>VLOOKUP(Logfile_S12[[#This Row],[Material Name]],Sheet2!B:C,2,0)</f>
        <v>GCI1008</v>
      </c>
      <c r="M2338" s="225" t="str">
        <f>_xlfn.XLOOKUP(Logfile_S12[[#This Row],[Material Name]],Sum_WH!E:E,Sum_WH!F:F,"",0)</f>
        <v>Pcs</v>
      </c>
      <c r="N2338" s="227">
        <v>217</v>
      </c>
      <c r="O2338" s="227" t="s">
        <v>3203</v>
      </c>
      <c r="P2338" s="227" t="s">
        <v>3204</v>
      </c>
      <c r="Q2338" s="227" t="s">
        <v>3205</v>
      </c>
      <c r="R2338" s="227" t="s">
        <v>3206</v>
      </c>
      <c r="S2338" s="227"/>
      <c r="T2338" s="227"/>
      <c r="U2338" s="227"/>
      <c r="V2338" s="227"/>
      <c r="W2338" s="227"/>
      <c r="X2338" s="227"/>
      <c r="Y2338" s="227"/>
      <c r="Z2338" s="227" t="str">
        <f t="shared" si="83"/>
        <v>Perumahan Bululawang Permai RW 02</v>
      </c>
      <c r="AA2338" s="276">
        <f>VLOOKUP(Logfile_S12[[#This Row],[DO number]],DO_DB!G:I,3,0)</f>
        <v>45888</v>
      </c>
      <c r="AB2338" s="331" t="b">
        <f>EXACT(Logfile_S12[[#This Row],[date pick]],Logfile_S12[[#This Row],[Date]])</f>
        <v>0</v>
      </c>
      <c r="AC23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39" spans="1:29" ht="14.5" hidden="1">
      <c r="A2339" s="237" t="str">
        <f t="shared" si="82"/>
        <v>2335</v>
      </c>
      <c r="B2339" s="221">
        <v>5</v>
      </c>
      <c r="C2339" s="227" t="s">
        <v>49</v>
      </c>
      <c r="D2339" s="227" t="s">
        <v>4661</v>
      </c>
      <c r="E2339" s="227" t="s">
        <v>3295</v>
      </c>
      <c r="F2339" s="227" t="s">
        <v>3299</v>
      </c>
      <c r="G2339" s="239">
        <v>45946</v>
      </c>
      <c r="H2339" s="240">
        <v>0.43125000000000002</v>
      </c>
      <c r="I2339" s="227" t="s">
        <v>3295</v>
      </c>
      <c r="J2339" s="227" t="s">
        <v>3024</v>
      </c>
      <c r="K2339" s="241" t="s">
        <v>3094</v>
      </c>
      <c r="L2339" s="225" t="str">
        <f>VLOOKUP(Logfile_S12[[#This Row],[Material Name]],Sheet2!B:C,2,0)</f>
        <v>GCI1008</v>
      </c>
      <c r="M2339" s="225" t="str">
        <f>_xlfn.XLOOKUP(Logfile_S12[[#This Row],[Material Name]],Sum_WH!E:E,Sum_WH!F:F,"",0)</f>
        <v>Pcs</v>
      </c>
      <c r="N2339" s="227">
        <v>217</v>
      </c>
      <c r="O2339" s="227" t="s">
        <v>4595</v>
      </c>
      <c r="P2339" s="227" t="s">
        <v>4596</v>
      </c>
      <c r="Q2339" s="227"/>
      <c r="R2339" s="227"/>
      <c r="S2339" s="227"/>
      <c r="T2339" s="221" t="s">
        <v>3258</v>
      </c>
      <c r="U2339" s="221">
        <v>0</v>
      </c>
      <c r="V2339" s="221" t="s">
        <v>3337</v>
      </c>
      <c r="W2339" s="221" t="s">
        <v>3338</v>
      </c>
      <c r="X2339" s="227"/>
      <c r="Y2339" s="227"/>
      <c r="Z2339" s="227" t="str">
        <f t="shared" si="83"/>
        <v>Asshofa Residence</v>
      </c>
      <c r="AA2339" s="276" t="e">
        <f>VLOOKUP(Logfile_S12[[#This Row],[DO number]],DO_DB!G:I,3,0)</f>
        <v>#N/A</v>
      </c>
      <c r="AB2339" s="331" t="e">
        <f>EXACT(Logfile_S12[[#This Row],[date pick]],Logfile_S12[[#This Row],[Date]])</f>
        <v>#N/A</v>
      </c>
      <c r="AC23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40" spans="1:29" ht="14.5" hidden="1">
      <c r="A2340" s="237" t="str">
        <f t="shared" si="82"/>
        <v>2336</v>
      </c>
      <c r="B2340" s="221">
        <v>1</v>
      </c>
      <c r="C2340" s="227" t="s">
        <v>48</v>
      </c>
      <c r="D2340" s="227" t="s">
        <v>4727</v>
      </c>
      <c r="E2340" s="227" t="s">
        <v>3295</v>
      </c>
      <c r="F2340" s="227" t="s">
        <v>3299</v>
      </c>
      <c r="G2340" s="239">
        <v>45987</v>
      </c>
      <c r="H2340" s="240">
        <v>0.66736111111111107</v>
      </c>
      <c r="I2340" s="227" t="s">
        <v>38</v>
      </c>
      <c r="J2340" s="227" t="s">
        <v>3024</v>
      </c>
      <c r="K2340" s="241" t="s">
        <v>3094</v>
      </c>
      <c r="L2340" s="225" t="str">
        <f>VLOOKUP(Logfile_S12[[#This Row],[Material Name]],Sheet2!B:C,2,0)</f>
        <v>GCI1008</v>
      </c>
      <c r="M2340" s="242" t="s">
        <v>19</v>
      </c>
      <c r="N2340" s="227">
        <v>245</v>
      </c>
      <c r="O2340" s="227" t="s">
        <v>3260</v>
      </c>
      <c r="P2340" s="227"/>
      <c r="Q2340" s="227" t="s">
        <v>3260</v>
      </c>
      <c r="R2340" s="227" t="s">
        <v>3260</v>
      </c>
      <c r="S2340" s="227"/>
      <c r="T2340" s="227"/>
      <c r="U2340" s="227"/>
      <c r="V2340" s="227"/>
      <c r="W2340" s="227"/>
      <c r="X2340" s="227"/>
      <c r="Y2340" s="227"/>
      <c r="Z2340" s="227">
        <f t="shared" si="83"/>
        <v>0</v>
      </c>
      <c r="AA2340" s="276" t="e">
        <f>VLOOKUP(Logfile_S12[[#This Row],[DO number]],DO_DB!G:I,3,0)</f>
        <v>#N/A</v>
      </c>
      <c r="AB2340" s="331" t="e">
        <f>EXACT(Logfile_S12[[#This Row],[date pick]],Logfile_S12[[#This Row],[Date]])</f>
        <v>#N/A</v>
      </c>
      <c r="AC23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41" spans="1:29" ht="14.5" hidden="1">
      <c r="A2341" s="237" t="str">
        <f t="shared" si="82"/>
        <v>2337</v>
      </c>
      <c r="B2341" s="221">
        <v>2</v>
      </c>
      <c r="C2341" s="227" t="s">
        <v>49</v>
      </c>
      <c r="D2341" s="227" t="s">
        <v>4737</v>
      </c>
      <c r="E2341" s="227" t="s">
        <v>3295</v>
      </c>
      <c r="F2341" s="227" t="s">
        <v>3299</v>
      </c>
      <c r="G2341" s="239">
        <v>46006</v>
      </c>
      <c r="H2341" s="240">
        <v>0.36805555555555558</v>
      </c>
      <c r="I2341" s="227" t="s">
        <v>3295</v>
      </c>
      <c r="J2341" s="227" t="s">
        <v>3024</v>
      </c>
      <c r="K2341" s="241" t="s">
        <v>3094</v>
      </c>
      <c r="L2341" s="225" t="str">
        <f>VLOOKUP(Logfile_S12[[#This Row],[Material Name]],Sheet2!B:C,2,0)</f>
        <v>GCI1008</v>
      </c>
      <c r="M2341" s="242" t="s">
        <v>19</v>
      </c>
      <c r="N2341" s="227">
        <v>245</v>
      </c>
      <c r="O2341" s="227" t="s">
        <v>3260</v>
      </c>
      <c r="P2341" s="227"/>
      <c r="Q2341" s="227" t="s">
        <v>3260</v>
      </c>
      <c r="R2341" s="227" t="s">
        <v>3260</v>
      </c>
      <c r="S2341" s="227"/>
      <c r="T2341" s="221" t="s">
        <v>3258</v>
      </c>
      <c r="U2341" s="221" t="s">
        <v>4811</v>
      </c>
      <c r="V2341" s="221" t="s">
        <v>3337</v>
      </c>
      <c r="W2341" s="221" t="s">
        <v>3338</v>
      </c>
      <c r="X2341" s="227"/>
      <c r="Y2341" s="227"/>
      <c r="Z2341" s="227">
        <f t="shared" si="83"/>
        <v>0</v>
      </c>
      <c r="AA2341" s="276" t="e">
        <f>VLOOKUP(Logfile_S12[[#This Row],[DO number]],DO_DB!G:I,3,0)</f>
        <v>#N/A</v>
      </c>
      <c r="AB2341" s="331" t="e">
        <f>EXACT(Logfile_S12[[#This Row],[date pick]],Logfile_S12[[#This Row],[Date]])</f>
        <v>#N/A</v>
      </c>
      <c r="AC23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42" spans="1:29" ht="14.5" hidden="1">
      <c r="A2342" s="237" t="str">
        <f t="shared" si="82"/>
        <v>2338</v>
      </c>
      <c r="B2342" s="221">
        <v>6</v>
      </c>
      <c r="C2342" s="227" t="s">
        <v>48</v>
      </c>
      <c r="D2342" s="227" t="s">
        <v>4778</v>
      </c>
      <c r="E2342" s="227" t="s">
        <v>3295</v>
      </c>
      <c r="F2342" s="227" t="s">
        <v>3299</v>
      </c>
      <c r="G2342" s="239">
        <v>46014</v>
      </c>
      <c r="H2342" s="240">
        <v>0.33333333333333331</v>
      </c>
      <c r="I2342" s="221" t="s">
        <v>38</v>
      </c>
      <c r="J2342" s="227" t="s">
        <v>3024</v>
      </c>
      <c r="K2342" s="241" t="s">
        <v>3094</v>
      </c>
      <c r="L2342" s="225" t="str">
        <f>VLOOKUP(Logfile_S12[[#This Row],[Material Name]],Sheet2!B:C,2,0)</f>
        <v>GCI1008</v>
      </c>
      <c r="M2342" s="242" t="s">
        <v>19</v>
      </c>
      <c r="N2342" s="227">
        <v>1087</v>
      </c>
      <c r="O2342" s="227"/>
      <c r="P2342" s="227"/>
      <c r="Q2342" s="227"/>
      <c r="R2342" s="227"/>
      <c r="S2342" s="227"/>
      <c r="T2342" s="227"/>
      <c r="U2342" s="227"/>
      <c r="V2342" s="227"/>
      <c r="W2342" s="227"/>
      <c r="X2342" s="227"/>
      <c r="Y2342" s="227"/>
      <c r="Z2342" s="227">
        <f t="shared" si="83"/>
        <v>0</v>
      </c>
      <c r="AA2342" s="276" t="e">
        <f>VLOOKUP(Logfile_S12[[#This Row],[DO number]],DO_DB!G:I,3,0)</f>
        <v>#N/A</v>
      </c>
      <c r="AB2342" s="331" t="e">
        <f>EXACT(Logfile_S12[[#This Row],[date pick]],Logfile_S12[[#This Row],[Date]])</f>
        <v>#N/A</v>
      </c>
      <c r="AC23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43" spans="1:29" ht="14.5" hidden="1">
      <c r="A2343" s="237" t="str">
        <f t="shared" si="82"/>
        <v>2339</v>
      </c>
      <c r="B2343" s="221">
        <v>9</v>
      </c>
      <c r="C2343" s="227" t="s">
        <v>49</v>
      </c>
      <c r="D2343" s="227" t="s">
        <v>4777</v>
      </c>
      <c r="E2343" s="227" t="s">
        <v>3295</v>
      </c>
      <c r="F2343" s="227" t="s">
        <v>3299</v>
      </c>
      <c r="G2343" s="239">
        <v>46016</v>
      </c>
      <c r="H2343" s="240">
        <v>0.50902777777777775</v>
      </c>
      <c r="I2343" s="227" t="s">
        <v>3295</v>
      </c>
      <c r="J2343" s="227" t="s">
        <v>3024</v>
      </c>
      <c r="K2343" s="241" t="s">
        <v>3094</v>
      </c>
      <c r="L2343" s="225" t="str">
        <f>VLOOKUP(Logfile_S12[[#This Row],[Material Name]],Sheet2!B:C,2,0)</f>
        <v>GCI1008</v>
      </c>
      <c r="M2343" s="242" t="s">
        <v>19</v>
      </c>
      <c r="N2343" s="227">
        <v>1087</v>
      </c>
      <c r="O2343" s="227"/>
      <c r="P2343" s="227"/>
      <c r="Q2343" s="227"/>
      <c r="R2343" s="227"/>
      <c r="S2343" s="227"/>
      <c r="T2343" s="221" t="s">
        <v>3258</v>
      </c>
      <c r="U2343" s="221" t="s">
        <v>4811</v>
      </c>
      <c r="V2343" s="221" t="s">
        <v>3337</v>
      </c>
      <c r="W2343" s="221" t="s">
        <v>3338</v>
      </c>
      <c r="X2343" s="227"/>
      <c r="Y2343" s="227"/>
      <c r="Z2343" s="227">
        <f t="shared" si="83"/>
        <v>0</v>
      </c>
      <c r="AA2343" s="276" t="e">
        <f>VLOOKUP(Logfile_S12[[#This Row],[DO number]],DO_DB!G:I,3,0)</f>
        <v>#N/A</v>
      </c>
      <c r="AB2343" s="331" t="e">
        <f>EXACT(Logfile_S12[[#This Row],[date pick]],Logfile_S12[[#This Row],[Date]])</f>
        <v>#N/A</v>
      </c>
      <c r="AC23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44" spans="1:29" ht="14.5" hidden="1">
      <c r="A2344" s="220" t="str">
        <f t="shared" si="82"/>
        <v>2340</v>
      </c>
      <c r="B2344" s="221"/>
      <c r="C2344" s="221" t="s">
        <v>48</v>
      </c>
      <c r="D2344" s="221" t="s">
        <v>3803</v>
      </c>
      <c r="E2344" s="221" t="s">
        <v>3295</v>
      </c>
      <c r="F2344" s="221" t="s">
        <v>3299</v>
      </c>
      <c r="G2344" s="222">
        <v>45235</v>
      </c>
      <c r="H2344" s="223">
        <v>15.291666666666666</v>
      </c>
      <c r="I2344" s="221" t="s">
        <v>38</v>
      </c>
      <c r="J2344" s="221" t="s">
        <v>3024</v>
      </c>
      <c r="K2344" s="224" t="s">
        <v>3106</v>
      </c>
      <c r="L2344" s="225" t="str">
        <f>VLOOKUP(Logfile_S12[[#This Row],[Material Name]],Sheet2!B:C,2,0)</f>
        <v>GCI1018</v>
      </c>
      <c r="M2344" s="225" t="str">
        <f>_xlfn.XLOOKUP(Logfile_S12[[#This Row],[Material Name]],Sum_WH!E:E,Sum_WH!F:F,"",0)</f>
        <v>Pcs</v>
      </c>
      <c r="N2344" s="221">
        <v>60</v>
      </c>
      <c r="O2344" s="221">
        <v>0</v>
      </c>
      <c r="P2344" s="221">
        <v>0</v>
      </c>
      <c r="Q2344" s="221">
        <v>0</v>
      </c>
      <c r="R2344" s="221">
        <v>0</v>
      </c>
      <c r="S2344" s="221"/>
      <c r="T2344" s="221"/>
      <c r="U2344" s="221"/>
      <c r="V2344" s="221"/>
      <c r="W2344" s="221"/>
      <c r="X2344" s="221"/>
      <c r="Y2344" s="227"/>
      <c r="Z2344" s="227">
        <f t="shared" si="83"/>
        <v>0</v>
      </c>
      <c r="AA2344" s="276" t="e">
        <f>VLOOKUP(Logfile_S12[[#This Row],[DO number]],DO_DB!G:I,3,0)</f>
        <v>#N/A</v>
      </c>
      <c r="AB2344" s="331" t="e">
        <f>EXACT(Logfile_S12[[#This Row],[date pick]],Logfile_S12[[#This Row],[Date]])</f>
        <v>#N/A</v>
      </c>
      <c r="AC23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45" spans="1:29" ht="14.5" hidden="1">
      <c r="A2345" s="220" t="str">
        <f t="shared" si="82"/>
        <v>2341</v>
      </c>
      <c r="B2345" s="221"/>
      <c r="C2345" s="221" t="s">
        <v>49</v>
      </c>
      <c r="D2345" s="221" t="s">
        <v>3831</v>
      </c>
      <c r="E2345" s="221" t="s">
        <v>3295</v>
      </c>
      <c r="F2345" s="221" t="s">
        <v>3299</v>
      </c>
      <c r="G2345" s="222">
        <v>45267</v>
      </c>
      <c r="H2345" s="223">
        <v>0.89583333333333337</v>
      </c>
      <c r="I2345" s="221" t="s">
        <v>4916</v>
      </c>
      <c r="J2345" s="221" t="s">
        <v>3024</v>
      </c>
      <c r="K2345" s="224" t="s">
        <v>3106</v>
      </c>
      <c r="L2345" s="225" t="str">
        <f>VLOOKUP(Logfile_S12[[#This Row],[Material Name]],Sheet2!B:C,2,0)</f>
        <v>GCI1018</v>
      </c>
      <c r="M2345" s="225" t="str">
        <f>_xlfn.XLOOKUP(Logfile_S12[[#This Row],[Material Name]],Sum_WH!E:E,Sum_WH!F:F,"",0)</f>
        <v>Pcs</v>
      </c>
      <c r="N2345" s="221">
        <v>8</v>
      </c>
      <c r="O2345" s="221" t="s">
        <v>172</v>
      </c>
      <c r="P2345" s="221" t="s">
        <v>3319</v>
      </c>
      <c r="Q2345" s="221"/>
      <c r="R2345" s="221"/>
      <c r="S2345" s="221"/>
      <c r="T2345" s="221" t="s">
        <v>3231</v>
      </c>
      <c r="U2345" s="221">
        <v>0</v>
      </c>
      <c r="V2345" s="221" t="s">
        <v>3375</v>
      </c>
      <c r="W2345" s="221" t="s">
        <v>3249</v>
      </c>
      <c r="X2345" s="221"/>
      <c r="Y2345" s="227"/>
      <c r="Z2345" s="227" t="str">
        <f t="shared" si="83"/>
        <v>Pandan Landung RW 03 Wagir</v>
      </c>
      <c r="AA2345" s="276" t="e">
        <f>VLOOKUP(Logfile_S12[[#This Row],[DO number]],DO_DB!G:I,3,0)</f>
        <v>#N/A</v>
      </c>
      <c r="AB2345" s="331" t="e">
        <f>EXACT(Logfile_S12[[#This Row],[date pick]],Logfile_S12[[#This Row],[Date]])</f>
        <v>#N/A</v>
      </c>
      <c r="AC23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46" spans="1:29" ht="14.5" hidden="1">
      <c r="A2346" s="220" t="str">
        <f t="shared" si="82"/>
        <v>2342</v>
      </c>
      <c r="B2346" s="221"/>
      <c r="C2346" s="221" t="s">
        <v>49</v>
      </c>
      <c r="D2346" s="221" t="s">
        <v>4104</v>
      </c>
      <c r="E2346" s="221" t="s">
        <v>3295</v>
      </c>
      <c r="F2346" s="221" t="s">
        <v>3299</v>
      </c>
      <c r="G2346" s="222">
        <v>45469</v>
      </c>
      <c r="H2346" s="223">
        <v>0.4145833333333333</v>
      </c>
      <c r="I2346" s="221" t="s">
        <v>4916</v>
      </c>
      <c r="J2346" s="221" t="s">
        <v>3024</v>
      </c>
      <c r="K2346" s="224" t="s">
        <v>3106</v>
      </c>
      <c r="L2346" s="225" t="str">
        <f>VLOOKUP(Logfile_S12[[#This Row],[Material Name]],Sheet2!B:C,2,0)</f>
        <v>GCI1018</v>
      </c>
      <c r="M2346" s="225" t="str">
        <f>_xlfn.XLOOKUP(Logfile_S12[[#This Row],[Material Name]],Sum_WH!E:E,Sum_WH!F:F,"",0)</f>
        <v>Pcs</v>
      </c>
      <c r="N2346" s="221">
        <v>15</v>
      </c>
      <c r="O2346" s="221" t="s">
        <v>1689</v>
      </c>
      <c r="P2346" s="221" t="s">
        <v>1690</v>
      </c>
      <c r="Q2346" s="221"/>
      <c r="R2346" s="221"/>
      <c r="S2346" s="221"/>
      <c r="T2346" s="221" t="s">
        <v>3258</v>
      </c>
      <c r="U2346" s="221" t="s">
        <v>3228</v>
      </c>
      <c r="V2346" s="221" t="s">
        <v>3337</v>
      </c>
      <c r="W2346" s="221" t="s">
        <v>3338</v>
      </c>
      <c r="X2346" s="221"/>
      <c r="Y2346" s="227"/>
      <c r="Z2346" s="227" t="str">
        <f t="shared" si="83"/>
        <v>Kebonagung RW 13 Pakisaji</v>
      </c>
      <c r="AA2346" s="276" t="e">
        <f>VLOOKUP(Logfile_S12[[#This Row],[DO number]],DO_DB!G:I,3,0)</f>
        <v>#N/A</v>
      </c>
      <c r="AB2346" s="331" t="e">
        <f>EXACT(Logfile_S12[[#This Row],[date pick]],Logfile_S12[[#This Row],[Date]])</f>
        <v>#N/A</v>
      </c>
      <c r="AC23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47" spans="1:29" ht="14.5" hidden="1">
      <c r="A2347" s="220" t="str">
        <f t="shared" si="82"/>
        <v>2343</v>
      </c>
      <c r="B2347" s="221"/>
      <c r="C2347" s="221" t="s">
        <v>49</v>
      </c>
      <c r="D2347" s="221" t="s">
        <v>4311</v>
      </c>
      <c r="E2347" s="221" t="s">
        <v>3295</v>
      </c>
      <c r="F2347" s="221" t="s">
        <v>3299</v>
      </c>
      <c r="G2347" s="222">
        <v>45650</v>
      </c>
      <c r="H2347" s="223">
        <v>0.45347222222222222</v>
      </c>
      <c r="I2347" s="221" t="s">
        <v>4916</v>
      </c>
      <c r="J2347" s="221" t="s">
        <v>3024</v>
      </c>
      <c r="K2347" s="224" t="s">
        <v>3106</v>
      </c>
      <c r="L2347" s="225" t="str">
        <f>VLOOKUP(Logfile_S12[[#This Row],[Material Name]],Sheet2!B:C,2,0)</f>
        <v>GCI1018</v>
      </c>
      <c r="M2347" s="225" t="str">
        <f>_xlfn.XLOOKUP(Logfile_S12[[#This Row],[Material Name]],Sum_WH!E:E,Sum_WH!F:F,"",0)</f>
        <v>Pcs</v>
      </c>
      <c r="N2347" s="221">
        <v>12</v>
      </c>
      <c r="O2347" s="221" t="s">
        <v>3377</v>
      </c>
      <c r="P2347" s="221" t="s">
        <v>3378</v>
      </c>
      <c r="Q2347" s="221"/>
      <c r="R2347" s="221"/>
      <c r="S2347" s="221"/>
      <c r="T2347" s="221" t="s">
        <v>3258</v>
      </c>
      <c r="U2347" s="221">
        <v>0</v>
      </c>
      <c r="V2347" s="221" t="s">
        <v>3337</v>
      </c>
      <c r="W2347" s="221" t="s">
        <v>3338</v>
      </c>
      <c r="X2347" s="221"/>
      <c r="Y2347" s="227"/>
      <c r="Z2347" s="227" t="str">
        <f t="shared" si="83"/>
        <v>Perum Chandra Kirana Watugede</v>
      </c>
      <c r="AA2347" s="276" t="e">
        <f>VLOOKUP(Logfile_S12[[#This Row],[DO number]],DO_DB!G:I,3,0)</f>
        <v>#N/A</v>
      </c>
      <c r="AB2347" s="331" t="e">
        <f>EXACT(Logfile_S12[[#This Row],[date pick]],Logfile_S12[[#This Row],[Date]])</f>
        <v>#N/A</v>
      </c>
      <c r="AC23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48" spans="1:29" ht="14.5" hidden="1">
      <c r="A2348" s="244" t="str">
        <f t="shared" si="82"/>
        <v>2344</v>
      </c>
      <c r="B2348" s="229"/>
      <c r="C2348" s="229" t="s">
        <v>49</v>
      </c>
      <c r="D2348" s="229" t="s">
        <v>4428</v>
      </c>
      <c r="E2348" s="229" t="s">
        <v>3295</v>
      </c>
      <c r="F2348" s="229" t="s">
        <v>3299</v>
      </c>
      <c r="G2348" s="245">
        <v>45900</v>
      </c>
      <c r="H2348" s="246">
        <v>0.90028935185185188</v>
      </c>
      <c r="I2348" s="229" t="s">
        <v>3295</v>
      </c>
      <c r="J2348" s="229" t="s">
        <v>3024</v>
      </c>
      <c r="K2348" s="233" t="s">
        <v>3106</v>
      </c>
      <c r="L2348" s="234" t="str">
        <f>VLOOKUP(Logfile_S12[[#This Row],[Material Name]],Sheet2!B:C,2,0)</f>
        <v>GCI1018</v>
      </c>
      <c r="M2348" s="234" t="str">
        <f>_xlfn.XLOOKUP(Logfile_S12[[#This Row],[Material Name]],Sum_WH!E:E,Sum_WH!F:F,"",0)</f>
        <v>Pcs</v>
      </c>
      <c r="N2348" s="229">
        <v>25</v>
      </c>
      <c r="O2348" s="230" t="s">
        <v>4429</v>
      </c>
      <c r="P2348" s="230" t="s">
        <v>4429</v>
      </c>
      <c r="Q2348" s="229"/>
      <c r="R2348" s="229"/>
      <c r="S2348" s="229"/>
      <c r="T2348" s="229"/>
      <c r="U2348" s="229"/>
      <c r="V2348" s="229"/>
      <c r="W2348" s="229"/>
      <c r="X2348" s="229" t="s">
        <v>4429</v>
      </c>
      <c r="Y2348" s="227"/>
      <c r="Z2348" s="227" t="str">
        <f t="shared" si="83"/>
        <v>ADJUSTMENT</v>
      </c>
      <c r="AA2348" s="276" t="e">
        <f>VLOOKUP(Logfile_S12[[#This Row],[DO number]],DO_DB!G:I,3,0)</f>
        <v>#N/A</v>
      </c>
      <c r="AB2348" s="331" t="e">
        <f>EXACT(Logfile_S12[[#This Row],[date pick]],Logfile_S12[[#This Row],[Date]])</f>
        <v>#N/A</v>
      </c>
      <c r="AC23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49" spans="1:29" ht="14.5" hidden="1">
      <c r="A2349" s="220" t="str">
        <f t="shared" si="82"/>
        <v>2345</v>
      </c>
      <c r="B2349" s="221"/>
      <c r="C2349" s="221" t="s">
        <v>48</v>
      </c>
      <c r="D2349" s="221" t="s">
        <v>3683</v>
      </c>
      <c r="E2349" s="221" t="s">
        <v>3295</v>
      </c>
      <c r="F2349" s="221" t="s">
        <v>3299</v>
      </c>
      <c r="G2349" s="222">
        <v>45147</v>
      </c>
      <c r="H2349" s="223">
        <v>15.291666666666666</v>
      </c>
      <c r="I2349" s="221" t="s">
        <v>38</v>
      </c>
      <c r="J2349" s="221" t="s">
        <v>3024</v>
      </c>
      <c r="K2349" s="224" t="s">
        <v>3097</v>
      </c>
      <c r="L2349" s="225" t="str">
        <f>VLOOKUP(Logfile_S12[[#This Row],[Material Name]],Sheet2!B:C,2,0)</f>
        <v>GCI1011</v>
      </c>
      <c r="M2349" s="225" t="str">
        <f>_xlfn.XLOOKUP(Logfile_S12[[#This Row],[Material Name]],Sum_WH!E:E,Sum_WH!F:F,"",0)</f>
        <v>Pcs</v>
      </c>
      <c r="N2349" s="221">
        <v>1</v>
      </c>
      <c r="O2349" s="221" t="s">
        <v>84</v>
      </c>
      <c r="P2349" s="221" t="s">
        <v>85</v>
      </c>
      <c r="Q2349" s="221">
        <v>0</v>
      </c>
      <c r="R2349" s="221">
        <v>0</v>
      </c>
      <c r="S2349" s="221"/>
      <c r="T2349" s="221"/>
      <c r="U2349" s="221"/>
      <c r="V2349" s="221"/>
      <c r="W2349" s="221"/>
      <c r="X2349" s="221"/>
      <c r="Y2349" s="227"/>
      <c r="Z2349" s="227" t="str">
        <f t="shared" si="83"/>
        <v>Perumahan Bumi Podo Rukun Dau</v>
      </c>
      <c r="AA2349" s="276" t="e">
        <f>VLOOKUP(Logfile_S12[[#This Row],[DO number]],DO_DB!G:I,3,0)</f>
        <v>#N/A</v>
      </c>
      <c r="AB2349" s="331" t="e">
        <f>EXACT(Logfile_S12[[#This Row],[date pick]],Logfile_S12[[#This Row],[Date]])</f>
        <v>#N/A</v>
      </c>
      <c r="AC23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50" spans="1:29" ht="14.5" hidden="1">
      <c r="A2350" s="220" t="str">
        <f t="shared" si="82"/>
        <v>2346</v>
      </c>
      <c r="B2350" s="221"/>
      <c r="C2350" s="221" t="s">
        <v>49</v>
      </c>
      <c r="D2350" s="221" t="s">
        <v>3684</v>
      </c>
      <c r="E2350" s="221" t="s">
        <v>3295</v>
      </c>
      <c r="F2350" s="221" t="s">
        <v>3299</v>
      </c>
      <c r="G2350" s="222">
        <v>45148</v>
      </c>
      <c r="H2350" s="223">
        <v>15.692638888888888</v>
      </c>
      <c r="I2350" s="221" t="s">
        <v>4916</v>
      </c>
      <c r="J2350" s="221" t="s">
        <v>3024</v>
      </c>
      <c r="K2350" s="224" t="s">
        <v>3097</v>
      </c>
      <c r="L2350" s="225" t="str">
        <f>VLOOKUP(Logfile_S12[[#This Row],[Material Name]],Sheet2!B:C,2,0)</f>
        <v>GCI1011</v>
      </c>
      <c r="M2350" s="225" t="str">
        <f>_xlfn.XLOOKUP(Logfile_S12[[#This Row],[Material Name]],Sum_WH!E:E,Sum_WH!F:F,"",0)</f>
        <v>Pcs</v>
      </c>
      <c r="N2350" s="221">
        <v>1</v>
      </c>
      <c r="O2350" s="221" t="s">
        <v>84</v>
      </c>
      <c r="P2350" s="221" t="s">
        <v>85</v>
      </c>
      <c r="Q2350" s="221"/>
      <c r="R2350" s="221"/>
      <c r="S2350" s="221"/>
      <c r="T2350" s="221" t="s">
        <v>3305</v>
      </c>
      <c r="U2350" s="221" t="s">
        <v>3228</v>
      </c>
      <c r="V2350" s="221" t="s">
        <v>3306</v>
      </c>
      <c r="W2350" s="221" t="s">
        <v>3307</v>
      </c>
      <c r="X2350" s="221"/>
      <c r="Y2350" s="227"/>
      <c r="Z2350" s="227" t="str">
        <f t="shared" si="83"/>
        <v>Perumahan Bumi Podo Rukun Dau</v>
      </c>
      <c r="AA2350" s="276" t="e">
        <f>VLOOKUP(Logfile_S12[[#This Row],[DO number]],DO_DB!G:I,3,0)</f>
        <v>#N/A</v>
      </c>
      <c r="AB2350" s="331" t="e">
        <f>EXACT(Logfile_S12[[#This Row],[date pick]],Logfile_S12[[#This Row],[Date]])</f>
        <v>#N/A</v>
      </c>
      <c r="AC23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51" spans="1:29" ht="14.5" hidden="1">
      <c r="A2351" s="220" t="str">
        <f t="shared" si="82"/>
        <v>2347</v>
      </c>
      <c r="B2351" s="221"/>
      <c r="C2351" s="221" t="s">
        <v>48</v>
      </c>
      <c r="D2351" s="221" t="s">
        <v>3715</v>
      </c>
      <c r="E2351" s="221" t="s">
        <v>3295</v>
      </c>
      <c r="F2351" s="221" t="s">
        <v>3299</v>
      </c>
      <c r="G2351" s="222">
        <v>45191</v>
      </c>
      <c r="H2351" s="223">
        <v>15.291666666666666</v>
      </c>
      <c r="I2351" s="221" t="s">
        <v>38</v>
      </c>
      <c r="J2351" s="221" t="s">
        <v>3024</v>
      </c>
      <c r="K2351" s="224" t="s">
        <v>3097</v>
      </c>
      <c r="L2351" s="225" t="str">
        <f>VLOOKUP(Logfile_S12[[#This Row],[Material Name]],Sheet2!B:C,2,0)</f>
        <v>GCI1011</v>
      </c>
      <c r="M2351" s="225" t="str">
        <f>_xlfn.XLOOKUP(Logfile_S12[[#This Row],[Material Name]],Sum_WH!E:E,Sum_WH!F:F,"",0)</f>
        <v>Pcs</v>
      </c>
      <c r="N2351" s="221">
        <v>1</v>
      </c>
      <c r="O2351" s="221" t="s">
        <v>222</v>
      </c>
      <c r="P2351" s="221" t="s">
        <v>223</v>
      </c>
      <c r="Q2351" s="221">
        <v>0</v>
      </c>
      <c r="R2351" s="221">
        <v>0</v>
      </c>
      <c r="S2351" s="221"/>
      <c r="T2351" s="221"/>
      <c r="U2351" s="221"/>
      <c r="V2351" s="221"/>
      <c r="W2351" s="221"/>
      <c r="X2351" s="221" t="s">
        <v>3343</v>
      </c>
      <c r="Y2351" s="227"/>
      <c r="Z2351" s="227" t="str">
        <f t="shared" si="83"/>
        <v>Puncak Dieng Exlusif</v>
      </c>
      <c r="AA2351" s="276" t="e">
        <f>VLOOKUP(Logfile_S12[[#This Row],[DO number]],DO_DB!G:I,3,0)</f>
        <v>#N/A</v>
      </c>
      <c r="AB2351" s="331" t="e">
        <f>EXACT(Logfile_S12[[#This Row],[date pick]],Logfile_S12[[#This Row],[Date]])</f>
        <v>#N/A</v>
      </c>
      <c r="AC23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52" spans="1:29" ht="14.5" hidden="1">
      <c r="A2352" s="220" t="str">
        <f t="shared" si="82"/>
        <v>2348</v>
      </c>
      <c r="B2352" s="221"/>
      <c r="C2352" s="221" t="s">
        <v>49</v>
      </c>
      <c r="D2352" s="221" t="s">
        <v>3730</v>
      </c>
      <c r="E2352" s="221" t="s">
        <v>3295</v>
      </c>
      <c r="F2352" s="221" t="s">
        <v>3299</v>
      </c>
      <c r="G2352" s="222">
        <v>45196</v>
      </c>
      <c r="H2352" s="223">
        <v>0.52083333333333337</v>
      </c>
      <c r="I2352" s="221" t="s">
        <v>4916</v>
      </c>
      <c r="J2352" s="221" t="s">
        <v>3024</v>
      </c>
      <c r="K2352" s="224" t="s">
        <v>3097</v>
      </c>
      <c r="L2352" s="225" t="str">
        <f>VLOOKUP(Logfile_S12[[#This Row],[Material Name]],Sheet2!B:C,2,0)</f>
        <v>GCI1011</v>
      </c>
      <c r="M2352" s="225" t="str">
        <f>_xlfn.XLOOKUP(Logfile_S12[[#This Row],[Material Name]],Sum_WH!E:E,Sum_WH!F:F,"",0)</f>
        <v>Pcs</v>
      </c>
      <c r="N2352" s="221">
        <v>1</v>
      </c>
      <c r="O2352" s="221" t="s">
        <v>172</v>
      </c>
      <c r="P2352" s="221" t="s">
        <v>3319</v>
      </c>
      <c r="Q2352" s="221"/>
      <c r="R2352" s="221"/>
      <c r="S2352" s="221"/>
      <c r="T2352" s="221" t="s">
        <v>3346</v>
      </c>
      <c r="U2352" s="221" t="s">
        <v>3323</v>
      </c>
      <c r="V2352" s="221" t="s">
        <v>3347</v>
      </c>
      <c r="W2352" s="221" t="s">
        <v>3387</v>
      </c>
      <c r="X2352" s="221"/>
      <c r="Y2352" s="227"/>
      <c r="Z2352" s="227" t="str">
        <f t="shared" si="83"/>
        <v>Pandan Landung RW 03 Wagir</v>
      </c>
      <c r="AA2352" s="276" t="e">
        <f>VLOOKUP(Logfile_S12[[#This Row],[DO number]],DO_DB!G:I,3,0)</f>
        <v>#N/A</v>
      </c>
      <c r="AB2352" s="331" t="e">
        <f>EXACT(Logfile_S12[[#This Row],[date pick]],Logfile_S12[[#This Row],[Date]])</f>
        <v>#N/A</v>
      </c>
      <c r="AC23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53" spans="1:29" ht="14.5" hidden="1">
      <c r="A2353" s="220" t="str">
        <f t="shared" si="82"/>
        <v>2349</v>
      </c>
      <c r="B2353" s="221"/>
      <c r="C2353" s="221" t="s">
        <v>49</v>
      </c>
      <c r="D2353" s="221" t="s">
        <v>3783</v>
      </c>
      <c r="E2353" s="221" t="s">
        <v>3295</v>
      </c>
      <c r="F2353" s="221" t="s">
        <v>3299</v>
      </c>
      <c r="G2353" s="222">
        <v>45220</v>
      </c>
      <c r="H2353" s="223">
        <v>0.97499999999999998</v>
      </c>
      <c r="I2353" s="221" t="s">
        <v>4916</v>
      </c>
      <c r="J2353" s="221" t="s">
        <v>3024</v>
      </c>
      <c r="K2353" s="224" t="s">
        <v>3097</v>
      </c>
      <c r="L2353" s="225" t="str">
        <f>VLOOKUP(Logfile_S12[[#This Row],[Material Name]],Sheet2!B:C,2,0)</f>
        <v>GCI1011</v>
      </c>
      <c r="M2353" s="225" t="str">
        <f>_xlfn.XLOOKUP(Logfile_S12[[#This Row],[Material Name]],Sum_WH!E:E,Sum_WH!F:F,"",0)</f>
        <v>Pcs</v>
      </c>
      <c r="N2353" s="221">
        <v>1</v>
      </c>
      <c r="O2353" s="221">
        <v>0</v>
      </c>
      <c r="P2353" s="221">
        <v>0</v>
      </c>
      <c r="Q2353" s="221"/>
      <c r="R2353" s="221"/>
      <c r="S2353" s="221"/>
      <c r="T2353" s="221" t="s">
        <v>3332</v>
      </c>
      <c r="U2353" s="221">
        <v>0</v>
      </c>
      <c r="V2353" s="221" t="s">
        <v>3333</v>
      </c>
      <c r="W2353" s="221" t="s">
        <v>3334</v>
      </c>
      <c r="X2353" s="221"/>
      <c r="Y2353" s="227"/>
      <c r="Z2353" s="227">
        <f t="shared" si="83"/>
        <v>0</v>
      </c>
      <c r="AA2353" s="276" t="e">
        <f>VLOOKUP(Logfile_S12[[#This Row],[DO number]],DO_DB!G:I,3,0)</f>
        <v>#N/A</v>
      </c>
      <c r="AB2353" s="331" t="e">
        <f>EXACT(Logfile_S12[[#This Row],[date pick]],Logfile_S12[[#This Row],[Date]])</f>
        <v>#N/A</v>
      </c>
      <c r="AC23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54" spans="1:29" ht="14.5" hidden="1">
      <c r="A2354" s="220" t="str">
        <f t="shared" si="82"/>
        <v>2350</v>
      </c>
      <c r="B2354" s="221"/>
      <c r="C2354" s="221" t="s">
        <v>48</v>
      </c>
      <c r="D2354" s="221" t="s">
        <v>3798</v>
      </c>
      <c r="E2354" s="221" t="s">
        <v>3295</v>
      </c>
      <c r="F2354" s="221" t="s">
        <v>3299</v>
      </c>
      <c r="G2354" s="222">
        <v>45224</v>
      </c>
      <c r="H2354" s="223">
        <v>15.291666666666666</v>
      </c>
      <c r="I2354" s="221" t="s">
        <v>38</v>
      </c>
      <c r="J2354" s="221" t="s">
        <v>3024</v>
      </c>
      <c r="K2354" s="224" t="s">
        <v>3210</v>
      </c>
      <c r="L2354" s="225" t="str">
        <f>VLOOKUP(Logfile_S12[[#This Row],[Material Name]],Sheet2!B:C,2,0)</f>
        <v>GCI1011</v>
      </c>
      <c r="M2354" s="225" t="str">
        <f>_xlfn.XLOOKUP(Logfile_S12[[#This Row],[Material Name]],Sum_WH!E:E,Sum_WH!F:F,"",0)</f>
        <v>Pcs</v>
      </c>
      <c r="N2354" s="221">
        <v>1</v>
      </c>
      <c r="O2354" s="221" t="s">
        <v>3344</v>
      </c>
      <c r="P2354" s="221" t="s">
        <v>3345</v>
      </c>
      <c r="Q2354" s="221">
        <v>0</v>
      </c>
      <c r="R2354" s="221">
        <v>0</v>
      </c>
      <c r="S2354" s="221"/>
      <c r="T2354" s="221"/>
      <c r="U2354" s="221"/>
      <c r="V2354" s="221"/>
      <c r="W2354" s="221"/>
      <c r="X2354" s="221" t="s">
        <v>3458</v>
      </c>
      <c r="Y2354" s="227"/>
      <c r="Z2354" s="227" t="str">
        <f t="shared" si="83"/>
        <v>Purchase</v>
      </c>
      <c r="AA2354" s="276" t="e">
        <f>VLOOKUP(Logfile_S12[[#This Row],[DO number]],DO_DB!G:I,3,0)</f>
        <v>#N/A</v>
      </c>
      <c r="AB2354" s="331" t="e">
        <f>EXACT(Logfile_S12[[#This Row],[date pick]],Logfile_S12[[#This Row],[Date]])</f>
        <v>#N/A</v>
      </c>
      <c r="AC23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55" spans="1:29" ht="14.5" hidden="1">
      <c r="A2355" s="220" t="str">
        <f t="shared" si="82"/>
        <v>2351</v>
      </c>
      <c r="B2355" s="221"/>
      <c r="C2355" s="221" t="s">
        <v>49</v>
      </c>
      <c r="D2355" s="221" t="s">
        <v>3802</v>
      </c>
      <c r="E2355" s="221" t="s">
        <v>3295</v>
      </c>
      <c r="F2355" s="221" t="s">
        <v>3299</v>
      </c>
      <c r="G2355" s="222">
        <v>45235</v>
      </c>
      <c r="H2355" s="223">
        <v>0.50416666666666665</v>
      </c>
      <c r="I2355" s="221" t="s">
        <v>4916</v>
      </c>
      <c r="J2355" s="221" t="s">
        <v>3024</v>
      </c>
      <c r="K2355" s="224" t="s">
        <v>3097</v>
      </c>
      <c r="L2355" s="225" t="str">
        <f>VLOOKUP(Logfile_S12[[#This Row],[Material Name]],Sheet2!B:C,2,0)</f>
        <v>GCI1011</v>
      </c>
      <c r="M2355" s="225" t="str">
        <f>_xlfn.XLOOKUP(Logfile_S12[[#This Row],[Material Name]],Sum_WH!E:E,Sum_WH!F:F,"",0)</f>
        <v>Pcs</v>
      </c>
      <c r="N2355" s="221">
        <v>0</v>
      </c>
      <c r="O2355" s="221" t="s">
        <v>324</v>
      </c>
      <c r="P2355" s="221" t="s">
        <v>325</v>
      </c>
      <c r="Q2355" s="221"/>
      <c r="R2355" s="221"/>
      <c r="S2355" s="221"/>
      <c r="T2355" s="221" t="s">
        <v>3322</v>
      </c>
      <c r="U2355" s="221">
        <v>0</v>
      </c>
      <c r="V2355" s="221" t="s">
        <v>3324</v>
      </c>
      <c r="W2355" s="221" t="s">
        <v>3386</v>
      </c>
      <c r="X2355" s="221" t="s">
        <v>3459</v>
      </c>
      <c r="Y2355" s="227"/>
      <c r="Z2355" s="227" t="str">
        <f t="shared" si="83"/>
        <v>Jedong RW 09 Wagir</v>
      </c>
      <c r="AA2355" s="276" t="e">
        <f>VLOOKUP(Logfile_S12[[#This Row],[DO number]],DO_DB!G:I,3,0)</f>
        <v>#N/A</v>
      </c>
      <c r="AB2355" s="331" t="e">
        <f>EXACT(Logfile_S12[[#This Row],[date pick]],Logfile_S12[[#This Row],[Date]])</f>
        <v>#N/A</v>
      </c>
      <c r="AC23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56" spans="1:29" ht="14.5" hidden="1">
      <c r="A2356" s="220" t="str">
        <f t="shared" si="82"/>
        <v>2352</v>
      </c>
      <c r="B2356" s="221"/>
      <c r="C2356" s="221" t="s">
        <v>49</v>
      </c>
      <c r="D2356" s="221" t="s">
        <v>3805</v>
      </c>
      <c r="E2356" s="221" t="s">
        <v>3295</v>
      </c>
      <c r="F2356" s="221" t="s">
        <v>3299</v>
      </c>
      <c r="G2356" s="222">
        <v>45244</v>
      </c>
      <c r="H2356" s="223">
        <v>0.75069444444444444</v>
      </c>
      <c r="I2356" s="221" t="s">
        <v>4916</v>
      </c>
      <c r="J2356" s="221" t="s">
        <v>3024</v>
      </c>
      <c r="K2356" s="224" t="s">
        <v>3097</v>
      </c>
      <c r="L2356" s="225" t="str">
        <f>VLOOKUP(Logfile_S12[[#This Row],[Material Name]],Sheet2!B:C,2,0)</f>
        <v>GCI1011</v>
      </c>
      <c r="M2356" s="225" t="str">
        <f>_xlfn.XLOOKUP(Logfile_S12[[#This Row],[Material Name]],Sum_WH!E:E,Sum_WH!F:F,"",0)</f>
        <v>Pcs</v>
      </c>
      <c r="N2356" s="221">
        <v>0</v>
      </c>
      <c r="O2356" s="221" t="s">
        <v>328</v>
      </c>
      <c r="P2356" s="221" t="s">
        <v>329</v>
      </c>
      <c r="Q2356" s="221"/>
      <c r="R2356" s="221"/>
      <c r="S2356" s="221"/>
      <c r="T2356" s="221" t="s">
        <v>3332</v>
      </c>
      <c r="U2356" s="221">
        <v>0</v>
      </c>
      <c r="V2356" s="221">
        <v>0</v>
      </c>
      <c r="W2356" s="221" t="s">
        <v>3460</v>
      </c>
      <c r="X2356" s="221" t="s">
        <v>3461</v>
      </c>
      <c r="Y2356" s="227"/>
      <c r="Z2356" s="227" t="str">
        <f t="shared" si="83"/>
        <v>Sukodadi RW 01 Wagir</v>
      </c>
      <c r="AA2356" s="276" t="e">
        <f>VLOOKUP(Logfile_S12[[#This Row],[DO number]],DO_DB!G:I,3,0)</f>
        <v>#N/A</v>
      </c>
      <c r="AB2356" s="331" t="e">
        <f>EXACT(Logfile_S12[[#This Row],[date pick]],Logfile_S12[[#This Row],[Date]])</f>
        <v>#N/A</v>
      </c>
      <c r="AC23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57" spans="1:29" ht="14.5" hidden="1">
      <c r="A2357" s="220" t="str">
        <f t="shared" si="82"/>
        <v>2353</v>
      </c>
      <c r="B2357" s="221"/>
      <c r="C2357" s="221" t="s">
        <v>49</v>
      </c>
      <c r="D2357" s="221" t="s">
        <v>3805</v>
      </c>
      <c r="E2357" s="221" t="s">
        <v>3295</v>
      </c>
      <c r="F2357" s="221" t="s">
        <v>3299</v>
      </c>
      <c r="G2357" s="222">
        <v>45244</v>
      </c>
      <c r="H2357" s="223">
        <v>0.75069444444444444</v>
      </c>
      <c r="I2357" s="221" t="s">
        <v>4916</v>
      </c>
      <c r="J2357" s="221" t="s">
        <v>3024</v>
      </c>
      <c r="K2357" s="224" t="s">
        <v>3097</v>
      </c>
      <c r="L2357" s="225" t="str">
        <f>VLOOKUP(Logfile_S12[[#This Row],[Material Name]],Sheet2!B:C,2,0)</f>
        <v>GCI1011</v>
      </c>
      <c r="M2357" s="225" t="str">
        <f>_xlfn.XLOOKUP(Logfile_S12[[#This Row],[Material Name]],Sum_WH!E:E,Sum_WH!F:F,"",0)</f>
        <v>Pcs</v>
      </c>
      <c r="N2357" s="221">
        <v>0</v>
      </c>
      <c r="O2357" s="221" t="s">
        <v>332</v>
      </c>
      <c r="P2357" s="221" t="s">
        <v>333</v>
      </c>
      <c r="Q2357" s="221"/>
      <c r="R2357" s="221"/>
      <c r="S2357" s="221"/>
      <c r="T2357" s="221" t="s">
        <v>3332</v>
      </c>
      <c r="U2357" s="221">
        <v>0</v>
      </c>
      <c r="V2357" s="221">
        <v>0</v>
      </c>
      <c r="W2357" s="221" t="s">
        <v>3460</v>
      </c>
      <c r="X2357" s="221"/>
      <c r="Y2357" s="227"/>
      <c r="Z2357" s="227" t="str">
        <f t="shared" si="83"/>
        <v>Sukodadi RW 02 Wagir</v>
      </c>
      <c r="AA2357" s="276" t="e">
        <f>VLOOKUP(Logfile_S12[[#This Row],[DO number]],DO_DB!G:I,3,0)</f>
        <v>#N/A</v>
      </c>
      <c r="AB2357" s="331" t="e">
        <f>EXACT(Logfile_S12[[#This Row],[date pick]],Logfile_S12[[#This Row],[Date]])</f>
        <v>#N/A</v>
      </c>
      <c r="AC23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58" spans="1:29" ht="14.5" hidden="1">
      <c r="A2358" s="220" t="str">
        <f t="shared" si="82"/>
        <v>2354</v>
      </c>
      <c r="B2358" s="221"/>
      <c r="C2358" s="221" t="s">
        <v>48</v>
      </c>
      <c r="D2358" s="221" t="s">
        <v>3818</v>
      </c>
      <c r="E2358" s="221" t="s">
        <v>3295</v>
      </c>
      <c r="F2358" s="221" t="s">
        <v>3299</v>
      </c>
      <c r="G2358" s="222">
        <v>45256</v>
      </c>
      <c r="H2358" s="223">
        <v>15.291666666666666</v>
      </c>
      <c r="I2358" s="221" t="s">
        <v>38</v>
      </c>
      <c r="J2358" s="221" t="s">
        <v>3024</v>
      </c>
      <c r="K2358" s="224" t="s">
        <v>3097</v>
      </c>
      <c r="L2358" s="225" t="str">
        <f>VLOOKUP(Logfile_S12[[#This Row],[Material Name]],Sheet2!B:C,2,0)</f>
        <v>GCI1011</v>
      </c>
      <c r="M2358" s="225" t="str">
        <f>_xlfn.XLOOKUP(Logfile_S12[[#This Row],[Material Name]],Sum_WH!E:E,Sum_WH!F:F,"",0)</f>
        <v>Pcs</v>
      </c>
      <c r="N2358" s="221">
        <v>1</v>
      </c>
      <c r="O2358" s="221" t="s">
        <v>3344</v>
      </c>
      <c r="P2358" s="221" t="s">
        <v>3345</v>
      </c>
      <c r="Q2358" s="221">
        <v>0</v>
      </c>
      <c r="R2358" s="221">
        <v>0</v>
      </c>
      <c r="S2358" s="221"/>
      <c r="T2358" s="221"/>
      <c r="U2358" s="221"/>
      <c r="V2358" s="221"/>
      <c r="W2358" s="221"/>
      <c r="X2358" s="221"/>
      <c r="Y2358" s="227"/>
      <c r="Z2358" s="227" t="str">
        <f t="shared" si="83"/>
        <v>Purchase</v>
      </c>
      <c r="AA2358" s="276" t="e">
        <f>VLOOKUP(Logfile_S12[[#This Row],[DO number]],DO_DB!G:I,3,0)</f>
        <v>#N/A</v>
      </c>
      <c r="AB2358" s="331" t="e">
        <f>EXACT(Logfile_S12[[#This Row],[date pick]],Logfile_S12[[#This Row],[Date]])</f>
        <v>#N/A</v>
      </c>
      <c r="AC23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59" spans="1:29" ht="14.5" hidden="1">
      <c r="A2359" s="220" t="str">
        <f t="shared" si="82"/>
        <v>2355</v>
      </c>
      <c r="B2359" s="221"/>
      <c r="C2359" s="221" t="s">
        <v>49</v>
      </c>
      <c r="D2359" s="221" t="s">
        <v>3830</v>
      </c>
      <c r="E2359" s="221" t="s">
        <v>3295</v>
      </c>
      <c r="F2359" s="221" t="s">
        <v>3299</v>
      </c>
      <c r="G2359" s="222">
        <v>45266</v>
      </c>
      <c r="H2359" s="223">
        <v>0.39999999999999997</v>
      </c>
      <c r="I2359" s="221" t="s">
        <v>4916</v>
      </c>
      <c r="J2359" s="221" t="s">
        <v>3024</v>
      </c>
      <c r="K2359" s="224" t="s">
        <v>3097</v>
      </c>
      <c r="L2359" s="225" t="str">
        <f>VLOOKUP(Logfile_S12[[#This Row],[Material Name]],Sheet2!B:C,2,0)</f>
        <v>GCI1011</v>
      </c>
      <c r="M2359" s="225" t="str">
        <f>_xlfn.XLOOKUP(Logfile_S12[[#This Row],[Material Name]],Sum_WH!E:E,Sum_WH!F:F,"",0)</f>
        <v>Pcs</v>
      </c>
      <c r="N2359" s="221">
        <v>1</v>
      </c>
      <c r="O2359" s="221" t="s">
        <v>468</v>
      </c>
      <c r="P2359" s="221" t="s">
        <v>469</v>
      </c>
      <c r="Q2359" s="221"/>
      <c r="R2359" s="221"/>
      <c r="S2359" s="221"/>
      <c r="T2359" s="221" t="s">
        <v>3346</v>
      </c>
      <c r="U2359" s="221">
        <v>0</v>
      </c>
      <c r="V2359" s="221" t="s">
        <v>3347</v>
      </c>
      <c r="W2359" s="221" t="s">
        <v>3334</v>
      </c>
      <c r="X2359" s="221"/>
      <c r="Y2359" s="227"/>
      <c r="Z2359" s="227" t="str">
        <f t="shared" si="83"/>
        <v>Jedong RW 07 Wagir</v>
      </c>
      <c r="AA2359" s="276" t="e">
        <f>VLOOKUP(Logfile_S12[[#This Row],[DO number]],DO_DB!G:I,3,0)</f>
        <v>#N/A</v>
      </c>
      <c r="AB2359" s="331" t="e">
        <f>EXACT(Logfile_S12[[#This Row],[date pick]],Logfile_S12[[#This Row],[Date]])</f>
        <v>#N/A</v>
      </c>
      <c r="AC23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60" spans="1:29" ht="14.5" hidden="1">
      <c r="A2360" s="220" t="str">
        <f t="shared" si="82"/>
        <v>2356</v>
      </c>
      <c r="B2360" s="221"/>
      <c r="C2360" s="221" t="s">
        <v>48</v>
      </c>
      <c r="D2360" s="221" t="s">
        <v>3838</v>
      </c>
      <c r="E2360" s="221" t="s">
        <v>3295</v>
      </c>
      <c r="F2360" s="221" t="s">
        <v>3299</v>
      </c>
      <c r="G2360" s="222">
        <v>45278</v>
      </c>
      <c r="H2360" s="223">
        <v>15.291666666666666</v>
      </c>
      <c r="I2360" s="221" t="s">
        <v>38</v>
      </c>
      <c r="J2360" s="221" t="s">
        <v>3024</v>
      </c>
      <c r="K2360" s="224" t="s">
        <v>3097</v>
      </c>
      <c r="L2360" s="225" t="str">
        <f>VLOOKUP(Logfile_S12[[#This Row],[Material Name]],Sheet2!B:C,2,0)</f>
        <v>GCI1011</v>
      </c>
      <c r="M2360" s="225" t="str">
        <f>_xlfn.XLOOKUP(Logfile_S12[[#This Row],[Material Name]],Sum_WH!E:E,Sum_WH!F:F,"",0)</f>
        <v>Pcs</v>
      </c>
      <c r="N2360" s="221">
        <v>1</v>
      </c>
      <c r="O2360" s="221" t="s">
        <v>3397</v>
      </c>
      <c r="P2360" s="221" t="s">
        <v>3300</v>
      </c>
      <c r="Q2360" s="221">
        <v>0</v>
      </c>
      <c r="R2360" s="221">
        <v>0</v>
      </c>
      <c r="S2360" s="221"/>
      <c r="T2360" s="221"/>
      <c r="U2360" s="221"/>
      <c r="V2360" s="221"/>
      <c r="W2360" s="221"/>
      <c r="X2360" s="221" t="s">
        <v>3462</v>
      </c>
      <c r="Y2360" s="227"/>
      <c r="Z2360" s="227" t="str">
        <f t="shared" si="83"/>
        <v>Pengembalian</v>
      </c>
      <c r="AA2360" s="276" t="e">
        <f>VLOOKUP(Logfile_S12[[#This Row],[DO number]],DO_DB!G:I,3,0)</f>
        <v>#N/A</v>
      </c>
      <c r="AB2360" s="331" t="e">
        <f>EXACT(Logfile_S12[[#This Row],[date pick]],Logfile_S12[[#This Row],[Date]])</f>
        <v>#N/A</v>
      </c>
      <c r="AC23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61" spans="1:29" ht="14.5" hidden="1">
      <c r="A2361" s="220" t="str">
        <f t="shared" si="82"/>
        <v>2357</v>
      </c>
      <c r="B2361" s="221"/>
      <c r="C2361" s="221" t="s">
        <v>49</v>
      </c>
      <c r="D2361" s="221" t="s">
        <v>3840</v>
      </c>
      <c r="E2361" s="221" t="s">
        <v>3295</v>
      </c>
      <c r="F2361" s="221" t="s">
        <v>3299</v>
      </c>
      <c r="G2361" s="222">
        <v>45283</v>
      </c>
      <c r="H2361" s="223">
        <v>0.39999999999999997</v>
      </c>
      <c r="I2361" s="221" t="s">
        <v>4916</v>
      </c>
      <c r="J2361" s="221" t="s">
        <v>3024</v>
      </c>
      <c r="K2361" s="224" t="s">
        <v>3097</v>
      </c>
      <c r="L2361" s="225" t="str">
        <f>VLOOKUP(Logfile_S12[[#This Row],[Material Name]],Sheet2!B:C,2,0)</f>
        <v>GCI1011</v>
      </c>
      <c r="M2361" s="225" t="str">
        <f>_xlfn.XLOOKUP(Logfile_S12[[#This Row],[Material Name]],Sum_WH!E:E,Sum_WH!F:F,"",0)</f>
        <v>Pcs</v>
      </c>
      <c r="N2361" s="221">
        <v>1</v>
      </c>
      <c r="O2361" s="221" t="s">
        <v>468</v>
      </c>
      <c r="P2361" s="221" t="s">
        <v>469</v>
      </c>
      <c r="Q2361" s="221"/>
      <c r="R2361" s="221"/>
      <c r="S2361" s="221"/>
      <c r="T2361" s="221" t="s">
        <v>3346</v>
      </c>
      <c r="U2361" s="221">
        <v>0</v>
      </c>
      <c r="V2361" s="221" t="s">
        <v>3347</v>
      </c>
      <c r="W2361" s="221" t="s">
        <v>3334</v>
      </c>
      <c r="X2361" s="221"/>
      <c r="Y2361" s="227"/>
      <c r="Z2361" s="227" t="str">
        <f t="shared" si="83"/>
        <v>Jedong RW 07 Wagir</v>
      </c>
      <c r="AA2361" s="276" t="e">
        <f>VLOOKUP(Logfile_S12[[#This Row],[DO number]],DO_DB!G:I,3,0)</f>
        <v>#N/A</v>
      </c>
      <c r="AB2361" s="331" t="e">
        <f>EXACT(Logfile_S12[[#This Row],[date pick]],Logfile_S12[[#This Row],[Date]])</f>
        <v>#N/A</v>
      </c>
      <c r="AC23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62" spans="1:29" ht="14.5" hidden="1">
      <c r="A2362" s="220" t="str">
        <f t="shared" si="82"/>
        <v>2358</v>
      </c>
      <c r="B2362" s="221"/>
      <c r="C2362" s="221" t="s">
        <v>48</v>
      </c>
      <c r="D2362" s="221" t="s">
        <v>3867</v>
      </c>
      <c r="E2362" s="221" t="s">
        <v>3295</v>
      </c>
      <c r="F2362" s="221" t="s">
        <v>3299</v>
      </c>
      <c r="G2362" s="222">
        <v>45307</v>
      </c>
      <c r="H2362" s="223">
        <v>15.291666666666666</v>
      </c>
      <c r="I2362" s="221" t="s">
        <v>38</v>
      </c>
      <c r="J2362" s="221" t="s">
        <v>3024</v>
      </c>
      <c r="K2362" s="224" t="s">
        <v>3097</v>
      </c>
      <c r="L2362" s="225" t="str">
        <f>VLOOKUP(Logfile_S12[[#This Row],[Material Name]],Sheet2!B:C,2,0)</f>
        <v>GCI1011</v>
      </c>
      <c r="M2362" s="225" t="str">
        <f>_xlfn.XLOOKUP(Logfile_S12[[#This Row],[Material Name]],Sum_WH!E:E,Sum_WH!F:F,"",0)</f>
        <v>Pcs</v>
      </c>
      <c r="N2362" s="221">
        <v>1</v>
      </c>
      <c r="O2362" s="221" t="s">
        <v>3344</v>
      </c>
      <c r="P2362" s="221" t="s">
        <v>3345</v>
      </c>
      <c r="Q2362" s="221">
        <v>0</v>
      </c>
      <c r="R2362" s="221">
        <v>0</v>
      </c>
      <c r="S2362" s="221"/>
      <c r="T2362" s="221"/>
      <c r="U2362" s="221"/>
      <c r="V2362" s="221"/>
      <c r="W2362" s="221"/>
      <c r="X2362" s="221" t="s">
        <v>3463</v>
      </c>
      <c r="Y2362" s="227"/>
      <c r="Z2362" s="227" t="str">
        <f t="shared" si="83"/>
        <v>Purchase</v>
      </c>
      <c r="AA2362" s="276" t="e">
        <f>VLOOKUP(Logfile_S12[[#This Row],[DO number]],DO_DB!G:I,3,0)</f>
        <v>#N/A</v>
      </c>
      <c r="AB2362" s="331" t="e">
        <f>EXACT(Logfile_S12[[#This Row],[date pick]],Logfile_S12[[#This Row],[Date]])</f>
        <v>#N/A</v>
      </c>
      <c r="AC23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63" spans="1:29" ht="14.5" hidden="1">
      <c r="A2363" s="220" t="str">
        <f t="shared" si="82"/>
        <v>2359</v>
      </c>
      <c r="B2363" s="221"/>
      <c r="C2363" s="221" t="s">
        <v>49</v>
      </c>
      <c r="D2363" s="221" t="s">
        <v>3894</v>
      </c>
      <c r="E2363" s="221" t="s">
        <v>3295</v>
      </c>
      <c r="F2363" s="221" t="s">
        <v>3299</v>
      </c>
      <c r="G2363" s="222">
        <v>45314</v>
      </c>
      <c r="H2363" s="223">
        <v>0.59652777777777777</v>
      </c>
      <c r="I2363" s="221" t="s">
        <v>4916</v>
      </c>
      <c r="J2363" s="221" t="s">
        <v>3024</v>
      </c>
      <c r="K2363" s="224" t="s">
        <v>3097</v>
      </c>
      <c r="L2363" s="225" t="str">
        <f>VLOOKUP(Logfile_S12[[#This Row],[Material Name]],Sheet2!B:C,2,0)</f>
        <v>GCI1011</v>
      </c>
      <c r="M2363" s="225" t="str">
        <f>_xlfn.XLOOKUP(Logfile_S12[[#This Row],[Material Name]],Sum_WH!E:E,Sum_WH!F:F,"",0)</f>
        <v>Pcs</v>
      </c>
      <c r="N2363" s="221">
        <v>1</v>
      </c>
      <c r="O2363" s="221" t="s">
        <v>828</v>
      </c>
      <c r="P2363" s="221" t="s">
        <v>829</v>
      </c>
      <c r="Q2363" s="221"/>
      <c r="R2363" s="221"/>
      <c r="S2363" s="221"/>
      <c r="T2363" s="221" t="s">
        <v>3339</v>
      </c>
      <c r="U2363" s="221" t="s">
        <v>3228</v>
      </c>
      <c r="V2363" s="221" t="s">
        <v>3340</v>
      </c>
      <c r="W2363" s="221" t="s">
        <v>3245</v>
      </c>
      <c r="X2363" s="221"/>
      <c r="Y2363" s="227"/>
      <c r="Z2363" s="227" t="str">
        <f t="shared" si="83"/>
        <v>Perumahan Pondok Mutiara Malang</v>
      </c>
      <c r="AA2363" s="276" t="e">
        <f>VLOOKUP(Logfile_S12[[#This Row],[DO number]],DO_DB!G:I,3,0)</f>
        <v>#N/A</v>
      </c>
      <c r="AB2363" s="331" t="e">
        <f>EXACT(Logfile_S12[[#This Row],[date pick]],Logfile_S12[[#This Row],[Date]])</f>
        <v>#N/A</v>
      </c>
      <c r="AC23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64" spans="1:29" ht="14.5" hidden="1">
      <c r="A2364" s="220" t="str">
        <f t="shared" si="82"/>
        <v>2360</v>
      </c>
      <c r="B2364" s="221"/>
      <c r="C2364" s="221" t="s">
        <v>3313</v>
      </c>
      <c r="D2364" s="221" t="s">
        <v>3907</v>
      </c>
      <c r="E2364" s="221" t="s">
        <v>3295</v>
      </c>
      <c r="F2364" s="221" t="s">
        <v>3299</v>
      </c>
      <c r="G2364" s="222">
        <v>45318</v>
      </c>
      <c r="H2364" s="223">
        <v>15.291666666666666</v>
      </c>
      <c r="I2364" s="221" t="s">
        <v>4919</v>
      </c>
      <c r="J2364" s="221" t="s">
        <v>3024</v>
      </c>
      <c r="K2364" s="224" t="s">
        <v>3097</v>
      </c>
      <c r="L2364" s="225" t="str">
        <f>VLOOKUP(Logfile_S12[[#This Row],[Material Name]],Sheet2!B:C,2,0)</f>
        <v>GCI1011</v>
      </c>
      <c r="M2364" s="225" t="str">
        <f>_xlfn.XLOOKUP(Logfile_S12[[#This Row],[Material Name]],Sum_WH!E:E,Sum_WH!F:F,"",0)</f>
        <v>Pcs</v>
      </c>
      <c r="N2364" s="221">
        <v>1</v>
      </c>
      <c r="O2364" s="221" t="s">
        <v>3314</v>
      </c>
      <c r="P2364" s="221" t="s">
        <v>3369</v>
      </c>
      <c r="Q2364" s="221">
        <v>0</v>
      </c>
      <c r="R2364" s="221">
        <v>0</v>
      </c>
      <c r="S2364" s="221"/>
      <c r="T2364" s="221"/>
      <c r="U2364" s="221"/>
      <c r="V2364" s="221"/>
      <c r="W2364" s="221"/>
      <c r="X2364" s="221" t="s">
        <v>3448</v>
      </c>
      <c r="Y2364" s="227"/>
      <c r="Z2364" s="227" t="str">
        <f t="shared" si="83"/>
        <v>JOMBANG</v>
      </c>
      <c r="AA2364" s="276" t="e">
        <f>VLOOKUP(Logfile_S12[[#This Row],[DO number]],DO_DB!G:I,3,0)</f>
        <v>#N/A</v>
      </c>
      <c r="AB2364" s="331" t="e">
        <f>EXACT(Logfile_S12[[#This Row],[date pick]],Logfile_S12[[#This Row],[Date]])</f>
        <v>#N/A</v>
      </c>
      <c r="AC23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65" spans="1:29" ht="14.5" hidden="1">
      <c r="A2365" s="220" t="str">
        <f t="shared" si="82"/>
        <v>2361</v>
      </c>
      <c r="B2365" s="221"/>
      <c r="C2365" s="221" t="s">
        <v>49</v>
      </c>
      <c r="D2365" s="221" t="s">
        <v>3908</v>
      </c>
      <c r="E2365" s="221" t="s">
        <v>3295</v>
      </c>
      <c r="F2365" s="221" t="s">
        <v>3299</v>
      </c>
      <c r="G2365" s="222">
        <v>45319</v>
      </c>
      <c r="H2365" s="223">
        <v>0.62361111111111112</v>
      </c>
      <c r="I2365" s="221" t="s">
        <v>4916</v>
      </c>
      <c r="J2365" s="221" t="s">
        <v>3024</v>
      </c>
      <c r="K2365" s="224" t="s">
        <v>3097</v>
      </c>
      <c r="L2365" s="225" t="str">
        <f>VLOOKUP(Logfile_S12[[#This Row],[Material Name]],Sheet2!B:C,2,0)</f>
        <v>GCI1011</v>
      </c>
      <c r="M2365" s="225" t="str">
        <f>_xlfn.XLOOKUP(Logfile_S12[[#This Row],[Material Name]],Sum_WH!E:E,Sum_WH!F:F,"",0)</f>
        <v>Pcs</v>
      </c>
      <c r="N2365" s="221">
        <v>1</v>
      </c>
      <c r="O2365" s="221" t="s">
        <v>742</v>
      </c>
      <c r="P2365" s="221" t="s">
        <v>743</v>
      </c>
      <c r="Q2365" s="221"/>
      <c r="R2365" s="221"/>
      <c r="S2365" s="221"/>
      <c r="T2365" s="221" t="s">
        <v>3258</v>
      </c>
      <c r="U2365" s="221" t="s">
        <v>3228</v>
      </c>
      <c r="V2365" s="221" t="s">
        <v>3337</v>
      </c>
      <c r="W2365" s="221" t="s">
        <v>3338</v>
      </c>
      <c r="X2365" s="221"/>
      <c r="Y2365" s="227"/>
      <c r="Z2365" s="227" t="str">
        <f t="shared" si="83"/>
        <v>Baturetno RW 03 Singosari</v>
      </c>
      <c r="AA2365" s="276" t="e">
        <f>VLOOKUP(Logfile_S12[[#This Row],[DO number]],DO_DB!G:I,3,0)</f>
        <v>#N/A</v>
      </c>
      <c r="AB2365" s="331" t="e">
        <f>EXACT(Logfile_S12[[#This Row],[date pick]],Logfile_S12[[#This Row],[Date]])</f>
        <v>#N/A</v>
      </c>
      <c r="AC23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66" spans="1:29" ht="14.5" hidden="1">
      <c r="A2366" s="220" t="str">
        <f t="shared" si="82"/>
        <v>2362</v>
      </c>
      <c r="B2366" s="221"/>
      <c r="C2366" s="221" t="s">
        <v>48</v>
      </c>
      <c r="D2366" s="221" t="s">
        <v>3953</v>
      </c>
      <c r="E2366" s="221" t="s">
        <v>3295</v>
      </c>
      <c r="F2366" s="221" t="s">
        <v>3299</v>
      </c>
      <c r="G2366" s="222">
        <v>45349</v>
      </c>
      <c r="H2366" s="223">
        <v>15.291666666666666</v>
      </c>
      <c r="I2366" s="221" t="s">
        <v>38</v>
      </c>
      <c r="J2366" s="221" t="s">
        <v>3024</v>
      </c>
      <c r="K2366" s="224" t="s">
        <v>3097</v>
      </c>
      <c r="L2366" s="225" t="str">
        <f>VLOOKUP(Logfile_S12[[#This Row],[Material Name]],Sheet2!B:C,2,0)</f>
        <v>GCI1011</v>
      </c>
      <c r="M2366" s="225" t="str">
        <f>_xlfn.XLOOKUP(Logfile_S12[[#This Row],[Material Name]],Sum_WH!E:E,Sum_WH!F:F,"",0)</f>
        <v>Pcs</v>
      </c>
      <c r="N2366" s="221">
        <v>1</v>
      </c>
      <c r="O2366" s="221">
        <v>0</v>
      </c>
      <c r="P2366" s="221" t="s">
        <v>3362</v>
      </c>
      <c r="Q2366" s="221">
        <v>0</v>
      </c>
      <c r="R2366" s="221">
        <v>0</v>
      </c>
      <c r="S2366" s="221"/>
      <c r="T2366" s="221"/>
      <c r="U2366" s="221"/>
      <c r="V2366" s="221"/>
      <c r="W2366" s="221"/>
      <c r="X2366" s="221"/>
      <c r="Y2366" s="227"/>
      <c r="Z2366" s="227" t="str">
        <f t="shared" si="83"/>
        <v xml:space="preserve">UD RIZQI JAYA PRATAMA </v>
      </c>
      <c r="AA2366" s="276" t="e">
        <f>VLOOKUP(Logfile_S12[[#This Row],[DO number]],DO_DB!G:I,3,0)</f>
        <v>#N/A</v>
      </c>
      <c r="AB2366" s="331" t="e">
        <f>EXACT(Logfile_S12[[#This Row],[date pick]],Logfile_S12[[#This Row],[Date]])</f>
        <v>#N/A</v>
      </c>
      <c r="AC23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67" spans="1:29" ht="14.5" hidden="1">
      <c r="A2367" s="220" t="str">
        <f t="shared" si="82"/>
        <v>2363</v>
      </c>
      <c r="B2367" s="221"/>
      <c r="C2367" s="221" t="s">
        <v>49</v>
      </c>
      <c r="D2367" s="221" t="s">
        <v>3954</v>
      </c>
      <c r="E2367" s="221" t="s">
        <v>3295</v>
      </c>
      <c r="F2367" s="221" t="s">
        <v>3299</v>
      </c>
      <c r="G2367" s="222">
        <v>45350</v>
      </c>
      <c r="H2367" s="223">
        <v>0.3833333333333333</v>
      </c>
      <c r="I2367" s="221" t="s">
        <v>4916</v>
      </c>
      <c r="J2367" s="221" t="s">
        <v>3024</v>
      </c>
      <c r="K2367" s="224" t="s">
        <v>3097</v>
      </c>
      <c r="L2367" s="225" t="str">
        <f>VLOOKUP(Logfile_S12[[#This Row],[Material Name]],Sheet2!B:C,2,0)</f>
        <v>GCI1011</v>
      </c>
      <c r="M2367" s="225" t="str">
        <f>_xlfn.XLOOKUP(Logfile_S12[[#This Row],[Material Name]],Sum_WH!E:E,Sum_WH!F:F,"",0)</f>
        <v>Pcs</v>
      </c>
      <c r="N2367" s="221">
        <v>1</v>
      </c>
      <c r="O2367" s="221" t="s">
        <v>921</v>
      </c>
      <c r="P2367" s="221" t="s">
        <v>922</v>
      </c>
      <c r="Q2367" s="221"/>
      <c r="R2367" s="221"/>
      <c r="S2367" s="221"/>
      <c r="T2367" s="221" t="s">
        <v>3363</v>
      </c>
      <c r="U2367" s="221" t="s">
        <v>3228</v>
      </c>
      <c r="V2367" s="221" t="s">
        <v>3364</v>
      </c>
      <c r="W2367" s="221" t="s">
        <v>3365</v>
      </c>
      <c r="X2367" s="221"/>
      <c r="Y2367" s="227"/>
      <c r="Z2367" s="227" t="str">
        <f t="shared" si="83"/>
        <v>Bumiayu RW 03 Kedungkandang</v>
      </c>
      <c r="AA2367" s="276" t="e">
        <f>VLOOKUP(Logfile_S12[[#This Row],[DO number]],DO_DB!G:I,3,0)</f>
        <v>#N/A</v>
      </c>
      <c r="AB2367" s="331" t="e">
        <f>EXACT(Logfile_S12[[#This Row],[date pick]],Logfile_S12[[#This Row],[Date]])</f>
        <v>#N/A</v>
      </c>
      <c r="AC23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68" spans="1:29" ht="14.5" hidden="1">
      <c r="A2368" s="220" t="str">
        <f t="shared" si="82"/>
        <v>2364</v>
      </c>
      <c r="B2368" s="221"/>
      <c r="C2368" s="221" t="s">
        <v>48</v>
      </c>
      <c r="D2368" s="221" t="s">
        <v>3985</v>
      </c>
      <c r="E2368" s="221" t="s">
        <v>3295</v>
      </c>
      <c r="F2368" s="221" t="s">
        <v>3299</v>
      </c>
      <c r="G2368" s="222">
        <v>45373</v>
      </c>
      <c r="H2368" s="223">
        <v>15.291666666666666</v>
      </c>
      <c r="I2368" s="221" t="s">
        <v>38</v>
      </c>
      <c r="J2368" s="221" t="s">
        <v>3024</v>
      </c>
      <c r="K2368" s="224" t="s">
        <v>3097</v>
      </c>
      <c r="L2368" s="225" t="str">
        <f>VLOOKUP(Logfile_S12[[#This Row],[Material Name]],Sheet2!B:C,2,0)</f>
        <v>GCI1011</v>
      </c>
      <c r="M2368" s="225" t="str">
        <f>_xlfn.XLOOKUP(Logfile_S12[[#This Row],[Material Name]],Sum_WH!E:E,Sum_WH!F:F,"",0)</f>
        <v>Pcs</v>
      </c>
      <c r="N2368" s="221">
        <v>1</v>
      </c>
      <c r="O2368" s="221">
        <v>0</v>
      </c>
      <c r="P2368" s="221" t="s">
        <v>3366</v>
      </c>
      <c r="Q2368" s="221">
        <v>0</v>
      </c>
      <c r="R2368" s="221">
        <v>0</v>
      </c>
      <c r="S2368" s="221"/>
      <c r="T2368" s="221"/>
      <c r="U2368" s="221"/>
      <c r="V2368" s="221"/>
      <c r="W2368" s="221"/>
      <c r="X2368" s="221"/>
      <c r="Y2368" s="227"/>
      <c r="Z2368" s="227" t="str">
        <f t="shared" si="83"/>
        <v>UD HALIM</v>
      </c>
      <c r="AA2368" s="276" t="e">
        <f>VLOOKUP(Logfile_S12[[#This Row],[DO number]],DO_DB!G:I,3,0)</f>
        <v>#N/A</v>
      </c>
      <c r="AB2368" s="331" t="e">
        <f>EXACT(Logfile_S12[[#This Row],[date pick]],Logfile_S12[[#This Row],[Date]])</f>
        <v>#N/A</v>
      </c>
      <c r="AC23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69" spans="1:29" ht="14.5" hidden="1">
      <c r="A2369" s="220" t="str">
        <f t="shared" si="82"/>
        <v>2365</v>
      </c>
      <c r="B2369" s="221"/>
      <c r="C2369" s="221" t="s">
        <v>49</v>
      </c>
      <c r="D2369" s="221" t="s">
        <v>3991</v>
      </c>
      <c r="E2369" s="221" t="s">
        <v>3295</v>
      </c>
      <c r="F2369" s="221" t="s">
        <v>3299</v>
      </c>
      <c r="G2369" s="222">
        <v>45377</v>
      </c>
      <c r="H2369" s="223">
        <v>0.93819444444444444</v>
      </c>
      <c r="I2369" s="221" t="s">
        <v>4916</v>
      </c>
      <c r="J2369" s="221" t="s">
        <v>3024</v>
      </c>
      <c r="K2369" s="224" t="s">
        <v>3097</v>
      </c>
      <c r="L2369" s="225" t="str">
        <f>VLOOKUP(Logfile_S12[[#This Row],[Material Name]],Sheet2!B:C,2,0)</f>
        <v>GCI1011</v>
      </c>
      <c r="M2369" s="225" t="str">
        <f>_xlfn.XLOOKUP(Logfile_S12[[#This Row],[Material Name]],Sum_WH!E:E,Sum_WH!F:F,"",0)</f>
        <v>Pcs</v>
      </c>
      <c r="N2369" s="221">
        <v>1</v>
      </c>
      <c r="O2369" s="221" t="s">
        <v>1087</v>
      </c>
      <c r="P2369" s="221" t="s">
        <v>1088</v>
      </c>
      <c r="Q2369" s="221"/>
      <c r="R2369" s="221"/>
      <c r="S2369" s="221"/>
      <c r="T2369" s="221" t="s">
        <v>3258</v>
      </c>
      <c r="U2369" s="221" t="s">
        <v>3228</v>
      </c>
      <c r="V2369" s="221" t="s">
        <v>3337</v>
      </c>
      <c r="W2369" s="221" t="s">
        <v>3338</v>
      </c>
      <c r="X2369" s="221"/>
      <c r="Y2369" s="227"/>
      <c r="Z2369" s="227" t="str">
        <f t="shared" si="83"/>
        <v>Dalisodo RW 01 Wagir</v>
      </c>
      <c r="AA2369" s="276" t="e">
        <f>VLOOKUP(Logfile_S12[[#This Row],[DO number]],DO_DB!G:I,3,0)</f>
        <v>#N/A</v>
      </c>
      <c r="AB2369" s="331" t="e">
        <f>EXACT(Logfile_S12[[#This Row],[date pick]],Logfile_S12[[#This Row],[Date]])</f>
        <v>#N/A</v>
      </c>
      <c r="AC23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70" spans="1:29" ht="14.5" hidden="1">
      <c r="A2370" s="220" t="str">
        <f t="shared" si="82"/>
        <v>2366</v>
      </c>
      <c r="B2370" s="221"/>
      <c r="C2370" s="221" t="s">
        <v>48</v>
      </c>
      <c r="D2370" s="221" t="s">
        <v>4034</v>
      </c>
      <c r="E2370" s="221" t="s">
        <v>3295</v>
      </c>
      <c r="F2370" s="221" t="s">
        <v>3299</v>
      </c>
      <c r="G2370" s="222">
        <v>45412</v>
      </c>
      <c r="H2370" s="223">
        <v>15.291666666666666</v>
      </c>
      <c r="I2370" s="221" t="s">
        <v>38</v>
      </c>
      <c r="J2370" s="221" t="s">
        <v>3024</v>
      </c>
      <c r="K2370" s="224" t="s">
        <v>3097</v>
      </c>
      <c r="L2370" s="225" t="str">
        <f>VLOOKUP(Logfile_S12[[#This Row],[Material Name]],Sheet2!B:C,2,0)</f>
        <v>GCI1011</v>
      </c>
      <c r="M2370" s="225" t="str">
        <f>_xlfn.XLOOKUP(Logfile_S12[[#This Row],[Material Name]],Sum_WH!E:E,Sum_WH!F:F,"",0)</f>
        <v>Pcs</v>
      </c>
      <c r="N2370" s="221">
        <v>1</v>
      </c>
      <c r="O2370" s="221">
        <v>0</v>
      </c>
      <c r="P2370" s="221">
        <v>0</v>
      </c>
      <c r="Q2370" s="221">
        <v>0</v>
      </c>
      <c r="R2370" s="221">
        <v>0</v>
      </c>
      <c r="S2370" s="221"/>
      <c r="T2370" s="221"/>
      <c r="U2370" s="221"/>
      <c r="V2370" s="221"/>
      <c r="W2370" s="221"/>
      <c r="X2370" s="221"/>
      <c r="Y2370" s="227"/>
      <c r="Z2370" s="227">
        <f t="shared" si="83"/>
        <v>0</v>
      </c>
      <c r="AA2370" s="276" t="e">
        <f>VLOOKUP(Logfile_S12[[#This Row],[DO number]],DO_DB!G:I,3,0)</f>
        <v>#N/A</v>
      </c>
      <c r="AB2370" s="331" t="e">
        <f>EXACT(Logfile_S12[[#This Row],[date pick]],Logfile_S12[[#This Row],[Date]])</f>
        <v>#N/A</v>
      </c>
      <c r="AC23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71" spans="1:29" ht="14.5" hidden="1">
      <c r="A2371" s="220" t="str">
        <f t="shared" si="82"/>
        <v>2367</v>
      </c>
      <c r="B2371" s="221"/>
      <c r="C2371" s="221" t="s">
        <v>49</v>
      </c>
      <c r="D2371" s="221" t="s">
        <v>4032</v>
      </c>
      <c r="E2371" s="221" t="s">
        <v>3295</v>
      </c>
      <c r="F2371" s="221" t="s">
        <v>3299</v>
      </c>
      <c r="G2371" s="222">
        <v>45412</v>
      </c>
      <c r="H2371" s="223">
        <v>0.5</v>
      </c>
      <c r="I2371" s="221" t="s">
        <v>4916</v>
      </c>
      <c r="J2371" s="221" t="s">
        <v>3024</v>
      </c>
      <c r="K2371" s="224" t="s">
        <v>3097</v>
      </c>
      <c r="L2371" s="225" t="str">
        <f>VLOOKUP(Logfile_S12[[#This Row],[Material Name]],Sheet2!B:C,2,0)</f>
        <v>GCI1011</v>
      </c>
      <c r="M2371" s="225" t="str">
        <f>_xlfn.XLOOKUP(Logfile_S12[[#This Row],[Material Name]],Sum_WH!E:E,Sum_WH!F:F,"",0)</f>
        <v>Pcs</v>
      </c>
      <c r="N2371" s="221">
        <v>1</v>
      </c>
      <c r="O2371" s="221" t="s">
        <v>1081</v>
      </c>
      <c r="P2371" s="221" t="s">
        <v>3370</v>
      </c>
      <c r="Q2371" s="221"/>
      <c r="R2371" s="221"/>
      <c r="S2371" s="221"/>
      <c r="T2371" s="221" t="s">
        <v>3258</v>
      </c>
      <c r="U2371" s="221" t="s">
        <v>3228</v>
      </c>
      <c r="V2371" s="221" t="s">
        <v>3337</v>
      </c>
      <c r="W2371" s="221" t="s">
        <v>3338</v>
      </c>
      <c r="X2371" s="221"/>
      <c r="Y2371" s="227"/>
      <c r="Z2371" s="227" t="str">
        <f t="shared" si="83"/>
        <v>Pandan Landung RW 05 Wagir</v>
      </c>
      <c r="AA2371" s="276" t="e">
        <f>VLOOKUP(Logfile_S12[[#This Row],[DO number]],DO_DB!G:I,3,0)</f>
        <v>#N/A</v>
      </c>
      <c r="AB2371" s="331" t="e">
        <f>EXACT(Logfile_S12[[#This Row],[date pick]],Logfile_S12[[#This Row],[Date]])</f>
        <v>#N/A</v>
      </c>
      <c r="AC23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72" spans="1:29" ht="14.5" hidden="1">
      <c r="A2372" s="220" t="str">
        <f t="shared" si="82"/>
        <v>2368</v>
      </c>
      <c r="B2372" s="221"/>
      <c r="C2372" s="221" t="s">
        <v>48</v>
      </c>
      <c r="D2372" s="221" t="s">
        <v>4082</v>
      </c>
      <c r="E2372" s="221" t="s">
        <v>3295</v>
      </c>
      <c r="F2372" s="221" t="s">
        <v>3299</v>
      </c>
      <c r="G2372" s="222">
        <v>45449</v>
      </c>
      <c r="H2372" s="223">
        <v>15.291666666666666</v>
      </c>
      <c r="I2372" s="221" t="s">
        <v>38</v>
      </c>
      <c r="J2372" s="221" t="s">
        <v>3024</v>
      </c>
      <c r="K2372" s="224" t="s">
        <v>3097</v>
      </c>
      <c r="L2372" s="225" t="str">
        <f>VLOOKUP(Logfile_S12[[#This Row],[Material Name]],Sheet2!B:C,2,0)</f>
        <v>GCI1011</v>
      </c>
      <c r="M2372" s="225" t="str">
        <f>_xlfn.XLOOKUP(Logfile_S12[[#This Row],[Material Name]],Sum_WH!E:E,Sum_WH!F:F,"",0)</f>
        <v>Pcs</v>
      </c>
      <c r="N2372" s="221">
        <v>1</v>
      </c>
      <c r="O2372" s="221">
        <v>0</v>
      </c>
      <c r="P2372" s="221">
        <v>0</v>
      </c>
      <c r="Q2372" s="221">
        <v>0</v>
      </c>
      <c r="R2372" s="221">
        <v>0</v>
      </c>
      <c r="S2372" s="221"/>
      <c r="T2372" s="221"/>
      <c r="U2372" s="221"/>
      <c r="V2372" s="221"/>
      <c r="W2372" s="221"/>
      <c r="X2372" s="221"/>
      <c r="Y2372" s="227"/>
      <c r="Z2372" s="227">
        <f t="shared" si="83"/>
        <v>0</v>
      </c>
      <c r="AA2372" s="276" t="e">
        <f>VLOOKUP(Logfile_S12[[#This Row],[DO number]],DO_DB!G:I,3,0)</f>
        <v>#N/A</v>
      </c>
      <c r="AB2372" s="331" t="e">
        <f>EXACT(Logfile_S12[[#This Row],[date pick]],Logfile_S12[[#This Row],[Date]])</f>
        <v>#N/A</v>
      </c>
      <c r="AC23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73" spans="1:29" ht="14.5" hidden="1">
      <c r="A2373" s="220" t="str">
        <f t="shared" ref="A2373:A2436" si="84">TEXT(ROW(A2373)-ROW($A$4),"000")</f>
        <v>2369</v>
      </c>
      <c r="B2373" s="221"/>
      <c r="C2373" s="221" t="s">
        <v>49</v>
      </c>
      <c r="D2373" s="221" t="s">
        <v>4083</v>
      </c>
      <c r="E2373" s="221" t="s">
        <v>3295</v>
      </c>
      <c r="F2373" s="221" t="s">
        <v>3299</v>
      </c>
      <c r="G2373" s="222">
        <v>45450</v>
      </c>
      <c r="H2373" s="223">
        <v>0.72291666666666676</v>
      </c>
      <c r="I2373" s="221" t="s">
        <v>4916</v>
      </c>
      <c r="J2373" s="221" t="s">
        <v>3024</v>
      </c>
      <c r="K2373" s="224" t="s">
        <v>3097</v>
      </c>
      <c r="L2373" s="225" t="str">
        <f>VLOOKUP(Logfile_S12[[#This Row],[Material Name]],Sheet2!B:C,2,0)</f>
        <v>GCI1011</v>
      </c>
      <c r="M2373" s="225" t="str">
        <f>_xlfn.XLOOKUP(Logfile_S12[[#This Row],[Material Name]],Sum_WH!E:E,Sum_WH!F:F,"",0)</f>
        <v>Pcs</v>
      </c>
      <c r="N2373" s="221">
        <v>1</v>
      </c>
      <c r="O2373" s="221" t="s">
        <v>1493</v>
      </c>
      <c r="P2373" s="221" t="s">
        <v>1494</v>
      </c>
      <c r="Q2373" s="221"/>
      <c r="R2373" s="221"/>
      <c r="S2373" s="221"/>
      <c r="T2373" s="221" t="s">
        <v>3258</v>
      </c>
      <c r="U2373" s="221" t="s">
        <v>3228</v>
      </c>
      <c r="V2373" s="221" t="s">
        <v>3337</v>
      </c>
      <c r="W2373" s="221" t="s">
        <v>3338</v>
      </c>
      <c r="X2373" s="221"/>
      <c r="Y2373" s="227"/>
      <c r="Z2373" s="227" t="str">
        <f t="shared" si="83"/>
        <v>Dusun Krajan Kucur</v>
      </c>
      <c r="AA2373" s="276" t="e">
        <f>VLOOKUP(Logfile_S12[[#This Row],[DO number]],DO_DB!G:I,3,0)</f>
        <v>#N/A</v>
      </c>
      <c r="AB2373" s="331" t="e">
        <f>EXACT(Logfile_S12[[#This Row],[date pick]],Logfile_S12[[#This Row],[Date]])</f>
        <v>#N/A</v>
      </c>
      <c r="AC23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74" spans="1:29" ht="14.5" hidden="1">
      <c r="A2374" s="220" t="str">
        <f t="shared" si="84"/>
        <v>2370</v>
      </c>
      <c r="B2374" s="221"/>
      <c r="C2374" s="221" t="s">
        <v>48</v>
      </c>
      <c r="D2374" s="221" t="s">
        <v>4103</v>
      </c>
      <c r="E2374" s="221" t="s">
        <v>3295</v>
      </c>
      <c r="F2374" s="221" t="s">
        <v>3299</v>
      </c>
      <c r="G2374" s="222">
        <v>45468</v>
      </c>
      <c r="H2374" s="223">
        <v>15.291666666666666</v>
      </c>
      <c r="I2374" s="221" t="s">
        <v>38</v>
      </c>
      <c r="J2374" s="221" t="s">
        <v>3024</v>
      </c>
      <c r="K2374" s="224" t="s">
        <v>3097</v>
      </c>
      <c r="L2374" s="225" t="str">
        <f>VLOOKUP(Logfile_S12[[#This Row],[Material Name]],Sheet2!B:C,2,0)</f>
        <v>GCI1011</v>
      </c>
      <c r="M2374" s="225" t="str">
        <f>_xlfn.XLOOKUP(Logfile_S12[[#This Row],[Material Name]],Sum_WH!E:E,Sum_WH!F:F,"",0)</f>
        <v>Pcs</v>
      </c>
      <c r="N2374" s="221">
        <v>2.8</v>
      </c>
      <c r="O2374" s="221">
        <v>0</v>
      </c>
      <c r="P2374" s="221">
        <v>0</v>
      </c>
      <c r="Q2374" s="221">
        <v>0</v>
      </c>
      <c r="R2374" s="221">
        <v>0</v>
      </c>
      <c r="S2374" s="221"/>
      <c r="T2374" s="221"/>
      <c r="U2374" s="221"/>
      <c r="V2374" s="221"/>
      <c r="W2374" s="221"/>
      <c r="X2374" s="221"/>
      <c r="Y2374" s="227"/>
      <c r="Z2374" s="227">
        <f t="shared" si="83"/>
        <v>0</v>
      </c>
      <c r="AA2374" s="276" t="e">
        <f>VLOOKUP(Logfile_S12[[#This Row],[DO number]],DO_DB!G:I,3,0)</f>
        <v>#N/A</v>
      </c>
      <c r="AB2374" s="331" t="e">
        <f>EXACT(Logfile_S12[[#This Row],[date pick]],Logfile_S12[[#This Row],[Date]])</f>
        <v>#N/A</v>
      </c>
      <c r="AC23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75" spans="1:29" ht="14.5" hidden="1">
      <c r="A2375" s="220" t="str">
        <f t="shared" si="84"/>
        <v>2371</v>
      </c>
      <c r="B2375" s="221"/>
      <c r="C2375" s="221" t="s">
        <v>48</v>
      </c>
      <c r="D2375" s="221" t="s">
        <v>4108</v>
      </c>
      <c r="E2375" s="221" t="s">
        <v>3295</v>
      </c>
      <c r="F2375" s="221" t="s">
        <v>3299</v>
      </c>
      <c r="G2375" s="222">
        <v>45476</v>
      </c>
      <c r="H2375" s="223">
        <v>15.291666666666666</v>
      </c>
      <c r="I2375" s="221" t="s">
        <v>38</v>
      </c>
      <c r="J2375" s="221" t="s">
        <v>3024</v>
      </c>
      <c r="K2375" s="224" t="s">
        <v>3097</v>
      </c>
      <c r="L2375" s="225" t="str">
        <f>VLOOKUP(Logfile_S12[[#This Row],[Material Name]],Sheet2!B:C,2,0)</f>
        <v>GCI1011</v>
      </c>
      <c r="M2375" s="225" t="str">
        <f>_xlfn.XLOOKUP(Logfile_S12[[#This Row],[Material Name]],Sum_WH!E:E,Sum_WH!F:F,"",0)</f>
        <v>Pcs</v>
      </c>
      <c r="N2375" s="221">
        <v>1</v>
      </c>
      <c r="O2375" s="221">
        <v>0</v>
      </c>
      <c r="P2375" s="221" t="s">
        <v>3373</v>
      </c>
      <c r="Q2375" s="221">
        <v>0</v>
      </c>
      <c r="R2375" s="221">
        <v>0</v>
      </c>
      <c r="S2375" s="221"/>
      <c r="T2375" s="221"/>
      <c r="U2375" s="221"/>
      <c r="V2375" s="221"/>
      <c r="W2375" s="221"/>
      <c r="X2375" s="221"/>
      <c r="Y2375" s="227"/>
      <c r="Z2375" s="227" t="str">
        <f t="shared" si="83"/>
        <v>HALIM JAYA</v>
      </c>
      <c r="AA2375" s="276" t="e">
        <f>VLOOKUP(Logfile_S12[[#This Row],[DO number]],DO_DB!G:I,3,0)</f>
        <v>#N/A</v>
      </c>
      <c r="AB2375" s="331" t="e">
        <f>EXACT(Logfile_S12[[#This Row],[date pick]],Logfile_S12[[#This Row],[Date]])</f>
        <v>#N/A</v>
      </c>
      <c r="AC23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76" spans="1:29" ht="14.5" hidden="1">
      <c r="A2376" s="220" t="str">
        <f t="shared" si="84"/>
        <v>2372</v>
      </c>
      <c r="B2376" s="221"/>
      <c r="C2376" s="221" t="s">
        <v>49</v>
      </c>
      <c r="D2376" s="221" t="s">
        <v>4111</v>
      </c>
      <c r="E2376" s="221" t="s">
        <v>3295</v>
      </c>
      <c r="F2376" s="221" t="s">
        <v>3299</v>
      </c>
      <c r="G2376" s="222">
        <v>45478</v>
      </c>
      <c r="H2376" s="223">
        <v>0.54791666666666672</v>
      </c>
      <c r="I2376" s="221" t="s">
        <v>4916</v>
      </c>
      <c r="J2376" s="221" t="s">
        <v>3024</v>
      </c>
      <c r="K2376" s="224" t="s">
        <v>3097</v>
      </c>
      <c r="L2376" s="225" t="str">
        <f>VLOOKUP(Logfile_S12[[#This Row],[Material Name]],Sheet2!B:C,2,0)</f>
        <v>GCI1011</v>
      </c>
      <c r="M2376" s="225" t="str">
        <f>_xlfn.XLOOKUP(Logfile_S12[[#This Row],[Material Name]],Sum_WH!E:E,Sum_WH!F:F,"",0)</f>
        <v>Pcs</v>
      </c>
      <c r="N2376" s="221">
        <v>1</v>
      </c>
      <c r="O2376" s="221" t="s">
        <v>1721</v>
      </c>
      <c r="P2376" s="221" t="s">
        <v>1722</v>
      </c>
      <c r="Q2376" s="221"/>
      <c r="R2376" s="221"/>
      <c r="S2376" s="221"/>
      <c r="T2376" s="221" t="s">
        <v>3258</v>
      </c>
      <c r="U2376" s="221" t="s">
        <v>3228</v>
      </c>
      <c r="V2376" s="221" t="s">
        <v>3337</v>
      </c>
      <c r="W2376" s="221" t="s">
        <v>3338</v>
      </c>
      <c r="X2376" s="221"/>
      <c r="Y2376" s="227"/>
      <c r="Z2376" s="227" t="str">
        <f t="shared" si="83"/>
        <v>Perumahan Perumnas Talangagung I Malang</v>
      </c>
      <c r="AA2376" s="276" t="e">
        <f>VLOOKUP(Logfile_S12[[#This Row],[DO number]],DO_DB!G:I,3,0)</f>
        <v>#N/A</v>
      </c>
      <c r="AB2376" s="331" t="e">
        <f>EXACT(Logfile_S12[[#This Row],[date pick]],Logfile_S12[[#This Row],[Date]])</f>
        <v>#N/A</v>
      </c>
      <c r="AC23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77" spans="1:29" ht="14.5" hidden="1">
      <c r="A2377" s="220" t="str">
        <f t="shared" si="84"/>
        <v>2373</v>
      </c>
      <c r="B2377" s="221"/>
      <c r="C2377" s="221" t="s">
        <v>49</v>
      </c>
      <c r="D2377" s="221" t="s">
        <v>4117</v>
      </c>
      <c r="E2377" s="221" t="s">
        <v>3295</v>
      </c>
      <c r="F2377" s="221" t="s">
        <v>3299</v>
      </c>
      <c r="G2377" s="222">
        <v>45485</v>
      </c>
      <c r="H2377" s="223">
        <v>0.4</v>
      </c>
      <c r="I2377" s="221" t="s">
        <v>4916</v>
      </c>
      <c r="J2377" s="221" t="s">
        <v>3024</v>
      </c>
      <c r="K2377" s="224" t="s">
        <v>3097</v>
      </c>
      <c r="L2377" s="225" t="str">
        <f>VLOOKUP(Logfile_S12[[#This Row],[Material Name]],Sheet2!B:C,2,0)</f>
        <v>GCI1011</v>
      </c>
      <c r="M2377" s="225" t="str">
        <f>_xlfn.XLOOKUP(Logfile_S12[[#This Row],[Material Name]],Sum_WH!E:E,Sum_WH!F:F,"",0)</f>
        <v>Pcs</v>
      </c>
      <c r="N2377" s="221">
        <v>0.8</v>
      </c>
      <c r="O2377" s="221" t="s">
        <v>2007</v>
      </c>
      <c r="P2377" s="221" t="s">
        <v>2008</v>
      </c>
      <c r="Q2377" s="221"/>
      <c r="R2377" s="221"/>
      <c r="S2377" s="221"/>
      <c r="T2377" s="221" t="s">
        <v>3258</v>
      </c>
      <c r="U2377" s="221" t="s">
        <v>3228</v>
      </c>
      <c r="V2377" s="221" t="s">
        <v>3337</v>
      </c>
      <c r="W2377" s="221" t="s">
        <v>3338</v>
      </c>
      <c r="X2377" s="221"/>
      <c r="Y2377" s="227"/>
      <c r="Z2377" s="227" t="str">
        <f t="shared" si="83"/>
        <v>Ngenep RW 06 Karang Ploso</v>
      </c>
      <c r="AA2377" s="276" t="e">
        <f>VLOOKUP(Logfile_S12[[#This Row],[DO number]],DO_DB!G:I,3,0)</f>
        <v>#N/A</v>
      </c>
      <c r="AB2377" s="331" t="e">
        <f>EXACT(Logfile_S12[[#This Row],[date pick]],Logfile_S12[[#This Row],[Date]])</f>
        <v>#N/A</v>
      </c>
      <c r="AC23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78" spans="1:29" ht="14.5" hidden="1">
      <c r="A2378" s="220" t="str">
        <f t="shared" si="84"/>
        <v>2374</v>
      </c>
      <c r="B2378" s="221"/>
      <c r="C2378" s="221" t="s">
        <v>48</v>
      </c>
      <c r="D2378" s="221" t="s">
        <v>4141</v>
      </c>
      <c r="E2378" s="221" t="s">
        <v>3295</v>
      </c>
      <c r="F2378" s="221" t="s">
        <v>3299</v>
      </c>
      <c r="G2378" s="222">
        <v>45506</v>
      </c>
      <c r="H2378" s="223">
        <v>15.291666666666666</v>
      </c>
      <c r="I2378" s="221" t="s">
        <v>38</v>
      </c>
      <c r="J2378" s="221" t="s">
        <v>3024</v>
      </c>
      <c r="K2378" s="224" t="s">
        <v>3097</v>
      </c>
      <c r="L2378" s="225" t="str">
        <f>VLOOKUP(Logfile_S12[[#This Row],[Material Name]],Sheet2!B:C,2,0)</f>
        <v>GCI1011</v>
      </c>
      <c r="M2378" s="225" t="str">
        <f>_xlfn.XLOOKUP(Logfile_S12[[#This Row],[Material Name]],Sum_WH!E:E,Sum_WH!F:F,"",0)</f>
        <v>Pcs</v>
      </c>
      <c r="N2378" s="221">
        <v>1</v>
      </c>
      <c r="O2378" s="221">
        <v>0</v>
      </c>
      <c r="P2378" s="221">
        <v>0</v>
      </c>
      <c r="Q2378" s="221">
        <v>0</v>
      </c>
      <c r="R2378" s="221">
        <v>0</v>
      </c>
      <c r="S2378" s="221"/>
      <c r="T2378" s="221"/>
      <c r="U2378" s="221"/>
      <c r="V2378" s="221"/>
      <c r="W2378" s="221"/>
      <c r="X2378" s="221"/>
      <c r="Y2378" s="227"/>
      <c r="Z2378" s="227">
        <f t="shared" si="83"/>
        <v>0</v>
      </c>
      <c r="AA2378" s="276" t="e">
        <f>VLOOKUP(Logfile_S12[[#This Row],[DO number]],DO_DB!G:I,3,0)</f>
        <v>#N/A</v>
      </c>
      <c r="AB2378" s="331" t="e">
        <f>EXACT(Logfile_S12[[#This Row],[date pick]],Logfile_S12[[#This Row],[Date]])</f>
        <v>#N/A</v>
      </c>
      <c r="AC23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79" spans="1:29" ht="14.5" hidden="1">
      <c r="A2379" s="220" t="str">
        <f t="shared" si="84"/>
        <v>2375</v>
      </c>
      <c r="B2379" s="221"/>
      <c r="C2379" s="221" t="s">
        <v>49</v>
      </c>
      <c r="D2379" s="221" t="s">
        <v>4143</v>
      </c>
      <c r="E2379" s="221" t="s">
        <v>3295</v>
      </c>
      <c r="F2379" s="221" t="s">
        <v>3299</v>
      </c>
      <c r="G2379" s="222">
        <v>45507</v>
      </c>
      <c r="H2379" s="223">
        <v>0.4</v>
      </c>
      <c r="I2379" s="221" t="s">
        <v>4916</v>
      </c>
      <c r="J2379" s="221" t="s">
        <v>3024</v>
      </c>
      <c r="K2379" s="224" t="s">
        <v>3097</v>
      </c>
      <c r="L2379" s="225" t="str">
        <f>VLOOKUP(Logfile_S12[[#This Row],[Material Name]],Sheet2!B:C,2,0)</f>
        <v>GCI1011</v>
      </c>
      <c r="M2379" s="225" t="str">
        <f>_xlfn.XLOOKUP(Logfile_S12[[#This Row],[Material Name]],Sum_WH!E:E,Sum_WH!F:F,"",0)</f>
        <v>Pcs</v>
      </c>
      <c r="N2379" s="221">
        <v>1</v>
      </c>
      <c r="O2379" s="221" t="s">
        <v>1803</v>
      </c>
      <c r="P2379" s="221" t="s">
        <v>1804</v>
      </c>
      <c r="Q2379" s="221"/>
      <c r="R2379" s="221"/>
      <c r="S2379" s="221"/>
      <c r="T2379" s="221" t="s">
        <v>3258</v>
      </c>
      <c r="U2379" s="221" t="s">
        <v>3228</v>
      </c>
      <c r="V2379" s="221" t="s">
        <v>3337</v>
      </c>
      <c r="W2379" s="221" t="s">
        <v>3338</v>
      </c>
      <c r="X2379" s="221"/>
      <c r="Y2379" s="227"/>
      <c r="Z2379" s="227" t="str">
        <f t="shared" si="83"/>
        <v>Dusun Langlang IV Singosari</v>
      </c>
      <c r="AA2379" s="276" t="e">
        <f>VLOOKUP(Logfile_S12[[#This Row],[DO number]],DO_DB!G:I,3,0)</f>
        <v>#N/A</v>
      </c>
      <c r="AB2379" s="331" t="e">
        <f>EXACT(Logfile_S12[[#This Row],[date pick]],Logfile_S12[[#This Row],[Date]])</f>
        <v>#N/A</v>
      </c>
      <c r="AC23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80" spans="1:29" ht="14.5" hidden="1">
      <c r="A2380" s="220" t="str">
        <f t="shared" si="84"/>
        <v>2376</v>
      </c>
      <c r="B2380" s="221"/>
      <c r="C2380" s="221" t="s">
        <v>49</v>
      </c>
      <c r="D2380" s="221" t="s">
        <v>4164</v>
      </c>
      <c r="E2380" s="221" t="s">
        <v>3295</v>
      </c>
      <c r="F2380" s="221" t="s">
        <v>3299</v>
      </c>
      <c r="G2380" s="222">
        <v>45524</v>
      </c>
      <c r="H2380" s="223">
        <v>0.70416666666666672</v>
      </c>
      <c r="I2380" s="221" t="s">
        <v>4916</v>
      </c>
      <c r="J2380" s="221" t="s">
        <v>3024</v>
      </c>
      <c r="K2380" s="224" t="s">
        <v>3097</v>
      </c>
      <c r="L2380" s="225" t="str">
        <f>VLOOKUP(Logfile_S12[[#This Row],[Material Name]],Sheet2!B:C,2,0)</f>
        <v>GCI1011</v>
      </c>
      <c r="M2380" s="225" t="str">
        <f>_xlfn.XLOOKUP(Logfile_S12[[#This Row],[Material Name]],Sum_WH!E:E,Sum_WH!F:F,"",0)</f>
        <v>Pcs</v>
      </c>
      <c r="N2380" s="221">
        <v>1</v>
      </c>
      <c r="O2380" s="221" t="s">
        <v>1391</v>
      </c>
      <c r="P2380" s="221" t="s">
        <v>1392</v>
      </c>
      <c r="Q2380" s="221"/>
      <c r="R2380" s="221"/>
      <c r="S2380" s="221"/>
      <c r="T2380" s="221" t="s">
        <v>3244</v>
      </c>
      <c r="U2380" s="221">
        <v>0</v>
      </c>
      <c r="V2380" s="221" t="s">
        <v>3248</v>
      </c>
      <c r="W2380" s="221" t="s">
        <v>3252</v>
      </c>
      <c r="X2380" s="221"/>
      <c r="Y2380" s="227"/>
      <c r="Z2380" s="227" t="str">
        <f t="shared" ref="Z2380:Z2443" si="85">P2380</f>
        <v>Klampok RW 01 Singosari</v>
      </c>
      <c r="AA2380" s="276" t="e">
        <f>VLOOKUP(Logfile_S12[[#This Row],[DO number]],DO_DB!G:I,3,0)</f>
        <v>#N/A</v>
      </c>
      <c r="AB2380" s="331" t="e">
        <f>EXACT(Logfile_S12[[#This Row],[date pick]],Logfile_S12[[#This Row],[Date]])</f>
        <v>#N/A</v>
      </c>
      <c r="AC23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81" spans="1:29" ht="14.5" hidden="1">
      <c r="A2381" s="220" t="str">
        <f t="shared" si="84"/>
        <v>2377</v>
      </c>
      <c r="B2381" s="221"/>
      <c r="C2381" s="221" t="s">
        <v>3313</v>
      </c>
      <c r="D2381" s="221" t="s">
        <v>4190</v>
      </c>
      <c r="E2381" s="221" t="s">
        <v>3295</v>
      </c>
      <c r="F2381" s="221" t="s">
        <v>3299</v>
      </c>
      <c r="G2381" s="222">
        <v>45534</v>
      </c>
      <c r="H2381" s="223">
        <v>15.291666666666666</v>
      </c>
      <c r="I2381" s="221" t="s">
        <v>4918</v>
      </c>
      <c r="J2381" s="221" t="s">
        <v>3024</v>
      </c>
      <c r="K2381" s="224" t="s">
        <v>3097</v>
      </c>
      <c r="L2381" s="225" t="str">
        <f>VLOOKUP(Logfile_S12[[#This Row],[Material Name]],Sheet2!B:C,2,0)</f>
        <v>GCI1011</v>
      </c>
      <c r="M2381" s="225" t="str">
        <f>_xlfn.XLOOKUP(Logfile_S12[[#This Row],[Material Name]],Sum_WH!E:E,Sum_WH!F:F,"",0)</f>
        <v>Pcs</v>
      </c>
      <c r="N2381" s="221">
        <v>1</v>
      </c>
      <c r="O2381" s="221" t="s">
        <v>3314</v>
      </c>
      <c r="P2381" s="221" t="s">
        <v>3384</v>
      </c>
      <c r="Q2381" s="221" t="s">
        <v>3438</v>
      </c>
      <c r="R2381" s="221">
        <v>0</v>
      </c>
      <c r="S2381" s="221"/>
      <c r="T2381" s="221"/>
      <c r="U2381" s="221"/>
      <c r="V2381" s="221"/>
      <c r="W2381" s="221"/>
      <c r="X2381" s="221"/>
      <c r="Y2381" s="227"/>
      <c r="Z2381" s="227" t="str">
        <f t="shared" si="85"/>
        <v>GRESIK</v>
      </c>
      <c r="AA2381" s="276" t="e">
        <f>VLOOKUP(Logfile_S12[[#This Row],[DO number]],DO_DB!G:I,3,0)</f>
        <v>#N/A</v>
      </c>
      <c r="AB2381" s="331" t="e">
        <f>EXACT(Logfile_S12[[#This Row],[date pick]],Logfile_S12[[#This Row],[Date]])</f>
        <v>#N/A</v>
      </c>
      <c r="AC23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82" spans="1:29" ht="14.5" hidden="1">
      <c r="A2382" s="220" t="str">
        <f t="shared" si="84"/>
        <v>2378</v>
      </c>
      <c r="B2382" s="221"/>
      <c r="C2382" s="221" t="s">
        <v>49</v>
      </c>
      <c r="D2382" s="221" t="s">
        <v>4219</v>
      </c>
      <c r="E2382" s="221" t="s">
        <v>3295</v>
      </c>
      <c r="F2382" s="221" t="s">
        <v>3299</v>
      </c>
      <c r="G2382" s="222">
        <v>45547</v>
      </c>
      <c r="H2382" s="223">
        <v>0.43125000000000002</v>
      </c>
      <c r="I2382" s="221" t="s">
        <v>4916</v>
      </c>
      <c r="J2382" s="221" t="s">
        <v>3024</v>
      </c>
      <c r="K2382" s="224" t="s">
        <v>3097</v>
      </c>
      <c r="L2382" s="225" t="str">
        <f>VLOOKUP(Logfile_S12[[#This Row],[Material Name]],Sheet2!B:C,2,0)</f>
        <v>GCI1011</v>
      </c>
      <c r="M2382" s="225" t="str">
        <f>_xlfn.XLOOKUP(Logfile_S12[[#This Row],[Material Name]],Sum_WH!E:E,Sum_WH!F:F,"",0)</f>
        <v>Pcs</v>
      </c>
      <c r="N2382" s="221">
        <v>1</v>
      </c>
      <c r="O2382" s="221" t="s">
        <v>1803</v>
      </c>
      <c r="P2382" s="221" t="s">
        <v>1804</v>
      </c>
      <c r="Q2382" s="221"/>
      <c r="R2382" s="221"/>
      <c r="S2382" s="221"/>
      <c r="T2382" s="221" t="s">
        <v>3258</v>
      </c>
      <c r="U2382" s="221">
        <v>0</v>
      </c>
      <c r="V2382" s="221" t="s">
        <v>3337</v>
      </c>
      <c r="W2382" s="221" t="s">
        <v>3338</v>
      </c>
      <c r="X2382" s="221"/>
      <c r="Y2382" s="227"/>
      <c r="Z2382" s="227" t="str">
        <f t="shared" si="85"/>
        <v>Dusun Langlang IV Singosari</v>
      </c>
      <c r="AA2382" s="276" t="e">
        <f>VLOOKUP(Logfile_S12[[#This Row],[DO number]],DO_DB!G:I,3,0)</f>
        <v>#N/A</v>
      </c>
      <c r="AB2382" s="331" t="e">
        <f>EXACT(Logfile_S12[[#This Row],[date pick]],Logfile_S12[[#This Row],[Date]])</f>
        <v>#N/A</v>
      </c>
      <c r="AC23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83" spans="1:29" ht="14.5" hidden="1">
      <c r="A2383" s="220" t="str">
        <f t="shared" si="84"/>
        <v>2379</v>
      </c>
      <c r="B2383" s="221"/>
      <c r="C2383" s="221" t="s">
        <v>49</v>
      </c>
      <c r="D2383" s="221" t="s">
        <v>4277</v>
      </c>
      <c r="E2383" s="221" t="s">
        <v>3295</v>
      </c>
      <c r="F2383" s="221" t="s">
        <v>3299</v>
      </c>
      <c r="G2383" s="222">
        <v>45616</v>
      </c>
      <c r="H2383" s="223">
        <v>0.55902777777777779</v>
      </c>
      <c r="I2383" s="221" t="s">
        <v>4916</v>
      </c>
      <c r="J2383" s="221" t="s">
        <v>3024</v>
      </c>
      <c r="K2383" s="224" t="s">
        <v>3097</v>
      </c>
      <c r="L2383" s="225" t="str">
        <f>VLOOKUP(Logfile_S12[[#This Row],[Material Name]],Sheet2!B:C,2,0)</f>
        <v>GCI1011</v>
      </c>
      <c r="M2383" s="225" t="str">
        <f>_xlfn.XLOOKUP(Logfile_S12[[#This Row],[Material Name]],Sum_WH!E:E,Sum_WH!F:F,"",0)</f>
        <v>Pcs</v>
      </c>
      <c r="N2383" s="221">
        <v>1</v>
      </c>
      <c r="O2383" s="221" t="s">
        <v>2350</v>
      </c>
      <c r="P2383" s="221" t="s">
        <v>3409</v>
      </c>
      <c r="Q2383" s="221"/>
      <c r="R2383" s="221"/>
      <c r="S2383" s="221"/>
      <c r="T2383" s="221" t="s">
        <v>3258</v>
      </c>
      <c r="U2383" s="221">
        <v>0</v>
      </c>
      <c r="V2383" s="221" t="s">
        <v>3337</v>
      </c>
      <c r="W2383" s="221" t="s">
        <v>3338</v>
      </c>
      <c r="X2383" s="221"/>
      <c r="Y2383" s="227"/>
      <c r="Z2383" s="227" t="str">
        <f t="shared" si="85"/>
        <v>Kalirejo RW 13 Lawang Malang</v>
      </c>
      <c r="AA2383" s="276" t="e">
        <f>VLOOKUP(Logfile_S12[[#This Row],[DO number]],DO_DB!G:I,3,0)</f>
        <v>#N/A</v>
      </c>
      <c r="AB2383" s="331" t="e">
        <f>EXACT(Logfile_S12[[#This Row],[date pick]],Logfile_S12[[#This Row],[Date]])</f>
        <v>#N/A</v>
      </c>
      <c r="AC23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84" spans="1:29" ht="14.5" hidden="1">
      <c r="A2384" s="220" t="str">
        <f t="shared" si="84"/>
        <v>2380</v>
      </c>
      <c r="B2384" s="221"/>
      <c r="C2384" s="221" t="s">
        <v>48</v>
      </c>
      <c r="D2384" s="221" t="s">
        <v>4295</v>
      </c>
      <c r="E2384" s="221" t="s">
        <v>3295</v>
      </c>
      <c r="F2384" s="221" t="s">
        <v>3299</v>
      </c>
      <c r="G2384" s="222">
        <v>45626</v>
      </c>
      <c r="H2384" s="223">
        <v>15.291666666666666</v>
      </c>
      <c r="I2384" s="221" t="s">
        <v>38</v>
      </c>
      <c r="J2384" s="221" t="s">
        <v>3024</v>
      </c>
      <c r="K2384" s="224" t="s">
        <v>3097</v>
      </c>
      <c r="L2384" s="225" t="str">
        <f>VLOOKUP(Logfile_S12[[#This Row],[Material Name]],Sheet2!B:C,2,0)</f>
        <v>GCI1011</v>
      </c>
      <c r="M2384" s="225" t="str">
        <f>_xlfn.XLOOKUP(Logfile_S12[[#This Row],[Material Name]],Sum_WH!E:E,Sum_WH!F:F,"",0)</f>
        <v>Pcs</v>
      </c>
      <c r="N2384" s="221">
        <v>1</v>
      </c>
      <c r="O2384" s="221">
        <v>0</v>
      </c>
      <c r="P2384" s="221">
        <v>0</v>
      </c>
      <c r="Q2384" s="221">
        <v>0</v>
      </c>
      <c r="R2384" s="221">
        <v>0</v>
      </c>
      <c r="S2384" s="221"/>
      <c r="T2384" s="221"/>
      <c r="U2384" s="221"/>
      <c r="V2384" s="221"/>
      <c r="W2384" s="221"/>
      <c r="X2384" s="221"/>
      <c r="Y2384" s="227"/>
      <c r="Z2384" s="227">
        <f t="shared" si="85"/>
        <v>0</v>
      </c>
      <c r="AA2384" s="276" t="e">
        <f>VLOOKUP(Logfile_S12[[#This Row],[DO number]],DO_DB!G:I,3,0)</f>
        <v>#N/A</v>
      </c>
      <c r="AB2384" s="331" t="e">
        <f>EXACT(Logfile_S12[[#This Row],[date pick]],Logfile_S12[[#This Row],[Date]])</f>
        <v>#N/A</v>
      </c>
      <c r="AC23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85" spans="1:29" ht="14.5" hidden="1">
      <c r="A2385" s="220" t="str">
        <f t="shared" si="84"/>
        <v>2381</v>
      </c>
      <c r="B2385" s="221"/>
      <c r="C2385" s="221" t="s">
        <v>49</v>
      </c>
      <c r="D2385" s="221" t="s">
        <v>4304</v>
      </c>
      <c r="E2385" s="221" t="s">
        <v>3295</v>
      </c>
      <c r="F2385" s="221" t="s">
        <v>3299</v>
      </c>
      <c r="G2385" s="222">
        <v>45642</v>
      </c>
      <c r="H2385" s="223">
        <v>0.71666666666666667</v>
      </c>
      <c r="I2385" s="221" t="s">
        <v>4916</v>
      </c>
      <c r="J2385" s="221" t="s">
        <v>3024</v>
      </c>
      <c r="K2385" s="224" t="s">
        <v>3097</v>
      </c>
      <c r="L2385" s="225" t="str">
        <f>VLOOKUP(Logfile_S12[[#This Row],[Material Name]],Sheet2!B:C,2,0)</f>
        <v>GCI1011</v>
      </c>
      <c r="M2385" s="225" t="str">
        <f>_xlfn.XLOOKUP(Logfile_S12[[#This Row],[Material Name]],Sum_WH!E:E,Sum_WH!F:F,"",0)</f>
        <v>Pcs</v>
      </c>
      <c r="N2385" s="221">
        <v>1</v>
      </c>
      <c r="O2385" s="221" t="s">
        <v>2549</v>
      </c>
      <c r="P2385" s="221" t="s">
        <v>2550</v>
      </c>
      <c r="Q2385" s="221"/>
      <c r="R2385" s="221"/>
      <c r="S2385" s="221"/>
      <c r="T2385" s="221" t="s">
        <v>3258</v>
      </c>
      <c r="U2385" s="221">
        <v>0</v>
      </c>
      <c r="V2385" s="221" t="s">
        <v>3337</v>
      </c>
      <c r="W2385" s="221" t="s">
        <v>3338</v>
      </c>
      <c r="X2385" s="221"/>
      <c r="Y2385" s="227"/>
      <c r="Z2385" s="227" t="str">
        <f t="shared" si="85"/>
        <v>PERMANU RW 01 MALANG</v>
      </c>
      <c r="AA2385" s="276" t="e">
        <f>VLOOKUP(Logfile_S12[[#This Row],[DO number]],DO_DB!G:I,3,0)</f>
        <v>#N/A</v>
      </c>
      <c r="AB2385" s="331" t="e">
        <f>EXACT(Logfile_S12[[#This Row],[date pick]],Logfile_S12[[#This Row],[Date]])</f>
        <v>#N/A</v>
      </c>
      <c r="AC23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86" spans="1:29" ht="14.5" hidden="1">
      <c r="A2386" s="220" t="str">
        <f t="shared" si="84"/>
        <v>2382</v>
      </c>
      <c r="B2386" s="221"/>
      <c r="C2386" s="221" t="s">
        <v>48</v>
      </c>
      <c r="D2386" s="221" t="s">
        <v>4318</v>
      </c>
      <c r="E2386" s="221" t="s">
        <v>3295</v>
      </c>
      <c r="F2386" s="221" t="s">
        <v>3299</v>
      </c>
      <c r="G2386" s="222">
        <v>45656</v>
      </c>
      <c r="H2386" s="223">
        <v>15.291666666666666</v>
      </c>
      <c r="I2386" s="221" t="s">
        <v>38</v>
      </c>
      <c r="J2386" s="221" t="s">
        <v>3024</v>
      </c>
      <c r="K2386" s="224" t="s">
        <v>3097</v>
      </c>
      <c r="L2386" s="225" t="str">
        <f>VLOOKUP(Logfile_S12[[#This Row],[Material Name]],Sheet2!B:C,2,0)</f>
        <v>GCI1011</v>
      </c>
      <c r="M2386" s="225" t="str">
        <f>_xlfn.XLOOKUP(Logfile_S12[[#This Row],[Material Name]],Sum_WH!E:E,Sum_WH!F:F,"",0)</f>
        <v>Pcs</v>
      </c>
      <c r="N2386" s="221">
        <v>2</v>
      </c>
      <c r="O2386" s="221">
        <v>0</v>
      </c>
      <c r="P2386" s="221">
        <v>0</v>
      </c>
      <c r="Q2386" s="221">
        <v>0</v>
      </c>
      <c r="R2386" s="221">
        <v>0</v>
      </c>
      <c r="S2386" s="221"/>
      <c r="T2386" s="221"/>
      <c r="U2386" s="221"/>
      <c r="V2386" s="221"/>
      <c r="W2386" s="221"/>
      <c r="X2386" s="221"/>
      <c r="Y2386" s="227"/>
      <c r="Z2386" s="227">
        <f t="shared" si="85"/>
        <v>0</v>
      </c>
      <c r="AA2386" s="276" t="e">
        <f>VLOOKUP(Logfile_S12[[#This Row],[DO number]],DO_DB!G:I,3,0)</f>
        <v>#N/A</v>
      </c>
      <c r="AB2386" s="331" t="e">
        <f>EXACT(Logfile_S12[[#This Row],[date pick]],Logfile_S12[[#This Row],[Date]])</f>
        <v>#N/A</v>
      </c>
      <c r="AC23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87" spans="1:29" ht="14.5" hidden="1">
      <c r="A2387" s="220" t="str">
        <f t="shared" si="84"/>
        <v>2383</v>
      </c>
      <c r="B2387" s="221"/>
      <c r="C2387" s="221" t="s">
        <v>49</v>
      </c>
      <c r="D2387" s="221" t="s">
        <v>4361</v>
      </c>
      <c r="E2387" s="221" t="s">
        <v>3295</v>
      </c>
      <c r="F2387" s="221" t="s">
        <v>3299</v>
      </c>
      <c r="G2387" s="222">
        <v>45742</v>
      </c>
      <c r="H2387" s="223">
        <v>0.83125000000000004</v>
      </c>
      <c r="I2387" s="221" t="s">
        <v>4916</v>
      </c>
      <c r="J2387" s="221" t="s">
        <v>3024</v>
      </c>
      <c r="K2387" s="224" t="s">
        <v>3097</v>
      </c>
      <c r="L2387" s="225" t="str">
        <f>VLOOKUP(Logfile_S12[[#This Row],[Material Name]],Sheet2!B:C,2,0)</f>
        <v>GCI1011</v>
      </c>
      <c r="M2387" s="225" t="str">
        <f>_xlfn.XLOOKUP(Logfile_S12[[#This Row],[Material Name]],Sum_WH!E:E,Sum_WH!F:F,"",0)</f>
        <v>Pcs</v>
      </c>
      <c r="N2387" s="221">
        <v>1</v>
      </c>
      <c r="O2387" s="221" t="s">
        <v>2664</v>
      </c>
      <c r="P2387" s="221" t="s">
        <v>2665</v>
      </c>
      <c r="Q2387" s="221"/>
      <c r="R2387" s="221"/>
      <c r="S2387" s="221"/>
      <c r="T2387" s="221" t="s">
        <v>3258</v>
      </c>
      <c r="U2387" s="221">
        <v>0</v>
      </c>
      <c r="V2387" s="221" t="s">
        <v>3337</v>
      </c>
      <c r="W2387" s="221" t="s">
        <v>3338</v>
      </c>
      <c r="X2387" s="221"/>
      <c r="Y2387" s="227"/>
      <c r="Z2387" s="227" t="str">
        <f t="shared" si="85"/>
        <v>Temas RW 04</v>
      </c>
      <c r="AA2387" s="276" t="e">
        <f>VLOOKUP(Logfile_S12[[#This Row],[DO number]],DO_DB!G:I,3,0)</f>
        <v>#N/A</v>
      </c>
      <c r="AB2387" s="331" t="e">
        <f>EXACT(Logfile_S12[[#This Row],[date pick]],Logfile_S12[[#This Row],[Date]])</f>
        <v>#N/A</v>
      </c>
      <c r="AC23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88" spans="1:29" ht="14.5" hidden="1">
      <c r="A2388" s="220" t="str">
        <f t="shared" si="84"/>
        <v>2384</v>
      </c>
      <c r="B2388" s="221"/>
      <c r="C2388" s="221" t="s">
        <v>48</v>
      </c>
      <c r="D2388" s="221" t="s">
        <v>4380</v>
      </c>
      <c r="E2388" s="221" t="s">
        <v>3295</v>
      </c>
      <c r="F2388" s="221" t="s">
        <v>3299</v>
      </c>
      <c r="G2388" s="222">
        <v>45831</v>
      </c>
      <c r="H2388" s="223">
        <v>15.291666666666666</v>
      </c>
      <c r="I2388" s="221" t="s">
        <v>38</v>
      </c>
      <c r="J2388" s="221" t="s">
        <v>3024</v>
      </c>
      <c r="K2388" s="224" t="s">
        <v>3097</v>
      </c>
      <c r="L2388" s="225" t="str">
        <f>VLOOKUP(Logfile_S12[[#This Row],[Material Name]],Sheet2!B:C,2,0)</f>
        <v>GCI1011</v>
      </c>
      <c r="M2388" s="225" t="str">
        <f>_xlfn.XLOOKUP(Logfile_S12[[#This Row],[Material Name]],Sum_WH!E:E,Sum_WH!F:F,"",0)</f>
        <v>Pcs</v>
      </c>
      <c r="N2388" s="221">
        <v>2</v>
      </c>
      <c r="O2388" s="221">
        <v>0</v>
      </c>
      <c r="P2388" s="221">
        <v>0</v>
      </c>
      <c r="Q2388" s="221">
        <v>0</v>
      </c>
      <c r="R2388" s="221">
        <v>0</v>
      </c>
      <c r="S2388" s="221"/>
      <c r="T2388" s="221"/>
      <c r="U2388" s="221"/>
      <c r="V2388" s="221"/>
      <c r="W2388" s="221"/>
      <c r="X2388" s="221"/>
      <c r="Y2388" s="227"/>
      <c r="Z2388" s="227">
        <f t="shared" si="85"/>
        <v>0</v>
      </c>
      <c r="AA2388" s="276" t="e">
        <f>VLOOKUP(Logfile_S12[[#This Row],[DO number]],DO_DB!G:I,3,0)</f>
        <v>#N/A</v>
      </c>
      <c r="AB2388" s="331" t="e">
        <f>EXACT(Logfile_S12[[#This Row],[date pick]],Logfile_S12[[#This Row],[Date]])</f>
        <v>#N/A</v>
      </c>
      <c r="AC23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89" spans="1:29" ht="14.5" hidden="1">
      <c r="A2389" s="220" t="str">
        <f t="shared" si="84"/>
        <v>2385</v>
      </c>
      <c r="B2389" s="221"/>
      <c r="C2389" s="221" t="s">
        <v>49</v>
      </c>
      <c r="D2389" s="221" t="s">
        <v>4379</v>
      </c>
      <c r="E2389" s="221" t="s">
        <v>3295</v>
      </c>
      <c r="F2389" s="221" t="s">
        <v>3299</v>
      </c>
      <c r="G2389" s="222">
        <v>45831</v>
      </c>
      <c r="H2389" s="223">
        <v>0.64583333333333337</v>
      </c>
      <c r="I2389" s="221" t="s">
        <v>4916</v>
      </c>
      <c r="J2389" s="221" t="s">
        <v>3024</v>
      </c>
      <c r="K2389" s="224" t="s">
        <v>3097</v>
      </c>
      <c r="L2389" s="225" t="str">
        <f>VLOOKUP(Logfile_S12[[#This Row],[Material Name]],Sheet2!B:C,2,0)</f>
        <v>GCI1011</v>
      </c>
      <c r="M2389" s="225" t="str">
        <f>_xlfn.XLOOKUP(Logfile_S12[[#This Row],[Material Name]],Sum_WH!E:E,Sum_WH!F:F,"",0)</f>
        <v>Pcs</v>
      </c>
      <c r="N2389" s="221">
        <v>1</v>
      </c>
      <c r="O2389" s="221">
        <v>0</v>
      </c>
      <c r="P2389" s="221" t="s">
        <v>3383</v>
      </c>
      <c r="Q2389" s="221"/>
      <c r="R2389" s="221"/>
      <c r="S2389" s="221"/>
      <c r="T2389" s="221"/>
      <c r="U2389" s="221"/>
      <c r="V2389" s="221"/>
      <c r="W2389" s="221"/>
      <c r="X2389" s="221"/>
      <c r="Y2389" s="227"/>
      <c r="Z2389" s="227" t="str">
        <f t="shared" si="85"/>
        <v>Bululawang</v>
      </c>
      <c r="AA2389" s="276" t="e">
        <f>VLOOKUP(Logfile_S12[[#This Row],[DO number]],DO_DB!G:I,3,0)</f>
        <v>#N/A</v>
      </c>
      <c r="AB2389" s="331" t="e">
        <f>EXACT(Logfile_S12[[#This Row],[date pick]],Logfile_S12[[#This Row],[Date]])</f>
        <v>#N/A</v>
      </c>
      <c r="AC23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90" spans="1:29" ht="14.5" hidden="1">
      <c r="A2390" s="220" t="str">
        <f t="shared" si="84"/>
        <v>2386</v>
      </c>
      <c r="B2390" s="221"/>
      <c r="C2390" s="221" t="s">
        <v>49</v>
      </c>
      <c r="D2390" s="221" t="s">
        <v>4379</v>
      </c>
      <c r="E2390" s="221" t="s">
        <v>3295</v>
      </c>
      <c r="F2390" s="221" t="s">
        <v>3299</v>
      </c>
      <c r="G2390" s="222">
        <v>45831</v>
      </c>
      <c r="H2390" s="223">
        <v>0.64583333333333337</v>
      </c>
      <c r="I2390" s="221" t="s">
        <v>4916</v>
      </c>
      <c r="J2390" s="221" t="s">
        <v>3024</v>
      </c>
      <c r="K2390" s="224" t="s">
        <v>3097</v>
      </c>
      <c r="L2390" s="225" t="str">
        <f>VLOOKUP(Logfile_S12[[#This Row],[Material Name]],Sheet2!B:C,2,0)</f>
        <v>GCI1011</v>
      </c>
      <c r="M2390" s="225" t="str">
        <f>_xlfn.XLOOKUP(Logfile_S12[[#This Row],[Material Name]],Sum_WH!E:E,Sum_WH!F:F,"",0)</f>
        <v>Pcs</v>
      </c>
      <c r="N2390" s="221">
        <v>2</v>
      </c>
      <c r="O2390" s="221">
        <v>0</v>
      </c>
      <c r="P2390" s="221" t="s">
        <v>3382</v>
      </c>
      <c r="Q2390" s="221"/>
      <c r="R2390" s="221"/>
      <c r="S2390" s="221"/>
      <c r="T2390" s="221" t="s">
        <v>3231</v>
      </c>
      <c r="U2390" s="221">
        <v>0</v>
      </c>
      <c r="V2390" s="221" t="s">
        <v>3375</v>
      </c>
      <c r="W2390" s="221" t="s">
        <v>3249</v>
      </c>
      <c r="X2390" s="221"/>
      <c r="Y2390" s="227"/>
      <c r="Z2390" s="227" t="str">
        <f t="shared" si="85"/>
        <v>Pncokusumo</v>
      </c>
      <c r="AA2390" s="276" t="e">
        <f>VLOOKUP(Logfile_S12[[#This Row],[DO number]],DO_DB!G:I,3,0)</f>
        <v>#N/A</v>
      </c>
      <c r="AB2390" s="331" t="e">
        <f>EXACT(Logfile_S12[[#This Row],[date pick]],Logfile_S12[[#This Row],[Date]])</f>
        <v>#N/A</v>
      </c>
      <c r="AC23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91" spans="1:29" ht="14.5" hidden="1">
      <c r="A2391" s="220" t="str">
        <f t="shared" si="84"/>
        <v>2387</v>
      </c>
      <c r="B2391" s="221"/>
      <c r="C2391" s="221" t="s">
        <v>48</v>
      </c>
      <c r="D2391" s="221" t="s">
        <v>4418</v>
      </c>
      <c r="E2391" s="221" t="s">
        <v>3295</v>
      </c>
      <c r="F2391" s="221" t="s">
        <v>3299</v>
      </c>
      <c r="G2391" s="222">
        <v>45890</v>
      </c>
      <c r="H2391" s="223">
        <v>15.291666666666666</v>
      </c>
      <c r="I2391" s="221" t="s">
        <v>38</v>
      </c>
      <c r="J2391" s="221" t="s">
        <v>3024</v>
      </c>
      <c r="K2391" s="224" t="s">
        <v>3097</v>
      </c>
      <c r="L2391" s="225" t="str">
        <f>VLOOKUP(Logfile_S12[[#This Row],[Material Name]],Sheet2!B:C,2,0)</f>
        <v>GCI1011</v>
      </c>
      <c r="M2391" s="225" t="str">
        <f>_xlfn.XLOOKUP(Logfile_S12[[#This Row],[Material Name]],Sum_WH!E:E,Sum_WH!F:F,"",0)</f>
        <v>Pcs</v>
      </c>
      <c r="N2391" s="221">
        <v>1</v>
      </c>
      <c r="O2391" s="221">
        <v>0</v>
      </c>
      <c r="P2391" s="221">
        <v>0</v>
      </c>
      <c r="Q2391" s="221">
        <v>0</v>
      </c>
      <c r="R2391" s="221">
        <v>0</v>
      </c>
      <c r="S2391" s="221"/>
      <c r="T2391" s="221"/>
      <c r="U2391" s="221"/>
      <c r="V2391" s="221"/>
      <c r="W2391" s="221"/>
      <c r="X2391" s="221"/>
      <c r="Y2391" s="227"/>
      <c r="Z2391" s="227">
        <f t="shared" si="85"/>
        <v>0</v>
      </c>
      <c r="AA2391" s="276" t="e">
        <f>VLOOKUP(Logfile_S12[[#This Row],[DO number]],DO_DB!G:I,3,0)</f>
        <v>#N/A</v>
      </c>
      <c r="AB2391" s="331" t="e">
        <f>EXACT(Logfile_S12[[#This Row],[date pick]],Logfile_S12[[#This Row],[Date]])</f>
        <v>#N/A</v>
      </c>
      <c r="AC23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92" spans="1:29" ht="14.5" hidden="1">
      <c r="A2392" s="220" t="str">
        <f t="shared" si="84"/>
        <v>2388</v>
      </c>
      <c r="B2392" s="221"/>
      <c r="C2392" s="221" t="s">
        <v>49</v>
      </c>
      <c r="D2392" s="221" t="s">
        <v>4419</v>
      </c>
      <c r="E2392" s="221" t="s">
        <v>3295</v>
      </c>
      <c r="F2392" s="221" t="s">
        <v>3299</v>
      </c>
      <c r="G2392" s="222">
        <v>45892</v>
      </c>
      <c r="H2392" s="223">
        <v>0.4284722222222222</v>
      </c>
      <c r="I2392" s="221" t="s">
        <v>4916</v>
      </c>
      <c r="J2392" s="221" t="s">
        <v>3024</v>
      </c>
      <c r="K2392" s="224" t="s">
        <v>3097</v>
      </c>
      <c r="L2392" s="225" t="str">
        <f>VLOOKUP(Logfile_S12[[#This Row],[Material Name]],Sheet2!B:C,2,0)</f>
        <v>GCI1011</v>
      </c>
      <c r="M2392" s="225" t="str">
        <f>_xlfn.XLOOKUP(Logfile_S12[[#This Row],[Material Name]],Sum_WH!E:E,Sum_WH!F:F,"",0)</f>
        <v>Pcs</v>
      </c>
      <c r="N2392" s="221">
        <v>1</v>
      </c>
      <c r="O2392" s="221">
        <v>0</v>
      </c>
      <c r="P2392" s="221" t="s">
        <v>3385</v>
      </c>
      <c r="Q2392" s="221"/>
      <c r="R2392" s="221"/>
      <c r="S2392" s="221"/>
      <c r="T2392" s="221" t="s">
        <v>3258</v>
      </c>
      <c r="U2392" s="221">
        <v>0</v>
      </c>
      <c r="V2392" s="221" t="s">
        <v>3337</v>
      </c>
      <c r="W2392" s="221" t="s">
        <v>3338</v>
      </c>
      <c r="X2392" s="221"/>
      <c r="Y2392" s="227"/>
      <c r="Z2392" s="227" t="str">
        <f t="shared" si="85"/>
        <v>Bululawang Permai</v>
      </c>
      <c r="AA2392" s="276" t="e">
        <f>VLOOKUP(Logfile_S12[[#This Row],[DO number]],DO_DB!G:I,3,0)</f>
        <v>#N/A</v>
      </c>
      <c r="AB2392" s="331" t="e">
        <f>EXACT(Logfile_S12[[#This Row],[date pick]],Logfile_S12[[#This Row],[Date]])</f>
        <v>#N/A</v>
      </c>
      <c r="AC23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93" spans="1:29" ht="14.5" hidden="1">
      <c r="A2393" s="237" t="str">
        <f t="shared" si="84"/>
        <v>2389</v>
      </c>
      <c r="B2393" s="221">
        <v>6</v>
      </c>
      <c r="C2393" s="227" t="s">
        <v>48</v>
      </c>
      <c r="D2393" s="227" t="s">
        <v>4660</v>
      </c>
      <c r="E2393" s="227" t="s">
        <v>3295</v>
      </c>
      <c r="F2393" s="227" t="s">
        <v>3299</v>
      </c>
      <c r="G2393" s="239">
        <v>45944</v>
      </c>
      <c r="H2393" s="240">
        <v>0.63958333333333328</v>
      </c>
      <c r="I2393" s="227" t="s">
        <v>38</v>
      </c>
      <c r="J2393" s="227" t="s">
        <v>3024</v>
      </c>
      <c r="K2393" s="241" t="s">
        <v>3097</v>
      </c>
      <c r="L2393" s="225" t="str">
        <f>VLOOKUP(Logfile_S12[[#This Row],[Material Name]],Sheet2!B:C,2,0)</f>
        <v>GCI1011</v>
      </c>
      <c r="M2393" s="225" t="str">
        <f>_xlfn.XLOOKUP(Logfile_S12[[#This Row],[Material Name]],Sum_WH!E:E,Sum_WH!F:F,"",0)</f>
        <v>Pcs</v>
      </c>
      <c r="N2393" s="227">
        <v>1</v>
      </c>
      <c r="O2393" s="227" t="s">
        <v>3203</v>
      </c>
      <c r="P2393" s="227" t="s">
        <v>3204</v>
      </c>
      <c r="Q2393" s="227" t="s">
        <v>3205</v>
      </c>
      <c r="R2393" s="227" t="s">
        <v>3206</v>
      </c>
      <c r="S2393" s="227"/>
      <c r="T2393" s="227"/>
      <c r="U2393" s="227"/>
      <c r="V2393" s="227"/>
      <c r="W2393" s="227"/>
      <c r="X2393" s="227"/>
      <c r="Y2393" s="227"/>
      <c r="Z2393" s="227" t="str">
        <f t="shared" si="85"/>
        <v>Perumahan Bululawang Permai RW 02</v>
      </c>
      <c r="AA2393" s="276">
        <f>VLOOKUP(Logfile_S12[[#This Row],[DO number]],DO_DB!G:I,3,0)</f>
        <v>45888</v>
      </c>
      <c r="AB2393" s="331" t="b">
        <f>EXACT(Logfile_S12[[#This Row],[date pick]],Logfile_S12[[#This Row],[Date]])</f>
        <v>0</v>
      </c>
      <c r="AC23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94" spans="1:29" ht="14.5" hidden="1">
      <c r="A2394" s="237" t="str">
        <f t="shared" si="84"/>
        <v>2390</v>
      </c>
      <c r="B2394" s="221">
        <v>6</v>
      </c>
      <c r="C2394" s="227" t="s">
        <v>49</v>
      </c>
      <c r="D2394" s="227" t="s">
        <v>4661</v>
      </c>
      <c r="E2394" s="227" t="s">
        <v>3295</v>
      </c>
      <c r="F2394" s="227" t="s">
        <v>3299</v>
      </c>
      <c r="G2394" s="239">
        <v>45946</v>
      </c>
      <c r="H2394" s="240">
        <v>0.43125000000000002</v>
      </c>
      <c r="I2394" s="227" t="s">
        <v>3295</v>
      </c>
      <c r="J2394" s="227" t="s">
        <v>3024</v>
      </c>
      <c r="K2394" s="241" t="s">
        <v>3097</v>
      </c>
      <c r="L2394" s="225" t="str">
        <f>VLOOKUP(Logfile_S12[[#This Row],[Material Name]],Sheet2!B:C,2,0)</f>
        <v>GCI1011</v>
      </c>
      <c r="M2394" s="225" t="str">
        <f>_xlfn.XLOOKUP(Logfile_S12[[#This Row],[Material Name]],Sum_WH!E:E,Sum_WH!F:F,"",0)</f>
        <v>Pcs</v>
      </c>
      <c r="N2394" s="227">
        <v>1</v>
      </c>
      <c r="O2394" s="227" t="s">
        <v>4595</v>
      </c>
      <c r="P2394" s="227" t="s">
        <v>4596</v>
      </c>
      <c r="Q2394" s="227"/>
      <c r="R2394" s="227"/>
      <c r="S2394" s="227"/>
      <c r="T2394" s="221" t="s">
        <v>3258</v>
      </c>
      <c r="U2394" s="221">
        <v>0</v>
      </c>
      <c r="V2394" s="221" t="s">
        <v>3337</v>
      </c>
      <c r="W2394" s="221" t="s">
        <v>3338</v>
      </c>
      <c r="X2394" s="227"/>
      <c r="Y2394" s="227"/>
      <c r="Z2394" s="227" t="str">
        <f t="shared" si="85"/>
        <v>Asshofa Residence</v>
      </c>
      <c r="AA2394" s="276" t="e">
        <f>VLOOKUP(Logfile_S12[[#This Row],[DO number]],DO_DB!G:I,3,0)</f>
        <v>#N/A</v>
      </c>
      <c r="AB2394" s="331" t="e">
        <f>EXACT(Logfile_S12[[#This Row],[date pick]],Logfile_S12[[#This Row],[Date]])</f>
        <v>#N/A</v>
      </c>
      <c r="AC23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95" spans="1:29" ht="14.5" hidden="1">
      <c r="A2395" s="237" t="str">
        <f t="shared" si="84"/>
        <v>2391</v>
      </c>
      <c r="B2395" s="221">
        <v>5</v>
      </c>
      <c r="C2395" s="227" t="s">
        <v>3313</v>
      </c>
      <c r="D2395" s="227" t="s">
        <v>4725</v>
      </c>
      <c r="E2395" s="227" t="s">
        <v>3295</v>
      </c>
      <c r="F2395" s="227" t="s">
        <v>3299</v>
      </c>
      <c r="G2395" s="239">
        <v>45982</v>
      </c>
      <c r="H2395" s="240">
        <v>0.33333333333333331</v>
      </c>
      <c r="I2395" s="227" t="s">
        <v>3297</v>
      </c>
      <c r="J2395" s="227" t="s">
        <v>3024</v>
      </c>
      <c r="K2395" s="241" t="s">
        <v>3097</v>
      </c>
      <c r="L2395" s="225" t="str">
        <f>VLOOKUP(Logfile_S12[[#This Row],[Material Name]],Sheet2!B:C,2,0)</f>
        <v>GCI1011</v>
      </c>
      <c r="M2395" s="242" t="s">
        <v>20</v>
      </c>
      <c r="N2395" s="227">
        <v>1</v>
      </c>
      <c r="O2395" s="227" t="s">
        <v>4692</v>
      </c>
      <c r="P2395" s="227" t="s">
        <v>4693</v>
      </c>
      <c r="Q2395" s="227" t="s">
        <v>4694</v>
      </c>
      <c r="R2395" s="227" t="s">
        <v>4695</v>
      </c>
      <c r="S2395" s="227"/>
      <c r="T2395" s="227"/>
      <c r="U2395" s="227"/>
      <c r="V2395" s="227"/>
      <c r="W2395" s="227"/>
      <c r="X2395" s="227"/>
      <c r="Y2395" s="227"/>
      <c r="Z2395" s="227" t="str">
        <f t="shared" si="85"/>
        <v>PALAAN RW 01 SAMPAI 05 MALANG</v>
      </c>
      <c r="AA2395" s="276">
        <f>VLOOKUP(Logfile_S12[[#This Row],[DO number]],DO_DB!G:I,3,0)</f>
        <v>45955</v>
      </c>
      <c r="AB2395" s="331" t="b">
        <f>EXACT(Logfile_S12[[#This Row],[date pick]],Logfile_S12[[#This Row],[Date]])</f>
        <v>0</v>
      </c>
      <c r="AC23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96" spans="1:29" ht="14.5" hidden="1">
      <c r="A2396" s="237" t="str">
        <f t="shared" si="84"/>
        <v>2392</v>
      </c>
      <c r="B2396" s="221">
        <v>6</v>
      </c>
      <c r="C2396" s="227" t="s">
        <v>49</v>
      </c>
      <c r="D2396" s="227" t="s">
        <v>4717</v>
      </c>
      <c r="E2396" s="227" t="s">
        <v>3295</v>
      </c>
      <c r="F2396" s="227" t="s">
        <v>3299</v>
      </c>
      <c r="G2396" s="239">
        <v>45983</v>
      </c>
      <c r="H2396" s="240">
        <v>0.54166666666666663</v>
      </c>
      <c r="I2396" s="227" t="s">
        <v>3295</v>
      </c>
      <c r="J2396" s="227" t="s">
        <v>3024</v>
      </c>
      <c r="K2396" s="241" t="s">
        <v>3097</v>
      </c>
      <c r="L2396" s="225" t="str">
        <f>VLOOKUP(Logfile_S12[[#This Row],[Material Name]],Sheet2!B:C,2,0)</f>
        <v>GCI1011</v>
      </c>
      <c r="M2396" s="242" t="s">
        <v>20</v>
      </c>
      <c r="N2396" s="227">
        <v>1</v>
      </c>
      <c r="O2396" s="227" t="s">
        <v>4696</v>
      </c>
      <c r="P2396" s="227" t="s">
        <v>4697</v>
      </c>
      <c r="Q2396" s="227" t="s">
        <v>4698</v>
      </c>
      <c r="R2396" s="227" t="s">
        <v>4699</v>
      </c>
      <c r="S2396" s="227"/>
      <c r="T2396" s="221" t="s">
        <v>3258</v>
      </c>
      <c r="U2396" s="221">
        <v>0</v>
      </c>
      <c r="V2396" s="221" t="s">
        <v>3337</v>
      </c>
      <c r="W2396" s="221" t="s">
        <v>3338</v>
      </c>
      <c r="X2396" s="227"/>
      <c r="Y2396" s="227"/>
      <c r="Z2396" s="227" t="str">
        <f t="shared" si="85"/>
        <v>PALAAN RW 06 SAMPAI 10 MALANG</v>
      </c>
      <c r="AA2396" s="276">
        <f>VLOOKUP(Logfile_S12[[#This Row],[DO number]],DO_DB!G:I,3,0)</f>
        <v>45955</v>
      </c>
      <c r="AB2396" s="331" t="b">
        <f>EXACT(Logfile_S12[[#This Row],[date pick]],Logfile_S12[[#This Row],[Date]])</f>
        <v>0</v>
      </c>
      <c r="AC23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97" spans="1:29" ht="14.5" hidden="1">
      <c r="A2397" s="237" t="str">
        <f t="shared" si="84"/>
        <v>2393</v>
      </c>
      <c r="B2397" s="221">
        <v>7</v>
      </c>
      <c r="C2397" s="227" t="s">
        <v>48</v>
      </c>
      <c r="D2397" s="227" t="s">
        <v>4727</v>
      </c>
      <c r="E2397" s="227" t="s">
        <v>3295</v>
      </c>
      <c r="F2397" s="227" t="s">
        <v>3299</v>
      </c>
      <c r="G2397" s="239">
        <v>45987</v>
      </c>
      <c r="H2397" s="240">
        <v>0.66736111111111107</v>
      </c>
      <c r="I2397" s="227" t="s">
        <v>38</v>
      </c>
      <c r="J2397" s="227" t="s">
        <v>3024</v>
      </c>
      <c r="K2397" s="241" t="s">
        <v>3097</v>
      </c>
      <c r="L2397" s="225" t="str">
        <f>VLOOKUP(Logfile_S12[[#This Row],[Material Name]],Sheet2!B:C,2,0)</f>
        <v>GCI1011</v>
      </c>
      <c r="M2397" s="242" t="s">
        <v>20</v>
      </c>
      <c r="N2397" s="227">
        <v>1</v>
      </c>
      <c r="O2397" s="227" t="s">
        <v>3260</v>
      </c>
      <c r="P2397" s="227"/>
      <c r="Q2397" s="227" t="s">
        <v>3260</v>
      </c>
      <c r="R2397" s="227" t="s">
        <v>3260</v>
      </c>
      <c r="S2397" s="227"/>
      <c r="T2397" s="227"/>
      <c r="U2397" s="227"/>
      <c r="V2397" s="227"/>
      <c r="W2397" s="227"/>
      <c r="X2397" s="227"/>
      <c r="Y2397" s="227"/>
      <c r="Z2397" s="227">
        <f t="shared" si="85"/>
        <v>0</v>
      </c>
      <c r="AA2397" s="276" t="e">
        <f>VLOOKUP(Logfile_S12[[#This Row],[DO number]],DO_DB!G:I,3,0)</f>
        <v>#N/A</v>
      </c>
      <c r="AB2397" s="331" t="e">
        <f>EXACT(Logfile_S12[[#This Row],[date pick]],Logfile_S12[[#This Row],[Date]])</f>
        <v>#N/A</v>
      </c>
      <c r="AC23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98" spans="1:29" ht="14.5" hidden="1">
      <c r="A2398" s="237" t="str">
        <f t="shared" si="84"/>
        <v>2394</v>
      </c>
      <c r="B2398" s="221">
        <v>9</v>
      </c>
      <c r="C2398" s="227" t="s">
        <v>49</v>
      </c>
      <c r="D2398" s="227" t="s">
        <v>4737</v>
      </c>
      <c r="E2398" s="227" t="s">
        <v>3295</v>
      </c>
      <c r="F2398" s="227" t="s">
        <v>3299</v>
      </c>
      <c r="G2398" s="239">
        <v>46006</v>
      </c>
      <c r="H2398" s="240">
        <v>0.36805555555555558</v>
      </c>
      <c r="I2398" s="227" t="s">
        <v>3295</v>
      </c>
      <c r="J2398" s="227" t="s">
        <v>3024</v>
      </c>
      <c r="K2398" s="241" t="s">
        <v>3097</v>
      </c>
      <c r="L2398" s="225" t="str">
        <f>VLOOKUP(Logfile_S12[[#This Row],[Material Name]],Sheet2!B:C,2,0)</f>
        <v>GCI1011</v>
      </c>
      <c r="M2398" s="242" t="s">
        <v>20</v>
      </c>
      <c r="N2398" s="227">
        <v>1</v>
      </c>
      <c r="O2398" s="227" t="s">
        <v>3260</v>
      </c>
      <c r="P2398" s="227"/>
      <c r="Q2398" s="227" t="s">
        <v>3260</v>
      </c>
      <c r="R2398" s="227" t="s">
        <v>3260</v>
      </c>
      <c r="S2398" s="227"/>
      <c r="T2398" s="221" t="s">
        <v>3258</v>
      </c>
      <c r="U2398" s="221" t="s">
        <v>4811</v>
      </c>
      <c r="V2398" s="221" t="s">
        <v>3337</v>
      </c>
      <c r="W2398" s="221" t="s">
        <v>3338</v>
      </c>
      <c r="X2398" s="227"/>
      <c r="Y2398" s="227"/>
      <c r="Z2398" s="227">
        <f t="shared" si="85"/>
        <v>0</v>
      </c>
      <c r="AA2398" s="276" t="e">
        <f>VLOOKUP(Logfile_S12[[#This Row],[DO number]],DO_DB!G:I,3,0)</f>
        <v>#N/A</v>
      </c>
      <c r="AB2398" s="331" t="e">
        <f>EXACT(Logfile_S12[[#This Row],[date pick]],Logfile_S12[[#This Row],[Date]])</f>
        <v>#N/A</v>
      </c>
      <c r="AC23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399" spans="1:29" ht="14.5" hidden="1">
      <c r="A2399" s="237" t="str">
        <f t="shared" si="84"/>
        <v>2395</v>
      </c>
      <c r="B2399" s="221">
        <v>8</v>
      </c>
      <c r="C2399" s="227" t="s">
        <v>48</v>
      </c>
      <c r="D2399" s="227" t="s">
        <v>4778</v>
      </c>
      <c r="E2399" s="227" t="s">
        <v>3295</v>
      </c>
      <c r="F2399" s="227" t="s">
        <v>3299</v>
      </c>
      <c r="G2399" s="239">
        <v>46014</v>
      </c>
      <c r="H2399" s="240">
        <v>0.33333333333333331</v>
      </c>
      <c r="I2399" s="221" t="s">
        <v>38</v>
      </c>
      <c r="J2399" s="227" t="s">
        <v>3024</v>
      </c>
      <c r="K2399" s="241" t="s">
        <v>3097</v>
      </c>
      <c r="L2399" s="225" t="str">
        <f>VLOOKUP(Logfile_S12[[#This Row],[Material Name]],Sheet2!B:C,2,0)</f>
        <v>GCI1011</v>
      </c>
      <c r="M2399" s="242" t="s">
        <v>19</v>
      </c>
      <c r="N2399" s="227">
        <v>4</v>
      </c>
      <c r="O2399" s="227"/>
      <c r="P2399" s="227"/>
      <c r="Q2399" s="227"/>
      <c r="R2399" s="227"/>
      <c r="S2399" s="227"/>
      <c r="T2399" s="227"/>
      <c r="U2399" s="227"/>
      <c r="V2399" s="227"/>
      <c r="W2399" s="227"/>
      <c r="X2399" s="227"/>
      <c r="Y2399" s="227"/>
      <c r="Z2399" s="227">
        <f t="shared" si="85"/>
        <v>0</v>
      </c>
      <c r="AA2399" s="276" t="e">
        <f>VLOOKUP(Logfile_S12[[#This Row],[DO number]],DO_DB!G:I,3,0)</f>
        <v>#N/A</v>
      </c>
      <c r="AB2399" s="331" t="e">
        <f>EXACT(Logfile_S12[[#This Row],[date pick]],Logfile_S12[[#This Row],[Date]])</f>
        <v>#N/A</v>
      </c>
      <c r="AC23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00" spans="1:29" ht="14.5" hidden="1">
      <c r="A2400" s="237" t="str">
        <f t="shared" si="84"/>
        <v>2396</v>
      </c>
      <c r="B2400" s="221">
        <v>11</v>
      </c>
      <c r="C2400" s="227" t="s">
        <v>49</v>
      </c>
      <c r="D2400" s="227" t="s">
        <v>4777</v>
      </c>
      <c r="E2400" s="227" t="s">
        <v>3295</v>
      </c>
      <c r="F2400" s="227" t="s">
        <v>3299</v>
      </c>
      <c r="G2400" s="239">
        <v>46016</v>
      </c>
      <c r="H2400" s="240">
        <v>0.50902777777777775</v>
      </c>
      <c r="I2400" s="227" t="s">
        <v>3295</v>
      </c>
      <c r="J2400" s="227" t="s">
        <v>3024</v>
      </c>
      <c r="K2400" s="241" t="s">
        <v>3097</v>
      </c>
      <c r="L2400" s="225" t="str">
        <f>VLOOKUP(Logfile_S12[[#This Row],[Material Name]],Sheet2!B:C,2,0)</f>
        <v>GCI1011</v>
      </c>
      <c r="M2400" s="242" t="s">
        <v>19</v>
      </c>
      <c r="N2400" s="227">
        <v>4</v>
      </c>
      <c r="O2400" s="227"/>
      <c r="P2400" s="227"/>
      <c r="Q2400" s="227"/>
      <c r="R2400" s="227"/>
      <c r="S2400" s="227"/>
      <c r="T2400" s="221" t="s">
        <v>3258</v>
      </c>
      <c r="U2400" s="221" t="s">
        <v>4811</v>
      </c>
      <c r="V2400" s="221" t="s">
        <v>3337</v>
      </c>
      <c r="W2400" s="221" t="s">
        <v>3338</v>
      </c>
      <c r="X2400" s="227"/>
      <c r="Y2400" s="227"/>
      <c r="Z2400" s="227">
        <f t="shared" si="85"/>
        <v>0</v>
      </c>
      <c r="AA2400" s="276" t="e">
        <f>VLOOKUP(Logfile_S12[[#This Row],[DO number]],DO_DB!G:I,3,0)</f>
        <v>#N/A</v>
      </c>
      <c r="AB2400" s="331" t="e">
        <f>EXACT(Logfile_S12[[#This Row],[date pick]],Logfile_S12[[#This Row],[Date]])</f>
        <v>#N/A</v>
      </c>
      <c r="AC24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01" spans="1:29" ht="14.5" hidden="1">
      <c r="A2401" s="220" t="str">
        <f t="shared" si="84"/>
        <v>2397</v>
      </c>
      <c r="B2401" s="221"/>
      <c r="C2401" s="221" t="s">
        <v>48</v>
      </c>
      <c r="D2401" s="221" t="s">
        <v>3683</v>
      </c>
      <c r="E2401" s="221" t="s">
        <v>3295</v>
      </c>
      <c r="F2401" s="221" t="s">
        <v>3299</v>
      </c>
      <c r="G2401" s="222">
        <v>45147</v>
      </c>
      <c r="H2401" s="223">
        <v>15.291666666666666</v>
      </c>
      <c r="I2401" s="221" t="s">
        <v>38</v>
      </c>
      <c r="J2401" s="221" t="s">
        <v>3024</v>
      </c>
      <c r="K2401" s="224" t="s">
        <v>3093</v>
      </c>
      <c r="L2401" s="225" t="str">
        <f>VLOOKUP(Logfile_S12[[#This Row],[Material Name]],Sheet2!B:C,2,0)</f>
        <v>GCI1007</v>
      </c>
      <c r="M2401" s="225" t="str">
        <f>_xlfn.XLOOKUP(Logfile_S12[[#This Row],[Material Name]],Sum_WH!E:E,Sum_WH!F:F,"",0)</f>
        <v>Pcs</v>
      </c>
      <c r="N2401" s="221">
        <v>135</v>
      </c>
      <c r="O2401" s="221" t="s">
        <v>84</v>
      </c>
      <c r="P2401" s="221" t="s">
        <v>85</v>
      </c>
      <c r="Q2401" s="221">
        <v>0</v>
      </c>
      <c r="R2401" s="221">
        <v>0</v>
      </c>
      <c r="S2401" s="221"/>
      <c r="T2401" s="221"/>
      <c r="U2401" s="221"/>
      <c r="V2401" s="221"/>
      <c r="W2401" s="221"/>
      <c r="X2401" s="221"/>
      <c r="Y2401" s="227"/>
      <c r="Z2401" s="227" t="str">
        <f t="shared" si="85"/>
        <v>Perumahan Bumi Podo Rukun Dau</v>
      </c>
      <c r="AA2401" s="276" t="e">
        <f>VLOOKUP(Logfile_S12[[#This Row],[DO number]],DO_DB!G:I,3,0)</f>
        <v>#N/A</v>
      </c>
      <c r="AB2401" s="331" t="e">
        <f>EXACT(Logfile_S12[[#This Row],[date pick]],Logfile_S12[[#This Row],[Date]])</f>
        <v>#N/A</v>
      </c>
      <c r="AC24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02" spans="1:29" ht="14.5" hidden="1">
      <c r="A2402" s="220" t="str">
        <f t="shared" si="84"/>
        <v>2398</v>
      </c>
      <c r="B2402" s="221"/>
      <c r="C2402" s="221" t="s">
        <v>49</v>
      </c>
      <c r="D2402" s="221" t="s">
        <v>3684</v>
      </c>
      <c r="E2402" s="221" t="s">
        <v>3295</v>
      </c>
      <c r="F2402" s="221" t="s">
        <v>3299</v>
      </c>
      <c r="G2402" s="222">
        <v>45148</v>
      </c>
      <c r="H2402" s="223">
        <v>15.692638888888888</v>
      </c>
      <c r="I2402" s="221" t="s">
        <v>4916</v>
      </c>
      <c r="J2402" s="221" t="s">
        <v>3024</v>
      </c>
      <c r="K2402" s="224" t="s">
        <v>3093</v>
      </c>
      <c r="L2402" s="225" t="str">
        <f>VLOOKUP(Logfile_S12[[#This Row],[Material Name]],Sheet2!B:C,2,0)</f>
        <v>GCI1007</v>
      </c>
      <c r="M2402" s="225" t="str">
        <f>_xlfn.XLOOKUP(Logfile_S12[[#This Row],[Material Name]],Sum_WH!E:E,Sum_WH!F:F,"",0)</f>
        <v>Pcs</v>
      </c>
      <c r="N2402" s="221">
        <v>135</v>
      </c>
      <c r="O2402" s="221" t="s">
        <v>84</v>
      </c>
      <c r="P2402" s="221" t="s">
        <v>85</v>
      </c>
      <c r="Q2402" s="221"/>
      <c r="R2402" s="221"/>
      <c r="S2402" s="221"/>
      <c r="T2402" s="221" t="s">
        <v>3305</v>
      </c>
      <c r="U2402" s="221" t="s">
        <v>3228</v>
      </c>
      <c r="V2402" s="221" t="s">
        <v>3306</v>
      </c>
      <c r="W2402" s="221" t="s">
        <v>3307</v>
      </c>
      <c r="X2402" s="221"/>
      <c r="Y2402" s="227"/>
      <c r="Z2402" s="227" t="str">
        <f t="shared" si="85"/>
        <v>Perumahan Bumi Podo Rukun Dau</v>
      </c>
      <c r="AA2402" s="276" t="e">
        <f>VLOOKUP(Logfile_S12[[#This Row],[DO number]],DO_DB!G:I,3,0)</f>
        <v>#N/A</v>
      </c>
      <c r="AB2402" s="331" t="e">
        <f>EXACT(Logfile_S12[[#This Row],[date pick]],Logfile_S12[[#This Row],[Date]])</f>
        <v>#N/A</v>
      </c>
      <c r="AC24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03" spans="1:29" ht="14.5" hidden="1">
      <c r="A2403" s="220" t="str">
        <f t="shared" si="84"/>
        <v>2399</v>
      </c>
      <c r="B2403" s="221"/>
      <c r="C2403" s="221" t="s">
        <v>48</v>
      </c>
      <c r="D2403" s="221" t="s">
        <v>3691</v>
      </c>
      <c r="E2403" s="221" t="s">
        <v>3295</v>
      </c>
      <c r="F2403" s="221" t="s">
        <v>3299</v>
      </c>
      <c r="G2403" s="222">
        <v>45162</v>
      </c>
      <c r="H2403" s="223">
        <v>15.291666666666666</v>
      </c>
      <c r="I2403" s="221" t="s">
        <v>38</v>
      </c>
      <c r="J2403" s="221" t="s">
        <v>3024</v>
      </c>
      <c r="K2403" s="224" t="s">
        <v>3093</v>
      </c>
      <c r="L2403" s="225" t="str">
        <f>VLOOKUP(Logfile_S12[[#This Row],[Material Name]],Sheet2!B:C,2,0)</f>
        <v>GCI1007</v>
      </c>
      <c r="M2403" s="225" t="str">
        <f>_xlfn.XLOOKUP(Logfile_S12[[#This Row],[Material Name]],Sum_WH!E:E,Sum_WH!F:F,"",0)</f>
        <v>Pcs</v>
      </c>
      <c r="N2403" s="221">
        <v>130</v>
      </c>
      <c r="O2403" s="221" t="s">
        <v>150</v>
      </c>
      <c r="P2403" s="221" t="s">
        <v>151</v>
      </c>
      <c r="Q2403" s="221">
        <v>0</v>
      </c>
      <c r="R2403" s="221">
        <v>0</v>
      </c>
      <c r="S2403" s="221"/>
      <c r="T2403" s="221"/>
      <c r="U2403" s="221"/>
      <c r="V2403" s="221"/>
      <c r="W2403" s="221"/>
      <c r="X2403" s="221"/>
      <c r="Y2403" s="227"/>
      <c r="Z2403" s="227" t="str">
        <f t="shared" si="85"/>
        <v>Mulyorejo RW 04 Sukun</v>
      </c>
      <c r="AA2403" s="276" t="e">
        <f>VLOOKUP(Logfile_S12[[#This Row],[DO number]],DO_DB!G:I,3,0)</f>
        <v>#N/A</v>
      </c>
      <c r="AB2403" s="331" t="e">
        <f>EXACT(Logfile_S12[[#This Row],[date pick]],Logfile_S12[[#This Row],[Date]])</f>
        <v>#N/A</v>
      </c>
      <c r="AC24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04" spans="1:29" ht="14.5" hidden="1">
      <c r="A2404" s="220" t="str">
        <f t="shared" si="84"/>
        <v>2400</v>
      </c>
      <c r="B2404" s="221"/>
      <c r="C2404" s="221" t="s">
        <v>48</v>
      </c>
      <c r="D2404" s="221" t="s">
        <v>3697</v>
      </c>
      <c r="E2404" s="221" t="s">
        <v>3295</v>
      </c>
      <c r="F2404" s="221" t="s">
        <v>3299</v>
      </c>
      <c r="G2404" s="222">
        <v>45173</v>
      </c>
      <c r="H2404" s="223">
        <v>15.291666666666666</v>
      </c>
      <c r="I2404" s="221" t="s">
        <v>3586</v>
      </c>
      <c r="J2404" s="221" t="s">
        <v>3024</v>
      </c>
      <c r="K2404" s="224" t="s">
        <v>3093</v>
      </c>
      <c r="L2404" s="225" t="str">
        <f>VLOOKUP(Logfile_S12[[#This Row],[Material Name]],Sheet2!B:C,2,0)</f>
        <v>GCI1007</v>
      </c>
      <c r="M2404" s="225" t="str">
        <f>_xlfn.XLOOKUP(Logfile_S12[[#This Row],[Material Name]],Sum_WH!E:E,Sum_WH!F:F,"",0)</f>
        <v>Pcs</v>
      </c>
      <c r="N2404" s="221">
        <v>14</v>
      </c>
      <c r="O2404" s="221" t="s">
        <v>84</v>
      </c>
      <c r="P2404" s="221" t="s">
        <v>85</v>
      </c>
      <c r="Q2404" s="221">
        <v>0</v>
      </c>
      <c r="R2404" s="221">
        <v>0</v>
      </c>
      <c r="S2404" s="221"/>
      <c r="T2404" s="221"/>
      <c r="U2404" s="221"/>
      <c r="V2404" s="221"/>
      <c r="W2404" s="221"/>
      <c r="X2404" s="221" t="s">
        <v>3342</v>
      </c>
      <c r="Y2404" s="227"/>
      <c r="Z2404" s="227" t="str">
        <f t="shared" si="85"/>
        <v>Perumahan Bumi Podo Rukun Dau</v>
      </c>
      <c r="AA2404" s="276" t="e">
        <f>VLOOKUP(Logfile_S12[[#This Row],[DO number]],DO_DB!G:I,3,0)</f>
        <v>#N/A</v>
      </c>
      <c r="AB2404" s="331" t="e">
        <f>EXACT(Logfile_S12[[#This Row],[date pick]],Logfile_S12[[#This Row],[Date]])</f>
        <v>#N/A</v>
      </c>
      <c r="AC24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05" spans="1:29" ht="14.5" hidden="1">
      <c r="A2405" s="220" t="str">
        <f t="shared" si="84"/>
        <v>2401</v>
      </c>
      <c r="B2405" s="221"/>
      <c r="C2405" s="221" t="s">
        <v>49</v>
      </c>
      <c r="D2405" s="221" t="s">
        <v>3696</v>
      </c>
      <c r="E2405" s="221" t="s">
        <v>3295</v>
      </c>
      <c r="F2405" s="221" t="s">
        <v>3299</v>
      </c>
      <c r="G2405" s="222">
        <v>45173</v>
      </c>
      <c r="H2405" s="223">
        <v>0.69236111111111109</v>
      </c>
      <c r="I2405" s="221" t="s">
        <v>4916</v>
      </c>
      <c r="J2405" s="221" t="s">
        <v>3024</v>
      </c>
      <c r="K2405" s="224" t="s">
        <v>3093</v>
      </c>
      <c r="L2405" s="225" t="str">
        <f>VLOOKUP(Logfile_S12[[#This Row],[Material Name]],Sheet2!B:C,2,0)</f>
        <v>GCI1007</v>
      </c>
      <c r="M2405" s="225" t="str">
        <f>_xlfn.XLOOKUP(Logfile_S12[[#This Row],[Material Name]],Sum_WH!E:E,Sum_WH!F:F,"",0)</f>
        <v>Pcs</v>
      </c>
      <c r="N2405" s="221">
        <v>80</v>
      </c>
      <c r="O2405" s="221" t="s">
        <v>150</v>
      </c>
      <c r="P2405" s="221" t="s">
        <v>151</v>
      </c>
      <c r="Q2405" s="221"/>
      <c r="R2405" s="221"/>
      <c r="S2405" s="221"/>
      <c r="T2405" s="221" t="s">
        <v>3309</v>
      </c>
      <c r="U2405" s="221" t="s">
        <v>3228</v>
      </c>
      <c r="V2405" s="221" t="s">
        <v>3310</v>
      </c>
      <c r="W2405" s="221" t="s">
        <v>3311</v>
      </c>
      <c r="X2405" s="221"/>
      <c r="Y2405" s="227"/>
      <c r="Z2405" s="227" t="str">
        <f t="shared" si="85"/>
        <v>Mulyorejo RW 04 Sukun</v>
      </c>
      <c r="AA2405" s="276" t="e">
        <f>VLOOKUP(Logfile_S12[[#This Row],[DO number]],DO_DB!G:I,3,0)</f>
        <v>#N/A</v>
      </c>
      <c r="AB2405" s="331" t="e">
        <f>EXACT(Logfile_S12[[#This Row],[date pick]],Logfile_S12[[#This Row],[Date]])</f>
        <v>#N/A</v>
      </c>
      <c r="AC24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06" spans="1:29" ht="14.5" hidden="1">
      <c r="A2406" s="220" t="str">
        <f t="shared" si="84"/>
        <v>2402</v>
      </c>
      <c r="B2406" s="221"/>
      <c r="C2406" s="221" t="s">
        <v>48</v>
      </c>
      <c r="D2406" s="221" t="s">
        <v>3703</v>
      </c>
      <c r="E2406" s="221" t="s">
        <v>3295</v>
      </c>
      <c r="F2406" s="221" t="s">
        <v>3299</v>
      </c>
      <c r="G2406" s="222">
        <v>45177</v>
      </c>
      <c r="H2406" s="223">
        <v>0.67638888888888893</v>
      </c>
      <c r="I2406" s="221" t="s">
        <v>3586</v>
      </c>
      <c r="J2406" s="221" t="s">
        <v>3024</v>
      </c>
      <c r="K2406" s="224" t="s">
        <v>3093</v>
      </c>
      <c r="L2406" s="225" t="str">
        <f>VLOOKUP(Logfile_S12[[#This Row],[Material Name]],Sheet2!B:C,2,0)</f>
        <v>GCI1007</v>
      </c>
      <c r="M2406" s="225" t="str">
        <f>_xlfn.XLOOKUP(Logfile_S12[[#This Row],[Material Name]],Sum_WH!E:E,Sum_WH!F:F,"",0)</f>
        <v>Pcs</v>
      </c>
      <c r="N2406" s="221">
        <v>6</v>
      </c>
      <c r="O2406" s="221" t="s">
        <v>150</v>
      </c>
      <c r="P2406" s="221" t="s">
        <v>151</v>
      </c>
      <c r="Q2406" s="221">
        <v>0</v>
      </c>
      <c r="R2406" s="221">
        <v>0</v>
      </c>
      <c r="S2406" s="221"/>
      <c r="T2406" s="221"/>
      <c r="U2406" s="221"/>
      <c r="V2406" s="221"/>
      <c r="W2406" s="221"/>
      <c r="X2406" s="221" t="s">
        <v>3414</v>
      </c>
      <c r="Y2406" s="227"/>
      <c r="Z2406" s="227" t="str">
        <f t="shared" si="85"/>
        <v>Mulyorejo RW 04 Sukun</v>
      </c>
      <c r="AA2406" s="276" t="e">
        <f>VLOOKUP(Logfile_S12[[#This Row],[DO number]],DO_DB!G:I,3,0)</f>
        <v>#N/A</v>
      </c>
      <c r="AB2406" s="331" t="e">
        <f>EXACT(Logfile_S12[[#This Row],[date pick]],Logfile_S12[[#This Row],[Date]])</f>
        <v>#N/A</v>
      </c>
      <c r="AC24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07" spans="1:29" ht="14.5" hidden="1">
      <c r="A2407" s="220" t="str">
        <f t="shared" si="84"/>
        <v>2403</v>
      </c>
      <c r="B2407" s="221"/>
      <c r="C2407" s="221" t="s">
        <v>49</v>
      </c>
      <c r="D2407" s="221" t="s">
        <v>3701</v>
      </c>
      <c r="E2407" s="221" t="s">
        <v>3295</v>
      </c>
      <c r="F2407" s="221" t="s">
        <v>3299</v>
      </c>
      <c r="G2407" s="222">
        <v>45177</v>
      </c>
      <c r="H2407" s="223">
        <v>0.37083333333333335</v>
      </c>
      <c r="I2407" s="221" t="s">
        <v>4916</v>
      </c>
      <c r="J2407" s="221" t="s">
        <v>3024</v>
      </c>
      <c r="K2407" s="224" t="s">
        <v>3093</v>
      </c>
      <c r="L2407" s="225" t="str">
        <f>VLOOKUP(Logfile_S12[[#This Row],[Material Name]],Sheet2!B:C,2,0)</f>
        <v>GCI1007</v>
      </c>
      <c r="M2407" s="225" t="str">
        <f>_xlfn.XLOOKUP(Logfile_S12[[#This Row],[Material Name]],Sum_WH!E:E,Sum_WH!F:F,"",0)</f>
        <v>Pcs</v>
      </c>
      <c r="N2407" s="221">
        <v>20</v>
      </c>
      <c r="O2407" s="221" t="s">
        <v>150</v>
      </c>
      <c r="P2407" s="221" t="s">
        <v>151</v>
      </c>
      <c r="Q2407" s="221"/>
      <c r="R2407" s="221"/>
      <c r="S2407" s="221"/>
      <c r="T2407" s="221" t="s">
        <v>3309</v>
      </c>
      <c r="U2407" s="221" t="s">
        <v>3228</v>
      </c>
      <c r="V2407" s="221" t="s">
        <v>3310</v>
      </c>
      <c r="W2407" s="221" t="s">
        <v>3311</v>
      </c>
      <c r="X2407" s="221"/>
      <c r="Y2407" s="227"/>
      <c r="Z2407" s="227" t="str">
        <f t="shared" si="85"/>
        <v>Mulyorejo RW 04 Sukun</v>
      </c>
      <c r="AA2407" s="276" t="e">
        <f>VLOOKUP(Logfile_S12[[#This Row],[DO number]],DO_DB!G:I,3,0)</f>
        <v>#N/A</v>
      </c>
      <c r="AB2407" s="331" t="e">
        <f>EXACT(Logfile_S12[[#This Row],[date pick]],Logfile_S12[[#This Row],[Date]])</f>
        <v>#N/A</v>
      </c>
      <c r="AC24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08" spans="1:29" ht="14.5" hidden="1">
      <c r="A2408" s="220" t="str">
        <f t="shared" si="84"/>
        <v>2404</v>
      </c>
      <c r="B2408" s="221"/>
      <c r="C2408" s="221" t="s">
        <v>49</v>
      </c>
      <c r="D2408" s="221" t="s">
        <v>3765</v>
      </c>
      <c r="E2408" s="221" t="s">
        <v>3295</v>
      </c>
      <c r="F2408" s="221" t="s">
        <v>3299</v>
      </c>
      <c r="G2408" s="222">
        <v>45217</v>
      </c>
      <c r="H2408" s="223">
        <v>0.58680555555555558</v>
      </c>
      <c r="I2408" s="221" t="s">
        <v>4916</v>
      </c>
      <c r="J2408" s="221" t="s">
        <v>3024</v>
      </c>
      <c r="K2408" s="224" t="s">
        <v>3093</v>
      </c>
      <c r="L2408" s="225" t="str">
        <f>VLOOKUP(Logfile_S12[[#This Row],[Material Name]],Sheet2!B:C,2,0)</f>
        <v>GCI1007</v>
      </c>
      <c r="M2408" s="225" t="str">
        <f>_xlfn.XLOOKUP(Logfile_S12[[#This Row],[Material Name]],Sum_WH!E:E,Sum_WH!F:F,"",0)</f>
        <v>Pcs</v>
      </c>
      <c r="N2408" s="221">
        <v>50</v>
      </c>
      <c r="O2408" s="221" t="s">
        <v>172</v>
      </c>
      <c r="P2408" s="221" t="s">
        <v>3319</v>
      </c>
      <c r="Q2408" s="221"/>
      <c r="R2408" s="221"/>
      <c r="S2408" s="221"/>
      <c r="T2408" s="221" t="s">
        <v>3346</v>
      </c>
      <c r="U2408" s="221">
        <v>0</v>
      </c>
      <c r="V2408" s="221" t="s">
        <v>3347</v>
      </c>
      <c r="W2408" s="221" t="s">
        <v>3334</v>
      </c>
      <c r="X2408" s="221"/>
      <c r="Y2408" s="227"/>
      <c r="Z2408" s="227" t="str">
        <f t="shared" si="85"/>
        <v>Pandan Landung RW 03 Wagir</v>
      </c>
      <c r="AA2408" s="276" t="e">
        <f>VLOOKUP(Logfile_S12[[#This Row],[DO number]],DO_DB!G:I,3,0)</f>
        <v>#N/A</v>
      </c>
      <c r="AB2408" s="331" t="e">
        <f>EXACT(Logfile_S12[[#This Row],[date pick]],Logfile_S12[[#This Row],[Date]])</f>
        <v>#N/A</v>
      </c>
      <c r="AC24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09" spans="1:29" ht="14.5" hidden="1">
      <c r="A2409" s="220" t="str">
        <f t="shared" si="84"/>
        <v>2405</v>
      </c>
      <c r="B2409" s="221"/>
      <c r="C2409" s="221" t="s">
        <v>49</v>
      </c>
      <c r="D2409" s="221" t="s">
        <v>3783</v>
      </c>
      <c r="E2409" s="221" t="s">
        <v>3295</v>
      </c>
      <c r="F2409" s="221" t="s">
        <v>3299</v>
      </c>
      <c r="G2409" s="222">
        <v>45220</v>
      </c>
      <c r="H2409" s="223">
        <v>0.97499999999999998</v>
      </c>
      <c r="I2409" s="221" t="s">
        <v>4916</v>
      </c>
      <c r="J2409" s="221" t="s">
        <v>3024</v>
      </c>
      <c r="K2409" s="224" t="s">
        <v>3093</v>
      </c>
      <c r="L2409" s="225" t="str">
        <f>VLOOKUP(Logfile_S12[[#This Row],[Material Name]],Sheet2!B:C,2,0)</f>
        <v>GCI1007</v>
      </c>
      <c r="M2409" s="225" t="str">
        <f>_xlfn.XLOOKUP(Logfile_S12[[#This Row],[Material Name]],Sum_WH!E:E,Sum_WH!F:F,"",0)</f>
        <v>Pcs</v>
      </c>
      <c r="N2409" s="221">
        <v>0</v>
      </c>
      <c r="O2409" s="221">
        <v>0</v>
      </c>
      <c r="P2409" s="221">
        <v>0</v>
      </c>
      <c r="Q2409" s="221"/>
      <c r="R2409" s="221"/>
      <c r="S2409" s="221"/>
      <c r="T2409" s="221" t="s">
        <v>3332</v>
      </c>
      <c r="U2409" s="221">
        <v>0</v>
      </c>
      <c r="V2409" s="221" t="s">
        <v>3333</v>
      </c>
      <c r="W2409" s="221" t="s">
        <v>3334</v>
      </c>
      <c r="X2409" s="221"/>
      <c r="Y2409" s="227"/>
      <c r="Z2409" s="227">
        <f t="shared" si="85"/>
        <v>0</v>
      </c>
      <c r="AA2409" s="276" t="e">
        <f>VLOOKUP(Logfile_S12[[#This Row],[DO number]],DO_DB!G:I,3,0)</f>
        <v>#N/A</v>
      </c>
      <c r="AB2409" s="331" t="e">
        <f>EXACT(Logfile_S12[[#This Row],[date pick]],Logfile_S12[[#This Row],[Date]])</f>
        <v>#N/A</v>
      </c>
      <c r="AC24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10" spans="1:29" ht="14.5" hidden="1">
      <c r="A2410" s="220" t="str">
        <f t="shared" si="84"/>
        <v>2406</v>
      </c>
      <c r="B2410" s="221"/>
      <c r="C2410" s="221" t="s">
        <v>48</v>
      </c>
      <c r="D2410" s="221" t="s">
        <v>3683</v>
      </c>
      <c r="E2410" s="221" t="s">
        <v>3295</v>
      </c>
      <c r="F2410" s="221" t="s">
        <v>3299</v>
      </c>
      <c r="G2410" s="222">
        <v>45147</v>
      </c>
      <c r="H2410" s="223">
        <v>15.291666666666666</v>
      </c>
      <c r="I2410" s="221" t="s">
        <v>38</v>
      </c>
      <c r="J2410" s="221" t="s">
        <v>3024</v>
      </c>
      <c r="K2410" s="224" t="s">
        <v>3092</v>
      </c>
      <c r="L2410" s="225" t="str">
        <f>VLOOKUP(Logfile_S12[[#This Row],[Material Name]],Sheet2!B:C,2,0)</f>
        <v>GCI1006</v>
      </c>
      <c r="M2410" s="225" t="str">
        <f>_xlfn.XLOOKUP(Logfile_S12[[#This Row],[Material Name]],Sum_WH!E:E,Sum_WH!F:F,"",0)</f>
        <v>Pcs</v>
      </c>
      <c r="N2410" s="221">
        <v>135</v>
      </c>
      <c r="O2410" s="221" t="s">
        <v>84</v>
      </c>
      <c r="P2410" s="221" t="s">
        <v>85</v>
      </c>
      <c r="Q2410" s="221">
        <v>0</v>
      </c>
      <c r="R2410" s="221">
        <v>0</v>
      </c>
      <c r="S2410" s="221"/>
      <c r="T2410" s="221"/>
      <c r="U2410" s="221"/>
      <c r="V2410" s="221"/>
      <c r="W2410" s="221"/>
      <c r="X2410" s="221"/>
      <c r="Y2410" s="227"/>
      <c r="Z2410" s="227" t="str">
        <f t="shared" si="85"/>
        <v>Perumahan Bumi Podo Rukun Dau</v>
      </c>
      <c r="AA2410" s="276" t="e">
        <f>VLOOKUP(Logfile_S12[[#This Row],[DO number]],DO_DB!G:I,3,0)</f>
        <v>#N/A</v>
      </c>
      <c r="AB2410" s="331" t="e">
        <f>EXACT(Logfile_S12[[#This Row],[date pick]],Logfile_S12[[#This Row],[Date]])</f>
        <v>#N/A</v>
      </c>
      <c r="AC24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11" spans="1:29" ht="14.5" hidden="1">
      <c r="A2411" s="220" t="str">
        <f t="shared" si="84"/>
        <v>2407</v>
      </c>
      <c r="B2411" s="221"/>
      <c r="C2411" s="221" t="s">
        <v>49</v>
      </c>
      <c r="D2411" s="221" t="s">
        <v>3684</v>
      </c>
      <c r="E2411" s="221" t="s">
        <v>3295</v>
      </c>
      <c r="F2411" s="221" t="s">
        <v>3299</v>
      </c>
      <c r="G2411" s="222">
        <v>45148</v>
      </c>
      <c r="H2411" s="223">
        <v>15.692638888888888</v>
      </c>
      <c r="I2411" s="221" t="s">
        <v>4916</v>
      </c>
      <c r="J2411" s="221" t="s">
        <v>3024</v>
      </c>
      <c r="K2411" s="224" t="s">
        <v>3092</v>
      </c>
      <c r="L2411" s="225" t="str">
        <f>VLOOKUP(Logfile_S12[[#This Row],[Material Name]],Sheet2!B:C,2,0)</f>
        <v>GCI1006</v>
      </c>
      <c r="M2411" s="225" t="str">
        <f>_xlfn.XLOOKUP(Logfile_S12[[#This Row],[Material Name]],Sum_WH!E:E,Sum_WH!F:F,"",0)</f>
        <v>Pcs</v>
      </c>
      <c r="N2411" s="221">
        <v>135</v>
      </c>
      <c r="O2411" s="221" t="s">
        <v>84</v>
      </c>
      <c r="P2411" s="221" t="s">
        <v>85</v>
      </c>
      <c r="Q2411" s="221"/>
      <c r="R2411" s="221"/>
      <c r="S2411" s="221"/>
      <c r="T2411" s="221" t="s">
        <v>3305</v>
      </c>
      <c r="U2411" s="221" t="s">
        <v>3228</v>
      </c>
      <c r="V2411" s="221" t="s">
        <v>3306</v>
      </c>
      <c r="W2411" s="221" t="s">
        <v>3307</v>
      </c>
      <c r="X2411" s="221"/>
      <c r="Y2411" s="227"/>
      <c r="Z2411" s="227" t="str">
        <f t="shared" si="85"/>
        <v>Perumahan Bumi Podo Rukun Dau</v>
      </c>
      <c r="AA2411" s="276" t="e">
        <f>VLOOKUP(Logfile_S12[[#This Row],[DO number]],DO_DB!G:I,3,0)</f>
        <v>#N/A</v>
      </c>
      <c r="AB2411" s="331" t="e">
        <f>EXACT(Logfile_S12[[#This Row],[date pick]],Logfile_S12[[#This Row],[Date]])</f>
        <v>#N/A</v>
      </c>
      <c r="AC24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12" spans="1:29" ht="14.5" hidden="1">
      <c r="A2412" s="220" t="str">
        <f t="shared" si="84"/>
        <v>2408</v>
      </c>
      <c r="B2412" s="221"/>
      <c r="C2412" s="221" t="s">
        <v>48</v>
      </c>
      <c r="D2412" s="221" t="s">
        <v>3691</v>
      </c>
      <c r="E2412" s="221" t="s">
        <v>3295</v>
      </c>
      <c r="F2412" s="221" t="s">
        <v>3299</v>
      </c>
      <c r="G2412" s="222">
        <v>45162</v>
      </c>
      <c r="H2412" s="223">
        <v>15.291666666666666</v>
      </c>
      <c r="I2412" s="221" t="s">
        <v>38</v>
      </c>
      <c r="J2412" s="221" t="s">
        <v>3024</v>
      </c>
      <c r="K2412" s="224" t="s">
        <v>3092</v>
      </c>
      <c r="L2412" s="225" t="str">
        <f>VLOOKUP(Logfile_S12[[#This Row],[Material Name]],Sheet2!B:C,2,0)</f>
        <v>GCI1006</v>
      </c>
      <c r="M2412" s="225" t="str">
        <f>_xlfn.XLOOKUP(Logfile_S12[[#This Row],[Material Name]],Sum_WH!E:E,Sum_WH!F:F,"",0)</f>
        <v>Pcs</v>
      </c>
      <c r="N2412" s="221">
        <v>128</v>
      </c>
      <c r="O2412" s="221" t="s">
        <v>150</v>
      </c>
      <c r="P2412" s="221" t="s">
        <v>151</v>
      </c>
      <c r="Q2412" s="221">
        <v>0</v>
      </c>
      <c r="R2412" s="221">
        <v>0</v>
      </c>
      <c r="S2412" s="221"/>
      <c r="T2412" s="221"/>
      <c r="U2412" s="221"/>
      <c r="V2412" s="221"/>
      <c r="W2412" s="221"/>
      <c r="X2412" s="221"/>
      <c r="Y2412" s="227"/>
      <c r="Z2412" s="227" t="str">
        <f t="shared" si="85"/>
        <v>Mulyorejo RW 04 Sukun</v>
      </c>
      <c r="AA2412" s="276" t="e">
        <f>VLOOKUP(Logfile_S12[[#This Row],[DO number]],DO_DB!G:I,3,0)</f>
        <v>#N/A</v>
      </c>
      <c r="AB2412" s="331" t="e">
        <f>EXACT(Logfile_S12[[#This Row],[date pick]],Logfile_S12[[#This Row],[Date]])</f>
        <v>#N/A</v>
      </c>
      <c r="AC24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13" spans="1:29" ht="14.5" hidden="1">
      <c r="A2413" s="220" t="str">
        <f t="shared" si="84"/>
        <v>2409</v>
      </c>
      <c r="B2413" s="221"/>
      <c r="C2413" s="221" t="s">
        <v>48</v>
      </c>
      <c r="D2413" s="221" t="s">
        <v>3697</v>
      </c>
      <c r="E2413" s="221" t="s">
        <v>3295</v>
      </c>
      <c r="F2413" s="221" t="s">
        <v>3299</v>
      </c>
      <c r="G2413" s="222">
        <v>45173</v>
      </c>
      <c r="H2413" s="223">
        <v>15.291666666666666</v>
      </c>
      <c r="I2413" s="221" t="s">
        <v>3586</v>
      </c>
      <c r="J2413" s="221" t="s">
        <v>3024</v>
      </c>
      <c r="K2413" s="224" t="s">
        <v>3092</v>
      </c>
      <c r="L2413" s="225" t="str">
        <f>VLOOKUP(Logfile_S12[[#This Row],[Material Name]],Sheet2!B:C,2,0)</f>
        <v>GCI1006</v>
      </c>
      <c r="M2413" s="225" t="str">
        <f>_xlfn.XLOOKUP(Logfile_S12[[#This Row],[Material Name]],Sum_WH!E:E,Sum_WH!F:F,"",0)</f>
        <v>Pcs</v>
      </c>
      <c r="N2413" s="221">
        <v>14</v>
      </c>
      <c r="O2413" s="221" t="s">
        <v>84</v>
      </c>
      <c r="P2413" s="221" t="s">
        <v>85</v>
      </c>
      <c r="Q2413" s="221">
        <v>0</v>
      </c>
      <c r="R2413" s="221">
        <v>0</v>
      </c>
      <c r="S2413" s="221"/>
      <c r="T2413" s="221"/>
      <c r="U2413" s="221"/>
      <c r="V2413" s="221"/>
      <c r="W2413" s="221"/>
      <c r="X2413" s="221" t="s">
        <v>3342</v>
      </c>
      <c r="Y2413" s="227"/>
      <c r="Z2413" s="227" t="str">
        <f t="shared" si="85"/>
        <v>Perumahan Bumi Podo Rukun Dau</v>
      </c>
      <c r="AA2413" s="276" t="e">
        <f>VLOOKUP(Logfile_S12[[#This Row],[DO number]],DO_DB!G:I,3,0)</f>
        <v>#N/A</v>
      </c>
      <c r="AB2413" s="331" t="e">
        <f>EXACT(Logfile_S12[[#This Row],[date pick]],Logfile_S12[[#This Row],[Date]])</f>
        <v>#N/A</v>
      </c>
      <c r="AC24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14" spans="1:29" ht="14.5" hidden="1">
      <c r="A2414" s="220" t="str">
        <f t="shared" si="84"/>
        <v>2410</v>
      </c>
      <c r="B2414" s="221"/>
      <c r="C2414" s="221" t="s">
        <v>49</v>
      </c>
      <c r="D2414" s="221" t="s">
        <v>3696</v>
      </c>
      <c r="E2414" s="221" t="s">
        <v>3295</v>
      </c>
      <c r="F2414" s="221" t="s">
        <v>3299</v>
      </c>
      <c r="G2414" s="222">
        <v>45173</v>
      </c>
      <c r="H2414" s="223">
        <v>0.69236111111111109</v>
      </c>
      <c r="I2414" s="221" t="s">
        <v>4916</v>
      </c>
      <c r="J2414" s="221" t="s">
        <v>3024</v>
      </c>
      <c r="K2414" s="224" t="s">
        <v>3092</v>
      </c>
      <c r="L2414" s="225" t="str">
        <f>VLOOKUP(Logfile_S12[[#This Row],[Material Name]],Sheet2!B:C,2,0)</f>
        <v>GCI1006</v>
      </c>
      <c r="M2414" s="225" t="str">
        <f>_xlfn.XLOOKUP(Logfile_S12[[#This Row],[Material Name]],Sum_WH!E:E,Sum_WH!F:F,"",0)</f>
        <v>Pcs</v>
      </c>
      <c r="N2414" s="221">
        <v>80</v>
      </c>
      <c r="O2414" s="221" t="s">
        <v>150</v>
      </c>
      <c r="P2414" s="221" t="s">
        <v>151</v>
      </c>
      <c r="Q2414" s="221"/>
      <c r="R2414" s="221"/>
      <c r="S2414" s="221"/>
      <c r="T2414" s="221" t="s">
        <v>3309</v>
      </c>
      <c r="U2414" s="221" t="s">
        <v>3228</v>
      </c>
      <c r="V2414" s="221" t="s">
        <v>3310</v>
      </c>
      <c r="W2414" s="221" t="s">
        <v>3311</v>
      </c>
      <c r="X2414" s="221"/>
      <c r="Y2414" s="227"/>
      <c r="Z2414" s="227" t="str">
        <f t="shared" si="85"/>
        <v>Mulyorejo RW 04 Sukun</v>
      </c>
      <c r="AA2414" s="276" t="e">
        <f>VLOOKUP(Logfile_S12[[#This Row],[DO number]],DO_DB!G:I,3,0)</f>
        <v>#N/A</v>
      </c>
      <c r="AB2414" s="331" t="e">
        <f>EXACT(Logfile_S12[[#This Row],[date pick]],Logfile_S12[[#This Row],[Date]])</f>
        <v>#N/A</v>
      </c>
      <c r="AC24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15" spans="1:29" ht="14.5" hidden="1">
      <c r="A2415" s="220" t="str">
        <f t="shared" si="84"/>
        <v>2411</v>
      </c>
      <c r="B2415" s="221"/>
      <c r="C2415" s="221" t="s">
        <v>48</v>
      </c>
      <c r="D2415" s="221" t="s">
        <v>3703</v>
      </c>
      <c r="E2415" s="221" t="s">
        <v>3295</v>
      </c>
      <c r="F2415" s="221" t="s">
        <v>3299</v>
      </c>
      <c r="G2415" s="222">
        <v>45177</v>
      </c>
      <c r="H2415" s="223">
        <v>0.67638888888888893</v>
      </c>
      <c r="I2415" s="221" t="s">
        <v>3586</v>
      </c>
      <c r="J2415" s="221" t="s">
        <v>3024</v>
      </c>
      <c r="K2415" s="224" t="s">
        <v>3092</v>
      </c>
      <c r="L2415" s="225" t="str">
        <f>VLOOKUP(Logfile_S12[[#This Row],[Material Name]],Sheet2!B:C,2,0)</f>
        <v>GCI1006</v>
      </c>
      <c r="M2415" s="225" t="str">
        <f>_xlfn.XLOOKUP(Logfile_S12[[#This Row],[Material Name]],Sum_WH!E:E,Sum_WH!F:F,"",0)</f>
        <v>Pcs</v>
      </c>
      <c r="N2415" s="221">
        <v>6</v>
      </c>
      <c r="O2415" s="221" t="s">
        <v>150</v>
      </c>
      <c r="P2415" s="221" t="s">
        <v>151</v>
      </c>
      <c r="Q2415" s="221">
        <v>0</v>
      </c>
      <c r="R2415" s="221">
        <v>0</v>
      </c>
      <c r="S2415" s="221"/>
      <c r="T2415" s="221"/>
      <c r="U2415" s="221"/>
      <c r="V2415" s="221"/>
      <c r="W2415" s="221"/>
      <c r="X2415" s="221" t="s">
        <v>3414</v>
      </c>
      <c r="Y2415" s="227"/>
      <c r="Z2415" s="227" t="str">
        <f t="shared" si="85"/>
        <v>Mulyorejo RW 04 Sukun</v>
      </c>
      <c r="AA2415" s="276" t="e">
        <f>VLOOKUP(Logfile_S12[[#This Row],[DO number]],DO_DB!G:I,3,0)</f>
        <v>#N/A</v>
      </c>
      <c r="AB2415" s="331" t="e">
        <f>EXACT(Logfile_S12[[#This Row],[date pick]],Logfile_S12[[#This Row],[Date]])</f>
        <v>#N/A</v>
      </c>
      <c r="AC24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16" spans="1:29" ht="14.5" hidden="1">
      <c r="A2416" s="220" t="str">
        <f t="shared" si="84"/>
        <v>2412</v>
      </c>
      <c r="B2416" s="221"/>
      <c r="C2416" s="221" t="s">
        <v>49</v>
      </c>
      <c r="D2416" s="221" t="s">
        <v>3701</v>
      </c>
      <c r="E2416" s="221" t="s">
        <v>3295</v>
      </c>
      <c r="F2416" s="221" t="s">
        <v>3299</v>
      </c>
      <c r="G2416" s="222">
        <v>45177</v>
      </c>
      <c r="H2416" s="223">
        <v>0.37083333333333335</v>
      </c>
      <c r="I2416" s="221" t="s">
        <v>4916</v>
      </c>
      <c r="J2416" s="221" t="s">
        <v>3024</v>
      </c>
      <c r="K2416" s="224" t="s">
        <v>3092</v>
      </c>
      <c r="L2416" s="225" t="str">
        <f>VLOOKUP(Logfile_S12[[#This Row],[Material Name]],Sheet2!B:C,2,0)</f>
        <v>GCI1006</v>
      </c>
      <c r="M2416" s="225" t="str">
        <f>_xlfn.XLOOKUP(Logfile_S12[[#This Row],[Material Name]],Sum_WH!E:E,Sum_WH!F:F,"",0)</f>
        <v>Pcs</v>
      </c>
      <c r="N2416" s="221">
        <v>20</v>
      </c>
      <c r="O2416" s="221" t="s">
        <v>150</v>
      </c>
      <c r="P2416" s="221" t="s">
        <v>151</v>
      </c>
      <c r="Q2416" s="221"/>
      <c r="R2416" s="221"/>
      <c r="S2416" s="221"/>
      <c r="T2416" s="221" t="s">
        <v>3309</v>
      </c>
      <c r="U2416" s="221" t="s">
        <v>3228</v>
      </c>
      <c r="V2416" s="221" t="s">
        <v>3310</v>
      </c>
      <c r="W2416" s="221" t="s">
        <v>3311</v>
      </c>
      <c r="X2416" s="221"/>
      <c r="Y2416" s="227"/>
      <c r="Z2416" s="227" t="str">
        <f t="shared" si="85"/>
        <v>Mulyorejo RW 04 Sukun</v>
      </c>
      <c r="AA2416" s="276" t="e">
        <f>VLOOKUP(Logfile_S12[[#This Row],[DO number]],DO_DB!G:I,3,0)</f>
        <v>#N/A</v>
      </c>
      <c r="AB2416" s="331" t="e">
        <f>EXACT(Logfile_S12[[#This Row],[date pick]],Logfile_S12[[#This Row],[Date]])</f>
        <v>#N/A</v>
      </c>
      <c r="AC24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17" spans="1:29" ht="14.5" hidden="1">
      <c r="A2417" s="220" t="str">
        <f t="shared" si="84"/>
        <v>2413</v>
      </c>
      <c r="B2417" s="221"/>
      <c r="C2417" s="221" t="s">
        <v>48</v>
      </c>
      <c r="D2417" s="221" t="s">
        <v>3715</v>
      </c>
      <c r="E2417" s="221" t="s">
        <v>3295</v>
      </c>
      <c r="F2417" s="221" t="s">
        <v>3299</v>
      </c>
      <c r="G2417" s="222">
        <v>45191</v>
      </c>
      <c r="H2417" s="223">
        <v>15.291666666666666</v>
      </c>
      <c r="I2417" s="221" t="s">
        <v>38</v>
      </c>
      <c r="J2417" s="221" t="s">
        <v>3024</v>
      </c>
      <c r="K2417" s="224" t="s">
        <v>3092</v>
      </c>
      <c r="L2417" s="225" t="str">
        <f>VLOOKUP(Logfile_S12[[#This Row],[Material Name]],Sheet2!B:C,2,0)</f>
        <v>GCI1006</v>
      </c>
      <c r="M2417" s="225" t="str">
        <f>_xlfn.XLOOKUP(Logfile_S12[[#This Row],[Material Name]],Sum_WH!E:E,Sum_WH!F:F,"",0)</f>
        <v>Pcs</v>
      </c>
      <c r="N2417" s="221">
        <v>297</v>
      </c>
      <c r="O2417" s="221" t="s">
        <v>222</v>
      </c>
      <c r="P2417" s="221" t="s">
        <v>223</v>
      </c>
      <c r="Q2417" s="221">
        <v>0</v>
      </c>
      <c r="R2417" s="221">
        <v>0</v>
      </c>
      <c r="S2417" s="221"/>
      <c r="T2417" s="221"/>
      <c r="U2417" s="221"/>
      <c r="V2417" s="221"/>
      <c r="W2417" s="221"/>
      <c r="X2417" s="221" t="s">
        <v>3343</v>
      </c>
      <c r="Y2417" s="227"/>
      <c r="Z2417" s="227" t="str">
        <f t="shared" si="85"/>
        <v>Puncak Dieng Exlusif</v>
      </c>
      <c r="AA2417" s="276" t="e">
        <f>VLOOKUP(Logfile_S12[[#This Row],[DO number]],DO_DB!G:I,3,0)</f>
        <v>#N/A</v>
      </c>
      <c r="AB2417" s="331" t="e">
        <f>EXACT(Logfile_S12[[#This Row],[date pick]],Logfile_S12[[#This Row],[Date]])</f>
        <v>#N/A</v>
      </c>
      <c r="AC24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18" spans="1:29" ht="14.5" hidden="1">
      <c r="A2418" s="220" t="str">
        <f t="shared" si="84"/>
        <v>2414</v>
      </c>
      <c r="B2418" s="221"/>
      <c r="C2418" s="221" t="s">
        <v>49</v>
      </c>
      <c r="D2418" s="221" t="s">
        <v>3719</v>
      </c>
      <c r="E2418" s="221" t="s">
        <v>3295</v>
      </c>
      <c r="F2418" s="221" t="s">
        <v>3299</v>
      </c>
      <c r="G2418" s="222">
        <v>45193</v>
      </c>
      <c r="H2418" s="223">
        <v>0.31666666666666665</v>
      </c>
      <c r="I2418" s="221" t="s">
        <v>4916</v>
      </c>
      <c r="J2418" s="221" t="s">
        <v>3024</v>
      </c>
      <c r="K2418" s="224" t="s">
        <v>3092</v>
      </c>
      <c r="L2418" s="225" t="str">
        <f>VLOOKUP(Logfile_S12[[#This Row],[Material Name]],Sheet2!B:C,2,0)</f>
        <v>GCI1006</v>
      </c>
      <c r="M2418" s="225" t="str">
        <f>_xlfn.XLOOKUP(Logfile_S12[[#This Row],[Material Name]],Sum_WH!E:E,Sum_WH!F:F,"",0)</f>
        <v>Pcs</v>
      </c>
      <c r="N2418" s="221">
        <v>37</v>
      </c>
      <c r="O2418" s="221" t="s">
        <v>180</v>
      </c>
      <c r="P2418" s="221" t="s">
        <v>181</v>
      </c>
      <c r="Q2418" s="221"/>
      <c r="R2418" s="221"/>
      <c r="S2418" s="221"/>
      <c r="T2418" s="221" t="s">
        <v>3322</v>
      </c>
      <c r="U2418" s="221" t="s">
        <v>3323</v>
      </c>
      <c r="V2418" s="221" t="s">
        <v>3324</v>
      </c>
      <c r="W2418" s="221" t="s">
        <v>3386</v>
      </c>
      <c r="X2418" s="221"/>
      <c r="Y2418" s="227"/>
      <c r="Z2418" s="227" t="str">
        <f t="shared" si="85"/>
        <v>Mulyorejo RW 06 Sukun</v>
      </c>
      <c r="AA2418" s="276" t="e">
        <f>VLOOKUP(Logfile_S12[[#This Row],[DO number]],DO_DB!G:I,3,0)</f>
        <v>#N/A</v>
      </c>
      <c r="AB2418" s="331" t="e">
        <f>EXACT(Logfile_S12[[#This Row],[date pick]],Logfile_S12[[#This Row],[Date]])</f>
        <v>#N/A</v>
      </c>
      <c r="AC24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19" spans="1:29" ht="14.5" hidden="1">
      <c r="A2419" s="220" t="str">
        <f t="shared" si="84"/>
        <v>2415</v>
      </c>
      <c r="B2419" s="221"/>
      <c r="C2419" s="221" t="s">
        <v>49</v>
      </c>
      <c r="D2419" s="221" t="s">
        <v>3722</v>
      </c>
      <c r="E2419" s="221" t="s">
        <v>3295</v>
      </c>
      <c r="F2419" s="221" t="s">
        <v>3299</v>
      </c>
      <c r="G2419" s="222">
        <v>45194</v>
      </c>
      <c r="H2419" s="223">
        <v>0.27083333333333331</v>
      </c>
      <c r="I2419" s="221" t="s">
        <v>4916</v>
      </c>
      <c r="J2419" s="221" t="s">
        <v>3024</v>
      </c>
      <c r="K2419" s="224" t="s">
        <v>3092</v>
      </c>
      <c r="L2419" s="225" t="str">
        <f>VLOOKUP(Logfile_S12[[#This Row],[Material Name]],Sheet2!B:C,2,0)</f>
        <v>GCI1006</v>
      </c>
      <c r="M2419" s="225" t="str">
        <f>_xlfn.XLOOKUP(Logfile_S12[[#This Row],[Material Name]],Sum_WH!E:E,Sum_WH!F:F,"",0)</f>
        <v>Pcs</v>
      </c>
      <c r="N2419" s="221">
        <v>10</v>
      </c>
      <c r="O2419" s="221" t="s">
        <v>180</v>
      </c>
      <c r="P2419" s="221" t="s">
        <v>181</v>
      </c>
      <c r="Q2419" s="221"/>
      <c r="R2419" s="221"/>
      <c r="S2419" s="221"/>
      <c r="T2419" s="221" t="s">
        <v>3322</v>
      </c>
      <c r="U2419" s="221" t="s">
        <v>3323</v>
      </c>
      <c r="V2419" s="221" t="s">
        <v>3324</v>
      </c>
      <c r="W2419" s="221" t="s">
        <v>3386</v>
      </c>
      <c r="X2419" s="221"/>
      <c r="Y2419" s="227"/>
      <c r="Z2419" s="227" t="str">
        <f t="shared" si="85"/>
        <v>Mulyorejo RW 06 Sukun</v>
      </c>
      <c r="AA2419" s="276" t="e">
        <f>VLOOKUP(Logfile_S12[[#This Row],[DO number]],DO_DB!G:I,3,0)</f>
        <v>#N/A</v>
      </c>
      <c r="AB2419" s="331" t="e">
        <f>EXACT(Logfile_S12[[#This Row],[date pick]],Logfile_S12[[#This Row],[Date]])</f>
        <v>#N/A</v>
      </c>
      <c r="AC24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20" spans="1:29" ht="14.5" hidden="1">
      <c r="A2420" s="220" t="str">
        <f t="shared" si="84"/>
        <v>2416</v>
      </c>
      <c r="B2420" s="221"/>
      <c r="C2420" s="221" t="s">
        <v>49</v>
      </c>
      <c r="D2420" s="221" t="s">
        <v>3722</v>
      </c>
      <c r="E2420" s="221" t="s">
        <v>3295</v>
      </c>
      <c r="F2420" s="221" t="s">
        <v>3299</v>
      </c>
      <c r="G2420" s="222">
        <v>45194</v>
      </c>
      <c r="H2420" s="223">
        <v>0.27083333333333331</v>
      </c>
      <c r="I2420" s="221" t="s">
        <v>4916</v>
      </c>
      <c r="J2420" s="221" t="s">
        <v>3024</v>
      </c>
      <c r="K2420" s="224" t="s">
        <v>3092</v>
      </c>
      <c r="L2420" s="225" t="str">
        <f>VLOOKUP(Logfile_S12[[#This Row],[Material Name]],Sheet2!B:C,2,0)</f>
        <v>GCI1006</v>
      </c>
      <c r="M2420" s="225" t="str">
        <f>_xlfn.XLOOKUP(Logfile_S12[[#This Row],[Material Name]],Sum_WH!E:E,Sum_WH!F:F,"",0)</f>
        <v>Pcs</v>
      </c>
      <c r="N2420" s="221">
        <v>30</v>
      </c>
      <c r="O2420" s="221" t="s">
        <v>222</v>
      </c>
      <c r="P2420" s="221" t="s">
        <v>223</v>
      </c>
      <c r="Q2420" s="221"/>
      <c r="R2420" s="221"/>
      <c r="S2420" s="221"/>
      <c r="T2420" s="221" t="s">
        <v>3322</v>
      </c>
      <c r="U2420" s="221" t="s">
        <v>3323</v>
      </c>
      <c r="V2420" s="221" t="s">
        <v>3324</v>
      </c>
      <c r="W2420" s="221" t="s">
        <v>3325</v>
      </c>
      <c r="X2420" s="221"/>
      <c r="Y2420" s="227"/>
      <c r="Z2420" s="227" t="str">
        <f t="shared" si="85"/>
        <v>Puncak Dieng Exlusif</v>
      </c>
      <c r="AA2420" s="276" t="e">
        <f>VLOOKUP(Logfile_S12[[#This Row],[DO number]],DO_DB!G:I,3,0)</f>
        <v>#N/A</v>
      </c>
      <c r="AB2420" s="331" t="e">
        <f>EXACT(Logfile_S12[[#This Row],[date pick]],Logfile_S12[[#This Row],[Date]])</f>
        <v>#N/A</v>
      </c>
      <c r="AC24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21" spans="1:29" ht="14.5" hidden="1">
      <c r="A2421" s="220" t="str">
        <f t="shared" si="84"/>
        <v>2417</v>
      </c>
      <c r="B2421" s="221"/>
      <c r="C2421" s="221" t="s">
        <v>49</v>
      </c>
      <c r="D2421" s="221" t="s">
        <v>3726</v>
      </c>
      <c r="E2421" s="221" t="s">
        <v>3295</v>
      </c>
      <c r="F2421" s="221" t="s">
        <v>3299</v>
      </c>
      <c r="G2421" s="222">
        <v>45195</v>
      </c>
      <c r="H2421" s="223">
        <v>0.38750000000000001</v>
      </c>
      <c r="I2421" s="221" t="s">
        <v>4916</v>
      </c>
      <c r="J2421" s="221" t="s">
        <v>3024</v>
      </c>
      <c r="K2421" s="224" t="s">
        <v>3092</v>
      </c>
      <c r="L2421" s="225" t="str">
        <f>VLOOKUP(Logfile_S12[[#This Row],[Material Name]],Sheet2!B:C,2,0)</f>
        <v>GCI1006</v>
      </c>
      <c r="M2421" s="225" t="str">
        <f>_xlfn.XLOOKUP(Logfile_S12[[#This Row],[Material Name]],Sum_WH!E:E,Sum_WH!F:F,"",0)</f>
        <v>Pcs</v>
      </c>
      <c r="N2421" s="221">
        <v>2</v>
      </c>
      <c r="O2421" s="221" t="s">
        <v>84</v>
      </c>
      <c r="P2421" s="221" t="s">
        <v>85</v>
      </c>
      <c r="Q2421" s="221"/>
      <c r="R2421" s="221"/>
      <c r="S2421" s="221"/>
      <c r="T2421" s="221" t="s">
        <v>3305</v>
      </c>
      <c r="U2421" s="221">
        <v>0</v>
      </c>
      <c r="V2421" s="221" t="s">
        <v>3464</v>
      </c>
      <c r="W2421" s="221" t="s">
        <v>3246</v>
      </c>
      <c r="X2421" s="221"/>
      <c r="Y2421" s="227"/>
      <c r="Z2421" s="227" t="str">
        <f t="shared" si="85"/>
        <v>Perumahan Bumi Podo Rukun Dau</v>
      </c>
      <c r="AA2421" s="276" t="e">
        <f>VLOOKUP(Logfile_S12[[#This Row],[DO number]],DO_DB!G:I,3,0)</f>
        <v>#N/A</v>
      </c>
      <c r="AB2421" s="331" t="e">
        <f>EXACT(Logfile_S12[[#This Row],[date pick]],Logfile_S12[[#This Row],[Date]])</f>
        <v>#N/A</v>
      </c>
      <c r="AC24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22" spans="1:29" ht="14.5" hidden="1">
      <c r="A2422" s="220" t="str">
        <f t="shared" si="84"/>
        <v>2418</v>
      </c>
      <c r="B2422" s="221"/>
      <c r="C2422" s="221" t="s">
        <v>49</v>
      </c>
      <c r="D2422" s="221" t="s">
        <v>3725</v>
      </c>
      <c r="E2422" s="221" t="s">
        <v>3295</v>
      </c>
      <c r="F2422" s="221" t="s">
        <v>3299</v>
      </c>
      <c r="G2422" s="222">
        <v>45195</v>
      </c>
      <c r="H2422" s="223">
        <v>0.27083333333333331</v>
      </c>
      <c r="I2422" s="221" t="s">
        <v>4916</v>
      </c>
      <c r="J2422" s="221" t="s">
        <v>3024</v>
      </c>
      <c r="K2422" s="224" t="s">
        <v>3092</v>
      </c>
      <c r="L2422" s="225" t="str">
        <f>VLOOKUP(Logfile_S12[[#This Row],[Material Name]],Sheet2!B:C,2,0)</f>
        <v>GCI1006</v>
      </c>
      <c r="M2422" s="225" t="str">
        <f>_xlfn.XLOOKUP(Logfile_S12[[#This Row],[Material Name]],Sum_WH!E:E,Sum_WH!F:F,"",0)</f>
        <v>Pcs</v>
      </c>
      <c r="N2422" s="221">
        <v>50</v>
      </c>
      <c r="O2422" s="221" t="s">
        <v>222</v>
      </c>
      <c r="P2422" s="221" t="s">
        <v>223</v>
      </c>
      <c r="Q2422" s="221"/>
      <c r="R2422" s="221"/>
      <c r="S2422" s="221"/>
      <c r="T2422" s="221" t="s">
        <v>3322</v>
      </c>
      <c r="U2422" s="221" t="s">
        <v>3323</v>
      </c>
      <c r="V2422" s="221" t="s">
        <v>3324</v>
      </c>
      <c r="W2422" s="221" t="s">
        <v>3325</v>
      </c>
      <c r="X2422" s="221"/>
      <c r="Y2422" s="227"/>
      <c r="Z2422" s="227" t="str">
        <f t="shared" si="85"/>
        <v>Puncak Dieng Exlusif</v>
      </c>
      <c r="AA2422" s="276" t="e">
        <f>VLOOKUP(Logfile_S12[[#This Row],[DO number]],DO_DB!G:I,3,0)</f>
        <v>#N/A</v>
      </c>
      <c r="AB2422" s="331" t="e">
        <f>EXACT(Logfile_S12[[#This Row],[date pick]],Logfile_S12[[#This Row],[Date]])</f>
        <v>#N/A</v>
      </c>
      <c r="AC24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23" spans="1:29" ht="14.5" hidden="1">
      <c r="A2423" s="220" t="str">
        <f t="shared" si="84"/>
        <v>2419</v>
      </c>
      <c r="B2423" s="221"/>
      <c r="C2423" s="221" t="s">
        <v>49</v>
      </c>
      <c r="D2423" s="221" t="s">
        <v>3730</v>
      </c>
      <c r="E2423" s="221" t="s">
        <v>3295</v>
      </c>
      <c r="F2423" s="221" t="s">
        <v>3299</v>
      </c>
      <c r="G2423" s="222">
        <v>45196</v>
      </c>
      <c r="H2423" s="223">
        <v>0.52083333333333337</v>
      </c>
      <c r="I2423" s="221" t="s">
        <v>4916</v>
      </c>
      <c r="J2423" s="221" t="s">
        <v>3024</v>
      </c>
      <c r="K2423" s="224" t="s">
        <v>3092</v>
      </c>
      <c r="L2423" s="225" t="str">
        <f>VLOOKUP(Logfile_S12[[#This Row],[Material Name]],Sheet2!B:C,2,0)</f>
        <v>GCI1006</v>
      </c>
      <c r="M2423" s="225" t="str">
        <f>_xlfn.XLOOKUP(Logfile_S12[[#This Row],[Material Name]],Sum_WH!E:E,Sum_WH!F:F,"",0)</f>
        <v>Pcs</v>
      </c>
      <c r="N2423" s="221">
        <v>44</v>
      </c>
      <c r="O2423" s="221" t="s">
        <v>172</v>
      </c>
      <c r="P2423" s="221" t="s">
        <v>3319</v>
      </c>
      <c r="Q2423" s="221"/>
      <c r="R2423" s="221"/>
      <c r="S2423" s="221"/>
      <c r="T2423" s="221" t="s">
        <v>3346</v>
      </c>
      <c r="U2423" s="221" t="s">
        <v>3323</v>
      </c>
      <c r="V2423" s="221" t="s">
        <v>3347</v>
      </c>
      <c r="W2423" s="221" t="s">
        <v>3387</v>
      </c>
      <c r="X2423" s="221"/>
      <c r="Y2423" s="227"/>
      <c r="Z2423" s="227" t="str">
        <f t="shared" si="85"/>
        <v>Pandan Landung RW 03 Wagir</v>
      </c>
      <c r="AA2423" s="276" t="e">
        <f>VLOOKUP(Logfile_S12[[#This Row],[DO number]],DO_DB!G:I,3,0)</f>
        <v>#N/A</v>
      </c>
      <c r="AB2423" s="331" t="e">
        <f>EXACT(Logfile_S12[[#This Row],[date pick]],Logfile_S12[[#This Row],[Date]])</f>
        <v>#N/A</v>
      </c>
      <c r="AC24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24" spans="1:29" ht="14.5" hidden="1">
      <c r="A2424" s="220" t="str">
        <f t="shared" si="84"/>
        <v>2420</v>
      </c>
      <c r="B2424" s="221"/>
      <c r="C2424" s="221" t="s">
        <v>49</v>
      </c>
      <c r="D2424" s="221" t="s">
        <v>3734</v>
      </c>
      <c r="E2424" s="221" t="s">
        <v>3295</v>
      </c>
      <c r="F2424" s="221" t="s">
        <v>3299</v>
      </c>
      <c r="G2424" s="222">
        <v>45200</v>
      </c>
      <c r="H2424" s="223">
        <v>0.27083333333333331</v>
      </c>
      <c r="I2424" s="221" t="s">
        <v>4916</v>
      </c>
      <c r="J2424" s="221" t="s">
        <v>3024</v>
      </c>
      <c r="K2424" s="224" t="s">
        <v>3092</v>
      </c>
      <c r="L2424" s="225" t="str">
        <f>VLOOKUP(Logfile_S12[[#This Row],[Material Name]],Sheet2!B:C,2,0)</f>
        <v>GCI1006</v>
      </c>
      <c r="M2424" s="225" t="str">
        <f>_xlfn.XLOOKUP(Logfile_S12[[#This Row],[Material Name]],Sum_WH!E:E,Sum_WH!F:F,"",0)</f>
        <v>Pcs</v>
      </c>
      <c r="N2424" s="221">
        <v>75</v>
      </c>
      <c r="O2424" s="221" t="s">
        <v>222</v>
      </c>
      <c r="P2424" s="221" t="s">
        <v>223</v>
      </c>
      <c r="Q2424" s="221"/>
      <c r="R2424" s="221"/>
      <c r="S2424" s="221"/>
      <c r="T2424" s="221" t="s">
        <v>3322</v>
      </c>
      <c r="U2424" s="221" t="s">
        <v>3323</v>
      </c>
      <c r="V2424" s="221" t="s">
        <v>3324</v>
      </c>
      <c r="W2424" s="221" t="s">
        <v>3386</v>
      </c>
      <c r="X2424" s="221"/>
      <c r="Y2424" s="227"/>
      <c r="Z2424" s="227" t="str">
        <f t="shared" si="85"/>
        <v>Puncak Dieng Exlusif</v>
      </c>
      <c r="AA2424" s="276" t="e">
        <f>VLOOKUP(Logfile_S12[[#This Row],[DO number]],DO_DB!G:I,3,0)</f>
        <v>#N/A</v>
      </c>
      <c r="AB2424" s="331" t="e">
        <f>EXACT(Logfile_S12[[#This Row],[date pick]],Logfile_S12[[#This Row],[Date]])</f>
        <v>#N/A</v>
      </c>
      <c r="AC24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25" spans="1:29" ht="14.5" hidden="1">
      <c r="A2425" s="220" t="str">
        <f t="shared" si="84"/>
        <v>2421</v>
      </c>
      <c r="B2425" s="221"/>
      <c r="C2425" s="221" t="s">
        <v>48</v>
      </c>
      <c r="D2425" s="221" t="s">
        <v>3737</v>
      </c>
      <c r="E2425" s="221" t="s">
        <v>3295</v>
      </c>
      <c r="F2425" s="221" t="s">
        <v>3299</v>
      </c>
      <c r="G2425" s="222">
        <v>45201</v>
      </c>
      <c r="H2425" s="223">
        <v>15.291666666666666</v>
      </c>
      <c r="I2425" s="221" t="s">
        <v>38</v>
      </c>
      <c r="J2425" s="221" t="s">
        <v>3024</v>
      </c>
      <c r="K2425" s="224" t="s">
        <v>3092</v>
      </c>
      <c r="L2425" s="225" t="str">
        <f>VLOOKUP(Logfile_S12[[#This Row],[Material Name]],Sheet2!B:C,2,0)</f>
        <v>GCI1006</v>
      </c>
      <c r="M2425" s="225" t="str">
        <f>_xlfn.XLOOKUP(Logfile_S12[[#This Row],[Material Name]],Sum_WH!E:E,Sum_WH!F:F,"",0)</f>
        <v>Pcs</v>
      </c>
      <c r="N2425" s="221">
        <v>135</v>
      </c>
      <c r="O2425" s="221" t="s">
        <v>172</v>
      </c>
      <c r="P2425" s="221" t="s">
        <v>3319</v>
      </c>
      <c r="Q2425" s="221">
        <v>0</v>
      </c>
      <c r="R2425" s="221">
        <v>0</v>
      </c>
      <c r="S2425" s="221"/>
      <c r="T2425" s="221"/>
      <c r="U2425" s="221"/>
      <c r="V2425" s="221"/>
      <c r="W2425" s="221"/>
      <c r="X2425" s="221"/>
      <c r="Y2425" s="227"/>
      <c r="Z2425" s="227" t="str">
        <f t="shared" si="85"/>
        <v>Pandan Landung RW 03 Wagir</v>
      </c>
      <c r="AA2425" s="276" t="e">
        <f>VLOOKUP(Logfile_S12[[#This Row],[DO number]],DO_DB!G:I,3,0)</f>
        <v>#N/A</v>
      </c>
      <c r="AB2425" s="331" t="e">
        <f>EXACT(Logfile_S12[[#This Row],[date pick]],Logfile_S12[[#This Row],[Date]])</f>
        <v>#N/A</v>
      </c>
      <c r="AC24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26" spans="1:29" ht="14.5" hidden="1">
      <c r="A2426" s="220" t="str">
        <f t="shared" si="84"/>
        <v>2422</v>
      </c>
      <c r="B2426" s="221"/>
      <c r="C2426" s="221" t="s">
        <v>49</v>
      </c>
      <c r="D2426" s="221" t="s">
        <v>3738</v>
      </c>
      <c r="E2426" s="221" t="s">
        <v>3295</v>
      </c>
      <c r="F2426" s="221" t="s">
        <v>3299</v>
      </c>
      <c r="G2426" s="222">
        <v>45203</v>
      </c>
      <c r="H2426" s="223">
        <v>0.40277777777777773</v>
      </c>
      <c r="I2426" s="221" t="s">
        <v>4916</v>
      </c>
      <c r="J2426" s="221" t="s">
        <v>3024</v>
      </c>
      <c r="K2426" s="224" t="s">
        <v>3465</v>
      </c>
      <c r="L2426" s="225" t="str">
        <f>VLOOKUP(Logfile_S12[[#This Row],[Material Name]],Sheet2!B:C,2,0)</f>
        <v>GCI1006</v>
      </c>
      <c r="M2426" s="225" t="str">
        <f>_xlfn.XLOOKUP(Logfile_S12[[#This Row],[Material Name]],Sum_WH!E:E,Sum_WH!F:F,"",0)</f>
        <v>Pcs</v>
      </c>
      <c r="N2426" s="221">
        <v>10</v>
      </c>
      <c r="O2426" s="221" t="s">
        <v>164</v>
      </c>
      <c r="P2426" s="221" t="s">
        <v>3320</v>
      </c>
      <c r="Q2426" s="221"/>
      <c r="R2426" s="221"/>
      <c r="S2426" s="221"/>
      <c r="T2426" s="221" t="s">
        <v>3346</v>
      </c>
      <c r="U2426" s="221">
        <v>0</v>
      </c>
      <c r="V2426" s="221" t="s">
        <v>3347</v>
      </c>
      <c r="W2426" s="221" t="s">
        <v>3334</v>
      </c>
      <c r="X2426" s="221"/>
      <c r="Y2426" s="227"/>
      <c r="Z2426" s="227" t="str">
        <f t="shared" si="85"/>
        <v>Pandan Landung RW 04 Wagir</v>
      </c>
      <c r="AA2426" s="276" t="e">
        <f>VLOOKUP(Logfile_S12[[#This Row],[DO number]],DO_DB!G:I,3,0)</f>
        <v>#N/A</v>
      </c>
      <c r="AB2426" s="331" t="e">
        <f>EXACT(Logfile_S12[[#This Row],[date pick]],Logfile_S12[[#This Row],[Date]])</f>
        <v>#N/A</v>
      </c>
      <c r="AC24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27" spans="1:29" ht="14.5" hidden="1">
      <c r="A2427" s="220" t="str">
        <f t="shared" si="84"/>
        <v>2423</v>
      </c>
      <c r="B2427" s="221"/>
      <c r="C2427" s="221" t="s">
        <v>49</v>
      </c>
      <c r="D2427" s="221" t="s">
        <v>3741</v>
      </c>
      <c r="E2427" s="221" t="s">
        <v>3295</v>
      </c>
      <c r="F2427" s="221" t="s">
        <v>3299</v>
      </c>
      <c r="G2427" s="222">
        <v>45205</v>
      </c>
      <c r="H2427" s="223">
        <v>0.39374999999999999</v>
      </c>
      <c r="I2427" s="221" t="s">
        <v>4916</v>
      </c>
      <c r="J2427" s="221" t="s">
        <v>3024</v>
      </c>
      <c r="K2427" s="224" t="s">
        <v>3092</v>
      </c>
      <c r="L2427" s="225" t="str">
        <f>VLOOKUP(Logfile_S12[[#This Row],[Material Name]],Sheet2!B:C,2,0)</f>
        <v>GCI1006</v>
      </c>
      <c r="M2427" s="225" t="str">
        <f>_xlfn.XLOOKUP(Logfile_S12[[#This Row],[Material Name]],Sum_WH!E:E,Sum_WH!F:F,"",0)</f>
        <v>Pcs</v>
      </c>
      <c r="N2427" s="221">
        <v>60</v>
      </c>
      <c r="O2427" s="221" t="s">
        <v>222</v>
      </c>
      <c r="P2427" s="221" t="s">
        <v>223</v>
      </c>
      <c r="Q2427" s="221"/>
      <c r="R2427" s="221"/>
      <c r="S2427" s="221"/>
      <c r="T2427" s="221" t="s">
        <v>3322</v>
      </c>
      <c r="U2427" s="221" t="s">
        <v>3323</v>
      </c>
      <c r="V2427" s="221" t="s">
        <v>3324</v>
      </c>
      <c r="W2427" s="221" t="s">
        <v>3325</v>
      </c>
      <c r="X2427" s="221"/>
      <c r="Y2427" s="227"/>
      <c r="Z2427" s="227" t="str">
        <f t="shared" si="85"/>
        <v>Puncak Dieng Exlusif</v>
      </c>
      <c r="AA2427" s="276" t="e">
        <f>VLOOKUP(Logfile_S12[[#This Row],[DO number]],DO_DB!G:I,3,0)</f>
        <v>#N/A</v>
      </c>
      <c r="AB2427" s="331" t="e">
        <f>EXACT(Logfile_S12[[#This Row],[date pick]],Logfile_S12[[#This Row],[Date]])</f>
        <v>#N/A</v>
      </c>
      <c r="AC24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28" spans="1:29" ht="14.5" hidden="1">
      <c r="A2428" s="220" t="str">
        <f t="shared" si="84"/>
        <v>2424</v>
      </c>
      <c r="B2428" s="221"/>
      <c r="C2428" s="221" t="s">
        <v>49</v>
      </c>
      <c r="D2428" s="221" t="s">
        <v>3742</v>
      </c>
      <c r="E2428" s="221" t="s">
        <v>3295</v>
      </c>
      <c r="F2428" s="221" t="s">
        <v>3299</v>
      </c>
      <c r="G2428" s="222">
        <v>45207</v>
      </c>
      <c r="H2428" s="223">
        <v>0.39027777777777778</v>
      </c>
      <c r="I2428" s="221" t="s">
        <v>4916</v>
      </c>
      <c r="J2428" s="221" t="s">
        <v>3024</v>
      </c>
      <c r="K2428" s="224" t="s">
        <v>3212</v>
      </c>
      <c r="L2428" s="225" t="str">
        <f>VLOOKUP(Logfile_S12[[#This Row],[Material Name]],Sheet2!B:C,2,0)</f>
        <v>GCI1006</v>
      </c>
      <c r="M2428" s="225" t="str">
        <f>_xlfn.XLOOKUP(Logfile_S12[[#This Row],[Material Name]],Sum_WH!E:E,Sum_WH!F:F,"",0)</f>
        <v>Pcs</v>
      </c>
      <c r="N2428" s="221">
        <v>35</v>
      </c>
      <c r="O2428" s="221" t="s">
        <v>222</v>
      </c>
      <c r="P2428" s="221" t="s">
        <v>223</v>
      </c>
      <c r="Q2428" s="221"/>
      <c r="R2428" s="221"/>
      <c r="S2428" s="221"/>
      <c r="T2428" s="221" t="s">
        <v>3322</v>
      </c>
      <c r="U2428" s="221" t="s">
        <v>3323</v>
      </c>
      <c r="V2428" s="221" t="s">
        <v>3324</v>
      </c>
      <c r="W2428" s="221" t="s">
        <v>3325</v>
      </c>
      <c r="X2428" s="221"/>
      <c r="Y2428" s="227"/>
      <c r="Z2428" s="227" t="str">
        <f t="shared" si="85"/>
        <v>Puncak Dieng Exlusif</v>
      </c>
      <c r="AA2428" s="276" t="e">
        <f>VLOOKUP(Logfile_S12[[#This Row],[DO number]],DO_DB!G:I,3,0)</f>
        <v>#N/A</v>
      </c>
      <c r="AB2428" s="331" t="e">
        <f>EXACT(Logfile_S12[[#This Row],[date pick]],Logfile_S12[[#This Row],[Date]])</f>
        <v>#N/A</v>
      </c>
      <c r="AC24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29" spans="1:29" ht="14.5" hidden="1">
      <c r="A2429" s="220" t="str">
        <f t="shared" si="84"/>
        <v>2425</v>
      </c>
      <c r="B2429" s="221"/>
      <c r="C2429" s="221" t="s">
        <v>49</v>
      </c>
      <c r="D2429" s="221" t="s">
        <v>3745</v>
      </c>
      <c r="E2429" s="221" t="s">
        <v>3295</v>
      </c>
      <c r="F2429" s="221" t="s">
        <v>3299</v>
      </c>
      <c r="G2429" s="222">
        <v>45210</v>
      </c>
      <c r="H2429" s="223">
        <v>0.45624999999999999</v>
      </c>
      <c r="I2429" s="221" t="s">
        <v>4916</v>
      </c>
      <c r="J2429" s="221" t="s">
        <v>3024</v>
      </c>
      <c r="K2429" s="224" t="s">
        <v>3092</v>
      </c>
      <c r="L2429" s="225" t="str">
        <f>VLOOKUP(Logfile_S12[[#This Row],[Material Name]],Sheet2!B:C,2,0)</f>
        <v>GCI1006</v>
      </c>
      <c r="M2429" s="225" t="str">
        <f>_xlfn.XLOOKUP(Logfile_S12[[#This Row],[Material Name]],Sum_WH!E:E,Sum_WH!F:F,"",0)</f>
        <v>Pcs</v>
      </c>
      <c r="N2429" s="221">
        <v>30</v>
      </c>
      <c r="O2429" s="221" t="s">
        <v>222</v>
      </c>
      <c r="P2429" s="221" t="s">
        <v>223</v>
      </c>
      <c r="Q2429" s="221"/>
      <c r="R2429" s="221"/>
      <c r="S2429" s="221"/>
      <c r="T2429" s="221" t="s">
        <v>3322</v>
      </c>
      <c r="U2429" s="221" t="s">
        <v>3323</v>
      </c>
      <c r="V2429" s="221" t="s">
        <v>3324</v>
      </c>
      <c r="W2429" s="221" t="s">
        <v>3349</v>
      </c>
      <c r="X2429" s="221"/>
      <c r="Y2429" s="227"/>
      <c r="Z2429" s="227" t="str">
        <f t="shared" si="85"/>
        <v>Puncak Dieng Exlusif</v>
      </c>
      <c r="AA2429" s="276" t="e">
        <f>VLOOKUP(Logfile_S12[[#This Row],[DO number]],DO_DB!G:I,3,0)</f>
        <v>#N/A</v>
      </c>
      <c r="AB2429" s="331" t="e">
        <f>EXACT(Logfile_S12[[#This Row],[date pick]],Logfile_S12[[#This Row],[Date]])</f>
        <v>#N/A</v>
      </c>
      <c r="AC24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30" spans="1:29" ht="14.5" hidden="1">
      <c r="A2430" s="220" t="str">
        <f t="shared" si="84"/>
        <v>2426</v>
      </c>
      <c r="B2430" s="221"/>
      <c r="C2430" s="221" t="s">
        <v>49</v>
      </c>
      <c r="D2430" s="221" t="s">
        <v>3765</v>
      </c>
      <c r="E2430" s="221" t="s">
        <v>3295</v>
      </c>
      <c r="F2430" s="221" t="s">
        <v>3299</v>
      </c>
      <c r="G2430" s="222">
        <v>45217</v>
      </c>
      <c r="H2430" s="223">
        <v>0.58680555555555558</v>
      </c>
      <c r="I2430" s="221" t="s">
        <v>4916</v>
      </c>
      <c r="J2430" s="221" t="s">
        <v>3024</v>
      </c>
      <c r="K2430" s="224" t="s">
        <v>3092</v>
      </c>
      <c r="L2430" s="225" t="str">
        <f>VLOOKUP(Logfile_S12[[#This Row],[Material Name]],Sheet2!B:C,2,0)</f>
        <v>GCI1006</v>
      </c>
      <c r="M2430" s="225" t="str">
        <f>_xlfn.XLOOKUP(Logfile_S12[[#This Row],[Material Name]],Sum_WH!E:E,Sum_WH!F:F,"",0)</f>
        <v>Pcs</v>
      </c>
      <c r="N2430" s="221">
        <v>50</v>
      </c>
      <c r="O2430" s="221" t="s">
        <v>172</v>
      </c>
      <c r="P2430" s="221" t="s">
        <v>3319</v>
      </c>
      <c r="Q2430" s="221"/>
      <c r="R2430" s="221"/>
      <c r="S2430" s="221"/>
      <c r="T2430" s="221" t="s">
        <v>3346</v>
      </c>
      <c r="U2430" s="221">
        <v>0</v>
      </c>
      <c r="V2430" s="221" t="s">
        <v>3347</v>
      </c>
      <c r="W2430" s="221" t="s">
        <v>3334</v>
      </c>
      <c r="X2430" s="221"/>
      <c r="Y2430" s="227"/>
      <c r="Z2430" s="227" t="str">
        <f t="shared" si="85"/>
        <v>Pandan Landung RW 03 Wagir</v>
      </c>
      <c r="AA2430" s="276" t="e">
        <f>VLOOKUP(Logfile_S12[[#This Row],[DO number]],DO_DB!G:I,3,0)</f>
        <v>#N/A</v>
      </c>
      <c r="AB2430" s="331" t="e">
        <f>EXACT(Logfile_S12[[#This Row],[date pick]],Logfile_S12[[#This Row],[Date]])</f>
        <v>#N/A</v>
      </c>
      <c r="AC24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31" spans="1:29" ht="14.5" hidden="1">
      <c r="A2431" s="220" t="str">
        <f t="shared" si="84"/>
        <v>2427</v>
      </c>
      <c r="B2431" s="221"/>
      <c r="C2431" s="221" t="s">
        <v>49</v>
      </c>
      <c r="D2431" s="221" t="s">
        <v>3783</v>
      </c>
      <c r="E2431" s="221" t="s">
        <v>3295</v>
      </c>
      <c r="F2431" s="221" t="s">
        <v>3299</v>
      </c>
      <c r="G2431" s="222">
        <v>45220</v>
      </c>
      <c r="H2431" s="223">
        <v>0.97499999999999998</v>
      </c>
      <c r="I2431" s="221" t="s">
        <v>4916</v>
      </c>
      <c r="J2431" s="221" t="s">
        <v>3024</v>
      </c>
      <c r="K2431" s="224" t="s">
        <v>3092</v>
      </c>
      <c r="L2431" s="225" t="str">
        <f>VLOOKUP(Logfile_S12[[#This Row],[Material Name]],Sheet2!B:C,2,0)</f>
        <v>GCI1006</v>
      </c>
      <c r="M2431" s="225" t="str">
        <f>_xlfn.XLOOKUP(Logfile_S12[[#This Row],[Material Name]],Sum_WH!E:E,Sum_WH!F:F,"",0)</f>
        <v>Pcs</v>
      </c>
      <c r="N2431" s="221">
        <v>46</v>
      </c>
      <c r="O2431" s="221">
        <v>0</v>
      </c>
      <c r="P2431" s="221">
        <v>0</v>
      </c>
      <c r="Q2431" s="221"/>
      <c r="R2431" s="221"/>
      <c r="S2431" s="221"/>
      <c r="T2431" s="221" t="s">
        <v>3332</v>
      </c>
      <c r="U2431" s="221">
        <v>0</v>
      </c>
      <c r="V2431" s="221" t="s">
        <v>3333</v>
      </c>
      <c r="W2431" s="221" t="s">
        <v>3334</v>
      </c>
      <c r="X2431" s="221"/>
      <c r="Y2431" s="227"/>
      <c r="Z2431" s="227">
        <f t="shared" si="85"/>
        <v>0</v>
      </c>
      <c r="AA2431" s="276" t="e">
        <f>VLOOKUP(Logfile_S12[[#This Row],[DO number]],DO_DB!G:I,3,0)</f>
        <v>#N/A</v>
      </c>
      <c r="AB2431" s="331" t="e">
        <f>EXACT(Logfile_S12[[#This Row],[date pick]],Logfile_S12[[#This Row],[Date]])</f>
        <v>#N/A</v>
      </c>
      <c r="AC24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32" spans="1:29" ht="14.5" hidden="1">
      <c r="A2432" s="220" t="str">
        <f t="shared" si="84"/>
        <v>2428</v>
      </c>
      <c r="B2432" s="221"/>
      <c r="C2432" s="221" t="s">
        <v>49</v>
      </c>
      <c r="D2432" s="221" t="s">
        <v>3795</v>
      </c>
      <c r="E2432" s="221" t="s">
        <v>3295</v>
      </c>
      <c r="F2432" s="221" t="s">
        <v>3299</v>
      </c>
      <c r="G2432" s="222">
        <v>45223</v>
      </c>
      <c r="H2432" s="223">
        <v>0.56736111111111109</v>
      </c>
      <c r="I2432" s="221" t="s">
        <v>4916</v>
      </c>
      <c r="J2432" s="221" t="s">
        <v>3024</v>
      </c>
      <c r="K2432" s="224" t="s">
        <v>3465</v>
      </c>
      <c r="L2432" s="225" t="str">
        <f>VLOOKUP(Logfile_S12[[#This Row],[Material Name]],Sheet2!B:C,2,0)</f>
        <v>GCI1006</v>
      </c>
      <c r="M2432" s="225" t="str">
        <f>_xlfn.XLOOKUP(Logfile_S12[[#This Row],[Material Name]],Sum_WH!E:E,Sum_WH!F:F,"",0)</f>
        <v>Pcs</v>
      </c>
      <c r="N2432" s="221">
        <v>1</v>
      </c>
      <c r="O2432" s="221" t="s">
        <v>150</v>
      </c>
      <c r="P2432" s="221" t="s">
        <v>151</v>
      </c>
      <c r="Q2432" s="221"/>
      <c r="R2432" s="221"/>
      <c r="S2432" s="221"/>
      <c r="T2432" s="221" t="s">
        <v>3329</v>
      </c>
      <c r="U2432" s="221">
        <v>0</v>
      </c>
      <c r="V2432" s="221" t="s">
        <v>3330</v>
      </c>
      <c r="W2432" s="221" t="s">
        <v>3240</v>
      </c>
      <c r="X2432" s="221"/>
      <c r="Y2432" s="227"/>
      <c r="Z2432" s="227" t="str">
        <f t="shared" si="85"/>
        <v>Mulyorejo RW 04 Sukun</v>
      </c>
      <c r="AA2432" s="276" t="e">
        <f>VLOOKUP(Logfile_S12[[#This Row],[DO number]],DO_DB!G:I,3,0)</f>
        <v>#N/A</v>
      </c>
      <c r="AB2432" s="331" t="e">
        <f>EXACT(Logfile_S12[[#This Row],[date pick]],Logfile_S12[[#This Row],[Date]])</f>
        <v>#N/A</v>
      </c>
      <c r="AC24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33" spans="1:29" ht="14.5" hidden="1">
      <c r="A2433" s="220" t="str">
        <f t="shared" si="84"/>
        <v>2429</v>
      </c>
      <c r="B2433" s="221"/>
      <c r="C2433" s="221" t="s">
        <v>48</v>
      </c>
      <c r="D2433" s="221" t="s">
        <v>3683</v>
      </c>
      <c r="E2433" s="221" t="s">
        <v>3295</v>
      </c>
      <c r="F2433" s="221" t="s">
        <v>3299</v>
      </c>
      <c r="G2433" s="222">
        <v>45147</v>
      </c>
      <c r="H2433" s="223">
        <v>15.291666666666666</v>
      </c>
      <c r="I2433" s="221" t="s">
        <v>38</v>
      </c>
      <c r="J2433" s="221" t="s">
        <v>3024</v>
      </c>
      <c r="K2433" s="224" t="s">
        <v>3089</v>
      </c>
      <c r="L2433" s="225" t="str">
        <f>VLOOKUP(Logfile_S12[[#This Row],[Material Name]],Sheet2!B:C,2,0)</f>
        <v>GCI1003</v>
      </c>
      <c r="M2433" s="225" t="str">
        <f>_xlfn.XLOOKUP(Logfile_S12[[#This Row],[Material Name]],Sum_WH!E:E,Sum_WH!F:F,"",0)</f>
        <v>Pcs</v>
      </c>
      <c r="N2433" s="221">
        <v>100</v>
      </c>
      <c r="O2433" s="221" t="s">
        <v>84</v>
      </c>
      <c r="P2433" s="221" t="s">
        <v>85</v>
      </c>
      <c r="Q2433" s="221">
        <v>0</v>
      </c>
      <c r="R2433" s="221">
        <v>0</v>
      </c>
      <c r="S2433" s="221"/>
      <c r="T2433" s="221"/>
      <c r="U2433" s="221"/>
      <c r="V2433" s="221"/>
      <c r="W2433" s="221"/>
      <c r="X2433" s="221"/>
      <c r="Y2433" s="227"/>
      <c r="Z2433" s="227" t="str">
        <f t="shared" si="85"/>
        <v>Perumahan Bumi Podo Rukun Dau</v>
      </c>
      <c r="AA2433" s="276" t="e">
        <f>VLOOKUP(Logfile_S12[[#This Row],[DO number]],DO_DB!G:I,3,0)</f>
        <v>#N/A</v>
      </c>
      <c r="AB2433" s="331" t="e">
        <f>EXACT(Logfile_S12[[#This Row],[date pick]],Logfile_S12[[#This Row],[Date]])</f>
        <v>#N/A</v>
      </c>
      <c r="AC24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34" spans="1:29" ht="14.5" hidden="1">
      <c r="A2434" s="220" t="str">
        <f t="shared" si="84"/>
        <v>2430</v>
      </c>
      <c r="B2434" s="221"/>
      <c r="C2434" s="221" t="s">
        <v>49</v>
      </c>
      <c r="D2434" s="221" t="s">
        <v>3684</v>
      </c>
      <c r="E2434" s="221" t="s">
        <v>3295</v>
      </c>
      <c r="F2434" s="221" t="s">
        <v>3299</v>
      </c>
      <c r="G2434" s="222">
        <v>45148</v>
      </c>
      <c r="H2434" s="223">
        <v>15.692638888888888</v>
      </c>
      <c r="I2434" s="221" t="s">
        <v>4916</v>
      </c>
      <c r="J2434" s="221" t="s">
        <v>3024</v>
      </c>
      <c r="K2434" s="224" t="s">
        <v>3089</v>
      </c>
      <c r="L2434" s="225" t="str">
        <f>VLOOKUP(Logfile_S12[[#This Row],[Material Name]],Sheet2!B:C,2,0)</f>
        <v>GCI1003</v>
      </c>
      <c r="M2434" s="225" t="str">
        <f>_xlfn.XLOOKUP(Logfile_S12[[#This Row],[Material Name]],Sum_WH!E:E,Sum_WH!F:F,"",0)</f>
        <v>Pcs</v>
      </c>
      <c r="N2434" s="221">
        <v>100</v>
      </c>
      <c r="O2434" s="221" t="s">
        <v>84</v>
      </c>
      <c r="P2434" s="221" t="s">
        <v>85</v>
      </c>
      <c r="Q2434" s="221"/>
      <c r="R2434" s="221"/>
      <c r="S2434" s="221"/>
      <c r="T2434" s="221" t="s">
        <v>3305</v>
      </c>
      <c r="U2434" s="221" t="s">
        <v>3228</v>
      </c>
      <c r="V2434" s="221" t="s">
        <v>3306</v>
      </c>
      <c r="W2434" s="221" t="s">
        <v>3307</v>
      </c>
      <c r="X2434" s="221"/>
      <c r="Y2434" s="227"/>
      <c r="Z2434" s="227" t="str">
        <f t="shared" si="85"/>
        <v>Perumahan Bumi Podo Rukun Dau</v>
      </c>
      <c r="AA2434" s="276" t="e">
        <f>VLOOKUP(Logfile_S12[[#This Row],[DO number]],DO_DB!G:I,3,0)</f>
        <v>#N/A</v>
      </c>
      <c r="AB2434" s="331" t="e">
        <f>EXACT(Logfile_S12[[#This Row],[date pick]],Logfile_S12[[#This Row],[Date]])</f>
        <v>#N/A</v>
      </c>
      <c r="AC24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35" spans="1:29" ht="14.5" hidden="1">
      <c r="A2435" s="220" t="str">
        <f t="shared" si="84"/>
        <v>2431</v>
      </c>
      <c r="B2435" s="221"/>
      <c r="C2435" s="221" t="s">
        <v>48</v>
      </c>
      <c r="D2435" s="221" t="s">
        <v>3691</v>
      </c>
      <c r="E2435" s="221" t="s">
        <v>3295</v>
      </c>
      <c r="F2435" s="221" t="s">
        <v>3299</v>
      </c>
      <c r="G2435" s="222">
        <v>45162</v>
      </c>
      <c r="H2435" s="223">
        <v>15.291666666666666</v>
      </c>
      <c r="I2435" s="221" t="s">
        <v>38</v>
      </c>
      <c r="J2435" s="221" t="s">
        <v>3024</v>
      </c>
      <c r="K2435" s="224" t="s">
        <v>3089</v>
      </c>
      <c r="L2435" s="225" t="str">
        <f>VLOOKUP(Logfile_S12[[#This Row],[Material Name]],Sheet2!B:C,2,0)</f>
        <v>GCI1003</v>
      </c>
      <c r="M2435" s="225" t="str">
        <f>_xlfn.XLOOKUP(Logfile_S12[[#This Row],[Material Name]],Sum_WH!E:E,Sum_WH!F:F,"",0)</f>
        <v>Pcs</v>
      </c>
      <c r="N2435" s="221">
        <v>100</v>
      </c>
      <c r="O2435" s="221" t="s">
        <v>150</v>
      </c>
      <c r="P2435" s="221" t="s">
        <v>151</v>
      </c>
      <c r="Q2435" s="221">
        <v>0</v>
      </c>
      <c r="R2435" s="221">
        <v>0</v>
      </c>
      <c r="S2435" s="221"/>
      <c r="T2435" s="221"/>
      <c r="U2435" s="221"/>
      <c r="V2435" s="221"/>
      <c r="W2435" s="221"/>
      <c r="X2435" s="221"/>
      <c r="Y2435" s="227"/>
      <c r="Z2435" s="227" t="str">
        <f t="shared" si="85"/>
        <v>Mulyorejo RW 04 Sukun</v>
      </c>
      <c r="AA2435" s="276" t="e">
        <f>VLOOKUP(Logfile_S12[[#This Row],[DO number]],DO_DB!G:I,3,0)</f>
        <v>#N/A</v>
      </c>
      <c r="AB2435" s="331" t="e">
        <f>EXACT(Logfile_S12[[#This Row],[date pick]],Logfile_S12[[#This Row],[Date]])</f>
        <v>#N/A</v>
      </c>
      <c r="AC24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36" spans="1:29" ht="14.5" hidden="1">
      <c r="A2436" s="220" t="str">
        <f t="shared" si="84"/>
        <v>2432</v>
      </c>
      <c r="B2436" s="221"/>
      <c r="C2436" s="221" t="s">
        <v>49</v>
      </c>
      <c r="D2436" s="221" t="s">
        <v>3696</v>
      </c>
      <c r="E2436" s="221" t="s">
        <v>3295</v>
      </c>
      <c r="F2436" s="221" t="s">
        <v>3299</v>
      </c>
      <c r="G2436" s="222">
        <v>45173</v>
      </c>
      <c r="H2436" s="223">
        <v>0.69236111111111109</v>
      </c>
      <c r="I2436" s="221" t="s">
        <v>4916</v>
      </c>
      <c r="J2436" s="221" t="s">
        <v>3024</v>
      </c>
      <c r="K2436" s="224" t="s">
        <v>3089</v>
      </c>
      <c r="L2436" s="225" t="str">
        <f>VLOOKUP(Logfile_S12[[#This Row],[Material Name]],Sheet2!B:C,2,0)</f>
        <v>GCI1003</v>
      </c>
      <c r="M2436" s="225" t="str">
        <f>_xlfn.XLOOKUP(Logfile_S12[[#This Row],[Material Name]],Sum_WH!E:E,Sum_WH!F:F,"",0)</f>
        <v>Pcs</v>
      </c>
      <c r="N2436" s="221">
        <v>100</v>
      </c>
      <c r="O2436" s="221" t="s">
        <v>150</v>
      </c>
      <c r="P2436" s="221" t="s">
        <v>151</v>
      </c>
      <c r="Q2436" s="221"/>
      <c r="R2436" s="221"/>
      <c r="S2436" s="221"/>
      <c r="T2436" s="221" t="s">
        <v>3309</v>
      </c>
      <c r="U2436" s="221" t="s">
        <v>3228</v>
      </c>
      <c r="V2436" s="221" t="s">
        <v>3310</v>
      </c>
      <c r="W2436" s="221" t="s">
        <v>3311</v>
      </c>
      <c r="X2436" s="221"/>
      <c r="Y2436" s="227"/>
      <c r="Z2436" s="227" t="str">
        <f t="shared" si="85"/>
        <v>Mulyorejo RW 04 Sukun</v>
      </c>
      <c r="AA2436" s="276" t="e">
        <f>VLOOKUP(Logfile_S12[[#This Row],[DO number]],DO_DB!G:I,3,0)</f>
        <v>#N/A</v>
      </c>
      <c r="AB2436" s="331" t="e">
        <f>EXACT(Logfile_S12[[#This Row],[date pick]],Logfile_S12[[#This Row],[Date]])</f>
        <v>#N/A</v>
      </c>
      <c r="AC24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37" spans="1:29" ht="14.5" hidden="1">
      <c r="A2437" s="220" t="str">
        <f t="shared" ref="A2437:A2500" si="86">TEXT(ROW(A2437)-ROW($A$4),"000")</f>
        <v>2433</v>
      </c>
      <c r="B2437" s="221"/>
      <c r="C2437" s="221" t="s">
        <v>48</v>
      </c>
      <c r="D2437" s="221" t="s">
        <v>3715</v>
      </c>
      <c r="E2437" s="221" t="s">
        <v>3295</v>
      </c>
      <c r="F2437" s="221" t="s">
        <v>3299</v>
      </c>
      <c r="G2437" s="222">
        <v>45191</v>
      </c>
      <c r="H2437" s="223">
        <v>15.291666666666666</v>
      </c>
      <c r="I2437" s="221" t="s">
        <v>38</v>
      </c>
      <c r="J2437" s="221" t="s">
        <v>3024</v>
      </c>
      <c r="K2437" s="224" t="s">
        <v>3089</v>
      </c>
      <c r="L2437" s="225" t="str">
        <f>VLOOKUP(Logfile_S12[[#This Row],[Material Name]],Sheet2!B:C,2,0)</f>
        <v>GCI1003</v>
      </c>
      <c r="M2437" s="225" t="str">
        <f>_xlfn.XLOOKUP(Logfile_S12[[#This Row],[Material Name]],Sum_WH!E:E,Sum_WH!F:F,"",0)</f>
        <v>Pcs</v>
      </c>
      <c r="N2437" s="221">
        <v>300</v>
      </c>
      <c r="O2437" s="221" t="s">
        <v>222</v>
      </c>
      <c r="P2437" s="221" t="s">
        <v>223</v>
      </c>
      <c r="Q2437" s="221">
        <v>0</v>
      </c>
      <c r="R2437" s="221">
        <v>0</v>
      </c>
      <c r="S2437" s="221"/>
      <c r="T2437" s="221"/>
      <c r="U2437" s="221"/>
      <c r="V2437" s="221"/>
      <c r="W2437" s="221"/>
      <c r="X2437" s="221" t="s">
        <v>3343</v>
      </c>
      <c r="Y2437" s="227"/>
      <c r="Z2437" s="227" t="str">
        <f t="shared" si="85"/>
        <v>Puncak Dieng Exlusif</v>
      </c>
      <c r="AA2437" s="276" t="e">
        <f>VLOOKUP(Logfile_S12[[#This Row],[DO number]],DO_DB!G:I,3,0)</f>
        <v>#N/A</v>
      </c>
      <c r="AB2437" s="331" t="e">
        <f>EXACT(Logfile_S12[[#This Row],[date pick]],Logfile_S12[[#This Row],[Date]])</f>
        <v>#N/A</v>
      </c>
      <c r="AC24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38" spans="1:29" ht="14.5" hidden="1">
      <c r="A2438" s="220" t="str">
        <f t="shared" si="86"/>
        <v>2434</v>
      </c>
      <c r="B2438" s="221"/>
      <c r="C2438" s="221" t="s">
        <v>49</v>
      </c>
      <c r="D2438" s="221" t="s">
        <v>3719</v>
      </c>
      <c r="E2438" s="221" t="s">
        <v>3295</v>
      </c>
      <c r="F2438" s="221" t="s">
        <v>3299</v>
      </c>
      <c r="G2438" s="222">
        <v>45193</v>
      </c>
      <c r="H2438" s="223">
        <v>0.31666666666666665</v>
      </c>
      <c r="I2438" s="221" t="s">
        <v>4916</v>
      </c>
      <c r="J2438" s="221" t="s">
        <v>3024</v>
      </c>
      <c r="K2438" s="224" t="s">
        <v>3089</v>
      </c>
      <c r="L2438" s="225" t="str">
        <f>VLOOKUP(Logfile_S12[[#This Row],[Material Name]],Sheet2!B:C,2,0)</f>
        <v>GCI1003</v>
      </c>
      <c r="M2438" s="225" t="str">
        <f>_xlfn.XLOOKUP(Logfile_S12[[#This Row],[Material Name]],Sum_WH!E:E,Sum_WH!F:F,"",0)</f>
        <v>Pcs</v>
      </c>
      <c r="N2438" s="221">
        <v>100</v>
      </c>
      <c r="O2438" s="221" t="s">
        <v>222</v>
      </c>
      <c r="P2438" s="221" t="s">
        <v>223</v>
      </c>
      <c r="Q2438" s="221"/>
      <c r="R2438" s="221"/>
      <c r="S2438" s="221"/>
      <c r="T2438" s="221" t="s">
        <v>3322</v>
      </c>
      <c r="U2438" s="221" t="s">
        <v>3323</v>
      </c>
      <c r="V2438" s="221" t="s">
        <v>3324</v>
      </c>
      <c r="W2438" s="221" t="s">
        <v>3386</v>
      </c>
      <c r="X2438" s="221"/>
      <c r="Y2438" s="227"/>
      <c r="Z2438" s="227" t="str">
        <f t="shared" si="85"/>
        <v>Puncak Dieng Exlusif</v>
      </c>
      <c r="AA2438" s="276" t="e">
        <f>VLOOKUP(Logfile_S12[[#This Row],[DO number]],DO_DB!G:I,3,0)</f>
        <v>#N/A</v>
      </c>
      <c r="AB2438" s="331" t="e">
        <f>EXACT(Logfile_S12[[#This Row],[date pick]],Logfile_S12[[#This Row],[Date]])</f>
        <v>#N/A</v>
      </c>
      <c r="AC24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39" spans="1:29" ht="14.5" hidden="1">
      <c r="A2439" s="220" t="str">
        <f t="shared" si="86"/>
        <v>2435</v>
      </c>
      <c r="B2439" s="221"/>
      <c r="C2439" s="221" t="s">
        <v>49</v>
      </c>
      <c r="D2439" s="221" t="s">
        <v>3719</v>
      </c>
      <c r="E2439" s="221" t="s">
        <v>3295</v>
      </c>
      <c r="F2439" s="221" t="s">
        <v>3299</v>
      </c>
      <c r="G2439" s="222">
        <v>45193</v>
      </c>
      <c r="H2439" s="223">
        <v>0.31666666666666665</v>
      </c>
      <c r="I2439" s="221" t="s">
        <v>4916</v>
      </c>
      <c r="J2439" s="221" t="s">
        <v>3024</v>
      </c>
      <c r="K2439" s="224" t="s">
        <v>3089</v>
      </c>
      <c r="L2439" s="225" t="str">
        <f>VLOOKUP(Logfile_S12[[#This Row],[Material Name]],Sheet2!B:C,2,0)</f>
        <v>GCI1003</v>
      </c>
      <c r="M2439" s="225" t="str">
        <f>_xlfn.XLOOKUP(Logfile_S12[[#This Row],[Material Name]],Sum_WH!E:E,Sum_WH!F:F,"",0)</f>
        <v>Pcs</v>
      </c>
      <c r="N2439" s="221">
        <v>100</v>
      </c>
      <c r="O2439" s="221" t="s">
        <v>180</v>
      </c>
      <c r="P2439" s="221" t="s">
        <v>181</v>
      </c>
      <c r="Q2439" s="221"/>
      <c r="R2439" s="221"/>
      <c r="S2439" s="221"/>
      <c r="T2439" s="221" t="s">
        <v>3322</v>
      </c>
      <c r="U2439" s="221" t="s">
        <v>3323</v>
      </c>
      <c r="V2439" s="221" t="s">
        <v>3324</v>
      </c>
      <c r="W2439" s="221" t="s">
        <v>3386</v>
      </c>
      <c r="X2439" s="221"/>
      <c r="Y2439" s="227"/>
      <c r="Z2439" s="227" t="str">
        <f t="shared" si="85"/>
        <v>Mulyorejo RW 06 Sukun</v>
      </c>
      <c r="AA2439" s="276" t="e">
        <f>VLOOKUP(Logfile_S12[[#This Row],[DO number]],DO_DB!G:I,3,0)</f>
        <v>#N/A</v>
      </c>
      <c r="AB2439" s="331" t="e">
        <f>EXACT(Logfile_S12[[#This Row],[date pick]],Logfile_S12[[#This Row],[Date]])</f>
        <v>#N/A</v>
      </c>
      <c r="AC24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40" spans="1:29" ht="14.5" hidden="1">
      <c r="A2440" s="220" t="str">
        <f t="shared" si="86"/>
        <v>2436</v>
      </c>
      <c r="B2440" s="221"/>
      <c r="C2440" s="221" t="s">
        <v>48</v>
      </c>
      <c r="D2440" s="221" t="s">
        <v>3737</v>
      </c>
      <c r="E2440" s="221" t="s">
        <v>3295</v>
      </c>
      <c r="F2440" s="221" t="s">
        <v>3299</v>
      </c>
      <c r="G2440" s="222">
        <v>45201</v>
      </c>
      <c r="H2440" s="223">
        <v>15.291666666666666</v>
      </c>
      <c r="I2440" s="221" t="s">
        <v>38</v>
      </c>
      <c r="J2440" s="221" t="s">
        <v>3024</v>
      </c>
      <c r="K2440" s="224" t="s">
        <v>3301</v>
      </c>
      <c r="L2440" s="225" t="str">
        <f>VLOOKUP(Logfile_S12[[#This Row],[Material Name]],Sheet2!B:C,2,0)</f>
        <v>GCI1003</v>
      </c>
      <c r="M2440" s="225" t="str">
        <f>_xlfn.XLOOKUP(Logfile_S12[[#This Row],[Material Name]],Sum_WH!E:E,Sum_WH!F:F,"",0)</f>
        <v>Pcs</v>
      </c>
      <c r="N2440" s="221">
        <v>200</v>
      </c>
      <c r="O2440" s="221" t="s">
        <v>3344</v>
      </c>
      <c r="P2440" s="221" t="s">
        <v>3345</v>
      </c>
      <c r="Q2440" s="221">
        <v>0</v>
      </c>
      <c r="R2440" s="221">
        <v>0</v>
      </c>
      <c r="S2440" s="221"/>
      <c r="T2440" s="221"/>
      <c r="U2440" s="221"/>
      <c r="V2440" s="221"/>
      <c r="W2440" s="221"/>
      <c r="X2440" s="221"/>
      <c r="Y2440" s="227"/>
      <c r="Z2440" s="227" t="str">
        <f t="shared" si="85"/>
        <v>Purchase</v>
      </c>
      <c r="AA2440" s="276" t="e">
        <f>VLOOKUP(Logfile_S12[[#This Row],[DO number]],DO_DB!G:I,3,0)</f>
        <v>#N/A</v>
      </c>
      <c r="AB2440" s="331" t="e">
        <f>EXACT(Logfile_S12[[#This Row],[date pick]],Logfile_S12[[#This Row],[Date]])</f>
        <v>#N/A</v>
      </c>
      <c r="AC24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41" spans="1:29" ht="14.5" hidden="1">
      <c r="A2441" s="220" t="str">
        <f t="shared" si="86"/>
        <v>2437</v>
      </c>
      <c r="B2441" s="221"/>
      <c r="C2441" s="221" t="s">
        <v>49</v>
      </c>
      <c r="D2441" s="221" t="s">
        <v>3738</v>
      </c>
      <c r="E2441" s="221" t="s">
        <v>3295</v>
      </c>
      <c r="F2441" s="221" t="s">
        <v>3299</v>
      </c>
      <c r="G2441" s="222">
        <v>45203</v>
      </c>
      <c r="H2441" s="223">
        <v>0.40277777777777773</v>
      </c>
      <c r="I2441" s="221" t="s">
        <v>4916</v>
      </c>
      <c r="J2441" s="221" t="s">
        <v>3024</v>
      </c>
      <c r="K2441" s="224" t="s">
        <v>3301</v>
      </c>
      <c r="L2441" s="225" t="str">
        <f>VLOOKUP(Logfile_S12[[#This Row],[Material Name]],Sheet2!B:C,2,0)</f>
        <v>GCI1003</v>
      </c>
      <c r="M2441" s="225" t="str">
        <f>_xlfn.XLOOKUP(Logfile_S12[[#This Row],[Material Name]],Sum_WH!E:E,Sum_WH!F:F,"",0)</f>
        <v>Pcs</v>
      </c>
      <c r="N2441" s="221">
        <v>200</v>
      </c>
      <c r="O2441" s="221" t="s">
        <v>164</v>
      </c>
      <c r="P2441" s="221" t="s">
        <v>3320</v>
      </c>
      <c r="Q2441" s="221"/>
      <c r="R2441" s="221"/>
      <c r="S2441" s="221"/>
      <c r="T2441" s="221" t="s">
        <v>3346</v>
      </c>
      <c r="U2441" s="221">
        <v>0</v>
      </c>
      <c r="V2441" s="221" t="s">
        <v>3347</v>
      </c>
      <c r="W2441" s="221" t="s">
        <v>3334</v>
      </c>
      <c r="X2441" s="221"/>
      <c r="Y2441" s="227"/>
      <c r="Z2441" s="227" t="str">
        <f t="shared" si="85"/>
        <v>Pandan Landung RW 04 Wagir</v>
      </c>
      <c r="AA2441" s="276" t="e">
        <f>VLOOKUP(Logfile_S12[[#This Row],[DO number]],DO_DB!G:I,3,0)</f>
        <v>#N/A</v>
      </c>
      <c r="AB2441" s="331" t="e">
        <f>EXACT(Logfile_S12[[#This Row],[date pick]],Logfile_S12[[#This Row],[Date]])</f>
        <v>#N/A</v>
      </c>
      <c r="AC24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42" spans="1:29" ht="14.5" hidden="1">
      <c r="A2442" s="220" t="str">
        <f t="shared" si="86"/>
        <v>2438</v>
      </c>
      <c r="B2442" s="221"/>
      <c r="C2442" s="221" t="s">
        <v>48</v>
      </c>
      <c r="D2442" s="221" t="s">
        <v>3787</v>
      </c>
      <c r="E2442" s="221" t="s">
        <v>3295</v>
      </c>
      <c r="F2442" s="221" t="s">
        <v>3299</v>
      </c>
      <c r="G2442" s="222">
        <v>45220</v>
      </c>
      <c r="H2442" s="223">
        <v>15.291666666666666</v>
      </c>
      <c r="I2442" s="221" t="s">
        <v>38</v>
      </c>
      <c r="J2442" s="221" t="s">
        <v>3024</v>
      </c>
      <c r="K2442" s="224" t="s">
        <v>3089</v>
      </c>
      <c r="L2442" s="225" t="str">
        <f>VLOOKUP(Logfile_S12[[#This Row],[Material Name]],Sheet2!B:C,2,0)</f>
        <v>GCI1003</v>
      </c>
      <c r="M2442" s="225" t="str">
        <f>_xlfn.XLOOKUP(Logfile_S12[[#This Row],[Material Name]],Sum_WH!E:E,Sum_WH!F:F,"",0)</f>
        <v>Pcs</v>
      </c>
      <c r="N2442" s="221">
        <v>204</v>
      </c>
      <c r="O2442" s="221" t="s">
        <v>3344</v>
      </c>
      <c r="P2442" s="221" t="s">
        <v>3345</v>
      </c>
      <c r="Q2442" s="221">
        <v>0</v>
      </c>
      <c r="R2442" s="221">
        <v>0</v>
      </c>
      <c r="S2442" s="221"/>
      <c r="T2442" s="221"/>
      <c r="U2442" s="221"/>
      <c r="V2442" s="221"/>
      <c r="W2442" s="221"/>
      <c r="X2442" s="221" t="s">
        <v>3350</v>
      </c>
      <c r="Y2442" s="227"/>
      <c r="Z2442" s="227" t="str">
        <f t="shared" si="85"/>
        <v>Purchase</v>
      </c>
      <c r="AA2442" s="276" t="e">
        <f>VLOOKUP(Logfile_S12[[#This Row],[DO number]],DO_DB!G:I,3,0)</f>
        <v>#N/A</v>
      </c>
      <c r="AB2442" s="331" t="e">
        <f>EXACT(Logfile_S12[[#This Row],[date pick]],Logfile_S12[[#This Row],[Date]])</f>
        <v>#N/A</v>
      </c>
      <c r="AC24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43" spans="1:29" ht="14.5" hidden="1">
      <c r="A2443" s="220" t="str">
        <f t="shared" si="86"/>
        <v>2439</v>
      </c>
      <c r="B2443" s="221"/>
      <c r="C2443" s="221" t="s">
        <v>49</v>
      </c>
      <c r="D2443" s="221" t="s">
        <v>3783</v>
      </c>
      <c r="E2443" s="221" t="s">
        <v>3295</v>
      </c>
      <c r="F2443" s="221" t="s">
        <v>3299</v>
      </c>
      <c r="G2443" s="222">
        <v>45220</v>
      </c>
      <c r="H2443" s="223">
        <v>0.97499999999999998</v>
      </c>
      <c r="I2443" s="221" t="s">
        <v>4916</v>
      </c>
      <c r="J2443" s="221" t="s">
        <v>3024</v>
      </c>
      <c r="K2443" s="224" t="s">
        <v>3089</v>
      </c>
      <c r="L2443" s="225" t="str">
        <f>VLOOKUP(Logfile_S12[[#This Row],[Material Name]],Sheet2!B:C,2,0)</f>
        <v>GCI1003</v>
      </c>
      <c r="M2443" s="225" t="str">
        <f>_xlfn.XLOOKUP(Logfile_S12[[#This Row],[Material Name]],Sum_WH!E:E,Sum_WH!F:F,"",0)</f>
        <v>Pcs</v>
      </c>
      <c r="N2443" s="221">
        <v>0</v>
      </c>
      <c r="O2443" s="221">
        <v>0</v>
      </c>
      <c r="P2443" s="221">
        <v>0</v>
      </c>
      <c r="Q2443" s="221"/>
      <c r="R2443" s="221"/>
      <c r="S2443" s="221"/>
      <c r="T2443" s="221" t="s">
        <v>3332</v>
      </c>
      <c r="U2443" s="221">
        <v>0</v>
      </c>
      <c r="V2443" s="221" t="s">
        <v>3333</v>
      </c>
      <c r="W2443" s="221" t="s">
        <v>3334</v>
      </c>
      <c r="X2443" s="221"/>
      <c r="Y2443" s="227"/>
      <c r="Z2443" s="227">
        <f t="shared" si="85"/>
        <v>0</v>
      </c>
      <c r="AA2443" s="276" t="e">
        <f>VLOOKUP(Logfile_S12[[#This Row],[DO number]],DO_DB!G:I,3,0)</f>
        <v>#N/A</v>
      </c>
      <c r="AB2443" s="331" t="e">
        <f>EXACT(Logfile_S12[[#This Row],[date pick]],Logfile_S12[[#This Row],[Date]])</f>
        <v>#N/A</v>
      </c>
      <c r="AC24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44" spans="1:29" ht="14.5" hidden="1">
      <c r="A2444" s="220" t="str">
        <f t="shared" si="86"/>
        <v>2440</v>
      </c>
      <c r="B2444" s="221"/>
      <c r="C2444" s="221" t="s">
        <v>49</v>
      </c>
      <c r="D2444" s="221" t="s">
        <v>3784</v>
      </c>
      <c r="E2444" s="221" t="s">
        <v>3295</v>
      </c>
      <c r="F2444" s="221" t="s">
        <v>3299</v>
      </c>
      <c r="G2444" s="222">
        <v>45220</v>
      </c>
      <c r="H2444" s="223">
        <v>0.97499999999999998</v>
      </c>
      <c r="I2444" s="221" t="s">
        <v>4916</v>
      </c>
      <c r="J2444" s="221" t="s">
        <v>3024</v>
      </c>
      <c r="K2444" s="224" t="s">
        <v>3089</v>
      </c>
      <c r="L2444" s="225" t="str">
        <f>VLOOKUP(Logfile_S12[[#This Row],[Material Name]],Sheet2!B:C,2,0)</f>
        <v>GCI1003</v>
      </c>
      <c r="M2444" s="225" t="str">
        <f>_xlfn.XLOOKUP(Logfile_S12[[#This Row],[Material Name]],Sum_WH!E:E,Sum_WH!F:F,"",0)</f>
        <v>Pcs</v>
      </c>
      <c r="N2444" s="221">
        <v>100</v>
      </c>
      <c r="O2444" s="221" t="s">
        <v>340</v>
      </c>
      <c r="P2444" s="221" t="s">
        <v>341</v>
      </c>
      <c r="Q2444" s="221"/>
      <c r="R2444" s="221"/>
      <c r="S2444" s="221"/>
      <c r="T2444" s="221" t="s">
        <v>3322</v>
      </c>
      <c r="U2444" s="221" t="s">
        <v>3323</v>
      </c>
      <c r="V2444" s="221" t="s">
        <v>3324</v>
      </c>
      <c r="W2444" s="221" t="s">
        <v>3325</v>
      </c>
      <c r="X2444" s="221"/>
      <c r="Y2444" s="227"/>
      <c r="Z2444" s="227" t="str">
        <f t="shared" ref="Z2444:Z2507" si="87">P2444</f>
        <v>Jedong RW 08 Wagir</v>
      </c>
      <c r="AA2444" s="276" t="e">
        <f>VLOOKUP(Logfile_S12[[#This Row],[DO number]],DO_DB!G:I,3,0)</f>
        <v>#N/A</v>
      </c>
      <c r="AB2444" s="331" t="e">
        <f>EXACT(Logfile_S12[[#This Row],[date pick]],Logfile_S12[[#This Row],[Date]])</f>
        <v>#N/A</v>
      </c>
      <c r="AC24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45" spans="1:29" ht="14.5" hidden="1">
      <c r="A2445" s="220" t="str">
        <f t="shared" si="86"/>
        <v>2441</v>
      </c>
      <c r="B2445" s="221"/>
      <c r="C2445" s="221" t="s">
        <v>49</v>
      </c>
      <c r="D2445" s="221" t="s">
        <v>3784</v>
      </c>
      <c r="E2445" s="221" t="s">
        <v>3295</v>
      </c>
      <c r="F2445" s="221" t="s">
        <v>3299</v>
      </c>
      <c r="G2445" s="222">
        <v>45220</v>
      </c>
      <c r="H2445" s="223">
        <v>0.97499999999999998</v>
      </c>
      <c r="I2445" s="221" t="s">
        <v>4916</v>
      </c>
      <c r="J2445" s="221" t="s">
        <v>3024</v>
      </c>
      <c r="K2445" s="224" t="s">
        <v>3089</v>
      </c>
      <c r="L2445" s="225" t="str">
        <f>VLOOKUP(Logfile_S12[[#This Row],[Material Name]],Sheet2!B:C,2,0)</f>
        <v>GCI1003</v>
      </c>
      <c r="M2445" s="225" t="str">
        <f>_xlfn.XLOOKUP(Logfile_S12[[#This Row],[Material Name]],Sum_WH!E:E,Sum_WH!F:F,"",0)</f>
        <v>Pcs</v>
      </c>
      <c r="N2445" s="221">
        <v>100</v>
      </c>
      <c r="O2445" s="221" t="s">
        <v>324</v>
      </c>
      <c r="P2445" s="221" t="s">
        <v>325</v>
      </c>
      <c r="Q2445" s="221"/>
      <c r="R2445" s="221"/>
      <c r="S2445" s="221"/>
      <c r="T2445" s="221" t="s">
        <v>3322</v>
      </c>
      <c r="U2445" s="221" t="s">
        <v>3323</v>
      </c>
      <c r="V2445" s="221" t="s">
        <v>3324</v>
      </c>
      <c r="W2445" s="221" t="s">
        <v>3325</v>
      </c>
      <c r="X2445" s="221"/>
      <c r="Y2445" s="227"/>
      <c r="Z2445" s="227" t="str">
        <f t="shared" si="87"/>
        <v>Jedong RW 09 Wagir</v>
      </c>
      <c r="AA2445" s="276" t="e">
        <f>VLOOKUP(Logfile_S12[[#This Row],[DO number]],DO_DB!G:I,3,0)</f>
        <v>#N/A</v>
      </c>
      <c r="AB2445" s="331" t="e">
        <f>EXACT(Logfile_S12[[#This Row],[date pick]],Logfile_S12[[#This Row],[Date]])</f>
        <v>#N/A</v>
      </c>
      <c r="AC24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46" spans="1:29" ht="14.5" hidden="1">
      <c r="A2446" s="220" t="str">
        <f t="shared" si="86"/>
        <v>2442</v>
      </c>
      <c r="B2446" s="221"/>
      <c r="C2446" s="221" t="s">
        <v>49</v>
      </c>
      <c r="D2446" s="221" t="s">
        <v>3788</v>
      </c>
      <c r="E2446" s="221" t="s">
        <v>3295</v>
      </c>
      <c r="F2446" s="221" t="s">
        <v>3299</v>
      </c>
      <c r="G2446" s="222">
        <v>45221</v>
      </c>
      <c r="H2446" s="223">
        <v>0.9375</v>
      </c>
      <c r="I2446" s="221" t="s">
        <v>4916</v>
      </c>
      <c r="J2446" s="221" t="s">
        <v>3024</v>
      </c>
      <c r="K2446" s="224" t="s">
        <v>3089</v>
      </c>
      <c r="L2446" s="225" t="str">
        <f>VLOOKUP(Logfile_S12[[#This Row],[Material Name]],Sheet2!B:C,2,0)</f>
        <v>GCI1003</v>
      </c>
      <c r="M2446" s="225" t="str">
        <f>_xlfn.XLOOKUP(Logfile_S12[[#This Row],[Material Name]],Sum_WH!E:E,Sum_WH!F:F,"",0)</f>
        <v>Pcs</v>
      </c>
      <c r="N2446" s="221">
        <v>50</v>
      </c>
      <c r="O2446" s="221" t="s">
        <v>328</v>
      </c>
      <c r="P2446" s="221" t="s">
        <v>329</v>
      </c>
      <c r="Q2446" s="221"/>
      <c r="R2446" s="221"/>
      <c r="S2446" s="221"/>
      <c r="T2446" s="221" t="s">
        <v>3332</v>
      </c>
      <c r="U2446" s="221">
        <v>0</v>
      </c>
      <c r="V2446" s="221" t="s">
        <v>3333</v>
      </c>
      <c r="W2446" s="221" t="s">
        <v>3334</v>
      </c>
      <c r="X2446" s="221"/>
      <c r="Y2446" s="227"/>
      <c r="Z2446" s="227" t="str">
        <f t="shared" si="87"/>
        <v>Sukodadi RW 01 Wagir</v>
      </c>
      <c r="AA2446" s="276" t="e">
        <f>VLOOKUP(Logfile_S12[[#This Row],[DO number]],DO_DB!G:I,3,0)</f>
        <v>#N/A</v>
      </c>
      <c r="AB2446" s="331" t="e">
        <f>EXACT(Logfile_S12[[#This Row],[date pick]],Logfile_S12[[#This Row],[Date]])</f>
        <v>#N/A</v>
      </c>
      <c r="AC24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47" spans="1:29" ht="14.5" hidden="1">
      <c r="A2447" s="220" t="str">
        <f t="shared" si="86"/>
        <v>2443</v>
      </c>
      <c r="B2447" s="221"/>
      <c r="C2447" s="221" t="s">
        <v>49</v>
      </c>
      <c r="D2447" s="221" t="s">
        <v>3788</v>
      </c>
      <c r="E2447" s="221" t="s">
        <v>3295</v>
      </c>
      <c r="F2447" s="221" t="s">
        <v>3299</v>
      </c>
      <c r="G2447" s="222">
        <v>45221</v>
      </c>
      <c r="H2447" s="223">
        <v>0.9375</v>
      </c>
      <c r="I2447" s="221" t="s">
        <v>4916</v>
      </c>
      <c r="J2447" s="221" t="s">
        <v>3024</v>
      </c>
      <c r="K2447" s="224" t="s">
        <v>3089</v>
      </c>
      <c r="L2447" s="225" t="str">
        <f>VLOOKUP(Logfile_S12[[#This Row],[Material Name]],Sheet2!B:C,2,0)</f>
        <v>GCI1003</v>
      </c>
      <c r="M2447" s="225" t="str">
        <f>_xlfn.XLOOKUP(Logfile_S12[[#This Row],[Material Name]],Sum_WH!E:E,Sum_WH!F:F,"",0)</f>
        <v>Pcs</v>
      </c>
      <c r="N2447" s="221">
        <v>50</v>
      </c>
      <c r="O2447" s="221" t="s">
        <v>336</v>
      </c>
      <c r="P2447" s="221" t="s">
        <v>337</v>
      </c>
      <c r="Q2447" s="221"/>
      <c r="R2447" s="221"/>
      <c r="S2447" s="221"/>
      <c r="T2447" s="221" t="s">
        <v>3332</v>
      </c>
      <c r="U2447" s="221">
        <v>0</v>
      </c>
      <c r="V2447" s="221" t="s">
        <v>3333</v>
      </c>
      <c r="W2447" s="221" t="s">
        <v>3334</v>
      </c>
      <c r="X2447" s="221"/>
      <c r="Y2447" s="227"/>
      <c r="Z2447" s="227" t="str">
        <f t="shared" si="87"/>
        <v>Sidorahayu RW 02 Wagir</v>
      </c>
      <c r="AA2447" s="276" t="e">
        <f>VLOOKUP(Logfile_S12[[#This Row],[DO number]],DO_DB!G:I,3,0)</f>
        <v>#N/A</v>
      </c>
      <c r="AB2447" s="331" t="e">
        <f>EXACT(Logfile_S12[[#This Row],[date pick]],Logfile_S12[[#This Row],[Date]])</f>
        <v>#N/A</v>
      </c>
      <c r="AC24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48" spans="1:29" ht="14.5" hidden="1">
      <c r="A2448" s="220" t="str">
        <f t="shared" si="86"/>
        <v>2444</v>
      </c>
      <c r="B2448" s="221"/>
      <c r="C2448" s="221" t="s">
        <v>49</v>
      </c>
      <c r="D2448" s="221" t="s">
        <v>3788</v>
      </c>
      <c r="E2448" s="221" t="s">
        <v>3295</v>
      </c>
      <c r="F2448" s="221" t="s">
        <v>3299</v>
      </c>
      <c r="G2448" s="222">
        <v>45221</v>
      </c>
      <c r="H2448" s="223">
        <v>0.9375</v>
      </c>
      <c r="I2448" s="221" t="s">
        <v>4916</v>
      </c>
      <c r="J2448" s="221" t="s">
        <v>3024</v>
      </c>
      <c r="K2448" s="224" t="s">
        <v>3089</v>
      </c>
      <c r="L2448" s="225" t="str">
        <f>VLOOKUP(Logfile_S12[[#This Row],[Material Name]],Sheet2!B:C,2,0)</f>
        <v>GCI1003</v>
      </c>
      <c r="M2448" s="225" t="str">
        <f>_xlfn.XLOOKUP(Logfile_S12[[#This Row],[Material Name]],Sum_WH!E:E,Sum_WH!F:F,"",0)</f>
        <v>Pcs</v>
      </c>
      <c r="N2448" s="221">
        <v>100</v>
      </c>
      <c r="O2448" s="221" t="s">
        <v>332</v>
      </c>
      <c r="P2448" s="221" t="s">
        <v>333</v>
      </c>
      <c r="Q2448" s="221"/>
      <c r="R2448" s="221"/>
      <c r="S2448" s="221"/>
      <c r="T2448" s="221" t="s">
        <v>3332</v>
      </c>
      <c r="U2448" s="221">
        <v>0</v>
      </c>
      <c r="V2448" s="221" t="s">
        <v>3333</v>
      </c>
      <c r="W2448" s="221" t="s">
        <v>3334</v>
      </c>
      <c r="X2448" s="221"/>
      <c r="Y2448" s="227"/>
      <c r="Z2448" s="227" t="str">
        <f t="shared" si="87"/>
        <v>Sukodadi RW 02 Wagir</v>
      </c>
      <c r="AA2448" s="276" t="e">
        <f>VLOOKUP(Logfile_S12[[#This Row],[DO number]],DO_DB!G:I,3,0)</f>
        <v>#N/A</v>
      </c>
      <c r="AB2448" s="331" t="e">
        <f>EXACT(Logfile_S12[[#This Row],[date pick]],Logfile_S12[[#This Row],[Date]])</f>
        <v>#N/A</v>
      </c>
      <c r="AC24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49" spans="1:29" ht="14.5" hidden="1">
      <c r="A2449" s="220" t="str">
        <f t="shared" si="86"/>
        <v>2445</v>
      </c>
      <c r="B2449" s="221"/>
      <c r="C2449" s="221" t="s">
        <v>48</v>
      </c>
      <c r="D2449" s="221" t="s">
        <v>3818</v>
      </c>
      <c r="E2449" s="221" t="s">
        <v>3295</v>
      </c>
      <c r="F2449" s="221" t="s">
        <v>3299</v>
      </c>
      <c r="G2449" s="222">
        <v>45256</v>
      </c>
      <c r="H2449" s="223">
        <v>15.291666666666666</v>
      </c>
      <c r="I2449" s="221" t="s">
        <v>38</v>
      </c>
      <c r="J2449" s="221" t="s">
        <v>3024</v>
      </c>
      <c r="K2449" s="224" t="s">
        <v>3089</v>
      </c>
      <c r="L2449" s="225" t="str">
        <f>VLOOKUP(Logfile_S12[[#This Row],[Material Name]],Sheet2!B:C,2,0)</f>
        <v>GCI1003</v>
      </c>
      <c r="M2449" s="225" t="str">
        <f>_xlfn.XLOOKUP(Logfile_S12[[#This Row],[Material Name]],Sum_WH!E:E,Sum_WH!F:F,"",0)</f>
        <v>Pcs</v>
      </c>
      <c r="N2449" s="221">
        <v>115</v>
      </c>
      <c r="O2449" s="221" t="s">
        <v>3344</v>
      </c>
      <c r="P2449" s="221" t="s">
        <v>3345</v>
      </c>
      <c r="Q2449" s="221">
        <v>0</v>
      </c>
      <c r="R2449" s="221">
        <v>0</v>
      </c>
      <c r="S2449" s="221"/>
      <c r="T2449" s="221"/>
      <c r="U2449" s="221"/>
      <c r="V2449" s="221"/>
      <c r="W2449" s="221"/>
      <c r="X2449" s="221"/>
      <c r="Y2449" s="227"/>
      <c r="Z2449" s="227" t="str">
        <f t="shared" si="87"/>
        <v>Purchase</v>
      </c>
      <c r="AA2449" s="276" t="e">
        <f>VLOOKUP(Logfile_S12[[#This Row],[DO number]],DO_DB!G:I,3,0)</f>
        <v>#N/A</v>
      </c>
      <c r="AB2449" s="331" t="e">
        <f>EXACT(Logfile_S12[[#This Row],[date pick]],Logfile_S12[[#This Row],[Date]])</f>
        <v>#N/A</v>
      </c>
      <c r="AC24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50" spans="1:29" ht="14.5" hidden="1">
      <c r="A2450" s="220" t="str">
        <f t="shared" si="86"/>
        <v>2446</v>
      </c>
      <c r="B2450" s="221"/>
      <c r="C2450" s="221" t="s">
        <v>49</v>
      </c>
      <c r="D2450" s="221" t="s">
        <v>3839</v>
      </c>
      <c r="E2450" s="221" t="s">
        <v>3295</v>
      </c>
      <c r="F2450" s="221" t="s">
        <v>3299</v>
      </c>
      <c r="G2450" s="222">
        <v>45282</v>
      </c>
      <c r="H2450" s="223">
        <v>0.56041666666666667</v>
      </c>
      <c r="I2450" s="221" t="s">
        <v>4916</v>
      </c>
      <c r="J2450" s="221" t="s">
        <v>3024</v>
      </c>
      <c r="K2450" s="224" t="s">
        <v>3089</v>
      </c>
      <c r="L2450" s="225" t="str">
        <f>VLOOKUP(Logfile_S12[[#This Row],[Material Name]],Sheet2!B:C,2,0)</f>
        <v>GCI1003</v>
      </c>
      <c r="M2450" s="225" t="str">
        <f>_xlfn.XLOOKUP(Logfile_S12[[#This Row],[Material Name]],Sum_WH!E:E,Sum_WH!F:F,"",0)</f>
        <v>Pcs</v>
      </c>
      <c r="N2450" s="221">
        <v>100</v>
      </c>
      <c r="O2450" s="221" t="s">
        <v>732</v>
      </c>
      <c r="P2450" s="221" t="s">
        <v>733</v>
      </c>
      <c r="Q2450" s="221"/>
      <c r="R2450" s="221"/>
      <c r="S2450" s="221"/>
      <c r="T2450" s="221" t="s">
        <v>3258</v>
      </c>
      <c r="U2450" s="221" t="s">
        <v>3228</v>
      </c>
      <c r="V2450" s="221" t="s">
        <v>3337</v>
      </c>
      <c r="W2450" s="221" t="s">
        <v>3338</v>
      </c>
      <c r="X2450" s="221"/>
      <c r="Y2450" s="227"/>
      <c r="Z2450" s="227" t="str">
        <f t="shared" si="87"/>
        <v>Sitirejo RW 01 Wagir</v>
      </c>
      <c r="AA2450" s="276" t="e">
        <f>VLOOKUP(Logfile_S12[[#This Row],[DO number]],DO_DB!G:I,3,0)</f>
        <v>#N/A</v>
      </c>
      <c r="AB2450" s="331" t="e">
        <f>EXACT(Logfile_S12[[#This Row],[date pick]],Logfile_S12[[#This Row],[Date]])</f>
        <v>#N/A</v>
      </c>
      <c r="AC24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51" spans="1:29" ht="14.5" hidden="1">
      <c r="A2451" s="220" t="str">
        <f t="shared" si="86"/>
        <v>2447</v>
      </c>
      <c r="B2451" s="221"/>
      <c r="C2451" s="221" t="s">
        <v>48</v>
      </c>
      <c r="D2451" s="221" t="s">
        <v>3854</v>
      </c>
      <c r="E2451" s="221" t="s">
        <v>3295</v>
      </c>
      <c r="F2451" s="221" t="s">
        <v>3299</v>
      </c>
      <c r="G2451" s="222">
        <v>45295</v>
      </c>
      <c r="H2451" s="223">
        <v>15.291666666666666</v>
      </c>
      <c r="I2451" s="221" t="s">
        <v>38</v>
      </c>
      <c r="J2451" s="221" t="s">
        <v>3024</v>
      </c>
      <c r="K2451" s="224" t="s">
        <v>3089</v>
      </c>
      <c r="L2451" s="225" t="str">
        <f>VLOOKUP(Logfile_S12[[#This Row],[Material Name]],Sheet2!B:C,2,0)</f>
        <v>GCI1003</v>
      </c>
      <c r="M2451" s="225" t="str">
        <f>_xlfn.XLOOKUP(Logfile_S12[[#This Row],[Material Name]],Sum_WH!E:E,Sum_WH!F:F,"",0)</f>
        <v>Pcs</v>
      </c>
      <c r="N2451" s="221">
        <v>244</v>
      </c>
      <c r="O2451" s="221" t="s">
        <v>3344</v>
      </c>
      <c r="P2451" s="221" t="s">
        <v>3345</v>
      </c>
      <c r="Q2451" s="221">
        <v>0</v>
      </c>
      <c r="R2451" s="221">
        <v>0</v>
      </c>
      <c r="S2451" s="221"/>
      <c r="T2451" s="221"/>
      <c r="U2451" s="221"/>
      <c r="V2451" s="221"/>
      <c r="W2451" s="221"/>
      <c r="X2451" s="221" t="s">
        <v>3218</v>
      </c>
      <c r="Y2451" s="227"/>
      <c r="Z2451" s="227" t="str">
        <f t="shared" si="87"/>
        <v>Purchase</v>
      </c>
      <c r="AA2451" s="276" t="e">
        <f>VLOOKUP(Logfile_S12[[#This Row],[DO number]],DO_DB!G:I,3,0)</f>
        <v>#N/A</v>
      </c>
      <c r="AB2451" s="331" t="e">
        <f>EXACT(Logfile_S12[[#This Row],[date pick]],Logfile_S12[[#This Row],[Date]])</f>
        <v>#N/A</v>
      </c>
      <c r="AC24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52" spans="1:29" ht="14.5" hidden="1">
      <c r="A2452" s="220" t="str">
        <f t="shared" si="86"/>
        <v>2448</v>
      </c>
      <c r="B2452" s="221"/>
      <c r="C2452" s="221" t="s">
        <v>48</v>
      </c>
      <c r="D2452" s="221" t="s">
        <v>3876</v>
      </c>
      <c r="E2452" s="221" t="s">
        <v>3295</v>
      </c>
      <c r="F2452" s="221" t="s">
        <v>3299</v>
      </c>
      <c r="G2452" s="222">
        <v>45309</v>
      </c>
      <c r="H2452" s="223">
        <v>15.291666666666666</v>
      </c>
      <c r="I2452" s="221" t="s">
        <v>38</v>
      </c>
      <c r="J2452" s="221" t="s">
        <v>3024</v>
      </c>
      <c r="K2452" s="224" t="s">
        <v>3089</v>
      </c>
      <c r="L2452" s="225" t="str">
        <f>VLOOKUP(Logfile_S12[[#This Row],[Material Name]],Sheet2!B:C,2,0)</f>
        <v>GCI1003</v>
      </c>
      <c r="M2452" s="225" t="str">
        <f>_xlfn.XLOOKUP(Logfile_S12[[#This Row],[Material Name]],Sum_WH!E:E,Sum_WH!F:F,"",0)</f>
        <v>Pcs</v>
      </c>
      <c r="N2452" s="221">
        <v>562</v>
      </c>
      <c r="O2452" s="221" t="s">
        <v>3344</v>
      </c>
      <c r="P2452" s="221" t="s">
        <v>3345</v>
      </c>
      <c r="Q2452" s="221">
        <v>0</v>
      </c>
      <c r="R2452" s="221">
        <v>0</v>
      </c>
      <c r="S2452" s="221"/>
      <c r="T2452" s="221"/>
      <c r="U2452" s="221"/>
      <c r="V2452" s="221"/>
      <c r="W2452" s="221"/>
      <c r="X2452" s="221" t="s">
        <v>3218</v>
      </c>
      <c r="Y2452" s="227"/>
      <c r="Z2452" s="227" t="str">
        <f t="shared" si="87"/>
        <v>Purchase</v>
      </c>
      <c r="AA2452" s="276" t="e">
        <f>VLOOKUP(Logfile_S12[[#This Row],[DO number]],DO_DB!G:I,3,0)</f>
        <v>#N/A</v>
      </c>
      <c r="AB2452" s="331" t="e">
        <f>EXACT(Logfile_S12[[#This Row],[date pick]],Logfile_S12[[#This Row],[Date]])</f>
        <v>#N/A</v>
      </c>
      <c r="AC24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53" spans="1:29" ht="14.5" hidden="1">
      <c r="A2453" s="220" t="str">
        <f t="shared" si="86"/>
        <v>2449</v>
      </c>
      <c r="B2453" s="221"/>
      <c r="C2453" s="221" t="s">
        <v>49</v>
      </c>
      <c r="D2453" s="221" t="s">
        <v>3879</v>
      </c>
      <c r="E2453" s="221" t="s">
        <v>3295</v>
      </c>
      <c r="F2453" s="221" t="s">
        <v>3299</v>
      </c>
      <c r="G2453" s="222">
        <v>45310</v>
      </c>
      <c r="H2453" s="223">
        <v>0.73333333333333339</v>
      </c>
      <c r="I2453" s="221" t="s">
        <v>4916</v>
      </c>
      <c r="J2453" s="221" t="s">
        <v>3024</v>
      </c>
      <c r="K2453" s="224" t="s">
        <v>3089</v>
      </c>
      <c r="L2453" s="225" t="str">
        <f>VLOOKUP(Logfile_S12[[#This Row],[Material Name]],Sheet2!B:C,2,0)</f>
        <v>GCI1003</v>
      </c>
      <c r="M2453" s="225" t="str">
        <f>_xlfn.XLOOKUP(Logfile_S12[[#This Row],[Material Name]],Sum_WH!E:E,Sum_WH!F:F,"",0)</f>
        <v>Pcs</v>
      </c>
      <c r="N2453" s="221">
        <v>16</v>
      </c>
      <c r="O2453" s="221" t="s">
        <v>834</v>
      </c>
      <c r="P2453" s="221" t="s">
        <v>3335</v>
      </c>
      <c r="Q2453" s="221"/>
      <c r="R2453" s="221"/>
      <c r="S2453" s="221"/>
      <c r="T2453" s="221" t="s">
        <v>3258</v>
      </c>
      <c r="U2453" s="221" t="s">
        <v>3228</v>
      </c>
      <c r="V2453" s="221" t="s">
        <v>3337</v>
      </c>
      <c r="W2453" s="221" t="s">
        <v>3338</v>
      </c>
      <c r="X2453" s="221"/>
      <c r="Y2453" s="227"/>
      <c r="Z2453" s="227" t="str">
        <f t="shared" si="87"/>
        <v>HUBFEEDER BATURETNO RW 02</v>
      </c>
      <c r="AA2453" s="276" t="e">
        <f>VLOOKUP(Logfile_S12[[#This Row],[DO number]],DO_DB!G:I,3,0)</f>
        <v>#N/A</v>
      </c>
      <c r="AB2453" s="331" t="e">
        <f>EXACT(Logfile_S12[[#This Row],[date pick]],Logfile_S12[[#This Row],[Date]])</f>
        <v>#N/A</v>
      </c>
      <c r="AC24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54" spans="1:29" ht="14.5" hidden="1">
      <c r="A2454" s="220" t="str">
        <f t="shared" si="86"/>
        <v>2450</v>
      </c>
      <c r="B2454" s="221"/>
      <c r="C2454" s="221" t="s">
        <v>49</v>
      </c>
      <c r="D2454" s="221" t="s">
        <v>3885</v>
      </c>
      <c r="E2454" s="221" t="s">
        <v>3295</v>
      </c>
      <c r="F2454" s="221" t="s">
        <v>3299</v>
      </c>
      <c r="G2454" s="222">
        <v>45313</v>
      </c>
      <c r="H2454" s="223">
        <v>0.3840277777777778</v>
      </c>
      <c r="I2454" s="221" t="s">
        <v>4916</v>
      </c>
      <c r="J2454" s="221" t="s">
        <v>3024</v>
      </c>
      <c r="K2454" s="224" t="s">
        <v>3089</v>
      </c>
      <c r="L2454" s="225" t="str">
        <f>VLOOKUP(Logfile_S12[[#This Row],[Material Name]],Sheet2!B:C,2,0)</f>
        <v>GCI1003</v>
      </c>
      <c r="M2454" s="225" t="str">
        <f>_xlfn.XLOOKUP(Logfile_S12[[#This Row],[Material Name]],Sum_WH!E:E,Sum_WH!F:F,"",0)</f>
        <v>Pcs</v>
      </c>
      <c r="N2454" s="221">
        <v>40</v>
      </c>
      <c r="O2454" s="221" t="s">
        <v>834</v>
      </c>
      <c r="P2454" s="221" t="s">
        <v>3335</v>
      </c>
      <c r="Q2454" s="221"/>
      <c r="R2454" s="221"/>
      <c r="S2454" s="221"/>
      <c r="T2454" s="221" t="s">
        <v>3258</v>
      </c>
      <c r="U2454" s="221" t="s">
        <v>3228</v>
      </c>
      <c r="V2454" s="221" t="s">
        <v>3337</v>
      </c>
      <c r="W2454" s="221" t="s">
        <v>3338</v>
      </c>
      <c r="X2454" s="221"/>
      <c r="Y2454" s="227"/>
      <c r="Z2454" s="227" t="str">
        <f t="shared" si="87"/>
        <v>HUBFEEDER BATURETNO RW 02</v>
      </c>
      <c r="AA2454" s="276" t="e">
        <f>VLOOKUP(Logfile_S12[[#This Row],[DO number]],DO_DB!G:I,3,0)</f>
        <v>#N/A</v>
      </c>
      <c r="AB2454" s="331" t="e">
        <f>EXACT(Logfile_S12[[#This Row],[date pick]],Logfile_S12[[#This Row],[Date]])</f>
        <v>#N/A</v>
      </c>
      <c r="AC24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55" spans="1:29" ht="14.5" hidden="1">
      <c r="A2455" s="220" t="str">
        <f t="shared" si="86"/>
        <v>2451</v>
      </c>
      <c r="B2455" s="221"/>
      <c r="C2455" s="221" t="s">
        <v>49</v>
      </c>
      <c r="D2455" s="221" t="s">
        <v>3889</v>
      </c>
      <c r="E2455" s="221" t="s">
        <v>3295</v>
      </c>
      <c r="F2455" s="221" t="s">
        <v>3299</v>
      </c>
      <c r="G2455" s="222">
        <v>45313</v>
      </c>
      <c r="H2455" s="223">
        <v>0.81041666666666667</v>
      </c>
      <c r="I2455" s="221" t="s">
        <v>4916</v>
      </c>
      <c r="J2455" s="221" t="s">
        <v>3024</v>
      </c>
      <c r="K2455" s="224" t="s">
        <v>3089</v>
      </c>
      <c r="L2455" s="225" t="str">
        <f>VLOOKUP(Logfile_S12[[#This Row],[Material Name]],Sheet2!B:C,2,0)</f>
        <v>GCI1003</v>
      </c>
      <c r="M2455" s="225" t="str">
        <f>_xlfn.XLOOKUP(Logfile_S12[[#This Row],[Material Name]],Sum_WH!E:E,Sum_WH!F:F,"",0)</f>
        <v>Pcs</v>
      </c>
      <c r="N2455" s="221">
        <v>100</v>
      </c>
      <c r="O2455" s="221" t="s">
        <v>742</v>
      </c>
      <c r="P2455" s="221" t="s">
        <v>743</v>
      </c>
      <c r="Q2455" s="221"/>
      <c r="R2455" s="221"/>
      <c r="S2455" s="221"/>
      <c r="T2455" s="221" t="s">
        <v>3258</v>
      </c>
      <c r="U2455" s="221" t="s">
        <v>3228</v>
      </c>
      <c r="V2455" s="221" t="s">
        <v>3337</v>
      </c>
      <c r="W2455" s="221" t="s">
        <v>3338</v>
      </c>
      <c r="X2455" s="221"/>
      <c r="Y2455" s="227"/>
      <c r="Z2455" s="227" t="str">
        <f t="shared" si="87"/>
        <v>Baturetno RW 03 Singosari</v>
      </c>
      <c r="AA2455" s="276" t="e">
        <f>VLOOKUP(Logfile_S12[[#This Row],[DO number]],DO_DB!G:I,3,0)</f>
        <v>#N/A</v>
      </c>
      <c r="AB2455" s="331" t="e">
        <f>EXACT(Logfile_S12[[#This Row],[date pick]],Logfile_S12[[#This Row],[Date]])</f>
        <v>#N/A</v>
      </c>
      <c r="AC24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56" spans="1:29" ht="14.5" hidden="1">
      <c r="A2456" s="220" t="str">
        <f t="shared" si="86"/>
        <v>2452</v>
      </c>
      <c r="B2456" s="221"/>
      <c r="C2456" s="221" t="s">
        <v>49</v>
      </c>
      <c r="D2456" s="221" t="s">
        <v>3886</v>
      </c>
      <c r="E2456" s="221" t="s">
        <v>3295</v>
      </c>
      <c r="F2456" s="221" t="s">
        <v>3299</v>
      </c>
      <c r="G2456" s="222">
        <v>45313</v>
      </c>
      <c r="H2456" s="223">
        <v>0.38750000000000001</v>
      </c>
      <c r="I2456" s="221" t="s">
        <v>4916</v>
      </c>
      <c r="J2456" s="221" t="s">
        <v>3024</v>
      </c>
      <c r="K2456" s="224" t="s">
        <v>3089</v>
      </c>
      <c r="L2456" s="225" t="str">
        <f>VLOOKUP(Logfile_S12[[#This Row],[Material Name]],Sheet2!B:C,2,0)</f>
        <v>GCI1003</v>
      </c>
      <c r="M2456" s="225" t="str">
        <f>_xlfn.XLOOKUP(Logfile_S12[[#This Row],[Material Name]],Sum_WH!E:E,Sum_WH!F:F,"",0)</f>
        <v>Pcs</v>
      </c>
      <c r="N2456" s="221">
        <v>300</v>
      </c>
      <c r="O2456" s="221" t="s">
        <v>828</v>
      </c>
      <c r="P2456" s="221" t="s">
        <v>829</v>
      </c>
      <c r="Q2456" s="221"/>
      <c r="R2456" s="221"/>
      <c r="S2456" s="221"/>
      <c r="T2456" s="221" t="s">
        <v>3339</v>
      </c>
      <c r="U2456" s="221" t="s">
        <v>3228</v>
      </c>
      <c r="V2456" s="221" t="s">
        <v>3340</v>
      </c>
      <c r="W2456" s="221" t="s">
        <v>3245</v>
      </c>
      <c r="X2456" s="221"/>
      <c r="Y2456" s="227"/>
      <c r="Z2456" s="227" t="str">
        <f t="shared" si="87"/>
        <v>Perumahan Pondok Mutiara Malang</v>
      </c>
      <c r="AA2456" s="276" t="e">
        <f>VLOOKUP(Logfile_S12[[#This Row],[DO number]],DO_DB!G:I,3,0)</f>
        <v>#N/A</v>
      </c>
      <c r="AB2456" s="331" t="e">
        <f>EXACT(Logfile_S12[[#This Row],[date pick]],Logfile_S12[[#This Row],[Date]])</f>
        <v>#N/A</v>
      </c>
      <c r="AC24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57" spans="1:29" ht="14.5" hidden="1">
      <c r="A2457" s="220" t="str">
        <f t="shared" si="86"/>
        <v>2453</v>
      </c>
      <c r="B2457" s="221"/>
      <c r="C2457" s="221" t="s">
        <v>49</v>
      </c>
      <c r="D2457" s="221" t="s">
        <v>3903</v>
      </c>
      <c r="E2457" s="221" t="s">
        <v>3295</v>
      </c>
      <c r="F2457" s="221" t="s">
        <v>3299</v>
      </c>
      <c r="G2457" s="222">
        <v>45317</v>
      </c>
      <c r="H2457" s="223">
        <v>0.40902777777777777</v>
      </c>
      <c r="I2457" s="221" t="s">
        <v>4916</v>
      </c>
      <c r="J2457" s="221" t="s">
        <v>3024</v>
      </c>
      <c r="K2457" s="224" t="s">
        <v>3089</v>
      </c>
      <c r="L2457" s="225" t="str">
        <f>VLOOKUP(Logfile_S12[[#This Row],[Material Name]],Sheet2!B:C,2,0)</f>
        <v>GCI1003</v>
      </c>
      <c r="M2457" s="225" t="str">
        <f>_xlfn.XLOOKUP(Logfile_S12[[#This Row],[Material Name]],Sum_WH!E:E,Sum_WH!F:F,"",0)</f>
        <v>Pcs</v>
      </c>
      <c r="N2457" s="221">
        <v>100</v>
      </c>
      <c r="O2457" s="221" t="s">
        <v>738</v>
      </c>
      <c r="P2457" s="221" t="s">
        <v>3392</v>
      </c>
      <c r="Q2457" s="221"/>
      <c r="R2457" s="221"/>
      <c r="S2457" s="221"/>
      <c r="T2457" s="221" t="s">
        <v>3258</v>
      </c>
      <c r="U2457" s="221" t="s">
        <v>3228</v>
      </c>
      <c r="V2457" s="221" t="s">
        <v>3337</v>
      </c>
      <c r="W2457" s="221" t="s">
        <v>3338</v>
      </c>
      <c r="X2457" s="221"/>
      <c r="Y2457" s="227"/>
      <c r="Z2457" s="227" t="str">
        <f t="shared" si="87"/>
        <v xml:space="preserve">Baturetno RW 02 Singosari </v>
      </c>
      <c r="AA2457" s="276" t="e">
        <f>VLOOKUP(Logfile_S12[[#This Row],[DO number]],DO_DB!G:I,3,0)</f>
        <v>#N/A</v>
      </c>
      <c r="AB2457" s="331" t="e">
        <f>EXACT(Logfile_S12[[#This Row],[date pick]],Logfile_S12[[#This Row],[Date]])</f>
        <v>#N/A</v>
      </c>
      <c r="AC24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58" spans="1:29" ht="14.5" hidden="1">
      <c r="A2458" s="220" t="str">
        <f t="shared" si="86"/>
        <v>2454</v>
      </c>
      <c r="B2458" s="221"/>
      <c r="C2458" s="221" t="s">
        <v>48</v>
      </c>
      <c r="D2458" s="221" t="s">
        <v>3906</v>
      </c>
      <c r="E2458" s="221" t="s">
        <v>3295</v>
      </c>
      <c r="F2458" s="221" t="s">
        <v>3299</v>
      </c>
      <c r="G2458" s="222">
        <v>45318</v>
      </c>
      <c r="H2458" s="223">
        <v>15.291666666666666</v>
      </c>
      <c r="I2458" s="221" t="s">
        <v>3017</v>
      </c>
      <c r="J2458" s="221" t="s">
        <v>3024</v>
      </c>
      <c r="K2458" s="224" t="s">
        <v>3089</v>
      </c>
      <c r="L2458" s="225" t="str">
        <f>VLOOKUP(Logfile_S12[[#This Row],[Material Name]],Sheet2!B:C,2,0)</f>
        <v>GCI1003</v>
      </c>
      <c r="M2458" s="225" t="str">
        <f>_xlfn.XLOOKUP(Logfile_S12[[#This Row],[Material Name]],Sum_WH!E:E,Sum_WH!F:F,"",0)</f>
        <v>Pcs</v>
      </c>
      <c r="N2458" s="221">
        <v>32</v>
      </c>
      <c r="O2458" s="221" t="s">
        <v>828</v>
      </c>
      <c r="P2458" s="221" t="s">
        <v>829</v>
      </c>
      <c r="Q2458" s="221" t="s">
        <v>3359</v>
      </c>
      <c r="R2458" s="221">
        <v>0</v>
      </c>
      <c r="S2458" s="221"/>
      <c r="T2458" s="221"/>
      <c r="U2458" s="221"/>
      <c r="V2458" s="221"/>
      <c r="W2458" s="221"/>
      <c r="X2458" s="221"/>
      <c r="Y2458" s="227"/>
      <c r="Z2458" s="227" t="str">
        <f t="shared" si="87"/>
        <v>Perumahan Pondok Mutiara Malang</v>
      </c>
      <c r="AA2458" s="276" t="e">
        <f>VLOOKUP(Logfile_S12[[#This Row],[DO number]],DO_DB!G:I,3,0)</f>
        <v>#N/A</v>
      </c>
      <c r="AB2458" s="331" t="e">
        <f>EXACT(Logfile_S12[[#This Row],[date pick]],Logfile_S12[[#This Row],[Date]])</f>
        <v>#N/A</v>
      </c>
      <c r="AC24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59" spans="1:29" ht="14.5" hidden="1">
      <c r="A2459" s="220" t="str">
        <f t="shared" si="86"/>
        <v>2455</v>
      </c>
      <c r="B2459" s="221"/>
      <c r="C2459" s="221" t="s">
        <v>49</v>
      </c>
      <c r="D2459" s="221" t="s">
        <v>3917</v>
      </c>
      <c r="E2459" s="221" t="s">
        <v>3295</v>
      </c>
      <c r="F2459" s="221" t="s">
        <v>3299</v>
      </c>
      <c r="G2459" s="222">
        <v>45331</v>
      </c>
      <c r="H2459" s="223">
        <v>0.42569444444444443</v>
      </c>
      <c r="I2459" s="221" t="s">
        <v>4916</v>
      </c>
      <c r="J2459" s="221" t="s">
        <v>3024</v>
      </c>
      <c r="K2459" s="224" t="s">
        <v>3089</v>
      </c>
      <c r="L2459" s="225" t="str">
        <f>VLOOKUP(Logfile_S12[[#This Row],[Material Name]],Sheet2!B:C,2,0)</f>
        <v>GCI1003</v>
      </c>
      <c r="M2459" s="225" t="str">
        <f>_xlfn.XLOOKUP(Logfile_S12[[#This Row],[Material Name]],Sum_WH!E:E,Sum_WH!F:F,"",0)</f>
        <v>Pcs</v>
      </c>
      <c r="N2459" s="221">
        <v>50</v>
      </c>
      <c r="O2459" s="221" t="s">
        <v>925</v>
      </c>
      <c r="P2459" s="221" t="s">
        <v>926</v>
      </c>
      <c r="Q2459" s="221"/>
      <c r="R2459" s="221"/>
      <c r="S2459" s="221"/>
      <c r="T2459" s="221" t="s">
        <v>3258</v>
      </c>
      <c r="U2459" s="221" t="s">
        <v>3228</v>
      </c>
      <c r="V2459" s="221" t="s">
        <v>3337</v>
      </c>
      <c r="W2459" s="221" t="s">
        <v>3338</v>
      </c>
      <c r="X2459" s="221"/>
      <c r="Y2459" s="227"/>
      <c r="Z2459" s="227" t="str">
        <f t="shared" si="87"/>
        <v>Dengkol RW 02 Singosari Malang</v>
      </c>
      <c r="AA2459" s="276" t="e">
        <f>VLOOKUP(Logfile_S12[[#This Row],[DO number]],DO_DB!G:I,3,0)</f>
        <v>#N/A</v>
      </c>
      <c r="AB2459" s="331" t="e">
        <f>EXACT(Logfile_S12[[#This Row],[date pick]],Logfile_S12[[#This Row],[Date]])</f>
        <v>#N/A</v>
      </c>
      <c r="AC24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60" spans="1:29" ht="14.5" hidden="1">
      <c r="A2460" s="220" t="str">
        <f t="shared" si="86"/>
        <v>2456</v>
      </c>
      <c r="B2460" s="221"/>
      <c r="C2460" s="221" t="s">
        <v>48</v>
      </c>
      <c r="D2460" s="221" t="s">
        <v>3924</v>
      </c>
      <c r="E2460" s="221" t="s">
        <v>3295</v>
      </c>
      <c r="F2460" s="221" t="s">
        <v>3299</v>
      </c>
      <c r="G2460" s="222">
        <v>45337</v>
      </c>
      <c r="H2460" s="223">
        <v>15.291666666666666</v>
      </c>
      <c r="I2460" s="221" t="s">
        <v>3017</v>
      </c>
      <c r="J2460" s="221" t="s">
        <v>3024</v>
      </c>
      <c r="K2460" s="224" t="s">
        <v>3089</v>
      </c>
      <c r="L2460" s="225" t="str">
        <f>VLOOKUP(Logfile_S12[[#This Row],[Material Name]],Sheet2!B:C,2,0)</f>
        <v>GCI1003</v>
      </c>
      <c r="M2460" s="225" t="str">
        <f>_xlfn.XLOOKUP(Logfile_S12[[#This Row],[Material Name]],Sum_WH!E:E,Sum_WH!F:F,"",0)</f>
        <v>Pcs</v>
      </c>
      <c r="N2460" s="221">
        <v>67</v>
      </c>
      <c r="O2460" s="221" t="s">
        <v>738</v>
      </c>
      <c r="P2460" s="221" t="s">
        <v>3392</v>
      </c>
      <c r="Q2460" s="221" t="s">
        <v>3359</v>
      </c>
      <c r="R2460" s="221">
        <v>0</v>
      </c>
      <c r="S2460" s="221"/>
      <c r="T2460" s="221"/>
      <c r="U2460" s="221"/>
      <c r="V2460" s="221"/>
      <c r="W2460" s="221"/>
      <c r="X2460" s="221"/>
      <c r="Y2460" s="227"/>
      <c r="Z2460" s="227" t="str">
        <f t="shared" si="87"/>
        <v xml:space="preserve">Baturetno RW 02 Singosari </v>
      </c>
      <c r="AA2460" s="276" t="e">
        <f>VLOOKUP(Logfile_S12[[#This Row],[DO number]],DO_DB!G:I,3,0)</f>
        <v>#N/A</v>
      </c>
      <c r="AB2460" s="331" t="e">
        <f>EXACT(Logfile_S12[[#This Row],[date pick]],Logfile_S12[[#This Row],[Date]])</f>
        <v>#N/A</v>
      </c>
      <c r="AC24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61" spans="1:29" ht="14.5" hidden="1">
      <c r="A2461" s="220" t="str">
        <f t="shared" si="86"/>
        <v>2457</v>
      </c>
      <c r="B2461" s="221"/>
      <c r="C2461" s="221" t="s">
        <v>48</v>
      </c>
      <c r="D2461" s="221" t="s">
        <v>3924</v>
      </c>
      <c r="E2461" s="221" t="s">
        <v>3295</v>
      </c>
      <c r="F2461" s="221" t="s">
        <v>3299</v>
      </c>
      <c r="G2461" s="222">
        <v>45337</v>
      </c>
      <c r="H2461" s="223">
        <v>15.291666666666666</v>
      </c>
      <c r="I2461" s="221" t="s">
        <v>3017</v>
      </c>
      <c r="J2461" s="221" t="s">
        <v>3024</v>
      </c>
      <c r="K2461" s="224" t="s">
        <v>3089</v>
      </c>
      <c r="L2461" s="225" t="str">
        <f>VLOOKUP(Logfile_S12[[#This Row],[Material Name]],Sheet2!B:C,2,0)</f>
        <v>GCI1003</v>
      </c>
      <c r="M2461" s="225" t="str">
        <f>_xlfn.XLOOKUP(Logfile_S12[[#This Row],[Material Name]],Sum_WH!E:E,Sum_WH!F:F,"",0)</f>
        <v>Pcs</v>
      </c>
      <c r="N2461" s="221">
        <v>67</v>
      </c>
      <c r="O2461" s="221" t="s">
        <v>742</v>
      </c>
      <c r="P2461" s="221" t="s">
        <v>743</v>
      </c>
      <c r="Q2461" s="221" t="s">
        <v>3359</v>
      </c>
      <c r="R2461" s="221">
        <v>0</v>
      </c>
      <c r="S2461" s="221"/>
      <c r="T2461" s="221"/>
      <c r="U2461" s="221"/>
      <c r="V2461" s="221"/>
      <c r="W2461" s="221"/>
      <c r="X2461" s="221"/>
      <c r="Y2461" s="227"/>
      <c r="Z2461" s="227" t="str">
        <f t="shared" si="87"/>
        <v>Baturetno RW 03 Singosari</v>
      </c>
      <c r="AA2461" s="276" t="e">
        <f>VLOOKUP(Logfile_S12[[#This Row],[DO number]],DO_DB!G:I,3,0)</f>
        <v>#N/A</v>
      </c>
      <c r="AB2461" s="331" t="e">
        <f>EXACT(Logfile_S12[[#This Row],[date pick]],Logfile_S12[[#This Row],[Date]])</f>
        <v>#N/A</v>
      </c>
      <c r="AC24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62" spans="1:29" ht="14.5" hidden="1">
      <c r="A2462" s="220" t="str">
        <f t="shared" si="86"/>
        <v>2458</v>
      </c>
      <c r="B2462" s="221"/>
      <c r="C2462" s="221" t="s">
        <v>49</v>
      </c>
      <c r="D2462" s="221" t="s">
        <v>3923</v>
      </c>
      <c r="E2462" s="221" t="s">
        <v>3295</v>
      </c>
      <c r="F2462" s="221" t="s">
        <v>3299</v>
      </c>
      <c r="G2462" s="222">
        <v>45337</v>
      </c>
      <c r="H2462" s="223">
        <v>0.46111111111111108</v>
      </c>
      <c r="I2462" s="221" t="s">
        <v>4916</v>
      </c>
      <c r="J2462" s="221" t="s">
        <v>3024</v>
      </c>
      <c r="K2462" s="224" t="s">
        <v>3089</v>
      </c>
      <c r="L2462" s="225" t="str">
        <f>VLOOKUP(Logfile_S12[[#This Row],[Material Name]],Sheet2!B:C,2,0)</f>
        <v>GCI1003</v>
      </c>
      <c r="M2462" s="225" t="str">
        <f>_xlfn.XLOOKUP(Logfile_S12[[#This Row],[Material Name]],Sum_WH!E:E,Sum_WH!F:F,"",0)</f>
        <v>Pcs</v>
      </c>
      <c r="N2462" s="221">
        <v>60</v>
      </c>
      <c r="O2462" s="221" t="s">
        <v>911</v>
      </c>
      <c r="P2462" s="221" t="s">
        <v>912</v>
      </c>
      <c r="Q2462" s="221"/>
      <c r="R2462" s="221"/>
      <c r="S2462" s="221"/>
      <c r="T2462" s="221" t="s">
        <v>3258</v>
      </c>
      <c r="U2462" s="221" t="s">
        <v>3228</v>
      </c>
      <c r="V2462" s="221" t="s">
        <v>3337</v>
      </c>
      <c r="W2462" s="221" t="s">
        <v>3338</v>
      </c>
      <c r="X2462" s="221"/>
      <c r="Y2462" s="227"/>
      <c r="Z2462" s="227" t="str">
        <f t="shared" si="87"/>
        <v>Bandulan RW 08 Sukun</v>
      </c>
      <c r="AA2462" s="276" t="e">
        <f>VLOOKUP(Logfile_S12[[#This Row],[DO number]],DO_DB!G:I,3,0)</f>
        <v>#N/A</v>
      </c>
      <c r="AB2462" s="331" t="e">
        <f>EXACT(Logfile_S12[[#This Row],[date pick]],Logfile_S12[[#This Row],[Date]])</f>
        <v>#N/A</v>
      </c>
      <c r="AC24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63" spans="1:29" ht="14.5" hidden="1">
      <c r="A2463" s="220" t="str">
        <f t="shared" si="86"/>
        <v>2459</v>
      </c>
      <c r="B2463" s="221"/>
      <c r="C2463" s="221" t="s">
        <v>49</v>
      </c>
      <c r="D2463" s="221" t="s">
        <v>3938</v>
      </c>
      <c r="E2463" s="221" t="s">
        <v>3295</v>
      </c>
      <c r="F2463" s="221" t="s">
        <v>3299</v>
      </c>
      <c r="G2463" s="222">
        <v>45343</v>
      </c>
      <c r="H2463" s="223">
        <v>0.78888888888888886</v>
      </c>
      <c r="I2463" s="221" t="s">
        <v>4916</v>
      </c>
      <c r="J2463" s="221" t="s">
        <v>3024</v>
      </c>
      <c r="K2463" s="224" t="s">
        <v>3089</v>
      </c>
      <c r="L2463" s="225" t="str">
        <f>VLOOKUP(Logfile_S12[[#This Row],[Material Name]],Sheet2!B:C,2,0)</f>
        <v>GCI1003</v>
      </c>
      <c r="M2463" s="225" t="str">
        <f>_xlfn.XLOOKUP(Logfile_S12[[#This Row],[Material Name]],Sum_WH!E:E,Sum_WH!F:F,"",0)</f>
        <v>Pcs</v>
      </c>
      <c r="N2463" s="221">
        <v>50</v>
      </c>
      <c r="O2463" s="221" t="s">
        <v>838</v>
      </c>
      <c r="P2463" s="221" t="s">
        <v>3361</v>
      </c>
      <c r="Q2463" s="221"/>
      <c r="R2463" s="221"/>
      <c r="S2463" s="221"/>
      <c r="T2463" s="221" t="s">
        <v>3258</v>
      </c>
      <c r="U2463" s="221" t="s">
        <v>3228</v>
      </c>
      <c r="V2463" s="221" t="s">
        <v>3337</v>
      </c>
      <c r="W2463" s="221" t="s">
        <v>3338</v>
      </c>
      <c r="X2463" s="221"/>
      <c r="Y2463" s="227"/>
      <c r="Z2463" s="227" t="str">
        <f t="shared" si="87"/>
        <v>TAMANHARJO RW 04 SINGOSARI</v>
      </c>
      <c r="AA2463" s="276" t="e">
        <f>VLOOKUP(Logfile_S12[[#This Row],[DO number]],DO_DB!G:I,3,0)</f>
        <v>#N/A</v>
      </c>
      <c r="AB2463" s="331" t="e">
        <f>EXACT(Logfile_S12[[#This Row],[date pick]],Logfile_S12[[#This Row],[Date]])</f>
        <v>#N/A</v>
      </c>
      <c r="AC24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64" spans="1:29" ht="14.5" hidden="1">
      <c r="A2464" s="220" t="str">
        <f t="shared" si="86"/>
        <v>2460</v>
      </c>
      <c r="B2464" s="221"/>
      <c r="C2464" s="221" t="s">
        <v>48</v>
      </c>
      <c r="D2464" s="221" t="s">
        <v>3941</v>
      </c>
      <c r="E2464" s="221" t="s">
        <v>3295</v>
      </c>
      <c r="F2464" s="221" t="s">
        <v>3299</v>
      </c>
      <c r="G2464" s="222">
        <v>45344</v>
      </c>
      <c r="H2464" s="223">
        <v>15.291666666666666</v>
      </c>
      <c r="I2464" s="221" t="s">
        <v>38</v>
      </c>
      <c r="J2464" s="221" t="s">
        <v>3024</v>
      </c>
      <c r="K2464" s="224" t="s">
        <v>3089</v>
      </c>
      <c r="L2464" s="225" t="str">
        <f>VLOOKUP(Logfile_S12[[#This Row],[Material Name]],Sheet2!B:C,2,0)</f>
        <v>GCI1003</v>
      </c>
      <c r="M2464" s="225" t="str">
        <f>_xlfn.XLOOKUP(Logfile_S12[[#This Row],[Material Name]],Sum_WH!E:E,Sum_WH!F:F,"",0)</f>
        <v>Pcs</v>
      </c>
      <c r="N2464" s="221">
        <v>51</v>
      </c>
      <c r="O2464" s="221" t="s">
        <v>921</v>
      </c>
      <c r="P2464" s="221" t="s">
        <v>922</v>
      </c>
      <c r="Q2464" s="221">
        <v>0</v>
      </c>
      <c r="R2464" s="221">
        <v>0</v>
      </c>
      <c r="S2464" s="221"/>
      <c r="T2464" s="221"/>
      <c r="U2464" s="221"/>
      <c r="V2464" s="221"/>
      <c r="W2464" s="221"/>
      <c r="X2464" s="221" t="s">
        <v>3360</v>
      </c>
      <c r="Y2464" s="227"/>
      <c r="Z2464" s="227" t="str">
        <f t="shared" si="87"/>
        <v>Bumiayu RW 03 Kedungkandang</v>
      </c>
      <c r="AA2464" s="276" t="e">
        <f>VLOOKUP(Logfile_S12[[#This Row],[DO number]],DO_DB!G:I,3,0)</f>
        <v>#N/A</v>
      </c>
      <c r="AB2464" s="331" t="e">
        <f>EXACT(Logfile_S12[[#This Row],[date pick]],Logfile_S12[[#This Row],[Date]])</f>
        <v>#N/A</v>
      </c>
      <c r="AC24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65" spans="1:29" ht="14.5" hidden="1">
      <c r="A2465" s="220" t="str">
        <f t="shared" si="86"/>
        <v>2461</v>
      </c>
      <c r="B2465" s="221"/>
      <c r="C2465" s="221" t="s">
        <v>49</v>
      </c>
      <c r="D2465" s="221" t="s">
        <v>3950</v>
      </c>
      <c r="E2465" s="221" t="s">
        <v>3295</v>
      </c>
      <c r="F2465" s="221" t="s">
        <v>3299</v>
      </c>
      <c r="G2465" s="222">
        <v>45348</v>
      </c>
      <c r="H2465" s="223">
        <v>0.35902777777777778</v>
      </c>
      <c r="I2465" s="221" t="s">
        <v>4916</v>
      </c>
      <c r="J2465" s="221" t="s">
        <v>3024</v>
      </c>
      <c r="K2465" s="224" t="s">
        <v>3089</v>
      </c>
      <c r="L2465" s="225" t="str">
        <f>VLOOKUP(Logfile_S12[[#This Row],[Material Name]],Sheet2!B:C,2,0)</f>
        <v>GCI1003</v>
      </c>
      <c r="M2465" s="225" t="str">
        <f>_xlfn.XLOOKUP(Logfile_S12[[#This Row],[Material Name]],Sum_WH!E:E,Sum_WH!F:F,"",0)</f>
        <v>Pcs</v>
      </c>
      <c r="N2465" s="221">
        <v>128</v>
      </c>
      <c r="O2465" s="221" t="s">
        <v>921</v>
      </c>
      <c r="P2465" s="221" t="s">
        <v>922</v>
      </c>
      <c r="Q2465" s="221"/>
      <c r="R2465" s="221"/>
      <c r="S2465" s="221"/>
      <c r="T2465" s="221" t="s">
        <v>3363</v>
      </c>
      <c r="U2465" s="221" t="s">
        <v>3228</v>
      </c>
      <c r="V2465" s="221" t="s">
        <v>3364</v>
      </c>
      <c r="W2465" s="221" t="s">
        <v>3365</v>
      </c>
      <c r="X2465" s="221"/>
      <c r="Y2465" s="227"/>
      <c r="Z2465" s="227" t="str">
        <f t="shared" si="87"/>
        <v>Bumiayu RW 03 Kedungkandang</v>
      </c>
      <c r="AA2465" s="276" t="e">
        <f>VLOOKUP(Logfile_S12[[#This Row],[DO number]],DO_DB!G:I,3,0)</f>
        <v>#N/A</v>
      </c>
      <c r="AB2465" s="331" t="e">
        <f>EXACT(Logfile_S12[[#This Row],[date pick]],Logfile_S12[[#This Row],[Date]])</f>
        <v>#N/A</v>
      </c>
      <c r="AC24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66" spans="1:29" ht="14.5" hidden="1">
      <c r="A2466" s="220" t="str">
        <f t="shared" si="86"/>
        <v>2462</v>
      </c>
      <c r="B2466" s="221"/>
      <c r="C2466" s="221" t="s">
        <v>48</v>
      </c>
      <c r="D2466" s="221" t="s">
        <v>3953</v>
      </c>
      <c r="E2466" s="221" t="s">
        <v>3295</v>
      </c>
      <c r="F2466" s="221" t="s">
        <v>3299</v>
      </c>
      <c r="G2466" s="222">
        <v>45349</v>
      </c>
      <c r="H2466" s="223">
        <v>15.291666666666666</v>
      </c>
      <c r="I2466" s="221" t="s">
        <v>38</v>
      </c>
      <c r="J2466" s="221" t="s">
        <v>3024</v>
      </c>
      <c r="K2466" s="224" t="s">
        <v>3089</v>
      </c>
      <c r="L2466" s="225" t="str">
        <f>VLOOKUP(Logfile_S12[[#This Row],[Material Name]],Sheet2!B:C,2,0)</f>
        <v>GCI1003</v>
      </c>
      <c r="M2466" s="225" t="str">
        <f>_xlfn.XLOOKUP(Logfile_S12[[#This Row],[Material Name]],Sum_WH!E:E,Sum_WH!F:F,"",0)</f>
        <v>Pcs</v>
      </c>
      <c r="N2466" s="221">
        <v>301</v>
      </c>
      <c r="O2466" s="221">
        <v>0</v>
      </c>
      <c r="P2466" s="221" t="s">
        <v>3362</v>
      </c>
      <c r="Q2466" s="221">
        <v>0</v>
      </c>
      <c r="R2466" s="221">
        <v>0</v>
      </c>
      <c r="S2466" s="221"/>
      <c r="T2466" s="221"/>
      <c r="U2466" s="221"/>
      <c r="V2466" s="221"/>
      <c r="W2466" s="221"/>
      <c r="X2466" s="221"/>
      <c r="Y2466" s="227"/>
      <c r="Z2466" s="227" t="str">
        <f t="shared" si="87"/>
        <v xml:space="preserve">UD RIZQI JAYA PRATAMA </v>
      </c>
      <c r="AA2466" s="276" t="e">
        <f>VLOOKUP(Logfile_S12[[#This Row],[DO number]],DO_DB!G:I,3,0)</f>
        <v>#N/A</v>
      </c>
      <c r="AB2466" s="331" t="e">
        <f>EXACT(Logfile_S12[[#This Row],[date pick]],Logfile_S12[[#This Row],[Date]])</f>
        <v>#N/A</v>
      </c>
      <c r="AC24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67" spans="1:29" ht="14.5" hidden="1">
      <c r="A2467" s="220" t="str">
        <f t="shared" si="86"/>
        <v>2463</v>
      </c>
      <c r="B2467" s="221"/>
      <c r="C2467" s="221" t="s">
        <v>49</v>
      </c>
      <c r="D2467" s="221" t="s">
        <v>3954</v>
      </c>
      <c r="E2467" s="221" t="s">
        <v>3295</v>
      </c>
      <c r="F2467" s="221" t="s">
        <v>3299</v>
      </c>
      <c r="G2467" s="222">
        <v>45350</v>
      </c>
      <c r="H2467" s="223">
        <v>0.3833333333333333</v>
      </c>
      <c r="I2467" s="221" t="s">
        <v>4916</v>
      </c>
      <c r="J2467" s="221" t="s">
        <v>3024</v>
      </c>
      <c r="K2467" s="224" t="s">
        <v>3089</v>
      </c>
      <c r="L2467" s="225" t="str">
        <f>VLOOKUP(Logfile_S12[[#This Row],[Material Name]],Sheet2!B:C,2,0)</f>
        <v>GCI1003</v>
      </c>
      <c r="M2467" s="225" t="str">
        <f>_xlfn.XLOOKUP(Logfile_S12[[#This Row],[Material Name]],Sum_WH!E:E,Sum_WH!F:F,"",0)</f>
        <v>Pcs</v>
      </c>
      <c r="N2467" s="221">
        <v>12</v>
      </c>
      <c r="O2467" s="221" t="s">
        <v>921</v>
      </c>
      <c r="P2467" s="221" t="s">
        <v>922</v>
      </c>
      <c r="Q2467" s="221"/>
      <c r="R2467" s="221"/>
      <c r="S2467" s="221"/>
      <c r="T2467" s="221" t="s">
        <v>3363</v>
      </c>
      <c r="U2467" s="221" t="s">
        <v>3228</v>
      </c>
      <c r="V2467" s="221" t="s">
        <v>3364</v>
      </c>
      <c r="W2467" s="221" t="s">
        <v>3365</v>
      </c>
      <c r="X2467" s="221"/>
      <c r="Y2467" s="227"/>
      <c r="Z2467" s="227" t="str">
        <f t="shared" si="87"/>
        <v>Bumiayu RW 03 Kedungkandang</v>
      </c>
      <c r="AA2467" s="276" t="e">
        <f>VLOOKUP(Logfile_S12[[#This Row],[DO number]],DO_DB!G:I,3,0)</f>
        <v>#N/A</v>
      </c>
      <c r="AB2467" s="331" t="e">
        <f>EXACT(Logfile_S12[[#This Row],[date pick]],Logfile_S12[[#This Row],[Date]])</f>
        <v>#N/A</v>
      </c>
      <c r="AC24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68" spans="1:29" ht="14.5" hidden="1">
      <c r="A2468" s="220" t="str">
        <f t="shared" si="86"/>
        <v>2464</v>
      </c>
      <c r="B2468" s="221"/>
      <c r="C2468" s="221" t="s">
        <v>49</v>
      </c>
      <c r="D2468" s="221" t="s">
        <v>3963</v>
      </c>
      <c r="E2468" s="221" t="s">
        <v>3295</v>
      </c>
      <c r="F2468" s="221" t="s">
        <v>3299</v>
      </c>
      <c r="G2468" s="222">
        <v>45352</v>
      </c>
      <c r="H2468" s="223">
        <v>0.39097222222222222</v>
      </c>
      <c r="I2468" s="221" t="s">
        <v>4916</v>
      </c>
      <c r="J2468" s="221" t="s">
        <v>3024</v>
      </c>
      <c r="K2468" s="224" t="s">
        <v>3089</v>
      </c>
      <c r="L2468" s="225" t="str">
        <f>VLOOKUP(Logfile_S12[[#This Row],[Material Name]],Sheet2!B:C,2,0)</f>
        <v>GCI1003</v>
      </c>
      <c r="M2468" s="225" t="str">
        <f>_xlfn.XLOOKUP(Logfile_S12[[#This Row],[Material Name]],Sum_WH!E:E,Sum_WH!F:F,"",0)</f>
        <v>Pcs</v>
      </c>
      <c r="N2468" s="221">
        <v>50</v>
      </c>
      <c r="O2468" s="221" t="s">
        <v>1013</v>
      </c>
      <c r="P2468" s="221" t="s">
        <v>1014</v>
      </c>
      <c r="Q2468" s="221"/>
      <c r="R2468" s="221"/>
      <c r="S2468" s="221"/>
      <c r="T2468" s="221" t="s">
        <v>3258</v>
      </c>
      <c r="U2468" s="221" t="s">
        <v>3228</v>
      </c>
      <c r="V2468" s="221" t="s">
        <v>3337</v>
      </c>
      <c r="W2468" s="221" t="s">
        <v>3338</v>
      </c>
      <c r="X2468" s="221"/>
      <c r="Y2468" s="227"/>
      <c r="Z2468" s="227" t="str">
        <f t="shared" si="87"/>
        <v>Bumiayu RW 05 Kedungkandang</v>
      </c>
      <c r="AA2468" s="276" t="e">
        <f>VLOOKUP(Logfile_S12[[#This Row],[DO number]],DO_DB!G:I,3,0)</f>
        <v>#N/A</v>
      </c>
      <c r="AB2468" s="331" t="e">
        <f>EXACT(Logfile_S12[[#This Row],[date pick]],Logfile_S12[[#This Row],[Date]])</f>
        <v>#N/A</v>
      </c>
      <c r="AC24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69" spans="1:29" ht="14.5" hidden="1">
      <c r="A2469" s="220" t="str">
        <f t="shared" si="86"/>
        <v>2465</v>
      </c>
      <c r="B2469" s="221"/>
      <c r="C2469" s="221" t="s">
        <v>49</v>
      </c>
      <c r="D2469" s="221" t="s">
        <v>3973</v>
      </c>
      <c r="E2469" s="221" t="s">
        <v>3295</v>
      </c>
      <c r="F2469" s="221" t="s">
        <v>3299</v>
      </c>
      <c r="G2469" s="222">
        <v>45357</v>
      </c>
      <c r="H2469" s="223">
        <v>0.39166666666666666</v>
      </c>
      <c r="I2469" s="221" t="s">
        <v>4916</v>
      </c>
      <c r="J2469" s="221" t="s">
        <v>3024</v>
      </c>
      <c r="K2469" s="224" t="s">
        <v>3089</v>
      </c>
      <c r="L2469" s="225" t="str">
        <f>VLOOKUP(Logfile_S12[[#This Row],[Material Name]],Sheet2!B:C,2,0)</f>
        <v>GCI1003</v>
      </c>
      <c r="M2469" s="225" t="str">
        <f>_xlfn.XLOOKUP(Logfile_S12[[#This Row],[Material Name]],Sum_WH!E:E,Sum_WH!F:F,"",0)</f>
        <v>Pcs</v>
      </c>
      <c r="N2469" s="221">
        <v>50</v>
      </c>
      <c r="O2469" s="221" t="s">
        <v>828</v>
      </c>
      <c r="P2469" s="221" t="s">
        <v>829</v>
      </c>
      <c r="Q2469" s="221"/>
      <c r="R2469" s="221"/>
      <c r="S2469" s="221"/>
      <c r="T2469" s="221" t="s">
        <v>3258</v>
      </c>
      <c r="U2469" s="221" t="s">
        <v>3228</v>
      </c>
      <c r="V2469" s="221" t="s">
        <v>3337</v>
      </c>
      <c r="W2469" s="221" t="s">
        <v>3338</v>
      </c>
      <c r="X2469" s="221"/>
      <c r="Y2469" s="227"/>
      <c r="Z2469" s="227" t="str">
        <f t="shared" si="87"/>
        <v>Perumahan Pondok Mutiara Malang</v>
      </c>
      <c r="AA2469" s="276" t="e">
        <f>VLOOKUP(Logfile_S12[[#This Row],[DO number]],DO_DB!G:I,3,0)</f>
        <v>#N/A</v>
      </c>
      <c r="AB2469" s="331" t="e">
        <f>EXACT(Logfile_S12[[#This Row],[date pick]],Logfile_S12[[#This Row],[Date]])</f>
        <v>#N/A</v>
      </c>
      <c r="AC24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70" spans="1:29" ht="14.5" hidden="1">
      <c r="A2470" s="220" t="str">
        <f t="shared" si="86"/>
        <v>2466</v>
      </c>
      <c r="B2470" s="221"/>
      <c r="C2470" s="221" t="s">
        <v>49</v>
      </c>
      <c r="D2470" s="221" t="s">
        <v>3978</v>
      </c>
      <c r="E2470" s="221" t="s">
        <v>3295</v>
      </c>
      <c r="F2470" s="221" t="s">
        <v>3299</v>
      </c>
      <c r="G2470" s="222">
        <v>45366</v>
      </c>
      <c r="H2470" s="223">
        <v>0.71666666666666667</v>
      </c>
      <c r="I2470" s="221" t="s">
        <v>4916</v>
      </c>
      <c r="J2470" s="221" t="s">
        <v>3024</v>
      </c>
      <c r="K2470" s="224" t="s">
        <v>3089</v>
      </c>
      <c r="L2470" s="225" t="str">
        <f>VLOOKUP(Logfile_S12[[#This Row],[Material Name]],Sheet2!B:C,2,0)</f>
        <v>GCI1003</v>
      </c>
      <c r="M2470" s="225" t="str">
        <f>_xlfn.XLOOKUP(Logfile_S12[[#This Row],[Material Name]],Sum_WH!E:E,Sum_WH!F:F,"",0)</f>
        <v>Pcs</v>
      </c>
      <c r="N2470" s="221">
        <v>100</v>
      </c>
      <c r="O2470" s="221" t="s">
        <v>1087</v>
      </c>
      <c r="P2470" s="221" t="s">
        <v>1088</v>
      </c>
      <c r="Q2470" s="221"/>
      <c r="R2470" s="221"/>
      <c r="S2470" s="221"/>
      <c r="T2470" s="221" t="s">
        <v>3258</v>
      </c>
      <c r="U2470" s="221" t="s">
        <v>3228</v>
      </c>
      <c r="V2470" s="221" t="s">
        <v>3337</v>
      </c>
      <c r="W2470" s="221" t="s">
        <v>3338</v>
      </c>
      <c r="X2470" s="221"/>
      <c r="Y2470" s="227"/>
      <c r="Z2470" s="227" t="str">
        <f t="shared" si="87"/>
        <v>Dalisodo RW 01 Wagir</v>
      </c>
      <c r="AA2470" s="276" t="e">
        <f>VLOOKUP(Logfile_S12[[#This Row],[DO number]],DO_DB!G:I,3,0)</f>
        <v>#N/A</v>
      </c>
      <c r="AB2470" s="331" t="e">
        <f>EXACT(Logfile_S12[[#This Row],[date pick]],Logfile_S12[[#This Row],[Date]])</f>
        <v>#N/A</v>
      </c>
      <c r="AC24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71" spans="1:29" ht="14.5" hidden="1">
      <c r="A2471" s="220" t="str">
        <f t="shared" si="86"/>
        <v>2467</v>
      </c>
      <c r="B2471" s="221"/>
      <c r="C2471" s="221" t="s">
        <v>48</v>
      </c>
      <c r="D2471" s="221" t="s">
        <v>3985</v>
      </c>
      <c r="E2471" s="221" t="s">
        <v>3295</v>
      </c>
      <c r="F2471" s="221" t="s">
        <v>3299</v>
      </c>
      <c r="G2471" s="222">
        <v>45373</v>
      </c>
      <c r="H2471" s="223">
        <v>15.291666666666666</v>
      </c>
      <c r="I2471" s="221" t="s">
        <v>38</v>
      </c>
      <c r="J2471" s="221" t="s">
        <v>3024</v>
      </c>
      <c r="K2471" s="224" t="s">
        <v>3089</v>
      </c>
      <c r="L2471" s="225" t="str">
        <f>VLOOKUP(Logfile_S12[[#This Row],[Material Name]],Sheet2!B:C,2,0)</f>
        <v>GCI1003</v>
      </c>
      <c r="M2471" s="225" t="str">
        <f>_xlfn.XLOOKUP(Logfile_S12[[#This Row],[Material Name]],Sum_WH!E:E,Sum_WH!F:F,"",0)</f>
        <v>Pcs</v>
      </c>
      <c r="N2471" s="221">
        <v>359</v>
      </c>
      <c r="O2471" s="221">
        <v>0</v>
      </c>
      <c r="P2471" s="221" t="s">
        <v>3366</v>
      </c>
      <c r="Q2471" s="221">
        <v>0</v>
      </c>
      <c r="R2471" s="221">
        <v>0</v>
      </c>
      <c r="S2471" s="221"/>
      <c r="T2471" s="221"/>
      <c r="U2471" s="221"/>
      <c r="V2471" s="221"/>
      <c r="W2471" s="221"/>
      <c r="X2471" s="221"/>
      <c r="Y2471" s="227"/>
      <c r="Z2471" s="227" t="str">
        <f t="shared" si="87"/>
        <v>UD HALIM</v>
      </c>
      <c r="AA2471" s="276" t="e">
        <f>VLOOKUP(Logfile_S12[[#This Row],[DO number]],DO_DB!G:I,3,0)</f>
        <v>#N/A</v>
      </c>
      <c r="AB2471" s="331" t="e">
        <f>EXACT(Logfile_S12[[#This Row],[date pick]],Logfile_S12[[#This Row],[Date]])</f>
        <v>#N/A</v>
      </c>
      <c r="AC24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72" spans="1:29" ht="14.5" hidden="1">
      <c r="A2472" s="220" t="str">
        <f t="shared" si="86"/>
        <v>2468</v>
      </c>
      <c r="B2472" s="221"/>
      <c r="C2472" s="221" t="s">
        <v>49</v>
      </c>
      <c r="D2472" s="221" t="s">
        <v>3988</v>
      </c>
      <c r="E2472" s="221" t="s">
        <v>3295</v>
      </c>
      <c r="F2472" s="221" t="s">
        <v>3299</v>
      </c>
      <c r="G2472" s="222">
        <v>45374</v>
      </c>
      <c r="H2472" s="223">
        <v>0.76666666666666661</v>
      </c>
      <c r="I2472" s="221" t="s">
        <v>4916</v>
      </c>
      <c r="J2472" s="221" t="s">
        <v>3024</v>
      </c>
      <c r="K2472" s="224" t="s">
        <v>3089</v>
      </c>
      <c r="L2472" s="225" t="str">
        <f>VLOOKUP(Logfile_S12[[#This Row],[Material Name]],Sheet2!B:C,2,0)</f>
        <v>GCI1003</v>
      </c>
      <c r="M2472" s="225" t="str">
        <f>_xlfn.XLOOKUP(Logfile_S12[[#This Row],[Material Name]],Sum_WH!E:E,Sum_WH!F:F,"",0)</f>
        <v>Pcs</v>
      </c>
      <c r="N2472" s="221">
        <v>100</v>
      </c>
      <c r="O2472" s="221" t="s">
        <v>1087</v>
      </c>
      <c r="P2472" s="221" t="s">
        <v>1088</v>
      </c>
      <c r="Q2472" s="221"/>
      <c r="R2472" s="221"/>
      <c r="S2472" s="221"/>
      <c r="T2472" s="221" t="s">
        <v>3258</v>
      </c>
      <c r="U2472" s="221" t="s">
        <v>3228</v>
      </c>
      <c r="V2472" s="221" t="s">
        <v>3337</v>
      </c>
      <c r="W2472" s="221" t="s">
        <v>3338</v>
      </c>
      <c r="X2472" s="221"/>
      <c r="Y2472" s="227"/>
      <c r="Z2472" s="227" t="str">
        <f t="shared" si="87"/>
        <v>Dalisodo RW 01 Wagir</v>
      </c>
      <c r="AA2472" s="276" t="e">
        <f>VLOOKUP(Logfile_S12[[#This Row],[DO number]],DO_DB!G:I,3,0)</f>
        <v>#N/A</v>
      </c>
      <c r="AB2472" s="331" t="e">
        <f>EXACT(Logfile_S12[[#This Row],[date pick]],Logfile_S12[[#This Row],[Date]])</f>
        <v>#N/A</v>
      </c>
      <c r="AC24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73" spans="1:29" ht="14.5" hidden="1">
      <c r="A2473" s="220" t="str">
        <f t="shared" si="86"/>
        <v>2469</v>
      </c>
      <c r="B2473" s="221"/>
      <c r="C2473" s="221" t="s">
        <v>49</v>
      </c>
      <c r="D2473" s="221" t="s">
        <v>3993</v>
      </c>
      <c r="E2473" s="221" t="s">
        <v>3295</v>
      </c>
      <c r="F2473" s="221" t="s">
        <v>3299</v>
      </c>
      <c r="G2473" s="222">
        <v>45379</v>
      </c>
      <c r="H2473" s="223">
        <v>0.4145833333333333</v>
      </c>
      <c r="I2473" s="221" t="s">
        <v>4916</v>
      </c>
      <c r="J2473" s="221" t="s">
        <v>3024</v>
      </c>
      <c r="K2473" s="224" t="s">
        <v>3089</v>
      </c>
      <c r="L2473" s="225" t="str">
        <f>VLOOKUP(Logfile_S12[[#This Row],[Material Name]],Sheet2!B:C,2,0)</f>
        <v>GCI1003</v>
      </c>
      <c r="M2473" s="225" t="str">
        <f>_xlfn.XLOOKUP(Logfile_S12[[#This Row],[Material Name]],Sum_WH!E:E,Sum_WH!F:F,"",0)</f>
        <v>Pcs</v>
      </c>
      <c r="N2473" s="221">
        <v>100</v>
      </c>
      <c r="O2473" s="221" t="s">
        <v>1161</v>
      </c>
      <c r="P2473" s="221" t="s">
        <v>1162</v>
      </c>
      <c r="Q2473" s="221"/>
      <c r="R2473" s="221"/>
      <c r="S2473" s="221"/>
      <c r="T2473" s="221" t="s">
        <v>3363</v>
      </c>
      <c r="U2473" s="221" t="s">
        <v>3228</v>
      </c>
      <c r="V2473" s="221" t="s">
        <v>3364</v>
      </c>
      <c r="W2473" s="221" t="s">
        <v>3365</v>
      </c>
      <c r="X2473" s="221"/>
      <c r="Y2473" s="227"/>
      <c r="Z2473" s="227" t="str">
        <f t="shared" si="87"/>
        <v>Tunjungtirto RW 01 Singosari</v>
      </c>
      <c r="AA2473" s="276" t="e">
        <f>VLOOKUP(Logfile_S12[[#This Row],[DO number]],DO_DB!G:I,3,0)</f>
        <v>#N/A</v>
      </c>
      <c r="AB2473" s="331" t="e">
        <f>EXACT(Logfile_S12[[#This Row],[date pick]],Logfile_S12[[#This Row],[Date]])</f>
        <v>#N/A</v>
      </c>
      <c r="AC24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74" spans="1:29" ht="14.5" hidden="1">
      <c r="A2474" s="220" t="str">
        <f t="shared" si="86"/>
        <v>2470</v>
      </c>
      <c r="B2474" s="221"/>
      <c r="C2474" s="221" t="s">
        <v>49</v>
      </c>
      <c r="D2474" s="221" t="s">
        <v>3997</v>
      </c>
      <c r="E2474" s="221" t="s">
        <v>3295</v>
      </c>
      <c r="F2474" s="221" t="s">
        <v>3299</v>
      </c>
      <c r="G2474" s="222">
        <v>45383</v>
      </c>
      <c r="H2474" s="223">
        <v>0.38472222222222219</v>
      </c>
      <c r="I2474" s="221" t="s">
        <v>4916</v>
      </c>
      <c r="J2474" s="221" t="s">
        <v>3024</v>
      </c>
      <c r="K2474" s="224" t="s">
        <v>3089</v>
      </c>
      <c r="L2474" s="225" t="str">
        <f>VLOOKUP(Logfile_S12[[#This Row],[Material Name]],Sheet2!B:C,2,0)</f>
        <v>GCI1003</v>
      </c>
      <c r="M2474" s="225" t="str">
        <f>_xlfn.XLOOKUP(Logfile_S12[[#This Row],[Material Name]],Sum_WH!E:E,Sum_WH!F:F,"",0)</f>
        <v>Pcs</v>
      </c>
      <c r="N2474" s="221">
        <v>50</v>
      </c>
      <c r="O2474" s="221" t="s">
        <v>1151</v>
      </c>
      <c r="P2474" s="221" t="s">
        <v>1152</v>
      </c>
      <c r="Q2474" s="221"/>
      <c r="R2474" s="221"/>
      <c r="S2474" s="221"/>
      <c r="T2474" s="221" t="s">
        <v>3363</v>
      </c>
      <c r="U2474" s="221" t="s">
        <v>3228</v>
      </c>
      <c r="V2474" s="221" t="s">
        <v>3364</v>
      </c>
      <c r="W2474" s="221" t="s">
        <v>3365</v>
      </c>
      <c r="X2474" s="221"/>
      <c r="Y2474" s="227"/>
      <c r="Z2474" s="227" t="str">
        <f t="shared" si="87"/>
        <v>Tunjungtirto RW 08 Singosari</v>
      </c>
      <c r="AA2474" s="276" t="e">
        <f>VLOOKUP(Logfile_S12[[#This Row],[DO number]],DO_DB!G:I,3,0)</f>
        <v>#N/A</v>
      </c>
      <c r="AB2474" s="331" t="e">
        <f>EXACT(Logfile_S12[[#This Row],[date pick]],Logfile_S12[[#This Row],[Date]])</f>
        <v>#N/A</v>
      </c>
      <c r="AC24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75" spans="1:29" ht="14.5" hidden="1">
      <c r="A2475" s="220" t="str">
        <f t="shared" si="86"/>
        <v>2471</v>
      </c>
      <c r="B2475" s="221"/>
      <c r="C2475" s="221" t="s">
        <v>49</v>
      </c>
      <c r="D2475" s="221" t="s">
        <v>4022</v>
      </c>
      <c r="E2475" s="221" t="s">
        <v>3295</v>
      </c>
      <c r="F2475" s="221" t="s">
        <v>3299</v>
      </c>
      <c r="G2475" s="222">
        <v>45405</v>
      </c>
      <c r="H2475" s="223">
        <v>0.71666666666666667</v>
      </c>
      <c r="I2475" s="221" t="s">
        <v>4916</v>
      </c>
      <c r="J2475" s="221" t="s">
        <v>3024</v>
      </c>
      <c r="K2475" s="224" t="s">
        <v>3089</v>
      </c>
      <c r="L2475" s="225" t="str">
        <f>VLOOKUP(Logfile_S12[[#This Row],[Material Name]],Sheet2!B:C,2,0)</f>
        <v>GCI1003</v>
      </c>
      <c r="M2475" s="225" t="str">
        <f>_xlfn.XLOOKUP(Logfile_S12[[#This Row],[Material Name]],Sum_WH!E:E,Sum_WH!F:F,"",0)</f>
        <v>Pcs</v>
      </c>
      <c r="N2475" s="221">
        <v>200</v>
      </c>
      <c r="O2475" s="221" t="s">
        <v>1081</v>
      </c>
      <c r="P2475" s="221" t="s">
        <v>3370</v>
      </c>
      <c r="Q2475" s="221"/>
      <c r="R2475" s="221"/>
      <c r="S2475" s="221"/>
      <c r="T2475" s="221" t="s">
        <v>3258</v>
      </c>
      <c r="U2475" s="221" t="s">
        <v>3228</v>
      </c>
      <c r="V2475" s="221" t="s">
        <v>3337</v>
      </c>
      <c r="W2475" s="221" t="s">
        <v>3338</v>
      </c>
      <c r="X2475" s="221"/>
      <c r="Y2475" s="227"/>
      <c r="Z2475" s="227" t="str">
        <f t="shared" si="87"/>
        <v>Pandan Landung RW 05 Wagir</v>
      </c>
      <c r="AA2475" s="276" t="e">
        <f>VLOOKUP(Logfile_S12[[#This Row],[DO number]],DO_DB!G:I,3,0)</f>
        <v>#N/A</v>
      </c>
      <c r="AB2475" s="331" t="e">
        <f>EXACT(Logfile_S12[[#This Row],[date pick]],Logfile_S12[[#This Row],[Date]])</f>
        <v>#N/A</v>
      </c>
      <c r="AC24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76" spans="1:29" ht="14.5" hidden="1">
      <c r="A2476" s="220" t="str">
        <f t="shared" si="86"/>
        <v>2472</v>
      </c>
      <c r="B2476" s="221"/>
      <c r="C2476" s="221" t="s">
        <v>48</v>
      </c>
      <c r="D2476" s="221" t="s">
        <v>4029</v>
      </c>
      <c r="E2476" s="221" t="s">
        <v>3295</v>
      </c>
      <c r="F2476" s="221" t="s">
        <v>3299</v>
      </c>
      <c r="G2476" s="222">
        <v>45407</v>
      </c>
      <c r="H2476" s="223">
        <v>15.291666666666666</v>
      </c>
      <c r="I2476" s="221" t="s">
        <v>38</v>
      </c>
      <c r="J2476" s="221" t="s">
        <v>3024</v>
      </c>
      <c r="K2476" s="224" t="s">
        <v>3089</v>
      </c>
      <c r="L2476" s="225" t="str">
        <f>VLOOKUP(Logfile_S12[[#This Row],[Material Name]],Sheet2!B:C,2,0)</f>
        <v>GCI1003</v>
      </c>
      <c r="M2476" s="225" t="str">
        <f>_xlfn.XLOOKUP(Logfile_S12[[#This Row],[Material Name]],Sum_WH!E:E,Sum_WH!F:F,"",0)</f>
        <v>Pcs</v>
      </c>
      <c r="N2476" s="221">
        <v>121</v>
      </c>
      <c r="O2476" s="221">
        <v>0</v>
      </c>
      <c r="P2476" s="221">
        <v>0</v>
      </c>
      <c r="Q2476" s="221">
        <v>0</v>
      </c>
      <c r="R2476" s="221">
        <v>0</v>
      </c>
      <c r="S2476" s="221"/>
      <c r="T2476" s="221"/>
      <c r="U2476" s="221"/>
      <c r="V2476" s="221"/>
      <c r="W2476" s="221"/>
      <c r="X2476" s="221"/>
      <c r="Y2476" s="227"/>
      <c r="Z2476" s="227">
        <f t="shared" si="87"/>
        <v>0</v>
      </c>
      <c r="AA2476" s="276" t="e">
        <f>VLOOKUP(Logfile_S12[[#This Row],[DO number]],DO_DB!G:I,3,0)</f>
        <v>#N/A</v>
      </c>
      <c r="AB2476" s="331" t="e">
        <f>EXACT(Logfile_S12[[#This Row],[date pick]],Logfile_S12[[#This Row],[Date]])</f>
        <v>#N/A</v>
      </c>
      <c r="AC24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77" spans="1:29" ht="14.5" hidden="1">
      <c r="A2477" s="220" t="str">
        <f t="shared" si="86"/>
        <v>2473</v>
      </c>
      <c r="B2477" s="221"/>
      <c r="C2477" s="221" t="s">
        <v>49</v>
      </c>
      <c r="D2477" s="221" t="s">
        <v>4031</v>
      </c>
      <c r="E2477" s="221" t="s">
        <v>3295</v>
      </c>
      <c r="F2477" s="221" t="s">
        <v>3299</v>
      </c>
      <c r="G2477" s="222">
        <v>45412</v>
      </c>
      <c r="H2477" s="223">
        <v>0.42708333333333331</v>
      </c>
      <c r="I2477" s="221" t="s">
        <v>4916</v>
      </c>
      <c r="J2477" s="221" t="s">
        <v>3024</v>
      </c>
      <c r="K2477" s="224" t="s">
        <v>3089</v>
      </c>
      <c r="L2477" s="225" t="str">
        <f>VLOOKUP(Logfile_S12[[#This Row],[Material Name]],Sheet2!B:C,2,0)</f>
        <v>GCI1003</v>
      </c>
      <c r="M2477" s="225" t="str">
        <f>_xlfn.XLOOKUP(Logfile_S12[[#This Row],[Material Name]],Sum_WH!E:E,Sum_WH!F:F,"",0)</f>
        <v>Pcs</v>
      </c>
      <c r="N2477" s="221">
        <v>100</v>
      </c>
      <c r="O2477" s="221" t="s">
        <v>1401</v>
      </c>
      <c r="P2477" s="221" t="s">
        <v>3371</v>
      </c>
      <c r="Q2477" s="221"/>
      <c r="R2477" s="221"/>
      <c r="S2477" s="221"/>
      <c r="T2477" s="221" t="s">
        <v>3363</v>
      </c>
      <c r="U2477" s="221" t="s">
        <v>3228</v>
      </c>
      <c r="V2477" s="221" t="s">
        <v>3364</v>
      </c>
      <c r="W2477" s="221" t="s">
        <v>3372</v>
      </c>
      <c r="X2477" s="221"/>
      <c r="Y2477" s="227"/>
      <c r="Z2477" s="227" t="str">
        <f t="shared" si="87"/>
        <v>Lowokwaru RW14</v>
      </c>
      <c r="AA2477" s="276" t="e">
        <f>VLOOKUP(Logfile_S12[[#This Row],[DO number]],DO_DB!G:I,3,0)</f>
        <v>#N/A</v>
      </c>
      <c r="AB2477" s="331" t="e">
        <f>EXACT(Logfile_S12[[#This Row],[date pick]],Logfile_S12[[#This Row],[Date]])</f>
        <v>#N/A</v>
      </c>
      <c r="AC24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78" spans="1:29" ht="14.5" hidden="1">
      <c r="A2478" s="220" t="str">
        <f t="shared" si="86"/>
        <v>2474</v>
      </c>
      <c r="B2478" s="221"/>
      <c r="C2478" s="221" t="s">
        <v>48</v>
      </c>
      <c r="D2478" s="221" t="s">
        <v>4038</v>
      </c>
      <c r="E2478" s="221" t="s">
        <v>3295</v>
      </c>
      <c r="F2478" s="221" t="s">
        <v>3299</v>
      </c>
      <c r="G2478" s="222">
        <v>45420</v>
      </c>
      <c r="H2478" s="223">
        <v>15.291666666666666</v>
      </c>
      <c r="I2478" s="221" t="s">
        <v>38</v>
      </c>
      <c r="J2478" s="221" t="s">
        <v>3024</v>
      </c>
      <c r="K2478" s="224" t="s">
        <v>3089</v>
      </c>
      <c r="L2478" s="225" t="str">
        <f>VLOOKUP(Logfile_S12[[#This Row],[Material Name]],Sheet2!B:C,2,0)</f>
        <v>GCI1003</v>
      </c>
      <c r="M2478" s="225" t="str">
        <f>_xlfn.XLOOKUP(Logfile_S12[[#This Row],[Material Name]],Sum_WH!E:E,Sum_WH!F:F,"",0)</f>
        <v>Pcs</v>
      </c>
      <c r="N2478" s="221">
        <v>46</v>
      </c>
      <c r="O2478" s="221">
        <v>0</v>
      </c>
      <c r="P2478" s="221">
        <v>0</v>
      </c>
      <c r="Q2478" s="221">
        <v>0</v>
      </c>
      <c r="R2478" s="221">
        <v>0</v>
      </c>
      <c r="S2478" s="221"/>
      <c r="T2478" s="221"/>
      <c r="U2478" s="221"/>
      <c r="V2478" s="221"/>
      <c r="W2478" s="221"/>
      <c r="X2478" s="221"/>
      <c r="Y2478" s="227"/>
      <c r="Z2478" s="227">
        <f t="shared" si="87"/>
        <v>0</v>
      </c>
      <c r="AA2478" s="276" t="e">
        <f>VLOOKUP(Logfile_S12[[#This Row],[DO number]],DO_DB!G:I,3,0)</f>
        <v>#N/A</v>
      </c>
      <c r="AB2478" s="331" t="e">
        <f>EXACT(Logfile_S12[[#This Row],[date pick]],Logfile_S12[[#This Row],[Date]])</f>
        <v>#N/A</v>
      </c>
      <c r="AC24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79" spans="1:29" ht="14.5" hidden="1">
      <c r="A2479" s="220" t="str">
        <f t="shared" si="86"/>
        <v>2475</v>
      </c>
      <c r="B2479" s="221"/>
      <c r="C2479" s="221" t="s">
        <v>48</v>
      </c>
      <c r="D2479" s="221" t="s">
        <v>4045</v>
      </c>
      <c r="E2479" s="221" t="s">
        <v>3295</v>
      </c>
      <c r="F2479" s="221" t="s">
        <v>3299</v>
      </c>
      <c r="G2479" s="222">
        <v>45429</v>
      </c>
      <c r="H2479" s="223">
        <v>15.291666666666666</v>
      </c>
      <c r="I2479" s="221" t="s">
        <v>38</v>
      </c>
      <c r="J2479" s="221" t="s">
        <v>3024</v>
      </c>
      <c r="K2479" s="224" t="s">
        <v>3089</v>
      </c>
      <c r="L2479" s="225" t="str">
        <f>VLOOKUP(Logfile_S12[[#This Row],[Material Name]],Sheet2!B:C,2,0)</f>
        <v>GCI1003</v>
      </c>
      <c r="M2479" s="225" t="str">
        <f>_xlfn.XLOOKUP(Logfile_S12[[#This Row],[Material Name]],Sum_WH!E:E,Sum_WH!F:F,"",0)</f>
        <v>Pcs</v>
      </c>
      <c r="N2479" s="221">
        <v>112</v>
      </c>
      <c r="O2479" s="221">
        <v>0</v>
      </c>
      <c r="P2479" s="221">
        <v>0</v>
      </c>
      <c r="Q2479" s="221">
        <v>0</v>
      </c>
      <c r="R2479" s="221">
        <v>0</v>
      </c>
      <c r="S2479" s="221"/>
      <c r="T2479" s="221"/>
      <c r="U2479" s="221"/>
      <c r="V2479" s="221"/>
      <c r="W2479" s="221"/>
      <c r="X2479" s="221"/>
      <c r="Y2479" s="227"/>
      <c r="Z2479" s="227">
        <f t="shared" si="87"/>
        <v>0</v>
      </c>
      <c r="AA2479" s="276" t="e">
        <f>VLOOKUP(Logfile_S12[[#This Row],[DO number]],DO_DB!G:I,3,0)</f>
        <v>#N/A</v>
      </c>
      <c r="AB2479" s="331" t="e">
        <f>EXACT(Logfile_S12[[#This Row],[date pick]],Logfile_S12[[#This Row],[Date]])</f>
        <v>#N/A</v>
      </c>
      <c r="AC24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80" spans="1:29" ht="14.5" hidden="1">
      <c r="A2480" s="220" t="str">
        <f t="shared" si="86"/>
        <v>2476</v>
      </c>
      <c r="B2480" s="221"/>
      <c r="C2480" s="221" t="s">
        <v>48</v>
      </c>
      <c r="D2480" s="221" t="s">
        <v>4045</v>
      </c>
      <c r="E2480" s="221" t="s">
        <v>3295</v>
      </c>
      <c r="F2480" s="221" t="s">
        <v>3299</v>
      </c>
      <c r="G2480" s="222">
        <v>45429</v>
      </c>
      <c r="H2480" s="223">
        <v>15.291666666666666</v>
      </c>
      <c r="I2480" s="221" t="s">
        <v>38</v>
      </c>
      <c r="J2480" s="221" t="s">
        <v>3024</v>
      </c>
      <c r="K2480" s="224" t="s">
        <v>3089</v>
      </c>
      <c r="L2480" s="225" t="str">
        <f>VLOOKUP(Logfile_S12[[#This Row],[Material Name]],Sheet2!B:C,2,0)</f>
        <v>GCI1003</v>
      </c>
      <c r="M2480" s="225" t="str">
        <f>_xlfn.XLOOKUP(Logfile_S12[[#This Row],[Material Name]],Sum_WH!E:E,Sum_WH!F:F,"",0)</f>
        <v>Pcs</v>
      </c>
      <c r="N2480" s="221">
        <v>125</v>
      </c>
      <c r="O2480" s="221">
        <v>0</v>
      </c>
      <c r="P2480" s="221">
        <v>0</v>
      </c>
      <c r="Q2480" s="221">
        <v>0</v>
      </c>
      <c r="R2480" s="221">
        <v>0</v>
      </c>
      <c r="S2480" s="221"/>
      <c r="T2480" s="221"/>
      <c r="U2480" s="221"/>
      <c r="V2480" s="221"/>
      <c r="W2480" s="221"/>
      <c r="X2480" s="221"/>
      <c r="Y2480" s="227"/>
      <c r="Z2480" s="227">
        <f t="shared" si="87"/>
        <v>0</v>
      </c>
      <c r="AA2480" s="276" t="e">
        <f>VLOOKUP(Logfile_S12[[#This Row],[DO number]],DO_DB!G:I,3,0)</f>
        <v>#N/A</v>
      </c>
      <c r="AB2480" s="331" t="e">
        <f>EXACT(Logfile_S12[[#This Row],[date pick]],Logfile_S12[[#This Row],[Date]])</f>
        <v>#N/A</v>
      </c>
      <c r="AC24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81" spans="1:29" ht="14.5" hidden="1">
      <c r="A2481" s="220" t="str">
        <f t="shared" si="86"/>
        <v>2477</v>
      </c>
      <c r="B2481" s="221"/>
      <c r="C2481" s="221" t="s">
        <v>49</v>
      </c>
      <c r="D2481" s="221" t="s">
        <v>4043</v>
      </c>
      <c r="E2481" s="221" t="s">
        <v>3295</v>
      </c>
      <c r="F2481" s="221" t="s">
        <v>3299</v>
      </c>
      <c r="G2481" s="222">
        <v>45429</v>
      </c>
      <c r="H2481" s="223">
        <v>0.4465277777777778</v>
      </c>
      <c r="I2481" s="221" t="s">
        <v>4916</v>
      </c>
      <c r="J2481" s="221" t="s">
        <v>3024</v>
      </c>
      <c r="K2481" s="224" t="s">
        <v>3089</v>
      </c>
      <c r="L2481" s="225" t="str">
        <f>VLOOKUP(Logfile_S12[[#This Row],[Material Name]],Sheet2!B:C,2,0)</f>
        <v>GCI1003</v>
      </c>
      <c r="M2481" s="225" t="str">
        <f>_xlfn.XLOOKUP(Logfile_S12[[#This Row],[Material Name]],Sum_WH!E:E,Sum_WH!F:F,"",0)</f>
        <v>Pcs</v>
      </c>
      <c r="N2481" s="221">
        <v>100</v>
      </c>
      <c r="O2481" s="221" t="s">
        <v>1967</v>
      </c>
      <c r="P2481" s="221" t="s">
        <v>3396</v>
      </c>
      <c r="Q2481" s="221"/>
      <c r="R2481" s="221"/>
      <c r="S2481" s="221"/>
      <c r="T2481" s="221" t="s">
        <v>3258</v>
      </c>
      <c r="U2481" s="221" t="s">
        <v>3228</v>
      </c>
      <c r="V2481" s="221" t="s">
        <v>3337</v>
      </c>
      <c r="W2481" s="221" t="s">
        <v>3338</v>
      </c>
      <c r="X2481" s="221"/>
      <c r="Y2481" s="227"/>
      <c r="Z2481" s="227" t="str">
        <f t="shared" si="87"/>
        <v>HUBFEEDER DALISODO</v>
      </c>
      <c r="AA2481" s="276" t="e">
        <f>VLOOKUP(Logfile_S12[[#This Row],[DO number]],DO_DB!G:I,3,0)</f>
        <v>#N/A</v>
      </c>
      <c r="AB2481" s="331" t="e">
        <f>EXACT(Logfile_S12[[#This Row],[date pick]],Logfile_S12[[#This Row],[Date]])</f>
        <v>#N/A</v>
      </c>
      <c r="AC24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82" spans="1:29" ht="14.5" hidden="1">
      <c r="A2482" s="220" t="str">
        <f t="shared" si="86"/>
        <v>2478</v>
      </c>
      <c r="B2482" s="221"/>
      <c r="C2482" s="221" t="s">
        <v>49</v>
      </c>
      <c r="D2482" s="221" t="s">
        <v>4060</v>
      </c>
      <c r="E2482" s="221" t="s">
        <v>3295</v>
      </c>
      <c r="F2482" s="221" t="s">
        <v>3299</v>
      </c>
      <c r="G2482" s="222">
        <v>45437</v>
      </c>
      <c r="H2482" s="223">
        <v>0.40277777777777773</v>
      </c>
      <c r="I2482" s="221" t="s">
        <v>4916</v>
      </c>
      <c r="J2482" s="221" t="s">
        <v>3024</v>
      </c>
      <c r="K2482" s="224" t="s">
        <v>3089</v>
      </c>
      <c r="L2482" s="225" t="str">
        <f>VLOOKUP(Logfile_S12[[#This Row],[Material Name]],Sheet2!B:C,2,0)</f>
        <v>GCI1003</v>
      </c>
      <c r="M2482" s="225" t="str">
        <f>_xlfn.XLOOKUP(Logfile_S12[[#This Row],[Material Name]],Sum_WH!E:E,Sum_WH!F:F,"",0)</f>
        <v>Pcs</v>
      </c>
      <c r="N2482" s="221">
        <v>100</v>
      </c>
      <c r="O2482" s="221" t="s">
        <v>1493</v>
      </c>
      <c r="P2482" s="221" t="s">
        <v>1494</v>
      </c>
      <c r="Q2482" s="221"/>
      <c r="R2482" s="221"/>
      <c r="S2482" s="221"/>
      <c r="T2482" s="221" t="s">
        <v>3258</v>
      </c>
      <c r="U2482" s="221" t="s">
        <v>3228</v>
      </c>
      <c r="V2482" s="221" t="s">
        <v>3337</v>
      </c>
      <c r="W2482" s="221" t="s">
        <v>3338</v>
      </c>
      <c r="X2482" s="221"/>
      <c r="Y2482" s="227"/>
      <c r="Z2482" s="227" t="str">
        <f t="shared" si="87"/>
        <v>Dusun Krajan Kucur</v>
      </c>
      <c r="AA2482" s="276" t="e">
        <f>VLOOKUP(Logfile_S12[[#This Row],[DO number]],DO_DB!G:I,3,0)</f>
        <v>#N/A</v>
      </c>
      <c r="AB2482" s="331" t="e">
        <f>EXACT(Logfile_S12[[#This Row],[date pick]],Logfile_S12[[#This Row],[Date]])</f>
        <v>#N/A</v>
      </c>
      <c r="AC24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83" spans="1:29" ht="14.5" hidden="1">
      <c r="A2483" s="220" t="str">
        <f t="shared" si="86"/>
        <v>2479</v>
      </c>
      <c r="B2483" s="221"/>
      <c r="C2483" s="221" t="s">
        <v>49</v>
      </c>
      <c r="D2483" s="221" t="s">
        <v>4068</v>
      </c>
      <c r="E2483" s="221" t="s">
        <v>3295</v>
      </c>
      <c r="F2483" s="221" t="s">
        <v>3299</v>
      </c>
      <c r="G2483" s="222">
        <v>45442</v>
      </c>
      <c r="H2483" s="223">
        <v>0.47916666666666669</v>
      </c>
      <c r="I2483" s="221" t="s">
        <v>4916</v>
      </c>
      <c r="J2483" s="221" t="s">
        <v>3024</v>
      </c>
      <c r="K2483" s="224" t="s">
        <v>3089</v>
      </c>
      <c r="L2483" s="225" t="str">
        <f>VLOOKUP(Logfile_S12[[#This Row],[Material Name]],Sheet2!B:C,2,0)</f>
        <v>GCI1003</v>
      </c>
      <c r="M2483" s="225" t="str">
        <f>_xlfn.XLOOKUP(Logfile_S12[[#This Row],[Material Name]],Sum_WH!E:E,Sum_WH!F:F,"",0)</f>
        <v>Pcs</v>
      </c>
      <c r="N2483" s="221">
        <v>200</v>
      </c>
      <c r="O2483" s="221" t="s">
        <v>1493</v>
      </c>
      <c r="P2483" s="221" t="s">
        <v>1494</v>
      </c>
      <c r="Q2483" s="221"/>
      <c r="R2483" s="221"/>
      <c r="S2483" s="221"/>
      <c r="T2483" s="221" t="s">
        <v>3258</v>
      </c>
      <c r="U2483" s="221" t="s">
        <v>3228</v>
      </c>
      <c r="V2483" s="221" t="s">
        <v>3337</v>
      </c>
      <c r="W2483" s="221" t="s">
        <v>3338</v>
      </c>
      <c r="X2483" s="221"/>
      <c r="Y2483" s="227"/>
      <c r="Z2483" s="227" t="str">
        <f t="shared" si="87"/>
        <v>Dusun Krajan Kucur</v>
      </c>
      <c r="AA2483" s="276" t="e">
        <f>VLOOKUP(Logfile_S12[[#This Row],[DO number]],DO_DB!G:I,3,0)</f>
        <v>#N/A</v>
      </c>
      <c r="AB2483" s="331" t="e">
        <f>EXACT(Logfile_S12[[#This Row],[date pick]],Logfile_S12[[#This Row],[Date]])</f>
        <v>#N/A</v>
      </c>
      <c r="AC24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84" spans="1:29" ht="14.5" hidden="1">
      <c r="A2484" s="220" t="str">
        <f t="shared" si="86"/>
        <v>2480</v>
      </c>
      <c r="B2484" s="221"/>
      <c r="C2484" s="221" t="s">
        <v>48</v>
      </c>
      <c r="D2484" s="221" t="s">
        <v>4082</v>
      </c>
      <c r="E2484" s="221" t="s">
        <v>3295</v>
      </c>
      <c r="F2484" s="221" t="s">
        <v>3299</v>
      </c>
      <c r="G2484" s="222">
        <v>45449</v>
      </c>
      <c r="H2484" s="223">
        <v>15.291666666666666</v>
      </c>
      <c r="I2484" s="221" t="s">
        <v>38</v>
      </c>
      <c r="J2484" s="221" t="s">
        <v>3024</v>
      </c>
      <c r="K2484" s="224" t="s">
        <v>3089</v>
      </c>
      <c r="L2484" s="225" t="str">
        <f>VLOOKUP(Logfile_S12[[#This Row],[Material Name]],Sheet2!B:C,2,0)</f>
        <v>GCI1003</v>
      </c>
      <c r="M2484" s="225" t="str">
        <f>_xlfn.XLOOKUP(Logfile_S12[[#This Row],[Material Name]],Sum_WH!E:E,Sum_WH!F:F,"",0)</f>
        <v>Pcs</v>
      </c>
      <c r="N2484" s="221">
        <v>228</v>
      </c>
      <c r="O2484" s="221">
        <v>0</v>
      </c>
      <c r="P2484" s="221">
        <v>0</v>
      </c>
      <c r="Q2484" s="221">
        <v>0</v>
      </c>
      <c r="R2484" s="221">
        <v>0</v>
      </c>
      <c r="S2484" s="221"/>
      <c r="T2484" s="221"/>
      <c r="U2484" s="221"/>
      <c r="V2484" s="221"/>
      <c r="W2484" s="221"/>
      <c r="X2484" s="221"/>
      <c r="Y2484" s="227"/>
      <c r="Z2484" s="227">
        <f t="shared" si="87"/>
        <v>0</v>
      </c>
      <c r="AA2484" s="276" t="e">
        <f>VLOOKUP(Logfile_S12[[#This Row],[DO number]],DO_DB!G:I,3,0)</f>
        <v>#N/A</v>
      </c>
      <c r="AB2484" s="331" t="e">
        <f>EXACT(Logfile_S12[[#This Row],[date pick]],Logfile_S12[[#This Row],[Date]])</f>
        <v>#N/A</v>
      </c>
      <c r="AC24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85" spans="1:29" ht="14.5" hidden="1">
      <c r="A2485" s="220" t="str">
        <f t="shared" si="86"/>
        <v>2481</v>
      </c>
      <c r="B2485" s="221"/>
      <c r="C2485" s="221" t="s">
        <v>49</v>
      </c>
      <c r="D2485" s="221" t="s">
        <v>4083</v>
      </c>
      <c r="E2485" s="221" t="s">
        <v>3295</v>
      </c>
      <c r="F2485" s="221" t="s">
        <v>3299</v>
      </c>
      <c r="G2485" s="222">
        <v>45450</v>
      </c>
      <c r="H2485" s="223">
        <v>0.72291666666666676</v>
      </c>
      <c r="I2485" s="221" t="s">
        <v>4916</v>
      </c>
      <c r="J2485" s="221" t="s">
        <v>3024</v>
      </c>
      <c r="K2485" s="224" t="s">
        <v>3089</v>
      </c>
      <c r="L2485" s="225" t="str">
        <f>VLOOKUP(Logfile_S12[[#This Row],[Material Name]],Sheet2!B:C,2,0)</f>
        <v>GCI1003</v>
      </c>
      <c r="M2485" s="225" t="str">
        <f>_xlfn.XLOOKUP(Logfile_S12[[#This Row],[Material Name]],Sum_WH!E:E,Sum_WH!F:F,"",0)</f>
        <v>Pcs</v>
      </c>
      <c r="N2485" s="221">
        <v>200</v>
      </c>
      <c r="O2485" s="221" t="s">
        <v>1493</v>
      </c>
      <c r="P2485" s="221" t="s">
        <v>1494</v>
      </c>
      <c r="Q2485" s="221"/>
      <c r="R2485" s="221"/>
      <c r="S2485" s="221"/>
      <c r="T2485" s="221" t="s">
        <v>3258</v>
      </c>
      <c r="U2485" s="221" t="s">
        <v>3228</v>
      </c>
      <c r="V2485" s="221" t="s">
        <v>3337</v>
      </c>
      <c r="W2485" s="221" t="s">
        <v>3338</v>
      </c>
      <c r="X2485" s="221"/>
      <c r="Y2485" s="227"/>
      <c r="Z2485" s="227" t="str">
        <f t="shared" si="87"/>
        <v>Dusun Krajan Kucur</v>
      </c>
      <c r="AA2485" s="276" t="e">
        <f>VLOOKUP(Logfile_S12[[#This Row],[DO number]],DO_DB!G:I,3,0)</f>
        <v>#N/A</v>
      </c>
      <c r="AB2485" s="331" t="e">
        <f>EXACT(Logfile_S12[[#This Row],[date pick]],Logfile_S12[[#This Row],[Date]])</f>
        <v>#N/A</v>
      </c>
      <c r="AC24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86" spans="1:29" ht="14.5" hidden="1">
      <c r="A2486" s="220" t="str">
        <f t="shared" si="86"/>
        <v>2482</v>
      </c>
      <c r="B2486" s="221"/>
      <c r="C2486" s="221" t="s">
        <v>48</v>
      </c>
      <c r="D2486" s="221" t="s">
        <v>4093</v>
      </c>
      <c r="E2486" s="221" t="s">
        <v>3295</v>
      </c>
      <c r="F2486" s="221" t="s">
        <v>3299</v>
      </c>
      <c r="G2486" s="222">
        <v>45462</v>
      </c>
      <c r="H2486" s="223">
        <v>15.291666666666666</v>
      </c>
      <c r="I2486" s="221" t="s">
        <v>38</v>
      </c>
      <c r="J2486" s="221" t="s">
        <v>3024</v>
      </c>
      <c r="K2486" s="224" t="s">
        <v>3089</v>
      </c>
      <c r="L2486" s="225" t="str">
        <f>VLOOKUP(Logfile_S12[[#This Row],[Material Name]],Sheet2!B:C,2,0)</f>
        <v>GCI1003</v>
      </c>
      <c r="M2486" s="225" t="str">
        <f>_xlfn.XLOOKUP(Logfile_S12[[#This Row],[Material Name]],Sum_WH!E:E,Sum_WH!F:F,"",0)</f>
        <v>Pcs</v>
      </c>
      <c r="N2486" s="221">
        <v>22</v>
      </c>
      <c r="O2486" s="221" t="s">
        <v>3397</v>
      </c>
      <c r="P2486" s="221" t="s">
        <v>3300</v>
      </c>
      <c r="Q2486" s="221">
        <v>0</v>
      </c>
      <c r="R2486" s="221">
        <v>0</v>
      </c>
      <c r="S2486" s="221"/>
      <c r="T2486" s="221"/>
      <c r="U2486" s="221"/>
      <c r="V2486" s="221"/>
      <c r="W2486" s="221"/>
      <c r="X2486" s="221"/>
      <c r="Y2486" s="227"/>
      <c r="Z2486" s="227" t="str">
        <f t="shared" si="87"/>
        <v>Pengembalian</v>
      </c>
      <c r="AA2486" s="276" t="e">
        <f>VLOOKUP(Logfile_S12[[#This Row],[DO number]],DO_DB!G:I,3,0)</f>
        <v>#N/A</v>
      </c>
      <c r="AB2486" s="331" t="e">
        <f>EXACT(Logfile_S12[[#This Row],[date pick]],Logfile_S12[[#This Row],[Date]])</f>
        <v>#N/A</v>
      </c>
      <c r="AC24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87" spans="1:29" ht="14.5" hidden="1">
      <c r="A2487" s="220" t="str">
        <f t="shared" si="86"/>
        <v>2483</v>
      </c>
      <c r="B2487" s="221"/>
      <c r="C2487" s="221" t="s">
        <v>49</v>
      </c>
      <c r="D2487" s="221" t="s">
        <v>4094</v>
      </c>
      <c r="E2487" s="221" t="s">
        <v>3295</v>
      </c>
      <c r="F2487" s="221" t="s">
        <v>3299</v>
      </c>
      <c r="G2487" s="222">
        <v>45463</v>
      </c>
      <c r="H2487" s="223">
        <v>0.44444444444444442</v>
      </c>
      <c r="I2487" s="221" t="s">
        <v>4916</v>
      </c>
      <c r="J2487" s="221" t="s">
        <v>3024</v>
      </c>
      <c r="K2487" s="224" t="s">
        <v>3089</v>
      </c>
      <c r="L2487" s="225" t="str">
        <f>VLOOKUP(Logfile_S12[[#This Row],[Material Name]],Sheet2!B:C,2,0)</f>
        <v>GCI1003</v>
      </c>
      <c r="M2487" s="225" t="str">
        <f>_xlfn.XLOOKUP(Logfile_S12[[#This Row],[Material Name]],Sum_WH!E:E,Sum_WH!F:F,"",0)</f>
        <v>Pcs</v>
      </c>
      <c r="N2487" s="221">
        <v>50</v>
      </c>
      <c r="O2487" s="221" t="s">
        <v>1683</v>
      </c>
      <c r="P2487" s="221" t="s">
        <v>1684</v>
      </c>
      <c r="Q2487" s="221"/>
      <c r="R2487" s="221"/>
      <c r="S2487" s="221"/>
      <c r="T2487" s="221" t="s">
        <v>3258</v>
      </c>
      <c r="U2487" s="221" t="s">
        <v>3228</v>
      </c>
      <c r="V2487" s="221" t="s">
        <v>3337</v>
      </c>
      <c r="W2487" s="221" t="s">
        <v>3338</v>
      </c>
      <c r="X2487" s="221"/>
      <c r="Y2487" s="227"/>
      <c r="Z2487" s="227" t="str">
        <f t="shared" si="87"/>
        <v>Lowokwaru RW 04</v>
      </c>
      <c r="AA2487" s="276" t="e">
        <f>VLOOKUP(Logfile_S12[[#This Row],[DO number]],DO_DB!G:I,3,0)</f>
        <v>#N/A</v>
      </c>
      <c r="AB2487" s="331" t="e">
        <f>EXACT(Logfile_S12[[#This Row],[date pick]],Logfile_S12[[#This Row],[Date]])</f>
        <v>#N/A</v>
      </c>
      <c r="AC24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88" spans="1:29" ht="14.5" hidden="1">
      <c r="A2488" s="220" t="str">
        <f t="shared" si="86"/>
        <v>2484</v>
      </c>
      <c r="B2488" s="221"/>
      <c r="C2488" s="221" t="s">
        <v>48</v>
      </c>
      <c r="D2488" s="221" t="s">
        <v>4103</v>
      </c>
      <c r="E2488" s="221" t="s">
        <v>3295</v>
      </c>
      <c r="F2488" s="221" t="s">
        <v>3299</v>
      </c>
      <c r="G2488" s="222">
        <v>45468</v>
      </c>
      <c r="H2488" s="223">
        <v>15.291666666666666</v>
      </c>
      <c r="I2488" s="221" t="s">
        <v>38</v>
      </c>
      <c r="J2488" s="221" t="s">
        <v>3024</v>
      </c>
      <c r="K2488" s="224" t="s">
        <v>3089</v>
      </c>
      <c r="L2488" s="225" t="str">
        <f>VLOOKUP(Logfile_S12[[#This Row],[Material Name]],Sheet2!B:C,2,0)</f>
        <v>GCI1003</v>
      </c>
      <c r="M2488" s="225" t="str">
        <f>_xlfn.XLOOKUP(Logfile_S12[[#This Row],[Material Name]],Sum_WH!E:E,Sum_WH!F:F,"",0)</f>
        <v>Pcs</v>
      </c>
      <c r="N2488" s="221">
        <v>163</v>
      </c>
      <c r="O2488" s="221">
        <v>0</v>
      </c>
      <c r="P2488" s="221">
        <v>0</v>
      </c>
      <c r="Q2488" s="221">
        <v>0</v>
      </c>
      <c r="R2488" s="221">
        <v>0</v>
      </c>
      <c r="S2488" s="221"/>
      <c r="T2488" s="221"/>
      <c r="U2488" s="221"/>
      <c r="V2488" s="221"/>
      <c r="W2488" s="221"/>
      <c r="X2488" s="221"/>
      <c r="Y2488" s="227"/>
      <c r="Z2488" s="227">
        <f t="shared" si="87"/>
        <v>0</v>
      </c>
      <c r="AA2488" s="276" t="e">
        <f>VLOOKUP(Logfile_S12[[#This Row],[DO number]],DO_DB!G:I,3,0)</f>
        <v>#N/A</v>
      </c>
      <c r="AB2488" s="331" t="e">
        <f>EXACT(Logfile_S12[[#This Row],[date pick]],Logfile_S12[[#This Row],[Date]])</f>
        <v>#N/A</v>
      </c>
      <c r="AC24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89" spans="1:29" ht="14.5" hidden="1">
      <c r="A2489" s="220" t="str">
        <f t="shared" si="86"/>
        <v>2485</v>
      </c>
      <c r="B2489" s="221"/>
      <c r="C2489" s="221" t="s">
        <v>49</v>
      </c>
      <c r="D2489" s="221" t="s">
        <v>4106</v>
      </c>
      <c r="E2489" s="221" t="s">
        <v>3295</v>
      </c>
      <c r="F2489" s="221" t="s">
        <v>3299</v>
      </c>
      <c r="G2489" s="222">
        <v>45470</v>
      </c>
      <c r="H2489" s="223">
        <v>0.53680555555555554</v>
      </c>
      <c r="I2489" s="221" t="s">
        <v>4916</v>
      </c>
      <c r="J2489" s="221" t="s">
        <v>3024</v>
      </c>
      <c r="K2489" s="224" t="s">
        <v>3089</v>
      </c>
      <c r="L2489" s="225" t="str">
        <f>VLOOKUP(Logfile_S12[[#This Row],[Material Name]],Sheet2!B:C,2,0)</f>
        <v>GCI1003</v>
      </c>
      <c r="M2489" s="225" t="str">
        <f>_xlfn.XLOOKUP(Logfile_S12[[#This Row],[Material Name]],Sum_WH!E:E,Sum_WH!F:F,"",0)</f>
        <v>Pcs</v>
      </c>
      <c r="N2489" s="221">
        <v>127</v>
      </c>
      <c r="O2489" s="221" t="s">
        <v>1705</v>
      </c>
      <c r="P2489" s="221" t="s">
        <v>1706</v>
      </c>
      <c r="Q2489" s="221"/>
      <c r="R2489" s="221"/>
      <c r="S2489" s="221"/>
      <c r="T2489" s="221" t="s">
        <v>3258</v>
      </c>
      <c r="U2489" s="221" t="s">
        <v>3228</v>
      </c>
      <c r="V2489" s="221" t="s">
        <v>3337</v>
      </c>
      <c r="W2489" s="221" t="s">
        <v>3338</v>
      </c>
      <c r="X2489" s="221"/>
      <c r="Y2489" s="227"/>
      <c r="Z2489" s="227" t="str">
        <f t="shared" si="87"/>
        <v>Perumahan Kepanjen Permai II</v>
      </c>
      <c r="AA2489" s="276" t="e">
        <f>VLOOKUP(Logfile_S12[[#This Row],[DO number]],DO_DB!G:I,3,0)</f>
        <v>#N/A</v>
      </c>
      <c r="AB2489" s="331" t="e">
        <f>EXACT(Logfile_S12[[#This Row],[date pick]],Logfile_S12[[#This Row],[Date]])</f>
        <v>#N/A</v>
      </c>
      <c r="AC24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90" spans="1:29" ht="14.5" hidden="1">
      <c r="A2490" s="220" t="str">
        <f t="shared" si="86"/>
        <v>2486</v>
      </c>
      <c r="B2490" s="221"/>
      <c r="C2490" s="221" t="s">
        <v>48</v>
      </c>
      <c r="D2490" s="221" t="s">
        <v>4108</v>
      </c>
      <c r="E2490" s="221" t="s">
        <v>3295</v>
      </c>
      <c r="F2490" s="221" t="s">
        <v>3299</v>
      </c>
      <c r="G2490" s="222">
        <v>45476</v>
      </c>
      <c r="H2490" s="223">
        <v>15.291666666666666</v>
      </c>
      <c r="I2490" s="221" t="s">
        <v>38</v>
      </c>
      <c r="J2490" s="221" t="s">
        <v>3024</v>
      </c>
      <c r="K2490" s="224" t="s">
        <v>3089</v>
      </c>
      <c r="L2490" s="225" t="str">
        <f>VLOOKUP(Logfile_S12[[#This Row],[Material Name]],Sheet2!B:C,2,0)</f>
        <v>GCI1003</v>
      </c>
      <c r="M2490" s="225" t="str">
        <f>_xlfn.XLOOKUP(Logfile_S12[[#This Row],[Material Name]],Sum_WH!E:E,Sum_WH!F:F,"",0)</f>
        <v>Pcs</v>
      </c>
      <c r="N2490" s="221">
        <v>430</v>
      </c>
      <c r="O2490" s="221">
        <v>0</v>
      </c>
      <c r="P2490" s="221" t="s">
        <v>3373</v>
      </c>
      <c r="Q2490" s="221">
        <v>0</v>
      </c>
      <c r="R2490" s="221">
        <v>0</v>
      </c>
      <c r="S2490" s="221"/>
      <c r="T2490" s="221"/>
      <c r="U2490" s="221"/>
      <c r="V2490" s="221"/>
      <c r="W2490" s="221"/>
      <c r="X2490" s="221"/>
      <c r="Y2490" s="227"/>
      <c r="Z2490" s="227" t="str">
        <f t="shared" si="87"/>
        <v>HALIM JAYA</v>
      </c>
      <c r="AA2490" s="276" t="e">
        <f>VLOOKUP(Logfile_S12[[#This Row],[DO number]],DO_DB!G:I,3,0)</f>
        <v>#N/A</v>
      </c>
      <c r="AB2490" s="331" t="e">
        <f>EXACT(Logfile_S12[[#This Row],[date pick]],Logfile_S12[[#This Row],[Date]])</f>
        <v>#N/A</v>
      </c>
      <c r="AC24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91" spans="1:29" ht="14.5" hidden="1">
      <c r="A2491" s="220" t="str">
        <f t="shared" si="86"/>
        <v>2487</v>
      </c>
      <c r="B2491" s="221"/>
      <c r="C2491" s="221" t="s">
        <v>49</v>
      </c>
      <c r="D2491" s="221" t="s">
        <v>4128</v>
      </c>
      <c r="E2491" s="221" t="s">
        <v>3295</v>
      </c>
      <c r="F2491" s="221" t="s">
        <v>3299</v>
      </c>
      <c r="G2491" s="222">
        <v>45497</v>
      </c>
      <c r="H2491" s="223">
        <v>0.63888888888888884</v>
      </c>
      <c r="I2491" s="221" t="s">
        <v>4916</v>
      </c>
      <c r="J2491" s="221" t="s">
        <v>3024</v>
      </c>
      <c r="K2491" s="224" t="s">
        <v>3089</v>
      </c>
      <c r="L2491" s="225" t="str">
        <f>VLOOKUP(Logfile_S12[[#This Row],[Material Name]],Sheet2!B:C,2,0)</f>
        <v>GCI1003</v>
      </c>
      <c r="M2491" s="225" t="str">
        <f>_xlfn.XLOOKUP(Logfile_S12[[#This Row],[Material Name]],Sum_WH!E:E,Sum_WH!F:F,"",0)</f>
        <v>Pcs</v>
      </c>
      <c r="N2491" s="221">
        <v>100</v>
      </c>
      <c r="O2491" s="221" t="s">
        <v>1803</v>
      </c>
      <c r="P2491" s="221" t="s">
        <v>1804</v>
      </c>
      <c r="Q2491" s="221"/>
      <c r="R2491" s="221"/>
      <c r="S2491" s="221"/>
      <c r="T2491" s="221" t="s">
        <v>3258</v>
      </c>
      <c r="U2491" s="221" t="s">
        <v>3228</v>
      </c>
      <c r="V2491" s="221" t="s">
        <v>3337</v>
      </c>
      <c r="W2491" s="221" t="s">
        <v>3338</v>
      </c>
      <c r="X2491" s="221"/>
      <c r="Y2491" s="227"/>
      <c r="Z2491" s="227" t="str">
        <f t="shared" si="87"/>
        <v>Dusun Langlang IV Singosari</v>
      </c>
      <c r="AA2491" s="276" t="e">
        <f>VLOOKUP(Logfile_S12[[#This Row],[DO number]],DO_DB!G:I,3,0)</f>
        <v>#N/A</v>
      </c>
      <c r="AB2491" s="331" t="e">
        <f>EXACT(Logfile_S12[[#This Row],[date pick]],Logfile_S12[[#This Row],[Date]])</f>
        <v>#N/A</v>
      </c>
      <c r="AC24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92" spans="1:29" ht="14.5" hidden="1">
      <c r="A2492" s="220" t="str">
        <f t="shared" si="86"/>
        <v>2488</v>
      </c>
      <c r="B2492" s="221"/>
      <c r="C2492" s="221" t="s">
        <v>49</v>
      </c>
      <c r="D2492" s="221" t="s">
        <v>4133</v>
      </c>
      <c r="E2492" s="221" t="s">
        <v>3295</v>
      </c>
      <c r="F2492" s="221" t="s">
        <v>3299</v>
      </c>
      <c r="G2492" s="222">
        <v>45502</v>
      </c>
      <c r="H2492" s="223">
        <v>0.59027777777777779</v>
      </c>
      <c r="I2492" s="221" t="s">
        <v>4916</v>
      </c>
      <c r="J2492" s="221" t="s">
        <v>3024</v>
      </c>
      <c r="K2492" s="224" t="s">
        <v>3089</v>
      </c>
      <c r="L2492" s="225" t="str">
        <f>VLOOKUP(Logfile_S12[[#This Row],[Material Name]],Sheet2!B:C,2,0)</f>
        <v>GCI1003</v>
      </c>
      <c r="M2492" s="225" t="str">
        <f>_xlfn.XLOOKUP(Logfile_S12[[#This Row],[Material Name]],Sum_WH!E:E,Sum_WH!F:F,"",0)</f>
        <v>Pcs</v>
      </c>
      <c r="N2492" s="221">
        <v>100</v>
      </c>
      <c r="O2492" s="221" t="s">
        <v>1803</v>
      </c>
      <c r="P2492" s="221" t="s">
        <v>1804</v>
      </c>
      <c r="Q2492" s="221"/>
      <c r="R2492" s="221"/>
      <c r="S2492" s="221"/>
      <c r="T2492" s="221" t="s">
        <v>3258</v>
      </c>
      <c r="U2492" s="221" t="s">
        <v>3228</v>
      </c>
      <c r="V2492" s="221" t="s">
        <v>3337</v>
      </c>
      <c r="W2492" s="221" t="s">
        <v>3338</v>
      </c>
      <c r="X2492" s="221"/>
      <c r="Y2492" s="227"/>
      <c r="Z2492" s="227" t="str">
        <f t="shared" si="87"/>
        <v>Dusun Langlang IV Singosari</v>
      </c>
      <c r="AA2492" s="276" t="e">
        <f>VLOOKUP(Logfile_S12[[#This Row],[DO number]],DO_DB!G:I,3,0)</f>
        <v>#N/A</v>
      </c>
      <c r="AB2492" s="331" t="e">
        <f>EXACT(Logfile_S12[[#This Row],[date pick]],Logfile_S12[[#This Row],[Date]])</f>
        <v>#N/A</v>
      </c>
      <c r="AC24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93" spans="1:29" ht="14.5" hidden="1">
      <c r="A2493" s="220" t="str">
        <f t="shared" si="86"/>
        <v>2489</v>
      </c>
      <c r="B2493" s="221"/>
      <c r="C2493" s="221" t="s">
        <v>48</v>
      </c>
      <c r="D2493" s="221" t="s">
        <v>4141</v>
      </c>
      <c r="E2493" s="221" t="s">
        <v>3295</v>
      </c>
      <c r="F2493" s="221" t="s">
        <v>3299</v>
      </c>
      <c r="G2493" s="222">
        <v>45506</v>
      </c>
      <c r="H2493" s="223">
        <v>15.291666666666666</v>
      </c>
      <c r="I2493" s="221" t="s">
        <v>38</v>
      </c>
      <c r="J2493" s="221" t="s">
        <v>3024</v>
      </c>
      <c r="K2493" s="224" t="s">
        <v>3089</v>
      </c>
      <c r="L2493" s="225" t="str">
        <f>VLOOKUP(Logfile_S12[[#This Row],[Material Name]],Sheet2!B:C,2,0)</f>
        <v>GCI1003</v>
      </c>
      <c r="M2493" s="225" t="str">
        <f>_xlfn.XLOOKUP(Logfile_S12[[#This Row],[Material Name]],Sum_WH!E:E,Sum_WH!F:F,"",0)</f>
        <v>Pcs</v>
      </c>
      <c r="N2493" s="221">
        <v>401</v>
      </c>
      <c r="O2493" s="221">
        <v>0</v>
      </c>
      <c r="P2493" s="221">
        <v>0</v>
      </c>
      <c r="Q2493" s="221">
        <v>0</v>
      </c>
      <c r="R2493" s="221">
        <v>0</v>
      </c>
      <c r="S2493" s="221"/>
      <c r="T2493" s="221"/>
      <c r="U2493" s="221"/>
      <c r="V2493" s="221"/>
      <c r="W2493" s="221"/>
      <c r="X2493" s="221"/>
      <c r="Y2493" s="227"/>
      <c r="Z2493" s="227">
        <f t="shared" si="87"/>
        <v>0</v>
      </c>
      <c r="AA2493" s="276" t="e">
        <f>VLOOKUP(Logfile_S12[[#This Row],[DO number]],DO_DB!G:I,3,0)</f>
        <v>#N/A</v>
      </c>
      <c r="AB2493" s="331" t="e">
        <f>EXACT(Logfile_S12[[#This Row],[date pick]],Logfile_S12[[#This Row],[Date]])</f>
        <v>#N/A</v>
      </c>
      <c r="AC24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94" spans="1:29" ht="14.5" hidden="1">
      <c r="A2494" s="220" t="str">
        <f t="shared" si="86"/>
        <v>2490</v>
      </c>
      <c r="B2494" s="221"/>
      <c r="C2494" s="221" t="s">
        <v>49</v>
      </c>
      <c r="D2494" s="221" t="s">
        <v>4149</v>
      </c>
      <c r="E2494" s="221" t="s">
        <v>3295</v>
      </c>
      <c r="F2494" s="221" t="s">
        <v>3299</v>
      </c>
      <c r="G2494" s="222">
        <v>45511</v>
      </c>
      <c r="H2494" s="223">
        <v>0.44861111111111113</v>
      </c>
      <c r="I2494" s="221" t="s">
        <v>4916</v>
      </c>
      <c r="J2494" s="221" t="s">
        <v>3024</v>
      </c>
      <c r="K2494" s="224" t="s">
        <v>3089</v>
      </c>
      <c r="L2494" s="225" t="str">
        <f>VLOOKUP(Logfile_S12[[#This Row],[Material Name]],Sheet2!B:C,2,0)</f>
        <v>GCI1003</v>
      </c>
      <c r="M2494" s="225" t="str">
        <f>_xlfn.XLOOKUP(Logfile_S12[[#This Row],[Material Name]],Sum_WH!E:E,Sum_WH!F:F,"",0)</f>
        <v>Pcs</v>
      </c>
      <c r="N2494" s="221">
        <v>40</v>
      </c>
      <c r="O2494" s="221" t="s">
        <v>1807</v>
      </c>
      <c r="P2494" s="221" t="s">
        <v>3399</v>
      </c>
      <c r="Q2494" s="221"/>
      <c r="R2494" s="221"/>
      <c r="S2494" s="221"/>
      <c r="T2494" s="221" t="s">
        <v>3244</v>
      </c>
      <c r="U2494" s="221">
        <v>0</v>
      </c>
      <c r="V2494" s="221" t="s">
        <v>3248</v>
      </c>
      <c r="W2494" s="221" t="s">
        <v>3252</v>
      </c>
      <c r="X2494" s="221"/>
      <c r="Y2494" s="227"/>
      <c r="Z2494" s="227" t="str">
        <f t="shared" si="87"/>
        <v>HUBFEEDER TIRTASANI TO GIRIMOYO</v>
      </c>
      <c r="AA2494" s="276" t="e">
        <f>VLOOKUP(Logfile_S12[[#This Row],[DO number]],DO_DB!G:I,3,0)</f>
        <v>#N/A</v>
      </c>
      <c r="AB2494" s="331" t="e">
        <f>EXACT(Logfile_S12[[#This Row],[date pick]],Logfile_S12[[#This Row],[Date]])</f>
        <v>#N/A</v>
      </c>
      <c r="AC24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95" spans="1:29" ht="14.5" hidden="1">
      <c r="A2495" s="220" t="str">
        <f t="shared" si="86"/>
        <v>2491</v>
      </c>
      <c r="B2495" s="221"/>
      <c r="C2495" s="221" t="s">
        <v>49</v>
      </c>
      <c r="D2495" s="221" t="s">
        <v>4150</v>
      </c>
      <c r="E2495" s="221" t="s">
        <v>3295</v>
      </c>
      <c r="F2495" s="221" t="s">
        <v>3299</v>
      </c>
      <c r="G2495" s="222">
        <v>45511</v>
      </c>
      <c r="H2495" s="223">
        <v>0.78333333333333333</v>
      </c>
      <c r="I2495" s="221" t="s">
        <v>4916</v>
      </c>
      <c r="J2495" s="221" t="s">
        <v>3024</v>
      </c>
      <c r="K2495" s="224" t="s">
        <v>3089</v>
      </c>
      <c r="L2495" s="225" t="str">
        <f>VLOOKUP(Logfile_S12[[#This Row],[Material Name]],Sheet2!B:C,2,0)</f>
        <v>GCI1003</v>
      </c>
      <c r="M2495" s="225" t="str">
        <f>_xlfn.XLOOKUP(Logfile_S12[[#This Row],[Material Name]],Sum_WH!E:E,Sum_WH!F:F,"",0)</f>
        <v>Pcs</v>
      </c>
      <c r="N2495" s="221">
        <v>100</v>
      </c>
      <c r="O2495" s="221" t="s">
        <v>1799</v>
      </c>
      <c r="P2495" s="221" t="s">
        <v>3398</v>
      </c>
      <c r="Q2495" s="221"/>
      <c r="R2495" s="221"/>
      <c r="S2495" s="221"/>
      <c r="T2495" s="221" t="s">
        <v>3258</v>
      </c>
      <c r="U2495" s="221" t="s">
        <v>3228</v>
      </c>
      <c r="V2495" s="221" t="s">
        <v>3337</v>
      </c>
      <c r="W2495" s="221" t="s">
        <v>3338</v>
      </c>
      <c r="X2495" s="221"/>
      <c r="Y2495" s="227"/>
      <c r="Z2495" s="227" t="str">
        <f t="shared" si="87"/>
        <v>HUBFEEDER KEPANJEN TO JATIKERTO</v>
      </c>
      <c r="AA2495" s="276" t="e">
        <f>VLOOKUP(Logfile_S12[[#This Row],[DO number]],DO_DB!G:I,3,0)</f>
        <v>#N/A</v>
      </c>
      <c r="AB2495" s="331" t="e">
        <f>EXACT(Logfile_S12[[#This Row],[date pick]],Logfile_S12[[#This Row],[Date]])</f>
        <v>#N/A</v>
      </c>
      <c r="AC24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96" spans="1:29" ht="14.5" hidden="1">
      <c r="A2496" s="220" t="str">
        <f t="shared" si="86"/>
        <v>2492</v>
      </c>
      <c r="B2496" s="221"/>
      <c r="C2496" s="221" t="s">
        <v>49</v>
      </c>
      <c r="D2496" s="221" t="s">
        <v>4153</v>
      </c>
      <c r="E2496" s="221" t="s">
        <v>3295</v>
      </c>
      <c r="F2496" s="221" t="s">
        <v>3299</v>
      </c>
      <c r="G2496" s="222">
        <v>45512</v>
      </c>
      <c r="H2496" s="223">
        <v>0.54722222222222228</v>
      </c>
      <c r="I2496" s="221" t="s">
        <v>4916</v>
      </c>
      <c r="J2496" s="221" t="s">
        <v>3024</v>
      </c>
      <c r="K2496" s="224" t="s">
        <v>3089</v>
      </c>
      <c r="L2496" s="225" t="str">
        <f>VLOOKUP(Logfile_S12[[#This Row],[Material Name]],Sheet2!B:C,2,0)</f>
        <v>GCI1003</v>
      </c>
      <c r="M2496" s="225" t="str">
        <f>_xlfn.XLOOKUP(Logfile_S12[[#This Row],[Material Name]],Sum_WH!E:E,Sum_WH!F:F,"",0)</f>
        <v>Pcs</v>
      </c>
      <c r="N2496" s="221">
        <v>100</v>
      </c>
      <c r="O2496" s="221" t="s">
        <v>1807</v>
      </c>
      <c r="P2496" s="221" t="s">
        <v>3399</v>
      </c>
      <c r="Q2496" s="221"/>
      <c r="R2496" s="221"/>
      <c r="S2496" s="221"/>
      <c r="T2496" s="221" t="s">
        <v>3244</v>
      </c>
      <c r="U2496" s="221">
        <v>0</v>
      </c>
      <c r="V2496" s="221" t="s">
        <v>3248</v>
      </c>
      <c r="W2496" s="221" t="s">
        <v>3252</v>
      </c>
      <c r="X2496" s="221"/>
      <c r="Y2496" s="227"/>
      <c r="Z2496" s="227" t="str">
        <f t="shared" si="87"/>
        <v>HUBFEEDER TIRTASANI TO GIRIMOYO</v>
      </c>
      <c r="AA2496" s="276" t="e">
        <f>VLOOKUP(Logfile_S12[[#This Row],[DO number]],DO_DB!G:I,3,0)</f>
        <v>#N/A</v>
      </c>
      <c r="AB2496" s="331" t="e">
        <f>EXACT(Logfile_S12[[#This Row],[date pick]],Logfile_S12[[#This Row],[Date]])</f>
        <v>#N/A</v>
      </c>
      <c r="AC24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97" spans="1:29" ht="14.5" hidden="1">
      <c r="A2497" s="220" t="str">
        <f t="shared" si="86"/>
        <v>2493</v>
      </c>
      <c r="B2497" s="221"/>
      <c r="C2497" s="221" t="s">
        <v>48</v>
      </c>
      <c r="D2497" s="221" t="s">
        <v>4156</v>
      </c>
      <c r="E2497" s="221" t="s">
        <v>3295</v>
      </c>
      <c r="F2497" s="221" t="s">
        <v>3299</v>
      </c>
      <c r="G2497" s="222">
        <v>45514</v>
      </c>
      <c r="H2497" s="223">
        <v>15.291666666666666</v>
      </c>
      <c r="I2497" s="221" t="s">
        <v>38</v>
      </c>
      <c r="J2497" s="221" t="s">
        <v>3024</v>
      </c>
      <c r="K2497" s="224" t="s">
        <v>3089</v>
      </c>
      <c r="L2497" s="225" t="str">
        <f>VLOOKUP(Logfile_S12[[#This Row],[Material Name]],Sheet2!B:C,2,0)</f>
        <v>GCI1003</v>
      </c>
      <c r="M2497" s="225" t="str">
        <f>_xlfn.XLOOKUP(Logfile_S12[[#This Row],[Material Name]],Sum_WH!E:E,Sum_WH!F:F,"",0)</f>
        <v>Pcs</v>
      </c>
      <c r="N2497" s="221">
        <v>67</v>
      </c>
      <c r="O2497" s="221" t="s">
        <v>3397</v>
      </c>
      <c r="P2497" s="221" t="s">
        <v>3300</v>
      </c>
      <c r="Q2497" s="221">
        <v>0</v>
      </c>
      <c r="R2497" s="221">
        <v>0</v>
      </c>
      <c r="S2497" s="221"/>
      <c r="T2497" s="221"/>
      <c r="U2497" s="221"/>
      <c r="V2497" s="221"/>
      <c r="W2497" s="221"/>
      <c r="X2497" s="221"/>
      <c r="Y2497" s="227"/>
      <c r="Z2497" s="227" t="str">
        <f t="shared" si="87"/>
        <v>Pengembalian</v>
      </c>
      <c r="AA2497" s="276" t="e">
        <f>VLOOKUP(Logfile_S12[[#This Row],[DO number]],DO_DB!G:I,3,0)</f>
        <v>#N/A</v>
      </c>
      <c r="AB2497" s="331" t="e">
        <f>EXACT(Logfile_S12[[#This Row],[date pick]],Logfile_S12[[#This Row],[Date]])</f>
        <v>#N/A</v>
      </c>
      <c r="AC24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98" spans="1:29" ht="14.5" hidden="1">
      <c r="A2498" s="220" t="str">
        <f t="shared" si="86"/>
        <v>2494</v>
      </c>
      <c r="B2498" s="221"/>
      <c r="C2498" s="221" t="s">
        <v>49</v>
      </c>
      <c r="D2498" s="221" t="s">
        <v>4158</v>
      </c>
      <c r="E2498" s="221" t="s">
        <v>3295</v>
      </c>
      <c r="F2498" s="221" t="s">
        <v>3299</v>
      </c>
      <c r="G2498" s="222">
        <v>45518</v>
      </c>
      <c r="H2498" s="223">
        <v>0.41666666666666669</v>
      </c>
      <c r="I2498" s="221" t="s">
        <v>4916</v>
      </c>
      <c r="J2498" s="221" t="s">
        <v>3024</v>
      </c>
      <c r="K2498" s="224" t="s">
        <v>3089</v>
      </c>
      <c r="L2498" s="225" t="str">
        <f>VLOOKUP(Logfile_S12[[#This Row],[Material Name]],Sheet2!B:C,2,0)</f>
        <v>GCI1003</v>
      </c>
      <c r="M2498" s="225" t="str">
        <f>_xlfn.XLOOKUP(Logfile_S12[[#This Row],[Material Name]],Sum_WH!E:E,Sum_WH!F:F,"",0)</f>
        <v>Pcs</v>
      </c>
      <c r="N2498" s="221">
        <v>100</v>
      </c>
      <c r="O2498" s="221" t="s">
        <v>1807</v>
      </c>
      <c r="P2498" s="221" t="s">
        <v>3399</v>
      </c>
      <c r="Q2498" s="221"/>
      <c r="R2498" s="221"/>
      <c r="S2498" s="221"/>
      <c r="T2498" s="221" t="s">
        <v>3258</v>
      </c>
      <c r="U2498" s="221" t="s">
        <v>3228</v>
      </c>
      <c r="V2498" s="221" t="s">
        <v>3337</v>
      </c>
      <c r="W2498" s="221" t="s">
        <v>3338</v>
      </c>
      <c r="X2498" s="221"/>
      <c r="Y2498" s="227"/>
      <c r="Z2498" s="227" t="str">
        <f t="shared" si="87"/>
        <v>HUBFEEDER TIRTASANI TO GIRIMOYO</v>
      </c>
      <c r="AA2498" s="276" t="e">
        <f>VLOOKUP(Logfile_S12[[#This Row],[DO number]],DO_DB!G:I,3,0)</f>
        <v>#N/A</v>
      </c>
      <c r="AB2498" s="331" t="e">
        <f>EXACT(Logfile_S12[[#This Row],[date pick]],Logfile_S12[[#This Row],[Date]])</f>
        <v>#N/A</v>
      </c>
      <c r="AC24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499" spans="1:29" ht="14.5" hidden="1">
      <c r="A2499" s="220" t="str">
        <f t="shared" si="86"/>
        <v>2495</v>
      </c>
      <c r="B2499" s="221"/>
      <c r="C2499" s="221" t="s">
        <v>49</v>
      </c>
      <c r="D2499" s="221" t="s">
        <v>4164</v>
      </c>
      <c r="E2499" s="221" t="s">
        <v>3295</v>
      </c>
      <c r="F2499" s="221" t="s">
        <v>3299</v>
      </c>
      <c r="G2499" s="222">
        <v>45524</v>
      </c>
      <c r="H2499" s="223">
        <v>0.70416666666666672</v>
      </c>
      <c r="I2499" s="221" t="s">
        <v>4916</v>
      </c>
      <c r="J2499" s="221" t="s">
        <v>3024</v>
      </c>
      <c r="K2499" s="224" t="s">
        <v>3089</v>
      </c>
      <c r="L2499" s="225" t="str">
        <f>VLOOKUP(Logfile_S12[[#This Row],[Material Name]],Sheet2!B:C,2,0)</f>
        <v>GCI1003</v>
      </c>
      <c r="M2499" s="225" t="str">
        <f>_xlfn.XLOOKUP(Logfile_S12[[#This Row],[Material Name]],Sum_WH!E:E,Sum_WH!F:F,"",0)</f>
        <v>Pcs</v>
      </c>
      <c r="N2499" s="221">
        <v>40</v>
      </c>
      <c r="O2499" s="221" t="s">
        <v>1391</v>
      </c>
      <c r="P2499" s="221" t="s">
        <v>1392</v>
      </c>
      <c r="Q2499" s="221"/>
      <c r="R2499" s="221"/>
      <c r="S2499" s="221"/>
      <c r="T2499" s="221" t="s">
        <v>3244</v>
      </c>
      <c r="U2499" s="221">
        <v>0</v>
      </c>
      <c r="V2499" s="221" t="s">
        <v>3248</v>
      </c>
      <c r="W2499" s="221" t="s">
        <v>3252</v>
      </c>
      <c r="X2499" s="221"/>
      <c r="Y2499" s="227"/>
      <c r="Z2499" s="227" t="str">
        <f t="shared" si="87"/>
        <v>Klampok RW 01 Singosari</v>
      </c>
      <c r="AA2499" s="276" t="e">
        <f>VLOOKUP(Logfile_S12[[#This Row],[DO number]],DO_DB!G:I,3,0)</f>
        <v>#N/A</v>
      </c>
      <c r="AB2499" s="331" t="e">
        <f>EXACT(Logfile_S12[[#This Row],[date pick]],Logfile_S12[[#This Row],[Date]])</f>
        <v>#N/A</v>
      </c>
      <c r="AC24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00" spans="1:29" ht="14.5" hidden="1">
      <c r="A2500" s="220" t="str">
        <f t="shared" si="86"/>
        <v>2496</v>
      </c>
      <c r="B2500" s="221"/>
      <c r="C2500" s="221" t="s">
        <v>49</v>
      </c>
      <c r="D2500" s="221" t="s">
        <v>4173</v>
      </c>
      <c r="E2500" s="221" t="s">
        <v>3295</v>
      </c>
      <c r="F2500" s="221" t="s">
        <v>3299</v>
      </c>
      <c r="G2500" s="222">
        <v>45527</v>
      </c>
      <c r="H2500" s="223">
        <v>0.46736111111111112</v>
      </c>
      <c r="I2500" s="221" t="s">
        <v>4916</v>
      </c>
      <c r="J2500" s="221" t="s">
        <v>3024</v>
      </c>
      <c r="K2500" s="224" t="s">
        <v>3089</v>
      </c>
      <c r="L2500" s="225" t="str">
        <f>VLOOKUP(Logfile_S12[[#This Row],[Material Name]],Sheet2!B:C,2,0)</f>
        <v>GCI1003</v>
      </c>
      <c r="M2500" s="225" t="str">
        <f>_xlfn.XLOOKUP(Logfile_S12[[#This Row],[Material Name]],Sum_WH!E:E,Sum_WH!F:F,"",0)</f>
        <v>Pcs</v>
      </c>
      <c r="N2500" s="221">
        <v>100</v>
      </c>
      <c r="O2500" s="221" t="s">
        <v>1911</v>
      </c>
      <c r="P2500" s="221" t="s">
        <v>1912</v>
      </c>
      <c r="Q2500" s="221"/>
      <c r="R2500" s="221"/>
      <c r="S2500" s="221"/>
      <c r="T2500" s="221" t="s">
        <v>3258</v>
      </c>
      <c r="U2500" s="221" t="s">
        <v>3228</v>
      </c>
      <c r="V2500" s="221" t="s">
        <v>3337</v>
      </c>
      <c r="W2500" s="221" t="s">
        <v>3338</v>
      </c>
      <c r="X2500" s="221"/>
      <c r="Y2500" s="227"/>
      <c r="Z2500" s="227" t="str">
        <f t="shared" si="87"/>
        <v>Dilem RW 03 Kepanjen</v>
      </c>
      <c r="AA2500" s="276" t="e">
        <f>VLOOKUP(Logfile_S12[[#This Row],[DO number]],DO_DB!G:I,3,0)</f>
        <v>#N/A</v>
      </c>
      <c r="AB2500" s="331" t="e">
        <f>EXACT(Logfile_S12[[#This Row],[date pick]],Logfile_S12[[#This Row],[Date]])</f>
        <v>#N/A</v>
      </c>
      <c r="AC25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01" spans="1:29" ht="14.5" hidden="1">
      <c r="A2501" s="220" t="str">
        <f t="shared" ref="A2501:A2564" si="88">TEXT(ROW(A2501)-ROW($A$4),"000")</f>
        <v>2497</v>
      </c>
      <c r="B2501" s="221"/>
      <c r="C2501" s="221" t="s">
        <v>49</v>
      </c>
      <c r="D2501" s="221" t="s">
        <v>4179</v>
      </c>
      <c r="E2501" s="221" t="s">
        <v>3295</v>
      </c>
      <c r="F2501" s="221" t="s">
        <v>3299</v>
      </c>
      <c r="G2501" s="222">
        <v>45531</v>
      </c>
      <c r="H2501" s="223">
        <v>0.89027777777777772</v>
      </c>
      <c r="I2501" s="221" t="s">
        <v>4916</v>
      </c>
      <c r="J2501" s="221" t="s">
        <v>3024</v>
      </c>
      <c r="K2501" s="224" t="s">
        <v>3089</v>
      </c>
      <c r="L2501" s="225" t="str">
        <f>VLOOKUP(Logfile_S12[[#This Row],[Material Name]],Sheet2!B:C,2,0)</f>
        <v>GCI1003</v>
      </c>
      <c r="M2501" s="225" t="str">
        <f>_xlfn.XLOOKUP(Logfile_S12[[#This Row],[Material Name]],Sum_WH!E:E,Sum_WH!F:F,"",0)</f>
        <v>Pcs</v>
      </c>
      <c r="N2501" s="221">
        <v>25</v>
      </c>
      <c r="O2501" s="221" t="s">
        <v>2142</v>
      </c>
      <c r="P2501" s="221" t="s">
        <v>3400</v>
      </c>
      <c r="Q2501" s="221"/>
      <c r="R2501" s="221"/>
      <c r="S2501" s="221"/>
      <c r="T2501" s="221" t="s">
        <v>3244</v>
      </c>
      <c r="U2501" s="221">
        <v>0</v>
      </c>
      <c r="V2501" s="221" t="s">
        <v>3248</v>
      </c>
      <c r="W2501" s="221" t="s">
        <v>3252</v>
      </c>
      <c r="X2501" s="221"/>
      <c r="Y2501" s="227"/>
      <c r="Z2501" s="227" t="str">
        <f t="shared" si="87"/>
        <v>HUBFEEDER DINOYO SUMBERSEKAR</v>
      </c>
      <c r="AA2501" s="276" t="e">
        <f>VLOOKUP(Logfile_S12[[#This Row],[DO number]],DO_DB!G:I,3,0)</f>
        <v>#N/A</v>
      </c>
      <c r="AB2501" s="331" t="e">
        <f>EXACT(Logfile_S12[[#This Row],[date pick]],Logfile_S12[[#This Row],[Date]])</f>
        <v>#N/A</v>
      </c>
      <c r="AC25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02" spans="1:29" ht="14.5" hidden="1">
      <c r="A2502" s="220" t="str">
        <f t="shared" si="88"/>
        <v>2498</v>
      </c>
      <c r="B2502" s="221"/>
      <c r="C2502" s="221" t="s">
        <v>49</v>
      </c>
      <c r="D2502" s="221" t="s">
        <v>4187</v>
      </c>
      <c r="E2502" s="221" t="s">
        <v>3295</v>
      </c>
      <c r="F2502" s="221" t="s">
        <v>3299</v>
      </c>
      <c r="G2502" s="222">
        <v>45533</v>
      </c>
      <c r="H2502" s="223">
        <v>0.34652777777777777</v>
      </c>
      <c r="I2502" s="221" t="s">
        <v>4916</v>
      </c>
      <c r="J2502" s="221" t="s">
        <v>3024</v>
      </c>
      <c r="K2502" s="224" t="s">
        <v>3089</v>
      </c>
      <c r="L2502" s="225" t="str">
        <f>VLOOKUP(Logfile_S12[[#This Row],[Material Name]],Sheet2!B:C,2,0)</f>
        <v>GCI1003</v>
      </c>
      <c r="M2502" s="225" t="str">
        <f>_xlfn.XLOOKUP(Logfile_S12[[#This Row],[Material Name]],Sum_WH!E:E,Sum_WH!F:F,"",0)</f>
        <v>Pcs</v>
      </c>
      <c r="N2502" s="221">
        <v>100</v>
      </c>
      <c r="O2502" s="221" t="s">
        <v>1929</v>
      </c>
      <c r="P2502" s="221" t="s">
        <v>1930</v>
      </c>
      <c r="Q2502" s="221"/>
      <c r="R2502" s="221"/>
      <c r="S2502" s="221"/>
      <c r="T2502" s="221" t="s">
        <v>3244</v>
      </c>
      <c r="U2502" s="221">
        <v>0</v>
      </c>
      <c r="V2502" s="221" t="s">
        <v>3248</v>
      </c>
      <c r="W2502" s="221" t="s">
        <v>3252</v>
      </c>
      <c r="X2502" s="221"/>
      <c r="Y2502" s="227"/>
      <c r="Z2502" s="227" t="str">
        <f t="shared" si="87"/>
        <v>Dusun Krajan Sumbersekar</v>
      </c>
      <c r="AA2502" s="276" t="e">
        <f>VLOOKUP(Logfile_S12[[#This Row],[DO number]],DO_DB!G:I,3,0)</f>
        <v>#N/A</v>
      </c>
      <c r="AB2502" s="331" t="e">
        <f>EXACT(Logfile_S12[[#This Row],[date pick]],Logfile_S12[[#This Row],[Date]])</f>
        <v>#N/A</v>
      </c>
      <c r="AC25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03" spans="1:29" ht="14.5" hidden="1">
      <c r="A2503" s="220" t="str">
        <f t="shared" si="88"/>
        <v>2499</v>
      </c>
      <c r="B2503" s="221"/>
      <c r="C2503" s="221" t="s">
        <v>48</v>
      </c>
      <c r="D2503" s="221" t="s">
        <v>4212</v>
      </c>
      <c r="E2503" s="221" t="s">
        <v>3295</v>
      </c>
      <c r="F2503" s="221" t="s">
        <v>3299</v>
      </c>
      <c r="G2503" s="222">
        <v>45541</v>
      </c>
      <c r="H2503" s="223">
        <v>15.291666666666666</v>
      </c>
      <c r="I2503" s="221" t="s">
        <v>38</v>
      </c>
      <c r="J2503" s="221" t="s">
        <v>3024</v>
      </c>
      <c r="K2503" s="224" t="s">
        <v>3089</v>
      </c>
      <c r="L2503" s="225" t="str">
        <f>VLOOKUP(Logfile_S12[[#This Row],[Material Name]],Sheet2!B:C,2,0)</f>
        <v>GCI1003</v>
      </c>
      <c r="M2503" s="225" t="str">
        <f>_xlfn.XLOOKUP(Logfile_S12[[#This Row],[Material Name]],Sum_WH!E:E,Sum_WH!F:F,"",0)</f>
        <v>Pcs</v>
      </c>
      <c r="N2503" s="221">
        <v>340</v>
      </c>
      <c r="O2503" s="221">
        <v>0</v>
      </c>
      <c r="P2503" s="221">
        <v>0</v>
      </c>
      <c r="Q2503" s="221">
        <v>0</v>
      </c>
      <c r="R2503" s="221">
        <v>0</v>
      </c>
      <c r="S2503" s="221"/>
      <c r="T2503" s="221"/>
      <c r="U2503" s="221"/>
      <c r="V2503" s="221"/>
      <c r="W2503" s="221"/>
      <c r="X2503" s="221"/>
      <c r="Y2503" s="227"/>
      <c r="Z2503" s="227">
        <f t="shared" si="87"/>
        <v>0</v>
      </c>
      <c r="AA2503" s="276" t="e">
        <f>VLOOKUP(Logfile_S12[[#This Row],[DO number]],DO_DB!G:I,3,0)</f>
        <v>#N/A</v>
      </c>
      <c r="AB2503" s="331" t="e">
        <f>EXACT(Logfile_S12[[#This Row],[date pick]],Logfile_S12[[#This Row],[Date]])</f>
        <v>#N/A</v>
      </c>
      <c r="AC25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04" spans="1:29" ht="14.5" hidden="1">
      <c r="A2504" s="220" t="str">
        <f t="shared" si="88"/>
        <v>2500</v>
      </c>
      <c r="B2504" s="221"/>
      <c r="C2504" s="221" t="s">
        <v>49</v>
      </c>
      <c r="D2504" s="221" t="s">
        <v>4211</v>
      </c>
      <c r="E2504" s="221" t="s">
        <v>3295</v>
      </c>
      <c r="F2504" s="221" t="s">
        <v>3299</v>
      </c>
      <c r="G2504" s="222">
        <v>45541</v>
      </c>
      <c r="H2504" s="223">
        <v>0.80069444444444449</v>
      </c>
      <c r="I2504" s="221" t="s">
        <v>4916</v>
      </c>
      <c r="J2504" s="221" t="s">
        <v>3024</v>
      </c>
      <c r="K2504" s="224" t="s">
        <v>3089</v>
      </c>
      <c r="L2504" s="225" t="str">
        <f>VLOOKUP(Logfile_S12[[#This Row],[Material Name]],Sheet2!B:C,2,0)</f>
        <v>GCI1003</v>
      </c>
      <c r="M2504" s="225" t="str">
        <f>_xlfn.XLOOKUP(Logfile_S12[[#This Row],[Material Name]],Sum_WH!E:E,Sum_WH!F:F,"",0)</f>
        <v>Pcs</v>
      </c>
      <c r="N2504" s="221">
        <v>26</v>
      </c>
      <c r="O2504" s="221" t="s">
        <v>2025</v>
      </c>
      <c r="P2504" s="221" t="s">
        <v>2026</v>
      </c>
      <c r="Q2504" s="221"/>
      <c r="R2504" s="221"/>
      <c r="S2504" s="221"/>
      <c r="T2504" s="221" t="s">
        <v>3244</v>
      </c>
      <c r="U2504" s="221">
        <v>0</v>
      </c>
      <c r="V2504" s="221" t="s">
        <v>3248</v>
      </c>
      <c r="W2504" s="221" t="s">
        <v>3252</v>
      </c>
      <c r="X2504" s="221"/>
      <c r="Y2504" s="227"/>
      <c r="Z2504" s="227" t="str">
        <f t="shared" si="87"/>
        <v>NGENEP UTARA RW 03 MALANG</v>
      </c>
      <c r="AA2504" s="276" t="e">
        <f>VLOOKUP(Logfile_S12[[#This Row],[DO number]],DO_DB!G:I,3,0)</f>
        <v>#N/A</v>
      </c>
      <c r="AB2504" s="331" t="e">
        <f>EXACT(Logfile_S12[[#This Row],[date pick]],Logfile_S12[[#This Row],[Date]])</f>
        <v>#N/A</v>
      </c>
      <c r="AC25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05" spans="1:29" ht="14.5" hidden="1">
      <c r="A2505" s="220" t="str">
        <f t="shared" si="88"/>
        <v>2501</v>
      </c>
      <c r="B2505" s="221"/>
      <c r="C2505" s="221" t="s">
        <v>49</v>
      </c>
      <c r="D2505" s="221" t="s">
        <v>4215</v>
      </c>
      <c r="E2505" s="221" t="s">
        <v>3295</v>
      </c>
      <c r="F2505" s="221" t="s">
        <v>3299</v>
      </c>
      <c r="G2505" s="222">
        <v>45542</v>
      </c>
      <c r="H2505" s="223">
        <v>0.73750000000000004</v>
      </c>
      <c r="I2505" s="221" t="s">
        <v>4916</v>
      </c>
      <c r="J2505" s="221" t="s">
        <v>3024</v>
      </c>
      <c r="K2505" s="224" t="s">
        <v>3089</v>
      </c>
      <c r="L2505" s="225" t="str">
        <f>VLOOKUP(Logfile_S12[[#This Row],[Material Name]],Sheet2!B:C,2,0)</f>
        <v>GCI1003</v>
      </c>
      <c r="M2505" s="225" t="str">
        <f>_xlfn.XLOOKUP(Logfile_S12[[#This Row],[Material Name]],Sum_WH!E:E,Sum_WH!F:F,"",0)</f>
        <v>Pcs</v>
      </c>
      <c r="N2505" s="221">
        <v>100</v>
      </c>
      <c r="O2505" s="221" t="s">
        <v>1951</v>
      </c>
      <c r="P2505" s="221" t="s">
        <v>3374</v>
      </c>
      <c r="Q2505" s="221"/>
      <c r="R2505" s="221"/>
      <c r="S2505" s="221"/>
      <c r="T2505" s="221" t="s">
        <v>3258</v>
      </c>
      <c r="U2505" s="221">
        <v>0</v>
      </c>
      <c r="V2505" s="221" t="s">
        <v>3337</v>
      </c>
      <c r="W2505" s="221" t="s">
        <v>3338</v>
      </c>
      <c r="X2505" s="221"/>
      <c r="Y2505" s="227"/>
      <c r="Z2505" s="227" t="str">
        <f t="shared" si="87"/>
        <v>SENGGURUH RW 01 MALANG</v>
      </c>
      <c r="AA2505" s="276" t="e">
        <f>VLOOKUP(Logfile_S12[[#This Row],[DO number]],DO_DB!G:I,3,0)</f>
        <v>#N/A</v>
      </c>
      <c r="AB2505" s="331" t="e">
        <f>EXACT(Logfile_S12[[#This Row],[date pick]],Logfile_S12[[#This Row],[Date]])</f>
        <v>#N/A</v>
      </c>
      <c r="AC25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06" spans="1:29" ht="14.5" hidden="1">
      <c r="A2506" s="220" t="str">
        <f t="shared" si="88"/>
        <v>2502</v>
      </c>
      <c r="B2506" s="221"/>
      <c r="C2506" s="221" t="s">
        <v>49</v>
      </c>
      <c r="D2506" s="221" t="s">
        <v>4218</v>
      </c>
      <c r="E2506" s="221" t="s">
        <v>3295</v>
      </c>
      <c r="F2506" s="221" t="s">
        <v>3299</v>
      </c>
      <c r="G2506" s="222">
        <v>45545</v>
      </c>
      <c r="H2506" s="223">
        <v>0.74722222222222223</v>
      </c>
      <c r="I2506" s="221" t="s">
        <v>4916</v>
      </c>
      <c r="J2506" s="221" t="s">
        <v>3024</v>
      </c>
      <c r="K2506" s="224" t="s">
        <v>3089</v>
      </c>
      <c r="L2506" s="225" t="str">
        <f>VLOOKUP(Logfile_S12[[#This Row],[Material Name]],Sheet2!B:C,2,0)</f>
        <v>GCI1003</v>
      </c>
      <c r="M2506" s="225" t="str">
        <f>_xlfn.XLOOKUP(Logfile_S12[[#This Row],[Material Name]],Sum_WH!E:E,Sum_WH!F:F,"",0)</f>
        <v>Pcs</v>
      </c>
      <c r="N2506" s="221">
        <v>150</v>
      </c>
      <c r="O2506" s="221" t="s">
        <v>1911</v>
      </c>
      <c r="P2506" s="221" t="s">
        <v>1912</v>
      </c>
      <c r="Q2506" s="221"/>
      <c r="R2506" s="221"/>
      <c r="S2506" s="221"/>
      <c r="T2506" s="221" t="s">
        <v>3258</v>
      </c>
      <c r="U2506" s="221">
        <v>0</v>
      </c>
      <c r="V2506" s="221" t="s">
        <v>3337</v>
      </c>
      <c r="W2506" s="221" t="s">
        <v>3338</v>
      </c>
      <c r="X2506" s="221"/>
      <c r="Y2506" s="227"/>
      <c r="Z2506" s="227" t="str">
        <f t="shared" si="87"/>
        <v>Dilem RW 03 Kepanjen</v>
      </c>
      <c r="AA2506" s="276" t="e">
        <f>VLOOKUP(Logfile_S12[[#This Row],[DO number]],DO_DB!G:I,3,0)</f>
        <v>#N/A</v>
      </c>
      <c r="AB2506" s="331" t="e">
        <f>EXACT(Logfile_S12[[#This Row],[date pick]],Logfile_S12[[#This Row],[Date]])</f>
        <v>#N/A</v>
      </c>
      <c r="AC25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07" spans="1:29" ht="14.5" hidden="1">
      <c r="A2507" s="220" t="str">
        <f t="shared" si="88"/>
        <v>2503</v>
      </c>
      <c r="B2507" s="221"/>
      <c r="C2507" s="221" t="s">
        <v>49</v>
      </c>
      <c r="D2507" s="221" t="s">
        <v>4217</v>
      </c>
      <c r="E2507" s="221" t="s">
        <v>3295</v>
      </c>
      <c r="F2507" s="221" t="s">
        <v>3299</v>
      </c>
      <c r="G2507" s="222">
        <v>45545</v>
      </c>
      <c r="H2507" s="223">
        <v>0.3659722222222222</v>
      </c>
      <c r="I2507" s="221" t="s">
        <v>4916</v>
      </c>
      <c r="J2507" s="221" t="s">
        <v>3024</v>
      </c>
      <c r="K2507" s="224" t="s">
        <v>3089</v>
      </c>
      <c r="L2507" s="225" t="str">
        <f>VLOOKUP(Logfile_S12[[#This Row],[Material Name]],Sheet2!B:C,2,0)</f>
        <v>GCI1003</v>
      </c>
      <c r="M2507" s="225" t="str">
        <f>_xlfn.XLOOKUP(Logfile_S12[[#This Row],[Material Name]],Sum_WH!E:E,Sum_WH!F:F,"",0)</f>
        <v>Pcs</v>
      </c>
      <c r="N2507" s="221">
        <v>155</v>
      </c>
      <c r="O2507" s="221" t="s">
        <v>2142</v>
      </c>
      <c r="P2507" s="221" t="s">
        <v>3400</v>
      </c>
      <c r="Q2507" s="221"/>
      <c r="R2507" s="221"/>
      <c r="S2507" s="221"/>
      <c r="T2507" s="221" t="s">
        <v>3244</v>
      </c>
      <c r="U2507" s="221">
        <v>0</v>
      </c>
      <c r="V2507" s="221" t="s">
        <v>3248</v>
      </c>
      <c r="W2507" s="221" t="s">
        <v>3252</v>
      </c>
      <c r="X2507" s="221"/>
      <c r="Y2507" s="227"/>
      <c r="Z2507" s="227" t="str">
        <f t="shared" si="87"/>
        <v>HUBFEEDER DINOYO SUMBERSEKAR</v>
      </c>
      <c r="AA2507" s="276" t="e">
        <f>VLOOKUP(Logfile_S12[[#This Row],[DO number]],DO_DB!G:I,3,0)</f>
        <v>#N/A</v>
      </c>
      <c r="AB2507" s="331" t="e">
        <f>EXACT(Logfile_S12[[#This Row],[date pick]],Logfile_S12[[#This Row],[Date]])</f>
        <v>#N/A</v>
      </c>
      <c r="AC25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08" spans="1:29" ht="14.5" hidden="1">
      <c r="A2508" s="220" t="str">
        <f t="shared" si="88"/>
        <v>2504</v>
      </c>
      <c r="B2508" s="221"/>
      <c r="C2508" s="221" t="s">
        <v>49</v>
      </c>
      <c r="D2508" s="221" t="s">
        <v>4221</v>
      </c>
      <c r="E2508" s="221" t="s">
        <v>3295</v>
      </c>
      <c r="F2508" s="221" t="s">
        <v>3299</v>
      </c>
      <c r="G2508" s="222">
        <v>45553</v>
      </c>
      <c r="H2508" s="223">
        <v>0.43125000000000002</v>
      </c>
      <c r="I2508" s="221" t="s">
        <v>4916</v>
      </c>
      <c r="J2508" s="221" t="s">
        <v>3024</v>
      </c>
      <c r="K2508" s="224" t="s">
        <v>3089</v>
      </c>
      <c r="L2508" s="225" t="str">
        <f>VLOOKUP(Logfile_S12[[#This Row],[Material Name]],Sheet2!B:C,2,0)</f>
        <v>GCI1003</v>
      </c>
      <c r="M2508" s="225" t="str">
        <f>_xlfn.XLOOKUP(Logfile_S12[[#This Row],[Material Name]],Sum_WH!E:E,Sum_WH!F:F,"",0)</f>
        <v>Pcs</v>
      </c>
      <c r="N2508" s="221">
        <v>100</v>
      </c>
      <c r="O2508" s="221" t="s">
        <v>1923</v>
      </c>
      <c r="P2508" s="221" t="s">
        <v>1924</v>
      </c>
      <c r="Q2508" s="221"/>
      <c r="R2508" s="221"/>
      <c r="S2508" s="221"/>
      <c r="T2508" s="221" t="s">
        <v>3258</v>
      </c>
      <c r="U2508" s="221">
        <v>0</v>
      </c>
      <c r="V2508" s="221" t="s">
        <v>3337</v>
      </c>
      <c r="W2508" s="221" t="s">
        <v>3338</v>
      </c>
      <c r="X2508" s="221"/>
      <c r="Y2508" s="227"/>
      <c r="Z2508" s="227" t="str">
        <f t="shared" ref="Z2508:Z2571" si="89">P2508</f>
        <v>Pakisaji RW 01 Malang</v>
      </c>
      <c r="AA2508" s="276" t="e">
        <f>VLOOKUP(Logfile_S12[[#This Row],[DO number]],DO_DB!G:I,3,0)</f>
        <v>#N/A</v>
      </c>
      <c r="AB2508" s="331" t="e">
        <f>EXACT(Logfile_S12[[#This Row],[date pick]],Logfile_S12[[#This Row],[Date]])</f>
        <v>#N/A</v>
      </c>
      <c r="AC25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09" spans="1:29" ht="14.5" hidden="1">
      <c r="A2509" s="220" t="str">
        <f t="shared" si="88"/>
        <v>2505</v>
      </c>
      <c r="B2509" s="221"/>
      <c r="C2509" s="221" t="s">
        <v>48</v>
      </c>
      <c r="D2509" s="221" t="s">
        <v>4222</v>
      </c>
      <c r="E2509" s="221" t="s">
        <v>3295</v>
      </c>
      <c r="F2509" s="221" t="s">
        <v>3299</v>
      </c>
      <c r="G2509" s="222">
        <v>45554</v>
      </c>
      <c r="H2509" s="223">
        <v>15.291666666666666</v>
      </c>
      <c r="I2509" s="221" t="s">
        <v>3586</v>
      </c>
      <c r="J2509" s="221" t="s">
        <v>3024</v>
      </c>
      <c r="K2509" s="224" t="s">
        <v>3089</v>
      </c>
      <c r="L2509" s="225" t="str">
        <f>VLOOKUP(Logfile_S12[[#This Row],[Material Name]],Sheet2!B:C,2,0)</f>
        <v>GCI1003</v>
      </c>
      <c r="M2509" s="225" t="str">
        <f>_xlfn.XLOOKUP(Logfile_S12[[#This Row],[Material Name]],Sum_WH!E:E,Sum_WH!F:F,"",0)</f>
        <v>Pcs</v>
      </c>
      <c r="N2509" s="221">
        <v>11</v>
      </c>
      <c r="O2509" s="221" t="s">
        <v>3397</v>
      </c>
      <c r="P2509" s="221" t="s">
        <v>3401</v>
      </c>
      <c r="Q2509" s="221">
        <v>0</v>
      </c>
      <c r="R2509" s="221">
        <v>0</v>
      </c>
      <c r="S2509" s="221"/>
      <c r="T2509" s="221"/>
      <c r="U2509" s="221"/>
      <c r="V2509" s="221"/>
      <c r="W2509" s="221"/>
      <c r="X2509" s="221"/>
      <c r="Y2509" s="227"/>
      <c r="Z2509" s="227" t="str">
        <f t="shared" si="89"/>
        <v>MF Sumbersekar</v>
      </c>
      <c r="AA2509" s="276" t="e">
        <f>VLOOKUP(Logfile_S12[[#This Row],[DO number]],DO_DB!G:I,3,0)</f>
        <v>#N/A</v>
      </c>
      <c r="AB2509" s="331" t="e">
        <f>EXACT(Logfile_S12[[#This Row],[date pick]],Logfile_S12[[#This Row],[Date]])</f>
        <v>#N/A</v>
      </c>
      <c r="AC25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10" spans="1:29" ht="14.5" hidden="1">
      <c r="A2510" s="220" t="str">
        <f t="shared" si="88"/>
        <v>2506</v>
      </c>
      <c r="B2510" s="221"/>
      <c r="C2510" s="221" t="s">
        <v>48</v>
      </c>
      <c r="D2510" s="221" t="s">
        <v>4222</v>
      </c>
      <c r="E2510" s="221" t="s">
        <v>3295</v>
      </c>
      <c r="F2510" s="221" t="s">
        <v>3299</v>
      </c>
      <c r="G2510" s="222">
        <v>45554</v>
      </c>
      <c r="H2510" s="223">
        <v>15.291666666666666</v>
      </c>
      <c r="I2510" s="221" t="s">
        <v>38</v>
      </c>
      <c r="J2510" s="221" t="s">
        <v>3024</v>
      </c>
      <c r="K2510" s="224" t="s">
        <v>3089</v>
      </c>
      <c r="L2510" s="225" t="str">
        <f>VLOOKUP(Logfile_S12[[#This Row],[Material Name]],Sheet2!B:C,2,0)</f>
        <v>GCI1003</v>
      </c>
      <c r="M2510" s="225" t="str">
        <f>_xlfn.XLOOKUP(Logfile_S12[[#This Row],[Material Name]],Sum_WH!E:E,Sum_WH!F:F,"",0)</f>
        <v>Pcs</v>
      </c>
      <c r="N2510" s="221">
        <v>46</v>
      </c>
      <c r="O2510" s="221">
        <v>0</v>
      </c>
      <c r="P2510" s="221">
        <v>0</v>
      </c>
      <c r="Q2510" s="221">
        <v>0</v>
      </c>
      <c r="R2510" s="221">
        <v>0</v>
      </c>
      <c r="S2510" s="221"/>
      <c r="T2510" s="221"/>
      <c r="U2510" s="221"/>
      <c r="V2510" s="221"/>
      <c r="W2510" s="221"/>
      <c r="X2510" s="221"/>
      <c r="Y2510" s="227"/>
      <c r="Z2510" s="227">
        <f t="shared" si="89"/>
        <v>0</v>
      </c>
      <c r="AA2510" s="276" t="e">
        <f>VLOOKUP(Logfile_S12[[#This Row],[DO number]],DO_DB!G:I,3,0)</f>
        <v>#N/A</v>
      </c>
      <c r="AB2510" s="331" t="e">
        <f>EXACT(Logfile_S12[[#This Row],[date pick]],Logfile_S12[[#This Row],[Date]])</f>
        <v>#N/A</v>
      </c>
      <c r="AC25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11" spans="1:29" ht="14.5" hidden="1">
      <c r="A2511" s="220" t="str">
        <f t="shared" si="88"/>
        <v>2507</v>
      </c>
      <c r="B2511" s="221"/>
      <c r="C2511" s="221" t="s">
        <v>49</v>
      </c>
      <c r="D2511" s="221" t="s">
        <v>4229</v>
      </c>
      <c r="E2511" s="221" t="s">
        <v>3295</v>
      </c>
      <c r="F2511" s="221" t="s">
        <v>3299</v>
      </c>
      <c r="G2511" s="222">
        <v>45556</v>
      </c>
      <c r="H2511" s="223">
        <v>0.71527777777777779</v>
      </c>
      <c r="I2511" s="221" t="s">
        <v>4916</v>
      </c>
      <c r="J2511" s="221" t="s">
        <v>3024</v>
      </c>
      <c r="K2511" s="224" t="s">
        <v>3089</v>
      </c>
      <c r="L2511" s="225" t="str">
        <f>VLOOKUP(Logfile_S12[[#This Row],[Material Name]],Sheet2!B:C,2,0)</f>
        <v>GCI1003</v>
      </c>
      <c r="M2511" s="225" t="str">
        <f>_xlfn.XLOOKUP(Logfile_S12[[#This Row],[Material Name]],Sum_WH!E:E,Sum_WH!F:F,"",0)</f>
        <v>Pcs</v>
      </c>
      <c r="N2511" s="221">
        <v>56</v>
      </c>
      <c r="O2511" s="221" t="s">
        <v>2142</v>
      </c>
      <c r="P2511" s="221" t="s">
        <v>3400</v>
      </c>
      <c r="Q2511" s="221"/>
      <c r="R2511" s="221"/>
      <c r="S2511" s="221"/>
      <c r="T2511" s="221" t="s">
        <v>3363</v>
      </c>
      <c r="U2511" s="221" t="s">
        <v>3228</v>
      </c>
      <c r="V2511" s="221" t="s">
        <v>3364</v>
      </c>
      <c r="W2511" s="221" t="s">
        <v>3365</v>
      </c>
      <c r="X2511" s="221"/>
      <c r="Y2511" s="227"/>
      <c r="Z2511" s="227" t="str">
        <f t="shared" si="89"/>
        <v>HUBFEEDER DINOYO SUMBERSEKAR</v>
      </c>
      <c r="AA2511" s="276" t="e">
        <f>VLOOKUP(Logfile_S12[[#This Row],[DO number]],DO_DB!G:I,3,0)</f>
        <v>#N/A</v>
      </c>
      <c r="AB2511" s="331" t="e">
        <f>EXACT(Logfile_S12[[#This Row],[date pick]],Logfile_S12[[#This Row],[Date]])</f>
        <v>#N/A</v>
      </c>
      <c r="AC25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12" spans="1:29" ht="14.5" hidden="1">
      <c r="A2512" s="220" t="str">
        <f t="shared" si="88"/>
        <v>2508</v>
      </c>
      <c r="B2512" s="221"/>
      <c r="C2512" s="221" t="s">
        <v>48</v>
      </c>
      <c r="D2512" s="221" t="s">
        <v>4238</v>
      </c>
      <c r="E2512" s="221" t="s">
        <v>3295</v>
      </c>
      <c r="F2512" s="221" t="s">
        <v>3299</v>
      </c>
      <c r="G2512" s="222">
        <v>45561</v>
      </c>
      <c r="H2512" s="223">
        <v>15.291666666666666</v>
      </c>
      <c r="I2512" s="221" t="s">
        <v>3586</v>
      </c>
      <c r="J2512" s="221" t="s">
        <v>3024</v>
      </c>
      <c r="K2512" s="224" t="s">
        <v>3089</v>
      </c>
      <c r="L2512" s="225" t="str">
        <f>VLOOKUP(Logfile_S12[[#This Row],[Material Name]],Sheet2!B:C,2,0)</f>
        <v>GCI1003</v>
      </c>
      <c r="M2512" s="225" t="str">
        <f>_xlfn.XLOOKUP(Logfile_S12[[#This Row],[Material Name]],Sum_WH!E:E,Sum_WH!F:F,"",0)</f>
        <v>Pcs</v>
      </c>
      <c r="N2512" s="221">
        <v>150</v>
      </c>
      <c r="O2512" s="221" t="s">
        <v>3397</v>
      </c>
      <c r="P2512" s="221" t="s">
        <v>3419</v>
      </c>
      <c r="Q2512" s="221">
        <v>0</v>
      </c>
      <c r="R2512" s="221">
        <v>0</v>
      </c>
      <c r="S2512" s="221"/>
      <c r="T2512" s="221"/>
      <c r="U2512" s="221"/>
      <c r="V2512" s="221"/>
      <c r="W2512" s="221"/>
      <c r="X2512" s="221"/>
      <c r="Y2512" s="227"/>
      <c r="Z2512" s="227" t="str">
        <f t="shared" si="89"/>
        <v>Sengguruh</v>
      </c>
      <c r="AA2512" s="276" t="e">
        <f>VLOOKUP(Logfile_S12[[#This Row],[DO number]],DO_DB!G:I,3,0)</f>
        <v>#N/A</v>
      </c>
      <c r="AB2512" s="331" t="e">
        <f>EXACT(Logfile_S12[[#This Row],[date pick]],Logfile_S12[[#This Row],[Date]])</f>
        <v>#N/A</v>
      </c>
      <c r="AC25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13" spans="1:29" ht="14.5" hidden="1">
      <c r="A2513" s="220" t="str">
        <f t="shared" si="88"/>
        <v>2509</v>
      </c>
      <c r="B2513" s="221"/>
      <c r="C2513" s="221" t="s">
        <v>49</v>
      </c>
      <c r="D2513" s="221" t="s">
        <v>4233</v>
      </c>
      <c r="E2513" s="221" t="s">
        <v>3295</v>
      </c>
      <c r="F2513" s="221" t="s">
        <v>3299</v>
      </c>
      <c r="G2513" s="222">
        <v>45561</v>
      </c>
      <c r="H2513" s="223">
        <v>0.64097222222222228</v>
      </c>
      <c r="I2513" s="221" t="s">
        <v>4916</v>
      </c>
      <c r="J2513" s="221" t="s">
        <v>3024</v>
      </c>
      <c r="K2513" s="224" t="s">
        <v>3089</v>
      </c>
      <c r="L2513" s="225" t="str">
        <f>VLOOKUP(Logfile_S12[[#This Row],[Material Name]],Sheet2!B:C,2,0)</f>
        <v>GCI1003</v>
      </c>
      <c r="M2513" s="225" t="str">
        <f>_xlfn.XLOOKUP(Logfile_S12[[#This Row],[Material Name]],Sum_WH!E:E,Sum_WH!F:F,"",0)</f>
        <v>Pcs</v>
      </c>
      <c r="N2513" s="221">
        <v>40</v>
      </c>
      <c r="O2513" s="221" t="s">
        <v>2166</v>
      </c>
      <c r="P2513" s="221" t="s">
        <v>2167</v>
      </c>
      <c r="Q2513" s="221"/>
      <c r="R2513" s="221"/>
      <c r="S2513" s="221"/>
      <c r="T2513" s="221" t="s">
        <v>3247</v>
      </c>
      <c r="U2513" s="221">
        <v>0</v>
      </c>
      <c r="V2513" s="221" t="s">
        <v>3375</v>
      </c>
      <c r="W2513" s="221" t="s">
        <v>3376</v>
      </c>
      <c r="X2513" s="221"/>
      <c r="Y2513" s="227"/>
      <c r="Z2513" s="227" t="str">
        <f t="shared" si="89"/>
        <v>Dusun Mojosari Ngenep</v>
      </c>
      <c r="AA2513" s="276" t="e">
        <f>VLOOKUP(Logfile_S12[[#This Row],[DO number]],DO_DB!G:I,3,0)</f>
        <v>#N/A</v>
      </c>
      <c r="AB2513" s="331" t="e">
        <f>EXACT(Logfile_S12[[#This Row],[date pick]],Logfile_S12[[#This Row],[Date]])</f>
        <v>#N/A</v>
      </c>
      <c r="AC25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14" spans="1:29" ht="14.5" hidden="1">
      <c r="A2514" s="220" t="str">
        <f t="shared" si="88"/>
        <v>2510</v>
      </c>
      <c r="B2514" s="221"/>
      <c r="C2514" s="221" t="s">
        <v>49</v>
      </c>
      <c r="D2514" s="221" t="s">
        <v>4240</v>
      </c>
      <c r="E2514" s="221" t="s">
        <v>3295</v>
      </c>
      <c r="F2514" s="221" t="s">
        <v>3299</v>
      </c>
      <c r="G2514" s="222">
        <v>45562</v>
      </c>
      <c r="H2514" s="223">
        <v>0.60416666666666663</v>
      </c>
      <c r="I2514" s="221" t="s">
        <v>4916</v>
      </c>
      <c r="J2514" s="221" t="s">
        <v>3024</v>
      </c>
      <c r="K2514" s="224" t="s">
        <v>3089</v>
      </c>
      <c r="L2514" s="225" t="str">
        <f>VLOOKUP(Logfile_S12[[#This Row],[Material Name]],Sheet2!B:C,2,0)</f>
        <v>GCI1003</v>
      </c>
      <c r="M2514" s="225" t="str">
        <f>_xlfn.XLOOKUP(Logfile_S12[[#This Row],[Material Name]],Sum_WH!E:E,Sum_WH!F:F,"",0)</f>
        <v>Pcs</v>
      </c>
      <c r="N2514" s="221">
        <v>50</v>
      </c>
      <c r="O2514" s="221" t="s">
        <v>2166</v>
      </c>
      <c r="P2514" s="221" t="s">
        <v>2167</v>
      </c>
      <c r="Q2514" s="221"/>
      <c r="R2514" s="221"/>
      <c r="S2514" s="221"/>
      <c r="T2514" s="221" t="s">
        <v>3247</v>
      </c>
      <c r="U2514" s="221">
        <v>0</v>
      </c>
      <c r="V2514" s="221" t="s">
        <v>3375</v>
      </c>
      <c r="W2514" s="221" t="s">
        <v>3376</v>
      </c>
      <c r="X2514" s="221"/>
      <c r="Y2514" s="227"/>
      <c r="Z2514" s="227" t="str">
        <f t="shared" si="89"/>
        <v>Dusun Mojosari Ngenep</v>
      </c>
      <c r="AA2514" s="276" t="e">
        <f>VLOOKUP(Logfile_S12[[#This Row],[DO number]],DO_DB!G:I,3,0)</f>
        <v>#N/A</v>
      </c>
      <c r="AB2514" s="331" t="e">
        <f>EXACT(Logfile_S12[[#This Row],[date pick]],Logfile_S12[[#This Row],[Date]])</f>
        <v>#N/A</v>
      </c>
      <c r="AC25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15" spans="1:29" ht="14.5" hidden="1">
      <c r="A2515" s="220" t="str">
        <f t="shared" si="88"/>
        <v>2511</v>
      </c>
      <c r="B2515" s="221"/>
      <c r="C2515" s="221" t="s">
        <v>48</v>
      </c>
      <c r="D2515" s="221" t="s">
        <v>4245</v>
      </c>
      <c r="E2515" s="221" t="s">
        <v>3295</v>
      </c>
      <c r="F2515" s="221" t="s">
        <v>3299</v>
      </c>
      <c r="G2515" s="222">
        <v>45566</v>
      </c>
      <c r="H2515" s="223">
        <v>15.291666666666666</v>
      </c>
      <c r="I2515" s="221" t="s">
        <v>3586</v>
      </c>
      <c r="J2515" s="221" t="s">
        <v>3024</v>
      </c>
      <c r="K2515" s="224" t="s">
        <v>3089</v>
      </c>
      <c r="L2515" s="225" t="str">
        <f>VLOOKUP(Logfile_S12[[#This Row],[Material Name]],Sheet2!B:C,2,0)</f>
        <v>GCI1003</v>
      </c>
      <c r="M2515" s="225" t="str">
        <f>_xlfn.XLOOKUP(Logfile_S12[[#This Row],[Material Name]],Sum_WH!E:E,Sum_WH!F:F,"",0)</f>
        <v>Pcs</v>
      </c>
      <c r="N2515" s="221">
        <v>72</v>
      </c>
      <c r="O2515" s="221" t="s">
        <v>3397</v>
      </c>
      <c r="P2515" s="221" t="s">
        <v>3402</v>
      </c>
      <c r="Q2515" s="221">
        <v>0</v>
      </c>
      <c r="R2515" s="221">
        <v>0</v>
      </c>
      <c r="S2515" s="221"/>
      <c r="T2515" s="221"/>
      <c r="U2515" s="221"/>
      <c r="V2515" s="221"/>
      <c r="W2515" s="221"/>
      <c r="X2515" s="221"/>
      <c r="Y2515" s="227"/>
      <c r="Z2515" s="227" t="str">
        <f t="shared" si="89"/>
        <v>Mojosari Ngenep</v>
      </c>
      <c r="AA2515" s="276" t="e">
        <f>VLOOKUP(Logfile_S12[[#This Row],[DO number]],DO_DB!G:I,3,0)</f>
        <v>#N/A</v>
      </c>
      <c r="AB2515" s="331" t="e">
        <f>EXACT(Logfile_S12[[#This Row],[date pick]],Logfile_S12[[#This Row],[Date]])</f>
        <v>#N/A</v>
      </c>
      <c r="AC25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16" spans="1:29" ht="14.5" hidden="1">
      <c r="A2516" s="220" t="str">
        <f t="shared" si="88"/>
        <v>2512</v>
      </c>
      <c r="B2516" s="221"/>
      <c r="C2516" s="221" t="s">
        <v>49</v>
      </c>
      <c r="D2516" s="221" t="s">
        <v>4249</v>
      </c>
      <c r="E2516" s="221" t="s">
        <v>3295</v>
      </c>
      <c r="F2516" s="221" t="s">
        <v>3299</v>
      </c>
      <c r="G2516" s="222">
        <v>45575</v>
      </c>
      <c r="H2516" s="223">
        <v>0.56458333333333333</v>
      </c>
      <c r="I2516" s="221" t="s">
        <v>4916</v>
      </c>
      <c r="J2516" s="221" t="s">
        <v>3024</v>
      </c>
      <c r="K2516" s="224" t="s">
        <v>3089</v>
      </c>
      <c r="L2516" s="225" t="str">
        <f>VLOOKUP(Logfile_S12[[#This Row],[Material Name]],Sheet2!B:C,2,0)</f>
        <v>GCI1003</v>
      </c>
      <c r="M2516" s="225" t="str">
        <f>_xlfn.XLOOKUP(Logfile_S12[[#This Row],[Material Name]],Sum_WH!E:E,Sum_WH!F:F,"",0)</f>
        <v>Pcs</v>
      </c>
      <c r="N2516" s="221">
        <v>60</v>
      </c>
      <c r="O2516" s="221" t="s">
        <v>1391</v>
      </c>
      <c r="P2516" s="221" t="s">
        <v>1392</v>
      </c>
      <c r="Q2516" s="221"/>
      <c r="R2516" s="221"/>
      <c r="S2516" s="221"/>
      <c r="T2516" s="221" t="s">
        <v>3244</v>
      </c>
      <c r="U2516" s="221">
        <v>0</v>
      </c>
      <c r="V2516" s="221" t="s">
        <v>3248</v>
      </c>
      <c r="W2516" s="221" t="s">
        <v>3252</v>
      </c>
      <c r="X2516" s="221"/>
      <c r="Y2516" s="227"/>
      <c r="Z2516" s="227" t="str">
        <f t="shared" si="89"/>
        <v>Klampok RW 01 Singosari</v>
      </c>
      <c r="AA2516" s="276" t="e">
        <f>VLOOKUP(Logfile_S12[[#This Row],[DO number]],DO_DB!G:I,3,0)</f>
        <v>#N/A</v>
      </c>
      <c r="AB2516" s="331" t="e">
        <f>EXACT(Logfile_S12[[#This Row],[date pick]],Logfile_S12[[#This Row],[Date]])</f>
        <v>#N/A</v>
      </c>
      <c r="AC25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17" spans="1:29" ht="14.5" hidden="1">
      <c r="A2517" s="220" t="str">
        <f t="shared" si="88"/>
        <v>2513</v>
      </c>
      <c r="B2517" s="221"/>
      <c r="C2517" s="221" t="s">
        <v>48</v>
      </c>
      <c r="D2517" s="221" t="s">
        <v>4251</v>
      </c>
      <c r="E2517" s="221" t="s">
        <v>3295</v>
      </c>
      <c r="F2517" s="221" t="s">
        <v>3299</v>
      </c>
      <c r="G2517" s="222">
        <v>45583</v>
      </c>
      <c r="H2517" s="223">
        <v>15.291666666666666</v>
      </c>
      <c r="I2517" s="221" t="s">
        <v>38</v>
      </c>
      <c r="J2517" s="221" t="s">
        <v>3024</v>
      </c>
      <c r="K2517" s="224" t="s">
        <v>3089</v>
      </c>
      <c r="L2517" s="225" t="str">
        <f>VLOOKUP(Logfile_S12[[#This Row],[Material Name]],Sheet2!B:C,2,0)</f>
        <v>GCI1003</v>
      </c>
      <c r="M2517" s="225" t="str">
        <f>_xlfn.XLOOKUP(Logfile_S12[[#This Row],[Material Name]],Sum_WH!E:E,Sum_WH!F:F,"",0)</f>
        <v>Pcs</v>
      </c>
      <c r="N2517" s="221">
        <v>137</v>
      </c>
      <c r="O2517" s="221">
        <v>0</v>
      </c>
      <c r="P2517" s="221">
        <v>0</v>
      </c>
      <c r="Q2517" s="221">
        <v>0</v>
      </c>
      <c r="R2517" s="221">
        <v>0</v>
      </c>
      <c r="S2517" s="221"/>
      <c r="T2517" s="221"/>
      <c r="U2517" s="221"/>
      <c r="V2517" s="221"/>
      <c r="W2517" s="221"/>
      <c r="X2517" s="221"/>
      <c r="Y2517" s="227"/>
      <c r="Z2517" s="227">
        <f t="shared" si="89"/>
        <v>0</v>
      </c>
      <c r="AA2517" s="276" t="e">
        <f>VLOOKUP(Logfile_S12[[#This Row],[DO number]],DO_DB!G:I,3,0)</f>
        <v>#N/A</v>
      </c>
      <c r="AB2517" s="331" t="e">
        <f>EXACT(Logfile_S12[[#This Row],[date pick]],Logfile_S12[[#This Row],[Date]])</f>
        <v>#N/A</v>
      </c>
      <c r="AC25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18" spans="1:29" ht="14.5" hidden="1">
      <c r="A2518" s="220" t="str">
        <f t="shared" si="88"/>
        <v>2514</v>
      </c>
      <c r="B2518" s="221"/>
      <c r="C2518" s="221" t="s">
        <v>49</v>
      </c>
      <c r="D2518" s="221" t="s">
        <v>4250</v>
      </c>
      <c r="E2518" s="221" t="s">
        <v>3295</v>
      </c>
      <c r="F2518" s="221" t="s">
        <v>3299</v>
      </c>
      <c r="G2518" s="222">
        <v>45583</v>
      </c>
      <c r="H2518" s="223">
        <v>0.38194444444444442</v>
      </c>
      <c r="I2518" s="221" t="s">
        <v>4916</v>
      </c>
      <c r="J2518" s="221" t="s">
        <v>3024</v>
      </c>
      <c r="K2518" s="224" t="s">
        <v>3089</v>
      </c>
      <c r="L2518" s="225" t="str">
        <f>VLOOKUP(Logfile_S12[[#This Row],[Material Name]],Sheet2!B:C,2,0)</f>
        <v>GCI1003</v>
      </c>
      <c r="M2518" s="225" t="str">
        <f>_xlfn.XLOOKUP(Logfile_S12[[#This Row],[Material Name]],Sum_WH!E:E,Sum_WH!F:F,"",0)</f>
        <v>Pcs</v>
      </c>
      <c r="N2518" s="221">
        <v>55</v>
      </c>
      <c r="O2518" s="221" t="s">
        <v>2322</v>
      </c>
      <c r="P2518" s="221" t="s">
        <v>3403</v>
      </c>
      <c r="Q2518" s="221"/>
      <c r="R2518" s="221"/>
      <c r="S2518" s="221"/>
      <c r="T2518" s="221" t="s">
        <v>3404</v>
      </c>
      <c r="U2518" s="221">
        <v>0</v>
      </c>
      <c r="V2518" s="221" t="s">
        <v>3405</v>
      </c>
      <c r="W2518" s="221" t="s">
        <v>3406</v>
      </c>
      <c r="X2518" s="221"/>
      <c r="Y2518" s="227"/>
      <c r="Z2518" s="227" t="str">
        <f t="shared" si="89"/>
        <v>Mainfeeder Singosari Segment 3</v>
      </c>
      <c r="AA2518" s="276" t="e">
        <f>VLOOKUP(Logfile_S12[[#This Row],[DO number]],DO_DB!G:I,3,0)</f>
        <v>#N/A</v>
      </c>
      <c r="AB2518" s="331" t="e">
        <f>EXACT(Logfile_S12[[#This Row],[date pick]],Logfile_S12[[#This Row],[Date]])</f>
        <v>#N/A</v>
      </c>
      <c r="AC25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19" spans="1:29" ht="14.5" hidden="1">
      <c r="A2519" s="220" t="str">
        <f t="shared" si="88"/>
        <v>2515</v>
      </c>
      <c r="B2519" s="221"/>
      <c r="C2519" s="221" t="s">
        <v>49</v>
      </c>
      <c r="D2519" s="221" t="s">
        <v>4256</v>
      </c>
      <c r="E2519" s="221" t="s">
        <v>3295</v>
      </c>
      <c r="F2519" s="221" t="s">
        <v>3299</v>
      </c>
      <c r="G2519" s="222">
        <v>45590</v>
      </c>
      <c r="H2519" s="223">
        <v>0.79791666666666672</v>
      </c>
      <c r="I2519" s="221" t="s">
        <v>4916</v>
      </c>
      <c r="J2519" s="221" t="s">
        <v>3024</v>
      </c>
      <c r="K2519" s="224" t="s">
        <v>3089</v>
      </c>
      <c r="L2519" s="225" t="str">
        <f>VLOOKUP(Logfile_S12[[#This Row],[Material Name]],Sheet2!B:C,2,0)</f>
        <v>GCI1003</v>
      </c>
      <c r="M2519" s="225" t="str">
        <f>_xlfn.XLOOKUP(Logfile_S12[[#This Row],[Material Name]],Sum_WH!E:E,Sum_WH!F:F,"",0)</f>
        <v>Pcs</v>
      </c>
      <c r="N2519" s="221">
        <v>55</v>
      </c>
      <c r="O2519" s="221" t="s">
        <v>2354</v>
      </c>
      <c r="P2519" s="221" t="s">
        <v>3407</v>
      </c>
      <c r="Q2519" s="221"/>
      <c r="R2519" s="221"/>
      <c r="S2519" s="221"/>
      <c r="T2519" s="221" t="s">
        <v>3404</v>
      </c>
      <c r="U2519" s="221">
        <v>0</v>
      </c>
      <c r="V2519" s="221" t="s">
        <v>3405</v>
      </c>
      <c r="W2519" s="221" t="s">
        <v>3406</v>
      </c>
      <c r="X2519" s="221"/>
      <c r="Y2519" s="227"/>
      <c r="Z2519" s="227" t="str">
        <f t="shared" si="89"/>
        <v>HUBFEEDER KLAMPOK</v>
      </c>
      <c r="AA2519" s="276" t="e">
        <f>VLOOKUP(Logfile_S12[[#This Row],[DO number]],DO_DB!G:I,3,0)</f>
        <v>#N/A</v>
      </c>
      <c r="AB2519" s="331" t="e">
        <f>EXACT(Logfile_S12[[#This Row],[date pick]],Logfile_S12[[#This Row],[Date]])</f>
        <v>#N/A</v>
      </c>
      <c r="AC25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20" spans="1:29" ht="14.5" hidden="1">
      <c r="A2520" s="220" t="str">
        <f t="shared" si="88"/>
        <v>2516</v>
      </c>
      <c r="B2520" s="221"/>
      <c r="C2520" s="221" t="s">
        <v>48</v>
      </c>
      <c r="D2520" s="221" t="s">
        <v>4266</v>
      </c>
      <c r="E2520" s="221" t="s">
        <v>3295</v>
      </c>
      <c r="F2520" s="221" t="s">
        <v>3299</v>
      </c>
      <c r="G2520" s="222">
        <v>45595</v>
      </c>
      <c r="H2520" s="223">
        <v>15.291666666666666</v>
      </c>
      <c r="I2520" s="221" t="s">
        <v>38</v>
      </c>
      <c r="J2520" s="221" t="s">
        <v>3024</v>
      </c>
      <c r="K2520" s="224" t="s">
        <v>3089</v>
      </c>
      <c r="L2520" s="225" t="str">
        <f>VLOOKUP(Logfile_S12[[#This Row],[Material Name]],Sheet2!B:C,2,0)</f>
        <v>GCI1003</v>
      </c>
      <c r="M2520" s="225" t="str">
        <f>_xlfn.XLOOKUP(Logfile_S12[[#This Row],[Material Name]],Sum_WH!E:E,Sum_WH!F:F,"",0)</f>
        <v>Pcs</v>
      </c>
      <c r="N2520" s="221">
        <v>79</v>
      </c>
      <c r="O2520" s="221">
        <v>0</v>
      </c>
      <c r="P2520" s="221">
        <v>0</v>
      </c>
      <c r="Q2520" s="221">
        <v>0</v>
      </c>
      <c r="R2520" s="221">
        <v>0</v>
      </c>
      <c r="S2520" s="221"/>
      <c r="T2520" s="221"/>
      <c r="U2520" s="221"/>
      <c r="V2520" s="221"/>
      <c r="W2520" s="221"/>
      <c r="X2520" s="221"/>
      <c r="Y2520" s="227"/>
      <c r="Z2520" s="227">
        <f t="shared" si="89"/>
        <v>0</v>
      </c>
      <c r="AA2520" s="276" t="e">
        <f>VLOOKUP(Logfile_S12[[#This Row],[DO number]],DO_DB!G:I,3,0)</f>
        <v>#N/A</v>
      </c>
      <c r="AB2520" s="331" t="e">
        <f>EXACT(Logfile_S12[[#This Row],[date pick]],Logfile_S12[[#This Row],[Date]])</f>
        <v>#N/A</v>
      </c>
      <c r="AC25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21" spans="1:29" ht="14.5" hidden="1">
      <c r="A2521" s="220" t="str">
        <f t="shared" si="88"/>
        <v>2517</v>
      </c>
      <c r="B2521" s="221"/>
      <c r="C2521" s="221" t="s">
        <v>49</v>
      </c>
      <c r="D2521" s="221" t="s">
        <v>4263</v>
      </c>
      <c r="E2521" s="221" t="s">
        <v>3295</v>
      </c>
      <c r="F2521" s="221" t="s">
        <v>3299</v>
      </c>
      <c r="G2521" s="222">
        <v>45595</v>
      </c>
      <c r="H2521" s="223">
        <v>0.97569444444444442</v>
      </c>
      <c r="I2521" s="221" t="s">
        <v>4916</v>
      </c>
      <c r="J2521" s="221" t="s">
        <v>3024</v>
      </c>
      <c r="K2521" s="224" t="s">
        <v>3089</v>
      </c>
      <c r="L2521" s="225" t="str">
        <f>VLOOKUP(Logfile_S12[[#This Row],[Material Name]],Sheet2!B:C,2,0)</f>
        <v>GCI1003</v>
      </c>
      <c r="M2521" s="225" t="str">
        <f>_xlfn.XLOOKUP(Logfile_S12[[#This Row],[Material Name]],Sum_WH!E:E,Sum_WH!F:F,"",0)</f>
        <v>Pcs</v>
      </c>
      <c r="N2521" s="221">
        <v>71</v>
      </c>
      <c r="O2521" s="221" t="s">
        <v>2322</v>
      </c>
      <c r="P2521" s="221" t="s">
        <v>3403</v>
      </c>
      <c r="Q2521" s="221"/>
      <c r="R2521" s="221"/>
      <c r="S2521" s="221"/>
      <c r="T2521" s="221" t="s">
        <v>3404</v>
      </c>
      <c r="U2521" s="221">
        <v>0</v>
      </c>
      <c r="V2521" s="221" t="s">
        <v>3405</v>
      </c>
      <c r="W2521" s="221" t="s">
        <v>3406</v>
      </c>
      <c r="X2521" s="221"/>
      <c r="Y2521" s="227"/>
      <c r="Z2521" s="227" t="str">
        <f t="shared" si="89"/>
        <v>Mainfeeder Singosari Segment 3</v>
      </c>
      <c r="AA2521" s="276" t="e">
        <f>VLOOKUP(Logfile_S12[[#This Row],[DO number]],DO_DB!G:I,3,0)</f>
        <v>#N/A</v>
      </c>
      <c r="AB2521" s="331" t="e">
        <f>EXACT(Logfile_S12[[#This Row],[date pick]],Logfile_S12[[#This Row],[Date]])</f>
        <v>#N/A</v>
      </c>
      <c r="AC25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22" spans="1:29" ht="14.5" hidden="1">
      <c r="A2522" s="220" t="str">
        <f t="shared" si="88"/>
        <v>2518</v>
      </c>
      <c r="B2522" s="221"/>
      <c r="C2522" s="221" t="s">
        <v>49</v>
      </c>
      <c r="D2522" s="221" t="s">
        <v>4271</v>
      </c>
      <c r="E2522" s="221" t="s">
        <v>3295</v>
      </c>
      <c r="F2522" s="221" t="s">
        <v>3299</v>
      </c>
      <c r="G2522" s="222">
        <v>45602</v>
      </c>
      <c r="H2522" s="223">
        <v>0.35069444444444442</v>
      </c>
      <c r="I2522" s="221" t="s">
        <v>4916</v>
      </c>
      <c r="J2522" s="221" t="s">
        <v>3024</v>
      </c>
      <c r="K2522" s="224" t="s">
        <v>3089</v>
      </c>
      <c r="L2522" s="225" t="str">
        <f>VLOOKUP(Logfile_S12[[#This Row],[Material Name]],Sheet2!B:C,2,0)</f>
        <v>GCI1003</v>
      </c>
      <c r="M2522" s="225" t="str">
        <f>_xlfn.XLOOKUP(Logfile_S12[[#This Row],[Material Name]],Sum_WH!E:E,Sum_WH!F:F,"",0)</f>
        <v>Pcs</v>
      </c>
      <c r="N2522" s="221">
        <v>38</v>
      </c>
      <c r="O2522" s="221" t="s">
        <v>1395</v>
      </c>
      <c r="P2522" s="221" t="s">
        <v>1396</v>
      </c>
      <c r="Q2522" s="221"/>
      <c r="R2522" s="221"/>
      <c r="S2522" s="221"/>
      <c r="T2522" s="221" t="s">
        <v>3258</v>
      </c>
      <c r="U2522" s="221">
        <v>0</v>
      </c>
      <c r="V2522" s="221" t="s">
        <v>3337</v>
      </c>
      <c r="W2522" s="221" t="s">
        <v>3338</v>
      </c>
      <c r="X2522" s="221"/>
      <c r="Y2522" s="227"/>
      <c r="Z2522" s="227" t="str">
        <f t="shared" si="89"/>
        <v>Candirenggo RW 10 Singosari</v>
      </c>
      <c r="AA2522" s="276" t="e">
        <f>VLOOKUP(Logfile_S12[[#This Row],[DO number]],DO_DB!G:I,3,0)</f>
        <v>#N/A</v>
      </c>
      <c r="AB2522" s="331" t="e">
        <f>EXACT(Logfile_S12[[#This Row],[date pick]],Logfile_S12[[#This Row],[Date]])</f>
        <v>#N/A</v>
      </c>
      <c r="AC25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23" spans="1:29" ht="14.5" hidden="1">
      <c r="A2523" s="220" t="str">
        <f t="shared" si="88"/>
        <v>2519</v>
      </c>
      <c r="B2523" s="221"/>
      <c r="C2523" s="221" t="s">
        <v>49</v>
      </c>
      <c r="D2523" s="221" t="s">
        <v>4289</v>
      </c>
      <c r="E2523" s="221" t="s">
        <v>3295</v>
      </c>
      <c r="F2523" s="221" t="s">
        <v>3299</v>
      </c>
      <c r="G2523" s="222">
        <v>45622</v>
      </c>
      <c r="H2523" s="223">
        <v>0.39583333333333331</v>
      </c>
      <c r="I2523" s="221" t="s">
        <v>4916</v>
      </c>
      <c r="J2523" s="221" t="s">
        <v>3024</v>
      </c>
      <c r="K2523" s="224" t="s">
        <v>3089</v>
      </c>
      <c r="L2523" s="225" t="str">
        <f>VLOOKUP(Logfile_S12[[#This Row],[Material Name]],Sheet2!B:C,2,0)</f>
        <v>GCI1003</v>
      </c>
      <c r="M2523" s="225" t="str">
        <f>_xlfn.XLOOKUP(Logfile_S12[[#This Row],[Material Name]],Sum_WH!E:E,Sum_WH!F:F,"",0)</f>
        <v>Pcs</v>
      </c>
      <c r="N2523" s="221">
        <v>9</v>
      </c>
      <c r="O2523" s="221" t="s">
        <v>2502</v>
      </c>
      <c r="P2523" s="221" t="s">
        <v>2503</v>
      </c>
      <c r="Q2523" s="221"/>
      <c r="R2523" s="221"/>
      <c r="S2523" s="221"/>
      <c r="T2523" s="221" t="s">
        <v>3258</v>
      </c>
      <c r="U2523" s="221">
        <v>0</v>
      </c>
      <c r="V2523" s="221" t="s">
        <v>3337</v>
      </c>
      <c r="W2523" s="221" t="s">
        <v>3338</v>
      </c>
      <c r="X2523" s="221"/>
      <c r="Y2523" s="227"/>
      <c r="Z2523" s="227" t="str">
        <f t="shared" si="89"/>
        <v>Bedali RW 03 Kromengan</v>
      </c>
      <c r="AA2523" s="276" t="e">
        <f>VLOOKUP(Logfile_S12[[#This Row],[DO number]],DO_DB!G:I,3,0)</f>
        <v>#N/A</v>
      </c>
      <c r="AB2523" s="331" t="e">
        <f>EXACT(Logfile_S12[[#This Row],[date pick]],Logfile_S12[[#This Row],[Date]])</f>
        <v>#N/A</v>
      </c>
      <c r="AC25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24" spans="1:29" ht="14.5" hidden="1">
      <c r="A2524" s="220" t="str">
        <f t="shared" si="88"/>
        <v>2520</v>
      </c>
      <c r="B2524" s="221"/>
      <c r="C2524" s="221" t="s">
        <v>48</v>
      </c>
      <c r="D2524" s="221" t="s">
        <v>4295</v>
      </c>
      <c r="E2524" s="221" t="s">
        <v>3295</v>
      </c>
      <c r="F2524" s="221" t="s">
        <v>3299</v>
      </c>
      <c r="G2524" s="222">
        <v>45626</v>
      </c>
      <c r="H2524" s="223">
        <v>15.291666666666666</v>
      </c>
      <c r="I2524" s="221" t="s">
        <v>38</v>
      </c>
      <c r="J2524" s="221" t="s">
        <v>3024</v>
      </c>
      <c r="K2524" s="224" t="s">
        <v>3089</v>
      </c>
      <c r="L2524" s="225" t="str">
        <f>VLOOKUP(Logfile_S12[[#This Row],[Material Name]],Sheet2!B:C,2,0)</f>
        <v>GCI1003</v>
      </c>
      <c r="M2524" s="225" t="str">
        <f>_xlfn.XLOOKUP(Logfile_S12[[#This Row],[Material Name]],Sum_WH!E:E,Sum_WH!F:F,"",0)</f>
        <v>Pcs</v>
      </c>
      <c r="N2524" s="221">
        <v>96</v>
      </c>
      <c r="O2524" s="221">
        <v>0</v>
      </c>
      <c r="P2524" s="221">
        <v>0</v>
      </c>
      <c r="Q2524" s="221">
        <v>0</v>
      </c>
      <c r="R2524" s="221">
        <v>0</v>
      </c>
      <c r="S2524" s="221"/>
      <c r="T2524" s="221"/>
      <c r="U2524" s="221"/>
      <c r="V2524" s="221"/>
      <c r="W2524" s="221"/>
      <c r="X2524" s="221"/>
      <c r="Y2524" s="227"/>
      <c r="Z2524" s="227">
        <f t="shared" si="89"/>
        <v>0</v>
      </c>
      <c r="AA2524" s="276" t="e">
        <f>VLOOKUP(Logfile_S12[[#This Row],[DO number]],DO_DB!G:I,3,0)</f>
        <v>#N/A</v>
      </c>
      <c r="AB2524" s="331" t="e">
        <f>EXACT(Logfile_S12[[#This Row],[date pick]],Logfile_S12[[#This Row],[Date]])</f>
        <v>#N/A</v>
      </c>
      <c r="AC25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25" spans="1:29" ht="14.5" hidden="1">
      <c r="A2525" s="220" t="str">
        <f t="shared" si="88"/>
        <v>2521</v>
      </c>
      <c r="B2525" s="221"/>
      <c r="C2525" s="221" t="s">
        <v>49</v>
      </c>
      <c r="D2525" s="221" t="s">
        <v>4297</v>
      </c>
      <c r="E2525" s="221" t="s">
        <v>3295</v>
      </c>
      <c r="F2525" s="221" t="s">
        <v>3299</v>
      </c>
      <c r="G2525" s="222">
        <v>45627</v>
      </c>
      <c r="H2525" s="223">
        <v>0.39583333333333331</v>
      </c>
      <c r="I2525" s="221" t="s">
        <v>4916</v>
      </c>
      <c r="J2525" s="221" t="s">
        <v>3024</v>
      </c>
      <c r="K2525" s="224" t="s">
        <v>3089</v>
      </c>
      <c r="L2525" s="225" t="str">
        <f>VLOOKUP(Logfile_S12[[#This Row],[Material Name]],Sheet2!B:C,2,0)</f>
        <v>GCI1003</v>
      </c>
      <c r="M2525" s="225" t="str">
        <f>_xlfn.XLOOKUP(Logfile_S12[[#This Row],[Material Name]],Sum_WH!E:E,Sum_WH!F:F,"",0)</f>
        <v>Pcs</v>
      </c>
      <c r="N2525" s="221">
        <v>95</v>
      </c>
      <c r="O2525" s="221" t="s">
        <v>2502</v>
      </c>
      <c r="P2525" s="221" t="s">
        <v>2503</v>
      </c>
      <c r="Q2525" s="221"/>
      <c r="R2525" s="221"/>
      <c r="S2525" s="221"/>
      <c r="T2525" s="221" t="s">
        <v>3258</v>
      </c>
      <c r="U2525" s="221">
        <v>0</v>
      </c>
      <c r="V2525" s="221" t="s">
        <v>3337</v>
      </c>
      <c r="W2525" s="221" t="s">
        <v>3338</v>
      </c>
      <c r="X2525" s="221"/>
      <c r="Y2525" s="227"/>
      <c r="Z2525" s="227" t="str">
        <f t="shared" si="89"/>
        <v>Bedali RW 03 Kromengan</v>
      </c>
      <c r="AA2525" s="276" t="e">
        <f>VLOOKUP(Logfile_S12[[#This Row],[DO number]],DO_DB!G:I,3,0)</f>
        <v>#N/A</v>
      </c>
      <c r="AB2525" s="331" t="e">
        <f>EXACT(Logfile_S12[[#This Row],[date pick]],Logfile_S12[[#This Row],[Date]])</f>
        <v>#N/A</v>
      </c>
      <c r="AC25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26" spans="1:29" ht="14.5" hidden="1">
      <c r="A2526" s="220" t="str">
        <f t="shared" si="88"/>
        <v>2522</v>
      </c>
      <c r="B2526" s="221"/>
      <c r="C2526" s="221" t="s">
        <v>48</v>
      </c>
      <c r="D2526" s="221" t="s">
        <v>4318</v>
      </c>
      <c r="E2526" s="221" t="s">
        <v>3295</v>
      </c>
      <c r="F2526" s="221" t="s">
        <v>3299</v>
      </c>
      <c r="G2526" s="222">
        <v>45656</v>
      </c>
      <c r="H2526" s="223">
        <v>15.291666666666666</v>
      </c>
      <c r="I2526" s="221" t="s">
        <v>38</v>
      </c>
      <c r="J2526" s="221" t="s">
        <v>3024</v>
      </c>
      <c r="K2526" s="224" t="s">
        <v>3089</v>
      </c>
      <c r="L2526" s="225" t="str">
        <f>VLOOKUP(Logfile_S12[[#This Row],[Material Name]],Sheet2!B:C,2,0)</f>
        <v>GCI1003</v>
      </c>
      <c r="M2526" s="225" t="str">
        <f>_xlfn.XLOOKUP(Logfile_S12[[#This Row],[Material Name]],Sum_WH!E:E,Sum_WH!F:F,"",0)</f>
        <v>Pcs</v>
      </c>
      <c r="N2526" s="221">
        <v>703</v>
      </c>
      <c r="O2526" s="221">
        <v>0</v>
      </c>
      <c r="P2526" s="221">
        <v>0</v>
      </c>
      <c r="Q2526" s="221">
        <v>0</v>
      </c>
      <c r="R2526" s="221">
        <v>0</v>
      </c>
      <c r="S2526" s="221"/>
      <c r="T2526" s="221"/>
      <c r="U2526" s="221"/>
      <c r="V2526" s="221"/>
      <c r="W2526" s="221"/>
      <c r="X2526" s="221"/>
      <c r="Y2526" s="227"/>
      <c r="Z2526" s="227">
        <f t="shared" si="89"/>
        <v>0</v>
      </c>
      <c r="AA2526" s="276" t="e">
        <f>VLOOKUP(Logfile_S12[[#This Row],[DO number]],DO_DB!G:I,3,0)</f>
        <v>#N/A</v>
      </c>
      <c r="AB2526" s="331" t="e">
        <f>EXACT(Logfile_S12[[#This Row],[date pick]],Logfile_S12[[#This Row],[Date]])</f>
        <v>#N/A</v>
      </c>
      <c r="AC25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27" spans="1:29" ht="14.5" hidden="1">
      <c r="A2527" s="220" t="str">
        <f t="shared" si="88"/>
        <v>2523</v>
      </c>
      <c r="B2527" s="221"/>
      <c r="C2527" s="221" t="s">
        <v>49</v>
      </c>
      <c r="D2527" s="221" t="s">
        <v>4316</v>
      </c>
      <c r="E2527" s="221" t="s">
        <v>3295</v>
      </c>
      <c r="F2527" s="221" t="s">
        <v>3299</v>
      </c>
      <c r="G2527" s="222">
        <v>45656</v>
      </c>
      <c r="H2527" s="223">
        <v>0.40625</v>
      </c>
      <c r="I2527" s="221" t="s">
        <v>4916</v>
      </c>
      <c r="J2527" s="221" t="s">
        <v>3024</v>
      </c>
      <c r="K2527" s="224" t="s">
        <v>3089</v>
      </c>
      <c r="L2527" s="225" t="str">
        <f>VLOOKUP(Logfile_S12[[#This Row],[Material Name]],Sheet2!B:C,2,0)</f>
        <v>GCI1003</v>
      </c>
      <c r="M2527" s="225" t="str">
        <f>_xlfn.XLOOKUP(Logfile_S12[[#This Row],[Material Name]],Sum_WH!E:E,Sum_WH!F:F,"",0)</f>
        <v>Pcs</v>
      </c>
      <c r="N2527" s="221">
        <v>110</v>
      </c>
      <c r="O2527" s="221" t="s">
        <v>3377</v>
      </c>
      <c r="P2527" s="221" t="s">
        <v>3378</v>
      </c>
      <c r="Q2527" s="221"/>
      <c r="R2527" s="221"/>
      <c r="S2527" s="221"/>
      <c r="T2527" s="221" t="s">
        <v>3258</v>
      </c>
      <c r="U2527" s="221">
        <v>0</v>
      </c>
      <c r="V2527" s="221" t="s">
        <v>3337</v>
      </c>
      <c r="W2527" s="221" t="s">
        <v>3338</v>
      </c>
      <c r="X2527" s="221"/>
      <c r="Y2527" s="227"/>
      <c r="Z2527" s="227" t="str">
        <f t="shared" si="89"/>
        <v>Perum Chandra Kirana Watugede</v>
      </c>
      <c r="AA2527" s="276" t="e">
        <f>VLOOKUP(Logfile_S12[[#This Row],[DO number]],DO_DB!G:I,3,0)</f>
        <v>#N/A</v>
      </c>
      <c r="AB2527" s="331" t="e">
        <f>EXACT(Logfile_S12[[#This Row],[date pick]],Logfile_S12[[#This Row],[Date]])</f>
        <v>#N/A</v>
      </c>
      <c r="AC25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28" spans="1:29" ht="14.5" hidden="1">
      <c r="A2528" s="220" t="str">
        <f t="shared" si="88"/>
        <v>2524</v>
      </c>
      <c r="B2528" s="221"/>
      <c r="C2528" s="221" t="s">
        <v>49</v>
      </c>
      <c r="D2528" s="221" t="s">
        <v>4321</v>
      </c>
      <c r="E2528" s="221" t="s">
        <v>3295</v>
      </c>
      <c r="F2528" s="221" t="s">
        <v>3299</v>
      </c>
      <c r="G2528" s="222">
        <v>45670</v>
      </c>
      <c r="H2528" s="223">
        <v>0.54166666666666663</v>
      </c>
      <c r="I2528" s="221" t="s">
        <v>4916</v>
      </c>
      <c r="J2528" s="221" t="s">
        <v>3024</v>
      </c>
      <c r="K2528" s="224" t="s">
        <v>3089</v>
      </c>
      <c r="L2528" s="225" t="str">
        <f>VLOOKUP(Logfile_S12[[#This Row],[Material Name]],Sheet2!B:C,2,0)</f>
        <v>GCI1003</v>
      </c>
      <c r="M2528" s="225" t="str">
        <f>_xlfn.XLOOKUP(Logfile_S12[[#This Row],[Material Name]],Sum_WH!E:E,Sum_WH!F:F,"",0)</f>
        <v>Pcs</v>
      </c>
      <c r="N2528" s="221">
        <v>50</v>
      </c>
      <c r="O2528" s="221" t="s">
        <v>2360</v>
      </c>
      <c r="P2528" s="221" t="s">
        <v>2361</v>
      </c>
      <c r="Q2528" s="221"/>
      <c r="R2528" s="221"/>
      <c r="S2528" s="221"/>
      <c r="T2528" s="221" t="s">
        <v>3258</v>
      </c>
      <c r="U2528" s="221">
        <v>0</v>
      </c>
      <c r="V2528" s="221" t="s">
        <v>3337</v>
      </c>
      <c r="W2528" s="221" t="s">
        <v>3338</v>
      </c>
      <c r="X2528" s="221"/>
      <c r="Y2528" s="227"/>
      <c r="Z2528" s="227" t="str">
        <f t="shared" si="89"/>
        <v>Tambakasri RW 02 Tajinan</v>
      </c>
      <c r="AA2528" s="276" t="e">
        <f>VLOOKUP(Logfile_S12[[#This Row],[DO number]],DO_DB!G:I,3,0)</f>
        <v>#N/A</v>
      </c>
      <c r="AB2528" s="331" t="e">
        <f>EXACT(Logfile_S12[[#This Row],[date pick]],Logfile_S12[[#This Row],[Date]])</f>
        <v>#N/A</v>
      </c>
      <c r="AC25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29" spans="1:29" ht="14.5" hidden="1">
      <c r="A2529" s="220" t="str">
        <f t="shared" si="88"/>
        <v>2525</v>
      </c>
      <c r="B2529" s="221"/>
      <c r="C2529" s="221" t="s">
        <v>49</v>
      </c>
      <c r="D2529" s="221" t="s">
        <v>4323</v>
      </c>
      <c r="E2529" s="221" t="s">
        <v>3295</v>
      </c>
      <c r="F2529" s="221" t="s">
        <v>3299</v>
      </c>
      <c r="G2529" s="222">
        <v>45672</v>
      </c>
      <c r="H2529" s="223">
        <v>0.54166666666666663</v>
      </c>
      <c r="I2529" s="221" t="s">
        <v>4916</v>
      </c>
      <c r="J2529" s="221" t="s">
        <v>3024</v>
      </c>
      <c r="K2529" s="224" t="s">
        <v>3089</v>
      </c>
      <c r="L2529" s="225" t="str">
        <f>VLOOKUP(Logfile_S12[[#This Row],[Material Name]],Sheet2!B:C,2,0)</f>
        <v>GCI1003</v>
      </c>
      <c r="M2529" s="225" t="str">
        <f>_xlfn.XLOOKUP(Logfile_S12[[#This Row],[Material Name]],Sum_WH!E:E,Sum_WH!F:F,"",0)</f>
        <v>Pcs</v>
      </c>
      <c r="N2529" s="221">
        <v>20</v>
      </c>
      <c r="O2529" s="221" t="s">
        <v>2360</v>
      </c>
      <c r="P2529" s="221" t="s">
        <v>2361</v>
      </c>
      <c r="Q2529" s="221"/>
      <c r="R2529" s="221"/>
      <c r="S2529" s="221"/>
      <c r="T2529" s="221" t="s">
        <v>3258</v>
      </c>
      <c r="U2529" s="221">
        <v>0</v>
      </c>
      <c r="V2529" s="221" t="s">
        <v>3337</v>
      </c>
      <c r="W2529" s="221" t="s">
        <v>3338</v>
      </c>
      <c r="X2529" s="221"/>
      <c r="Y2529" s="227"/>
      <c r="Z2529" s="227" t="str">
        <f t="shared" si="89"/>
        <v>Tambakasri RW 02 Tajinan</v>
      </c>
      <c r="AA2529" s="276" t="e">
        <f>VLOOKUP(Logfile_S12[[#This Row],[DO number]],DO_DB!G:I,3,0)</f>
        <v>#N/A</v>
      </c>
      <c r="AB2529" s="331" t="e">
        <f>EXACT(Logfile_S12[[#This Row],[date pick]],Logfile_S12[[#This Row],[Date]])</f>
        <v>#N/A</v>
      </c>
      <c r="AC25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30" spans="1:29" ht="14.5" hidden="1">
      <c r="A2530" s="220" t="str">
        <f t="shared" si="88"/>
        <v>2526</v>
      </c>
      <c r="B2530" s="221"/>
      <c r="C2530" s="221" t="s">
        <v>49</v>
      </c>
      <c r="D2530" s="221" t="s">
        <v>4332</v>
      </c>
      <c r="E2530" s="221" t="s">
        <v>3295</v>
      </c>
      <c r="F2530" s="221" t="s">
        <v>3299</v>
      </c>
      <c r="G2530" s="222">
        <v>45707</v>
      </c>
      <c r="H2530" s="223">
        <v>0.39930555555555558</v>
      </c>
      <c r="I2530" s="221" t="s">
        <v>4916</v>
      </c>
      <c r="J2530" s="221" t="s">
        <v>3024</v>
      </c>
      <c r="K2530" s="224" t="s">
        <v>3089</v>
      </c>
      <c r="L2530" s="225" t="str">
        <f>VLOOKUP(Logfile_S12[[#This Row],[Material Name]],Sheet2!B:C,2,0)</f>
        <v>GCI1003</v>
      </c>
      <c r="M2530" s="225" t="str">
        <f>_xlfn.XLOOKUP(Logfile_S12[[#This Row],[Material Name]],Sum_WH!E:E,Sum_WH!F:F,"",0)</f>
        <v>Pcs</v>
      </c>
      <c r="N2530" s="221">
        <v>100</v>
      </c>
      <c r="O2530" s="221" t="s">
        <v>2648</v>
      </c>
      <c r="P2530" s="221" t="s">
        <v>2649</v>
      </c>
      <c r="Q2530" s="221"/>
      <c r="R2530" s="221"/>
      <c r="S2530" s="221"/>
      <c r="T2530" s="221" t="s">
        <v>3258</v>
      </c>
      <c r="U2530" s="221">
        <v>0</v>
      </c>
      <c r="V2530" s="221" t="s">
        <v>3337</v>
      </c>
      <c r="W2530" s="221" t="s">
        <v>3338</v>
      </c>
      <c r="X2530" s="221"/>
      <c r="Y2530" s="227"/>
      <c r="Z2530" s="227" t="str">
        <f t="shared" si="89"/>
        <v>Sitirejo RW 04 Wagir</v>
      </c>
      <c r="AA2530" s="276" t="e">
        <f>VLOOKUP(Logfile_S12[[#This Row],[DO number]],DO_DB!G:I,3,0)</f>
        <v>#N/A</v>
      </c>
      <c r="AB2530" s="331" t="e">
        <f>EXACT(Logfile_S12[[#This Row],[date pick]],Logfile_S12[[#This Row],[Date]])</f>
        <v>#N/A</v>
      </c>
      <c r="AC25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31" spans="1:29" ht="14.5" hidden="1">
      <c r="A2531" s="220" t="str">
        <f t="shared" si="88"/>
        <v>2527</v>
      </c>
      <c r="B2531" s="221"/>
      <c r="C2531" s="221" t="s">
        <v>49</v>
      </c>
      <c r="D2531" s="221" t="s">
        <v>4338</v>
      </c>
      <c r="E2531" s="221" t="s">
        <v>3295</v>
      </c>
      <c r="F2531" s="221" t="s">
        <v>3299</v>
      </c>
      <c r="G2531" s="222">
        <v>45709</v>
      </c>
      <c r="H2531" s="223">
        <v>0.39930555555555558</v>
      </c>
      <c r="I2531" s="221" t="s">
        <v>4916</v>
      </c>
      <c r="J2531" s="221" t="s">
        <v>3024</v>
      </c>
      <c r="K2531" s="224" t="s">
        <v>3089</v>
      </c>
      <c r="L2531" s="225" t="str">
        <f>VLOOKUP(Logfile_S12[[#This Row],[Material Name]],Sheet2!B:C,2,0)</f>
        <v>GCI1003</v>
      </c>
      <c r="M2531" s="225" t="str">
        <f>_xlfn.XLOOKUP(Logfile_S12[[#This Row],[Material Name]],Sum_WH!E:E,Sum_WH!F:F,"",0)</f>
        <v>Pcs</v>
      </c>
      <c r="N2531" s="221">
        <v>12</v>
      </c>
      <c r="O2531" s="221" t="s">
        <v>2007</v>
      </c>
      <c r="P2531" s="221" t="s">
        <v>2008</v>
      </c>
      <c r="Q2531" s="221"/>
      <c r="R2531" s="221"/>
      <c r="S2531" s="221"/>
      <c r="T2531" s="221" t="s">
        <v>3231</v>
      </c>
      <c r="U2531" s="221">
        <v>0</v>
      </c>
      <c r="V2531" s="221" t="s">
        <v>3375</v>
      </c>
      <c r="W2531" s="221" t="s">
        <v>3249</v>
      </c>
      <c r="X2531" s="221"/>
      <c r="Y2531" s="227"/>
      <c r="Z2531" s="227" t="str">
        <f t="shared" si="89"/>
        <v>Ngenep RW 06 Karang Ploso</v>
      </c>
      <c r="AA2531" s="276" t="e">
        <f>VLOOKUP(Logfile_S12[[#This Row],[DO number]],DO_DB!G:I,3,0)</f>
        <v>#N/A</v>
      </c>
      <c r="AB2531" s="331" t="e">
        <f>EXACT(Logfile_S12[[#This Row],[date pick]],Logfile_S12[[#This Row],[Date]])</f>
        <v>#N/A</v>
      </c>
      <c r="AC25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32" spans="1:29" ht="14.5" hidden="1">
      <c r="A2532" s="220" t="str">
        <f t="shared" si="88"/>
        <v>2528</v>
      </c>
      <c r="B2532" s="221"/>
      <c r="C2532" s="221" t="s">
        <v>49</v>
      </c>
      <c r="D2532" s="221" t="s">
        <v>4347</v>
      </c>
      <c r="E2532" s="221" t="s">
        <v>3295</v>
      </c>
      <c r="F2532" s="221" t="s">
        <v>3299</v>
      </c>
      <c r="G2532" s="222">
        <v>45722</v>
      </c>
      <c r="H2532" s="223">
        <v>0.63124999999999998</v>
      </c>
      <c r="I2532" s="221" t="s">
        <v>4916</v>
      </c>
      <c r="J2532" s="221" t="s">
        <v>3024</v>
      </c>
      <c r="K2532" s="224" t="s">
        <v>3089</v>
      </c>
      <c r="L2532" s="225" t="str">
        <f>VLOOKUP(Logfile_S12[[#This Row],[Material Name]],Sheet2!B:C,2,0)</f>
        <v>GCI1003</v>
      </c>
      <c r="M2532" s="225" t="str">
        <f>_xlfn.XLOOKUP(Logfile_S12[[#This Row],[Material Name]],Sum_WH!E:E,Sum_WH!F:F,"",0)</f>
        <v>Pcs</v>
      </c>
      <c r="N2532" s="221">
        <v>15</v>
      </c>
      <c r="O2532" s="221" t="s">
        <v>3314</v>
      </c>
      <c r="P2532" s="221">
        <v>0</v>
      </c>
      <c r="Q2532" s="221"/>
      <c r="R2532" s="221"/>
      <c r="S2532" s="221"/>
      <c r="T2532" s="221" t="s">
        <v>3231</v>
      </c>
      <c r="U2532" s="221">
        <v>0</v>
      </c>
      <c r="V2532" s="221" t="s">
        <v>3375</v>
      </c>
      <c r="W2532" s="221" t="s">
        <v>3249</v>
      </c>
      <c r="X2532" s="221" t="s">
        <v>3457</v>
      </c>
      <c r="Y2532" s="227"/>
      <c r="Z2532" s="227">
        <f t="shared" si="89"/>
        <v>0</v>
      </c>
      <c r="AA2532" s="276" t="e">
        <f>VLOOKUP(Logfile_S12[[#This Row],[DO number]],DO_DB!G:I,3,0)</f>
        <v>#N/A</v>
      </c>
      <c r="AB2532" s="331" t="e">
        <f>EXACT(Logfile_S12[[#This Row],[date pick]],Logfile_S12[[#This Row],[Date]])</f>
        <v>#N/A</v>
      </c>
      <c r="AC25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33" spans="1:29" ht="14.5" hidden="1">
      <c r="A2533" s="220" t="str">
        <f t="shared" si="88"/>
        <v>2529</v>
      </c>
      <c r="B2533" s="221"/>
      <c r="C2533" s="221" t="s">
        <v>49</v>
      </c>
      <c r="D2533" s="221" t="s">
        <v>4354</v>
      </c>
      <c r="E2533" s="221" t="s">
        <v>3295</v>
      </c>
      <c r="F2533" s="221" t="s">
        <v>3299</v>
      </c>
      <c r="G2533" s="222">
        <v>45737</v>
      </c>
      <c r="H2533" s="223">
        <v>0.78472222222222221</v>
      </c>
      <c r="I2533" s="221" t="s">
        <v>4916</v>
      </c>
      <c r="J2533" s="221" t="s">
        <v>3024</v>
      </c>
      <c r="K2533" s="224" t="s">
        <v>3089</v>
      </c>
      <c r="L2533" s="225" t="str">
        <f>VLOOKUP(Logfile_S12[[#This Row],[Material Name]],Sheet2!B:C,2,0)</f>
        <v>GCI1003</v>
      </c>
      <c r="M2533" s="225" t="str">
        <f>_xlfn.XLOOKUP(Logfile_S12[[#This Row],[Material Name]],Sum_WH!E:E,Sum_WH!F:F,"",0)</f>
        <v>Pcs</v>
      </c>
      <c r="N2533" s="221">
        <v>20</v>
      </c>
      <c r="O2533" s="221" t="s">
        <v>2322</v>
      </c>
      <c r="P2533" s="221" t="s">
        <v>3403</v>
      </c>
      <c r="Q2533" s="221"/>
      <c r="R2533" s="221"/>
      <c r="S2533" s="221"/>
      <c r="T2533" s="221" t="s">
        <v>3404</v>
      </c>
      <c r="U2533" s="221">
        <v>0</v>
      </c>
      <c r="V2533" s="221" t="s">
        <v>3405</v>
      </c>
      <c r="W2533" s="221" t="s">
        <v>3406</v>
      </c>
      <c r="X2533" s="221"/>
      <c r="Y2533" s="227"/>
      <c r="Z2533" s="227" t="str">
        <f t="shared" si="89"/>
        <v>Mainfeeder Singosari Segment 3</v>
      </c>
      <c r="AA2533" s="276" t="e">
        <f>VLOOKUP(Logfile_S12[[#This Row],[DO number]],DO_DB!G:I,3,0)</f>
        <v>#N/A</v>
      </c>
      <c r="AB2533" s="331" t="e">
        <f>EXACT(Logfile_S12[[#This Row],[date pick]],Logfile_S12[[#This Row],[Date]])</f>
        <v>#N/A</v>
      </c>
      <c r="AC25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34" spans="1:29" ht="14.5" hidden="1">
      <c r="A2534" s="220" t="str">
        <f t="shared" si="88"/>
        <v>2530</v>
      </c>
      <c r="B2534" s="221"/>
      <c r="C2534" s="221" t="s">
        <v>49</v>
      </c>
      <c r="D2534" s="221" t="s">
        <v>4356</v>
      </c>
      <c r="E2534" s="221" t="s">
        <v>3295</v>
      </c>
      <c r="F2534" s="221" t="s">
        <v>3299</v>
      </c>
      <c r="G2534" s="222">
        <v>45738</v>
      </c>
      <c r="H2534" s="223">
        <v>0.67291666666666672</v>
      </c>
      <c r="I2534" s="221" t="s">
        <v>4916</v>
      </c>
      <c r="J2534" s="221" t="s">
        <v>3024</v>
      </c>
      <c r="K2534" s="224" t="s">
        <v>3089</v>
      </c>
      <c r="L2534" s="225" t="str">
        <f>VLOOKUP(Logfile_S12[[#This Row],[Material Name]],Sheet2!B:C,2,0)</f>
        <v>GCI1003</v>
      </c>
      <c r="M2534" s="225" t="str">
        <f>_xlfn.XLOOKUP(Logfile_S12[[#This Row],[Material Name]],Sum_WH!E:E,Sum_WH!F:F,"",0)</f>
        <v>Pcs</v>
      </c>
      <c r="N2534" s="221">
        <v>94</v>
      </c>
      <c r="O2534" s="221" t="s">
        <v>2664</v>
      </c>
      <c r="P2534" s="221" t="s">
        <v>2665</v>
      </c>
      <c r="Q2534" s="221"/>
      <c r="R2534" s="221"/>
      <c r="S2534" s="221"/>
      <c r="T2534" s="221" t="s">
        <v>3258</v>
      </c>
      <c r="U2534" s="221">
        <v>0</v>
      </c>
      <c r="V2534" s="221" t="s">
        <v>3337</v>
      </c>
      <c r="W2534" s="221" t="s">
        <v>3338</v>
      </c>
      <c r="X2534" s="221"/>
      <c r="Y2534" s="227"/>
      <c r="Z2534" s="227" t="str">
        <f t="shared" si="89"/>
        <v>Temas RW 04</v>
      </c>
      <c r="AA2534" s="276" t="e">
        <f>VLOOKUP(Logfile_S12[[#This Row],[DO number]],DO_DB!G:I,3,0)</f>
        <v>#N/A</v>
      </c>
      <c r="AB2534" s="331" t="e">
        <f>EXACT(Logfile_S12[[#This Row],[date pick]],Logfile_S12[[#This Row],[Date]])</f>
        <v>#N/A</v>
      </c>
      <c r="AC25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35" spans="1:29" ht="14.5" hidden="1">
      <c r="A2535" s="220" t="str">
        <f t="shared" si="88"/>
        <v>2531</v>
      </c>
      <c r="B2535" s="221"/>
      <c r="C2535" s="221" t="s">
        <v>49</v>
      </c>
      <c r="D2535" s="221" t="s">
        <v>4361</v>
      </c>
      <c r="E2535" s="221" t="s">
        <v>3295</v>
      </c>
      <c r="F2535" s="221" t="s">
        <v>3299</v>
      </c>
      <c r="G2535" s="222">
        <v>45742</v>
      </c>
      <c r="H2535" s="223">
        <v>0.83125000000000004</v>
      </c>
      <c r="I2535" s="221" t="s">
        <v>4916</v>
      </c>
      <c r="J2535" s="221" t="s">
        <v>3024</v>
      </c>
      <c r="K2535" s="224" t="s">
        <v>3089</v>
      </c>
      <c r="L2535" s="225" t="str">
        <f>VLOOKUP(Logfile_S12[[#This Row],[Material Name]],Sheet2!B:C,2,0)</f>
        <v>GCI1003</v>
      </c>
      <c r="M2535" s="225" t="str">
        <f>_xlfn.XLOOKUP(Logfile_S12[[#This Row],[Material Name]],Sum_WH!E:E,Sum_WH!F:F,"",0)</f>
        <v>Pcs</v>
      </c>
      <c r="N2535" s="221">
        <v>50</v>
      </c>
      <c r="O2535" s="221" t="s">
        <v>2664</v>
      </c>
      <c r="P2535" s="221" t="s">
        <v>2665</v>
      </c>
      <c r="Q2535" s="221"/>
      <c r="R2535" s="221"/>
      <c r="S2535" s="221"/>
      <c r="T2535" s="221" t="s">
        <v>3258</v>
      </c>
      <c r="U2535" s="221">
        <v>0</v>
      </c>
      <c r="V2535" s="221" t="s">
        <v>3337</v>
      </c>
      <c r="W2535" s="221" t="s">
        <v>3338</v>
      </c>
      <c r="X2535" s="221"/>
      <c r="Y2535" s="227"/>
      <c r="Z2535" s="227" t="str">
        <f t="shared" si="89"/>
        <v>Temas RW 04</v>
      </c>
      <c r="AA2535" s="276" t="e">
        <f>VLOOKUP(Logfile_S12[[#This Row],[DO number]],DO_DB!G:I,3,0)</f>
        <v>#N/A</v>
      </c>
      <c r="AB2535" s="331" t="e">
        <f>EXACT(Logfile_S12[[#This Row],[date pick]],Logfile_S12[[#This Row],[Date]])</f>
        <v>#N/A</v>
      </c>
      <c r="AC25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36" spans="1:29" ht="14.5" hidden="1">
      <c r="A2536" s="220" t="str">
        <f t="shared" si="88"/>
        <v>2532</v>
      </c>
      <c r="B2536" s="221"/>
      <c r="C2536" s="221" t="s">
        <v>3313</v>
      </c>
      <c r="D2536" s="221" t="s">
        <v>4370</v>
      </c>
      <c r="E2536" s="221" t="s">
        <v>3295</v>
      </c>
      <c r="F2536" s="221" t="s">
        <v>3299</v>
      </c>
      <c r="G2536" s="222">
        <v>45819</v>
      </c>
      <c r="H2536" s="223">
        <v>15.291666666666666</v>
      </c>
      <c r="I2536" s="221" t="s">
        <v>4918</v>
      </c>
      <c r="J2536" s="221" t="s">
        <v>3024</v>
      </c>
      <c r="K2536" s="224" t="s">
        <v>3089</v>
      </c>
      <c r="L2536" s="225" t="str">
        <f>VLOOKUP(Logfile_S12[[#This Row],[Material Name]],Sheet2!B:C,2,0)</f>
        <v>GCI1003</v>
      </c>
      <c r="M2536" s="225" t="str">
        <f>_xlfn.XLOOKUP(Logfile_S12[[#This Row],[Material Name]],Sum_WH!E:E,Sum_WH!F:F,"",0)</f>
        <v>Pcs</v>
      </c>
      <c r="N2536" s="221">
        <v>100</v>
      </c>
      <c r="O2536" s="221" t="s">
        <v>3314</v>
      </c>
      <c r="P2536" s="221" t="s">
        <v>3384</v>
      </c>
      <c r="Q2536" s="221">
        <v>0</v>
      </c>
      <c r="R2536" s="221">
        <v>0</v>
      </c>
      <c r="S2536" s="221"/>
      <c r="T2536" s="221"/>
      <c r="U2536" s="221"/>
      <c r="V2536" s="221"/>
      <c r="W2536" s="221"/>
      <c r="X2536" s="221"/>
      <c r="Y2536" s="227"/>
      <c r="Z2536" s="227" t="str">
        <f t="shared" si="89"/>
        <v>GRESIK</v>
      </c>
      <c r="AA2536" s="276" t="e">
        <f>VLOOKUP(Logfile_S12[[#This Row],[DO number]],DO_DB!G:I,3,0)</f>
        <v>#N/A</v>
      </c>
      <c r="AB2536" s="331" t="e">
        <f>EXACT(Logfile_S12[[#This Row],[date pick]],Logfile_S12[[#This Row],[Date]])</f>
        <v>#N/A</v>
      </c>
      <c r="AC25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37" spans="1:29" ht="14.5" hidden="1">
      <c r="A2537" s="220" t="str">
        <f t="shared" si="88"/>
        <v>2533</v>
      </c>
      <c r="B2537" s="221"/>
      <c r="C2537" s="221" t="s">
        <v>49</v>
      </c>
      <c r="D2537" s="221" t="s">
        <v>4372</v>
      </c>
      <c r="E2537" s="221" t="s">
        <v>3295</v>
      </c>
      <c r="F2537" s="221" t="s">
        <v>3299</v>
      </c>
      <c r="G2537" s="222">
        <v>45822</v>
      </c>
      <c r="H2537" s="223">
        <v>0.5395833333333333</v>
      </c>
      <c r="I2537" s="221" t="s">
        <v>4916</v>
      </c>
      <c r="J2537" s="221" t="s">
        <v>3024</v>
      </c>
      <c r="K2537" s="224" t="s">
        <v>3089</v>
      </c>
      <c r="L2537" s="225" t="str">
        <f>VLOOKUP(Logfile_S12[[#This Row],[Material Name]],Sheet2!B:C,2,0)</f>
        <v>GCI1003</v>
      </c>
      <c r="M2537" s="225" t="str">
        <f>_xlfn.XLOOKUP(Logfile_S12[[#This Row],[Material Name]],Sum_WH!E:E,Sum_WH!F:F,"",0)</f>
        <v>Pcs</v>
      </c>
      <c r="N2537" s="221">
        <v>100</v>
      </c>
      <c r="O2537" s="221">
        <v>0</v>
      </c>
      <c r="P2537" s="221" t="s">
        <v>3381</v>
      </c>
      <c r="Q2537" s="221"/>
      <c r="R2537" s="221"/>
      <c r="S2537" s="221"/>
      <c r="T2537" s="221" t="s">
        <v>3258</v>
      </c>
      <c r="U2537" s="221">
        <v>0</v>
      </c>
      <c r="V2537" s="221" t="s">
        <v>3337</v>
      </c>
      <c r="W2537" s="221" t="s">
        <v>3338</v>
      </c>
      <c r="X2537" s="221"/>
      <c r="Y2537" s="227"/>
      <c r="Z2537" s="227" t="str">
        <f t="shared" si="89"/>
        <v>Kebonagung RW 01</v>
      </c>
      <c r="AA2537" s="276" t="e">
        <f>VLOOKUP(Logfile_S12[[#This Row],[DO number]],DO_DB!G:I,3,0)</f>
        <v>#N/A</v>
      </c>
      <c r="AB2537" s="331" t="e">
        <f>EXACT(Logfile_S12[[#This Row],[date pick]],Logfile_S12[[#This Row],[Date]])</f>
        <v>#N/A</v>
      </c>
      <c r="AC25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38" spans="1:29" ht="14.5" hidden="1">
      <c r="A2538" s="220" t="str">
        <f t="shared" si="88"/>
        <v>2534</v>
      </c>
      <c r="B2538" s="221"/>
      <c r="C2538" s="221" t="s">
        <v>48</v>
      </c>
      <c r="D2538" s="221" t="s">
        <v>4380</v>
      </c>
      <c r="E2538" s="221" t="s">
        <v>3295</v>
      </c>
      <c r="F2538" s="221" t="s">
        <v>3299</v>
      </c>
      <c r="G2538" s="222">
        <v>45831</v>
      </c>
      <c r="H2538" s="223">
        <v>15.291666666666666</v>
      </c>
      <c r="I2538" s="221" t="s">
        <v>38</v>
      </c>
      <c r="J2538" s="221" t="s">
        <v>3024</v>
      </c>
      <c r="K2538" s="224" t="s">
        <v>3089</v>
      </c>
      <c r="L2538" s="225" t="str">
        <f>VLOOKUP(Logfile_S12[[#This Row],[Material Name]],Sheet2!B:C,2,0)</f>
        <v>GCI1003</v>
      </c>
      <c r="M2538" s="225" t="str">
        <f>_xlfn.XLOOKUP(Logfile_S12[[#This Row],[Material Name]],Sum_WH!E:E,Sum_WH!F:F,"",0)</f>
        <v>Pcs</v>
      </c>
      <c r="N2538" s="221">
        <v>558</v>
      </c>
      <c r="O2538" s="221">
        <v>0</v>
      </c>
      <c r="P2538" s="221">
        <v>0</v>
      </c>
      <c r="Q2538" s="221">
        <v>0</v>
      </c>
      <c r="R2538" s="221">
        <v>0</v>
      </c>
      <c r="S2538" s="221"/>
      <c r="T2538" s="221"/>
      <c r="U2538" s="221"/>
      <c r="V2538" s="221"/>
      <c r="W2538" s="221"/>
      <c r="X2538" s="221"/>
      <c r="Y2538" s="227"/>
      <c r="Z2538" s="227">
        <f t="shared" si="89"/>
        <v>0</v>
      </c>
      <c r="AA2538" s="276" t="e">
        <f>VLOOKUP(Logfile_S12[[#This Row],[DO number]],DO_DB!G:I,3,0)</f>
        <v>#N/A</v>
      </c>
      <c r="AB2538" s="331" t="e">
        <f>EXACT(Logfile_S12[[#This Row],[date pick]],Logfile_S12[[#This Row],[Date]])</f>
        <v>#N/A</v>
      </c>
      <c r="AC25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39" spans="1:29" ht="14.5" hidden="1">
      <c r="A2539" s="220" t="str">
        <f t="shared" si="88"/>
        <v>2535</v>
      </c>
      <c r="B2539" s="221"/>
      <c r="C2539" s="221" t="s">
        <v>49</v>
      </c>
      <c r="D2539" s="221" t="s">
        <v>4379</v>
      </c>
      <c r="E2539" s="221" t="s">
        <v>3295</v>
      </c>
      <c r="F2539" s="221" t="s">
        <v>3299</v>
      </c>
      <c r="G2539" s="222">
        <v>45831</v>
      </c>
      <c r="H2539" s="223">
        <v>0.64583333333333337</v>
      </c>
      <c r="I2539" s="221" t="s">
        <v>4916</v>
      </c>
      <c r="J2539" s="221" t="s">
        <v>3024</v>
      </c>
      <c r="K2539" s="224" t="s">
        <v>3089</v>
      </c>
      <c r="L2539" s="225" t="str">
        <f>VLOOKUP(Logfile_S12[[#This Row],[Material Name]],Sheet2!B:C,2,0)</f>
        <v>GCI1003</v>
      </c>
      <c r="M2539" s="225" t="str">
        <f>_xlfn.XLOOKUP(Logfile_S12[[#This Row],[Material Name]],Sum_WH!E:E,Sum_WH!F:F,"",0)</f>
        <v>Pcs</v>
      </c>
      <c r="N2539" s="221">
        <v>388</v>
      </c>
      <c r="O2539" s="221">
        <v>0</v>
      </c>
      <c r="P2539" s="221" t="s">
        <v>3382</v>
      </c>
      <c r="Q2539" s="221"/>
      <c r="R2539" s="221"/>
      <c r="S2539" s="221"/>
      <c r="T2539" s="221" t="s">
        <v>3231</v>
      </c>
      <c r="U2539" s="221">
        <v>0</v>
      </c>
      <c r="V2539" s="221" t="s">
        <v>3375</v>
      </c>
      <c r="W2539" s="221" t="s">
        <v>3249</v>
      </c>
      <c r="X2539" s="221"/>
      <c r="Y2539" s="227"/>
      <c r="Z2539" s="227" t="str">
        <f t="shared" si="89"/>
        <v>Pncokusumo</v>
      </c>
      <c r="AA2539" s="276" t="e">
        <f>VLOOKUP(Logfile_S12[[#This Row],[DO number]],DO_DB!G:I,3,0)</f>
        <v>#N/A</v>
      </c>
      <c r="AB2539" s="331" t="e">
        <f>EXACT(Logfile_S12[[#This Row],[date pick]],Logfile_S12[[#This Row],[Date]])</f>
        <v>#N/A</v>
      </c>
      <c r="AC25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40" spans="1:29" ht="14.5" hidden="1">
      <c r="A2540" s="220" t="str">
        <f t="shared" si="88"/>
        <v>2536</v>
      </c>
      <c r="B2540" s="221"/>
      <c r="C2540" s="221" t="s">
        <v>49</v>
      </c>
      <c r="D2540" s="221" t="s">
        <v>4388</v>
      </c>
      <c r="E2540" s="221" t="s">
        <v>3295</v>
      </c>
      <c r="F2540" s="221" t="s">
        <v>3299</v>
      </c>
      <c r="G2540" s="222">
        <v>45835</v>
      </c>
      <c r="H2540" s="223">
        <v>0.5395833333333333</v>
      </c>
      <c r="I2540" s="221" t="s">
        <v>4916</v>
      </c>
      <c r="J2540" s="221" t="s">
        <v>3024</v>
      </c>
      <c r="K2540" s="224" t="s">
        <v>3089</v>
      </c>
      <c r="L2540" s="225" t="str">
        <f>VLOOKUP(Logfile_S12[[#This Row],[Material Name]],Sheet2!B:C,2,0)</f>
        <v>GCI1003</v>
      </c>
      <c r="M2540" s="225" t="str">
        <f>_xlfn.XLOOKUP(Logfile_S12[[#This Row],[Material Name]],Sum_WH!E:E,Sum_WH!F:F,"",0)</f>
        <v>Pcs</v>
      </c>
      <c r="N2540" s="221">
        <v>170</v>
      </c>
      <c r="O2540" s="221">
        <v>0</v>
      </c>
      <c r="P2540" s="221" t="s">
        <v>3383</v>
      </c>
      <c r="Q2540" s="221"/>
      <c r="R2540" s="221"/>
      <c r="S2540" s="221"/>
      <c r="T2540" s="221" t="s">
        <v>3258</v>
      </c>
      <c r="U2540" s="221">
        <v>0</v>
      </c>
      <c r="V2540" s="221" t="s">
        <v>3337</v>
      </c>
      <c r="W2540" s="221" t="s">
        <v>3338</v>
      </c>
      <c r="X2540" s="221"/>
      <c r="Y2540" s="227"/>
      <c r="Z2540" s="227" t="str">
        <f t="shared" si="89"/>
        <v>Bululawang</v>
      </c>
      <c r="AA2540" s="276" t="e">
        <f>VLOOKUP(Logfile_S12[[#This Row],[DO number]],DO_DB!G:I,3,0)</f>
        <v>#N/A</v>
      </c>
      <c r="AB2540" s="331" t="e">
        <f>EXACT(Logfile_S12[[#This Row],[date pick]],Logfile_S12[[#This Row],[Date]])</f>
        <v>#N/A</v>
      </c>
      <c r="AC25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41" spans="1:29" ht="14.5" hidden="1">
      <c r="A2541" s="220" t="str">
        <f t="shared" si="88"/>
        <v>2537</v>
      </c>
      <c r="B2541" s="221"/>
      <c r="C2541" s="221" t="s">
        <v>48</v>
      </c>
      <c r="D2541" s="221" t="s">
        <v>4392</v>
      </c>
      <c r="E2541" s="221" t="s">
        <v>3295</v>
      </c>
      <c r="F2541" s="221" t="s">
        <v>3299</v>
      </c>
      <c r="G2541" s="222">
        <v>45849</v>
      </c>
      <c r="H2541" s="223">
        <v>15.291666666666666</v>
      </c>
      <c r="I2541" s="221" t="s">
        <v>38</v>
      </c>
      <c r="J2541" s="221" t="s">
        <v>3024</v>
      </c>
      <c r="K2541" s="224" t="s">
        <v>3089</v>
      </c>
      <c r="L2541" s="225" t="str">
        <f>VLOOKUP(Logfile_S12[[#This Row],[Material Name]],Sheet2!B:C,2,0)</f>
        <v>GCI1003</v>
      </c>
      <c r="M2541" s="225" t="str">
        <f>_xlfn.XLOOKUP(Logfile_S12[[#This Row],[Material Name]],Sum_WH!E:E,Sum_WH!F:F,"",0)</f>
        <v>Pcs</v>
      </c>
      <c r="N2541" s="221">
        <v>45</v>
      </c>
      <c r="O2541" s="221">
        <v>0</v>
      </c>
      <c r="P2541" s="221">
        <v>0</v>
      </c>
      <c r="Q2541" s="221">
        <v>0</v>
      </c>
      <c r="R2541" s="221">
        <v>0</v>
      </c>
      <c r="S2541" s="221"/>
      <c r="T2541" s="221"/>
      <c r="U2541" s="221"/>
      <c r="V2541" s="221"/>
      <c r="W2541" s="221"/>
      <c r="X2541" s="221"/>
      <c r="Y2541" s="227"/>
      <c r="Z2541" s="227">
        <f t="shared" si="89"/>
        <v>0</v>
      </c>
      <c r="AA2541" s="276" t="e">
        <f>VLOOKUP(Logfile_S12[[#This Row],[DO number]],DO_DB!G:I,3,0)</f>
        <v>#N/A</v>
      </c>
      <c r="AB2541" s="331" t="e">
        <f>EXACT(Logfile_S12[[#This Row],[date pick]],Logfile_S12[[#This Row],[Date]])</f>
        <v>#N/A</v>
      </c>
      <c r="AC25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42" spans="1:29" ht="14.5" hidden="1">
      <c r="A2542" s="220" t="str">
        <f t="shared" si="88"/>
        <v>2538</v>
      </c>
      <c r="B2542" s="221"/>
      <c r="C2542" s="221" t="s">
        <v>49</v>
      </c>
      <c r="D2542" s="221" t="s">
        <v>4391</v>
      </c>
      <c r="E2542" s="221" t="s">
        <v>3295</v>
      </c>
      <c r="F2542" s="221" t="s">
        <v>3299</v>
      </c>
      <c r="G2542" s="222">
        <v>45849</v>
      </c>
      <c r="H2542" s="223">
        <v>0.60833333333333328</v>
      </c>
      <c r="I2542" s="221" t="s">
        <v>4916</v>
      </c>
      <c r="J2542" s="221" t="s">
        <v>3024</v>
      </c>
      <c r="K2542" s="224" t="s">
        <v>3089</v>
      </c>
      <c r="L2542" s="225" t="str">
        <f>VLOOKUP(Logfile_S12[[#This Row],[Material Name]],Sheet2!B:C,2,0)</f>
        <v>GCI1003</v>
      </c>
      <c r="M2542" s="225" t="str">
        <f>_xlfn.XLOOKUP(Logfile_S12[[#This Row],[Material Name]],Sum_WH!E:E,Sum_WH!F:F,"",0)</f>
        <v>Pcs</v>
      </c>
      <c r="N2542" s="221">
        <v>45</v>
      </c>
      <c r="O2542" s="221">
        <v>0</v>
      </c>
      <c r="P2542" s="221" t="s">
        <v>3383</v>
      </c>
      <c r="Q2542" s="221"/>
      <c r="R2542" s="221"/>
      <c r="S2542" s="221"/>
      <c r="T2542" s="221" t="s">
        <v>3356</v>
      </c>
      <c r="U2542" s="221">
        <v>0</v>
      </c>
      <c r="V2542" s="221">
        <v>0</v>
      </c>
      <c r="W2542" s="221" t="s">
        <v>3358</v>
      </c>
      <c r="X2542" s="221"/>
      <c r="Y2542" s="227"/>
      <c r="Z2542" s="227" t="str">
        <f t="shared" si="89"/>
        <v>Bululawang</v>
      </c>
      <c r="AA2542" s="276" t="e">
        <f>VLOOKUP(Logfile_S12[[#This Row],[DO number]],DO_DB!G:I,3,0)</f>
        <v>#N/A</v>
      </c>
      <c r="AB2542" s="331" t="e">
        <f>EXACT(Logfile_S12[[#This Row],[date pick]],Logfile_S12[[#This Row],[Date]])</f>
        <v>#N/A</v>
      </c>
      <c r="AC25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43" spans="1:29" ht="14.5" hidden="1">
      <c r="A2543" s="220" t="str">
        <f t="shared" si="88"/>
        <v>2539</v>
      </c>
      <c r="B2543" s="221"/>
      <c r="C2543" s="221" t="s">
        <v>49</v>
      </c>
      <c r="D2543" s="221" t="s">
        <v>4391</v>
      </c>
      <c r="E2543" s="221" t="s">
        <v>3295</v>
      </c>
      <c r="F2543" s="221" t="s">
        <v>3299</v>
      </c>
      <c r="G2543" s="222">
        <v>45849</v>
      </c>
      <c r="H2543" s="223">
        <v>0.60833333333333328</v>
      </c>
      <c r="I2543" s="221" t="s">
        <v>4916</v>
      </c>
      <c r="J2543" s="221" t="s">
        <v>3024</v>
      </c>
      <c r="K2543" s="224" t="s">
        <v>3089</v>
      </c>
      <c r="L2543" s="225" t="str">
        <f>VLOOKUP(Logfile_S12[[#This Row],[Material Name]],Sheet2!B:C,2,0)</f>
        <v>GCI1003</v>
      </c>
      <c r="M2543" s="225" t="str">
        <f>_xlfn.XLOOKUP(Logfile_S12[[#This Row],[Material Name]],Sum_WH!E:E,Sum_WH!F:F,"",0)</f>
        <v>Pcs</v>
      </c>
      <c r="N2543" s="221">
        <v>150</v>
      </c>
      <c r="O2543" s="221">
        <v>0</v>
      </c>
      <c r="P2543" s="221" t="s">
        <v>3383</v>
      </c>
      <c r="Q2543" s="221"/>
      <c r="R2543" s="221"/>
      <c r="S2543" s="221"/>
      <c r="T2543" s="221" t="s">
        <v>3356</v>
      </c>
      <c r="U2543" s="221">
        <v>0</v>
      </c>
      <c r="V2543" s="221">
        <v>0</v>
      </c>
      <c r="W2543" s="221" t="s">
        <v>3358</v>
      </c>
      <c r="X2543" s="221"/>
      <c r="Y2543" s="227"/>
      <c r="Z2543" s="227" t="str">
        <f t="shared" si="89"/>
        <v>Bululawang</v>
      </c>
      <c r="AA2543" s="276" t="e">
        <f>VLOOKUP(Logfile_S12[[#This Row],[DO number]],DO_DB!G:I,3,0)</f>
        <v>#N/A</v>
      </c>
      <c r="AB2543" s="331" t="e">
        <f>EXACT(Logfile_S12[[#This Row],[date pick]],Logfile_S12[[#This Row],[Date]])</f>
        <v>#N/A</v>
      </c>
      <c r="AC25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44" spans="1:29" ht="14.5" hidden="1">
      <c r="A2544" s="220" t="str">
        <f t="shared" si="88"/>
        <v>2540</v>
      </c>
      <c r="B2544" s="221"/>
      <c r="C2544" s="221" t="s">
        <v>48</v>
      </c>
      <c r="D2544" s="221" t="s">
        <v>4401</v>
      </c>
      <c r="E2544" s="221" t="s">
        <v>3295</v>
      </c>
      <c r="F2544" s="221" t="s">
        <v>3299</v>
      </c>
      <c r="G2544" s="222">
        <v>45868</v>
      </c>
      <c r="H2544" s="223">
        <v>15.291666666666666</v>
      </c>
      <c r="I2544" s="221" t="s">
        <v>38</v>
      </c>
      <c r="J2544" s="221" t="s">
        <v>3024</v>
      </c>
      <c r="K2544" s="224" t="s">
        <v>3089</v>
      </c>
      <c r="L2544" s="225" t="str">
        <f>VLOOKUP(Logfile_S12[[#This Row],[Material Name]],Sheet2!B:C,2,0)</f>
        <v>GCI1003</v>
      </c>
      <c r="M2544" s="225" t="str">
        <f>_xlfn.XLOOKUP(Logfile_S12[[#This Row],[Material Name]],Sum_WH!E:E,Sum_WH!F:F,"",0)</f>
        <v>Pcs</v>
      </c>
      <c r="N2544" s="221">
        <v>245</v>
      </c>
      <c r="O2544" s="221">
        <v>0</v>
      </c>
      <c r="P2544" s="221">
        <v>0</v>
      </c>
      <c r="Q2544" s="221">
        <v>0</v>
      </c>
      <c r="R2544" s="221">
        <v>0</v>
      </c>
      <c r="S2544" s="221"/>
      <c r="T2544" s="221"/>
      <c r="U2544" s="221"/>
      <c r="V2544" s="221"/>
      <c r="W2544" s="221"/>
      <c r="X2544" s="221"/>
      <c r="Y2544" s="227"/>
      <c r="Z2544" s="227">
        <f t="shared" si="89"/>
        <v>0</v>
      </c>
      <c r="AA2544" s="276" t="e">
        <f>VLOOKUP(Logfile_S12[[#This Row],[DO number]],DO_DB!G:I,3,0)</f>
        <v>#N/A</v>
      </c>
      <c r="AB2544" s="331" t="e">
        <f>EXACT(Logfile_S12[[#This Row],[date pick]],Logfile_S12[[#This Row],[Date]])</f>
        <v>#N/A</v>
      </c>
      <c r="AC25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45" spans="1:29" ht="14.5" hidden="1">
      <c r="A2545" s="220" t="str">
        <f t="shared" si="88"/>
        <v>2541</v>
      </c>
      <c r="B2545" s="221"/>
      <c r="C2545" s="221" t="s">
        <v>49</v>
      </c>
      <c r="D2545" s="221" t="s">
        <v>4402</v>
      </c>
      <c r="E2545" s="221" t="s">
        <v>3295</v>
      </c>
      <c r="F2545" s="221" t="s">
        <v>3299</v>
      </c>
      <c r="G2545" s="222">
        <v>45869</v>
      </c>
      <c r="H2545" s="223">
        <v>0.47291666666666665</v>
      </c>
      <c r="I2545" s="221" t="s">
        <v>4916</v>
      </c>
      <c r="J2545" s="221" t="s">
        <v>3024</v>
      </c>
      <c r="K2545" s="224" t="s">
        <v>3089</v>
      </c>
      <c r="L2545" s="225" t="str">
        <f>VLOOKUP(Logfile_S12[[#This Row],[Material Name]],Sheet2!B:C,2,0)</f>
        <v>GCI1003</v>
      </c>
      <c r="M2545" s="225" t="str">
        <f>_xlfn.XLOOKUP(Logfile_S12[[#This Row],[Material Name]],Sum_WH!E:E,Sum_WH!F:F,"",0)</f>
        <v>Pcs</v>
      </c>
      <c r="N2545" s="221">
        <v>245</v>
      </c>
      <c r="O2545" s="221">
        <v>0</v>
      </c>
      <c r="P2545" s="221" t="s">
        <v>3413</v>
      </c>
      <c r="Q2545" s="221"/>
      <c r="R2545" s="221"/>
      <c r="S2545" s="221"/>
      <c r="T2545" s="221" t="s">
        <v>3258</v>
      </c>
      <c r="U2545" s="221">
        <v>0</v>
      </c>
      <c r="V2545" s="221" t="s">
        <v>3337</v>
      </c>
      <c r="W2545" s="221" t="s">
        <v>3338</v>
      </c>
      <c r="X2545" s="221"/>
      <c r="Y2545" s="227"/>
      <c r="Z2545" s="227" t="str">
        <f t="shared" si="89"/>
        <v>Krebet</v>
      </c>
      <c r="AA2545" s="276" t="e">
        <f>VLOOKUP(Logfile_S12[[#This Row],[DO number]],DO_DB!G:I,3,0)</f>
        <v>#N/A</v>
      </c>
      <c r="AB2545" s="331" t="e">
        <f>EXACT(Logfile_S12[[#This Row],[date pick]],Logfile_S12[[#This Row],[Date]])</f>
        <v>#N/A</v>
      </c>
      <c r="AC25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46" spans="1:29" ht="14.5" hidden="1">
      <c r="A2546" s="220" t="str">
        <f t="shared" si="88"/>
        <v>2542</v>
      </c>
      <c r="B2546" s="221"/>
      <c r="C2546" s="221" t="s">
        <v>48</v>
      </c>
      <c r="D2546" s="221" t="s">
        <v>4405</v>
      </c>
      <c r="E2546" s="221" t="s">
        <v>3295</v>
      </c>
      <c r="F2546" s="221" t="s">
        <v>3299</v>
      </c>
      <c r="G2546" s="222">
        <v>45875</v>
      </c>
      <c r="H2546" s="223">
        <v>15.291666666666666</v>
      </c>
      <c r="I2546" s="221" t="s">
        <v>38</v>
      </c>
      <c r="J2546" s="221" t="s">
        <v>3024</v>
      </c>
      <c r="K2546" s="224" t="s">
        <v>3089</v>
      </c>
      <c r="L2546" s="225" t="str">
        <f>VLOOKUP(Logfile_S12[[#This Row],[Material Name]],Sheet2!B:C,2,0)</f>
        <v>GCI1003</v>
      </c>
      <c r="M2546" s="225" t="str">
        <f>_xlfn.XLOOKUP(Logfile_S12[[#This Row],[Material Name]],Sum_WH!E:E,Sum_WH!F:F,"",0)</f>
        <v>Pcs</v>
      </c>
      <c r="N2546" s="221">
        <v>200</v>
      </c>
      <c r="O2546" s="221">
        <v>0</v>
      </c>
      <c r="P2546" s="221" t="s">
        <v>3384</v>
      </c>
      <c r="Q2546" s="221">
        <v>0</v>
      </c>
      <c r="R2546" s="221">
        <v>0</v>
      </c>
      <c r="S2546" s="221"/>
      <c r="T2546" s="221"/>
      <c r="U2546" s="221"/>
      <c r="V2546" s="221"/>
      <c r="W2546" s="221"/>
      <c r="X2546" s="221"/>
      <c r="Y2546" s="227"/>
      <c r="Z2546" s="227" t="str">
        <f t="shared" si="89"/>
        <v>GRESIK</v>
      </c>
      <c r="AA2546" s="276" t="e">
        <f>VLOOKUP(Logfile_S12[[#This Row],[DO number]],DO_DB!G:I,3,0)</f>
        <v>#N/A</v>
      </c>
      <c r="AB2546" s="331" t="e">
        <f>EXACT(Logfile_S12[[#This Row],[date pick]],Logfile_S12[[#This Row],[Date]])</f>
        <v>#N/A</v>
      </c>
      <c r="AC25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47" spans="1:29" ht="14.5" hidden="1">
      <c r="A2547" s="220" t="str">
        <f t="shared" si="88"/>
        <v>2543</v>
      </c>
      <c r="B2547" s="221"/>
      <c r="C2547" s="221" t="s">
        <v>49</v>
      </c>
      <c r="D2547" s="221" t="s">
        <v>4406</v>
      </c>
      <c r="E2547" s="221" t="s">
        <v>3295</v>
      </c>
      <c r="F2547" s="221" t="s">
        <v>3299</v>
      </c>
      <c r="G2547" s="222">
        <v>45876</v>
      </c>
      <c r="H2547" s="223">
        <v>0.47291666666666665</v>
      </c>
      <c r="I2547" s="221" t="s">
        <v>4916</v>
      </c>
      <c r="J2547" s="221" t="s">
        <v>3024</v>
      </c>
      <c r="K2547" s="224" t="s">
        <v>3089</v>
      </c>
      <c r="L2547" s="225" t="str">
        <f>VLOOKUP(Logfile_S12[[#This Row],[Material Name]],Sheet2!B:C,2,0)</f>
        <v>GCI1003</v>
      </c>
      <c r="M2547" s="225" t="str">
        <f>_xlfn.XLOOKUP(Logfile_S12[[#This Row],[Material Name]],Sum_WH!E:E,Sum_WH!F:F,"",0)</f>
        <v>Pcs</v>
      </c>
      <c r="N2547" s="221">
        <v>100</v>
      </c>
      <c r="O2547" s="221" t="s">
        <v>2996</v>
      </c>
      <c r="P2547" s="221" t="s">
        <v>2997</v>
      </c>
      <c r="Q2547" s="221"/>
      <c r="R2547" s="221"/>
      <c r="S2547" s="221"/>
      <c r="T2547" s="221" t="s">
        <v>3258</v>
      </c>
      <c r="U2547" s="221">
        <v>0</v>
      </c>
      <c r="V2547" s="221" t="s">
        <v>3337</v>
      </c>
      <c r="W2547" s="221" t="s">
        <v>3338</v>
      </c>
      <c r="X2547" s="221"/>
      <c r="Y2547" s="227"/>
      <c r="Z2547" s="227" t="str">
        <f t="shared" si="89"/>
        <v>PERMANU RW 03 MALANG</v>
      </c>
      <c r="AA2547" s="276" t="e">
        <f>VLOOKUP(Logfile_S12[[#This Row],[DO number]],DO_DB!G:I,3,0)</f>
        <v>#N/A</v>
      </c>
      <c r="AB2547" s="331" t="e">
        <f>EXACT(Logfile_S12[[#This Row],[date pick]],Logfile_S12[[#This Row],[Date]])</f>
        <v>#N/A</v>
      </c>
      <c r="AC25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48" spans="1:29" ht="14.5" hidden="1">
      <c r="A2548" s="220" t="str">
        <f t="shared" si="88"/>
        <v>2544</v>
      </c>
      <c r="B2548" s="221"/>
      <c r="C2548" s="221" t="s">
        <v>48</v>
      </c>
      <c r="D2548" s="221" t="s">
        <v>4418</v>
      </c>
      <c r="E2548" s="221" t="s">
        <v>3295</v>
      </c>
      <c r="F2548" s="221" t="s">
        <v>3299</v>
      </c>
      <c r="G2548" s="222">
        <v>45890</v>
      </c>
      <c r="H2548" s="223">
        <v>15.291666666666666</v>
      </c>
      <c r="I2548" s="221" t="s">
        <v>38</v>
      </c>
      <c r="J2548" s="221" t="s">
        <v>3024</v>
      </c>
      <c r="K2548" s="224" t="s">
        <v>3089</v>
      </c>
      <c r="L2548" s="225" t="str">
        <f>VLOOKUP(Logfile_S12[[#This Row],[Material Name]],Sheet2!B:C,2,0)</f>
        <v>GCI1003</v>
      </c>
      <c r="M2548" s="225" t="str">
        <f>_xlfn.XLOOKUP(Logfile_S12[[#This Row],[Material Name]],Sum_WH!E:E,Sum_WH!F:F,"",0)</f>
        <v>Pcs</v>
      </c>
      <c r="N2548" s="221">
        <v>128</v>
      </c>
      <c r="O2548" s="221">
        <v>0</v>
      </c>
      <c r="P2548" s="221">
        <v>0</v>
      </c>
      <c r="Q2548" s="221">
        <v>0</v>
      </c>
      <c r="R2548" s="221">
        <v>0</v>
      </c>
      <c r="S2548" s="221"/>
      <c r="T2548" s="221"/>
      <c r="U2548" s="221"/>
      <c r="V2548" s="221"/>
      <c r="W2548" s="221"/>
      <c r="X2548" s="221"/>
      <c r="Y2548" s="227"/>
      <c r="Z2548" s="227">
        <f t="shared" si="89"/>
        <v>0</v>
      </c>
      <c r="AA2548" s="276" t="e">
        <f>VLOOKUP(Logfile_S12[[#This Row],[DO number]],DO_DB!G:I,3,0)</f>
        <v>#N/A</v>
      </c>
      <c r="AB2548" s="331" t="e">
        <f>EXACT(Logfile_S12[[#This Row],[date pick]],Logfile_S12[[#This Row],[Date]])</f>
        <v>#N/A</v>
      </c>
      <c r="AC25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49" spans="1:29" ht="14.5" hidden="1">
      <c r="A2549" s="220" t="str">
        <f t="shared" si="88"/>
        <v>2545</v>
      </c>
      <c r="B2549" s="221"/>
      <c r="C2549" s="221" t="s">
        <v>49</v>
      </c>
      <c r="D2549" s="221" t="s">
        <v>4419</v>
      </c>
      <c r="E2549" s="221" t="s">
        <v>3295</v>
      </c>
      <c r="F2549" s="221" t="s">
        <v>3299</v>
      </c>
      <c r="G2549" s="222">
        <v>45892</v>
      </c>
      <c r="H2549" s="223">
        <v>0.4284722222222222</v>
      </c>
      <c r="I2549" s="221" t="s">
        <v>4916</v>
      </c>
      <c r="J2549" s="221" t="s">
        <v>3024</v>
      </c>
      <c r="K2549" s="224" t="s">
        <v>3089</v>
      </c>
      <c r="L2549" s="225" t="str">
        <f>VLOOKUP(Logfile_S12[[#This Row],[Material Name]],Sheet2!B:C,2,0)</f>
        <v>GCI1003</v>
      </c>
      <c r="M2549" s="225" t="str">
        <f>_xlfn.XLOOKUP(Logfile_S12[[#This Row],[Material Name]],Sum_WH!E:E,Sum_WH!F:F,"",0)</f>
        <v>Pcs</v>
      </c>
      <c r="N2549" s="221">
        <v>128</v>
      </c>
      <c r="O2549" s="221">
        <v>0</v>
      </c>
      <c r="P2549" s="221" t="s">
        <v>3385</v>
      </c>
      <c r="Q2549" s="221"/>
      <c r="R2549" s="221"/>
      <c r="S2549" s="221"/>
      <c r="T2549" s="221" t="s">
        <v>3258</v>
      </c>
      <c r="U2549" s="221">
        <v>0</v>
      </c>
      <c r="V2549" s="221" t="s">
        <v>3337</v>
      </c>
      <c r="W2549" s="221" t="s">
        <v>3338</v>
      </c>
      <c r="X2549" s="221"/>
      <c r="Y2549" s="227"/>
      <c r="Z2549" s="227" t="str">
        <f t="shared" si="89"/>
        <v>Bululawang Permai</v>
      </c>
      <c r="AA2549" s="276" t="e">
        <f>VLOOKUP(Logfile_S12[[#This Row],[DO number]],DO_DB!G:I,3,0)</f>
        <v>#N/A</v>
      </c>
      <c r="AB2549" s="331" t="e">
        <f>EXACT(Logfile_S12[[#This Row],[date pick]],Logfile_S12[[#This Row],[Date]])</f>
        <v>#N/A</v>
      </c>
      <c r="AC25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50" spans="1:29" ht="14.5" hidden="1">
      <c r="A2550" s="244" t="str">
        <f t="shared" si="88"/>
        <v>2546</v>
      </c>
      <c r="B2550" s="229"/>
      <c r="C2550" s="229" t="s">
        <v>49</v>
      </c>
      <c r="D2550" s="229" t="s">
        <v>4428</v>
      </c>
      <c r="E2550" s="229" t="s">
        <v>3295</v>
      </c>
      <c r="F2550" s="229" t="s">
        <v>3299</v>
      </c>
      <c r="G2550" s="245">
        <v>45900</v>
      </c>
      <c r="H2550" s="246">
        <v>0.90028935185185188</v>
      </c>
      <c r="I2550" s="229" t="s">
        <v>3295</v>
      </c>
      <c r="J2550" s="229" t="s">
        <v>3024</v>
      </c>
      <c r="K2550" s="233" t="s">
        <v>3089</v>
      </c>
      <c r="L2550" s="234" t="str">
        <f>VLOOKUP(Logfile_S12[[#This Row],[Material Name]],Sheet2!B:C,2,0)</f>
        <v>GCI1003</v>
      </c>
      <c r="M2550" s="234" t="str">
        <f>_xlfn.XLOOKUP(Logfile_S12[[#This Row],[Material Name]],Sum_WH!E:E,Sum_WH!F:F,"",0)</f>
        <v>Pcs</v>
      </c>
      <c r="N2550" s="229">
        <v>182</v>
      </c>
      <c r="O2550" s="230" t="s">
        <v>4429</v>
      </c>
      <c r="P2550" s="230" t="s">
        <v>4429</v>
      </c>
      <c r="Q2550" s="229"/>
      <c r="R2550" s="229"/>
      <c r="S2550" s="229"/>
      <c r="T2550" s="229"/>
      <c r="U2550" s="229"/>
      <c r="V2550" s="229"/>
      <c r="W2550" s="229"/>
      <c r="X2550" s="229" t="s">
        <v>4429</v>
      </c>
      <c r="Y2550" s="227"/>
      <c r="Z2550" s="227" t="str">
        <f t="shared" si="89"/>
        <v>ADJUSTMENT</v>
      </c>
      <c r="AA2550" s="276" t="e">
        <f>VLOOKUP(Logfile_S12[[#This Row],[DO number]],DO_DB!G:I,3,0)</f>
        <v>#N/A</v>
      </c>
      <c r="AB2550" s="331" t="e">
        <f>EXACT(Logfile_S12[[#This Row],[date pick]],Logfile_S12[[#This Row],[Date]])</f>
        <v>#N/A</v>
      </c>
      <c r="AC25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51" spans="1:29" ht="14.5" hidden="1">
      <c r="A2551" s="237" t="str">
        <f t="shared" si="88"/>
        <v>2547</v>
      </c>
      <c r="B2551" s="221">
        <v>3</v>
      </c>
      <c r="C2551" s="227" t="s">
        <v>48</v>
      </c>
      <c r="D2551" s="227" t="s">
        <v>4660</v>
      </c>
      <c r="E2551" s="227" t="s">
        <v>3295</v>
      </c>
      <c r="F2551" s="227" t="s">
        <v>3299</v>
      </c>
      <c r="G2551" s="239">
        <v>45944</v>
      </c>
      <c r="H2551" s="240">
        <v>0.63958333333333328</v>
      </c>
      <c r="I2551" s="227" t="s">
        <v>38</v>
      </c>
      <c r="J2551" s="227" t="s">
        <v>3024</v>
      </c>
      <c r="K2551" s="241" t="s">
        <v>3089</v>
      </c>
      <c r="L2551" s="225" t="str">
        <f>VLOOKUP(Logfile_S12[[#This Row],[Material Name]],Sheet2!B:C,2,0)</f>
        <v>GCI1003</v>
      </c>
      <c r="M2551" s="225" t="str">
        <f>_xlfn.XLOOKUP(Logfile_S12[[#This Row],[Material Name]],Sum_WH!E:E,Sum_WH!F:F,"",0)</f>
        <v>Pcs</v>
      </c>
      <c r="N2551" s="227">
        <v>336</v>
      </c>
      <c r="O2551" s="227" t="s">
        <v>3203</v>
      </c>
      <c r="P2551" s="227" t="s">
        <v>3204</v>
      </c>
      <c r="Q2551" s="227" t="s">
        <v>3205</v>
      </c>
      <c r="R2551" s="227" t="s">
        <v>3206</v>
      </c>
      <c r="S2551" s="227"/>
      <c r="T2551" s="227"/>
      <c r="U2551" s="227"/>
      <c r="V2551" s="227"/>
      <c r="W2551" s="227"/>
      <c r="X2551" s="227"/>
      <c r="Y2551" s="227"/>
      <c r="Z2551" s="227" t="str">
        <f t="shared" si="89"/>
        <v>Perumahan Bululawang Permai RW 02</v>
      </c>
      <c r="AA2551" s="276">
        <f>VLOOKUP(Logfile_S12[[#This Row],[DO number]],DO_DB!G:I,3,0)</f>
        <v>45888</v>
      </c>
      <c r="AB2551" s="331" t="b">
        <f>EXACT(Logfile_S12[[#This Row],[date pick]],Logfile_S12[[#This Row],[Date]])</f>
        <v>0</v>
      </c>
      <c r="AC25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52" spans="1:29" ht="14.5" hidden="1">
      <c r="A2552" s="237" t="str">
        <f t="shared" si="88"/>
        <v>2548</v>
      </c>
      <c r="B2552" s="221">
        <v>3</v>
      </c>
      <c r="C2552" s="227" t="s">
        <v>49</v>
      </c>
      <c r="D2552" s="227" t="s">
        <v>4661</v>
      </c>
      <c r="E2552" s="227" t="s">
        <v>3295</v>
      </c>
      <c r="F2552" s="227" t="s">
        <v>3299</v>
      </c>
      <c r="G2552" s="239">
        <v>45946</v>
      </c>
      <c r="H2552" s="240">
        <v>0.43125000000000002</v>
      </c>
      <c r="I2552" s="227" t="s">
        <v>3295</v>
      </c>
      <c r="J2552" s="227" t="s">
        <v>3024</v>
      </c>
      <c r="K2552" s="241" t="s">
        <v>3089</v>
      </c>
      <c r="L2552" s="225" t="str">
        <f>VLOOKUP(Logfile_S12[[#This Row],[Material Name]],Sheet2!B:C,2,0)</f>
        <v>GCI1003</v>
      </c>
      <c r="M2552" s="225" t="str">
        <f>_xlfn.XLOOKUP(Logfile_S12[[#This Row],[Material Name]],Sum_WH!E:E,Sum_WH!F:F,"",0)</f>
        <v>Pcs</v>
      </c>
      <c r="N2552" s="227">
        <v>336</v>
      </c>
      <c r="O2552" s="227" t="s">
        <v>4595</v>
      </c>
      <c r="P2552" s="227" t="s">
        <v>4596</v>
      </c>
      <c r="Q2552" s="227"/>
      <c r="R2552" s="227"/>
      <c r="S2552" s="227"/>
      <c r="T2552" s="221" t="s">
        <v>3258</v>
      </c>
      <c r="U2552" s="221">
        <v>0</v>
      </c>
      <c r="V2552" s="221" t="s">
        <v>3337</v>
      </c>
      <c r="W2552" s="221" t="s">
        <v>3338</v>
      </c>
      <c r="X2552" s="227"/>
      <c r="Y2552" s="227"/>
      <c r="Z2552" s="227" t="str">
        <f t="shared" si="89"/>
        <v>Asshofa Residence</v>
      </c>
      <c r="AA2552" s="276" t="e">
        <f>VLOOKUP(Logfile_S12[[#This Row],[DO number]],DO_DB!G:I,3,0)</f>
        <v>#N/A</v>
      </c>
      <c r="AB2552" s="331" t="e">
        <f>EXACT(Logfile_S12[[#This Row],[date pick]],Logfile_S12[[#This Row],[Date]])</f>
        <v>#N/A</v>
      </c>
      <c r="AC25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53" spans="1:29" ht="14.5" hidden="1">
      <c r="A2553" s="237" t="str">
        <f t="shared" si="88"/>
        <v>2549</v>
      </c>
      <c r="B2553" s="221">
        <v>3</v>
      </c>
      <c r="C2553" s="227" t="s">
        <v>48</v>
      </c>
      <c r="D2553" s="227" t="s">
        <v>4727</v>
      </c>
      <c r="E2553" s="227" t="s">
        <v>3295</v>
      </c>
      <c r="F2553" s="227" t="s">
        <v>3299</v>
      </c>
      <c r="G2553" s="239">
        <v>45987</v>
      </c>
      <c r="H2553" s="240">
        <v>0.66736111111111107</v>
      </c>
      <c r="I2553" s="227" t="s">
        <v>38</v>
      </c>
      <c r="J2553" s="227" t="s">
        <v>3024</v>
      </c>
      <c r="K2553" s="241" t="s">
        <v>3089</v>
      </c>
      <c r="L2553" s="225" t="str">
        <f>VLOOKUP(Logfile_S12[[#This Row],[Material Name]],Sheet2!B:C,2,0)</f>
        <v>GCI1003</v>
      </c>
      <c r="M2553" s="242" t="s">
        <v>19</v>
      </c>
      <c r="N2553" s="227">
        <v>50</v>
      </c>
      <c r="O2553" s="227" t="s">
        <v>3260</v>
      </c>
      <c r="P2553" s="227"/>
      <c r="Q2553" s="227" t="s">
        <v>3260</v>
      </c>
      <c r="R2553" s="227" t="s">
        <v>3260</v>
      </c>
      <c r="S2553" s="227"/>
      <c r="T2553" s="227"/>
      <c r="U2553" s="227"/>
      <c r="V2553" s="227"/>
      <c r="W2553" s="227"/>
      <c r="X2553" s="227"/>
      <c r="Y2553" s="227"/>
      <c r="Z2553" s="227">
        <f t="shared" si="89"/>
        <v>0</v>
      </c>
      <c r="AA2553" s="276" t="e">
        <f>VLOOKUP(Logfile_S12[[#This Row],[DO number]],DO_DB!G:I,3,0)</f>
        <v>#N/A</v>
      </c>
      <c r="AB2553" s="331" t="e">
        <f>EXACT(Logfile_S12[[#This Row],[date pick]],Logfile_S12[[#This Row],[Date]])</f>
        <v>#N/A</v>
      </c>
      <c r="AC25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54" spans="1:29" ht="14.5" hidden="1">
      <c r="A2554" s="237" t="str">
        <f t="shared" si="88"/>
        <v>2550</v>
      </c>
      <c r="B2554" s="221">
        <v>4</v>
      </c>
      <c r="C2554" s="227" t="s">
        <v>49</v>
      </c>
      <c r="D2554" s="227" t="s">
        <v>4737</v>
      </c>
      <c r="E2554" s="227" t="s">
        <v>3295</v>
      </c>
      <c r="F2554" s="227" t="s">
        <v>3299</v>
      </c>
      <c r="G2554" s="239">
        <v>46006</v>
      </c>
      <c r="H2554" s="240">
        <v>0.36805555555555558</v>
      </c>
      <c r="I2554" s="227" t="s">
        <v>3295</v>
      </c>
      <c r="J2554" s="227" t="s">
        <v>3024</v>
      </c>
      <c r="K2554" s="241" t="s">
        <v>3089</v>
      </c>
      <c r="L2554" s="225" t="str">
        <f>VLOOKUP(Logfile_S12[[#This Row],[Material Name]],Sheet2!B:C,2,0)</f>
        <v>GCI1003</v>
      </c>
      <c r="M2554" s="242" t="s">
        <v>19</v>
      </c>
      <c r="N2554" s="227">
        <v>144</v>
      </c>
      <c r="O2554" s="227" t="s">
        <v>3260</v>
      </c>
      <c r="P2554" s="227"/>
      <c r="Q2554" s="227" t="s">
        <v>3260</v>
      </c>
      <c r="R2554" s="227" t="s">
        <v>3260</v>
      </c>
      <c r="S2554" s="227"/>
      <c r="T2554" s="221" t="s">
        <v>3258</v>
      </c>
      <c r="U2554" s="221" t="s">
        <v>4811</v>
      </c>
      <c r="V2554" s="221" t="s">
        <v>3337</v>
      </c>
      <c r="W2554" s="221" t="s">
        <v>3338</v>
      </c>
      <c r="X2554" s="227"/>
      <c r="Y2554" s="227"/>
      <c r="Z2554" s="227">
        <f t="shared" si="89"/>
        <v>0</v>
      </c>
      <c r="AA2554" s="276" t="e">
        <f>VLOOKUP(Logfile_S12[[#This Row],[DO number]],DO_DB!G:I,3,0)</f>
        <v>#N/A</v>
      </c>
      <c r="AB2554" s="331" t="e">
        <f>EXACT(Logfile_S12[[#This Row],[date pick]],Logfile_S12[[#This Row],[Date]])</f>
        <v>#N/A</v>
      </c>
      <c r="AC25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55" spans="1:29" ht="14.5" hidden="1">
      <c r="A2555" s="228" t="str">
        <f t="shared" si="88"/>
        <v>2551</v>
      </c>
      <c r="B2555" s="229">
        <v>2</v>
      </c>
      <c r="C2555" s="230" t="s">
        <v>48</v>
      </c>
      <c r="D2555" s="230" t="s">
        <v>4769</v>
      </c>
      <c r="E2555" s="230" t="s">
        <v>3295</v>
      </c>
      <c r="F2555" s="230" t="s">
        <v>3299</v>
      </c>
      <c r="G2555" s="231">
        <v>46013</v>
      </c>
      <c r="H2555" s="232">
        <v>0.33333333333333331</v>
      </c>
      <c r="I2555" s="229" t="s">
        <v>38</v>
      </c>
      <c r="J2555" s="230" t="s">
        <v>3024</v>
      </c>
      <c r="K2555" s="233" t="s">
        <v>3089</v>
      </c>
      <c r="L2555" s="234" t="str">
        <f>VLOOKUP(Logfile_S12[[#This Row],[Material Name]],Sheet2!B:C,2,0)</f>
        <v>GCI1003</v>
      </c>
      <c r="M2555" s="234" t="s">
        <v>19</v>
      </c>
      <c r="N2555" s="230">
        <v>94</v>
      </c>
      <c r="O2555" s="230" t="s">
        <v>4429</v>
      </c>
      <c r="P2555" s="230" t="s">
        <v>4429</v>
      </c>
      <c r="Q2555" s="230"/>
      <c r="R2555" s="230"/>
      <c r="S2555" s="230"/>
      <c r="T2555" s="230"/>
      <c r="U2555" s="230"/>
      <c r="V2555" s="230"/>
      <c r="W2555" s="230"/>
      <c r="X2555" s="230" t="s">
        <v>4429</v>
      </c>
      <c r="Y2555" s="227"/>
      <c r="Z2555" s="227" t="str">
        <f t="shared" si="89"/>
        <v>ADJUSTMENT</v>
      </c>
      <c r="AA2555" s="276" t="e">
        <f>VLOOKUP(Logfile_S12[[#This Row],[DO number]],DO_DB!G:I,3,0)</f>
        <v>#N/A</v>
      </c>
      <c r="AB2555" s="331" t="e">
        <f>EXACT(Logfile_S12[[#This Row],[date pick]],Logfile_S12[[#This Row],[Date]])</f>
        <v>#N/A</v>
      </c>
      <c r="AC25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56" spans="1:29" ht="14.5" hidden="1">
      <c r="A2556" s="237" t="str">
        <f t="shared" si="88"/>
        <v>2552</v>
      </c>
      <c r="B2556" s="221">
        <v>2</v>
      </c>
      <c r="C2556" s="227" t="s">
        <v>48</v>
      </c>
      <c r="D2556" s="227" t="s">
        <v>4778</v>
      </c>
      <c r="E2556" s="227" t="s">
        <v>3295</v>
      </c>
      <c r="F2556" s="227" t="s">
        <v>3299</v>
      </c>
      <c r="G2556" s="239">
        <v>46014</v>
      </c>
      <c r="H2556" s="240">
        <v>0.33333333333333331</v>
      </c>
      <c r="I2556" s="221" t="s">
        <v>38</v>
      </c>
      <c r="J2556" s="227" t="s">
        <v>3024</v>
      </c>
      <c r="K2556" s="241" t="s">
        <v>3089</v>
      </c>
      <c r="L2556" s="225" t="str">
        <f>VLOOKUP(Logfile_S12[[#This Row],[Material Name]],Sheet2!B:C,2,0)</f>
        <v>GCI1003</v>
      </c>
      <c r="M2556" s="242" t="s">
        <v>19</v>
      </c>
      <c r="N2556" s="227">
        <v>1350</v>
      </c>
      <c r="O2556" s="227"/>
      <c r="P2556" s="227"/>
      <c r="Q2556" s="227"/>
      <c r="R2556" s="227"/>
      <c r="S2556" s="227"/>
      <c r="T2556" s="227"/>
      <c r="U2556" s="227"/>
      <c r="V2556" s="227"/>
      <c r="W2556" s="227"/>
      <c r="X2556" s="227"/>
      <c r="Y2556" s="227"/>
      <c r="Z2556" s="227">
        <f t="shared" si="89"/>
        <v>0</v>
      </c>
      <c r="AA2556" s="276" t="e">
        <f>VLOOKUP(Logfile_S12[[#This Row],[DO number]],DO_DB!G:I,3,0)</f>
        <v>#N/A</v>
      </c>
      <c r="AB2556" s="331" t="e">
        <f>EXACT(Logfile_S12[[#This Row],[date pick]],Logfile_S12[[#This Row],[Date]])</f>
        <v>#N/A</v>
      </c>
      <c r="AC25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57" spans="1:29" ht="14.5" hidden="1">
      <c r="A2557" s="237" t="str">
        <f t="shared" si="88"/>
        <v>2553</v>
      </c>
      <c r="B2557" s="221">
        <v>5</v>
      </c>
      <c r="C2557" s="227" t="s">
        <v>49</v>
      </c>
      <c r="D2557" s="227" t="s">
        <v>4777</v>
      </c>
      <c r="E2557" s="227" t="s">
        <v>3295</v>
      </c>
      <c r="F2557" s="227" t="s">
        <v>3299</v>
      </c>
      <c r="G2557" s="239">
        <v>46016</v>
      </c>
      <c r="H2557" s="240">
        <v>0.50902777777777775</v>
      </c>
      <c r="I2557" s="227" t="s">
        <v>3295</v>
      </c>
      <c r="J2557" s="227" t="s">
        <v>3024</v>
      </c>
      <c r="K2557" s="241" t="s">
        <v>3089</v>
      </c>
      <c r="L2557" s="225" t="str">
        <f>VLOOKUP(Logfile_S12[[#This Row],[Material Name]],Sheet2!B:C,2,0)</f>
        <v>GCI1003</v>
      </c>
      <c r="M2557" s="242" t="s">
        <v>19</v>
      </c>
      <c r="N2557" s="227">
        <v>1350</v>
      </c>
      <c r="O2557" s="227"/>
      <c r="P2557" s="227"/>
      <c r="Q2557" s="227"/>
      <c r="R2557" s="227"/>
      <c r="S2557" s="227"/>
      <c r="T2557" s="221" t="s">
        <v>3258</v>
      </c>
      <c r="U2557" s="221" t="s">
        <v>4811</v>
      </c>
      <c r="V2557" s="221" t="s">
        <v>3337</v>
      </c>
      <c r="W2557" s="221" t="s">
        <v>3338</v>
      </c>
      <c r="X2557" s="227"/>
      <c r="Y2557" s="227"/>
      <c r="Z2557" s="227">
        <f t="shared" si="89"/>
        <v>0</v>
      </c>
      <c r="AA2557" s="276" t="e">
        <f>VLOOKUP(Logfile_S12[[#This Row],[DO number]],DO_DB!G:I,3,0)</f>
        <v>#N/A</v>
      </c>
      <c r="AB2557" s="331" t="e">
        <f>EXACT(Logfile_S12[[#This Row],[date pick]],Logfile_S12[[#This Row],[Date]])</f>
        <v>#N/A</v>
      </c>
      <c r="AC25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58" spans="1:29" ht="14.5" hidden="1">
      <c r="A2558" s="220" t="str">
        <f t="shared" si="88"/>
        <v>2554</v>
      </c>
      <c r="B2558" s="221"/>
      <c r="C2558" s="221" t="s">
        <v>48</v>
      </c>
      <c r="D2558" s="221" t="s">
        <v>3683</v>
      </c>
      <c r="E2558" s="221" t="s">
        <v>3295</v>
      </c>
      <c r="F2558" s="221" t="s">
        <v>3299</v>
      </c>
      <c r="G2558" s="222">
        <v>45147</v>
      </c>
      <c r="H2558" s="223">
        <v>15.291666666666666</v>
      </c>
      <c r="I2558" s="221" t="s">
        <v>38</v>
      </c>
      <c r="J2558" s="221" t="s">
        <v>3024</v>
      </c>
      <c r="K2558" s="224" t="s">
        <v>3090</v>
      </c>
      <c r="L2558" s="225" t="str">
        <f>VLOOKUP(Logfile_S12[[#This Row],[Material Name]],Sheet2!B:C,2,0)</f>
        <v>GCI1004</v>
      </c>
      <c r="M2558" s="225" t="str">
        <f>_xlfn.XLOOKUP(Logfile_S12[[#This Row],[Material Name]],Sum_WH!E:E,Sum_WH!F:F,"",0)</f>
        <v>Pcs</v>
      </c>
      <c r="N2558" s="221">
        <v>100</v>
      </c>
      <c r="O2558" s="221" t="s">
        <v>84</v>
      </c>
      <c r="P2558" s="221" t="s">
        <v>85</v>
      </c>
      <c r="Q2558" s="221">
        <v>0</v>
      </c>
      <c r="R2558" s="221">
        <v>0</v>
      </c>
      <c r="S2558" s="221"/>
      <c r="T2558" s="221"/>
      <c r="U2558" s="221"/>
      <c r="V2558" s="221"/>
      <c r="W2558" s="221"/>
      <c r="X2558" s="221"/>
      <c r="Y2558" s="227"/>
      <c r="Z2558" s="227" t="str">
        <f t="shared" si="89"/>
        <v>Perumahan Bumi Podo Rukun Dau</v>
      </c>
      <c r="AA2558" s="276" t="e">
        <f>VLOOKUP(Logfile_S12[[#This Row],[DO number]],DO_DB!G:I,3,0)</f>
        <v>#N/A</v>
      </c>
      <c r="AB2558" s="331" t="e">
        <f>EXACT(Logfile_S12[[#This Row],[date pick]],Logfile_S12[[#This Row],[Date]])</f>
        <v>#N/A</v>
      </c>
      <c r="AC25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59" spans="1:29" ht="14.5" hidden="1">
      <c r="A2559" s="220" t="str">
        <f t="shared" si="88"/>
        <v>2555</v>
      </c>
      <c r="B2559" s="221"/>
      <c r="C2559" s="221" t="s">
        <v>49</v>
      </c>
      <c r="D2559" s="221" t="s">
        <v>3684</v>
      </c>
      <c r="E2559" s="221" t="s">
        <v>3295</v>
      </c>
      <c r="F2559" s="221" t="s">
        <v>3299</v>
      </c>
      <c r="G2559" s="222">
        <v>45148</v>
      </c>
      <c r="H2559" s="223">
        <v>15.692638888888888</v>
      </c>
      <c r="I2559" s="221" t="s">
        <v>4916</v>
      </c>
      <c r="J2559" s="221" t="s">
        <v>3024</v>
      </c>
      <c r="K2559" s="224" t="s">
        <v>3090</v>
      </c>
      <c r="L2559" s="225" t="str">
        <f>VLOOKUP(Logfile_S12[[#This Row],[Material Name]],Sheet2!B:C,2,0)</f>
        <v>GCI1004</v>
      </c>
      <c r="M2559" s="225" t="str">
        <f>_xlfn.XLOOKUP(Logfile_S12[[#This Row],[Material Name]],Sum_WH!E:E,Sum_WH!F:F,"",0)</f>
        <v>Pcs</v>
      </c>
      <c r="N2559" s="221">
        <v>100</v>
      </c>
      <c r="O2559" s="221" t="s">
        <v>84</v>
      </c>
      <c r="P2559" s="221" t="s">
        <v>85</v>
      </c>
      <c r="Q2559" s="221"/>
      <c r="R2559" s="221"/>
      <c r="S2559" s="221"/>
      <c r="T2559" s="221" t="s">
        <v>3305</v>
      </c>
      <c r="U2559" s="221" t="s">
        <v>3228</v>
      </c>
      <c r="V2559" s="221" t="s">
        <v>3306</v>
      </c>
      <c r="W2559" s="221" t="s">
        <v>3307</v>
      </c>
      <c r="X2559" s="221"/>
      <c r="Y2559" s="227"/>
      <c r="Z2559" s="227" t="str">
        <f t="shared" si="89"/>
        <v>Perumahan Bumi Podo Rukun Dau</v>
      </c>
      <c r="AA2559" s="276" t="e">
        <f>VLOOKUP(Logfile_S12[[#This Row],[DO number]],DO_DB!G:I,3,0)</f>
        <v>#N/A</v>
      </c>
      <c r="AB2559" s="331" t="e">
        <f>EXACT(Logfile_S12[[#This Row],[date pick]],Logfile_S12[[#This Row],[Date]])</f>
        <v>#N/A</v>
      </c>
      <c r="AC25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60" spans="1:29" ht="14.5" hidden="1">
      <c r="A2560" s="220" t="str">
        <f t="shared" si="88"/>
        <v>2556</v>
      </c>
      <c r="B2560" s="221"/>
      <c r="C2560" s="221" t="s">
        <v>48</v>
      </c>
      <c r="D2560" s="221" t="s">
        <v>3691</v>
      </c>
      <c r="E2560" s="221" t="s">
        <v>3295</v>
      </c>
      <c r="F2560" s="221" t="s">
        <v>3299</v>
      </c>
      <c r="G2560" s="222">
        <v>45162</v>
      </c>
      <c r="H2560" s="223">
        <v>15.291666666666666</v>
      </c>
      <c r="I2560" s="221" t="s">
        <v>38</v>
      </c>
      <c r="J2560" s="221" t="s">
        <v>3024</v>
      </c>
      <c r="K2560" s="224" t="s">
        <v>3090</v>
      </c>
      <c r="L2560" s="225" t="str">
        <f>VLOOKUP(Logfile_S12[[#This Row],[Material Name]],Sheet2!B:C,2,0)</f>
        <v>GCI1004</v>
      </c>
      <c r="M2560" s="225" t="str">
        <f>_xlfn.XLOOKUP(Logfile_S12[[#This Row],[Material Name]],Sum_WH!E:E,Sum_WH!F:F,"",0)</f>
        <v>Pcs</v>
      </c>
      <c r="N2560" s="221">
        <v>30</v>
      </c>
      <c r="O2560" s="221" t="s">
        <v>150</v>
      </c>
      <c r="P2560" s="221" t="s">
        <v>151</v>
      </c>
      <c r="Q2560" s="221">
        <v>0</v>
      </c>
      <c r="R2560" s="221">
        <v>0</v>
      </c>
      <c r="S2560" s="221"/>
      <c r="T2560" s="221"/>
      <c r="U2560" s="221"/>
      <c r="V2560" s="221"/>
      <c r="W2560" s="221"/>
      <c r="X2560" s="221"/>
      <c r="Y2560" s="227"/>
      <c r="Z2560" s="227" t="str">
        <f t="shared" si="89"/>
        <v>Mulyorejo RW 04 Sukun</v>
      </c>
      <c r="AA2560" s="276" t="e">
        <f>VLOOKUP(Logfile_S12[[#This Row],[DO number]],DO_DB!G:I,3,0)</f>
        <v>#N/A</v>
      </c>
      <c r="AB2560" s="331" t="e">
        <f>EXACT(Logfile_S12[[#This Row],[date pick]],Logfile_S12[[#This Row],[Date]])</f>
        <v>#N/A</v>
      </c>
      <c r="AC25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61" spans="1:29" ht="14.5" hidden="1">
      <c r="A2561" s="220" t="str">
        <f t="shared" si="88"/>
        <v>2557</v>
      </c>
      <c r="B2561" s="221"/>
      <c r="C2561" s="221" t="s">
        <v>48</v>
      </c>
      <c r="D2561" s="221" t="s">
        <v>3697</v>
      </c>
      <c r="E2561" s="221" t="s">
        <v>3295</v>
      </c>
      <c r="F2561" s="221" t="s">
        <v>3299</v>
      </c>
      <c r="G2561" s="222">
        <v>45173</v>
      </c>
      <c r="H2561" s="223">
        <v>15.291666666666666</v>
      </c>
      <c r="I2561" s="221" t="s">
        <v>3586</v>
      </c>
      <c r="J2561" s="221" t="s">
        <v>3024</v>
      </c>
      <c r="K2561" s="224" t="s">
        <v>3090</v>
      </c>
      <c r="L2561" s="225" t="str">
        <f>VLOOKUP(Logfile_S12[[#This Row],[Material Name]],Sheet2!B:C,2,0)</f>
        <v>GCI1004</v>
      </c>
      <c r="M2561" s="225" t="str">
        <f>_xlfn.XLOOKUP(Logfile_S12[[#This Row],[Material Name]],Sum_WH!E:E,Sum_WH!F:F,"",0)</f>
        <v>Pcs</v>
      </c>
      <c r="N2561" s="221">
        <v>72</v>
      </c>
      <c r="O2561" s="221" t="s">
        <v>84</v>
      </c>
      <c r="P2561" s="221" t="s">
        <v>85</v>
      </c>
      <c r="Q2561" s="221">
        <v>0</v>
      </c>
      <c r="R2561" s="221">
        <v>0</v>
      </c>
      <c r="S2561" s="221"/>
      <c r="T2561" s="221"/>
      <c r="U2561" s="221"/>
      <c r="V2561" s="221"/>
      <c r="W2561" s="221"/>
      <c r="X2561" s="221" t="s">
        <v>3342</v>
      </c>
      <c r="Y2561" s="227"/>
      <c r="Z2561" s="227" t="str">
        <f t="shared" si="89"/>
        <v>Perumahan Bumi Podo Rukun Dau</v>
      </c>
      <c r="AA2561" s="276" t="e">
        <f>VLOOKUP(Logfile_S12[[#This Row],[DO number]],DO_DB!G:I,3,0)</f>
        <v>#N/A</v>
      </c>
      <c r="AB2561" s="331" t="e">
        <f>EXACT(Logfile_S12[[#This Row],[date pick]],Logfile_S12[[#This Row],[Date]])</f>
        <v>#N/A</v>
      </c>
      <c r="AC25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62" spans="1:29" ht="14.5" hidden="1">
      <c r="A2562" s="220" t="str">
        <f t="shared" si="88"/>
        <v>2558</v>
      </c>
      <c r="B2562" s="221"/>
      <c r="C2562" s="221" t="s">
        <v>49</v>
      </c>
      <c r="D2562" s="221" t="s">
        <v>3696</v>
      </c>
      <c r="E2562" s="221" t="s">
        <v>3295</v>
      </c>
      <c r="F2562" s="221" t="s">
        <v>3299</v>
      </c>
      <c r="G2562" s="222">
        <v>45173</v>
      </c>
      <c r="H2562" s="223">
        <v>0.69236111111111109</v>
      </c>
      <c r="I2562" s="221" t="s">
        <v>4916</v>
      </c>
      <c r="J2562" s="221" t="s">
        <v>3024</v>
      </c>
      <c r="K2562" s="224" t="s">
        <v>3090</v>
      </c>
      <c r="L2562" s="225" t="str">
        <f>VLOOKUP(Logfile_S12[[#This Row],[Material Name]],Sheet2!B:C,2,0)</f>
        <v>GCI1004</v>
      </c>
      <c r="M2562" s="225" t="str">
        <f>_xlfn.XLOOKUP(Logfile_S12[[#This Row],[Material Name]],Sum_WH!E:E,Sum_WH!F:F,"",0)</f>
        <v>Pcs</v>
      </c>
      <c r="N2562" s="221">
        <v>72</v>
      </c>
      <c r="O2562" s="221" t="s">
        <v>150</v>
      </c>
      <c r="P2562" s="221" t="s">
        <v>151</v>
      </c>
      <c r="Q2562" s="221"/>
      <c r="R2562" s="221"/>
      <c r="S2562" s="221"/>
      <c r="T2562" s="221" t="s">
        <v>3309</v>
      </c>
      <c r="U2562" s="221" t="s">
        <v>3228</v>
      </c>
      <c r="V2562" s="221" t="s">
        <v>3310</v>
      </c>
      <c r="W2562" s="221" t="s">
        <v>3311</v>
      </c>
      <c r="X2562" s="221"/>
      <c r="Y2562" s="227"/>
      <c r="Z2562" s="227" t="str">
        <f t="shared" si="89"/>
        <v>Mulyorejo RW 04 Sukun</v>
      </c>
      <c r="AA2562" s="276" t="e">
        <f>VLOOKUP(Logfile_S12[[#This Row],[DO number]],DO_DB!G:I,3,0)</f>
        <v>#N/A</v>
      </c>
      <c r="AB2562" s="331" t="e">
        <f>EXACT(Logfile_S12[[#This Row],[date pick]],Logfile_S12[[#This Row],[Date]])</f>
        <v>#N/A</v>
      </c>
      <c r="AC25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63" spans="1:29" ht="14.5" hidden="1">
      <c r="A2563" s="220" t="str">
        <f t="shared" si="88"/>
        <v>2559</v>
      </c>
      <c r="B2563" s="221"/>
      <c r="C2563" s="221" t="s">
        <v>48</v>
      </c>
      <c r="D2563" s="221" t="s">
        <v>3703</v>
      </c>
      <c r="E2563" s="221" t="s">
        <v>3295</v>
      </c>
      <c r="F2563" s="221" t="s">
        <v>3299</v>
      </c>
      <c r="G2563" s="222">
        <v>45177</v>
      </c>
      <c r="H2563" s="223">
        <v>0.67638888888888893</v>
      </c>
      <c r="I2563" s="221" t="s">
        <v>3586</v>
      </c>
      <c r="J2563" s="221" t="s">
        <v>3024</v>
      </c>
      <c r="K2563" s="224" t="s">
        <v>3090</v>
      </c>
      <c r="L2563" s="225" t="str">
        <f>VLOOKUP(Logfile_S12[[#This Row],[Material Name]],Sheet2!B:C,2,0)</f>
        <v>GCI1004</v>
      </c>
      <c r="M2563" s="225" t="str">
        <f>_xlfn.XLOOKUP(Logfile_S12[[#This Row],[Material Name]],Sum_WH!E:E,Sum_WH!F:F,"",0)</f>
        <v>Pcs</v>
      </c>
      <c r="N2563" s="221">
        <v>60</v>
      </c>
      <c r="O2563" s="221" t="s">
        <v>150</v>
      </c>
      <c r="P2563" s="221" t="s">
        <v>151</v>
      </c>
      <c r="Q2563" s="221">
        <v>0</v>
      </c>
      <c r="R2563" s="221">
        <v>0</v>
      </c>
      <c r="S2563" s="221"/>
      <c r="T2563" s="221"/>
      <c r="U2563" s="221"/>
      <c r="V2563" s="221"/>
      <c r="W2563" s="221"/>
      <c r="X2563" s="221" t="s">
        <v>3414</v>
      </c>
      <c r="Y2563" s="227"/>
      <c r="Z2563" s="227" t="str">
        <f t="shared" si="89"/>
        <v>Mulyorejo RW 04 Sukun</v>
      </c>
      <c r="AA2563" s="276" t="e">
        <f>VLOOKUP(Logfile_S12[[#This Row],[DO number]],DO_DB!G:I,3,0)</f>
        <v>#N/A</v>
      </c>
      <c r="AB2563" s="331" t="e">
        <f>EXACT(Logfile_S12[[#This Row],[date pick]],Logfile_S12[[#This Row],[Date]])</f>
        <v>#N/A</v>
      </c>
      <c r="AC25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64" spans="1:29" ht="14.5" hidden="1">
      <c r="A2564" s="220" t="str">
        <f t="shared" si="88"/>
        <v>2560</v>
      </c>
      <c r="B2564" s="221"/>
      <c r="C2564" s="221" t="s">
        <v>48</v>
      </c>
      <c r="D2564" s="221" t="s">
        <v>3709</v>
      </c>
      <c r="E2564" s="221" t="s">
        <v>3295</v>
      </c>
      <c r="F2564" s="221" t="s">
        <v>3299</v>
      </c>
      <c r="G2564" s="222">
        <v>45188</v>
      </c>
      <c r="H2564" s="223">
        <v>15.291666666666666</v>
      </c>
      <c r="I2564" s="221" t="s">
        <v>38</v>
      </c>
      <c r="J2564" s="221" t="s">
        <v>3024</v>
      </c>
      <c r="K2564" s="224" t="s">
        <v>3090</v>
      </c>
      <c r="L2564" s="225" t="str">
        <f>VLOOKUP(Logfile_S12[[#This Row],[Material Name]],Sheet2!B:C,2,0)</f>
        <v>GCI1004</v>
      </c>
      <c r="M2564" s="225" t="str">
        <f>_xlfn.XLOOKUP(Logfile_S12[[#This Row],[Material Name]],Sum_WH!E:E,Sum_WH!F:F,"",0)</f>
        <v>Pcs</v>
      </c>
      <c r="N2564" s="221">
        <v>10</v>
      </c>
      <c r="O2564" s="221" t="s">
        <v>3344</v>
      </c>
      <c r="P2564" s="221" t="s">
        <v>3345</v>
      </c>
      <c r="Q2564" s="221">
        <v>0</v>
      </c>
      <c r="R2564" s="221">
        <v>0</v>
      </c>
      <c r="S2564" s="221"/>
      <c r="T2564" s="221"/>
      <c r="U2564" s="221"/>
      <c r="V2564" s="221"/>
      <c r="W2564" s="221"/>
      <c r="X2564" s="221" t="s">
        <v>3466</v>
      </c>
      <c r="Y2564" s="227"/>
      <c r="Z2564" s="227" t="str">
        <f t="shared" si="89"/>
        <v>Purchase</v>
      </c>
      <c r="AA2564" s="276" t="e">
        <f>VLOOKUP(Logfile_S12[[#This Row],[DO number]],DO_DB!G:I,3,0)</f>
        <v>#N/A</v>
      </c>
      <c r="AB2564" s="331" t="e">
        <f>EXACT(Logfile_S12[[#This Row],[date pick]],Logfile_S12[[#This Row],[Date]])</f>
        <v>#N/A</v>
      </c>
      <c r="AC25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65" spans="1:29" ht="14.5" hidden="1">
      <c r="A2565" s="220" t="str">
        <f t="shared" ref="A2565:A2628" si="90">TEXT(ROW(A2565)-ROW($A$4),"000")</f>
        <v>2561</v>
      </c>
      <c r="B2565" s="221"/>
      <c r="C2565" s="221" t="s">
        <v>48</v>
      </c>
      <c r="D2565" s="221" t="s">
        <v>3715</v>
      </c>
      <c r="E2565" s="221" t="s">
        <v>3295</v>
      </c>
      <c r="F2565" s="221" t="s">
        <v>3299</v>
      </c>
      <c r="G2565" s="222">
        <v>45191</v>
      </c>
      <c r="H2565" s="223">
        <v>15.291666666666666</v>
      </c>
      <c r="I2565" s="221" t="s">
        <v>38</v>
      </c>
      <c r="J2565" s="221" t="s">
        <v>3024</v>
      </c>
      <c r="K2565" s="224" t="s">
        <v>3090</v>
      </c>
      <c r="L2565" s="225" t="str">
        <f>VLOOKUP(Logfile_S12[[#This Row],[Material Name]],Sheet2!B:C,2,0)</f>
        <v>GCI1004</v>
      </c>
      <c r="M2565" s="225" t="str">
        <f>_xlfn.XLOOKUP(Logfile_S12[[#This Row],[Material Name]],Sum_WH!E:E,Sum_WH!F:F,"",0)</f>
        <v>Pcs</v>
      </c>
      <c r="N2565" s="221">
        <v>77</v>
      </c>
      <c r="O2565" s="221" t="s">
        <v>222</v>
      </c>
      <c r="P2565" s="221" t="s">
        <v>223</v>
      </c>
      <c r="Q2565" s="221">
        <v>0</v>
      </c>
      <c r="R2565" s="221">
        <v>0</v>
      </c>
      <c r="S2565" s="221"/>
      <c r="T2565" s="221"/>
      <c r="U2565" s="221"/>
      <c r="V2565" s="221"/>
      <c r="W2565" s="221"/>
      <c r="X2565" s="221" t="s">
        <v>3343</v>
      </c>
      <c r="Y2565" s="227"/>
      <c r="Z2565" s="227" t="str">
        <f t="shared" si="89"/>
        <v>Puncak Dieng Exlusif</v>
      </c>
      <c r="AA2565" s="276" t="e">
        <f>VLOOKUP(Logfile_S12[[#This Row],[DO number]],DO_DB!G:I,3,0)</f>
        <v>#N/A</v>
      </c>
      <c r="AB2565" s="331" t="e">
        <f>EXACT(Logfile_S12[[#This Row],[date pick]],Logfile_S12[[#This Row],[Date]])</f>
        <v>#N/A</v>
      </c>
      <c r="AC25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66" spans="1:29" ht="14.5" hidden="1">
      <c r="A2566" s="220" t="str">
        <f t="shared" si="90"/>
        <v>2562</v>
      </c>
      <c r="B2566" s="221"/>
      <c r="C2566" s="221" t="s">
        <v>49</v>
      </c>
      <c r="D2566" s="221" t="s">
        <v>3719</v>
      </c>
      <c r="E2566" s="221" t="s">
        <v>3295</v>
      </c>
      <c r="F2566" s="221" t="s">
        <v>3299</v>
      </c>
      <c r="G2566" s="222">
        <v>45193</v>
      </c>
      <c r="H2566" s="223">
        <v>0.31666666666666665</v>
      </c>
      <c r="I2566" s="221" t="s">
        <v>4916</v>
      </c>
      <c r="J2566" s="221" t="s">
        <v>3024</v>
      </c>
      <c r="K2566" s="224" t="s">
        <v>3090</v>
      </c>
      <c r="L2566" s="225" t="str">
        <f>VLOOKUP(Logfile_S12[[#This Row],[Material Name]],Sheet2!B:C,2,0)</f>
        <v>GCI1004</v>
      </c>
      <c r="M2566" s="225" t="str">
        <f>_xlfn.XLOOKUP(Logfile_S12[[#This Row],[Material Name]],Sum_WH!E:E,Sum_WH!F:F,"",0)</f>
        <v>Pcs</v>
      </c>
      <c r="N2566" s="221">
        <v>9</v>
      </c>
      <c r="O2566" s="221" t="s">
        <v>180</v>
      </c>
      <c r="P2566" s="221" t="s">
        <v>181</v>
      </c>
      <c r="Q2566" s="221"/>
      <c r="R2566" s="221"/>
      <c r="S2566" s="221"/>
      <c r="T2566" s="221" t="s">
        <v>3322</v>
      </c>
      <c r="U2566" s="221" t="s">
        <v>3323</v>
      </c>
      <c r="V2566" s="221" t="s">
        <v>3324</v>
      </c>
      <c r="W2566" s="221" t="s">
        <v>3386</v>
      </c>
      <c r="X2566" s="221"/>
      <c r="Y2566" s="227"/>
      <c r="Z2566" s="227" t="str">
        <f t="shared" si="89"/>
        <v>Mulyorejo RW 06 Sukun</v>
      </c>
      <c r="AA2566" s="276" t="e">
        <f>VLOOKUP(Logfile_S12[[#This Row],[DO number]],DO_DB!G:I,3,0)</f>
        <v>#N/A</v>
      </c>
      <c r="AB2566" s="331" t="e">
        <f>EXACT(Logfile_S12[[#This Row],[date pick]],Logfile_S12[[#This Row],[Date]])</f>
        <v>#N/A</v>
      </c>
      <c r="AC25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67" spans="1:29" ht="14.5" hidden="1">
      <c r="A2567" s="220" t="str">
        <f t="shared" si="90"/>
        <v>2563</v>
      </c>
      <c r="B2567" s="221"/>
      <c r="C2567" s="221" t="s">
        <v>49</v>
      </c>
      <c r="D2567" s="221" t="s">
        <v>3722</v>
      </c>
      <c r="E2567" s="221" t="s">
        <v>3295</v>
      </c>
      <c r="F2567" s="221" t="s">
        <v>3299</v>
      </c>
      <c r="G2567" s="222">
        <v>45194</v>
      </c>
      <c r="H2567" s="223">
        <v>0.27083333333333331</v>
      </c>
      <c r="I2567" s="221" t="s">
        <v>4916</v>
      </c>
      <c r="J2567" s="221" t="s">
        <v>3024</v>
      </c>
      <c r="K2567" s="224" t="s">
        <v>3090</v>
      </c>
      <c r="L2567" s="225" t="str">
        <f>VLOOKUP(Logfile_S12[[#This Row],[Material Name]],Sheet2!B:C,2,0)</f>
        <v>GCI1004</v>
      </c>
      <c r="M2567" s="225" t="str">
        <f>_xlfn.XLOOKUP(Logfile_S12[[#This Row],[Material Name]],Sum_WH!E:E,Sum_WH!F:F,"",0)</f>
        <v>Pcs</v>
      </c>
      <c r="N2567" s="221">
        <v>5</v>
      </c>
      <c r="O2567" s="221" t="s">
        <v>180</v>
      </c>
      <c r="P2567" s="221" t="s">
        <v>181</v>
      </c>
      <c r="Q2567" s="221"/>
      <c r="R2567" s="221"/>
      <c r="S2567" s="221"/>
      <c r="T2567" s="221" t="s">
        <v>3322</v>
      </c>
      <c r="U2567" s="221" t="s">
        <v>3323</v>
      </c>
      <c r="V2567" s="221" t="s">
        <v>3324</v>
      </c>
      <c r="W2567" s="221" t="s">
        <v>3386</v>
      </c>
      <c r="X2567" s="221"/>
      <c r="Y2567" s="227"/>
      <c r="Z2567" s="227" t="str">
        <f t="shared" si="89"/>
        <v>Mulyorejo RW 06 Sukun</v>
      </c>
      <c r="AA2567" s="276" t="e">
        <f>VLOOKUP(Logfile_S12[[#This Row],[DO number]],DO_DB!G:I,3,0)</f>
        <v>#N/A</v>
      </c>
      <c r="AB2567" s="331" t="e">
        <f>EXACT(Logfile_S12[[#This Row],[date pick]],Logfile_S12[[#This Row],[Date]])</f>
        <v>#N/A</v>
      </c>
      <c r="AC25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68" spans="1:29" ht="14.5" hidden="1">
      <c r="A2568" s="220" t="str">
        <f t="shared" si="90"/>
        <v>2564</v>
      </c>
      <c r="B2568" s="221"/>
      <c r="C2568" s="221" t="s">
        <v>49</v>
      </c>
      <c r="D2568" s="221" t="s">
        <v>3722</v>
      </c>
      <c r="E2568" s="221" t="s">
        <v>3295</v>
      </c>
      <c r="F2568" s="221" t="s">
        <v>3299</v>
      </c>
      <c r="G2568" s="222">
        <v>45194</v>
      </c>
      <c r="H2568" s="223">
        <v>0.27083333333333331</v>
      </c>
      <c r="I2568" s="221" t="s">
        <v>4916</v>
      </c>
      <c r="J2568" s="221" t="s">
        <v>3024</v>
      </c>
      <c r="K2568" s="224" t="s">
        <v>3090</v>
      </c>
      <c r="L2568" s="225" t="str">
        <f>VLOOKUP(Logfile_S12[[#This Row],[Material Name]],Sheet2!B:C,2,0)</f>
        <v>GCI1004</v>
      </c>
      <c r="M2568" s="225" t="str">
        <f>_xlfn.XLOOKUP(Logfile_S12[[#This Row],[Material Name]],Sum_WH!E:E,Sum_WH!F:F,"",0)</f>
        <v>Pcs</v>
      </c>
      <c r="N2568" s="221">
        <v>9</v>
      </c>
      <c r="O2568" s="221" t="s">
        <v>222</v>
      </c>
      <c r="P2568" s="221" t="s">
        <v>223</v>
      </c>
      <c r="Q2568" s="221"/>
      <c r="R2568" s="221"/>
      <c r="S2568" s="221"/>
      <c r="T2568" s="221" t="s">
        <v>3322</v>
      </c>
      <c r="U2568" s="221" t="s">
        <v>3323</v>
      </c>
      <c r="V2568" s="221" t="s">
        <v>3324</v>
      </c>
      <c r="W2568" s="221" t="s">
        <v>3325</v>
      </c>
      <c r="X2568" s="221"/>
      <c r="Y2568" s="227"/>
      <c r="Z2568" s="227" t="str">
        <f t="shared" si="89"/>
        <v>Puncak Dieng Exlusif</v>
      </c>
      <c r="AA2568" s="276" t="e">
        <f>VLOOKUP(Logfile_S12[[#This Row],[DO number]],DO_DB!G:I,3,0)</f>
        <v>#N/A</v>
      </c>
      <c r="AB2568" s="331" t="e">
        <f>EXACT(Logfile_S12[[#This Row],[date pick]],Logfile_S12[[#This Row],[Date]])</f>
        <v>#N/A</v>
      </c>
      <c r="AC25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69" spans="1:29" ht="14.5" hidden="1">
      <c r="A2569" s="220" t="str">
        <f t="shared" si="90"/>
        <v>2565</v>
      </c>
      <c r="B2569" s="221"/>
      <c r="C2569" s="221" t="s">
        <v>49</v>
      </c>
      <c r="D2569" s="221" t="s">
        <v>3725</v>
      </c>
      <c r="E2569" s="221" t="s">
        <v>3295</v>
      </c>
      <c r="F2569" s="221" t="s">
        <v>3299</v>
      </c>
      <c r="G2569" s="222">
        <v>45195</v>
      </c>
      <c r="H2569" s="223">
        <v>0.27083333333333331</v>
      </c>
      <c r="I2569" s="221" t="s">
        <v>4916</v>
      </c>
      <c r="J2569" s="221" t="s">
        <v>3024</v>
      </c>
      <c r="K2569" s="224" t="s">
        <v>3090</v>
      </c>
      <c r="L2569" s="225" t="str">
        <f>VLOOKUP(Logfile_S12[[#This Row],[Material Name]],Sheet2!B:C,2,0)</f>
        <v>GCI1004</v>
      </c>
      <c r="M2569" s="225" t="str">
        <f>_xlfn.XLOOKUP(Logfile_S12[[#This Row],[Material Name]],Sum_WH!E:E,Sum_WH!F:F,"",0)</f>
        <v>Pcs</v>
      </c>
      <c r="N2569" s="221">
        <v>16</v>
      </c>
      <c r="O2569" s="221" t="s">
        <v>222</v>
      </c>
      <c r="P2569" s="221" t="s">
        <v>223</v>
      </c>
      <c r="Q2569" s="221"/>
      <c r="R2569" s="221"/>
      <c r="S2569" s="221"/>
      <c r="T2569" s="221" t="s">
        <v>3322</v>
      </c>
      <c r="U2569" s="221" t="s">
        <v>3323</v>
      </c>
      <c r="V2569" s="221" t="s">
        <v>3324</v>
      </c>
      <c r="W2569" s="221" t="s">
        <v>3325</v>
      </c>
      <c r="X2569" s="221"/>
      <c r="Y2569" s="227"/>
      <c r="Z2569" s="227" t="str">
        <f t="shared" si="89"/>
        <v>Puncak Dieng Exlusif</v>
      </c>
      <c r="AA2569" s="276" t="e">
        <f>VLOOKUP(Logfile_S12[[#This Row],[DO number]],DO_DB!G:I,3,0)</f>
        <v>#N/A</v>
      </c>
      <c r="AB2569" s="331" t="e">
        <f>EXACT(Logfile_S12[[#This Row],[date pick]],Logfile_S12[[#This Row],[Date]])</f>
        <v>#N/A</v>
      </c>
      <c r="AC25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70" spans="1:29" ht="14.5" hidden="1">
      <c r="A2570" s="220" t="str">
        <f t="shared" si="90"/>
        <v>2566</v>
      </c>
      <c r="B2570" s="221"/>
      <c r="C2570" s="221" t="s">
        <v>49</v>
      </c>
      <c r="D2570" s="221" t="s">
        <v>3730</v>
      </c>
      <c r="E2570" s="221" t="s">
        <v>3295</v>
      </c>
      <c r="F2570" s="221" t="s">
        <v>3299</v>
      </c>
      <c r="G2570" s="222">
        <v>45196</v>
      </c>
      <c r="H2570" s="223">
        <v>0.52083333333333337</v>
      </c>
      <c r="I2570" s="221" t="s">
        <v>4916</v>
      </c>
      <c r="J2570" s="221" t="s">
        <v>3024</v>
      </c>
      <c r="K2570" s="224" t="s">
        <v>3090</v>
      </c>
      <c r="L2570" s="225" t="str">
        <f>VLOOKUP(Logfile_S12[[#This Row],[Material Name]],Sheet2!B:C,2,0)</f>
        <v>GCI1004</v>
      </c>
      <c r="M2570" s="225" t="str">
        <f>_xlfn.XLOOKUP(Logfile_S12[[#This Row],[Material Name]],Sum_WH!E:E,Sum_WH!F:F,"",0)</f>
        <v>Pcs</v>
      </c>
      <c r="N2570" s="221">
        <v>20</v>
      </c>
      <c r="O2570" s="221" t="s">
        <v>172</v>
      </c>
      <c r="P2570" s="221" t="s">
        <v>3319</v>
      </c>
      <c r="Q2570" s="221"/>
      <c r="R2570" s="221"/>
      <c r="S2570" s="221"/>
      <c r="T2570" s="221" t="s">
        <v>3346</v>
      </c>
      <c r="U2570" s="221" t="s">
        <v>3323</v>
      </c>
      <c r="V2570" s="221" t="s">
        <v>3347</v>
      </c>
      <c r="W2570" s="221" t="s">
        <v>3387</v>
      </c>
      <c r="X2570" s="221"/>
      <c r="Y2570" s="227"/>
      <c r="Z2570" s="227" t="str">
        <f t="shared" si="89"/>
        <v>Pandan Landung RW 03 Wagir</v>
      </c>
      <c r="AA2570" s="276" t="e">
        <f>VLOOKUP(Logfile_S12[[#This Row],[DO number]],DO_DB!G:I,3,0)</f>
        <v>#N/A</v>
      </c>
      <c r="AB2570" s="331" t="e">
        <f>EXACT(Logfile_S12[[#This Row],[date pick]],Logfile_S12[[#This Row],[Date]])</f>
        <v>#N/A</v>
      </c>
      <c r="AC25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71" spans="1:29" ht="14.5" hidden="1">
      <c r="A2571" s="220" t="str">
        <f t="shared" si="90"/>
        <v>2567</v>
      </c>
      <c r="B2571" s="221"/>
      <c r="C2571" s="221" t="s">
        <v>49</v>
      </c>
      <c r="D2571" s="221" t="s">
        <v>3734</v>
      </c>
      <c r="E2571" s="221" t="s">
        <v>3295</v>
      </c>
      <c r="F2571" s="221" t="s">
        <v>3299</v>
      </c>
      <c r="G2571" s="222">
        <v>45200</v>
      </c>
      <c r="H2571" s="223">
        <v>0.27083333333333331</v>
      </c>
      <c r="I2571" s="221" t="s">
        <v>4916</v>
      </c>
      <c r="J2571" s="221" t="s">
        <v>3024</v>
      </c>
      <c r="K2571" s="224" t="s">
        <v>3090</v>
      </c>
      <c r="L2571" s="225" t="str">
        <f>VLOOKUP(Logfile_S12[[#This Row],[Material Name]],Sheet2!B:C,2,0)</f>
        <v>GCI1004</v>
      </c>
      <c r="M2571" s="225" t="str">
        <f>_xlfn.XLOOKUP(Logfile_S12[[#This Row],[Material Name]],Sum_WH!E:E,Sum_WH!F:F,"",0)</f>
        <v>Pcs</v>
      </c>
      <c r="N2571" s="221">
        <v>35</v>
      </c>
      <c r="O2571" s="221" t="s">
        <v>222</v>
      </c>
      <c r="P2571" s="221" t="s">
        <v>223</v>
      </c>
      <c r="Q2571" s="221"/>
      <c r="R2571" s="221"/>
      <c r="S2571" s="221"/>
      <c r="T2571" s="221" t="s">
        <v>3322</v>
      </c>
      <c r="U2571" s="221" t="s">
        <v>3323</v>
      </c>
      <c r="V2571" s="221" t="s">
        <v>3324</v>
      </c>
      <c r="W2571" s="221" t="s">
        <v>3386</v>
      </c>
      <c r="X2571" s="221"/>
      <c r="Y2571" s="227"/>
      <c r="Z2571" s="227" t="str">
        <f t="shared" si="89"/>
        <v>Puncak Dieng Exlusif</v>
      </c>
      <c r="AA2571" s="276" t="e">
        <f>VLOOKUP(Logfile_S12[[#This Row],[DO number]],DO_DB!G:I,3,0)</f>
        <v>#N/A</v>
      </c>
      <c r="AB2571" s="331" t="e">
        <f>EXACT(Logfile_S12[[#This Row],[date pick]],Logfile_S12[[#This Row],[Date]])</f>
        <v>#N/A</v>
      </c>
      <c r="AC25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72" spans="1:29" ht="14.5" hidden="1">
      <c r="A2572" s="220" t="str">
        <f t="shared" si="90"/>
        <v>2568</v>
      </c>
      <c r="B2572" s="221"/>
      <c r="C2572" s="221" t="s">
        <v>48</v>
      </c>
      <c r="D2572" s="221" t="s">
        <v>3737</v>
      </c>
      <c r="E2572" s="221" t="s">
        <v>3295</v>
      </c>
      <c r="F2572" s="221" t="s">
        <v>3299</v>
      </c>
      <c r="G2572" s="222">
        <v>45201</v>
      </c>
      <c r="H2572" s="223">
        <v>15.291666666666666</v>
      </c>
      <c r="I2572" s="221" t="s">
        <v>38</v>
      </c>
      <c r="J2572" s="221" t="s">
        <v>3024</v>
      </c>
      <c r="K2572" s="224" t="s">
        <v>3234</v>
      </c>
      <c r="L2572" s="225" t="str">
        <f>VLOOKUP(Logfile_S12[[#This Row],[Material Name]],Sheet2!B:C,2,0)</f>
        <v>GCI1004</v>
      </c>
      <c r="M2572" s="225" t="str">
        <f>_xlfn.XLOOKUP(Logfile_S12[[#This Row],[Material Name]],Sum_WH!E:E,Sum_WH!F:F,"",0)</f>
        <v>Pcs</v>
      </c>
      <c r="N2572" s="221">
        <v>36</v>
      </c>
      <c r="O2572" s="221" t="s">
        <v>3344</v>
      </c>
      <c r="P2572" s="221" t="s">
        <v>3345</v>
      </c>
      <c r="Q2572" s="221">
        <v>0</v>
      </c>
      <c r="R2572" s="221">
        <v>0</v>
      </c>
      <c r="S2572" s="221"/>
      <c r="T2572" s="221"/>
      <c r="U2572" s="221"/>
      <c r="V2572" s="221"/>
      <c r="W2572" s="221"/>
      <c r="X2572" s="221"/>
      <c r="Y2572" s="227"/>
      <c r="Z2572" s="227" t="str">
        <f t="shared" ref="Z2572:Z2635" si="91">P2572</f>
        <v>Purchase</v>
      </c>
      <c r="AA2572" s="276" t="e">
        <f>VLOOKUP(Logfile_S12[[#This Row],[DO number]],DO_DB!G:I,3,0)</f>
        <v>#N/A</v>
      </c>
      <c r="AB2572" s="331" t="e">
        <f>EXACT(Logfile_S12[[#This Row],[date pick]],Logfile_S12[[#This Row],[Date]])</f>
        <v>#N/A</v>
      </c>
      <c r="AC25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73" spans="1:29" ht="14.5" hidden="1">
      <c r="A2573" s="220" t="str">
        <f t="shared" si="90"/>
        <v>2569</v>
      </c>
      <c r="B2573" s="221"/>
      <c r="C2573" s="221" t="s">
        <v>49</v>
      </c>
      <c r="D2573" s="221" t="s">
        <v>3741</v>
      </c>
      <c r="E2573" s="221" t="s">
        <v>3295</v>
      </c>
      <c r="F2573" s="221" t="s">
        <v>3299</v>
      </c>
      <c r="G2573" s="222">
        <v>45205</v>
      </c>
      <c r="H2573" s="223">
        <v>0.39374999999999999</v>
      </c>
      <c r="I2573" s="221" t="s">
        <v>4916</v>
      </c>
      <c r="J2573" s="221" t="s">
        <v>3024</v>
      </c>
      <c r="K2573" s="224" t="s">
        <v>3214</v>
      </c>
      <c r="L2573" s="225" t="str">
        <f>VLOOKUP(Logfile_S12[[#This Row],[Material Name]],Sheet2!B:C,2,0)</f>
        <v>GCI1004</v>
      </c>
      <c r="M2573" s="225" t="str">
        <f>_xlfn.XLOOKUP(Logfile_S12[[#This Row],[Material Name]],Sum_WH!E:E,Sum_WH!F:F,"",0)</f>
        <v>Pcs</v>
      </c>
      <c r="N2573" s="221">
        <v>50</v>
      </c>
      <c r="O2573" s="221" t="s">
        <v>222</v>
      </c>
      <c r="P2573" s="221" t="s">
        <v>223</v>
      </c>
      <c r="Q2573" s="221"/>
      <c r="R2573" s="221"/>
      <c r="S2573" s="221"/>
      <c r="T2573" s="221" t="s">
        <v>3322</v>
      </c>
      <c r="U2573" s="221" t="s">
        <v>3323</v>
      </c>
      <c r="V2573" s="221" t="s">
        <v>3324</v>
      </c>
      <c r="W2573" s="221" t="s">
        <v>3325</v>
      </c>
      <c r="X2573" s="221"/>
      <c r="Y2573" s="227"/>
      <c r="Z2573" s="227" t="str">
        <f t="shared" si="91"/>
        <v>Puncak Dieng Exlusif</v>
      </c>
      <c r="AA2573" s="276" t="e">
        <f>VLOOKUP(Logfile_S12[[#This Row],[DO number]],DO_DB!G:I,3,0)</f>
        <v>#N/A</v>
      </c>
      <c r="AB2573" s="331" t="e">
        <f>EXACT(Logfile_S12[[#This Row],[date pick]],Logfile_S12[[#This Row],[Date]])</f>
        <v>#N/A</v>
      </c>
      <c r="AC25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74" spans="1:29" ht="14.5" hidden="1">
      <c r="A2574" s="220" t="str">
        <f t="shared" si="90"/>
        <v>2570</v>
      </c>
      <c r="B2574" s="221"/>
      <c r="C2574" s="221" t="s">
        <v>48</v>
      </c>
      <c r="D2574" s="221" t="s">
        <v>3787</v>
      </c>
      <c r="E2574" s="221" t="s">
        <v>3295</v>
      </c>
      <c r="F2574" s="221" t="s">
        <v>3299</v>
      </c>
      <c r="G2574" s="222">
        <v>45220</v>
      </c>
      <c r="H2574" s="223">
        <v>15.291666666666666</v>
      </c>
      <c r="I2574" s="221" t="s">
        <v>38</v>
      </c>
      <c r="J2574" s="221" t="s">
        <v>3024</v>
      </c>
      <c r="K2574" s="224" t="s">
        <v>3090</v>
      </c>
      <c r="L2574" s="225" t="str">
        <f>VLOOKUP(Logfile_S12[[#This Row],[Material Name]],Sheet2!B:C,2,0)</f>
        <v>GCI1004</v>
      </c>
      <c r="M2574" s="225" t="str">
        <f>_xlfn.XLOOKUP(Logfile_S12[[#This Row],[Material Name]],Sum_WH!E:E,Sum_WH!F:F,"",0)</f>
        <v>Pcs</v>
      </c>
      <c r="N2574" s="221">
        <v>200</v>
      </c>
      <c r="O2574" s="221" t="s">
        <v>3344</v>
      </c>
      <c r="P2574" s="221" t="s">
        <v>3345</v>
      </c>
      <c r="Q2574" s="221">
        <v>0</v>
      </c>
      <c r="R2574" s="221">
        <v>0</v>
      </c>
      <c r="S2574" s="221"/>
      <c r="T2574" s="221"/>
      <c r="U2574" s="221"/>
      <c r="V2574" s="221"/>
      <c r="W2574" s="221"/>
      <c r="X2574" s="221" t="s">
        <v>3350</v>
      </c>
      <c r="Y2574" s="227"/>
      <c r="Z2574" s="227" t="str">
        <f t="shared" si="91"/>
        <v>Purchase</v>
      </c>
      <c r="AA2574" s="276" t="e">
        <f>VLOOKUP(Logfile_S12[[#This Row],[DO number]],DO_DB!G:I,3,0)</f>
        <v>#N/A</v>
      </c>
      <c r="AB2574" s="331" t="e">
        <f>EXACT(Logfile_S12[[#This Row],[date pick]],Logfile_S12[[#This Row],[Date]])</f>
        <v>#N/A</v>
      </c>
      <c r="AC25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75" spans="1:29" ht="14.5" hidden="1">
      <c r="A2575" s="220" t="str">
        <f t="shared" si="90"/>
        <v>2571</v>
      </c>
      <c r="B2575" s="221"/>
      <c r="C2575" s="221" t="s">
        <v>49</v>
      </c>
      <c r="D2575" s="221" t="s">
        <v>3785</v>
      </c>
      <c r="E2575" s="221" t="s">
        <v>3295</v>
      </c>
      <c r="F2575" s="221" t="s">
        <v>3299</v>
      </c>
      <c r="G2575" s="222">
        <v>45220</v>
      </c>
      <c r="H2575" s="223">
        <v>0.97499999999999998</v>
      </c>
      <c r="I2575" s="221" t="s">
        <v>4916</v>
      </c>
      <c r="J2575" s="221" t="s">
        <v>3024</v>
      </c>
      <c r="K2575" s="224" t="s">
        <v>3090</v>
      </c>
      <c r="L2575" s="225" t="str">
        <f>VLOOKUP(Logfile_S12[[#This Row],[Material Name]],Sheet2!B:C,2,0)</f>
        <v>GCI1004</v>
      </c>
      <c r="M2575" s="225" t="str">
        <f>_xlfn.XLOOKUP(Logfile_S12[[#This Row],[Material Name]],Sum_WH!E:E,Sum_WH!F:F,"",0)</f>
        <v>Pcs</v>
      </c>
      <c r="N2575" s="221">
        <v>0</v>
      </c>
      <c r="O2575" s="221">
        <v>0</v>
      </c>
      <c r="P2575" s="221">
        <v>0</v>
      </c>
      <c r="Q2575" s="221"/>
      <c r="R2575" s="221"/>
      <c r="S2575" s="221"/>
      <c r="T2575" s="221" t="s">
        <v>3231</v>
      </c>
      <c r="U2575" s="221">
        <v>0</v>
      </c>
      <c r="V2575" s="221" t="s">
        <v>3375</v>
      </c>
      <c r="W2575" s="221" t="s">
        <v>3249</v>
      </c>
      <c r="X2575" s="221"/>
      <c r="Y2575" s="227"/>
      <c r="Z2575" s="227">
        <f t="shared" si="91"/>
        <v>0</v>
      </c>
      <c r="AA2575" s="276" t="e">
        <f>VLOOKUP(Logfile_S12[[#This Row],[DO number]],DO_DB!G:I,3,0)</f>
        <v>#N/A</v>
      </c>
      <c r="AB2575" s="331" t="e">
        <f>EXACT(Logfile_S12[[#This Row],[date pick]],Logfile_S12[[#This Row],[Date]])</f>
        <v>#N/A</v>
      </c>
      <c r="AC25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76" spans="1:29" ht="14.5" hidden="1">
      <c r="A2576" s="220" t="str">
        <f t="shared" si="90"/>
        <v>2572</v>
      </c>
      <c r="B2576" s="221"/>
      <c r="C2576" s="221" t="s">
        <v>49</v>
      </c>
      <c r="D2576" s="221" t="s">
        <v>3786</v>
      </c>
      <c r="E2576" s="221" t="s">
        <v>3295</v>
      </c>
      <c r="F2576" s="221" t="s">
        <v>3299</v>
      </c>
      <c r="G2576" s="222">
        <v>45220</v>
      </c>
      <c r="H2576" s="223">
        <v>0.97499999999999998</v>
      </c>
      <c r="I2576" s="221" t="s">
        <v>4916</v>
      </c>
      <c r="J2576" s="221" t="s">
        <v>3024</v>
      </c>
      <c r="K2576" s="224" t="s">
        <v>3234</v>
      </c>
      <c r="L2576" s="225" t="str">
        <f>VLOOKUP(Logfile_S12[[#This Row],[Material Name]],Sheet2!B:C,2,0)</f>
        <v>GCI1004</v>
      </c>
      <c r="M2576" s="225" t="str">
        <f>_xlfn.XLOOKUP(Logfile_S12[[#This Row],[Material Name]],Sum_WH!E:E,Sum_WH!F:F,"",0)</f>
        <v>Pcs</v>
      </c>
      <c r="N2576" s="221">
        <v>21</v>
      </c>
      <c r="O2576" s="221" t="s">
        <v>324</v>
      </c>
      <c r="P2576" s="221" t="s">
        <v>325</v>
      </c>
      <c r="Q2576" s="221"/>
      <c r="R2576" s="221"/>
      <c r="S2576" s="221"/>
      <c r="T2576" s="221" t="s">
        <v>3322</v>
      </c>
      <c r="U2576" s="221" t="s">
        <v>3323</v>
      </c>
      <c r="V2576" s="221" t="s">
        <v>3324</v>
      </c>
      <c r="W2576" s="221" t="s">
        <v>3325</v>
      </c>
      <c r="X2576" s="221"/>
      <c r="Y2576" s="227"/>
      <c r="Z2576" s="227" t="str">
        <f t="shared" si="91"/>
        <v>Jedong RW 09 Wagir</v>
      </c>
      <c r="AA2576" s="276" t="e">
        <f>VLOOKUP(Logfile_S12[[#This Row],[DO number]],DO_DB!G:I,3,0)</f>
        <v>#N/A</v>
      </c>
      <c r="AB2576" s="331" t="e">
        <f>EXACT(Logfile_S12[[#This Row],[date pick]],Logfile_S12[[#This Row],[Date]])</f>
        <v>#N/A</v>
      </c>
      <c r="AC25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77" spans="1:29" ht="14.5" hidden="1">
      <c r="A2577" s="220" t="str">
        <f t="shared" si="90"/>
        <v>2573</v>
      </c>
      <c r="B2577" s="221"/>
      <c r="C2577" s="221" t="s">
        <v>49</v>
      </c>
      <c r="D2577" s="221" t="s">
        <v>3786</v>
      </c>
      <c r="E2577" s="221" t="s">
        <v>3295</v>
      </c>
      <c r="F2577" s="221" t="s">
        <v>3299</v>
      </c>
      <c r="G2577" s="222">
        <v>45220</v>
      </c>
      <c r="H2577" s="223">
        <v>0.97499999999999998</v>
      </c>
      <c r="I2577" s="221" t="s">
        <v>4916</v>
      </c>
      <c r="J2577" s="221" t="s">
        <v>3024</v>
      </c>
      <c r="K2577" s="224" t="s">
        <v>3090</v>
      </c>
      <c r="L2577" s="225" t="str">
        <f>VLOOKUP(Logfile_S12[[#This Row],[Material Name]],Sheet2!B:C,2,0)</f>
        <v>GCI1004</v>
      </c>
      <c r="M2577" s="225" t="str">
        <f>_xlfn.XLOOKUP(Logfile_S12[[#This Row],[Material Name]],Sum_WH!E:E,Sum_WH!F:F,"",0)</f>
        <v>Pcs</v>
      </c>
      <c r="N2577" s="221">
        <v>39</v>
      </c>
      <c r="O2577" s="221" t="s">
        <v>340</v>
      </c>
      <c r="P2577" s="221" t="s">
        <v>341</v>
      </c>
      <c r="Q2577" s="221"/>
      <c r="R2577" s="221"/>
      <c r="S2577" s="221"/>
      <c r="T2577" s="221" t="s">
        <v>3322</v>
      </c>
      <c r="U2577" s="221" t="s">
        <v>3323</v>
      </c>
      <c r="V2577" s="221" t="s">
        <v>3324</v>
      </c>
      <c r="W2577" s="221" t="s">
        <v>3325</v>
      </c>
      <c r="X2577" s="221"/>
      <c r="Y2577" s="227"/>
      <c r="Z2577" s="227" t="str">
        <f t="shared" si="91"/>
        <v>Jedong RW 08 Wagir</v>
      </c>
      <c r="AA2577" s="276" t="e">
        <f>VLOOKUP(Logfile_S12[[#This Row],[DO number]],DO_DB!G:I,3,0)</f>
        <v>#N/A</v>
      </c>
      <c r="AB2577" s="331" t="e">
        <f>EXACT(Logfile_S12[[#This Row],[date pick]],Logfile_S12[[#This Row],[Date]])</f>
        <v>#N/A</v>
      </c>
      <c r="AC25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78" spans="1:29" ht="14.5" hidden="1">
      <c r="A2578" s="220" t="str">
        <f t="shared" si="90"/>
        <v>2574</v>
      </c>
      <c r="B2578" s="221"/>
      <c r="C2578" s="221" t="s">
        <v>49</v>
      </c>
      <c r="D2578" s="221" t="s">
        <v>3788</v>
      </c>
      <c r="E2578" s="221" t="s">
        <v>3295</v>
      </c>
      <c r="F2578" s="221" t="s">
        <v>3299</v>
      </c>
      <c r="G2578" s="222">
        <v>45221</v>
      </c>
      <c r="H2578" s="223">
        <v>0.9375</v>
      </c>
      <c r="I2578" s="221" t="s">
        <v>4916</v>
      </c>
      <c r="J2578" s="221" t="s">
        <v>3024</v>
      </c>
      <c r="K2578" s="224" t="s">
        <v>3090</v>
      </c>
      <c r="L2578" s="225" t="str">
        <f>VLOOKUP(Logfile_S12[[#This Row],[Material Name]],Sheet2!B:C,2,0)</f>
        <v>GCI1004</v>
      </c>
      <c r="M2578" s="225" t="str">
        <f>_xlfn.XLOOKUP(Logfile_S12[[#This Row],[Material Name]],Sum_WH!E:E,Sum_WH!F:F,"",0)</f>
        <v>Pcs</v>
      </c>
      <c r="N2578" s="221">
        <v>14</v>
      </c>
      <c r="O2578" s="221" t="s">
        <v>336</v>
      </c>
      <c r="P2578" s="221" t="s">
        <v>337</v>
      </c>
      <c r="Q2578" s="221"/>
      <c r="R2578" s="221"/>
      <c r="S2578" s="221"/>
      <c r="T2578" s="221" t="s">
        <v>3332</v>
      </c>
      <c r="U2578" s="221">
        <v>0</v>
      </c>
      <c r="V2578" s="221" t="s">
        <v>3333</v>
      </c>
      <c r="W2578" s="221" t="s">
        <v>3334</v>
      </c>
      <c r="X2578" s="221"/>
      <c r="Y2578" s="227"/>
      <c r="Z2578" s="227" t="str">
        <f t="shared" si="91"/>
        <v>Sidorahayu RW 02 Wagir</v>
      </c>
      <c r="AA2578" s="276" t="e">
        <f>VLOOKUP(Logfile_S12[[#This Row],[DO number]],DO_DB!G:I,3,0)</f>
        <v>#N/A</v>
      </c>
      <c r="AB2578" s="331" t="e">
        <f>EXACT(Logfile_S12[[#This Row],[date pick]],Logfile_S12[[#This Row],[Date]])</f>
        <v>#N/A</v>
      </c>
      <c r="AC25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79" spans="1:29" ht="14.5" hidden="1">
      <c r="A2579" s="220" t="str">
        <f t="shared" si="90"/>
        <v>2575</v>
      </c>
      <c r="B2579" s="221"/>
      <c r="C2579" s="221" t="s">
        <v>49</v>
      </c>
      <c r="D2579" s="221" t="s">
        <v>3788</v>
      </c>
      <c r="E2579" s="221" t="s">
        <v>3295</v>
      </c>
      <c r="F2579" s="221" t="s">
        <v>3299</v>
      </c>
      <c r="G2579" s="222">
        <v>45221</v>
      </c>
      <c r="H2579" s="223">
        <v>0.9375</v>
      </c>
      <c r="I2579" s="221" t="s">
        <v>4916</v>
      </c>
      <c r="J2579" s="221" t="s">
        <v>3024</v>
      </c>
      <c r="K2579" s="224" t="s">
        <v>3234</v>
      </c>
      <c r="L2579" s="225" t="str">
        <f>VLOOKUP(Logfile_S12[[#This Row],[Material Name]],Sheet2!B:C,2,0)</f>
        <v>GCI1004</v>
      </c>
      <c r="M2579" s="225" t="str">
        <f>_xlfn.XLOOKUP(Logfile_S12[[#This Row],[Material Name]],Sum_WH!E:E,Sum_WH!F:F,"",0)</f>
        <v>Pcs</v>
      </c>
      <c r="N2579" s="221">
        <v>18</v>
      </c>
      <c r="O2579" s="221" t="s">
        <v>328</v>
      </c>
      <c r="P2579" s="221" t="s">
        <v>329</v>
      </c>
      <c r="Q2579" s="221"/>
      <c r="R2579" s="221"/>
      <c r="S2579" s="221"/>
      <c r="T2579" s="221" t="s">
        <v>3332</v>
      </c>
      <c r="U2579" s="221">
        <v>0</v>
      </c>
      <c r="V2579" s="221" t="s">
        <v>3333</v>
      </c>
      <c r="W2579" s="221" t="s">
        <v>3334</v>
      </c>
      <c r="X2579" s="221"/>
      <c r="Y2579" s="227"/>
      <c r="Z2579" s="227" t="str">
        <f t="shared" si="91"/>
        <v>Sukodadi RW 01 Wagir</v>
      </c>
      <c r="AA2579" s="276" t="e">
        <f>VLOOKUP(Logfile_S12[[#This Row],[DO number]],DO_DB!G:I,3,0)</f>
        <v>#N/A</v>
      </c>
      <c r="AB2579" s="331" t="e">
        <f>EXACT(Logfile_S12[[#This Row],[date pick]],Logfile_S12[[#This Row],[Date]])</f>
        <v>#N/A</v>
      </c>
      <c r="AC25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80" spans="1:29" ht="14.5" hidden="1">
      <c r="A2580" s="220" t="str">
        <f t="shared" si="90"/>
        <v>2576</v>
      </c>
      <c r="B2580" s="221"/>
      <c r="C2580" s="221" t="s">
        <v>49</v>
      </c>
      <c r="D2580" s="221" t="s">
        <v>3788</v>
      </c>
      <c r="E2580" s="221" t="s">
        <v>3295</v>
      </c>
      <c r="F2580" s="221" t="s">
        <v>3299</v>
      </c>
      <c r="G2580" s="222">
        <v>45221</v>
      </c>
      <c r="H2580" s="223">
        <v>0.9375</v>
      </c>
      <c r="I2580" s="221" t="s">
        <v>4916</v>
      </c>
      <c r="J2580" s="221" t="s">
        <v>3024</v>
      </c>
      <c r="K2580" s="224" t="s">
        <v>3090</v>
      </c>
      <c r="L2580" s="225" t="str">
        <f>VLOOKUP(Logfile_S12[[#This Row],[Material Name]],Sheet2!B:C,2,0)</f>
        <v>GCI1004</v>
      </c>
      <c r="M2580" s="225" t="str">
        <f>_xlfn.XLOOKUP(Logfile_S12[[#This Row],[Material Name]],Sum_WH!E:E,Sum_WH!F:F,"",0)</f>
        <v>Pcs</v>
      </c>
      <c r="N2580" s="221">
        <v>35</v>
      </c>
      <c r="O2580" s="221" t="s">
        <v>332</v>
      </c>
      <c r="P2580" s="221" t="s">
        <v>333</v>
      </c>
      <c r="Q2580" s="221"/>
      <c r="R2580" s="221"/>
      <c r="S2580" s="221"/>
      <c r="T2580" s="221" t="s">
        <v>3332</v>
      </c>
      <c r="U2580" s="221">
        <v>0</v>
      </c>
      <c r="V2580" s="221" t="s">
        <v>3333</v>
      </c>
      <c r="W2580" s="221" t="s">
        <v>3334</v>
      </c>
      <c r="X2580" s="221"/>
      <c r="Y2580" s="227"/>
      <c r="Z2580" s="227" t="str">
        <f t="shared" si="91"/>
        <v>Sukodadi RW 02 Wagir</v>
      </c>
      <c r="AA2580" s="276" t="e">
        <f>VLOOKUP(Logfile_S12[[#This Row],[DO number]],DO_DB!G:I,3,0)</f>
        <v>#N/A</v>
      </c>
      <c r="AB2580" s="331" t="e">
        <f>EXACT(Logfile_S12[[#This Row],[date pick]],Logfile_S12[[#This Row],[Date]])</f>
        <v>#N/A</v>
      </c>
      <c r="AC25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81" spans="1:29" ht="14.5" hidden="1">
      <c r="A2581" s="220" t="str">
        <f t="shared" si="90"/>
        <v>2577</v>
      </c>
      <c r="B2581" s="221"/>
      <c r="C2581" s="221" t="s">
        <v>49</v>
      </c>
      <c r="D2581" s="221" t="s">
        <v>3795</v>
      </c>
      <c r="E2581" s="221" t="s">
        <v>3295</v>
      </c>
      <c r="F2581" s="221" t="s">
        <v>3299</v>
      </c>
      <c r="G2581" s="222">
        <v>45223</v>
      </c>
      <c r="H2581" s="223">
        <v>0.56736111111111109</v>
      </c>
      <c r="I2581" s="221" t="s">
        <v>4916</v>
      </c>
      <c r="J2581" s="221" t="s">
        <v>3024</v>
      </c>
      <c r="K2581" s="224" t="s">
        <v>3090</v>
      </c>
      <c r="L2581" s="225" t="str">
        <f>VLOOKUP(Logfile_S12[[#This Row],[Material Name]],Sheet2!B:C,2,0)</f>
        <v>GCI1004</v>
      </c>
      <c r="M2581" s="225" t="str">
        <f>_xlfn.XLOOKUP(Logfile_S12[[#This Row],[Material Name]],Sum_WH!E:E,Sum_WH!F:F,"",0)</f>
        <v>Pcs</v>
      </c>
      <c r="N2581" s="221">
        <v>2</v>
      </c>
      <c r="O2581" s="221" t="s">
        <v>150</v>
      </c>
      <c r="P2581" s="221" t="s">
        <v>151</v>
      </c>
      <c r="Q2581" s="221"/>
      <c r="R2581" s="221"/>
      <c r="S2581" s="221"/>
      <c r="T2581" s="221" t="s">
        <v>3329</v>
      </c>
      <c r="U2581" s="221">
        <v>0</v>
      </c>
      <c r="V2581" s="221" t="s">
        <v>3330</v>
      </c>
      <c r="W2581" s="221" t="s">
        <v>3240</v>
      </c>
      <c r="X2581" s="221"/>
      <c r="Y2581" s="227"/>
      <c r="Z2581" s="250" t="str">
        <f t="shared" si="91"/>
        <v>Mulyorejo RW 04 Sukun</v>
      </c>
      <c r="AA2581" s="276" t="e">
        <f>VLOOKUP(Logfile_S12[[#This Row],[DO number]],DO_DB!G:I,3,0)</f>
        <v>#N/A</v>
      </c>
      <c r="AB2581" s="331" t="e">
        <f>EXACT(Logfile_S12[[#This Row],[date pick]],Logfile_S12[[#This Row],[Date]])</f>
        <v>#N/A</v>
      </c>
      <c r="AC25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82" spans="1:29" ht="14.5" hidden="1">
      <c r="A2582" s="346" t="str">
        <f t="shared" si="90"/>
        <v>2578</v>
      </c>
      <c r="B2582" s="249"/>
      <c r="C2582" s="221" t="s">
        <v>48</v>
      </c>
      <c r="D2582" s="249" t="s">
        <v>3803</v>
      </c>
      <c r="E2582" s="249" t="s">
        <v>3295</v>
      </c>
      <c r="F2582" s="249" t="s">
        <v>3299</v>
      </c>
      <c r="G2582" s="347">
        <v>45235</v>
      </c>
      <c r="H2582" s="342">
        <v>15.291666666666666</v>
      </c>
      <c r="I2582" s="249" t="s">
        <v>38</v>
      </c>
      <c r="J2582" s="249" t="s">
        <v>3024</v>
      </c>
      <c r="K2582" s="224" t="s">
        <v>3090</v>
      </c>
      <c r="L2582" s="348" t="str">
        <f>VLOOKUP(Logfile_S12[[#This Row],[Material Name]],Sheet2!B:C,2,0)</f>
        <v>GCI1004</v>
      </c>
      <c r="M2582" s="348" t="str">
        <f>_xlfn.XLOOKUP(Logfile_S12[[#This Row],[Material Name]],Sum_WH!E:E,Sum_WH!F:F,"",0)</f>
        <v>Pcs</v>
      </c>
      <c r="N2582" s="249">
        <v>30</v>
      </c>
      <c r="O2582" s="249">
        <v>0</v>
      </c>
      <c r="P2582" s="249">
        <v>0</v>
      </c>
      <c r="Q2582" s="249">
        <v>0</v>
      </c>
      <c r="R2582" s="249">
        <v>0</v>
      </c>
      <c r="S2582" s="249"/>
      <c r="T2582" s="249"/>
      <c r="U2582" s="249"/>
      <c r="V2582" s="249"/>
      <c r="W2582" s="249"/>
      <c r="X2582" s="249"/>
      <c r="Y2582" s="250"/>
      <c r="Z2582" s="250">
        <f t="shared" si="91"/>
        <v>0</v>
      </c>
      <c r="AA2582" s="276" t="e">
        <f>VLOOKUP(Logfile_S12[[#This Row],[DO number]],DO_DB!G:I,3,0)</f>
        <v>#N/A</v>
      </c>
      <c r="AB2582" s="331" t="e">
        <f>EXACT(Logfile_S12[[#This Row],[date pick]],Logfile_S12[[#This Row],[Date]])</f>
        <v>#N/A</v>
      </c>
      <c r="AC25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83" spans="1:29" ht="14.5" hidden="1">
      <c r="A2583" s="220" t="str">
        <f t="shared" si="90"/>
        <v>2579</v>
      </c>
      <c r="B2583" s="221"/>
      <c r="C2583" s="221" t="s">
        <v>48</v>
      </c>
      <c r="D2583" s="249" t="s">
        <v>3818</v>
      </c>
      <c r="E2583" s="249" t="s">
        <v>3295</v>
      </c>
      <c r="F2583" s="249" t="s">
        <v>3299</v>
      </c>
      <c r="G2583" s="222">
        <v>45256</v>
      </c>
      <c r="H2583" s="223">
        <v>15.291666666666666</v>
      </c>
      <c r="I2583" s="221" t="s">
        <v>38</v>
      </c>
      <c r="J2583" s="221" t="s">
        <v>3024</v>
      </c>
      <c r="K2583" s="224" t="s">
        <v>3467</v>
      </c>
      <c r="L2583" s="348" t="str">
        <f>VLOOKUP(Logfile_S12[[#This Row],[Material Name]],Sheet2!B:C,2,0)</f>
        <v>GCI1004</v>
      </c>
      <c r="M2583" s="225" t="str">
        <f>_xlfn.XLOOKUP(Logfile_S12[[#This Row],[Material Name]],Sum_WH!E:E,Sum_WH!F:F,"",0)</f>
        <v>Pcs</v>
      </c>
      <c r="N2583" s="221">
        <v>50</v>
      </c>
      <c r="O2583" s="249" t="s">
        <v>3344</v>
      </c>
      <c r="P2583" s="249" t="s">
        <v>3345</v>
      </c>
      <c r="Q2583" s="343">
        <v>0</v>
      </c>
      <c r="R2583" s="343">
        <v>0</v>
      </c>
      <c r="S2583" s="221"/>
      <c r="T2583" s="221"/>
      <c r="U2583" s="221"/>
      <c r="V2583" s="221"/>
      <c r="W2583" s="221"/>
      <c r="X2583" s="221"/>
      <c r="Y2583" s="227"/>
      <c r="Z2583" s="227" t="str">
        <f t="shared" si="91"/>
        <v>Purchase</v>
      </c>
      <c r="AA2583" s="276" t="e">
        <f>VLOOKUP(Logfile_S12[[#This Row],[DO number]],DO_DB!G:I,3,0)</f>
        <v>#N/A</v>
      </c>
      <c r="AB2583" s="331" t="e">
        <f>EXACT(Logfile_S12[[#This Row],[date pick]],Logfile_S12[[#This Row],[Date]])</f>
        <v>#N/A</v>
      </c>
      <c r="AC25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84" spans="1:29" ht="14.5" hidden="1">
      <c r="A2584" s="220" t="str">
        <f t="shared" si="90"/>
        <v>2580</v>
      </c>
      <c r="B2584" s="221"/>
      <c r="C2584" s="221" t="s">
        <v>49</v>
      </c>
      <c r="D2584" s="249" t="s">
        <v>3817</v>
      </c>
      <c r="E2584" s="249" t="s">
        <v>3295</v>
      </c>
      <c r="F2584" s="249" t="s">
        <v>3299</v>
      </c>
      <c r="G2584" s="222">
        <v>45256</v>
      </c>
      <c r="H2584" s="223">
        <v>0.55833333333333335</v>
      </c>
      <c r="I2584" s="221" t="s">
        <v>4916</v>
      </c>
      <c r="J2584" s="221" t="s">
        <v>3024</v>
      </c>
      <c r="K2584" s="224" t="s">
        <v>3090</v>
      </c>
      <c r="L2584" s="348" t="str">
        <f>VLOOKUP(Logfile_S12[[#This Row],[Material Name]],Sheet2!B:C,2,0)</f>
        <v>GCI1004</v>
      </c>
      <c r="M2584" s="348" t="str">
        <f>_xlfn.XLOOKUP(Logfile_S12[[#This Row],[Material Name]],Sum_WH!E:E,Sum_WH!F:F,"",0)</f>
        <v>Pcs</v>
      </c>
      <c r="N2584" s="221">
        <v>7</v>
      </c>
      <c r="O2584" s="249" t="s">
        <v>340</v>
      </c>
      <c r="P2584" s="249" t="s">
        <v>341</v>
      </c>
      <c r="Q2584" s="343"/>
      <c r="R2584" s="343"/>
      <c r="S2584" s="221"/>
      <c r="T2584" s="221" t="s">
        <v>3351</v>
      </c>
      <c r="U2584" s="221">
        <v>0</v>
      </c>
      <c r="V2584" s="221" t="s">
        <v>3352</v>
      </c>
      <c r="W2584" s="221" t="s">
        <v>3353</v>
      </c>
      <c r="X2584" s="221"/>
      <c r="Y2584" s="227"/>
      <c r="Z2584" s="227" t="str">
        <f t="shared" si="91"/>
        <v>Jedong RW 08 Wagir</v>
      </c>
      <c r="AA2584" s="276" t="e">
        <f>VLOOKUP(Logfile_S12[[#This Row],[DO number]],DO_DB!G:I,3,0)</f>
        <v>#N/A</v>
      </c>
      <c r="AB2584" s="331" t="e">
        <f>EXACT(Logfile_S12[[#This Row],[date pick]],Logfile_S12[[#This Row],[Date]])</f>
        <v>#N/A</v>
      </c>
      <c r="AC25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85" spans="1:29" ht="14.5" hidden="1">
      <c r="A2585" s="220" t="str">
        <f t="shared" si="90"/>
        <v>2581</v>
      </c>
      <c r="B2585" s="221"/>
      <c r="C2585" s="221" t="s">
        <v>48</v>
      </c>
      <c r="D2585" s="249" t="s">
        <v>3823</v>
      </c>
      <c r="E2585" s="249" t="s">
        <v>3295</v>
      </c>
      <c r="F2585" s="249" t="s">
        <v>3299</v>
      </c>
      <c r="G2585" s="222">
        <v>45257</v>
      </c>
      <c r="H2585" s="223">
        <v>15.291666666666666</v>
      </c>
      <c r="I2585" s="221" t="s">
        <v>38</v>
      </c>
      <c r="J2585" s="221" t="s">
        <v>3024</v>
      </c>
      <c r="K2585" s="224" t="s">
        <v>3090</v>
      </c>
      <c r="L2585" s="348" t="str">
        <f>VLOOKUP(Logfile_S12[[#This Row],[Material Name]],Sheet2!B:C,2,0)</f>
        <v>GCI1004</v>
      </c>
      <c r="M2585" s="348" t="str">
        <f>_xlfn.XLOOKUP(Logfile_S12[[#This Row],[Material Name]],Sum_WH!E:E,Sum_WH!F:F,"",0)</f>
        <v>Pcs</v>
      </c>
      <c r="N2585" s="221">
        <v>4</v>
      </c>
      <c r="O2585" s="249" t="s">
        <v>340</v>
      </c>
      <c r="P2585" s="249" t="s">
        <v>341</v>
      </c>
      <c r="Q2585" s="343">
        <v>0</v>
      </c>
      <c r="R2585" s="343">
        <v>0</v>
      </c>
      <c r="S2585" s="221"/>
      <c r="T2585" s="221"/>
      <c r="U2585" s="221"/>
      <c r="V2585" s="221"/>
      <c r="W2585" s="221"/>
      <c r="X2585" s="221" t="s">
        <v>3444</v>
      </c>
      <c r="Y2585" s="227"/>
      <c r="Z2585" s="227" t="str">
        <f t="shared" si="91"/>
        <v>Jedong RW 08 Wagir</v>
      </c>
      <c r="AA2585" s="276" t="e">
        <f>VLOOKUP(Logfile_S12[[#This Row],[DO number]],DO_DB!G:I,3,0)</f>
        <v>#N/A</v>
      </c>
      <c r="AB2585" s="331" t="e">
        <f>EXACT(Logfile_S12[[#This Row],[date pick]],Logfile_S12[[#This Row],[Date]])</f>
        <v>#N/A</v>
      </c>
      <c r="AC25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86" spans="1:29" ht="14.5" hidden="1">
      <c r="A2586" s="220" t="str">
        <f t="shared" si="90"/>
        <v>2582</v>
      </c>
      <c r="B2586" s="221"/>
      <c r="C2586" s="221" t="s">
        <v>49</v>
      </c>
      <c r="D2586" s="249" t="s">
        <v>3824</v>
      </c>
      <c r="E2586" s="249" t="s">
        <v>3295</v>
      </c>
      <c r="F2586" s="249" t="s">
        <v>3299</v>
      </c>
      <c r="G2586" s="222">
        <v>45258</v>
      </c>
      <c r="H2586" s="223">
        <v>0.65069444444444446</v>
      </c>
      <c r="I2586" s="221" t="s">
        <v>4916</v>
      </c>
      <c r="J2586" s="221" t="s">
        <v>3024</v>
      </c>
      <c r="K2586" s="224" t="s">
        <v>3090</v>
      </c>
      <c r="L2586" s="348" t="str">
        <f>VLOOKUP(Logfile_S12[[#This Row],[Material Name]],Sheet2!B:C,2,0)</f>
        <v>GCI1004</v>
      </c>
      <c r="M2586" s="348" t="str">
        <f>_xlfn.XLOOKUP(Logfile_S12[[#This Row],[Material Name]],Sum_WH!E:E,Sum_WH!F:F,"",0)</f>
        <v>Pcs</v>
      </c>
      <c r="N2586" s="221">
        <v>50</v>
      </c>
      <c r="O2586" s="249" t="s">
        <v>468</v>
      </c>
      <c r="P2586" s="249" t="s">
        <v>469</v>
      </c>
      <c r="Q2586" s="343"/>
      <c r="R2586" s="343"/>
      <c r="S2586" s="221"/>
      <c r="T2586" s="221" t="s">
        <v>3346</v>
      </c>
      <c r="U2586" s="221">
        <v>0</v>
      </c>
      <c r="V2586" s="221" t="s">
        <v>3347</v>
      </c>
      <c r="W2586" s="221" t="s">
        <v>3334</v>
      </c>
      <c r="X2586" s="221"/>
      <c r="Y2586" s="227"/>
      <c r="Z2586" s="227" t="str">
        <f t="shared" si="91"/>
        <v>Jedong RW 07 Wagir</v>
      </c>
      <c r="AA2586" s="276" t="e">
        <f>VLOOKUP(Logfile_S12[[#This Row],[DO number]],DO_DB!G:I,3,0)</f>
        <v>#N/A</v>
      </c>
      <c r="AB2586" s="331" t="e">
        <f>EXACT(Logfile_S12[[#This Row],[date pick]],Logfile_S12[[#This Row],[Date]])</f>
        <v>#N/A</v>
      </c>
      <c r="AC25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87" spans="1:29" ht="14.5" hidden="1">
      <c r="A2587" s="220" t="str">
        <f t="shared" si="90"/>
        <v>2583</v>
      </c>
      <c r="B2587" s="221"/>
      <c r="C2587" s="221" t="s">
        <v>48</v>
      </c>
      <c r="D2587" s="249" t="s">
        <v>3826</v>
      </c>
      <c r="E2587" s="249" t="s">
        <v>3295</v>
      </c>
      <c r="F2587" s="249" t="s">
        <v>3299</v>
      </c>
      <c r="G2587" s="222">
        <v>45261</v>
      </c>
      <c r="H2587" s="223">
        <v>15.291666666666666</v>
      </c>
      <c r="I2587" s="221" t="s">
        <v>3586</v>
      </c>
      <c r="J2587" s="221" t="s">
        <v>3024</v>
      </c>
      <c r="K2587" s="224" t="s">
        <v>3090</v>
      </c>
      <c r="L2587" s="348" t="str">
        <f>VLOOKUP(Logfile_S12[[#This Row],[Material Name]],Sheet2!B:C,2,0)</f>
        <v>GCI1004</v>
      </c>
      <c r="M2587" s="348" t="str">
        <f>_xlfn.XLOOKUP(Logfile_S12[[#This Row],[Material Name]],Sum_WH!E:E,Sum_WH!F:F,"",0)</f>
        <v>Pcs</v>
      </c>
      <c r="N2587" s="221">
        <v>23</v>
      </c>
      <c r="O2587" s="249" t="s">
        <v>3397</v>
      </c>
      <c r="P2587" s="249" t="s">
        <v>3300</v>
      </c>
      <c r="Q2587" s="343">
        <v>0</v>
      </c>
      <c r="R2587" s="343">
        <v>0</v>
      </c>
      <c r="S2587" s="221"/>
      <c r="T2587" s="221"/>
      <c r="U2587" s="221"/>
      <c r="V2587" s="221"/>
      <c r="W2587" s="221"/>
      <c r="X2587" s="221" t="s">
        <v>3447</v>
      </c>
      <c r="Y2587" s="227"/>
      <c r="Z2587" s="227" t="str">
        <f t="shared" si="91"/>
        <v>Pengembalian</v>
      </c>
      <c r="AA2587" s="276" t="e">
        <f>VLOOKUP(Logfile_S12[[#This Row],[DO number]],DO_DB!G:I,3,0)</f>
        <v>#N/A</v>
      </c>
      <c r="AB2587" s="331" t="e">
        <f>EXACT(Logfile_S12[[#This Row],[date pick]],Logfile_S12[[#This Row],[Date]])</f>
        <v>#N/A</v>
      </c>
      <c r="AC25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88" spans="1:29" ht="14.5" hidden="1">
      <c r="A2588" s="220" t="str">
        <f t="shared" si="90"/>
        <v>2584</v>
      </c>
      <c r="B2588" s="221"/>
      <c r="C2588" s="221" t="s">
        <v>49</v>
      </c>
      <c r="D2588" s="249" t="s">
        <v>3831</v>
      </c>
      <c r="E2588" s="249" t="s">
        <v>3295</v>
      </c>
      <c r="F2588" s="249" t="s">
        <v>3299</v>
      </c>
      <c r="G2588" s="222">
        <v>45267</v>
      </c>
      <c r="H2588" s="223">
        <v>0.89583333333333337</v>
      </c>
      <c r="I2588" s="221" t="s">
        <v>4916</v>
      </c>
      <c r="J2588" s="221" t="s">
        <v>3024</v>
      </c>
      <c r="K2588" s="224" t="s">
        <v>3090</v>
      </c>
      <c r="L2588" s="348" t="str">
        <f>VLOOKUP(Logfile_S12[[#This Row],[Material Name]],Sheet2!B:C,2,0)</f>
        <v>GCI1004</v>
      </c>
      <c r="M2588" s="348" t="str">
        <f>_xlfn.XLOOKUP(Logfile_S12[[#This Row],[Material Name]],Sum_WH!E:E,Sum_WH!F:F,"",0)</f>
        <v>Pcs</v>
      </c>
      <c r="N2588" s="221">
        <v>5</v>
      </c>
      <c r="O2588" s="249" t="s">
        <v>172</v>
      </c>
      <c r="P2588" s="249" t="s">
        <v>3319</v>
      </c>
      <c r="Q2588" s="343"/>
      <c r="R2588" s="343"/>
      <c r="S2588" s="221"/>
      <c r="T2588" s="221" t="s">
        <v>3231</v>
      </c>
      <c r="U2588" s="221">
        <v>0</v>
      </c>
      <c r="V2588" s="221" t="s">
        <v>3375</v>
      </c>
      <c r="W2588" s="221" t="s">
        <v>3249</v>
      </c>
      <c r="X2588" s="221"/>
      <c r="Y2588" s="227"/>
      <c r="Z2588" s="227" t="str">
        <f t="shared" si="91"/>
        <v>Pandan Landung RW 03 Wagir</v>
      </c>
      <c r="AA2588" s="276" t="e">
        <f>VLOOKUP(Logfile_S12[[#This Row],[DO number]],DO_DB!G:I,3,0)</f>
        <v>#N/A</v>
      </c>
      <c r="AB2588" s="331" t="e">
        <f>EXACT(Logfile_S12[[#This Row],[date pick]],Logfile_S12[[#This Row],[Date]])</f>
        <v>#N/A</v>
      </c>
      <c r="AC25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89" spans="1:29" ht="14.5" hidden="1">
      <c r="A2589" s="346" t="str">
        <f t="shared" si="90"/>
        <v>2585</v>
      </c>
      <c r="B2589" s="249"/>
      <c r="C2589" s="221" t="s">
        <v>3388</v>
      </c>
      <c r="D2589" s="249" t="s">
        <v>3833</v>
      </c>
      <c r="E2589" s="249" t="s">
        <v>3295</v>
      </c>
      <c r="F2589" s="249" t="s">
        <v>3299</v>
      </c>
      <c r="G2589" s="222">
        <v>45270</v>
      </c>
      <c r="H2589" s="223">
        <v>0.92361111111111116</v>
      </c>
      <c r="I2589" s="221" t="s">
        <v>4921</v>
      </c>
      <c r="J2589" s="221" t="s">
        <v>3024</v>
      </c>
      <c r="K2589" s="224" t="s">
        <v>3467</v>
      </c>
      <c r="L2589" s="348" t="str">
        <f>VLOOKUP(Logfile_S12[[#This Row],[Material Name]],Sheet2!B:C,2,0)</f>
        <v>GCI1004</v>
      </c>
      <c r="M2589" s="348" t="str">
        <f>_xlfn.XLOOKUP(Logfile_S12[[#This Row],[Material Name]],Sum_WH!E:E,Sum_WH!F:F,"",0)</f>
        <v>Pcs</v>
      </c>
      <c r="N2589" s="249">
        <v>100</v>
      </c>
      <c r="O2589" s="249" t="s">
        <v>3314</v>
      </c>
      <c r="P2589" s="249" t="s">
        <v>3223</v>
      </c>
      <c r="Q2589" s="343"/>
      <c r="R2589" s="343"/>
      <c r="S2589" s="249"/>
      <c r="T2589" s="249" t="s">
        <v>3259</v>
      </c>
      <c r="U2589" s="249">
        <v>0</v>
      </c>
      <c r="V2589" s="249" t="s">
        <v>3375</v>
      </c>
      <c r="W2589" s="249" t="s">
        <v>3415</v>
      </c>
      <c r="X2589" s="249" t="s">
        <v>3416</v>
      </c>
      <c r="Y2589" s="250"/>
      <c r="Z2589" s="250" t="str">
        <f t="shared" si="91"/>
        <v>Transfer Gudang</v>
      </c>
      <c r="AA2589" s="276" t="e">
        <f>VLOOKUP(Logfile_S12[[#This Row],[DO number]],DO_DB!G:I,3,0)</f>
        <v>#N/A</v>
      </c>
      <c r="AB2589" s="331" t="e">
        <f>EXACT(Logfile_S12[[#This Row],[date pick]],Logfile_S12[[#This Row],[Date]])</f>
        <v>#N/A</v>
      </c>
      <c r="AC25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2590" spans="1:29" ht="14.5" hidden="1">
      <c r="A2590" s="346" t="str">
        <f t="shared" si="90"/>
        <v>2586</v>
      </c>
      <c r="B2590" s="249"/>
      <c r="C2590" s="249" t="s">
        <v>49</v>
      </c>
      <c r="D2590" s="249" t="s">
        <v>3839</v>
      </c>
      <c r="E2590" s="249" t="s">
        <v>3295</v>
      </c>
      <c r="F2590" s="249" t="s">
        <v>3299</v>
      </c>
      <c r="G2590" s="347">
        <v>45282</v>
      </c>
      <c r="H2590" s="342">
        <v>0.56041666666666667</v>
      </c>
      <c r="I2590" s="249" t="s">
        <v>4916</v>
      </c>
      <c r="J2590" s="249" t="s">
        <v>3024</v>
      </c>
      <c r="K2590" s="224" t="s">
        <v>3090</v>
      </c>
      <c r="L2590" s="348" t="str">
        <f>VLOOKUP(Logfile_S12[[#This Row],[Material Name]],Sheet2!B:C,2,0)</f>
        <v>GCI1004</v>
      </c>
      <c r="M2590" s="348" t="str">
        <f>_xlfn.XLOOKUP(Logfile_S12[[#This Row],[Material Name]],Sum_WH!E:E,Sum_WH!F:F,"",0)</f>
        <v>Pcs</v>
      </c>
      <c r="N2590" s="249">
        <v>30</v>
      </c>
      <c r="O2590" s="249" t="s">
        <v>732</v>
      </c>
      <c r="P2590" s="249" t="s">
        <v>733</v>
      </c>
      <c r="Q2590" s="249"/>
      <c r="R2590" s="249"/>
      <c r="S2590" s="249"/>
      <c r="T2590" s="221" t="s">
        <v>3258</v>
      </c>
      <c r="U2590" s="221" t="s">
        <v>3228</v>
      </c>
      <c r="V2590" s="221" t="s">
        <v>3337</v>
      </c>
      <c r="W2590" s="221" t="s">
        <v>3338</v>
      </c>
      <c r="X2590" s="249"/>
      <c r="Y2590" s="250"/>
      <c r="Z2590" s="250" t="str">
        <f t="shared" si="91"/>
        <v>Sitirejo RW 01 Wagir</v>
      </c>
      <c r="AA2590" s="276" t="e">
        <f>VLOOKUP(Logfile_S12[[#This Row],[DO number]],DO_DB!G:I,3,0)</f>
        <v>#N/A</v>
      </c>
      <c r="AB2590" s="331" t="e">
        <f>EXACT(Logfile_S12[[#This Row],[date pick]],Logfile_S12[[#This Row],[Date]])</f>
        <v>#N/A</v>
      </c>
      <c r="AC25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91" spans="1:29" ht="14.5" hidden="1">
      <c r="A2591" s="220" t="str">
        <f t="shared" si="90"/>
        <v>2587</v>
      </c>
      <c r="B2591" s="221"/>
      <c r="C2591" s="249" t="s">
        <v>49</v>
      </c>
      <c r="D2591" s="249" t="s">
        <v>3842</v>
      </c>
      <c r="E2591" s="249" t="s">
        <v>3295</v>
      </c>
      <c r="F2591" s="249" t="s">
        <v>3299</v>
      </c>
      <c r="G2591" s="347">
        <v>45285</v>
      </c>
      <c r="H2591" s="342">
        <v>0.3923611111111111</v>
      </c>
      <c r="I2591" s="249" t="s">
        <v>4916</v>
      </c>
      <c r="J2591" s="249" t="s">
        <v>3024</v>
      </c>
      <c r="K2591" s="224" t="s">
        <v>3090</v>
      </c>
      <c r="L2591" s="225" t="str">
        <f>VLOOKUP(Logfile_S12[[#This Row],[Material Name]],Sheet2!B:C,2,0)</f>
        <v>GCI1004</v>
      </c>
      <c r="M2591" s="348" t="str">
        <f>_xlfn.XLOOKUP(Logfile_S12[[#This Row],[Material Name]],Sum_WH!E:E,Sum_WH!F:F,"",0)</f>
        <v>Pcs</v>
      </c>
      <c r="N2591" s="221">
        <v>10</v>
      </c>
      <c r="O2591" s="249" t="s">
        <v>732</v>
      </c>
      <c r="P2591" s="249" t="s">
        <v>733</v>
      </c>
      <c r="Q2591" s="221"/>
      <c r="R2591" s="221"/>
      <c r="S2591" s="221"/>
      <c r="T2591" s="221" t="s">
        <v>3258</v>
      </c>
      <c r="U2591" s="221" t="s">
        <v>3228</v>
      </c>
      <c r="V2591" s="221" t="s">
        <v>3337</v>
      </c>
      <c r="W2591" s="221" t="s">
        <v>3338</v>
      </c>
      <c r="X2591" s="221"/>
      <c r="Y2591" s="227"/>
      <c r="Z2591" s="227" t="str">
        <f t="shared" si="91"/>
        <v>Sitirejo RW 01 Wagir</v>
      </c>
      <c r="AA2591" s="276" t="e">
        <f>VLOOKUP(Logfile_S12[[#This Row],[DO number]],DO_DB!G:I,3,0)</f>
        <v>#N/A</v>
      </c>
      <c r="AB2591" s="331" t="e">
        <f>EXACT(Logfile_S12[[#This Row],[date pick]],Logfile_S12[[#This Row],[Date]])</f>
        <v>#N/A</v>
      </c>
      <c r="AC25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92" spans="1:29" ht="14.5" hidden="1">
      <c r="A2592" s="220" t="str">
        <f t="shared" si="90"/>
        <v>2588</v>
      </c>
      <c r="B2592" s="221"/>
      <c r="C2592" s="221" t="s">
        <v>48</v>
      </c>
      <c r="D2592" s="221" t="s">
        <v>3854</v>
      </c>
      <c r="E2592" s="221" t="s">
        <v>3295</v>
      </c>
      <c r="F2592" s="221" t="s">
        <v>3299</v>
      </c>
      <c r="G2592" s="222">
        <v>45295</v>
      </c>
      <c r="H2592" s="223">
        <v>15.291666666666666</v>
      </c>
      <c r="I2592" s="221" t="s">
        <v>38</v>
      </c>
      <c r="J2592" s="221" t="s">
        <v>3024</v>
      </c>
      <c r="K2592" s="224" t="s">
        <v>3090</v>
      </c>
      <c r="L2592" s="225" t="str">
        <f>VLOOKUP(Logfile_S12[[#This Row],[Material Name]],Sheet2!B:C,2,0)</f>
        <v>GCI1004</v>
      </c>
      <c r="M2592" s="225" t="str">
        <f>_xlfn.XLOOKUP(Logfile_S12[[#This Row],[Material Name]],Sum_WH!E:E,Sum_WH!F:F,"",0)</f>
        <v>Pcs</v>
      </c>
      <c r="N2592" s="221">
        <v>66</v>
      </c>
      <c r="O2592" s="249" t="s">
        <v>3344</v>
      </c>
      <c r="P2592" s="249" t="s">
        <v>3345</v>
      </c>
      <c r="Q2592" s="221">
        <v>0</v>
      </c>
      <c r="R2592" s="221">
        <v>0</v>
      </c>
      <c r="S2592" s="221"/>
      <c r="T2592" s="221"/>
      <c r="U2592" s="221"/>
      <c r="V2592" s="221"/>
      <c r="W2592" s="221"/>
      <c r="X2592" s="221" t="s">
        <v>3218</v>
      </c>
      <c r="Y2592" s="227"/>
      <c r="Z2592" s="227" t="str">
        <f t="shared" si="91"/>
        <v>Purchase</v>
      </c>
      <c r="AA2592" s="276" t="e">
        <f>VLOOKUP(Logfile_S12[[#This Row],[DO number]],DO_DB!G:I,3,0)</f>
        <v>#N/A</v>
      </c>
      <c r="AB2592" s="331" t="e">
        <f>EXACT(Logfile_S12[[#This Row],[date pick]],Logfile_S12[[#This Row],[Date]])</f>
        <v>#N/A</v>
      </c>
      <c r="AC25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93" spans="1:29" ht="14.5" hidden="1">
      <c r="A2593" s="346" t="str">
        <f t="shared" si="90"/>
        <v>2589</v>
      </c>
      <c r="B2593" s="249"/>
      <c r="C2593" s="249" t="s">
        <v>48</v>
      </c>
      <c r="D2593" s="221" t="s">
        <v>3867</v>
      </c>
      <c r="E2593" s="249" t="s">
        <v>3295</v>
      </c>
      <c r="F2593" s="249" t="s">
        <v>3299</v>
      </c>
      <c r="G2593" s="222">
        <v>45307</v>
      </c>
      <c r="H2593" s="342">
        <v>15.291666666666666</v>
      </c>
      <c r="I2593" s="249" t="s">
        <v>3586</v>
      </c>
      <c r="J2593" s="249" t="s">
        <v>3024</v>
      </c>
      <c r="K2593" s="224" t="s">
        <v>3090</v>
      </c>
      <c r="L2593" s="348" t="str">
        <f>VLOOKUP(Logfile_S12[[#This Row],[Material Name]],Sheet2!B:C,2,0)</f>
        <v>GCI1004</v>
      </c>
      <c r="M2593" s="348" t="str">
        <f>_xlfn.XLOOKUP(Logfile_S12[[#This Row],[Material Name]],Sum_WH!E:E,Sum_WH!F:F,"",0)</f>
        <v>Pcs</v>
      </c>
      <c r="N2593" s="249">
        <v>15</v>
      </c>
      <c r="O2593" s="249" t="s">
        <v>732</v>
      </c>
      <c r="P2593" s="249" t="s">
        <v>733</v>
      </c>
      <c r="Q2593" s="249">
        <v>0</v>
      </c>
      <c r="R2593" s="249">
        <v>0</v>
      </c>
      <c r="S2593" s="249"/>
      <c r="T2593" s="249"/>
      <c r="U2593" s="249"/>
      <c r="V2593" s="249"/>
      <c r="W2593" s="249"/>
      <c r="X2593" s="249" t="s">
        <v>3359</v>
      </c>
      <c r="Y2593" s="250"/>
      <c r="Z2593" s="250" t="str">
        <f t="shared" si="91"/>
        <v>Sitirejo RW 01 Wagir</v>
      </c>
      <c r="AA2593" s="276" t="e">
        <f>VLOOKUP(Logfile_S12[[#This Row],[DO number]],DO_DB!G:I,3,0)</f>
        <v>#N/A</v>
      </c>
      <c r="AB2593" s="331" t="e">
        <f>EXACT(Logfile_S12[[#This Row],[date pick]],Logfile_S12[[#This Row],[Date]])</f>
        <v>#N/A</v>
      </c>
      <c r="AC25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94" spans="1:29" ht="14.5" hidden="1">
      <c r="A2594" s="220" t="str">
        <f t="shared" si="90"/>
        <v>2590</v>
      </c>
      <c r="B2594" s="221"/>
      <c r="C2594" s="221" t="s">
        <v>48</v>
      </c>
      <c r="D2594" s="221" t="s">
        <v>3876</v>
      </c>
      <c r="E2594" s="221" t="s">
        <v>3295</v>
      </c>
      <c r="F2594" s="221" t="s">
        <v>3299</v>
      </c>
      <c r="G2594" s="222">
        <v>45309</v>
      </c>
      <c r="H2594" s="223">
        <v>15.291666666666666</v>
      </c>
      <c r="I2594" s="221" t="s">
        <v>38</v>
      </c>
      <c r="J2594" s="221" t="s">
        <v>3024</v>
      </c>
      <c r="K2594" s="224" t="s">
        <v>3090</v>
      </c>
      <c r="L2594" s="225" t="str">
        <f>VLOOKUP(Logfile_S12[[#This Row],[Material Name]],Sheet2!B:C,2,0)</f>
        <v>GCI1004</v>
      </c>
      <c r="M2594" s="225" t="str">
        <f>_xlfn.XLOOKUP(Logfile_S12[[#This Row],[Material Name]],Sum_WH!E:E,Sum_WH!F:F,"",0)</f>
        <v>Pcs</v>
      </c>
      <c r="N2594" s="221">
        <v>103</v>
      </c>
      <c r="O2594" s="221" t="s">
        <v>3344</v>
      </c>
      <c r="P2594" s="221" t="s">
        <v>3345</v>
      </c>
      <c r="Q2594" s="221">
        <v>0</v>
      </c>
      <c r="R2594" s="221">
        <v>0</v>
      </c>
      <c r="S2594" s="221"/>
      <c r="T2594" s="221"/>
      <c r="U2594" s="221"/>
      <c r="V2594" s="221"/>
      <c r="W2594" s="221"/>
      <c r="X2594" s="221" t="s">
        <v>3218</v>
      </c>
      <c r="Y2594" s="250"/>
      <c r="Z2594" s="227" t="str">
        <f t="shared" si="91"/>
        <v>Purchase</v>
      </c>
      <c r="AA2594" s="276" t="e">
        <f>VLOOKUP(Logfile_S12[[#This Row],[DO number]],DO_DB!G:I,3,0)</f>
        <v>#N/A</v>
      </c>
      <c r="AB2594" s="331" t="e">
        <f>EXACT(Logfile_S12[[#This Row],[date pick]],Logfile_S12[[#This Row],[Date]])</f>
        <v>#N/A</v>
      </c>
      <c r="AC25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95" spans="1:29" ht="14.5" hidden="1">
      <c r="A2595" s="346" t="str">
        <f t="shared" si="90"/>
        <v>2591</v>
      </c>
      <c r="B2595" s="249"/>
      <c r="C2595" s="249" t="s">
        <v>49</v>
      </c>
      <c r="D2595" s="221" t="s">
        <v>3889</v>
      </c>
      <c r="E2595" s="249" t="s">
        <v>3295</v>
      </c>
      <c r="F2595" s="249" t="s">
        <v>3299</v>
      </c>
      <c r="G2595" s="222">
        <v>45313</v>
      </c>
      <c r="H2595" s="342">
        <v>0.81041666666666667</v>
      </c>
      <c r="I2595" s="249" t="s">
        <v>4916</v>
      </c>
      <c r="J2595" s="249" t="s">
        <v>3024</v>
      </c>
      <c r="K2595" s="224" t="s">
        <v>3090</v>
      </c>
      <c r="L2595" s="348" t="str">
        <f>VLOOKUP(Logfile_S12[[#This Row],[Material Name]],Sheet2!B:C,2,0)</f>
        <v>GCI1004</v>
      </c>
      <c r="M2595" s="348" t="str">
        <f>_xlfn.XLOOKUP(Logfile_S12[[#This Row],[Material Name]],Sum_WH!E:E,Sum_WH!F:F,"",0)</f>
        <v>Pcs</v>
      </c>
      <c r="N2595" s="249">
        <v>70</v>
      </c>
      <c r="O2595" s="249" t="s">
        <v>742</v>
      </c>
      <c r="P2595" s="249" t="s">
        <v>743</v>
      </c>
      <c r="Q2595" s="249"/>
      <c r="R2595" s="249"/>
      <c r="S2595" s="249"/>
      <c r="T2595" s="249" t="s">
        <v>3258</v>
      </c>
      <c r="U2595" s="249" t="s">
        <v>3228</v>
      </c>
      <c r="V2595" s="249" t="s">
        <v>3337</v>
      </c>
      <c r="W2595" s="249" t="s">
        <v>3338</v>
      </c>
      <c r="X2595" s="249"/>
      <c r="Y2595" s="227"/>
      <c r="Z2595" s="250" t="str">
        <f t="shared" si="91"/>
        <v>Baturetno RW 03 Singosari</v>
      </c>
      <c r="AA2595" s="276" t="e">
        <f>VLOOKUP(Logfile_S12[[#This Row],[DO number]],DO_DB!G:I,3,0)</f>
        <v>#N/A</v>
      </c>
      <c r="AB2595" s="331" t="e">
        <f>EXACT(Logfile_S12[[#This Row],[date pick]],Logfile_S12[[#This Row],[Date]])</f>
        <v>#N/A</v>
      </c>
      <c r="AC25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96" spans="1:29" ht="14.5" hidden="1">
      <c r="A2596" s="346" t="str">
        <f t="shared" si="90"/>
        <v>2592</v>
      </c>
      <c r="B2596" s="249"/>
      <c r="C2596" s="249" t="s">
        <v>49</v>
      </c>
      <c r="D2596" s="249" t="s">
        <v>3886</v>
      </c>
      <c r="E2596" s="249" t="s">
        <v>3295</v>
      </c>
      <c r="F2596" s="249" t="s">
        <v>3299</v>
      </c>
      <c r="G2596" s="222">
        <v>45313</v>
      </c>
      <c r="H2596" s="342">
        <v>0.38750000000000001</v>
      </c>
      <c r="I2596" s="249" t="s">
        <v>4916</v>
      </c>
      <c r="J2596" s="249" t="s">
        <v>3024</v>
      </c>
      <c r="K2596" s="224" t="s">
        <v>3090</v>
      </c>
      <c r="L2596" s="348" t="str">
        <f>VLOOKUP(Logfile_S12[[#This Row],[Material Name]],Sheet2!B:C,2,0)</f>
        <v>GCI1004</v>
      </c>
      <c r="M2596" s="348" t="str">
        <f>_xlfn.XLOOKUP(Logfile_S12[[#This Row],[Material Name]],Sum_WH!E:E,Sum_WH!F:F,"",0)</f>
        <v>Pcs</v>
      </c>
      <c r="N2596" s="249">
        <v>100</v>
      </c>
      <c r="O2596" s="249" t="s">
        <v>828</v>
      </c>
      <c r="P2596" s="249" t="s">
        <v>829</v>
      </c>
      <c r="Q2596" s="249"/>
      <c r="R2596" s="249"/>
      <c r="S2596" s="249"/>
      <c r="T2596" s="249" t="s">
        <v>3339</v>
      </c>
      <c r="U2596" s="249" t="s">
        <v>3228</v>
      </c>
      <c r="V2596" s="249" t="s">
        <v>3340</v>
      </c>
      <c r="W2596" s="249" t="s">
        <v>3245</v>
      </c>
      <c r="X2596" s="249"/>
      <c r="Y2596" s="250"/>
      <c r="Z2596" s="250" t="str">
        <f t="shared" si="91"/>
        <v>Perumahan Pondok Mutiara Malang</v>
      </c>
      <c r="AA2596" s="276" t="e">
        <f>VLOOKUP(Logfile_S12[[#This Row],[DO number]],DO_DB!G:I,3,0)</f>
        <v>#N/A</v>
      </c>
      <c r="AB2596" s="331" t="e">
        <f>EXACT(Logfile_S12[[#This Row],[date pick]],Logfile_S12[[#This Row],[Date]])</f>
        <v>#N/A</v>
      </c>
      <c r="AC25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97" spans="1:29" ht="14.5" hidden="1">
      <c r="A2597" s="220" t="str">
        <f t="shared" si="90"/>
        <v>2593</v>
      </c>
      <c r="B2597" s="221"/>
      <c r="C2597" s="221" t="s">
        <v>48</v>
      </c>
      <c r="D2597" s="221" t="s">
        <v>3901</v>
      </c>
      <c r="E2597" s="221" t="s">
        <v>3295</v>
      </c>
      <c r="F2597" s="221" t="s">
        <v>3299</v>
      </c>
      <c r="G2597" s="222">
        <v>45316</v>
      </c>
      <c r="H2597" s="223">
        <v>15.291666666666666</v>
      </c>
      <c r="I2597" s="221" t="s">
        <v>38</v>
      </c>
      <c r="J2597" s="221" t="s">
        <v>3024</v>
      </c>
      <c r="K2597" s="224" t="s">
        <v>3090</v>
      </c>
      <c r="L2597" s="348" t="str">
        <f>VLOOKUP(Logfile_S12[[#This Row],[Material Name]],Sheet2!B:C,2,0)</f>
        <v>GCI1004</v>
      </c>
      <c r="M2597" s="225" t="str">
        <f>_xlfn.XLOOKUP(Logfile_S12[[#This Row],[Material Name]],Sum_WH!E:E,Sum_WH!F:F,"",0)</f>
        <v>Pcs</v>
      </c>
      <c r="N2597" s="221">
        <v>30</v>
      </c>
      <c r="O2597" s="221" t="s">
        <v>742</v>
      </c>
      <c r="P2597" s="221" t="s">
        <v>743</v>
      </c>
      <c r="Q2597" s="221">
        <v>0</v>
      </c>
      <c r="R2597" s="221">
        <v>0</v>
      </c>
      <c r="S2597" s="221"/>
      <c r="T2597" s="221"/>
      <c r="U2597" s="221"/>
      <c r="V2597" s="221"/>
      <c r="W2597" s="221"/>
      <c r="X2597" s="221"/>
      <c r="Y2597" s="227"/>
      <c r="Z2597" s="227" t="str">
        <f t="shared" si="91"/>
        <v>Baturetno RW 03 Singosari</v>
      </c>
      <c r="AA2597" s="276" t="e">
        <f>VLOOKUP(Logfile_S12[[#This Row],[DO number]],DO_DB!G:I,3,0)</f>
        <v>#N/A</v>
      </c>
      <c r="AB2597" s="331" t="e">
        <f>EXACT(Logfile_S12[[#This Row],[date pick]],Logfile_S12[[#This Row],[Date]])</f>
        <v>#N/A</v>
      </c>
      <c r="AC25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98" spans="1:29" ht="14.5" hidden="1">
      <c r="A2598" s="220" t="str">
        <f t="shared" si="90"/>
        <v>2594</v>
      </c>
      <c r="B2598" s="221"/>
      <c r="C2598" s="221" t="s">
        <v>49</v>
      </c>
      <c r="D2598" s="221" t="s">
        <v>3900</v>
      </c>
      <c r="E2598" s="221" t="s">
        <v>3295</v>
      </c>
      <c r="F2598" s="221" t="s">
        <v>3299</v>
      </c>
      <c r="G2598" s="222">
        <v>45316</v>
      </c>
      <c r="H2598" s="223">
        <v>0.62361111111111112</v>
      </c>
      <c r="I2598" s="221" t="s">
        <v>4916</v>
      </c>
      <c r="J2598" s="221" t="s">
        <v>3024</v>
      </c>
      <c r="K2598" s="224" t="s">
        <v>3090</v>
      </c>
      <c r="L2598" s="348" t="str">
        <f>VLOOKUP(Logfile_S12[[#This Row],[Material Name]],Sheet2!B:C,2,0)</f>
        <v>GCI1004</v>
      </c>
      <c r="M2598" s="225" t="str">
        <f>_xlfn.XLOOKUP(Logfile_S12[[#This Row],[Material Name]],Sum_WH!E:E,Sum_WH!F:F,"",0)</f>
        <v>Pcs</v>
      </c>
      <c r="N2598" s="221">
        <v>5</v>
      </c>
      <c r="O2598" s="221" t="s">
        <v>738</v>
      </c>
      <c r="P2598" s="221" t="s">
        <v>3392</v>
      </c>
      <c r="Q2598" s="221"/>
      <c r="R2598" s="221"/>
      <c r="S2598" s="221"/>
      <c r="T2598" s="221" t="s">
        <v>3258</v>
      </c>
      <c r="U2598" s="221" t="s">
        <v>3228</v>
      </c>
      <c r="V2598" s="221" t="s">
        <v>3337</v>
      </c>
      <c r="W2598" s="221" t="s">
        <v>3338</v>
      </c>
      <c r="X2598" s="221"/>
      <c r="Y2598" s="227"/>
      <c r="Z2598" s="227" t="str">
        <f t="shared" si="91"/>
        <v xml:space="preserve">Baturetno RW 02 Singosari </v>
      </c>
      <c r="AA2598" s="276" t="e">
        <f>VLOOKUP(Logfile_S12[[#This Row],[DO number]],DO_DB!G:I,3,0)</f>
        <v>#N/A</v>
      </c>
      <c r="AB2598" s="331" t="e">
        <f>EXACT(Logfile_S12[[#This Row],[date pick]],Logfile_S12[[#This Row],[Date]])</f>
        <v>#N/A</v>
      </c>
      <c r="AC25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599" spans="1:29" ht="14.5" hidden="1">
      <c r="A2599" s="220" t="str">
        <f t="shared" si="90"/>
        <v>2595</v>
      </c>
      <c r="B2599" s="221"/>
      <c r="C2599" s="221" t="s">
        <v>49</v>
      </c>
      <c r="D2599" s="221" t="s">
        <v>3903</v>
      </c>
      <c r="E2599" s="221" t="s">
        <v>3295</v>
      </c>
      <c r="F2599" s="221" t="s">
        <v>3299</v>
      </c>
      <c r="G2599" s="222">
        <v>45317</v>
      </c>
      <c r="H2599" s="223">
        <v>0.40902777777777777</v>
      </c>
      <c r="I2599" s="221" t="s">
        <v>4916</v>
      </c>
      <c r="J2599" s="221" t="s">
        <v>3024</v>
      </c>
      <c r="K2599" s="224" t="s">
        <v>3090</v>
      </c>
      <c r="L2599" s="348" t="str">
        <f>VLOOKUP(Logfile_S12[[#This Row],[Material Name]],Sheet2!B:C,2,0)</f>
        <v>GCI1004</v>
      </c>
      <c r="M2599" s="225" t="str">
        <f>_xlfn.XLOOKUP(Logfile_S12[[#This Row],[Material Name]],Sum_WH!E:E,Sum_WH!F:F,"",0)</f>
        <v>Pcs</v>
      </c>
      <c r="N2599" s="221">
        <v>14</v>
      </c>
      <c r="O2599" s="221" t="s">
        <v>738</v>
      </c>
      <c r="P2599" s="221" t="s">
        <v>3392</v>
      </c>
      <c r="Q2599" s="221"/>
      <c r="R2599" s="221"/>
      <c r="S2599" s="221"/>
      <c r="T2599" s="221" t="s">
        <v>3258</v>
      </c>
      <c r="U2599" s="221" t="s">
        <v>3228</v>
      </c>
      <c r="V2599" s="221" t="s">
        <v>3337</v>
      </c>
      <c r="W2599" s="221" t="s">
        <v>3338</v>
      </c>
      <c r="X2599" s="221"/>
      <c r="Y2599" s="227"/>
      <c r="Z2599" s="227" t="str">
        <f t="shared" si="91"/>
        <v xml:space="preserve">Baturetno RW 02 Singosari </v>
      </c>
      <c r="AA2599" s="276" t="e">
        <f>VLOOKUP(Logfile_S12[[#This Row],[DO number]],DO_DB!G:I,3,0)</f>
        <v>#N/A</v>
      </c>
      <c r="AB2599" s="331" t="e">
        <f>EXACT(Logfile_S12[[#This Row],[date pick]],Logfile_S12[[#This Row],[Date]])</f>
        <v>#N/A</v>
      </c>
      <c r="AC25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00" spans="1:29" ht="14.5" hidden="1">
      <c r="A2600" s="220" t="str">
        <f t="shared" si="90"/>
        <v>2596</v>
      </c>
      <c r="B2600" s="221"/>
      <c r="C2600" s="221" t="s">
        <v>48</v>
      </c>
      <c r="D2600" s="221" t="s">
        <v>3906</v>
      </c>
      <c r="E2600" s="221" t="s">
        <v>3295</v>
      </c>
      <c r="F2600" s="221" t="s">
        <v>3299</v>
      </c>
      <c r="G2600" s="222">
        <v>45318</v>
      </c>
      <c r="H2600" s="223">
        <v>15.291666666666666</v>
      </c>
      <c r="I2600" s="221" t="s">
        <v>3017</v>
      </c>
      <c r="J2600" s="221" t="s">
        <v>3024</v>
      </c>
      <c r="K2600" s="224" t="s">
        <v>3090</v>
      </c>
      <c r="L2600" s="348" t="str">
        <f>VLOOKUP(Logfile_S12[[#This Row],[Material Name]],Sheet2!B:C,2,0)</f>
        <v>GCI1004</v>
      </c>
      <c r="M2600" s="225" t="str">
        <f>_xlfn.XLOOKUP(Logfile_S12[[#This Row],[Material Name]],Sum_WH!E:E,Sum_WH!F:F,"",0)</f>
        <v>Pcs</v>
      </c>
      <c r="N2600" s="221">
        <v>24</v>
      </c>
      <c r="O2600" s="221" t="s">
        <v>828</v>
      </c>
      <c r="P2600" s="221" t="s">
        <v>829</v>
      </c>
      <c r="Q2600" s="221" t="s">
        <v>3359</v>
      </c>
      <c r="R2600" s="221">
        <v>0</v>
      </c>
      <c r="S2600" s="221"/>
      <c r="T2600" s="221"/>
      <c r="U2600" s="221"/>
      <c r="V2600" s="221"/>
      <c r="W2600" s="221"/>
      <c r="X2600" s="221"/>
      <c r="Y2600" s="227"/>
      <c r="Z2600" s="227" t="str">
        <f t="shared" si="91"/>
        <v>Perumahan Pondok Mutiara Malang</v>
      </c>
      <c r="AA2600" s="276" t="e">
        <f>VLOOKUP(Logfile_S12[[#This Row],[DO number]],DO_DB!G:I,3,0)</f>
        <v>#N/A</v>
      </c>
      <c r="AB2600" s="331" t="e">
        <f>EXACT(Logfile_S12[[#This Row],[date pick]],Logfile_S12[[#This Row],[Date]])</f>
        <v>#N/A</v>
      </c>
      <c r="AC26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01" spans="1:29" ht="14.5" hidden="1">
      <c r="A2601" s="220" t="str">
        <f t="shared" si="90"/>
        <v>2597</v>
      </c>
      <c r="B2601" s="221"/>
      <c r="C2601" s="221" t="s">
        <v>3313</v>
      </c>
      <c r="D2601" s="221" t="s">
        <v>3907</v>
      </c>
      <c r="E2601" s="221" t="s">
        <v>3295</v>
      </c>
      <c r="F2601" s="221" t="s">
        <v>3299</v>
      </c>
      <c r="G2601" s="222">
        <v>45318</v>
      </c>
      <c r="H2601" s="223">
        <v>15.291666666666666</v>
      </c>
      <c r="I2601" s="221" t="s">
        <v>4919</v>
      </c>
      <c r="J2601" s="221" t="s">
        <v>3024</v>
      </c>
      <c r="K2601" s="224" t="s">
        <v>3090</v>
      </c>
      <c r="L2601" s="348" t="str">
        <f>VLOOKUP(Logfile_S12[[#This Row],[Material Name]],Sheet2!B:C,2,0)</f>
        <v>GCI1004</v>
      </c>
      <c r="M2601" s="225" t="str">
        <f>_xlfn.XLOOKUP(Logfile_S12[[#This Row],[Material Name]],Sum_WH!E:E,Sum_WH!F:F,"",0)</f>
        <v>Pcs</v>
      </c>
      <c r="N2601" s="221">
        <v>80</v>
      </c>
      <c r="O2601" s="221" t="s">
        <v>3314</v>
      </c>
      <c r="P2601" s="221" t="s">
        <v>3369</v>
      </c>
      <c r="Q2601" s="221">
        <v>0</v>
      </c>
      <c r="R2601" s="221">
        <v>0</v>
      </c>
      <c r="S2601" s="221"/>
      <c r="T2601" s="221"/>
      <c r="U2601" s="221"/>
      <c r="V2601" s="221"/>
      <c r="W2601" s="221"/>
      <c r="X2601" s="221" t="s">
        <v>3448</v>
      </c>
      <c r="Y2601" s="227"/>
      <c r="Z2601" s="227" t="str">
        <f t="shared" si="91"/>
        <v>JOMBANG</v>
      </c>
      <c r="AA2601" s="276" t="e">
        <f>VLOOKUP(Logfile_S12[[#This Row],[DO number]],DO_DB!G:I,3,0)</f>
        <v>#N/A</v>
      </c>
      <c r="AB2601" s="331" t="e">
        <f>EXACT(Logfile_S12[[#This Row],[date pick]],Logfile_S12[[#This Row],[Date]])</f>
        <v>#N/A</v>
      </c>
      <c r="AC26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02" spans="1:29" ht="14.5" hidden="1">
      <c r="A2602" s="220" t="str">
        <f t="shared" si="90"/>
        <v>2598</v>
      </c>
      <c r="B2602" s="221"/>
      <c r="C2602" s="221" t="s">
        <v>49</v>
      </c>
      <c r="D2602" s="221" t="s">
        <v>3917</v>
      </c>
      <c r="E2602" s="221" t="s">
        <v>3295</v>
      </c>
      <c r="F2602" s="221" t="s">
        <v>3299</v>
      </c>
      <c r="G2602" s="222">
        <v>45331</v>
      </c>
      <c r="H2602" s="223">
        <v>0.42569444444444443</v>
      </c>
      <c r="I2602" s="221" t="s">
        <v>4916</v>
      </c>
      <c r="J2602" s="221" t="s">
        <v>3024</v>
      </c>
      <c r="K2602" s="224" t="s">
        <v>3090</v>
      </c>
      <c r="L2602" s="348" t="str">
        <f>VLOOKUP(Logfile_S12[[#This Row],[Material Name]],Sheet2!B:C,2,0)</f>
        <v>GCI1004</v>
      </c>
      <c r="M2602" s="225" t="str">
        <f>_xlfn.XLOOKUP(Logfile_S12[[#This Row],[Material Name]],Sum_WH!E:E,Sum_WH!F:F,"",0)</f>
        <v>Pcs</v>
      </c>
      <c r="N2602" s="221">
        <v>13</v>
      </c>
      <c r="O2602" s="221" t="s">
        <v>925</v>
      </c>
      <c r="P2602" s="221" t="s">
        <v>926</v>
      </c>
      <c r="Q2602" s="221"/>
      <c r="R2602" s="221"/>
      <c r="S2602" s="221"/>
      <c r="T2602" s="221" t="s">
        <v>3258</v>
      </c>
      <c r="U2602" s="221" t="s">
        <v>3228</v>
      </c>
      <c r="V2602" s="221" t="s">
        <v>3337</v>
      </c>
      <c r="W2602" s="221" t="s">
        <v>3338</v>
      </c>
      <c r="X2602" s="221"/>
      <c r="Y2602" s="227"/>
      <c r="Z2602" s="227" t="str">
        <f t="shared" si="91"/>
        <v>Dengkol RW 02 Singosari Malang</v>
      </c>
      <c r="AA2602" s="276" t="e">
        <f>VLOOKUP(Logfile_S12[[#This Row],[DO number]],DO_DB!G:I,3,0)</f>
        <v>#N/A</v>
      </c>
      <c r="AB2602" s="331" t="e">
        <f>EXACT(Logfile_S12[[#This Row],[date pick]],Logfile_S12[[#This Row],[Date]])</f>
        <v>#N/A</v>
      </c>
      <c r="AC26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03" spans="1:29" ht="14.5" hidden="1">
      <c r="A2603" s="220" t="str">
        <f t="shared" si="90"/>
        <v>2599</v>
      </c>
      <c r="B2603" s="221"/>
      <c r="C2603" s="221" t="s">
        <v>49</v>
      </c>
      <c r="D2603" s="221" t="s">
        <v>3918</v>
      </c>
      <c r="E2603" s="221" t="s">
        <v>3295</v>
      </c>
      <c r="F2603" s="221" t="s">
        <v>3299</v>
      </c>
      <c r="G2603" s="222">
        <v>45331</v>
      </c>
      <c r="H2603" s="223">
        <v>0.63402777777777775</v>
      </c>
      <c r="I2603" s="221" t="s">
        <v>4916</v>
      </c>
      <c r="J2603" s="221" t="s">
        <v>3024</v>
      </c>
      <c r="K2603" s="224" t="s">
        <v>3090</v>
      </c>
      <c r="L2603" s="348" t="str">
        <f>VLOOKUP(Logfile_S12[[#This Row],[Material Name]],Sheet2!B:C,2,0)</f>
        <v>GCI1004</v>
      </c>
      <c r="M2603" s="225" t="str">
        <f>_xlfn.XLOOKUP(Logfile_S12[[#This Row],[Material Name]],Sum_WH!E:E,Sum_WH!F:F,"",0)</f>
        <v>Pcs</v>
      </c>
      <c r="N2603" s="221">
        <v>23</v>
      </c>
      <c r="O2603" s="221" t="s">
        <v>828</v>
      </c>
      <c r="P2603" s="221" t="s">
        <v>829</v>
      </c>
      <c r="Q2603" s="221"/>
      <c r="R2603" s="221"/>
      <c r="S2603" s="221"/>
      <c r="T2603" s="221" t="s">
        <v>3258</v>
      </c>
      <c r="U2603" s="221" t="s">
        <v>3228</v>
      </c>
      <c r="V2603" s="221" t="s">
        <v>3337</v>
      </c>
      <c r="W2603" s="221" t="s">
        <v>3338</v>
      </c>
      <c r="X2603" s="221"/>
      <c r="Y2603" s="227"/>
      <c r="Z2603" s="227" t="str">
        <f t="shared" si="91"/>
        <v>Perumahan Pondok Mutiara Malang</v>
      </c>
      <c r="AA2603" s="276" t="e">
        <f>VLOOKUP(Logfile_S12[[#This Row],[DO number]],DO_DB!G:I,3,0)</f>
        <v>#N/A</v>
      </c>
      <c r="AB2603" s="331" t="e">
        <f>EXACT(Logfile_S12[[#This Row],[date pick]],Logfile_S12[[#This Row],[Date]])</f>
        <v>#N/A</v>
      </c>
      <c r="AC26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04" spans="1:29" ht="14.5" hidden="1">
      <c r="A2604" s="220" t="str">
        <f t="shared" si="90"/>
        <v>2600</v>
      </c>
      <c r="B2604" s="221"/>
      <c r="C2604" s="221" t="s">
        <v>49</v>
      </c>
      <c r="D2604" s="221" t="s">
        <v>3923</v>
      </c>
      <c r="E2604" s="221" t="s">
        <v>3295</v>
      </c>
      <c r="F2604" s="221" t="s">
        <v>3299</v>
      </c>
      <c r="G2604" s="222">
        <v>45337</v>
      </c>
      <c r="H2604" s="223">
        <v>0.46111111111111108</v>
      </c>
      <c r="I2604" s="221" t="s">
        <v>4916</v>
      </c>
      <c r="J2604" s="221" t="s">
        <v>3024</v>
      </c>
      <c r="K2604" s="224" t="s">
        <v>3090</v>
      </c>
      <c r="L2604" s="348" t="str">
        <f>VLOOKUP(Logfile_S12[[#This Row],[Material Name]],Sheet2!B:C,2,0)</f>
        <v>GCI1004</v>
      </c>
      <c r="M2604" s="225" t="str">
        <f>_xlfn.XLOOKUP(Logfile_S12[[#This Row],[Material Name]],Sum_WH!E:E,Sum_WH!F:F,"",0)</f>
        <v>Pcs</v>
      </c>
      <c r="N2604" s="221">
        <v>7</v>
      </c>
      <c r="O2604" s="221" t="s">
        <v>911</v>
      </c>
      <c r="P2604" s="221" t="s">
        <v>912</v>
      </c>
      <c r="Q2604" s="221"/>
      <c r="R2604" s="221"/>
      <c r="S2604" s="221"/>
      <c r="T2604" s="221" t="s">
        <v>3258</v>
      </c>
      <c r="U2604" s="221" t="s">
        <v>3228</v>
      </c>
      <c r="V2604" s="221" t="s">
        <v>3337</v>
      </c>
      <c r="W2604" s="221" t="s">
        <v>3338</v>
      </c>
      <c r="X2604" s="221"/>
      <c r="Y2604" s="227"/>
      <c r="Z2604" s="227" t="str">
        <f t="shared" si="91"/>
        <v>Bandulan RW 08 Sukun</v>
      </c>
      <c r="AA2604" s="276" t="e">
        <f>VLOOKUP(Logfile_S12[[#This Row],[DO number]],DO_DB!G:I,3,0)</f>
        <v>#N/A</v>
      </c>
      <c r="AB2604" s="331" t="e">
        <f>EXACT(Logfile_S12[[#This Row],[date pick]],Logfile_S12[[#This Row],[Date]])</f>
        <v>#N/A</v>
      </c>
      <c r="AC26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05" spans="1:29" ht="14.5" hidden="1">
      <c r="A2605" s="220" t="str">
        <f t="shared" si="90"/>
        <v>2601</v>
      </c>
      <c r="B2605" s="221"/>
      <c r="C2605" s="221" t="s">
        <v>49</v>
      </c>
      <c r="D2605" s="221" t="s">
        <v>3928</v>
      </c>
      <c r="E2605" s="221" t="s">
        <v>3295</v>
      </c>
      <c r="F2605" s="221" t="s">
        <v>3299</v>
      </c>
      <c r="G2605" s="222">
        <v>45341</v>
      </c>
      <c r="H2605" s="223">
        <v>0.45416666666666666</v>
      </c>
      <c r="I2605" s="221" t="s">
        <v>4916</v>
      </c>
      <c r="J2605" s="221" t="s">
        <v>3024</v>
      </c>
      <c r="K2605" s="224" t="s">
        <v>3090</v>
      </c>
      <c r="L2605" s="348" t="str">
        <f>VLOOKUP(Logfile_S12[[#This Row],[Material Name]],Sheet2!B:C,2,0)</f>
        <v>GCI1004</v>
      </c>
      <c r="M2605" s="225" t="str">
        <f>_xlfn.XLOOKUP(Logfile_S12[[#This Row],[Material Name]],Sum_WH!E:E,Sum_WH!F:F,"",0)</f>
        <v>Pcs</v>
      </c>
      <c r="N2605" s="221">
        <v>34</v>
      </c>
      <c r="O2605" s="221" t="s">
        <v>834</v>
      </c>
      <c r="P2605" s="221" t="s">
        <v>3335</v>
      </c>
      <c r="Q2605" s="221"/>
      <c r="R2605" s="221"/>
      <c r="S2605" s="221"/>
      <c r="T2605" s="221" t="s">
        <v>3258</v>
      </c>
      <c r="U2605" s="221" t="s">
        <v>3228</v>
      </c>
      <c r="V2605" s="221" t="s">
        <v>3337</v>
      </c>
      <c r="W2605" s="221" t="s">
        <v>3338</v>
      </c>
      <c r="X2605" s="221"/>
      <c r="Y2605" s="227"/>
      <c r="Z2605" s="227" t="str">
        <f t="shared" si="91"/>
        <v>HUBFEEDER BATURETNO RW 02</v>
      </c>
      <c r="AA2605" s="276" t="e">
        <f>VLOOKUP(Logfile_S12[[#This Row],[DO number]],DO_DB!G:I,3,0)</f>
        <v>#N/A</v>
      </c>
      <c r="AB2605" s="331" t="e">
        <f>EXACT(Logfile_S12[[#This Row],[date pick]],Logfile_S12[[#This Row],[Date]])</f>
        <v>#N/A</v>
      </c>
      <c r="AC26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06" spans="1:29" ht="14.5" hidden="1">
      <c r="A2606" s="220" t="str">
        <f t="shared" si="90"/>
        <v>2602</v>
      </c>
      <c r="B2606" s="221"/>
      <c r="C2606" s="221" t="s">
        <v>49</v>
      </c>
      <c r="D2606" s="221" t="s">
        <v>3938</v>
      </c>
      <c r="E2606" s="221" t="s">
        <v>3295</v>
      </c>
      <c r="F2606" s="221" t="s">
        <v>3299</v>
      </c>
      <c r="G2606" s="222">
        <v>45343</v>
      </c>
      <c r="H2606" s="223">
        <v>0.78888888888888886</v>
      </c>
      <c r="I2606" s="221" t="s">
        <v>4916</v>
      </c>
      <c r="J2606" s="221" t="s">
        <v>3024</v>
      </c>
      <c r="K2606" s="224" t="s">
        <v>3090</v>
      </c>
      <c r="L2606" s="348" t="str">
        <f>VLOOKUP(Logfile_S12[[#This Row],[Material Name]],Sheet2!B:C,2,0)</f>
        <v>GCI1004</v>
      </c>
      <c r="M2606" s="225" t="str">
        <f>_xlfn.XLOOKUP(Logfile_S12[[#This Row],[Material Name]],Sum_WH!E:E,Sum_WH!F:F,"",0)</f>
        <v>Pcs</v>
      </c>
      <c r="N2606" s="221">
        <v>14</v>
      </c>
      <c r="O2606" s="221" t="s">
        <v>838</v>
      </c>
      <c r="P2606" s="221" t="s">
        <v>3361</v>
      </c>
      <c r="Q2606" s="221"/>
      <c r="R2606" s="221"/>
      <c r="S2606" s="221"/>
      <c r="T2606" s="221" t="s">
        <v>3258</v>
      </c>
      <c r="U2606" s="221" t="s">
        <v>3228</v>
      </c>
      <c r="V2606" s="221" t="s">
        <v>3337</v>
      </c>
      <c r="W2606" s="221" t="s">
        <v>3338</v>
      </c>
      <c r="X2606" s="221"/>
      <c r="Y2606" s="227"/>
      <c r="Z2606" s="227" t="str">
        <f t="shared" si="91"/>
        <v>TAMANHARJO RW 04 SINGOSARI</v>
      </c>
      <c r="AA2606" s="276" t="e">
        <f>VLOOKUP(Logfile_S12[[#This Row],[DO number]],DO_DB!G:I,3,0)</f>
        <v>#N/A</v>
      </c>
      <c r="AB2606" s="331" t="e">
        <f>EXACT(Logfile_S12[[#This Row],[date pick]],Logfile_S12[[#This Row],[Date]])</f>
        <v>#N/A</v>
      </c>
      <c r="AC26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07" spans="1:29" ht="14.5" hidden="1">
      <c r="A2607" s="220" t="str">
        <f t="shared" si="90"/>
        <v>2603</v>
      </c>
      <c r="B2607" s="221"/>
      <c r="C2607" s="221" t="s">
        <v>48</v>
      </c>
      <c r="D2607" s="221" t="s">
        <v>3941</v>
      </c>
      <c r="E2607" s="221" t="s">
        <v>3295</v>
      </c>
      <c r="F2607" s="221" t="s">
        <v>3299</v>
      </c>
      <c r="G2607" s="222">
        <v>45344</v>
      </c>
      <c r="H2607" s="223">
        <v>15.291666666666666</v>
      </c>
      <c r="I2607" s="221" t="s">
        <v>38</v>
      </c>
      <c r="J2607" s="221" t="s">
        <v>3024</v>
      </c>
      <c r="K2607" s="224" t="s">
        <v>3090</v>
      </c>
      <c r="L2607" s="348" t="str">
        <f>VLOOKUP(Logfile_S12[[#This Row],[Material Name]],Sheet2!B:C,2,0)</f>
        <v>GCI1004</v>
      </c>
      <c r="M2607" s="225" t="str">
        <f>_xlfn.XLOOKUP(Logfile_S12[[#This Row],[Material Name]],Sum_WH!E:E,Sum_WH!F:F,"",0)</f>
        <v>Pcs</v>
      </c>
      <c r="N2607" s="221">
        <v>22</v>
      </c>
      <c r="O2607" s="221" t="s">
        <v>921</v>
      </c>
      <c r="P2607" s="221" t="s">
        <v>922</v>
      </c>
      <c r="Q2607" s="221">
        <v>0</v>
      </c>
      <c r="R2607" s="221">
        <v>0</v>
      </c>
      <c r="S2607" s="221"/>
      <c r="T2607" s="221"/>
      <c r="U2607" s="221"/>
      <c r="V2607" s="221"/>
      <c r="W2607" s="221"/>
      <c r="X2607" s="221" t="s">
        <v>3360</v>
      </c>
      <c r="Y2607" s="227"/>
      <c r="Z2607" s="227" t="str">
        <f t="shared" si="91"/>
        <v>Bumiayu RW 03 Kedungkandang</v>
      </c>
      <c r="AA2607" s="276" t="e">
        <f>VLOOKUP(Logfile_S12[[#This Row],[DO number]],DO_DB!G:I,3,0)</f>
        <v>#N/A</v>
      </c>
      <c r="AB2607" s="331" t="e">
        <f>EXACT(Logfile_S12[[#This Row],[date pick]],Logfile_S12[[#This Row],[Date]])</f>
        <v>#N/A</v>
      </c>
      <c r="AC26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08" spans="1:29" ht="14.5" hidden="1">
      <c r="A2608" s="220" t="str">
        <f t="shared" si="90"/>
        <v>2604</v>
      </c>
      <c r="B2608" s="221"/>
      <c r="C2608" s="221" t="s">
        <v>49</v>
      </c>
      <c r="D2608" s="221" t="s">
        <v>3940</v>
      </c>
      <c r="E2608" s="221" t="s">
        <v>3295</v>
      </c>
      <c r="F2608" s="221" t="s">
        <v>3299</v>
      </c>
      <c r="G2608" s="222">
        <v>45344</v>
      </c>
      <c r="H2608" s="223">
        <v>0.63541666666666663</v>
      </c>
      <c r="I2608" s="221" t="s">
        <v>4916</v>
      </c>
      <c r="J2608" s="221" t="s">
        <v>3024</v>
      </c>
      <c r="K2608" s="224" t="s">
        <v>3090</v>
      </c>
      <c r="L2608" s="348" t="str">
        <f>VLOOKUP(Logfile_S12[[#This Row],[Material Name]],Sheet2!B:C,2,0)</f>
        <v>GCI1004</v>
      </c>
      <c r="M2608" s="225" t="str">
        <f>_xlfn.XLOOKUP(Logfile_S12[[#This Row],[Material Name]],Sum_WH!E:E,Sum_WH!F:F,"",0)</f>
        <v>Pcs</v>
      </c>
      <c r="N2608" s="221">
        <v>15</v>
      </c>
      <c r="O2608" s="221" t="s">
        <v>838</v>
      </c>
      <c r="P2608" s="221" t="s">
        <v>3361</v>
      </c>
      <c r="Q2608" s="221"/>
      <c r="R2608" s="221"/>
      <c r="S2608" s="221"/>
      <c r="T2608" s="221" t="s">
        <v>3258</v>
      </c>
      <c r="U2608" s="221" t="s">
        <v>3228</v>
      </c>
      <c r="V2608" s="221" t="s">
        <v>3337</v>
      </c>
      <c r="W2608" s="221" t="s">
        <v>3338</v>
      </c>
      <c r="X2608" s="221"/>
      <c r="Y2608" s="227"/>
      <c r="Z2608" s="227" t="str">
        <f t="shared" si="91"/>
        <v>TAMANHARJO RW 04 SINGOSARI</v>
      </c>
      <c r="AA2608" s="276" t="e">
        <f>VLOOKUP(Logfile_S12[[#This Row],[DO number]],DO_DB!G:I,3,0)</f>
        <v>#N/A</v>
      </c>
      <c r="AB2608" s="331" t="e">
        <f>EXACT(Logfile_S12[[#This Row],[date pick]],Logfile_S12[[#This Row],[Date]])</f>
        <v>#N/A</v>
      </c>
      <c r="AC26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09" spans="1:29" ht="14.5" hidden="1">
      <c r="A2609" s="220" t="str">
        <f t="shared" si="90"/>
        <v>2605</v>
      </c>
      <c r="B2609" s="221"/>
      <c r="C2609" s="221" t="s">
        <v>48</v>
      </c>
      <c r="D2609" s="221" t="s">
        <v>3953</v>
      </c>
      <c r="E2609" s="221" t="s">
        <v>3295</v>
      </c>
      <c r="F2609" s="221" t="s">
        <v>3299</v>
      </c>
      <c r="G2609" s="222">
        <v>45349</v>
      </c>
      <c r="H2609" s="223">
        <v>15.291666666666666</v>
      </c>
      <c r="I2609" s="221" t="s">
        <v>38</v>
      </c>
      <c r="J2609" s="221" t="s">
        <v>3024</v>
      </c>
      <c r="K2609" s="224" t="s">
        <v>3090</v>
      </c>
      <c r="L2609" s="348" t="str">
        <f>VLOOKUP(Logfile_S12[[#This Row],[Material Name]],Sheet2!B:C,2,0)</f>
        <v>GCI1004</v>
      </c>
      <c r="M2609" s="225" t="str">
        <f>_xlfn.XLOOKUP(Logfile_S12[[#This Row],[Material Name]],Sum_WH!E:E,Sum_WH!F:F,"",0)</f>
        <v>Pcs</v>
      </c>
      <c r="N2609" s="221">
        <v>91</v>
      </c>
      <c r="O2609" s="221">
        <v>0</v>
      </c>
      <c r="P2609" s="221" t="s">
        <v>3362</v>
      </c>
      <c r="Q2609" s="221">
        <v>0</v>
      </c>
      <c r="R2609" s="221">
        <v>0</v>
      </c>
      <c r="S2609" s="221"/>
      <c r="T2609" s="221"/>
      <c r="U2609" s="221"/>
      <c r="V2609" s="221"/>
      <c r="W2609" s="221"/>
      <c r="X2609" s="221"/>
      <c r="Y2609" s="227"/>
      <c r="Z2609" s="227" t="str">
        <f t="shared" si="91"/>
        <v xml:space="preserve">UD RIZQI JAYA PRATAMA </v>
      </c>
      <c r="AA2609" s="276" t="e">
        <f>VLOOKUP(Logfile_S12[[#This Row],[DO number]],DO_DB!G:I,3,0)</f>
        <v>#N/A</v>
      </c>
      <c r="AB2609" s="331" t="e">
        <f>EXACT(Logfile_S12[[#This Row],[date pick]],Logfile_S12[[#This Row],[Date]])</f>
        <v>#N/A</v>
      </c>
      <c r="AC26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10" spans="1:29" ht="14.5" hidden="1">
      <c r="A2610" s="220" t="str">
        <f t="shared" si="90"/>
        <v>2606</v>
      </c>
      <c r="B2610" s="221"/>
      <c r="C2610" s="221" t="s">
        <v>49</v>
      </c>
      <c r="D2610" s="221" t="s">
        <v>3957</v>
      </c>
      <c r="E2610" s="221" t="s">
        <v>3295</v>
      </c>
      <c r="F2610" s="221" t="s">
        <v>3299</v>
      </c>
      <c r="G2610" s="222">
        <v>45350</v>
      </c>
      <c r="H2610" s="223">
        <v>0.4861111111111111</v>
      </c>
      <c r="I2610" s="221" t="s">
        <v>4916</v>
      </c>
      <c r="J2610" s="221" t="s">
        <v>3024</v>
      </c>
      <c r="K2610" s="224" t="s">
        <v>3090</v>
      </c>
      <c r="L2610" s="348" t="str">
        <f>VLOOKUP(Logfile_S12[[#This Row],[Material Name]],Sheet2!B:C,2,0)</f>
        <v>GCI1004</v>
      </c>
      <c r="M2610" s="225" t="str">
        <f>_xlfn.XLOOKUP(Logfile_S12[[#This Row],[Material Name]],Sum_WH!E:E,Sum_WH!F:F,"",0)</f>
        <v>Pcs</v>
      </c>
      <c r="N2610" s="221">
        <v>6</v>
      </c>
      <c r="O2610" s="221" t="s">
        <v>1013</v>
      </c>
      <c r="P2610" s="221" t="s">
        <v>1014</v>
      </c>
      <c r="Q2610" s="221"/>
      <c r="R2610" s="221"/>
      <c r="S2610" s="221"/>
      <c r="T2610" s="221" t="s">
        <v>3258</v>
      </c>
      <c r="U2610" s="221" t="s">
        <v>3228</v>
      </c>
      <c r="V2610" s="221" t="s">
        <v>3337</v>
      </c>
      <c r="W2610" s="221" t="s">
        <v>3338</v>
      </c>
      <c r="X2610" s="221"/>
      <c r="Y2610" s="227"/>
      <c r="Z2610" s="227" t="str">
        <f t="shared" si="91"/>
        <v>Bumiayu RW 05 Kedungkandang</v>
      </c>
      <c r="AA2610" s="276" t="e">
        <f>VLOOKUP(Logfile_S12[[#This Row],[DO number]],DO_DB!G:I,3,0)</f>
        <v>#N/A</v>
      </c>
      <c r="AB2610" s="331" t="e">
        <f>EXACT(Logfile_S12[[#This Row],[date pick]],Logfile_S12[[#This Row],[Date]])</f>
        <v>#N/A</v>
      </c>
      <c r="AC26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11" spans="1:29" ht="14.5" hidden="1">
      <c r="A2611" s="220" t="str">
        <f t="shared" si="90"/>
        <v>2607</v>
      </c>
      <c r="B2611" s="221"/>
      <c r="C2611" s="221" t="s">
        <v>49</v>
      </c>
      <c r="D2611" s="221" t="s">
        <v>3954</v>
      </c>
      <c r="E2611" s="221" t="s">
        <v>3295</v>
      </c>
      <c r="F2611" s="221" t="s">
        <v>3299</v>
      </c>
      <c r="G2611" s="222">
        <v>45350</v>
      </c>
      <c r="H2611" s="223">
        <v>0.3833333333333333</v>
      </c>
      <c r="I2611" s="221" t="s">
        <v>4916</v>
      </c>
      <c r="J2611" s="221" t="s">
        <v>3024</v>
      </c>
      <c r="K2611" s="224" t="s">
        <v>3090</v>
      </c>
      <c r="L2611" s="348" t="str">
        <f>VLOOKUP(Logfile_S12[[#This Row],[Material Name]],Sheet2!B:C,2,0)</f>
        <v>GCI1004</v>
      </c>
      <c r="M2611" s="225" t="str">
        <f>_xlfn.XLOOKUP(Logfile_S12[[#This Row],[Material Name]],Sum_WH!E:E,Sum_WH!F:F,"",0)</f>
        <v>Pcs</v>
      </c>
      <c r="N2611" s="221">
        <v>60</v>
      </c>
      <c r="O2611" s="221" t="s">
        <v>921</v>
      </c>
      <c r="P2611" s="221" t="s">
        <v>922</v>
      </c>
      <c r="Q2611" s="221"/>
      <c r="R2611" s="221"/>
      <c r="S2611" s="221"/>
      <c r="T2611" s="221" t="s">
        <v>3363</v>
      </c>
      <c r="U2611" s="221" t="s">
        <v>3228</v>
      </c>
      <c r="V2611" s="221" t="s">
        <v>3364</v>
      </c>
      <c r="W2611" s="221" t="s">
        <v>3365</v>
      </c>
      <c r="X2611" s="221"/>
      <c r="Y2611" s="227"/>
      <c r="Z2611" s="227" t="str">
        <f t="shared" si="91"/>
        <v>Bumiayu RW 03 Kedungkandang</v>
      </c>
      <c r="AA2611" s="276" t="e">
        <f>VLOOKUP(Logfile_S12[[#This Row],[DO number]],DO_DB!G:I,3,0)</f>
        <v>#N/A</v>
      </c>
      <c r="AB2611" s="331" t="e">
        <f>EXACT(Logfile_S12[[#This Row],[date pick]],Logfile_S12[[#This Row],[Date]])</f>
        <v>#N/A</v>
      </c>
      <c r="AC26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12" spans="1:29" ht="14.5" hidden="1">
      <c r="A2612" s="220" t="str">
        <f t="shared" si="90"/>
        <v>2608</v>
      </c>
      <c r="B2612" s="221"/>
      <c r="C2612" s="221" t="s">
        <v>49</v>
      </c>
      <c r="D2612" s="221" t="s">
        <v>3973</v>
      </c>
      <c r="E2612" s="221" t="s">
        <v>3295</v>
      </c>
      <c r="F2612" s="221" t="s">
        <v>3299</v>
      </c>
      <c r="G2612" s="222">
        <v>45357</v>
      </c>
      <c r="H2612" s="223">
        <v>0.39166666666666666</v>
      </c>
      <c r="I2612" s="221" t="s">
        <v>4916</v>
      </c>
      <c r="J2612" s="221" t="s">
        <v>3024</v>
      </c>
      <c r="K2612" s="224" t="s">
        <v>3090</v>
      </c>
      <c r="L2612" s="348" t="str">
        <f>VLOOKUP(Logfile_S12[[#This Row],[Material Name]],Sheet2!B:C,2,0)</f>
        <v>GCI1004</v>
      </c>
      <c r="M2612" s="225" t="str">
        <f>_xlfn.XLOOKUP(Logfile_S12[[#This Row],[Material Name]],Sum_WH!E:E,Sum_WH!F:F,"",0)</f>
        <v>Pcs</v>
      </c>
      <c r="N2612" s="221">
        <v>5</v>
      </c>
      <c r="O2612" s="221" t="s">
        <v>828</v>
      </c>
      <c r="P2612" s="221" t="s">
        <v>829</v>
      </c>
      <c r="Q2612" s="221"/>
      <c r="R2612" s="221"/>
      <c r="S2612" s="221"/>
      <c r="T2612" s="221" t="s">
        <v>3258</v>
      </c>
      <c r="U2612" s="221" t="s">
        <v>3228</v>
      </c>
      <c r="V2612" s="221" t="s">
        <v>3337</v>
      </c>
      <c r="W2612" s="221" t="s">
        <v>3338</v>
      </c>
      <c r="X2612" s="221"/>
      <c r="Y2612" s="227"/>
      <c r="Z2612" s="227" t="str">
        <f t="shared" si="91"/>
        <v>Perumahan Pondok Mutiara Malang</v>
      </c>
      <c r="AA2612" s="276" t="e">
        <f>VLOOKUP(Logfile_S12[[#This Row],[DO number]],DO_DB!G:I,3,0)</f>
        <v>#N/A</v>
      </c>
      <c r="AB2612" s="331" t="e">
        <f>EXACT(Logfile_S12[[#This Row],[date pick]],Logfile_S12[[#This Row],[Date]])</f>
        <v>#N/A</v>
      </c>
      <c r="AC261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13" spans="1:29" ht="14.5" hidden="1">
      <c r="A2613" s="220" t="str">
        <f t="shared" si="90"/>
        <v>2609</v>
      </c>
      <c r="B2613" s="221"/>
      <c r="C2613" s="221" t="s">
        <v>49</v>
      </c>
      <c r="D2613" s="221" t="s">
        <v>3978</v>
      </c>
      <c r="E2613" s="221" t="s">
        <v>3295</v>
      </c>
      <c r="F2613" s="221" t="s">
        <v>3299</v>
      </c>
      <c r="G2613" s="222">
        <v>45366</v>
      </c>
      <c r="H2613" s="223">
        <v>0.71666666666666667</v>
      </c>
      <c r="I2613" s="221" t="s">
        <v>4916</v>
      </c>
      <c r="J2613" s="221" t="s">
        <v>3024</v>
      </c>
      <c r="K2613" s="224" t="s">
        <v>3090</v>
      </c>
      <c r="L2613" s="348" t="str">
        <f>VLOOKUP(Logfile_S12[[#This Row],[Material Name]],Sheet2!B:C,2,0)</f>
        <v>GCI1004</v>
      </c>
      <c r="M2613" s="225" t="str">
        <f>_xlfn.XLOOKUP(Logfile_S12[[#This Row],[Material Name]],Sum_WH!E:E,Sum_WH!F:F,"",0)</f>
        <v>Pcs</v>
      </c>
      <c r="N2613" s="221">
        <v>50</v>
      </c>
      <c r="O2613" s="221" t="s">
        <v>1087</v>
      </c>
      <c r="P2613" s="221" t="s">
        <v>1088</v>
      </c>
      <c r="Q2613" s="221"/>
      <c r="R2613" s="221"/>
      <c r="S2613" s="221"/>
      <c r="T2613" s="221" t="s">
        <v>3258</v>
      </c>
      <c r="U2613" s="221" t="s">
        <v>3228</v>
      </c>
      <c r="V2613" s="221" t="s">
        <v>3337</v>
      </c>
      <c r="W2613" s="221" t="s">
        <v>3338</v>
      </c>
      <c r="X2613" s="221"/>
      <c r="Y2613" s="227"/>
      <c r="Z2613" s="227" t="str">
        <f t="shared" si="91"/>
        <v>Dalisodo RW 01 Wagir</v>
      </c>
      <c r="AA2613" s="276" t="e">
        <f>VLOOKUP(Logfile_S12[[#This Row],[DO number]],DO_DB!G:I,3,0)</f>
        <v>#N/A</v>
      </c>
      <c r="AB2613" s="331" t="e">
        <f>EXACT(Logfile_S12[[#This Row],[date pick]],Logfile_S12[[#This Row],[Date]])</f>
        <v>#N/A</v>
      </c>
      <c r="AC261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14" spans="1:29" ht="14.5" hidden="1">
      <c r="A2614" s="220" t="str">
        <f t="shared" si="90"/>
        <v>2610</v>
      </c>
      <c r="B2614" s="221"/>
      <c r="C2614" s="221" t="s">
        <v>48</v>
      </c>
      <c r="D2614" s="221" t="s">
        <v>3985</v>
      </c>
      <c r="E2614" s="221" t="s">
        <v>3295</v>
      </c>
      <c r="F2614" s="221" t="s">
        <v>3299</v>
      </c>
      <c r="G2614" s="222">
        <v>45373</v>
      </c>
      <c r="H2614" s="223">
        <v>15.291666666666666</v>
      </c>
      <c r="I2614" s="221" t="s">
        <v>38</v>
      </c>
      <c r="J2614" s="221" t="s">
        <v>3024</v>
      </c>
      <c r="K2614" s="224" t="s">
        <v>3090</v>
      </c>
      <c r="L2614" s="348" t="str">
        <f>VLOOKUP(Logfile_S12[[#This Row],[Material Name]],Sheet2!B:C,2,0)</f>
        <v>GCI1004</v>
      </c>
      <c r="M2614" s="225" t="str">
        <f>_xlfn.XLOOKUP(Logfile_S12[[#This Row],[Material Name]],Sum_WH!E:E,Sum_WH!F:F,"",0)</f>
        <v>Pcs</v>
      </c>
      <c r="N2614" s="221">
        <v>103</v>
      </c>
      <c r="O2614" s="221">
        <v>0</v>
      </c>
      <c r="P2614" s="221" t="s">
        <v>3366</v>
      </c>
      <c r="Q2614" s="221">
        <v>0</v>
      </c>
      <c r="R2614" s="221">
        <v>0</v>
      </c>
      <c r="S2614" s="221"/>
      <c r="T2614" s="221"/>
      <c r="U2614" s="221"/>
      <c r="V2614" s="221"/>
      <c r="W2614" s="221"/>
      <c r="X2614" s="221"/>
      <c r="Y2614" s="227"/>
      <c r="Z2614" s="227" t="str">
        <f t="shared" si="91"/>
        <v>UD HALIM</v>
      </c>
      <c r="AA2614" s="276" t="e">
        <f>VLOOKUP(Logfile_S12[[#This Row],[DO number]],DO_DB!G:I,3,0)</f>
        <v>#N/A</v>
      </c>
      <c r="AB2614" s="331" t="e">
        <f>EXACT(Logfile_S12[[#This Row],[date pick]],Logfile_S12[[#This Row],[Date]])</f>
        <v>#N/A</v>
      </c>
      <c r="AC261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15" spans="1:29" ht="14.5" hidden="1">
      <c r="A2615" s="220" t="str">
        <f t="shared" si="90"/>
        <v>2611</v>
      </c>
      <c r="B2615" s="221"/>
      <c r="C2615" s="221" t="s">
        <v>49</v>
      </c>
      <c r="D2615" s="221" t="s">
        <v>3988</v>
      </c>
      <c r="E2615" s="221" t="s">
        <v>3295</v>
      </c>
      <c r="F2615" s="221" t="s">
        <v>3299</v>
      </c>
      <c r="G2615" s="222">
        <v>45374</v>
      </c>
      <c r="H2615" s="223">
        <v>0.76666666666666661</v>
      </c>
      <c r="I2615" s="221" t="s">
        <v>4916</v>
      </c>
      <c r="J2615" s="221" t="s">
        <v>3024</v>
      </c>
      <c r="K2615" s="224" t="s">
        <v>3090</v>
      </c>
      <c r="L2615" s="348" t="str">
        <f>VLOOKUP(Logfile_S12[[#This Row],[Material Name]],Sheet2!B:C,2,0)</f>
        <v>GCI1004</v>
      </c>
      <c r="M2615" s="225" t="str">
        <f>_xlfn.XLOOKUP(Logfile_S12[[#This Row],[Material Name]],Sum_WH!E:E,Sum_WH!F:F,"",0)</f>
        <v>Pcs</v>
      </c>
      <c r="N2615" s="221">
        <v>100</v>
      </c>
      <c r="O2615" s="221" t="s">
        <v>1087</v>
      </c>
      <c r="P2615" s="221" t="s">
        <v>1088</v>
      </c>
      <c r="Q2615" s="221"/>
      <c r="R2615" s="221"/>
      <c r="S2615" s="221"/>
      <c r="T2615" s="221" t="s">
        <v>3258</v>
      </c>
      <c r="U2615" s="221" t="s">
        <v>3228</v>
      </c>
      <c r="V2615" s="221" t="s">
        <v>3337</v>
      </c>
      <c r="W2615" s="221" t="s">
        <v>3338</v>
      </c>
      <c r="X2615" s="221"/>
      <c r="Y2615" s="227"/>
      <c r="Z2615" s="227" t="str">
        <f t="shared" si="91"/>
        <v>Dalisodo RW 01 Wagir</v>
      </c>
      <c r="AA2615" s="276" t="e">
        <f>VLOOKUP(Logfile_S12[[#This Row],[DO number]],DO_DB!G:I,3,0)</f>
        <v>#N/A</v>
      </c>
      <c r="AB2615" s="331" t="e">
        <f>EXACT(Logfile_S12[[#This Row],[date pick]],Logfile_S12[[#This Row],[Date]])</f>
        <v>#N/A</v>
      </c>
      <c r="AC261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16" spans="1:29" ht="14.5" hidden="1">
      <c r="A2616" s="220" t="str">
        <f t="shared" si="90"/>
        <v>2612</v>
      </c>
      <c r="B2616" s="221"/>
      <c r="C2616" s="221" t="s">
        <v>3388</v>
      </c>
      <c r="D2616" s="221" t="s">
        <v>4875</v>
      </c>
      <c r="E2616" s="221" t="s">
        <v>3295</v>
      </c>
      <c r="F2616" s="221" t="s">
        <v>3299</v>
      </c>
      <c r="G2616" s="222">
        <v>45376</v>
      </c>
      <c r="H2616" s="223">
        <v>0.63958333333333328</v>
      </c>
      <c r="I2616" s="221" t="s">
        <v>4916</v>
      </c>
      <c r="J2616" s="221" t="s">
        <v>3024</v>
      </c>
      <c r="K2616" s="224" t="s">
        <v>3090</v>
      </c>
      <c r="L2616" s="348" t="str">
        <f>VLOOKUP(Logfile_S12[[#This Row],[Material Name]],Sheet2!B:C,2,0)</f>
        <v>GCI1004</v>
      </c>
      <c r="M2616" s="225" t="str">
        <f>_xlfn.XLOOKUP(Logfile_S12[[#This Row],[Material Name]],Sum_WH!E:E,Sum_WH!F:F,"",0)</f>
        <v>Pcs</v>
      </c>
      <c r="N2616" s="221">
        <v>50</v>
      </c>
      <c r="O2616" s="221" t="s">
        <v>3367</v>
      </c>
      <c r="P2616" s="221" t="s">
        <v>3223</v>
      </c>
      <c r="Q2616" s="221"/>
      <c r="R2616" s="221"/>
      <c r="S2616" s="221"/>
      <c r="T2616" s="221" t="s">
        <v>3241</v>
      </c>
      <c r="U2616" s="221">
        <v>0</v>
      </c>
      <c r="V2616" s="221" t="s">
        <v>3368</v>
      </c>
      <c r="W2616" s="221" t="s">
        <v>3242</v>
      </c>
      <c r="X2616" s="221"/>
      <c r="Y2616" s="227"/>
      <c r="Z2616" s="227" t="str">
        <f t="shared" si="91"/>
        <v>Transfer Gudang</v>
      </c>
      <c r="AA2616" s="276" t="e">
        <f>VLOOKUP(Logfile_S12[[#This Row],[DO number]],DO_DB!G:I,3,0)</f>
        <v>#N/A</v>
      </c>
      <c r="AB2616" s="331" t="e">
        <f>EXACT(Logfile_S12[[#This Row],[date pick]],Logfile_S12[[#This Row],[Date]])</f>
        <v>#N/A</v>
      </c>
      <c r="AC261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TRANSFER OUT_</v>
      </c>
    </row>
    <row r="2617" spans="1:29" ht="14.5" hidden="1">
      <c r="A2617" s="220" t="str">
        <f t="shared" si="90"/>
        <v>2613</v>
      </c>
      <c r="B2617" s="221"/>
      <c r="C2617" s="221" t="s">
        <v>3313</v>
      </c>
      <c r="D2617" s="221" t="s">
        <v>4000</v>
      </c>
      <c r="E2617" s="221" t="s">
        <v>3295</v>
      </c>
      <c r="F2617" s="221" t="s">
        <v>3299</v>
      </c>
      <c r="G2617" s="222">
        <v>45383</v>
      </c>
      <c r="H2617" s="223">
        <v>15.291666666666666</v>
      </c>
      <c r="I2617" s="221" t="s">
        <v>4919</v>
      </c>
      <c r="J2617" s="221" t="s">
        <v>3024</v>
      </c>
      <c r="K2617" s="224" t="s">
        <v>3090</v>
      </c>
      <c r="L2617" s="348" t="str">
        <f>VLOOKUP(Logfile_S12[[#This Row],[Material Name]],Sheet2!B:C,2,0)</f>
        <v>GCI1004</v>
      </c>
      <c r="M2617" s="225" t="str">
        <f>_xlfn.XLOOKUP(Logfile_S12[[#This Row],[Material Name]],Sum_WH!E:E,Sum_WH!F:F,"",0)</f>
        <v>Pcs</v>
      </c>
      <c r="N2617" s="221">
        <v>50</v>
      </c>
      <c r="O2617" s="221" t="s">
        <v>3314</v>
      </c>
      <c r="P2617" s="221" t="s">
        <v>3369</v>
      </c>
      <c r="Q2617" s="221">
        <v>0</v>
      </c>
      <c r="R2617" s="221">
        <v>0</v>
      </c>
      <c r="S2617" s="221"/>
      <c r="T2617" s="221"/>
      <c r="U2617" s="221"/>
      <c r="V2617" s="221"/>
      <c r="W2617" s="221"/>
      <c r="X2617" s="221"/>
      <c r="Y2617" s="227"/>
      <c r="Z2617" s="227" t="str">
        <f t="shared" si="91"/>
        <v>JOMBANG</v>
      </c>
      <c r="AA2617" s="276" t="e">
        <f>VLOOKUP(Logfile_S12[[#This Row],[DO number]],DO_DB!G:I,3,0)</f>
        <v>#N/A</v>
      </c>
      <c r="AB2617" s="331" t="e">
        <f>EXACT(Logfile_S12[[#This Row],[date pick]],Logfile_S12[[#This Row],[Date]])</f>
        <v>#N/A</v>
      </c>
      <c r="AC261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18" spans="1:29" ht="14.5" hidden="1">
      <c r="A2618" s="220" t="str">
        <f t="shared" si="90"/>
        <v>2614</v>
      </c>
      <c r="B2618" s="221"/>
      <c r="C2618" s="221" t="s">
        <v>49</v>
      </c>
      <c r="D2618" s="221" t="s">
        <v>4021</v>
      </c>
      <c r="E2618" s="221" t="s">
        <v>3295</v>
      </c>
      <c r="F2618" s="221" t="s">
        <v>3299</v>
      </c>
      <c r="G2618" s="222">
        <v>45405</v>
      </c>
      <c r="H2618" s="223">
        <v>0.3756944444444445</v>
      </c>
      <c r="I2618" s="221" t="s">
        <v>4916</v>
      </c>
      <c r="J2618" s="221" t="s">
        <v>3024</v>
      </c>
      <c r="K2618" s="224" t="s">
        <v>3090</v>
      </c>
      <c r="L2618" s="348" t="str">
        <f>VLOOKUP(Logfile_S12[[#This Row],[Material Name]],Sheet2!B:C,2,0)</f>
        <v>GCI1004</v>
      </c>
      <c r="M2618" s="225" t="str">
        <f>_xlfn.XLOOKUP(Logfile_S12[[#This Row],[Material Name]],Sum_WH!E:E,Sum_WH!F:F,"",0)</f>
        <v>Pcs</v>
      </c>
      <c r="N2618" s="221">
        <v>10</v>
      </c>
      <c r="O2618" s="221" t="s">
        <v>1401</v>
      </c>
      <c r="P2618" s="221" t="s">
        <v>3371</v>
      </c>
      <c r="Q2618" s="221"/>
      <c r="R2618" s="221"/>
      <c r="S2618" s="221"/>
      <c r="T2618" s="221" t="s">
        <v>3363</v>
      </c>
      <c r="U2618" s="221" t="s">
        <v>3228</v>
      </c>
      <c r="V2618" s="221" t="s">
        <v>3364</v>
      </c>
      <c r="W2618" s="221" t="s">
        <v>3372</v>
      </c>
      <c r="X2618" s="221"/>
      <c r="Y2618" s="227"/>
      <c r="Z2618" s="227" t="str">
        <f t="shared" si="91"/>
        <v>Lowokwaru RW14</v>
      </c>
      <c r="AA2618" s="276" t="e">
        <f>VLOOKUP(Logfile_S12[[#This Row],[DO number]],DO_DB!G:I,3,0)</f>
        <v>#N/A</v>
      </c>
      <c r="AB2618" s="331" t="e">
        <f>EXACT(Logfile_S12[[#This Row],[date pick]],Logfile_S12[[#This Row],[Date]])</f>
        <v>#N/A</v>
      </c>
      <c r="AC261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19" spans="1:29" ht="14.5" hidden="1">
      <c r="A2619" s="220" t="str">
        <f t="shared" si="90"/>
        <v>2615</v>
      </c>
      <c r="B2619" s="221"/>
      <c r="C2619" s="221" t="s">
        <v>49</v>
      </c>
      <c r="D2619" s="221" t="s">
        <v>4022</v>
      </c>
      <c r="E2619" s="221" t="s">
        <v>3295</v>
      </c>
      <c r="F2619" s="221" t="s">
        <v>3299</v>
      </c>
      <c r="G2619" s="222">
        <v>45405</v>
      </c>
      <c r="H2619" s="223">
        <v>0.71666666666666667</v>
      </c>
      <c r="I2619" s="221" t="s">
        <v>4916</v>
      </c>
      <c r="J2619" s="221" t="s">
        <v>3024</v>
      </c>
      <c r="K2619" s="224" t="s">
        <v>3090</v>
      </c>
      <c r="L2619" s="348" t="str">
        <f>VLOOKUP(Logfile_S12[[#This Row],[Material Name]],Sheet2!B:C,2,0)</f>
        <v>GCI1004</v>
      </c>
      <c r="M2619" s="225" t="str">
        <f>_xlfn.XLOOKUP(Logfile_S12[[#This Row],[Material Name]],Sum_WH!E:E,Sum_WH!F:F,"",0)</f>
        <v>Pcs</v>
      </c>
      <c r="N2619" s="221">
        <v>39</v>
      </c>
      <c r="O2619" s="221" t="s">
        <v>1081</v>
      </c>
      <c r="P2619" s="221" t="s">
        <v>3370</v>
      </c>
      <c r="Q2619" s="221"/>
      <c r="R2619" s="221"/>
      <c r="S2619" s="221"/>
      <c r="T2619" s="221" t="s">
        <v>3258</v>
      </c>
      <c r="U2619" s="221" t="s">
        <v>3228</v>
      </c>
      <c r="V2619" s="221" t="s">
        <v>3364</v>
      </c>
      <c r="W2619" s="221" t="s">
        <v>3372</v>
      </c>
      <c r="X2619" s="221"/>
      <c r="Y2619" s="227"/>
      <c r="Z2619" s="227" t="str">
        <f t="shared" si="91"/>
        <v>Pandan Landung RW 05 Wagir</v>
      </c>
      <c r="AA2619" s="276" t="e">
        <f>VLOOKUP(Logfile_S12[[#This Row],[DO number]],DO_DB!G:I,3,0)</f>
        <v>#N/A</v>
      </c>
      <c r="AB2619" s="331" t="e">
        <f>EXACT(Logfile_S12[[#This Row],[date pick]],Logfile_S12[[#This Row],[Date]])</f>
        <v>#N/A</v>
      </c>
      <c r="AC261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20" spans="1:29" ht="14.5" hidden="1">
      <c r="A2620" s="220" t="str">
        <f t="shared" si="90"/>
        <v>2616</v>
      </c>
      <c r="B2620" s="221"/>
      <c r="C2620" s="221" t="s">
        <v>3313</v>
      </c>
      <c r="D2620" s="221" t="s">
        <v>4023</v>
      </c>
      <c r="E2620" s="221" t="s">
        <v>3295</v>
      </c>
      <c r="F2620" s="221" t="s">
        <v>3299</v>
      </c>
      <c r="G2620" s="222">
        <v>45405</v>
      </c>
      <c r="H2620" s="223">
        <v>15.291666666666666</v>
      </c>
      <c r="I2620" s="221" t="s">
        <v>4922</v>
      </c>
      <c r="J2620" s="221" t="s">
        <v>3024</v>
      </c>
      <c r="K2620" s="224" t="s">
        <v>3090</v>
      </c>
      <c r="L2620" s="348" t="str">
        <f>VLOOKUP(Logfile_S12[[#This Row],[Material Name]],Sheet2!B:C,2,0)</f>
        <v>GCI1004</v>
      </c>
      <c r="M2620" s="225" t="str">
        <f>_xlfn.XLOOKUP(Logfile_S12[[#This Row],[Material Name]],Sum_WH!E:E,Sum_WH!F:F,"",0)</f>
        <v>Pcs</v>
      </c>
      <c r="N2620" s="221">
        <v>50</v>
      </c>
      <c r="O2620" s="221" t="s">
        <v>3314</v>
      </c>
      <c r="P2620" s="221" t="s">
        <v>3395</v>
      </c>
      <c r="Q2620" s="221">
        <v>0</v>
      </c>
      <c r="R2620" s="221">
        <v>0</v>
      </c>
      <c r="S2620" s="221"/>
      <c r="T2620" s="221"/>
      <c r="U2620" s="221"/>
      <c r="V2620" s="221"/>
      <c r="W2620" s="221"/>
      <c r="X2620" s="221"/>
      <c r="Y2620" s="227"/>
      <c r="Z2620" s="227" t="str">
        <f t="shared" si="91"/>
        <v>NGAWI</v>
      </c>
      <c r="AA2620" s="276" t="e">
        <f>VLOOKUP(Logfile_S12[[#This Row],[DO number]],DO_DB!G:I,3,0)</f>
        <v>#N/A</v>
      </c>
      <c r="AB2620" s="331" t="e">
        <f>EXACT(Logfile_S12[[#This Row],[date pick]],Logfile_S12[[#This Row],[Date]])</f>
        <v>#N/A</v>
      </c>
      <c r="AC262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21" spans="1:29" ht="14.5" hidden="1">
      <c r="A2621" s="220" t="str">
        <f t="shared" si="90"/>
        <v>2617</v>
      </c>
      <c r="B2621" s="221"/>
      <c r="C2621" s="221" t="s">
        <v>48</v>
      </c>
      <c r="D2621" s="221" t="s">
        <v>4029</v>
      </c>
      <c r="E2621" s="221" t="s">
        <v>3295</v>
      </c>
      <c r="F2621" s="221" t="s">
        <v>3299</v>
      </c>
      <c r="G2621" s="222">
        <v>45407</v>
      </c>
      <c r="H2621" s="223">
        <v>15.291666666666666</v>
      </c>
      <c r="I2621" s="221" t="s">
        <v>38</v>
      </c>
      <c r="J2621" s="221" t="s">
        <v>3024</v>
      </c>
      <c r="K2621" s="224" t="s">
        <v>3090</v>
      </c>
      <c r="L2621" s="348" t="str">
        <f>VLOOKUP(Logfile_S12[[#This Row],[Material Name]],Sheet2!B:C,2,0)</f>
        <v>GCI1004</v>
      </c>
      <c r="M2621" s="225" t="str">
        <f>_xlfn.XLOOKUP(Logfile_S12[[#This Row],[Material Name]],Sum_WH!E:E,Sum_WH!F:F,"",0)</f>
        <v>Pcs</v>
      </c>
      <c r="N2621" s="221">
        <v>42</v>
      </c>
      <c r="O2621" s="221">
        <v>0</v>
      </c>
      <c r="P2621" s="221">
        <v>0</v>
      </c>
      <c r="Q2621" s="221">
        <v>0</v>
      </c>
      <c r="R2621" s="221">
        <v>0</v>
      </c>
      <c r="S2621" s="221"/>
      <c r="T2621" s="221"/>
      <c r="U2621" s="221"/>
      <c r="V2621" s="221"/>
      <c r="W2621" s="221"/>
      <c r="X2621" s="221"/>
      <c r="Y2621" s="227"/>
      <c r="Z2621" s="227">
        <f t="shared" si="91"/>
        <v>0</v>
      </c>
      <c r="AA2621" s="276" t="e">
        <f>VLOOKUP(Logfile_S12[[#This Row],[DO number]],DO_DB!G:I,3,0)</f>
        <v>#N/A</v>
      </c>
      <c r="AB2621" s="331" t="e">
        <f>EXACT(Logfile_S12[[#This Row],[date pick]],Logfile_S12[[#This Row],[Date]])</f>
        <v>#N/A</v>
      </c>
      <c r="AC262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22" spans="1:29" ht="14.5" hidden="1">
      <c r="A2622" s="220" t="str">
        <f t="shared" si="90"/>
        <v>2618</v>
      </c>
      <c r="B2622" s="221"/>
      <c r="C2622" s="221" t="s">
        <v>49</v>
      </c>
      <c r="D2622" s="221" t="s">
        <v>4030</v>
      </c>
      <c r="E2622" s="221" t="s">
        <v>3295</v>
      </c>
      <c r="F2622" s="221" t="s">
        <v>3299</v>
      </c>
      <c r="G2622" s="222">
        <v>45408</v>
      </c>
      <c r="H2622" s="223">
        <v>0.39166666666666666</v>
      </c>
      <c r="I2622" s="221" t="s">
        <v>4916</v>
      </c>
      <c r="J2622" s="221" t="s">
        <v>3024</v>
      </c>
      <c r="K2622" s="224" t="s">
        <v>3090</v>
      </c>
      <c r="L2622" s="348" t="str">
        <f>VLOOKUP(Logfile_S12[[#This Row],[Material Name]],Sheet2!B:C,2,0)</f>
        <v>GCI1004</v>
      </c>
      <c r="M2622" s="225" t="str">
        <f>_xlfn.XLOOKUP(Logfile_S12[[#This Row],[Material Name]],Sum_WH!E:E,Sum_WH!F:F,"",0)</f>
        <v>Pcs</v>
      </c>
      <c r="N2622" s="221">
        <v>10</v>
      </c>
      <c r="O2622" s="221" t="s">
        <v>1081</v>
      </c>
      <c r="P2622" s="221" t="s">
        <v>3370</v>
      </c>
      <c r="Q2622" s="221"/>
      <c r="R2622" s="221"/>
      <c r="S2622" s="221"/>
      <c r="T2622" s="221" t="s">
        <v>3258</v>
      </c>
      <c r="U2622" s="221" t="s">
        <v>3228</v>
      </c>
      <c r="V2622" s="221" t="s">
        <v>3337</v>
      </c>
      <c r="W2622" s="221" t="s">
        <v>3338</v>
      </c>
      <c r="X2622" s="221"/>
      <c r="Y2622" s="227"/>
      <c r="Z2622" s="227" t="str">
        <f t="shared" si="91"/>
        <v>Pandan Landung RW 05 Wagir</v>
      </c>
      <c r="AA2622" s="276" t="e">
        <f>VLOOKUP(Logfile_S12[[#This Row],[DO number]],DO_DB!G:I,3,0)</f>
        <v>#N/A</v>
      </c>
      <c r="AB2622" s="331" t="e">
        <f>EXACT(Logfile_S12[[#This Row],[date pick]],Logfile_S12[[#This Row],[Date]])</f>
        <v>#N/A</v>
      </c>
      <c r="AC262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23" spans="1:29" ht="14.5" hidden="1">
      <c r="A2623" s="220" t="str">
        <f t="shared" si="90"/>
        <v>2619</v>
      </c>
      <c r="B2623" s="221"/>
      <c r="C2623" s="221" t="s">
        <v>49</v>
      </c>
      <c r="D2623" s="221" t="s">
        <v>4031</v>
      </c>
      <c r="E2623" s="221" t="s">
        <v>3295</v>
      </c>
      <c r="F2623" s="221" t="s">
        <v>3299</v>
      </c>
      <c r="G2623" s="222">
        <v>45412</v>
      </c>
      <c r="H2623" s="223">
        <v>0.42708333333333331</v>
      </c>
      <c r="I2623" s="221" t="s">
        <v>4916</v>
      </c>
      <c r="J2623" s="221" t="s">
        <v>3024</v>
      </c>
      <c r="K2623" s="224" t="s">
        <v>3090</v>
      </c>
      <c r="L2623" s="348" t="str">
        <f>VLOOKUP(Logfile_S12[[#This Row],[Material Name]],Sheet2!B:C,2,0)</f>
        <v>GCI1004</v>
      </c>
      <c r="M2623" s="225" t="str">
        <f>_xlfn.XLOOKUP(Logfile_S12[[#This Row],[Material Name]],Sum_WH!E:E,Sum_WH!F:F,"",0)</f>
        <v>Pcs</v>
      </c>
      <c r="N2623" s="221">
        <v>15</v>
      </c>
      <c r="O2623" s="221" t="s">
        <v>1401</v>
      </c>
      <c r="P2623" s="221" t="s">
        <v>3371</v>
      </c>
      <c r="Q2623" s="221"/>
      <c r="R2623" s="221"/>
      <c r="S2623" s="221"/>
      <c r="T2623" s="221" t="s">
        <v>3363</v>
      </c>
      <c r="U2623" s="221" t="s">
        <v>3228</v>
      </c>
      <c r="V2623" s="221" t="s">
        <v>3364</v>
      </c>
      <c r="W2623" s="221" t="s">
        <v>3372</v>
      </c>
      <c r="X2623" s="221"/>
      <c r="Y2623" s="227"/>
      <c r="Z2623" s="227" t="str">
        <f t="shared" si="91"/>
        <v>Lowokwaru RW14</v>
      </c>
      <c r="AA2623" s="276" t="e">
        <f>VLOOKUP(Logfile_S12[[#This Row],[DO number]],DO_DB!G:I,3,0)</f>
        <v>#N/A</v>
      </c>
      <c r="AB2623" s="331" t="e">
        <f>EXACT(Logfile_S12[[#This Row],[date pick]],Logfile_S12[[#This Row],[Date]])</f>
        <v>#N/A</v>
      </c>
      <c r="AC262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24" spans="1:29" ht="14.5" hidden="1">
      <c r="A2624" s="220" t="str">
        <f t="shared" si="90"/>
        <v>2620</v>
      </c>
      <c r="B2624" s="221"/>
      <c r="C2624" s="221" t="s">
        <v>48</v>
      </c>
      <c r="D2624" s="221" t="s">
        <v>4038</v>
      </c>
      <c r="E2624" s="221" t="s">
        <v>3295</v>
      </c>
      <c r="F2624" s="221" t="s">
        <v>3299</v>
      </c>
      <c r="G2624" s="222">
        <v>45420</v>
      </c>
      <c r="H2624" s="223">
        <v>15.291666666666666</v>
      </c>
      <c r="I2624" s="221" t="s">
        <v>38</v>
      </c>
      <c r="J2624" s="221" t="s">
        <v>3024</v>
      </c>
      <c r="K2624" s="224" t="s">
        <v>3090</v>
      </c>
      <c r="L2624" s="348" t="str">
        <f>VLOOKUP(Logfile_S12[[#This Row],[Material Name]],Sheet2!B:C,2,0)</f>
        <v>GCI1004</v>
      </c>
      <c r="M2624" s="225" t="str">
        <f>_xlfn.XLOOKUP(Logfile_S12[[#This Row],[Material Name]],Sum_WH!E:E,Sum_WH!F:F,"",0)</f>
        <v>Pcs</v>
      </c>
      <c r="N2624" s="221">
        <v>78</v>
      </c>
      <c r="O2624" s="221">
        <v>0</v>
      </c>
      <c r="P2624" s="221">
        <v>0</v>
      </c>
      <c r="Q2624" s="221">
        <v>0</v>
      </c>
      <c r="R2624" s="221">
        <v>0</v>
      </c>
      <c r="S2624" s="221"/>
      <c r="T2624" s="221"/>
      <c r="U2624" s="221"/>
      <c r="V2624" s="221"/>
      <c r="W2624" s="221"/>
      <c r="X2624" s="221"/>
      <c r="Y2624" s="227"/>
      <c r="Z2624" s="227">
        <f t="shared" si="91"/>
        <v>0</v>
      </c>
      <c r="AA2624" s="276" t="e">
        <f>VLOOKUP(Logfile_S12[[#This Row],[DO number]],DO_DB!G:I,3,0)</f>
        <v>#N/A</v>
      </c>
      <c r="AB2624" s="331" t="e">
        <f>EXACT(Logfile_S12[[#This Row],[date pick]],Logfile_S12[[#This Row],[Date]])</f>
        <v>#N/A</v>
      </c>
      <c r="AC262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25" spans="1:29" ht="14.5" hidden="1">
      <c r="A2625" s="220" t="str">
        <f t="shared" si="90"/>
        <v>2621</v>
      </c>
      <c r="B2625" s="221"/>
      <c r="C2625" s="221" t="s">
        <v>48</v>
      </c>
      <c r="D2625" s="221" t="s">
        <v>4045</v>
      </c>
      <c r="E2625" s="221" t="s">
        <v>3295</v>
      </c>
      <c r="F2625" s="221" t="s">
        <v>3299</v>
      </c>
      <c r="G2625" s="222">
        <v>45429</v>
      </c>
      <c r="H2625" s="223">
        <v>15.291666666666666</v>
      </c>
      <c r="I2625" s="221" t="s">
        <v>38</v>
      </c>
      <c r="J2625" s="221" t="s">
        <v>3024</v>
      </c>
      <c r="K2625" s="224" t="s">
        <v>3090</v>
      </c>
      <c r="L2625" s="348" t="str">
        <f>VLOOKUP(Logfile_S12[[#This Row],[Material Name]],Sheet2!B:C,2,0)</f>
        <v>GCI1004</v>
      </c>
      <c r="M2625" s="225" t="str">
        <f>_xlfn.XLOOKUP(Logfile_S12[[#This Row],[Material Name]],Sum_WH!E:E,Sum_WH!F:F,"",0)</f>
        <v>Pcs</v>
      </c>
      <c r="N2625" s="221">
        <v>35</v>
      </c>
      <c r="O2625" s="221">
        <v>0</v>
      </c>
      <c r="P2625" s="221">
        <v>0</v>
      </c>
      <c r="Q2625" s="221">
        <v>0</v>
      </c>
      <c r="R2625" s="221">
        <v>0</v>
      </c>
      <c r="S2625" s="221"/>
      <c r="T2625" s="221"/>
      <c r="U2625" s="221"/>
      <c r="V2625" s="221"/>
      <c r="W2625" s="221"/>
      <c r="X2625" s="221"/>
      <c r="Y2625" s="227"/>
      <c r="Z2625" s="227">
        <f t="shared" si="91"/>
        <v>0</v>
      </c>
      <c r="AA2625" s="276" t="e">
        <f>VLOOKUP(Logfile_S12[[#This Row],[DO number]],DO_DB!G:I,3,0)</f>
        <v>#N/A</v>
      </c>
      <c r="AB2625" s="331" t="e">
        <f>EXACT(Logfile_S12[[#This Row],[date pick]],Logfile_S12[[#This Row],[Date]])</f>
        <v>#N/A</v>
      </c>
      <c r="AC262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26" spans="1:29" ht="14.5" hidden="1">
      <c r="A2626" s="220" t="str">
        <f t="shared" si="90"/>
        <v>2622</v>
      </c>
      <c r="B2626" s="221"/>
      <c r="C2626" s="221" t="s">
        <v>48</v>
      </c>
      <c r="D2626" s="221" t="s">
        <v>4045</v>
      </c>
      <c r="E2626" s="221" t="s">
        <v>3295</v>
      </c>
      <c r="F2626" s="221" t="s">
        <v>3299</v>
      </c>
      <c r="G2626" s="222">
        <v>45429</v>
      </c>
      <c r="H2626" s="223">
        <v>15.291666666666666</v>
      </c>
      <c r="I2626" s="221" t="s">
        <v>38</v>
      </c>
      <c r="J2626" s="221" t="s">
        <v>3024</v>
      </c>
      <c r="K2626" s="224" t="s">
        <v>3090</v>
      </c>
      <c r="L2626" s="348" t="str">
        <f>VLOOKUP(Logfile_S12[[#This Row],[Material Name]],Sheet2!B:C,2,0)</f>
        <v>GCI1004</v>
      </c>
      <c r="M2626" s="225" t="str">
        <f>_xlfn.XLOOKUP(Logfile_S12[[#This Row],[Material Name]],Sum_WH!E:E,Sum_WH!F:F,"",0)</f>
        <v>Pcs</v>
      </c>
      <c r="N2626" s="221">
        <v>52</v>
      </c>
      <c r="O2626" s="221">
        <v>0</v>
      </c>
      <c r="P2626" s="221">
        <v>0</v>
      </c>
      <c r="Q2626" s="221">
        <v>0</v>
      </c>
      <c r="R2626" s="221">
        <v>0</v>
      </c>
      <c r="S2626" s="221"/>
      <c r="T2626" s="221"/>
      <c r="U2626" s="221"/>
      <c r="V2626" s="221"/>
      <c r="W2626" s="221"/>
      <c r="X2626" s="221"/>
      <c r="Y2626" s="227"/>
      <c r="Z2626" s="227">
        <f t="shared" si="91"/>
        <v>0</v>
      </c>
      <c r="AA2626" s="276" t="e">
        <f>VLOOKUP(Logfile_S12[[#This Row],[DO number]],DO_DB!G:I,3,0)</f>
        <v>#N/A</v>
      </c>
      <c r="AB2626" s="331" t="e">
        <f>EXACT(Logfile_S12[[#This Row],[date pick]],Logfile_S12[[#This Row],[Date]])</f>
        <v>#N/A</v>
      </c>
      <c r="AC262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27" spans="1:29" ht="14.5" hidden="1">
      <c r="A2627" s="220" t="str">
        <f t="shared" si="90"/>
        <v>2623</v>
      </c>
      <c r="B2627" s="221"/>
      <c r="C2627" s="221" t="s">
        <v>49</v>
      </c>
      <c r="D2627" s="221" t="s">
        <v>4043</v>
      </c>
      <c r="E2627" s="221" t="s">
        <v>3295</v>
      </c>
      <c r="F2627" s="221" t="s">
        <v>3299</v>
      </c>
      <c r="G2627" s="222">
        <v>45429</v>
      </c>
      <c r="H2627" s="223">
        <v>0.4465277777777778</v>
      </c>
      <c r="I2627" s="221" t="s">
        <v>4916</v>
      </c>
      <c r="J2627" s="221" t="s">
        <v>3024</v>
      </c>
      <c r="K2627" s="224" t="s">
        <v>3090</v>
      </c>
      <c r="L2627" s="348" t="str">
        <f>VLOOKUP(Logfile_S12[[#This Row],[Material Name]],Sheet2!B:C,2,0)</f>
        <v>GCI1004</v>
      </c>
      <c r="M2627" s="225" t="str">
        <f>_xlfn.XLOOKUP(Logfile_S12[[#This Row],[Material Name]],Sum_WH!E:E,Sum_WH!F:F,"",0)</f>
        <v>Pcs</v>
      </c>
      <c r="N2627" s="221">
        <v>100</v>
      </c>
      <c r="O2627" s="221" t="s">
        <v>1967</v>
      </c>
      <c r="P2627" s="221" t="s">
        <v>3396</v>
      </c>
      <c r="Q2627" s="221"/>
      <c r="R2627" s="221"/>
      <c r="S2627" s="221"/>
      <c r="T2627" s="221" t="s">
        <v>3258</v>
      </c>
      <c r="U2627" s="221" t="s">
        <v>3228</v>
      </c>
      <c r="V2627" s="221" t="s">
        <v>3337</v>
      </c>
      <c r="W2627" s="221" t="s">
        <v>3338</v>
      </c>
      <c r="X2627" s="221"/>
      <c r="Y2627" s="227"/>
      <c r="Z2627" s="227" t="str">
        <f t="shared" si="91"/>
        <v>HUBFEEDER DALISODO</v>
      </c>
      <c r="AA2627" s="276" t="e">
        <f>VLOOKUP(Logfile_S12[[#This Row],[DO number]],DO_DB!G:I,3,0)</f>
        <v>#N/A</v>
      </c>
      <c r="AB2627" s="331" t="e">
        <f>EXACT(Logfile_S12[[#This Row],[date pick]],Logfile_S12[[#This Row],[Date]])</f>
        <v>#N/A</v>
      </c>
      <c r="AC262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28" spans="1:29" ht="14.5" hidden="1">
      <c r="A2628" s="220" t="str">
        <f t="shared" si="90"/>
        <v>2624</v>
      </c>
      <c r="B2628" s="221"/>
      <c r="C2628" s="221" t="s">
        <v>49</v>
      </c>
      <c r="D2628" s="221" t="s">
        <v>4056</v>
      </c>
      <c r="E2628" s="221" t="s">
        <v>3295</v>
      </c>
      <c r="F2628" s="221" t="s">
        <v>3299</v>
      </c>
      <c r="G2628" s="222">
        <v>45434</v>
      </c>
      <c r="H2628" s="223">
        <v>0.39166666666666666</v>
      </c>
      <c r="I2628" s="221" t="s">
        <v>4916</v>
      </c>
      <c r="J2628" s="221" t="s">
        <v>3024</v>
      </c>
      <c r="K2628" s="224" t="s">
        <v>3090</v>
      </c>
      <c r="L2628" s="348" t="str">
        <f>VLOOKUP(Logfile_S12[[#This Row],[Material Name]],Sheet2!B:C,2,0)</f>
        <v>GCI1004</v>
      </c>
      <c r="M2628" s="225" t="str">
        <f>_xlfn.XLOOKUP(Logfile_S12[[#This Row],[Material Name]],Sum_WH!E:E,Sum_WH!F:F,"",0)</f>
        <v>Pcs</v>
      </c>
      <c r="N2628" s="221">
        <v>20</v>
      </c>
      <c r="O2628" s="221" t="s">
        <v>1395</v>
      </c>
      <c r="P2628" s="221" t="s">
        <v>1396</v>
      </c>
      <c r="Q2628" s="221"/>
      <c r="R2628" s="221"/>
      <c r="S2628" s="221"/>
      <c r="T2628" s="221" t="s">
        <v>3258</v>
      </c>
      <c r="U2628" s="221" t="s">
        <v>3228</v>
      </c>
      <c r="V2628" s="221" t="s">
        <v>3337</v>
      </c>
      <c r="W2628" s="221" t="s">
        <v>3338</v>
      </c>
      <c r="X2628" s="221"/>
      <c r="Y2628" s="227"/>
      <c r="Z2628" s="227" t="str">
        <f t="shared" si="91"/>
        <v>Candirenggo RW 10 Singosari</v>
      </c>
      <c r="AA2628" s="276" t="e">
        <f>VLOOKUP(Logfile_S12[[#This Row],[DO number]],DO_DB!G:I,3,0)</f>
        <v>#N/A</v>
      </c>
      <c r="AB2628" s="331" t="e">
        <f>EXACT(Logfile_S12[[#This Row],[date pick]],Logfile_S12[[#This Row],[Date]])</f>
        <v>#N/A</v>
      </c>
      <c r="AC262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29" spans="1:29" ht="14.5" hidden="1">
      <c r="A2629" s="220" t="str">
        <f t="shared" ref="A2629:A2692" si="92">TEXT(ROW(A2629)-ROW($A$4),"000")</f>
        <v>2625</v>
      </c>
      <c r="B2629" s="221"/>
      <c r="C2629" s="221" t="s">
        <v>49</v>
      </c>
      <c r="D2629" s="221" t="s">
        <v>4060</v>
      </c>
      <c r="E2629" s="221" t="s">
        <v>3295</v>
      </c>
      <c r="F2629" s="221" t="s">
        <v>3299</v>
      </c>
      <c r="G2629" s="222">
        <v>45437</v>
      </c>
      <c r="H2629" s="223">
        <v>0.40277777777777773</v>
      </c>
      <c r="I2629" s="221" t="s">
        <v>4916</v>
      </c>
      <c r="J2629" s="221" t="s">
        <v>3024</v>
      </c>
      <c r="K2629" s="224" t="s">
        <v>3090</v>
      </c>
      <c r="L2629" s="348" t="str">
        <f>VLOOKUP(Logfile_S12[[#This Row],[Material Name]],Sheet2!B:C,2,0)</f>
        <v>GCI1004</v>
      </c>
      <c r="M2629" s="225" t="str">
        <f>_xlfn.XLOOKUP(Logfile_S12[[#This Row],[Material Name]],Sum_WH!E:E,Sum_WH!F:F,"",0)</f>
        <v>Pcs</v>
      </c>
      <c r="N2629" s="221">
        <v>64</v>
      </c>
      <c r="O2629" s="221" t="s">
        <v>1493</v>
      </c>
      <c r="P2629" s="221" t="s">
        <v>1494</v>
      </c>
      <c r="Q2629" s="221"/>
      <c r="R2629" s="221"/>
      <c r="S2629" s="221"/>
      <c r="T2629" s="221" t="s">
        <v>3258</v>
      </c>
      <c r="U2629" s="221" t="s">
        <v>3228</v>
      </c>
      <c r="V2629" s="221" t="s">
        <v>3337</v>
      </c>
      <c r="W2629" s="221" t="s">
        <v>3338</v>
      </c>
      <c r="X2629" s="221"/>
      <c r="Y2629" s="227"/>
      <c r="Z2629" s="227" t="str">
        <f t="shared" si="91"/>
        <v>Dusun Krajan Kucur</v>
      </c>
      <c r="AA2629" s="276" t="e">
        <f>VLOOKUP(Logfile_S12[[#This Row],[DO number]],DO_DB!G:I,3,0)</f>
        <v>#N/A</v>
      </c>
      <c r="AB2629" s="331" t="e">
        <f>EXACT(Logfile_S12[[#This Row],[date pick]],Logfile_S12[[#This Row],[Date]])</f>
        <v>#N/A</v>
      </c>
      <c r="AC262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30" spans="1:29" ht="14.5" hidden="1">
      <c r="A2630" s="220" t="str">
        <f t="shared" si="92"/>
        <v>2626</v>
      </c>
      <c r="B2630" s="221"/>
      <c r="C2630" s="221" t="s">
        <v>49</v>
      </c>
      <c r="D2630" s="221" t="s">
        <v>4068</v>
      </c>
      <c r="E2630" s="221" t="s">
        <v>3295</v>
      </c>
      <c r="F2630" s="221" t="s">
        <v>3299</v>
      </c>
      <c r="G2630" s="222">
        <v>45442</v>
      </c>
      <c r="H2630" s="223">
        <v>0.47916666666666669</v>
      </c>
      <c r="I2630" s="221" t="s">
        <v>4916</v>
      </c>
      <c r="J2630" s="221" t="s">
        <v>3024</v>
      </c>
      <c r="K2630" s="224" t="s">
        <v>3090</v>
      </c>
      <c r="L2630" s="348" t="str">
        <f>VLOOKUP(Logfile_S12[[#This Row],[Material Name]],Sheet2!B:C,2,0)</f>
        <v>GCI1004</v>
      </c>
      <c r="M2630" s="225" t="str">
        <f>_xlfn.XLOOKUP(Logfile_S12[[#This Row],[Material Name]],Sum_WH!E:E,Sum_WH!F:F,"",0)</f>
        <v>Pcs</v>
      </c>
      <c r="N2630" s="221">
        <v>52</v>
      </c>
      <c r="O2630" s="221" t="s">
        <v>1493</v>
      </c>
      <c r="P2630" s="221" t="s">
        <v>1494</v>
      </c>
      <c r="Q2630" s="221"/>
      <c r="R2630" s="221"/>
      <c r="S2630" s="221"/>
      <c r="T2630" s="221" t="s">
        <v>3258</v>
      </c>
      <c r="U2630" s="221" t="s">
        <v>3228</v>
      </c>
      <c r="V2630" s="221" t="s">
        <v>3337</v>
      </c>
      <c r="W2630" s="221" t="s">
        <v>3338</v>
      </c>
      <c r="X2630" s="221"/>
      <c r="Y2630" s="227"/>
      <c r="Z2630" s="227" t="str">
        <f t="shared" si="91"/>
        <v>Dusun Krajan Kucur</v>
      </c>
      <c r="AA2630" s="276" t="e">
        <f>VLOOKUP(Logfile_S12[[#This Row],[DO number]],DO_DB!G:I,3,0)</f>
        <v>#N/A</v>
      </c>
      <c r="AB2630" s="331" t="e">
        <f>EXACT(Logfile_S12[[#This Row],[date pick]],Logfile_S12[[#This Row],[Date]])</f>
        <v>#N/A</v>
      </c>
      <c r="AC263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31" spans="1:29" ht="14.5" hidden="1">
      <c r="A2631" s="220" t="str">
        <f t="shared" si="92"/>
        <v>2627</v>
      </c>
      <c r="B2631" s="221"/>
      <c r="C2631" s="221" t="s">
        <v>48</v>
      </c>
      <c r="D2631" s="221" t="s">
        <v>4082</v>
      </c>
      <c r="E2631" s="221" t="s">
        <v>3295</v>
      </c>
      <c r="F2631" s="221" t="s">
        <v>3299</v>
      </c>
      <c r="G2631" s="222">
        <v>45449</v>
      </c>
      <c r="H2631" s="223">
        <v>15.291666666666666</v>
      </c>
      <c r="I2631" s="221" t="s">
        <v>38</v>
      </c>
      <c r="J2631" s="221" t="s">
        <v>3024</v>
      </c>
      <c r="K2631" s="224" t="s">
        <v>3090</v>
      </c>
      <c r="L2631" s="348" t="str">
        <f>VLOOKUP(Logfile_S12[[#This Row],[Material Name]],Sheet2!B:C,2,0)</f>
        <v>GCI1004</v>
      </c>
      <c r="M2631" s="225" t="str">
        <f>_xlfn.XLOOKUP(Logfile_S12[[#This Row],[Material Name]],Sum_WH!E:E,Sum_WH!F:F,"",0)</f>
        <v>Pcs</v>
      </c>
      <c r="N2631" s="221">
        <v>106</v>
      </c>
      <c r="O2631" s="221">
        <v>0</v>
      </c>
      <c r="P2631" s="221">
        <v>0</v>
      </c>
      <c r="Q2631" s="221">
        <v>0</v>
      </c>
      <c r="R2631" s="221">
        <v>0</v>
      </c>
      <c r="S2631" s="221"/>
      <c r="T2631" s="221"/>
      <c r="U2631" s="221"/>
      <c r="V2631" s="221"/>
      <c r="W2631" s="221"/>
      <c r="X2631" s="221"/>
      <c r="Y2631" s="227"/>
      <c r="Z2631" s="227">
        <f t="shared" si="91"/>
        <v>0</v>
      </c>
      <c r="AA2631" s="276" t="e">
        <f>VLOOKUP(Logfile_S12[[#This Row],[DO number]],DO_DB!G:I,3,0)</f>
        <v>#N/A</v>
      </c>
      <c r="AB2631" s="331" t="e">
        <f>EXACT(Logfile_S12[[#This Row],[date pick]],Logfile_S12[[#This Row],[Date]])</f>
        <v>#N/A</v>
      </c>
      <c r="AC263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32" spans="1:29" ht="14.5" hidden="1">
      <c r="A2632" s="220" t="str">
        <f t="shared" si="92"/>
        <v>2628</v>
      </c>
      <c r="B2632" s="221"/>
      <c r="C2632" s="221" t="s">
        <v>49</v>
      </c>
      <c r="D2632" s="221" t="s">
        <v>4083</v>
      </c>
      <c r="E2632" s="221" t="s">
        <v>3295</v>
      </c>
      <c r="F2632" s="221" t="s">
        <v>3299</v>
      </c>
      <c r="G2632" s="222">
        <v>45450</v>
      </c>
      <c r="H2632" s="223">
        <v>0.72291666666666676</v>
      </c>
      <c r="I2632" s="221" t="s">
        <v>4916</v>
      </c>
      <c r="J2632" s="221" t="s">
        <v>3024</v>
      </c>
      <c r="K2632" s="224" t="s">
        <v>3090</v>
      </c>
      <c r="L2632" s="348" t="str">
        <f>VLOOKUP(Logfile_S12[[#This Row],[Material Name]],Sheet2!B:C,2,0)</f>
        <v>GCI1004</v>
      </c>
      <c r="M2632" s="225" t="str">
        <f>_xlfn.XLOOKUP(Logfile_S12[[#This Row],[Material Name]],Sum_WH!E:E,Sum_WH!F:F,"",0)</f>
        <v>Pcs</v>
      </c>
      <c r="N2632" s="221">
        <v>106</v>
      </c>
      <c r="O2632" s="221" t="s">
        <v>1493</v>
      </c>
      <c r="P2632" s="221" t="s">
        <v>1494</v>
      </c>
      <c r="Q2632" s="221"/>
      <c r="R2632" s="221"/>
      <c r="S2632" s="221"/>
      <c r="T2632" s="221" t="s">
        <v>3258</v>
      </c>
      <c r="U2632" s="221" t="s">
        <v>3228</v>
      </c>
      <c r="V2632" s="221" t="s">
        <v>3337</v>
      </c>
      <c r="W2632" s="221" t="s">
        <v>3338</v>
      </c>
      <c r="X2632" s="221"/>
      <c r="Y2632" s="227"/>
      <c r="Z2632" s="227" t="str">
        <f t="shared" si="91"/>
        <v>Dusun Krajan Kucur</v>
      </c>
      <c r="AA2632" s="276" t="e">
        <f>VLOOKUP(Logfile_S12[[#This Row],[DO number]],DO_DB!G:I,3,0)</f>
        <v>#N/A</v>
      </c>
      <c r="AB2632" s="331" t="e">
        <f>EXACT(Logfile_S12[[#This Row],[date pick]],Logfile_S12[[#This Row],[Date]])</f>
        <v>#N/A</v>
      </c>
      <c r="AC263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33" spans="1:29" ht="14.5" hidden="1">
      <c r="A2633" s="220" t="str">
        <f t="shared" si="92"/>
        <v>2629</v>
      </c>
      <c r="B2633" s="221"/>
      <c r="C2633" s="221" t="s">
        <v>48</v>
      </c>
      <c r="D2633" s="221" t="s">
        <v>4084</v>
      </c>
      <c r="E2633" s="221" t="s">
        <v>3295</v>
      </c>
      <c r="F2633" s="221" t="s">
        <v>3299</v>
      </c>
      <c r="G2633" s="222">
        <v>45452</v>
      </c>
      <c r="H2633" s="223">
        <v>15.291666666666666</v>
      </c>
      <c r="I2633" s="221" t="s">
        <v>38</v>
      </c>
      <c r="J2633" s="221" t="s">
        <v>3024</v>
      </c>
      <c r="K2633" s="224" t="s">
        <v>3090</v>
      </c>
      <c r="L2633" s="348" t="str">
        <f>VLOOKUP(Logfile_S12[[#This Row],[Material Name]],Sheet2!B:C,2,0)</f>
        <v>GCI1004</v>
      </c>
      <c r="M2633" s="225" t="str">
        <f>_xlfn.XLOOKUP(Logfile_S12[[#This Row],[Material Name]],Sum_WH!E:E,Sum_WH!F:F,"",0)</f>
        <v>Pcs</v>
      </c>
      <c r="N2633" s="221">
        <v>20</v>
      </c>
      <c r="O2633" s="221" t="s">
        <v>3397</v>
      </c>
      <c r="P2633" s="221">
        <v>0</v>
      </c>
      <c r="Q2633" s="221">
        <v>0</v>
      </c>
      <c r="R2633" s="221">
        <v>0</v>
      </c>
      <c r="S2633" s="221"/>
      <c r="T2633" s="221"/>
      <c r="U2633" s="221"/>
      <c r="V2633" s="221"/>
      <c r="W2633" s="221"/>
      <c r="X2633" s="221"/>
      <c r="Y2633" s="227"/>
      <c r="Z2633" s="227">
        <f t="shared" si="91"/>
        <v>0</v>
      </c>
      <c r="AA2633" s="276" t="e">
        <f>VLOOKUP(Logfile_S12[[#This Row],[DO number]],DO_DB!G:I,3,0)</f>
        <v>#N/A</v>
      </c>
      <c r="AB2633" s="331" t="e">
        <f>EXACT(Logfile_S12[[#This Row],[date pick]],Logfile_S12[[#This Row],[Date]])</f>
        <v>#N/A</v>
      </c>
      <c r="AC263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34" spans="1:29" ht="14.5" hidden="1">
      <c r="A2634" s="220" t="str">
        <f t="shared" si="92"/>
        <v>2630</v>
      </c>
      <c r="B2634" s="221"/>
      <c r="C2634" s="221" t="s">
        <v>49</v>
      </c>
      <c r="D2634" s="221" t="s">
        <v>4085</v>
      </c>
      <c r="E2634" s="221" t="s">
        <v>3295</v>
      </c>
      <c r="F2634" s="221" t="s">
        <v>3299</v>
      </c>
      <c r="G2634" s="222">
        <v>45453</v>
      </c>
      <c r="H2634" s="223">
        <v>0.56041666666666667</v>
      </c>
      <c r="I2634" s="221" t="s">
        <v>4916</v>
      </c>
      <c r="J2634" s="221" t="s">
        <v>3024</v>
      </c>
      <c r="K2634" s="224" t="s">
        <v>3090</v>
      </c>
      <c r="L2634" s="348" t="str">
        <f>VLOOKUP(Logfile_S12[[#This Row],[Material Name]],Sheet2!B:C,2,0)</f>
        <v>GCI1004</v>
      </c>
      <c r="M2634" s="225" t="str">
        <f>_xlfn.XLOOKUP(Logfile_S12[[#This Row],[Material Name]],Sum_WH!E:E,Sum_WH!F:F,"",0)</f>
        <v>Pcs</v>
      </c>
      <c r="N2634" s="221">
        <v>15</v>
      </c>
      <c r="O2634" s="221" t="s">
        <v>1473</v>
      </c>
      <c r="P2634" s="221" t="s">
        <v>1474</v>
      </c>
      <c r="Q2634" s="221"/>
      <c r="R2634" s="221"/>
      <c r="S2634" s="221"/>
      <c r="T2634" s="221" t="s">
        <v>3258</v>
      </c>
      <c r="U2634" s="221" t="s">
        <v>3228</v>
      </c>
      <c r="V2634" s="221" t="s">
        <v>3337</v>
      </c>
      <c r="W2634" s="221" t="s">
        <v>3338</v>
      </c>
      <c r="X2634" s="221"/>
      <c r="Y2634" s="227"/>
      <c r="Z2634" s="227" t="str">
        <f t="shared" si="91"/>
        <v>Dusun Sumber Bendo Kucur</v>
      </c>
      <c r="AA2634" s="276" t="e">
        <f>VLOOKUP(Logfile_S12[[#This Row],[DO number]],DO_DB!G:I,3,0)</f>
        <v>#N/A</v>
      </c>
      <c r="AB2634" s="331" t="e">
        <f>EXACT(Logfile_S12[[#This Row],[date pick]],Logfile_S12[[#This Row],[Date]])</f>
        <v>#N/A</v>
      </c>
      <c r="AC263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35" spans="1:29" ht="14.5" hidden="1">
      <c r="A2635" s="220" t="str">
        <f t="shared" si="92"/>
        <v>2631</v>
      </c>
      <c r="B2635" s="221"/>
      <c r="C2635" s="221" t="s">
        <v>48</v>
      </c>
      <c r="D2635" s="221" t="s">
        <v>4093</v>
      </c>
      <c r="E2635" s="221" t="s">
        <v>3295</v>
      </c>
      <c r="F2635" s="221" t="s">
        <v>3299</v>
      </c>
      <c r="G2635" s="222">
        <v>45462</v>
      </c>
      <c r="H2635" s="223">
        <v>15.291666666666666</v>
      </c>
      <c r="I2635" s="221" t="s">
        <v>38</v>
      </c>
      <c r="J2635" s="221" t="s">
        <v>3024</v>
      </c>
      <c r="K2635" s="224" t="s">
        <v>3090</v>
      </c>
      <c r="L2635" s="348" t="str">
        <f>VLOOKUP(Logfile_S12[[#This Row],[Material Name]],Sheet2!B:C,2,0)</f>
        <v>GCI1004</v>
      </c>
      <c r="M2635" s="225" t="str">
        <f>_xlfn.XLOOKUP(Logfile_S12[[#This Row],[Material Name]],Sum_WH!E:E,Sum_WH!F:F,"",0)</f>
        <v>Pcs</v>
      </c>
      <c r="N2635" s="221">
        <v>30</v>
      </c>
      <c r="O2635" s="221" t="s">
        <v>3397</v>
      </c>
      <c r="P2635" s="221" t="s">
        <v>3300</v>
      </c>
      <c r="Q2635" s="221">
        <v>0</v>
      </c>
      <c r="R2635" s="221">
        <v>0</v>
      </c>
      <c r="S2635" s="221"/>
      <c r="T2635" s="221"/>
      <c r="U2635" s="221"/>
      <c r="V2635" s="221"/>
      <c r="W2635" s="221"/>
      <c r="X2635" s="221"/>
      <c r="Y2635" s="227"/>
      <c r="Z2635" s="227" t="str">
        <f t="shared" si="91"/>
        <v>Pengembalian</v>
      </c>
      <c r="AA2635" s="276" t="e">
        <f>VLOOKUP(Logfile_S12[[#This Row],[DO number]],DO_DB!G:I,3,0)</f>
        <v>#N/A</v>
      </c>
      <c r="AB2635" s="331" t="e">
        <f>EXACT(Logfile_S12[[#This Row],[date pick]],Logfile_S12[[#This Row],[Date]])</f>
        <v>#N/A</v>
      </c>
      <c r="AC263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36" spans="1:29" ht="14.5" hidden="1">
      <c r="A2636" s="220" t="str">
        <f t="shared" si="92"/>
        <v>2632</v>
      </c>
      <c r="B2636" s="221"/>
      <c r="C2636" s="221" t="s">
        <v>49</v>
      </c>
      <c r="D2636" s="221" t="s">
        <v>4092</v>
      </c>
      <c r="E2636" s="221" t="s">
        <v>3295</v>
      </c>
      <c r="F2636" s="221" t="s">
        <v>3299</v>
      </c>
      <c r="G2636" s="222">
        <v>45462</v>
      </c>
      <c r="H2636" s="223">
        <v>0.52986111111111112</v>
      </c>
      <c r="I2636" s="221" t="s">
        <v>4916</v>
      </c>
      <c r="J2636" s="221" t="s">
        <v>3024</v>
      </c>
      <c r="K2636" s="224" t="s">
        <v>3090</v>
      </c>
      <c r="L2636" s="348" t="str">
        <f>VLOOKUP(Logfile_S12[[#This Row],[Material Name]],Sheet2!B:C,2,0)</f>
        <v>GCI1004</v>
      </c>
      <c r="M2636" s="225" t="str">
        <f>_xlfn.XLOOKUP(Logfile_S12[[#This Row],[Material Name]],Sum_WH!E:E,Sum_WH!F:F,"",0)</f>
        <v>Pcs</v>
      </c>
      <c r="N2636" s="221">
        <v>10</v>
      </c>
      <c r="O2636" s="221" t="s">
        <v>1683</v>
      </c>
      <c r="P2636" s="221" t="s">
        <v>1684</v>
      </c>
      <c r="Q2636" s="221"/>
      <c r="R2636" s="221"/>
      <c r="S2636" s="221"/>
      <c r="T2636" s="221" t="s">
        <v>3258</v>
      </c>
      <c r="U2636" s="221" t="s">
        <v>3228</v>
      </c>
      <c r="V2636" s="221" t="s">
        <v>3337</v>
      </c>
      <c r="W2636" s="221" t="s">
        <v>3338</v>
      </c>
      <c r="X2636" s="221"/>
      <c r="Y2636" s="227"/>
      <c r="Z2636" s="227" t="str">
        <f t="shared" ref="Z2636:Z2699" si="93">P2636</f>
        <v>Lowokwaru RW 04</v>
      </c>
      <c r="AA2636" s="276" t="e">
        <f>VLOOKUP(Logfile_S12[[#This Row],[DO number]],DO_DB!G:I,3,0)</f>
        <v>#N/A</v>
      </c>
      <c r="AB2636" s="331" t="e">
        <f>EXACT(Logfile_S12[[#This Row],[date pick]],Logfile_S12[[#This Row],[Date]])</f>
        <v>#N/A</v>
      </c>
      <c r="AC263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37" spans="1:29" ht="14.5" hidden="1">
      <c r="A2637" s="220" t="str">
        <f t="shared" si="92"/>
        <v>2633</v>
      </c>
      <c r="B2637" s="221"/>
      <c r="C2637" s="221" t="s">
        <v>49</v>
      </c>
      <c r="D2637" s="221" t="s">
        <v>4094</v>
      </c>
      <c r="E2637" s="221" t="s">
        <v>3295</v>
      </c>
      <c r="F2637" s="221" t="s">
        <v>3299</v>
      </c>
      <c r="G2637" s="222">
        <v>45463</v>
      </c>
      <c r="H2637" s="223">
        <v>0.44444444444444442</v>
      </c>
      <c r="I2637" s="221" t="s">
        <v>4916</v>
      </c>
      <c r="J2637" s="221" t="s">
        <v>3024</v>
      </c>
      <c r="K2637" s="224" t="s">
        <v>3090</v>
      </c>
      <c r="L2637" s="348" t="str">
        <f>VLOOKUP(Logfile_S12[[#This Row],[Material Name]],Sheet2!B:C,2,0)</f>
        <v>GCI1004</v>
      </c>
      <c r="M2637" s="225" t="str">
        <f>_xlfn.XLOOKUP(Logfile_S12[[#This Row],[Material Name]],Sum_WH!E:E,Sum_WH!F:F,"",0)</f>
        <v>Pcs</v>
      </c>
      <c r="N2637" s="221">
        <v>10</v>
      </c>
      <c r="O2637" s="221" t="s">
        <v>1683</v>
      </c>
      <c r="P2637" s="221" t="s">
        <v>1684</v>
      </c>
      <c r="Q2637" s="221"/>
      <c r="R2637" s="221"/>
      <c r="S2637" s="221"/>
      <c r="T2637" s="221" t="s">
        <v>3258</v>
      </c>
      <c r="U2637" s="221" t="s">
        <v>3228</v>
      </c>
      <c r="V2637" s="221" t="s">
        <v>3337</v>
      </c>
      <c r="W2637" s="221" t="s">
        <v>3338</v>
      </c>
      <c r="X2637" s="221"/>
      <c r="Y2637" s="227"/>
      <c r="Z2637" s="227" t="str">
        <f t="shared" si="93"/>
        <v>Lowokwaru RW 04</v>
      </c>
      <c r="AA2637" s="276" t="e">
        <f>VLOOKUP(Logfile_S12[[#This Row],[DO number]],DO_DB!G:I,3,0)</f>
        <v>#N/A</v>
      </c>
      <c r="AB2637" s="331" t="e">
        <f>EXACT(Logfile_S12[[#This Row],[date pick]],Logfile_S12[[#This Row],[Date]])</f>
        <v>#N/A</v>
      </c>
      <c r="AC263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38" spans="1:29" ht="14.5" hidden="1">
      <c r="A2638" s="220" t="str">
        <f t="shared" si="92"/>
        <v>2634</v>
      </c>
      <c r="B2638" s="221"/>
      <c r="C2638" s="221" t="s">
        <v>49</v>
      </c>
      <c r="D2638" s="221" t="s">
        <v>4096</v>
      </c>
      <c r="E2638" s="221" t="s">
        <v>3295</v>
      </c>
      <c r="F2638" s="221" t="s">
        <v>3299</v>
      </c>
      <c r="G2638" s="222">
        <v>45464</v>
      </c>
      <c r="H2638" s="223">
        <v>0.51180555555555551</v>
      </c>
      <c r="I2638" s="221" t="s">
        <v>4916</v>
      </c>
      <c r="J2638" s="221" t="s">
        <v>3024</v>
      </c>
      <c r="K2638" s="224" t="s">
        <v>3090</v>
      </c>
      <c r="L2638" s="348" t="str">
        <f>VLOOKUP(Logfile_S12[[#This Row],[Material Name]],Sheet2!B:C,2,0)</f>
        <v>GCI1004</v>
      </c>
      <c r="M2638" s="225" t="str">
        <f>_xlfn.XLOOKUP(Logfile_S12[[#This Row],[Material Name]],Sum_WH!E:E,Sum_WH!F:F,"",0)</f>
        <v>Pcs</v>
      </c>
      <c r="N2638" s="221">
        <v>15</v>
      </c>
      <c r="O2638" s="221" t="s">
        <v>1689</v>
      </c>
      <c r="P2638" s="221" t="s">
        <v>1690</v>
      </c>
      <c r="Q2638" s="221"/>
      <c r="R2638" s="221"/>
      <c r="S2638" s="221"/>
      <c r="T2638" s="221" t="s">
        <v>3258</v>
      </c>
      <c r="U2638" s="221" t="s">
        <v>3228</v>
      </c>
      <c r="V2638" s="221" t="s">
        <v>3337</v>
      </c>
      <c r="W2638" s="221" t="s">
        <v>3338</v>
      </c>
      <c r="X2638" s="221"/>
      <c r="Y2638" s="227"/>
      <c r="Z2638" s="227" t="str">
        <f t="shared" si="93"/>
        <v>Kebonagung RW 13 Pakisaji</v>
      </c>
      <c r="AA2638" s="276" t="e">
        <f>VLOOKUP(Logfile_S12[[#This Row],[DO number]],DO_DB!G:I,3,0)</f>
        <v>#N/A</v>
      </c>
      <c r="AB2638" s="331" t="e">
        <f>EXACT(Logfile_S12[[#This Row],[date pick]],Logfile_S12[[#This Row],[Date]])</f>
        <v>#N/A</v>
      </c>
      <c r="AC263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39" spans="1:29" ht="14.5" hidden="1">
      <c r="A2639" s="220" t="str">
        <f t="shared" si="92"/>
        <v>2635</v>
      </c>
      <c r="B2639" s="221"/>
      <c r="C2639" s="221" t="s">
        <v>48</v>
      </c>
      <c r="D2639" s="221" t="s">
        <v>4103</v>
      </c>
      <c r="E2639" s="221" t="s">
        <v>3295</v>
      </c>
      <c r="F2639" s="221" t="s">
        <v>3299</v>
      </c>
      <c r="G2639" s="222">
        <v>45468</v>
      </c>
      <c r="H2639" s="223">
        <v>15.291666666666666</v>
      </c>
      <c r="I2639" s="221" t="s">
        <v>38</v>
      </c>
      <c r="J2639" s="221" t="s">
        <v>3024</v>
      </c>
      <c r="K2639" s="224" t="s">
        <v>3090</v>
      </c>
      <c r="L2639" s="348" t="str">
        <f>VLOOKUP(Logfile_S12[[#This Row],[Material Name]],Sheet2!B:C,2,0)</f>
        <v>GCI1004</v>
      </c>
      <c r="M2639" s="225" t="str">
        <f>_xlfn.XLOOKUP(Logfile_S12[[#This Row],[Material Name]],Sum_WH!E:E,Sum_WH!F:F,"",0)</f>
        <v>Pcs</v>
      </c>
      <c r="N2639" s="221">
        <v>127</v>
      </c>
      <c r="O2639" s="221">
        <v>0</v>
      </c>
      <c r="P2639" s="221">
        <v>0</v>
      </c>
      <c r="Q2639" s="221">
        <v>0</v>
      </c>
      <c r="R2639" s="221">
        <v>0</v>
      </c>
      <c r="S2639" s="221"/>
      <c r="T2639" s="221"/>
      <c r="U2639" s="221"/>
      <c r="V2639" s="221"/>
      <c r="W2639" s="221"/>
      <c r="X2639" s="221"/>
      <c r="Y2639" s="227"/>
      <c r="Z2639" s="227">
        <f t="shared" si="93"/>
        <v>0</v>
      </c>
      <c r="AA2639" s="276" t="e">
        <f>VLOOKUP(Logfile_S12[[#This Row],[DO number]],DO_DB!G:I,3,0)</f>
        <v>#N/A</v>
      </c>
      <c r="AB2639" s="331" t="e">
        <f>EXACT(Logfile_S12[[#This Row],[date pick]],Logfile_S12[[#This Row],[Date]])</f>
        <v>#N/A</v>
      </c>
      <c r="AC263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40" spans="1:29" ht="14.5" hidden="1">
      <c r="A2640" s="220" t="str">
        <f t="shared" si="92"/>
        <v>2636</v>
      </c>
      <c r="B2640" s="221"/>
      <c r="C2640" s="221" t="s">
        <v>49</v>
      </c>
      <c r="D2640" s="221" t="s">
        <v>4104</v>
      </c>
      <c r="E2640" s="221" t="s">
        <v>3295</v>
      </c>
      <c r="F2640" s="221" t="s">
        <v>3299</v>
      </c>
      <c r="G2640" s="222">
        <v>45469</v>
      </c>
      <c r="H2640" s="223">
        <v>0.4145833333333333</v>
      </c>
      <c r="I2640" s="221" t="s">
        <v>4916</v>
      </c>
      <c r="J2640" s="221" t="s">
        <v>3024</v>
      </c>
      <c r="K2640" s="224" t="s">
        <v>3090</v>
      </c>
      <c r="L2640" s="348" t="str">
        <f>VLOOKUP(Logfile_S12[[#This Row],[Material Name]],Sheet2!B:C,2,0)</f>
        <v>GCI1004</v>
      </c>
      <c r="M2640" s="225" t="str">
        <f>_xlfn.XLOOKUP(Logfile_S12[[#This Row],[Material Name]],Sum_WH!E:E,Sum_WH!F:F,"",0)</f>
        <v>Pcs</v>
      </c>
      <c r="N2640" s="221">
        <v>51</v>
      </c>
      <c r="O2640" s="221" t="s">
        <v>1689</v>
      </c>
      <c r="P2640" s="221" t="s">
        <v>1690</v>
      </c>
      <c r="Q2640" s="221"/>
      <c r="R2640" s="221"/>
      <c r="S2640" s="221"/>
      <c r="T2640" s="221" t="s">
        <v>3258</v>
      </c>
      <c r="U2640" s="221" t="s">
        <v>3228</v>
      </c>
      <c r="V2640" s="221" t="s">
        <v>3337</v>
      </c>
      <c r="W2640" s="221" t="s">
        <v>3338</v>
      </c>
      <c r="X2640" s="221"/>
      <c r="Y2640" s="227"/>
      <c r="Z2640" s="227" t="str">
        <f t="shared" si="93"/>
        <v>Kebonagung RW 13 Pakisaji</v>
      </c>
      <c r="AA2640" s="276" t="e">
        <f>VLOOKUP(Logfile_S12[[#This Row],[DO number]],DO_DB!G:I,3,0)</f>
        <v>#N/A</v>
      </c>
      <c r="AB2640" s="331" t="e">
        <f>EXACT(Logfile_S12[[#This Row],[date pick]],Logfile_S12[[#This Row],[Date]])</f>
        <v>#N/A</v>
      </c>
      <c r="AC264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41" spans="1:29" ht="14.5" hidden="1">
      <c r="A2641" s="220" t="str">
        <f t="shared" si="92"/>
        <v>2637</v>
      </c>
      <c r="B2641" s="221"/>
      <c r="C2641" s="221" t="s">
        <v>49</v>
      </c>
      <c r="D2641" s="221" t="s">
        <v>4106</v>
      </c>
      <c r="E2641" s="221" t="s">
        <v>3295</v>
      </c>
      <c r="F2641" s="221" t="s">
        <v>3299</v>
      </c>
      <c r="G2641" s="222">
        <v>45470</v>
      </c>
      <c r="H2641" s="223">
        <v>0.53680555555555554</v>
      </c>
      <c r="I2641" s="221" t="s">
        <v>4916</v>
      </c>
      <c r="J2641" s="221" t="s">
        <v>3024</v>
      </c>
      <c r="K2641" s="224" t="s">
        <v>3090</v>
      </c>
      <c r="L2641" s="348" t="str">
        <f>VLOOKUP(Logfile_S12[[#This Row],[Material Name]],Sheet2!B:C,2,0)</f>
        <v>GCI1004</v>
      </c>
      <c r="M2641" s="225" t="str">
        <f>_xlfn.XLOOKUP(Logfile_S12[[#This Row],[Material Name]],Sum_WH!E:E,Sum_WH!F:F,"",0)</f>
        <v>Pcs</v>
      </c>
      <c r="N2641" s="221">
        <v>50</v>
      </c>
      <c r="O2641" s="221" t="s">
        <v>1705</v>
      </c>
      <c r="P2641" s="221" t="s">
        <v>1706</v>
      </c>
      <c r="Q2641" s="221"/>
      <c r="R2641" s="221"/>
      <c r="S2641" s="221"/>
      <c r="T2641" s="221" t="s">
        <v>3258</v>
      </c>
      <c r="U2641" s="221" t="s">
        <v>3228</v>
      </c>
      <c r="V2641" s="221" t="s">
        <v>3337</v>
      </c>
      <c r="W2641" s="221" t="s">
        <v>3338</v>
      </c>
      <c r="X2641" s="221"/>
      <c r="Y2641" s="227"/>
      <c r="Z2641" s="227" t="str">
        <f t="shared" si="93"/>
        <v>Perumahan Kepanjen Permai II</v>
      </c>
      <c r="AA2641" s="276" t="e">
        <f>VLOOKUP(Logfile_S12[[#This Row],[DO number]],DO_DB!G:I,3,0)</f>
        <v>#N/A</v>
      </c>
      <c r="AB2641" s="331" t="e">
        <f>EXACT(Logfile_S12[[#This Row],[date pick]],Logfile_S12[[#This Row],[Date]])</f>
        <v>#N/A</v>
      </c>
      <c r="AC264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42" spans="1:29" ht="14.5" hidden="1">
      <c r="A2642" s="220" t="str">
        <f t="shared" si="92"/>
        <v>2638</v>
      </c>
      <c r="B2642" s="221"/>
      <c r="C2642" s="221" t="s">
        <v>48</v>
      </c>
      <c r="D2642" s="221" t="s">
        <v>4108</v>
      </c>
      <c r="E2642" s="221" t="s">
        <v>3295</v>
      </c>
      <c r="F2642" s="221" t="s">
        <v>3299</v>
      </c>
      <c r="G2642" s="222">
        <v>45476</v>
      </c>
      <c r="H2642" s="223">
        <v>15.291666666666666</v>
      </c>
      <c r="I2642" s="221" t="s">
        <v>38</v>
      </c>
      <c r="J2642" s="221" t="s">
        <v>3024</v>
      </c>
      <c r="K2642" s="224" t="s">
        <v>3090</v>
      </c>
      <c r="L2642" s="348" t="str">
        <f>VLOOKUP(Logfile_S12[[#This Row],[Material Name]],Sheet2!B:C,2,0)</f>
        <v>GCI1004</v>
      </c>
      <c r="M2642" s="225" t="str">
        <f>_xlfn.XLOOKUP(Logfile_S12[[#This Row],[Material Name]],Sum_WH!E:E,Sum_WH!F:F,"",0)</f>
        <v>Pcs</v>
      </c>
      <c r="N2642" s="221">
        <v>157</v>
      </c>
      <c r="O2642" s="221">
        <v>0</v>
      </c>
      <c r="P2642" s="221" t="s">
        <v>3373</v>
      </c>
      <c r="Q2642" s="221">
        <v>0</v>
      </c>
      <c r="R2642" s="221">
        <v>0</v>
      </c>
      <c r="S2642" s="221"/>
      <c r="T2642" s="221"/>
      <c r="U2642" s="221"/>
      <c r="V2642" s="221"/>
      <c r="W2642" s="221"/>
      <c r="X2642" s="221"/>
      <c r="Y2642" s="227"/>
      <c r="Z2642" s="227" t="str">
        <f t="shared" si="93"/>
        <v>HALIM JAYA</v>
      </c>
      <c r="AA2642" s="276" t="e">
        <f>VLOOKUP(Logfile_S12[[#This Row],[DO number]],DO_DB!G:I,3,0)</f>
        <v>#N/A</v>
      </c>
      <c r="AB2642" s="331" t="e">
        <f>EXACT(Logfile_S12[[#This Row],[date pick]],Logfile_S12[[#This Row],[Date]])</f>
        <v>#N/A</v>
      </c>
      <c r="AC264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43" spans="1:29" ht="14.5" hidden="1">
      <c r="A2643" s="220" t="str">
        <f t="shared" si="92"/>
        <v>2639</v>
      </c>
      <c r="B2643" s="221"/>
      <c r="C2643" s="221" t="s">
        <v>49</v>
      </c>
      <c r="D2643" s="221" t="s">
        <v>4131</v>
      </c>
      <c r="E2643" s="221" t="s">
        <v>3295</v>
      </c>
      <c r="F2643" s="221" t="s">
        <v>3299</v>
      </c>
      <c r="G2643" s="222">
        <v>45500</v>
      </c>
      <c r="H2643" s="223">
        <v>0.59027777777777779</v>
      </c>
      <c r="I2643" s="221" t="s">
        <v>4916</v>
      </c>
      <c r="J2643" s="221" t="s">
        <v>3024</v>
      </c>
      <c r="K2643" s="224" t="s">
        <v>3090</v>
      </c>
      <c r="L2643" s="348" t="str">
        <f>VLOOKUP(Logfile_S12[[#This Row],[Material Name]],Sheet2!B:C,2,0)</f>
        <v>GCI1004</v>
      </c>
      <c r="M2643" s="225" t="str">
        <f>_xlfn.XLOOKUP(Logfile_S12[[#This Row],[Material Name]],Sum_WH!E:E,Sum_WH!F:F,"",0)</f>
        <v>Pcs</v>
      </c>
      <c r="N2643" s="221">
        <v>34</v>
      </c>
      <c r="O2643" s="221" t="s">
        <v>1803</v>
      </c>
      <c r="P2643" s="221" t="s">
        <v>1804</v>
      </c>
      <c r="Q2643" s="221"/>
      <c r="R2643" s="221"/>
      <c r="S2643" s="221"/>
      <c r="T2643" s="221" t="s">
        <v>3258</v>
      </c>
      <c r="U2643" s="221" t="s">
        <v>3228</v>
      </c>
      <c r="V2643" s="221" t="s">
        <v>3337</v>
      </c>
      <c r="W2643" s="221" t="s">
        <v>3338</v>
      </c>
      <c r="X2643" s="221"/>
      <c r="Y2643" s="227"/>
      <c r="Z2643" s="227" t="str">
        <f t="shared" si="93"/>
        <v>Dusun Langlang IV Singosari</v>
      </c>
      <c r="AA2643" s="276" t="e">
        <f>VLOOKUP(Logfile_S12[[#This Row],[DO number]],DO_DB!G:I,3,0)</f>
        <v>#N/A</v>
      </c>
      <c r="AB2643" s="331" t="e">
        <f>EXACT(Logfile_S12[[#This Row],[date pick]],Logfile_S12[[#This Row],[Date]])</f>
        <v>#N/A</v>
      </c>
      <c r="AC264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44" spans="1:29" ht="14.5" hidden="1">
      <c r="A2644" s="220" t="str">
        <f t="shared" si="92"/>
        <v>2640</v>
      </c>
      <c r="B2644" s="221"/>
      <c r="C2644" s="221" t="s">
        <v>49</v>
      </c>
      <c r="D2644" s="221" t="s">
        <v>4135</v>
      </c>
      <c r="E2644" s="221" t="s">
        <v>3295</v>
      </c>
      <c r="F2644" s="221" t="s">
        <v>3299</v>
      </c>
      <c r="G2644" s="222">
        <v>45503</v>
      </c>
      <c r="H2644" s="223">
        <v>0.43333333333333335</v>
      </c>
      <c r="I2644" s="221" t="s">
        <v>4916</v>
      </c>
      <c r="J2644" s="221" t="s">
        <v>3024</v>
      </c>
      <c r="K2644" s="224" t="s">
        <v>3090</v>
      </c>
      <c r="L2644" s="348" t="str">
        <f>VLOOKUP(Logfile_S12[[#This Row],[Material Name]],Sheet2!B:C,2,0)</f>
        <v>GCI1004</v>
      </c>
      <c r="M2644" s="225" t="str">
        <f>_xlfn.XLOOKUP(Logfile_S12[[#This Row],[Material Name]],Sum_WH!E:E,Sum_WH!F:F,"",0)</f>
        <v>Pcs</v>
      </c>
      <c r="N2644" s="221">
        <v>50</v>
      </c>
      <c r="O2644" s="221" t="s">
        <v>1803</v>
      </c>
      <c r="P2644" s="221" t="s">
        <v>1804</v>
      </c>
      <c r="Q2644" s="221"/>
      <c r="R2644" s="221"/>
      <c r="S2644" s="221"/>
      <c r="T2644" s="221" t="s">
        <v>3258</v>
      </c>
      <c r="U2644" s="221" t="s">
        <v>3228</v>
      </c>
      <c r="V2644" s="221" t="s">
        <v>3337</v>
      </c>
      <c r="W2644" s="221" t="s">
        <v>3338</v>
      </c>
      <c r="X2644" s="221"/>
      <c r="Y2644" s="227"/>
      <c r="Z2644" s="227" t="str">
        <f t="shared" si="93"/>
        <v>Dusun Langlang IV Singosari</v>
      </c>
      <c r="AA2644" s="276" t="e">
        <f>VLOOKUP(Logfile_S12[[#This Row],[DO number]],DO_DB!G:I,3,0)</f>
        <v>#N/A</v>
      </c>
      <c r="AB2644" s="331" t="e">
        <f>EXACT(Logfile_S12[[#This Row],[date pick]],Logfile_S12[[#This Row],[Date]])</f>
        <v>#N/A</v>
      </c>
      <c r="AC264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45" spans="1:29" ht="14.5" hidden="1">
      <c r="A2645" s="220" t="str">
        <f t="shared" si="92"/>
        <v>2641</v>
      </c>
      <c r="B2645" s="221"/>
      <c r="C2645" s="221" t="s">
        <v>48</v>
      </c>
      <c r="D2645" s="221" t="s">
        <v>4141</v>
      </c>
      <c r="E2645" s="221" t="s">
        <v>3295</v>
      </c>
      <c r="F2645" s="221" t="s">
        <v>3299</v>
      </c>
      <c r="G2645" s="222">
        <v>45506</v>
      </c>
      <c r="H2645" s="223">
        <v>15.291666666666666</v>
      </c>
      <c r="I2645" s="221" t="s">
        <v>38</v>
      </c>
      <c r="J2645" s="221" t="s">
        <v>3024</v>
      </c>
      <c r="K2645" s="224" t="s">
        <v>3090</v>
      </c>
      <c r="L2645" s="348" t="str">
        <f>VLOOKUP(Logfile_S12[[#This Row],[Material Name]],Sheet2!B:C,2,0)</f>
        <v>GCI1004</v>
      </c>
      <c r="M2645" s="225" t="str">
        <f>_xlfn.XLOOKUP(Logfile_S12[[#This Row],[Material Name]],Sum_WH!E:E,Sum_WH!F:F,"",0)</f>
        <v>Pcs</v>
      </c>
      <c r="N2645" s="221">
        <v>145</v>
      </c>
      <c r="O2645" s="221">
        <v>0</v>
      </c>
      <c r="P2645" s="221">
        <v>0</v>
      </c>
      <c r="Q2645" s="221">
        <v>0</v>
      </c>
      <c r="R2645" s="221">
        <v>0</v>
      </c>
      <c r="S2645" s="221"/>
      <c r="T2645" s="221"/>
      <c r="U2645" s="221"/>
      <c r="V2645" s="221"/>
      <c r="W2645" s="221"/>
      <c r="X2645" s="221"/>
      <c r="Y2645" s="227"/>
      <c r="Z2645" s="227">
        <f t="shared" si="93"/>
        <v>0</v>
      </c>
      <c r="AA2645" s="276" t="e">
        <f>VLOOKUP(Logfile_S12[[#This Row],[DO number]],DO_DB!G:I,3,0)</f>
        <v>#N/A</v>
      </c>
      <c r="AB2645" s="331" t="e">
        <f>EXACT(Logfile_S12[[#This Row],[date pick]],Logfile_S12[[#This Row],[Date]])</f>
        <v>#N/A</v>
      </c>
      <c r="AC264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46" spans="1:29" ht="14.5" hidden="1">
      <c r="A2646" s="220" t="str">
        <f t="shared" si="92"/>
        <v>2642</v>
      </c>
      <c r="B2646" s="221"/>
      <c r="C2646" s="221" t="s">
        <v>49</v>
      </c>
      <c r="D2646" s="221" t="s">
        <v>4149</v>
      </c>
      <c r="E2646" s="221" t="s">
        <v>3295</v>
      </c>
      <c r="F2646" s="221" t="s">
        <v>3299</v>
      </c>
      <c r="G2646" s="222">
        <v>45511</v>
      </c>
      <c r="H2646" s="223">
        <v>0.44861111111111113</v>
      </c>
      <c r="I2646" s="221" t="s">
        <v>4916</v>
      </c>
      <c r="J2646" s="221" t="s">
        <v>3024</v>
      </c>
      <c r="K2646" s="224" t="s">
        <v>3090</v>
      </c>
      <c r="L2646" s="348" t="str">
        <f>VLOOKUP(Logfile_S12[[#This Row],[Material Name]],Sheet2!B:C,2,0)</f>
        <v>GCI1004</v>
      </c>
      <c r="M2646" s="225" t="str">
        <f>_xlfn.XLOOKUP(Logfile_S12[[#This Row],[Material Name]],Sum_WH!E:E,Sum_WH!F:F,"",0)</f>
        <v>Pcs</v>
      </c>
      <c r="N2646" s="221">
        <v>20</v>
      </c>
      <c r="O2646" s="221" t="s">
        <v>1807</v>
      </c>
      <c r="P2646" s="221" t="s">
        <v>3399</v>
      </c>
      <c r="Q2646" s="221"/>
      <c r="R2646" s="221"/>
      <c r="S2646" s="221"/>
      <c r="T2646" s="221" t="s">
        <v>3244</v>
      </c>
      <c r="U2646" s="221">
        <v>0</v>
      </c>
      <c r="V2646" s="221" t="s">
        <v>3248</v>
      </c>
      <c r="W2646" s="221" t="s">
        <v>3252</v>
      </c>
      <c r="X2646" s="221"/>
      <c r="Y2646" s="227"/>
      <c r="Z2646" s="227" t="str">
        <f t="shared" si="93"/>
        <v>HUBFEEDER TIRTASANI TO GIRIMOYO</v>
      </c>
      <c r="AA2646" s="276" t="e">
        <f>VLOOKUP(Logfile_S12[[#This Row],[DO number]],DO_DB!G:I,3,0)</f>
        <v>#N/A</v>
      </c>
      <c r="AB2646" s="331" t="e">
        <f>EXACT(Logfile_S12[[#This Row],[date pick]],Logfile_S12[[#This Row],[Date]])</f>
        <v>#N/A</v>
      </c>
      <c r="AC264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47" spans="1:29" ht="14.5" hidden="1">
      <c r="A2647" s="220" t="str">
        <f t="shared" si="92"/>
        <v>2643</v>
      </c>
      <c r="B2647" s="221"/>
      <c r="C2647" s="221" t="s">
        <v>49</v>
      </c>
      <c r="D2647" s="221" t="s">
        <v>4150</v>
      </c>
      <c r="E2647" s="221" t="s">
        <v>3295</v>
      </c>
      <c r="F2647" s="221" t="s">
        <v>3299</v>
      </c>
      <c r="G2647" s="222">
        <v>45511</v>
      </c>
      <c r="H2647" s="223">
        <v>0.78333333333333333</v>
      </c>
      <c r="I2647" s="221" t="s">
        <v>4916</v>
      </c>
      <c r="J2647" s="221" t="s">
        <v>3024</v>
      </c>
      <c r="K2647" s="224" t="s">
        <v>3090</v>
      </c>
      <c r="L2647" s="348" t="str">
        <f>VLOOKUP(Logfile_S12[[#This Row],[Material Name]],Sheet2!B:C,2,0)</f>
        <v>GCI1004</v>
      </c>
      <c r="M2647" s="225" t="str">
        <f>_xlfn.XLOOKUP(Logfile_S12[[#This Row],[Material Name]],Sum_WH!E:E,Sum_WH!F:F,"",0)</f>
        <v>Pcs</v>
      </c>
      <c r="N2647" s="221">
        <v>50</v>
      </c>
      <c r="O2647" s="221" t="s">
        <v>1799</v>
      </c>
      <c r="P2647" s="221" t="s">
        <v>3398</v>
      </c>
      <c r="Q2647" s="221"/>
      <c r="R2647" s="221"/>
      <c r="S2647" s="221"/>
      <c r="T2647" s="221" t="s">
        <v>3258</v>
      </c>
      <c r="U2647" s="221" t="s">
        <v>3228</v>
      </c>
      <c r="V2647" s="221" t="s">
        <v>3337</v>
      </c>
      <c r="W2647" s="221" t="s">
        <v>3338</v>
      </c>
      <c r="X2647" s="221"/>
      <c r="Y2647" s="227"/>
      <c r="Z2647" s="227" t="str">
        <f t="shared" si="93"/>
        <v>HUBFEEDER KEPANJEN TO JATIKERTO</v>
      </c>
      <c r="AA2647" s="276" t="e">
        <f>VLOOKUP(Logfile_S12[[#This Row],[DO number]],DO_DB!G:I,3,0)</f>
        <v>#N/A</v>
      </c>
      <c r="AB2647" s="331" t="e">
        <f>EXACT(Logfile_S12[[#This Row],[date pick]],Logfile_S12[[#This Row],[Date]])</f>
        <v>#N/A</v>
      </c>
      <c r="AC264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48" spans="1:29" ht="14.5" hidden="1">
      <c r="A2648" s="220" t="str">
        <f t="shared" si="92"/>
        <v>2644</v>
      </c>
      <c r="B2648" s="221"/>
      <c r="C2648" s="221" t="s">
        <v>49</v>
      </c>
      <c r="D2648" s="221" t="s">
        <v>4153</v>
      </c>
      <c r="E2648" s="221" t="s">
        <v>3295</v>
      </c>
      <c r="F2648" s="221" t="s">
        <v>3299</v>
      </c>
      <c r="G2648" s="222">
        <v>45512</v>
      </c>
      <c r="H2648" s="223">
        <v>0.54722222222222228</v>
      </c>
      <c r="I2648" s="221" t="s">
        <v>4916</v>
      </c>
      <c r="J2648" s="221" t="s">
        <v>3024</v>
      </c>
      <c r="K2648" s="224" t="s">
        <v>3090</v>
      </c>
      <c r="L2648" s="348" t="str">
        <f>VLOOKUP(Logfile_S12[[#This Row],[Material Name]],Sheet2!B:C,2,0)</f>
        <v>GCI1004</v>
      </c>
      <c r="M2648" s="225" t="str">
        <f>_xlfn.XLOOKUP(Logfile_S12[[#This Row],[Material Name]],Sum_WH!E:E,Sum_WH!F:F,"",0)</f>
        <v>Pcs</v>
      </c>
      <c r="N2648" s="221">
        <v>50</v>
      </c>
      <c r="O2648" s="221" t="s">
        <v>1807</v>
      </c>
      <c r="P2648" s="221" t="s">
        <v>3399</v>
      </c>
      <c r="Q2648" s="221"/>
      <c r="R2648" s="221"/>
      <c r="S2648" s="221"/>
      <c r="T2648" s="221" t="s">
        <v>3244</v>
      </c>
      <c r="U2648" s="221">
        <v>0</v>
      </c>
      <c r="V2648" s="221" t="s">
        <v>3248</v>
      </c>
      <c r="W2648" s="221" t="s">
        <v>3252</v>
      </c>
      <c r="X2648" s="221"/>
      <c r="Y2648" s="227"/>
      <c r="Z2648" s="227" t="str">
        <f t="shared" si="93"/>
        <v>HUBFEEDER TIRTASANI TO GIRIMOYO</v>
      </c>
      <c r="AA2648" s="276" t="e">
        <f>VLOOKUP(Logfile_S12[[#This Row],[DO number]],DO_DB!G:I,3,0)</f>
        <v>#N/A</v>
      </c>
      <c r="AB2648" s="331" t="e">
        <f>EXACT(Logfile_S12[[#This Row],[date pick]],Logfile_S12[[#This Row],[Date]])</f>
        <v>#N/A</v>
      </c>
      <c r="AC264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49" spans="1:29" ht="14.5" hidden="1">
      <c r="A2649" s="220" t="str">
        <f t="shared" si="92"/>
        <v>2645</v>
      </c>
      <c r="B2649" s="221"/>
      <c r="C2649" s="221" t="s">
        <v>48</v>
      </c>
      <c r="D2649" s="221" t="s">
        <v>4156</v>
      </c>
      <c r="E2649" s="221" t="s">
        <v>3295</v>
      </c>
      <c r="F2649" s="221" t="s">
        <v>3299</v>
      </c>
      <c r="G2649" s="222">
        <v>45514</v>
      </c>
      <c r="H2649" s="223">
        <v>15.291666666666666</v>
      </c>
      <c r="I2649" s="221" t="s">
        <v>38</v>
      </c>
      <c r="J2649" s="221" t="s">
        <v>3024</v>
      </c>
      <c r="K2649" s="224" t="s">
        <v>3090</v>
      </c>
      <c r="L2649" s="348" t="str">
        <f>VLOOKUP(Logfile_S12[[#This Row],[Material Name]],Sheet2!B:C,2,0)</f>
        <v>GCI1004</v>
      </c>
      <c r="M2649" s="225" t="str">
        <f>_xlfn.XLOOKUP(Logfile_S12[[#This Row],[Material Name]],Sum_WH!E:E,Sum_WH!F:F,"",0)</f>
        <v>Pcs</v>
      </c>
      <c r="N2649" s="221">
        <v>35</v>
      </c>
      <c r="O2649" s="221" t="s">
        <v>3397</v>
      </c>
      <c r="P2649" s="221" t="s">
        <v>3300</v>
      </c>
      <c r="Q2649" s="221">
        <v>0</v>
      </c>
      <c r="R2649" s="221">
        <v>0</v>
      </c>
      <c r="S2649" s="221"/>
      <c r="T2649" s="221"/>
      <c r="U2649" s="221"/>
      <c r="V2649" s="221"/>
      <c r="W2649" s="221"/>
      <c r="X2649" s="221"/>
      <c r="Y2649" s="227"/>
      <c r="Z2649" s="227" t="str">
        <f t="shared" si="93"/>
        <v>Pengembalian</v>
      </c>
      <c r="AA2649" s="276" t="e">
        <f>VLOOKUP(Logfile_S12[[#This Row],[DO number]],DO_DB!G:I,3,0)</f>
        <v>#N/A</v>
      </c>
      <c r="AB2649" s="331" t="e">
        <f>EXACT(Logfile_S12[[#This Row],[date pick]],Logfile_S12[[#This Row],[Date]])</f>
        <v>#N/A</v>
      </c>
      <c r="AC264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50" spans="1:29" ht="14.5" hidden="1">
      <c r="A2650" s="220" t="str">
        <f t="shared" si="92"/>
        <v>2646</v>
      </c>
      <c r="B2650" s="221"/>
      <c r="C2650" s="221" t="s">
        <v>49</v>
      </c>
      <c r="D2650" s="221" t="s">
        <v>4158</v>
      </c>
      <c r="E2650" s="221" t="s">
        <v>3295</v>
      </c>
      <c r="F2650" s="221" t="s">
        <v>3299</v>
      </c>
      <c r="G2650" s="222">
        <v>45518</v>
      </c>
      <c r="H2650" s="223">
        <v>0.41666666666666669</v>
      </c>
      <c r="I2650" s="221" t="s">
        <v>4916</v>
      </c>
      <c r="J2650" s="221" t="s">
        <v>3024</v>
      </c>
      <c r="K2650" s="224" t="s">
        <v>3090</v>
      </c>
      <c r="L2650" s="348" t="str">
        <f>VLOOKUP(Logfile_S12[[#This Row],[Material Name]],Sheet2!B:C,2,0)</f>
        <v>GCI1004</v>
      </c>
      <c r="M2650" s="225" t="str">
        <f>_xlfn.XLOOKUP(Logfile_S12[[#This Row],[Material Name]],Sum_WH!E:E,Sum_WH!F:F,"",0)</f>
        <v>Pcs</v>
      </c>
      <c r="N2650" s="221">
        <v>50</v>
      </c>
      <c r="O2650" s="221" t="s">
        <v>1807</v>
      </c>
      <c r="P2650" s="221" t="s">
        <v>3399</v>
      </c>
      <c r="Q2650" s="221"/>
      <c r="R2650" s="221"/>
      <c r="S2650" s="221"/>
      <c r="T2650" s="221" t="s">
        <v>3258</v>
      </c>
      <c r="U2650" s="221" t="s">
        <v>3228</v>
      </c>
      <c r="V2650" s="221" t="s">
        <v>3337</v>
      </c>
      <c r="W2650" s="221" t="s">
        <v>3338</v>
      </c>
      <c r="X2650" s="221"/>
      <c r="Y2650" s="227"/>
      <c r="Z2650" s="227" t="str">
        <f t="shared" si="93"/>
        <v>HUBFEEDER TIRTASANI TO GIRIMOYO</v>
      </c>
      <c r="AA2650" s="276" t="e">
        <f>VLOOKUP(Logfile_S12[[#This Row],[DO number]],DO_DB!G:I,3,0)</f>
        <v>#N/A</v>
      </c>
      <c r="AB2650" s="331" t="e">
        <f>EXACT(Logfile_S12[[#This Row],[date pick]],Logfile_S12[[#This Row],[Date]])</f>
        <v>#N/A</v>
      </c>
      <c r="AC265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51" spans="1:29" ht="14.5" hidden="1">
      <c r="A2651" s="220" t="str">
        <f t="shared" si="92"/>
        <v>2647</v>
      </c>
      <c r="B2651" s="221"/>
      <c r="C2651" s="221" t="s">
        <v>49</v>
      </c>
      <c r="D2651" s="221" t="s">
        <v>4164</v>
      </c>
      <c r="E2651" s="221" t="s">
        <v>3295</v>
      </c>
      <c r="F2651" s="221" t="s">
        <v>3299</v>
      </c>
      <c r="G2651" s="222">
        <v>45524</v>
      </c>
      <c r="H2651" s="223">
        <v>0.70416666666666672</v>
      </c>
      <c r="I2651" s="221" t="s">
        <v>4916</v>
      </c>
      <c r="J2651" s="221" t="s">
        <v>3024</v>
      </c>
      <c r="K2651" s="224" t="s">
        <v>3090</v>
      </c>
      <c r="L2651" s="348" t="str">
        <f>VLOOKUP(Logfile_S12[[#This Row],[Material Name]],Sheet2!B:C,2,0)</f>
        <v>GCI1004</v>
      </c>
      <c r="M2651" s="225" t="str">
        <f>_xlfn.XLOOKUP(Logfile_S12[[#This Row],[Material Name]],Sum_WH!E:E,Sum_WH!F:F,"",0)</f>
        <v>Pcs</v>
      </c>
      <c r="N2651" s="221">
        <v>15</v>
      </c>
      <c r="O2651" s="221" t="s">
        <v>1391</v>
      </c>
      <c r="P2651" s="221" t="s">
        <v>1392</v>
      </c>
      <c r="Q2651" s="221"/>
      <c r="R2651" s="221"/>
      <c r="S2651" s="221"/>
      <c r="T2651" s="221" t="s">
        <v>3244</v>
      </c>
      <c r="U2651" s="221">
        <v>0</v>
      </c>
      <c r="V2651" s="221" t="s">
        <v>3248</v>
      </c>
      <c r="W2651" s="221" t="s">
        <v>3252</v>
      </c>
      <c r="X2651" s="221"/>
      <c r="Y2651" s="227"/>
      <c r="Z2651" s="227" t="str">
        <f t="shared" si="93"/>
        <v>Klampok RW 01 Singosari</v>
      </c>
      <c r="AA2651" s="276" t="e">
        <f>VLOOKUP(Logfile_S12[[#This Row],[DO number]],DO_DB!G:I,3,0)</f>
        <v>#N/A</v>
      </c>
      <c r="AB2651" s="331" t="e">
        <f>EXACT(Logfile_S12[[#This Row],[date pick]],Logfile_S12[[#This Row],[Date]])</f>
        <v>#N/A</v>
      </c>
      <c r="AC265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52" spans="1:29" ht="14.5" hidden="1">
      <c r="A2652" s="220" t="str">
        <f t="shared" si="92"/>
        <v>2648</v>
      </c>
      <c r="B2652" s="221"/>
      <c r="C2652" s="221" t="s">
        <v>49</v>
      </c>
      <c r="D2652" s="221" t="s">
        <v>4173</v>
      </c>
      <c r="E2652" s="221" t="s">
        <v>3295</v>
      </c>
      <c r="F2652" s="221" t="s">
        <v>3299</v>
      </c>
      <c r="G2652" s="222">
        <v>45527</v>
      </c>
      <c r="H2652" s="223">
        <v>0.46736111111111112</v>
      </c>
      <c r="I2652" s="221" t="s">
        <v>4916</v>
      </c>
      <c r="J2652" s="221" t="s">
        <v>3024</v>
      </c>
      <c r="K2652" s="224" t="s">
        <v>3090</v>
      </c>
      <c r="L2652" s="348" t="str">
        <f>VLOOKUP(Logfile_S12[[#This Row],[Material Name]],Sheet2!B:C,2,0)</f>
        <v>GCI1004</v>
      </c>
      <c r="M2652" s="225" t="str">
        <f>_xlfn.XLOOKUP(Logfile_S12[[#This Row],[Material Name]],Sum_WH!E:E,Sum_WH!F:F,"",0)</f>
        <v>Pcs</v>
      </c>
      <c r="N2652" s="221">
        <v>50</v>
      </c>
      <c r="O2652" s="221" t="s">
        <v>1911</v>
      </c>
      <c r="P2652" s="221" t="s">
        <v>1912</v>
      </c>
      <c r="Q2652" s="221"/>
      <c r="R2652" s="221"/>
      <c r="S2652" s="221"/>
      <c r="T2652" s="221" t="s">
        <v>3258</v>
      </c>
      <c r="U2652" s="221" t="s">
        <v>3228</v>
      </c>
      <c r="V2652" s="221" t="s">
        <v>3337</v>
      </c>
      <c r="W2652" s="221" t="s">
        <v>3338</v>
      </c>
      <c r="X2652" s="221"/>
      <c r="Y2652" s="227"/>
      <c r="Z2652" s="227" t="str">
        <f t="shared" si="93"/>
        <v>Dilem RW 03 Kepanjen</v>
      </c>
      <c r="AA2652" s="276" t="e">
        <f>VLOOKUP(Logfile_S12[[#This Row],[DO number]],DO_DB!G:I,3,0)</f>
        <v>#N/A</v>
      </c>
      <c r="AB2652" s="331" t="e">
        <f>EXACT(Logfile_S12[[#This Row],[date pick]],Logfile_S12[[#This Row],[Date]])</f>
        <v>#N/A</v>
      </c>
      <c r="AC265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53" spans="1:29" ht="14.5" hidden="1">
      <c r="A2653" s="220" t="str">
        <f t="shared" si="92"/>
        <v>2649</v>
      </c>
      <c r="B2653" s="221"/>
      <c r="C2653" s="221" t="s">
        <v>49</v>
      </c>
      <c r="D2653" s="221" t="s">
        <v>4179</v>
      </c>
      <c r="E2653" s="221" t="s">
        <v>3295</v>
      </c>
      <c r="F2653" s="221" t="s">
        <v>3299</v>
      </c>
      <c r="G2653" s="222">
        <v>45531</v>
      </c>
      <c r="H2653" s="223">
        <v>0.89027777777777772</v>
      </c>
      <c r="I2653" s="221" t="s">
        <v>4916</v>
      </c>
      <c r="J2653" s="221" t="s">
        <v>3024</v>
      </c>
      <c r="K2653" s="224" t="s">
        <v>3090</v>
      </c>
      <c r="L2653" s="348" t="str">
        <f>VLOOKUP(Logfile_S12[[#This Row],[Material Name]],Sheet2!B:C,2,0)</f>
        <v>GCI1004</v>
      </c>
      <c r="M2653" s="225" t="str">
        <f>_xlfn.XLOOKUP(Logfile_S12[[#This Row],[Material Name]],Sum_WH!E:E,Sum_WH!F:F,"",0)</f>
        <v>Pcs</v>
      </c>
      <c r="N2653" s="221">
        <v>25</v>
      </c>
      <c r="O2653" s="221" t="s">
        <v>2142</v>
      </c>
      <c r="P2653" s="221" t="s">
        <v>3400</v>
      </c>
      <c r="Q2653" s="221"/>
      <c r="R2653" s="221"/>
      <c r="S2653" s="221"/>
      <c r="T2653" s="221" t="s">
        <v>3244</v>
      </c>
      <c r="U2653" s="221">
        <v>0</v>
      </c>
      <c r="V2653" s="221" t="s">
        <v>3248</v>
      </c>
      <c r="W2653" s="221" t="s">
        <v>3252</v>
      </c>
      <c r="X2653" s="221"/>
      <c r="Y2653" s="227"/>
      <c r="Z2653" s="227" t="str">
        <f t="shared" si="93"/>
        <v>HUBFEEDER DINOYO SUMBERSEKAR</v>
      </c>
      <c r="AA2653" s="276" t="e">
        <f>VLOOKUP(Logfile_S12[[#This Row],[DO number]],DO_DB!G:I,3,0)</f>
        <v>#N/A</v>
      </c>
      <c r="AB2653" s="331" t="e">
        <f>EXACT(Logfile_S12[[#This Row],[date pick]],Logfile_S12[[#This Row],[Date]])</f>
        <v>#N/A</v>
      </c>
      <c r="AC265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54" spans="1:29" ht="14.5" hidden="1">
      <c r="A2654" s="220" t="str">
        <f t="shared" si="92"/>
        <v>2650</v>
      </c>
      <c r="B2654" s="221"/>
      <c r="C2654" s="221" t="s">
        <v>49</v>
      </c>
      <c r="D2654" s="221" t="s">
        <v>4187</v>
      </c>
      <c r="E2654" s="221" t="s">
        <v>3295</v>
      </c>
      <c r="F2654" s="221" t="s">
        <v>3299</v>
      </c>
      <c r="G2654" s="222">
        <v>45533</v>
      </c>
      <c r="H2654" s="223">
        <v>0.34652777777777777</v>
      </c>
      <c r="I2654" s="221" t="s">
        <v>4916</v>
      </c>
      <c r="J2654" s="221" t="s">
        <v>3024</v>
      </c>
      <c r="K2654" s="224" t="s">
        <v>3090</v>
      </c>
      <c r="L2654" s="348" t="str">
        <f>VLOOKUP(Logfile_S12[[#This Row],[Material Name]],Sheet2!B:C,2,0)</f>
        <v>GCI1004</v>
      </c>
      <c r="M2654" s="225" t="str">
        <f>_xlfn.XLOOKUP(Logfile_S12[[#This Row],[Material Name]],Sum_WH!E:E,Sum_WH!F:F,"",0)</f>
        <v>Pcs</v>
      </c>
      <c r="N2654" s="221">
        <v>50</v>
      </c>
      <c r="O2654" s="221" t="s">
        <v>1929</v>
      </c>
      <c r="P2654" s="221" t="s">
        <v>1930</v>
      </c>
      <c r="Q2654" s="221"/>
      <c r="R2654" s="221"/>
      <c r="S2654" s="221"/>
      <c r="T2654" s="221" t="s">
        <v>3244</v>
      </c>
      <c r="U2654" s="221">
        <v>0</v>
      </c>
      <c r="V2654" s="221" t="s">
        <v>3248</v>
      </c>
      <c r="W2654" s="221" t="s">
        <v>3252</v>
      </c>
      <c r="X2654" s="221"/>
      <c r="Y2654" s="227"/>
      <c r="Z2654" s="227" t="str">
        <f t="shared" si="93"/>
        <v>Dusun Krajan Sumbersekar</v>
      </c>
      <c r="AA2654" s="276" t="e">
        <f>VLOOKUP(Logfile_S12[[#This Row],[DO number]],DO_DB!G:I,3,0)</f>
        <v>#N/A</v>
      </c>
      <c r="AB2654" s="331" t="e">
        <f>EXACT(Logfile_S12[[#This Row],[date pick]],Logfile_S12[[#This Row],[Date]])</f>
        <v>#N/A</v>
      </c>
      <c r="AC265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55" spans="1:29" ht="14.5" hidden="1">
      <c r="A2655" s="220" t="str">
        <f t="shared" si="92"/>
        <v>2651</v>
      </c>
      <c r="B2655" s="221"/>
      <c r="C2655" s="221" t="s">
        <v>3313</v>
      </c>
      <c r="D2655" s="221" t="s">
        <v>4190</v>
      </c>
      <c r="E2655" s="221" t="s">
        <v>3295</v>
      </c>
      <c r="F2655" s="221" t="s">
        <v>3299</v>
      </c>
      <c r="G2655" s="222">
        <v>45534</v>
      </c>
      <c r="H2655" s="223">
        <v>15.291666666666666</v>
      </c>
      <c r="I2655" s="221" t="s">
        <v>4918</v>
      </c>
      <c r="J2655" s="221" t="s">
        <v>3024</v>
      </c>
      <c r="K2655" s="224" t="s">
        <v>3090</v>
      </c>
      <c r="L2655" s="348" t="str">
        <f>VLOOKUP(Logfile_S12[[#This Row],[Material Name]],Sheet2!B:C,2,0)</f>
        <v>GCI1004</v>
      </c>
      <c r="M2655" s="225" t="str">
        <f>_xlfn.XLOOKUP(Logfile_S12[[#This Row],[Material Name]],Sum_WH!E:E,Sum_WH!F:F,"",0)</f>
        <v>Pcs</v>
      </c>
      <c r="N2655" s="221">
        <v>50</v>
      </c>
      <c r="O2655" s="221" t="s">
        <v>3314</v>
      </c>
      <c r="P2655" s="221" t="s">
        <v>3384</v>
      </c>
      <c r="Q2655" s="221" t="s">
        <v>3438</v>
      </c>
      <c r="R2655" s="221">
        <v>0</v>
      </c>
      <c r="S2655" s="221"/>
      <c r="T2655" s="221"/>
      <c r="U2655" s="221"/>
      <c r="V2655" s="221"/>
      <c r="W2655" s="221"/>
      <c r="X2655" s="221"/>
      <c r="Y2655" s="227"/>
      <c r="Z2655" s="227" t="str">
        <f t="shared" si="93"/>
        <v>GRESIK</v>
      </c>
      <c r="AA2655" s="276" t="e">
        <f>VLOOKUP(Logfile_S12[[#This Row],[DO number]],DO_DB!G:I,3,0)</f>
        <v>#N/A</v>
      </c>
      <c r="AB2655" s="331" t="e">
        <f>EXACT(Logfile_S12[[#This Row],[date pick]],Logfile_S12[[#This Row],[Date]])</f>
        <v>#N/A</v>
      </c>
      <c r="AC265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56" spans="1:29" ht="14.5" hidden="1">
      <c r="A2656" s="220" t="str">
        <f t="shared" si="92"/>
        <v>2652</v>
      </c>
      <c r="B2656" s="221"/>
      <c r="C2656" s="221" t="s">
        <v>49</v>
      </c>
      <c r="D2656" s="221" t="s">
        <v>4198</v>
      </c>
      <c r="E2656" s="221" t="s">
        <v>3295</v>
      </c>
      <c r="F2656" s="221" t="s">
        <v>3299</v>
      </c>
      <c r="G2656" s="222">
        <v>45537</v>
      </c>
      <c r="H2656" s="223">
        <v>0.32847222222222222</v>
      </c>
      <c r="I2656" s="221" t="s">
        <v>4916</v>
      </c>
      <c r="J2656" s="221" t="s">
        <v>3024</v>
      </c>
      <c r="K2656" s="224" t="s">
        <v>3090</v>
      </c>
      <c r="L2656" s="348" t="str">
        <f>VLOOKUP(Logfile_S12[[#This Row],[Material Name]],Sheet2!B:C,2,0)</f>
        <v>GCI1004</v>
      </c>
      <c r="M2656" s="225" t="str">
        <f>_xlfn.XLOOKUP(Logfile_S12[[#This Row],[Material Name]],Sum_WH!E:E,Sum_WH!F:F,"",0)</f>
        <v>Pcs</v>
      </c>
      <c r="N2656" s="221">
        <v>50</v>
      </c>
      <c r="O2656" s="221" t="s">
        <v>1929</v>
      </c>
      <c r="P2656" s="221" t="s">
        <v>1930</v>
      </c>
      <c r="Q2656" s="221"/>
      <c r="R2656" s="221"/>
      <c r="S2656" s="221"/>
      <c r="T2656" s="221" t="s">
        <v>3244</v>
      </c>
      <c r="U2656" s="221">
        <v>0</v>
      </c>
      <c r="V2656" s="221" t="s">
        <v>3248</v>
      </c>
      <c r="W2656" s="221" t="s">
        <v>3252</v>
      </c>
      <c r="X2656" s="221"/>
      <c r="Y2656" s="227"/>
      <c r="Z2656" s="227" t="str">
        <f t="shared" si="93"/>
        <v>Dusun Krajan Sumbersekar</v>
      </c>
      <c r="AA2656" s="276" t="e">
        <f>VLOOKUP(Logfile_S12[[#This Row],[DO number]],DO_DB!G:I,3,0)</f>
        <v>#N/A</v>
      </c>
      <c r="AB2656" s="331" t="e">
        <f>EXACT(Logfile_S12[[#This Row],[date pick]],Logfile_S12[[#This Row],[Date]])</f>
        <v>#N/A</v>
      </c>
      <c r="AC265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57" spans="1:29" ht="14.5" hidden="1">
      <c r="A2657" s="220" t="str">
        <f t="shared" si="92"/>
        <v>2653</v>
      </c>
      <c r="B2657" s="221"/>
      <c r="C2657" s="221" t="s">
        <v>48</v>
      </c>
      <c r="D2657" s="221" t="s">
        <v>4212</v>
      </c>
      <c r="E2657" s="221" t="s">
        <v>3295</v>
      </c>
      <c r="F2657" s="221" t="s">
        <v>3299</v>
      </c>
      <c r="G2657" s="222">
        <v>45541</v>
      </c>
      <c r="H2657" s="223">
        <v>15.291666666666666</v>
      </c>
      <c r="I2657" s="221" t="s">
        <v>38</v>
      </c>
      <c r="J2657" s="221" t="s">
        <v>3024</v>
      </c>
      <c r="K2657" s="224" t="s">
        <v>3090</v>
      </c>
      <c r="L2657" s="348" t="str">
        <f>VLOOKUP(Logfile_S12[[#This Row],[Material Name]],Sheet2!B:C,2,0)</f>
        <v>GCI1004</v>
      </c>
      <c r="M2657" s="225" t="str">
        <f>_xlfn.XLOOKUP(Logfile_S12[[#This Row],[Material Name]],Sum_WH!E:E,Sum_WH!F:F,"",0)</f>
        <v>Pcs</v>
      </c>
      <c r="N2657" s="221">
        <v>198</v>
      </c>
      <c r="O2657" s="221">
        <v>0</v>
      </c>
      <c r="P2657" s="221">
        <v>0</v>
      </c>
      <c r="Q2657" s="221">
        <v>0</v>
      </c>
      <c r="R2657" s="221">
        <v>0</v>
      </c>
      <c r="S2657" s="221"/>
      <c r="T2657" s="221"/>
      <c r="U2657" s="221"/>
      <c r="V2657" s="221"/>
      <c r="W2657" s="221"/>
      <c r="X2657" s="221"/>
      <c r="Y2657" s="227"/>
      <c r="Z2657" s="227">
        <f t="shared" si="93"/>
        <v>0</v>
      </c>
      <c r="AA2657" s="276" t="e">
        <f>VLOOKUP(Logfile_S12[[#This Row],[DO number]],DO_DB!G:I,3,0)</f>
        <v>#N/A</v>
      </c>
      <c r="AB2657" s="331" t="e">
        <f>EXACT(Logfile_S12[[#This Row],[date pick]],Logfile_S12[[#This Row],[Date]])</f>
        <v>#N/A</v>
      </c>
      <c r="AC265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58" spans="1:29" ht="14.5" hidden="1">
      <c r="A2658" s="220" t="str">
        <f t="shared" si="92"/>
        <v>2654</v>
      </c>
      <c r="B2658" s="221"/>
      <c r="C2658" s="221" t="s">
        <v>49</v>
      </c>
      <c r="D2658" s="221" t="s">
        <v>4211</v>
      </c>
      <c r="E2658" s="221" t="s">
        <v>3295</v>
      </c>
      <c r="F2658" s="221" t="s">
        <v>3299</v>
      </c>
      <c r="G2658" s="222">
        <v>45541</v>
      </c>
      <c r="H2658" s="223">
        <v>0.80069444444444449</v>
      </c>
      <c r="I2658" s="221" t="s">
        <v>4916</v>
      </c>
      <c r="J2658" s="221" t="s">
        <v>3024</v>
      </c>
      <c r="K2658" s="224" t="s">
        <v>3090</v>
      </c>
      <c r="L2658" s="348" t="str">
        <f>VLOOKUP(Logfile_S12[[#This Row],[Material Name]],Sheet2!B:C,2,0)</f>
        <v>GCI1004</v>
      </c>
      <c r="M2658" s="225" t="str">
        <f>_xlfn.XLOOKUP(Logfile_S12[[#This Row],[Material Name]],Sum_WH!E:E,Sum_WH!F:F,"",0)</f>
        <v>Pcs</v>
      </c>
      <c r="N2658" s="221">
        <v>10</v>
      </c>
      <c r="O2658" s="221" t="s">
        <v>2025</v>
      </c>
      <c r="P2658" s="221" t="s">
        <v>2026</v>
      </c>
      <c r="Q2658" s="221"/>
      <c r="R2658" s="221"/>
      <c r="S2658" s="221"/>
      <c r="T2658" s="221" t="s">
        <v>3244</v>
      </c>
      <c r="U2658" s="221">
        <v>0</v>
      </c>
      <c r="V2658" s="221" t="s">
        <v>3248</v>
      </c>
      <c r="W2658" s="221" t="s">
        <v>3252</v>
      </c>
      <c r="X2658" s="221"/>
      <c r="Y2658" s="227"/>
      <c r="Z2658" s="227" t="str">
        <f t="shared" si="93"/>
        <v>NGENEP UTARA RW 03 MALANG</v>
      </c>
      <c r="AA2658" s="276" t="e">
        <f>VLOOKUP(Logfile_S12[[#This Row],[DO number]],DO_DB!G:I,3,0)</f>
        <v>#N/A</v>
      </c>
      <c r="AB2658" s="331" t="e">
        <f>EXACT(Logfile_S12[[#This Row],[date pick]],Logfile_S12[[#This Row],[Date]])</f>
        <v>#N/A</v>
      </c>
      <c r="AC265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59" spans="1:29" ht="14.5" hidden="1">
      <c r="A2659" s="220" t="str">
        <f t="shared" si="92"/>
        <v>2655</v>
      </c>
      <c r="B2659" s="221"/>
      <c r="C2659" s="221" t="s">
        <v>49</v>
      </c>
      <c r="D2659" s="221" t="s">
        <v>4215</v>
      </c>
      <c r="E2659" s="221" t="s">
        <v>3295</v>
      </c>
      <c r="F2659" s="221" t="s">
        <v>3299</v>
      </c>
      <c r="G2659" s="222">
        <v>45542</v>
      </c>
      <c r="H2659" s="223">
        <v>0.73750000000000004</v>
      </c>
      <c r="I2659" s="221" t="s">
        <v>4916</v>
      </c>
      <c r="J2659" s="221" t="s">
        <v>3024</v>
      </c>
      <c r="K2659" s="224" t="s">
        <v>3090</v>
      </c>
      <c r="L2659" s="348" t="str">
        <f>VLOOKUP(Logfile_S12[[#This Row],[Material Name]],Sheet2!B:C,2,0)</f>
        <v>GCI1004</v>
      </c>
      <c r="M2659" s="225" t="str">
        <f>_xlfn.XLOOKUP(Logfile_S12[[#This Row],[Material Name]],Sum_WH!E:E,Sum_WH!F:F,"",0)</f>
        <v>Pcs</v>
      </c>
      <c r="N2659" s="221">
        <v>50</v>
      </c>
      <c r="O2659" s="221" t="s">
        <v>1951</v>
      </c>
      <c r="P2659" s="221" t="s">
        <v>3374</v>
      </c>
      <c r="Q2659" s="221"/>
      <c r="R2659" s="221"/>
      <c r="S2659" s="221"/>
      <c r="T2659" s="221" t="s">
        <v>3258</v>
      </c>
      <c r="U2659" s="221">
        <v>0</v>
      </c>
      <c r="V2659" s="221" t="s">
        <v>3337</v>
      </c>
      <c r="W2659" s="221" t="s">
        <v>3338</v>
      </c>
      <c r="X2659" s="221"/>
      <c r="Y2659" s="227"/>
      <c r="Z2659" s="227" t="str">
        <f t="shared" si="93"/>
        <v>SENGGURUH RW 01 MALANG</v>
      </c>
      <c r="AA2659" s="276" t="e">
        <f>VLOOKUP(Logfile_S12[[#This Row],[DO number]],DO_DB!G:I,3,0)</f>
        <v>#N/A</v>
      </c>
      <c r="AB2659" s="331" t="e">
        <f>EXACT(Logfile_S12[[#This Row],[date pick]],Logfile_S12[[#This Row],[Date]])</f>
        <v>#N/A</v>
      </c>
      <c r="AC265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60" spans="1:29" ht="14.5" hidden="1">
      <c r="A2660" s="220" t="str">
        <f t="shared" si="92"/>
        <v>2656</v>
      </c>
      <c r="B2660" s="221"/>
      <c r="C2660" s="221" t="s">
        <v>49</v>
      </c>
      <c r="D2660" s="221" t="s">
        <v>4217</v>
      </c>
      <c r="E2660" s="221" t="s">
        <v>3295</v>
      </c>
      <c r="F2660" s="221" t="s">
        <v>3299</v>
      </c>
      <c r="G2660" s="222">
        <v>45545</v>
      </c>
      <c r="H2660" s="223">
        <v>0.3659722222222222</v>
      </c>
      <c r="I2660" s="221" t="s">
        <v>4916</v>
      </c>
      <c r="J2660" s="221" t="s">
        <v>3024</v>
      </c>
      <c r="K2660" s="224" t="s">
        <v>3090</v>
      </c>
      <c r="L2660" s="348" t="str">
        <f>VLOOKUP(Logfile_S12[[#This Row],[Material Name]],Sheet2!B:C,2,0)</f>
        <v>GCI1004</v>
      </c>
      <c r="M2660" s="225" t="str">
        <f>_xlfn.XLOOKUP(Logfile_S12[[#This Row],[Material Name]],Sum_WH!E:E,Sum_WH!F:F,"",0)</f>
        <v>Pcs</v>
      </c>
      <c r="N2660" s="221">
        <v>136</v>
      </c>
      <c r="O2660" s="221" t="s">
        <v>2142</v>
      </c>
      <c r="P2660" s="221" t="s">
        <v>3400</v>
      </c>
      <c r="Q2660" s="221"/>
      <c r="R2660" s="221"/>
      <c r="S2660" s="221"/>
      <c r="T2660" s="221" t="s">
        <v>3244</v>
      </c>
      <c r="U2660" s="221">
        <v>0</v>
      </c>
      <c r="V2660" s="221" t="s">
        <v>3248</v>
      </c>
      <c r="W2660" s="221" t="s">
        <v>3252</v>
      </c>
      <c r="X2660" s="221"/>
      <c r="Y2660" s="227"/>
      <c r="Z2660" s="227" t="str">
        <f t="shared" si="93"/>
        <v>HUBFEEDER DINOYO SUMBERSEKAR</v>
      </c>
      <c r="AA2660" s="276" t="e">
        <f>VLOOKUP(Logfile_S12[[#This Row],[DO number]],DO_DB!G:I,3,0)</f>
        <v>#N/A</v>
      </c>
      <c r="AB2660" s="331" t="e">
        <f>EXACT(Logfile_S12[[#This Row],[date pick]],Logfile_S12[[#This Row],[Date]])</f>
        <v>#N/A</v>
      </c>
      <c r="AC266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61" spans="1:29" ht="14.5" hidden="1">
      <c r="A2661" s="220" t="str">
        <f t="shared" si="92"/>
        <v>2657</v>
      </c>
      <c r="B2661" s="221"/>
      <c r="C2661" s="221" t="s">
        <v>48</v>
      </c>
      <c r="D2661" s="221" t="s">
        <v>4222</v>
      </c>
      <c r="E2661" s="221" t="s">
        <v>3295</v>
      </c>
      <c r="F2661" s="221" t="s">
        <v>3299</v>
      </c>
      <c r="G2661" s="222">
        <v>45554</v>
      </c>
      <c r="H2661" s="223">
        <v>15.291666666666666</v>
      </c>
      <c r="I2661" s="221" t="s">
        <v>3586</v>
      </c>
      <c r="J2661" s="221" t="s">
        <v>3024</v>
      </c>
      <c r="K2661" s="224" t="s">
        <v>3090</v>
      </c>
      <c r="L2661" s="348" t="str">
        <f>VLOOKUP(Logfile_S12[[#This Row],[Material Name]],Sheet2!B:C,2,0)</f>
        <v>GCI1004</v>
      </c>
      <c r="M2661" s="225" t="str">
        <f>_xlfn.XLOOKUP(Logfile_S12[[#This Row],[Material Name]],Sum_WH!E:E,Sum_WH!F:F,"",0)</f>
        <v>Pcs</v>
      </c>
      <c r="N2661" s="221">
        <v>38</v>
      </c>
      <c r="O2661" s="221" t="s">
        <v>3397</v>
      </c>
      <c r="P2661" s="221" t="s">
        <v>3401</v>
      </c>
      <c r="Q2661" s="221">
        <v>0</v>
      </c>
      <c r="R2661" s="221">
        <v>0</v>
      </c>
      <c r="S2661" s="221"/>
      <c r="T2661" s="221"/>
      <c r="U2661" s="221"/>
      <c r="V2661" s="221"/>
      <c r="W2661" s="221"/>
      <c r="X2661" s="221"/>
      <c r="Y2661" s="227"/>
      <c r="Z2661" s="227" t="str">
        <f t="shared" si="93"/>
        <v>MF Sumbersekar</v>
      </c>
      <c r="AA2661" s="276" t="e">
        <f>VLOOKUP(Logfile_S12[[#This Row],[DO number]],DO_DB!G:I,3,0)</f>
        <v>#N/A</v>
      </c>
      <c r="AB2661" s="331" t="e">
        <f>EXACT(Logfile_S12[[#This Row],[date pick]],Logfile_S12[[#This Row],[Date]])</f>
        <v>#N/A</v>
      </c>
      <c r="AC266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62" spans="1:29" ht="14.5" hidden="1">
      <c r="A2662" s="220" t="str">
        <f t="shared" si="92"/>
        <v>2658</v>
      </c>
      <c r="B2662" s="221"/>
      <c r="C2662" s="221" t="s">
        <v>3313</v>
      </c>
      <c r="D2662" s="221" t="s">
        <v>4223</v>
      </c>
      <c r="E2662" s="221" t="s">
        <v>3295</v>
      </c>
      <c r="F2662" s="221" t="s">
        <v>3299</v>
      </c>
      <c r="G2662" s="222">
        <v>45554</v>
      </c>
      <c r="H2662" s="223">
        <v>15.291666666666666</v>
      </c>
      <c r="I2662" s="221" t="s">
        <v>4917</v>
      </c>
      <c r="J2662" s="221" t="s">
        <v>3024</v>
      </c>
      <c r="K2662" s="224" t="s">
        <v>3090</v>
      </c>
      <c r="L2662" s="348" t="str">
        <f>VLOOKUP(Logfile_S12[[#This Row],[Material Name]],Sheet2!B:C,2,0)</f>
        <v>GCI1004</v>
      </c>
      <c r="M2662" s="225" t="str">
        <f>_xlfn.XLOOKUP(Logfile_S12[[#This Row],[Material Name]],Sum_WH!E:E,Sum_WH!F:F,"",0)</f>
        <v>Pcs</v>
      </c>
      <c r="N2662" s="221">
        <v>32</v>
      </c>
      <c r="O2662" s="221" t="s">
        <v>3314</v>
      </c>
      <c r="P2662" s="221" t="s">
        <v>68</v>
      </c>
      <c r="Q2662" s="221">
        <v>0</v>
      </c>
      <c r="R2662" s="221">
        <v>0</v>
      </c>
      <c r="S2662" s="221"/>
      <c r="T2662" s="221"/>
      <c r="U2662" s="221"/>
      <c r="V2662" s="221"/>
      <c r="W2662" s="221"/>
      <c r="X2662" s="221"/>
      <c r="Y2662" s="227"/>
      <c r="Z2662" s="227" t="str">
        <f t="shared" si="93"/>
        <v>Blitar</v>
      </c>
      <c r="AA2662" s="276" t="e">
        <f>VLOOKUP(Logfile_S12[[#This Row],[DO number]],DO_DB!G:I,3,0)</f>
        <v>#N/A</v>
      </c>
      <c r="AB2662" s="331" t="e">
        <f>EXACT(Logfile_S12[[#This Row],[date pick]],Logfile_S12[[#This Row],[Date]])</f>
        <v>#N/A</v>
      </c>
      <c r="AC266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63" spans="1:29" ht="14.5" hidden="1">
      <c r="A2663" s="220" t="str">
        <f t="shared" si="92"/>
        <v>2659</v>
      </c>
      <c r="B2663" s="221"/>
      <c r="C2663" s="221" t="s">
        <v>49</v>
      </c>
      <c r="D2663" s="221" t="s">
        <v>4229</v>
      </c>
      <c r="E2663" s="221" t="s">
        <v>3295</v>
      </c>
      <c r="F2663" s="221" t="s">
        <v>3299</v>
      </c>
      <c r="G2663" s="222">
        <v>45556</v>
      </c>
      <c r="H2663" s="223">
        <v>0.71527777777777779</v>
      </c>
      <c r="I2663" s="221" t="s">
        <v>4916</v>
      </c>
      <c r="J2663" s="221" t="s">
        <v>3024</v>
      </c>
      <c r="K2663" s="224" t="s">
        <v>3090</v>
      </c>
      <c r="L2663" s="348" t="str">
        <f>VLOOKUP(Logfile_S12[[#This Row],[Material Name]],Sheet2!B:C,2,0)</f>
        <v>GCI1004</v>
      </c>
      <c r="M2663" s="225" t="str">
        <f>_xlfn.XLOOKUP(Logfile_S12[[#This Row],[Material Name]],Sum_WH!E:E,Sum_WH!F:F,"",0)</f>
        <v>Pcs</v>
      </c>
      <c r="N2663" s="221">
        <v>30</v>
      </c>
      <c r="O2663" s="221" t="s">
        <v>2142</v>
      </c>
      <c r="P2663" s="221" t="s">
        <v>3400</v>
      </c>
      <c r="Q2663" s="221"/>
      <c r="R2663" s="221"/>
      <c r="S2663" s="221"/>
      <c r="T2663" s="221" t="s">
        <v>3363</v>
      </c>
      <c r="U2663" s="221" t="s">
        <v>3228</v>
      </c>
      <c r="V2663" s="221" t="s">
        <v>3364</v>
      </c>
      <c r="W2663" s="221" t="s">
        <v>3365</v>
      </c>
      <c r="X2663" s="221"/>
      <c r="Y2663" s="227"/>
      <c r="Z2663" s="227" t="str">
        <f t="shared" si="93"/>
        <v>HUBFEEDER DINOYO SUMBERSEKAR</v>
      </c>
      <c r="AA2663" s="276" t="e">
        <f>VLOOKUP(Logfile_S12[[#This Row],[DO number]],DO_DB!G:I,3,0)</f>
        <v>#N/A</v>
      </c>
      <c r="AB2663" s="331" t="e">
        <f>EXACT(Logfile_S12[[#This Row],[date pick]],Logfile_S12[[#This Row],[Date]])</f>
        <v>#N/A</v>
      </c>
      <c r="AC266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64" spans="1:29" ht="14.5" hidden="1">
      <c r="A2664" s="220" t="str">
        <f t="shared" si="92"/>
        <v>2660</v>
      </c>
      <c r="B2664" s="221"/>
      <c r="C2664" s="221" t="s">
        <v>48</v>
      </c>
      <c r="D2664" s="221" t="s">
        <v>4238</v>
      </c>
      <c r="E2664" s="221" t="s">
        <v>3295</v>
      </c>
      <c r="F2664" s="221" t="s">
        <v>3299</v>
      </c>
      <c r="G2664" s="222">
        <v>45561</v>
      </c>
      <c r="H2664" s="223">
        <v>15.291666666666666</v>
      </c>
      <c r="I2664" s="221" t="s">
        <v>3586</v>
      </c>
      <c r="J2664" s="221" t="s">
        <v>3024</v>
      </c>
      <c r="K2664" s="224" t="s">
        <v>3090</v>
      </c>
      <c r="L2664" s="348" t="str">
        <f>VLOOKUP(Logfile_S12[[#This Row],[Material Name]],Sheet2!B:C,2,0)</f>
        <v>GCI1004</v>
      </c>
      <c r="M2664" s="225" t="str">
        <f>_xlfn.XLOOKUP(Logfile_S12[[#This Row],[Material Name]],Sum_WH!E:E,Sum_WH!F:F,"",0)</f>
        <v>Pcs</v>
      </c>
      <c r="N2664" s="221">
        <v>19</v>
      </c>
      <c r="O2664" s="221" t="s">
        <v>3397</v>
      </c>
      <c r="P2664" s="221" t="s">
        <v>3419</v>
      </c>
      <c r="Q2664" s="221">
        <v>0</v>
      </c>
      <c r="R2664" s="221">
        <v>0</v>
      </c>
      <c r="S2664" s="221"/>
      <c r="T2664" s="221"/>
      <c r="U2664" s="221"/>
      <c r="V2664" s="221"/>
      <c r="W2664" s="221"/>
      <c r="X2664" s="221"/>
      <c r="Y2664" s="227"/>
      <c r="Z2664" s="227" t="str">
        <f t="shared" si="93"/>
        <v>Sengguruh</v>
      </c>
      <c r="AA2664" s="276" t="e">
        <f>VLOOKUP(Logfile_S12[[#This Row],[DO number]],DO_DB!G:I,3,0)</f>
        <v>#N/A</v>
      </c>
      <c r="AB2664" s="331" t="e">
        <f>EXACT(Logfile_S12[[#This Row],[date pick]],Logfile_S12[[#This Row],[Date]])</f>
        <v>#N/A</v>
      </c>
      <c r="AC266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65" spans="1:29" ht="14.5" hidden="1">
      <c r="A2665" s="220" t="str">
        <f t="shared" si="92"/>
        <v>2661</v>
      </c>
      <c r="B2665" s="221"/>
      <c r="C2665" s="221" t="s">
        <v>49</v>
      </c>
      <c r="D2665" s="221" t="s">
        <v>4233</v>
      </c>
      <c r="E2665" s="221" t="s">
        <v>3295</v>
      </c>
      <c r="F2665" s="221" t="s">
        <v>3299</v>
      </c>
      <c r="G2665" s="222">
        <v>45561</v>
      </c>
      <c r="H2665" s="223">
        <v>0.64097222222222228</v>
      </c>
      <c r="I2665" s="221" t="s">
        <v>4916</v>
      </c>
      <c r="J2665" s="221" t="s">
        <v>3024</v>
      </c>
      <c r="K2665" s="224" t="s">
        <v>3090</v>
      </c>
      <c r="L2665" s="348" t="str">
        <f>VLOOKUP(Logfile_S12[[#This Row],[Material Name]],Sheet2!B:C,2,0)</f>
        <v>GCI1004</v>
      </c>
      <c r="M2665" s="225" t="str">
        <f>_xlfn.XLOOKUP(Logfile_S12[[#This Row],[Material Name]],Sum_WH!E:E,Sum_WH!F:F,"",0)</f>
        <v>Pcs</v>
      </c>
      <c r="N2665" s="221">
        <v>32</v>
      </c>
      <c r="O2665" s="221" t="s">
        <v>2166</v>
      </c>
      <c r="P2665" s="221" t="s">
        <v>2167</v>
      </c>
      <c r="Q2665" s="221"/>
      <c r="R2665" s="221"/>
      <c r="S2665" s="221"/>
      <c r="T2665" s="221" t="s">
        <v>3247</v>
      </c>
      <c r="U2665" s="221">
        <v>0</v>
      </c>
      <c r="V2665" s="221" t="s">
        <v>3375</v>
      </c>
      <c r="W2665" s="221" t="s">
        <v>3376</v>
      </c>
      <c r="X2665" s="221"/>
      <c r="Y2665" s="227"/>
      <c r="Z2665" s="227" t="str">
        <f t="shared" si="93"/>
        <v>Dusun Mojosari Ngenep</v>
      </c>
      <c r="AA2665" s="276" t="e">
        <f>VLOOKUP(Logfile_S12[[#This Row],[DO number]],DO_DB!G:I,3,0)</f>
        <v>#N/A</v>
      </c>
      <c r="AB2665" s="331" t="e">
        <f>EXACT(Logfile_S12[[#This Row],[date pick]],Logfile_S12[[#This Row],[Date]])</f>
        <v>#N/A</v>
      </c>
      <c r="AC266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66" spans="1:29" ht="14.5" hidden="1">
      <c r="A2666" s="220" t="str">
        <f t="shared" si="92"/>
        <v>2662</v>
      </c>
      <c r="B2666" s="221"/>
      <c r="C2666" s="221" t="s">
        <v>48</v>
      </c>
      <c r="D2666" s="221" t="s">
        <v>4245</v>
      </c>
      <c r="E2666" s="221" t="s">
        <v>3295</v>
      </c>
      <c r="F2666" s="221" t="s">
        <v>3299</v>
      </c>
      <c r="G2666" s="222">
        <v>45566</v>
      </c>
      <c r="H2666" s="223">
        <v>15.291666666666666</v>
      </c>
      <c r="I2666" s="221" t="s">
        <v>3586</v>
      </c>
      <c r="J2666" s="221" t="s">
        <v>3024</v>
      </c>
      <c r="K2666" s="224" t="s">
        <v>3090</v>
      </c>
      <c r="L2666" s="348" t="str">
        <f>VLOOKUP(Logfile_S12[[#This Row],[Material Name]],Sheet2!B:C,2,0)</f>
        <v>GCI1004</v>
      </c>
      <c r="M2666" s="225" t="str">
        <f>_xlfn.XLOOKUP(Logfile_S12[[#This Row],[Material Name]],Sum_WH!E:E,Sum_WH!F:F,"",0)</f>
        <v>Pcs</v>
      </c>
      <c r="N2666" s="221">
        <v>53</v>
      </c>
      <c r="O2666" s="221" t="s">
        <v>3397</v>
      </c>
      <c r="P2666" s="221" t="s">
        <v>3402</v>
      </c>
      <c r="Q2666" s="221">
        <v>0</v>
      </c>
      <c r="R2666" s="221">
        <v>0</v>
      </c>
      <c r="S2666" s="221"/>
      <c r="T2666" s="221"/>
      <c r="U2666" s="221"/>
      <c r="V2666" s="221"/>
      <c r="W2666" s="221"/>
      <c r="X2666" s="221"/>
      <c r="Y2666" s="227"/>
      <c r="Z2666" s="227" t="str">
        <f t="shared" si="93"/>
        <v>Mojosari Ngenep</v>
      </c>
      <c r="AA2666" s="276" t="e">
        <f>VLOOKUP(Logfile_S12[[#This Row],[DO number]],DO_DB!G:I,3,0)</f>
        <v>#N/A</v>
      </c>
      <c r="AB2666" s="331" t="e">
        <f>EXACT(Logfile_S12[[#This Row],[date pick]],Logfile_S12[[#This Row],[Date]])</f>
        <v>#N/A</v>
      </c>
      <c r="AC266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67" spans="1:29" ht="14.5" hidden="1">
      <c r="A2667" s="220" t="str">
        <f t="shared" si="92"/>
        <v>2663</v>
      </c>
      <c r="B2667" s="221"/>
      <c r="C2667" s="221" t="s">
        <v>49</v>
      </c>
      <c r="D2667" s="221" t="s">
        <v>4249</v>
      </c>
      <c r="E2667" s="221" t="s">
        <v>3295</v>
      </c>
      <c r="F2667" s="221" t="s">
        <v>3299</v>
      </c>
      <c r="G2667" s="222">
        <v>45575</v>
      </c>
      <c r="H2667" s="223">
        <v>0.56458333333333333</v>
      </c>
      <c r="I2667" s="221" t="s">
        <v>4916</v>
      </c>
      <c r="J2667" s="221" t="s">
        <v>3024</v>
      </c>
      <c r="K2667" s="224" t="s">
        <v>3090</v>
      </c>
      <c r="L2667" s="348" t="str">
        <f>VLOOKUP(Logfile_S12[[#This Row],[Material Name]],Sheet2!B:C,2,0)</f>
        <v>GCI1004</v>
      </c>
      <c r="M2667" s="225" t="str">
        <f>_xlfn.XLOOKUP(Logfile_S12[[#This Row],[Material Name]],Sum_WH!E:E,Sum_WH!F:F,"",0)</f>
        <v>Pcs</v>
      </c>
      <c r="N2667" s="221">
        <v>50</v>
      </c>
      <c r="O2667" s="221" t="s">
        <v>1391</v>
      </c>
      <c r="P2667" s="221" t="s">
        <v>1392</v>
      </c>
      <c r="Q2667" s="221"/>
      <c r="R2667" s="221"/>
      <c r="S2667" s="221"/>
      <c r="T2667" s="221" t="s">
        <v>3244</v>
      </c>
      <c r="U2667" s="221">
        <v>0</v>
      </c>
      <c r="V2667" s="221" t="s">
        <v>3248</v>
      </c>
      <c r="W2667" s="221" t="s">
        <v>3252</v>
      </c>
      <c r="X2667" s="221"/>
      <c r="Y2667" s="227"/>
      <c r="Z2667" s="227" t="str">
        <f t="shared" si="93"/>
        <v>Klampok RW 01 Singosari</v>
      </c>
      <c r="AA2667" s="276" t="e">
        <f>VLOOKUP(Logfile_S12[[#This Row],[DO number]],DO_DB!G:I,3,0)</f>
        <v>#N/A</v>
      </c>
      <c r="AB2667" s="331" t="e">
        <f>EXACT(Logfile_S12[[#This Row],[date pick]],Logfile_S12[[#This Row],[Date]])</f>
        <v>#N/A</v>
      </c>
      <c r="AC266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68" spans="1:29" ht="14.5" hidden="1">
      <c r="A2668" s="220" t="str">
        <f t="shared" si="92"/>
        <v>2664</v>
      </c>
      <c r="B2668" s="221"/>
      <c r="C2668" s="221" t="s">
        <v>48</v>
      </c>
      <c r="D2668" s="221" t="s">
        <v>4251</v>
      </c>
      <c r="E2668" s="221" t="s">
        <v>3295</v>
      </c>
      <c r="F2668" s="221" t="s">
        <v>3299</v>
      </c>
      <c r="G2668" s="222">
        <v>45583</v>
      </c>
      <c r="H2668" s="223">
        <v>15.291666666666666</v>
      </c>
      <c r="I2668" s="221" t="s">
        <v>38</v>
      </c>
      <c r="J2668" s="221" t="s">
        <v>3024</v>
      </c>
      <c r="K2668" s="224" t="s">
        <v>3090</v>
      </c>
      <c r="L2668" s="348" t="str">
        <f>VLOOKUP(Logfile_S12[[#This Row],[Material Name]],Sheet2!B:C,2,0)</f>
        <v>GCI1004</v>
      </c>
      <c r="M2668" s="225" t="str">
        <f>_xlfn.XLOOKUP(Logfile_S12[[#This Row],[Material Name]],Sum_WH!E:E,Sum_WH!F:F,"",0)</f>
        <v>Pcs</v>
      </c>
      <c r="N2668" s="221">
        <v>68</v>
      </c>
      <c r="O2668" s="221">
        <v>0</v>
      </c>
      <c r="P2668" s="221">
        <v>0</v>
      </c>
      <c r="Q2668" s="221">
        <v>0</v>
      </c>
      <c r="R2668" s="221">
        <v>0</v>
      </c>
      <c r="S2668" s="221"/>
      <c r="T2668" s="221"/>
      <c r="U2668" s="221"/>
      <c r="V2668" s="221"/>
      <c r="W2668" s="221"/>
      <c r="X2668" s="221"/>
      <c r="Y2668" s="227"/>
      <c r="Z2668" s="227">
        <f t="shared" si="93"/>
        <v>0</v>
      </c>
      <c r="AA2668" s="276" t="e">
        <f>VLOOKUP(Logfile_S12[[#This Row],[DO number]],DO_DB!G:I,3,0)</f>
        <v>#N/A</v>
      </c>
      <c r="AB2668" s="331" t="e">
        <f>EXACT(Logfile_S12[[#This Row],[date pick]],Logfile_S12[[#This Row],[Date]])</f>
        <v>#N/A</v>
      </c>
      <c r="AC266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69" spans="1:29" ht="14.5" hidden="1">
      <c r="A2669" s="220" t="str">
        <f t="shared" si="92"/>
        <v>2665</v>
      </c>
      <c r="B2669" s="221"/>
      <c r="C2669" s="221" t="s">
        <v>49</v>
      </c>
      <c r="D2669" s="221" t="s">
        <v>4250</v>
      </c>
      <c r="E2669" s="221" t="s">
        <v>3295</v>
      </c>
      <c r="F2669" s="221" t="s">
        <v>3299</v>
      </c>
      <c r="G2669" s="222">
        <v>45583</v>
      </c>
      <c r="H2669" s="223">
        <v>0.38194444444444442</v>
      </c>
      <c r="I2669" s="221" t="s">
        <v>4916</v>
      </c>
      <c r="J2669" s="221" t="s">
        <v>3024</v>
      </c>
      <c r="K2669" s="224" t="s">
        <v>3090</v>
      </c>
      <c r="L2669" s="348" t="str">
        <f>VLOOKUP(Logfile_S12[[#This Row],[Material Name]],Sheet2!B:C,2,0)</f>
        <v>GCI1004</v>
      </c>
      <c r="M2669" s="225" t="str">
        <f>_xlfn.XLOOKUP(Logfile_S12[[#This Row],[Material Name]],Sum_WH!E:E,Sum_WH!F:F,"",0)</f>
        <v>Pcs</v>
      </c>
      <c r="N2669" s="221">
        <v>50</v>
      </c>
      <c r="O2669" s="221" t="s">
        <v>2322</v>
      </c>
      <c r="P2669" s="221" t="s">
        <v>3403</v>
      </c>
      <c r="Q2669" s="221"/>
      <c r="R2669" s="221"/>
      <c r="S2669" s="221"/>
      <c r="T2669" s="221" t="s">
        <v>3404</v>
      </c>
      <c r="U2669" s="221">
        <v>0</v>
      </c>
      <c r="V2669" s="221" t="s">
        <v>3405</v>
      </c>
      <c r="W2669" s="221" t="s">
        <v>3406</v>
      </c>
      <c r="X2669" s="221"/>
      <c r="Y2669" s="227"/>
      <c r="Z2669" s="227" t="str">
        <f t="shared" si="93"/>
        <v>Mainfeeder Singosari Segment 3</v>
      </c>
      <c r="AA2669" s="276" t="e">
        <f>VLOOKUP(Logfile_S12[[#This Row],[DO number]],DO_DB!G:I,3,0)</f>
        <v>#N/A</v>
      </c>
      <c r="AB2669" s="331" t="e">
        <f>EXACT(Logfile_S12[[#This Row],[date pick]],Logfile_S12[[#This Row],[Date]])</f>
        <v>#N/A</v>
      </c>
      <c r="AC266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70" spans="1:29" ht="14.5" hidden="1">
      <c r="A2670" s="220" t="str">
        <f t="shared" si="92"/>
        <v>2666</v>
      </c>
      <c r="B2670" s="221"/>
      <c r="C2670" s="221" t="s">
        <v>49</v>
      </c>
      <c r="D2670" s="221" t="s">
        <v>4256</v>
      </c>
      <c r="E2670" s="221" t="s">
        <v>3295</v>
      </c>
      <c r="F2670" s="221" t="s">
        <v>3299</v>
      </c>
      <c r="G2670" s="222">
        <v>45590</v>
      </c>
      <c r="H2670" s="223">
        <v>0.79791666666666672</v>
      </c>
      <c r="I2670" s="221" t="s">
        <v>4916</v>
      </c>
      <c r="J2670" s="221" t="s">
        <v>3024</v>
      </c>
      <c r="K2670" s="224" t="s">
        <v>3090</v>
      </c>
      <c r="L2670" s="348" t="str">
        <f>VLOOKUP(Logfile_S12[[#This Row],[Material Name]],Sheet2!B:C,2,0)</f>
        <v>GCI1004</v>
      </c>
      <c r="M2670" s="225" t="str">
        <f>_xlfn.XLOOKUP(Logfile_S12[[#This Row],[Material Name]],Sum_WH!E:E,Sum_WH!F:F,"",0)</f>
        <v>Pcs</v>
      </c>
      <c r="N2670" s="221">
        <v>30</v>
      </c>
      <c r="O2670" s="221" t="s">
        <v>2354</v>
      </c>
      <c r="P2670" s="221" t="s">
        <v>3407</v>
      </c>
      <c r="Q2670" s="221"/>
      <c r="R2670" s="221"/>
      <c r="S2670" s="221"/>
      <c r="T2670" s="221" t="s">
        <v>3404</v>
      </c>
      <c r="U2670" s="221">
        <v>0</v>
      </c>
      <c r="V2670" s="221" t="s">
        <v>3405</v>
      </c>
      <c r="W2670" s="221" t="s">
        <v>3406</v>
      </c>
      <c r="X2670" s="221"/>
      <c r="Y2670" s="227"/>
      <c r="Z2670" s="227" t="str">
        <f t="shared" si="93"/>
        <v>HUBFEEDER KLAMPOK</v>
      </c>
      <c r="AA2670" s="276" t="e">
        <f>VLOOKUP(Logfile_S12[[#This Row],[DO number]],DO_DB!G:I,3,0)</f>
        <v>#N/A</v>
      </c>
      <c r="AB2670" s="331" t="e">
        <f>EXACT(Logfile_S12[[#This Row],[date pick]],Logfile_S12[[#This Row],[Date]])</f>
        <v>#N/A</v>
      </c>
      <c r="AC267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71" spans="1:29" ht="14.5" hidden="1">
      <c r="A2671" s="220" t="str">
        <f t="shared" si="92"/>
        <v>2667</v>
      </c>
      <c r="B2671" s="221"/>
      <c r="C2671" s="221" t="s">
        <v>48</v>
      </c>
      <c r="D2671" s="221" t="s">
        <v>4266</v>
      </c>
      <c r="E2671" s="221" t="s">
        <v>3295</v>
      </c>
      <c r="F2671" s="221" t="s">
        <v>3299</v>
      </c>
      <c r="G2671" s="222">
        <v>45595</v>
      </c>
      <c r="H2671" s="223">
        <v>15.291666666666666</v>
      </c>
      <c r="I2671" s="221" t="s">
        <v>38</v>
      </c>
      <c r="J2671" s="221" t="s">
        <v>3024</v>
      </c>
      <c r="K2671" s="224" t="s">
        <v>3090</v>
      </c>
      <c r="L2671" s="348" t="str">
        <f>VLOOKUP(Logfile_S12[[#This Row],[Material Name]],Sheet2!B:C,2,0)</f>
        <v>GCI1004</v>
      </c>
      <c r="M2671" s="225" t="str">
        <f>_xlfn.XLOOKUP(Logfile_S12[[#This Row],[Material Name]],Sum_WH!E:E,Sum_WH!F:F,"",0)</f>
        <v>Pcs</v>
      </c>
      <c r="N2671" s="221">
        <v>17</v>
      </c>
      <c r="O2671" s="221">
        <v>0</v>
      </c>
      <c r="P2671" s="221">
        <v>0</v>
      </c>
      <c r="Q2671" s="221">
        <v>0</v>
      </c>
      <c r="R2671" s="221">
        <v>0</v>
      </c>
      <c r="S2671" s="221"/>
      <c r="T2671" s="221"/>
      <c r="U2671" s="221"/>
      <c r="V2671" s="221"/>
      <c r="W2671" s="221"/>
      <c r="X2671" s="221"/>
      <c r="Y2671" s="227"/>
      <c r="Z2671" s="227">
        <f t="shared" si="93"/>
        <v>0</v>
      </c>
      <c r="AA2671" s="276" t="e">
        <f>VLOOKUP(Logfile_S12[[#This Row],[DO number]],DO_DB!G:I,3,0)</f>
        <v>#N/A</v>
      </c>
      <c r="AB2671" s="331" t="e">
        <f>EXACT(Logfile_S12[[#This Row],[date pick]],Logfile_S12[[#This Row],[Date]])</f>
        <v>#N/A</v>
      </c>
      <c r="AC267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72" spans="1:29" ht="14.5" hidden="1">
      <c r="A2672" s="220" t="str">
        <f t="shared" si="92"/>
        <v>2668</v>
      </c>
      <c r="B2672" s="221"/>
      <c r="C2672" s="221" t="s">
        <v>48</v>
      </c>
      <c r="D2672" s="221" t="s">
        <v>4266</v>
      </c>
      <c r="E2672" s="221" t="s">
        <v>3295</v>
      </c>
      <c r="F2672" s="221" t="s">
        <v>3299</v>
      </c>
      <c r="G2672" s="222">
        <v>45595</v>
      </c>
      <c r="H2672" s="223">
        <v>15.291666666666666</v>
      </c>
      <c r="I2672" s="221" t="s">
        <v>38</v>
      </c>
      <c r="J2672" s="221" t="s">
        <v>3024</v>
      </c>
      <c r="K2672" s="224" t="s">
        <v>3090</v>
      </c>
      <c r="L2672" s="348" t="str">
        <f>VLOOKUP(Logfile_S12[[#This Row],[Material Name]],Sheet2!B:C,2,0)</f>
        <v>GCI1004</v>
      </c>
      <c r="M2672" s="225" t="str">
        <f>_xlfn.XLOOKUP(Logfile_S12[[#This Row],[Material Name]],Sum_WH!E:E,Sum_WH!F:F,"",0)</f>
        <v>Pcs</v>
      </c>
      <c r="N2672" s="221">
        <v>75</v>
      </c>
      <c r="O2672" s="221">
        <v>0</v>
      </c>
      <c r="P2672" s="221">
        <v>0</v>
      </c>
      <c r="Q2672" s="221">
        <v>0</v>
      </c>
      <c r="R2672" s="221">
        <v>0</v>
      </c>
      <c r="S2672" s="221"/>
      <c r="T2672" s="221"/>
      <c r="U2672" s="221"/>
      <c r="V2672" s="221"/>
      <c r="W2672" s="221"/>
      <c r="X2672" s="221"/>
      <c r="Y2672" s="227"/>
      <c r="Z2672" s="227">
        <f t="shared" si="93"/>
        <v>0</v>
      </c>
      <c r="AA2672" s="276" t="e">
        <f>VLOOKUP(Logfile_S12[[#This Row],[DO number]],DO_DB!G:I,3,0)</f>
        <v>#N/A</v>
      </c>
      <c r="AB2672" s="331" t="e">
        <f>EXACT(Logfile_S12[[#This Row],[date pick]],Logfile_S12[[#This Row],[Date]])</f>
        <v>#N/A</v>
      </c>
      <c r="AC267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73" spans="1:29" ht="14.5" hidden="1">
      <c r="A2673" s="220" t="str">
        <f t="shared" si="92"/>
        <v>2669</v>
      </c>
      <c r="B2673" s="221"/>
      <c r="C2673" s="221" t="s">
        <v>49</v>
      </c>
      <c r="D2673" s="221" t="s">
        <v>4264</v>
      </c>
      <c r="E2673" s="221" t="s">
        <v>3295</v>
      </c>
      <c r="F2673" s="221" t="s">
        <v>3299</v>
      </c>
      <c r="G2673" s="222">
        <v>45595</v>
      </c>
      <c r="H2673" s="223">
        <v>0.97569444444444442</v>
      </c>
      <c r="I2673" s="221" t="s">
        <v>4916</v>
      </c>
      <c r="J2673" s="221" t="s">
        <v>3024</v>
      </c>
      <c r="K2673" s="224" t="s">
        <v>3090</v>
      </c>
      <c r="L2673" s="348" t="str">
        <f>VLOOKUP(Logfile_S12[[#This Row],[Material Name]],Sheet2!B:C,2,0)</f>
        <v>GCI1004</v>
      </c>
      <c r="M2673" s="225" t="str">
        <f>_xlfn.XLOOKUP(Logfile_S12[[#This Row],[Material Name]],Sum_WH!E:E,Sum_WH!F:F,"",0)</f>
        <v>Pcs</v>
      </c>
      <c r="N2673" s="221">
        <v>10</v>
      </c>
      <c r="O2673" s="221" t="s">
        <v>1923</v>
      </c>
      <c r="P2673" s="221" t="s">
        <v>1924</v>
      </c>
      <c r="Q2673" s="221"/>
      <c r="R2673" s="221"/>
      <c r="S2673" s="221"/>
      <c r="T2673" s="221" t="s">
        <v>3258</v>
      </c>
      <c r="U2673" s="221">
        <v>0</v>
      </c>
      <c r="V2673" s="221" t="s">
        <v>3337</v>
      </c>
      <c r="W2673" s="221" t="s">
        <v>3338</v>
      </c>
      <c r="X2673" s="221"/>
      <c r="Y2673" s="227"/>
      <c r="Z2673" s="227" t="str">
        <f t="shared" si="93"/>
        <v>Pakisaji RW 01 Malang</v>
      </c>
      <c r="AA2673" s="276" t="e">
        <f>VLOOKUP(Logfile_S12[[#This Row],[DO number]],DO_DB!G:I,3,0)</f>
        <v>#N/A</v>
      </c>
      <c r="AB2673" s="331" t="e">
        <f>EXACT(Logfile_S12[[#This Row],[date pick]],Logfile_S12[[#This Row],[Date]])</f>
        <v>#N/A</v>
      </c>
      <c r="AC267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74" spans="1:29" ht="14.5" hidden="1">
      <c r="A2674" s="220" t="str">
        <f t="shared" si="92"/>
        <v>2670</v>
      </c>
      <c r="B2674" s="221"/>
      <c r="C2674" s="221" t="s">
        <v>49</v>
      </c>
      <c r="D2674" s="221" t="s">
        <v>4265</v>
      </c>
      <c r="E2674" s="221" t="s">
        <v>3295</v>
      </c>
      <c r="F2674" s="221" t="s">
        <v>3299</v>
      </c>
      <c r="G2674" s="222">
        <v>45595</v>
      </c>
      <c r="H2674" s="223">
        <v>0.97569444444444442</v>
      </c>
      <c r="I2674" s="221" t="s">
        <v>4916</v>
      </c>
      <c r="J2674" s="221" t="s">
        <v>3024</v>
      </c>
      <c r="K2674" s="224" t="s">
        <v>3090</v>
      </c>
      <c r="L2674" s="348" t="str">
        <f>VLOOKUP(Logfile_S12[[#This Row],[Material Name]],Sheet2!B:C,2,0)</f>
        <v>GCI1004</v>
      </c>
      <c r="M2674" s="225" t="str">
        <f>_xlfn.XLOOKUP(Logfile_S12[[#This Row],[Material Name]],Sum_WH!E:E,Sum_WH!F:F,"",0)</f>
        <v>Pcs</v>
      </c>
      <c r="N2674" s="221">
        <v>66</v>
      </c>
      <c r="O2674" s="221" t="s">
        <v>2322</v>
      </c>
      <c r="P2674" s="221" t="s">
        <v>3403</v>
      </c>
      <c r="Q2674" s="221"/>
      <c r="R2674" s="221"/>
      <c r="S2674" s="221"/>
      <c r="T2674" s="221" t="s">
        <v>3404</v>
      </c>
      <c r="U2674" s="221">
        <v>0</v>
      </c>
      <c r="V2674" s="221" t="s">
        <v>3405</v>
      </c>
      <c r="W2674" s="221" t="s">
        <v>3406</v>
      </c>
      <c r="X2674" s="221"/>
      <c r="Y2674" s="227"/>
      <c r="Z2674" s="227" t="str">
        <f t="shared" si="93"/>
        <v>Mainfeeder Singosari Segment 3</v>
      </c>
      <c r="AA2674" s="276" t="e">
        <f>VLOOKUP(Logfile_S12[[#This Row],[DO number]],DO_DB!G:I,3,0)</f>
        <v>#N/A</v>
      </c>
      <c r="AB2674" s="331" t="e">
        <f>EXACT(Logfile_S12[[#This Row],[date pick]],Logfile_S12[[#This Row],[Date]])</f>
        <v>#N/A</v>
      </c>
      <c r="AC267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75" spans="1:29" ht="14.5" hidden="1">
      <c r="A2675" s="220" t="str">
        <f t="shared" si="92"/>
        <v>2671</v>
      </c>
      <c r="B2675" s="221"/>
      <c r="C2675" s="221" t="s">
        <v>48</v>
      </c>
      <c r="D2675" s="221" t="s">
        <v>4268</v>
      </c>
      <c r="E2675" s="221" t="s">
        <v>3295</v>
      </c>
      <c r="F2675" s="221" t="s">
        <v>3299</v>
      </c>
      <c r="G2675" s="222">
        <v>45596</v>
      </c>
      <c r="H2675" s="223">
        <v>15.291666666666666</v>
      </c>
      <c r="I2675" s="221" t="s">
        <v>3586</v>
      </c>
      <c r="J2675" s="221" t="s">
        <v>3024</v>
      </c>
      <c r="K2675" s="224" t="s">
        <v>3090</v>
      </c>
      <c r="L2675" s="348" t="str">
        <f>VLOOKUP(Logfile_S12[[#This Row],[Material Name]],Sheet2!B:C,2,0)</f>
        <v>GCI1004</v>
      </c>
      <c r="M2675" s="225" t="str">
        <f>_xlfn.XLOOKUP(Logfile_S12[[#This Row],[Material Name]],Sum_WH!E:E,Sum_WH!F:F,"",0)</f>
        <v>Pcs</v>
      </c>
      <c r="N2675" s="221">
        <v>34</v>
      </c>
      <c r="O2675" s="221" t="s">
        <v>3397</v>
      </c>
      <c r="P2675" s="221" t="s">
        <v>3439</v>
      </c>
      <c r="Q2675" s="221">
        <v>0</v>
      </c>
      <c r="R2675" s="221">
        <v>0</v>
      </c>
      <c r="S2675" s="221"/>
      <c r="T2675" s="221"/>
      <c r="U2675" s="221"/>
      <c r="V2675" s="221"/>
      <c r="W2675" s="221"/>
      <c r="X2675" s="221"/>
      <c r="Y2675" s="227"/>
      <c r="Z2675" s="227" t="str">
        <f t="shared" si="93"/>
        <v>MF Singosari</v>
      </c>
      <c r="AA2675" s="276" t="e">
        <f>VLOOKUP(Logfile_S12[[#This Row],[DO number]],DO_DB!G:I,3,0)</f>
        <v>#N/A</v>
      </c>
      <c r="AB2675" s="331" t="e">
        <f>EXACT(Logfile_S12[[#This Row],[date pick]],Logfile_S12[[#This Row],[Date]])</f>
        <v>#N/A</v>
      </c>
      <c r="AC267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76" spans="1:29" ht="14.5" hidden="1">
      <c r="A2676" s="220" t="str">
        <f t="shared" si="92"/>
        <v>2672</v>
      </c>
      <c r="B2676" s="221"/>
      <c r="C2676" s="221" t="s">
        <v>49</v>
      </c>
      <c r="D2676" s="221" t="s">
        <v>4271</v>
      </c>
      <c r="E2676" s="221" t="s">
        <v>3295</v>
      </c>
      <c r="F2676" s="221" t="s">
        <v>3299</v>
      </c>
      <c r="G2676" s="222">
        <v>45602</v>
      </c>
      <c r="H2676" s="223">
        <v>0.35069444444444442</v>
      </c>
      <c r="I2676" s="221" t="s">
        <v>4916</v>
      </c>
      <c r="J2676" s="221" t="s">
        <v>3024</v>
      </c>
      <c r="K2676" s="224" t="s">
        <v>3090</v>
      </c>
      <c r="L2676" s="348" t="str">
        <f>VLOOKUP(Logfile_S12[[#This Row],[Material Name]],Sheet2!B:C,2,0)</f>
        <v>GCI1004</v>
      </c>
      <c r="M2676" s="225" t="str">
        <f>_xlfn.XLOOKUP(Logfile_S12[[#This Row],[Material Name]],Sum_WH!E:E,Sum_WH!F:F,"",0)</f>
        <v>Pcs</v>
      </c>
      <c r="N2676" s="221">
        <v>4</v>
      </c>
      <c r="O2676" s="221" t="s">
        <v>1395</v>
      </c>
      <c r="P2676" s="221" t="s">
        <v>1396</v>
      </c>
      <c r="Q2676" s="221"/>
      <c r="R2676" s="221"/>
      <c r="S2676" s="221"/>
      <c r="T2676" s="221" t="s">
        <v>3258</v>
      </c>
      <c r="U2676" s="221">
        <v>0</v>
      </c>
      <c r="V2676" s="221" t="s">
        <v>3337</v>
      </c>
      <c r="W2676" s="221" t="s">
        <v>3338</v>
      </c>
      <c r="X2676" s="221"/>
      <c r="Y2676" s="227"/>
      <c r="Z2676" s="227" t="str">
        <f t="shared" si="93"/>
        <v>Candirenggo RW 10 Singosari</v>
      </c>
      <c r="AA2676" s="276" t="e">
        <f>VLOOKUP(Logfile_S12[[#This Row],[DO number]],DO_DB!G:I,3,0)</f>
        <v>#N/A</v>
      </c>
      <c r="AB2676" s="331" t="e">
        <f>EXACT(Logfile_S12[[#This Row],[date pick]],Logfile_S12[[#This Row],[Date]])</f>
        <v>#N/A</v>
      </c>
      <c r="AC267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77" spans="1:29" ht="14.5" hidden="1">
      <c r="A2677" s="220" t="str">
        <f t="shared" si="92"/>
        <v>2673</v>
      </c>
      <c r="B2677" s="221"/>
      <c r="C2677" s="221" t="s">
        <v>49</v>
      </c>
      <c r="D2677" s="221" t="s">
        <v>4277</v>
      </c>
      <c r="E2677" s="221" t="s">
        <v>3295</v>
      </c>
      <c r="F2677" s="221" t="s">
        <v>3299</v>
      </c>
      <c r="G2677" s="222">
        <v>45616</v>
      </c>
      <c r="H2677" s="223">
        <v>0.55902777777777779</v>
      </c>
      <c r="I2677" s="221" t="s">
        <v>4916</v>
      </c>
      <c r="J2677" s="221" t="s">
        <v>3024</v>
      </c>
      <c r="K2677" s="224" t="s">
        <v>3090</v>
      </c>
      <c r="L2677" s="348" t="str">
        <f>VLOOKUP(Logfile_S12[[#This Row],[Material Name]],Sheet2!B:C,2,0)</f>
        <v>GCI1004</v>
      </c>
      <c r="M2677" s="225" t="str">
        <f>_xlfn.XLOOKUP(Logfile_S12[[#This Row],[Material Name]],Sum_WH!E:E,Sum_WH!F:F,"",0)</f>
        <v>Pcs</v>
      </c>
      <c r="N2677" s="221">
        <v>10</v>
      </c>
      <c r="O2677" s="221" t="s">
        <v>2350</v>
      </c>
      <c r="P2677" s="221" t="s">
        <v>3409</v>
      </c>
      <c r="Q2677" s="221"/>
      <c r="R2677" s="221"/>
      <c r="S2677" s="221"/>
      <c r="T2677" s="221" t="s">
        <v>3258</v>
      </c>
      <c r="U2677" s="221">
        <v>0</v>
      </c>
      <c r="V2677" s="221" t="s">
        <v>3337</v>
      </c>
      <c r="W2677" s="221" t="s">
        <v>3338</v>
      </c>
      <c r="X2677" s="221"/>
      <c r="Y2677" s="227"/>
      <c r="Z2677" s="227" t="str">
        <f t="shared" si="93"/>
        <v>Kalirejo RW 13 Lawang Malang</v>
      </c>
      <c r="AA2677" s="276" t="e">
        <f>VLOOKUP(Logfile_S12[[#This Row],[DO number]],DO_DB!G:I,3,0)</f>
        <v>#N/A</v>
      </c>
      <c r="AB2677" s="331" t="e">
        <f>EXACT(Logfile_S12[[#This Row],[date pick]],Logfile_S12[[#This Row],[Date]])</f>
        <v>#N/A</v>
      </c>
      <c r="AC267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78" spans="1:29" ht="14.5" hidden="1">
      <c r="A2678" s="220" t="str">
        <f t="shared" si="92"/>
        <v>2674</v>
      </c>
      <c r="B2678" s="221"/>
      <c r="C2678" s="221" t="s">
        <v>49</v>
      </c>
      <c r="D2678" s="221" t="s">
        <v>4280</v>
      </c>
      <c r="E2678" s="221" t="s">
        <v>3295</v>
      </c>
      <c r="F2678" s="221" t="s">
        <v>3299</v>
      </c>
      <c r="G2678" s="222">
        <v>45617</v>
      </c>
      <c r="H2678" s="223">
        <v>0.44097222222222221</v>
      </c>
      <c r="I2678" s="221" t="s">
        <v>4916</v>
      </c>
      <c r="J2678" s="221" t="s">
        <v>3024</v>
      </c>
      <c r="K2678" s="224" t="s">
        <v>3090</v>
      </c>
      <c r="L2678" s="348" t="str">
        <f>VLOOKUP(Logfile_S12[[#This Row],[Material Name]],Sheet2!B:C,2,0)</f>
        <v>GCI1004</v>
      </c>
      <c r="M2678" s="225" t="str">
        <f>_xlfn.XLOOKUP(Logfile_S12[[#This Row],[Material Name]],Sum_WH!E:E,Sum_WH!F:F,"",0)</f>
        <v>Pcs</v>
      </c>
      <c r="N2678" s="221">
        <v>7</v>
      </c>
      <c r="O2678" s="221" t="s">
        <v>2013</v>
      </c>
      <c r="P2678" s="221" t="s">
        <v>2014</v>
      </c>
      <c r="Q2678" s="221"/>
      <c r="R2678" s="221"/>
      <c r="S2678" s="221"/>
      <c r="T2678" s="221" t="s">
        <v>3420</v>
      </c>
      <c r="U2678" s="221">
        <v>0</v>
      </c>
      <c r="V2678" s="221" t="s">
        <v>3421</v>
      </c>
      <c r="W2678" s="221" t="s">
        <v>3256</v>
      </c>
      <c r="X2678" s="221"/>
      <c r="Y2678" s="227"/>
      <c r="Z2678" s="227" t="str">
        <f t="shared" si="93"/>
        <v>Perumahan Panca Garden</v>
      </c>
      <c r="AA2678" s="276" t="e">
        <f>VLOOKUP(Logfile_S12[[#This Row],[DO number]],DO_DB!G:I,3,0)</f>
        <v>#N/A</v>
      </c>
      <c r="AB2678" s="331" t="e">
        <f>EXACT(Logfile_S12[[#This Row],[date pick]],Logfile_S12[[#This Row],[Date]])</f>
        <v>#N/A</v>
      </c>
      <c r="AC267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79" spans="1:29" ht="14.5" hidden="1">
      <c r="A2679" s="220" t="str">
        <f t="shared" si="92"/>
        <v>2675</v>
      </c>
      <c r="B2679" s="221"/>
      <c r="C2679" s="221" t="s">
        <v>49</v>
      </c>
      <c r="D2679" s="221" t="s">
        <v>4284</v>
      </c>
      <c r="E2679" s="221" t="s">
        <v>3295</v>
      </c>
      <c r="F2679" s="221" t="s">
        <v>3299</v>
      </c>
      <c r="G2679" s="222">
        <v>45618</v>
      </c>
      <c r="H2679" s="223">
        <v>0.76249999999999996</v>
      </c>
      <c r="I2679" s="221" t="s">
        <v>4916</v>
      </c>
      <c r="J2679" s="221" t="s">
        <v>3024</v>
      </c>
      <c r="K2679" s="224" t="s">
        <v>3090</v>
      </c>
      <c r="L2679" s="348" t="str">
        <f>VLOOKUP(Logfile_S12[[#This Row],[Material Name]],Sheet2!B:C,2,0)</f>
        <v>GCI1004</v>
      </c>
      <c r="M2679" s="225" t="str">
        <f>_xlfn.XLOOKUP(Logfile_S12[[#This Row],[Material Name]],Sum_WH!E:E,Sum_WH!F:F,"",0)</f>
        <v>Pcs</v>
      </c>
      <c r="N2679" s="221">
        <v>18</v>
      </c>
      <c r="O2679" s="221" t="s">
        <v>2520</v>
      </c>
      <c r="P2679" s="221" t="s">
        <v>2521</v>
      </c>
      <c r="Q2679" s="221"/>
      <c r="R2679" s="221"/>
      <c r="S2679" s="221"/>
      <c r="T2679" s="221" t="s">
        <v>3258</v>
      </c>
      <c r="U2679" s="221">
        <v>0</v>
      </c>
      <c r="V2679" s="221" t="s">
        <v>3337</v>
      </c>
      <c r="W2679" s="221" t="s">
        <v>3338</v>
      </c>
      <c r="X2679" s="221"/>
      <c r="Y2679" s="227"/>
      <c r="Z2679" s="227" t="str">
        <f t="shared" si="93"/>
        <v>Perumahan Bukit Lawang Indah Malang</v>
      </c>
      <c r="AA2679" s="276" t="e">
        <f>VLOOKUP(Logfile_S12[[#This Row],[DO number]],DO_DB!G:I,3,0)</f>
        <v>#N/A</v>
      </c>
      <c r="AB2679" s="331" t="e">
        <f>EXACT(Logfile_S12[[#This Row],[date pick]],Logfile_S12[[#This Row],[Date]])</f>
        <v>#N/A</v>
      </c>
      <c r="AC267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80" spans="1:29" ht="14.5" hidden="1">
      <c r="A2680" s="220" t="str">
        <f t="shared" si="92"/>
        <v>2676</v>
      </c>
      <c r="B2680" s="221"/>
      <c r="C2680" s="221" t="s">
        <v>48</v>
      </c>
      <c r="D2680" s="221" t="s">
        <v>4295</v>
      </c>
      <c r="E2680" s="221" t="s">
        <v>3295</v>
      </c>
      <c r="F2680" s="221" t="s">
        <v>3299</v>
      </c>
      <c r="G2680" s="222">
        <v>45626</v>
      </c>
      <c r="H2680" s="223">
        <v>15.291666666666666</v>
      </c>
      <c r="I2680" s="221" t="s">
        <v>38</v>
      </c>
      <c r="J2680" s="221" t="s">
        <v>3024</v>
      </c>
      <c r="K2680" s="224" t="s">
        <v>3090</v>
      </c>
      <c r="L2680" s="348" t="str">
        <f>VLOOKUP(Logfile_S12[[#This Row],[Material Name]],Sheet2!B:C,2,0)</f>
        <v>GCI1004</v>
      </c>
      <c r="M2680" s="225" t="str">
        <f>_xlfn.XLOOKUP(Logfile_S12[[#This Row],[Material Name]],Sum_WH!E:E,Sum_WH!F:F,"",0)</f>
        <v>Pcs</v>
      </c>
      <c r="N2680" s="221">
        <v>101</v>
      </c>
      <c r="O2680" s="221">
        <v>0</v>
      </c>
      <c r="P2680" s="221">
        <v>0</v>
      </c>
      <c r="Q2680" s="221">
        <v>0</v>
      </c>
      <c r="R2680" s="221">
        <v>0</v>
      </c>
      <c r="S2680" s="221"/>
      <c r="T2680" s="221"/>
      <c r="U2680" s="221"/>
      <c r="V2680" s="221"/>
      <c r="W2680" s="221"/>
      <c r="X2680" s="221"/>
      <c r="Y2680" s="227"/>
      <c r="Z2680" s="227">
        <f t="shared" si="93"/>
        <v>0</v>
      </c>
      <c r="AA2680" s="276" t="e">
        <f>VLOOKUP(Logfile_S12[[#This Row],[DO number]],DO_DB!G:I,3,0)</f>
        <v>#N/A</v>
      </c>
      <c r="AB2680" s="331" t="e">
        <f>EXACT(Logfile_S12[[#This Row],[date pick]],Logfile_S12[[#This Row],[Date]])</f>
        <v>#N/A</v>
      </c>
      <c r="AC268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81" spans="1:29" ht="14.5" hidden="1">
      <c r="A2681" s="220" t="str">
        <f t="shared" si="92"/>
        <v>2677</v>
      </c>
      <c r="B2681" s="221"/>
      <c r="C2681" s="221" t="s">
        <v>49</v>
      </c>
      <c r="D2681" s="221" t="s">
        <v>4297</v>
      </c>
      <c r="E2681" s="221" t="s">
        <v>3295</v>
      </c>
      <c r="F2681" s="221" t="s">
        <v>3299</v>
      </c>
      <c r="G2681" s="222">
        <v>45627</v>
      </c>
      <c r="H2681" s="223">
        <v>0.39583333333333331</v>
      </c>
      <c r="I2681" s="221" t="s">
        <v>4916</v>
      </c>
      <c r="J2681" s="221" t="s">
        <v>3024</v>
      </c>
      <c r="K2681" s="224" t="s">
        <v>3090</v>
      </c>
      <c r="L2681" s="348" t="str">
        <f>VLOOKUP(Logfile_S12[[#This Row],[Material Name]],Sheet2!B:C,2,0)</f>
        <v>GCI1004</v>
      </c>
      <c r="M2681" s="225" t="str">
        <f>_xlfn.XLOOKUP(Logfile_S12[[#This Row],[Material Name]],Sum_WH!E:E,Sum_WH!F:F,"",0)</f>
        <v>Pcs</v>
      </c>
      <c r="N2681" s="221">
        <v>55</v>
      </c>
      <c r="O2681" s="221" t="s">
        <v>2502</v>
      </c>
      <c r="P2681" s="221" t="s">
        <v>2503</v>
      </c>
      <c r="Q2681" s="221"/>
      <c r="R2681" s="221"/>
      <c r="S2681" s="221"/>
      <c r="T2681" s="221" t="s">
        <v>3258</v>
      </c>
      <c r="U2681" s="221">
        <v>0</v>
      </c>
      <c r="V2681" s="221" t="s">
        <v>3337</v>
      </c>
      <c r="W2681" s="221" t="s">
        <v>3338</v>
      </c>
      <c r="X2681" s="221"/>
      <c r="Y2681" s="227"/>
      <c r="Z2681" s="227" t="str">
        <f t="shared" si="93"/>
        <v>Bedali RW 03 Kromengan</v>
      </c>
      <c r="AA2681" s="276" t="e">
        <f>VLOOKUP(Logfile_S12[[#This Row],[DO number]],DO_DB!G:I,3,0)</f>
        <v>#N/A</v>
      </c>
      <c r="AB2681" s="331" t="e">
        <f>EXACT(Logfile_S12[[#This Row],[date pick]],Logfile_S12[[#This Row],[Date]])</f>
        <v>#N/A</v>
      </c>
      <c r="AC268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82" spans="1:29" ht="14.5" hidden="1">
      <c r="A2682" s="220" t="str">
        <f t="shared" si="92"/>
        <v>2678</v>
      </c>
      <c r="B2682" s="221"/>
      <c r="C2682" s="221" t="s">
        <v>3313</v>
      </c>
      <c r="D2682" s="221" t="s">
        <v>4298</v>
      </c>
      <c r="E2682" s="221" t="s">
        <v>3295</v>
      </c>
      <c r="F2682" s="221" t="s">
        <v>3299</v>
      </c>
      <c r="G2682" s="222">
        <v>45634</v>
      </c>
      <c r="H2682" s="223">
        <v>15.291666666666666</v>
      </c>
      <c r="I2682" s="221" t="s">
        <v>4921</v>
      </c>
      <c r="J2682" s="221" t="s">
        <v>3024</v>
      </c>
      <c r="K2682" s="224" t="s">
        <v>3090</v>
      </c>
      <c r="L2682" s="348" t="str">
        <f>VLOOKUP(Logfile_S12[[#This Row],[Material Name]],Sheet2!B:C,2,0)</f>
        <v>GCI1004</v>
      </c>
      <c r="M2682" s="225" t="str">
        <f>_xlfn.XLOOKUP(Logfile_S12[[#This Row],[Material Name]],Sum_WH!E:E,Sum_WH!F:F,"",0)</f>
        <v>Pcs</v>
      </c>
      <c r="N2682" s="221">
        <v>100</v>
      </c>
      <c r="O2682" s="221" t="s">
        <v>3314</v>
      </c>
      <c r="P2682" s="221" t="s">
        <v>3408</v>
      </c>
      <c r="Q2682" s="221">
        <v>0</v>
      </c>
      <c r="R2682" s="221">
        <v>0</v>
      </c>
      <c r="S2682" s="221"/>
      <c r="T2682" s="221"/>
      <c r="U2682" s="221"/>
      <c r="V2682" s="221"/>
      <c r="W2682" s="221"/>
      <c r="X2682" s="221"/>
      <c r="Y2682" s="227"/>
      <c r="Z2682" s="227" t="str">
        <f t="shared" si="93"/>
        <v>MADIUN</v>
      </c>
      <c r="AA2682" s="276" t="e">
        <f>VLOOKUP(Logfile_S12[[#This Row],[DO number]],DO_DB!G:I,3,0)</f>
        <v>#N/A</v>
      </c>
      <c r="AB2682" s="331" t="e">
        <f>EXACT(Logfile_S12[[#This Row],[date pick]],Logfile_S12[[#This Row],[Date]])</f>
        <v>#N/A</v>
      </c>
      <c r="AC268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83" spans="1:29" ht="14.5" hidden="1">
      <c r="A2683" s="220" t="str">
        <f t="shared" si="92"/>
        <v>2679</v>
      </c>
      <c r="B2683" s="221"/>
      <c r="C2683" s="221" t="s">
        <v>49</v>
      </c>
      <c r="D2683" s="221" t="s">
        <v>4299</v>
      </c>
      <c r="E2683" s="221" t="s">
        <v>3295</v>
      </c>
      <c r="F2683" s="221" t="s">
        <v>3299</v>
      </c>
      <c r="G2683" s="222">
        <v>45635</v>
      </c>
      <c r="H2683" s="223">
        <v>0.68888888888888888</v>
      </c>
      <c r="I2683" s="221" t="s">
        <v>4916</v>
      </c>
      <c r="J2683" s="221" t="s">
        <v>3024</v>
      </c>
      <c r="K2683" s="224" t="s">
        <v>3090</v>
      </c>
      <c r="L2683" s="348" t="str">
        <f>VLOOKUP(Logfile_S12[[#This Row],[Material Name]],Sheet2!B:C,2,0)</f>
        <v>GCI1004</v>
      </c>
      <c r="M2683" s="225" t="str">
        <f>_xlfn.XLOOKUP(Logfile_S12[[#This Row],[Material Name]],Sum_WH!E:E,Sum_WH!F:F,"",0)</f>
        <v>Pcs</v>
      </c>
      <c r="N2683" s="221">
        <v>50</v>
      </c>
      <c r="O2683" s="221" t="s">
        <v>2502</v>
      </c>
      <c r="P2683" s="221" t="s">
        <v>2503</v>
      </c>
      <c r="Q2683" s="221"/>
      <c r="R2683" s="221"/>
      <c r="S2683" s="221"/>
      <c r="T2683" s="221" t="s">
        <v>3258</v>
      </c>
      <c r="U2683" s="221">
        <v>0</v>
      </c>
      <c r="V2683" s="221" t="s">
        <v>3337</v>
      </c>
      <c r="W2683" s="221" t="s">
        <v>3338</v>
      </c>
      <c r="X2683" s="221"/>
      <c r="Y2683" s="227"/>
      <c r="Z2683" s="227" t="str">
        <f t="shared" si="93"/>
        <v>Bedali RW 03 Kromengan</v>
      </c>
      <c r="AA2683" s="276" t="e">
        <f>VLOOKUP(Logfile_S12[[#This Row],[DO number]],DO_DB!G:I,3,0)</f>
        <v>#N/A</v>
      </c>
      <c r="AB2683" s="331" t="e">
        <f>EXACT(Logfile_S12[[#This Row],[date pick]],Logfile_S12[[#This Row],[Date]])</f>
        <v>#N/A</v>
      </c>
      <c r="AC268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84" spans="1:29" ht="14.5" hidden="1">
      <c r="A2684" s="220" t="str">
        <f t="shared" si="92"/>
        <v>2680</v>
      </c>
      <c r="B2684" s="221"/>
      <c r="C2684" s="221" t="s">
        <v>49</v>
      </c>
      <c r="D2684" s="221" t="s">
        <v>4301</v>
      </c>
      <c r="E2684" s="221" t="s">
        <v>3295</v>
      </c>
      <c r="F2684" s="221" t="s">
        <v>3299</v>
      </c>
      <c r="G2684" s="222">
        <v>45640</v>
      </c>
      <c r="H2684" s="223">
        <v>0.48541666666666666</v>
      </c>
      <c r="I2684" s="221" t="s">
        <v>4916</v>
      </c>
      <c r="J2684" s="221" t="s">
        <v>3024</v>
      </c>
      <c r="K2684" s="224" t="s">
        <v>3090</v>
      </c>
      <c r="L2684" s="348" t="str">
        <f>VLOOKUP(Logfile_S12[[#This Row],[Material Name]],Sheet2!B:C,2,0)</f>
        <v>GCI1004</v>
      </c>
      <c r="M2684" s="225" t="str">
        <f>_xlfn.XLOOKUP(Logfile_S12[[#This Row],[Material Name]],Sum_WH!E:E,Sum_WH!F:F,"",0)</f>
        <v>Pcs</v>
      </c>
      <c r="N2684" s="221">
        <v>50</v>
      </c>
      <c r="O2684" s="221" t="s">
        <v>2549</v>
      </c>
      <c r="P2684" s="221" t="s">
        <v>2550</v>
      </c>
      <c r="Q2684" s="221"/>
      <c r="R2684" s="221"/>
      <c r="S2684" s="221"/>
      <c r="T2684" s="221" t="s">
        <v>3258</v>
      </c>
      <c r="U2684" s="221">
        <v>0</v>
      </c>
      <c r="V2684" s="221" t="s">
        <v>3337</v>
      </c>
      <c r="W2684" s="221" t="s">
        <v>3338</v>
      </c>
      <c r="X2684" s="221"/>
      <c r="Y2684" s="227"/>
      <c r="Z2684" s="227" t="str">
        <f t="shared" si="93"/>
        <v>PERMANU RW 01 MALANG</v>
      </c>
      <c r="AA2684" s="276" t="e">
        <f>VLOOKUP(Logfile_S12[[#This Row],[DO number]],DO_DB!G:I,3,0)</f>
        <v>#N/A</v>
      </c>
      <c r="AB2684" s="331" t="e">
        <f>EXACT(Logfile_S12[[#This Row],[date pick]],Logfile_S12[[#This Row],[Date]])</f>
        <v>#N/A</v>
      </c>
      <c r="AC268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85" spans="1:29" ht="14.5" hidden="1">
      <c r="A2685" s="220" t="str">
        <f t="shared" si="92"/>
        <v>2681</v>
      </c>
      <c r="B2685" s="221"/>
      <c r="C2685" s="221" t="s">
        <v>48</v>
      </c>
      <c r="D2685" s="221" t="s">
        <v>4318</v>
      </c>
      <c r="E2685" s="221" t="s">
        <v>3295</v>
      </c>
      <c r="F2685" s="221" t="s">
        <v>3299</v>
      </c>
      <c r="G2685" s="222">
        <v>45656</v>
      </c>
      <c r="H2685" s="223">
        <v>15.291666666666666</v>
      </c>
      <c r="I2685" s="221" t="s">
        <v>38</v>
      </c>
      <c r="J2685" s="221" t="s">
        <v>3024</v>
      </c>
      <c r="K2685" s="224" t="s">
        <v>3090</v>
      </c>
      <c r="L2685" s="348" t="str">
        <f>VLOOKUP(Logfile_S12[[#This Row],[Material Name]],Sheet2!B:C,2,0)</f>
        <v>GCI1004</v>
      </c>
      <c r="M2685" s="225" t="str">
        <f>_xlfn.XLOOKUP(Logfile_S12[[#This Row],[Material Name]],Sum_WH!E:E,Sum_WH!F:F,"",0)</f>
        <v>Pcs</v>
      </c>
      <c r="N2685" s="221">
        <v>156</v>
      </c>
      <c r="O2685" s="221">
        <v>0</v>
      </c>
      <c r="P2685" s="221">
        <v>0</v>
      </c>
      <c r="Q2685" s="221">
        <v>0</v>
      </c>
      <c r="R2685" s="221">
        <v>0</v>
      </c>
      <c r="S2685" s="221"/>
      <c r="T2685" s="221"/>
      <c r="U2685" s="221"/>
      <c r="V2685" s="221"/>
      <c r="W2685" s="221"/>
      <c r="X2685" s="221"/>
      <c r="Y2685" s="227"/>
      <c r="Z2685" s="227">
        <f t="shared" si="93"/>
        <v>0</v>
      </c>
      <c r="AA2685" s="276" t="e">
        <f>VLOOKUP(Logfile_S12[[#This Row],[DO number]],DO_DB!G:I,3,0)</f>
        <v>#N/A</v>
      </c>
      <c r="AB2685" s="331" t="e">
        <f>EXACT(Logfile_S12[[#This Row],[date pick]],Logfile_S12[[#This Row],[Date]])</f>
        <v>#N/A</v>
      </c>
      <c r="AC268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86" spans="1:29" ht="14.5" hidden="1">
      <c r="A2686" s="220" t="str">
        <f t="shared" si="92"/>
        <v>2682</v>
      </c>
      <c r="B2686" s="221"/>
      <c r="C2686" s="221" t="s">
        <v>49</v>
      </c>
      <c r="D2686" s="221" t="s">
        <v>4316</v>
      </c>
      <c r="E2686" s="221" t="s">
        <v>3295</v>
      </c>
      <c r="F2686" s="221" t="s">
        <v>3299</v>
      </c>
      <c r="G2686" s="222">
        <v>45656</v>
      </c>
      <c r="H2686" s="223">
        <v>0.40625</v>
      </c>
      <c r="I2686" s="221" t="s">
        <v>4916</v>
      </c>
      <c r="J2686" s="221" t="s">
        <v>3024</v>
      </c>
      <c r="K2686" s="224" t="s">
        <v>3090</v>
      </c>
      <c r="L2686" s="348" t="str">
        <f>VLOOKUP(Logfile_S12[[#This Row],[Material Name]],Sheet2!B:C,2,0)</f>
        <v>GCI1004</v>
      </c>
      <c r="M2686" s="225" t="str">
        <f>_xlfn.XLOOKUP(Logfile_S12[[#This Row],[Material Name]],Sum_WH!E:E,Sum_WH!F:F,"",0)</f>
        <v>Pcs</v>
      </c>
      <c r="N2686" s="221">
        <v>50</v>
      </c>
      <c r="O2686" s="221" t="s">
        <v>3377</v>
      </c>
      <c r="P2686" s="221" t="s">
        <v>3378</v>
      </c>
      <c r="Q2686" s="221"/>
      <c r="R2686" s="221"/>
      <c r="S2686" s="221"/>
      <c r="T2686" s="221" t="s">
        <v>3258</v>
      </c>
      <c r="U2686" s="221">
        <v>0</v>
      </c>
      <c r="V2686" s="221" t="s">
        <v>3337</v>
      </c>
      <c r="W2686" s="221" t="s">
        <v>3338</v>
      </c>
      <c r="X2686" s="221"/>
      <c r="Y2686" s="227"/>
      <c r="Z2686" s="227" t="str">
        <f t="shared" si="93"/>
        <v>Perum Chandra Kirana Watugede</v>
      </c>
      <c r="AA2686" s="276" t="e">
        <f>VLOOKUP(Logfile_S12[[#This Row],[DO number]],DO_DB!G:I,3,0)</f>
        <v>#N/A</v>
      </c>
      <c r="AB2686" s="331" t="e">
        <f>EXACT(Logfile_S12[[#This Row],[date pick]],Logfile_S12[[#This Row],[Date]])</f>
        <v>#N/A</v>
      </c>
      <c r="AC268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87" spans="1:29" ht="14.5" hidden="1">
      <c r="A2687" s="220" t="str">
        <f t="shared" si="92"/>
        <v>2683</v>
      </c>
      <c r="B2687" s="221"/>
      <c r="C2687" s="221" t="s">
        <v>49</v>
      </c>
      <c r="D2687" s="221" t="s">
        <v>4319</v>
      </c>
      <c r="E2687" s="221" t="s">
        <v>3295</v>
      </c>
      <c r="F2687" s="221" t="s">
        <v>3299</v>
      </c>
      <c r="G2687" s="222">
        <v>45665</v>
      </c>
      <c r="H2687" s="223">
        <v>0.69374999999999998</v>
      </c>
      <c r="I2687" s="221" t="s">
        <v>4916</v>
      </c>
      <c r="J2687" s="221" t="s">
        <v>3024</v>
      </c>
      <c r="K2687" s="224" t="s">
        <v>3090</v>
      </c>
      <c r="L2687" s="348" t="str">
        <f>VLOOKUP(Logfile_S12[[#This Row],[Material Name]],Sheet2!B:C,2,0)</f>
        <v>GCI1004</v>
      </c>
      <c r="M2687" s="225" t="str">
        <f>_xlfn.XLOOKUP(Logfile_S12[[#This Row],[Material Name]],Sum_WH!E:E,Sum_WH!F:F,"",0)</f>
        <v>Pcs</v>
      </c>
      <c r="N2687" s="221">
        <v>40</v>
      </c>
      <c r="O2687" s="221" t="s">
        <v>2360</v>
      </c>
      <c r="P2687" s="221" t="s">
        <v>2361</v>
      </c>
      <c r="Q2687" s="221"/>
      <c r="R2687" s="221"/>
      <c r="S2687" s="221"/>
      <c r="T2687" s="221" t="s">
        <v>3258</v>
      </c>
      <c r="U2687" s="221">
        <v>0</v>
      </c>
      <c r="V2687" s="221" t="s">
        <v>3337</v>
      </c>
      <c r="W2687" s="221" t="s">
        <v>3338</v>
      </c>
      <c r="X2687" s="221"/>
      <c r="Y2687" s="227"/>
      <c r="Z2687" s="227" t="str">
        <f t="shared" si="93"/>
        <v>Tambakasri RW 02 Tajinan</v>
      </c>
      <c r="AA2687" s="276" t="e">
        <f>VLOOKUP(Logfile_S12[[#This Row],[DO number]],DO_DB!G:I,3,0)</f>
        <v>#N/A</v>
      </c>
      <c r="AB2687" s="331" t="e">
        <f>EXACT(Logfile_S12[[#This Row],[date pick]],Logfile_S12[[#This Row],[Date]])</f>
        <v>#N/A</v>
      </c>
      <c r="AC268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88" spans="1:29" ht="14.5" hidden="1">
      <c r="A2688" s="220" t="str">
        <f t="shared" si="92"/>
        <v>2684</v>
      </c>
      <c r="B2688" s="221"/>
      <c r="C2688" s="221" t="s">
        <v>49</v>
      </c>
      <c r="D2688" s="221" t="s">
        <v>4323</v>
      </c>
      <c r="E2688" s="221" t="s">
        <v>3295</v>
      </c>
      <c r="F2688" s="221" t="s">
        <v>3299</v>
      </c>
      <c r="G2688" s="222">
        <v>45672</v>
      </c>
      <c r="H2688" s="223">
        <v>0.54166666666666663</v>
      </c>
      <c r="I2688" s="221" t="s">
        <v>4916</v>
      </c>
      <c r="J2688" s="221" t="s">
        <v>3024</v>
      </c>
      <c r="K2688" s="224" t="s">
        <v>3090</v>
      </c>
      <c r="L2688" s="348" t="str">
        <f>VLOOKUP(Logfile_S12[[#This Row],[Material Name]],Sheet2!B:C,2,0)</f>
        <v>GCI1004</v>
      </c>
      <c r="M2688" s="225" t="str">
        <f>_xlfn.XLOOKUP(Logfile_S12[[#This Row],[Material Name]],Sum_WH!E:E,Sum_WH!F:F,"",0)</f>
        <v>Pcs</v>
      </c>
      <c r="N2688" s="221">
        <v>10</v>
      </c>
      <c r="O2688" s="221" t="s">
        <v>2360</v>
      </c>
      <c r="P2688" s="221" t="s">
        <v>2361</v>
      </c>
      <c r="Q2688" s="221"/>
      <c r="R2688" s="221"/>
      <c r="S2688" s="221"/>
      <c r="T2688" s="221" t="s">
        <v>3258</v>
      </c>
      <c r="U2688" s="221">
        <v>0</v>
      </c>
      <c r="V2688" s="221" t="s">
        <v>3337</v>
      </c>
      <c r="W2688" s="221" t="s">
        <v>3338</v>
      </c>
      <c r="X2688" s="221"/>
      <c r="Y2688" s="227"/>
      <c r="Z2688" s="227" t="str">
        <f t="shared" si="93"/>
        <v>Tambakasri RW 02 Tajinan</v>
      </c>
      <c r="AA2688" s="276" t="e">
        <f>VLOOKUP(Logfile_S12[[#This Row],[DO number]],DO_DB!G:I,3,0)</f>
        <v>#N/A</v>
      </c>
      <c r="AB2688" s="331" t="e">
        <f>EXACT(Logfile_S12[[#This Row],[date pick]],Logfile_S12[[#This Row],[Date]])</f>
        <v>#N/A</v>
      </c>
      <c r="AC268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89" spans="1:29" ht="14.5" hidden="1">
      <c r="A2689" s="220" t="str">
        <f t="shared" si="92"/>
        <v>2685</v>
      </c>
      <c r="B2689" s="221"/>
      <c r="C2689" s="221" t="s">
        <v>49</v>
      </c>
      <c r="D2689" s="221" t="s">
        <v>4325</v>
      </c>
      <c r="E2689" s="221" t="s">
        <v>3295</v>
      </c>
      <c r="F2689" s="221" t="s">
        <v>3299</v>
      </c>
      <c r="G2689" s="222">
        <v>45678</v>
      </c>
      <c r="H2689" s="223">
        <v>0.56944444444444442</v>
      </c>
      <c r="I2689" s="221" t="s">
        <v>4916</v>
      </c>
      <c r="J2689" s="221" t="s">
        <v>3024</v>
      </c>
      <c r="K2689" s="224" t="s">
        <v>3090</v>
      </c>
      <c r="L2689" s="348" t="str">
        <f>VLOOKUP(Logfile_S12[[#This Row],[Material Name]],Sheet2!B:C,2,0)</f>
        <v>GCI1004</v>
      </c>
      <c r="M2689" s="225" t="str">
        <f>_xlfn.XLOOKUP(Logfile_S12[[#This Row],[Material Name]],Sum_WH!E:E,Sum_WH!F:F,"",0)</f>
        <v>Pcs</v>
      </c>
      <c r="N2689" s="221">
        <v>10</v>
      </c>
      <c r="O2689" s="221" t="s">
        <v>3379</v>
      </c>
      <c r="P2689" s="221" t="s">
        <v>3380</v>
      </c>
      <c r="Q2689" s="221"/>
      <c r="R2689" s="221"/>
      <c r="S2689" s="221"/>
      <c r="T2689" s="221" t="s">
        <v>3258</v>
      </c>
      <c r="U2689" s="221">
        <v>0</v>
      </c>
      <c r="V2689" s="221" t="s">
        <v>3337</v>
      </c>
      <c r="W2689" s="221" t="s">
        <v>3338</v>
      </c>
      <c r="X2689" s="221"/>
      <c r="Y2689" s="227"/>
      <c r="Z2689" s="227" t="str">
        <f t="shared" si="93"/>
        <v>Citra Kayane Residence</v>
      </c>
      <c r="AA2689" s="276" t="e">
        <f>VLOOKUP(Logfile_S12[[#This Row],[DO number]],DO_DB!G:I,3,0)</f>
        <v>#N/A</v>
      </c>
      <c r="AB2689" s="331" t="e">
        <f>EXACT(Logfile_S12[[#This Row],[date pick]],Logfile_S12[[#This Row],[Date]])</f>
        <v>#N/A</v>
      </c>
      <c r="AC268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90" spans="1:29" ht="14.5" hidden="1">
      <c r="A2690" s="220" t="str">
        <f t="shared" si="92"/>
        <v>2686</v>
      </c>
      <c r="B2690" s="221"/>
      <c r="C2690" s="221" t="s">
        <v>49</v>
      </c>
      <c r="D2690" s="221" t="s">
        <v>4331</v>
      </c>
      <c r="E2690" s="221" t="s">
        <v>3295</v>
      </c>
      <c r="F2690" s="221" t="s">
        <v>3299</v>
      </c>
      <c r="G2690" s="222">
        <v>45703</v>
      </c>
      <c r="H2690" s="223">
        <v>0.39930555555555558</v>
      </c>
      <c r="I2690" s="221" t="s">
        <v>4916</v>
      </c>
      <c r="J2690" s="221" t="s">
        <v>3024</v>
      </c>
      <c r="K2690" s="224" t="s">
        <v>3090</v>
      </c>
      <c r="L2690" s="348" t="str">
        <f>VLOOKUP(Logfile_S12[[#This Row],[Material Name]],Sheet2!B:C,2,0)</f>
        <v>GCI1004</v>
      </c>
      <c r="M2690" s="225" t="str">
        <f>_xlfn.XLOOKUP(Logfile_S12[[#This Row],[Material Name]],Sum_WH!E:E,Sum_WH!F:F,"",0)</f>
        <v>Pcs</v>
      </c>
      <c r="N2690" s="221">
        <v>1</v>
      </c>
      <c r="O2690" s="221" t="s">
        <v>1929</v>
      </c>
      <c r="P2690" s="221" t="s">
        <v>1930</v>
      </c>
      <c r="Q2690" s="221"/>
      <c r="R2690" s="221"/>
      <c r="S2690" s="221"/>
      <c r="T2690" s="221" t="s">
        <v>3231</v>
      </c>
      <c r="U2690" s="221">
        <v>0</v>
      </c>
      <c r="V2690" s="221" t="s">
        <v>3375</v>
      </c>
      <c r="W2690" s="221" t="s">
        <v>3249</v>
      </c>
      <c r="X2690" s="221"/>
      <c r="Y2690" s="227"/>
      <c r="Z2690" s="227" t="str">
        <f t="shared" si="93"/>
        <v>Dusun Krajan Sumbersekar</v>
      </c>
      <c r="AA2690" s="276" t="e">
        <f>VLOOKUP(Logfile_S12[[#This Row],[DO number]],DO_DB!G:I,3,0)</f>
        <v>#N/A</v>
      </c>
      <c r="AB2690" s="331" t="e">
        <f>EXACT(Logfile_S12[[#This Row],[date pick]],Logfile_S12[[#This Row],[Date]])</f>
        <v>#N/A</v>
      </c>
      <c r="AC269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91" spans="1:29" ht="14.5" hidden="1">
      <c r="A2691" s="220" t="str">
        <f t="shared" si="92"/>
        <v>2687</v>
      </c>
      <c r="B2691" s="221"/>
      <c r="C2691" s="221" t="s">
        <v>49</v>
      </c>
      <c r="D2691" s="221" t="s">
        <v>4332</v>
      </c>
      <c r="E2691" s="221" t="s">
        <v>3295</v>
      </c>
      <c r="F2691" s="221" t="s">
        <v>3299</v>
      </c>
      <c r="G2691" s="222">
        <v>45707</v>
      </c>
      <c r="H2691" s="223">
        <v>0.39930555555555558</v>
      </c>
      <c r="I2691" s="221" t="s">
        <v>4916</v>
      </c>
      <c r="J2691" s="221" t="s">
        <v>3024</v>
      </c>
      <c r="K2691" s="224" t="s">
        <v>3090</v>
      </c>
      <c r="L2691" s="348" t="str">
        <f>VLOOKUP(Logfile_S12[[#This Row],[Material Name]],Sheet2!B:C,2,0)</f>
        <v>GCI1004</v>
      </c>
      <c r="M2691" s="225" t="str">
        <f>_xlfn.XLOOKUP(Logfile_S12[[#This Row],[Material Name]],Sum_WH!E:E,Sum_WH!F:F,"",0)</f>
        <v>Pcs</v>
      </c>
      <c r="N2691" s="221">
        <v>29</v>
      </c>
      <c r="O2691" s="221" t="s">
        <v>2648</v>
      </c>
      <c r="P2691" s="221" t="s">
        <v>2649</v>
      </c>
      <c r="Q2691" s="221"/>
      <c r="R2691" s="221"/>
      <c r="S2691" s="221"/>
      <c r="T2691" s="221" t="s">
        <v>3258</v>
      </c>
      <c r="U2691" s="221">
        <v>0</v>
      </c>
      <c r="V2691" s="221" t="s">
        <v>3337</v>
      </c>
      <c r="W2691" s="221" t="s">
        <v>3338</v>
      </c>
      <c r="X2691" s="221"/>
      <c r="Y2691" s="227"/>
      <c r="Z2691" s="227" t="str">
        <f t="shared" si="93"/>
        <v>Sitirejo RW 04 Wagir</v>
      </c>
      <c r="AA2691" s="276" t="e">
        <f>VLOOKUP(Logfile_S12[[#This Row],[DO number]],DO_DB!G:I,3,0)</f>
        <v>#N/A</v>
      </c>
      <c r="AB2691" s="331" t="e">
        <f>EXACT(Logfile_S12[[#This Row],[date pick]],Logfile_S12[[#This Row],[Date]])</f>
        <v>#N/A</v>
      </c>
      <c r="AC269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92" spans="1:29" ht="14.5" hidden="1">
      <c r="A2692" s="220" t="str">
        <f t="shared" si="92"/>
        <v>2688</v>
      </c>
      <c r="B2692" s="221"/>
      <c r="C2692" s="221" t="s">
        <v>49</v>
      </c>
      <c r="D2692" s="221" t="s">
        <v>4338</v>
      </c>
      <c r="E2692" s="221" t="s">
        <v>3295</v>
      </c>
      <c r="F2692" s="221" t="s">
        <v>3299</v>
      </c>
      <c r="G2692" s="222">
        <v>45709</v>
      </c>
      <c r="H2692" s="223">
        <v>0.39930555555555558</v>
      </c>
      <c r="I2692" s="221" t="s">
        <v>4916</v>
      </c>
      <c r="J2692" s="221" t="s">
        <v>3024</v>
      </c>
      <c r="K2692" s="224" t="s">
        <v>3090</v>
      </c>
      <c r="L2692" s="348" t="str">
        <f>VLOOKUP(Logfile_S12[[#This Row],[Material Name]],Sheet2!B:C,2,0)</f>
        <v>GCI1004</v>
      </c>
      <c r="M2692" s="225" t="str">
        <f>_xlfn.XLOOKUP(Logfile_S12[[#This Row],[Material Name]],Sum_WH!E:E,Sum_WH!F:F,"",0)</f>
        <v>Pcs</v>
      </c>
      <c r="N2692" s="221">
        <v>8</v>
      </c>
      <c r="O2692" s="221" t="s">
        <v>2007</v>
      </c>
      <c r="P2692" s="221" t="s">
        <v>2008</v>
      </c>
      <c r="Q2692" s="221"/>
      <c r="R2692" s="221"/>
      <c r="S2692" s="221"/>
      <c r="T2692" s="221" t="s">
        <v>3231</v>
      </c>
      <c r="U2692" s="221">
        <v>0</v>
      </c>
      <c r="V2692" s="221" t="s">
        <v>3375</v>
      </c>
      <c r="W2692" s="221" t="s">
        <v>3249</v>
      </c>
      <c r="X2692" s="221"/>
      <c r="Y2692" s="227"/>
      <c r="Z2692" s="227" t="str">
        <f t="shared" si="93"/>
        <v>Ngenep RW 06 Karang Ploso</v>
      </c>
      <c r="AA2692" s="276" t="e">
        <f>VLOOKUP(Logfile_S12[[#This Row],[DO number]],DO_DB!G:I,3,0)</f>
        <v>#N/A</v>
      </c>
      <c r="AB2692" s="331" t="e">
        <f>EXACT(Logfile_S12[[#This Row],[date pick]],Logfile_S12[[#This Row],[Date]])</f>
        <v>#N/A</v>
      </c>
      <c r="AC269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93" spans="1:29" ht="14.5" hidden="1">
      <c r="A2693" s="220" t="str">
        <f t="shared" ref="A2693:A2711" si="94">TEXT(ROW(A2693)-ROW($A$4),"000")</f>
        <v>2689</v>
      </c>
      <c r="B2693" s="221"/>
      <c r="C2693" s="221" t="s">
        <v>49</v>
      </c>
      <c r="D2693" s="221" t="s">
        <v>4347</v>
      </c>
      <c r="E2693" s="221" t="s">
        <v>3295</v>
      </c>
      <c r="F2693" s="221" t="s">
        <v>3299</v>
      </c>
      <c r="G2693" s="222">
        <v>45722</v>
      </c>
      <c r="H2693" s="223">
        <v>0.63124999999999998</v>
      </c>
      <c r="I2693" s="221" t="s">
        <v>4916</v>
      </c>
      <c r="J2693" s="221" t="s">
        <v>3024</v>
      </c>
      <c r="K2693" s="224" t="s">
        <v>3090</v>
      </c>
      <c r="L2693" s="348" t="str">
        <f>VLOOKUP(Logfile_S12[[#This Row],[Material Name]],Sheet2!B:C,2,0)</f>
        <v>GCI1004</v>
      </c>
      <c r="M2693" s="225" t="str">
        <f>_xlfn.XLOOKUP(Logfile_S12[[#This Row],[Material Name]],Sum_WH!E:E,Sum_WH!F:F,"",0)</f>
        <v>Pcs</v>
      </c>
      <c r="N2693" s="221">
        <v>15</v>
      </c>
      <c r="O2693" s="221" t="s">
        <v>3314</v>
      </c>
      <c r="P2693" s="221">
        <v>0</v>
      </c>
      <c r="Q2693" s="221"/>
      <c r="R2693" s="221"/>
      <c r="S2693" s="221"/>
      <c r="T2693" s="221" t="s">
        <v>3231</v>
      </c>
      <c r="U2693" s="221">
        <v>0</v>
      </c>
      <c r="V2693" s="221" t="s">
        <v>3375</v>
      </c>
      <c r="W2693" s="221" t="s">
        <v>3249</v>
      </c>
      <c r="X2693" s="221" t="s">
        <v>3457</v>
      </c>
      <c r="Y2693" s="227"/>
      <c r="Z2693" s="227">
        <f t="shared" si="93"/>
        <v>0</v>
      </c>
      <c r="AA2693" s="276" t="e">
        <f>VLOOKUP(Logfile_S12[[#This Row],[DO number]],DO_DB!G:I,3,0)</f>
        <v>#N/A</v>
      </c>
      <c r="AB2693" s="331" t="e">
        <f>EXACT(Logfile_S12[[#This Row],[date pick]],Logfile_S12[[#This Row],[Date]])</f>
        <v>#N/A</v>
      </c>
      <c r="AC269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94" spans="1:29" ht="14.5" hidden="1">
      <c r="A2694" s="220" t="str">
        <f t="shared" si="94"/>
        <v>2690</v>
      </c>
      <c r="B2694" s="221"/>
      <c r="C2694" s="221" t="s">
        <v>49</v>
      </c>
      <c r="D2694" s="221" t="s">
        <v>4354</v>
      </c>
      <c r="E2694" s="221" t="s">
        <v>3295</v>
      </c>
      <c r="F2694" s="221" t="s">
        <v>3299</v>
      </c>
      <c r="G2694" s="222">
        <v>45737</v>
      </c>
      <c r="H2694" s="223">
        <v>0.78472222222222221</v>
      </c>
      <c r="I2694" s="221" t="s">
        <v>4916</v>
      </c>
      <c r="J2694" s="221" t="s">
        <v>3024</v>
      </c>
      <c r="K2694" s="224" t="s">
        <v>3090</v>
      </c>
      <c r="L2694" s="348" t="str">
        <f>VLOOKUP(Logfile_S12[[#This Row],[Material Name]],Sheet2!B:C,2,0)</f>
        <v>GCI1004</v>
      </c>
      <c r="M2694" s="225" t="str">
        <f>_xlfn.XLOOKUP(Logfile_S12[[#This Row],[Material Name]],Sum_WH!E:E,Sum_WH!F:F,"",0)</f>
        <v>Pcs</v>
      </c>
      <c r="N2694" s="221">
        <v>20</v>
      </c>
      <c r="O2694" s="221" t="s">
        <v>2322</v>
      </c>
      <c r="P2694" s="221" t="s">
        <v>3403</v>
      </c>
      <c r="Q2694" s="221"/>
      <c r="R2694" s="221"/>
      <c r="S2694" s="221"/>
      <c r="T2694" s="221" t="s">
        <v>3404</v>
      </c>
      <c r="U2694" s="221">
        <v>0</v>
      </c>
      <c r="V2694" s="221" t="s">
        <v>3405</v>
      </c>
      <c r="W2694" s="221" t="s">
        <v>3406</v>
      </c>
      <c r="X2694" s="221"/>
      <c r="Y2694" s="227"/>
      <c r="Z2694" s="227" t="str">
        <f t="shared" si="93"/>
        <v>Mainfeeder Singosari Segment 3</v>
      </c>
      <c r="AA2694" s="276" t="e">
        <f>VLOOKUP(Logfile_S12[[#This Row],[DO number]],DO_DB!G:I,3,0)</f>
        <v>#N/A</v>
      </c>
      <c r="AB2694" s="331" t="e">
        <f>EXACT(Logfile_S12[[#This Row],[date pick]],Logfile_S12[[#This Row],[Date]])</f>
        <v>#N/A</v>
      </c>
      <c r="AC269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95" spans="1:29" ht="14.5" hidden="1">
      <c r="A2695" s="220" t="str">
        <f t="shared" si="94"/>
        <v>2691</v>
      </c>
      <c r="B2695" s="221"/>
      <c r="C2695" s="221" t="s">
        <v>49</v>
      </c>
      <c r="D2695" s="221" t="s">
        <v>4356</v>
      </c>
      <c r="E2695" s="221" t="s">
        <v>3295</v>
      </c>
      <c r="F2695" s="221" t="s">
        <v>3299</v>
      </c>
      <c r="G2695" s="222">
        <v>45738</v>
      </c>
      <c r="H2695" s="223">
        <v>0.67291666666666672</v>
      </c>
      <c r="I2695" s="221" t="s">
        <v>4916</v>
      </c>
      <c r="J2695" s="221" t="s">
        <v>3024</v>
      </c>
      <c r="K2695" s="224" t="s">
        <v>3090</v>
      </c>
      <c r="L2695" s="348" t="str">
        <f>VLOOKUP(Logfile_S12[[#This Row],[Material Name]],Sheet2!B:C,2,0)</f>
        <v>GCI1004</v>
      </c>
      <c r="M2695" s="225" t="str">
        <f>_xlfn.XLOOKUP(Logfile_S12[[#This Row],[Material Name]],Sum_WH!E:E,Sum_WH!F:F,"",0)</f>
        <v>Pcs</v>
      </c>
      <c r="N2695" s="221">
        <v>29</v>
      </c>
      <c r="O2695" s="221" t="s">
        <v>2664</v>
      </c>
      <c r="P2695" s="221" t="s">
        <v>2665</v>
      </c>
      <c r="Q2695" s="221"/>
      <c r="R2695" s="221"/>
      <c r="S2695" s="221"/>
      <c r="T2695" s="221" t="s">
        <v>3258</v>
      </c>
      <c r="U2695" s="221">
        <v>0</v>
      </c>
      <c r="V2695" s="221" t="s">
        <v>3337</v>
      </c>
      <c r="W2695" s="221" t="s">
        <v>3338</v>
      </c>
      <c r="X2695" s="221"/>
      <c r="Y2695" s="227"/>
      <c r="Z2695" s="227" t="str">
        <f t="shared" si="93"/>
        <v>Temas RW 04</v>
      </c>
      <c r="AA2695" s="276" t="e">
        <f>VLOOKUP(Logfile_S12[[#This Row],[DO number]],DO_DB!G:I,3,0)</f>
        <v>#N/A</v>
      </c>
      <c r="AB2695" s="331" t="e">
        <f>EXACT(Logfile_S12[[#This Row],[date pick]],Logfile_S12[[#This Row],[Date]])</f>
        <v>#N/A</v>
      </c>
      <c r="AC269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96" spans="1:29" ht="14.5" hidden="1">
      <c r="A2696" s="220" t="str">
        <f t="shared" si="94"/>
        <v>2692</v>
      </c>
      <c r="B2696" s="221"/>
      <c r="C2696" s="221" t="s">
        <v>3313</v>
      </c>
      <c r="D2696" s="221" t="s">
        <v>4367</v>
      </c>
      <c r="E2696" s="221" t="s">
        <v>3295</v>
      </c>
      <c r="F2696" s="221" t="s">
        <v>3299</v>
      </c>
      <c r="G2696" s="222">
        <v>45804</v>
      </c>
      <c r="H2696" s="223">
        <v>15.291666666666666</v>
      </c>
      <c r="I2696" s="221" t="s">
        <v>4918</v>
      </c>
      <c r="J2696" s="221" t="s">
        <v>3024</v>
      </c>
      <c r="K2696" s="224" t="s">
        <v>3090</v>
      </c>
      <c r="L2696" s="348" t="str">
        <f>VLOOKUP(Logfile_S12[[#This Row],[Material Name]],Sheet2!B:C,2,0)</f>
        <v>GCI1004</v>
      </c>
      <c r="M2696" s="225" t="str">
        <f>_xlfn.XLOOKUP(Logfile_S12[[#This Row],[Material Name]],Sum_WH!E:E,Sum_WH!F:F,"",0)</f>
        <v>Pcs</v>
      </c>
      <c r="N2696" s="221">
        <v>75</v>
      </c>
      <c r="O2696" s="221" t="s">
        <v>3314</v>
      </c>
      <c r="P2696" s="221" t="s">
        <v>3384</v>
      </c>
      <c r="Q2696" s="221">
        <v>0</v>
      </c>
      <c r="R2696" s="221">
        <v>0</v>
      </c>
      <c r="S2696" s="221"/>
      <c r="T2696" s="221"/>
      <c r="U2696" s="221"/>
      <c r="V2696" s="221"/>
      <c r="W2696" s="221"/>
      <c r="X2696" s="221"/>
      <c r="Y2696" s="227"/>
      <c r="Z2696" s="227" t="str">
        <f t="shared" si="93"/>
        <v>GRESIK</v>
      </c>
      <c r="AA2696" s="276" t="e">
        <f>VLOOKUP(Logfile_S12[[#This Row],[DO number]],DO_DB!G:I,3,0)</f>
        <v>#N/A</v>
      </c>
      <c r="AB2696" s="331" t="e">
        <f>EXACT(Logfile_S12[[#This Row],[date pick]],Logfile_S12[[#This Row],[Date]])</f>
        <v>#N/A</v>
      </c>
      <c r="AC269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97" spans="1:29" ht="14.5" hidden="1">
      <c r="A2697" s="220" t="str">
        <f t="shared" si="94"/>
        <v>2693</v>
      </c>
      <c r="B2697" s="221"/>
      <c r="C2697" s="221" t="s">
        <v>49</v>
      </c>
      <c r="D2697" s="221" t="s">
        <v>4372</v>
      </c>
      <c r="E2697" s="221" t="s">
        <v>3295</v>
      </c>
      <c r="F2697" s="221" t="s">
        <v>3299</v>
      </c>
      <c r="G2697" s="222">
        <v>45822</v>
      </c>
      <c r="H2697" s="223">
        <v>0.5395833333333333</v>
      </c>
      <c r="I2697" s="221" t="s">
        <v>4916</v>
      </c>
      <c r="J2697" s="221" t="s">
        <v>3024</v>
      </c>
      <c r="K2697" s="224" t="s">
        <v>3090</v>
      </c>
      <c r="L2697" s="348" t="str">
        <f>VLOOKUP(Logfile_S12[[#This Row],[Material Name]],Sheet2!B:C,2,0)</f>
        <v>GCI1004</v>
      </c>
      <c r="M2697" s="225" t="str">
        <f>_xlfn.XLOOKUP(Logfile_S12[[#This Row],[Material Name]],Sum_WH!E:E,Sum_WH!F:F,"",0)</f>
        <v>Pcs</v>
      </c>
      <c r="N2697" s="221">
        <v>75</v>
      </c>
      <c r="O2697" s="221">
        <v>0</v>
      </c>
      <c r="P2697" s="221" t="s">
        <v>3381</v>
      </c>
      <c r="Q2697" s="221"/>
      <c r="R2697" s="221"/>
      <c r="S2697" s="221"/>
      <c r="T2697" s="221" t="s">
        <v>3258</v>
      </c>
      <c r="U2697" s="221">
        <v>0</v>
      </c>
      <c r="V2697" s="221" t="s">
        <v>3337</v>
      </c>
      <c r="W2697" s="221" t="s">
        <v>3338</v>
      </c>
      <c r="X2697" s="221"/>
      <c r="Y2697" s="227"/>
      <c r="Z2697" s="227" t="str">
        <f t="shared" si="93"/>
        <v>Kebonagung RW 01</v>
      </c>
      <c r="AA2697" s="276" t="e">
        <f>VLOOKUP(Logfile_S12[[#This Row],[DO number]],DO_DB!G:I,3,0)</f>
        <v>#N/A</v>
      </c>
      <c r="AB2697" s="331" t="e">
        <f>EXACT(Logfile_S12[[#This Row],[date pick]],Logfile_S12[[#This Row],[Date]])</f>
        <v>#N/A</v>
      </c>
      <c r="AC269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98" spans="1:29" ht="14.5" hidden="1">
      <c r="A2698" s="220" t="str">
        <f t="shared" si="94"/>
        <v>2694</v>
      </c>
      <c r="B2698" s="221"/>
      <c r="C2698" s="221" t="s">
        <v>48</v>
      </c>
      <c r="D2698" s="221" t="s">
        <v>4380</v>
      </c>
      <c r="E2698" s="221" t="s">
        <v>3295</v>
      </c>
      <c r="F2698" s="221" t="s">
        <v>3299</v>
      </c>
      <c r="G2698" s="222">
        <v>45831</v>
      </c>
      <c r="H2698" s="223">
        <v>15.291666666666666</v>
      </c>
      <c r="I2698" s="221" t="s">
        <v>38</v>
      </c>
      <c r="J2698" s="221" t="s">
        <v>3024</v>
      </c>
      <c r="K2698" s="224" t="s">
        <v>3090</v>
      </c>
      <c r="L2698" s="348" t="str">
        <f>VLOOKUP(Logfile_S12[[#This Row],[Material Name]],Sheet2!B:C,2,0)</f>
        <v>GCI1004</v>
      </c>
      <c r="M2698" s="225" t="str">
        <f>_xlfn.XLOOKUP(Logfile_S12[[#This Row],[Material Name]],Sum_WH!E:E,Sum_WH!F:F,"",0)</f>
        <v>Pcs</v>
      </c>
      <c r="N2698" s="221">
        <v>109</v>
      </c>
      <c r="O2698" s="221">
        <v>0</v>
      </c>
      <c r="P2698" s="221">
        <v>0</v>
      </c>
      <c r="Q2698" s="221">
        <v>0</v>
      </c>
      <c r="R2698" s="221">
        <v>0</v>
      </c>
      <c r="S2698" s="221"/>
      <c r="T2698" s="221"/>
      <c r="U2698" s="221"/>
      <c r="V2698" s="221"/>
      <c r="W2698" s="221"/>
      <c r="X2698" s="221"/>
      <c r="Y2698" s="227"/>
      <c r="Z2698" s="227">
        <f t="shared" si="93"/>
        <v>0</v>
      </c>
      <c r="AA2698" s="276" t="e">
        <f>VLOOKUP(Logfile_S12[[#This Row],[DO number]],DO_DB!G:I,3,0)</f>
        <v>#N/A</v>
      </c>
      <c r="AB2698" s="331" t="e">
        <f>EXACT(Logfile_S12[[#This Row],[date pick]],Logfile_S12[[#This Row],[Date]])</f>
        <v>#N/A</v>
      </c>
      <c r="AC269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699" spans="1:29" ht="14.5" hidden="1">
      <c r="A2699" s="220" t="str">
        <f t="shared" si="94"/>
        <v>2695</v>
      </c>
      <c r="B2699" s="221"/>
      <c r="C2699" s="221" t="s">
        <v>49</v>
      </c>
      <c r="D2699" s="221" t="s">
        <v>4379</v>
      </c>
      <c r="E2699" s="221" t="s">
        <v>3295</v>
      </c>
      <c r="F2699" s="221" t="s">
        <v>3299</v>
      </c>
      <c r="G2699" s="222">
        <v>45831</v>
      </c>
      <c r="H2699" s="223">
        <v>0.64583333333333337</v>
      </c>
      <c r="I2699" s="221" t="s">
        <v>4916</v>
      </c>
      <c r="J2699" s="221" t="s">
        <v>3024</v>
      </c>
      <c r="K2699" s="224" t="s">
        <v>3090</v>
      </c>
      <c r="L2699" s="348" t="str">
        <f>VLOOKUP(Logfile_S12[[#This Row],[Material Name]],Sheet2!B:C,2,0)</f>
        <v>GCI1004</v>
      </c>
      <c r="M2699" s="225" t="str">
        <f>_xlfn.XLOOKUP(Logfile_S12[[#This Row],[Material Name]],Sum_WH!E:E,Sum_WH!F:F,"",0)</f>
        <v>Pcs</v>
      </c>
      <c r="N2699" s="221">
        <v>109</v>
      </c>
      <c r="O2699" s="221">
        <v>0</v>
      </c>
      <c r="P2699" s="221" t="s">
        <v>3382</v>
      </c>
      <c r="Q2699" s="221"/>
      <c r="R2699" s="221"/>
      <c r="S2699" s="221"/>
      <c r="T2699" s="221" t="s">
        <v>3231</v>
      </c>
      <c r="U2699" s="221">
        <v>0</v>
      </c>
      <c r="V2699" s="221" t="s">
        <v>3375</v>
      </c>
      <c r="W2699" s="221" t="s">
        <v>3249</v>
      </c>
      <c r="X2699" s="221"/>
      <c r="Y2699" s="227"/>
      <c r="Z2699" s="227" t="str">
        <f t="shared" si="93"/>
        <v>Pncokusumo</v>
      </c>
      <c r="AA2699" s="276" t="e">
        <f>VLOOKUP(Logfile_S12[[#This Row],[DO number]],DO_DB!G:I,3,0)</f>
        <v>#N/A</v>
      </c>
      <c r="AB2699" s="331" t="e">
        <f>EXACT(Logfile_S12[[#This Row],[date pick]],Logfile_S12[[#This Row],[Date]])</f>
        <v>#N/A</v>
      </c>
      <c r="AC269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00" spans="1:29" ht="14.5" hidden="1">
      <c r="A2700" s="220" t="str">
        <f t="shared" si="94"/>
        <v>2696</v>
      </c>
      <c r="B2700" s="221"/>
      <c r="C2700" s="221" t="s">
        <v>48</v>
      </c>
      <c r="D2700" s="221" t="s">
        <v>4392</v>
      </c>
      <c r="E2700" s="221" t="s">
        <v>3295</v>
      </c>
      <c r="F2700" s="221" t="s">
        <v>3299</v>
      </c>
      <c r="G2700" s="222">
        <v>45849</v>
      </c>
      <c r="H2700" s="223">
        <v>15.291666666666666</v>
      </c>
      <c r="I2700" s="221" t="s">
        <v>38</v>
      </c>
      <c r="J2700" s="221" t="s">
        <v>3024</v>
      </c>
      <c r="K2700" s="224" t="s">
        <v>3090</v>
      </c>
      <c r="L2700" s="348" t="str">
        <f>VLOOKUP(Logfile_S12[[#This Row],[Material Name]],Sheet2!B:C,2,0)</f>
        <v>GCI1004</v>
      </c>
      <c r="M2700" s="225" t="str">
        <f>_xlfn.XLOOKUP(Logfile_S12[[#This Row],[Material Name]],Sum_WH!E:E,Sum_WH!F:F,"",0)</f>
        <v>Pcs</v>
      </c>
      <c r="N2700" s="221">
        <v>82</v>
      </c>
      <c r="O2700" s="221">
        <v>0</v>
      </c>
      <c r="P2700" s="221">
        <v>0</v>
      </c>
      <c r="Q2700" s="221">
        <v>0</v>
      </c>
      <c r="R2700" s="221">
        <v>0</v>
      </c>
      <c r="S2700" s="221"/>
      <c r="T2700" s="221"/>
      <c r="U2700" s="221"/>
      <c r="V2700" s="221"/>
      <c r="W2700" s="221"/>
      <c r="X2700" s="221"/>
      <c r="Y2700" s="227"/>
      <c r="Z2700" s="227">
        <f t="shared" ref="Z2700:Z2711" si="95">P2700</f>
        <v>0</v>
      </c>
      <c r="AA2700" s="276" t="e">
        <f>VLOOKUP(Logfile_S12[[#This Row],[DO number]],DO_DB!G:I,3,0)</f>
        <v>#N/A</v>
      </c>
      <c r="AB2700" s="331" t="e">
        <f>EXACT(Logfile_S12[[#This Row],[date pick]],Logfile_S12[[#This Row],[Date]])</f>
        <v>#N/A</v>
      </c>
      <c r="AC270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01" spans="1:29" ht="14.5" hidden="1">
      <c r="A2701" s="220" t="str">
        <f t="shared" si="94"/>
        <v>2697</v>
      </c>
      <c r="B2701" s="221"/>
      <c r="C2701" s="221" t="s">
        <v>49</v>
      </c>
      <c r="D2701" s="221" t="s">
        <v>4391</v>
      </c>
      <c r="E2701" s="221" t="s">
        <v>3295</v>
      </c>
      <c r="F2701" s="221" t="s">
        <v>3299</v>
      </c>
      <c r="G2701" s="222">
        <v>45849</v>
      </c>
      <c r="H2701" s="223">
        <v>0.60833333333333328</v>
      </c>
      <c r="I2701" s="221" t="s">
        <v>4916</v>
      </c>
      <c r="J2701" s="221" t="s">
        <v>3024</v>
      </c>
      <c r="K2701" s="224" t="s">
        <v>3090</v>
      </c>
      <c r="L2701" s="348" t="str">
        <f>VLOOKUP(Logfile_S12[[#This Row],[Material Name]],Sheet2!B:C,2,0)</f>
        <v>GCI1004</v>
      </c>
      <c r="M2701" s="225" t="str">
        <f>_xlfn.XLOOKUP(Logfile_S12[[#This Row],[Material Name]],Sum_WH!E:E,Sum_WH!F:F,"",0)</f>
        <v>Pcs</v>
      </c>
      <c r="N2701" s="221">
        <v>82</v>
      </c>
      <c r="O2701" s="221">
        <v>0</v>
      </c>
      <c r="P2701" s="221" t="s">
        <v>3383</v>
      </c>
      <c r="Q2701" s="221"/>
      <c r="R2701" s="221"/>
      <c r="S2701" s="221"/>
      <c r="T2701" s="221" t="s">
        <v>3356</v>
      </c>
      <c r="U2701" s="221">
        <v>0</v>
      </c>
      <c r="V2701" s="221">
        <v>0</v>
      </c>
      <c r="W2701" s="221" t="s">
        <v>3358</v>
      </c>
      <c r="X2701" s="221"/>
      <c r="Y2701" s="227"/>
      <c r="Z2701" s="227" t="str">
        <f t="shared" si="95"/>
        <v>Bululawang</v>
      </c>
      <c r="AA2701" s="276" t="e">
        <f>VLOOKUP(Logfile_S12[[#This Row],[DO number]],DO_DB!G:I,3,0)</f>
        <v>#N/A</v>
      </c>
      <c r="AB2701" s="331" t="e">
        <f>EXACT(Logfile_S12[[#This Row],[date pick]],Logfile_S12[[#This Row],[Date]])</f>
        <v>#N/A</v>
      </c>
      <c r="AC270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02" spans="1:29" ht="14.5" hidden="1">
      <c r="A2702" s="220" t="str">
        <f t="shared" si="94"/>
        <v>2698</v>
      </c>
      <c r="B2702" s="221"/>
      <c r="C2702" s="221" t="s">
        <v>48</v>
      </c>
      <c r="D2702" s="221" t="s">
        <v>4401</v>
      </c>
      <c r="E2702" s="221" t="s">
        <v>3295</v>
      </c>
      <c r="F2702" s="221" t="s">
        <v>3299</v>
      </c>
      <c r="G2702" s="222">
        <v>45868</v>
      </c>
      <c r="H2702" s="223">
        <v>15.291666666666666</v>
      </c>
      <c r="I2702" s="221" t="s">
        <v>38</v>
      </c>
      <c r="J2702" s="221" t="s">
        <v>3024</v>
      </c>
      <c r="K2702" s="224" t="s">
        <v>3090</v>
      </c>
      <c r="L2702" s="348" t="str">
        <f>VLOOKUP(Logfile_S12[[#This Row],[Material Name]],Sheet2!B:C,2,0)</f>
        <v>GCI1004</v>
      </c>
      <c r="M2702" s="225" t="str">
        <f>_xlfn.XLOOKUP(Logfile_S12[[#This Row],[Material Name]],Sum_WH!E:E,Sum_WH!F:F,"",0)</f>
        <v>Pcs</v>
      </c>
      <c r="N2702" s="221">
        <v>180</v>
      </c>
      <c r="O2702" s="221">
        <v>0</v>
      </c>
      <c r="P2702" s="221">
        <v>0</v>
      </c>
      <c r="Q2702" s="221">
        <v>0</v>
      </c>
      <c r="R2702" s="221">
        <v>0</v>
      </c>
      <c r="S2702" s="221"/>
      <c r="T2702" s="221"/>
      <c r="U2702" s="221"/>
      <c r="V2702" s="221"/>
      <c r="W2702" s="221"/>
      <c r="X2702" s="221"/>
      <c r="Y2702" s="227"/>
      <c r="Z2702" s="227">
        <f t="shared" si="95"/>
        <v>0</v>
      </c>
      <c r="AA2702" s="276" t="e">
        <f>VLOOKUP(Logfile_S12[[#This Row],[DO number]],DO_DB!G:I,3,0)</f>
        <v>#N/A</v>
      </c>
      <c r="AB2702" s="331" t="e">
        <f>EXACT(Logfile_S12[[#This Row],[date pick]],Logfile_S12[[#This Row],[Date]])</f>
        <v>#N/A</v>
      </c>
      <c r="AC2702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03" spans="1:29" ht="14.5" hidden="1">
      <c r="A2703" s="220" t="str">
        <f t="shared" si="94"/>
        <v>2699</v>
      </c>
      <c r="B2703" s="221"/>
      <c r="C2703" s="221" t="s">
        <v>49</v>
      </c>
      <c r="D2703" s="221" t="s">
        <v>4402</v>
      </c>
      <c r="E2703" s="221" t="s">
        <v>3295</v>
      </c>
      <c r="F2703" s="221" t="s">
        <v>3299</v>
      </c>
      <c r="G2703" s="222">
        <v>45869</v>
      </c>
      <c r="H2703" s="223">
        <v>0.47291666666666665</v>
      </c>
      <c r="I2703" s="221" t="s">
        <v>4916</v>
      </c>
      <c r="J2703" s="221" t="s">
        <v>3024</v>
      </c>
      <c r="K2703" s="224" t="s">
        <v>3090</v>
      </c>
      <c r="L2703" s="348" t="str">
        <f>VLOOKUP(Logfile_S12[[#This Row],[Material Name]],Sheet2!B:C,2,0)</f>
        <v>GCI1004</v>
      </c>
      <c r="M2703" s="225" t="str">
        <f>_xlfn.XLOOKUP(Logfile_S12[[#This Row],[Material Name]],Sum_WH!E:E,Sum_WH!F:F,"",0)</f>
        <v>Pcs</v>
      </c>
      <c r="N2703" s="221">
        <v>180</v>
      </c>
      <c r="O2703" s="221">
        <v>0</v>
      </c>
      <c r="P2703" s="221" t="s">
        <v>3413</v>
      </c>
      <c r="Q2703" s="221"/>
      <c r="R2703" s="221"/>
      <c r="S2703" s="221"/>
      <c r="T2703" s="221" t="s">
        <v>3258</v>
      </c>
      <c r="U2703" s="221">
        <v>0</v>
      </c>
      <c r="V2703" s="221" t="s">
        <v>3337</v>
      </c>
      <c r="W2703" s="221" t="s">
        <v>3338</v>
      </c>
      <c r="X2703" s="221"/>
      <c r="Y2703" s="227"/>
      <c r="Z2703" s="227" t="str">
        <f t="shared" si="95"/>
        <v>Krebet</v>
      </c>
      <c r="AA2703" s="276" t="e">
        <f>VLOOKUP(Logfile_S12[[#This Row],[DO number]],DO_DB!G:I,3,0)</f>
        <v>#N/A</v>
      </c>
      <c r="AB2703" s="331" t="e">
        <f>EXACT(Logfile_S12[[#This Row],[date pick]],Logfile_S12[[#This Row],[Date]])</f>
        <v>#N/A</v>
      </c>
      <c r="AC2703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04" spans="1:29" ht="14.5" hidden="1">
      <c r="A2704" s="220" t="str">
        <f t="shared" si="94"/>
        <v>2700</v>
      </c>
      <c r="B2704" s="221"/>
      <c r="C2704" s="221" t="s">
        <v>48</v>
      </c>
      <c r="D2704" s="221" t="s">
        <v>4418</v>
      </c>
      <c r="E2704" s="221" t="s">
        <v>3295</v>
      </c>
      <c r="F2704" s="221" t="s">
        <v>3299</v>
      </c>
      <c r="G2704" s="222">
        <v>45890</v>
      </c>
      <c r="H2704" s="223">
        <v>15.291666666666666</v>
      </c>
      <c r="I2704" s="221" t="s">
        <v>38</v>
      </c>
      <c r="J2704" s="221" t="s">
        <v>3024</v>
      </c>
      <c r="K2704" s="224" t="s">
        <v>3090</v>
      </c>
      <c r="L2704" s="348" t="str">
        <f>VLOOKUP(Logfile_S12[[#This Row],[Material Name]],Sheet2!B:C,2,0)</f>
        <v>GCI1004</v>
      </c>
      <c r="M2704" s="225" t="str">
        <f>_xlfn.XLOOKUP(Logfile_S12[[#This Row],[Material Name]],Sum_WH!E:E,Sum_WH!F:F,"",0)</f>
        <v>Pcs</v>
      </c>
      <c r="N2704" s="221">
        <v>155</v>
      </c>
      <c r="O2704" s="221">
        <v>0</v>
      </c>
      <c r="P2704" s="221">
        <v>0</v>
      </c>
      <c r="Q2704" s="221">
        <v>0</v>
      </c>
      <c r="R2704" s="221">
        <v>0</v>
      </c>
      <c r="S2704" s="221"/>
      <c r="T2704" s="221"/>
      <c r="U2704" s="221"/>
      <c r="V2704" s="221"/>
      <c r="W2704" s="221"/>
      <c r="X2704" s="221"/>
      <c r="Y2704" s="227"/>
      <c r="Z2704" s="227">
        <f t="shared" si="95"/>
        <v>0</v>
      </c>
      <c r="AA2704" s="276" t="e">
        <f>VLOOKUP(Logfile_S12[[#This Row],[DO number]],DO_DB!G:I,3,0)</f>
        <v>#N/A</v>
      </c>
      <c r="AB2704" s="331" t="e">
        <f>EXACT(Logfile_S12[[#This Row],[date pick]],Logfile_S12[[#This Row],[Date]])</f>
        <v>#N/A</v>
      </c>
      <c r="AC2704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05" spans="1:29" ht="14.5" hidden="1">
      <c r="A2705" s="220" t="str">
        <f t="shared" si="94"/>
        <v>2701</v>
      </c>
      <c r="B2705" s="221"/>
      <c r="C2705" s="221" t="s">
        <v>49</v>
      </c>
      <c r="D2705" s="221" t="s">
        <v>4419</v>
      </c>
      <c r="E2705" s="221" t="s">
        <v>3295</v>
      </c>
      <c r="F2705" s="221" t="s">
        <v>3299</v>
      </c>
      <c r="G2705" s="222">
        <v>45892</v>
      </c>
      <c r="H2705" s="223">
        <v>0.4284722222222222</v>
      </c>
      <c r="I2705" s="221" t="s">
        <v>4916</v>
      </c>
      <c r="J2705" s="221" t="s">
        <v>3024</v>
      </c>
      <c r="K2705" s="224" t="s">
        <v>3090</v>
      </c>
      <c r="L2705" s="348" t="str">
        <f>VLOOKUP(Logfile_S12[[#This Row],[Material Name]],Sheet2!B:C,2,0)</f>
        <v>GCI1004</v>
      </c>
      <c r="M2705" s="225" t="str">
        <f>_xlfn.XLOOKUP(Logfile_S12[[#This Row],[Material Name]],Sum_WH!E:E,Sum_WH!F:F,"",0)</f>
        <v>Pcs</v>
      </c>
      <c r="N2705" s="221">
        <v>155</v>
      </c>
      <c r="O2705" s="221">
        <v>0</v>
      </c>
      <c r="P2705" s="221" t="s">
        <v>3385</v>
      </c>
      <c r="Q2705" s="221"/>
      <c r="R2705" s="221"/>
      <c r="S2705" s="221"/>
      <c r="T2705" s="221" t="s">
        <v>3258</v>
      </c>
      <c r="U2705" s="221">
        <v>0</v>
      </c>
      <c r="V2705" s="221" t="s">
        <v>3337</v>
      </c>
      <c r="W2705" s="221" t="s">
        <v>3338</v>
      </c>
      <c r="X2705" s="221"/>
      <c r="Y2705" s="227"/>
      <c r="Z2705" s="227" t="str">
        <f t="shared" si="95"/>
        <v>Bululawang Permai</v>
      </c>
      <c r="AA2705" s="276" t="e">
        <f>VLOOKUP(Logfile_S12[[#This Row],[DO number]],DO_DB!G:I,3,0)</f>
        <v>#N/A</v>
      </c>
      <c r="AB2705" s="331" t="e">
        <f>EXACT(Logfile_S12[[#This Row],[date pick]],Logfile_S12[[#This Row],[Date]])</f>
        <v>#N/A</v>
      </c>
      <c r="AC2705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06" spans="1:29" ht="14.5" hidden="1">
      <c r="A2706" s="237" t="str">
        <f t="shared" si="94"/>
        <v>2702</v>
      </c>
      <c r="B2706" s="221">
        <v>3</v>
      </c>
      <c r="C2706" s="227" t="s">
        <v>49</v>
      </c>
      <c r="D2706" s="227" t="s">
        <v>4672</v>
      </c>
      <c r="E2706" s="227" t="s">
        <v>3295</v>
      </c>
      <c r="F2706" s="227" t="s">
        <v>3299</v>
      </c>
      <c r="G2706" s="239">
        <v>45953</v>
      </c>
      <c r="H2706" s="240">
        <v>0.60763888888888884</v>
      </c>
      <c r="I2706" s="227" t="s">
        <v>3295</v>
      </c>
      <c r="J2706" s="227" t="s">
        <v>3024</v>
      </c>
      <c r="K2706" s="241" t="s">
        <v>3090</v>
      </c>
      <c r="L2706" s="348" t="str">
        <f>VLOOKUP(Logfile_S12[[#This Row],[Material Name]],Sheet2!B:C,2,0)</f>
        <v>GCI1004</v>
      </c>
      <c r="M2706" s="242" t="s">
        <v>19</v>
      </c>
      <c r="N2706" s="227">
        <v>84</v>
      </c>
      <c r="O2706" s="227" t="s">
        <v>4663</v>
      </c>
      <c r="P2706" s="227" t="s">
        <v>4664</v>
      </c>
      <c r="Q2706" s="227"/>
      <c r="R2706" s="227"/>
      <c r="S2706" s="227"/>
      <c r="T2706" s="221" t="s">
        <v>3258</v>
      </c>
      <c r="U2706" s="221">
        <v>0</v>
      </c>
      <c r="V2706" s="221" t="s">
        <v>3337</v>
      </c>
      <c r="W2706" s="221" t="s">
        <v>3338</v>
      </c>
      <c r="X2706" s="227"/>
      <c r="Y2706" s="227"/>
      <c r="Z2706" s="227" t="str">
        <f t="shared" si="95"/>
        <v>LESANPURO RW 06 MALANG</v>
      </c>
      <c r="AA2706" s="276" t="e">
        <f>VLOOKUP(Logfile_S12[[#This Row],[DO number]],DO_DB!G:I,3,0)</f>
        <v>#N/A</v>
      </c>
      <c r="AB2706" s="331" t="e">
        <f>EXACT(Logfile_S12[[#This Row],[date pick]],Logfile_S12[[#This Row],[Date]])</f>
        <v>#N/A</v>
      </c>
      <c r="AC2706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07" spans="1:29" ht="14.5" hidden="1">
      <c r="A2707" s="228" t="str">
        <f t="shared" si="94"/>
        <v>2703</v>
      </c>
      <c r="B2707" s="229">
        <v>2</v>
      </c>
      <c r="C2707" s="230" t="s">
        <v>48</v>
      </c>
      <c r="D2707" s="230" t="s">
        <v>4678</v>
      </c>
      <c r="E2707" s="230" t="s">
        <v>3295</v>
      </c>
      <c r="F2707" s="230" t="s">
        <v>3299</v>
      </c>
      <c r="G2707" s="231">
        <v>45956</v>
      </c>
      <c r="H2707" s="232">
        <v>0.33333333333333331</v>
      </c>
      <c r="I2707" s="229" t="s">
        <v>38</v>
      </c>
      <c r="J2707" s="230" t="s">
        <v>3024</v>
      </c>
      <c r="K2707" s="233" t="s">
        <v>3090</v>
      </c>
      <c r="L2707" s="483" t="str">
        <f>VLOOKUP(Logfile_S12[[#This Row],[Material Name]],Sheet2!B:C,2,0)</f>
        <v>GCI1004</v>
      </c>
      <c r="M2707" s="234" t="s">
        <v>19</v>
      </c>
      <c r="N2707" s="230">
        <v>84</v>
      </c>
      <c r="O2707" s="230" t="s">
        <v>4429</v>
      </c>
      <c r="P2707" s="230" t="s">
        <v>4429</v>
      </c>
      <c r="Q2707" s="230"/>
      <c r="R2707" s="230"/>
      <c r="S2707" s="230"/>
      <c r="T2707" s="230"/>
      <c r="U2707" s="230"/>
      <c r="V2707" s="230"/>
      <c r="W2707" s="230"/>
      <c r="X2707" s="230" t="s">
        <v>4429</v>
      </c>
      <c r="Y2707" s="227"/>
      <c r="Z2707" s="227" t="str">
        <f t="shared" si="95"/>
        <v>ADJUSTMENT</v>
      </c>
      <c r="AA2707" s="276" t="e">
        <f>VLOOKUP(Logfile_S12[[#This Row],[DO number]],DO_DB!G:I,3,0)</f>
        <v>#N/A</v>
      </c>
      <c r="AB2707" s="331" t="e">
        <f>EXACT(Logfile_S12[[#This Row],[date pick]],Logfile_S12[[#This Row],[Date]])</f>
        <v>#N/A</v>
      </c>
      <c r="AC2707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08" spans="1:29" ht="14.5" hidden="1">
      <c r="A2708" s="237" t="str">
        <f t="shared" si="94"/>
        <v>2704</v>
      </c>
      <c r="B2708" s="221">
        <v>4</v>
      </c>
      <c r="C2708" s="227" t="s">
        <v>48</v>
      </c>
      <c r="D2708" s="227" t="s">
        <v>4727</v>
      </c>
      <c r="E2708" s="227" t="s">
        <v>3295</v>
      </c>
      <c r="F2708" s="227" t="s">
        <v>3299</v>
      </c>
      <c r="G2708" s="239">
        <v>45987</v>
      </c>
      <c r="H2708" s="240">
        <v>0.66736111111111107</v>
      </c>
      <c r="I2708" s="227" t="s">
        <v>38</v>
      </c>
      <c r="J2708" s="227" t="s">
        <v>3024</v>
      </c>
      <c r="K2708" s="241" t="s">
        <v>3090</v>
      </c>
      <c r="L2708" s="348" t="str">
        <f>VLOOKUP(Logfile_S12[[#This Row],[Material Name]],Sheet2!B:C,2,0)</f>
        <v>GCI1004</v>
      </c>
      <c r="M2708" s="242" t="s">
        <v>19</v>
      </c>
      <c r="N2708" s="227">
        <v>97</v>
      </c>
      <c r="O2708" s="227" t="s">
        <v>3260</v>
      </c>
      <c r="P2708" s="227"/>
      <c r="Q2708" s="227" t="s">
        <v>3260</v>
      </c>
      <c r="R2708" s="227" t="s">
        <v>3260</v>
      </c>
      <c r="S2708" s="227"/>
      <c r="T2708" s="227"/>
      <c r="U2708" s="227"/>
      <c r="V2708" s="227"/>
      <c r="W2708" s="227"/>
      <c r="X2708" s="227"/>
      <c r="Y2708" s="227"/>
      <c r="Z2708" s="227">
        <f t="shared" si="95"/>
        <v>0</v>
      </c>
      <c r="AA2708" s="276" t="e">
        <f>VLOOKUP(Logfile_S12[[#This Row],[DO number]],DO_DB!G:I,3,0)</f>
        <v>#N/A</v>
      </c>
      <c r="AB2708" s="331" t="e">
        <f>EXACT(Logfile_S12[[#This Row],[date pick]],Logfile_S12[[#This Row],[Date]])</f>
        <v>#N/A</v>
      </c>
      <c r="AC2708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09" spans="1:29" ht="14.5" hidden="1">
      <c r="A2709" s="237" t="str">
        <f t="shared" si="94"/>
        <v>2705</v>
      </c>
      <c r="B2709" s="221">
        <v>5</v>
      </c>
      <c r="C2709" s="227" t="s">
        <v>49</v>
      </c>
      <c r="D2709" s="227" t="s">
        <v>4737</v>
      </c>
      <c r="E2709" s="227" t="s">
        <v>3295</v>
      </c>
      <c r="F2709" s="227" t="s">
        <v>3299</v>
      </c>
      <c r="G2709" s="239">
        <v>46006</v>
      </c>
      <c r="H2709" s="240">
        <v>0.36805555555555558</v>
      </c>
      <c r="I2709" s="227" t="s">
        <v>3295</v>
      </c>
      <c r="J2709" s="227" t="s">
        <v>3024</v>
      </c>
      <c r="K2709" s="241" t="s">
        <v>3090</v>
      </c>
      <c r="L2709" s="348" t="str">
        <f>VLOOKUP(Logfile_S12[[#This Row],[Material Name]],Sheet2!B:C,2,0)</f>
        <v>GCI1004</v>
      </c>
      <c r="M2709" s="242" t="s">
        <v>19</v>
      </c>
      <c r="N2709" s="227">
        <v>97</v>
      </c>
      <c r="O2709" s="227" t="s">
        <v>3260</v>
      </c>
      <c r="P2709" s="227"/>
      <c r="Q2709" s="227" t="s">
        <v>3260</v>
      </c>
      <c r="R2709" s="227" t="s">
        <v>3260</v>
      </c>
      <c r="S2709" s="227"/>
      <c r="T2709" s="221" t="s">
        <v>3258</v>
      </c>
      <c r="U2709" s="221" t="s">
        <v>4811</v>
      </c>
      <c r="V2709" s="221" t="s">
        <v>3337</v>
      </c>
      <c r="W2709" s="221" t="s">
        <v>3338</v>
      </c>
      <c r="X2709" s="227"/>
      <c r="Y2709" s="227"/>
      <c r="Z2709" s="227">
        <f t="shared" si="95"/>
        <v>0</v>
      </c>
      <c r="AA2709" s="276" t="e">
        <f>VLOOKUP(Logfile_S12[[#This Row],[DO number]],DO_DB!G:I,3,0)</f>
        <v>#N/A</v>
      </c>
      <c r="AB2709" s="331" t="e">
        <f>EXACT(Logfile_S12[[#This Row],[date pick]],Logfile_S12[[#This Row],[Date]])</f>
        <v>#N/A</v>
      </c>
      <c r="AC2709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10" spans="1:29" ht="14.5" hidden="1">
      <c r="A2710" s="237" t="str">
        <f t="shared" si="94"/>
        <v>2706</v>
      </c>
      <c r="B2710" s="221">
        <v>4</v>
      </c>
      <c r="C2710" s="227" t="s">
        <v>48</v>
      </c>
      <c r="D2710" s="227" t="s">
        <v>4778</v>
      </c>
      <c r="E2710" s="227" t="s">
        <v>3295</v>
      </c>
      <c r="F2710" s="227" t="s">
        <v>3299</v>
      </c>
      <c r="G2710" s="239">
        <v>46014</v>
      </c>
      <c r="H2710" s="240">
        <v>0.33333333333333331</v>
      </c>
      <c r="I2710" s="221" t="s">
        <v>38</v>
      </c>
      <c r="J2710" s="227" t="s">
        <v>3024</v>
      </c>
      <c r="K2710" s="241" t="s">
        <v>3090</v>
      </c>
      <c r="L2710" s="348" t="str">
        <f>VLOOKUP(Logfile_S12[[#This Row],[Material Name]],Sheet2!B:C,2,0)</f>
        <v>GCI1004</v>
      </c>
      <c r="M2710" s="242" t="s">
        <v>19</v>
      </c>
      <c r="N2710" s="227">
        <v>430</v>
      </c>
      <c r="O2710" s="227"/>
      <c r="P2710" s="227"/>
      <c r="Q2710" s="227"/>
      <c r="R2710" s="227"/>
      <c r="S2710" s="227"/>
      <c r="T2710" s="227"/>
      <c r="U2710" s="227"/>
      <c r="V2710" s="227"/>
      <c r="W2710" s="227"/>
      <c r="X2710" s="227"/>
      <c r="Y2710" s="227"/>
      <c r="Z2710" s="227">
        <f t="shared" si="95"/>
        <v>0</v>
      </c>
      <c r="AA2710" s="276" t="e">
        <f>VLOOKUP(Logfile_S12[[#This Row],[DO number]],DO_DB!G:I,3,0)</f>
        <v>#N/A</v>
      </c>
      <c r="AB2710" s="331" t="e">
        <f>EXACT(Logfile_S12[[#This Row],[date pick]],Logfile_S12[[#This Row],[Date]])</f>
        <v>#N/A</v>
      </c>
      <c r="AC2710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  <row r="2711" spans="1:29" ht="14.5" hidden="1">
      <c r="A2711" s="480" t="str">
        <f t="shared" si="94"/>
        <v>2707</v>
      </c>
      <c r="B2711" s="249">
        <v>7</v>
      </c>
      <c r="C2711" s="250" t="s">
        <v>49</v>
      </c>
      <c r="D2711" s="250" t="s">
        <v>4777</v>
      </c>
      <c r="E2711" s="250" t="s">
        <v>3295</v>
      </c>
      <c r="F2711" s="250" t="s">
        <v>3299</v>
      </c>
      <c r="G2711" s="481">
        <v>46016</v>
      </c>
      <c r="H2711" s="251">
        <v>0.50902777777777775</v>
      </c>
      <c r="I2711" s="227" t="s">
        <v>3295</v>
      </c>
      <c r="J2711" s="227" t="s">
        <v>3024</v>
      </c>
      <c r="K2711" s="252" t="s">
        <v>3090</v>
      </c>
      <c r="L2711" s="348" t="str">
        <f>VLOOKUP(Logfile_S12[[#This Row],[Material Name]],Sheet2!B:C,2,0)</f>
        <v>GCI1004</v>
      </c>
      <c r="M2711" s="333" t="s">
        <v>19</v>
      </c>
      <c r="N2711" s="250">
        <v>430</v>
      </c>
      <c r="O2711" s="250"/>
      <c r="P2711" s="250"/>
      <c r="Q2711" s="250"/>
      <c r="R2711" s="250"/>
      <c r="S2711" s="250"/>
      <c r="T2711" s="249" t="s">
        <v>3258</v>
      </c>
      <c r="U2711" s="249" t="s">
        <v>4811</v>
      </c>
      <c r="V2711" s="249" t="s">
        <v>3337</v>
      </c>
      <c r="W2711" s="249" t="s">
        <v>3338</v>
      </c>
      <c r="X2711" s="250"/>
      <c r="Y2711" s="250"/>
      <c r="Z2711" s="250">
        <f t="shared" si="95"/>
        <v>0</v>
      </c>
      <c r="AA2711" s="276" t="e">
        <f>VLOOKUP(Logfile_S12[[#This Row],[DO number]],DO_DB!G:I,3,0)</f>
        <v>#N/A</v>
      </c>
      <c r="AB2711" s="331" t="e">
        <f>EXACT(Logfile_S12[[#This Row],[date pick]],Logfile_S12[[#This Row],[Date]])</f>
        <v>#N/A</v>
      </c>
      <c r="AC2711" s="331" t="str">
        <f>IF(OR(Logfile_S12[[#This Row],[Transaction  Type]]="INBOUND",Logfile_S12[[#This Row],[Transaction  Type]]="TRANSFER IN",Logfile_S12[[#This Row],[Transaction  Type]]="BORROW IN"),"OUTBOUND_"&amp;Logfile_S12[[#This Row],[Haspel/Drum]],Logfile_S12[[#This Row],[Transaction  Type]]&amp;"_"&amp;Logfile_S12[[#This Row],[Haspel/Drum]])</f>
        <v>OUTBOUND_</v>
      </c>
    </row>
  </sheetData>
  <conditionalFormatting sqref="O2483">
    <cfRule type="duplicateValues" dxfId="40" priority="33"/>
  </conditionalFormatting>
  <conditionalFormatting sqref="O2483">
    <cfRule type="duplicateValues" dxfId="39" priority="34"/>
  </conditionalFormatting>
  <conditionalFormatting sqref="P2483">
    <cfRule type="duplicateValues" dxfId="38" priority="35"/>
  </conditionalFormatting>
  <conditionalFormatting sqref="O2484">
    <cfRule type="duplicateValues" dxfId="37" priority="30"/>
  </conditionalFormatting>
  <conditionalFormatting sqref="O2484">
    <cfRule type="duplicateValues" dxfId="36" priority="31"/>
  </conditionalFormatting>
  <conditionalFormatting sqref="P2484">
    <cfRule type="duplicateValues" dxfId="35" priority="32"/>
  </conditionalFormatting>
  <conditionalFormatting sqref="O1022">
    <cfRule type="duplicateValues" dxfId="34" priority="27"/>
  </conditionalFormatting>
  <conditionalFormatting sqref="O1022">
    <cfRule type="duplicateValues" dxfId="33" priority="28"/>
  </conditionalFormatting>
  <conditionalFormatting sqref="P1022">
    <cfRule type="duplicateValues" dxfId="32" priority="29"/>
  </conditionalFormatting>
  <conditionalFormatting sqref="O2422">
    <cfRule type="duplicateValues" dxfId="31" priority="25"/>
  </conditionalFormatting>
  <conditionalFormatting sqref="P2422:P2423">
    <cfRule type="duplicateValues" dxfId="30" priority="26"/>
  </conditionalFormatting>
  <conditionalFormatting sqref="O2462:O2463">
    <cfRule type="duplicateValues" dxfId="29" priority="23"/>
  </conditionalFormatting>
  <conditionalFormatting sqref="P2462:P2463">
    <cfRule type="duplicateValues" dxfId="28" priority="24"/>
  </conditionalFormatting>
  <conditionalFormatting sqref="K2597:K1048576 K1:K2579">
    <cfRule type="containsText" dxfId="27" priority="21" operator="containsText" text="48C">
      <formula>NOT(ISERROR(SEARCH("48C",K1)))</formula>
    </cfRule>
    <cfRule type="containsText" dxfId="26" priority="22" operator="containsText" text="24C">
      <formula>NOT(ISERROR(SEARCH("24C",K1)))</formula>
    </cfRule>
  </conditionalFormatting>
  <conditionalFormatting sqref="C1:C2589 C2597:C1048576">
    <cfRule type="containsText" dxfId="25" priority="19" operator="containsText" text="IN">
      <formula>NOT(ISERROR(SEARCH("IN",C1)))</formula>
    </cfRule>
    <cfRule type="containsText" dxfId="24" priority="20" operator="containsText" text="OUT">
      <formula>NOT(ISERROR(SEARCH("OUT",C1)))</formula>
    </cfRule>
  </conditionalFormatting>
  <conditionalFormatting sqref="C2590">
    <cfRule type="containsText" dxfId="23" priority="17" operator="containsText" text="IN">
      <formula>NOT(ISERROR(SEARCH("IN",C2590)))</formula>
    </cfRule>
    <cfRule type="containsText" dxfId="22" priority="18" operator="containsText" text="OUT">
      <formula>NOT(ISERROR(SEARCH("OUT",C2590)))</formula>
    </cfRule>
  </conditionalFormatting>
  <conditionalFormatting sqref="C2591">
    <cfRule type="containsText" dxfId="21" priority="15" operator="containsText" text="IN">
      <formula>NOT(ISERROR(SEARCH("IN",C2591)))</formula>
    </cfRule>
    <cfRule type="containsText" dxfId="20" priority="16" operator="containsText" text="OUT">
      <formula>NOT(ISERROR(SEARCH("OUT",C2591)))</formula>
    </cfRule>
  </conditionalFormatting>
  <conditionalFormatting sqref="C2592">
    <cfRule type="containsText" dxfId="19" priority="13" operator="containsText" text="IN">
      <formula>NOT(ISERROR(SEARCH("IN",C2592)))</formula>
    </cfRule>
    <cfRule type="containsText" dxfId="18" priority="14" operator="containsText" text="OUT">
      <formula>NOT(ISERROR(SEARCH("OUT",C2592)))</formula>
    </cfRule>
  </conditionalFormatting>
  <conditionalFormatting sqref="C2593">
    <cfRule type="containsText" dxfId="17" priority="11" operator="containsText" text="IN">
      <formula>NOT(ISERROR(SEARCH("IN",C2593)))</formula>
    </cfRule>
    <cfRule type="containsText" dxfId="16" priority="12" operator="containsText" text="OUT">
      <formula>NOT(ISERROR(SEARCH("OUT",C2593)))</formula>
    </cfRule>
  </conditionalFormatting>
  <conditionalFormatting sqref="C2594">
    <cfRule type="containsText" dxfId="15" priority="9" operator="containsText" text="IN">
      <formula>NOT(ISERROR(SEARCH("IN",C2594)))</formula>
    </cfRule>
    <cfRule type="containsText" dxfId="14" priority="10" operator="containsText" text="OUT">
      <formula>NOT(ISERROR(SEARCH("OUT",C2594)))</formula>
    </cfRule>
  </conditionalFormatting>
  <conditionalFormatting sqref="C2595">
    <cfRule type="containsText" dxfId="13" priority="7" operator="containsText" text="IN">
      <formula>NOT(ISERROR(SEARCH("IN",C2595)))</formula>
    </cfRule>
    <cfRule type="containsText" dxfId="12" priority="8" operator="containsText" text="OUT">
      <formula>NOT(ISERROR(SEARCH("OUT",C2595)))</formula>
    </cfRule>
  </conditionalFormatting>
  <conditionalFormatting sqref="C2596">
    <cfRule type="containsText" dxfId="11" priority="5" operator="containsText" text="IN">
      <formula>NOT(ISERROR(SEARCH("IN",C2596)))</formula>
    </cfRule>
    <cfRule type="containsText" dxfId="10" priority="6" operator="containsText" text="OUT">
      <formula>NOT(ISERROR(SEARCH("OUT",C2596)))</formula>
    </cfRule>
  </conditionalFormatting>
  <conditionalFormatting sqref="Y1:Y1048576">
    <cfRule type="containsText" dxfId="9" priority="4" operator="containsText" text="ADSS">
      <formula>NOT(ISERROR(SEARCH("ADSS",Y1)))</formula>
    </cfRule>
  </conditionalFormatting>
  <conditionalFormatting sqref="K2580:K2596">
    <cfRule type="containsText" dxfId="8" priority="2" operator="containsText" text="48C">
      <formula>NOT(ISERROR(SEARCH("48C",K2580)))</formula>
    </cfRule>
    <cfRule type="containsText" dxfId="7" priority="3" operator="containsText" text="24C">
      <formula>NOT(ISERROR(SEARCH("24C",K2580)))</formula>
    </cfRule>
  </conditionalFormatting>
  <conditionalFormatting sqref="AC1:AC1048576">
    <cfRule type="duplicateValues" dxfId="6" priority="1"/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9C91CF1-5391-4DFD-AB8B-1A99F6039BFE}">
          <x14:formula1>
            <xm:f>Sum_WH!$E$5:$E$53</xm:f>
          </x14:formula1>
          <xm:sqref>K5:K2711</xm:sqref>
        </x14:dataValidation>
        <x14:dataValidation type="list" allowBlank="1" showInputMessage="1" showErrorMessage="1" xr:uid="{9E292381-3F15-4F00-BDC8-5E6D8DF957E4}">
          <x14:formula1>
            <xm:f>DV!$F$10:$F$55</xm:f>
          </x14:formula1>
          <xm:sqref>F5:F2711</xm:sqref>
        </x14:dataValidation>
        <x14:dataValidation type="list" allowBlank="1" showInputMessage="1" showErrorMessage="1" xr:uid="{2CED7FF9-E006-4685-94BD-FDC34F40171C}">
          <x14:formula1>
            <xm:f>DV!$E$10:$E$55</xm:f>
          </x14:formula1>
          <xm:sqref>E5:E2711</xm:sqref>
        </x14:dataValidation>
        <x14:dataValidation type="list" allowBlank="1" showInputMessage="1" showErrorMessage="1" xr:uid="{F48A5D67-9BDA-4912-AA22-5CE8A48B1762}">
          <x14:formula1>
            <xm:f>DV!$C$10:$C$55</xm:f>
          </x14:formula1>
          <xm:sqref>C2295:C2359 C2363:C2371 C2380:C2388 C2390 C2392:C2444 C2448:C2482 C2553:C2559 C2562:C2563 C2573:C2574</xm:sqref>
        </x14:dataValidation>
        <x14:dataValidation type="list" allowBlank="1" showInputMessage="1" showErrorMessage="1" xr:uid="{694AE8D2-4268-485A-B3DD-DE9FE2D6D55C}">
          <x14:formula1>
            <xm:f>DV!$C$10:$C$31</xm:f>
          </x14:formula1>
          <xm:sqref>C2391 C2360:C2362 C2372:C2379 C2389 C5:C2294 C2483:C2552 C2560:C2561 C2564:C2572 C2575:C2596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3</vt:i4>
      </vt:variant>
    </vt:vector>
  </HeadingPairs>
  <TitlesOfParts>
    <vt:vector size="26" baseType="lpstr">
      <vt:lpstr>Guidance</vt:lpstr>
      <vt:lpstr>DV</vt:lpstr>
      <vt:lpstr>Sum_WH</vt:lpstr>
      <vt:lpstr>Sheet1</vt:lpstr>
      <vt:lpstr>Pivot_LO</vt:lpstr>
      <vt:lpstr>SUM_DN</vt:lpstr>
      <vt:lpstr>Sheet3</vt:lpstr>
      <vt:lpstr>DO_DB</vt:lpstr>
      <vt:lpstr>Site_DB</vt:lpstr>
      <vt:lpstr>Site_Opname</vt:lpstr>
      <vt:lpstr>Transaction_Form</vt:lpstr>
      <vt:lpstr>Deliver</vt:lpstr>
      <vt:lpstr>PIV_OUT</vt:lpstr>
      <vt:lpstr>Logfile</vt:lpstr>
      <vt:lpstr>HASBELCODE</vt:lpstr>
      <vt:lpstr>MANUAL</vt:lpstr>
      <vt:lpstr>LO_Logfile</vt:lpstr>
      <vt:lpstr>Text_Report</vt:lpstr>
      <vt:lpstr>Nota_Print</vt:lpstr>
      <vt:lpstr>Sheet2</vt:lpstr>
      <vt:lpstr>CABLECODE</vt:lpstr>
      <vt:lpstr>Sheet6</vt:lpstr>
      <vt:lpstr>TATA</vt:lpstr>
      <vt:lpstr>HASBELCODE!Logfile_Nota_No</vt:lpstr>
      <vt:lpstr>TATA!Logfile_Nota_No</vt:lpstr>
      <vt:lpstr>Logfile_Nota_No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Maxwin</dc:creator>
  <cp:lastModifiedBy>WINDOWS 11</cp:lastModifiedBy>
  <cp:lastPrinted>2025-08-22T09:39:43Z</cp:lastPrinted>
  <dcterms:created xsi:type="dcterms:W3CDTF">2025-08-17T17:44:38Z</dcterms:created>
  <dcterms:modified xsi:type="dcterms:W3CDTF">2026-09-24T00:06:58Z</dcterms:modified>
</cp:coreProperties>
</file>